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xl/queryTables/queryTable2.xml" ContentType="application/vnd.openxmlformats-officedocument.spreadsheetml.queryTable+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customProperty10.bin" ContentType="application/vnd.openxmlformats-officedocument.spreadsheetml.customProperty"/>
  <Override PartName="/xl/customProperty11.bin" ContentType="application/vnd.openxmlformats-officedocument.spreadsheetml.customProperty"/>
  <Override PartName="/xl/drawings/drawing2.xml" ContentType="application/vnd.openxmlformats-officedocument.drawing+xml"/>
  <Override PartName="/xl/customProperty12.bin" ContentType="application/vnd.openxmlformats-officedocument.spreadsheetml.customProperty"/>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customProperty13.bin" ContentType="application/vnd.openxmlformats-officedocument.spreadsheetml.customProperty"/>
  <Override PartName="/xl/tables/table6.xml" ContentType="application/vnd.openxmlformats-officedocument.spreadsheetml.table+xml"/>
  <Override PartName="/xl/tables/table7.xml" ContentType="application/vnd.openxmlformats-officedocument.spreadsheetml.table+xml"/>
  <Override PartName="/xl/comments3.xml" ContentType="application/vnd.openxmlformats-officedocument.spreadsheetml.comments+xml"/>
  <Override PartName="/xl/customProperty14.bin" ContentType="application/vnd.openxmlformats-officedocument.spreadsheetml.customProperty"/>
  <Override PartName="/xl/tables/table8.xml" ContentType="application/vnd.openxmlformats-officedocument.spreadsheetml.table+xml"/>
  <Override PartName="/xl/tables/table9.xml" ContentType="application/vnd.openxmlformats-officedocument.spreadsheetml.table+xml"/>
  <Override PartName="/xl/comments4.xml" ContentType="application/vnd.openxmlformats-officedocument.spreadsheetml.comments+xml"/>
  <Override PartName="/xl/customProperty15.bin" ContentType="application/vnd.openxmlformats-officedocument.spreadsheetml.customProperty"/>
  <Override PartName="/xl/tables/table10.xml" ContentType="application/vnd.openxmlformats-officedocument.spreadsheetml.table+xml"/>
  <Override PartName="/xl/tables/table11.xml" ContentType="application/vnd.openxmlformats-officedocument.spreadsheetml.table+xml"/>
  <Override PartName="/xl/comments5.xml" ContentType="application/vnd.openxmlformats-officedocument.spreadsheetml.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tables/table12.xml" ContentType="application/vnd.openxmlformats-officedocument.spreadsheetml.table+xml"/>
  <Override PartName="/xl/tables/table13.xml" ContentType="application/vnd.openxmlformats-officedocument.spreadsheetml.table+xml"/>
  <Override PartName="/xl/comments6.xml" ContentType="application/vnd.openxmlformats-officedocument.spreadsheetml.comments+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keen.tech\dfskeen\DFSDE\div\st\GRB_SC\Mgmt\20_MKP\03_product_portfolio\03 BVMS\BVMSChecklist\"/>
    </mc:Choice>
  </mc:AlternateContent>
  <xr:revisionPtr revIDLastSave="0" documentId="13_ncr:1_{214D2E93-2AAC-41B6-AD73-AD084B81FC74}" xr6:coauthVersionLast="47" xr6:coauthVersionMax="47" xr10:uidLastSave="{00000000-0000-0000-0000-000000000000}"/>
  <workbookProtection workbookAlgorithmName="SHA-512" workbookHashValue="KjfTMZLmtWqiIszq00bVgC105r0Fhb/8GQ5o72Fa8641NXraAO84KZPIUCkK5A05LAOI9RzytoacLOTdcZAwCw==" workbookSaltValue="jo2C5Eh8vf9BXfc7LlfLwQ==" workbookSpinCount="100000" lockStructure="1"/>
  <bookViews>
    <workbookView xWindow="28680" yWindow="-120" windowWidth="29040" windowHeight="15720" tabRatio="867" xr2:uid="{00000000-000D-0000-FFFF-FFFF00000000}"/>
  </bookViews>
  <sheets>
    <sheet name="BVMS checklist" sheetId="1" r:id="rId1"/>
    <sheet name="Ordering" sheetId="49" r:id="rId2"/>
    <sheet name="Approvals change log" sheetId="48" r:id="rId3"/>
    <sheet name="OrderingData" sheetId="51" state="hidden" r:id="rId4"/>
    <sheet name="Cameras" sheetId="54" state="hidden" r:id="rId5"/>
    <sheet name="CameraPerformance" sheetId="52" state="hidden" r:id="rId6"/>
    <sheet name="StorageDevices" sheetId="46" r:id="rId7"/>
    <sheet name="StorageSelection" sheetId="47" state="hidden" r:id="rId8"/>
    <sheet name="Bit Rate Guide (Manual)" sheetId="36" r:id="rId9"/>
    <sheet name="SD lifetime" sheetId="27" r:id="rId10"/>
    <sheet name="Local Recording" sheetId="5" r:id="rId11"/>
    <sheet name="BRG_Group1" sheetId="32" state="hidden" r:id="rId12"/>
    <sheet name="BRG_Group2" sheetId="37" state="hidden" r:id="rId13"/>
    <sheet name="BRG_Group3" sheetId="38" state="hidden" r:id="rId14"/>
    <sheet name="BRG_Group4" sheetId="39" state="hidden" r:id="rId15"/>
    <sheet name="Network" sheetId="45" state="hidden" r:id="rId16"/>
    <sheet name="Decoders" sheetId="44" state="hidden" r:id="rId17"/>
    <sheet name="Transcoders" sheetId="43" state="hidden" r:id="rId18"/>
    <sheet name="CentralServer" sheetId="42" state="hidden" r:id="rId19"/>
    <sheet name="BRG_Group5" sheetId="55" state="hidden" r:id="rId20"/>
    <sheet name="Workstations" sheetId="41" state="hidden" r:id="rId21"/>
    <sheet name="BVMS_Base" sheetId="40" state="hidden" r:id="rId22"/>
    <sheet name="Changelog" sheetId="24" r:id="rId23"/>
    <sheet name="Storage maintenance cost EST" sheetId="57" state="hidden" r:id="rId24"/>
    <sheet name="Resolutions" sheetId="56" state="hidden" r:id="rId25"/>
    <sheet name="DataBase" sheetId="33" state="hidden" r:id="rId26"/>
  </sheets>
  <definedNames>
    <definedName name="_VRM1" localSheetId="19">#REF!</definedName>
    <definedName name="_VRM1">#REF!</definedName>
    <definedName name="ARCHIVE" localSheetId="19">#REF!</definedName>
    <definedName name="ARCHIVE">#REF!</definedName>
    <definedName name="ARRAYS" localSheetId="19">#REF!</definedName>
    <definedName name="ARRAYS">#REF!</definedName>
    <definedName name="Bit_rate_optimization" localSheetId="8">'Bit Rate Guide (Manual)'!$G$136:$G$140</definedName>
    <definedName name="Bit_rate_optimization" localSheetId="12">BRG_Group2!$G$138:$G$142</definedName>
    <definedName name="Bit_rate_optimization" localSheetId="13">BRG_Group3!$G$138:$G$142</definedName>
    <definedName name="Bit_rate_optimization" localSheetId="14">BRG_Group4!$G$138:$G$142</definedName>
    <definedName name="Bit_rate_optimization" localSheetId="19">BRG_Group5!$G$138:$G$142</definedName>
    <definedName name="Bit_rate_optimization">BRG_Group1!$G$138:$G$142</definedName>
    <definedName name="BVMS">BVMS_Base!$A$1:$A$8</definedName>
    <definedName name="BVMS_Standard_Profiles" localSheetId="8">'Bit Rate Guide (Manual)'!$F$86:$F$95</definedName>
    <definedName name="BVMS_Standard_Profiles" localSheetId="12">BRG_Group2!$F$88:$F$97</definedName>
    <definedName name="BVMS_Standard_Profiles" localSheetId="13">BRG_Group3!$F$88:$F$97</definedName>
    <definedName name="BVMS_Standard_Profiles" localSheetId="14">BRG_Group4!$F$88:$F$97</definedName>
    <definedName name="BVMS_Standard_Profiles" localSheetId="19">BRG_Group5!$F$88:$F$97</definedName>
    <definedName name="BVMS_Standard_Profiles">BRG_Group1!$F$88:$F$97</definedName>
    <definedName name="CAMERAS">Cameras!$A$1:$A$988</definedName>
    <definedName name="CentralServer">CentralServer!$A$1:$A$7</definedName>
    <definedName name="DECODERS">Decoders!$A$1:$B$14</definedName>
    <definedName name="DIBOS" localSheetId="19">#REF!</definedName>
    <definedName name="DIBOS">#REF!</definedName>
    <definedName name="DLAplusservers" localSheetId="19">#REF!</definedName>
    <definedName name="DLAplusservers">#REF!</definedName>
    <definedName name="dynamic_scene_typ">DataBase!$J$49:$J$52</definedName>
    <definedName name="ENCODER" localSheetId="19">#REF!</definedName>
    <definedName name="ENCODER">#REF!</definedName>
    <definedName name="Encoding_Interval" localSheetId="8">'Bit Rate Guide (Manual)'!$E$136:$E$148</definedName>
    <definedName name="Encoding_Interval" localSheetId="12">BRG_Group2!$E$138:$E$150</definedName>
    <definedName name="Encoding_Interval" localSheetId="13">BRG_Group3!$E$138:$E$150</definedName>
    <definedName name="Encoding_Interval" localSheetId="14">BRG_Group4!$E$138:$E$150</definedName>
    <definedName name="Encoding_Interval" localSheetId="19">BRG_Group5!$E$138:$E$150</definedName>
    <definedName name="Encoding_Interval">BRG_Group1!$E$138:$E$150</definedName>
    <definedName name="encoding_standaard" localSheetId="19">#REF!</definedName>
    <definedName name="encoding_standaard">#REF!</definedName>
    <definedName name="Frame_rate" localSheetId="8">'Bit Rate Guide (Manual)'!$G$80:$G$81</definedName>
    <definedName name="Frame_rate" localSheetId="12">BRG_Group2!$G$82:$G$83</definedName>
    <definedName name="Frame_rate" localSheetId="13">BRG_Group3!$G$82:$G$83</definedName>
    <definedName name="Frame_rate" localSheetId="14">BRG_Group4!$G$82:$G$83</definedName>
    <definedName name="Frame_rate" localSheetId="19">BRG_Group5!$G$82:$G$83</definedName>
    <definedName name="Frame_rate">BRG_Group1!$G$82:$G$83</definedName>
    <definedName name="GOP_type">DataBase!$B$8:$B$10</definedName>
    <definedName name="GROUP1">StorageSelection!$A$2:$A$1001</definedName>
    <definedName name="GROUP2">StorageSelection!$C$2:$C$1001</definedName>
    <definedName name="GROUP3">StorageSelection!$E$2:$E$1000</definedName>
    <definedName name="GROUP4">StorageSelection!$G$2:$G$1000</definedName>
    <definedName name="H.263">'BVMS checklist'!$J$335:$J$343</definedName>
    <definedName name="H.263_str1">'BVMS checklist'!$J$328:$J$333</definedName>
    <definedName name="H.264">'BVMS checklist'!$L$335:$L$336</definedName>
    <definedName name="H.264_1080p">'BVMS checklist'!$R$335:$R$345</definedName>
    <definedName name="H.264_1080p_str1">'BVMS checklist'!$R$328:$R$329</definedName>
    <definedName name="H.264_720p">'BVMS checklist'!$O$335:$O$338</definedName>
    <definedName name="H.264_720p_str1">'BVMS checklist'!$O$328</definedName>
    <definedName name="H.264_NBC200">'BVMS checklist'!$M$335:$M$336</definedName>
    <definedName name="H.264_NBC200_720p">'BVMS checklist'!$N$335:$N$338</definedName>
    <definedName name="H.264_NBC200_720p_str1">'BVMS checklist'!$N$328</definedName>
    <definedName name="H.264_NBC200_str1">'BVMS checklist'!$M$328:$M$329</definedName>
    <definedName name="H.264_str1">'BVMS checklist'!$L$328:$L$329</definedName>
    <definedName name="H.264_XFM4">'BVMS checklist'!$K$335:$K$343</definedName>
    <definedName name="H.264_XFM4_str1">'BVMS checklist'!$K$328:$K$333</definedName>
    <definedName name="H263_str1">'BVMS checklist'!$J$328:$J$333</definedName>
    <definedName name="HD1080p" localSheetId="19">'BVMS checklist'!#REF!</definedName>
    <definedName name="HD1080p">'BVMS checklist'!#REF!</definedName>
    <definedName name="HD720p" localSheetId="19">'BVMS checklist'!#REF!</definedName>
    <definedName name="HD720p">'BVMS checklist'!#REF!</definedName>
    <definedName name="I_Frame_distance" localSheetId="8">'Bit Rate Guide (Manual)'!$C$136:$C$388</definedName>
    <definedName name="I_Frame_distance" localSheetId="12">BRG_Group2!$C$138:$C$390</definedName>
    <definedName name="I_Frame_distance" localSheetId="13">BRG_Group3!$C$138:$C$390</definedName>
    <definedName name="I_Frame_distance" localSheetId="14">BRG_Group4!$C$138:$C$390</definedName>
    <definedName name="I_Frame_distance" localSheetId="19">BRG_Group5!$C$138:$C$390</definedName>
    <definedName name="I_Frame_distance">BRG_Group1!$C$138:$C$390</definedName>
    <definedName name="IPS" localSheetId="19">#REF!</definedName>
    <definedName name="IPS">#REF!</definedName>
    <definedName name="iSCSI" localSheetId="19">#REF!</definedName>
    <definedName name="iSCSI">#REF!</definedName>
    <definedName name="iscsi_on" localSheetId="19">#REF!</definedName>
    <definedName name="iscsi_on">#REF!</definedName>
    <definedName name="mittlere_Bewegung" localSheetId="8">#REF!</definedName>
    <definedName name="mittlere_Bewegung" localSheetId="11">#REF!</definedName>
    <definedName name="mittlere_Bewegung" localSheetId="12">#REF!</definedName>
    <definedName name="mittlere_Bewegung" localSheetId="13">#REF!</definedName>
    <definedName name="mittlere_Bewegung" localSheetId="14">#REF!</definedName>
    <definedName name="mittlere_Bewegung" localSheetId="19">#REF!</definedName>
    <definedName name="mittlere_Bewegung">#REF!</definedName>
    <definedName name="Network">Network!$C$1:$C$10</definedName>
    <definedName name="none" localSheetId="19">'BVMS checklist'!#REF!</definedName>
    <definedName name="none">'BVMS checklist'!#REF!</definedName>
    <definedName name="NVR" localSheetId="19">#REF!</definedName>
    <definedName name="NVR">#REF!</definedName>
    <definedName name="NVRserver" localSheetId="19">#REF!</definedName>
    <definedName name="NVRserver">#REF!</definedName>
    <definedName name="PlatForm" localSheetId="8">#REF!</definedName>
    <definedName name="PlatForm" localSheetId="11">#REF!</definedName>
    <definedName name="PlatForm" localSheetId="12">#REF!</definedName>
    <definedName name="PlatForm" localSheetId="13">#REF!</definedName>
    <definedName name="PlatForm" localSheetId="14">#REF!</definedName>
    <definedName name="PlatForm" localSheetId="19">#REF!</definedName>
    <definedName name="PlatForm">#REF!</definedName>
    <definedName name="platform_neu" localSheetId="8">'Bit Rate Guide (Manual)'!$F$80:$F$84</definedName>
    <definedName name="platform_neu" localSheetId="12">BRG_Group2!$F$82:$F$86</definedName>
    <definedName name="platform_neu" localSheetId="13">BRG_Group3!$F$82:$F$86</definedName>
    <definedName name="platform_neu" localSheetId="14">BRG_Group4!$F$82:$F$86</definedName>
    <definedName name="platform_neu" localSheetId="19">BRG_Group5!$F$82:$F$86</definedName>
    <definedName name="platform_neu">BRG_Group1!$F$82:$F$86</definedName>
    <definedName name="_xlnm.Print_Area" localSheetId="0">'BVMS checklist'!$B$1:$S$310</definedName>
    <definedName name="producs" localSheetId="19">'BVMS checklist'!#REF!</definedName>
    <definedName name="producs">'BVMS checklist'!#REF!</definedName>
    <definedName name="RECORDING" localSheetId="19">#REF!</definedName>
    <definedName name="RECORDING">#REF!</definedName>
    <definedName name="recording_quality" localSheetId="8">'Bit Rate Guide (Manual)'!$D$80:$D$81</definedName>
    <definedName name="recording_quality" localSheetId="12">BRG_Group2!$D$82:$D$83</definedName>
    <definedName name="recording_quality" localSheetId="13">BRG_Group3!$D$82:$D$83</definedName>
    <definedName name="recording_quality" localSheetId="14">BRG_Group4!$D$82:$D$83</definedName>
    <definedName name="recording_quality" localSheetId="19">BRG_Group5!$D$82:$D$83</definedName>
    <definedName name="recording_quality">BRG_Group1!$D$82:$D$83</definedName>
    <definedName name="RECTYPE" localSheetId="19">#REF!</definedName>
    <definedName name="RECTYPE">#REF!</definedName>
    <definedName name="res_enc1" localSheetId="19">#REF!</definedName>
    <definedName name="res_enc1">#REF!</definedName>
    <definedName name="res_enc2" localSheetId="19">#REF!</definedName>
    <definedName name="res_enc2">#REF!</definedName>
    <definedName name="resolution" localSheetId="8">#REF!</definedName>
    <definedName name="resolution" localSheetId="12">#REF!</definedName>
    <definedName name="resolution" localSheetId="13">#REF!</definedName>
    <definedName name="resolution" localSheetId="14">#REF!</definedName>
    <definedName name="resolution" localSheetId="19">#REF!</definedName>
    <definedName name="resolution">#REF!</definedName>
    <definedName name="resolution_2" localSheetId="8">'Bit Rate Guide (Manual)'!$E$80:$E$84</definedName>
    <definedName name="resolution_2" localSheetId="12">BRG_Group2!$E$82:$E$86</definedName>
    <definedName name="resolution_2" localSheetId="13">BRG_Group3!$E$82:$E$86</definedName>
    <definedName name="resolution_2" localSheetId="14">BRG_Group4!$E$82:$E$86</definedName>
    <definedName name="resolution_2" localSheetId="19">BRG_Group5!$E$82:$E$86</definedName>
    <definedName name="resolution_2">BRG_Group1!$E$82:$E$86</definedName>
    <definedName name="Resolution_neu" localSheetId="8">'Bit Rate Guide (Manual)'!$L$80:$L$85</definedName>
    <definedName name="Resolution_neu" localSheetId="12">BRG_Group2!$L$82:$L$87</definedName>
    <definedName name="Resolution_neu" localSheetId="13">BRG_Group3!$L$82:$L$87</definedName>
    <definedName name="Resolution_neu" localSheetId="14">BRG_Group4!$L$82:$L$87</definedName>
    <definedName name="Resolution_neu" localSheetId="19">BRG_Group5!$L$82:$L$87</definedName>
    <definedName name="Resolution_neu">BRG_Group1!$L$82:$L$87</definedName>
    <definedName name="Resolution_neu_2" localSheetId="8">'Bit Rate Guide (Manual)'!$L$231:$L$236</definedName>
    <definedName name="Resolution_neu_2" localSheetId="12">BRG_Group2!$L$233:$L$238</definedName>
    <definedName name="Resolution_neu_2" localSheetId="13">BRG_Group3!$L$233:$L$238</definedName>
    <definedName name="Resolution_neu_2" localSheetId="14">BRG_Group4!$L$233:$L$238</definedName>
    <definedName name="Resolution_neu_2" localSheetId="19">BRG_Group5!$L$233:$L$238</definedName>
    <definedName name="Resolution_neu_2">BRG_Group1!$L$233:$L$238</definedName>
    <definedName name="Resolutions_MIC_7522_Z30x_FW7_61_0016" localSheetId="5">CameraPerformance!$B$7164:$O$7315</definedName>
    <definedName name="Resolutions_MIC_7522_Z30xR_FW7_61_16" localSheetId="5">CameraPerformance!$B$7316:$O$7973</definedName>
    <definedName name="Saftey_factor" localSheetId="8">'Bit Rate Guide (Manual)'!$G$144:$G$146</definedName>
    <definedName name="Saftey_factor" localSheetId="12">BRG_Group2!$G$146:$G$148</definedName>
    <definedName name="Saftey_factor" localSheetId="13">BRG_Group3!$G$146:$G$148</definedName>
    <definedName name="Saftey_factor" localSheetId="14">BRG_Group4!$G$146:$G$148</definedName>
    <definedName name="Saftey_factor" localSheetId="19">BRG_Group5!$G$146:$G$148</definedName>
    <definedName name="Saftey_factor">BRG_Group1!$G$146:$G$148</definedName>
    <definedName name="Scene" localSheetId="8">'Bit Rate Guide (Manual)'!$C$80:$C$81</definedName>
    <definedName name="Scene" localSheetId="12">BRG_Group2!$C$82:$C$83</definedName>
    <definedName name="Scene" localSheetId="13">BRG_Group3!$C$82:$C$83</definedName>
    <definedName name="Scene" localSheetId="14">BRG_Group4!$C$82:$C$83</definedName>
    <definedName name="Scene" localSheetId="19">BRG_Group5!$C$82:$C$83</definedName>
    <definedName name="Scene">BRG_Group1!$C$82:$C$83</definedName>
    <definedName name="scene_activity" localSheetId="19">#REF!</definedName>
    <definedName name="scene_activity">#REF!</definedName>
    <definedName name="SCSI" localSheetId="19">#REF!</definedName>
    <definedName name="SCSI">#REF!</definedName>
    <definedName name="SD" localSheetId="19">'BVMS checklist'!#REF!</definedName>
    <definedName name="SD">'BVMS checklist'!#REF!</definedName>
    <definedName name="secvrm" localSheetId="19">#REF!</definedName>
    <definedName name="secvrm">#REF!</definedName>
    <definedName name="serverg6" localSheetId="19">#REF!</definedName>
    <definedName name="serverg6">#REF!</definedName>
    <definedName name="serverg8" localSheetId="19">#REF!</definedName>
    <definedName name="serverg8">#REF!</definedName>
    <definedName name="specialCamera">DataBase!$K$20:$K$21</definedName>
    <definedName name="SPEED">Network!$A$1:$A$6</definedName>
    <definedName name="Static_scene_type">DataBase!$B$14:$B$16</definedName>
    <definedName name="STRUCTURE" localSheetId="19">#REF!</definedName>
    <definedName name="STRUCTURE">#REF!</definedName>
    <definedName name="SVSTRUC" localSheetId="19">#REF!</definedName>
    <definedName name="SVSTRUC">#REF!</definedName>
    <definedName name="table" localSheetId="19">#REF!</definedName>
    <definedName name="table">#REF!</definedName>
    <definedName name="TEST" localSheetId="19">#REF!</definedName>
    <definedName name="TEST">#REF!</definedName>
    <definedName name="transcoders">Transcoders!$A$1:$A$3</definedName>
    <definedName name="vca_on" localSheetId="19">#REF!</definedName>
    <definedName name="vca_on">#REF!</definedName>
    <definedName name="VGA" localSheetId="19">'BVMS checklist'!#REF!</definedName>
    <definedName name="VGA">'BVMS checklist'!#REF!</definedName>
    <definedName name="Video_Codec" localSheetId="8">'Bit Rate Guide (Manual)'!$F$136:$F$137</definedName>
    <definedName name="Video_Codec" localSheetId="12">BRG_Group2!$F$138:$F$139</definedName>
    <definedName name="Video_Codec" localSheetId="13">BRG_Group3!$F$138:$F$139</definedName>
    <definedName name="Video_Codec" localSheetId="14">BRG_Group4!$F$138:$F$139</definedName>
    <definedName name="Video_Codec" localSheetId="19">BRG_Group5!$F$138:$F$139</definedName>
    <definedName name="Video_Codec">BRG_Group1!$F$138:$F$139</definedName>
    <definedName name="Video_standard" localSheetId="8">#REF!</definedName>
    <definedName name="Video_standard" localSheetId="11">#REF!</definedName>
    <definedName name="Video_standard" localSheetId="12">#REF!</definedName>
    <definedName name="Video_standard" localSheetId="13">#REF!</definedName>
    <definedName name="Video_standard" localSheetId="14">#REF!</definedName>
    <definedName name="Video_standard" localSheetId="19">#REF!</definedName>
    <definedName name="video_standard">#REF!</definedName>
    <definedName name="video_standard_2" localSheetId="8">#REF!</definedName>
    <definedName name="video_standard_2" localSheetId="12">#REF!</definedName>
    <definedName name="video_standard_2" localSheetId="13">#REF!</definedName>
    <definedName name="video_standard_2" localSheetId="14">#REF!</definedName>
    <definedName name="video_standard_2" localSheetId="19">#REF!</definedName>
    <definedName name="video_standard_2">#REF!</definedName>
    <definedName name="VideoStandard" localSheetId="8">#REF!</definedName>
    <definedName name="VideoStandard" localSheetId="11">#REF!</definedName>
    <definedName name="VideoStandard" localSheetId="12">#REF!</definedName>
    <definedName name="VideoStandard" localSheetId="13">#REF!</definedName>
    <definedName name="VideoStandard" localSheetId="14">#REF!</definedName>
    <definedName name="VideoStandard" localSheetId="19">#REF!</definedName>
    <definedName name="VideoStandard">#REF!</definedName>
    <definedName name="VideoStd" localSheetId="8">#REF!</definedName>
    <definedName name="VideoStd" localSheetId="11">#REF!</definedName>
    <definedName name="VideoStd" localSheetId="12">#REF!</definedName>
    <definedName name="VideoStd" localSheetId="13">#REF!</definedName>
    <definedName name="VideoStd" localSheetId="14">#REF!</definedName>
    <definedName name="VideoStd" localSheetId="19">#REF!</definedName>
    <definedName name="VideoStd">#REF!</definedName>
    <definedName name="VINK" localSheetId="19">#REF!</definedName>
    <definedName name="VINK">#REF!</definedName>
    <definedName name="VRM" localSheetId="19">#REF!</definedName>
    <definedName name="VRM">#REF!</definedName>
    <definedName name="WORKSTATION">Workstations!$A$1:$A$6</definedName>
    <definedName name="YY" localSheetId="19">#REF!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8" i="1" l="1"/>
  <c r="A7801" i="52" l="1"/>
  <c r="P7801" i="52"/>
  <c r="T7801" i="52"/>
  <c r="U7801" i="52"/>
  <c r="V7801" i="52"/>
  <c r="T7795" i="52"/>
  <c r="U7795" i="52"/>
  <c r="V7795" i="52"/>
  <c r="T7796" i="52"/>
  <c r="U7796" i="52"/>
  <c r="V7796" i="52"/>
  <c r="T7797" i="52"/>
  <c r="U7797" i="52"/>
  <c r="V7797" i="52"/>
  <c r="T7798" i="52"/>
  <c r="U7798" i="52"/>
  <c r="V7798" i="52"/>
  <c r="T7799" i="52"/>
  <c r="U7799" i="52"/>
  <c r="V7799" i="52"/>
  <c r="T7800" i="52"/>
  <c r="U7800" i="52"/>
  <c r="V7800" i="52"/>
  <c r="T7802" i="52"/>
  <c r="U7802" i="52"/>
  <c r="V7802" i="52"/>
  <c r="T7803" i="52"/>
  <c r="U7803" i="52"/>
  <c r="V7803" i="52"/>
  <c r="A7800" i="52"/>
  <c r="P7800" i="52"/>
  <c r="A7802" i="52"/>
  <c r="P7802" i="52"/>
  <c r="T7773" i="52"/>
  <c r="U7773" i="52"/>
  <c r="V7773" i="52"/>
  <c r="T7774" i="52"/>
  <c r="U7774" i="52"/>
  <c r="V7774" i="52"/>
  <c r="T7775" i="52"/>
  <c r="U7775" i="52"/>
  <c r="V7775" i="52"/>
  <c r="T7776" i="52"/>
  <c r="U7776" i="52"/>
  <c r="V7776" i="52"/>
  <c r="T7777" i="52"/>
  <c r="U7777" i="52"/>
  <c r="V7777" i="52"/>
  <c r="T7778" i="52"/>
  <c r="U7778" i="52"/>
  <c r="V7778" i="52"/>
  <c r="T7779" i="52"/>
  <c r="U7779" i="52"/>
  <c r="V7779" i="52"/>
  <c r="T7780" i="52"/>
  <c r="U7780" i="52"/>
  <c r="V7780" i="52"/>
  <c r="T7781" i="52"/>
  <c r="U7781" i="52"/>
  <c r="V7781" i="52"/>
  <c r="T7782" i="52"/>
  <c r="U7782" i="52"/>
  <c r="V7782" i="52"/>
  <c r="T7783" i="52"/>
  <c r="U7783" i="52"/>
  <c r="V7783" i="52"/>
  <c r="T7784" i="52"/>
  <c r="U7784" i="52"/>
  <c r="V7784" i="52"/>
  <c r="T7785" i="52"/>
  <c r="U7785" i="52"/>
  <c r="V7785" i="52"/>
  <c r="T7786" i="52"/>
  <c r="U7786" i="52"/>
  <c r="V7786" i="52"/>
  <c r="T7787" i="52"/>
  <c r="U7787" i="52"/>
  <c r="V7787" i="52"/>
  <c r="T7788" i="52"/>
  <c r="U7788" i="52"/>
  <c r="V7788" i="52"/>
  <c r="T7789" i="52"/>
  <c r="U7789" i="52"/>
  <c r="V7789" i="52"/>
  <c r="T7790" i="52"/>
  <c r="U7790" i="52"/>
  <c r="V7790" i="52"/>
  <c r="T7791" i="52"/>
  <c r="U7791" i="52"/>
  <c r="V7791" i="52"/>
  <c r="T7792" i="52"/>
  <c r="U7792" i="52"/>
  <c r="V7792" i="52"/>
  <c r="T7793" i="52"/>
  <c r="U7793" i="52"/>
  <c r="V7793" i="52"/>
  <c r="T7794" i="52"/>
  <c r="U7794" i="52"/>
  <c r="V7794" i="52"/>
  <c r="A7791" i="52"/>
  <c r="P7791" i="52"/>
  <c r="A7792" i="52"/>
  <c r="P7792" i="52"/>
  <c r="A7793" i="52"/>
  <c r="P7793" i="52"/>
  <c r="A7794" i="52"/>
  <c r="P7794" i="52"/>
  <c r="A7795" i="52"/>
  <c r="P7795" i="52"/>
  <c r="A7796" i="52"/>
  <c r="P7796" i="52"/>
  <c r="A7797" i="52"/>
  <c r="P7797" i="52"/>
  <c r="A7798" i="52"/>
  <c r="P7798" i="52"/>
  <c r="A7799" i="52"/>
  <c r="P7799" i="52"/>
  <c r="T7714" i="52"/>
  <c r="U7714" i="52"/>
  <c r="V7714" i="52"/>
  <c r="T7715" i="52"/>
  <c r="U7715" i="52"/>
  <c r="V7715" i="52"/>
  <c r="T7716" i="52"/>
  <c r="U7716" i="52"/>
  <c r="V7716" i="52"/>
  <c r="T7717" i="52"/>
  <c r="U7717" i="52"/>
  <c r="V7717" i="52"/>
  <c r="T7718" i="52"/>
  <c r="U7718" i="52"/>
  <c r="V7718" i="52"/>
  <c r="T7719" i="52"/>
  <c r="U7719" i="52"/>
  <c r="V7719" i="52"/>
  <c r="T7720" i="52"/>
  <c r="U7720" i="52"/>
  <c r="V7720" i="52"/>
  <c r="T7721" i="52"/>
  <c r="U7721" i="52"/>
  <c r="V7721" i="52"/>
  <c r="T7722" i="52"/>
  <c r="U7722" i="52"/>
  <c r="V7722" i="52"/>
  <c r="T7723" i="52"/>
  <c r="U7723" i="52"/>
  <c r="V7723" i="52"/>
  <c r="T7724" i="52"/>
  <c r="U7724" i="52"/>
  <c r="V7724" i="52"/>
  <c r="T7725" i="52"/>
  <c r="U7725" i="52"/>
  <c r="V7725" i="52"/>
  <c r="T7726" i="52"/>
  <c r="U7726" i="52"/>
  <c r="V7726" i="52"/>
  <c r="T7727" i="52"/>
  <c r="U7727" i="52"/>
  <c r="V7727" i="52"/>
  <c r="T7728" i="52"/>
  <c r="U7728" i="52"/>
  <c r="V7728" i="52"/>
  <c r="T7729" i="52"/>
  <c r="U7729" i="52"/>
  <c r="V7729" i="52"/>
  <c r="T7730" i="52"/>
  <c r="U7730" i="52"/>
  <c r="V7730" i="52"/>
  <c r="T7731" i="52"/>
  <c r="U7731" i="52"/>
  <c r="V7731" i="52"/>
  <c r="T7732" i="52"/>
  <c r="U7732" i="52"/>
  <c r="V7732" i="52"/>
  <c r="T7733" i="52"/>
  <c r="U7733" i="52"/>
  <c r="V7733" i="52"/>
  <c r="T7734" i="52"/>
  <c r="U7734" i="52"/>
  <c r="V7734" i="52"/>
  <c r="T7735" i="52"/>
  <c r="U7735" i="52"/>
  <c r="V7735" i="52"/>
  <c r="T7736" i="52"/>
  <c r="U7736" i="52"/>
  <c r="V7736" i="52"/>
  <c r="T7737" i="52"/>
  <c r="U7737" i="52"/>
  <c r="V7737" i="52"/>
  <c r="T7738" i="52"/>
  <c r="U7738" i="52"/>
  <c r="V7738" i="52"/>
  <c r="T7739" i="52"/>
  <c r="U7739" i="52"/>
  <c r="V7739" i="52"/>
  <c r="T7740" i="52"/>
  <c r="U7740" i="52"/>
  <c r="V7740" i="52"/>
  <c r="T7741" i="52"/>
  <c r="U7741" i="52"/>
  <c r="V7741" i="52"/>
  <c r="T7742" i="52"/>
  <c r="U7742" i="52"/>
  <c r="V7742" i="52"/>
  <c r="T7743" i="52"/>
  <c r="U7743" i="52"/>
  <c r="V7743" i="52"/>
  <c r="T7744" i="52"/>
  <c r="U7744" i="52"/>
  <c r="V7744" i="52"/>
  <c r="T7745" i="52"/>
  <c r="U7745" i="52"/>
  <c r="V7745" i="52"/>
  <c r="T7746" i="52"/>
  <c r="U7746" i="52"/>
  <c r="V7746" i="52"/>
  <c r="T7747" i="52"/>
  <c r="U7747" i="52"/>
  <c r="V7747" i="52"/>
  <c r="T7748" i="52"/>
  <c r="U7748" i="52"/>
  <c r="V7748" i="52"/>
  <c r="T7749" i="52"/>
  <c r="U7749" i="52"/>
  <c r="V7749" i="52"/>
  <c r="T7750" i="52"/>
  <c r="U7750" i="52"/>
  <c r="V7750" i="52"/>
  <c r="T7751" i="52"/>
  <c r="U7751" i="52"/>
  <c r="V7751" i="52"/>
  <c r="T7752" i="52"/>
  <c r="U7752" i="52"/>
  <c r="V7752" i="52"/>
  <c r="T7753" i="52"/>
  <c r="U7753" i="52"/>
  <c r="V7753" i="52"/>
  <c r="T7754" i="52"/>
  <c r="U7754" i="52"/>
  <c r="V7754" i="52"/>
  <c r="T7755" i="52"/>
  <c r="U7755" i="52"/>
  <c r="V7755" i="52"/>
  <c r="T7756" i="52"/>
  <c r="U7756" i="52"/>
  <c r="V7756" i="52"/>
  <c r="T7757" i="52"/>
  <c r="U7757" i="52"/>
  <c r="V7757" i="52"/>
  <c r="T7758" i="52"/>
  <c r="U7758" i="52"/>
  <c r="V7758" i="52"/>
  <c r="T7759" i="52"/>
  <c r="U7759" i="52"/>
  <c r="V7759" i="52"/>
  <c r="T7760" i="52"/>
  <c r="U7760" i="52"/>
  <c r="V7760" i="52"/>
  <c r="T7761" i="52"/>
  <c r="U7761" i="52"/>
  <c r="V7761" i="52"/>
  <c r="T7762" i="52"/>
  <c r="U7762" i="52"/>
  <c r="V7762" i="52"/>
  <c r="T7763" i="52"/>
  <c r="U7763" i="52"/>
  <c r="V7763" i="52"/>
  <c r="T7764" i="52"/>
  <c r="U7764" i="52"/>
  <c r="V7764" i="52"/>
  <c r="T7765" i="52"/>
  <c r="U7765" i="52"/>
  <c r="V7765" i="52"/>
  <c r="T7766" i="52"/>
  <c r="U7766" i="52"/>
  <c r="V7766" i="52"/>
  <c r="T7767" i="52"/>
  <c r="U7767" i="52"/>
  <c r="V7767" i="52"/>
  <c r="T7768" i="52"/>
  <c r="U7768" i="52"/>
  <c r="V7768" i="52"/>
  <c r="T7769" i="52"/>
  <c r="U7769" i="52"/>
  <c r="V7769" i="52"/>
  <c r="T7770" i="52"/>
  <c r="U7770" i="52"/>
  <c r="V7770" i="52"/>
  <c r="T7771" i="52"/>
  <c r="U7771" i="52"/>
  <c r="V7771" i="52"/>
  <c r="T7772" i="52"/>
  <c r="U7772" i="52"/>
  <c r="V7772" i="52"/>
  <c r="A7771" i="52"/>
  <c r="P7771" i="52"/>
  <c r="A7772" i="52"/>
  <c r="P7772" i="52"/>
  <c r="A7773" i="52"/>
  <c r="P7773" i="52"/>
  <c r="A7774" i="52"/>
  <c r="P7774" i="52"/>
  <c r="A7775" i="52"/>
  <c r="P7775" i="52"/>
  <c r="A7776" i="52"/>
  <c r="P7776" i="52"/>
  <c r="A7777" i="52"/>
  <c r="P7777" i="52"/>
  <c r="A7778" i="52"/>
  <c r="P7778" i="52"/>
  <c r="A7779" i="52"/>
  <c r="P7779" i="52"/>
  <c r="A7780" i="52"/>
  <c r="P7780" i="52"/>
  <c r="A7781" i="52"/>
  <c r="P7781" i="52"/>
  <c r="A7782" i="52"/>
  <c r="P7782" i="52"/>
  <c r="A7783" i="52"/>
  <c r="P7783" i="52"/>
  <c r="A7784" i="52"/>
  <c r="P7784" i="52"/>
  <c r="A7785" i="52"/>
  <c r="P7785" i="52"/>
  <c r="A7786" i="52"/>
  <c r="P7786" i="52"/>
  <c r="A7787" i="52"/>
  <c r="P7787" i="52"/>
  <c r="A7788" i="52"/>
  <c r="P7788" i="52"/>
  <c r="A7789" i="52"/>
  <c r="P7789" i="52"/>
  <c r="A7790" i="52"/>
  <c r="P7790" i="52"/>
  <c r="A7749" i="52"/>
  <c r="P7749" i="52"/>
  <c r="A7750" i="52"/>
  <c r="P7750" i="52"/>
  <c r="A7751" i="52"/>
  <c r="P7751" i="52"/>
  <c r="A7752" i="52"/>
  <c r="P7752" i="52"/>
  <c r="A7753" i="52"/>
  <c r="P7753" i="52"/>
  <c r="A7754" i="52"/>
  <c r="P7754" i="52"/>
  <c r="A7755" i="52"/>
  <c r="P7755" i="52"/>
  <c r="A7756" i="52"/>
  <c r="P7756" i="52"/>
  <c r="A7757" i="52"/>
  <c r="P7757" i="52"/>
  <c r="A7758" i="52"/>
  <c r="P7758" i="52"/>
  <c r="A7759" i="52"/>
  <c r="P7759" i="52"/>
  <c r="A7760" i="52"/>
  <c r="P7760" i="52"/>
  <c r="A7761" i="52"/>
  <c r="P7761" i="52"/>
  <c r="A7762" i="52"/>
  <c r="P7762" i="52"/>
  <c r="A7763" i="52"/>
  <c r="P7763" i="52"/>
  <c r="A7764" i="52"/>
  <c r="P7764" i="52"/>
  <c r="A7765" i="52"/>
  <c r="P7765" i="52"/>
  <c r="A7766" i="52"/>
  <c r="P7766" i="52"/>
  <c r="A7767" i="52"/>
  <c r="P7767" i="52"/>
  <c r="A7768" i="52"/>
  <c r="P7768" i="52"/>
  <c r="A7769" i="52"/>
  <c r="P7769" i="52"/>
  <c r="A7770" i="52"/>
  <c r="P7770" i="52"/>
  <c r="A7731" i="52"/>
  <c r="P7731" i="52"/>
  <c r="A7732" i="52"/>
  <c r="P7732" i="52"/>
  <c r="A7733" i="52"/>
  <c r="P7733" i="52"/>
  <c r="A7734" i="52"/>
  <c r="P7734" i="52"/>
  <c r="A7735" i="52"/>
  <c r="P7735" i="52"/>
  <c r="A7736" i="52"/>
  <c r="P7736" i="52"/>
  <c r="A7737" i="52"/>
  <c r="P7737" i="52"/>
  <c r="A7738" i="52"/>
  <c r="P7738" i="52"/>
  <c r="A7739" i="52"/>
  <c r="P7739" i="52"/>
  <c r="A7740" i="52"/>
  <c r="P7740" i="52"/>
  <c r="A7741" i="52"/>
  <c r="P7741" i="52"/>
  <c r="A7742" i="52"/>
  <c r="P7742" i="52"/>
  <c r="A7743" i="52"/>
  <c r="P7743" i="52"/>
  <c r="A7744" i="52"/>
  <c r="P7744" i="52"/>
  <c r="A7745" i="52"/>
  <c r="P7745" i="52"/>
  <c r="A7746" i="52"/>
  <c r="P7746" i="52"/>
  <c r="A7747" i="52"/>
  <c r="P7747" i="52"/>
  <c r="A7748" i="52"/>
  <c r="P7748" i="52"/>
  <c r="A7714" i="52"/>
  <c r="P7714" i="52"/>
  <c r="A7715" i="52"/>
  <c r="P7715" i="52"/>
  <c r="A7716" i="52"/>
  <c r="P7716" i="52"/>
  <c r="A7717" i="52"/>
  <c r="P7717" i="52"/>
  <c r="A7718" i="52"/>
  <c r="P7718" i="52"/>
  <c r="A7719" i="52"/>
  <c r="P7719" i="52"/>
  <c r="A7720" i="52"/>
  <c r="P7720" i="52"/>
  <c r="A7721" i="52"/>
  <c r="P7721" i="52"/>
  <c r="A7722" i="52"/>
  <c r="P7722" i="52"/>
  <c r="A7723" i="52"/>
  <c r="P7723" i="52"/>
  <c r="A7724" i="52"/>
  <c r="P7724" i="52"/>
  <c r="A7725" i="52"/>
  <c r="P7725" i="52"/>
  <c r="A7726" i="52"/>
  <c r="P7726" i="52"/>
  <c r="A7727" i="52"/>
  <c r="P7727" i="52"/>
  <c r="A7728" i="52"/>
  <c r="P7728" i="52"/>
  <c r="A7729" i="52"/>
  <c r="P7729" i="52"/>
  <c r="A7730" i="52"/>
  <c r="P7730" i="52"/>
  <c r="T7651" i="52"/>
  <c r="U7651" i="52"/>
  <c r="V7651" i="52"/>
  <c r="T7652" i="52"/>
  <c r="U7652" i="52"/>
  <c r="V7652" i="52"/>
  <c r="T7653" i="52"/>
  <c r="U7653" i="52"/>
  <c r="V7653" i="52"/>
  <c r="T7654" i="52"/>
  <c r="U7654" i="52"/>
  <c r="V7654" i="52"/>
  <c r="T7655" i="52"/>
  <c r="U7655" i="52"/>
  <c r="V7655" i="52"/>
  <c r="T7656" i="52"/>
  <c r="U7656" i="52"/>
  <c r="V7656" i="52"/>
  <c r="T7657" i="52"/>
  <c r="U7657" i="52"/>
  <c r="V7657" i="52"/>
  <c r="T7658" i="52"/>
  <c r="U7658" i="52"/>
  <c r="V7658" i="52"/>
  <c r="T7659" i="52"/>
  <c r="U7659" i="52"/>
  <c r="V7659" i="52"/>
  <c r="T7660" i="52"/>
  <c r="U7660" i="52"/>
  <c r="V7660" i="52"/>
  <c r="T7661" i="52"/>
  <c r="U7661" i="52"/>
  <c r="V7661" i="52"/>
  <c r="T7662" i="52"/>
  <c r="U7662" i="52"/>
  <c r="V7662" i="52"/>
  <c r="T7663" i="52"/>
  <c r="U7663" i="52"/>
  <c r="V7663" i="52"/>
  <c r="T7664" i="52"/>
  <c r="U7664" i="52"/>
  <c r="V7664" i="52"/>
  <c r="T7665" i="52"/>
  <c r="U7665" i="52"/>
  <c r="V7665" i="52"/>
  <c r="T7666" i="52"/>
  <c r="U7666" i="52"/>
  <c r="V7666" i="52"/>
  <c r="T7667" i="52"/>
  <c r="U7667" i="52"/>
  <c r="V7667" i="52"/>
  <c r="T7668" i="52"/>
  <c r="U7668" i="52"/>
  <c r="V7668" i="52"/>
  <c r="T7669" i="52"/>
  <c r="U7669" i="52"/>
  <c r="V7669" i="52"/>
  <c r="T7670" i="52"/>
  <c r="U7670" i="52"/>
  <c r="V7670" i="52"/>
  <c r="T7671" i="52"/>
  <c r="U7671" i="52"/>
  <c r="V7671" i="52"/>
  <c r="T7672" i="52"/>
  <c r="U7672" i="52"/>
  <c r="V7672" i="52"/>
  <c r="T7673" i="52"/>
  <c r="U7673" i="52"/>
  <c r="V7673" i="52"/>
  <c r="T7674" i="52"/>
  <c r="U7674" i="52"/>
  <c r="V7674" i="52"/>
  <c r="T7675" i="52"/>
  <c r="U7675" i="52"/>
  <c r="V7675" i="52"/>
  <c r="T7676" i="52"/>
  <c r="U7676" i="52"/>
  <c r="V7676" i="52"/>
  <c r="T7677" i="52"/>
  <c r="U7677" i="52"/>
  <c r="V7677" i="52"/>
  <c r="T7678" i="52"/>
  <c r="U7678" i="52"/>
  <c r="V7678" i="52"/>
  <c r="T7679" i="52"/>
  <c r="U7679" i="52"/>
  <c r="V7679" i="52"/>
  <c r="T7680" i="52"/>
  <c r="U7680" i="52"/>
  <c r="V7680" i="52"/>
  <c r="T7681" i="52"/>
  <c r="U7681" i="52"/>
  <c r="V7681" i="52"/>
  <c r="T7682" i="52"/>
  <c r="U7682" i="52"/>
  <c r="V7682" i="52"/>
  <c r="T7683" i="52"/>
  <c r="U7683" i="52"/>
  <c r="V7683" i="52"/>
  <c r="T7684" i="52"/>
  <c r="U7684" i="52"/>
  <c r="V7684" i="52"/>
  <c r="T7685" i="52"/>
  <c r="U7685" i="52"/>
  <c r="V7685" i="52"/>
  <c r="T7686" i="52"/>
  <c r="U7686" i="52"/>
  <c r="V7686" i="52"/>
  <c r="T7687" i="52"/>
  <c r="U7687" i="52"/>
  <c r="V7687" i="52"/>
  <c r="T7688" i="52"/>
  <c r="U7688" i="52"/>
  <c r="V7688" i="52"/>
  <c r="T7689" i="52"/>
  <c r="U7689" i="52"/>
  <c r="V7689" i="52"/>
  <c r="T7690" i="52"/>
  <c r="U7690" i="52"/>
  <c r="V7690" i="52"/>
  <c r="T7691" i="52"/>
  <c r="U7691" i="52"/>
  <c r="V7691" i="52"/>
  <c r="T7692" i="52"/>
  <c r="U7692" i="52"/>
  <c r="V7692" i="52"/>
  <c r="T7693" i="52"/>
  <c r="U7693" i="52"/>
  <c r="V7693" i="52"/>
  <c r="T7694" i="52"/>
  <c r="U7694" i="52"/>
  <c r="V7694" i="52"/>
  <c r="T7695" i="52"/>
  <c r="U7695" i="52"/>
  <c r="V7695" i="52"/>
  <c r="T7696" i="52"/>
  <c r="U7696" i="52"/>
  <c r="V7696" i="52"/>
  <c r="T7697" i="52"/>
  <c r="U7697" i="52"/>
  <c r="V7697" i="52"/>
  <c r="T7698" i="52"/>
  <c r="U7698" i="52"/>
  <c r="V7698" i="52"/>
  <c r="T7699" i="52"/>
  <c r="U7699" i="52"/>
  <c r="V7699" i="52"/>
  <c r="T7700" i="52"/>
  <c r="U7700" i="52"/>
  <c r="V7700" i="52"/>
  <c r="T7701" i="52"/>
  <c r="U7701" i="52"/>
  <c r="V7701" i="52"/>
  <c r="T7702" i="52"/>
  <c r="U7702" i="52"/>
  <c r="V7702" i="52"/>
  <c r="T7703" i="52"/>
  <c r="U7703" i="52"/>
  <c r="V7703" i="52"/>
  <c r="T7704" i="52"/>
  <c r="U7704" i="52"/>
  <c r="V7704" i="52"/>
  <c r="T7705" i="52"/>
  <c r="U7705" i="52"/>
  <c r="V7705" i="52"/>
  <c r="T7706" i="52"/>
  <c r="U7706" i="52"/>
  <c r="V7706" i="52"/>
  <c r="T7707" i="52"/>
  <c r="U7707" i="52"/>
  <c r="V7707" i="52"/>
  <c r="T7708" i="52"/>
  <c r="U7708" i="52"/>
  <c r="V7708" i="52"/>
  <c r="T7709" i="52"/>
  <c r="U7709" i="52"/>
  <c r="V7709" i="52"/>
  <c r="T7710" i="52"/>
  <c r="U7710" i="52"/>
  <c r="V7710" i="52"/>
  <c r="T7711" i="52"/>
  <c r="U7711" i="52"/>
  <c r="V7711" i="52"/>
  <c r="T7712" i="52"/>
  <c r="U7712" i="52"/>
  <c r="V7712" i="52"/>
  <c r="T7713" i="52"/>
  <c r="U7713" i="52"/>
  <c r="V7713" i="52"/>
  <c r="A7685" i="52"/>
  <c r="P7685" i="52"/>
  <c r="A7686" i="52"/>
  <c r="P7686" i="52"/>
  <c r="A7687" i="52"/>
  <c r="P7687" i="52"/>
  <c r="A7688" i="52"/>
  <c r="P7688" i="52"/>
  <c r="A7689" i="52"/>
  <c r="P7689" i="52"/>
  <c r="A7690" i="52"/>
  <c r="P7690" i="52"/>
  <c r="A7691" i="52"/>
  <c r="P7691" i="52"/>
  <c r="A7692" i="52"/>
  <c r="P7692" i="52"/>
  <c r="A7693" i="52"/>
  <c r="P7693" i="52"/>
  <c r="A7694" i="52"/>
  <c r="P7694" i="52"/>
  <c r="A7695" i="52"/>
  <c r="P7695" i="52"/>
  <c r="A7696" i="52"/>
  <c r="P7696" i="52"/>
  <c r="A7697" i="52"/>
  <c r="P7697" i="52"/>
  <c r="A7698" i="52"/>
  <c r="P7698" i="52"/>
  <c r="A7699" i="52"/>
  <c r="P7699" i="52"/>
  <c r="A7700" i="52"/>
  <c r="P7700" i="52"/>
  <c r="A7701" i="52"/>
  <c r="P7701" i="52"/>
  <c r="A7702" i="52"/>
  <c r="P7702" i="52"/>
  <c r="A7703" i="52"/>
  <c r="P7703" i="52"/>
  <c r="A7704" i="52"/>
  <c r="P7704" i="52"/>
  <c r="A7705" i="52"/>
  <c r="P7705" i="52"/>
  <c r="A7706" i="52"/>
  <c r="P7706" i="52"/>
  <c r="A7707" i="52"/>
  <c r="P7707" i="52"/>
  <c r="A7708" i="52"/>
  <c r="P7708" i="52"/>
  <c r="A7709" i="52"/>
  <c r="P7709" i="52"/>
  <c r="A7710" i="52"/>
  <c r="P7710" i="52"/>
  <c r="A7711" i="52"/>
  <c r="P7711" i="52"/>
  <c r="A7712" i="52"/>
  <c r="P7712" i="52"/>
  <c r="A7713" i="52"/>
  <c r="P7713" i="52"/>
  <c r="P7656" i="52"/>
  <c r="P7655" i="52"/>
  <c r="P7654" i="52"/>
  <c r="P7653" i="52"/>
  <c r="P7652" i="52"/>
  <c r="P7651" i="52"/>
  <c r="A7661" i="52" l="1"/>
  <c r="P7661" i="52"/>
  <c r="A7662" i="52"/>
  <c r="P7662" i="52"/>
  <c r="A7663" i="52"/>
  <c r="P7663" i="52"/>
  <c r="A7664" i="52"/>
  <c r="P7664" i="52"/>
  <c r="A7665" i="52"/>
  <c r="P7665" i="52"/>
  <c r="A7666" i="52"/>
  <c r="P7666" i="52"/>
  <c r="A7667" i="52"/>
  <c r="P7667" i="52"/>
  <c r="A7668" i="52"/>
  <c r="P7668" i="52"/>
  <c r="A7669" i="52"/>
  <c r="P7669" i="52"/>
  <c r="A7670" i="52"/>
  <c r="P7670" i="52"/>
  <c r="A7671" i="52"/>
  <c r="P7671" i="52"/>
  <c r="A7672" i="52"/>
  <c r="P7672" i="52"/>
  <c r="A7673" i="52"/>
  <c r="P7673" i="52"/>
  <c r="A7674" i="52"/>
  <c r="P7674" i="52"/>
  <c r="A7675" i="52"/>
  <c r="P7675" i="52"/>
  <c r="A7676" i="52"/>
  <c r="P7676" i="52"/>
  <c r="A7677" i="52"/>
  <c r="P7677" i="52"/>
  <c r="A7678" i="52"/>
  <c r="P7678" i="52"/>
  <c r="A7679" i="52"/>
  <c r="P7679" i="52"/>
  <c r="A7680" i="52"/>
  <c r="P7680" i="52"/>
  <c r="A7681" i="52"/>
  <c r="P7681" i="52"/>
  <c r="A7682" i="52"/>
  <c r="P7682" i="52"/>
  <c r="A7683" i="52"/>
  <c r="P7683" i="52"/>
  <c r="A7684" i="52"/>
  <c r="P7684" i="52"/>
  <c r="T7624" i="52"/>
  <c r="U7624" i="52"/>
  <c r="V7624" i="52"/>
  <c r="T7625" i="52"/>
  <c r="U7625" i="52"/>
  <c r="V7625" i="52"/>
  <c r="T7626" i="52"/>
  <c r="U7626" i="52"/>
  <c r="V7626" i="52"/>
  <c r="T7627" i="52"/>
  <c r="U7627" i="52"/>
  <c r="V7627" i="52"/>
  <c r="T7628" i="52"/>
  <c r="U7628" i="52"/>
  <c r="V7628" i="52"/>
  <c r="T7629" i="52"/>
  <c r="U7629" i="52"/>
  <c r="V7629" i="52"/>
  <c r="T7630" i="52"/>
  <c r="U7630" i="52"/>
  <c r="V7630" i="52"/>
  <c r="T7631" i="52"/>
  <c r="U7631" i="52"/>
  <c r="V7631" i="52"/>
  <c r="T7632" i="52"/>
  <c r="U7632" i="52"/>
  <c r="V7632" i="52"/>
  <c r="T7633" i="52"/>
  <c r="U7633" i="52"/>
  <c r="V7633" i="52"/>
  <c r="T7634" i="52"/>
  <c r="U7634" i="52"/>
  <c r="V7634" i="52"/>
  <c r="T7635" i="52"/>
  <c r="U7635" i="52"/>
  <c r="V7635" i="52"/>
  <c r="T7636" i="52"/>
  <c r="U7636" i="52"/>
  <c r="V7636" i="52"/>
  <c r="T7637" i="52"/>
  <c r="U7637" i="52"/>
  <c r="V7637" i="52"/>
  <c r="T7638" i="52"/>
  <c r="U7638" i="52"/>
  <c r="V7638" i="52"/>
  <c r="T7639" i="52"/>
  <c r="U7639" i="52"/>
  <c r="V7639" i="52"/>
  <c r="T7640" i="52"/>
  <c r="U7640" i="52"/>
  <c r="V7640" i="52"/>
  <c r="T7641" i="52"/>
  <c r="U7641" i="52"/>
  <c r="V7641" i="52"/>
  <c r="T7642" i="52"/>
  <c r="U7642" i="52"/>
  <c r="V7642" i="52"/>
  <c r="T7643" i="52"/>
  <c r="U7643" i="52"/>
  <c r="V7643" i="52"/>
  <c r="T7644" i="52"/>
  <c r="U7644" i="52"/>
  <c r="V7644" i="52"/>
  <c r="T7645" i="52"/>
  <c r="U7645" i="52"/>
  <c r="V7645" i="52"/>
  <c r="T7646" i="52"/>
  <c r="U7646" i="52"/>
  <c r="V7646" i="52"/>
  <c r="T7647" i="52"/>
  <c r="U7647" i="52"/>
  <c r="V7647" i="52"/>
  <c r="T7648" i="52"/>
  <c r="U7648" i="52"/>
  <c r="V7648" i="52"/>
  <c r="T7649" i="52"/>
  <c r="U7649" i="52"/>
  <c r="V7649" i="52"/>
  <c r="T7650" i="52"/>
  <c r="U7650" i="52"/>
  <c r="V7650" i="52"/>
  <c r="A7655" i="52"/>
  <c r="A7656" i="52"/>
  <c r="A7657" i="52"/>
  <c r="P7657" i="52"/>
  <c r="A7658" i="52"/>
  <c r="P7658" i="52"/>
  <c r="A7659" i="52"/>
  <c r="P7659" i="52"/>
  <c r="A7660" i="52"/>
  <c r="P7660" i="52"/>
  <c r="A7626" i="52"/>
  <c r="P7626" i="52"/>
  <c r="A7627" i="52"/>
  <c r="P7627" i="52"/>
  <c r="A7628" i="52"/>
  <c r="P7628" i="52"/>
  <c r="A7629" i="52"/>
  <c r="P7629" i="52"/>
  <c r="A7630" i="52"/>
  <c r="P7630" i="52"/>
  <c r="A7631" i="52"/>
  <c r="P7631" i="52"/>
  <c r="A7632" i="52"/>
  <c r="P7632" i="52"/>
  <c r="A7633" i="52"/>
  <c r="P7633" i="52"/>
  <c r="A7634" i="52"/>
  <c r="P7634" i="52"/>
  <c r="A7635" i="52"/>
  <c r="P7635" i="52"/>
  <c r="A7636" i="52"/>
  <c r="P7636" i="52"/>
  <c r="A7637" i="52"/>
  <c r="P7637" i="52"/>
  <c r="A7638" i="52"/>
  <c r="P7638" i="52"/>
  <c r="A7639" i="52"/>
  <c r="P7639" i="52"/>
  <c r="A7640" i="52"/>
  <c r="P7640" i="52"/>
  <c r="A7641" i="52"/>
  <c r="P7641" i="52"/>
  <c r="A7642" i="52"/>
  <c r="P7642" i="52"/>
  <c r="A7643" i="52"/>
  <c r="P7643" i="52"/>
  <c r="A7644" i="52"/>
  <c r="P7644" i="52"/>
  <c r="A7645" i="52"/>
  <c r="P7645" i="52"/>
  <c r="A7646" i="52"/>
  <c r="P7646" i="52"/>
  <c r="A7647" i="52"/>
  <c r="P7647" i="52"/>
  <c r="A7648" i="52"/>
  <c r="P7648" i="52"/>
  <c r="A7649" i="52"/>
  <c r="P7649" i="52"/>
  <c r="A7650" i="52"/>
  <c r="P7650" i="52"/>
  <c r="A7651" i="52"/>
  <c r="A7652" i="52"/>
  <c r="A7653" i="52"/>
  <c r="A7654" i="52"/>
  <c r="T7605" i="52"/>
  <c r="U7605" i="52"/>
  <c r="V7605" i="52"/>
  <c r="T7606" i="52"/>
  <c r="U7606" i="52"/>
  <c r="V7606" i="52"/>
  <c r="T7607" i="52"/>
  <c r="U7607" i="52"/>
  <c r="V7607" i="52"/>
  <c r="T7608" i="52"/>
  <c r="U7608" i="52"/>
  <c r="V7608" i="52"/>
  <c r="T7609" i="52"/>
  <c r="U7609" i="52"/>
  <c r="V7609" i="52"/>
  <c r="T7610" i="52"/>
  <c r="U7610" i="52"/>
  <c r="V7610" i="52"/>
  <c r="T7611" i="52"/>
  <c r="U7611" i="52"/>
  <c r="V7611" i="52"/>
  <c r="T7612" i="52"/>
  <c r="U7612" i="52"/>
  <c r="V7612" i="52"/>
  <c r="T7613" i="52"/>
  <c r="U7613" i="52"/>
  <c r="V7613" i="52"/>
  <c r="T7614" i="52"/>
  <c r="U7614" i="52"/>
  <c r="V7614" i="52"/>
  <c r="T7615" i="52"/>
  <c r="U7615" i="52"/>
  <c r="V7615" i="52"/>
  <c r="T7616" i="52"/>
  <c r="U7616" i="52"/>
  <c r="V7616" i="52"/>
  <c r="T7617" i="52"/>
  <c r="U7617" i="52"/>
  <c r="V7617" i="52"/>
  <c r="T7618" i="52"/>
  <c r="U7618" i="52"/>
  <c r="V7618" i="52"/>
  <c r="T7619" i="52"/>
  <c r="U7619" i="52"/>
  <c r="V7619" i="52"/>
  <c r="T7620" i="52"/>
  <c r="U7620" i="52"/>
  <c r="V7620" i="52"/>
  <c r="T7621" i="52"/>
  <c r="U7621" i="52"/>
  <c r="V7621" i="52"/>
  <c r="T7622" i="52"/>
  <c r="U7622" i="52"/>
  <c r="V7622" i="52"/>
  <c r="T7623" i="52"/>
  <c r="U7623" i="52"/>
  <c r="V7623" i="52"/>
  <c r="A7610" i="52"/>
  <c r="P7610" i="52"/>
  <c r="A7611" i="52"/>
  <c r="P7611" i="52"/>
  <c r="A7612" i="52"/>
  <c r="P7612" i="52"/>
  <c r="A7613" i="52"/>
  <c r="P7613" i="52"/>
  <c r="A7614" i="52"/>
  <c r="P7614" i="52"/>
  <c r="A7615" i="52"/>
  <c r="P7615" i="52"/>
  <c r="A7616" i="52"/>
  <c r="P7616" i="52"/>
  <c r="A7617" i="52"/>
  <c r="P7617" i="52"/>
  <c r="A7618" i="52"/>
  <c r="P7618" i="52"/>
  <c r="A7619" i="52"/>
  <c r="P7619" i="52"/>
  <c r="A7620" i="52"/>
  <c r="P7620" i="52"/>
  <c r="A7621" i="52"/>
  <c r="P7621" i="52"/>
  <c r="A7622" i="52"/>
  <c r="P7622" i="52"/>
  <c r="A7623" i="52"/>
  <c r="P7623" i="52"/>
  <c r="A7624" i="52"/>
  <c r="P7624" i="52"/>
  <c r="A7625" i="52"/>
  <c r="P7625" i="52"/>
  <c r="P7576" i="52"/>
  <c r="T7576" i="52"/>
  <c r="U7576" i="52"/>
  <c r="V7576" i="52"/>
  <c r="P7577" i="52"/>
  <c r="T7577" i="52"/>
  <c r="U7577" i="52"/>
  <c r="V7577" i="52"/>
  <c r="P7578" i="52"/>
  <c r="T7578" i="52"/>
  <c r="U7578" i="52"/>
  <c r="V7578" i="52"/>
  <c r="P7579" i="52"/>
  <c r="T7579" i="52"/>
  <c r="U7579" i="52"/>
  <c r="V7579" i="52"/>
  <c r="P7580" i="52"/>
  <c r="T7580" i="52"/>
  <c r="U7580" i="52"/>
  <c r="V7580" i="52"/>
  <c r="P7581" i="52"/>
  <c r="T7581" i="52"/>
  <c r="U7581" i="52"/>
  <c r="V7581" i="52"/>
  <c r="P7582" i="52"/>
  <c r="T7582" i="52"/>
  <c r="U7582" i="52"/>
  <c r="V7582" i="52"/>
  <c r="P7583" i="52"/>
  <c r="T7583" i="52"/>
  <c r="U7583" i="52"/>
  <c r="V7583" i="52"/>
  <c r="P7584" i="52"/>
  <c r="T7584" i="52"/>
  <c r="U7584" i="52"/>
  <c r="V7584" i="52"/>
  <c r="P7585" i="52"/>
  <c r="T7585" i="52"/>
  <c r="U7585" i="52"/>
  <c r="V7585" i="52"/>
  <c r="P7586" i="52"/>
  <c r="T7586" i="52"/>
  <c r="U7586" i="52"/>
  <c r="V7586" i="52"/>
  <c r="P7587" i="52"/>
  <c r="T7587" i="52"/>
  <c r="U7587" i="52"/>
  <c r="V7587" i="52"/>
  <c r="P7588" i="52"/>
  <c r="T7588" i="52"/>
  <c r="U7588" i="52"/>
  <c r="V7588" i="52"/>
  <c r="P7589" i="52"/>
  <c r="T7589" i="52"/>
  <c r="U7589" i="52"/>
  <c r="V7589" i="52"/>
  <c r="P7590" i="52"/>
  <c r="T7590" i="52"/>
  <c r="U7590" i="52"/>
  <c r="V7590" i="52"/>
  <c r="P7591" i="52"/>
  <c r="T7591" i="52"/>
  <c r="U7591" i="52"/>
  <c r="V7591" i="52"/>
  <c r="P7592" i="52"/>
  <c r="T7592" i="52"/>
  <c r="U7592" i="52"/>
  <c r="V7592" i="52"/>
  <c r="P7593" i="52"/>
  <c r="T7593" i="52"/>
  <c r="U7593" i="52"/>
  <c r="V7593" i="52"/>
  <c r="P7594" i="52"/>
  <c r="T7594" i="52"/>
  <c r="U7594" i="52"/>
  <c r="V7594" i="52"/>
  <c r="P7595" i="52"/>
  <c r="T7595" i="52"/>
  <c r="U7595" i="52"/>
  <c r="V7595" i="52"/>
  <c r="P7596" i="52"/>
  <c r="T7596" i="52"/>
  <c r="U7596" i="52"/>
  <c r="V7596" i="52"/>
  <c r="P7597" i="52"/>
  <c r="T7597" i="52"/>
  <c r="U7597" i="52"/>
  <c r="V7597" i="52"/>
  <c r="P7598" i="52"/>
  <c r="T7598" i="52"/>
  <c r="U7598" i="52"/>
  <c r="V7598" i="52"/>
  <c r="P7599" i="52"/>
  <c r="T7599" i="52"/>
  <c r="U7599" i="52"/>
  <c r="V7599" i="52"/>
  <c r="P7600" i="52"/>
  <c r="T7600" i="52"/>
  <c r="U7600" i="52"/>
  <c r="V7600" i="52"/>
  <c r="P7601" i="52"/>
  <c r="T7601" i="52"/>
  <c r="U7601" i="52"/>
  <c r="V7601" i="52"/>
  <c r="P7602" i="52"/>
  <c r="T7602" i="52"/>
  <c r="U7602" i="52"/>
  <c r="V7602" i="52"/>
  <c r="P7603" i="52"/>
  <c r="T7603" i="52"/>
  <c r="U7603" i="52"/>
  <c r="V7603" i="52"/>
  <c r="P7604" i="52"/>
  <c r="T7604" i="52"/>
  <c r="U7604" i="52"/>
  <c r="V7604" i="52"/>
  <c r="P7605" i="52"/>
  <c r="P7606" i="52"/>
  <c r="P7607" i="52"/>
  <c r="P7608" i="52"/>
  <c r="P7609" i="52"/>
  <c r="P7575" i="52"/>
  <c r="A7598" i="52"/>
  <c r="A7599" i="52"/>
  <c r="A7600" i="52"/>
  <c r="A7601" i="52"/>
  <c r="A7602" i="52"/>
  <c r="A7603" i="52"/>
  <c r="A7604" i="52"/>
  <c r="A7605" i="52"/>
  <c r="A7606" i="52"/>
  <c r="A7607" i="52"/>
  <c r="A7608" i="52"/>
  <c r="A7609" i="52"/>
  <c r="A7580" i="52" l="1"/>
  <c r="A7581" i="52"/>
  <c r="A7582" i="52"/>
  <c r="A7583" i="52"/>
  <c r="A7584" i="52"/>
  <c r="A7585" i="52"/>
  <c r="A7586" i="52"/>
  <c r="A7587" i="52"/>
  <c r="A7588" i="52"/>
  <c r="A7589" i="52"/>
  <c r="A7590" i="52"/>
  <c r="A7591" i="52"/>
  <c r="A7592" i="52"/>
  <c r="A7593" i="52"/>
  <c r="A7594" i="52"/>
  <c r="A7595" i="52"/>
  <c r="A7596" i="52"/>
  <c r="A7597" i="52"/>
  <c r="T7567" i="52"/>
  <c r="U7567" i="52"/>
  <c r="V7567" i="52"/>
  <c r="T7568" i="52"/>
  <c r="U7568" i="52"/>
  <c r="V7568" i="52"/>
  <c r="T7569" i="52"/>
  <c r="U7569" i="52"/>
  <c r="V7569" i="52"/>
  <c r="T7570" i="52"/>
  <c r="U7570" i="52"/>
  <c r="V7570" i="52"/>
  <c r="T7571" i="52"/>
  <c r="U7571" i="52"/>
  <c r="V7571" i="52"/>
  <c r="T7572" i="52"/>
  <c r="U7572" i="52"/>
  <c r="V7572" i="52"/>
  <c r="T7573" i="52"/>
  <c r="U7573" i="52"/>
  <c r="V7573" i="52"/>
  <c r="T7574" i="52"/>
  <c r="U7574" i="52"/>
  <c r="V7574" i="52"/>
  <c r="T7575" i="52"/>
  <c r="U7575" i="52"/>
  <c r="V7575" i="52"/>
  <c r="P7552" i="52"/>
  <c r="T7552" i="52"/>
  <c r="U7552" i="52"/>
  <c r="V7552" i="52"/>
  <c r="P7553" i="52"/>
  <c r="T7553" i="52"/>
  <c r="U7553" i="52"/>
  <c r="V7553" i="52"/>
  <c r="P7554" i="52"/>
  <c r="T7554" i="52"/>
  <c r="U7554" i="52"/>
  <c r="V7554" i="52"/>
  <c r="P7555" i="52"/>
  <c r="T7555" i="52"/>
  <c r="U7555" i="52"/>
  <c r="V7555" i="52"/>
  <c r="P7556" i="52"/>
  <c r="T7556" i="52"/>
  <c r="U7556" i="52"/>
  <c r="V7556" i="52"/>
  <c r="P7557" i="52"/>
  <c r="T7557" i="52"/>
  <c r="U7557" i="52"/>
  <c r="V7557" i="52"/>
  <c r="P7558" i="52"/>
  <c r="T7558" i="52"/>
  <c r="U7558" i="52"/>
  <c r="V7558" i="52"/>
  <c r="P7559" i="52"/>
  <c r="T7559" i="52"/>
  <c r="U7559" i="52"/>
  <c r="V7559" i="52"/>
  <c r="P7560" i="52"/>
  <c r="T7560" i="52"/>
  <c r="U7560" i="52"/>
  <c r="V7560" i="52"/>
  <c r="P7561" i="52"/>
  <c r="T7561" i="52"/>
  <c r="U7561" i="52"/>
  <c r="V7561" i="52"/>
  <c r="P7562" i="52"/>
  <c r="T7562" i="52"/>
  <c r="U7562" i="52"/>
  <c r="V7562" i="52"/>
  <c r="P7563" i="52"/>
  <c r="T7563" i="52"/>
  <c r="U7563" i="52"/>
  <c r="V7563" i="52"/>
  <c r="P7564" i="52"/>
  <c r="T7564" i="52"/>
  <c r="U7564" i="52"/>
  <c r="V7564" i="52"/>
  <c r="P7565" i="52"/>
  <c r="T7565" i="52"/>
  <c r="U7565" i="52"/>
  <c r="V7565" i="52"/>
  <c r="P7566" i="52"/>
  <c r="T7566" i="52"/>
  <c r="U7566" i="52"/>
  <c r="V7566" i="52"/>
  <c r="P7567" i="52"/>
  <c r="P7568" i="52"/>
  <c r="P7569" i="52"/>
  <c r="P7570" i="52"/>
  <c r="P7571" i="52"/>
  <c r="P7572" i="52"/>
  <c r="P7573" i="52"/>
  <c r="P7574" i="52"/>
  <c r="P7803" i="52"/>
  <c r="A7575" i="52"/>
  <c r="A7576" i="52"/>
  <c r="A7577" i="52"/>
  <c r="A7578" i="52"/>
  <c r="A7579" i="52"/>
  <c r="A7803" i="52"/>
  <c r="F342" i="1" l="1"/>
  <c r="CQ50" i="46"/>
  <c r="CP50" i="46"/>
  <c r="BV50" i="46"/>
  <c r="BU50" i="46"/>
  <c r="BA50" i="46"/>
  <c r="AZ50" i="46"/>
  <c r="AF50" i="46"/>
  <c r="AE50" i="46"/>
  <c r="G50" i="46"/>
  <c r="G49" i="46"/>
  <c r="CQ49" i="46"/>
  <c r="CP49" i="46"/>
  <c r="BV49" i="46"/>
  <c r="BU49" i="46"/>
  <c r="BA49" i="46"/>
  <c r="AZ49" i="46"/>
  <c r="AF49" i="46"/>
  <c r="AE49" i="46"/>
  <c r="CQ48" i="46"/>
  <c r="CP48" i="46"/>
  <c r="BV48" i="46"/>
  <c r="BU48" i="46"/>
  <c r="BA48" i="46"/>
  <c r="AZ48" i="46"/>
  <c r="AF48" i="46"/>
  <c r="AE48" i="46"/>
  <c r="G48" i="46"/>
  <c r="CQ47" i="46"/>
  <c r="CP47" i="46"/>
  <c r="BV47" i="46"/>
  <c r="BU47" i="46"/>
  <c r="BA47" i="46"/>
  <c r="AZ47" i="46"/>
  <c r="AF47" i="46"/>
  <c r="AE47" i="46"/>
  <c r="G47" i="46"/>
  <c r="CQ46" i="46"/>
  <c r="CP46" i="46"/>
  <c r="BV46" i="46"/>
  <c r="BU46" i="46"/>
  <c r="BA46" i="46"/>
  <c r="AZ46" i="46"/>
  <c r="AF46" i="46"/>
  <c r="AE46" i="46"/>
  <c r="G46" i="46"/>
  <c r="A196" i="51"/>
  <c r="A197" i="51"/>
  <c r="A198" i="51"/>
  <c r="A199" i="51"/>
  <c r="A200" i="51"/>
  <c r="A201" i="51"/>
  <c r="A193" i="51"/>
  <c r="A194" i="51"/>
  <c r="A195" i="51"/>
  <c r="G42" i="46" l="1"/>
  <c r="CQ42" i="46"/>
  <c r="CP42" i="46"/>
  <c r="BV42" i="46"/>
  <c r="BU42" i="46"/>
  <c r="BA42" i="46"/>
  <c r="AZ42" i="46"/>
  <c r="AF42" i="46"/>
  <c r="AE42" i="46"/>
  <c r="CQ45" i="46"/>
  <c r="CP45" i="46"/>
  <c r="BV45" i="46"/>
  <c r="BU45" i="46"/>
  <c r="BA45" i="46"/>
  <c r="AZ45" i="46"/>
  <c r="AF45" i="46"/>
  <c r="AE45" i="46"/>
  <c r="G45" i="46"/>
  <c r="G264" i="1"/>
  <c r="A7552" i="52" l="1"/>
  <c r="A7560" i="52"/>
  <c r="A7562" i="52"/>
  <c r="A7563" i="52"/>
  <c r="A7564" i="52"/>
  <c r="A7565" i="52"/>
  <c r="A7566" i="52"/>
  <c r="A7554" i="52"/>
  <c r="A7555" i="52"/>
  <c r="A7556" i="52"/>
  <c r="A7557" i="52"/>
  <c r="A7558" i="52"/>
  <c r="A7559" i="52"/>
  <c r="A7561" i="52"/>
  <c r="A7553" i="52"/>
  <c r="G263" i="1"/>
  <c r="V7551" i="52"/>
  <c r="U7551" i="52"/>
  <c r="T7551" i="52"/>
  <c r="P7551" i="52"/>
  <c r="V7550" i="52"/>
  <c r="U7550" i="52"/>
  <c r="T7550" i="52"/>
  <c r="P7550" i="52"/>
  <c r="V7549" i="52"/>
  <c r="U7549" i="52"/>
  <c r="T7549" i="52"/>
  <c r="P7549" i="52"/>
  <c r="V7548" i="52"/>
  <c r="U7548" i="52"/>
  <c r="T7548" i="52"/>
  <c r="P7548" i="52"/>
  <c r="V7547" i="52"/>
  <c r="U7547" i="52"/>
  <c r="T7547" i="52"/>
  <c r="P7547" i="52"/>
  <c r="V7546" i="52"/>
  <c r="U7546" i="52"/>
  <c r="T7546" i="52"/>
  <c r="P7546" i="52"/>
  <c r="V7545" i="52"/>
  <c r="U7545" i="52"/>
  <c r="T7545" i="52"/>
  <c r="P7545" i="52"/>
  <c r="V7544" i="52"/>
  <c r="U7544" i="52"/>
  <c r="T7544" i="52"/>
  <c r="P7544" i="52"/>
  <c r="V7543" i="52"/>
  <c r="U7543" i="52"/>
  <c r="T7543" i="52"/>
  <c r="P7543" i="52"/>
  <c r="V7542" i="52"/>
  <c r="U7542" i="52"/>
  <c r="T7542" i="52"/>
  <c r="P7542" i="52"/>
  <c r="V7541" i="52"/>
  <c r="U7541" i="52"/>
  <c r="T7541" i="52"/>
  <c r="P7541" i="52"/>
  <c r="V7540" i="52"/>
  <c r="U7540" i="52"/>
  <c r="T7540" i="52"/>
  <c r="P7540" i="52"/>
  <c r="P7535" i="52"/>
  <c r="T7535" i="52"/>
  <c r="U7535" i="52"/>
  <c r="V7535" i="52"/>
  <c r="P7536" i="52"/>
  <c r="T7536" i="52"/>
  <c r="U7536" i="52"/>
  <c r="V7536" i="52"/>
  <c r="P7537" i="52"/>
  <c r="T7537" i="52"/>
  <c r="U7537" i="52"/>
  <c r="V7537" i="52"/>
  <c r="P7538" i="52"/>
  <c r="T7538" i="52"/>
  <c r="U7538" i="52"/>
  <c r="V7538" i="52"/>
  <c r="P7539" i="52"/>
  <c r="T7539" i="52"/>
  <c r="U7539" i="52"/>
  <c r="V7539" i="52"/>
  <c r="V7517" i="52"/>
  <c r="U7517" i="52"/>
  <c r="T7517" i="52"/>
  <c r="P7517" i="52"/>
  <c r="V7516" i="52"/>
  <c r="U7516" i="52"/>
  <c r="T7516" i="52"/>
  <c r="P7516" i="52"/>
  <c r="V7515" i="52"/>
  <c r="U7515" i="52"/>
  <c r="T7515" i="52"/>
  <c r="P7515" i="52"/>
  <c r="V7532" i="52"/>
  <c r="U7532" i="52"/>
  <c r="T7532" i="52"/>
  <c r="P7532" i="52"/>
  <c r="V7531" i="52"/>
  <c r="U7531" i="52"/>
  <c r="T7531" i="52"/>
  <c r="P7531" i="52"/>
  <c r="V7530" i="52"/>
  <c r="U7530" i="52"/>
  <c r="T7530" i="52"/>
  <c r="P7530" i="52"/>
  <c r="V7529" i="52"/>
  <c r="U7529" i="52"/>
  <c r="T7529" i="52"/>
  <c r="P7529" i="52"/>
  <c r="V7528" i="52"/>
  <c r="U7528" i="52"/>
  <c r="T7528" i="52"/>
  <c r="P7528" i="52"/>
  <c r="V7527" i="52"/>
  <c r="U7527" i="52"/>
  <c r="T7527" i="52"/>
  <c r="P7527" i="52"/>
  <c r="V7526" i="52"/>
  <c r="U7526" i="52"/>
  <c r="T7526" i="52"/>
  <c r="P7526" i="52"/>
  <c r="P7534" i="52"/>
  <c r="P7525" i="52"/>
  <c r="P7524" i="52"/>
  <c r="P7523" i="52"/>
  <c r="P7522" i="52"/>
  <c r="P7521" i="52"/>
  <c r="P7520" i="52"/>
  <c r="P7519" i="52"/>
  <c r="T7519" i="52"/>
  <c r="U7519" i="52"/>
  <c r="V7519" i="52"/>
  <c r="T7520" i="52"/>
  <c r="U7520" i="52"/>
  <c r="V7520" i="52"/>
  <c r="T7521" i="52"/>
  <c r="U7521" i="52"/>
  <c r="V7521" i="52"/>
  <c r="T7522" i="52"/>
  <c r="U7522" i="52"/>
  <c r="V7522" i="52"/>
  <c r="T7523" i="52"/>
  <c r="U7523" i="52"/>
  <c r="V7523" i="52"/>
  <c r="T7524" i="52"/>
  <c r="U7524" i="52"/>
  <c r="V7524" i="52"/>
  <c r="V7514" i="52"/>
  <c r="U7514" i="52"/>
  <c r="T7514" i="52"/>
  <c r="P7514" i="52"/>
  <c r="V7513" i="52"/>
  <c r="U7513" i="52"/>
  <c r="T7513" i="52"/>
  <c r="P7513" i="52"/>
  <c r="V7512" i="52"/>
  <c r="U7512" i="52"/>
  <c r="T7512" i="52"/>
  <c r="P7512" i="52"/>
  <c r="P7518" i="52"/>
  <c r="T7518" i="52"/>
  <c r="U7518" i="52"/>
  <c r="V7518" i="52"/>
  <c r="T7525" i="52"/>
  <c r="U7525" i="52"/>
  <c r="V7525" i="52"/>
  <c r="T7511" i="52"/>
  <c r="U7511" i="52"/>
  <c r="V7511" i="52"/>
  <c r="P7533" i="52"/>
  <c r="T7533" i="52"/>
  <c r="U7533" i="52"/>
  <c r="V7533" i="52"/>
  <c r="T7534" i="52"/>
  <c r="U7534" i="52"/>
  <c r="V7534" i="52"/>
  <c r="V7488" i="52"/>
  <c r="U7488" i="52"/>
  <c r="T7488" i="52"/>
  <c r="P7488" i="52"/>
  <c r="A7488" i="52"/>
  <c r="V7487" i="52"/>
  <c r="U7487" i="52"/>
  <c r="T7487" i="52"/>
  <c r="P7487" i="52"/>
  <c r="A7487" i="52"/>
  <c r="V7486" i="52"/>
  <c r="U7486" i="52"/>
  <c r="T7486" i="52"/>
  <c r="P7486" i="52"/>
  <c r="A7486" i="52"/>
  <c r="V7485" i="52"/>
  <c r="U7485" i="52"/>
  <c r="T7485" i="52"/>
  <c r="P7485" i="52"/>
  <c r="A7485" i="52"/>
  <c r="V7510" i="52"/>
  <c r="U7510" i="52"/>
  <c r="T7510" i="52"/>
  <c r="P7510" i="52"/>
  <c r="A7510" i="52"/>
  <c r="V7509" i="52"/>
  <c r="U7509" i="52"/>
  <c r="T7509" i="52"/>
  <c r="P7509" i="52"/>
  <c r="A7509" i="52"/>
  <c r="V7508" i="52"/>
  <c r="U7508" i="52"/>
  <c r="T7508" i="52"/>
  <c r="P7508" i="52"/>
  <c r="A7508" i="52"/>
  <c r="V7507" i="52"/>
  <c r="U7507" i="52"/>
  <c r="T7507" i="52"/>
  <c r="P7507" i="52"/>
  <c r="A7507" i="52"/>
  <c r="V7506" i="52"/>
  <c r="U7506" i="52"/>
  <c r="T7506" i="52"/>
  <c r="P7506" i="52"/>
  <c r="A7506" i="52"/>
  <c r="V7505" i="52"/>
  <c r="U7505" i="52"/>
  <c r="T7505" i="52"/>
  <c r="P7505" i="52"/>
  <c r="A7505" i="52"/>
  <c r="V7504" i="52"/>
  <c r="U7504" i="52"/>
  <c r="T7504" i="52"/>
  <c r="P7504" i="52"/>
  <c r="A7504" i="52"/>
  <c r="V7503" i="52"/>
  <c r="U7503" i="52"/>
  <c r="T7503" i="52"/>
  <c r="P7503" i="52"/>
  <c r="A7503" i="52"/>
  <c r="V7502" i="52"/>
  <c r="U7502" i="52"/>
  <c r="T7502" i="52"/>
  <c r="P7502" i="52"/>
  <c r="A7502" i="52"/>
  <c r="A7496" i="52"/>
  <c r="P7496" i="52"/>
  <c r="T7496" i="52"/>
  <c r="U7496" i="52"/>
  <c r="V7496" i="52"/>
  <c r="V7501" i="52"/>
  <c r="U7501" i="52"/>
  <c r="T7501" i="52"/>
  <c r="P7501" i="52"/>
  <c r="A7501" i="52"/>
  <c r="V7500" i="52"/>
  <c r="U7500" i="52"/>
  <c r="T7500" i="52"/>
  <c r="P7500" i="52"/>
  <c r="A7500" i="52"/>
  <c r="V7499" i="52"/>
  <c r="U7499" i="52"/>
  <c r="T7499" i="52"/>
  <c r="P7499" i="52"/>
  <c r="A7499" i="52"/>
  <c r="V7498" i="52"/>
  <c r="U7498" i="52"/>
  <c r="T7498" i="52"/>
  <c r="P7498" i="52"/>
  <c r="A7498" i="52"/>
  <c r="V7497" i="52"/>
  <c r="U7497" i="52"/>
  <c r="T7497" i="52"/>
  <c r="P7497" i="52"/>
  <c r="A7497" i="52"/>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H5" i="40"/>
  <c r="H3" i="40"/>
  <c r="T268" i="1"/>
  <c r="A7495" i="52"/>
  <c r="A7494" i="52"/>
  <c r="A7493" i="52"/>
  <c r="A7492" i="52"/>
  <c r="A7491" i="52"/>
  <c r="A7490" i="52"/>
  <c r="P7490" i="52"/>
  <c r="T7490" i="52"/>
  <c r="U7490" i="52"/>
  <c r="V7490" i="52"/>
  <c r="P7491" i="52"/>
  <c r="T7491" i="52"/>
  <c r="U7491" i="52"/>
  <c r="V7491" i="52"/>
  <c r="P7492" i="52"/>
  <c r="T7492" i="52"/>
  <c r="U7492" i="52"/>
  <c r="V7492" i="52"/>
  <c r="P7493" i="52"/>
  <c r="T7493" i="52"/>
  <c r="U7493" i="52"/>
  <c r="V7493" i="52"/>
  <c r="P7494" i="52"/>
  <c r="T7494" i="52"/>
  <c r="U7494" i="52"/>
  <c r="V7494" i="52"/>
  <c r="P7495" i="52"/>
  <c r="T7495" i="52"/>
  <c r="U7495" i="52"/>
  <c r="V7495" i="52"/>
  <c r="A7484" i="52"/>
  <c r="A7483" i="52"/>
  <c r="A7482" i="52"/>
  <c r="A7481" i="52"/>
  <c r="A7480" i="52"/>
  <c r="P7480" i="52"/>
  <c r="T7480" i="52"/>
  <c r="U7480" i="52"/>
  <c r="V7480" i="52"/>
  <c r="P7481" i="52"/>
  <c r="T7481" i="52"/>
  <c r="U7481" i="52"/>
  <c r="V7481" i="52"/>
  <c r="P7482" i="52"/>
  <c r="T7482" i="52"/>
  <c r="U7482" i="52"/>
  <c r="V7482" i="52"/>
  <c r="P7483" i="52"/>
  <c r="T7483" i="52"/>
  <c r="U7483" i="52"/>
  <c r="V7483" i="52"/>
  <c r="P7484" i="52"/>
  <c r="T7484" i="52"/>
  <c r="U7484" i="52"/>
  <c r="V7484" i="52"/>
  <c r="A7478" i="52"/>
  <c r="A7477" i="52"/>
  <c r="A7476" i="52"/>
  <c r="A7475" i="52"/>
  <c r="A7474" i="52"/>
  <c r="A7473" i="52"/>
  <c r="A7472" i="52"/>
  <c r="A7471" i="52"/>
  <c r="A7470" i="52"/>
  <c r="A7469" i="52"/>
  <c r="A7468" i="52"/>
  <c r="A7467" i="52"/>
  <c r="A7466" i="52"/>
  <c r="A7465" i="52"/>
  <c r="A7464" i="52"/>
  <c r="A7463" i="52"/>
  <c r="A7462" i="52"/>
  <c r="A7461" i="52"/>
  <c r="A7460" i="52"/>
  <c r="A7459" i="52"/>
  <c r="A7458" i="52"/>
  <c r="A7457" i="52"/>
  <c r="A7456" i="52"/>
  <c r="A7455" i="52"/>
  <c r="A7454" i="52"/>
  <c r="A7453" i="52"/>
  <c r="A7452" i="52"/>
  <c r="A7451" i="52"/>
  <c r="P7463" i="52"/>
  <c r="T7463" i="52"/>
  <c r="U7463" i="52"/>
  <c r="V7463" i="52"/>
  <c r="P7464" i="52"/>
  <c r="T7464" i="52"/>
  <c r="U7464" i="52"/>
  <c r="V7464" i="52"/>
  <c r="P7465" i="52"/>
  <c r="T7465" i="52"/>
  <c r="U7465" i="52"/>
  <c r="V7465" i="52"/>
  <c r="P7466" i="52"/>
  <c r="T7466" i="52"/>
  <c r="U7466" i="52"/>
  <c r="V7466" i="52"/>
  <c r="P7467" i="52"/>
  <c r="T7467" i="52"/>
  <c r="U7467" i="52"/>
  <c r="V7467" i="52"/>
  <c r="P7468" i="52"/>
  <c r="T7468" i="52"/>
  <c r="U7468" i="52"/>
  <c r="V7468" i="52"/>
  <c r="P7469" i="52"/>
  <c r="T7469" i="52"/>
  <c r="U7469" i="52"/>
  <c r="V7469" i="52"/>
  <c r="P7470" i="52"/>
  <c r="T7470" i="52"/>
  <c r="U7470" i="52"/>
  <c r="V7470" i="52"/>
  <c r="P7471" i="52"/>
  <c r="T7471" i="52"/>
  <c r="U7471" i="52"/>
  <c r="V7471" i="52"/>
  <c r="P7472" i="52"/>
  <c r="T7472" i="52"/>
  <c r="U7472" i="52"/>
  <c r="V7472" i="52"/>
  <c r="P7473" i="52"/>
  <c r="T7473" i="52"/>
  <c r="U7473" i="52"/>
  <c r="V7473" i="52"/>
  <c r="P7474" i="52"/>
  <c r="T7474" i="52"/>
  <c r="U7474" i="52"/>
  <c r="V7474" i="52"/>
  <c r="P7475" i="52"/>
  <c r="T7475" i="52"/>
  <c r="U7475" i="52"/>
  <c r="V7475" i="52"/>
  <c r="P7476" i="52"/>
  <c r="T7476" i="52"/>
  <c r="U7476" i="52"/>
  <c r="V7476" i="52"/>
  <c r="P7477" i="52"/>
  <c r="T7477" i="52"/>
  <c r="U7477" i="52"/>
  <c r="V7477" i="52"/>
  <c r="P7478" i="52"/>
  <c r="T7478" i="52"/>
  <c r="U7478" i="52"/>
  <c r="V7478" i="52"/>
  <c r="P7451" i="52"/>
  <c r="T7451" i="52"/>
  <c r="U7451" i="52"/>
  <c r="V7451" i="52"/>
  <c r="P7452" i="52"/>
  <c r="T7452" i="52"/>
  <c r="U7452" i="52"/>
  <c r="V7452" i="52"/>
  <c r="P7453" i="52"/>
  <c r="T7453" i="52"/>
  <c r="U7453" i="52"/>
  <c r="V7453" i="52"/>
  <c r="P7454" i="52"/>
  <c r="T7454" i="52"/>
  <c r="U7454" i="52"/>
  <c r="V7454" i="52"/>
  <c r="P7455" i="52"/>
  <c r="T7455" i="52"/>
  <c r="U7455" i="52"/>
  <c r="V7455" i="52"/>
  <c r="P7456" i="52"/>
  <c r="T7456" i="52"/>
  <c r="U7456" i="52"/>
  <c r="V7456" i="52"/>
  <c r="P7457" i="52"/>
  <c r="T7457" i="52"/>
  <c r="U7457" i="52"/>
  <c r="V7457" i="52"/>
  <c r="P7458" i="52"/>
  <c r="T7458" i="52"/>
  <c r="U7458" i="52"/>
  <c r="V7458" i="52"/>
  <c r="P7459" i="52"/>
  <c r="T7459" i="52"/>
  <c r="U7459" i="52"/>
  <c r="V7459" i="52"/>
  <c r="P7460" i="52"/>
  <c r="T7460" i="52"/>
  <c r="U7460" i="52"/>
  <c r="V7460" i="52"/>
  <c r="P7461" i="52"/>
  <c r="T7461" i="52"/>
  <c r="U7461" i="52"/>
  <c r="V7461" i="52"/>
  <c r="P7462" i="52"/>
  <c r="T7462" i="52"/>
  <c r="U7462" i="52"/>
  <c r="V7462" i="52"/>
  <c r="A7450" i="52"/>
  <c r="A7449" i="52"/>
  <c r="A7448" i="52"/>
  <c r="A7447" i="52"/>
  <c r="A7446" i="52"/>
  <c r="A7445" i="52"/>
  <c r="A7444" i="52"/>
  <c r="A7443" i="52"/>
  <c r="A7442" i="52"/>
  <c r="A7441" i="52"/>
  <c r="A7440" i="52"/>
  <c r="A7439" i="52"/>
  <c r="A7438" i="52"/>
  <c r="A7437" i="52"/>
  <c r="A7436" i="52"/>
  <c r="P7436" i="52"/>
  <c r="T7436" i="52"/>
  <c r="U7436" i="52"/>
  <c r="V7436" i="52"/>
  <c r="P7437" i="52"/>
  <c r="T7437" i="52"/>
  <c r="U7437" i="52"/>
  <c r="V7437" i="52"/>
  <c r="P7438" i="52"/>
  <c r="T7438" i="52"/>
  <c r="U7438" i="52"/>
  <c r="V7438" i="52"/>
  <c r="P7439" i="52"/>
  <c r="T7439" i="52"/>
  <c r="U7439" i="52"/>
  <c r="V7439" i="52"/>
  <c r="P7440" i="52"/>
  <c r="T7440" i="52"/>
  <c r="U7440" i="52"/>
  <c r="V7440" i="52"/>
  <c r="P7441" i="52"/>
  <c r="T7441" i="52"/>
  <c r="U7441" i="52"/>
  <c r="V7441" i="52"/>
  <c r="P7442" i="52"/>
  <c r="T7442" i="52"/>
  <c r="U7442" i="52"/>
  <c r="V7442" i="52"/>
  <c r="P7443" i="52"/>
  <c r="T7443" i="52"/>
  <c r="U7443" i="52"/>
  <c r="V7443" i="52"/>
  <c r="P7444" i="52"/>
  <c r="T7444" i="52"/>
  <c r="U7444" i="52"/>
  <c r="V7444" i="52"/>
  <c r="P7445" i="52"/>
  <c r="T7445" i="52"/>
  <c r="U7445" i="52"/>
  <c r="V7445" i="52"/>
  <c r="P7446" i="52"/>
  <c r="T7446" i="52"/>
  <c r="U7446" i="52"/>
  <c r="V7446" i="52"/>
  <c r="P7447" i="52"/>
  <c r="T7447" i="52"/>
  <c r="U7447" i="52"/>
  <c r="V7447" i="52"/>
  <c r="P7448" i="52"/>
  <c r="T7448" i="52"/>
  <c r="U7448" i="52"/>
  <c r="V7448" i="52"/>
  <c r="A7434" i="52"/>
  <c r="A7435" i="52"/>
  <c r="A7433" i="52"/>
  <c r="A7432" i="52"/>
  <c r="A7431" i="52"/>
  <c r="A7430" i="52"/>
  <c r="A7429" i="52"/>
  <c r="P7429" i="52"/>
  <c r="T7429" i="52"/>
  <c r="U7429" i="52"/>
  <c r="V7429" i="52"/>
  <c r="P7430" i="52"/>
  <c r="T7430" i="52"/>
  <c r="U7430" i="52"/>
  <c r="V7430" i="52"/>
  <c r="P7431" i="52"/>
  <c r="T7431" i="52"/>
  <c r="U7431" i="52"/>
  <c r="V7431" i="52"/>
  <c r="P7432" i="52"/>
  <c r="T7432" i="52"/>
  <c r="U7432" i="52"/>
  <c r="V7432" i="52"/>
  <c r="P7433" i="52"/>
  <c r="T7433" i="52"/>
  <c r="U7433" i="52"/>
  <c r="V7433" i="52"/>
  <c r="P7434" i="52"/>
  <c r="T7434" i="52"/>
  <c r="U7434" i="52"/>
  <c r="V7434" i="52"/>
  <c r="P7435" i="52"/>
  <c r="T7435" i="52"/>
  <c r="U7435" i="52"/>
  <c r="V7435" i="52"/>
  <c r="P7449" i="52"/>
  <c r="T7449" i="52"/>
  <c r="U7449" i="52"/>
  <c r="V7449" i="52"/>
  <c r="P7450" i="52"/>
  <c r="T7450" i="52"/>
  <c r="U7450" i="52"/>
  <c r="V7450" i="52"/>
  <c r="A7425" i="52"/>
  <c r="P7425" i="52"/>
  <c r="T7425" i="52"/>
  <c r="U7425" i="52"/>
  <c r="V7425" i="52"/>
  <c r="A7424" i="52"/>
  <c r="P7424" i="52"/>
  <c r="T7424" i="52"/>
  <c r="U7424" i="52"/>
  <c r="V7424" i="52"/>
  <c r="A7426" i="52"/>
  <c r="P7426" i="52"/>
  <c r="T7426" i="52"/>
  <c r="U7426" i="52"/>
  <c r="V7426" i="52"/>
  <c r="A7427" i="52"/>
  <c r="P7427" i="52"/>
  <c r="T7427" i="52"/>
  <c r="U7427" i="52"/>
  <c r="V7427" i="52"/>
  <c r="A7428" i="52"/>
  <c r="P7428" i="52"/>
  <c r="T7428" i="52"/>
  <c r="U7428" i="52"/>
  <c r="V7428" i="52"/>
  <c r="A7422" i="52"/>
  <c r="A7423" i="52"/>
  <c r="P7422" i="52"/>
  <c r="T7422" i="52"/>
  <c r="U7422" i="52"/>
  <c r="V7422" i="52"/>
  <c r="P7423" i="52"/>
  <c r="T7423" i="52"/>
  <c r="U7423" i="52"/>
  <c r="V7423" i="52"/>
  <c r="G38" i="46" l="1"/>
  <c r="G37" i="46"/>
  <c r="CQ37" i="46"/>
  <c r="CP37" i="46"/>
  <c r="BV37" i="46"/>
  <c r="BU37" i="46"/>
  <c r="BA37" i="46"/>
  <c r="AZ37" i="46"/>
  <c r="AF37" i="46"/>
  <c r="AE37" i="46"/>
  <c r="CQ38" i="46"/>
  <c r="CP38" i="46"/>
  <c r="BV38" i="46"/>
  <c r="BU38" i="46"/>
  <c r="BA38" i="46"/>
  <c r="AZ38" i="46"/>
  <c r="AF38" i="46"/>
  <c r="AE38" i="46"/>
  <c r="G36" i="46"/>
  <c r="CQ36" i="46"/>
  <c r="CP36" i="46"/>
  <c r="BV36" i="46"/>
  <c r="BU36" i="46"/>
  <c r="BA36" i="46"/>
  <c r="AZ36" i="46"/>
  <c r="AF36" i="46"/>
  <c r="AE36" i="46"/>
  <c r="G29" i="46"/>
  <c r="G28" i="46"/>
  <c r="CQ28" i="46"/>
  <c r="CP28" i="46"/>
  <c r="BV28" i="46"/>
  <c r="BU28" i="46"/>
  <c r="BA28" i="46"/>
  <c r="AZ28" i="46"/>
  <c r="AF28" i="46"/>
  <c r="AE28" i="46"/>
  <c r="CQ29" i="46"/>
  <c r="CP29" i="46"/>
  <c r="BV29" i="46"/>
  <c r="BU29" i="46"/>
  <c r="BA29" i="46"/>
  <c r="AZ29" i="46"/>
  <c r="AF29" i="46"/>
  <c r="AE29" i="46"/>
  <c r="G27" i="46"/>
  <c r="CQ27" i="46"/>
  <c r="CP27" i="46"/>
  <c r="BV27" i="46"/>
  <c r="BU27" i="46"/>
  <c r="BA27" i="46"/>
  <c r="AZ27" i="46"/>
  <c r="AF27" i="46"/>
  <c r="AE27" i="46"/>
  <c r="A7479" i="52"/>
  <c r="P7479" i="52"/>
  <c r="T7479" i="52"/>
  <c r="U7479" i="52"/>
  <c r="V7479" i="52"/>
  <c r="A7489" i="52"/>
  <c r="P7489" i="52"/>
  <c r="T7489" i="52"/>
  <c r="U7489" i="52"/>
  <c r="V7489" i="52"/>
  <c r="A7421" i="52"/>
  <c r="P7421" i="52"/>
  <c r="T7421" i="52"/>
  <c r="U7421" i="52"/>
  <c r="V7421" i="52"/>
  <c r="A113" i="51"/>
  <c r="A124" i="51"/>
  <c r="A7366" i="52"/>
  <c r="P7366" i="52"/>
  <c r="T7366" i="52"/>
  <c r="U7366" i="52"/>
  <c r="V7366" i="52"/>
  <c r="A7367" i="52"/>
  <c r="P7367" i="52"/>
  <c r="T7367" i="52"/>
  <c r="U7367" i="52"/>
  <c r="V7367" i="52"/>
  <c r="A152" i="51" l="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3" i="51"/>
  <c r="A122" i="51"/>
  <c r="A121" i="51"/>
  <c r="A120" i="51"/>
  <c r="A119" i="51"/>
  <c r="A118" i="51"/>
  <c r="A117" i="51"/>
  <c r="A116" i="51"/>
  <c r="A115" i="51"/>
  <c r="A114" i="51"/>
  <c r="J163" i="1" l="1"/>
  <c r="L163" i="1"/>
  <c r="N163" i="1"/>
  <c r="P163" i="1"/>
  <c r="H163" i="1"/>
  <c r="K265" i="1" l="1"/>
  <c r="A7368" i="52"/>
  <c r="A7369" i="52"/>
  <c r="A7370" i="52"/>
  <c r="A7371" i="52"/>
  <c r="A7372" i="52"/>
  <c r="A7373" i="52"/>
  <c r="A7374" i="52"/>
  <c r="A7375" i="52"/>
  <c r="A7376" i="52"/>
  <c r="A7377" i="52"/>
  <c r="A7378" i="52"/>
  <c r="A7379" i="52"/>
  <c r="A7380" i="52"/>
  <c r="A7381" i="52"/>
  <c r="A7382" i="52"/>
  <c r="A7383" i="52"/>
  <c r="A7384" i="52"/>
  <c r="A7385" i="52"/>
  <c r="A7386" i="52"/>
  <c r="A7387" i="52"/>
  <c r="A7388" i="52"/>
  <c r="A7389" i="52"/>
  <c r="A7390" i="52"/>
  <c r="A7391" i="52"/>
  <c r="A7392" i="52"/>
  <c r="A7393" i="52"/>
  <c r="A7394" i="52"/>
  <c r="A7395" i="52"/>
  <c r="A7396" i="52"/>
  <c r="A7397" i="52"/>
  <c r="A7398" i="52"/>
  <c r="P7368" i="52"/>
  <c r="P7369" i="52"/>
  <c r="P7370" i="52"/>
  <c r="P7371" i="52"/>
  <c r="P7372" i="52"/>
  <c r="P7373" i="52"/>
  <c r="P7374" i="52"/>
  <c r="P7375" i="52"/>
  <c r="P7376" i="52"/>
  <c r="P7377" i="52"/>
  <c r="P7378" i="52"/>
  <c r="P7379" i="52"/>
  <c r="P7380" i="52"/>
  <c r="P7381" i="52"/>
  <c r="P7382" i="52"/>
  <c r="P7383" i="52"/>
  <c r="P7384" i="52"/>
  <c r="P7385" i="52"/>
  <c r="P7386" i="52"/>
  <c r="P7387" i="52"/>
  <c r="P7388" i="52"/>
  <c r="P7389" i="52"/>
  <c r="P7390" i="52"/>
  <c r="P7391" i="52"/>
  <c r="P7392" i="52"/>
  <c r="P7393" i="52"/>
  <c r="P7394" i="52"/>
  <c r="P7395" i="52"/>
  <c r="P7396" i="52"/>
  <c r="P7397" i="52"/>
  <c r="P7398" i="52"/>
  <c r="T7368" i="52"/>
  <c r="T7369" i="52"/>
  <c r="T7370" i="52"/>
  <c r="T7371" i="52"/>
  <c r="T7372" i="52"/>
  <c r="T7373" i="52"/>
  <c r="T7374" i="52"/>
  <c r="T7375" i="52"/>
  <c r="T7376" i="52"/>
  <c r="T7377" i="52"/>
  <c r="T7378" i="52"/>
  <c r="T7379" i="52"/>
  <c r="T7380" i="52"/>
  <c r="T7381" i="52"/>
  <c r="T7382" i="52"/>
  <c r="T7383" i="52"/>
  <c r="T7384" i="52"/>
  <c r="T7385" i="52"/>
  <c r="T7386" i="52"/>
  <c r="T7387" i="52"/>
  <c r="T7388" i="52"/>
  <c r="T7389" i="52"/>
  <c r="T7390" i="52"/>
  <c r="T7391" i="52"/>
  <c r="T7392" i="52"/>
  <c r="T7393" i="52"/>
  <c r="T7394" i="52"/>
  <c r="T7395" i="52"/>
  <c r="T7396" i="52"/>
  <c r="T7397" i="52"/>
  <c r="T7398" i="52"/>
  <c r="U7368" i="52"/>
  <c r="U7369" i="52"/>
  <c r="U7370" i="52"/>
  <c r="U7371" i="52"/>
  <c r="U7372" i="52"/>
  <c r="U7373" i="52"/>
  <c r="U7374" i="52"/>
  <c r="U7375" i="52"/>
  <c r="U7376" i="52"/>
  <c r="U7377" i="52"/>
  <c r="U7378" i="52"/>
  <c r="U7379" i="52"/>
  <c r="U7380" i="52"/>
  <c r="U7381" i="52"/>
  <c r="U7382" i="52"/>
  <c r="U7383" i="52"/>
  <c r="U7384" i="52"/>
  <c r="U7385" i="52"/>
  <c r="U7386" i="52"/>
  <c r="U7387" i="52"/>
  <c r="U7388" i="52"/>
  <c r="U7389" i="52"/>
  <c r="U7390" i="52"/>
  <c r="U7391" i="52"/>
  <c r="U7392" i="52"/>
  <c r="U7393" i="52"/>
  <c r="U7394" i="52"/>
  <c r="U7395" i="52"/>
  <c r="U7396" i="52"/>
  <c r="U7397" i="52"/>
  <c r="U7398" i="52"/>
  <c r="V7368" i="52"/>
  <c r="V7369" i="52"/>
  <c r="V7370" i="52"/>
  <c r="V7371" i="52"/>
  <c r="V7372" i="52"/>
  <c r="V7373" i="52"/>
  <c r="V7374" i="52"/>
  <c r="V7375" i="52"/>
  <c r="V7376" i="52"/>
  <c r="V7377" i="52"/>
  <c r="V7378" i="52"/>
  <c r="V7379" i="52"/>
  <c r="V7380" i="52"/>
  <c r="V7381" i="52"/>
  <c r="V7382" i="52"/>
  <c r="V7383" i="52"/>
  <c r="V7384" i="52"/>
  <c r="V7385" i="52"/>
  <c r="V7386" i="52"/>
  <c r="V7387" i="52"/>
  <c r="V7388" i="52"/>
  <c r="V7389" i="52"/>
  <c r="V7390" i="52"/>
  <c r="V7391" i="52"/>
  <c r="V7392" i="52"/>
  <c r="V7393" i="52"/>
  <c r="V7394" i="52"/>
  <c r="V7395" i="52"/>
  <c r="V7396" i="52"/>
  <c r="V7397" i="52"/>
  <c r="V7398" i="52"/>
  <c r="A7399" i="52"/>
  <c r="A7400" i="52"/>
  <c r="A7401" i="52"/>
  <c r="A7402" i="52"/>
  <c r="A7403" i="52"/>
  <c r="A7404" i="52"/>
  <c r="A7405" i="52"/>
  <c r="A7406" i="52"/>
  <c r="A7407" i="52"/>
  <c r="A7408" i="52"/>
  <c r="A7409" i="52"/>
  <c r="A7410" i="52"/>
  <c r="A7411" i="52"/>
  <c r="A7412" i="52"/>
  <c r="A7413" i="52"/>
  <c r="A7414" i="52"/>
  <c r="P7399" i="52"/>
  <c r="P7400" i="52"/>
  <c r="P7401" i="52"/>
  <c r="P7402" i="52"/>
  <c r="P7403" i="52"/>
  <c r="P7404" i="52"/>
  <c r="P7405" i="52"/>
  <c r="P7406" i="52"/>
  <c r="P7407" i="52"/>
  <c r="P7408" i="52"/>
  <c r="P7409" i="52"/>
  <c r="P7410" i="52"/>
  <c r="P7411" i="52"/>
  <c r="P7412" i="52"/>
  <c r="P7413" i="52"/>
  <c r="P7414" i="52"/>
  <c r="T7399" i="52"/>
  <c r="T7400" i="52"/>
  <c r="T7401" i="52"/>
  <c r="T7402" i="52"/>
  <c r="T7403" i="52"/>
  <c r="T7404" i="52"/>
  <c r="T7405" i="52"/>
  <c r="T7406" i="52"/>
  <c r="T7407" i="52"/>
  <c r="T7408" i="52"/>
  <c r="T7409" i="52"/>
  <c r="T7410" i="52"/>
  <c r="T7411" i="52"/>
  <c r="T7412" i="52"/>
  <c r="T7413" i="52"/>
  <c r="T7414" i="52"/>
  <c r="U7399" i="52"/>
  <c r="U7400" i="52"/>
  <c r="U7401" i="52"/>
  <c r="U7402" i="52"/>
  <c r="U7403" i="52"/>
  <c r="U7404" i="52"/>
  <c r="U7405" i="52"/>
  <c r="U7406" i="52"/>
  <c r="U7407" i="52"/>
  <c r="U7408" i="52"/>
  <c r="U7409" i="52"/>
  <c r="U7410" i="52"/>
  <c r="U7411" i="52"/>
  <c r="U7412" i="52"/>
  <c r="U7413" i="52"/>
  <c r="U7414" i="52"/>
  <c r="V7399" i="52"/>
  <c r="V7400" i="52"/>
  <c r="V7401" i="52"/>
  <c r="V7402" i="52"/>
  <c r="V7403" i="52"/>
  <c r="V7404" i="52"/>
  <c r="V7405" i="52"/>
  <c r="V7406" i="52"/>
  <c r="V7407" i="52"/>
  <c r="V7408" i="52"/>
  <c r="V7409" i="52"/>
  <c r="V7410" i="52"/>
  <c r="V7411" i="52"/>
  <c r="V7412" i="52"/>
  <c r="V7413" i="52"/>
  <c r="V7414" i="52"/>
  <c r="A7415" i="52"/>
  <c r="A7416" i="52"/>
  <c r="A7417" i="52"/>
  <c r="A7418" i="52"/>
  <c r="A7419" i="52"/>
  <c r="A7420" i="52"/>
  <c r="P7415" i="52"/>
  <c r="P7416" i="52"/>
  <c r="P7417" i="52"/>
  <c r="P7418" i="52"/>
  <c r="P7419" i="52"/>
  <c r="P7420" i="52"/>
  <c r="T7415" i="52"/>
  <c r="T7416" i="52"/>
  <c r="T7417" i="52"/>
  <c r="T7418" i="52"/>
  <c r="T7419" i="52"/>
  <c r="T7420" i="52"/>
  <c r="U7415" i="52"/>
  <c r="U7416" i="52"/>
  <c r="U7417" i="52"/>
  <c r="U7418" i="52"/>
  <c r="U7419" i="52"/>
  <c r="U7420" i="52"/>
  <c r="V7415" i="52"/>
  <c r="V7416" i="52"/>
  <c r="V7417" i="52"/>
  <c r="V7418" i="52"/>
  <c r="V7419" i="52"/>
  <c r="V7420" i="52"/>
  <c r="T122" i="1" l="1"/>
  <c r="H260" i="1"/>
  <c r="V6351" i="52" l="1"/>
  <c r="U6351" i="52"/>
  <c r="T6351" i="52"/>
  <c r="P6351" i="52"/>
  <c r="A6351" i="52"/>
  <c r="V6350" i="52"/>
  <c r="U6350" i="52"/>
  <c r="T6350" i="52"/>
  <c r="P6350" i="52"/>
  <c r="A6350" i="52"/>
  <c r="V6349" i="52"/>
  <c r="U6349" i="52"/>
  <c r="T6349" i="52"/>
  <c r="P6349" i="52"/>
  <c r="A6349" i="52"/>
  <c r="V6348" i="52"/>
  <c r="U6348" i="52"/>
  <c r="T6348" i="52"/>
  <c r="P6348" i="52"/>
  <c r="A6348" i="52"/>
  <c r="V6347" i="52"/>
  <c r="U6347" i="52"/>
  <c r="T6347" i="52"/>
  <c r="P6347" i="52"/>
  <c r="A6347" i="52"/>
  <c r="V6346" i="52"/>
  <c r="U6346" i="52"/>
  <c r="T6346" i="52"/>
  <c r="P6346" i="52"/>
  <c r="A6346" i="52"/>
  <c r="V6345" i="52"/>
  <c r="U6345" i="52"/>
  <c r="T6345" i="52"/>
  <c r="P6345" i="52"/>
  <c r="A6345" i="52"/>
  <c r="V6344" i="52"/>
  <c r="U6344" i="52"/>
  <c r="T6344" i="52"/>
  <c r="P6344" i="52"/>
  <c r="A6344" i="52"/>
  <c r="V6343" i="52"/>
  <c r="U6343" i="52"/>
  <c r="T6343" i="52"/>
  <c r="P6343" i="52"/>
  <c r="A6343" i="52"/>
  <c r="V6342" i="52"/>
  <c r="U6342" i="52"/>
  <c r="T6342" i="52"/>
  <c r="P6342" i="52"/>
  <c r="A6342" i="52"/>
  <c r="V6341" i="52"/>
  <c r="U6341" i="52"/>
  <c r="T6341" i="52"/>
  <c r="P6341" i="52"/>
  <c r="A6341" i="52"/>
  <c r="V6340" i="52"/>
  <c r="U6340" i="52"/>
  <c r="T6340" i="52"/>
  <c r="P6340" i="52"/>
  <c r="A6340" i="52"/>
  <c r="V6339" i="52"/>
  <c r="U6339" i="52"/>
  <c r="T6339" i="52"/>
  <c r="P6339" i="52"/>
  <c r="A6339" i="52"/>
  <c r="V6338" i="52"/>
  <c r="U6338" i="52"/>
  <c r="T6338" i="52"/>
  <c r="P6338" i="52"/>
  <c r="A6338" i="52"/>
  <c r="V6337" i="52"/>
  <c r="U6337" i="52"/>
  <c r="T6337" i="52"/>
  <c r="P6337" i="52"/>
  <c r="A6337" i="52"/>
  <c r="V6336" i="52"/>
  <c r="U6336" i="52"/>
  <c r="T6336" i="52"/>
  <c r="P6336" i="52"/>
  <c r="A6336" i="52"/>
  <c r="V6335" i="52"/>
  <c r="U6335" i="52"/>
  <c r="T6335" i="52"/>
  <c r="P6335" i="52"/>
  <c r="A6335" i="52"/>
  <c r="V6334" i="52"/>
  <c r="U6334" i="52"/>
  <c r="T6334" i="52"/>
  <c r="P6334" i="52"/>
  <c r="A6334" i="52"/>
  <c r="V6333" i="52"/>
  <c r="U6333" i="52"/>
  <c r="T6333" i="52"/>
  <c r="P6333" i="52"/>
  <c r="A6333" i="52"/>
  <c r="V6332" i="52"/>
  <c r="U6332" i="52"/>
  <c r="T6332" i="52"/>
  <c r="P6332" i="52"/>
  <c r="A6332" i="52"/>
  <c r="V6331" i="52"/>
  <c r="U6331" i="52"/>
  <c r="T6331" i="52"/>
  <c r="P6331" i="52"/>
  <c r="A6331" i="52"/>
  <c r="V6330" i="52"/>
  <c r="U6330" i="52"/>
  <c r="T6330" i="52"/>
  <c r="P6330" i="52"/>
  <c r="A6330" i="52"/>
  <c r="V6329" i="52"/>
  <c r="U6329" i="52"/>
  <c r="T6329" i="52"/>
  <c r="P6329" i="52"/>
  <c r="A6329" i="52"/>
  <c r="V6328" i="52"/>
  <c r="U6328" i="52"/>
  <c r="T6328" i="52"/>
  <c r="P6328" i="52"/>
  <c r="A6328" i="52"/>
  <c r="V6327" i="52"/>
  <c r="U6327" i="52"/>
  <c r="T6327" i="52"/>
  <c r="P6327" i="52"/>
  <c r="A6327" i="52"/>
  <c r="V6326" i="52"/>
  <c r="U6326" i="52"/>
  <c r="T6326" i="52"/>
  <c r="P6326" i="52"/>
  <c r="A6326" i="52"/>
  <c r="V6325" i="52"/>
  <c r="U6325" i="52"/>
  <c r="T6325" i="52"/>
  <c r="P6325" i="52"/>
  <c r="A6325" i="52"/>
  <c r="V6324" i="52"/>
  <c r="U6324" i="52"/>
  <c r="T6324" i="52"/>
  <c r="P6324" i="52"/>
  <c r="A6324" i="52"/>
  <c r="V6323" i="52"/>
  <c r="U6323" i="52"/>
  <c r="T6323" i="52"/>
  <c r="P6323" i="52"/>
  <c r="A6323" i="52"/>
  <c r="V6322" i="52"/>
  <c r="U6322" i="52"/>
  <c r="T6322" i="52"/>
  <c r="P6322" i="52"/>
  <c r="A6322" i="52"/>
  <c r="V6321" i="52"/>
  <c r="U6321" i="52"/>
  <c r="T6321" i="52"/>
  <c r="P6321" i="52"/>
  <c r="A6321" i="52"/>
  <c r="V6320" i="52"/>
  <c r="U6320" i="52"/>
  <c r="T6320" i="52"/>
  <c r="P6320" i="52"/>
  <c r="A6320" i="52"/>
  <c r="V6319" i="52"/>
  <c r="U6319" i="52"/>
  <c r="T6319" i="52"/>
  <c r="P6319" i="52"/>
  <c r="A6319" i="52"/>
  <c r="V6318" i="52"/>
  <c r="U6318" i="52"/>
  <c r="T6318" i="52"/>
  <c r="P6318" i="52"/>
  <c r="A6318" i="52"/>
  <c r="V6317" i="52"/>
  <c r="U6317" i="52"/>
  <c r="T6317" i="52"/>
  <c r="P6317" i="52"/>
  <c r="A6317" i="52"/>
  <c r="V6316" i="52"/>
  <c r="U6316" i="52"/>
  <c r="T6316" i="52"/>
  <c r="P6316" i="52"/>
  <c r="A6316" i="52"/>
  <c r="V6315" i="52"/>
  <c r="U6315" i="52"/>
  <c r="T6315" i="52"/>
  <c r="P6315" i="52"/>
  <c r="A6315" i="52"/>
  <c r="V6314" i="52"/>
  <c r="U6314" i="52"/>
  <c r="T6314" i="52"/>
  <c r="P6314" i="52"/>
  <c r="A6314" i="52"/>
  <c r="V6313" i="52"/>
  <c r="U6313" i="52"/>
  <c r="T6313" i="52"/>
  <c r="P6313" i="52"/>
  <c r="A6313" i="52"/>
  <c r="V6312" i="52"/>
  <c r="U6312" i="52"/>
  <c r="T6312" i="52"/>
  <c r="P6312" i="52"/>
  <c r="A6312" i="52"/>
  <c r="U7255" i="52" l="1"/>
  <c r="U7256" i="52"/>
  <c r="U7257" i="52"/>
  <c r="U7258" i="52"/>
  <c r="U7259" i="52"/>
  <c r="U7260" i="52"/>
  <c r="U7261" i="52"/>
  <c r="U7262" i="52"/>
  <c r="U7263" i="52"/>
  <c r="U7264" i="52"/>
  <c r="U7265" i="52"/>
  <c r="U7266" i="52"/>
  <c r="U7267" i="52"/>
  <c r="U7268" i="52"/>
  <c r="U7269" i="52"/>
  <c r="U7270" i="52"/>
  <c r="U7271" i="52"/>
  <c r="U7272" i="52"/>
  <c r="U7273" i="52"/>
  <c r="U7274" i="52"/>
  <c r="U7275" i="52"/>
  <c r="U7276" i="52"/>
  <c r="U7277" i="52"/>
  <c r="U7278" i="52"/>
  <c r="U7279" i="52"/>
  <c r="U7280" i="52"/>
  <c r="U7281" i="52"/>
  <c r="U7282" i="52"/>
  <c r="U7283" i="52"/>
  <c r="U7284" i="52"/>
  <c r="U7285" i="52"/>
  <c r="U7286" i="52"/>
  <c r="U7287" i="52"/>
  <c r="U7288" i="52"/>
  <c r="U7289" i="52"/>
  <c r="U7290" i="52"/>
  <c r="U7291" i="52"/>
  <c r="U7292" i="52"/>
  <c r="U7293" i="52"/>
  <c r="U7294" i="52"/>
  <c r="U7295" i="52"/>
  <c r="U7296" i="52"/>
  <c r="U7297" i="52"/>
  <c r="U7298" i="52"/>
  <c r="U7299" i="52"/>
  <c r="U7300" i="52"/>
  <c r="U7301" i="52"/>
  <c r="U7302" i="52"/>
  <c r="U7303" i="52"/>
  <c r="U7304" i="52"/>
  <c r="U7305" i="52"/>
  <c r="U7306" i="52"/>
  <c r="U7307" i="52"/>
  <c r="U7308" i="52"/>
  <c r="U7309" i="52"/>
  <c r="U7310" i="52"/>
  <c r="U7311" i="52"/>
  <c r="U7312" i="52"/>
  <c r="U7313" i="52"/>
  <c r="U7314" i="52"/>
  <c r="U7315" i="52"/>
  <c r="U7316" i="52"/>
  <c r="U7317" i="52"/>
  <c r="U7318" i="52"/>
  <c r="U7319" i="52"/>
  <c r="U7320" i="52"/>
  <c r="U7321" i="52"/>
  <c r="U7322" i="52"/>
  <c r="U7323" i="52"/>
  <c r="U7324" i="52"/>
  <c r="U7325" i="52"/>
  <c r="U7326" i="52"/>
  <c r="U7327" i="52"/>
  <c r="U7328" i="52"/>
  <c r="U7329" i="52"/>
  <c r="U7330" i="52"/>
  <c r="U7331" i="52"/>
  <c r="U7332" i="52"/>
  <c r="U7333" i="52"/>
  <c r="U7334" i="52"/>
  <c r="U7335" i="52"/>
  <c r="U7336" i="52"/>
  <c r="U7337" i="52"/>
  <c r="U7338" i="52"/>
  <c r="U7339" i="52"/>
  <c r="U7340" i="52"/>
  <c r="U7341" i="52"/>
  <c r="U7342" i="52"/>
  <c r="U7343" i="52"/>
  <c r="U7344" i="52"/>
  <c r="U7345" i="52"/>
  <c r="U7346" i="52"/>
  <c r="U7347" i="52"/>
  <c r="U7348" i="52"/>
  <c r="U7349" i="52"/>
  <c r="U7350" i="52"/>
  <c r="U7351" i="52"/>
  <c r="U7352" i="52"/>
  <c r="U7353" i="52"/>
  <c r="U7354" i="52"/>
  <c r="U7355" i="52"/>
  <c r="U7356" i="52"/>
  <c r="U7357" i="52"/>
  <c r="U7358" i="52"/>
  <c r="U7359" i="52"/>
  <c r="U7360" i="52"/>
  <c r="U7361" i="52"/>
  <c r="U7362" i="52"/>
  <c r="U7363" i="52"/>
  <c r="U7364" i="52"/>
  <c r="U7365" i="52"/>
  <c r="T7256" i="52"/>
  <c r="V7256" i="52"/>
  <c r="T7257" i="52"/>
  <c r="V7257" i="52"/>
  <c r="T7258" i="52"/>
  <c r="V7258" i="52"/>
  <c r="T7259" i="52"/>
  <c r="V7259" i="52"/>
  <c r="T7260" i="52"/>
  <c r="V7260" i="52"/>
  <c r="T7261" i="52"/>
  <c r="V7261" i="52"/>
  <c r="T7262" i="52"/>
  <c r="V7262" i="52"/>
  <c r="T7263" i="52"/>
  <c r="V7263" i="52"/>
  <c r="T7264" i="52"/>
  <c r="V7264" i="52"/>
  <c r="T7265" i="52"/>
  <c r="V7265" i="52"/>
  <c r="T7266" i="52"/>
  <c r="V7266" i="52"/>
  <c r="T7267" i="52"/>
  <c r="V7267" i="52"/>
  <c r="T7268" i="52"/>
  <c r="V7268" i="52"/>
  <c r="T7269" i="52"/>
  <c r="V7269" i="52"/>
  <c r="T7270" i="52"/>
  <c r="V7270" i="52"/>
  <c r="T7271" i="52"/>
  <c r="V7271" i="52"/>
  <c r="T7272" i="52"/>
  <c r="V7272" i="52"/>
  <c r="T7273" i="52"/>
  <c r="V7273" i="52"/>
  <c r="T7274" i="52"/>
  <c r="V7274" i="52"/>
  <c r="T7275" i="52"/>
  <c r="V7275" i="52"/>
  <c r="T7276" i="52"/>
  <c r="V7276" i="52"/>
  <c r="T7277" i="52"/>
  <c r="V7277" i="52"/>
  <c r="T7278" i="52"/>
  <c r="V7278" i="52"/>
  <c r="T7279" i="52"/>
  <c r="V7279" i="52"/>
  <c r="T7280" i="52"/>
  <c r="V7280" i="52"/>
  <c r="T7281" i="52"/>
  <c r="V7281" i="52"/>
  <c r="T7282" i="52"/>
  <c r="V7282" i="52"/>
  <c r="T7283" i="52"/>
  <c r="V7283" i="52"/>
  <c r="T7284" i="52"/>
  <c r="V7284" i="52"/>
  <c r="T7285" i="52"/>
  <c r="V7285" i="52"/>
  <c r="T7286" i="52"/>
  <c r="V7286" i="52"/>
  <c r="T7287" i="52"/>
  <c r="V7287" i="52"/>
  <c r="T7288" i="52"/>
  <c r="V7288" i="52"/>
  <c r="T7289" i="52"/>
  <c r="V7289" i="52"/>
  <c r="T7290" i="52"/>
  <c r="V7290" i="52"/>
  <c r="T7291" i="52"/>
  <c r="V7291" i="52"/>
  <c r="T7292" i="52"/>
  <c r="V7292" i="52"/>
  <c r="T7293" i="52"/>
  <c r="V7293" i="52"/>
  <c r="T7294" i="52"/>
  <c r="V7294" i="52"/>
  <c r="T7295" i="52"/>
  <c r="V7295" i="52"/>
  <c r="T7296" i="52"/>
  <c r="V7296" i="52"/>
  <c r="T7297" i="52"/>
  <c r="V7297" i="52"/>
  <c r="T7298" i="52"/>
  <c r="V7298" i="52"/>
  <c r="T7299" i="52"/>
  <c r="V7299" i="52"/>
  <c r="T7300" i="52"/>
  <c r="V7300" i="52"/>
  <c r="T7301" i="52"/>
  <c r="V7301" i="52"/>
  <c r="T7302" i="52"/>
  <c r="V7302" i="52"/>
  <c r="T7303" i="52"/>
  <c r="V7303" i="52"/>
  <c r="T7304" i="52"/>
  <c r="V7304" i="52"/>
  <c r="T7305" i="52"/>
  <c r="V7305" i="52"/>
  <c r="T7306" i="52"/>
  <c r="V7306" i="52"/>
  <c r="T7307" i="52"/>
  <c r="V7307" i="52"/>
  <c r="T7308" i="52"/>
  <c r="V7308" i="52"/>
  <c r="T7309" i="52"/>
  <c r="V7309" i="52"/>
  <c r="T7310" i="52"/>
  <c r="V7310" i="52"/>
  <c r="T7311" i="52"/>
  <c r="V7311" i="52"/>
  <c r="T7312" i="52"/>
  <c r="V7312" i="52"/>
  <c r="T7313" i="52"/>
  <c r="V7313" i="52"/>
  <c r="T7314" i="52"/>
  <c r="V7314" i="52"/>
  <c r="T7315" i="52"/>
  <c r="V7315" i="52"/>
  <c r="T7316" i="52"/>
  <c r="V7316" i="52"/>
  <c r="T7317" i="52"/>
  <c r="V7317" i="52"/>
  <c r="T7318" i="52"/>
  <c r="V7318" i="52"/>
  <c r="T7319" i="52"/>
  <c r="V7319" i="52"/>
  <c r="T7320" i="52"/>
  <c r="V7320" i="52"/>
  <c r="T7321" i="52"/>
  <c r="V7321" i="52"/>
  <c r="T7322" i="52"/>
  <c r="V7322" i="52"/>
  <c r="T7323" i="52"/>
  <c r="V7323" i="52"/>
  <c r="T7324" i="52"/>
  <c r="V7324" i="52"/>
  <c r="T7325" i="52"/>
  <c r="V7325" i="52"/>
  <c r="T7326" i="52"/>
  <c r="V7326" i="52"/>
  <c r="T7327" i="52"/>
  <c r="V7327" i="52"/>
  <c r="T7328" i="52"/>
  <c r="V7328" i="52"/>
  <c r="T7329" i="52"/>
  <c r="V7329" i="52"/>
  <c r="T7330" i="52"/>
  <c r="V7330" i="52"/>
  <c r="T7331" i="52"/>
  <c r="V7331" i="52"/>
  <c r="T7332" i="52"/>
  <c r="V7332" i="52"/>
  <c r="T7333" i="52"/>
  <c r="V7333" i="52"/>
  <c r="T7334" i="52"/>
  <c r="V7334" i="52"/>
  <c r="T7335" i="52"/>
  <c r="V7335" i="52"/>
  <c r="T7336" i="52"/>
  <c r="V7336" i="52"/>
  <c r="T7337" i="52"/>
  <c r="V7337" i="52"/>
  <c r="T7338" i="52"/>
  <c r="V7338" i="52"/>
  <c r="T7339" i="52"/>
  <c r="V7339" i="52"/>
  <c r="T7340" i="52"/>
  <c r="V7340" i="52"/>
  <c r="T7341" i="52"/>
  <c r="V7341" i="52"/>
  <c r="T7342" i="52"/>
  <c r="V7342" i="52"/>
  <c r="T7343" i="52"/>
  <c r="V7343" i="52"/>
  <c r="T7344" i="52"/>
  <c r="V7344" i="52"/>
  <c r="T7345" i="52"/>
  <c r="V7345" i="52"/>
  <c r="T7346" i="52"/>
  <c r="V7346" i="52"/>
  <c r="T7347" i="52"/>
  <c r="V7347" i="52"/>
  <c r="T7348" i="52"/>
  <c r="V7348" i="52"/>
  <c r="T7349" i="52"/>
  <c r="V7349" i="52"/>
  <c r="T7350" i="52"/>
  <c r="V7350" i="52"/>
  <c r="T7351" i="52"/>
  <c r="V7351" i="52"/>
  <c r="T7352" i="52"/>
  <c r="V7352" i="52"/>
  <c r="T7353" i="52"/>
  <c r="V7353" i="52"/>
  <c r="T7354" i="52"/>
  <c r="V7354" i="52"/>
  <c r="T7355" i="52"/>
  <c r="V7355" i="52"/>
  <c r="T7356" i="52"/>
  <c r="V7356" i="52"/>
  <c r="T7357" i="52"/>
  <c r="V7357" i="52"/>
  <c r="T7358" i="52"/>
  <c r="V7358" i="52"/>
  <c r="T7359" i="52"/>
  <c r="V7359" i="52"/>
  <c r="T7360" i="52"/>
  <c r="V7360" i="52"/>
  <c r="T7361" i="52"/>
  <c r="V7361" i="52"/>
  <c r="T7362" i="52"/>
  <c r="V7362" i="52"/>
  <c r="T7363" i="52"/>
  <c r="V7363" i="52"/>
  <c r="T7364" i="52"/>
  <c r="V7364" i="52"/>
  <c r="T7365" i="52"/>
  <c r="V7365" i="52"/>
  <c r="T7255" i="52"/>
  <c r="V7255" i="52"/>
  <c r="P7256" i="52"/>
  <c r="P7257" i="52"/>
  <c r="P7258" i="52"/>
  <c r="P7259" i="52"/>
  <c r="P7260" i="52"/>
  <c r="P7261" i="52"/>
  <c r="P7262" i="52"/>
  <c r="P7263" i="52"/>
  <c r="P7264" i="52"/>
  <c r="P7265" i="52"/>
  <c r="P7266" i="52"/>
  <c r="P7267" i="52"/>
  <c r="P7268" i="52"/>
  <c r="P7269" i="52"/>
  <c r="P7270" i="52"/>
  <c r="P7271" i="52"/>
  <c r="P7272" i="52"/>
  <c r="P7273" i="52"/>
  <c r="P7274" i="52"/>
  <c r="P7275" i="52"/>
  <c r="P7276" i="52"/>
  <c r="P7277" i="52"/>
  <c r="P7278" i="52"/>
  <c r="P7279" i="52"/>
  <c r="P7280" i="52"/>
  <c r="P7281" i="52"/>
  <c r="P7282" i="52"/>
  <c r="P7283" i="52"/>
  <c r="P7284" i="52"/>
  <c r="P7285" i="52"/>
  <c r="P7286" i="52"/>
  <c r="P7287" i="52"/>
  <c r="P7288" i="52"/>
  <c r="P7289" i="52"/>
  <c r="P7290" i="52"/>
  <c r="P7291" i="52"/>
  <c r="P7292" i="52"/>
  <c r="P7293" i="52"/>
  <c r="P7294" i="52"/>
  <c r="P7295" i="52"/>
  <c r="P7296" i="52"/>
  <c r="P7297" i="52"/>
  <c r="P7298" i="52"/>
  <c r="P7299" i="52"/>
  <c r="P7300" i="52"/>
  <c r="P7301" i="52"/>
  <c r="P7302" i="52"/>
  <c r="P7303" i="52"/>
  <c r="P7304" i="52"/>
  <c r="P7305" i="52"/>
  <c r="P7306" i="52"/>
  <c r="P7307" i="52"/>
  <c r="P7308" i="52"/>
  <c r="P7309" i="52"/>
  <c r="P7310" i="52"/>
  <c r="P7311" i="52"/>
  <c r="P7312" i="52"/>
  <c r="P7313" i="52"/>
  <c r="P7314" i="52"/>
  <c r="P7315" i="52"/>
  <c r="P7316" i="52"/>
  <c r="P7317" i="52"/>
  <c r="P7318" i="52"/>
  <c r="P7319" i="52"/>
  <c r="P7320" i="52"/>
  <c r="P7321" i="52"/>
  <c r="P7322" i="52"/>
  <c r="P7323" i="52"/>
  <c r="P7324" i="52"/>
  <c r="P7325" i="52"/>
  <c r="P7326" i="52"/>
  <c r="P7327" i="52"/>
  <c r="P7328" i="52"/>
  <c r="P7329" i="52"/>
  <c r="P7330" i="52"/>
  <c r="P7331" i="52"/>
  <c r="P7332" i="52"/>
  <c r="P7333" i="52"/>
  <c r="P7334" i="52"/>
  <c r="P7335" i="52"/>
  <c r="P7336" i="52"/>
  <c r="P7337" i="52"/>
  <c r="P7338" i="52"/>
  <c r="P7339" i="52"/>
  <c r="P7340" i="52"/>
  <c r="P7341" i="52"/>
  <c r="P7342" i="52"/>
  <c r="P7343" i="52"/>
  <c r="P7344" i="52"/>
  <c r="P7345" i="52"/>
  <c r="P7346" i="52"/>
  <c r="P7347" i="52"/>
  <c r="P7348" i="52"/>
  <c r="P7349" i="52"/>
  <c r="P7350" i="52"/>
  <c r="P7351" i="52"/>
  <c r="P7352" i="52"/>
  <c r="P7353" i="52"/>
  <c r="P7354" i="52"/>
  <c r="P7355" i="52"/>
  <c r="P7356" i="52"/>
  <c r="P7357" i="52"/>
  <c r="P7358" i="52"/>
  <c r="P7359" i="52"/>
  <c r="P7360" i="52"/>
  <c r="P7361" i="52"/>
  <c r="P7362" i="52"/>
  <c r="P7363" i="52"/>
  <c r="P7364" i="52"/>
  <c r="P7365" i="52"/>
  <c r="P7255" i="52"/>
  <c r="A7316" i="52"/>
  <c r="A7317" i="52"/>
  <c r="A7318" i="52"/>
  <c r="A7319" i="52"/>
  <c r="A7320" i="52"/>
  <c r="A7321" i="52"/>
  <c r="A7322" i="52"/>
  <c r="A7323" i="52"/>
  <c r="A7324" i="52"/>
  <c r="A7325" i="52"/>
  <c r="A7326" i="52"/>
  <c r="A7327" i="52"/>
  <c r="A7328" i="52"/>
  <c r="A7329" i="52"/>
  <c r="A7330" i="52"/>
  <c r="A7331" i="52"/>
  <c r="A7332" i="52"/>
  <c r="A7333" i="52"/>
  <c r="A7334" i="52"/>
  <c r="A7335" i="52"/>
  <c r="A7336" i="52"/>
  <c r="A7337" i="52"/>
  <c r="A7338" i="52"/>
  <c r="A7339" i="52"/>
  <c r="A7340" i="52"/>
  <c r="A7341" i="52"/>
  <c r="A7342" i="52"/>
  <c r="A7343" i="52"/>
  <c r="A7344" i="52"/>
  <c r="A7345" i="52"/>
  <c r="A7346" i="52"/>
  <c r="A7347" i="52"/>
  <c r="A7348" i="52"/>
  <c r="A7349" i="52"/>
  <c r="A7350" i="52"/>
  <c r="A7351" i="52"/>
  <c r="A7352" i="52"/>
  <c r="A7353" i="52"/>
  <c r="A7354" i="52"/>
  <c r="A7355" i="52"/>
  <c r="A7356" i="52"/>
  <c r="A7357" i="52"/>
  <c r="A7358" i="52"/>
  <c r="A7359" i="52"/>
  <c r="A7360" i="52"/>
  <c r="A7361" i="52"/>
  <c r="A7362" i="52"/>
  <c r="A7363" i="52"/>
  <c r="A7364" i="52"/>
  <c r="A7365" i="52"/>
  <c r="A7256" i="52"/>
  <c r="A7257" i="52"/>
  <c r="A7258" i="52"/>
  <c r="A7259" i="52"/>
  <c r="A7260" i="52"/>
  <c r="A7261" i="52"/>
  <c r="A7262" i="52"/>
  <c r="A7263" i="52"/>
  <c r="A7264" i="52"/>
  <c r="A7265" i="52"/>
  <c r="A7266" i="52"/>
  <c r="A7267" i="52"/>
  <c r="A7268" i="52"/>
  <c r="A7269" i="52"/>
  <c r="A7270" i="52"/>
  <c r="A7271" i="52"/>
  <c r="A7272" i="52"/>
  <c r="A7273" i="52"/>
  <c r="A7274" i="52"/>
  <c r="A7275" i="52"/>
  <c r="A7276" i="52"/>
  <c r="A7277" i="52"/>
  <c r="A7278" i="52"/>
  <c r="A7279" i="52"/>
  <c r="A7280" i="52"/>
  <c r="A7281" i="52"/>
  <c r="A7282" i="52"/>
  <c r="A7283" i="52"/>
  <c r="A7284" i="52"/>
  <c r="A7285" i="52"/>
  <c r="A7286" i="52"/>
  <c r="A7287" i="52"/>
  <c r="A7288" i="52"/>
  <c r="A7289" i="52"/>
  <c r="A7290" i="52"/>
  <c r="A7291" i="52"/>
  <c r="A7292" i="52"/>
  <c r="A7293" i="52"/>
  <c r="A7294" i="52"/>
  <c r="A7295" i="52"/>
  <c r="A7296" i="52"/>
  <c r="A7297" i="52"/>
  <c r="A7298" i="52"/>
  <c r="A7299" i="52"/>
  <c r="A7300" i="52"/>
  <c r="A7301" i="52"/>
  <c r="A7302" i="52"/>
  <c r="A7303" i="52"/>
  <c r="A7304" i="52"/>
  <c r="A7305" i="52"/>
  <c r="A7306" i="52"/>
  <c r="A7307" i="52"/>
  <c r="A7308" i="52"/>
  <c r="A7309" i="52"/>
  <c r="A7310" i="52"/>
  <c r="A7311" i="52"/>
  <c r="A7312" i="52"/>
  <c r="A7313" i="52"/>
  <c r="A7314" i="52"/>
  <c r="A7315" i="52"/>
  <c r="K262" i="1" l="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C5" i="46" l="1"/>
  <c r="D5" i="46"/>
  <c r="E5" i="46"/>
  <c r="B5" i="46"/>
  <c r="J62" i="1" l="1"/>
  <c r="L62" i="1"/>
  <c r="N62" i="1"/>
  <c r="P62" i="1"/>
  <c r="J63" i="1"/>
  <c r="L63" i="1"/>
  <c r="N63" i="1"/>
  <c r="P63" i="1"/>
  <c r="H63" i="1"/>
  <c r="H62" i="1"/>
  <c r="T61" i="1" l="1"/>
  <c r="A7255" i="52"/>
  <c r="T253" i="1" l="1"/>
  <c r="L256" i="1"/>
  <c r="T252" i="1" s="1"/>
  <c r="J106" i="1"/>
  <c r="L106" i="1"/>
  <c r="N106" i="1"/>
  <c r="P106" i="1"/>
  <c r="H106" i="1"/>
  <c r="J86" i="1"/>
  <c r="L86" i="1"/>
  <c r="N86" i="1"/>
  <c r="P86" i="1"/>
  <c r="H86" i="1"/>
  <c r="J72" i="1"/>
  <c r="L72" i="1"/>
  <c r="N72" i="1"/>
  <c r="P72" i="1"/>
  <c r="H72" i="1"/>
  <c r="T43" i="1"/>
  <c r="B24" i="57" l="1"/>
  <c r="B23" i="57"/>
  <c r="CQ14" i="46" l="1"/>
  <c r="CQ15" i="46"/>
  <c r="CQ16" i="46"/>
  <c r="CQ17" i="46"/>
  <c r="CQ18" i="46"/>
  <c r="CQ19" i="46"/>
  <c r="CQ20" i="46"/>
  <c r="CQ21" i="46"/>
  <c r="CQ22" i="46"/>
  <c r="CQ23" i="46"/>
  <c r="CQ24" i="46"/>
  <c r="CQ25" i="46"/>
  <c r="CQ26" i="46"/>
  <c r="CQ30" i="46"/>
  <c r="CQ31" i="46"/>
  <c r="CQ32" i="46"/>
  <c r="CQ33" i="46"/>
  <c r="CQ34" i="46"/>
  <c r="CQ35" i="46"/>
  <c r="CQ51" i="46"/>
  <c r="CQ52" i="46"/>
  <c r="CQ53" i="46"/>
  <c r="CQ54" i="46"/>
  <c r="CQ55" i="46"/>
  <c r="CQ56" i="46"/>
  <c r="CQ57" i="46"/>
  <c r="CQ58" i="46"/>
  <c r="CQ59" i="46"/>
  <c r="CQ60" i="46"/>
  <c r="CQ61" i="46"/>
  <c r="CQ62" i="46"/>
  <c r="CQ63" i="46"/>
  <c r="CQ64" i="46"/>
  <c r="CQ65" i="46"/>
  <c r="CQ66" i="46"/>
  <c r="CQ67" i="46"/>
  <c r="CQ68" i="46"/>
  <c r="CQ69" i="46"/>
  <c r="CQ70" i="46"/>
  <c r="CQ71" i="46"/>
  <c r="CQ72" i="46"/>
  <c r="CQ73" i="46"/>
  <c r="CQ74" i="46"/>
  <c r="CQ75" i="46"/>
  <c r="CQ76" i="46"/>
  <c r="CQ77" i="46"/>
  <c r="CQ78" i="46"/>
  <c r="CQ79" i="46"/>
  <c r="CQ80" i="46"/>
  <c r="CQ81" i="46"/>
  <c r="CQ82" i="46"/>
  <c r="CQ83" i="46"/>
  <c r="CQ84" i="46"/>
  <c r="CQ85" i="46"/>
  <c r="CQ86" i="46"/>
  <c r="CQ87" i="46"/>
  <c r="CQ88" i="46"/>
  <c r="CQ89" i="46"/>
  <c r="CQ90" i="46"/>
  <c r="CQ91" i="46"/>
  <c r="CQ92" i="46"/>
  <c r="CQ93" i="46"/>
  <c r="CQ94" i="46"/>
  <c r="CQ95" i="46"/>
  <c r="CQ96" i="46"/>
  <c r="CQ97" i="46"/>
  <c r="CQ98" i="46"/>
  <c r="CQ99" i="46"/>
  <c r="CQ100" i="46"/>
  <c r="CQ101" i="46"/>
  <c r="CQ102" i="46"/>
  <c r="CQ103" i="46"/>
  <c r="CQ104" i="46"/>
  <c r="CQ105" i="46"/>
  <c r="CQ106" i="46"/>
  <c r="CQ107" i="46"/>
  <c r="CQ108" i="46"/>
  <c r="CQ109" i="46"/>
  <c r="CQ110" i="46"/>
  <c r="CQ111" i="46"/>
  <c r="CQ112" i="46"/>
  <c r="CQ113" i="46"/>
  <c r="CQ114" i="46"/>
  <c r="CQ115" i="46"/>
  <c r="CQ116" i="46"/>
  <c r="CQ117" i="46"/>
  <c r="CQ118" i="46"/>
  <c r="CQ119" i="46"/>
  <c r="CQ120" i="46"/>
  <c r="CQ121" i="46"/>
  <c r="CQ122" i="46"/>
  <c r="CQ123" i="46"/>
  <c r="CQ124" i="46"/>
  <c r="CQ125" i="46"/>
  <c r="CQ126" i="46"/>
  <c r="CQ127" i="46"/>
  <c r="CQ128" i="46"/>
  <c r="CQ129" i="46"/>
  <c r="CQ130" i="46"/>
  <c r="CQ131" i="46"/>
  <c r="CQ132" i="46"/>
  <c r="CQ133" i="46"/>
  <c r="CQ134" i="46"/>
  <c r="CQ135" i="46"/>
  <c r="CQ136" i="46"/>
  <c r="CQ137" i="46"/>
  <c r="CQ138" i="46"/>
  <c r="CQ139" i="46"/>
  <c r="CQ140" i="46"/>
  <c r="CQ141" i="46"/>
  <c r="CQ142" i="46"/>
  <c r="CQ143" i="46"/>
  <c r="CQ144" i="46"/>
  <c r="CQ145" i="46"/>
  <c r="CQ146" i="46"/>
  <c r="CQ147" i="46"/>
  <c r="CQ148" i="46"/>
  <c r="CQ149" i="46"/>
  <c r="CQ150" i="46"/>
  <c r="CQ151" i="46"/>
  <c r="CQ152" i="46"/>
  <c r="CQ153" i="46"/>
  <c r="CQ154" i="46"/>
  <c r="CQ155" i="46"/>
  <c r="CQ156" i="46"/>
  <c r="CQ157" i="46"/>
  <c r="CQ158" i="46"/>
  <c r="CQ159" i="46"/>
  <c r="CQ160" i="46"/>
  <c r="CQ161" i="46"/>
  <c r="CQ162" i="46"/>
  <c r="CQ163" i="46"/>
  <c r="CQ164" i="46"/>
  <c r="CQ165" i="46"/>
  <c r="CQ166" i="46"/>
  <c r="CQ167" i="46"/>
  <c r="CQ168" i="46"/>
  <c r="CQ169" i="46"/>
  <c r="CQ170" i="46"/>
  <c r="CQ171" i="46"/>
  <c r="CQ172" i="46"/>
  <c r="CQ173" i="46"/>
  <c r="CQ174" i="46"/>
  <c r="CQ175" i="46"/>
  <c r="CQ176" i="46"/>
  <c r="CQ177" i="46"/>
  <c r="CQ178" i="46"/>
  <c r="CQ179" i="46"/>
  <c r="CQ180" i="46"/>
  <c r="CQ181" i="46"/>
  <c r="CQ182" i="46"/>
  <c r="CQ183" i="46"/>
  <c r="CQ184" i="46"/>
  <c r="CQ185" i="46"/>
  <c r="CQ186" i="46"/>
  <c r="CQ187" i="46"/>
  <c r="CQ188" i="46"/>
  <c r="CQ189" i="46"/>
  <c r="CQ190" i="46"/>
  <c r="CQ191" i="46"/>
  <c r="CQ192" i="46"/>
  <c r="CQ193" i="46"/>
  <c r="CQ194" i="46"/>
  <c r="CQ195" i="46"/>
  <c r="CQ196" i="46"/>
  <c r="CQ197" i="46"/>
  <c r="CQ198" i="46"/>
  <c r="CQ199" i="46"/>
  <c r="CQ200" i="46"/>
  <c r="CQ201" i="46"/>
  <c r="CQ202" i="46"/>
  <c r="CQ203" i="46"/>
  <c r="CQ204" i="46"/>
  <c r="CQ205" i="46"/>
  <c r="CQ206" i="46"/>
  <c r="CQ207" i="46"/>
  <c r="CQ208" i="46"/>
  <c r="CQ209" i="46"/>
  <c r="CQ210" i="46"/>
  <c r="CQ211" i="46"/>
  <c r="CQ212" i="46"/>
  <c r="CQ213" i="46"/>
  <c r="CQ214" i="46"/>
  <c r="CQ215" i="46"/>
  <c r="CQ216" i="46"/>
  <c r="CQ217" i="46"/>
  <c r="CQ218" i="46"/>
  <c r="CQ219" i="46"/>
  <c r="CQ220" i="46"/>
  <c r="CQ221" i="46"/>
  <c r="CQ222" i="46"/>
  <c r="CQ223" i="46"/>
  <c r="CQ224" i="46"/>
  <c r="CQ225" i="46"/>
  <c r="CQ226" i="46"/>
  <c r="CQ227" i="46"/>
  <c r="CQ228" i="46"/>
  <c r="CQ229" i="46"/>
  <c r="CQ230" i="46"/>
  <c r="CQ231" i="46"/>
  <c r="CQ232" i="46"/>
  <c r="CQ233" i="46"/>
  <c r="CQ234" i="46"/>
  <c r="CQ235" i="46"/>
  <c r="CQ236" i="46"/>
  <c r="CQ237" i="46"/>
  <c r="CQ238" i="46"/>
  <c r="CQ239" i="46"/>
  <c r="CQ240" i="46"/>
  <c r="CQ241" i="46"/>
  <c r="CQ242" i="46"/>
  <c r="CQ243" i="46"/>
  <c r="CQ244" i="46"/>
  <c r="CQ245" i="46"/>
  <c r="CQ246" i="46"/>
  <c r="CQ39" i="46"/>
  <c r="CQ40" i="46"/>
  <c r="CQ41" i="46"/>
  <c r="CQ43" i="46"/>
  <c r="CQ44" i="46"/>
  <c r="CQ247" i="46"/>
  <c r="CQ248" i="46"/>
  <c r="CQ249" i="46"/>
  <c r="CQ250" i="46"/>
  <c r="CQ251" i="46"/>
  <c r="CQ252" i="46"/>
  <c r="CQ253" i="46"/>
  <c r="CQ254" i="46"/>
  <c r="CQ255" i="46"/>
  <c r="CQ256" i="46"/>
  <c r="CQ257" i="46"/>
  <c r="CQ258" i="46"/>
  <c r="CQ259" i="46"/>
  <c r="CQ260" i="46"/>
  <c r="CQ261" i="46"/>
  <c r="CQ262" i="46"/>
  <c r="CQ263" i="46"/>
  <c r="CQ264" i="46"/>
  <c r="CQ265" i="46"/>
  <c r="CQ266" i="46"/>
  <c r="CQ267" i="46"/>
  <c r="CQ268" i="46"/>
  <c r="CQ269" i="46"/>
  <c r="CQ270" i="46"/>
  <c r="CQ271" i="46"/>
  <c r="CQ272" i="46"/>
  <c r="CQ273" i="46"/>
  <c r="CQ274" i="46"/>
  <c r="CQ275" i="46"/>
  <c r="CQ276" i="46"/>
  <c r="CQ277" i="46"/>
  <c r="CQ278" i="46"/>
  <c r="CQ279" i="46"/>
  <c r="CQ280" i="46"/>
  <c r="CQ281" i="46"/>
  <c r="CQ282" i="46"/>
  <c r="CQ283" i="46"/>
  <c r="CQ284" i="46"/>
  <c r="CQ285" i="46"/>
  <c r="CQ286" i="46"/>
  <c r="CQ287" i="46"/>
  <c r="CQ288" i="46"/>
  <c r="CQ289" i="46"/>
  <c r="CQ290" i="46"/>
  <c r="CQ291" i="46"/>
  <c r="CQ292" i="46"/>
  <c r="CQ293" i="46"/>
  <c r="CQ294" i="46"/>
  <c r="CQ295" i="46"/>
  <c r="CQ296" i="46"/>
  <c r="CQ297" i="46"/>
  <c r="CQ298" i="46"/>
  <c r="CQ299" i="46"/>
  <c r="CQ300" i="46"/>
  <c r="CQ301" i="46"/>
  <c r="CQ302" i="46"/>
  <c r="CQ303" i="46"/>
  <c r="CQ304" i="46"/>
  <c r="CQ305" i="46"/>
  <c r="CQ306" i="46"/>
  <c r="CQ307" i="46"/>
  <c r="CQ308" i="46"/>
  <c r="CQ309" i="46"/>
  <c r="CQ310" i="46"/>
  <c r="CQ311" i="46"/>
  <c r="CQ312" i="46"/>
  <c r="CQ313" i="46"/>
  <c r="CQ314" i="46"/>
  <c r="CQ315" i="46"/>
  <c r="CQ316" i="46"/>
  <c r="CQ317" i="46"/>
  <c r="CQ318" i="46"/>
  <c r="CQ319" i="46"/>
  <c r="CQ320" i="46"/>
  <c r="CQ321" i="46"/>
  <c r="CQ322" i="46"/>
  <c r="CQ323" i="46"/>
  <c r="CQ324" i="46"/>
  <c r="CQ325" i="46"/>
  <c r="CQ326" i="46"/>
  <c r="CQ327" i="46"/>
  <c r="CQ328" i="46"/>
  <c r="CQ329" i="46"/>
  <c r="CQ330" i="46"/>
  <c r="CQ331" i="46"/>
  <c r="CQ332" i="46"/>
  <c r="CQ333" i="46"/>
  <c r="CQ334" i="46"/>
  <c r="CQ335" i="46"/>
  <c r="CQ336" i="46"/>
  <c r="CQ337" i="46"/>
  <c r="CQ338" i="46"/>
  <c r="CQ339" i="46"/>
  <c r="CQ340" i="46"/>
  <c r="CQ341" i="46"/>
  <c r="CQ342" i="46"/>
  <c r="CQ343" i="46"/>
  <c r="CQ344" i="46"/>
  <c r="CQ345" i="46"/>
  <c r="CQ346" i="46"/>
  <c r="CQ347" i="46"/>
  <c r="CQ13" i="46"/>
  <c r="BV14" i="46"/>
  <c r="BV15" i="46"/>
  <c r="BV16" i="46"/>
  <c r="BV17" i="46"/>
  <c r="BV18" i="46"/>
  <c r="BV19" i="46"/>
  <c r="BV20" i="46"/>
  <c r="BV21" i="46"/>
  <c r="BV22" i="46"/>
  <c r="BV23" i="46"/>
  <c r="BV24" i="46"/>
  <c r="BV25" i="46"/>
  <c r="BV26" i="46"/>
  <c r="BV30" i="46"/>
  <c r="BV31" i="46"/>
  <c r="BV32" i="46"/>
  <c r="BV33" i="46"/>
  <c r="BV34" i="46"/>
  <c r="BV35"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V178" i="46"/>
  <c r="BV179" i="46"/>
  <c r="BV180" i="46"/>
  <c r="BV181" i="46"/>
  <c r="BV182" i="46"/>
  <c r="BV183" i="46"/>
  <c r="BV184" i="46"/>
  <c r="BV185" i="46"/>
  <c r="BV186" i="46"/>
  <c r="BV187" i="46"/>
  <c r="BV188" i="46"/>
  <c r="BV189" i="46"/>
  <c r="BV190" i="46"/>
  <c r="BV191" i="46"/>
  <c r="BV192" i="46"/>
  <c r="BV193" i="46"/>
  <c r="BV194" i="46"/>
  <c r="BV195" i="46"/>
  <c r="BV196" i="46"/>
  <c r="BV197" i="46"/>
  <c r="BV198" i="46"/>
  <c r="BV199" i="46"/>
  <c r="BV200" i="46"/>
  <c r="BV201" i="46"/>
  <c r="BV202" i="46"/>
  <c r="BV203" i="46"/>
  <c r="BV204" i="46"/>
  <c r="BV205" i="46"/>
  <c r="BV206" i="46"/>
  <c r="BV207" i="46"/>
  <c r="BV208" i="46"/>
  <c r="BV209" i="46"/>
  <c r="BV210" i="46"/>
  <c r="BV211" i="46"/>
  <c r="BV212" i="46"/>
  <c r="BV213" i="46"/>
  <c r="BV214" i="46"/>
  <c r="BV215" i="46"/>
  <c r="BV216" i="46"/>
  <c r="BV217" i="46"/>
  <c r="BV218" i="46"/>
  <c r="BV219" i="46"/>
  <c r="BV220" i="46"/>
  <c r="BV221" i="46"/>
  <c r="BV222" i="46"/>
  <c r="BV223" i="46"/>
  <c r="BV224" i="46"/>
  <c r="BV225" i="46"/>
  <c r="BV226" i="46"/>
  <c r="BV227" i="46"/>
  <c r="BV228" i="46"/>
  <c r="BV229" i="46"/>
  <c r="BV230" i="46"/>
  <c r="BV231" i="46"/>
  <c r="BV232" i="46"/>
  <c r="BV233" i="46"/>
  <c r="BV234" i="46"/>
  <c r="BV235" i="46"/>
  <c r="BV236" i="46"/>
  <c r="BV237" i="46"/>
  <c r="BV238" i="46"/>
  <c r="BV239" i="46"/>
  <c r="BV240" i="46"/>
  <c r="BV241" i="46"/>
  <c r="BV242" i="46"/>
  <c r="BV243" i="46"/>
  <c r="BV244" i="46"/>
  <c r="BV245" i="46"/>
  <c r="BV246" i="46"/>
  <c r="BV39" i="46"/>
  <c r="BV40" i="46"/>
  <c r="BV41" i="46"/>
  <c r="BV43" i="46"/>
  <c r="BV44" i="46"/>
  <c r="BV247" i="46"/>
  <c r="BV248" i="46"/>
  <c r="BV249" i="46"/>
  <c r="BV250" i="46"/>
  <c r="BV251" i="46"/>
  <c r="BV252" i="46"/>
  <c r="BV253" i="46"/>
  <c r="BV254" i="46"/>
  <c r="BV255" i="46"/>
  <c r="BV256" i="46"/>
  <c r="BV257" i="46"/>
  <c r="BV258" i="46"/>
  <c r="BV259" i="46"/>
  <c r="BV260" i="46"/>
  <c r="BV261" i="46"/>
  <c r="BV262" i="46"/>
  <c r="BV263" i="46"/>
  <c r="BV264" i="46"/>
  <c r="BV265" i="46"/>
  <c r="BV266" i="46"/>
  <c r="BV267" i="46"/>
  <c r="BV268" i="46"/>
  <c r="BV269" i="46"/>
  <c r="BV270" i="46"/>
  <c r="BV271" i="46"/>
  <c r="BV272" i="46"/>
  <c r="BV273" i="46"/>
  <c r="BV274" i="46"/>
  <c r="BV275" i="46"/>
  <c r="BV276" i="46"/>
  <c r="BV277" i="46"/>
  <c r="BV278" i="46"/>
  <c r="BV279" i="46"/>
  <c r="BV280" i="46"/>
  <c r="BV281" i="46"/>
  <c r="BV282" i="46"/>
  <c r="BV283" i="46"/>
  <c r="BV284" i="46"/>
  <c r="BV285" i="46"/>
  <c r="BV286" i="46"/>
  <c r="BV287" i="46"/>
  <c r="BV288" i="46"/>
  <c r="BV289" i="46"/>
  <c r="BV290" i="46"/>
  <c r="BV291" i="46"/>
  <c r="BV292" i="46"/>
  <c r="BV293" i="46"/>
  <c r="BV294" i="46"/>
  <c r="BV295" i="46"/>
  <c r="BV296" i="46"/>
  <c r="BV297" i="46"/>
  <c r="BV298" i="46"/>
  <c r="BV299" i="46"/>
  <c r="BV300" i="46"/>
  <c r="BV301" i="46"/>
  <c r="BV302" i="46"/>
  <c r="BV303" i="46"/>
  <c r="BV304" i="46"/>
  <c r="BV305" i="46"/>
  <c r="BV306" i="46"/>
  <c r="BV307" i="46"/>
  <c r="BV308" i="46"/>
  <c r="BV309" i="46"/>
  <c r="BV310" i="46"/>
  <c r="BV311" i="46"/>
  <c r="BV312" i="46"/>
  <c r="BV313" i="46"/>
  <c r="BV314" i="46"/>
  <c r="BV315" i="46"/>
  <c r="BV316" i="46"/>
  <c r="BV317" i="46"/>
  <c r="BV318" i="46"/>
  <c r="BV319" i="46"/>
  <c r="BV320" i="46"/>
  <c r="BV321" i="46"/>
  <c r="BV322" i="46"/>
  <c r="BV323" i="46"/>
  <c r="BV324" i="46"/>
  <c r="BV325" i="46"/>
  <c r="BV326" i="46"/>
  <c r="BV327" i="46"/>
  <c r="BV328" i="46"/>
  <c r="BV329" i="46"/>
  <c r="BV330" i="46"/>
  <c r="BV331" i="46"/>
  <c r="BV332" i="46"/>
  <c r="BV333" i="46"/>
  <c r="BV334" i="46"/>
  <c r="BV335" i="46"/>
  <c r="BV336" i="46"/>
  <c r="BV337" i="46"/>
  <c r="BV338" i="46"/>
  <c r="BV339" i="46"/>
  <c r="BV340" i="46"/>
  <c r="BV341" i="46"/>
  <c r="BV342" i="46"/>
  <c r="BV343" i="46"/>
  <c r="BV344" i="46"/>
  <c r="BV345" i="46"/>
  <c r="BV346" i="46"/>
  <c r="BV347" i="46"/>
  <c r="BV13" i="46"/>
  <c r="BA14" i="46"/>
  <c r="BA15" i="46"/>
  <c r="BA16" i="46"/>
  <c r="BA17" i="46"/>
  <c r="BA18" i="46"/>
  <c r="BA19" i="46"/>
  <c r="BA20" i="46"/>
  <c r="BA21" i="46"/>
  <c r="BA22" i="46"/>
  <c r="BA23" i="46"/>
  <c r="BA24" i="46"/>
  <c r="BA25" i="46"/>
  <c r="BA26" i="46"/>
  <c r="BA30" i="46"/>
  <c r="BA31" i="46"/>
  <c r="BA32" i="46"/>
  <c r="BA33" i="46"/>
  <c r="BA34" i="46"/>
  <c r="BA35" i="46"/>
  <c r="BA51" i="46"/>
  <c r="BA52" i="46"/>
  <c r="BA53" i="46"/>
  <c r="BA54" i="46"/>
  <c r="BA55" i="46"/>
  <c r="BA56" i="46"/>
  <c r="BA57" i="46"/>
  <c r="BA58" i="46"/>
  <c r="BA59" i="46"/>
  <c r="BA60" i="46"/>
  <c r="BA61" i="46"/>
  <c r="BA62" i="46"/>
  <c r="BA63" i="46"/>
  <c r="BA64" i="46"/>
  <c r="BA65" i="46"/>
  <c r="BA66" i="46"/>
  <c r="BA67" i="46"/>
  <c r="BA68" i="46"/>
  <c r="BA69" i="46"/>
  <c r="BA70" i="46"/>
  <c r="BA71" i="46"/>
  <c r="BA72" i="46"/>
  <c r="BA73" i="46"/>
  <c r="BA74" i="46"/>
  <c r="BA75" i="46"/>
  <c r="BA76" i="46"/>
  <c r="BA77" i="46"/>
  <c r="BA78" i="46"/>
  <c r="BA79" i="46"/>
  <c r="BA80" i="46"/>
  <c r="BA81" i="46"/>
  <c r="BA82" i="46"/>
  <c r="BA83" i="46"/>
  <c r="BA84" i="46"/>
  <c r="BA85" i="46"/>
  <c r="BA86" i="46"/>
  <c r="BA87" i="46"/>
  <c r="BA88" i="46"/>
  <c r="BA89" i="46"/>
  <c r="BA90" i="46"/>
  <c r="BA91" i="46"/>
  <c r="BA92" i="46"/>
  <c r="BA93" i="46"/>
  <c r="BA94" i="46"/>
  <c r="BA95" i="46"/>
  <c r="BA96" i="46"/>
  <c r="BA97" i="46"/>
  <c r="BA98" i="46"/>
  <c r="BA99" i="46"/>
  <c r="BA100" i="46"/>
  <c r="BA101" i="46"/>
  <c r="BA102" i="46"/>
  <c r="BA103" i="46"/>
  <c r="BA104" i="46"/>
  <c r="BA105" i="46"/>
  <c r="BA106" i="46"/>
  <c r="BA107" i="46"/>
  <c r="BA108" i="46"/>
  <c r="BA109" i="46"/>
  <c r="BA110" i="46"/>
  <c r="BA111" i="46"/>
  <c r="BA112" i="46"/>
  <c r="BA113" i="46"/>
  <c r="BA114" i="46"/>
  <c r="BA115" i="46"/>
  <c r="BA116" i="46"/>
  <c r="BA117" i="46"/>
  <c r="BA118" i="46"/>
  <c r="BA119" i="46"/>
  <c r="BA120" i="46"/>
  <c r="BA121" i="46"/>
  <c r="BA122" i="46"/>
  <c r="BA123" i="46"/>
  <c r="BA124" i="46"/>
  <c r="BA125" i="46"/>
  <c r="BA126" i="46"/>
  <c r="BA127" i="46"/>
  <c r="BA128" i="46"/>
  <c r="BA129" i="46"/>
  <c r="BA130" i="46"/>
  <c r="BA131" i="46"/>
  <c r="BA132" i="46"/>
  <c r="BA133" i="46"/>
  <c r="BA134" i="46"/>
  <c r="BA135" i="46"/>
  <c r="BA136" i="46"/>
  <c r="BA137" i="46"/>
  <c r="BA138" i="46"/>
  <c r="BA139" i="46"/>
  <c r="BA140" i="46"/>
  <c r="BA141" i="46"/>
  <c r="BA142" i="46"/>
  <c r="BA143" i="46"/>
  <c r="BA144" i="46"/>
  <c r="BA145" i="46"/>
  <c r="BA146" i="46"/>
  <c r="BA147" i="46"/>
  <c r="BA148" i="46"/>
  <c r="BA149" i="46"/>
  <c r="BA150" i="46"/>
  <c r="BA151" i="46"/>
  <c r="BA152" i="46"/>
  <c r="BA153" i="46"/>
  <c r="BA154" i="46"/>
  <c r="BA155" i="46"/>
  <c r="BA156" i="46"/>
  <c r="BA157" i="46"/>
  <c r="BA158" i="46"/>
  <c r="BA159" i="46"/>
  <c r="BA160" i="46"/>
  <c r="BA161" i="46"/>
  <c r="BA162" i="46"/>
  <c r="BA163" i="46"/>
  <c r="BA164" i="46"/>
  <c r="BA165" i="46"/>
  <c r="BA166" i="46"/>
  <c r="BA167" i="46"/>
  <c r="BA168" i="46"/>
  <c r="BA169" i="46"/>
  <c r="BA170" i="46"/>
  <c r="BA171" i="46"/>
  <c r="BA172" i="46"/>
  <c r="BA173" i="46"/>
  <c r="BA174" i="46"/>
  <c r="BA175" i="46"/>
  <c r="BA176" i="46"/>
  <c r="BA177" i="46"/>
  <c r="BA178" i="46"/>
  <c r="BA179" i="46"/>
  <c r="BA180" i="46"/>
  <c r="BA181" i="46"/>
  <c r="BA182" i="46"/>
  <c r="BA183" i="46"/>
  <c r="BA184" i="46"/>
  <c r="BA185" i="46"/>
  <c r="BA186" i="46"/>
  <c r="BA187" i="46"/>
  <c r="BA188" i="46"/>
  <c r="BA189" i="46"/>
  <c r="BA190" i="46"/>
  <c r="BA191" i="46"/>
  <c r="BA192" i="46"/>
  <c r="BA193" i="46"/>
  <c r="BA194" i="46"/>
  <c r="BA195" i="46"/>
  <c r="BA196" i="46"/>
  <c r="BA197" i="46"/>
  <c r="BA198" i="46"/>
  <c r="BA199" i="46"/>
  <c r="BA200" i="46"/>
  <c r="BA201" i="46"/>
  <c r="BA202" i="46"/>
  <c r="BA203" i="46"/>
  <c r="BA204" i="46"/>
  <c r="BA205" i="46"/>
  <c r="BA206" i="46"/>
  <c r="BA207" i="46"/>
  <c r="BA208" i="46"/>
  <c r="BA209" i="46"/>
  <c r="BA210" i="46"/>
  <c r="BA211" i="46"/>
  <c r="BA212" i="46"/>
  <c r="BA213" i="46"/>
  <c r="BA214" i="46"/>
  <c r="BA215" i="46"/>
  <c r="BA216" i="46"/>
  <c r="BA217" i="46"/>
  <c r="BA218" i="46"/>
  <c r="BA219" i="46"/>
  <c r="BA220" i="46"/>
  <c r="BA221" i="46"/>
  <c r="BA222" i="46"/>
  <c r="BA223" i="46"/>
  <c r="BA224" i="46"/>
  <c r="BA225" i="46"/>
  <c r="BA226" i="46"/>
  <c r="BA227" i="46"/>
  <c r="BA228" i="46"/>
  <c r="BA229" i="46"/>
  <c r="BA230" i="46"/>
  <c r="BA231" i="46"/>
  <c r="BA232" i="46"/>
  <c r="BA233" i="46"/>
  <c r="BA234" i="46"/>
  <c r="BA235" i="46"/>
  <c r="BA236" i="46"/>
  <c r="BA237" i="46"/>
  <c r="BA238" i="46"/>
  <c r="BA239" i="46"/>
  <c r="BA240" i="46"/>
  <c r="BA241" i="46"/>
  <c r="BA242" i="46"/>
  <c r="BA243" i="46"/>
  <c r="BA244" i="46"/>
  <c r="BA245" i="46"/>
  <c r="BA246" i="46"/>
  <c r="BA39" i="46"/>
  <c r="BA40" i="46"/>
  <c r="BA41" i="46"/>
  <c r="BA43" i="46"/>
  <c r="BA44" i="46"/>
  <c r="BA247" i="46"/>
  <c r="BA248" i="46"/>
  <c r="BA249" i="46"/>
  <c r="BA250" i="46"/>
  <c r="BA251" i="46"/>
  <c r="BA252" i="46"/>
  <c r="BA253" i="46"/>
  <c r="BA254" i="46"/>
  <c r="BA255" i="46"/>
  <c r="BA256" i="46"/>
  <c r="BA257" i="46"/>
  <c r="BA258" i="46"/>
  <c r="BA259" i="46"/>
  <c r="BA260" i="46"/>
  <c r="BA261" i="46"/>
  <c r="BA262" i="46"/>
  <c r="BA263" i="46"/>
  <c r="BA264" i="46"/>
  <c r="BA265" i="46"/>
  <c r="BA266" i="46"/>
  <c r="BA267" i="46"/>
  <c r="BA268" i="46"/>
  <c r="BA269" i="46"/>
  <c r="BA270" i="46"/>
  <c r="BA271" i="46"/>
  <c r="BA272" i="46"/>
  <c r="BA273" i="46"/>
  <c r="BA274" i="46"/>
  <c r="BA275" i="46"/>
  <c r="BA276" i="46"/>
  <c r="BA277" i="46"/>
  <c r="BA278" i="46"/>
  <c r="BA279" i="46"/>
  <c r="BA280" i="46"/>
  <c r="BA281" i="46"/>
  <c r="BA282" i="46"/>
  <c r="BA283" i="46"/>
  <c r="BA284" i="46"/>
  <c r="BA285" i="46"/>
  <c r="BA286" i="46"/>
  <c r="BA287" i="46"/>
  <c r="BA288" i="46"/>
  <c r="BA289" i="46"/>
  <c r="BA290" i="46"/>
  <c r="BA291" i="46"/>
  <c r="BA292" i="46"/>
  <c r="BA293" i="46"/>
  <c r="BA294" i="46"/>
  <c r="BA295" i="46"/>
  <c r="BA296" i="46"/>
  <c r="BA297" i="46"/>
  <c r="BA298" i="46"/>
  <c r="BA299" i="46"/>
  <c r="BA300" i="46"/>
  <c r="BA301" i="46"/>
  <c r="BA302" i="46"/>
  <c r="BA303" i="46"/>
  <c r="BA304" i="46"/>
  <c r="BA305" i="46"/>
  <c r="BA306" i="46"/>
  <c r="BA307" i="46"/>
  <c r="BA308" i="46"/>
  <c r="BA309" i="46"/>
  <c r="BA310" i="46"/>
  <c r="BA311" i="46"/>
  <c r="BA312" i="46"/>
  <c r="BA313" i="46"/>
  <c r="BA314" i="46"/>
  <c r="BA315" i="46"/>
  <c r="BA316" i="46"/>
  <c r="BA317" i="46"/>
  <c r="BA318" i="46"/>
  <c r="BA319" i="46"/>
  <c r="BA320" i="46"/>
  <c r="BA321" i="46"/>
  <c r="BA322" i="46"/>
  <c r="BA323" i="46"/>
  <c r="BA324" i="46"/>
  <c r="BA325" i="46"/>
  <c r="BA326" i="46"/>
  <c r="BA327" i="46"/>
  <c r="BA328" i="46"/>
  <c r="BA329" i="46"/>
  <c r="BA330" i="46"/>
  <c r="BA331" i="46"/>
  <c r="BA332" i="46"/>
  <c r="BA333" i="46"/>
  <c r="BA334" i="46"/>
  <c r="BA335" i="46"/>
  <c r="BA336" i="46"/>
  <c r="BA337" i="46"/>
  <c r="BA338" i="46"/>
  <c r="BA339" i="46"/>
  <c r="BA340" i="46"/>
  <c r="BA341" i="46"/>
  <c r="BA342" i="46"/>
  <c r="BA343" i="46"/>
  <c r="BA344" i="46"/>
  <c r="BA345" i="46"/>
  <c r="BA346" i="46"/>
  <c r="BA347" i="46"/>
  <c r="BA13" i="46"/>
  <c r="AF14" i="46"/>
  <c r="AF15" i="46"/>
  <c r="AF16" i="46"/>
  <c r="AF17" i="46"/>
  <c r="AF18" i="46"/>
  <c r="AF19" i="46"/>
  <c r="AF20" i="46"/>
  <c r="AF21" i="46"/>
  <c r="AF22" i="46"/>
  <c r="AF23" i="46"/>
  <c r="AF24" i="46"/>
  <c r="AF25" i="46"/>
  <c r="AF26" i="46"/>
  <c r="AF30" i="46"/>
  <c r="AF31" i="46"/>
  <c r="AF32" i="46"/>
  <c r="AF33" i="46"/>
  <c r="AF34" i="46"/>
  <c r="AF35" i="46"/>
  <c r="AF51" i="46"/>
  <c r="AF52" i="46"/>
  <c r="AF53" i="46"/>
  <c r="AF54" i="46"/>
  <c r="AF55" i="46"/>
  <c r="AF56" i="46"/>
  <c r="AF57" i="46"/>
  <c r="AF58" i="46"/>
  <c r="AF59" i="46"/>
  <c r="AF60" i="46"/>
  <c r="AF61" i="46"/>
  <c r="AF62" i="46"/>
  <c r="AF63" i="46"/>
  <c r="AF64" i="46"/>
  <c r="AF65" i="46"/>
  <c r="AF66" i="46"/>
  <c r="AF67" i="46"/>
  <c r="AF68" i="46"/>
  <c r="AF69" i="46"/>
  <c r="AF70" i="46"/>
  <c r="AF71" i="46"/>
  <c r="AF72" i="46"/>
  <c r="AF73" i="46"/>
  <c r="AF74" i="46"/>
  <c r="AF75" i="46"/>
  <c r="AF76" i="46"/>
  <c r="AF77" i="46"/>
  <c r="AF78" i="46"/>
  <c r="AF79" i="46"/>
  <c r="AF80" i="46"/>
  <c r="AF81" i="46"/>
  <c r="AF82" i="46"/>
  <c r="AF83" i="46"/>
  <c r="AF84" i="46"/>
  <c r="AF85" i="46"/>
  <c r="AF86" i="46"/>
  <c r="AF87" i="46"/>
  <c r="AF88" i="46"/>
  <c r="AF89" i="46"/>
  <c r="AF90" i="46"/>
  <c r="AF91" i="46"/>
  <c r="AF92" i="46"/>
  <c r="AF93" i="46"/>
  <c r="AF94" i="46"/>
  <c r="AF95" i="46"/>
  <c r="AF96" i="46"/>
  <c r="AF97" i="46"/>
  <c r="AF98" i="46"/>
  <c r="AF99" i="46"/>
  <c r="AF100" i="46"/>
  <c r="AF101" i="46"/>
  <c r="AF102" i="46"/>
  <c r="AF103" i="46"/>
  <c r="AF104" i="46"/>
  <c r="AF105" i="46"/>
  <c r="AF106" i="46"/>
  <c r="AF107" i="46"/>
  <c r="AF108" i="46"/>
  <c r="AF109" i="46"/>
  <c r="AF110" i="46"/>
  <c r="AF111" i="46"/>
  <c r="AF112" i="46"/>
  <c r="AF113" i="46"/>
  <c r="AF114" i="46"/>
  <c r="AF115" i="46"/>
  <c r="AF116" i="46"/>
  <c r="AF117" i="46"/>
  <c r="AF118" i="46"/>
  <c r="AF119" i="46"/>
  <c r="AF120" i="46"/>
  <c r="AF121" i="46"/>
  <c r="AF122" i="46"/>
  <c r="AF123" i="46"/>
  <c r="AF124" i="46"/>
  <c r="AF125" i="46"/>
  <c r="AF126" i="46"/>
  <c r="AF127" i="46"/>
  <c r="AF128" i="46"/>
  <c r="AF129" i="46"/>
  <c r="AF130" i="46"/>
  <c r="AF131" i="46"/>
  <c r="AF132" i="46"/>
  <c r="AF133" i="46"/>
  <c r="AF134" i="46"/>
  <c r="AF135" i="46"/>
  <c r="AF136" i="46"/>
  <c r="AF137" i="46"/>
  <c r="AF138" i="46"/>
  <c r="AF139" i="46"/>
  <c r="AF140" i="46"/>
  <c r="AF141" i="46"/>
  <c r="AF142" i="46"/>
  <c r="AF143" i="46"/>
  <c r="AF144" i="46"/>
  <c r="AF145" i="46"/>
  <c r="AF146" i="46"/>
  <c r="AF147" i="46"/>
  <c r="AF148" i="46"/>
  <c r="AF149" i="46"/>
  <c r="AF150" i="46"/>
  <c r="AF151" i="46"/>
  <c r="AF152" i="46"/>
  <c r="AF153" i="46"/>
  <c r="AF154" i="46"/>
  <c r="AF155" i="46"/>
  <c r="AF156" i="46"/>
  <c r="AF157" i="46"/>
  <c r="AF158" i="46"/>
  <c r="AF159" i="46"/>
  <c r="AF160" i="46"/>
  <c r="AF161" i="46"/>
  <c r="AF162" i="46"/>
  <c r="AF163" i="46"/>
  <c r="AF164" i="46"/>
  <c r="AF165" i="46"/>
  <c r="AF166" i="46"/>
  <c r="AF167" i="46"/>
  <c r="AF168" i="46"/>
  <c r="AF169" i="46"/>
  <c r="AF170" i="46"/>
  <c r="AF171" i="46"/>
  <c r="AF172" i="46"/>
  <c r="AF173" i="46"/>
  <c r="AF174" i="46"/>
  <c r="AF175" i="46"/>
  <c r="AF176" i="46"/>
  <c r="AF177" i="46"/>
  <c r="AF178" i="46"/>
  <c r="AF179" i="46"/>
  <c r="AF180" i="46"/>
  <c r="AF181" i="46"/>
  <c r="AF182" i="46"/>
  <c r="AF183" i="46"/>
  <c r="AF184" i="46"/>
  <c r="AF185" i="46"/>
  <c r="AF186" i="46"/>
  <c r="AF187" i="46"/>
  <c r="AF188" i="46"/>
  <c r="AF189" i="46"/>
  <c r="AF190" i="46"/>
  <c r="AF191" i="46"/>
  <c r="AF192" i="46"/>
  <c r="AF193" i="46"/>
  <c r="AF194" i="46"/>
  <c r="AF195" i="46"/>
  <c r="AF196" i="46"/>
  <c r="AF197" i="46"/>
  <c r="AF198" i="46"/>
  <c r="AF199" i="46"/>
  <c r="AF200" i="46"/>
  <c r="AF201" i="46"/>
  <c r="AF202" i="46"/>
  <c r="AF203" i="46"/>
  <c r="AF204" i="46"/>
  <c r="AF205" i="46"/>
  <c r="AF206" i="46"/>
  <c r="AF207" i="46"/>
  <c r="AF208" i="46"/>
  <c r="AF209" i="46"/>
  <c r="AF210" i="46"/>
  <c r="AF211" i="46"/>
  <c r="AF212" i="46"/>
  <c r="AF213" i="46"/>
  <c r="AF214" i="46"/>
  <c r="AF215" i="46"/>
  <c r="AF216" i="46"/>
  <c r="AF217" i="46"/>
  <c r="AF218" i="46"/>
  <c r="AF219" i="46"/>
  <c r="AF220" i="46"/>
  <c r="AF221" i="46"/>
  <c r="AF222" i="46"/>
  <c r="AF223" i="46"/>
  <c r="AF224" i="46"/>
  <c r="AF225" i="46"/>
  <c r="AF226" i="46"/>
  <c r="AF227" i="46"/>
  <c r="AF228" i="46"/>
  <c r="AF229" i="46"/>
  <c r="AF230" i="46"/>
  <c r="AF231" i="46"/>
  <c r="AF232" i="46"/>
  <c r="AF233" i="46"/>
  <c r="AF234" i="46"/>
  <c r="AF235" i="46"/>
  <c r="AF236" i="46"/>
  <c r="AF237" i="46"/>
  <c r="AF238" i="46"/>
  <c r="AF239" i="46"/>
  <c r="AF240" i="46"/>
  <c r="AF241" i="46"/>
  <c r="AF242" i="46"/>
  <c r="AF243" i="46"/>
  <c r="AF244" i="46"/>
  <c r="AF245" i="46"/>
  <c r="AF246" i="46"/>
  <c r="AF39" i="46"/>
  <c r="AF40" i="46"/>
  <c r="AF41" i="46"/>
  <c r="AF43" i="46"/>
  <c r="AF44" i="46"/>
  <c r="AF247" i="46"/>
  <c r="AF248" i="46"/>
  <c r="AF249" i="46"/>
  <c r="AF250" i="46"/>
  <c r="AF251" i="46"/>
  <c r="AF252" i="46"/>
  <c r="AF253" i="46"/>
  <c r="AF254" i="46"/>
  <c r="AF255" i="46"/>
  <c r="AF256" i="46"/>
  <c r="AF257" i="46"/>
  <c r="AF258" i="46"/>
  <c r="AF259" i="46"/>
  <c r="AF260" i="46"/>
  <c r="AF261" i="46"/>
  <c r="AF262" i="46"/>
  <c r="AF263" i="46"/>
  <c r="AF264" i="46"/>
  <c r="AF265" i="46"/>
  <c r="AF266" i="46"/>
  <c r="AF267" i="46"/>
  <c r="AF268" i="46"/>
  <c r="AF269" i="46"/>
  <c r="AF270" i="46"/>
  <c r="AF271" i="46"/>
  <c r="AF272" i="46"/>
  <c r="AF273" i="46"/>
  <c r="AF274" i="46"/>
  <c r="AF275" i="46"/>
  <c r="AF276" i="46"/>
  <c r="AF277" i="46"/>
  <c r="AF278" i="46"/>
  <c r="AF279" i="46"/>
  <c r="AF280" i="46"/>
  <c r="AF281" i="46"/>
  <c r="AF282" i="46"/>
  <c r="AF283" i="46"/>
  <c r="AF284" i="46"/>
  <c r="AF285" i="46"/>
  <c r="AF286" i="46"/>
  <c r="AF287" i="46"/>
  <c r="AF288" i="46"/>
  <c r="AF289" i="46"/>
  <c r="AF290" i="46"/>
  <c r="AF291" i="46"/>
  <c r="AF292" i="46"/>
  <c r="AF293" i="46"/>
  <c r="AF294" i="46"/>
  <c r="AF295" i="46"/>
  <c r="AF296" i="46"/>
  <c r="AF297" i="46"/>
  <c r="AF298" i="46"/>
  <c r="AF299" i="46"/>
  <c r="AF300" i="46"/>
  <c r="AF301" i="46"/>
  <c r="AF302" i="46"/>
  <c r="AF303" i="46"/>
  <c r="AF304" i="46"/>
  <c r="AF305" i="46"/>
  <c r="AF306" i="46"/>
  <c r="AF307" i="46"/>
  <c r="AF308" i="46"/>
  <c r="AF309" i="46"/>
  <c r="AF310" i="46"/>
  <c r="AF311" i="46"/>
  <c r="AF312" i="46"/>
  <c r="AF313" i="46"/>
  <c r="AF314" i="46"/>
  <c r="AF315" i="46"/>
  <c r="AF316" i="46"/>
  <c r="AF317" i="46"/>
  <c r="AF318" i="46"/>
  <c r="AF319" i="46"/>
  <c r="AF320" i="46"/>
  <c r="AF321" i="46"/>
  <c r="AF322" i="46"/>
  <c r="AF323" i="46"/>
  <c r="AF324" i="46"/>
  <c r="AF325" i="46"/>
  <c r="AF326" i="46"/>
  <c r="AF327" i="46"/>
  <c r="AF328" i="46"/>
  <c r="AF329" i="46"/>
  <c r="AF330" i="46"/>
  <c r="AF331" i="46"/>
  <c r="AF332" i="46"/>
  <c r="AF333" i="46"/>
  <c r="AF334" i="46"/>
  <c r="AF335" i="46"/>
  <c r="AF336" i="46"/>
  <c r="AF337" i="46"/>
  <c r="AF338" i="46"/>
  <c r="AF339" i="46"/>
  <c r="AF340" i="46"/>
  <c r="AF341" i="46"/>
  <c r="AF342" i="46"/>
  <c r="AF343" i="46"/>
  <c r="AF344" i="46"/>
  <c r="AF345" i="46"/>
  <c r="AF346" i="46"/>
  <c r="AF347" i="46"/>
  <c r="AF13" i="46"/>
  <c r="AE305" i="46"/>
  <c r="CP14" i="46"/>
  <c r="CP15" i="46"/>
  <c r="CP16" i="46"/>
  <c r="CP17" i="46"/>
  <c r="CP18" i="46"/>
  <c r="CP19" i="46"/>
  <c r="CP20" i="46"/>
  <c r="CP21" i="46"/>
  <c r="CP22" i="46"/>
  <c r="CP23" i="46"/>
  <c r="CP24" i="46"/>
  <c r="CP25" i="46"/>
  <c r="CP26" i="46"/>
  <c r="CP30" i="46"/>
  <c r="CP31" i="46"/>
  <c r="CP32" i="46"/>
  <c r="CP33" i="46"/>
  <c r="CP34" i="46"/>
  <c r="CP35" i="46"/>
  <c r="CP51" i="46"/>
  <c r="CP52" i="46"/>
  <c r="CP53" i="46"/>
  <c r="CP54" i="46"/>
  <c r="CP55" i="46"/>
  <c r="CP56" i="46"/>
  <c r="CP57" i="46"/>
  <c r="CP58" i="46"/>
  <c r="CP59" i="46"/>
  <c r="CP60" i="46"/>
  <c r="CP61" i="46"/>
  <c r="CP62" i="46"/>
  <c r="CP63" i="46"/>
  <c r="CP64" i="46"/>
  <c r="CP65" i="46"/>
  <c r="CP66" i="46"/>
  <c r="CP67" i="46"/>
  <c r="CP68" i="46"/>
  <c r="CP69" i="46"/>
  <c r="CP70" i="46"/>
  <c r="CP71" i="46"/>
  <c r="CP72" i="46"/>
  <c r="CP73" i="46"/>
  <c r="CP74" i="46"/>
  <c r="CP75" i="46"/>
  <c r="CP76" i="46"/>
  <c r="CP77" i="46"/>
  <c r="CP78" i="46"/>
  <c r="CP79" i="46"/>
  <c r="CP80" i="46"/>
  <c r="CP81" i="46"/>
  <c r="CP82" i="46"/>
  <c r="CP83" i="46"/>
  <c r="CP84" i="46"/>
  <c r="CP85" i="46"/>
  <c r="CP86" i="46"/>
  <c r="CP87" i="46"/>
  <c r="CP88" i="46"/>
  <c r="CP89" i="46"/>
  <c r="CP90" i="46"/>
  <c r="CP91" i="46"/>
  <c r="CP92" i="46"/>
  <c r="CP93" i="46"/>
  <c r="CP94" i="46"/>
  <c r="CP95" i="46"/>
  <c r="CP96" i="46"/>
  <c r="CP97" i="46"/>
  <c r="CP98" i="46"/>
  <c r="CP99" i="46"/>
  <c r="CP100" i="46"/>
  <c r="CP101" i="46"/>
  <c r="CP102" i="46"/>
  <c r="CP103" i="46"/>
  <c r="CP104" i="46"/>
  <c r="CP105" i="46"/>
  <c r="CP106" i="46"/>
  <c r="CP107" i="46"/>
  <c r="CP108" i="46"/>
  <c r="CP109" i="46"/>
  <c r="CP110" i="46"/>
  <c r="CP111" i="46"/>
  <c r="CP112" i="46"/>
  <c r="CP113" i="46"/>
  <c r="CP114" i="46"/>
  <c r="CP115" i="46"/>
  <c r="CP116" i="46"/>
  <c r="CP117" i="46"/>
  <c r="CP118" i="46"/>
  <c r="CP119" i="46"/>
  <c r="CP120" i="46"/>
  <c r="CP121" i="46"/>
  <c r="CP122" i="46"/>
  <c r="CP123" i="46"/>
  <c r="CP124" i="46"/>
  <c r="CP125" i="46"/>
  <c r="CP126" i="46"/>
  <c r="CP127" i="46"/>
  <c r="CP128" i="46"/>
  <c r="CP129" i="46"/>
  <c r="CP130" i="46"/>
  <c r="CP131" i="46"/>
  <c r="CP132" i="46"/>
  <c r="CP133" i="46"/>
  <c r="CP134" i="46"/>
  <c r="CP135" i="46"/>
  <c r="CP136" i="46"/>
  <c r="CP137" i="46"/>
  <c r="CP138" i="46"/>
  <c r="CP139" i="46"/>
  <c r="CP140" i="46"/>
  <c r="CP141" i="46"/>
  <c r="CP142" i="46"/>
  <c r="CP143" i="46"/>
  <c r="CP144" i="46"/>
  <c r="CP145" i="46"/>
  <c r="CP146" i="46"/>
  <c r="CP147" i="46"/>
  <c r="CP148" i="46"/>
  <c r="CP149" i="46"/>
  <c r="CP150" i="46"/>
  <c r="CP151" i="46"/>
  <c r="CP152" i="46"/>
  <c r="CP153" i="46"/>
  <c r="CP154" i="46"/>
  <c r="CP155" i="46"/>
  <c r="CP156" i="46"/>
  <c r="CP157" i="46"/>
  <c r="CP158" i="46"/>
  <c r="CP159" i="46"/>
  <c r="CP160" i="46"/>
  <c r="CP161" i="46"/>
  <c r="CP162" i="46"/>
  <c r="CP163" i="46"/>
  <c r="CP164" i="46"/>
  <c r="CP165" i="46"/>
  <c r="CP166" i="46"/>
  <c r="CP167" i="46"/>
  <c r="CP168" i="46"/>
  <c r="CP169" i="46"/>
  <c r="CP170" i="46"/>
  <c r="CP171" i="46"/>
  <c r="CP172" i="46"/>
  <c r="CP173" i="46"/>
  <c r="CP174" i="46"/>
  <c r="CP175" i="46"/>
  <c r="CP176" i="46"/>
  <c r="CP177" i="46"/>
  <c r="CP178" i="46"/>
  <c r="CP179" i="46"/>
  <c r="CP180" i="46"/>
  <c r="CP181" i="46"/>
  <c r="CP182" i="46"/>
  <c r="CP183" i="46"/>
  <c r="CP184" i="46"/>
  <c r="CP185" i="46"/>
  <c r="CP186" i="46"/>
  <c r="CP187" i="46"/>
  <c r="CP188" i="46"/>
  <c r="CP189" i="46"/>
  <c r="CP190" i="46"/>
  <c r="CP191" i="46"/>
  <c r="CP192" i="46"/>
  <c r="CP193" i="46"/>
  <c r="CP194" i="46"/>
  <c r="CP195" i="46"/>
  <c r="CP196" i="46"/>
  <c r="CP197" i="46"/>
  <c r="CP198" i="46"/>
  <c r="CP199" i="46"/>
  <c r="CP200" i="46"/>
  <c r="CP201" i="46"/>
  <c r="CP202" i="46"/>
  <c r="CP203" i="46"/>
  <c r="CP204" i="46"/>
  <c r="CP205" i="46"/>
  <c r="CP206" i="46"/>
  <c r="CP207" i="46"/>
  <c r="CP208" i="46"/>
  <c r="CP209" i="46"/>
  <c r="CP210" i="46"/>
  <c r="CP211" i="46"/>
  <c r="CP212" i="46"/>
  <c r="CP213" i="46"/>
  <c r="CP214" i="46"/>
  <c r="CP215" i="46"/>
  <c r="CP216" i="46"/>
  <c r="CP217" i="46"/>
  <c r="CP218" i="46"/>
  <c r="CP219" i="46"/>
  <c r="CP220" i="46"/>
  <c r="CP221" i="46"/>
  <c r="CP222" i="46"/>
  <c r="CP223" i="46"/>
  <c r="CP224" i="46"/>
  <c r="CP225" i="46"/>
  <c r="CP226" i="46"/>
  <c r="CP227" i="46"/>
  <c r="CP228" i="46"/>
  <c r="CP229" i="46"/>
  <c r="CP230" i="46"/>
  <c r="CP231" i="46"/>
  <c r="CP232" i="46"/>
  <c r="CP233" i="46"/>
  <c r="CP234" i="46"/>
  <c r="CP235" i="46"/>
  <c r="CP236" i="46"/>
  <c r="CP237" i="46"/>
  <c r="CP238" i="46"/>
  <c r="CP239" i="46"/>
  <c r="CP240" i="46"/>
  <c r="CP241" i="46"/>
  <c r="CP242" i="46"/>
  <c r="CP243" i="46"/>
  <c r="CP244" i="46"/>
  <c r="CP245" i="46"/>
  <c r="CP246" i="46"/>
  <c r="CP39" i="46"/>
  <c r="CP40" i="46"/>
  <c r="CP41" i="46"/>
  <c r="CP43" i="46"/>
  <c r="CP44" i="46"/>
  <c r="CP247" i="46"/>
  <c r="CP248" i="46"/>
  <c r="CP249" i="46"/>
  <c r="CP250" i="46"/>
  <c r="CP251" i="46"/>
  <c r="CP252" i="46"/>
  <c r="CP253" i="46"/>
  <c r="CP254" i="46"/>
  <c r="CP255" i="46"/>
  <c r="CP256" i="46"/>
  <c r="CP257" i="46"/>
  <c r="CP258" i="46"/>
  <c r="CP259" i="46"/>
  <c r="CP260" i="46"/>
  <c r="CP261" i="46"/>
  <c r="CP262" i="46"/>
  <c r="CP263" i="46"/>
  <c r="CP264" i="46"/>
  <c r="CP265" i="46"/>
  <c r="CP266" i="46"/>
  <c r="CP267" i="46"/>
  <c r="CP268" i="46"/>
  <c r="CP269" i="46"/>
  <c r="CP270" i="46"/>
  <c r="CP271" i="46"/>
  <c r="CP272" i="46"/>
  <c r="CP273" i="46"/>
  <c r="CP274" i="46"/>
  <c r="CP275" i="46"/>
  <c r="CP276" i="46"/>
  <c r="CP277" i="46"/>
  <c r="CP278" i="46"/>
  <c r="CP279" i="46"/>
  <c r="CP280" i="46"/>
  <c r="CP281" i="46"/>
  <c r="CP282" i="46"/>
  <c r="CP283" i="46"/>
  <c r="CP284" i="46"/>
  <c r="CP285" i="46"/>
  <c r="CP286" i="46"/>
  <c r="CP287" i="46"/>
  <c r="CP288" i="46"/>
  <c r="CP289" i="46"/>
  <c r="CP290" i="46"/>
  <c r="CP291" i="46"/>
  <c r="CP292" i="46"/>
  <c r="CP293" i="46"/>
  <c r="CP294" i="46"/>
  <c r="CP295" i="46"/>
  <c r="CP296" i="46"/>
  <c r="CP297" i="46"/>
  <c r="CP298" i="46"/>
  <c r="CP299" i="46"/>
  <c r="CP300" i="46"/>
  <c r="CP301" i="46"/>
  <c r="CP302" i="46"/>
  <c r="CP303" i="46"/>
  <c r="CP304" i="46"/>
  <c r="CP312" i="46"/>
  <c r="CP313" i="46"/>
  <c r="CP314" i="46"/>
  <c r="CP315" i="46"/>
  <c r="CP316" i="46"/>
  <c r="CP317" i="46"/>
  <c r="CP318" i="46"/>
  <c r="CP319" i="46"/>
  <c r="CP320" i="46"/>
  <c r="CP321" i="46"/>
  <c r="CP322" i="46"/>
  <c r="CP323" i="46"/>
  <c r="CP324" i="46"/>
  <c r="CP325" i="46"/>
  <c r="CP326" i="46"/>
  <c r="CP327" i="46"/>
  <c r="CP328" i="46"/>
  <c r="CP329" i="46"/>
  <c r="CP330" i="46"/>
  <c r="CP331" i="46"/>
  <c r="CP332" i="46"/>
  <c r="CP333" i="46"/>
  <c r="CP334" i="46"/>
  <c r="CP335" i="46"/>
  <c r="CP336" i="46"/>
  <c r="CP337" i="46"/>
  <c r="CP338" i="46"/>
  <c r="CP339" i="46"/>
  <c r="CP340" i="46"/>
  <c r="CP341" i="46"/>
  <c r="CP342" i="46"/>
  <c r="CP343" i="46"/>
  <c r="CP344" i="46"/>
  <c r="CP345" i="46"/>
  <c r="CP346" i="46"/>
  <c r="CP347" i="46"/>
  <c r="CP13" i="46"/>
  <c r="BU14" i="46"/>
  <c r="BU15" i="46"/>
  <c r="BU16" i="46"/>
  <c r="BU17" i="46"/>
  <c r="BU18" i="46"/>
  <c r="BU19" i="46"/>
  <c r="BU20" i="46"/>
  <c r="BU21" i="46"/>
  <c r="BU22" i="46"/>
  <c r="BU23" i="46"/>
  <c r="BU24" i="46"/>
  <c r="BU25" i="46"/>
  <c r="BU26" i="46"/>
  <c r="BU30" i="46"/>
  <c r="BU31" i="46"/>
  <c r="BU32" i="46"/>
  <c r="BU33" i="46"/>
  <c r="BU34" i="46"/>
  <c r="BU35"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U178" i="46"/>
  <c r="BU179" i="46"/>
  <c r="BU180" i="46"/>
  <c r="BU181" i="46"/>
  <c r="BU182" i="46"/>
  <c r="BU183" i="46"/>
  <c r="BU184" i="46"/>
  <c r="BU185" i="46"/>
  <c r="BU186" i="46"/>
  <c r="BU187" i="46"/>
  <c r="BU188" i="46"/>
  <c r="BU189" i="46"/>
  <c r="BU190" i="46"/>
  <c r="BU191" i="46"/>
  <c r="BU192" i="46"/>
  <c r="BU193" i="46"/>
  <c r="BU194" i="46"/>
  <c r="BU195" i="46"/>
  <c r="BU196" i="46"/>
  <c r="BU197" i="46"/>
  <c r="BU198" i="46"/>
  <c r="BU199" i="46"/>
  <c r="BU200" i="46"/>
  <c r="BU201" i="46"/>
  <c r="BU202" i="46"/>
  <c r="BU203" i="46"/>
  <c r="BU204" i="46"/>
  <c r="BU205" i="46"/>
  <c r="BU206" i="46"/>
  <c r="BU207" i="46"/>
  <c r="BU208" i="46"/>
  <c r="BU209" i="46"/>
  <c r="BU210" i="46"/>
  <c r="BU211" i="46"/>
  <c r="BU212" i="46"/>
  <c r="BU213" i="46"/>
  <c r="BU214" i="46"/>
  <c r="BU215" i="46"/>
  <c r="BU216" i="46"/>
  <c r="BU217" i="46"/>
  <c r="BU218" i="46"/>
  <c r="BU219" i="46"/>
  <c r="BU220" i="46"/>
  <c r="BU221" i="46"/>
  <c r="BU222" i="46"/>
  <c r="BU223" i="46"/>
  <c r="BU224" i="46"/>
  <c r="BU225" i="46"/>
  <c r="BU226" i="46"/>
  <c r="BU227" i="46"/>
  <c r="BU228" i="46"/>
  <c r="BU229" i="46"/>
  <c r="BU230" i="46"/>
  <c r="BU231" i="46"/>
  <c r="BU232" i="46"/>
  <c r="BU233" i="46"/>
  <c r="BU234" i="46"/>
  <c r="BU235" i="46"/>
  <c r="BU236" i="46"/>
  <c r="BU237" i="46"/>
  <c r="BU238" i="46"/>
  <c r="BU239" i="46"/>
  <c r="BU240" i="46"/>
  <c r="BU241" i="46"/>
  <c r="BU242" i="46"/>
  <c r="BU243" i="46"/>
  <c r="BU244" i="46"/>
  <c r="BU245" i="46"/>
  <c r="BU246" i="46"/>
  <c r="BU39" i="46"/>
  <c r="BU40" i="46"/>
  <c r="BU41" i="46"/>
  <c r="BU43" i="46"/>
  <c r="BU44" i="46"/>
  <c r="BU247" i="46"/>
  <c r="BU248" i="46"/>
  <c r="BU249" i="46"/>
  <c r="BU250" i="46"/>
  <c r="BU251" i="46"/>
  <c r="BU252" i="46"/>
  <c r="BU253" i="46"/>
  <c r="BU254" i="46"/>
  <c r="BU255" i="46"/>
  <c r="BU256" i="46"/>
  <c r="BU257" i="46"/>
  <c r="BU258" i="46"/>
  <c r="BU259" i="46"/>
  <c r="BU260" i="46"/>
  <c r="BU261" i="46"/>
  <c r="BU262" i="46"/>
  <c r="BU263" i="46"/>
  <c r="BU264" i="46"/>
  <c r="BU265" i="46"/>
  <c r="BU266" i="46"/>
  <c r="BU267" i="46"/>
  <c r="BU268" i="46"/>
  <c r="BU269" i="46"/>
  <c r="BU270" i="46"/>
  <c r="BU271" i="46"/>
  <c r="BU272" i="46"/>
  <c r="BU273" i="46"/>
  <c r="BU274" i="46"/>
  <c r="BU275" i="46"/>
  <c r="BU276" i="46"/>
  <c r="BU277" i="46"/>
  <c r="BU278" i="46"/>
  <c r="BU279" i="46"/>
  <c r="BU280" i="46"/>
  <c r="BU281" i="46"/>
  <c r="BU282" i="46"/>
  <c r="BU283" i="46"/>
  <c r="BU284" i="46"/>
  <c r="BU285" i="46"/>
  <c r="BU286" i="46"/>
  <c r="BU287" i="46"/>
  <c r="BU288" i="46"/>
  <c r="BU289" i="46"/>
  <c r="BU290" i="46"/>
  <c r="BU291" i="46"/>
  <c r="BU292" i="46"/>
  <c r="BU293" i="46"/>
  <c r="BU294" i="46"/>
  <c r="BU295" i="46"/>
  <c r="BU296" i="46"/>
  <c r="BU297" i="46"/>
  <c r="BU298" i="46"/>
  <c r="BU299" i="46"/>
  <c r="BU300" i="46"/>
  <c r="BU301" i="46"/>
  <c r="BU302" i="46"/>
  <c r="BU303" i="46"/>
  <c r="BU304" i="46"/>
  <c r="BU312" i="46"/>
  <c r="BU313" i="46"/>
  <c r="BU314" i="46"/>
  <c r="BU315" i="46"/>
  <c r="BU316" i="46"/>
  <c r="BU317" i="46"/>
  <c r="BU318" i="46"/>
  <c r="BU319" i="46"/>
  <c r="BU320" i="46"/>
  <c r="BU321" i="46"/>
  <c r="BU322" i="46"/>
  <c r="BU323" i="46"/>
  <c r="BU324" i="46"/>
  <c r="BU325" i="46"/>
  <c r="BU326" i="46"/>
  <c r="BU327" i="46"/>
  <c r="BU328" i="46"/>
  <c r="BU329" i="46"/>
  <c r="BU330" i="46"/>
  <c r="BU331" i="46"/>
  <c r="BU332" i="46"/>
  <c r="BU333" i="46"/>
  <c r="BU334" i="46"/>
  <c r="BU335" i="46"/>
  <c r="BU336" i="46"/>
  <c r="BU337" i="46"/>
  <c r="BU338" i="46"/>
  <c r="BU339" i="46"/>
  <c r="BU340" i="46"/>
  <c r="BU341" i="46"/>
  <c r="BU342" i="46"/>
  <c r="BU343" i="46"/>
  <c r="BU344" i="46"/>
  <c r="BU345" i="46"/>
  <c r="BU346" i="46"/>
  <c r="BU347" i="46"/>
  <c r="BU13" i="46"/>
  <c r="AZ14" i="46"/>
  <c r="AZ15" i="46"/>
  <c r="AZ16" i="46"/>
  <c r="AZ17" i="46"/>
  <c r="AZ18" i="46"/>
  <c r="AZ19" i="46"/>
  <c r="AZ20" i="46"/>
  <c r="AZ21" i="46"/>
  <c r="AZ22" i="46"/>
  <c r="AZ23" i="46"/>
  <c r="AZ24" i="46"/>
  <c r="AZ25" i="46"/>
  <c r="AZ26" i="46"/>
  <c r="AZ30" i="46"/>
  <c r="AZ31" i="46"/>
  <c r="AZ32" i="46"/>
  <c r="AZ33" i="46"/>
  <c r="AZ34" i="46"/>
  <c r="AZ35"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4" i="46"/>
  <c r="AZ115" i="46"/>
  <c r="AZ116" i="46"/>
  <c r="AZ117" i="46"/>
  <c r="AZ118"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234" i="46"/>
  <c r="AZ235" i="46"/>
  <c r="AZ236" i="46"/>
  <c r="AZ237" i="46"/>
  <c r="AZ238" i="46"/>
  <c r="AZ239" i="46"/>
  <c r="AZ240" i="46"/>
  <c r="AZ241" i="46"/>
  <c r="AZ242" i="46"/>
  <c r="AZ243" i="46"/>
  <c r="AZ244" i="46"/>
  <c r="AZ245" i="46"/>
  <c r="AZ246" i="46"/>
  <c r="AZ39" i="46"/>
  <c r="AZ40" i="46"/>
  <c r="AZ41" i="46"/>
  <c r="AZ43" i="46"/>
  <c r="AZ44"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2" i="46"/>
  <c r="AZ293" i="46"/>
  <c r="AZ294" i="46"/>
  <c r="AZ295" i="46"/>
  <c r="AZ296" i="46"/>
  <c r="AZ297" i="46"/>
  <c r="AZ298" i="46"/>
  <c r="AZ299" i="46"/>
  <c r="AZ300" i="46"/>
  <c r="AZ301" i="46"/>
  <c r="AZ302" i="46"/>
  <c r="AZ303" i="46"/>
  <c r="AZ304"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335" i="46"/>
  <c r="AZ336" i="46"/>
  <c r="AZ337" i="46"/>
  <c r="AZ338" i="46"/>
  <c r="AZ339" i="46"/>
  <c r="AZ340" i="46"/>
  <c r="AZ341" i="46"/>
  <c r="AZ342" i="46"/>
  <c r="AZ343" i="46"/>
  <c r="AZ344" i="46"/>
  <c r="AZ345" i="46"/>
  <c r="AZ346" i="46"/>
  <c r="AZ347" i="46"/>
  <c r="AZ13" i="46"/>
  <c r="AE14" i="46"/>
  <c r="AE15" i="46"/>
  <c r="AE16" i="46"/>
  <c r="AE17" i="46"/>
  <c r="AE18" i="46"/>
  <c r="AE19" i="46"/>
  <c r="AE20" i="46"/>
  <c r="AE21" i="46"/>
  <c r="AE22" i="46"/>
  <c r="AE23" i="46"/>
  <c r="AE24" i="46"/>
  <c r="AE25" i="46"/>
  <c r="AE26" i="46"/>
  <c r="AE30" i="46"/>
  <c r="AE31" i="46"/>
  <c r="AE32" i="46"/>
  <c r="AE33" i="46"/>
  <c r="AE34" i="46"/>
  <c r="AE35" i="46"/>
  <c r="AE51" i="46"/>
  <c r="AE52" i="46"/>
  <c r="AE53" i="46"/>
  <c r="AE54" i="46"/>
  <c r="AE55" i="46"/>
  <c r="AE56" i="46"/>
  <c r="AE57" i="46"/>
  <c r="AE58" i="46"/>
  <c r="AE59" i="46"/>
  <c r="AE60" i="46"/>
  <c r="AE61" i="46"/>
  <c r="AE62" i="46"/>
  <c r="AE63" i="46"/>
  <c r="AE64" i="46"/>
  <c r="AE65" i="46"/>
  <c r="AE66" i="46"/>
  <c r="AE67" i="46"/>
  <c r="AE68" i="46"/>
  <c r="AE69" i="46"/>
  <c r="AE70" i="46"/>
  <c r="AE71" i="46"/>
  <c r="AE72" i="46"/>
  <c r="AE73" i="46"/>
  <c r="AE74" i="46"/>
  <c r="AE75" i="46"/>
  <c r="AE76" i="46"/>
  <c r="AE77" i="46"/>
  <c r="AE78" i="46"/>
  <c r="AE79" i="46"/>
  <c r="AE80" i="46"/>
  <c r="AE81" i="46"/>
  <c r="AE82" i="46"/>
  <c r="AE83" i="46"/>
  <c r="AE84" i="46"/>
  <c r="AE85" i="46"/>
  <c r="AE86" i="46"/>
  <c r="AE87" i="46"/>
  <c r="AE88" i="46"/>
  <c r="AE89" i="46"/>
  <c r="AE90" i="46"/>
  <c r="AE91" i="46"/>
  <c r="AE92" i="46"/>
  <c r="AE93" i="46"/>
  <c r="AE94" i="46"/>
  <c r="AE95" i="46"/>
  <c r="AE96" i="46"/>
  <c r="AE97" i="46"/>
  <c r="AE98" i="46"/>
  <c r="AE99" i="46"/>
  <c r="AE100" i="46"/>
  <c r="AE101" i="46"/>
  <c r="AE102" i="46"/>
  <c r="AE103" i="46"/>
  <c r="AE104" i="46"/>
  <c r="AE105" i="46"/>
  <c r="AE106" i="46"/>
  <c r="AE107" i="46"/>
  <c r="AE108" i="46"/>
  <c r="AE109" i="46"/>
  <c r="AE110" i="46"/>
  <c r="AE111" i="46"/>
  <c r="AE112" i="46"/>
  <c r="AE113" i="46"/>
  <c r="AE114" i="46"/>
  <c r="AE115" i="46"/>
  <c r="AE116" i="46"/>
  <c r="AE117" i="46"/>
  <c r="AE118" i="46"/>
  <c r="AE119" i="46"/>
  <c r="AE120" i="46"/>
  <c r="AE121" i="46"/>
  <c r="AE122" i="46"/>
  <c r="AE123" i="46"/>
  <c r="AE124" i="46"/>
  <c r="AE125" i="46"/>
  <c r="AE126" i="46"/>
  <c r="AE127" i="46"/>
  <c r="AE128" i="46"/>
  <c r="AE129" i="46"/>
  <c r="AE130" i="46"/>
  <c r="AE131" i="46"/>
  <c r="AE132" i="46"/>
  <c r="AE133" i="46"/>
  <c r="AE134" i="46"/>
  <c r="AE135" i="46"/>
  <c r="AE136" i="46"/>
  <c r="AE137" i="46"/>
  <c r="AE138" i="46"/>
  <c r="AE139" i="46"/>
  <c r="AE140" i="46"/>
  <c r="AE141" i="46"/>
  <c r="AE142" i="46"/>
  <c r="AE143" i="46"/>
  <c r="AE144" i="46"/>
  <c r="AE145" i="46"/>
  <c r="AE146" i="46"/>
  <c r="AE147" i="46"/>
  <c r="AE148" i="46"/>
  <c r="AE149" i="46"/>
  <c r="AE150" i="46"/>
  <c r="AE151" i="46"/>
  <c r="AE152" i="46"/>
  <c r="AE153" i="46"/>
  <c r="AE154" i="46"/>
  <c r="AE155" i="46"/>
  <c r="AE156" i="46"/>
  <c r="AE157" i="46"/>
  <c r="AE158" i="46"/>
  <c r="AE159" i="46"/>
  <c r="AE160" i="46"/>
  <c r="AE161" i="46"/>
  <c r="AE162" i="46"/>
  <c r="AE163" i="46"/>
  <c r="AE164" i="46"/>
  <c r="AE165" i="46"/>
  <c r="AE166" i="46"/>
  <c r="AE167" i="46"/>
  <c r="AE168" i="46"/>
  <c r="AE169" i="46"/>
  <c r="AE170" i="46"/>
  <c r="AE171" i="46"/>
  <c r="AE172" i="46"/>
  <c r="AE173" i="46"/>
  <c r="AE174" i="46"/>
  <c r="AE175" i="46"/>
  <c r="AE176" i="46"/>
  <c r="AE177" i="46"/>
  <c r="AE178" i="46"/>
  <c r="AE179" i="46"/>
  <c r="AE180" i="46"/>
  <c r="AE181" i="46"/>
  <c r="AE182" i="46"/>
  <c r="AE183" i="46"/>
  <c r="AE184" i="46"/>
  <c r="AE185" i="46"/>
  <c r="AE186" i="46"/>
  <c r="AE187" i="46"/>
  <c r="AE188" i="46"/>
  <c r="AE189" i="46"/>
  <c r="AE190" i="46"/>
  <c r="AE191" i="46"/>
  <c r="AE192" i="46"/>
  <c r="AE193" i="46"/>
  <c r="AE194" i="46"/>
  <c r="AE195" i="46"/>
  <c r="AE196" i="46"/>
  <c r="AE197" i="46"/>
  <c r="AE198" i="46"/>
  <c r="AE199" i="46"/>
  <c r="AE200" i="46"/>
  <c r="AE201" i="46"/>
  <c r="AE202" i="46"/>
  <c r="AE203" i="46"/>
  <c r="AE204" i="46"/>
  <c r="AE205" i="46"/>
  <c r="AE206" i="46"/>
  <c r="AE207" i="46"/>
  <c r="AE208" i="46"/>
  <c r="AE209" i="46"/>
  <c r="AE210" i="46"/>
  <c r="AE211" i="46"/>
  <c r="AE212" i="46"/>
  <c r="AE213" i="46"/>
  <c r="AE214" i="46"/>
  <c r="AE215" i="46"/>
  <c r="AE216" i="46"/>
  <c r="AE217" i="46"/>
  <c r="AE218" i="46"/>
  <c r="AE219" i="46"/>
  <c r="AE220" i="46"/>
  <c r="AE221" i="46"/>
  <c r="AE222" i="46"/>
  <c r="AE223" i="46"/>
  <c r="AE224" i="46"/>
  <c r="AE225" i="46"/>
  <c r="AE226" i="46"/>
  <c r="AE227" i="46"/>
  <c r="AE228" i="46"/>
  <c r="AE229" i="46"/>
  <c r="AE230" i="46"/>
  <c r="AE231" i="46"/>
  <c r="AE232" i="46"/>
  <c r="AE233" i="46"/>
  <c r="AE234" i="46"/>
  <c r="AE235" i="46"/>
  <c r="AE236" i="46"/>
  <c r="AE237" i="46"/>
  <c r="AE238" i="46"/>
  <c r="AE239" i="46"/>
  <c r="AE240" i="46"/>
  <c r="AE241" i="46"/>
  <c r="AE242" i="46"/>
  <c r="AE243" i="46"/>
  <c r="AE244" i="46"/>
  <c r="AE245" i="46"/>
  <c r="AE246" i="46"/>
  <c r="AE39" i="46"/>
  <c r="AE40" i="46"/>
  <c r="AE41" i="46"/>
  <c r="AE43" i="46"/>
  <c r="AE44" i="46"/>
  <c r="AE247" i="46"/>
  <c r="AE248" i="46"/>
  <c r="AE249" i="46"/>
  <c r="AE250" i="46"/>
  <c r="AE251" i="46"/>
  <c r="AE252" i="46"/>
  <c r="AE253" i="46"/>
  <c r="AE254" i="46"/>
  <c r="AE255" i="46"/>
  <c r="AE256" i="46"/>
  <c r="AE257" i="46"/>
  <c r="AE258" i="46"/>
  <c r="AE259" i="46"/>
  <c r="AE260" i="46"/>
  <c r="AE261" i="46"/>
  <c r="AE262" i="46"/>
  <c r="AE263" i="46"/>
  <c r="AE264" i="46"/>
  <c r="AE265" i="46"/>
  <c r="AE266" i="46"/>
  <c r="AE267" i="46"/>
  <c r="AE268" i="46"/>
  <c r="AE269" i="46"/>
  <c r="AE270" i="46"/>
  <c r="AE271" i="46"/>
  <c r="AE272" i="46"/>
  <c r="AE273" i="46"/>
  <c r="AE274" i="46"/>
  <c r="AE275" i="46"/>
  <c r="AE276" i="46"/>
  <c r="AE277" i="46"/>
  <c r="AE278" i="46"/>
  <c r="AE279" i="46"/>
  <c r="AE280" i="46"/>
  <c r="AE281" i="46"/>
  <c r="AE282" i="46"/>
  <c r="AE283" i="46"/>
  <c r="AE284" i="46"/>
  <c r="AE285" i="46"/>
  <c r="AE286" i="46"/>
  <c r="AE287" i="46"/>
  <c r="AE288" i="46"/>
  <c r="AE289" i="46"/>
  <c r="AE290" i="46"/>
  <c r="AE291" i="46"/>
  <c r="AE292" i="46"/>
  <c r="AE293" i="46"/>
  <c r="AE294" i="46"/>
  <c r="AE295" i="46"/>
  <c r="AE296" i="46"/>
  <c r="AE297" i="46"/>
  <c r="AE298" i="46"/>
  <c r="AE299" i="46"/>
  <c r="AE300" i="46"/>
  <c r="AE301" i="46"/>
  <c r="AE302" i="46"/>
  <c r="AE303" i="46"/>
  <c r="AE304" i="46"/>
  <c r="AE312" i="46"/>
  <c r="AE313" i="46"/>
  <c r="AE314" i="46"/>
  <c r="AE315" i="46"/>
  <c r="AE316" i="46"/>
  <c r="AE317" i="46"/>
  <c r="AE318" i="46"/>
  <c r="AE319" i="46"/>
  <c r="AE320" i="46"/>
  <c r="AE321" i="46"/>
  <c r="AE322" i="46"/>
  <c r="AE323" i="46"/>
  <c r="AE324" i="46"/>
  <c r="AE325" i="46"/>
  <c r="AE326" i="46"/>
  <c r="AE327" i="46"/>
  <c r="AE328" i="46"/>
  <c r="AE329" i="46"/>
  <c r="AE330" i="46"/>
  <c r="AE331" i="46"/>
  <c r="AE332" i="46"/>
  <c r="AE333" i="46"/>
  <c r="AE334" i="46"/>
  <c r="AE335" i="46"/>
  <c r="AE336" i="46"/>
  <c r="AE337" i="46"/>
  <c r="AE338" i="46"/>
  <c r="AE339" i="46"/>
  <c r="AE340" i="46"/>
  <c r="AE341" i="46"/>
  <c r="AE342" i="46"/>
  <c r="AE343" i="46"/>
  <c r="AE344" i="46"/>
  <c r="AE345" i="46"/>
  <c r="AE346" i="46"/>
  <c r="AE347" i="46"/>
  <c r="AE13" i="46"/>
  <c r="E12" i="57"/>
  <c r="D12" i="57"/>
  <c r="C12" i="57"/>
  <c r="B12" i="57"/>
  <c r="AZ305" i="46" l="1"/>
  <c r="BU305" i="46"/>
  <c r="CP305" i="46"/>
  <c r="T283" i="1"/>
  <c r="R283" i="1"/>
  <c r="AZ306" i="46" l="1"/>
  <c r="AE306" i="46"/>
  <c r="CP306" i="46"/>
  <c r="BU306" i="46"/>
  <c r="H262" i="1"/>
  <c r="CP307" i="46" l="1"/>
  <c r="AZ307" i="46"/>
  <c r="BU307" i="46"/>
  <c r="AE307" i="46"/>
  <c r="H10" i="54"/>
  <c r="A65" i="51"/>
  <c r="A64" i="51"/>
  <c r="A63" i="51"/>
  <c r="A62" i="51"/>
  <c r="A61" i="51"/>
  <c r="A60" i="51"/>
  <c r="A59" i="51"/>
  <c r="A58" i="51"/>
  <c r="BU308" i="46" l="1"/>
  <c r="AE308" i="46"/>
  <c r="CP308" i="46"/>
  <c r="AZ308" i="46"/>
  <c r="AZ309" i="46" l="1"/>
  <c r="BU309" i="46"/>
  <c r="AE309" i="46"/>
  <c r="CP309" i="46"/>
  <c r="CP311" i="46"/>
  <c r="AZ311" i="46"/>
  <c r="BU311" i="46"/>
  <c r="AE311" i="46"/>
  <c r="A7027" i="52"/>
  <c r="A7028" i="52"/>
  <c r="A7029" i="52"/>
  <c r="A7030" i="52"/>
  <c r="A7031" i="52"/>
  <c r="A7032" i="52"/>
  <c r="A7033" i="52"/>
  <c r="A7034" i="52"/>
  <c r="A7035" i="52"/>
  <c r="A7036" i="52"/>
  <c r="A7037" i="52"/>
  <c r="A7038" i="52"/>
  <c r="A7039" i="52"/>
  <c r="A7040" i="52"/>
  <c r="A7041" i="52"/>
  <c r="A7042" i="52"/>
  <c r="A7043" i="52"/>
  <c r="A7044" i="52"/>
  <c r="A7045" i="52"/>
  <c r="A7046" i="52"/>
  <c r="A7047" i="52"/>
  <c r="A7048" i="52"/>
  <c r="A7049" i="52"/>
  <c r="A7050" i="52"/>
  <c r="A7051" i="52"/>
  <c r="A7052" i="52"/>
  <c r="A7053" i="52"/>
  <c r="A7054" i="52"/>
  <c r="A7055" i="52"/>
  <c r="A7056" i="52"/>
  <c r="A7057" i="52"/>
  <c r="A7058" i="52"/>
  <c r="A7059" i="52"/>
  <c r="A7060" i="52"/>
  <c r="A7061" i="52"/>
  <c r="A7062" i="52"/>
  <c r="A7063" i="52"/>
  <c r="A7064" i="52"/>
  <c r="A7065" i="52"/>
  <c r="A7066" i="52"/>
  <c r="A7067" i="52"/>
  <c r="A7068" i="52"/>
  <c r="A7069" i="52"/>
  <c r="A7070" i="52"/>
  <c r="A7071" i="52"/>
  <c r="A7072" i="52"/>
  <c r="A7073" i="52"/>
  <c r="A7074" i="52"/>
  <c r="A7075" i="52"/>
  <c r="A7076" i="52"/>
  <c r="A7077" i="52"/>
  <c r="A7078" i="52"/>
  <c r="A7079" i="52"/>
  <c r="A7080" i="52"/>
  <c r="A7081" i="52"/>
  <c r="A7082" i="52"/>
  <c r="A7083" i="52"/>
  <c r="A7084" i="52"/>
  <c r="A7085" i="52"/>
  <c r="A7086" i="52"/>
  <c r="A7087" i="52"/>
  <c r="A7088" i="52"/>
  <c r="A7089" i="52"/>
  <c r="A7090" i="52"/>
  <c r="A7091" i="52"/>
  <c r="A7092" i="52"/>
  <c r="A7093" i="52"/>
  <c r="A7094" i="52"/>
  <c r="A7095" i="52"/>
  <c r="A7096" i="52"/>
  <c r="A7097" i="52"/>
  <c r="A7098" i="52"/>
  <c r="A7099" i="52"/>
  <c r="A7100" i="52"/>
  <c r="A7101" i="52"/>
  <c r="A7102" i="52"/>
  <c r="A7103" i="52"/>
  <c r="A7104" i="52"/>
  <c r="A7105" i="52"/>
  <c r="A7106" i="52"/>
  <c r="A7107" i="52"/>
  <c r="A7108" i="52"/>
  <c r="A7109" i="52"/>
  <c r="A7110" i="52"/>
  <c r="A7111" i="52"/>
  <c r="A7112" i="52"/>
  <c r="A7113" i="52"/>
  <c r="A7114" i="52"/>
  <c r="A7115" i="52"/>
  <c r="A7116" i="52"/>
  <c r="A7117" i="52"/>
  <c r="A7118" i="52"/>
  <c r="A7119" i="52"/>
  <c r="A7120" i="52"/>
  <c r="A7121" i="52"/>
  <c r="A7122" i="52"/>
  <c r="A7123" i="52"/>
  <c r="A7124" i="52"/>
  <c r="A7125" i="52"/>
  <c r="A7126" i="52"/>
  <c r="A7127" i="52"/>
  <c r="A7128" i="52"/>
  <c r="A7129" i="52"/>
  <c r="A7130" i="52"/>
  <c r="A7131" i="52"/>
  <c r="A7132" i="52"/>
  <c r="A7133" i="52"/>
  <c r="A7134" i="52"/>
  <c r="A7135" i="52"/>
  <c r="A7136" i="52"/>
  <c r="A7137" i="52"/>
  <c r="A7138" i="52"/>
  <c r="A7139" i="52"/>
  <c r="A7140" i="52"/>
  <c r="A7141" i="52"/>
  <c r="A7142" i="52"/>
  <c r="A7143" i="52"/>
  <c r="A7144" i="52"/>
  <c r="A7145" i="52"/>
  <c r="A7146" i="52"/>
  <c r="A7147" i="52"/>
  <c r="A7148" i="52"/>
  <c r="A7149" i="52"/>
  <c r="A7150" i="52"/>
  <c r="A7151" i="52"/>
  <c r="A7152" i="52"/>
  <c r="A7153" i="52"/>
  <c r="A7154" i="52"/>
  <c r="A7155" i="52"/>
  <c r="A7156" i="52"/>
  <c r="A7157" i="52"/>
  <c r="A7158" i="52"/>
  <c r="A7159" i="52"/>
  <c r="A7160" i="52"/>
  <c r="A7161" i="52"/>
  <c r="A7162" i="52"/>
  <c r="A7163" i="52"/>
  <c r="A7164" i="52"/>
  <c r="A7165" i="52"/>
  <c r="A7166" i="52"/>
  <c r="A7167" i="52"/>
  <c r="A7168" i="52"/>
  <c r="A7169" i="52"/>
  <c r="A7170" i="52"/>
  <c r="A7171" i="52"/>
  <c r="A7172" i="52"/>
  <c r="A7173" i="52"/>
  <c r="A7174" i="52"/>
  <c r="A7175" i="52"/>
  <c r="A7176" i="52"/>
  <c r="A7177" i="52"/>
  <c r="A7178" i="52"/>
  <c r="A7179" i="52"/>
  <c r="A7180" i="52"/>
  <c r="A7181" i="52"/>
  <c r="A7182" i="52"/>
  <c r="A7183" i="52"/>
  <c r="A7184" i="52"/>
  <c r="A7185" i="52"/>
  <c r="A7186" i="52"/>
  <c r="A7187" i="52"/>
  <c r="A7188" i="52"/>
  <c r="A7189" i="52"/>
  <c r="A7190" i="52"/>
  <c r="A7191" i="52"/>
  <c r="A7192" i="52"/>
  <c r="A7193" i="52"/>
  <c r="A7194" i="52"/>
  <c r="A7195" i="52"/>
  <c r="A7196" i="52"/>
  <c r="A7197" i="52"/>
  <c r="A7198" i="52"/>
  <c r="A7199" i="52"/>
  <c r="A7200" i="52"/>
  <c r="A7201" i="52"/>
  <c r="A7202" i="52"/>
  <c r="A7203" i="52"/>
  <c r="A7204" i="52"/>
  <c r="A7205" i="52"/>
  <c r="A7206" i="52"/>
  <c r="A7207" i="52"/>
  <c r="A7208" i="52"/>
  <c r="A7209" i="52"/>
  <c r="A7210" i="52"/>
  <c r="A7211" i="52"/>
  <c r="A7212" i="52"/>
  <c r="A7213" i="52"/>
  <c r="A7214" i="52"/>
  <c r="A7215" i="52"/>
  <c r="A7216" i="52"/>
  <c r="A7217" i="52"/>
  <c r="A7218" i="52"/>
  <c r="A7219" i="52"/>
  <c r="A7220" i="52"/>
  <c r="A7221" i="52"/>
  <c r="A7222" i="52"/>
  <c r="A7223" i="52"/>
  <c r="A7224" i="52"/>
  <c r="A7225" i="52"/>
  <c r="A7226" i="52"/>
  <c r="A7227" i="52"/>
  <c r="A7228" i="52"/>
  <c r="A7229" i="52"/>
  <c r="A7230" i="52"/>
  <c r="A7231" i="52"/>
  <c r="A7232" i="52"/>
  <c r="A7233" i="52"/>
  <c r="A7234" i="52"/>
  <c r="A7235" i="52"/>
  <c r="A7236" i="52"/>
  <c r="A7237" i="52"/>
  <c r="A7238" i="52"/>
  <c r="A7239" i="52"/>
  <c r="A7240" i="52"/>
  <c r="A7241" i="52"/>
  <c r="A7242" i="52"/>
  <c r="A7243" i="52"/>
  <c r="A7244" i="52"/>
  <c r="A7245" i="52"/>
  <c r="A7246" i="52"/>
  <c r="A7247" i="52"/>
  <c r="A7248" i="52"/>
  <c r="A7249" i="52"/>
  <c r="A7250" i="52"/>
  <c r="A7251" i="52"/>
  <c r="A7252" i="52"/>
  <c r="A7253" i="52"/>
  <c r="A7254" i="52"/>
  <c r="P7027" i="52"/>
  <c r="P7028" i="52"/>
  <c r="P7029" i="52"/>
  <c r="P7030" i="52"/>
  <c r="P7031" i="52"/>
  <c r="P7032" i="52"/>
  <c r="P7033" i="52"/>
  <c r="P7034" i="52"/>
  <c r="P7035" i="52"/>
  <c r="P7036" i="52"/>
  <c r="P7037" i="52"/>
  <c r="P7038" i="52"/>
  <c r="P7039" i="52"/>
  <c r="P7040" i="52"/>
  <c r="P7041" i="52"/>
  <c r="P7042" i="52"/>
  <c r="P7043" i="52"/>
  <c r="P7044" i="52"/>
  <c r="P7045" i="52"/>
  <c r="P7046" i="52"/>
  <c r="P7047" i="52"/>
  <c r="P7048" i="52"/>
  <c r="P7049" i="52"/>
  <c r="P7050" i="52"/>
  <c r="P7051" i="52"/>
  <c r="P7052" i="52"/>
  <c r="P7053" i="52"/>
  <c r="P7054" i="52"/>
  <c r="P7055" i="52"/>
  <c r="P7056" i="52"/>
  <c r="P7057" i="52"/>
  <c r="P7058" i="52"/>
  <c r="P7059" i="52"/>
  <c r="P7060" i="52"/>
  <c r="P7061" i="52"/>
  <c r="P7062" i="52"/>
  <c r="P7063" i="52"/>
  <c r="P7064" i="52"/>
  <c r="P7065" i="52"/>
  <c r="P7066" i="52"/>
  <c r="P7067" i="52"/>
  <c r="P7068" i="52"/>
  <c r="P7069" i="52"/>
  <c r="P7070" i="52"/>
  <c r="P7071" i="52"/>
  <c r="P7072" i="52"/>
  <c r="P7073" i="52"/>
  <c r="P7074" i="52"/>
  <c r="P7075" i="52"/>
  <c r="P7076" i="52"/>
  <c r="P7077" i="52"/>
  <c r="P7078" i="52"/>
  <c r="P7079" i="52"/>
  <c r="P7080" i="52"/>
  <c r="P7081" i="52"/>
  <c r="P7082" i="52"/>
  <c r="P7083" i="52"/>
  <c r="P7084" i="52"/>
  <c r="P7085" i="52"/>
  <c r="P7086" i="52"/>
  <c r="P7087" i="52"/>
  <c r="P7088" i="52"/>
  <c r="P7089" i="52"/>
  <c r="P7090" i="52"/>
  <c r="P7091" i="52"/>
  <c r="P7092" i="52"/>
  <c r="P7093" i="52"/>
  <c r="P7094" i="52"/>
  <c r="P7095" i="52"/>
  <c r="P7096" i="52"/>
  <c r="P7097" i="52"/>
  <c r="P7098" i="52"/>
  <c r="P7099" i="52"/>
  <c r="P7100" i="52"/>
  <c r="P7101" i="52"/>
  <c r="P7102" i="52"/>
  <c r="P7103" i="52"/>
  <c r="P7104" i="52"/>
  <c r="P7105" i="52"/>
  <c r="P7106" i="52"/>
  <c r="P7107" i="52"/>
  <c r="P7108" i="52"/>
  <c r="P7109" i="52"/>
  <c r="P7110" i="52"/>
  <c r="P7111" i="52"/>
  <c r="P7112" i="52"/>
  <c r="P7113" i="52"/>
  <c r="P7114" i="52"/>
  <c r="P7115" i="52"/>
  <c r="P7116" i="52"/>
  <c r="P7117" i="52"/>
  <c r="P7118" i="52"/>
  <c r="P7119" i="52"/>
  <c r="P7120" i="52"/>
  <c r="P7121" i="52"/>
  <c r="P7122" i="52"/>
  <c r="P7123" i="52"/>
  <c r="P7124" i="52"/>
  <c r="P7125" i="52"/>
  <c r="P7126" i="52"/>
  <c r="P7127" i="52"/>
  <c r="P7128" i="52"/>
  <c r="P7129" i="52"/>
  <c r="P7130" i="52"/>
  <c r="P7131" i="52"/>
  <c r="P7132" i="52"/>
  <c r="P7133" i="52"/>
  <c r="P7134" i="52"/>
  <c r="P7135" i="52"/>
  <c r="P7136" i="52"/>
  <c r="P7137" i="52"/>
  <c r="P7138" i="52"/>
  <c r="P7139" i="52"/>
  <c r="P7140" i="52"/>
  <c r="P7141" i="52"/>
  <c r="P7142" i="52"/>
  <c r="P7143" i="52"/>
  <c r="P7144" i="52"/>
  <c r="P7145" i="52"/>
  <c r="P7146" i="52"/>
  <c r="P7147" i="52"/>
  <c r="P7148" i="52"/>
  <c r="P7149" i="52"/>
  <c r="P7150" i="52"/>
  <c r="P7151" i="52"/>
  <c r="P7152" i="52"/>
  <c r="P7153" i="52"/>
  <c r="P7154" i="52"/>
  <c r="P7155" i="52"/>
  <c r="P7156" i="52"/>
  <c r="P7157" i="52"/>
  <c r="P7158" i="52"/>
  <c r="P7159" i="52"/>
  <c r="P7160" i="52"/>
  <c r="P7161" i="52"/>
  <c r="P7162" i="52"/>
  <c r="P7163" i="52"/>
  <c r="P7164" i="52"/>
  <c r="P7165" i="52"/>
  <c r="P7166" i="52"/>
  <c r="P7167" i="52"/>
  <c r="P7168" i="52"/>
  <c r="P7169" i="52"/>
  <c r="P7170" i="52"/>
  <c r="P7171" i="52"/>
  <c r="P7172" i="52"/>
  <c r="P7173" i="52"/>
  <c r="P7174" i="52"/>
  <c r="P7175" i="52"/>
  <c r="P7176" i="52"/>
  <c r="P7177" i="52"/>
  <c r="P7178" i="52"/>
  <c r="P7179" i="52"/>
  <c r="P7180" i="52"/>
  <c r="P7181" i="52"/>
  <c r="P7182" i="52"/>
  <c r="P7183" i="52"/>
  <c r="P7184" i="52"/>
  <c r="P7185" i="52"/>
  <c r="P7186" i="52"/>
  <c r="P7187" i="52"/>
  <c r="P7188" i="52"/>
  <c r="P7189" i="52"/>
  <c r="P7190" i="52"/>
  <c r="P7191" i="52"/>
  <c r="P7192" i="52"/>
  <c r="P7193" i="52"/>
  <c r="P7194" i="52"/>
  <c r="P7195" i="52"/>
  <c r="P7196" i="52"/>
  <c r="P7197" i="52"/>
  <c r="P7198" i="52"/>
  <c r="P7199" i="52"/>
  <c r="P7200" i="52"/>
  <c r="P7201" i="52"/>
  <c r="P7202" i="52"/>
  <c r="P7203" i="52"/>
  <c r="P7204" i="52"/>
  <c r="P7205" i="52"/>
  <c r="P7206" i="52"/>
  <c r="P7207" i="52"/>
  <c r="P7208" i="52"/>
  <c r="P7209" i="52"/>
  <c r="P7210" i="52"/>
  <c r="P7211" i="52"/>
  <c r="P7212" i="52"/>
  <c r="P7213" i="52"/>
  <c r="P7214" i="52"/>
  <c r="P7215" i="52"/>
  <c r="P7216" i="52"/>
  <c r="P7217" i="52"/>
  <c r="P7218" i="52"/>
  <c r="P7219" i="52"/>
  <c r="P7220" i="52"/>
  <c r="P7221" i="52"/>
  <c r="P7222" i="52"/>
  <c r="P7223" i="52"/>
  <c r="P7224" i="52"/>
  <c r="P7225" i="52"/>
  <c r="P7226" i="52"/>
  <c r="P7227" i="52"/>
  <c r="P7228" i="52"/>
  <c r="P7229" i="52"/>
  <c r="P7230" i="52"/>
  <c r="P7231" i="52"/>
  <c r="P7232" i="52"/>
  <c r="P7233" i="52"/>
  <c r="P7234" i="52"/>
  <c r="P7235" i="52"/>
  <c r="P7236" i="52"/>
  <c r="P7237" i="52"/>
  <c r="P7238" i="52"/>
  <c r="P7239" i="52"/>
  <c r="P7240" i="52"/>
  <c r="P7241" i="52"/>
  <c r="P7242" i="52"/>
  <c r="P7243" i="52"/>
  <c r="P7244" i="52"/>
  <c r="P7245" i="52"/>
  <c r="P7246" i="52"/>
  <c r="P7247" i="52"/>
  <c r="P7248" i="52"/>
  <c r="P7249" i="52"/>
  <c r="P7250" i="52"/>
  <c r="P7251" i="52"/>
  <c r="P7252" i="52"/>
  <c r="P7253" i="52"/>
  <c r="P7254" i="52"/>
  <c r="T7027" i="52"/>
  <c r="T7028" i="52"/>
  <c r="T7029" i="52"/>
  <c r="T7030" i="52"/>
  <c r="T7031" i="52"/>
  <c r="T7032" i="52"/>
  <c r="T7033" i="52"/>
  <c r="T7034" i="52"/>
  <c r="T7035" i="52"/>
  <c r="T7036" i="52"/>
  <c r="T7037" i="52"/>
  <c r="T7038" i="52"/>
  <c r="T7039" i="52"/>
  <c r="T7040" i="52"/>
  <c r="T7041" i="52"/>
  <c r="T7042" i="52"/>
  <c r="T7043" i="52"/>
  <c r="T7044" i="52"/>
  <c r="T7045" i="52"/>
  <c r="T7046" i="52"/>
  <c r="T7047" i="52"/>
  <c r="T7048" i="52"/>
  <c r="T7049" i="52"/>
  <c r="T7050" i="52"/>
  <c r="T7051" i="52"/>
  <c r="T7052" i="52"/>
  <c r="T7053" i="52"/>
  <c r="T7054" i="52"/>
  <c r="T7055" i="52"/>
  <c r="T7056" i="52"/>
  <c r="T7057" i="52"/>
  <c r="T7058" i="52"/>
  <c r="T7059" i="52"/>
  <c r="T7060" i="52"/>
  <c r="T7061" i="52"/>
  <c r="T7062" i="52"/>
  <c r="T7063" i="52"/>
  <c r="T7064" i="52"/>
  <c r="T7065" i="52"/>
  <c r="T7066" i="52"/>
  <c r="T7067" i="52"/>
  <c r="T7068" i="52"/>
  <c r="T7069" i="52"/>
  <c r="T7070" i="52"/>
  <c r="T7071" i="52"/>
  <c r="T7072" i="52"/>
  <c r="T7073" i="52"/>
  <c r="T7074" i="52"/>
  <c r="T7075" i="52"/>
  <c r="T7076" i="52"/>
  <c r="T7077" i="52"/>
  <c r="T7078" i="52"/>
  <c r="T7079" i="52"/>
  <c r="T7080" i="52"/>
  <c r="T7081" i="52"/>
  <c r="T7082" i="52"/>
  <c r="T7083" i="52"/>
  <c r="T7084" i="52"/>
  <c r="T7085" i="52"/>
  <c r="T7086" i="52"/>
  <c r="T7087" i="52"/>
  <c r="T7088" i="52"/>
  <c r="T7089" i="52"/>
  <c r="T7090" i="52"/>
  <c r="T7091" i="52"/>
  <c r="T7092" i="52"/>
  <c r="T7093" i="52"/>
  <c r="T7094" i="52"/>
  <c r="T7095" i="52"/>
  <c r="T7096" i="52"/>
  <c r="T7097" i="52"/>
  <c r="T7098" i="52"/>
  <c r="T7099" i="52"/>
  <c r="T7100" i="52"/>
  <c r="T7101" i="52"/>
  <c r="T7102" i="52"/>
  <c r="T7103" i="52"/>
  <c r="T7104" i="52"/>
  <c r="T7105" i="52"/>
  <c r="T7106" i="52"/>
  <c r="T7107" i="52"/>
  <c r="T7108" i="52"/>
  <c r="T7109" i="52"/>
  <c r="T7110" i="52"/>
  <c r="T7111" i="52"/>
  <c r="T7112" i="52"/>
  <c r="T7113" i="52"/>
  <c r="T7114" i="52"/>
  <c r="T7115" i="52"/>
  <c r="T7116" i="52"/>
  <c r="T7117" i="52"/>
  <c r="T7118" i="52"/>
  <c r="T7119" i="52"/>
  <c r="T7120" i="52"/>
  <c r="T7121" i="52"/>
  <c r="T7122" i="52"/>
  <c r="T7123" i="52"/>
  <c r="T7124" i="52"/>
  <c r="T7125" i="52"/>
  <c r="T7126" i="52"/>
  <c r="T7127" i="52"/>
  <c r="T7128" i="52"/>
  <c r="T7129" i="52"/>
  <c r="T7130" i="52"/>
  <c r="T7131" i="52"/>
  <c r="T7132" i="52"/>
  <c r="T7133" i="52"/>
  <c r="T7134" i="52"/>
  <c r="T7135" i="52"/>
  <c r="T7136" i="52"/>
  <c r="T7137" i="52"/>
  <c r="T7138" i="52"/>
  <c r="T7139" i="52"/>
  <c r="T7140" i="52"/>
  <c r="T7141" i="52"/>
  <c r="T7142" i="52"/>
  <c r="T7143" i="52"/>
  <c r="T7144" i="52"/>
  <c r="T7145" i="52"/>
  <c r="T7146" i="52"/>
  <c r="T7147" i="52"/>
  <c r="T7148" i="52"/>
  <c r="T7149" i="52"/>
  <c r="T7150" i="52"/>
  <c r="T7151" i="52"/>
  <c r="T7152" i="52"/>
  <c r="T7153" i="52"/>
  <c r="T7154" i="52"/>
  <c r="T7155" i="52"/>
  <c r="T7156" i="52"/>
  <c r="T7157" i="52"/>
  <c r="T7158" i="52"/>
  <c r="T7159" i="52"/>
  <c r="T7160" i="52"/>
  <c r="T7161" i="52"/>
  <c r="T7162" i="52"/>
  <c r="T7163" i="52"/>
  <c r="T7164" i="52"/>
  <c r="T7165" i="52"/>
  <c r="T7166" i="52"/>
  <c r="T7167" i="52"/>
  <c r="T7168" i="52"/>
  <c r="T7169" i="52"/>
  <c r="T7170" i="52"/>
  <c r="T7171" i="52"/>
  <c r="T7172" i="52"/>
  <c r="T7173" i="52"/>
  <c r="T7174" i="52"/>
  <c r="T7175" i="52"/>
  <c r="T7176" i="52"/>
  <c r="T7177" i="52"/>
  <c r="T7178" i="52"/>
  <c r="T7179" i="52"/>
  <c r="T7180" i="52"/>
  <c r="T7181" i="52"/>
  <c r="T7182" i="52"/>
  <c r="T7183" i="52"/>
  <c r="T7184" i="52"/>
  <c r="T7185" i="52"/>
  <c r="T7186" i="52"/>
  <c r="T7187" i="52"/>
  <c r="T7188" i="52"/>
  <c r="T7189" i="52"/>
  <c r="T7190" i="52"/>
  <c r="T7191" i="52"/>
  <c r="T7192" i="52"/>
  <c r="T7193" i="52"/>
  <c r="T7194" i="52"/>
  <c r="T7195" i="52"/>
  <c r="T7196" i="52"/>
  <c r="T7197" i="52"/>
  <c r="T7198" i="52"/>
  <c r="T7199" i="52"/>
  <c r="T7200" i="52"/>
  <c r="T7201" i="52"/>
  <c r="T7202" i="52"/>
  <c r="T7203" i="52"/>
  <c r="T7204" i="52"/>
  <c r="T7205" i="52"/>
  <c r="T7206" i="52"/>
  <c r="T7207" i="52"/>
  <c r="T7208" i="52"/>
  <c r="T7209" i="52"/>
  <c r="T7210" i="52"/>
  <c r="T7211" i="52"/>
  <c r="T7212" i="52"/>
  <c r="T7213" i="52"/>
  <c r="T7214" i="52"/>
  <c r="T7215" i="52"/>
  <c r="T7216" i="52"/>
  <c r="T7217" i="52"/>
  <c r="T7218" i="52"/>
  <c r="T7219" i="52"/>
  <c r="T7220" i="52"/>
  <c r="T7221" i="52"/>
  <c r="T7222" i="52"/>
  <c r="T7223" i="52"/>
  <c r="T7224" i="52"/>
  <c r="T7225" i="52"/>
  <c r="T7226" i="52"/>
  <c r="T7227" i="52"/>
  <c r="T7228" i="52"/>
  <c r="T7229" i="52"/>
  <c r="T7230" i="52"/>
  <c r="T7231" i="52"/>
  <c r="T7232" i="52"/>
  <c r="T7233" i="52"/>
  <c r="T7234" i="52"/>
  <c r="T7235" i="52"/>
  <c r="T7236" i="52"/>
  <c r="T7237" i="52"/>
  <c r="T7238" i="52"/>
  <c r="T7239" i="52"/>
  <c r="T7240" i="52"/>
  <c r="T7241" i="52"/>
  <c r="T7242" i="52"/>
  <c r="T7243" i="52"/>
  <c r="T7244" i="52"/>
  <c r="T7245" i="52"/>
  <c r="T7246" i="52"/>
  <c r="T7247" i="52"/>
  <c r="T7248" i="52"/>
  <c r="T7249" i="52"/>
  <c r="T7250" i="52"/>
  <c r="T7251" i="52"/>
  <c r="T7252" i="52"/>
  <c r="T7253" i="52"/>
  <c r="T7254" i="52"/>
  <c r="U7027" i="52"/>
  <c r="U7028" i="52"/>
  <c r="U7029" i="52"/>
  <c r="U7030" i="52"/>
  <c r="U7031" i="52"/>
  <c r="U7032" i="52"/>
  <c r="U7033" i="52"/>
  <c r="U7034" i="52"/>
  <c r="U7035" i="52"/>
  <c r="U7036" i="52"/>
  <c r="U7037" i="52"/>
  <c r="U7038" i="52"/>
  <c r="U7039" i="52"/>
  <c r="U7040" i="52"/>
  <c r="U7041" i="52"/>
  <c r="U7042" i="52"/>
  <c r="U7043" i="52"/>
  <c r="U7044" i="52"/>
  <c r="U7045" i="52"/>
  <c r="U7046" i="52"/>
  <c r="U7047" i="52"/>
  <c r="U7048" i="52"/>
  <c r="U7049" i="52"/>
  <c r="U7050" i="52"/>
  <c r="U7051" i="52"/>
  <c r="U7052" i="52"/>
  <c r="U7053" i="52"/>
  <c r="U7054" i="52"/>
  <c r="U7055" i="52"/>
  <c r="U7056" i="52"/>
  <c r="U7057" i="52"/>
  <c r="U7058" i="52"/>
  <c r="U7059" i="52"/>
  <c r="U7060" i="52"/>
  <c r="U7061" i="52"/>
  <c r="U7062" i="52"/>
  <c r="U7063" i="52"/>
  <c r="U7064" i="52"/>
  <c r="U7065" i="52"/>
  <c r="U7066" i="52"/>
  <c r="U7067" i="52"/>
  <c r="U7068" i="52"/>
  <c r="U7069" i="52"/>
  <c r="U7070" i="52"/>
  <c r="U7071" i="52"/>
  <c r="U7072" i="52"/>
  <c r="U7073" i="52"/>
  <c r="U7074" i="52"/>
  <c r="U7075" i="52"/>
  <c r="U7076" i="52"/>
  <c r="U7077" i="52"/>
  <c r="U7078" i="52"/>
  <c r="U7079" i="52"/>
  <c r="U7080" i="52"/>
  <c r="U7081" i="52"/>
  <c r="U7082" i="52"/>
  <c r="U7083" i="52"/>
  <c r="U7084" i="52"/>
  <c r="U7085" i="52"/>
  <c r="U7086" i="52"/>
  <c r="U7087" i="52"/>
  <c r="U7088" i="52"/>
  <c r="U7089" i="52"/>
  <c r="U7090" i="52"/>
  <c r="U7091" i="52"/>
  <c r="U7092" i="52"/>
  <c r="U7093" i="52"/>
  <c r="U7094" i="52"/>
  <c r="U7095" i="52"/>
  <c r="U7096" i="52"/>
  <c r="U7097" i="52"/>
  <c r="U7098" i="52"/>
  <c r="U7099" i="52"/>
  <c r="U7100" i="52"/>
  <c r="U7101" i="52"/>
  <c r="U7102" i="52"/>
  <c r="U7103" i="52"/>
  <c r="U7104" i="52"/>
  <c r="U7105" i="52"/>
  <c r="U7106" i="52"/>
  <c r="U7107" i="52"/>
  <c r="U7108" i="52"/>
  <c r="U7109" i="52"/>
  <c r="U7110" i="52"/>
  <c r="U7111" i="52"/>
  <c r="U7112" i="52"/>
  <c r="U7113" i="52"/>
  <c r="U7114" i="52"/>
  <c r="U7115" i="52"/>
  <c r="U7116" i="52"/>
  <c r="U7117" i="52"/>
  <c r="U7118" i="52"/>
  <c r="U7119" i="52"/>
  <c r="U7120" i="52"/>
  <c r="U7121" i="52"/>
  <c r="U7122" i="52"/>
  <c r="U7123" i="52"/>
  <c r="U7124" i="52"/>
  <c r="U7125" i="52"/>
  <c r="U7126" i="52"/>
  <c r="U7127" i="52"/>
  <c r="U7128" i="52"/>
  <c r="U7129" i="52"/>
  <c r="U7130" i="52"/>
  <c r="U7131" i="52"/>
  <c r="U7132" i="52"/>
  <c r="U7133" i="52"/>
  <c r="U7134" i="52"/>
  <c r="U7135" i="52"/>
  <c r="U7136" i="52"/>
  <c r="U7137" i="52"/>
  <c r="U7138" i="52"/>
  <c r="U7139" i="52"/>
  <c r="U7140" i="52"/>
  <c r="U7141" i="52"/>
  <c r="U7142" i="52"/>
  <c r="U7143" i="52"/>
  <c r="U7144" i="52"/>
  <c r="U7145" i="52"/>
  <c r="U7146" i="52"/>
  <c r="U7147" i="52"/>
  <c r="U7148" i="52"/>
  <c r="U7149" i="52"/>
  <c r="U7150" i="52"/>
  <c r="U7151" i="52"/>
  <c r="U7152" i="52"/>
  <c r="U7153" i="52"/>
  <c r="U7154" i="52"/>
  <c r="U7155" i="52"/>
  <c r="U7156" i="52"/>
  <c r="U7157" i="52"/>
  <c r="U7158" i="52"/>
  <c r="U7159" i="52"/>
  <c r="U7160" i="52"/>
  <c r="U7161" i="52"/>
  <c r="U7162" i="52"/>
  <c r="U7163" i="52"/>
  <c r="U7164" i="52"/>
  <c r="U7165" i="52"/>
  <c r="U7166" i="52"/>
  <c r="U7167" i="52"/>
  <c r="U7168" i="52"/>
  <c r="U7169" i="52"/>
  <c r="U7170" i="52"/>
  <c r="U7171" i="52"/>
  <c r="U7172" i="52"/>
  <c r="U7173" i="52"/>
  <c r="U7174" i="52"/>
  <c r="U7175" i="52"/>
  <c r="U7176" i="52"/>
  <c r="U7177" i="52"/>
  <c r="U7178" i="52"/>
  <c r="U7179" i="52"/>
  <c r="U7180" i="52"/>
  <c r="U7181" i="52"/>
  <c r="U7182" i="52"/>
  <c r="U7183" i="52"/>
  <c r="U7184" i="52"/>
  <c r="U7185" i="52"/>
  <c r="U7186" i="52"/>
  <c r="U7187" i="52"/>
  <c r="U7188" i="52"/>
  <c r="U7189" i="52"/>
  <c r="U7190" i="52"/>
  <c r="U7191" i="52"/>
  <c r="U7192" i="52"/>
  <c r="U7193" i="52"/>
  <c r="U7194" i="52"/>
  <c r="U7195" i="52"/>
  <c r="U7196" i="52"/>
  <c r="U7197" i="52"/>
  <c r="U7198" i="52"/>
  <c r="U7199" i="52"/>
  <c r="U7200" i="52"/>
  <c r="U7201" i="52"/>
  <c r="U7202" i="52"/>
  <c r="U7203" i="52"/>
  <c r="U7204" i="52"/>
  <c r="U7205" i="52"/>
  <c r="U7206" i="52"/>
  <c r="U7207" i="52"/>
  <c r="U7208" i="52"/>
  <c r="U7209" i="52"/>
  <c r="U7210" i="52"/>
  <c r="U7211" i="52"/>
  <c r="U7212" i="52"/>
  <c r="U7213" i="52"/>
  <c r="U7214" i="52"/>
  <c r="U7215" i="52"/>
  <c r="U7216" i="52"/>
  <c r="U7217" i="52"/>
  <c r="U7218" i="52"/>
  <c r="U7219" i="52"/>
  <c r="U7220" i="52"/>
  <c r="U7221" i="52"/>
  <c r="U7222" i="52"/>
  <c r="U7223" i="52"/>
  <c r="U7224" i="52"/>
  <c r="U7225" i="52"/>
  <c r="U7226" i="52"/>
  <c r="U7227" i="52"/>
  <c r="U7228" i="52"/>
  <c r="U7229" i="52"/>
  <c r="U7230" i="52"/>
  <c r="U7231" i="52"/>
  <c r="U7232" i="52"/>
  <c r="U7233" i="52"/>
  <c r="U7234" i="52"/>
  <c r="U7235" i="52"/>
  <c r="U7236" i="52"/>
  <c r="U7237" i="52"/>
  <c r="U7238" i="52"/>
  <c r="U7239" i="52"/>
  <c r="U7240" i="52"/>
  <c r="U7241" i="52"/>
  <c r="U7242" i="52"/>
  <c r="U7243" i="52"/>
  <c r="U7244" i="52"/>
  <c r="U7245" i="52"/>
  <c r="U7246" i="52"/>
  <c r="U7247" i="52"/>
  <c r="U7248" i="52"/>
  <c r="U7249" i="52"/>
  <c r="U7250" i="52"/>
  <c r="U7251" i="52"/>
  <c r="U7252" i="52"/>
  <c r="U7253" i="52"/>
  <c r="U7254" i="52"/>
  <c r="V7027" i="52"/>
  <c r="V7028" i="52"/>
  <c r="V7029" i="52"/>
  <c r="V7030" i="52"/>
  <c r="V7031" i="52"/>
  <c r="V7032" i="52"/>
  <c r="V7033" i="52"/>
  <c r="V7034" i="52"/>
  <c r="V7035" i="52"/>
  <c r="V7036" i="52"/>
  <c r="V7037" i="52"/>
  <c r="V7038" i="52"/>
  <c r="V7039" i="52"/>
  <c r="V7040" i="52"/>
  <c r="V7041" i="52"/>
  <c r="V7042" i="52"/>
  <c r="V7043" i="52"/>
  <c r="V7044" i="52"/>
  <c r="V7045" i="52"/>
  <c r="V7046" i="52"/>
  <c r="V7047" i="52"/>
  <c r="V7048" i="52"/>
  <c r="V7049" i="52"/>
  <c r="V7050" i="52"/>
  <c r="V7051" i="52"/>
  <c r="V7052" i="52"/>
  <c r="V7053" i="52"/>
  <c r="V7054" i="52"/>
  <c r="V7055" i="52"/>
  <c r="V7056" i="52"/>
  <c r="V7057" i="52"/>
  <c r="V7058" i="52"/>
  <c r="V7059" i="52"/>
  <c r="V7060" i="52"/>
  <c r="V7061" i="52"/>
  <c r="V7062" i="52"/>
  <c r="V7063" i="52"/>
  <c r="V7064" i="52"/>
  <c r="V7065" i="52"/>
  <c r="V7066" i="52"/>
  <c r="V7067" i="52"/>
  <c r="V7068" i="52"/>
  <c r="V7069" i="52"/>
  <c r="V7070" i="52"/>
  <c r="V7071" i="52"/>
  <c r="V7072" i="52"/>
  <c r="V7073" i="52"/>
  <c r="V7074" i="52"/>
  <c r="V7075" i="52"/>
  <c r="V7076" i="52"/>
  <c r="V7077" i="52"/>
  <c r="V7078" i="52"/>
  <c r="V7079" i="52"/>
  <c r="V7080" i="52"/>
  <c r="V7081" i="52"/>
  <c r="V7082" i="52"/>
  <c r="V7083" i="52"/>
  <c r="V7084" i="52"/>
  <c r="V7085" i="52"/>
  <c r="V7086" i="52"/>
  <c r="V7087" i="52"/>
  <c r="V7088" i="52"/>
  <c r="V7089" i="52"/>
  <c r="V7090" i="52"/>
  <c r="V7091" i="52"/>
  <c r="V7092" i="52"/>
  <c r="V7093" i="52"/>
  <c r="V7094" i="52"/>
  <c r="V7095" i="52"/>
  <c r="V7096" i="52"/>
  <c r="V7097" i="52"/>
  <c r="V7098" i="52"/>
  <c r="V7099" i="52"/>
  <c r="V7100" i="52"/>
  <c r="V7101" i="52"/>
  <c r="V7102" i="52"/>
  <c r="V7103" i="52"/>
  <c r="V7104" i="52"/>
  <c r="V7105" i="52"/>
  <c r="V7106" i="52"/>
  <c r="V7107" i="52"/>
  <c r="V7108" i="52"/>
  <c r="V7109" i="52"/>
  <c r="V7110" i="52"/>
  <c r="V7111" i="52"/>
  <c r="V7112" i="52"/>
  <c r="V7113" i="52"/>
  <c r="V7114" i="52"/>
  <c r="V7115" i="52"/>
  <c r="V7116" i="52"/>
  <c r="V7117" i="52"/>
  <c r="V7118" i="52"/>
  <c r="V7119" i="52"/>
  <c r="V7120" i="52"/>
  <c r="V7121" i="52"/>
  <c r="V7122" i="52"/>
  <c r="V7123" i="52"/>
  <c r="V7124" i="52"/>
  <c r="V7125" i="52"/>
  <c r="V7126" i="52"/>
  <c r="V7127" i="52"/>
  <c r="V7128" i="52"/>
  <c r="V7129" i="52"/>
  <c r="V7130" i="52"/>
  <c r="V7131" i="52"/>
  <c r="V7132" i="52"/>
  <c r="V7133" i="52"/>
  <c r="V7134" i="52"/>
  <c r="V7135" i="52"/>
  <c r="V7136" i="52"/>
  <c r="V7137" i="52"/>
  <c r="V7138" i="52"/>
  <c r="V7139" i="52"/>
  <c r="V7140" i="52"/>
  <c r="V7141" i="52"/>
  <c r="V7142" i="52"/>
  <c r="V7143" i="52"/>
  <c r="V7144" i="52"/>
  <c r="V7145" i="52"/>
  <c r="V7146" i="52"/>
  <c r="V7147" i="52"/>
  <c r="V7148" i="52"/>
  <c r="V7149" i="52"/>
  <c r="V7150" i="52"/>
  <c r="V7151" i="52"/>
  <c r="V7152" i="52"/>
  <c r="V7153" i="52"/>
  <c r="V7154" i="52"/>
  <c r="V7155" i="52"/>
  <c r="V7156" i="52"/>
  <c r="V7157" i="52"/>
  <c r="V7158" i="52"/>
  <c r="V7159" i="52"/>
  <c r="V7160" i="52"/>
  <c r="V7161" i="52"/>
  <c r="V7162" i="52"/>
  <c r="V7163" i="52"/>
  <c r="V7164" i="52"/>
  <c r="V7165" i="52"/>
  <c r="V7166" i="52"/>
  <c r="V7167" i="52"/>
  <c r="V7168" i="52"/>
  <c r="V7169" i="52"/>
  <c r="V7170" i="52"/>
  <c r="V7171" i="52"/>
  <c r="V7172" i="52"/>
  <c r="V7173" i="52"/>
  <c r="V7174" i="52"/>
  <c r="V7175" i="52"/>
  <c r="V7176" i="52"/>
  <c r="V7177" i="52"/>
  <c r="V7178" i="52"/>
  <c r="V7179" i="52"/>
  <c r="V7180" i="52"/>
  <c r="V7181" i="52"/>
  <c r="V7182" i="52"/>
  <c r="V7183" i="52"/>
  <c r="V7184" i="52"/>
  <c r="V7185" i="52"/>
  <c r="V7186" i="52"/>
  <c r="V7187" i="52"/>
  <c r="V7188" i="52"/>
  <c r="V7189" i="52"/>
  <c r="V7190" i="52"/>
  <c r="V7191" i="52"/>
  <c r="V7192" i="52"/>
  <c r="V7193" i="52"/>
  <c r="V7194" i="52"/>
  <c r="V7195" i="52"/>
  <c r="V7196" i="52"/>
  <c r="V7197" i="52"/>
  <c r="V7198" i="52"/>
  <c r="V7199" i="52"/>
  <c r="V7200" i="52"/>
  <c r="V7201" i="52"/>
  <c r="V7202" i="52"/>
  <c r="V7203" i="52"/>
  <c r="V7204" i="52"/>
  <c r="V7205" i="52"/>
  <c r="V7206" i="52"/>
  <c r="V7207" i="52"/>
  <c r="V7208" i="52"/>
  <c r="V7209" i="52"/>
  <c r="V7210" i="52"/>
  <c r="V7211" i="52"/>
  <c r="V7212" i="52"/>
  <c r="V7213" i="52"/>
  <c r="V7214" i="52"/>
  <c r="V7215" i="52"/>
  <c r="V7216" i="52"/>
  <c r="V7217" i="52"/>
  <c r="V7218" i="52"/>
  <c r="V7219" i="52"/>
  <c r="V7220" i="52"/>
  <c r="V7221" i="52"/>
  <c r="V7222" i="52"/>
  <c r="V7223" i="52"/>
  <c r="V7224" i="52"/>
  <c r="V7225" i="52"/>
  <c r="V7226" i="52"/>
  <c r="V7227" i="52"/>
  <c r="V7228" i="52"/>
  <c r="V7229" i="52"/>
  <c r="V7230" i="52"/>
  <c r="V7231" i="52"/>
  <c r="V7232" i="52"/>
  <c r="V7233" i="52"/>
  <c r="V7234" i="52"/>
  <c r="V7235" i="52"/>
  <c r="V7236" i="52"/>
  <c r="V7237" i="52"/>
  <c r="V7238" i="52"/>
  <c r="V7239" i="52"/>
  <c r="V7240" i="52"/>
  <c r="V7241" i="52"/>
  <c r="V7242" i="52"/>
  <c r="V7243" i="52"/>
  <c r="V7244" i="52"/>
  <c r="V7245" i="52"/>
  <c r="V7246" i="52"/>
  <c r="V7247" i="52"/>
  <c r="V7248" i="52"/>
  <c r="V7249" i="52"/>
  <c r="V7250" i="52"/>
  <c r="V7251" i="52"/>
  <c r="V7252" i="52"/>
  <c r="V7253" i="52"/>
  <c r="V7254" i="52"/>
  <c r="A6799" i="52"/>
  <c r="A6800" i="52"/>
  <c r="A6801" i="52"/>
  <c r="A6802" i="52"/>
  <c r="A6803" i="52"/>
  <c r="A6804" i="52"/>
  <c r="A6805" i="52"/>
  <c r="A6806" i="52"/>
  <c r="A6807" i="52"/>
  <c r="A6808" i="52"/>
  <c r="A6809" i="52"/>
  <c r="A6810" i="52"/>
  <c r="A6811" i="52"/>
  <c r="A6812" i="52"/>
  <c r="A6813" i="52"/>
  <c r="A6814" i="52"/>
  <c r="A6815" i="52"/>
  <c r="A6816" i="52"/>
  <c r="A6817" i="52"/>
  <c r="A6818" i="52"/>
  <c r="A6819" i="52"/>
  <c r="A6820" i="52"/>
  <c r="A6821" i="52"/>
  <c r="A6822" i="52"/>
  <c r="A6823" i="52"/>
  <c r="A6824" i="52"/>
  <c r="A6825" i="52"/>
  <c r="A6826" i="52"/>
  <c r="A6827" i="52"/>
  <c r="A6828" i="52"/>
  <c r="A6829" i="52"/>
  <c r="A6830" i="52"/>
  <c r="A6831" i="52"/>
  <c r="A6832" i="52"/>
  <c r="A6833" i="52"/>
  <c r="A6834" i="52"/>
  <c r="A6835" i="52"/>
  <c r="A6836" i="52"/>
  <c r="A6837" i="52"/>
  <c r="A6838" i="52"/>
  <c r="A6839" i="52"/>
  <c r="A6840" i="52"/>
  <c r="A6841" i="52"/>
  <c r="A6842" i="52"/>
  <c r="A6843" i="52"/>
  <c r="A6844" i="52"/>
  <c r="A6845" i="52"/>
  <c r="A6846" i="52"/>
  <c r="A6847" i="52"/>
  <c r="A6848" i="52"/>
  <c r="A6849" i="52"/>
  <c r="A6850" i="52"/>
  <c r="A6851" i="52"/>
  <c r="A6852" i="52"/>
  <c r="A6853" i="52"/>
  <c r="A6854" i="52"/>
  <c r="A6855" i="52"/>
  <c r="A6856" i="52"/>
  <c r="A6857" i="52"/>
  <c r="A6858" i="52"/>
  <c r="A6859" i="52"/>
  <c r="A6860" i="52"/>
  <c r="A6861" i="52"/>
  <c r="A6862" i="52"/>
  <c r="A6863" i="52"/>
  <c r="A6864" i="52"/>
  <c r="A6865" i="52"/>
  <c r="A6866" i="52"/>
  <c r="A6867" i="52"/>
  <c r="A6868" i="52"/>
  <c r="A6869" i="52"/>
  <c r="A6870" i="52"/>
  <c r="A6871" i="52"/>
  <c r="A6872" i="52"/>
  <c r="A6873" i="52"/>
  <c r="A6874" i="52"/>
  <c r="A6875" i="52"/>
  <c r="A6876" i="52"/>
  <c r="A6877" i="52"/>
  <c r="A6878" i="52"/>
  <c r="A6879" i="52"/>
  <c r="A6880" i="52"/>
  <c r="A6881" i="52"/>
  <c r="A6882" i="52"/>
  <c r="A6883" i="52"/>
  <c r="A6884" i="52"/>
  <c r="A6885" i="52"/>
  <c r="A6886" i="52"/>
  <c r="A6887" i="52"/>
  <c r="A6888" i="52"/>
  <c r="A6889" i="52"/>
  <c r="A6890" i="52"/>
  <c r="A6891" i="52"/>
  <c r="A6892" i="52"/>
  <c r="A6893" i="52"/>
  <c r="A6894" i="52"/>
  <c r="A6895" i="52"/>
  <c r="A6896" i="52"/>
  <c r="A6897" i="52"/>
  <c r="A6898" i="52"/>
  <c r="A6899" i="52"/>
  <c r="A6900" i="52"/>
  <c r="A6901" i="52"/>
  <c r="A6902" i="52"/>
  <c r="A6903" i="52"/>
  <c r="A6904" i="52"/>
  <c r="A6905" i="52"/>
  <c r="A6906" i="52"/>
  <c r="A6907" i="52"/>
  <c r="A6908" i="52"/>
  <c r="A6909" i="52"/>
  <c r="A6910" i="52"/>
  <c r="A6911" i="52"/>
  <c r="A6912" i="52"/>
  <c r="A6913" i="52"/>
  <c r="A6914" i="52"/>
  <c r="A6915" i="52"/>
  <c r="A6916" i="52"/>
  <c r="A6917" i="52"/>
  <c r="A6918" i="52"/>
  <c r="A6919" i="52"/>
  <c r="A6920" i="52"/>
  <c r="A6921" i="52"/>
  <c r="A6922" i="52"/>
  <c r="A6923" i="52"/>
  <c r="A6924" i="52"/>
  <c r="A6925" i="52"/>
  <c r="A6926" i="52"/>
  <c r="A6927" i="52"/>
  <c r="A6928" i="52"/>
  <c r="A6929" i="52"/>
  <c r="A6930" i="52"/>
  <c r="A6931" i="52"/>
  <c r="A6932" i="52"/>
  <c r="A6933" i="52"/>
  <c r="A6934" i="52"/>
  <c r="A6935" i="52"/>
  <c r="A6936" i="52"/>
  <c r="A6937" i="52"/>
  <c r="A6938" i="52"/>
  <c r="A6939" i="52"/>
  <c r="A6940" i="52"/>
  <c r="A6941" i="52"/>
  <c r="A6942" i="52"/>
  <c r="A6943" i="52"/>
  <c r="A6944" i="52"/>
  <c r="A6945" i="52"/>
  <c r="A6946" i="52"/>
  <c r="A6947" i="52"/>
  <c r="A6948" i="52"/>
  <c r="A6949" i="52"/>
  <c r="A6950" i="52"/>
  <c r="A6951" i="52"/>
  <c r="A6952" i="52"/>
  <c r="A6953" i="52"/>
  <c r="A6954" i="52"/>
  <c r="A6955" i="52"/>
  <c r="A6956" i="52"/>
  <c r="A6957" i="52"/>
  <c r="A6958" i="52"/>
  <c r="A6959" i="52"/>
  <c r="A6960" i="52"/>
  <c r="A6961" i="52"/>
  <c r="A6962" i="52"/>
  <c r="A6963" i="52"/>
  <c r="A6964" i="52"/>
  <c r="A6965" i="52"/>
  <c r="A6966" i="52"/>
  <c r="A6967" i="52"/>
  <c r="A6968" i="52"/>
  <c r="A6969" i="52"/>
  <c r="A6970" i="52"/>
  <c r="A6971" i="52"/>
  <c r="A6972" i="52"/>
  <c r="A6973" i="52"/>
  <c r="A6974" i="52"/>
  <c r="A6975" i="52"/>
  <c r="A6976" i="52"/>
  <c r="A6977" i="52"/>
  <c r="A6978" i="52"/>
  <c r="A6979" i="52"/>
  <c r="A6980" i="52"/>
  <c r="A6981" i="52"/>
  <c r="A6982" i="52"/>
  <c r="A6983" i="52"/>
  <c r="A6984" i="52"/>
  <c r="A6985" i="52"/>
  <c r="A6986" i="52"/>
  <c r="A6987" i="52"/>
  <c r="A6988" i="52"/>
  <c r="A6989" i="52"/>
  <c r="A6990" i="52"/>
  <c r="A6991" i="52"/>
  <c r="A6992" i="52"/>
  <c r="A6993" i="52"/>
  <c r="A6994" i="52"/>
  <c r="A6995" i="52"/>
  <c r="A6996" i="52"/>
  <c r="A6997" i="52"/>
  <c r="A6998" i="52"/>
  <c r="A6999" i="52"/>
  <c r="A7000" i="52"/>
  <c r="A7001" i="52"/>
  <c r="A7002" i="52"/>
  <c r="A7003" i="52"/>
  <c r="A7004" i="52"/>
  <c r="A7005" i="52"/>
  <c r="A7006" i="52"/>
  <c r="A7007" i="52"/>
  <c r="A7008" i="52"/>
  <c r="A7009" i="52"/>
  <c r="A7010" i="52"/>
  <c r="A7011" i="52"/>
  <c r="A7012" i="52"/>
  <c r="A7013" i="52"/>
  <c r="A7014" i="52"/>
  <c r="A7015" i="52"/>
  <c r="A7016" i="52"/>
  <c r="A7017" i="52"/>
  <c r="A7018" i="52"/>
  <c r="A7019" i="52"/>
  <c r="A7020" i="52"/>
  <c r="A7021" i="52"/>
  <c r="A7022" i="52"/>
  <c r="A7023" i="52"/>
  <c r="A7024" i="52"/>
  <c r="A7025" i="52"/>
  <c r="A7026" i="52"/>
  <c r="P6799" i="52"/>
  <c r="P6800" i="52"/>
  <c r="P6801" i="52"/>
  <c r="P6802" i="52"/>
  <c r="P6803" i="52"/>
  <c r="P6804" i="52"/>
  <c r="P6805" i="52"/>
  <c r="P6806" i="52"/>
  <c r="P6807" i="52"/>
  <c r="P6808" i="52"/>
  <c r="P6809" i="52"/>
  <c r="P6810" i="52"/>
  <c r="P6811" i="52"/>
  <c r="P6812" i="52"/>
  <c r="P6813" i="52"/>
  <c r="P6814" i="52"/>
  <c r="P6815" i="52"/>
  <c r="P6816" i="52"/>
  <c r="P6817" i="52"/>
  <c r="P6818" i="52"/>
  <c r="P6819" i="52"/>
  <c r="P6820" i="52"/>
  <c r="P6821" i="52"/>
  <c r="P6822" i="52"/>
  <c r="P6823" i="52"/>
  <c r="P6824" i="52"/>
  <c r="P6825" i="52"/>
  <c r="P6826" i="52"/>
  <c r="P6827" i="52"/>
  <c r="P6828" i="52"/>
  <c r="P6829" i="52"/>
  <c r="P6830" i="52"/>
  <c r="P6831" i="52"/>
  <c r="P6832" i="52"/>
  <c r="P6833" i="52"/>
  <c r="P6834" i="52"/>
  <c r="P6835" i="52"/>
  <c r="P6836" i="52"/>
  <c r="P6837" i="52"/>
  <c r="P6838" i="52"/>
  <c r="P6839" i="52"/>
  <c r="P6840" i="52"/>
  <c r="P6841" i="52"/>
  <c r="P6842" i="52"/>
  <c r="P6843" i="52"/>
  <c r="P6844" i="52"/>
  <c r="P6845" i="52"/>
  <c r="P6846" i="52"/>
  <c r="P6847" i="52"/>
  <c r="P6848" i="52"/>
  <c r="P6849" i="52"/>
  <c r="P6850" i="52"/>
  <c r="P6851" i="52"/>
  <c r="P6852" i="52"/>
  <c r="P6853" i="52"/>
  <c r="P6854" i="52"/>
  <c r="P6855" i="52"/>
  <c r="P6856" i="52"/>
  <c r="P6857" i="52"/>
  <c r="P6858" i="52"/>
  <c r="P6859" i="52"/>
  <c r="P6860" i="52"/>
  <c r="P6861" i="52"/>
  <c r="P6862" i="52"/>
  <c r="P6863" i="52"/>
  <c r="P6864" i="52"/>
  <c r="P6865" i="52"/>
  <c r="P6866" i="52"/>
  <c r="P6867" i="52"/>
  <c r="P6868" i="52"/>
  <c r="P6869" i="52"/>
  <c r="P6870" i="52"/>
  <c r="P6871" i="52"/>
  <c r="P6872" i="52"/>
  <c r="P6873" i="52"/>
  <c r="P6874" i="52"/>
  <c r="P6875" i="52"/>
  <c r="P6876" i="52"/>
  <c r="P6877" i="52"/>
  <c r="P6878" i="52"/>
  <c r="P6879" i="52"/>
  <c r="P6880" i="52"/>
  <c r="P6881" i="52"/>
  <c r="P6882" i="52"/>
  <c r="P6883" i="52"/>
  <c r="P6884" i="52"/>
  <c r="P6885" i="52"/>
  <c r="P6886" i="52"/>
  <c r="P6887" i="52"/>
  <c r="P6888" i="52"/>
  <c r="P6889" i="52"/>
  <c r="P6890" i="52"/>
  <c r="P6891" i="52"/>
  <c r="P6892" i="52"/>
  <c r="P6893" i="52"/>
  <c r="P6894" i="52"/>
  <c r="P6895" i="52"/>
  <c r="P6896" i="52"/>
  <c r="P6897" i="52"/>
  <c r="P6898" i="52"/>
  <c r="P6899" i="52"/>
  <c r="P6900" i="52"/>
  <c r="P6901" i="52"/>
  <c r="P6902" i="52"/>
  <c r="P6903" i="52"/>
  <c r="P6904" i="52"/>
  <c r="P6905" i="52"/>
  <c r="P6906" i="52"/>
  <c r="P6907" i="52"/>
  <c r="P6908" i="52"/>
  <c r="P6909" i="52"/>
  <c r="P6910" i="52"/>
  <c r="P6911" i="52"/>
  <c r="P6912" i="52"/>
  <c r="P6913" i="52"/>
  <c r="P6914" i="52"/>
  <c r="P6915" i="52"/>
  <c r="P6916" i="52"/>
  <c r="P6917" i="52"/>
  <c r="P6918" i="52"/>
  <c r="P6919" i="52"/>
  <c r="P6920" i="52"/>
  <c r="P6921" i="52"/>
  <c r="P6922" i="52"/>
  <c r="P6923" i="52"/>
  <c r="P6924" i="52"/>
  <c r="P6925" i="52"/>
  <c r="P6926" i="52"/>
  <c r="P6927" i="52"/>
  <c r="P6928" i="52"/>
  <c r="P6929" i="52"/>
  <c r="P6930" i="52"/>
  <c r="P6931" i="52"/>
  <c r="P6932" i="52"/>
  <c r="P6933" i="52"/>
  <c r="P6934" i="52"/>
  <c r="P6935" i="52"/>
  <c r="P6936" i="52"/>
  <c r="P6937" i="52"/>
  <c r="P6938" i="52"/>
  <c r="P6939" i="52"/>
  <c r="P6940" i="52"/>
  <c r="P6941" i="52"/>
  <c r="P6942" i="52"/>
  <c r="P6943" i="52"/>
  <c r="P6944" i="52"/>
  <c r="P6945" i="52"/>
  <c r="P6946" i="52"/>
  <c r="P6947" i="52"/>
  <c r="P6948" i="52"/>
  <c r="P6949" i="52"/>
  <c r="P6950" i="52"/>
  <c r="P6951" i="52"/>
  <c r="P6952" i="52"/>
  <c r="P6953" i="52"/>
  <c r="P6954" i="52"/>
  <c r="P6955" i="52"/>
  <c r="P6956" i="52"/>
  <c r="P6957" i="52"/>
  <c r="P6958" i="52"/>
  <c r="P6959" i="52"/>
  <c r="P6960" i="52"/>
  <c r="P6961" i="52"/>
  <c r="P6962" i="52"/>
  <c r="P6963" i="52"/>
  <c r="P6964" i="52"/>
  <c r="P6965" i="52"/>
  <c r="P6966" i="52"/>
  <c r="P6967" i="52"/>
  <c r="P6968" i="52"/>
  <c r="P6969" i="52"/>
  <c r="P6970" i="52"/>
  <c r="P6971" i="52"/>
  <c r="P6972" i="52"/>
  <c r="P6973" i="52"/>
  <c r="P6974" i="52"/>
  <c r="P6975" i="52"/>
  <c r="P6976" i="52"/>
  <c r="P6977" i="52"/>
  <c r="P6978" i="52"/>
  <c r="P6979" i="52"/>
  <c r="P6980" i="52"/>
  <c r="P6981" i="52"/>
  <c r="P6982" i="52"/>
  <c r="P6983" i="52"/>
  <c r="P6984" i="52"/>
  <c r="P6985" i="52"/>
  <c r="P6986" i="52"/>
  <c r="P6987" i="52"/>
  <c r="P6988" i="52"/>
  <c r="P6989" i="52"/>
  <c r="P6990" i="52"/>
  <c r="P6991" i="52"/>
  <c r="P6992" i="52"/>
  <c r="P6993" i="52"/>
  <c r="P6994" i="52"/>
  <c r="P6995" i="52"/>
  <c r="P6996" i="52"/>
  <c r="P6997" i="52"/>
  <c r="P6998" i="52"/>
  <c r="P6999" i="52"/>
  <c r="P7000" i="52"/>
  <c r="P7001" i="52"/>
  <c r="P7002" i="52"/>
  <c r="P7003" i="52"/>
  <c r="P7004" i="52"/>
  <c r="P7005" i="52"/>
  <c r="P7006" i="52"/>
  <c r="P7007" i="52"/>
  <c r="P7008" i="52"/>
  <c r="P7009" i="52"/>
  <c r="P7010" i="52"/>
  <c r="P7011" i="52"/>
  <c r="P7012" i="52"/>
  <c r="P7013" i="52"/>
  <c r="P7014" i="52"/>
  <c r="P7015" i="52"/>
  <c r="P7016" i="52"/>
  <c r="P7017" i="52"/>
  <c r="P7018" i="52"/>
  <c r="P7019" i="52"/>
  <c r="P7020" i="52"/>
  <c r="P7021" i="52"/>
  <c r="P7022" i="52"/>
  <c r="P7023" i="52"/>
  <c r="P7024" i="52"/>
  <c r="P7025" i="52"/>
  <c r="P7026" i="52"/>
  <c r="T6799" i="52"/>
  <c r="T6800" i="52"/>
  <c r="T6801" i="52"/>
  <c r="T6802" i="52"/>
  <c r="T6803" i="52"/>
  <c r="T6804" i="52"/>
  <c r="T6805" i="52"/>
  <c r="T6806" i="52"/>
  <c r="T6807" i="52"/>
  <c r="T6808" i="52"/>
  <c r="T6809" i="52"/>
  <c r="T6810" i="52"/>
  <c r="T6811" i="52"/>
  <c r="T6812" i="52"/>
  <c r="T6813" i="52"/>
  <c r="T6814" i="52"/>
  <c r="T6815" i="52"/>
  <c r="T6816" i="52"/>
  <c r="T6817" i="52"/>
  <c r="T6818" i="52"/>
  <c r="T6819" i="52"/>
  <c r="T6820" i="52"/>
  <c r="T6821" i="52"/>
  <c r="T6822" i="52"/>
  <c r="T6823" i="52"/>
  <c r="T6824" i="52"/>
  <c r="T6825" i="52"/>
  <c r="T6826" i="52"/>
  <c r="T6827" i="52"/>
  <c r="T6828" i="52"/>
  <c r="T6829" i="52"/>
  <c r="T6830" i="52"/>
  <c r="T6831" i="52"/>
  <c r="T6832" i="52"/>
  <c r="T6833" i="52"/>
  <c r="T6834" i="52"/>
  <c r="T6835" i="52"/>
  <c r="T6836" i="52"/>
  <c r="T6837" i="52"/>
  <c r="T6838" i="52"/>
  <c r="T6839" i="52"/>
  <c r="T6840" i="52"/>
  <c r="T6841" i="52"/>
  <c r="T6842" i="52"/>
  <c r="T6843" i="52"/>
  <c r="T6844" i="52"/>
  <c r="T6845" i="52"/>
  <c r="T6846" i="52"/>
  <c r="T6847" i="52"/>
  <c r="T6848" i="52"/>
  <c r="T6849" i="52"/>
  <c r="T6850" i="52"/>
  <c r="T6851" i="52"/>
  <c r="T6852" i="52"/>
  <c r="T6853" i="52"/>
  <c r="T6854" i="52"/>
  <c r="T6855" i="52"/>
  <c r="T6856" i="52"/>
  <c r="T6857" i="52"/>
  <c r="T6858" i="52"/>
  <c r="T6859" i="52"/>
  <c r="T6860" i="52"/>
  <c r="T6861" i="52"/>
  <c r="T6862" i="52"/>
  <c r="T6863" i="52"/>
  <c r="T6864" i="52"/>
  <c r="T6865" i="52"/>
  <c r="T6866" i="52"/>
  <c r="T6867" i="52"/>
  <c r="T6868" i="52"/>
  <c r="T6869" i="52"/>
  <c r="T6870" i="52"/>
  <c r="T6871" i="52"/>
  <c r="T6872" i="52"/>
  <c r="T6873" i="52"/>
  <c r="T6874" i="52"/>
  <c r="T6875" i="52"/>
  <c r="T6876" i="52"/>
  <c r="T6877" i="52"/>
  <c r="T6878" i="52"/>
  <c r="T6879" i="52"/>
  <c r="T6880" i="52"/>
  <c r="T6881" i="52"/>
  <c r="T6882" i="52"/>
  <c r="T6883" i="52"/>
  <c r="T6884" i="52"/>
  <c r="T6885" i="52"/>
  <c r="T6886" i="52"/>
  <c r="T6887" i="52"/>
  <c r="T6888" i="52"/>
  <c r="T6889" i="52"/>
  <c r="T6890" i="52"/>
  <c r="T6891" i="52"/>
  <c r="T6892" i="52"/>
  <c r="T6893" i="52"/>
  <c r="T6894" i="52"/>
  <c r="T6895" i="52"/>
  <c r="T6896" i="52"/>
  <c r="T6897" i="52"/>
  <c r="T6898" i="52"/>
  <c r="T6899" i="52"/>
  <c r="T6900" i="52"/>
  <c r="T6901" i="52"/>
  <c r="T6902" i="52"/>
  <c r="T6903" i="52"/>
  <c r="T6904" i="52"/>
  <c r="T6905" i="52"/>
  <c r="T6906" i="52"/>
  <c r="T6907" i="52"/>
  <c r="T6908" i="52"/>
  <c r="T6909" i="52"/>
  <c r="T6910" i="52"/>
  <c r="T6911" i="52"/>
  <c r="T6912" i="52"/>
  <c r="T6913" i="52"/>
  <c r="T6914" i="52"/>
  <c r="T6915" i="52"/>
  <c r="T6916" i="52"/>
  <c r="T6917" i="52"/>
  <c r="T6918" i="52"/>
  <c r="T6919" i="52"/>
  <c r="T6920" i="52"/>
  <c r="T6921" i="52"/>
  <c r="T6922" i="52"/>
  <c r="T6923" i="52"/>
  <c r="T6924" i="52"/>
  <c r="T6925" i="52"/>
  <c r="T6926" i="52"/>
  <c r="T6927" i="52"/>
  <c r="T6928" i="52"/>
  <c r="T6929" i="52"/>
  <c r="T6930" i="52"/>
  <c r="T6931" i="52"/>
  <c r="T6932" i="52"/>
  <c r="T6933" i="52"/>
  <c r="T6934" i="52"/>
  <c r="T6935" i="52"/>
  <c r="T6936" i="52"/>
  <c r="T6937" i="52"/>
  <c r="T6938" i="52"/>
  <c r="T6939" i="52"/>
  <c r="T6940" i="52"/>
  <c r="T6941" i="52"/>
  <c r="T6942" i="52"/>
  <c r="T6943" i="52"/>
  <c r="T6944" i="52"/>
  <c r="T6945" i="52"/>
  <c r="T6946" i="52"/>
  <c r="T6947" i="52"/>
  <c r="T6948" i="52"/>
  <c r="T6949" i="52"/>
  <c r="T6950" i="52"/>
  <c r="T6951" i="52"/>
  <c r="T6952" i="52"/>
  <c r="T6953" i="52"/>
  <c r="T6954" i="52"/>
  <c r="T6955" i="52"/>
  <c r="T6956" i="52"/>
  <c r="T6957" i="52"/>
  <c r="T6958" i="52"/>
  <c r="T6959" i="52"/>
  <c r="T6960" i="52"/>
  <c r="T6961" i="52"/>
  <c r="T6962" i="52"/>
  <c r="T6963" i="52"/>
  <c r="T6964" i="52"/>
  <c r="T6965" i="52"/>
  <c r="T6966" i="52"/>
  <c r="T6967" i="52"/>
  <c r="T6968" i="52"/>
  <c r="T6969" i="52"/>
  <c r="T6970" i="52"/>
  <c r="T6971" i="52"/>
  <c r="T6972" i="52"/>
  <c r="T6973" i="52"/>
  <c r="T6974" i="52"/>
  <c r="T6975" i="52"/>
  <c r="T6976" i="52"/>
  <c r="T6977" i="52"/>
  <c r="T6978" i="52"/>
  <c r="T6979" i="52"/>
  <c r="T6980" i="52"/>
  <c r="T6981" i="52"/>
  <c r="T6982" i="52"/>
  <c r="T6983" i="52"/>
  <c r="T6984" i="52"/>
  <c r="T6985" i="52"/>
  <c r="T6986" i="52"/>
  <c r="T6987" i="52"/>
  <c r="T6988" i="52"/>
  <c r="T6989" i="52"/>
  <c r="T6990" i="52"/>
  <c r="T6991" i="52"/>
  <c r="T6992" i="52"/>
  <c r="T6993" i="52"/>
  <c r="T6994" i="52"/>
  <c r="T6995" i="52"/>
  <c r="T6996" i="52"/>
  <c r="T6997" i="52"/>
  <c r="T6998" i="52"/>
  <c r="T6999" i="52"/>
  <c r="T7000" i="52"/>
  <c r="T7001" i="52"/>
  <c r="T7002" i="52"/>
  <c r="T7003" i="52"/>
  <c r="T7004" i="52"/>
  <c r="T7005" i="52"/>
  <c r="T7006" i="52"/>
  <c r="T7007" i="52"/>
  <c r="T7008" i="52"/>
  <c r="T7009" i="52"/>
  <c r="T7010" i="52"/>
  <c r="T7011" i="52"/>
  <c r="T7012" i="52"/>
  <c r="T7013" i="52"/>
  <c r="T7014" i="52"/>
  <c r="T7015" i="52"/>
  <c r="T7016" i="52"/>
  <c r="T7017" i="52"/>
  <c r="T7018" i="52"/>
  <c r="T7019" i="52"/>
  <c r="T7020" i="52"/>
  <c r="T7021" i="52"/>
  <c r="T7022" i="52"/>
  <c r="T7023" i="52"/>
  <c r="T7024" i="52"/>
  <c r="T7025" i="52"/>
  <c r="T7026" i="52"/>
  <c r="U6799" i="52"/>
  <c r="U6800" i="52"/>
  <c r="U6801" i="52"/>
  <c r="U6802" i="52"/>
  <c r="U6803" i="52"/>
  <c r="U6804" i="52"/>
  <c r="U6805" i="52"/>
  <c r="U6806" i="52"/>
  <c r="U6807" i="52"/>
  <c r="U6808" i="52"/>
  <c r="U6809" i="52"/>
  <c r="U6810" i="52"/>
  <c r="U6811" i="52"/>
  <c r="U6812" i="52"/>
  <c r="U6813" i="52"/>
  <c r="U6814" i="52"/>
  <c r="U6815" i="52"/>
  <c r="U6816" i="52"/>
  <c r="U6817" i="52"/>
  <c r="U6818" i="52"/>
  <c r="U6819" i="52"/>
  <c r="U6820" i="52"/>
  <c r="U6821" i="52"/>
  <c r="U6822" i="52"/>
  <c r="U6823" i="52"/>
  <c r="U6824" i="52"/>
  <c r="U6825" i="52"/>
  <c r="U6826" i="52"/>
  <c r="U6827" i="52"/>
  <c r="U6828" i="52"/>
  <c r="U6829" i="52"/>
  <c r="U6830" i="52"/>
  <c r="U6831" i="52"/>
  <c r="U6832" i="52"/>
  <c r="U6833" i="52"/>
  <c r="U6834" i="52"/>
  <c r="U6835" i="52"/>
  <c r="U6836" i="52"/>
  <c r="U6837" i="52"/>
  <c r="U6838" i="52"/>
  <c r="U6839" i="52"/>
  <c r="U6840" i="52"/>
  <c r="U6841" i="52"/>
  <c r="U6842" i="52"/>
  <c r="U6843" i="52"/>
  <c r="U6844" i="52"/>
  <c r="U6845" i="52"/>
  <c r="U6846" i="52"/>
  <c r="U6847" i="52"/>
  <c r="U6848" i="52"/>
  <c r="U6849" i="52"/>
  <c r="U6850" i="52"/>
  <c r="U6851" i="52"/>
  <c r="U6852" i="52"/>
  <c r="U6853" i="52"/>
  <c r="U6854" i="52"/>
  <c r="U6855" i="52"/>
  <c r="U6856" i="52"/>
  <c r="U6857" i="52"/>
  <c r="U6858" i="52"/>
  <c r="U6859" i="52"/>
  <c r="U6860" i="52"/>
  <c r="U6861" i="52"/>
  <c r="U6862" i="52"/>
  <c r="U6863" i="52"/>
  <c r="U6864" i="52"/>
  <c r="U6865" i="52"/>
  <c r="U6866" i="52"/>
  <c r="U6867" i="52"/>
  <c r="U6868" i="52"/>
  <c r="U6869" i="52"/>
  <c r="U6870" i="52"/>
  <c r="U6871" i="52"/>
  <c r="U6872" i="52"/>
  <c r="U6873" i="52"/>
  <c r="U6874" i="52"/>
  <c r="U6875" i="52"/>
  <c r="U6876" i="52"/>
  <c r="U6877" i="52"/>
  <c r="U6878" i="52"/>
  <c r="U6879" i="52"/>
  <c r="U6880" i="52"/>
  <c r="U6881" i="52"/>
  <c r="U6882" i="52"/>
  <c r="U6883" i="52"/>
  <c r="U6884" i="52"/>
  <c r="U6885" i="52"/>
  <c r="U6886" i="52"/>
  <c r="U6887" i="52"/>
  <c r="U6888" i="52"/>
  <c r="U6889" i="52"/>
  <c r="U6890" i="52"/>
  <c r="U6891" i="52"/>
  <c r="U6892" i="52"/>
  <c r="U6893" i="52"/>
  <c r="U6894" i="52"/>
  <c r="U6895" i="52"/>
  <c r="U6896" i="52"/>
  <c r="U6897" i="52"/>
  <c r="U6898" i="52"/>
  <c r="U6899" i="52"/>
  <c r="U6900" i="52"/>
  <c r="U6901" i="52"/>
  <c r="U6902" i="52"/>
  <c r="U6903" i="52"/>
  <c r="U6904" i="52"/>
  <c r="U6905" i="52"/>
  <c r="U6906" i="52"/>
  <c r="U6907" i="52"/>
  <c r="U6908" i="52"/>
  <c r="U6909" i="52"/>
  <c r="U6910" i="52"/>
  <c r="U6911" i="52"/>
  <c r="U6912" i="52"/>
  <c r="U6913" i="52"/>
  <c r="U6914" i="52"/>
  <c r="U6915" i="52"/>
  <c r="U6916" i="52"/>
  <c r="U6917" i="52"/>
  <c r="U6918" i="52"/>
  <c r="U6919" i="52"/>
  <c r="U6920" i="52"/>
  <c r="U6921" i="52"/>
  <c r="U6922" i="52"/>
  <c r="U6923" i="52"/>
  <c r="U6924" i="52"/>
  <c r="U6925" i="52"/>
  <c r="U6926" i="52"/>
  <c r="U6927" i="52"/>
  <c r="U6928" i="52"/>
  <c r="U6929" i="52"/>
  <c r="U6930" i="52"/>
  <c r="U6931" i="52"/>
  <c r="U6932" i="52"/>
  <c r="U6933" i="52"/>
  <c r="U6934" i="52"/>
  <c r="U6935" i="52"/>
  <c r="U6936" i="52"/>
  <c r="U6937" i="52"/>
  <c r="U6938" i="52"/>
  <c r="U6939" i="52"/>
  <c r="U6940" i="52"/>
  <c r="U6941" i="52"/>
  <c r="U6942" i="52"/>
  <c r="U6943" i="52"/>
  <c r="U6944" i="52"/>
  <c r="U6945" i="52"/>
  <c r="U6946" i="52"/>
  <c r="U6947" i="52"/>
  <c r="U6948" i="52"/>
  <c r="U6949" i="52"/>
  <c r="U6950" i="52"/>
  <c r="U6951" i="52"/>
  <c r="U6952" i="52"/>
  <c r="U6953" i="52"/>
  <c r="U6954" i="52"/>
  <c r="U6955" i="52"/>
  <c r="U6956" i="52"/>
  <c r="U6957" i="52"/>
  <c r="U6958" i="52"/>
  <c r="U6959" i="52"/>
  <c r="U6960" i="52"/>
  <c r="U6961" i="52"/>
  <c r="U6962" i="52"/>
  <c r="U6963" i="52"/>
  <c r="U6964" i="52"/>
  <c r="U6965" i="52"/>
  <c r="U6966" i="52"/>
  <c r="U6967" i="52"/>
  <c r="U6968" i="52"/>
  <c r="U6969" i="52"/>
  <c r="U6970" i="52"/>
  <c r="U6971" i="52"/>
  <c r="U6972" i="52"/>
  <c r="U6973" i="52"/>
  <c r="U6974" i="52"/>
  <c r="U6975" i="52"/>
  <c r="U6976" i="52"/>
  <c r="U6977" i="52"/>
  <c r="U6978" i="52"/>
  <c r="U6979" i="52"/>
  <c r="U6980" i="52"/>
  <c r="U6981" i="52"/>
  <c r="U6982" i="52"/>
  <c r="U6983" i="52"/>
  <c r="U6984" i="52"/>
  <c r="U6985" i="52"/>
  <c r="U6986" i="52"/>
  <c r="U6987" i="52"/>
  <c r="U6988" i="52"/>
  <c r="U6989" i="52"/>
  <c r="U6990" i="52"/>
  <c r="U6991" i="52"/>
  <c r="U6992" i="52"/>
  <c r="U6993" i="52"/>
  <c r="U6994" i="52"/>
  <c r="U6995" i="52"/>
  <c r="U6996" i="52"/>
  <c r="U6997" i="52"/>
  <c r="U6998" i="52"/>
  <c r="U6999" i="52"/>
  <c r="U7000" i="52"/>
  <c r="U7001" i="52"/>
  <c r="U7002" i="52"/>
  <c r="U7003" i="52"/>
  <c r="U7004" i="52"/>
  <c r="U7005" i="52"/>
  <c r="U7006" i="52"/>
  <c r="U7007" i="52"/>
  <c r="U7008" i="52"/>
  <c r="U7009" i="52"/>
  <c r="U7010" i="52"/>
  <c r="U7011" i="52"/>
  <c r="U7012" i="52"/>
  <c r="U7013" i="52"/>
  <c r="U7014" i="52"/>
  <c r="U7015" i="52"/>
  <c r="U7016" i="52"/>
  <c r="U7017" i="52"/>
  <c r="U7018" i="52"/>
  <c r="U7019" i="52"/>
  <c r="U7020" i="52"/>
  <c r="U7021" i="52"/>
  <c r="U7022" i="52"/>
  <c r="U7023" i="52"/>
  <c r="U7024" i="52"/>
  <c r="U7025" i="52"/>
  <c r="U7026" i="52"/>
  <c r="V6799" i="52"/>
  <c r="V6800" i="52"/>
  <c r="V6801" i="52"/>
  <c r="V6802" i="52"/>
  <c r="V6803" i="52"/>
  <c r="V6804" i="52"/>
  <c r="V6805" i="52"/>
  <c r="V6806" i="52"/>
  <c r="V6807" i="52"/>
  <c r="V6808" i="52"/>
  <c r="V6809" i="52"/>
  <c r="V6810" i="52"/>
  <c r="V6811" i="52"/>
  <c r="V6812" i="52"/>
  <c r="V6813" i="52"/>
  <c r="V6814" i="52"/>
  <c r="V6815" i="52"/>
  <c r="V6816" i="52"/>
  <c r="V6817" i="52"/>
  <c r="V6818" i="52"/>
  <c r="V6819" i="52"/>
  <c r="V6820" i="52"/>
  <c r="V6821" i="52"/>
  <c r="V6822" i="52"/>
  <c r="V6823" i="52"/>
  <c r="V6824" i="52"/>
  <c r="V6825" i="52"/>
  <c r="V6826" i="52"/>
  <c r="V6827" i="52"/>
  <c r="V6828" i="52"/>
  <c r="V6829" i="52"/>
  <c r="V6830" i="52"/>
  <c r="V6831" i="52"/>
  <c r="V6832" i="52"/>
  <c r="V6833" i="52"/>
  <c r="V6834" i="52"/>
  <c r="V6835" i="52"/>
  <c r="V6836" i="52"/>
  <c r="V6837" i="52"/>
  <c r="V6838" i="52"/>
  <c r="V6839" i="52"/>
  <c r="V6840" i="52"/>
  <c r="V6841" i="52"/>
  <c r="V6842" i="52"/>
  <c r="V6843" i="52"/>
  <c r="V6844" i="52"/>
  <c r="V6845" i="52"/>
  <c r="V6846" i="52"/>
  <c r="V6847" i="52"/>
  <c r="V6848" i="52"/>
  <c r="V6849" i="52"/>
  <c r="V6850" i="52"/>
  <c r="V6851" i="52"/>
  <c r="V6852" i="52"/>
  <c r="V6853" i="52"/>
  <c r="V6854" i="52"/>
  <c r="V6855" i="52"/>
  <c r="V6856" i="52"/>
  <c r="V6857" i="52"/>
  <c r="V6858" i="52"/>
  <c r="V6859" i="52"/>
  <c r="V6860" i="52"/>
  <c r="V6861" i="52"/>
  <c r="V6862" i="52"/>
  <c r="V6863" i="52"/>
  <c r="V6864" i="52"/>
  <c r="V6865" i="52"/>
  <c r="V6866" i="52"/>
  <c r="V6867" i="52"/>
  <c r="V6868" i="52"/>
  <c r="V6869" i="52"/>
  <c r="V6870" i="52"/>
  <c r="V6871" i="52"/>
  <c r="V6872" i="52"/>
  <c r="V6873" i="52"/>
  <c r="V6874" i="52"/>
  <c r="V6875" i="52"/>
  <c r="V6876" i="52"/>
  <c r="V6877" i="52"/>
  <c r="V6878" i="52"/>
  <c r="V6879" i="52"/>
  <c r="V6880" i="52"/>
  <c r="V6881" i="52"/>
  <c r="V6882" i="52"/>
  <c r="V6883" i="52"/>
  <c r="V6884" i="52"/>
  <c r="V6885" i="52"/>
  <c r="V6886" i="52"/>
  <c r="V6887" i="52"/>
  <c r="V6888" i="52"/>
  <c r="V6889" i="52"/>
  <c r="V6890" i="52"/>
  <c r="V6891" i="52"/>
  <c r="V6892" i="52"/>
  <c r="V6893" i="52"/>
  <c r="V6894" i="52"/>
  <c r="V6895" i="52"/>
  <c r="V6896" i="52"/>
  <c r="V6897" i="52"/>
  <c r="V6898" i="52"/>
  <c r="V6899" i="52"/>
  <c r="V6900" i="52"/>
  <c r="V6901" i="52"/>
  <c r="V6902" i="52"/>
  <c r="V6903" i="52"/>
  <c r="V6904" i="52"/>
  <c r="V6905" i="52"/>
  <c r="V6906" i="52"/>
  <c r="V6907" i="52"/>
  <c r="V6908" i="52"/>
  <c r="V6909" i="52"/>
  <c r="V6910" i="52"/>
  <c r="V6911" i="52"/>
  <c r="V6912" i="52"/>
  <c r="V6913" i="52"/>
  <c r="V6914" i="52"/>
  <c r="V6915" i="52"/>
  <c r="V6916" i="52"/>
  <c r="V6917" i="52"/>
  <c r="V6918" i="52"/>
  <c r="V6919" i="52"/>
  <c r="V6920" i="52"/>
  <c r="V6921" i="52"/>
  <c r="V6922" i="52"/>
  <c r="V6923" i="52"/>
  <c r="V6924" i="52"/>
  <c r="V6925" i="52"/>
  <c r="V6926" i="52"/>
  <c r="V6927" i="52"/>
  <c r="V6928" i="52"/>
  <c r="V6929" i="52"/>
  <c r="V6930" i="52"/>
  <c r="V6931" i="52"/>
  <c r="V6932" i="52"/>
  <c r="V6933" i="52"/>
  <c r="V6934" i="52"/>
  <c r="V6935" i="52"/>
  <c r="V6936" i="52"/>
  <c r="V6937" i="52"/>
  <c r="V6938" i="52"/>
  <c r="V6939" i="52"/>
  <c r="V6940" i="52"/>
  <c r="V6941" i="52"/>
  <c r="V6942" i="52"/>
  <c r="V6943" i="52"/>
  <c r="V6944" i="52"/>
  <c r="V6945" i="52"/>
  <c r="V6946" i="52"/>
  <c r="V6947" i="52"/>
  <c r="V6948" i="52"/>
  <c r="V6949" i="52"/>
  <c r="V6950" i="52"/>
  <c r="V6951" i="52"/>
  <c r="V6952" i="52"/>
  <c r="V6953" i="52"/>
  <c r="V6954" i="52"/>
  <c r="V6955" i="52"/>
  <c r="V6956" i="52"/>
  <c r="V6957" i="52"/>
  <c r="V6958" i="52"/>
  <c r="V6959" i="52"/>
  <c r="V6960" i="52"/>
  <c r="V6961" i="52"/>
  <c r="V6962" i="52"/>
  <c r="V6963" i="52"/>
  <c r="V6964" i="52"/>
  <c r="V6965" i="52"/>
  <c r="V6966" i="52"/>
  <c r="V6967" i="52"/>
  <c r="V6968" i="52"/>
  <c r="V6969" i="52"/>
  <c r="V6970" i="52"/>
  <c r="V6971" i="52"/>
  <c r="V6972" i="52"/>
  <c r="V6973" i="52"/>
  <c r="V6974" i="52"/>
  <c r="V6975" i="52"/>
  <c r="V6976" i="52"/>
  <c r="V6977" i="52"/>
  <c r="V6978" i="52"/>
  <c r="V6979" i="52"/>
  <c r="V6980" i="52"/>
  <c r="V6981" i="52"/>
  <c r="V6982" i="52"/>
  <c r="V6983" i="52"/>
  <c r="V6984" i="52"/>
  <c r="V6985" i="52"/>
  <c r="V6986" i="52"/>
  <c r="V6987" i="52"/>
  <c r="V6988" i="52"/>
  <c r="V6989" i="52"/>
  <c r="V6990" i="52"/>
  <c r="V6991" i="52"/>
  <c r="V6992" i="52"/>
  <c r="V6993" i="52"/>
  <c r="V6994" i="52"/>
  <c r="V6995" i="52"/>
  <c r="V6996" i="52"/>
  <c r="V6997" i="52"/>
  <c r="V6998" i="52"/>
  <c r="V6999" i="52"/>
  <c r="V7000" i="52"/>
  <c r="V7001" i="52"/>
  <c r="V7002" i="52"/>
  <c r="V7003" i="52"/>
  <c r="V7004" i="52"/>
  <c r="V7005" i="52"/>
  <c r="V7006" i="52"/>
  <c r="V7007" i="52"/>
  <c r="V7008" i="52"/>
  <c r="V7009" i="52"/>
  <c r="V7010" i="52"/>
  <c r="V7011" i="52"/>
  <c r="V7012" i="52"/>
  <c r="V7013" i="52"/>
  <c r="V7014" i="52"/>
  <c r="V7015" i="52"/>
  <c r="V7016" i="52"/>
  <c r="V7017" i="52"/>
  <c r="V7018" i="52"/>
  <c r="V7019" i="52"/>
  <c r="V7020" i="52"/>
  <c r="V7021" i="52"/>
  <c r="V7022" i="52"/>
  <c r="V7023" i="52"/>
  <c r="V7024" i="52"/>
  <c r="V7025" i="52"/>
  <c r="V7026" i="52"/>
  <c r="CP310" i="46" l="1"/>
  <c r="AE310" i="46"/>
  <c r="BU310" i="46"/>
  <c r="AZ310" i="46"/>
  <c r="H329" i="46"/>
  <c r="H330" i="46"/>
  <c r="H331" i="46"/>
  <c r="H332" i="46"/>
  <c r="H333" i="46"/>
  <c r="H334" i="46"/>
  <c r="H328" i="46"/>
  <c r="E26" i="49" l="1"/>
  <c r="E27" i="49"/>
  <c r="E28" i="49"/>
  <c r="E25" i="49"/>
  <c r="A26" i="49"/>
  <c r="A27" i="49"/>
  <c r="A28" i="49"/>
  <c r="A25" i="49"/>
  <c r="G44" i="46" l="1"/>
  <c r="G43" i="46"/>
  <c r="G41" i="46"/>
  <c r="G40" i="46"/>
  <c r="G39" i="46"/>
  <c r="J158" i="1" l="1"/>
  <c r="L158" i="1"/>
  <c r="N158" i="1"/>
  <c r="P158" i="1"/>
  <c r="H158" i="1"/>
  <c r="J157" i="1"/>
  <c r="L157" i="1"/>
  <c r="N157" i="1"/>
  <c r="P157" i="1"/>
  <c r="H157" i="1"/>
  <c r="R282" i="1" l="1"/>
  <c r="K260" i="1" l="1"/>
  <c r="H251" i="1" s="1"/>
  <c r="L259" i="1"/>
  <c r="T259" i="1" s="1"/>
  <c r="J132" i="1"/>
  <c r="L132" i="1"/>
  <c r="N132" i="1"/>
  <c r="P132" i="1"/>
  <c r="H132" i="1"/>
  <c r="H108" i="1" l="1"/>
  <c r="J71" i="1"/>
  <c r="L71" i="1"/>
  <c r="N71" i="1"/>
  <c r="P71" i="1"/>
  <c r="H71" i="1"/>
  <c r="J85" i="1"/>
  <c r="L85" i="1"/>
  <c r="N85" i="1"/>
  <c r="P85" i="1"/>
  <c r="H85" i="1"/>
  <c r="V2" i="52" l="1"/>
  <c r="U2" i="52"/>
  <c r="T2" i="52"/>
  <c r="T1652" i="52"/>
  <c r="U1652" i="52"/>
  <c r="V1652" i="52"/>
  <c r="T1653" i="52"/>
  <c r="U1653" i="52"/>
  <c r="V1653" i="52"/>
  <c r="T1654" i="52"/>
  <c r="U1654" i="52"/>
  <c r="V1654" i="52"/>
  <c r="T1655" i="52"/>
  <c r="U1655" i="52"/>
  <c r="V1655" i="52"/>
  <c r="T1656" i="52"/>
  <c r="U1656" i="52"/>
  <c r="V1656" i="52"/>
  <c r="T1657" i="52"/>
  <c r="U1657" i="52"/>
  <c r="V1657" i="52"/>
  <c r="T1658" i="52"/>
  <c r="U1658" i="52"/>
  <c r="V1658" i="52"/>
  <c r="T1659" i="52"/>
  <c r="U1659" i="52"/>
  <c r="V1659" i="52"/>
  <c r="T1660" i="52"/>
  <c r="U1660" i="52"/>
  <c r="V1660" i="52"/>
  <c r="T1661" i="52"/>
  <c r="U1661" i="52"/>
  <c r="V1661" i="52"/>
  <c r="T1662" i="52"/>
  <c r="U1662" i="52"/>
  <c r="V1662" i="52"/>
  <c r="T1663" i="52"/>
  <c r="U1663" i="52"/>
  <c r="V1663" i="52"/>
  <c r="T1664" i="52"/>
  <c r="U1664" i="52"/>
  <c r="V1664" i="52"/>
  <c r="T1665" i="52"/>
  <c r="U1665" i="52"/>
  <c r="V1665" i="52"/>
  <c r="T1666" i="52"/>
  <c r="U1666" i="52"/>
  <c r="V1666" i="52"/>
  <c r="T1667" i="52"/>
  <c r="U1667" i="52"/>
  <c r="V1667" i="52"/>
  <c r="T1668" i="52"/>
  <c r="U1668" i="52"/>
  <c r="V1668" i="52"/>
  <c r="T1669" i="52"/>
  <c r="U1669" i="52"/>
  <c r="V1669" i="52"/>
  <c r="T1670" i="52"/>
  <c r="U1670" i="52"/>
  <c r="V1670" i="52"/>
  <c r="T1671" i="52"/>
  <c r="U1671" i="52"/>
  <c r="V1671" i="52"/>
  <c r="T1672" i="52"/>
  <c r="U1672" i="52"/>
  <c r="V1672" i="52"/>
  <c r="T1673" i="52"/>
  <c r="U1673" i="52"/>
  <c r="V1673" i="52"/>
  <c r="T1674" i="52"/>
  <c r="U1674" i="52"/>
  <c r="V1674" i="52"/>
  <c r="T1675" i="52"/>
  <c r="U1675" i="52"/>
  <c r="V1675" i="52"/>
  <c r="T1676" i="52"/>
  <c r="U1676" i="52"/>
  <c r="V1676" i="52"/>
  <c r="T1677" i="52"/>
  <c r="U1677" i="52"/>
  <c r="V1677" i="52"/>
  <c r="T1678" i="52"/>
  <c r="U1678" i="52"/>
  <c r="V1678" i="52"/>
  <c r="T1679" i="52"/>
  <c r="U1679" i="52"/>
  <c r="V1679" i="52"/>
  <c r="T1680" i="52"/>
  <c r="U1680" i="52"/>
  <c r="V1680" i="52"/>
  <c r="T1681" i="52"/>
  <c r="U1681" i="52"/>
  <c r="V1681" i="52"/>
  <c r="T1682" i="52"/>
  <c r="U1682" i="52"/>
  <c r="V1682" i="52"/>
  <c r="T1683" i="52"/>
  <c r="U1683" i="52"/>
  <c r="V1683" i="52"/>
  <c r="T1684" i="52"/>
  <c r="U1684" i="52"/>
  <c r="V1684" i="52"/>
  <c r="T1685" i="52"/>
  <c r="U1685" i="52"/>
  <c r="V1685" i="52"/>
  <c r="T1686" i="52"/>
  <c r="U1686" i="52"/>
  <c r="V1686" i="52"/>
  <c r="T1687" i="52"/>
  <c r="U1687" i="52"/>
  <c r="V1687" i="52"/>
  <c r="T1688" i="52"/>
  <c r="U1688" i="52"/>
  <c r="V1688" i="52"/>
  <c r="T1689" i="52"/>
  <c r="U1689" i="52"/>
  <c r="V1689" i="52"/>
  <c r="T1690" i="52"/>
  <c r="U1690" i="52"/>
  <c r="V1690" i="52"/>
  <c r="T1691" i="52"/>
  <c r="U1691" i="52"/>
  <c r="V1691" i="52"/>
  <c r="T1692" i="52"/>
  <c r="U1692" i="52"/>
  <c r="V1692" i="52"/>
  <c r="T1693" i="52"/>
  <c r="U1693" i="52"/>
  <c r="V1693" i="52"/>
  <c r="T1694" i="52"/>
  <c r="U1694" i="52"/>
  <c r="V1694" i="52"/>
  <c r="T1695" i="52"/>
  <c r="U1695" i="52"/>
  <c r="V1695" i="52"/>
  <c r="T1696" i="52"/>
  <c r="U1696" i="52"/>
  <c r="V1696" i="52"/>
  <c r="T1697" i="52"/>
  <c r="U1697" i="52"/>
  <c r="V1697" i="52"/>
  <c r="T1698" i="52"/>
  <c r="U1698" i="52"/>
  <c r="V1698" i="52"/>
  <c r="T1699" i="52"/>
  <c r="U1699" i="52"/>
  <c r="V1699" i="52"/>
  <c r="T1700" i="52"/>
  <c r="U1700" i="52"/>
  <c r="V1700" i="52"/>
  <c r="T1701" i="52"/>
  <c r="U1701" i="52"/>
  <c r="V1701" i="52"/>
  <c r="T1702" i="52"/>
  <c r="U1702" i="52"/>
  <c r="V1702" i="52"/>
  <c r="T1703" i="52"/>
  <c r="U1703" i="52"/>
  <c r="V1703" i="52"/>
  <c r="T1704" i="52"/>
  <c r="U1704" i="52"/>
  <c r="V1704" i="52"/>
  <c r="T1705" i="52"/>
  <c r="U1705" i="52"/>
  <c r="V1705" i="52"/>
  <c r="T1706" i="52"/>
  <c r="U1706" i="52"/>
  <c r="V1706" i="52"/>
  <c r="T1707" i="52"/>
  <c r="U1707" i="52"/>
  <c r="V1707" i="52"/>
  <c r="T1708" i="52"/>
  <c r="U1708" i="52"/>
  <c r="V1708" i="52"/>
  <c r="T1709" i="52"/>
  <c r="U1709" i="52"/>
  <c r="V1709" i="52"/>
  <c r="T1710" i="52"/>
  <c r="U1710" i="52"/>
  <c r="V1710" i="52"/>
  <c r="T1711" i="52"/>
  <c r="U1711" i="52"/>
  <c r="V1711" i="52"/>
  <c r="T1712" i="52"/>
  <c r="U1712" i="52"/>
  <c r="V1712" i="52"/>
  <c r="T1713" i="52"/>
  <c r="U1713" i="52"/>
  <c r="V1713" i="52"/>
  <c r="T1714" i="52"/>
  <c r="U1714" i="52"/>
  <c r="V1714" i="52"/>
  <c r="T1715" i="52"/>
  <c r="U1715" i="52"/>
  <c r="V1715" i="52"/>
  <c r="T1716" i="52"/>
  <c r="U1716" i="52"/>
  <c r="V1716" i="52"/>
  <c r="T1717" i="52"/>
  <c r="U1717" i="52"/>
  <c r="V1717" i="52"/>
  <c r="T1718" i="52"/>
  <c r="U1718" i="52"/>
  <c r="V1718" i="52"/>
  <c r="T1719" i="52"/>
  <c r="U1719" i="52"/>
  <c r="V1719" i="52"/>
  <c r="T1720" i="52"/>
  <c r="U1720" i="52"/>
  <c r="V1720" i="52"/>
  <c r="T1721" i="52"/>
  <c r="U1721" i="52"/>
  <c r="V1721" i="52"/>
  <c r="T1722" i="52"/>
  <c r="U1722" i="52"/>
  <c r="V1722" i="52"/>
  <c r="T1723" i="52"/>
  <c r="U1723" i="52"/>
  <c r="V1723" i="52"/>
  <c r="T1724" i="52"/>
  <c r="U1724" i="52"/>
  <c r="V1724" i="52"/>
  <c r="T1725" i="52"/>
  <c r="U1725" i="52"/>
  <c r="V1725" i="52"/>
  <c r="T1726" i="52"/>
  <c r="U1726" i="52"/>
  <c r="V1726" i="52"/>
  <c r="T1727" i="52"/>
  <c r="U1727" i="52"/>
  <c r="V1727" i="52"/>
  <c r="T1728" i="52"/>
  <c r="U1728" i="52"/>
  <c r="V1728" i="52"/>
  <c r="T1729" i="52"/>
  <c r="U1729" i="52"/>
  <c r="V1729" i="52"/>
  <c r="T1730" i="52"/>
  <c r="U1730" i="52"/>
  <c r="V1730" i="52"/>
  <c r="T1731" i="52"/>
  <c r="U1731" i="52"/>
  <c r="V1731" i="52"/>
  <c r="T1732" i="52"/>
  <c r="U1732" i="52"/>
  <c r="V1732" i="52"/>
  <c r="T1733" i="52"/>
  <c r="U1733" i="52"/>
  <c r="V1733" i="52"/>
  <c r="T1734" i="52"/>
  <c r="U1734" i="52"/>
  <c r="V1734" i="52"/>
  <c r="T1735" i="52"/>
  <c r="U1735" i="52"/>
  <c r="V1735" i="52"/>
  <c r="T1736" i="52"/>
  <c r="U1736" i="52"/>
  <c r="V1736" i="52"/>
  <c r="T1737" i="52"/>
  <c r="U1737" i="52"/>
  <c r="V1737" i="52"/>
  <c r="T1738" i="52"/>
  <c r="U1738" i="52"/>
  <c r="V1738" i="52"/>
  <c r="T1739" i="52"/>
  <c r="U1739" i="52"/>
  <c r="V1739" i="52"/>
  <c r="T1740" i="52"/>
  <c r="U1740" i="52"/>
  <c r="V1740" i="52"/>
  <c r="T1741" i="52"/>
  <c r="U1741" i="52"/>
  <c r="V1741" i="52"/>
  <c r="T1742" i="52"/>
  <c r="U1742" i="52"/>
  <c r="V1742" i="52"/>
  <c r="T1743" i="52"/>
  <c r="U1743" i="52"/>
  <c r="V1743" i="52"/>
  <c r="T1744" i="52"/>
  <c r="U1744" i="52"/>
  <c r="V1744" i="52"/>
  <c r="T1745" i="52"/>
  <c r="U1745" i="52"/>
  <c r="V1745" i="52"/>
  <c r="T1746" i="52"/>
  <c r="U1746" i="52"/>
  <c r="V1746" i="52"/>
  <c r="T1747" i="52"/>
  <c r="U1747" i="52"/>
  <c r="V1747" i="52"/>
  <c r="T1748" i="52"/>
  <c r="U1748" i="52"/>
  <c r="V1748" i="52"/>
  <c r="T1749" i="52"/>
  <c r="U1749" i="52"/>
  <c r="V1749" i="52"/>
  <c r="T1750" i="52"/>
  <c r="U1750" i="52"/>
  <c r="V1750" i="52"/>
  <c r="T1751" i="52"/>
  <c r="U1751" i="52"/>
  <c r="V1751" i="52"/>
  <c r="T1752" i="52"/>
  <c r="U1752" i="52"/>
  <c r="V1752" i="52"/>
  <c r="T1753" i="52"/>
  <c r="U1753" i="52"/>
  <c r="V1753" i="52"/>
  <c r="T1754" i="52"/>
  <c r="U1754" i="52"/>
  <c r="V1754" i="52"/>
  <c r="T1755" i="52"/>
  <c r="U1755" i="52"/>
  <c r="V1755" i="52"/>
  <c r="T1756" i="52"/>
  <c r="U1756" i="52"/>
  <c r="V1756" i="52"/>
  <c r="T1757" i="52"/>
  <c r="U1757" i="52"/>
  <c r="V1757" i="52"/>
  <c r="T1758" i="52"/>
  <c r="U1758" i="52"/>
  <c r="V1758" i="52"/>
  <c r="T1759" i="52"/>
  <c r="U1759" i="52"/>
  <c r="V1759" i="52"/>
  <c r="T1760" i="52"/>
  <c r="U1760" i="52"/>
  <c r="V1760" i="52"/>
  <c r="T1761" i="52"/>
  <c r="U1761" i="52"/>
  <c r="V1761" i="52"/>
  <c r="T1762" i="52"/>
  <c r="U1762" i="52"/>
  <c r="V1762" i="52"/>
  <c r="T1763" i="52"/>
  <c r="U1763" i="52"/>
  <c r="V1763" i="52"/>
  <c r="T1764" i="52"/>
  <c r="U1764" i="52"/>
  <c r="V1764" i="52"/>
  <c r="T1765" i="52"/>
  <c r="U1765" i="52"/>
  <c r="V1765" i="52"/>
  <c r="T1766" i="52"/>
  <c r="U1766" i="52"/>
  <c r="V1766" i="52"/>
  <c r="T1767" i="52"/>
  <c r="U1767" i="52"/>
  <c r="V1767" i="52"/>
  <c r="T1768" i="52"/>
  <c r="U1768" i="52"/>
  <c r="V1768" i="52"/>
  <c r="T1769" i="52"/>
  <c r="U1769" i="52"/>
  <c r="V1769" i="52"/>
  <c r="T1770" i="52"/>
  <c r="U1770" i="52"/>
  <c r="V1770" i="52"/>
  <c r="T1771" i="52"/>
  <c r="U1771" i="52"/>
  <c r="V1771" i="52"/>
  <c r="T1772" i="52"/>
  <c r="U1772" i="52"/>
  <c r="V1772" i="52"/>
  <c r="T1773" i="52"/>
  <c r="U1773" i="52"/>
  <c r="V1773" i="52"/>
  <c r="T1774" i="52"/>
  <c r="U1774" i="52"/>
  <c r="V1774" i="52"/>
  <c r="T1775" i="52"/>
  <c r="U1775" i="52"/>
  <c r="V1775" i="52"/>
  <c r="T1776" i="52"/>
  <c r="U1776" i="52"/>
  <c r="V1776" i="52"/>
  <c r="T1777" i="52"/>
  <c r="U1777" i="52"/>
  <c r="V1777" i="52"/>
  <c r="T1778" i="52"/>
  <c r="U1778" i="52"/>
  <c r="V1778" i="52"/>
  <c r="T1779" i="52"/>
  <c r="U1779" i="52"/>
  <c r="V1779" i="52"/>
  <c r="T1780" i="52"/>
  <c r="U1780" i="52"/>
  <c r="V1780" i="52"/>
  <c r="T1781" i="52"/>
  <c r="U1781" i="52"/>
  <c r="V1781" i="52"/>
  <c r="T1782" i="52"/>
  <c r="U1782" i="52"/>
  <c r="V1782" i="52"/>
  <c r="T1783" i="52"/>
  <c r="U1783" i="52"/>
  <c r="V1783" i="52"/>
  <c r="T1784" i="52"/>
  <c r="U1784" i="52"/>
  <c r="V1784" i="52"/>
  <c r="T1785" i="52"/>
  <c r="U1785" i="52"/>
  <c r="V1785" i="52"/>
  <c r="T1786" i="52"/>
  <c r="U1786" i="52"/>
  <c r="V1786" i="52"/>
  <c r="T1787" i="52"/>
  <c r="U1787" i="52"/>
  <c r="V1787" i="52"/>
  <c r="T1788" i="52"/>
  <c r="U1788" i="52"/>
  <c r="V1788" i="52"/>
  <c r="T1789" i="52"/>
  <c r="U1789" i="52"/>
  <c r="V1789" i="52"/>
  <c r="T1790" i="52"/>
  <c r="U1790" i="52"/>
  <c r="V1790" i="52"/>
  <c r="T1791" i="52"/>
  <c r="U1791" i="52"/>
  <c r="V1791" i="52"/>
  <c r="T1792" i="52"/>
  <c r="U1792" i="52"/>
  <c r="V1792" i="52"/>
  <c r="T1793" i="52"/>
  <c r="U1793" i="52"/>
  <c r="V1793" i="52"/>
  <c r="T1794" i="52"/>
  <c r="U1794" i="52"/>
  <c r="V1794" i="52"/>
  <c r="T1795" i="52"/>
  <c r="U1795" i="52"/>
  <c r="V1795" i="52"/>
  <c r="T1796" i="52"/>
  <c r="U1796" i="52"/>
  <c r="V1796" i="52"/>
  <c r="T1797" i="52"/>
  <c r="U1797" i="52"/>
  <c r="V1797" i="52"/>
  <c r="T1798" i="52"/>
  <c r="U1798" i="52"/>
  <c r="V1798" i="52"/>
  <c r="T1799" i="52"/>
  <c r="U1799" i="52"/>
  <c r="V1799" i="52"/>
  <c r="T1800" i="52"/>
  <c r="U1800" i="52"/>
  <c r="V1800" i="52"/>
  <c r="T1801" i="52"/>
  <c r="U1801" i="52"/>
  <c r="V1801" i="52"/>
  <c r="T1802" i="52"/>
  <c r="U1802" i="52"/>
  <c r="V1802" i="52"/>
  <c r="T1803" i="52"/>
  <c r="U1803" i="52"/>
  <c r="V1803" i="52"/>
  <c r="T1804" i="52"/>
  <c r="U1804" i="52"/>
  <c r="V1804" i="52"/>
  <c r="T1805" i="52"/>
  <c r="U1805" i="52"/>
  <c r="V1805" i="52"/>
  <c r="T1806" i="52"/>
  <c r="U1806" i="52"/>
  <c r="V1806" i="52"/>
  <c r="T1807" i="52"/>
  <c r="U1807" i="52"/>
  <c r="V1807" i="52"/>
  <c r="T1808" i="52"/>
  <c r="U1808" i="52"/>
  <c r="V1808" i="52"/>
  <c r="T1809" i="52"/>
  <c r="U1809" i="52"/>
  <c r="V1809" i="52"/>
  <c r="T1810" i="52"/>
  <c r="U1810" i="52"/>
  <c r="V1810" i="52"/>
  <c r="T1811" i="52"/>
  <c r="U1811" i="52"/>
  <c r="V1811" i="52"/>
  <c r="T1812" i="52"/>
  <c r="U1812" i="52"/>
  <c r="V1812" i="52"/>
  <c r="T1813" i="52"/>
  <c r="U1813" i="52"/>
  <c r="V1813" i="52"/>
  <c r="T1814" i="52"/>
  <c r="U1814" i="52"/>
  <c r="V1814" i="52"/>
  <c r="T1815" i="52"/>
  <c r="U1815" i="52"/>
  <c r="V1815" i="52"/>
  <c r="T1816" i="52"/>
  <c r="U1816" i="52"/>
  <c r="V1816" i="52"/>
  <c r="T1817" i="52"/>
  <c r="U1817" i="52"/>
  <c r="V1817" i="52"/>
  <c r="T1818" i="52"/>
  <c r="U1818" i="52"/>
  <c r="V1818" i="52"/>
  <c r="T1819" i="52"/>
  <c r="U1819" i="52"/>
  <c r="V1819" i="52"/>
  <c r="T1820" i="52"/>
  <c r="U1820" i="52"/>
  <c r="V1820" i="52"/>
  <c r="T1821" i="52"/>
  <c r="U1821" i="52"/>
  <c r="V1821" i="52"/>
  <c r="T1822" i="52"/>
  <c r="U1822" i="52"/>
  <c r="V1822" i="52"/>
  <c r="T1823" i="52"/>
  <c r="U1823" i="52"/>
  <c r="V1823" i="52"/>
  <c r="T1824" i="52"/>
  <c r="U1824" i="52"/>
  <c r="V1824" i="52"/>
  <c r="T1825" i="52"/>
  <c r="U1825" i="52"/>
  <c r="V1825" i="52"/>
  <c r="T1826" i="52"/>
  <c r="U1826" i="52"/>
  <c r="V1826" i="52"/>
  <c r="T1827" i="52"/>
  <c r="U1827" i="52"/>
  <c r="V1827" i="52"/>
  <c r="T1828" i="52"/>
  <c r="U1828" i="52"/>
  <c r="V1828" i="52"/>
  <c r="T1829" i="52"/>
  <c r="U1829" i="52"/>
  <c r="V1829" i="52"/>
  <c r="T1830" i="52"/>
  <c r="U1830" i="52"/>
  <c r="V1830" i="52"/>
  <c r="T1831" i="52"/>
  <c r="U1831" i="52"/>
  <c r="V1831" i="52"/>
  <c r="T1832" i="52"/>
  <c r="U1832" i="52"/>
  <c r="V1832" i="52"/>
  <c r="T1833" i="52"/>
  <c r="U1833" i="52"/>
  <c r="V1833" i="52"/>
  <c r="T1834" i="52"/>
  <c r="U1834" i="52"/>
  <c r="V1834" i="52"/>
  <c r="T1835" i="52"/>
  <c r="U1835" i="52"/>
  <c r="V1835" i="52"/>
  <c r="T1836" i="52"/>
  <c r="U1836" i="52"/>
  <c r="V1836" i="52"/>
  <c r="T1837" i="52"/>
  <c r="U1837" i="52"/>
  <c r="V1837" i="52"/>
  <c r="T1838" i="52"/>
  <c r="U1838" i="52"/>
  <c r="V1838" i="52"/>
  <c r="T1839" i="52"/>
  <c r="U1839" i="52"/>
  <c r="V1839" i="52"/>
  <c r="T1840" i="52"/>
  <c r="U1840" i="52"/>
  <c r="V1840" i="52"/>
  <c r="T1841" i="52"/>
  <c r="U1841" i="52"/>
  <c r="V1841" i="52"/>
  <c r="T1842" i="52"/>
  <c r="U1842" i="52"/>
  <c r="V1842" i="52"/>
  <c r="T1843" i="52"/>
  <c r="U1843" i="52"/>
  <c r="V1843" i="52"/>
  <c r="T1844" i="52"/>
  <c r="U1844" i="52"/>
  <c r="V1844" i="52"/>
  <c r="T1845" i="52"/>
  <c r="U1845" i="52"/>
  <c r="V1845" i="52"/>
  <c r="T1846" i="52"/>
  <c r="U1846" i="52"/>
  <c r="V1846" i="52"/>
  <c r="T1847" i="52"/>
  <c r="U1847" i="52"/>
  <c r="V1847" i="52"/>
  <c r="T1848" i="52"/>
  <c r="U1848" i="52"/>
  <c r="V1848" i="52"/>
  <c r="T1849" i="52"/>
  <c r="U1849" i="52"/>
  <c r="V1849" i="52"/>
  <c r="T1850" i="52"/>
  <c r="U1850" i="52"/>
  <c r="V1850" i="52"/>
  <c r="T1851" i="52"/>
  <c r="U1851" i="52"/>
  <c r="V1851" i="52"/>
  <c r="T1852" i="52"/>
  <c r="U1852" i="52"/>
  <c r="V1852" i="52"/>
  <c r="T1853" i="52"/>
  <c r="U1853" i="52"/>
  <c r="V1853" i="52"/>
  <c r="T1854" i="52"/>
  <c r="U1854" i="52"/>
  <c r="V1854" i="52"/>
  <c r="T1855" i="52"/>
  <c r="U1855" i="52"/>
  <c r="V1855" i="52"/>
  <c r="T1856" i="52"/>
  <c r="U1856" i="52"/>
  <c r="V1856" i="52"/>
  <c r="T1857" i="52"/>
  <c r="U1857" i="52"/>
  <c r="V1857" i="52"/>
  <c r="T1858" i="52"/>
  <c r="U1858" i="52"/>
  <c r="V1858" i="52"/>
  <c r="T1859" i="52"/>
  <c r="U1859" i="52"/>
  <c r="V1859" i="52"/>
  <c r="T1860" i="52"/>
  <c r="U1860" i="52"/>
  <c r="V1860" i="52"/>
  <c r="T1861" i="52"/>
  <c r="U1861" i="52"/>
  <c r="V1861" i="52"/>
  <c r="T1862" i="52"/>
  <c r="U1862" i="52"/>
  <c r="V1862" i="52"/>
  <c r="T1863" i="52"/>
  <c r="U1863" i="52"/>
  <c r="V1863" i="52"/>
  <c r="T1864" i="52"/>
  <c r="U1864" i="52"/>
  <c r="V1864" i="52"/>
  <c r="T1865" i="52"/>
  <c r="U1865" i="52"/>
  <c r="V1865" i="52"/>
  <c r="T1866" i="52"/>
  <c r="U1866" i="52"/>
  <c r="V1866" i="52"/>
  <c r="T1867" i="52"/>
  <c r="U1867" i="52"/>
  <c r="V1867" i="52"/>
  <c r="T1868" i="52"/>
  <c r="U1868" i="52"/>
  <c r="V1868" i="52"/>
  <c r="T1869" i="52"/>
  <c r="U1869" i="52"/>
  <c r="V1869" i="52"/>
  <c r="T1870" i="52"/>
  <c r="U1870" i="52"/>
  <c r="V1870" i="52"/>
  <c r="T1871" i="52"/>
  <c r="U1871" i="52"/>
  <c r="V1871" i="52"/>
  <c r="T1872" i="52"/>
  <c r="U1872" i="52"/>
  <c r="V1872" i="52"/>
  <c r="T1873" i="52"/>
  <c r="U1873" i="52"/>
  <c r="V1873" i="52"/>
  <c r="T1874" i="52"/>
  <c r="U1874" i="52"/>
  <c r="V1874" i="52"/>
  <c r="T1875" i="52"/>
  <c r="U1875" i="52"/>
  <c r="V1875" i="52"/>
  <c r="T1876" i="52"/>
  <c r="U1876" i="52"/>
  <c r="V1876" i="52"/>
  <c r="T1877" i="52"/>
  <c r="U1877" i="52"/>
  <c r="V1877" i="52"/>
  <c r="T1878" i="52"/>
  <c r="U1878" i="52"/>
  <c r="V1878" i="52"/>
  <c r="T1879" i="52"/>
  <c r="U1879" i="52"/>
  <c r="V1879" i="52"/>
  <c r="T1880" i="52"/>
  <c r="U1880" i="52"/>
  <c r="V1880" i="52"/>
  <c r="T1881" i="52"/>
  <c r="U1881" i="52"/>
  <c r="V1881" i="52"/>
  <c r="T1882" i="52"/>
  <c r="U1882" i="52"/>
  <c r="V1882" i="52"/>
  <c r="T1883" i="52"/>
  <c r="U1883" i="52"/>
  <c r="V1883" i="52"/>
  <c r="T1884" i="52"/>
  <c r="U1884" i="52"/>
  <c r="V1884" i="52"/>
  <c r="T1885" i="52"/>
  <c r="U1885" i="52"/>
  <c r="V1885" i="52"/>
  <c r="T1886" i="52"/>
  <c r="U1886" i="52"/>
  <c r="V1886" i="52"/>
  <c r="T1887" i="52"/>
  <c r="U1887" i="52"/>
  <c r="V1887" i="52"/>
  <c r="T1888" i="52"/>
  <c r="U1888" i="52"/>
  <c r="V1888" i="52"/>
  <c r="T1889" i="52"/>
  <c r="U1889" i="52"/>
  <c r="V1889" i="52"/>
  <c r="T1890" i="52"/>
  <c r="U1890" i="52"/>
  <c r="V1890" i="52"/>
  <c r="T1891" i="52"/>
  <c r="U1891" i="52"/>
  <c r="V1891" i="52"/>
  <c r="T1892" i="52"/>
  <c r="U1892" i="52"/>
  <c r="V1892" i="52"/>
  <c r="T1893" i="52"/>
  <c r="U1893" i="52"/>
  <c r="V1893" i="52"/>
  <c r="T1894" i="52"/>
  <c r="U1894" i="52"/>
  <c r="V1894" i="52"/>
  <c r="T1895" i="52"/>
  <c r="U1895" i="52"/>
  <c r="V1895" i="52"/>
  <c r="T1896" i="52"/>
  <c r="U1896" i="52"/>
  <c r="V1896" i="52"/>
  <c r="T1897" i="52"/>
  <c r="U1897" i="52"/>
  <c r="V1897" i="52"/>
  <c r="T1898" i="52"/>
  <c r="U1898" i="52"/>
  <c r="V1898" i="52"/>
  <c r="T1899" i="52"/>
  <c r="U1899" i="52"/>
  <c r="V1899" i="52"/>
  <c r="T1900" i="52"/>
  <c r="U1900" i="52"/>
  <c r="V1900" i="52"/>
  <c r="T1901" i="52"/>
  <c r="U1901" i="52"/>
  <c r="V1901" i="52"/>
  <c r="T1902" i="52"/>
  <c r="U1902" i="52"/>
  <c r="V1902" i="52"/>
  <c r="T1903" i="52"/>
  <c r="U1903" i="52"/>
  <c r="V1903" i="52"/>
  <c r="T1904" i="52"/>
  <c r="U1904" i="52"/>
  <c r="V1904" i="52"/>
  <c r="T1905" i="52"/>
  <c r="U1905" i="52"/>
  <c r="V1905" i="52"/>
  <c r="T1906" i="52"/>
  <c r="U1906" i="52"/>
  <c r="V1906" i="52"/>
  <c r="T1907" i="52"/>
  <c r="U1907" i="52"/>
  <c r="V1907" i="52"/>
  <c r="T1908" i="52"/>
  <c r="U1908" i="52"/>
  <c r="V1908" i="52"/>
  <c r="T1909" i="52"/>
  <c r="U1909" i="52"/>
  <c r="V1909" i="52"/>
  <c r="T1910" i="52"/>
  <c r="U1910" i="52"/>
  <c r="V1910" i="52"/>
  <c r="T1911" i="52"/>
  <c r="U1911" i="52"/>
  <c r="V1911" i="52"/>
  <c r="T1912" i="52"/>
  <c r="U1912" i="52"/>
  <c r="V1912" i="52"/>
  <c r="T1913" i="52"/>
  <c r="U1913" i="52"/>
  <c r="V1913" i="52"/>
  <c r="T1914" i="52"/>
  <c r="U1914" i="52"/>
  <c r="V1914" i="52"/>
  <c r="T1915" i="52"/>
  <c r="U1915" i="52"/>
  <c r="V1915" i="52"/>
  <c r="T1916" i="52"/>
  <c r="U1916" i="52"/>
  <c r="V1916" i="52"/>
  <c r="T1917" i="52"/>
  <c r="U1917" i="52"/>
  <c r="V1917" i="52"/>
  <c r="T1918" i="52"/>
  <c r="U1918" i="52"/>
  <c r="V1918" i="52"/>
  <c r="T1919" i="52"/>
  <c r="U1919" i="52"/>
  <c r="V1919" i="52"/>
  <c r="T1920" i="52"/>
  <c r="U1920" i="52"/>
  <c r="V1920" i="52"/>
  <c r="T1921" i="52"/>
  <c r="U1921" i="52"/>
  <c r="V1921" i="52"/>
  <c r="T1922" i="52"/>
  <c r="U1922" i="52"/>
  <c r="V1922" i="52"/>
  <c r="T1923" i="52"/>
  <c r="U1923" i="52"/>
  <c r="V1923" i="52"/>
  <c r="T1924" i="52"/>
  <c r="U1924" i="52"/>
  <c r="V1924" i="52"/>
  <c r="T1925" i="52"/>
  <c r="U1925" i="52"/>
  <c r="V1925" i="52"/>
  <c r="T1926" i="52"/>
  <c r="U1926" i="52"/>
  <c r="V1926" i="52"/>
  <c r="T1927" i="52"/>
  <c r="U1927" i="52"/>
  <c r="V1927" i="52"/>
  <c r="T1928" i="52"/>
  <c r="U1928" i="52"/>
  <c r="V1928" i="52"/>
  <c r="T1929" i="52"/>
  <c r="U1929" i="52"/>
  <c r="V1929" i="52"/>
  <c r="T1930" i="52"/>
  <c r="U1930" i="52"/>
  <c r="V1930" i="52"/>
  <c r="T1931" i="52"/>
  <c r="U1931" i="52"/>
  <c r="V1931" i="52"/>
  <c r="T1932" i="52"/>
  <c r="U1932" i="52"/>
  <c r="V1932" i="52"/>
  <c r="T1933" i="52"/>
  <c r="U1933" i="52"/>
  <c r="V1933" i="52"/>
  <c r="T1934" i="52"/>
  <c r="U1934" i="52"/>
  <c r="V1934" i="52"/>
  <c r="T1935" i="52"/>
  <c r="U1935" i="52"/>
  <c r="V1935" i="52"/>
  <c r="T1936" i="52"/>
  <c r="U1936" i="52"/>
  <c r="V1936" i="52"/>
  <c r="T1937" i="52"/>
  <c r="U1937" i="52"/>
  <c r="V1937" i="52"/>
  <c r="T1938" i="52"/>
  <c r="U1938" i="52"/>
  <c r="V1938" i="52"/>
  <c r="T1939" i="52"/>
  <c r="U1939" i="52"/>
  <c r="V1939" i="52"/>
  <c r="T1940" i="52"/>
  <c r="U1940" i="52"/>
  <c r="V1940" i="52"/>
  <c r="T1941" i="52"/>
  <c r="U1941" i="52"/>
  <c r="V1941" i="52"/>
  <c r="T1942" i="52"/>
  <c r="U1942" i="52"/>
  <c r="V1942" i="52"/>
  <c r="T1943" i="52"/>
  <c r="U1943" i="52"/>
  <c r="V1943" i="52"/>
  <c r="T1944" i="52"/>
  <c r="U1944" i="52"/>
  <c r="V1944" i="52"/>
  <c r="T1945" i="52"/>
  <c r="U1945" i="52"/>
  <c r="V1945" i="52"/>
  <c r="T1946" i="52"/>
  <c r="U1946" i="52"/>
  <c r="V1946" i="52"/>
  <c r="T1947" i="52"/>
  <c r="U1947" i="52"/>
  <c r="V1947" i="52"/>
  <c r="T1948" i="52"/>
  <c r="U1948" i="52"/>
  <c r="V1948" i="52"/>
  <c r="T1949" i="52"/>
  <c r="U1949" i="52"/>
  <c r="V1949" i="52"/>
  <c r="T1950" i="52"/>
  <c r="U1950" i="52"/>
  <c r="V1950" i="52"/>
  <c r="T1951" i="52"/>
  <c r="U1951" i="52"/>
  <c r="V1951" i="52"/>
  <c r="T1952" i="52"/>
  <c r="U1952" i="52"/>
  <c r="V1952" i="52"/>
  <c r="T1953" i="52"/>
  <c r="U1953" i="52"/>
  <c r="V1953" i="52"/>
  <c r="T1954" i="52"/>
  <c r="U1954" i="52"/>
  <c r="V1954" i="52"/>
  <c r="T1955" i="52"/>
  <c r="U1955" i="52"/>
  <c r="V1955" i="52"/>
  <c r="T1956" i="52"/>
  <c r="U1956" i="52"/>
  <c r="V1956" i="52"/>
  <c r="T1957" i="52"/>
  <c r="U1957" i="52"/>
  <c r="V1957" i="52"/>
  <c r="T1958" i="52"/>
  <c r="U1958" i="52"/>
  <c r="V1958" i="52"/>
  <c r="T1959" i="52"/>
  <c r="U1959" i="52"/>
  <c r="V1959" i="52"/>
  <c r="T1960" i="52"/>
  <c r="U1960" i="52"/>
  <c r="V1960" i="52"/>
  <c r="T1961" i="52"/>
  <c r="U1961" i="52"/>
  <c r="V1961" i="52"/>
  <c r="T1962" i="52"/>
  <c r="U1962" i="52"/>
  <c r="V1962" i="52"/>
  <c r="T1963" i="52"/>
  <c r="U1963" i="52"/>
  <c r="V1963" i="52"/>
  <c r="T1964" i="52"/>
  <c r="U1964" i="52"/>
  <c r="V1964" i="52"/>
  <c r="T1965" i="52"/>
  <c r="U1965" i="52"/>
  <c r="V1965" i="52"/>
  <c r="T1966" i="52"/>
  <c r="U1966" i="52"/>
  <c r="V1966" i="52"/>
  <c r="T1967" i="52"/>
  <c r="U1967" i="52"/>
  <c r="V1967" i="52"/>
  <c r="T1968" i="52"/>
  <c r="U1968" i="52"/>
  <c r="V1968" i="52"/>
  <c r="T1969" i="52"/>
  <c r="U1969" i="52"/>
  <c r="V1969" i="52"/>
  <c r="T1970" i="52"/>
  <c r="U1970" i="52"/>
  <c r="V1970" i="52"/>
  <c r="T1971" i="52"/>
  <c r="U1971" i="52"/>
  <c r="V1971" i="52"/>
  <c r="T1972" i="52"/>
  <c r="U1972" i="52"/>
  <c r="V1972" i="52"/>
  <c r="T1973" i="52"/>
  <c r="U1973" i="52"/>
  <c r="V1973" i="52"/>
  <c r="T1974" i="52"/>
  <c r="U1974" i="52"/>
  <c r="V1974" i="52"/>
  <c r="T1975" i="52"/>
  <c r="U1975" i="52"/>
  <c r="V1975" i="52"/>
  <c r="T1976" i="52"/>
  <c r="U1976" i="52"/>
  <c r="V1976" i="52"/>
  <c r="T1977" i="52"/>
  <c r="U1977" i="52"/>
  <c r="V1977" i="52"/>
  <c r="T1978" i="52"/>
  <c r="U1978" i="52"/>
  <c r="V1978" i="52"/>
  <c r="T1979" i="52"/>
  <c r="U1979" i="52"/>
  <c r="V1979" i="52"/>
  <c r="T1980" i="52"/>
  <c r="U1980" i="52"/>
  <c r="V1980" i="52"/>
  <c r="T1981" i="52"/>
  <c r="U1981" i="52"/>
  <c r="V1981" i="52"/>
  <c r="T1982" i="52"/>
  <c r="U1982" i="52"/>
  <c r="V1982" i="52"/>
  <c r="T1983" i="52"/>
  <c r="U1983" i="52"/>
  <c r="V1983" i="52"/>
  <c r="T1984" i="52"/>
  <c r="U1984" i="52"/>
  <c r="V1984" i="52"/>
  <c r="T1985" i="52"/>
  <c r="U1985" i="52"/>
  <c r="V1985" i="52"/>
  <c r="T1986" i="52"/>
  <c r="U1986" i="52"/>
  <c r="V1986" i="52"/>
  <c r="T1987" i="52"/>
  <c r="U1987" i="52"/>
  <c r="V1987" i="52"/>
  <c r="T1988" i="52"/>
  <c r="U1988" i="52"/>
  <c r="V1988" i="52"/>
  <c r="T1989" i="52"/>
  <c r="U1989" i="52"/>
  <c r="V1989" i="52"/>
  <c r="T1990" i="52"/>
  <c r="U1990" i="52"/>
  <c r="V1990" i="52"/>
  <c r="T1991" i="52"/>
  <c r="U1991" i="52"/>
  <c r="V1991" i="52"/>
  <c r="T1992" i="52"/>
  <c r="U1992" i="52"/>
  <c r="V1992" i="52"/>
  <c r="T1993" i="52"/>
  <c r="U1993" i="52"/>
  <c r="V1993" i="52"/>
  <c r="T1994" i="52"/>
  <c r="U1994" i="52"/>
  <c r="V1994" i="52"/>
  <c r="T1995" i="52"/>
  <c r="U1995" i="52"/>
  <c r="V1995" i="52"/>
  <c r="T1996" i="52"/>
  <c r="U1996" i="52"/>
  <c r="V1996" i="52"/>
  <c r="T1997" i="52"/>
  <c r="U1997" i="52"/>
  <c r="V1997" i="52"/>
  <c r="T1998" i="52"/>
  <c r="U1998" i="52"/>
  <c r="V1998" i="52"/>
  <c r="T1999" i="52"/>
  <c r="U1999" i="52"/>
  <c r="V1999" i="52"/>
  <c r="T2000" i="52"/>
  <c r="U2000" i="52"/>
  <c r="V2000" i="52"/>
  <c r="T2001" i="52"/>
  <c r="U2001" i="52"/>
  <c r="V2001" i="52"/>
  <c r="T2002" i="52"/>
  <c r="U2002" i="52"/>
  <c r="V2002" i="52"/>
  <c r="T2003" i="52"/>
  <c r="U2003" i="52"/>
  <c r="V2003" i="52"/>
  <c r="T2004" i="52"/>
  <c r="U2004" i="52"/>
  <c r="V2004" i="52"/>
  <c r="T2005" i="52"/>
  <c r="U2005" i="52"/>
  <c r="V2005" i="52"/>
  <c r="T2006" i="52"/>
  <c r="U2006" i="52"/>
  <c r="V2006" i="52"/>
  <c r="T2007" i="52"/>
  <c r="U2007" i="52"/>
  <c r="V2007" i="52"/>
  <c r="T2008" i="52"/>
  <c r="U2008" i="52"/>
  <c r="V2008" i="52"/>
  <c r="T2009" i="52"/>
  <c r="U2009" i="52"/>
  <c r="V2009" i="52"/>
  <c r="T2010" i="52"/>
  <c r="U2010" i="52"/>
  <c r="V2010" i="52"/>
  <c r="T2011" i="52"/>
  <c r="U2011" i="52"/>
  <c r="V2011" i="52"/>
  <c r="T2012" i="52"/>
  <c r="U2012" i="52"/>
  <c r="V2012" i="52"/>
  <c r="T2013" i="52"/>
  <c r="U2013" i="52"/>
  <c r="V2013" i="52"/>
  <c r="T2014" i="52"/>
  <c r="U2014" i="52"/>
  <c r="V2014" i="52"/>
  <c r="T2015" i="52"/>
  <c r="U2015" i="52"/>
  <c r="V2015" i="52"/>
  <c r="T2016" i="52"/>
  <c r="U2016" i="52"/>
  <c r="V2016" i="52"/>
  <c r="T2017" i="52"/>
  <c r="U2017" i="52"/>
  <c r="V2017" i="52"/>
  <c r="T2018" i="52"/>
  <c r="U2018" i="52"/>
  <c r="V2018" i="52"/>
  <c r="T2019" i="52"/>
  <c r="U2019" i="52"/>
  <c r="V2019" i="52"/>
  <c r="T2020" i="52"/>
  <c r="U2020" i="52"/>
  <c r="V2020" i="52"/>
  <c r="T2021" i="52"/>
  <c r="U2021" i="52"/>
  <c r="V2021" i="52"/>
  <c r="T2022" i="52"/>
  <c r="U2022" i="52"/>
  <c r="V2022" i="52"/>
  <c r="T2023" i="52"/>
  <c r="U2023" i="52"/>
  <c r="V2023" i="52"/>
  <c r="T2024" i="52"/>
  <c r="U2024" i="52"/>
  <c r="V2024" i="52"/>
  <c r="T2025" i="52"/>
  <c r="U2025" i="52"/>
  <c r="V2025" i="52"/>
  <c r="T2026" i="52"/>
  <c r="U2026" i="52"/>
  <c r="V2026" i="52"/>
  <c r="T2027" i="52"/>
  <c r="U2027" i="52"/>
  <c r="V2027" i="52"/>
  <c r="T2028" i="52"/>
  <c r="U2028" i="52"/>
  <c r="V2028" i="52"/>
  <c r="T2029" i="52"/>
  <c r="U2029" i="52"/>
  <c r="V2029" i="52"/>
  <c r="T2030" i="52"/>
  <c r="U2030" i="52"/>
  <c r="V2030" i="52"/>
  <c r="T2031" i="52"/>
  <c r="U2031" i="52"/>
  <c r="V2031" i="52"/>
  <c r="T2032" i="52"/>
  <c r="U2032" i="52"/>
  <c r="V2032" i="52"/>
  <c r="T2033" i="52"/>
  <c r="U2033" i="52"/>
  <c r="V2033" i="52"/>
  <c r="T2034" i="52"/>
  <c r="U2034" i="52"/>
  <c r="V2034" i="52"/>
  <c r="T2035" i="52"/>
  <c r="U2035" i="52"/>
  <c r="V2035" i="52"/>
  <c r="T2036" i="52"/>
  <c r="U2036" i="52"/>
  <c r="V2036" i="52"/>
  <c r="T2037" i="52"/>
  <c r="U2037" i="52"/>
  <c r="V2037" i="52"/>
  <c r="T2038" i="52"/>
  <c r="U2038" i="52"/>
  <c r="V2038" i="52"/>
  <c r="T2039" i="52"/>
  <c r="U2039" i="52"/>
  <c r="V2039" i="52"/>
  <c r="T2040" i="52"/>
  <c r="U2040" i="52"/>
  <c r="V2040" i="52"/>
  <c r="T2041" i="52"/>
  <c r="U2041" i="52"/>
  <c r="V2041" i="52"/>
  <c r="T2042" i="52"/>
  <c r="U2042" i="52"/>
  <c r="V2042" i="52"/>
  <c r="T2043" i="52"/>
  <c r="U2043" i="52"/>
  <c r="V2043" i="52"/>
  <c r="T2044" i="52"/>
  <c r="U2044" i="52"/>
  <c r="V2044" i="52"/>
  <c r="T2045" i="52"/>
  <c r="U2045" i="52"/>
  <c r="V2045" i="52"/>
  <c r="T2046" i="52"/>
  <c r="U2046" i="52"/>
  <c r="V2046" i="52"/>
  <c r="T2047" i="52"/>
  <c r="U2047" i="52"/>
  <c r="V2047" i="52"/>
  <c r="T2048" i="52"/>
  <c r="U2048" i="52"/>
  <c r="V2048" i="52"/>
  <c r="T2049" i="52"/>
  <c r="U2049" i="52"/>
  <c r="V2049" i="52"/>
  <c r="T2050" i="52"/>
  <c r="U2050" i="52"/>
  <c r="V2050" i="52"/>
  <c r="T2051" i="52"/>
  <c r="U2051" i="52"/>
  <c r="V2051" i="52"/>
  <c r="T2052" i="52"/>
  <c r="U2052" i="52"/>
  <c r="V2052" i="52"/>
  <c r="T2053" i="52"/>
  <c r="U2053" i="52"/>
  <c r="V2053" i="52"/>
  <c r="T2054" i="52"/>
  <c r="U2054" i="52"/>
  <c r="V2054" i="52"/>
  <c r="T2055" i="52"/>
  <c r="U2055" i="52"/>
  <c r="V2055" i="52"/>
  <c r="T2056" i="52"/>
  <c r="U2056" i="52"/>
  <c r="V2056" i="52"/>
  <c r="T2057" i="52"/>
  <c r="U2057" i="52"/>
  <c r="V2057" i="52"/>
  <c r="T2058" i="52"/>
  <c r="U2058" i="52"/>
  <c r="V2058" i="52"/>
  <c r="T2059" i="52"/>
  <c r="U2059" i="52"/>
  <c r="V2059" i="52"/>
  <c r="T2060" i="52"/>
  <c r="U2060" i="52"/>
  <c r="V2060" i="52"/>
  <c r="T2061" i="52"/>
  <c r="U2061" i="52"/>
  <c r="V2061" i="52"/>
  <c r="T2062" i="52"/>
  <c r="U2062" i="52"/>
  <c r="V2062" i="52"/>
  <c r="T2063" i="52"/>
  <c r="U2063" i="52"/>
  <c r="V2063" i="52"/>
  <c r="T2064" i="52"/>
  <c r="U2064" i="52"/>
  <c r="V2064" i="52"/>
  <c r="T2065" i="52"/>
  <c r="U2065" i="52"/>
  <c r="V2065" i="52"/>
  <c r="T2066" i="52"/>
  <c r="U2066" i="52"/>
  <c r="V2066" i="52"/>
  <c r="T2067" i="52"/>
  <c r="U2067" i="52"/>
  <c r="V2067" i="52"/>
  <c r="T2068" i="52"/>
  <c r="U2068" i="52"/>
  <c r="V2068" i="52"/>
  <c r="T2069" i="52"/>
  <c r="U2069" i="52"/>
  <c r="V2069" i="52"/>
  <c r="T2070" i="52"/>
  <c r="U2070" i="52"/>
  <c r="V2070" i="52"/>
  <c r="T2071" i="52"/>
  <c r="U2071" i="52"/>
  <c r="V2071" i="52"/>
  <c r="T2072" i="52"/>
  <c r="U2072" i="52"/>
  <c r="V2072" i="52"/>
  <c r="T2073" i="52"/>
  <c r="U2073" i="52"/>
  <c r="V2073" i="52"/>
  <c r="T2074" i="52"/>
  <c r="U2074" i="52"/>
  <c r="V2074" i="52"/>
  <c r="T2075" i="52"/>
  <c r="U2075" i="52"/>
  <c r="V2075" i="52"/>
  <c r="T2076" i="52"/>
  <c r="U2076" i="52"/>
  <c r="V2076" i="52"/>
  <c r="T2077" i="52"/>
  <c r="U2077" i="52"/>
  <c r="V2077" i="52"/>
  <c r="T2078" i="52"/>
  <c r="U2078" i="52"/>
  <c r="V2078" i="52"/>
  <c r="T2079" i="52"/>
  <c r="U2079" i="52"/>
  <c r="V2079" i="52"/>
  <c r="T2080" i="52"/>
  <c r="U2080" i="52"/>
  <c r="V2080" i="52"/>
  <c r="T2081" i="52"/>
  <c r="U2081" i="52"/>
  <c r="V2081" i="52"/>
  <c r="T2082" i="52"/>
  <c r="U2082" i="52"/>
  <c r="V2082" i="52"/>
  <c r="T2083" i="52"/>
  <c r="U2083" i="52"/>
  <c r="V2083" i="52"/>
  <c r="T2084" i="52"/>
  <c r="U2084" i="52"/>
  <c r="V2084" i="52"/>
  <c r="T2085" i="52"/>
  <c r="U2085" i="52"/>
  <c r="V2085" i="52"/>
  <c r="T2086" i="52"/>
  <c r="U2086" i="52"/>
  <c r="V2086" i="52"/>
  <c r="T2087" i="52"/>
  <c r="U2087" i="52"/>
  <c r="V2087" i="52"/>
  <c r="T2088" i="52"/>
  <c r="U2088" i="52"/>
  <c r="V2088" i="52"/>
  <c r="T2089" i="52"/>
  <c r="U2089" i="52"/>
  <c r="V2089" i="52"/>
  <c r="T2090" i="52"/>
  <c r="U2090" i="52"/>
  <c r="V2090" i="52"/>
  <c r="T2091" i="52"/>
  <c r="U2091" i="52"/>
  <c r="V2091" i="52"/>
  <c r="T2092" i="52"/>
  <c r="U2092" i="52"/>
  <c r="V2092" i="52"/>
  <c r="T2093" i="52"/>
  <c r="U2093" i="52"/>
  <c r="V2093" i="52"/>
  <c r="T2094" i="52"/>
  <c r="U2094" i="52"/>
  <c r="V2094" i="52"/>
  <c r="T2095" i="52"/>
  <c r="U2095" i="52"/>
  <c r="V2095" i="52"/>
  <c r="T2096" i="52"/>
  <c r="U2096" i="52"/>
  <c r="V2096" i="52"/>
  <c r="T2097" i="52"/>
  <c r="U2097" i="52"/>
  <c r="V2097" i="52"/>
  <c r="T2098" i="52"/>
  <c r="U2098" i="52"/>
  <c r="V2098" i="52"/>
  <c r="T2099" i="52"/>
  <c r="U2099" i="52"/>
  <c r="V2099" i="52"/>
  <c r="T2100" i="52"/>
  <c r="U2100" i="52"/>
  <c r="V2100" i="52"/>
  <c r="T2101" i="52"/>
  <c r="U2101" i="52"/>
  <c r="V2101" i="52"/>
  <c r="T2102" i="52"/>
  <c r="U2102" i="52"/>
  <c r="V2102" i="52"/>
  <c r="T2103" i="52"/>
  <c r="U2103" i="52"/>
  <c r="V2103" i="52"/>
  <c r="T2104" i="52"/>
  <c r="U2104" i="52"/>
  <c r="V2104" i="52"/>
  <c r="T2105" i="52"/>
  <c r="U2105" i="52"/>
  <c r="V2105" i="52"/>
  <c r="T2106" i="52"/>
  <c r="U2106" i="52"/>
  <c r="V2106" i="52"/>
  <c r="T2107" i="52"/>
  <c r="U2107" i="52"/>
  <c r="V2107" i="52"/>
  <c r="T2108" i="52"/>
  <c r="U2108" i="52"/>
  <c r="V2108" i="52"/>
  <c r="T2109" i="52"/>
  <c r="U2109" i="52"/>
  <c r="V2109" i="52"/>
  <c r="T2110" i="52"/>
  <c r="U2110" i="52"/>
  <c r="V2110" i="52"/>
  <c r="T2111" i="52"/>
  <c r="U2111" i="52"/>
  <c r="V2111" i="52"/>
  <c r="T2112" i="52"/>
  <c r="U2112" i="52"/>
  <c r="V2112" i="52"/>
  <c r="T2113" i="52"/>
  <c r="U2113" i="52"/>
  <c r="V2113" i="52"/>
  <c r="T2114" i="52"/>
  <c r="U2114" i="52"/>
  <c r="V2114" i="52"/>
  <c r="T2115" i="52"/>
  <c r="U2115" i="52"/>
  <c r="V2115" i="52"/>
  <c r="T2116" i="52"/>
  <c r="U2116" i="52"/>
  <c r="V2116" i="52"/>
  <c r="T2117" i="52"/>
  <c r="U2117" i="52"/>
  <c r="V2117" i="52"/>
  <c r="T2118" i="52"/>
  <c r="U2118" i="52"/>
  <c r="V2118" i="52"/>
  <c r="T2119" i="52"/>
  <c r="U2119" i="52"/>
  <c r="V2119" i="52"/>
  <c r="T2120" i="52"/>
  <c r="U2120" i="52"/>
  <c r="V2120" i="52"/>
  <c r="T2121" i="52"/>
  <c r="U2121" i="52"/>
  <c r="V2121" i="52"/>
  <c r="T2122" i="52"/>
  <c r="U2122" i="52"/>
  <c r="V2122" i="52"/>
  <c r="T2123" i="52"/>
  <c r="U2123" i="52"/>
  <c r="V2123" i="52"/>
  <c r="T2124" i="52"/>
  <c r="U2124" i="52"/>
  <c r="V2124" i="52"/>
  <c r="T2125" i="52"/>
  <c r="U2125" i="52"/>
  <c r="V2125" i="52"/>
  <c r="T2126" i="52"/>
  <c r="U2126" i="52"/>
  <c r="V2126" i="52"/>
  <c r="T2127" i="52"/>
  <c r="U2127" i="52"/>
  <c r="V2127" i="52"/>
  <c r="T2128" i="52"/>
  <c r="U2128" i="52"/>
  <c r="V2128" i="52"/>
  <c r="T2129" i="52"/>
  <c r="U2129" i="52"/>
  <c r="V2129" i="52"/>
  <c r="T2130" i="52"/>
  <c r="U2130" i="52"/>
  <c r="V2130" i="52"/>
  <c r="T2131" i="52"/>
  <c r="U2131" i="52"/>
  <c r="V2131" i="52"/>
  <c r="T2132" i="52"/>
  <c r="U2132" i="52"/>
  <c r="V2132" i="52"/>
  <c r="T2133" i="52"/>
  <c r="U2133" i="52"/>
  <c r="V2133" i="52"/>
  <c r="T2134" i="52"/>
  <c r="U2134" i="52"/>
  <c r="V2134" i="52"/>
  <c r="T2135" i="52"/>
  <c r="U2135" i="52"/>
  <c r="V2135" i="52"/>
  <c r="T2136" i="52"/>
  <c r="U2136" i="52"/>
  <c r="V2136" i="52"/>
  <c r="T2137" i="52"/>
  <c r="U2137" i="52"/>
  <c r="V2137" i="52"/>
  <c r="T2138" i="52"/>
  <c r="U2138" i="52"/>
  <c r="V2138" i="52"/>
  <c r="T2139" i="52"/>
  <c r="U2139" i="52"/>
  <c r="V2139" i="52"/>
  <c r="T2140" i="52"/>
  <c r="U2140" i="52"/>
  <c r="V2140" i="52"/>
  <c r="T2141" i="52"/>
  <c r="U2141" i="52"/>
  <c r="V2141" i="52"/>
  <c r="T2142" i="52"/>
  <c r="U2142" i="52"/>
  <c r="V2142" i="52"/>
  <c r="T2143" i="52"/>
  <c r="U2143" i="52"/>
  <c r="V2143" i="52"/>
  <c r="T2144" i="52"/>
  <c r="U2144" i="52"/>
  <c r="V2144" i="52"/>
  <c r="T2145" i="52"/>
  <c r="U2145" i="52"/>
  <c r="V2145" i="52"/>
  <c r="T2146" i="52"/>
  <c r="U2146" i="52"/>
  <c r="V2146" i="52"/>
  <c r="T2147" i="52"/>
  <c r="U2147" i="52"/>
  <c r="V2147" i="52"/>
  <c r="T2148" i="52"/>
  <c r="U2148" i="52"/>
  <c r="V2148" i="52"/>
  <c r="T2149" i="52"/>
  <c r="U2149" i="52"/>
  <c r="V2149" i="52"/>
  <c r="T2150" i="52"/>
  <c r="U2150" i="52"/>
  <c r="V2150" i="52"/>
  <c r="T2151" i="52"/>
  <c r="U2151" i="52"/>
  <c r="V2151" i="52"/>
  <c r="T2152" i="52"/>
  <c r="U2152" i="52"/>
  <c r="V2152" i="52"/>
  <c r="T2153" i="52"/>
  <c r="U2153" i="52"/>
  <c r="V2153" i="52"/>
  <c r="T2154" i="52"/>
  <c r="U2154" i="52"/>
  <c r="V2154" i="52"/>
  <c r="T2155" i="52"/>
  <c r="U2155" i="52"/>
  <c r="V2155" i="52"/>
  <c r="T2156" i="52"/>
  <c r="U2156" i="52"/>
  <c r="V2156" i="52"/>
  <c r="T2157" i="52"/>
  <c r="U2157" i="52"/>
  <c r="V2157" i="52"/>
  <c r="T2158" i="52"/>
  <c r="U2158" i="52"/>
  <c r="V2158" i="52"/>
  <c r="T2159" i="52"/>
  <c r="U2159" i="52"/>
  <c r="V2159" i="52"/>
  <c r="T2160" i="52"/>
  <c r="U2160" i="52"/>
  <c r="V2160" i="52"/>
  <c r="T2161" i="52"/>
  <c r="U2161" i="52"/>
  <c r="V2161" i="52"/>
  <c r="T2162" i="52"/>
  <c r="U2162" i="52"/>
  <c r="V2162" i="52"/>
  <c r="T2163" i="52"/>
  <c r="U2163" i="52"/>
  <c r="V2163" i="52"/>
  <c r="T2164" i="52"/>
  <c r="U2164" i="52"/>
  <c r="V2164" i="52"/>
  <c r="T2165" i="52"/>
  <c r="U2165" i="52"/>
  <c r="V2165" i="52"/>
  <c r="T2166" i="52"/>
  <c r="U2166" i="52"/>
  <c r="V2166" i="52"/>
  <c r="T2167" i="52"/>
  <c r="U2167" i="52"/>
  <c r="V2167" i="52"/>
  <c r="T2168" i="52"/>
  <c r="U2168" i="52"/>
  <c r="V2168" i="52"/>
  <c r="T2169" i="52"/>
  <c r="U2169" i="52"/>
  <c r="V2169" i="52"/>
  <c r="T2170" i="52"/>
  <c r="U2170" i="52"/>
  <c r="V2170" i="52"/>
  <c r="T2171" i="52"/>
  <c r="U2171" i="52"/>
  <c r="V2171" i="52"/>
  <c r="T2172" i="52"/>
  <c r="U2172" i="52"/>
  <c r="V2172" i="52"/>
  <c r="T2173" i="52"/>
  <c r="U2173" i="52"/>
  <c r="V2173" i="52"/>
  <c r="T2174" i="52"/>
  <c r="U2174" i="52"/>
  <c r="V2174" i="52"/>
  <c r="T2175" i="52"/>
  <c r="U2175" i="52"/>
  <c r="V2175" i="52"/>
  <c r="T2176" i="52"/>
  <c r="U2176" i="52"/>
  <c r="V2176" i="52"/>
  <c r="T2177" i="52"/>
  <c r="U2177" i="52"/>
  <c r="V2177" i="52"/>
  <c r="T2178" i="52"/>
  <c r="U2178" i="52"/>
  <c r="V2178" i="52"/>
  <c r="T2179" i="52"/>
  <c r="U2179" i="52"/>
  <c r="V2179" i="52"/>
  <c r="T2180" i="52"/>
  <c r="U2180" i="52"/>
  <c r="V2180" i="52"/>
  <c r="T2181" i="52"/>
  <c r="U2181" i="52"/>
  <c r="V2181" i="52"/>
  <c r="T2182" i="52"/>
  <c r="U2182" i="52"/>
  <c r="V2182" i="52"/>
  <c r="T2183" i="52"/>
  <c r="U2183" i="52"/>
  <c r="V2183" i="52"/>
  <c r="T2184" i="52"/>
  <c r="U2184" i="52"/>
  <c r="V2184" i="52"/>
  <c r="T2185" i="52"/>
  <c r="U2185" i="52"/>
  <c r="V2185" i="52"/>
  <c r="T2186" i="52"/>
  <c r="U2186" i="52"/>
  <c r="V2186" i="52"/>
  <c r="T2187" i="52"/>
  <c r="U2187" i="52"/>
  <c r="V2187" i="52"/>
  <c r="T2188" i="52"/>
  <c r="U2188" i="52"/>
  <c r="V2188" i="52"/>
  <c r="T2189" i="52"/>
  <c r="U2189" i="52"/>
  <c r="V2189" i="52"/>
  <c r="T2190" i="52"/>
  <c r="U2190" i="52"/>
  <c r="V2190" i="52"/>
  <c r="T2191" i="52"/>
  <c r="U2191" i="52"/>
  <c r="V2191" i="52"/>
  <c r="T2192" i="52"/>
  <c r="U2192" i="52"/>
  <c r="V2192" i="52"/>
  <c r="T2193" i="52"/>
  <c r="U2193" i="52"/>
  <c r="V2193" i="52"/>
  <c r="T2194" i="52"/>
  <c r="U2194" i="52"/>
  <c r="V2194" i="52"/>
  <c r="T2195" i="52"/>
  <c r="U2195" i="52"/>
  <c r="V2195" i="52"/>
  <c r="T2196" i="52"/>
  <c r="U2196" i="52"/>
  <c r="V2196" i="52"/>
  <c r="T2197" i="52"/>
  <c r="U2197" i="52"/>
  <c r="V2197" i="52"/>
  <c r="T2198" i="52"/>
  <c r="U2198" i="52"/>
  <c r="V2198" i="52"/>
  <c r="T2199" i="52"/>
  <c r="U2199" i="52"/>
  <c r="V2199" i="52"/>
  <c r="T2200" i="52"/>
  <c r="U2200" i="52"/>
  <c r="V2200" i="52"/>
  <c r="T2201" i="52"/>
  <c r="U2201" i="52"/>
  <c r="V2201" i="52"/>
  <c r="T2202" i="52"/>
  <c r="U2202" i="52"/>
  <c r="V2202" i="52"/>
  <c r="T2203" i="52"/>
  <c r="U2203" i="52"/>
  <c r="V2203" i="52"/>
  <c r="T2204" i="52"/>
  <c r="U2204" i="52"/>
  <c r="V2204" i="52"/>
  <c r="T2205" i="52"/>
  <c r="U2205" i="52"/>
  <c r="V2205" i="52"/>
  <c r="T2206" i="52"/>
  <c r="U2206" i="52"/>
  <c r="V2206" i="52"/>
  <c r="T2207" i="52"/>
  <c r="U2207" i="52"/>
  <c r="V2207" i="52"/>
  <c r="T2208" i="52"/>
  <c r="U2208" i="52"/>
  <c r="V2208" i="52"/>
  <c r="T2209" i="52"/>
  <c r="U2209" i="52"/>
  <c r="V2209" i="52"/>
  <c r="T2210" i="52"/>
  <c r="U2210" i="52"/>
  <c r="V2210" i="52"/>
  <c r="T2211" i="52"/>
  <c r="U2211" i="52"/>
  <c r="V2211" i="52"/>
  <c r="T2212" i="52"/>
  <c r="U2212" i="52"/>
  <c r="V2212" i="52"/>
  <c r="T2213" i="52"/>
  <c r="U2213" i="52"/>
  <c r="V2213" i="52"/>
  <c r="T2214" i="52"/>
  <c r="U2214" i="52"/>
  <c r="V2214" i="52"/>
  <c r="T2215" i="52"/>
  <c r="U2215" i="52"/>
  <c r="V2215" i="52"/>
  <c r="T2216" i="52"/>
  <c r="U2216" i="52"/>
  <c r="V2216" i="52"/>
  <c r="T2217" i="52"/>
  <c r="U2217" i="52"/>
  <c r="V2217" i="52"/>
  <c r="T2218" i="52"/>
  <c r="U2218" i="52"/>
  <c r="V2218" i="52"/>
  <c r="T2219" i="52"/>
  <c r="U2219" i="52"/>
  <c r="V2219" i="52"/>
  <c r="T2220" i="52"/>
  <c r="U2220" i="52"/>
  <c r="V2220" i="52"/>
  <c r="T2221" i="52"/>
  <c r="U2221" i="52"/>
  <c r="V2221" i="52"/>
  <c r="T2222" i="52"/>
  <c r="U2222" i="52"/>
  <c r="V2222" i="52"/>
  <c r="T2223" i="52"/>
  <c r="U2223" i="52"/>
  <c r="V2223" i="52"/>
  <c r="T2224" i="52"/>
  <c r="U2224" i="52"/>
  <c r="V2224" i="52"/>
  <c r="T2225" i="52"/>
  <c r="U2225" i="52"/>
  <c r="V2225" i="52"/>
  <c r="T2226" i="52"/>
  <c r="U2226" i="52"/>
  <c r="V2226" i="52"/>
  <c r="T2227" i="52"/>
  <c r="U2227" i="52"/>
  <c r="V2227" i="52"/>
  <c r="T2228" i="52"/>
  <c r="U2228" i="52"/>
  <c r="V2228" i="52"/>
  <c r="T2229" i="52"/>
  <c r="U2229" i="52"/>
  <c r="V2229" i="52"/>
  <c r="T2230" i="52"/>
  <c r="U2230" i="52"/>
  <c r="V2230" i="52"/>
  <c r="T2231" i="52"/>
  <c r="U2231" i="52"/>
  <c r="V2231" i="52"/>
  <c r="T2232" i="52"/>
  <c r="U2232" i="52"/>
  <c r="V2232" i="52"/>
  <c r="T2233" i="52"/>
  <c r="U2233" i="52"/>
  <c r="V2233" i="52"/>
  <c r="T2234" i="52"/>
  <c r="U2234" i="52"/>
  <c r="V2234" i="52"/>
  <c r="T2235" i="52"/>
  <c r="U2235" i="52"/>
  <c r="V2235" i="52"/>
  <c r="T2236" i="52"/>
  <c r="U2236" i="52"/>
  <c r="V2236" i="52"/>
  <c r="T2237" i="52"/>
  <c r="U2237" i="52"/>
  <c r="V2237" i="52"/>
  <c r="T2238" i="52"/>
  <c r="U2238" i="52"/>
  <c r="V2238" i="52"/>
  <c r="T2239" i="52"/>
  <c r="U2239" i="52"/>
  <c r="V2239" i="52"/>
  <c r="T2240" i="52"/>
  <c r="U2240" i="52"/>
  <c r="V2240" i="52"/>
  <c r="T2241" i="52"/>
  <c r="U2241" i="52"/>
  <c r="V2241" i="52"/>
  <c r="T2242" i="52"/>
  <c r="U2242" i="52"/>
  <c r="V2242" i="52"/>
  <c r="T2243" i="52"/>
  <c r="U2243" i="52"/>
  <c r="V2243" i="52"/>
  <c r="T2244" i="52"/>
  <c r="U2244" i="52"/>
  <c r="V2244" i="52"/>
  <c r="T2245" i="52"/>
  <c r="U2245" i="52"/>
  <c r="V2245" i="52"/>
  <c r="T2246" i="52"/>
  <c r="U2246" i="52"/>
  <c r="V2246" i="52"/>
  <c r="T2247" i="52"/>
  <c r="U2247" i="52"/>
  <c r="V2247" i="52"/>
  <c r="T2248" i="52"/>
  <c r="U2248" i="52"/>
  <c r="V2248" i="52"/>
  <c r="T2249" i="52"/>
  <c r="U2249" i="52"/>
  <c r="V2249" i="52"/>
  <c r="T2250" i="52"/>
  <c r="U2250" i="52"/>
  <c r="V2250" i="52"/>
  <c r="T2251" i="52"/>
  <c r="U2251" i="52"/>
  <c r="V2251" i="52"/>
  <c r="T2252" i="52"/>
  <c r="U2252" i="52"/>
  <c r="V2252" i="52"/>
  <c r="T2253" i="52"/>
  <c r="U2253" i="52"/>
  <c r="V2253" i="52"/>
  <c r="T2254" i="52"/>
  <c r="U2254" i="52"/>
  <c r="V2254" i="52"/>
  <c r="T2255" i="52"/>
  <c r="U2255" i="52"/>
  <c r="V2255" i="52"/>
  <c r="T2256" i="52"/>
  <c r="U2256" i="52"/>
  <c r="V2256" i="52"/>
  <c r="T2257" i="52"/>
  <c r="U2257" i="52"/>
  <c r="V2257" i="52"/>
  <c r="T2258" i="52"/>
  <c r="U2258" i="52"/>
  <c r="V2258" i="52"/>
  <c r="T2259" i="52"/>
  <c r="U2259" i="52"/>
  <c r="V2259" i="52"/>
  <c r="T2260" i="52"/>
  <c r="U2260" i="52"/>
  <c r="V2260" i="52"/>
  <c r="T2261" i="52"/>
  <c r="U2261" i="52"/>
  <c r="V2261" i="52"/>
  <c r="T2262" i="52"/>
  <c r="U2262" i="52"/>
  <c r="V2262" i="52"/>
  <c r="T2263" i="52"/>
  <c r="U2263" i="52"/>
  <c r="V2263" i="52"/>
  <c r="T2264" i="52"/>
  <c r="U2264" i="52"/>
  <c r="V2264" i="52"/>
  <c r="T2265" i="52"/>
  <c r="U2265" i="52"/>
  <c r="V2265" i="52"/>
  <c r="T2266" i="52"/>
  <c r="U2266" i="52"/>
  <c r="V2266" i="52"/>
  <c r="T2267" i="52"/>
  <c r="U2267" i="52"/>
  <c r="V2267" i="52"/>
  <c r="T2268" i="52"/>
  <c r="U2268" i="52"/>
  <c r="V2268" i="52"/>
  <c r="T2269" i="52"/>
  <c r="U2269" i="52"/>
  <c r="V2269" i="52"/>
  <c r="T2270" i="52"/>
  <c r="U2270" i="52"/>
  <c r="V2270" i="52"/>
  <c r="T2271" i="52"/>
  <c r="U2271" i="52"/>
  <c r="V2271" i="52"/>
  <c r="T2272" i="52"/>
  <c r="U2272" i="52"/>
  <c r="V2272" i="52"/>
  <c r="T2273" i="52"/>
  <c r="U2273" i="52"/>
  <c r="V2273" i="52"/>
  <c r="T2274" i="52"/>
  <c r="U2274" i="52"/>
  <c r="V2274" i="52"/>
  <c r="T2275" i="52"/>
  <c r="U2275" i="52"/>
  <c r="V2275" i="52"/>
  <c r="T2276" i="52"/>
  <c r="U2276" i="52"/>
  <c r="V2276" i="52"/>
  <c r="T2277" i="52"/>
  <c r="U2277" i="52"/>
  <c r="V2277" i="52"/>
  <c r="T2278" i="52"/>
  <c r="U2278" i="52"/>
  <c r="V2278" i="52"/>
  <c r="T2279" i="52"/>
  <c r="U2279" i="52"/>
  <c r="V2279" i="52"/>
  <c r="T2280" i="52"/>
  <c r="U2280" i="52"/>
  <c r="V2280" i="52"/>
  <c r="T2281" i="52"/>
  <c r="U2281" i="52"/>
  <c r="V2281" i="52"/>
  <c r="T2282" i="52"/>
  <c r="U2282" i="52"/>
  <c r="V2282" i="52"/>
  <c r="T2283" i="52"/>
  <c r="U2283" i="52"/>
  <c r="V2283" i="52"/>
  <c r="T2284" i="52"/>
  <c r="U2284" i="52"/>
  <c r="V2284" i="52"/>
  <c r="T2285" i="52"/>
  <c r="U2285" i="52"/>
  <c r="V2285" i="52"/>
  <c r="T2286" i="52"/>
  <c r="U2286" i="52"/>
  <c r="V2286" i="52"/>
  <c r="T2287" i="52"/>
  <c r="U2287" i="52"/>
  <c r="V2287" i="52"/>
  <c r="T2288" i="52"/>
  <c r="U2288" i="52"/>
  <c r="V2288" i="52"/>
  <c r="T2289" i="52"/>
  <c r="U2289" i="52"/>
  <c r="V2289" i="52"/>
  <c r="T2290" i="52"/>
  <c r="U2290" i="52"/>
  <c r="V2290" i="52"/>
  <c r="T2291" i="52"/>
  <c r="U2291" i="52"/>
  <c r="V2291" i="52"/>
  <c r="T2292" i="52"/>
  <c r="U2292" i="52"/>
  <c r="V2292" i="52"/>
  <c r="T2293" i="52"/>
  <c r="U2293" i="52"/>
  <c r="V2293" i="52"/>
  <c r="T2294" i="52"/>
  <c r="U2294" i="52"/>
  <c r="V2294" i="52"/>
  <c r="T2295" i="52"/>
  <c r="U2295" i="52"/>
  <c r="V2295" i="52"/>
  <c r="T2296" i="52"/>
  <c r="U2296" i="52"/>
  <c r="V2296" i="52"/>
  <c r="T2297" i="52"/>
  <c r="U2297" i="52"/>
  <c r="V2297" i="52"/>
  <c r="T2298" i="52"/>
  <c r="U2298" i="52"/>
  <c r="V2298" i="52"/>
  <c r="T2299" i="52"/>
  <c r="U2299" i="52"/>
  <c r="V2299" i="52"/>
  <c r="T2300" i="52"/>
  <c r="U2300" i="52"/>
  <c r="V2300" i="52"/>
  <c r="T2301" i="52"/>
  <c r="U2301" i="52"/>
  <c r="V2301" i="52"/>
  <c r="T2302" i="52"/>
  <c r="U2302" i="52"/>
  <c r="V2302" i="52"/>
  <c r="T2303" i="52"/>
  <c r="U2303" i="52"/>
  <c r="V2303" i="52"/>
  <c r="T2304" i="52"/>
  <c r="U2304" i="52"/>
  <c r="V2304" i="52"/>
  <c r="T2305" i="52"/>
  <c r="U2305" i="52"/>
  <c r="V2305" i="52"/>
  <c r="T2306" i="52"/>
  <c r="U2306" i="52"/>
  <c r="V2306" i="52"/>
  <c r="T2307" i="52"/>
  <c r="U2307" i="52"/>
  <c r="V2307" i="52"/>
  <c r="T2308" i="52"/>
  <c r="U2308" i="52"/>
  <c r="V2308" i="52"/>
  <c r="T2309" i="52"/>
  <c r="U2309" i="52"/>
  <c r="V2309" i="52"/>
  <c r="T2310" i="52"/>
  <c r="U2310" i="52"/>
  <c r="V2310" i="52"/>
  <c r="T2311" i="52"/>
  <c r="U2311" i="52"/>
  <c r="V2311" i="52"/>
  <c r="T2312" i="52"/>
  <c r="U2312" i="52"/>
  <c r="V2312" i="52"/>
  <c r="T2313" i="52"/>
  <c r="U2313" i="52"/>
  <c r="V2313" i="52"/>
  <c r="T2314" i="52"/>
  <c r="U2314" i="52"/>
  <c r="V2314" i="52"/>
  <c r="T2315" i="52"/>
  <c r="U2315" i="52"/>
  <c r="V2315" i="52"/>
  <c r="T2316" i="52"/>
  <c r="U2316" i="52"/>
  <c r="V2316" i="52"/>
  <c r="T2317" i="52"/>
  <c r="U2317" i="52"/>
  <c r="V2317" i="52"/>
  <c r="T2318" i="52"/>
  <c r="U2318" i="52"/>
  <c r="V2318" i="52"/>
  <c r="T2319" i="52"/>
  <c r="U2319" i="52"/>
  <c r="V2319" i="52"/>
  <c r="T2320" i="52"/>
  <c r="U2320" i="52"/>
  <c r="V2320" i="52"/>
  <c r="T2321" i="52"/>
  <c r="U2321" i="52"/>
  <c r="V2321" i="52"/>
  <c r="T2322" i="52"/>
  <c r="U2322" i="52"/>
  <c r="V2322" i="52"/>
  <c r="T2323" i="52"/>
  <c r="U2323" i="52"/>
  <c r="V2323" i="52"/>
  <c r="T2324" i="52"/>
  <c r="U2324" i="52"/>
  <c r="V2324" i="52"/>
  <c r="T2325" i="52"/>
  <c r="U2325" i="52"/>
  <c r="V2325" i="52"/>
  <c r="T2326" i="52"/>
  <c r="U2326" i="52"/>
  <c r="V2326" i="52"/>
  <c r="T2327" i="52"/>
  <c r="U2327" i="52"/>
  <c r="V2327" i="52"/>
  <c r="T2328" i="52"/>
  <c r="U2328" i="52"/>
  <c r="V2328" i="52"/>
  <c r="T2329" i="52"/>
  <c r="U2329" i="52"/>
  <c r="V2329" i="52"/>
  <c r="T2330" i="52"/>
  <c r="U2330" i="52"/>
  <c r="V2330" i="52"/>
  <c r="T2331" i="52"/>
  <c r="U2331" i="52"/>
  <c r="V2331" i="52"/>
  <c r="T2332" i="52"/>
  <c r="U2332" i="52"/>
  <c r="V2332" i="52"/>
  <c r="T2333" i="52"/>
  <c r="U2333" i="52"/>
  <c r="V2333" i="52"/>
  <c r="T2334" i="52"/>
  <c r="U2334" i="52"/>
  <c r="V2334" i="52"/>
  <c r="T2335" i="52"/>
  <c r="U2335" i="52"/>
  <c r="V2335" i="52"/>
  <c r="T2336" i="52"/>
  <c r="U2336" i="52"/>
  <c r="V2336" i="52"/>
  <c r="T2337" i="52"/>
  <c r="U2337" i="52"/>
  <c r="V2337" i="52"/>
  <c r="T2338" i="52"/>
  <c r="U2338" i="52"/>
  <c r="V2338" i="52"/>
  <c r="T2339" i="52"/>
  <c r="U2339" i="52"/>
  <c r="V2339" i="52"/>
  <c r="T2340" i="52"/>
  <c r="U2340" i="52"/>
  <c r="V2340" i="52"/>
  <c r="T2341" i="52"/>
  <c r="U2341" i="52"/>
  <c r="V2341" i="52"/>
  <c r="T2342" i="52"/>
  <c r="U2342" i="52"/>
  <c r="V2342" i="52"/>
  <c r="T2343" i="52"/>
  <c r="U2343" i="52"/>
  <c r="V2343" i="52"/>
  <c r="T2344" i="52"/>
  <c r="U2344" i="52"/>
  <c r="V2344" i="52"/>
  <c r="T2345" i="52"/>
  <c r="U2345" i="52"/>
  <c r="V2345" i="52"/>
  <c r="T2346" i="52"/>
  <c r="U2346" i="52"/>
  <c r="V2346" i="52"/>
  <c r="T2347" i="52"/>
  <c r="U2347" i="52"/>
  <c r="V2347" i="52"/>
  <c r="T2348" i="52"/>
  <c r="U2348" i="52"/>
  <c r="V2348" i="52"/>
  <c r="T2349" i="52"/>
  <c r="U2349" i="52"/>
  <c r="V2349" i="52"/>
  <c r="T2350" i="52"/>
  <c r="U2350" i="52"/>
  <c r="V2350" i="52"/>
  <c r="T2351" i="52"/>
  <c r="U2351" i="52"/>
  <c r="V2351" i="52"/>
  <c r="T2352" i="52"/>
  <c r="U2352" i="52"/>
  <c r="V2352" i="52"/>
  <c r="T2353" i="52"/>
  <c r="U2353" i="52"/>
  <c r="V2353" i="52"/>
  <c r="T2354" i="52"/>
  <c r="U2354" i="52"/>
  <c r="V2354" i="52"/>
  <c r="T2355" i="52"/>
  <c r="U2355" i="52"/>
  <c r="V2355" i="52"/>
  <c r="T2356" i="52"/>
  <c r="U2356" i="52"/>
  <c r="V2356" i="52"/>
  <c r="T2357" i="52"/>
  <c r="U2357" i="52"/>
  <c r="V2357" i="52"/>
  <c r="T2358" i="52"/>
  <c r="U2358" i="52"/>
  <c r="V2358" i="52"/>
  <c r="T2359" i="52"/>
  <c r="U2359" i="52"/>
  <c r="V2359" i="52"/>
  <c r="T2360" i="52"/>
  <c r="U2360" i="52"/>
  <c r="V2360" i="52"/>
  <c r="T2361" i="52"/>
  <c r="U2361" i="52"/>
  <c r="V2361" i="52"/>
  <c r="T2362" i="52"/>
  <c r="U2362" i="52"/>
  <c r="V2362" i="52"/>
  <c r="T2363" i="52"/>
  <c r="U2363" i="52"/>
  <c r="V2363" i="52"/>
  <c r="T2364" i="52"/>
  <c r="U2364" i="52"/>
  <c r="V2364" i="52"/>
  <c r="T2365" i="52"/>
  <c r="U2365" i="52"/>
  <c r="V2365" i="52"/>
  <c r="T2366" i="52"/>
  <c r="U2366" i="52"/>
  <c r="V2366" i="52"/>
  <c r="T2367" i="52"/>
  <c r="U2367" i="52"/>
  <c r="V2367" i="52"/>
  <c r="T2368" i="52"/>
  <c r="U2368" i="52"/>
  <c r="V2368" i="52"/>
  <c r="T2369" i="52"/>
  <c r="U2369" i="52"/>
  <c r="V2369" i="52"/>
  <c r="T2370" i="52"/>
  <c r="U2370" i="52"/>
  <c r="V2370" i="52"/>
  <c r="T2371" i="52"/>
  <c r="U2371" i="52"/>
  <c r="V2371" i="52"/>
  <c r="T2372" i="52"/>
  <c r="U2372" i="52"/>
  <c r="V2372" i="52"/>
  <c r="T2373" i="52"/>
  <c r="U2373" i="52"/>
  <c r="V2373" i="52"/>
  <c r="T2374" i="52"/>
  <c r="U2374" i="52"/>
  <c r="V2374" i="52"/>
  <c r="T2375" i="52"/>
  <c r="U2375" i="52"/>
  <c r="V2375" i="52"/>
  <c r="T2376" i="52"/>
  <c r="U2376" i="52"/>
  <c r="V2376" i="52"/>
  <c r="T2377" i="52"/>
  <c r="U2377" i="52"/>
  <c r="V2377" i="52"/>
  <c r="T2378" i="52"/>
  <c r="U2378" i="52"/>
  <c r="V2378" i="52"/>
  <c r="T2379" i="52"/>
  <c r="U2379" i="52"/>
  <c r="V2379" i="52"/>
  <c r="T2380" i="52"/>
  <c r="U2380" i="52"/>
  <c r="V2380" i="52"/>
  <c r="T2381" i="52"/>
  <c r="U2381" i="52"/>
  <c r="V2381" i="52"/>
  <c r="T2382" i="52"/>
  <c r="U2382" i="52"/>
  <c r="V2382" i="52"/>
  <c r="T2383" i="52"/>
  <c r="U2383" i="52"/>
  <c r="V2383" i="52"/>
  <c r="T2384" i="52"/>
  <c r="U2384" i="52"/>
  <c r="V2384" i="52"/>
  <c r="T2385" i="52"/>
  <c r="U2385" i="52"/>
  <c r="V2385" i="52"/>
  <c r="T2386" i="52"/>
  <c r="U2386" i="52"/>
  <c r="V2386" i="52"/>
  <c r="T2387" i="52"/>
  <c r="U2387" i="52"/>
  <c r="V2387" i="52"/>
  <c r="T2388" i="52"/>
  <c r="U2388" i="52"/>
  <c r="V2388" i="52"/>
  <c r="T2389" i="52"/>
  <c r="U2389" i="52"/>
  <c r="V2389" i="52"/>
  <c r="T2390" i="52"/>
  <c r="U2390" i="52"/>
  <c r="V2390" i="52"/>
  <c r="T2391" i="52"/>
  <c r="U2391" i="52"/>
  <c r="V2391" i="52"/>
  <c r="T2392" i="52"/>
  <c r="U2392" i="52"/>
  <c r="V2392" i="52"/>
  <c r="T2393" i="52"/>
  <c r="U2393" i="52"/>
  <c r="V2393" i="52"/>
  <c r="T2394" i="52"/>
  <c r="U2394" i="52"/>
  <c r="V2394" i="52"/>
  <c r="T2395" i="52"/>
  <c r="U2395" i="52"/>
  <c r="V2395" i="52"/>
  <c r="T2396" i="52"/>
  <c r="U2396" i="52"/>
  <c r="V2396" i="52"/>
  <c r="T2397" i="52"/>
  <c r="U2397" i="52"/>
  <c r="V2397" i="52"/>
  <c r="T2398" i="52"/>
  <c r="U2398" i="52"/>
  <c r="V2398" i="52"/>
  <c r="T2399" i="52"/>
  <c r="U2399" i="52"/>
  <c r="V2399" i="52"/>
  <c r="T2400" i="52"/>
  <c r="U2400" i="52"/>
  <c r="V2400" i="52"/>
  <c r="T2401" i="52"/>
  <c r="U2401" i="52"/>
  <c r="V2401" i="52"/>
  <c r="T2402" i="52"/>
  <c r="U2402" i="52"/>
  <c r="V2402" i="52"/>
  <c r="T2403" i="52"/>
  <c r="U2403" i="52"/>
  <c r="V2403" i="52"/>
  <c r="T2404" i="52"/>
  <c r="U2404" i="52"/>
  <c r="V2404" i="52"/>
  <c r="T2405" i="52"/>
  <c r="U2405" i="52"/>
  <c r="V2405" i="52"/>
  <c r="T2406" i="52"/>
  <c r="U2406" i="52"/>
  <c r="V2406" i="52"/>
  <c r="T2407" i="52"/>
  <c r="U2407" i="52"/>
  <c r="V2407" i="52"/>
  <c r="T2408" i="52"/>
  <c r="U2408" i="52"/>
  <c r="V2408" i="52"/>
  <c r="T2409" i="52"/>
  <c r="U2409" i="52"/>
  <c r="V2409" i="52"/>
  <c r="T2410" i="52"/>
  <c r="U2410" i="52"/>
  <c r="V2410" i="52"/>
  <c r="T2411" i="52"/>
  <c r="U2411" i="52"/>
  <c r="V2411" i="52"/>
  <c r="T2412" i="52"/>
  <c r="U2412" i="52"/>
  <c r="V2412" i="52"/>
  <c r="T2413" i="52"/>
  <c r="U2413" i="52"/>
  <c r="V2413" i="52"/>
  <c r="T2414" i="52"/>
  <c r="U2414" i="52"/>
  <c r="V2414" i="52"/>
  <c r="T2415" i="52"/>
  <c r="U2415" i="52"/>
  <c r="V2415" i="52"/>
  <c r="T2416" i="52"/>
  <c r="U2416" i="52"/>
  <c r="V2416" i="52"/>
  <c r="T2417" i="52"/>
  <c r="U2417" i="52"/>
  <c r="V2417" i="52"/>
  <c r="T2418" i="52"/>
  <c r="U2418" i="52"/>
  <c r="V2418" i="52"/>
  <c r="T2419" i="52"/>
  <c r="U2419" i="52"/>
  <c r="V2419" i="52"/>
  <c r="T2420" i="52"/>
  <c r="U2420" i="52"/>
  <c r="V2420" i="52"/>
  <c r="T2421" i="52"/>
  <c r="U2421" i="52"/>
  <c r="V2421" i="52"/>
  <c r="T2422" i="52"/>
  <c r="U2422" i="52"/>
  <c r="V2422" i="52"/>
  <c r="T2423" i="52"/>
  <c r="U2423" i="52"/>
  <c r="V2423" i="52"/>
  <c r="T2424" i="52"/>
  <c r="U2424" i="52"/>
  <c r="V2424" i="52"/>
  <c r="T2425" i="52"/>
  <c r="U2425" i="52"/>
  <c r="V2425" i="52"/>
  <c r="T2426" i="52"/>
  <c r="U2426" i="52"/>
  <c r="V2426" i="52"/>
  <c r="T2427" i="52"/>
  <c r="U2427" i="52"/>
  <c r="V2427" i="52"/>
  <c r="T2428" i="52"/>
  <c r="U2428" i="52"/>
  <c r="V2428" i="52"/>
  <c r="T2429" i="52"/>
  <c r="U2429" i="52"/>
  <c r="V2429" i="52"/>
  <c r="T2430" i="52"/>
  <c r="U2430" i="52"/>
  <c r="V2430" i="52"/>
  <c r="T2431" i="52"/>
  <c r="U2431" i="52"/>
  <c r="V2431" i="52"/>
  <c r="T2432" i="52"/>
  <c r="U2432" i="52"/>
  <c r="V2432" i="52"/>
  <c r="T2433" i="52"/>
  <c r="U2433" i="52"/>
  <c r="V2433" i="52"/>
  <c r="T2434" i="52"/>
  <c r="U2434" i="52"/>
  <c r="V2434" i="52"/>
  <c r="T2435" i="52"/>
  <c r="U2435" i="52"/>
  <c r="V2435" i="52"/>
  <c r="T2436" i="52"/>
  <c r="U2436" i="52"/>
  <c r="V2436" i="52"/>
  <c r="T2437" i="52"/>
  <c r="U2437" i="52"/>
  <c r="V2437" i="52"/>
  <c r="T2438" i="52"/>
  <c r="U2438" i="52"/>
  <c r="V2438" i="52"/>
  <c r="T2439" i="52"/>
  <c r="U2439" i="52"/>
  <c r="V2439" i="52"/>
  <c r="T2440" i="52"/>
  <c r="U2440" i="52"/>
  <c r="V2440" i="52"/>
  <c r="T2441" i="52"/>
  <c r="U2441" i="52"/>
  <c r="V2441" i="52"/>
  <c r="T2442" i="52"/>
  <c r="U2442" i="52"/>
  <c r="V2442" i="52"/>
  <c r="T2443" i="52"/>
  <c r="U2443" i="52"/>
  <c r="V2443" i="52"/>
  <c r="T2444" i="52"/>
  <c r="U2444" i="52"/>
  <c r="V2444" i="52"/>
  <c r="T2445" i="52"/>
  <c r="U2445" i="52"/>
  <c r="V2445" i="52"/>
  <c r="T2446" i="52"/>
  <c r="U2446" i="52"/>
  <c r="V2446" i="52"/>
  <c r="T2447" i="52"/>
  <c r="U2447" i="52"/>
  <c r="V2447" i="52"/>
  <c r="T2448" i="52"/>
  <c r="U2448" i="52"/>
  <c r="V2448" i="52"/>
  <c r="T2449" i="52"/>
  <c r="U2449" i="52"/>
  <c r="V2449" i="52"/>
  <c r="T2450" i="52"/>
  <c r="U2450" i="52"/>
  <c r="V2450" i="52"/>
  <c r="T2451" i="52"/>
  <c r="U2451" i="52"/>
  <c r="V2451" i="52"/>
  <c r="T2452" i="52"/>
  <c r="U2452" i="52"/>
  <c r="V2452" i="52"/>
  <c r="T2453" i="52"/>
  <c r="U2453" i="52"/>
  <c r="V2453" i="52"/>
  <c r="T2454" i="52"/>
  <c r="U2454" i="52"/>
  <c r="V2454" i="52"/>
  <c r="T2455" i="52"/>
  <c r="U2455" i="52"/>
  <c r="V2455" i="52"/>
  <c r="T2456" i="52"/>
  <c r="U2456" i="52"/>
  <c r="V2456" i="52"/>
  <c r="T2457" i="52"/>
  <c r="U2457" i="52"/>
  <c r="V2457" i="52"/>
  <c r="T2458" i="52"/>
  <c r="U2458" i="52"/>
  <c r="V2458" i="52"/>
  <c r="T2459" i="52"/>
  <c r="U2459" i="52"/>
  <c r="V2459" i="52"/>
  <c r="T2460" i="52"/>
  <c r="U2460" i="52"/>
  <c r="V2460" i="52"/>
  <c r="T2461" i="52"/>
  <c r="U2461" i="52"/>
  <c r="V2461" i="52"/>
  <c r="T2462" i="52"/>
  <c r="U2462" i="52"/>
  <c r="V2462" i="52"/>
  <c r="T2463" i="52"/>
  <c r="U2463" i="52"/>
  <c r="V2463" i="52"/>
  <c r="T2464" i="52"/>
  <c r="U2464" i="52"/>
  <c r="V2464" i="52"/>
  <c r="T2465" i="52"/>
  <c r="U2465" i="52"/>
  <c r="V2465" i="52"/>
  <c r="T2466" i="52"/>
  <c r="U2466" i="52"/>
  <c r="V2466" i="52"/>
  <c r="T2467" i="52"/>
  <c r="U2467" i="52"/>
  <c r="V2467" i="52"/>
  <c r="T2468" i="52"/>
  <c r="U2468" i="52"/>
  <c r="V2468" i="52"/>
  <c r="T2469" i="52"/>
  <c r="U2469" i="52"/>
  <c r="V2469" i="52"/>
  <c r="T2470" i="52"/>
  <c r="U2470" i="52"/>
  <c r="V2470" i="52"/>
  <c r="T2471" i="52"/>
  <c r="U2471" i="52"/>
  <c r="V2471" i="52"/>
  <c r="T2472" i="52"/>
  <c r="U2472" i="52"/>
  <c r="V2472" i="52"/>
  <c r="T2473" i="52"/>
  <c r="U2473" i="52"/>
  <c r="V2473" i="52"/>
  <c r="T2474" i="52"/>
  <c r="U2474" i="52"/>
  <c r="V2474" i="52"/>
  <c r="T2475" i="52"/>
  <c r="U2475" i="52"/>
  <c r="V2475" i="52"/>
  <c r="T2476" i="52"/>
  <c r="U2476" i="52"/>
  <c r="V2476" i="52"/>
  <c r="T2477" i="52"/>
  <c r="U2477" i="52"/>
  <c r="V2477" i="52"/>
  <c r="T2478" i="52"/>
  <c r="U2478" i="52"/>
  <c r="V2478" i="52"/>
  <c r="T2479" i="52"/>
  <c r="U2479" i="52"/>
  <c r="V2479" i="52"/>
  <c r="T2480" i="52"/>
  <c r="U2480" i="52"/>
  <c r="V2480" i="52"/>
  <c r="T2481" i="52"/>
  <c r="U2481" i="52"/>
  <c r="V2481" i="52"/>
  <c r="T2482" i="52"/>
  <c r="U2482" i="52"/>
  <c r="V2482" i="52"/>
  <c r="T2483" i="52"/>
  <c r="U2483" i="52"/>
  <c r="V2483" i="52"/>
  <c r="T2484" i="52"/>
  <c r="U2484" i="52"/>
  <c r="V2484" i="52"/>
  <c r="T2485" i="52"/>
  <c r="U2485" i="52"/>
  <c r="V2485" i="52"/>
  <c r="T2486" i="52"/>
  <c r="U2486" i="52"/>
  <c r="V2486" i="52"/>
  <c r="T2487" i="52"/>
  <c r="U2487" i="52"/>
  <c r="V2487" i="52"/>
  <c r="T2488" i="52"/>
  <c r="U2488" i="52"/>
  <c r="V2488" i="52"/>
  <c r="T2489" i="52"/>
  <c r="U2489" i="52"/>
  <c r="V2489" i="52"/>
  <c r="T2490" i="52"/>
  <c r="U2490" i="52"/>
  <c r="V2490" i="52"/>
  <c r="T2491" i="52"/>
  <c r="U2491" i="52"/>
  <c r="V2491" i="52"/>
  <c r="T2492" i="52"/>
  <c r="U2492" i="52"/>
  <c r="V2492" i="52"/>
  <c r="T2493" i="52"/>
  <c r="U2493" i="52"/>
  <c r="V2493" i="52"/>
  <c r="T2494" i="52"/>
  <c r="U2494" i="52"/>
  <c r="V2494" i="52"/>
  <c r="T2495" i="52"/>
  <c r="U2495" i="52"/>
  <c r="V2495" i="52"/>
  <c r="T2496" i="52"/>
  <c r="U2496" i="52"/>
  <c r="V2496" i="52"/>
  <c r="T2497" i="52"/>
  <c r="U2497" i="52"/>
  <c r="V2497" i="52"/>
  <c r="T2498" i="52"/>
  <c r="U2498" i="52"/>
  <c r="V2498" i="52"/>
  <c r="T2499" i="52"/>
  <c r="U2499" i="52"/>
  <c r="V2499" i="52"/>
  <c r="T2500" i="52"/>
  <c r="U2500" i="52"/>
  <c r="V2500" i="52"/>
  <c r="T2501" i="52"/>
  <c r="U2501" i="52"/>
  <c r="V2501" i="52"/>
  <c r="T2502" i="52"/>
  <c r="U2502" i="52"/>
  <c r="V2502" i="52"/>
  <c r="T2503" i="52"/>
  <c r="U2503" i="52"/>
  <c r="V2503" i="52"/>
  <c r="T2504" i="52"/>
  <c r="U2504" i="52"/>
  <c r="V2504" i="52"/>
  <c r="T2505" i="52"/>
  <c r="U2505" i="52"/>
  <c r="V2505" i="52"/>
  <c r="T2506" i="52"/>
  <c r="U2506" i="52"/>
  <c r="V2506" i="52"/>
  <c r="T2507" i="52"/>
  <c r="U2507" i="52"/>
  <c r="V2507" i="52"/>
  <c r="T2508" i="52"/>
  <c r="U2508" i="52"/>
  <c r="V2508" i="52"/>
  <c r="T2509" i="52"/>
  <c r="U2509" i="52"/>
  <c r="V2509" i="52"/>
  <c r="T2510" i="52"/>
  <c r="U2510" i="52"/>
  <c r="V2510" i="52"/>
  <c r="T2511" i="52"/>
  <c r="U2511" i="52"/>
  <c r="V2511" i="52"/>
  <c r="T2512" i="52"/>
  <c r="U2512" i="52"/>
  <c r="V2512" i="52"/>
  <c r="T2513" i="52"/>
  <c r="U2513" i="52"/>
  <c r="V2513" i="52"/>
  <c r="T2514" i="52"/>
  <c r="U2514" i="52"/>
  <c r="V2514" i="52"/>
  <c r="T2515" i="52"/>
  <c r="U2515" i="52"/>
  <c r="V2515" i="52"/>
  <c r="T2516" i="52"/>
  <c r="U2516" i="52"/>
  <c r="V2516" i="52"/>
  <c r="T2517" i="52"/>
  <c r="U2517" i="52"/>
  <c r="V2517" i="52"/>
  <c r="T2518" i="52"/>
  <c r="U2518" i="52"/>
  <c r="V2518" i="52"/>
  <c r="T2519" i="52"/>
  <c r="U2519" i="52"/>
  <c r="V2519" i="52"/>
  <c r="T2520" i="52"/>
  <c r="U2520" i="52"/>
  <c r="V2520" i="52"/>
  <c r="T2521" i="52"/>
  <c r="U2521" i="52"/>
  <c r="V2521" i="52"/>
  <c r="T2522" i="52"/>
  <c r="U2522" i="52"/>
  <c r="V2522" i="52"/>
  <c r="T2523" i="52"/>
  <c r="U2523" i="52"/>
  <c r="V2523" i="52"/>
  <c r="T2524" i="52"/>
  <c r="U2524" i="52"/>
  <c r="V2524" i="52"/>
  <c r="T2525" i="52"/>
  <c r="U2525" i="52"/>
  <c r="V2525" i="52"/>
  <c r="T2526" i="52"/>
  <c r="U2526" i="52"/>
  <c r="V2526" i="52"/>
  <c r="T2527" i="52"/>
  <c r="U2527" i="52"/>
  <c r="V2527" i="52"/>
  <c r="T2528" i="52"/>
  <c r="U2528" i="52"/>
  <c r="V2528" i="52"/>
  <c r="T2529" i="52"/>
  <c r="U2529" i="52"/>
  <c r="V2529" i="52"/>
  <c r="T2530" i="52"/>
  <c r="U2530" i="52"/>
  <c r="V2530" i="52"/>
  <c r="T2531" i="52"/>
  <c r="U2531" i="52"/>
  <c r="V2531" i="52"/>
  <c r="T2532" i="52"/>
  <c r="U2532" i="52"/>
  <c r="V2532" i="52"/>
  <c r="T2533" i="52"/>
  <c r="U2533" i="52"/>
  <c r="V2533" i="52"/>
  <c r="T2534" i="52"/>
  <c r="U2534" i="52"/>
  <c r="V2534" i="52"/>
  <c r="T2535" i="52"/>
  <c r="U2535" i="52"/>
  <c r="V2535" i="52"/>
  <c r="T2536" i="52"/>
  <c r="U2536" i="52"/>
  <c r="V2536" i="52"/>
  <c r="T2537" i="52"/>
  <c r="U2537" i="52"/>
  <c r="V2537" i="52"/>
  <c r="T2538" i="52"/>
  <c r="U2538" i="52"/>
  <c r="V2538" i="52"/>
  <c r="T2539" i="52"/>
  <c r="U2539" i="52"/>
  <c r="V2539" i="52"/>
  <c r="T2540" i="52"/>
  <c r="U2540" i="52"/>
  <c r="V2540" i="52"/>
  <c r="T2541" i="52"/>
  <c r="U2541" i="52"/>
  <c r="V2541" i="52"/>
  <c r="T2542" i="52"/>
  <c r="U2542" i="52"/>
  <c r="V2542" i="52"/>
  <c r="T2543" i="52"/>
  <c r="U2543" i="52"/>
  <c r="V2543" i="52"/>
  <c r="T2544" i="52"/>
  <c r="U2544" i="52"/>
  <c r="V2544" i="52"/>
  <c r="T2545" i="52"/>
  <c r="U2545" i="52"/>
  <c r="V2545" i="52"/>
  <c r="T2546" i="52"/>
  <c r="U2546" i="52"/>
  <c r="V2546" i="52"/>
  <c r="T2547" i="52"/>
  <c r="U2547" i="52"/>
  <c r="V2547" i="52"/>
  <c r="T2548" i="52"/>
  <c r="U2548" i="52"/>
  <c r="V2548" i="52"/>
  <c r="T2549" i="52"/>
  <c r="U2549" i="52"/>
  <c r="V2549" i="52"/>
  <c r="T2550" i="52"/>
  <c r="U2550" i="52"/>
  <c r="V2550" i="52"/>
  <c r="T2551" i="52"/>
  <c r="U2551" i="52"/>
  <c r="V2551" i="52"/>
  <c r="T2552" i="52"/>
  <c r="U2552" i="52"/>
  <c r="V2552" i="52"/>
  <c r="T2553" i="52"/>
  <c r="U2553" i="52"/>
  <c r="V2553" i="52"/>
  <c r="T2554" i="52"/>
  <c r="U2554" i="52"/>
  <c r="V2554" i="52"/>
  <c r="T2555" i="52"/>
  <c r="U2555" i="52"/>
  <c r="V2555" i="52"/>
  <c r="T2556" i="52"/>
  <c r="U2556" i="52"/>
  <c r="V2556" i="52"/>
  <c r="T2557" i="52"/>
  <c r="U2557" i="52"/>
  <c r="V2557" i="52"/>
  <c r="T2558" i="52"/>
  <c r="U2558" i="52"/>
  <c r="V2558" i="52"/>
  <c r="T2559" i="52"/>
  <c r="U2559" i="52"/>
  <c r="V2559" i="52"/>
  <c r="T2560" i="52"/>
  <c r="U2560" i="52"/>
  <c r="V2560" i="52"/>
  <c r="T2561" i="52"/>
  <c r="U2561" i="52"/>
  <c r="V2561" i="52"/>
  <c r="T2562" i="52"/>
  <c r="U2562" i="52"/>
  <c r="V2562" i="52"/>
  <c r="T2563" i="52"/>
  <c r="U2563" i="52"/>
  <c r="V2563" i="52"/>
  <c r="T2564" i="52"/>
  <c r="U2564" i="52"/>
  <c r="V2564" i="52"/>
  <c r="T2565" i="52"/>
  <c r="U2565" i="52"/>
  <c r="V2565" i="52"/>
  <c r="T2566" i="52"/>
  <c r="U2566" i="52"/>
  <c r="V2566" i="52"/>
  <c r="T2567" i="52"/>
  <c r="U2567" i="52"/>
  <c r="V2567" i="52"/>
  <c r="T2568" i="52"/>
  <c r="U2568" i="52"/>
  <c r="V2568" i="52"/>
  <c r="T2569" i="52"/>
  <c r="U2569" i="52"/>
  <c r="V2569" i="52"/>
  <c r="T2570" i="52"/>
  <c r="U2570" i="52"/>
  <c r="V2570" i="52"/>
  <c r="T2571" i="52"/>
  <c r="U2571" i="52"/>
  <c r="V2571" i="52"/>
  <c r="T2572" i="52"/>
  <c r="U2572" i="52"/>
  <c r="V2572" i="52"/>
  <c r="T2573" i="52"/>
  <c r="U2573" i="52"/>
  <c r="V2573" i="52"/>
  <c r="T2574" i="52"/>
  <c r="U2574" i="52"/>
  <c r="V2574" i="52"/>
  <c r="T2575" i="52"/>
  <c r="U2575" i="52"/>
  <c r="V2575" i="52"/>
  <c r="T2576" i="52"/>
  <c r="U2576" i="52"/>
  <c r="V2576" i="52"/>
  <c r="T2577" i="52"/>
  <c r="U2577" i="52"/>
  <c r="V2577" i="52"/>
  <c r="T2578" i="52"/>
  <c r="U2578" i="52"/>
  <c r="V2578" i="52"/>
  <c r="T2579" i="52"/>
  <c r="U2579" i="52"/>
  <c r="V2579" i="52"/>
  <c r="T2580" i="52"/>
  <c r="U2580" i="52"/>
  <c r="V2580" i="52"/>
  <c r="T2581" i="52"/>
  <c r="U2581" i="52"/>
  <c r="V2581" i="52"/>
  <c r="T2582" i="52"/>
  <c r="U2582" i="52"/>
  <c r="V2582" i="52"/>
  <c r="T2583" i="52"/>
  <c r="U2583" i="52"/>
  <c r="V2583" i="52"/>
  <c r="T2584" i="52"/>
  <c r="U2584" i="52"/>
  <c r="V2584" i="52"/>
  <c r="T2585" i="52"/>
  <c r="U2585" i="52"/>
  <c r="V2585" i="52"/>
  <c r="T2586" i="52"/>
  <c r="U2586" i="52"/>
  <c r="V2586" i="52"/>
  <c r="T2587" i="52"/>
  <c r="U2587" i="52"/>
  <c r="V2587" i="52"/>
  <c r="T2588" i="52"/>
  <c r="U2588" i="52"/>
  <c r="V2588" i="52"/>
  <c r="T2589" i="52"/>
  <c r="U2589" i="52"/>
  <c r="V2589" i="52"/>
  <c r="T2590" i="52"/>
  <c r="U2590" i="52"/>
  <c r="V2590" i="52"/>
  <c r="T2591" i="52"/>
  <c r="U2591" i="52"/>
  <c r="V2591" i="52"/>
  <c r="T2592" i="52"/>
  <c r="U2592" i="52"/>
  <c r="V2592" i="52"/>
  <c r="T2593" i="52"/>
  <c r="U2593" i="52"/>
  <c r="V2593" i="52"/>
  <c r="T2594" i="52"/>
  <c r="U2594" i="52"/>
  <c r="V2594" i="52"/>
  <c r="T2595" i="52"/>
  <c r="U2595" i="52"/>
  <c r="V2595" i="52"/>
  <c r="T2596" i="52"/>
  <c r="U2596" i="52"/>
  <c r="V2596" i="52"/>
  <c r="T2597" i="52"/>
  <c r="U2597" i="52"/>
  <c r="V2597" i="52"/>
  <c r="T2598" i="52"/>
  <c r="U2598" i="52"/>
  <c r="V2598" i="52"/>
  <c r="T2599" i="52"/>
  <c r="U2599" i="52"/>
  <c r="V2599" i="52"/>
  <c r="T2600" i="52"/>
  <c r="U2600" i="52"/>
  <c r="V2600" i="52"/>
  <c r="T2601" i="52"/>
  <c r="U2601" i="52"/>
  <c r="V2601" i="52"/>
  <c r="T2602" i="52"/>
  <c r="U2602" i="52"/>
  <c r="V2602" i="52"/>
  <c r="T2603" i="52"/>
  <c r="U2603" i="52"/>
  <c r="V2603" i="52"/>
  <c r="T2604" i="52"/>
  <c r="U2604" i="52"/>
  <c r="V2604" i="52"/>
  <c r="T2605" i="52"/>
  <c r="U2605" i="52"/>
  <c r="V2605" i="52"/>
  <c r="T2606" i="52"/>
  <c r="U2606" i="52"/>
  <c r="V2606" i="52"/>
  <c r="T2607" i="52"/>
  <c r="U2607" i="52"/>
  <c r="V2607" i="52"/>
  <c r="T2608" i="52"/>
  <c r="U2608" i="52"/>
  <c r="V2608" i="52"/>
  <c r="T2609" i="52"/>
  <c r="U2609" i="52"/>
  <c r="V2609" i="52"/>
  <c r="T2610" i="52"/>
  <c r="U2610" i="52"/>
  <c r="V2610" i="52"/>
  <c r="T2611" i="52"/>
  <c r="U2611" i="52"/>
  <c r="V2611" i="52"/>
  <c r="T2612" i="52"/>
  <c r="U2612" i="52"/>
  <c r="V2612" i="52"/>
  <c r="T2613" i="52"/>
  <c r="U2613" i="52"/>
  <c r="V2613" i="52"/>
  <c r="T2614" i="52"/>
  <c r="U2614" i="52"/>
  <c r="V2614" i="52"/>
  <c r="T2615" i="52"/>
  <c r="U2615" i="52"/>
  <c r="V2615" i="52"/>
  <c r="T2616" i="52"/>
  <c r="U2616" i="52"/>
  <c r="V2616" i="52"/>
  <c r="T2617" i="52"/>
  <c r="U2617" i="52"/>
  <c r="V2617" i="52"/>
  <c r="T2618" i="52"/>
  <c r="U2618" i="52"/>
  <c r="V2618" i="52"/>
  <c r="T2619" i="52"/>
  <c r="U2619" i="52"/>
  <c r="V2619" i="52"/>
  <c r="T2620" i="52"/>
  <c r="U2620" i="52"/>
  <c r="V2620" i="52"/>
  <c r="T2621" i="52"/>
  <c r="U2621" i="52"/>
  <c r="V2621" i="52"/>
  <c r="T2622" i="52"/>
  <c r="U2622" i="52"/>
  <c r="V2622" i="52"/>
  <c r="T2623" i="52"/>
  <c r="U2623" i="52"/>
  <c r="V2623" i="52"/>
  <c r="T2624" i="52"/>
  <c r="U2624" i="52"/>
  <c r="V2624" i="52"/>
  <c r="T2625" i="52"/>
  <c r="U2625" i="52"/>
  <c r="V2625" i="52"/>
  <c r="T2626" i="52"/>
  <c r="U2626" i="52"/>
  <c r="V2626" i="52"/>
  <c r="T2627" i="52"/>
  <c r="U2627" i="52"/>
  <c r="V2627" i="52"/>
  <c r="T2628" i="52"/>
  <c r="U2628" i="52"/>
  <c r="V2628" i="52"/>
  <c r="T2629" i="52"/>
  <c r="U2629" i="52"/>
  <c r="V2629" i="52"/>
  <c r="T2630" i="52"/>
  <c r="U2630" i="52"/>
  <c r="V2630" i="52"/>
  <c r="T2631" i="52"/>
  <c r="U2631" i="52"/>
  <c r="V2631" i="52"/>
  <c r="T2632" i="52"/>
  <c r="U2632" i="52"/>
  <c r="V2632" i="52"/>
  <c r="T2633" i="52"/>
  <c r="U2633" i="52"/>
  <c r="V2633" i="52"/>
  <c r="T2634" i="52"/>
  <c r="U2634" i="52"/>
  <c r="V2634" i="52"/>
  <c r="T2635" i="52"/>
  <c r="U2635" i="52"/>
  <c r="V2635" i="52"/>
  <c r="T2636" i="52"/>
  <c r="U2636" i="52"/>
  <c r="V2636" i="52"/>
  <c r="T2637" i="52"/>
  <c r="U2637" i="52"/>
  <c r="V2637" i="52"/>
  <c r="T2638" i="52"/>
  <c r="U2638" i="52"/>
  <c r="V2638" i="52"/>
  <c r="T2639" i="52"/>
  <c r="U2639" i="52"/>
  <c r="V2639" i="52"/>
  <c r="T2640" i="52"/>
  <c r="U2640" i="52"/>
  <c r="V2640" i="52"/>
  <c r="T2641" i="52"/>
  <c r="U2641" i="52"/>
  <c r="V2641" i="52"/>
  <c r="T2642" i="52"/>
  <c r="U2642" i="52"/>
  <c r="V2642" i="52"/>
  <c r="T2643" i="52"/>
  <c r="U2643" i="52"/>
  <c r="V2643" i="52"/>
  <c r="T2644" i="52"/>
  <c r="U2644" i="52"/>
  <c r="V2644" i="52"/>
  <c r="T2645" i="52"/>
  <c r="U2645" i="52"/>
  <c r="V2645" i="52"/>
  <c r="T2646" i="52"/>
  <c r="U2646" i="52"/>
  <c r="V2646" i="52"/>
  <c r="T2647" i="52"/>
  <c r="U2647" i="52"/>
  <c r="V2647" i="52"/>
  <c r="T2648" i="52"/>
  <c r="U2648" i="52"/>
  <c r="V2648" i="52"/>
  <c r="T2649" i="52"/>
  <c r="U2649" i="52"/>
  <c r="V2649" i="52"/>
  <c r="T2650" i="52"/>
  <c r="U2650" i="52"/>
  <c r="V2650" i="52"/>
  <c r="T2651" i="52"/>
  <c r="U2651" i="52"/>
  <c r="V2651" i="52"/>
  <c r="T2652" i="52"/>
  <c r="U2652" i="52"/>
  <c r="V2652" i="52"/>
  <c r="T2653" i="52"/>
  <c r="U2653" i="52"/>
  <c r="V2653" i="52"/>
  <c r="T2654" i="52"/>
  <c r="U2654" i="52"/>
  <c r="V2654" i="52"/>
  <c r="T2655" i="52"/>
  <c r="U2655" i="52"/>
  <c r="V2655" i="52"/>
  <c r="T2656" i="52"/>
  <c r="U2656" i="52"/>
  <c r="V2656" i="52"/>
  <c r="T2657" i="52"/>
  <c r="U2657" i="52"/>
  <c r="V2657" i="52"/>
  <c r="T2658" i="52"/>
  <c r="U2658" i="52"/>
  <c r="V2658" i="52"/>
  <c r="T2659" i="52"/>
  <c r="U2659" i="52"/>
  <c r="V2659" i="52"/>
  <c r="T2660" i="52"/>
  <c r="U2660" i="52"/>
  <c r="V2660" i="52"/>
  <c r="T2661" i="52"/>
  <c r="U2661" i="52"/>
  <c r="V2661" i="52"/>
  <c r="T2662" i="52"/>
  <c r="U2662" i="52"/>
  <c r="V2662" i="52"/>
  <c r="T2663" i="52"/>
  <c r="U2663" i="52"/>
  <c r="V2663" i="52"/>
  <c r="T2664" i="52"/>
  <c r="U2664" i="52"/>
  <c r="V2664" i="52"/>
  <c r="T2665" i="52"/>
  <c r="U2665" i="52"/>
  <c r="V2665" i="52"/>
  <c r="T2666" i="52"/>
  <c r="U2666" i="52"/>
  <c r="V2666" i="52"/>
  <c r="T2667" i="52"/>
  <c r="U2667" i="52"/>
  <c r="V2667" i="52"/>
  <c r="T2668" i="52"/>
  <c r="U2668" i="52"/>
  <c r="V2668" i="52"/>
  <c r="T2669" i="52"/>
  <c r="U2669" i="52"/>
  <c r="V2669" i="52"/>
  <c r="T2670" i="52"/>
  <c r="U2670" i="52"/>
  <c r="V2670" i="52"/>
  <c r="T2671" i="52"/>
  <c r="U2671" i="52"/>
  <c r="V2671" i="52"/>
  <c r="T2672" i="52"/>
  <c r="U2672" i="52"/>
  <c r="V2672" i="52"/>
  <c r="T2673" i="52"/>
  <c r="U2673" i="52"/>
  <c r="V2673" i="52"/>
  <c r="T2674" i="52"/>
  <c r="U2674" i="52"/>
  <c r="V2674" i="52"/>
  <c r="T2675" i="52"/>
  <c r="U2675" i="52"/>
  <c r="V2675" i="52"/>
  <c r="T2676" i="52"/>
  <c r="U2676" i="52"/>
  <c r="V2676" i="52"/>
  <c r="T2677" i="52"/>
  <c r="U2677" i="52"/>
  <c r="V2677" i="52"/>
  <c r="T2678" i="52"/>
  <c r="U2678" i="52"/>
  <c r="V2678" i="52"/>
  <c r="T2679" i="52"/>
  <c r="U2679" i="52"/>
  <c r="V2679" i="52"/>
  <c r="T2680" i="52"/>
  <c r="U2680" i="52"/>
  <c r="V2680" i="52"/>
  <c r="T2681" i="52"/>
  <c r="U2681" i="52"/>
  <c r="V2681" i="52"/>
  <c r="T2682" i="52"/>
  <c r="U2682" i="52"/>
  <c r="V2682" i="52"/>
  <c r="T2683" i="52"/>
  <c r="U2683" i="52"/>
  <c r="V2683" i="52"/>
  <c r="T2684" i="52"/>
  <c r="U2684" i="52"/>
  <c r="V2684" i="52"/>
  <c r="T2685" i="52"/>
  <c r="U2685" i="52"/>
  <c r="V2685" i="52"/>
  <c r="T2686" i="52"/>
  <c r="U2686" i="52"/>
  <c r="V2686" i="52"/>
  <c r="T2687" i="52"/>
  <c r="U2687" i="52"/>
  <c r="V2687" i="52"/>
  <c r="T2688" i="52"/>
  <c r="U2688" i="52"/>
  <c r="V2688" i="52"/>
  <c r="T2689" i="52"/>
  <c r="U2689" i="52"/>
  <c r="V2689" i="52"/>
  <c r="T2690" i="52"/>
  <c r="U2690" i="52"/>
  <c r="V2690" i="52"/>
  <c r="T2691" i="52"/>
  <c r="U2691" i="52"/>
  <c r="V2691" i="52"/>
  <c r="T2692" i="52"/>
  <c r="U2692" i="52"/>
  <c r="V2692" i="52"/>
  <c r="T2693" i="52"/>
  <c r="U2693" i="52"/>
  <c r="V2693" i="52"/>
  <c r="T2694" i="52"/>
  <c r="U2694" i="52"/>
  <c r="V2694" i="52"/>
  <c r="T2695" i="52"/>
  <c r="U2695" i="52"/>
  <c r="V2695" i="52"/>
  <c r="T2696" i="52"/>
  <c r="U2696" i="52"/>
  <c r="V2696" i="52"/>
  <c r="T2697" i="52"/>
  <c r="U2697" i="52"/>
  <c r="V2697" i="52"/>
  <c r="T2698" i="52"/>
  <c r="U2698" i="52"/>
  <c r="V2698" i="52"/>
  <c r="T2699" i="52"/>
  <c r="U2699" i="52"/>
  <c r="V2699" i="52"/>
  <c r="T2700" i="52"/>
  <c r="U2700" i="52"/>
  <c r="V2700" i="52"/>
  <c r="T2701" i="52"/>
  <c r="U2701" i="52"/>
  <c r="V2701" i="52"/>
  <c r="T2702" i="52"/>
  <c r="U2702" i="52"/>
  <c r="V2702" i="52"/>
  <c r="T2703" i="52"/>
  <c r="U2703" i="52"/>
  <c r="V2703" i="52"/>
  <c r="T2704" i="52"/>
  <c r="U2704" i="52"/>
  <c r="V2704" i="52"/>
  <c r="T2705" i="52"/>
  <c r="U2705" i="52"/>
  <c r="V2705" i="52"/>
  <c r="T2706" i="52"/>
  <c r="U2706" i="52"/>
  <c r="V2706" i="52"/>
  <c r="T2707" i="52"/>
  <c r="U2707" i="52"/>
  <c r="V2707" i="52"/>
  <c r="T2708" i="52"/>
  <c r="U2708" i="52"/>
  <c r="V2708" i="52"/>
  <c r="T2709" i="52"/>
  <c r="U2709" i="52"/>
  <c r="V2709" i="52"/>
  <c r="T2710" i="52"/>
  <c r="U2710" i="52"/>
  <c r="V2710" i="52"/>
  <c r="T2711" i="52"/>
  <c r="U2711" i="52"/>
  <c r="V2711" i="52"/>
  <c r="T2712" i="52"/>
  <c r="U2712" i="52"/>
  <c r="V2712" i="52"/>
  <c r="T2713" i="52"/>
  <c r="U2713" i="52"/>
  <c r="V2713" i="52"/>
  <c r="T2714" i="52"/>
  <c r="U2714" i="52"/>
  <c r="V2714" i="52"/>
  <c r="T2715" i="52"/>
  <c r="U2715" i="52"/>
  <c r="V2715" i="52"/>
  <c r="T2716" i="52"/>
  <c r="U2716" i="52"/>
  <c r="V2716" i="52"/>
  <c r="T2717" i="52"/>
  <c r="U2717" i="52"/>
  <c r="V2717" i="52"/>
  <c r="T2718" i="52"/>
  <c r="U2718" i="52"/>
  <c r="V2718" i="52"/>
  <c r="T2719" i="52"/>
  <c r="U2719" i="52"/>
  <c r="V2719" i="52"/>
  <c r="T2720" i="52"/>
  <c r="U2720" i="52"/>
  <c r="V2720" i="52"/>
  <c r="T2721" i="52"/>
  <c r="U2721" i="52"/>
  <c r="V2721" i="52"/>
  <c r="T2722" i="52"/>
  <c r="U2722" i="52"/>
  <c r="V2722" i="52"/>
  <c r="T2723" i="52"/>
  <c r="U2723" i="52"/>
  <c r="V2723" i="52"/>
  <c r="T2724" i="52"/>
  <c r="U2724" i="52"/>
  <c r="V2724" i="52"/>
  <c r="T2725" i="52"/>
  <c r="U2725" i="52"/>
  <c r="V2725" i="52"/>
  <c r="T2726" i="52"/>
  <c r="U2726" i="52"/>
  <c r="V2726" i="52"/>
  <c r="T2727" i="52"/>
  <c r="U2727" i="52"/>
  <c r="V2727" i="52"/>
  <c r="T2728" i="52"/>
  <c r="U2728" i="52"/>
  <c r="V2728" i="52"/>
  <c r="T2729" i="52"/>
  <c r="U2729" i="52"/>
  <c r="V2729" i="52"/>
  <c r="T2730" i="52"/>
  <c r="U2730" i="52"/>
  <c r="V2730" i="52"/>
  <c r="T2731" i="52"/>
  <c r="U2731" i="52"/>
  <c r="V2731" i="52"/>
  <c r="T2732" i="52"/>
  <c r="U2732" i="52"/>
  <c r="V2732" i="52"/>
  <c r="T2733" i="52"/>
  <c r="U2733" i="52"/>
  <c r="V2733" i="52"/>
  <c r="T2734" i="52"/>
  <c r="U2734" i="52"/>
  <c r="V2734" i="52"/>
  <c r="T2735" i="52"/>
  <c r="U2735" i="52"/>
  <c r="V2735" i="52"/>
  <c r="T2736" i="52"/>
  <c r="U2736" i="52"/>
  <c r="V2736" i="52"/>
  <c r="T2737" i="52"/>
  <c r="U2737" i="52"/>
  <c r="V2737" i="52"/>
  <c r="T2738" i="52"/>
  <c r="U2738" i="52"/>
  <c r="V2738" i="52"/>
  <c r="T2739" i="52"/>
  <c r="U2739" i="52"/>
  <c r="V2739" i="52"/>
  <c r="T2740" i="52"/>
  <c r="U2740" i="52"/>
  <c r="V2740" i="52"/>
  <c r="T2741" i="52"/>
  <c r="U2741" i="52"/>
  <c r="V2741" i="52"/>
  <c r="T2742" i="52"/>
  <c r="U2742" i="52"/>
  <c r="V2742" i="52"/>
  <c r="T2743" i="52"/>
  <c r="U2743" i="52"/>
  <c r="V2743" i="52"/>
  <c r="T2744" i="52"/>
  <c r="U2744" i="52"/>
  <c r="V2744" i="52"/>
  <c r="T2745" i="52"/>
  <c r="U2745" i="52"/>
  <c r="V2745" i="52"/>
  <c r="T2746" i="52"/>
  <c r="U2746" i="52"/>
  <c r="V2746" i="52"/>
  <c r="T2747" i="52"/>
  <c r="U2747" i="52"/>
  <c r="V2747" i="52"/>
  <c r="T2748" i="52"/>
  <c r="U2748" i="52"/>
  <c r="V2748" i="52"/>
  <c r="T2749" i="52"/>
  <c r="U2749" i="52"/>
  <c r="V2749" i="52"/>
  <c r="T2750" i="52"/>
  <c r="U2750" i="52"/>
  <c r="V2750" i="52"/>
  <c r="T2751" i="52"/>
  <c r="U2751" i="52"/>
  <c r="V2751" i="52"/>
  <c r="T2752" i="52"/>
  <c r="U2752" i="52"/>
  <c r="V2752" i="52"/>
  <c r="T2753" i="52"/>
  <c r="U2753" i="52"/>
  <c r="V2753" i="52"/>
  <c r="T2754" i="52"/>
  <c r="U2754" i="52"/>
  <c r="V2754" i="52"/>
  <c r="T2755" i="52"/>
  <c r="U2755" i="52"/>
  <c r="V2755" i="52"/>
  <c r="T2756" i="52"/>
  <c r="U2756" i="52"/>
  <c r="V2756" i="52"/>
  <c r="T2757" i="52"/>
  <c r="U2757" i="52"/>
  <c r="V2757" i="52"/>
  <c r="T2758" i="52"/>
  <c r="U2758" i="52"/>
  <c r="V2758" i="52"/>
  <c r="T2759" i="52"/>
  <c r="U2759" i="52"/>
  <c r="V2759" i="52"/>
  <c r="T2760" i="52"/>
  <c r="U2760" i="52"/>
  <c r="V2760" i="52"/>
  <c r="T2761" i="52"/>
  <c r="U2761" i="52"/>
  <c r="V2761" i="52"/>
  <c r="T2762" i="52"/>
  <c r="U2762" i="52"/>
  <c r="V2762" i="52"/>
  <c r="T2763" i="52"/>
  <c r="U2763" i="52"/>
  <c r="V2763" i="52"/>
  <c r="T2764" i="52"/>
  <c r="U2764" i="52"/>
  <c r="V2764" i="52"/>
  <c r="T2765" i="52"/>
  <c r="U2765" i="52"/>
  <c r="V2765" i="52"/>
  <c r="T2766" i="52"/>
  <c r="U2766" i="52"/>
  <c r="V2766" i="52"/>
  <c r="T2767" i="52"/>
  <c r="U2767" i="52"/>
  <c r="V2767" i="52"/>
  <c r="T2768" i="52"/>
  <c r="U2768" i="52"/>
  <c r="V2768" i="52"/>
  <c r="T2769" i="52"/>
  <c r="U2769" i="52"/>
  <c r="V2769" i="52"/>
  <c r="T2770" i="52"/>
  <c r="U2770" i="52"/>
  <c r="V2770" i="52"/>
  <c r="T2771" i="52"/>
  <c r="U2771" i="52"/>
  <c r="V2771" i="52"/>
  <c r="T2772" i="52"/>
  <c r="U2772" i="52"/>
  <c r="V2772" i="52"/>
  <c r="T2773" i="52"/>
  <c r="U2773" i="52"/>
  <c r="V2773" i="52"/>
  <c r="T2774" i="52"/>
  <c r="U2774" i="52"/>
  <c r="V2774" i="52"/>
  <c r="T2775" i="52"/>
  <c r="U2775" i="52"/>
  <c r="V2775" i="52"/>
  <c r="T2776" i="52"/>
  <c r="U2776" i="52"/>
  <c r="V2776" i="52"/>
  <c r="T2777" i="52"/>
  <c r="U2777" i="52"/>
  <c r="V2777" i="52"/>
  <c r="T2778" i="52"/>
  <c r="U2778" i="52"/>
  <c r="V2778" i="52"/>
  <c r="T2779" i="52"/>
  <c r="U2779" i="52"/>
  <c r="V2779" i="52"/>
  <c r="T2780" i="52"/>
  <c r="U2780" i="52"/>
  <c r="V2780" i="52"/>
  <c r="T2781" i="52"/>
  <c r="U2781" i="52"/>
  <c r="V2781" i="52"/>
  <c r="T2782" i="52"/>
  <c r="U2782" i="52"/>
  <c r="V2782" i="52"/>
  <c r="T2783" i="52"/>
  <c r="U2783" i="52"/>
  <c r="V2783" i="52"/>
  <c r="T2784" i="52"/>
  <c r="U2784" i="52"/>
  <c r="V2784" i="52"/>
  <c r="T2785" i="52"/>
  <c r="U2785" i="52"/>
  <c r="V2785" i="52"/>
  <c r="T2786" i="52"/>
  <c r="U2786" i="52"/>
  <c r="V2786" i="52"/>
  <c r="T2787" i="52"/>
  <c r="U2787" i="52"/>
  <c r="V2787" i="52"/>
  <c r="T2788" i="52"/>
  <c r="U2788" i="52"/>
  <c r="V2788" i="52"/>
  <c r="T2789" i="52"/>
  <c r="U2789" i="52"/>
  <c r="V2789" i="52"/>
  <c r="T2790" i="52"/>
  <c r="U2790" i="52"/>
  <c r="V2790" i="52"/>
  <c r="T2791" i="52"/>
  <c r="U2791" i="52"/>
  <c r="V2791" i="52"/>
  <c r="T2792" i="52"/>
  <c r="U2792" i="52"/>
  <c r="V2792" i="52"/>
  <c r="T2793" i="52"/>
  <c r="U2793" i="52"/>
  <c r="V2793" i="52"/>
  <c r="T2794" i="52"/>
  <c r="U2794" i="52"/>
  <c r="V2794" i="52"/>
  <c r="T2795" i="52"/>
  <c r="U2795" i="52"/>
  <c r="V2795" i="52"/>
  <c r="T2796" i="52"/>
  <c r="U2796" i="52"/>
  <c r="V2796" i="52"/>
  <c r="T2797" i="52"/>
  <c r="U2797" i="52"/>
  <c r="V2797" i="52"/>
  <c r="T2798" i="52"/>
  <c r="U2798" i="52"/>
  <c r="V2798" i="52"/>
  <c r="T2799" i="52"/>
  <c r="U2799" i="52"/>
  <c r="V2799" i="52"/>
  <c r="T2800" i="52"/>
  <c r="U2800" i="52"/>
  <c r="V2800" i="52"/>
  <c r="T2801" i="52"/>
  <c r="U2801" i="52"/>
  <c r="V2801" i="52"/>
  <c r="T2802" i="52"/>
  <c r="U2802" i="52"/>
  <c r="V2802" i="52"/>
  <c r="T2803" i="52"/>
  <c r="U2803" i="52"/>
  <c r="V2803" i="52"/>
  <c r="T2804" i="52"/>
  <c r="U2804" i="52"/>
  <c r="V2804" i="52"/>
  <c r="T2805" i="52"/>
  <c r="U2805" i="52"/>
  <c r="V2805" i="52"/>
  <c r="T2806" i="52"/>
  <c r="U2806" i="52"/>
  <c r="V2806" i="52"/>
  <c r="T2807" i="52"/>
  <c r="U2807" i="52"/>
  <c r="V2807" i="52"/>
  <c r="T2808" i="52"/>
  <c r="U2808" i="52"/>
  <c r="V2808" i="52"/>
  <c r="T2809" i="52"/>
  <c r="U2809" i="52"/>
  <c r="V2809" i="52"/>
  <c r="T2810" i="52"/>
  <c r="U2810" i="52"/>
  <c r="V2810" i="52"/>
  <c r="T2811" i="52"/>
  <c r="U2811" i="52"/>
  <c r="V2811" i="52"/>
  <c r="T2812" i="52"/>
  <c r="U2812" i="52"/>
  <c r="V2812" i="52"/>
  <c r="T2813" i="52"/>
  <c r="U2813" i="52"/>
  <c r="V2813" i="52"/>
  <c r="T2814" i="52"/>
  <c r="U2814" i="52"/>
  <c r="V2814" i="52"/>
  <c r="T2815" i="52"/>
  <c r="U2815" i="52"/>
  <c r="V2815" i="52"/>
  <c r="T2816" i="52"/>
  <c r="U2816" i="52"/>
  <c r="V2816" i="52"/>
  <c r="T2817" i="52"/>
  <c r="U2817" i="52"/>
  <c r="V2817" i="52"/>
  <c r="T2818" i="52"/>
  <c r="U2818" i="52"/>
  <c r="V2818" i="52"/>
  <c r="T2819" i="52"/>
  <c r="U2819" i="52"/>
  <c r="V2819" i="52"/>
  <c r="T2820" i="52"/>
  <c r="U2820" i="52"/>
  <c r="V2820" i="52"/>
  <c r="T2821" i="52"/>
  <c r="U2821" i="52"/>
  <c r="V2821" i="52"/>
  <c r="T2822" i="52"/>
  <c r="U2822" i="52"/>
  <c r="V2822" i="52"/>
  <c r="T2823" i="52"/>
  <c r="U2823" i="52"/>
  <c r="V2823" i="52"/>
  <c r="T2824" i="52"/>
  <c r="U2824" i="52"/>
  <c r="V2824" i="52"/>
  <c r="T2825" i="52"/>
  <c r="U2825" i="52"/>
  <c r="V2825" i="52"/>
  <c r="T2826" i="52"/>
  <c r="U2826" i="52"/>
  <c r="V2826" i="52"/>
  <c r="T2827" i="52"/>
  <c r="U2827" i="52"/>
  <c r="V2827" i="52"/>
  <c r="T2828" i="52"/>
  <c r="U2828" i="52"/>
  <c r="V2828" i="52"/>
  <c r="T2829" i="52"/>
  <c r="U2829" i="52"/>
  <c r="V2829" i="52"/>
  <c r="T2830" i="52"/>
  <c r="U2830" i="52"/>
  <c r="V2830" i="52"/>
  <c r="T2831" i="52"/>
  <c r="U2831" i="52"/>
  <c r="V2831" i="52"/>
  <c r="T2832" i="52"/>
  <c r="U2832" i="52"/>
  <c r="V2832" i="52"/>
  <c r="T2833" i="52"/>
  <c r="U2833" i="52"/>
  <c r="V2833" i="52"/>
  <c r="T2834" i="52"/>
  <c r="U2834" i="52"/>
  <c r="V2834" i="52"/>
  <c r="T2835" i="52"/>
  <c r="U2835" i="52"/>
  <c r="V2835" i="52"/>
  <c r="T2836" i="52"/>
  <c r="U2836" i="52"/>
  <c r="V2836" i="52"/>
  <c r="T2837" i="52"/>
  <c r="U2837" i="52"/>
  <c r="V2837" i="52"/>
  <c r="T2838" i="52"/>
  <c r="U2838" i="52"/>
  <c r="V2838" i="52"/>
  <c r="T2839" i="52"/>
  <c r="U2839" i="52"/>
  <c r="V2839" i="52"/>
  <c r="T2840" i="52"/>
  <c r="U2840" i="52"/>
  <c r="V2840" i="52"/>
  <c r="T2841" i="52"/>
  <c r="U2841" i="52"/>
  <c r="V2841" i="52"/>
  <c r="T2842" i="52"/>
  <c r="U2842" i="52"/>
  <c r="V2842" i="52"/>
  <c r="T2843" i="52"/>
  <c r="U2843" i="52"/>
  <c r="V2843" i="52"/>
  <c r="T2844" i="52"/>
  <c r="U2844" i="52"/>
  <c r="V2844" i="52"/>
  <c r="T2845" i="52"/>
  <c r="U2845" i="52"/>
  <c r="V2845" i="52"/>
  <c r="T2846" i="52"/>
  <c r="U2846" i="52"/>
  <c r="V2846" i="52"/>
  <c r="T2847" i="52"/>
  <c r="U2847" i="52"/>
  <c r="V2847" i="52"/>
  <c r="T2848" i="52"/>
  <c r="U2848" i="52"/>
  <c r="V2848" i="52"/>
  <c r="T2849" i="52"/>
  <c r="U2849" i="52"/>
  <c r="V2849" i="52"/>
  <c r="T2850" i="52"/>
  <c r="U2850" i="52"/>
  <c r="V2850" i="52"/>
  <c r="T2851" i="52"/>
  <c r="U2851" i="52"/>
  <c r="V2851" i="52"/>
  <c r="T2852" i="52"/>
  <c r="U2852" i="52"/>
  <c r="V2852" i="52"/>
  <c r="T2853" i="52"/>
  <c r="U2853" i="52"/>
  <c r="V2853" i="52"/>
  <c r="T2854" i="52"/>
  <c r="U2854" i="52"/>
  <c r="V2854" i="52"/>
  <c r="T2855" i="52"/>
  <c r="U2855" i="52"/>
  <c r="V2855" i="52"/>
  <c r="T2856" i="52"/>
  <c r="U2856" i="52"/>
  <c r="V2856" i="52"/>
  <c r="T2857" i="52"/>
  <c r="U2857" i="52"/>
  <c r="V2857" i="52"/>
  <c r="T2858" i="52"/>
  <c r="U2858" i="52"/>
  <c r="V2858" i="52"/>
  <c r="T2859" i="52"/>
  <c r="U2859" i="52"/>
  <c r="V2859" i="52"/>
  <c r="T2860" i="52"/>
  <c r="U2860" i="52"/>
  <c r="V2860" i="52"/>
  <c r="T2861" i="52"/>
  <c r="U2861" i="52"/>
  <c r="V2861" i="52"/>
  <c r="T2862" i="52"/>
  <c r="U2862" i="52"/>
  <c r="V2862" i="52"/>
  <c r="T2863" i="52"/>
  <c r="U2863" i="52"/>
  <c r="V2863" i="52"/>
  <c r="T2864" i="52"/>
  <c r="U2864" i="52"/>
  <c r="V2864" i="52"/>
  <c r="T2865" i="52"/>
  <c r="U2865" i="52"/>
  <c r="V2865" i="52"/>
  <c r="T2866" i="52"/>
  <c r="U2866" i="52"/>
  <c r="V2866" i="52"/>
  <c r="T2867" i="52"/>
  <c r="U2867" i="52"/>
  <c r="V2867" i="52"/>
  <c r="T2868" i="52"/>
  <c r="U2868" i="52"/>
  <c r="V2868" i="52"/>
  <c r="T2869" i="52"/>
  <c r="U2869" i="52"/>
  <c r="V2869" i="52"/>
  <c r="T2870" i="52"/>
  <c r="U2870" i="52"/>
  <c r="V2870" i="52"/>
  <c r="T2871" i="52"/>
  <c r="U2871" i="52"/>
  <c r="V2871" i="52"/>
  <c r="T2872" i="52"/>
  <c r="U2872" i="52"/>
  <c r="V2872" i="52"/>
  <c r="T2873" i="52"/>
  <c r="U2873" i="52"/>
  <c r="V2873" i="52"/>
  <c r="T2874" i="52"/>
  <c r="U2874" i="52"/>
  <c r="V2874" i="52"/>
  <c r="T2875" i="52"/>
  <c r="U2875" i="52"/>
  <c r="V2875" i="52"/>
  <c r="T2876" i="52"/>
  <c r="U2876" i="52"/>
  <c r="V2876" i="52"/>
  <c r="T2877" i="52"/>
  <c r="U2877" i="52"/>
  <c r="V2877" i="52"/>
  <c r="T2878" i="52"/>
  <c r="U2878" i="52"/>
  <c r="V2878" i="52"/>
  <c r="T2879" i="52"/>
  <c r="U2879" i="52"/>
  <c r="V2879" i="52"/>
  <c r="T2880" i="52"/>
  <c r="U2880" i="52"/>
  <c r="V2880" i="52"/>
  <c r="T2881" i="52"/>
  <c r="U2881" i="52"/>
  <c r="V2881" i="52"/>
  <c r="T2882" i="52"/>
  <c r="U2882" i="52"/>
  <c r="V2882" i="52"/>
  <c r="T2883" i="52"/>
  <c r="U2883" i="52"/>
  <c r="V2883" i="52"/>
  <c r="T2884" i="52"/>
  <c r="U2884" i="52"/>
  <c r="V2884" i="52"/>
  <c r="T2885" i="52"/>
  <c r="U2885" i="52"/>
  <c r="V2885" i="52"/>
  <c r="T2886" i="52"/>
  <c r="U2886" i="52"/>
  <c r="V2886" i="52"/>
  <c r="T2887" i="52"/>
  <c r="U2887" i="52"/>
  <c r="V2887" i="52"/>
  <c r="T2888" i="52"/>
  <c r="U2888" i="52"/>
  <c r="V2888" i="52"/>
  <c r="T2889" i="52"/>
  <c r="U2889" i="52"/>
  <c r="V2889" i="52"/>
  <c r="T2890" i="52"/>
  <c r="U2890" i="52"/>
  <c r="V2890" i="52"/>
  <c r="T2891" i="52"/>
  <c r="U2891" i="52"/>
  <c r="V2891" i="52"/>
  <c r="T2892" i="52"/>
  <c r="U2892" i="52"/>
  <c r="V2892" i="52"/>
  <c r="T2893" i="52"/>
  <c r="U2893" i="52"/>
  <c r="V2893" i="52"/>
  <c r="T2894" i="52"/>
  <c r="U2894" i="52"/>
  <c r="V2894" i="52"/>
  <c r="T2895" i="52"/>
  <c r="U2895" i="52"/>
  <c r="V2895" i="52"/>
  <c r="T2896" i="52"/>
  <c r="U2896" i="52"/>
  <c r="V2896" i="52"/>
  <c r="T2897" i="52"/>
  <c r="U2897" i="52"/>
  <c r="V2897" i="52"/>
  <c r="T2898" i="52"/>
  <c r="U2898" i="52"/>
  <c r="V2898" i="52"/>
  <c r="T2899" i="52"/>
  <c r="U2899" i="52"/>
  <c r="V2899" i="52"/>
  <c r="T2900" i="52"/>
  <c r="U2900" i="52"/>
  <c r="V2900" i="52"/>
  <c r="T2901" i="52"/>
  <c r="U2901" i="52"/>
  <c r="V2901" i="52"/>
  <c r="T2902" i="52"/>
  <c r="U2902" i="52"/>
  <c r="V2902" i="52"/>
  <c r="T2903" i="52"/>
  <c r="U2903" i="52"/>
  <c r="V2903" i="52"/>
  <c r="T2904" i="52"/>
  <c r="U2904" i="52"/>
  <c r="V2904" i="52"/>
  <c r="T2905" i="52"/>
  <c r="U2905" i="52"/>
  <c r="V2905" i="52"/>
  <c r="T2906" i="52"/>
  <c r="U2906" i="52"/>
  <c r="V2906" i="52"/>
  <c r="T2907" i="52"/>
  <c r="U2907" i="52"/>
  <c r="V2907" i="52"/>
  <c r="T2908" i="52"/>
  <c r="U2908" i="52"/>
  <c r="V2908" i="52"/>
  <c r="T2909" i="52"/>
  <c r="U2909" i="52"/>
  <c r="V2909" i="52"/>
  <c r="T2910" i="52"/>
  <c r="U2910" i="52"/>
  <c r="V2910" i="52"/>
  <c r="T2911" i="52"/>
  <c r="U2911" i="52"/>
  <c r="V2911" i="52"/>
  <c r="T2912" i="52"/>
  <c r="U2912" i="52"/>
  <c r="V2912" i="52"/>
  <c r="T2913" i="52"/>
  <c r="U2913" i="52"/>
  <c r="V2913" i="52"/>
  <c r="T2914" i="52"/>
  <c r="U2914" i="52"/>
  <c r="V2914" i="52"/>
  <c r="T2915" i="52"/>
  <c r="U2915" i="52"/>
  <c r="V2915" i="52"/>
  <c r="T2916" i="52"/>
  <c r="U2916" i="52"/>
  <c r="V2916" i="52"/>
  <c r="T2917" i="52"/>
  <c r="U2917" i="52"/>
  <c r="V2917" i="52"/>
  <c r="T2918" i="52"/>
  <c r="U2918" i="52"/>
  <c r="V2918" i="52"/>
  <c r="T2919" i="52"/>
  <c r="U2919" i="52"/>
  <c r="V2919" i="52"/>
  <c r="T2920" i="52"/>
  <c r="U2920" i="52"/>
  <c r="V2920" i="52"/>
  <c r="T2921" i="52"/>
  <c r="U2921" i="52"/>
  <c r="V2921" i="52"/>
  <c r="T2922" i="52"/>
  <c r="U2922" i="52"/>
  <c r="V2922" i="52"/>
  <c r="T2923" i="52"/>
  <c r="U2923" i="52"/>
  <c r="V2923" i="52"/>
  <c r="T2924" i="52"/>
  <c r="U2924" i="52"/>
  <c r="V2924" i="52"/>
  <c r="T2925" i="52"/>
  <c r="U2925" i="52"/>
  <c r="V2925" i="52"/>
  <c r="T2926" i="52"/>
  <c r="U2926" i="52"/>
  <c r="V2926" i="52"/>
  <c r="T2927" i="52"/>
  <c r="U2927" i="52"/>
  <c r="V2927" i="52"/>
  <c r="T2928" i="52"/>
  <c r="U2928" i="52"/>
  <c r="V2928" i="52"/>
  <c r="T2929" i="52"/>
  <c r="U2929" i="52"/>
  <c r="V2929" i="52"/>
  <c r="T2930" i="52"/>
  <c r="U2930" i="52"/>
  <c r="V2930" i="52"/>
  <c r="T2931" i="52"/>
  <c r="U2931" i="52"/>
  <c r="V2931" i="52"/>
  <c r="T2932" i="52"/>
  <c r="U2932" i="52"/>
  <c r="V2932" i="52"/>
  <c r="T2933" i="52"/>
  <c r="U2933" i="52"/>
  <c r="V2933" i="52"/>
  <c r="T2934" i="52"/>
  <c r="U2934" i="52"/>
  <c r="V2934" i="52"/>
  <c r="T2935" i="52"/>
  <c r="U2935" i="52"/>
  <c r="V2935" i="52"/>
  <c r="T2936" i="52"/>
  <c r="U2936" i="52"/>
  <c r="V2936" i="52"/>
  <c r="T2937" i="52"/>
  <c r="U2937" i="52"/>
  <c r="V2937" i="52"/>
  <c r="T2938" i="52"/>
  <c r="U2938" i="52"/>
  <c r="V2938" i="52"/>
  <c r="T2939" i="52"/>
  <c r="U2939" i="52"/>
  <c r="V2939" i="52"/>
  <c r="T2940" i="52"/>
  <c r="U2940" i="52"/>
  <c r="V2940" i="52"/>
  <c r="T2941" i="52"/>
  <c r="U2941" i="52"/>
  <c r="V2941" i="52"/>
  <c r="T2942" i="52"/>
  <c r="U2942" i="52"/>
  <c r="V2942" i="52"/>
  <c r="T2943" i="52"/>
  <c r="U2943" i="52"/>
  <c r="V2943" i="52"/>
  <c r="T2944" i="52"/>
  <c r="U2944" i="52"/>
  <c r="V2944" i="52"/>
  <c r="T2945" i="52"/>
  <c r="U2945" i="52"/>
  <c r="V2945" i="52"/>
  <c r="T2946" i="52"/>
  <c r="U2946" i="52"/>
  <c r="V2946" i="52"/>
  <c r="T2947" i="52"/>
  <c r="U2947" i="52"/>
  <c r="V2947" i="52"/>
  <c r="T2948" i="52"/>
  <c r="U2948" i="52"/>
  <c r="V2948" i="52"/>
  <c r="T2949" i="52"/>
  <c r="U2949" i="52"/>
  <c r="V2949" i="52"/>
  <c r="T2950" i="52"/>
  <c r="U2950" i="52"/>
  <c r="V2950" i="52"/>
  <c r="T2951" i="52"/>
  <c r="U2951" i="52"/>
  <c r="V2951" i="52"/>
  <c r="T2952" i="52"/>
  <c r="U2952" i="52"/>
  <c r="V2952" i="52"/>
  <c r="T2953" i="52"/>
  <c r="U2953" i="52"/>
  <c r="V2953" i="52"/>
  <c r="T2954" i="52"/>
  <c r="U2954" i="52"/>
  <c r="V2954" i="52"/>
  <c r="T2955" i="52"/>
  <c r="U2955" i="52"/>
  <c r="V2955" i="52"/>
  <c r="T2956" i="52"/>
  <c r="U2956" i="52"/>
  <c r="V2956" i="52"/>
  <c r="T2957" i="52"/>
  <c r="U2957" i="52"/>
  <c r="V2957" i="52"/>
  <c r="T2958" i="52"/>
  <c r="U2958" i="52"/>
  <c r="V2958" i="52"/>
  <c r="T2959" i="52"/>
  <c r="U2959" i="52"/>
  <c r="V2959" i="52"/>
  <c r="T2960" i="52"/>
  <c r="U2960" i="52"/>
  <c r="V2960" i="52"/>
  <c r="T2961" i="52"/>
  <c r="U2961" i="52"/>
  <c r="V2961" i="52"/>
  <c r="T2962" i="52"/>
  <c r="U2962" i="52"/>
  <c r="V2962" i="52"/>
  <c r="T2963" i="52"/>
  <c r="U2963" i="52"/>
  <c r="V2963" i="52"/>
  <c r="T2964" i="52"/>
  <c r="U2964" i="52"/>
  <c r="V2964" i="52"/>
  <c r="T2965" i="52"/>
  <c r="U2965" i="52"/>
  <c r="V2965" i="52"/>
  <c r="T2966" i="52"/>
  <c r="U2966" i="52"/>
  <c r="V2966" i="52"/>
  <c r="T2967" i="52"/>
  <c r="U2967" i="52"/>
  <c r="V2967" i="52"/>
  <c r="T2968" i="52"/>
  <c r="U2968" i="52"/>
  <c r="V2968" i="52"/>
  <c r="T2969" i="52"/>
  <c r="U2969" i="52"/>
  <c r="V2969" i="52"/>
  <c r="T2970" i="52"/>
  <c r="U2970" i="52"/>
  <c r="V2970" i="52"/>
  <c r="T2971" i="52"/>
  <c r="U2971" i="52"/>
  <c r="V2971" i="52"/>
  <c r="T2972" i="52"/>
  <c r="U2972" i="52"/>
  <c r="V2972" i="52"/>
  <c r="T2973" i="52"/>
  <c r="U2973" i="52"/>
  <c r="V2973" i="52"/>
  <c r="T2974" i="52"/>
  <c r="U2974" i="52"/>
  <c r="V2974" i="52"/>
  <c r="T2975" i="52"/>
  <c r="U2975" i="52"/>
  <c r="V2975" i="52"/>
  <c r="T2976" i="52"/>
  <c r="U2976" i="52"/>
  <c r="V2976" i="52"/>
  <c r="T2977" i="52"/>
  <c r="U2977" i="52"/>
  <c r="V2977" i="52"/>
  <c r="T2978" i="52"/>
  <c r="U2978" i="52"/>
  <c r="V2978" i="52"/>
  <c r="T2979" i="52"/>
  <c r="U2979" i="52"/>
  <c r="V2979" i="52"/>
  <c r="T2980" i="52"/>
  <c r="U2980" i="52"/>
  <c r="V2980" i="52"/>
  <c r="T2981" i="52"/>
  <c r="U2981" i="52"/>
  <c r="V2981" i="52"/>
  <c r="T2982" i="52"/>
  <c r="U2982" i="52"/>
  <c r="V2982" i="52"/>
  <c r="T2983" i="52"/>
  <c r="U2983" i="52"/>
  <c r="V2983" i="52"/>
  <c r="T2984" i="52"/>
  <c r="U2984" i="52"/>
  <c r="V2984" i="52"/>
  <c r="T2985" i="52"/>
  <c r="U2985" i="52"/>
  <c r="V2985" i="52"/>
  <c r="T2986" i="52"/>
  <c r="U2986" i="52"/>
  <c r="V2986" i="52"/>
  <c r="T2987" i="52"/>
  <c r="U2987" i="52"/>
  <c r="V2987" i="52"/>
  <c r="T2988" i="52"/>
  <c r="U2988" i="52"/>
  <c r="V2988" i="52"/>
  <c r="T2989" i="52"/>
  <c r="U2989" i="52"/>
  <c r="V2989" i="52"/>
  <c r="T2990" i="52"/>
  <c r="U2990" i="52"/>
  <c r="V2990" i="52"/>
  <c r="T2991" i="52"/>
  <c r="U2991" i="52"/>
  <c r="V2991" i="52"/>
  <c r="T2992" i="52"/>
  <c r="U2992" i="52"/>
  <c r="V2992" i="52"/>
  <c r="T2993" i="52"/>
  <c r="U2993" i="52"/>
  <c r="V2993" i="52"/>
  <c r="T2994" i="52"/>
  <c r="U2994" i="52"/>
  <c r="V2994" i="52"/>
  <c r="T2995" i="52"/>
  <c r="U2995" i="52"/>
  <c r="V2995" i="52"/>
  <c r="T2996" i="52"/>
  <c r="U2996" i="52"/>
  <c r="V2996" i="52"/>
  <c r="T2997" i="52"/>
  <c r="U2997" i="52"/>
  <c r="V2997" i="52"/>
  <c r="T2998" i="52"/>
  <c r="U2998" i="52"/>
  <c r="V2998" i="52"/>
  <c r="T2999" i="52"/>
  <c r="U2999" i="52"/>
  <c r="V2999" i="52"/>
  <c r="T3000" i="52"/>
  <c r="U3000" i="52"/>
  <c r="V3000" i="52"/>
  <c r="T3001" i="52"/>
  <c r="U3001" i="52"/>
  <c r="V3001" i="52"/>
  <c r="T3002" i="52"/>
  <c r="U3002" i="52"/>
  <c r="V3002" i="52"/>
  <c r="T3003" i="52"/>
  <c r="U3003" i="52"/>
  <c r="V3003" i="52"/>
  <c r="T3004" i="52"/>
  <c r="U3004" i="52"/>
  <c r="V3004" i="52"/>
  <c r="T3005" i="52"/>
  <c r="U3005" i="52"/>
  <c r="V3005" i="52"/>
  <c r="T3006" i="52"/>
  <c r="U3006" i="52"/>
  <c r="V3006" i="52"/>
  <c r="T3007" i="52"/>
  <c r="U3007" i="52"/>
  <c r="V3007" i="52"/>
  <c r="T3008" i="52"/>
  <c r="U3008" i="52"/>
  <c r="V3008" i="52"/>
  <c r="T3009" i="52"/>
  <c r="U3009" i="52"/>
  <c r="V3009" i="52"/>
  <c r="T3010" i="52"/>
  <c r="U3010" i="52"/>
  <c r="V3010" i="52"/>
  <c r="T3011" i="52"/>
  <c r="U3011" i="52"/>
  <c r="V3011" i="52"/>
  <c r="T3012" i="52"/>
  <c r="U3012" i="52"/>
  <c r="V3012" i="52"/>
  <c r="T3013" i="52"/>
  <c r="U3013" i="52"/>
  <c r="V3013" i="52"/>
  <c r="T3014" i="52"/>
  <c r="U3014" i="52"/>
  <c r="V3014" i="52"/>
  <c r="T3015" i="52"/>
  <c r="U3015" i="52"/>
  <c r="V3015" i="52"/>
  <c r="T3016" i="52"/>
  <c r="U3016" i="52"/>
  <c r="V3016" i="52"/>
  <c r="T3017" i="52"/>
  <c r="U3017" i="52"/>
  <c r="V3017" i="52"/>
  <c r="T3018" i="52"/>
  <c r="U3018" i="52"/>
  <c r="V3018" i="52"/>
  <c r="T3019" i="52"/>
  <c r="U3019" i="52"/>
  <c r="V3019" i="52"/>
  <c r="T3020" i="52"/>
  <c r="U3020" i="52"/>
  <c r="V3020" i="52"/>
  <c r="T3021" i="52"/>
  <c r="U3021" i="52"/>
  <c r="V3021" i="52"/>
  <c r="T3022" i="52"/>
  <c r="U3022" i="52"/>
  <c r="V3022" i="52"/>
  <c r="T3023" i="52"/>
  <c r="U3023" i="52"/>
  <c r="V3023" i="52"/>
  <c r="T3024" i="52"/>
  <c r="U3024" i="52"/>
  <c r="V3024" i="52"/>
  <c r="T3025" i="52"/>
  <c r="U3025" i="52"/>
  <c r="V3025" i="52"/>
  <c r="T3026" i="52"/>
  <c r="U3026" i="52"/>
  <c r="V3026" i="52"/>
  <c r="T3027" i="52"/>
  <c r="U3027" i="52"/>
  <c r="V3027" i="52"/>
  <c r="T3028" i="52"/>
  <c r="U3028" i="52"/>
  <c r="V3028" i="52"/>
  <c r="T3029" i="52"/>
  <c r="U3029" i="52"/>
  <c r="V3029" i="52"/>
  <c r="T3030" i="52"/>
  <c r="U3030" i="52"/>
  <c r="V3030" i="52"/>
  <c r="T3031" i="52"/>
  <c r="U3031" i="52"/>
  <c r="V3031" i="52"/>
  <c r="T3032" i="52"/>
  <c r="U3032" i="52"/>
  <c r="V3032" i="52"/>
  <c r="T3033" i="52"/>
  <c r="U3033" i="52"/>
  <c r="V3033" i="52"/>
  <c r="T3034" i="52"/>
  <c r="U3034" i="52"/>
  <c r="V3034" i="52"/>
  <c r="T3035" i="52"/>
  <c r="U3035" i="52"/>
  <c r="V3035" i="52"/>
  <c r="T3036" i="52"/>
  <c r="U3036" i="52"/>
  <c r="V3036" i="52"/>
  <c r="T3037" i="52"/>
  <c r="U3037" i="52"/>
  <c r="V3037" i="52"/>
  <c r="T3038" i="52"/>
  <c r="U3038" i="52"/>
  <c r="V3038" i="52"/>
  <c r="T3039" i="52"/>
  <c r="U3039" i="52"/>
  <c r="V3039" i="52"/>
  <c r="T3040" i="52"/>
  <c r="U3040" i="52"/>
  <c r="V3040" i="52"/>
  <c r="T3041" i="52"/>
  <c r="U3041" i="52"/>
  <c r="V3041" i="52"/>
  <c r="T3042" i="52"/>
  <c r="U3042" i="52"/>
  <c r="V3042" i="52"/>
  <c r="T3043" i="52"/>
  <c r="U3043" i="52"/>
  <c r="V3043" i="52"/>
  <c r="T3044" i="52"/>
  <c r="U3044" i="52"/>
  <c r="V3044" i="52"/>
  <c r="T3045" i="52"/>
  <c r="U3045" i="52"/>
  <c r="V3045" i="52"/>
  <c r="T3046" i="52"/>
  <c r="U3046" i="52"/>
  <c r="V3046" i="52"/>
  <c r="T3047" i="52"/>
  <c r="U3047" i="52"/>
  <c r="V3047" i="52"/>
  <c r="T3048" i="52"/>
  <c r="U3048" i="52"/>
  <c r="V3048" i="52"/>
  <c r="T3049" i="52"/>
  <c r="U3049" i="52"/>
  <c r="V3049" i="52"/>
  <c r="T3050" i="52"/>
  <c r="U3050" i="52"/>
  <c r="V3050" i="52"/>
  <c r="T3051" i="52"/>
  <c r="U3051" i="52"/>
  <c r="V3051" i="52"/>
  <c r="T3052" i="52"/>
  <c r="U3052" i="52"/>
  <c r="V3052" i="52"/>
  <c r="T3053" i="52"/>
  <c r="U3053" i="52"/>
  <c r="V3053" i="52"/>
  <c r="T3054" i="52"/>
  <c r="U3054" i="52"/>
  <c r="V3054" i="52"/>
  <c r="T3055" i="52"/>
  <c r="U3055" i="52"/>
  <c r="V3055" i="52"/>
  <c r="T3056" i="52"/>
  <c r="U3056" i="52"/>
  <c r="V3056" i="52"/>
  <c r="T3057" i="52"/>
  <c r="U3057" i="52"/>
  <c r="V3057" i="52"/>
  <c r="T3058" i="52"/>
  <c r="U3058" i="52"/>
  <c r="V3058" i="52"/>
  <c r="T3059" i="52"/>
  <c r="U3059" i="52"/>
  <c r="V3059" i="52"/>
  <c r="T3060" i="52"/>
  <c r="U3060" i="52"/>
  <c r="V3060" i="52"/>
  <c r="T3061" i="52"/>
  <c r="U3061" i="52"/>
  <c r="V3061" i="52"/>
  <c r="T3062" i="52"/>
  <c r="U3062" i="52"/>
  <c r="V3062" i="52"/>
  <c r="T3063" i="52"/>
  <c r="U3063" i="52"/>
  <c r="V3063" i="52"/>
  <c r="T3064" i="52"/>
  <c r="U3064" i="52"/>
  <c r="V3064" i="52"/>
  <c r="T3065" i="52"/>
  <c r="U3065" i="52"/>
  <c r="V3065" i="52"/>
  <c r="T3066" i="52"/>
  <c r="U3066" i="52"/>
  <c r="V3066" i="52"/>
  <c r="T3067" i="52"/>
  <c r="U3067" i="52"/>
  <c r="V3067" i="52"/>
  <c r="T3068" i="52"/>
  <c r="U3068" i="52"/>
  <c r="V3068" i="52"/>
  <c r="T3069" i="52"/>
  <c r="U3069" i="52"/>
  <c r="V3069" i="52"/>
  <c r="T3070" i="52"/>
  <c r="U3070" i="52"/>
  <c r="V3070" i="52"/>
  <c r="T3071" i="52"/>
  <c r="U3071" i="52"/>
  <c r="V3071" i="52"/>
  <c r="T3072" i="52"/>
  <c r="U3072" i="52"/>
  <c r="V3072" i="52"/>
  <c r="T3073" i="52"/>
  <c r="U3073" i="52"/>
  <c r="V3073" i="52"/>
  <c r="T3074" i="52"/>
  <c r="U3074" i="52"/>
  <c r="V3074" i="52"/>
  <c r="T3075" i="52"/>
  <c r="U3075" i="52"/>
  <c r="V3075" i="52"/>
  <c r="T3076" i="52"/>
  <c r="U3076" i="52"/>
  <c r="V3076" i="52"/>
  <c r="T3077" i="52"/>
  <c r="U3077" i="52"/>
  <c r="V3077" i="52"/>
  <c r="T3078" i="52"/>
  <c r="U3078" i="52"/>
  <c r="V3078" i="52"/>
  <c r="T3079" i="52"/>
  <c r="U3079" i="52"/>
  <c r="V3079" i="52"/>
  <c r="T3080" i="52"/>
  <c r="U3080" i="52"/>
  <c r="V3080" i="52"/>
  <c r="T3081" i="52"/>
  <c r="U3081" i="52"/>
  <c r="V3081" i="52"/>
  <c r="T3082" i="52"/>
  <c r="U3082" i="52"/>
  <c r="V3082" i="52"/>
  <c r="T3083" i="52"/>
  <c r="U3083" i="52"/>
  <c r="V3083" i="52"/>
  <c r="T3084" i="52"/>
  <c r="U3084" i="52"/>
  <c r="V3084" i="52"/>
  <c r="T3085" i="52"/>
  <c r="U3085" i="52"/>
  <c r="V3085" i="52"/>
  <c r="T3086" i="52"/>
  <c r="U3086" i="52"/>
  <c r="V3086" i="52"/>
  <c r="T3087" i="52"/>
  <c r="U3087" i="52"/>
  <c r="V3087" i="52"/>
  <c r="T3088" i="52"/>
  <c r="U3088" i="52"/>
  <c r="V3088" i="52"/>
  <c r="T3089" i="52"/>
  <c r="U3089" i="52"/>
  <c r="V3089" i="52"/>
  <c r="T3090" i="52"/>
  <c r="U3090" i="52"/>
  <c r="V3090" i="52"/>
  <c r="T3091" i="52"/>
  <c r="U3091" i="52"/>
  <c r="V3091" i="52"/>
  <c r="T3092" i="52"/>
  <c r="U3092" i="52"/>
  <c r="V3092" i="52"/>
  <c r="T3093" i="52"/>
  <c r="U3093" i="52"/>
  <c r="V3093" i="52"/>
  <c r="T3094" i="52"/>
  <c r="U3094" i="52"/>
  <c r="V3094" i="52"/>
  <c r="T3095" i="52"/>
  <c r="U3095" i="52"/>
  <c r="V3095" i="52"/>
  <c r="T3096" i="52"/>
  <c r="U3096" i="52"/>
  <c r="V3096" i="52"/>
  <c r="T3097" i="52"/>
  <c r="U3097" i="52"/>
  <c r="V3097" i="52"/>
  <c r="T3098" i="52"/>
  <c r="U3098" i="52"/>
  <c r="V3098" i="52"/>
  <c r="T3099" i="52"/>
  <c r="U3099" i="52"/>
  <c r="V3099" i="52"/>
  <c r="T3100" i="52"/>
  <c r="U3100" i="52"/>
  <c r="V3100" i="52"/>
  <c r="T3101" i="52"/>
  <c r="U3101" i="52"/>
  <c r="V3101" i="52"/>
  <c r="T3102" i="52"/>
  <c r="U3102" i="52"/>
  <c r="V3102" i="52"/>
  <c r="T3103" i="52"/>
  <c r="U3103" i="52"/>
  <c r="V3103" i="52"/>
  <c r="T3104" i="52"/>
  <c r="U3104" i="52"/>
  <c r="V3104" i="52"/>
  <c r="T3105" i="52"/>
  <c r="U3105" i="52"/>
  <c r="V3105" i="52"/>
  <c r="T3106" i="52"/>
  <c r="U3106" i="52"/>
  <c r="V3106" i="52"/>
  <c r="T3107" i="52"/>
  <c r="U3107" i="52"/>
  <c r="V3107" i="52"/>
  <c r="T3108" i="52"/>
  <c r="U3108" i="52"/>
  <c r="V3108" i="52"/>
  <c r="T3109" i="52"/>
  <c r="U3109" i="52"/>
  <c r="V3109" i="52"/>
  <c r="T3110" i="52"/>
  <c r="U3110" i="52"/>
  <c r="V3110" i="52"/>
  <c r="T3111" i="52"/>
  <c r="U3111" i="52"/>
  <c r="V3111" i="52"/>
  <c r="T3112" i="52"/>
  <c r="U3112" i="52"/>
  <c r="V3112" i="52"/>
  <c r="T3113" i="52"/>
  <c r="U3113" i="52"/>
  <c r="V3113" i="52"/>
  <c r="T3114" i="52"/>
  <c r="U3114" i="52"/>
  <c r="V3114" i="52"/>
  <c r="T3115" i="52"/>
  <c r="U3115" i="52"/>
  <c r="V3115" i="52"/>
  <c r="T3116" i="52"/>
  <c r="U3116" i="52"/>
  <c r="V3116" i="52"/>
  <c r="T3117" i="52"/>
  <c r="U3117" i="52"/>
  <c r="V3117" i="52"/>
  <c r="T3118" i="52"/>
  <c r="U3118" i="52"/>
  <c r="V3118" i="52"/>
  <c r="T3119" i="52"/>
  <c r="U3119" i="52"/>
  <c r="V3119" i="52"/>
  <c r="T3120" i="52"/>
  <c r="U3120" i="52"/>
  <c r="V3120" i="52"/>
  <c r="T3121" i="52"/>
  <c r="U3121" i="52"/>
  <c r="V3121" i="52"/>
  <c r="T3122" i="52"/>
  <c r="U3122" i="52"/>
  <c r="V3122" i="52"/>
  <c r="T3123" i="52"/>
  <c r="U3123" i="52"/>
  <c r="V3123" i="52"/>
  <c r="T3124" i="52"/>
  <c r="U3124" i="52"/>
  <c r="V3124" i="52"/>
  <c r="T3125" i="52"/>
  <c r="U3125" i="52"/>
  <c r="V3125" i="52"/>
  <c r="T3126" i="52"/>
  <c r="U3126" i="52"/>
  <c r="V3126" i="52"/>
  <c r="T3127" i="52"/>
  <c r="U3127" i="52"/>
  <c r="V3127" i="52"/>
  <c r="T3128" i="52"/>
  <c r="U3128" i="52"/>
  <c r="V3128" i="52"/>
  <c r="T3129" i="52"/>
  <c r="U3129" i="52"/>
  <c r="V3129" i="52"/>
  <c r="T3130" i="52"/>
  <c r="U3130" i="52"/>
  <c r="V3130" i="52"/>
  <c r="T3131" i="52"/>
  <c r="U3131" i="52"/>
  <c r="V3131" i="52"/>
  <c r="T3132" i="52"/>
  <c r="U3132" i="52"/>
  <c r="V3132" i="52"/>
  <c r="T3133" i="52"/>
  <c r="U3133" i="52"/>
  <c r="V3133" i="52"/>
  <c r="T3134" i="52"/>
  <c r="U3134" i="52"/>
  <c r="V3134" i="52"/>
  <c r="T3135" i="52"/>
  <c r="U3135" i="52"/>
  <c r="V3135" i="52"/>
  <c r="T3136" i="52"/>
  <c r="U3136" i="52"/>
  <c r="V3136" i="52"/>
  <c r="T3137" i="52"/>
  <c r="U3137" i="52"/>
  <c r="V3137" i="52"/>
  <c r="T3138" i="52"/>
  <c r="U3138" i="52"/>
  <c r="V3138" i="52"/>
  <c r="T3139" i="52"/>
  <c r="U3139" i="52"/>
  <c r="V3139" i="52"/>
  <c r="T3140" i="52"/>
  <c r="U3140" i="52"/>
  <c r="V3140" i="52"/>
  <c r="T3141" i="52"/>
  <c r="U3141" i="52"/>
  <c r="V3141" i="52"/>
  <c r="T3142" i="52"/>
  <c r="U3142" i="52"/>
  <c r="V3142" i="52"/>
  <c r="T3143" i="52"/>
  <c r="U3143" i="52"/>
  <c r="V3143" i="52"/>
  <c r="T3144" i="52"/>
  <c r="U3144" i="52"/>
  <c r="V3144" i="52"/>
  <c r="T3145" i="52"/>
  <c r="U3145" i="52"/>
  <c r="V3145" i="52"/>
  <c r="T3146" i="52"/>
  <c r="U3146" i="52"/>
  <c r="V3146" i="52"/>
  <c r="T3147" i="52"/>
  <c r="U3147" i="52"/>
  <c r="V3147" i="52"/>
  <c r="T3148" i="52"/>
  <c r="U3148" i="52"/>
  <c r="V3148" i="52"/>
  <c r="T3149" i="52"/>
  <c r="U3149" i="52"/>
  <c r="V3149" i="52"/>
  <c r="T3150" i="52"/>
  <c r="U3150" i="52"/>
  <c r="V3150" i="52"/>
  <c r="T3151" i="52"/>
  <c r="U3151" i="52"/>
  <c r="V3151" i="52"/>
  <c r="T3152" i="52"/>
  <c r="U3152" i="52"/>
  <c r="V3152" i="52"/>
  <c r="T3153" i="52"/>
  <c r="U3153" i="52"/>
  <c r="V3153" i="52"/>
  <c r="T3154" i="52"/>
  <c r="U3154" i="52"/>
  <c r="V3154" i="52"/>
  <c r="T3155" i="52"/>
  <c r="U3155" i="52"/>
  <c r="V3155" i="52"/>
  <c r="T3156" i="52"/>
  <c r="U3156" i="52"/>
  <c r="V3156" i="52"/>
  <c r="T3157" i="52"/>
  <c r="U3157" i="52"/>
  <c r="V3157" i="52"/>
  <c r="T3158" i="52"/>
  <c r="U3158" i="52"/>
  <c r="V3158" i="52"/>
  <c r="T3159" i="52"/>
  <c r="U3159" i="52"/>
  <c r="V3159" i="52"/>
  <c r="T3160" i="52"/>
  <c r="U3160" i="52"/>
  <c r="V3160" i="52"/>
  <c r="T3161" i="52"/>
  <c r="U3161" i="52"/>
  <c r="V3161" i="52"/>
  <c r="T3162" i="52"/>
  <c r="U3162" i="52"/>
  <c r="V3162" i="52"/>
  <c r="T3163" i="52"/>
  <c r="U3163" i="52"/>
  <c r="V3163" i="52"/>
  <c r="T3164" i="52"/>
  <c r="U3164" i="52"/>
  <c r="V3164" i="52"/>
  <c r="T3165" i="52"/>
  <c r="U3165" i="52"/>
  <c r="V3165" i="52"/>
  <c r="T3166" i="52"/>
  <c r="U3166" i="52"/>
  <c r="V3166" i="52"/>
  <c r="T3167" i="52"/>
  <c r="U3167" i="52"/>
  <c r="V3167" i="52"/>
  <c r="T3168" i="52"/>
  <c r="U3168" i="52"/>
  <c r="V3168" i="52"/>
  <c r="T3169" i="52"/>
  <c r="U3169" i="52"/>
  <c r="V3169" i="52"/>
  <c r="T3170" i="52"/>
  <c r="U3170" i="52"/>
  <c r="V3170" i="52"/>
  <c r="T3171" i="52"/>
  <c r="U3171" i="52"/>
  <c r="V3171" i="52"/>
  <c r="T3172" i="52"/>
  <c r="U3172" i="52"/>
  <c r="V3172" i="52"/>
  <c r="T3173" i="52"/>
  <c r="U3173" i="52"/>
  <c r="V3173" i="52"/>
  <c r="T3174" i="52"/>
  <c r="U3174" i="52"/>
  <c r="V3174" i="52"/>
  <c r="T3175" i="52"/>
  <c r="U3175" i="52"/>
  <c r="V3175" i="52"/>
  <c r="T3176" i="52"/>
  <c r="U3176" i="52"/>
  <c r="V3176" i="52"/>
  <c r="T3177" i="52"/>
  <c r="U3177" i="52"/>
  <c r="V3177" i="52"/>
  <c r="T3178" i="52"/>
  <c r="U3178" i="52"/>
  <c r="V3178" i="52"/>
  <c r="T3179" i="52"/>
  <c r="U3179" i="52"/>
  <c r="V3179" i="52"/>
  <c r="T3180" i="52"/>
  <c r="U3180" i="52"/>
  <c r="V3180" i="52"/>
  <c r="T3181" i="52"/>
  <c r="U3181" i="52"/>
  <c r="V3181" i="52"/>
  <c r="T3182" i="52"/>
  <c r="U3182" i="52"/>
  <c r="V3182" i="52"/>
  <c r="T3183" i="52"/>
  <c r="U3183" i="52"/>
  <c r="V3183" i="52"/>
  <c r="T3184" i="52"/>
  <c r="U3184" i="52"/>
  <c r="V3184" i="52"/>
  <c r="T3185" i="52"/>
  <c r="U3185" i="52"/>
  <c r="V3185" i="52"/>
  <c r="T3186" i="52"/>
  <c r="U3186" i="52"/>
  <c r="V3186" i="52"/>
  <c r="T3187" i="52"/>
  <c r="U3187" i="52"/>
  <c r="V3187" i="52"/>
  <c r="T3188" i="52"/>
  <c r="U3188" i="52"/>
  <c r="V3188" i="52"/>
  <c r="T3189" i="52"/>
  <c r="U3189" i="52"/>
  <c r="V3189" i="52"/>
  <c r="T3190" i="52"/>
  <c r="U3190" i="52"/>
  <c r="V3190" i="52"/>
  <c r="T3191" i="52"/>
  <c r="U3191" i="52"/>
  <c r="V3191" i="52"/>
  <c r="T3192" i="52"/>
  <c r="U3192" i="52"/>
  <c r="V3192" i="52"/>
  <c r="T3193" i="52"/>
  <c r="U3193" i="52"/>
  <c r="V3193" i="52"/>
  <c r="T3194" i="52"/>
  <c r="U3194" i="52"/>
  <c r="V3194" i="52"/>
  <c r="T3195" i="52"/>
  <c r="U3195" i="52"/>
  <c r="V3195" i="52"/>
  <c r="T3196" i="52"/>
  <c r="U3196" i="52"/>
  <c r="V3196" i="52"/>
  <c r="T3197" i="52"/>
  <c r="U3197" i="52"/>
  <c r="V3197" i="52"/>
  <c r="T3198" i="52"/>
  <c r="U3198" i="52"/>
  <c r="V3198" i="52"/>
  <c r="T3199" i="52"/>
  <c r="U3199" i="52"/>
  <c r="V3199" i="52"/>
  <c r="T3200" i="52"/>
  <c r="U3200" i="52"/>
  <c r="V3200" i="52"/>
  <c r="T3201" i="52"/>
  <c r="U3201" i="52"/>
  <c r="V3201" i="52"/>
  <c r="T3202" i="52"/>
  <c r="U3202" i="52"/>
  <c r="V3202" i="52"/>
  <c r="T3203" i="52"/>
  <c r="U3203" i="52"/>
  <c r="V3203" i="52"/>
  <c r="T3204" i="52"/>
  <c r="U3204" i="52"/>
  <c r="V3204" i="52"/>
  <c r="T3205" i="52"/>
  <c r="U3205" i="52"/>
  <c r="V3205" i="52"/>
  <c r="T3206" i="52"/>
  <c r="U3206" i="52"/>
  <c r="V3206" i="52"/>
  <c r="T3207" i="52"/>
  <c r="U3207" i="52"/>
  <c r="V3207" i="52"/>
  <c r="T3208" i="52"/>
  <c r="U3208" i="52"/>
  <c r="V3208" i="52"/>
  <c r="T3209" i="52"/>
  <c r="U3209" i="52"/>
  <c r="V3209" i="52"/>
  <c r="T3210" i="52"/>
  <c r="U3210" i="52"/>
  <c r="V3210" i="52"/>
  <c r="T3211" i="52"/>
  <c r="U3211" i="52"/>
  <c r="V3211" i="52"/>
  <c r="T3212" i="52"/>
  <c r="U3212" i="52"/>
  <c r="V3212" i="52"/>
  <c r="T3213" i="52"/>
  <c r="U3213" i="52"/>
  <c r="V3213" i="52"/>
  <c r="T3214" i="52"/>
  <c r="U3214" i="52"/>
  <c r="V3214" i="52"/>
  <c r="T3215" i="52"/>
  <c r="U3215" i="52"/>
  <c r="V3215" i="52"/>
  <c r="T3216" i="52"/>
  <c r="U3216" i="52"/>
  <c r="V3216" i="52"/>
  <c r="T3217" i="52"/>
  <c r="U3217" i="52"/>
  <c r="V3217" i="52"/>
  <c r="T3218" i="52"/>
  <c r="U3218" i="52"/>
  <c r="V3218" i="52"/>
  <c r="T3219" i="52"/>
  <c r="U3219" i="52"/>
  <c r="V3219" i="52"/>
  <c r="T3220" i="52"/>
  <c r="U3220" i="52"/>
  <c r="V3220" i="52"/>
  <c r="T3221" i="52"/>
  <c r="U3221" i="52"/>
  <c r="V3221" i="52"/>
  <c r="T3222" i="52"/>
  <c r="U3222" i="52"/>
  <c r="V3222" i="52"/>
  <c r="T3223" i="52"/>
  <c r="U3223" i="52"/>
  <c r="V3223" i="52"/>
  <c r="T3224" i="52"/>
  <c r="U3224" i="52"/>
  <c r="V3224" i="52"/>
  <c r="T3225" i="52"/>
  <c r="U3225" i="52"/>
  <c r="V3225" i="52"/>
  <c r="T3226" i="52"/>
  <c r="U3226" i="52"/>
  <c r="V3226" i="52"/>
  <c r="T3227" i="52"/>
  <c r="U3227" i="52"/>
  <c r="V3227" i="52"/>
  <c r="T3228" i="52"/>
  <c r="U3228" i="52"/>
  <c r="V3228" i="52"/>
  <c r="T3229" i="52"/>
  <c r="U3229" i="52"/>
  <c r="V3229" i="52"/>
  <c r="T3230" i="52"/>
  <c r="U3230" i="52"/>
  <c r="V3230" i="52"/>
  <c r="T3231" i="52"/>
  <c r="U3231" i="52"/>
  <c r="V3231" i="52"/>
  <c r="T3232" i="52"/>
  <c r="U3232" i="52"/>
  <c r="V3232" i="52"/>
  <c r="T3233" i="52"/>
  <c r="U3233" i="52"/>
  <c r="V3233" i="52"/>
  <c r="T3234" i="52"/>
  <c r="U3234" i="52"/>
  <c r="V3234" i="52"/>
  <c r="T3235" i="52"/>
  <c r="U3235" i="52"/>
  <c r="V3235" i="52"/>
  <c r="T3236" i="52"/>
  <c r="U3236" i="52"/>
  <c r="V3236" i="52"/>
  <c r="T3237" i="52"/>
  <c r="U3237" i="52"/>
  <c r="V3237" i="52"/>
  <c r="T3238" i="52"/>
  <c r="U3238" i="52"/>
  <c r="V3238" i="52"/>
  <c r="T3239" i="52"/>
  <c r="U3239" i="52"/>
  <c r="V3239" i="52"/>
  <c r="T3240" i="52"/>
  <c r="U3240" i="52"/>
  <c r="V3240" i="52"/>
  <c r="T3241" i="52"/>
  <c r="U3241" i="52"/>
  <c r="V3241" i="52"/>
  <c r="T3242" i="52"/>
  <c r="U3242" i="52"/>
  <c r="V3242" i="52"/>
  <c r="T3243" i="52"/>
  <c r="U3243" i="52"/>
  <c r="V3243" i="52"/>
  <c r="T3244" i="52"/>
  <c r="U3244" i="52"/>
  <c r="V3244" i="52"/>
  <c r="T3245" i="52"/>
  <c r="U3245" i="52"/>
  <c r="V3245" i="52"/>
  <c r="T3246" i="52"/>
  <c r="U3246" i="52"/>
  <c r="V3246" i="52"/>
  <c r="T3247" i="52"/>
  <c r="U3247" i="52"/>
  <c r="V3247" i="52"/>
  <c r="T3248" i="52"/>
  <c r="U3248" i="52"/>
  <c r="V3248" i="52"/>
  <c r="T3249" i="52"/>
  <c r="U3249" i="52"/>
  <c r="V3249" i="52"/>
  <c r="T3250" i="52"/>
  <c r="U3250" i="52"/>
  <c r="V3250" i="52"/>
  <c r="T3251" i="52"/>
  <c r="U3251" i="52"/>
  <c r="V3251" i="52"/>
  <c r="T3252" i="52"/>
  <c r="U3252" i="52"/>
  <c r="V3252" i="52"/>
  <c r="T3253" i="52"/>
  <c r="U3253" i="52"/>
  <c r="V3253" i="52"/>
  <c r="T3254" i="52"/>
  <c r="U3254" i="52"/>
  <c r="V3254" i="52"/>
  <c r="T3255" i="52"/>
  <c r="U3255" i="52"/>
  <c r="V3255" i="52"/>
  <c r="T3256" i="52"/>
  <c r="U3256" i="52"/>
  <c r="V3256" i="52"/>
  <c r="T3257" i="52"/>
  <c r="U3257" i="52"/>
  <c r="V3257" i="52"/>
  <c r="T3258" i="52"/>
  <c r="U3258" i="52"/>
  <c r="V3258" i="52"/>
  <c r="T3259" i="52"/>
  <c r="U3259" i="52"/>
  <c r="V3259" i="52"/>
  <c r="T3260" i="52"/>
  <c r="U3260" i="52"/>
  <c r="V3260" i="52"/>
  <c r="T3261" i="52"/>
  <c r="U3261" i="52"/>
  <c r="V3261" i="52"/>
  <c r="T3262" i="52"/>
  <c r="U3262" i="52"/>
  <c r="V3262" i="52"/>
  <c r="T3263" i="52"/>
  <c r="U3263" i="52"/>
  <c r="V3263" i="52"/>
  <c r="T3264" i="52"/>
  <c r="U3264" i="52"/>
  <c r="V3264" i="52"/>
  <c r="T3265" i="52"/>
  <c r="U3265" i="52"/>
  <c r="V3265" i="52"/>
  <c r="T3266" i="52"/>
  <c r="U3266" i="52"/>
  <c r="V3266" i="52"/>
  <c r="T3267" i="52"/>
  <c r="U3267" i="52"/>
  <c r="V3267" i="52"/>
  <c r="T3268" i="52"/>
  <c r="U3268" i="52"/>
  <c r="V3268" i="52"/>
  <c r="T3269" i="52"/>
  <c r="U3269" i="52"/>
  <c r="V3269" i="52"/>
  <c r="T3270" i="52"/>
  <c r="U3270" i="52"/>
  <c r="V3270" i="52"/>
  <c r="T3271" i="52"/>
  <c r="U3271" i="52"/>
  <c r="V3271" i="52"/>
  <c r="T3272" i="52"/>
  <c r="U3272" i="52"/>
  <c r="V3272" i="52"/>
  <c r="T3273" i="52"/>
  <c r="U3273" i="52"/>
  <c r="V3273" i="52"/>
  <c r="T3274" i="52"/>
  <c r="U3274" i="52"/>
  <c r="V3274" i="52"/>
  <c r="T3275" i="52"/>
  <c r="U3275" i="52"/>
  <c r="V3275" i="52"/>
  <c r="T3276" i="52"/>
  <c r="U3276" i="52"/>
  <c r="V3276" i="52"/>
  <c r="T3277" i="52"/>
  <c r="U3277" i="52"/>
  <c r="V3277" i="52"/>
  <c r="T3278" i="52"/>
  <c r="U3278" i="52"/>
  <c r="V3278" i="52"/>
  <c r="T3279" i="52"/>
  <c r="U3279" i="52"/>
  <c r="V3279" i="52"/>
  <c r="T3280" i="52"/>
  <c r="U3280" i="52"/>
  <c r="V3280" i="52"/>
  <c r="T3281" i="52"/>
  <c r="U3281" i="52"/>
  <c r="V3281" i="52"/>
  <c r="T3282" i="52"/>
  <c r="U3282" i="52"/>
  <c r="V3282" i="52"/>
  <c r="T3283" i="52"/>
  <c r="U3283" i="52"/>
  <c r="V3283" i="52"/>
  <c r="T3284" i="52"/>
  <c r="U3284" i="52"/>
  <c r="V3284" i="52"/>
  <c r="T3285" i="52"/>
  <c r="U3285" i="52"/>
  <c r="V3285" i="52"/>
  <c r="T3286" i="52"/>
  <c r="U3286" i="52"/>
  <c r="V3286" i="52"/>
  <c r="T3287" i="52"/>
  <c r="U3287" i="52"/>
  <c r="V3287" i="52"/>
  <c r="T3288" i="52"/>
  <c r="U3288" i="52"/>
  <c r="V3288" i="52"/>
  <c r="T3289" i="52"/>
  <c r="U3289" i="52"/>
  <c r="V3289" i="52"/>
  <c r="T3290" i="52"/>
  <c r="U3290" i="52"/>
  <c r="V3290" i="52"/>
  <c r="T3291" i="52"/>
  <c r="U3291" i="52"/>
  <c r="V3291" i="52"/>
  <c r="T3292" i="52"/>
  <c r="U3292" i="52"/>
  <c r="V3292" i="52"/>
  <c r="T3293" i="52"/>
  <c r="U3293" i="52"/>
  <c r="V3293" i="52"/>
  <c r="T3294" i="52"/>
  <c r="U3294" i="52"/>
  <c r="V3294" i="52"/>
  <c r="T3295" i="52"/>
  <c r="U3295" i="52"/>
  <c r="V3295" i="52"/>
  <c r="T3296" i="52"/>
  <c r="U3296" i="52"/>
  <c r="V3296" i="52"/>
  <c r="T3297" i="52"/>
  <c r="U3297" i="52"/>
  <c r="V3297" i="52"/>
  <c r="T3298" i="52"/>
  <c r="U3298" i="52"/>
  <c r="V3298" i="52"/>
  <c r="T3299" i="52"/>
  <c r="U3299" i="52"/>
  <c r="V3299" i="52"/>
  <c r="T3300" i="52"/>
  <c r="U3300" i="52"/>
  <c r="V3300" i="52"/>
  <c r="T3301" i="52"/>
  <c r="U3301" i="52"/>
  <c r="V3301" i="52"/>
  <c r="T3302" i="52"/>
  <c r="U3302" i="52"/>
  <c r="V3302" i="52"/>
  <c r="T3303" i="52"/>
  <c r="U3303" i="52"/>
  <c r="V3303" i="52"/>
  <c r="T3304" i="52"/>
  <c r="U3304" i="52"/>
  <c r="V3304" i="52"/>
  <c r="T3305" i="52"/>
  <c r="U3305" i="52"/>
  <c r="V3305" i="52"/>
  <c r="T3306" i="52"/>
  <c r="U3306" i="52"/>
  <c r="V3306" i="52"/>
  <c r="T3307" i="52"/>
  <c r="U3307" i="52"/>
  <c r="V3307" i="52"/>
  <c r="T3308" i="52"/>
  <c r="U3308" i="52"/>
  <c r="V3308" i="52"/>
  <c r="T3309" i="52"/>
  <c r="U3309" i="52"/>
  <c r="V3309" i="52"/>
  <c r="T3310" i="52"/>
  <c r="U3310" i="52"/>
  <c r="V3310" i="52"/>
  <c r="T3311" i="52"/>
  <c r="U3311" i="52"/>
  <c r="V3311" i="52"/>
  <c r="T3312" i="52"/>
  <c r="U3312" i="52"/>
  <c r="V3312" i="52"/>
  <c r="T3313" i="52"/>
  <c r="U3313" i="52"/>
  <c r="V3313" i="52"/>
  <c r="T3314" i="52"/>
  <c r="U3314" i="52"/>
  <c r="V3314" i="52"/>
  <c r="T3315" i="52"/>
  <c r="U3315" i="52"/>
  <c r="V3315" i="52"/>
  <c r="T3316" i="52"/>
  <c r="U3316" i="52"/>
  <c r="V3316" i="52"/>
  <c r="T3317" i="52"/>
  <c r="U3317" i="52"/>
  <c r="V3317" i="52"/>
  <c r="T3318" i="52"/>
  <c r="U3318" i="52"/>
  <c r="V3318" i="52"/>
  <c r="T3319" i="52"/>
  <c r="U3319" i="52"/>
  <c r="V3319" i="52"/>
  <c r="T3320" i="52"/>
  <c r="U3320" i="52"/>
  <c r="V3320" i="52"/>
  <c r="T3321" i="52"/>
  <c r="U3321" i="52"/>
  <c r="V3321" i="52"/>
  <c r="T3322" i="52"/>
  <c r="U3322" i="52"/>
  <c r="V3322" i="52"/>
  <c r="T3323" i="52"/>
  <c r="U3323" i="52"/>
  <c r="V3323" i="52"/>
  <c r="T3324" i="52"/>
  <c r="U3324" i="52"/>
  <c r="V3324" i="52"/>
  <c r="T3325" i="52"/>
  <c r="U3325" i="52"/>
  <c r="V3325" i="52"/>
  <c r="T3326" i="52"/>
  <c r="U3326" i="52"/>
  <c r="V3326" i="52"/>
  <c r="T3327" i="52"/>
  <c r="U3327" i="52"/>
  <c r="V3327" i="52"/>
  <c r="T3328" i="52"/>
  <c r="U3328" i="52"/>
  <c r="V3328" i="52"/>
  <c r="T3329" i="52"/>
  <c r="U3329" i="52"/>
  <c r="V3329" i="52"/>
  <c r="T3330" i="52"/>
  <c r="U3330" i="52"/>
  <c r="V3330" i="52"/>
  <c r="T3331" i="52"/>
  <c r="U3331" i="52"/>
  <c r="V3331" i="52"/>
  <c r="T3332" i="52"/>
  <c r="U3332" i="52"/>
  <c r="V3332" i="52"/>
  <c r="T3333" i="52"/>
  <c r="U3333" i="52"/>
  <c r="V3333" i="52"/>
  <c r="T3334" i="52"/>
  <c r="U3334" i="52"/>
  <c r="V3334" i="52"/>
  <c r="T3335" i="52"/>
  <c r="U3335" i="52"/>
  <c r="V3335" i="52"/>
  <c r="T3336" i="52"/>
  <c r="U3336" i="52"/>
  <c r="V3336" i="52"/>
  <c r="T3337" i="52"/>
  <c r="U3337" i="52"/>
  <c r="V3337" i="52"/>
  <c r="T3338" i="52"/>
  <c r="U3338" i="52"/>
  <c r="V3338" i="52"/>
  <c r="T3339" i="52"/>
  <c r="U3339" i="52"/>
  <c r="V3339" i="52"/>
  <c r="T3340" i="52"/>
  <c r="U3340" i="52"/>
  <c r="V3340" i="52"/>
  <c r="T3341" i="52"/>
  <c r="U3341" i="52"/>
  <c r="V3341" i="52"/>
  <c r="T3342" i="52"/>
  <c r="U3342" i="52"/>
  <c r="V3342" i="52"/>
  <c r="T3343" i="52"/>
  <c r="U3343" i="52"/>
  <c r="V3343" i="52"/>
  <c r="T3344" i="52"/>
  <c r="U3344" i="52"/>
  <c r="V3344" i="52"/>
  <c r="T3345" i="52"/>
  <c r="U3345" i="52"/>
  <c r="V3345" i="52"/>
  <c r="T3346" i="52"/>
  <c r="U3346" i="52"/>
  <c r="V3346" i="52"/>
  <c r="T3347" i="52"/>
  <c r="U3347" i="52"/>
  <c r="V3347" i="52"/>
  <c r="T3348" i="52"/>
  <c r="U3348" i="52"/>
  <c r="V3348" i="52"/>
  <c r="T3349" i="52"/>
  <c r="U3349" i="52"/>
  <c r="V3349" i="52"/>
  <c r="T3350" i="52"/>
  <c r="U3350" i="52"/>
  <c r="V3350" i="52"/>
  <c r="T3351" i="52"/>
  <c r="U3351" i="52"/>
  <c r="V3351" i="52"/>
  <c r="T3352" i="52"/>
  <c r="U3352" i="52"/>
  <c r="V3352" i="52"/>
  <c r="T3353" i="52"/>
  <c r="U3353" i="52"/>
  <c r="V3353" i="52"/>
  <c r="T3354" i="52"/>
  <c r="U3354" i="52"/>
  <c r="V3354" i="52"/>
  <c r="T3355" i="52"/>
  <c r="U3355" i="52"/>
  <c r="V3355" i="52"/>
  <c r="T3356" i="52"/>
  <c r="U3356" i="52"/>
  <c r="V3356" i="52"/>
  <c r="T3357" i="52"/>
  <c r="U3357" i="52"/>
  <c r="V3357" i="52"/>
  <c r="T3358" i="52"/>
  <c r="U3358" i="52"/>
  <c r="V3358" i="52"/>
  <c r="T3359" i="52"/>
  <c r="U3359" i="52"/>
  <c r="V3359" i="52"/>
  <c r="T3360" i="52"/>
  <c r="U3360" i="52"/>
  <c r="V3360" i="52"/>
  <c r="T3361" i="52"/>
  <c r="U3361" i="52"/>
  <c r="V3361" i="52"/>
  <c r="T3362" i="52"/>
  <c r="U3362" i="52"/>
  <c r="V3362" i="52"/>
  <c r="T3363" i="52"/>
  <c r="U3363" i="52"/>
  <c r="V3363" i="52"/>
  <c r="T3364" i="52"/>
  <c r="U3364" i="52"/>
  <c r="V3364" i="52"/>
  <c r="T3365" i="52"/>
  <c r="U3365" i="52"/>
  <c r="V3365" i="52"/>
  <c r="T3366" i="52"/>
  <c r="U3366" i="52"/>
  <c r="V3366" i="52"/>
  <c r="T3367" i="52"/>
  <c r="U3367" i="52"/>
  <c r="V3367" i="52"/>
  <c r="T3368" i="52"/>
  <c r="U3368" i="52"/>
  <c r="V3368" i="52"/>
  <c r="T3369" i="52"/>
  <c r="U3369" i="52"/>
  <c r="V3369" i="52"/>
  <c r="T3370" i="52"/>
  <c r="U3370" i="52"/>
  <c r="V3370" i="52"/>
  <c r="T3371" i="52"/>
  <c r="U3371" i="52"/>
  <c r="V3371" i="52"/>
  <c r="T3372" i="52"/>
  <c r="U3372" i="52"/>
  <c r="V3372" i="52"/>
  <c r="T3373" i="52"/>
  <c r="U3373" i="52"/>
  <c r="V3373" i="52"/>
  <c r="T3374" i="52"/>
  <c r="U3374" i="52"/>
  <c r="V3374" i="52"/>
  <c r="T3375" i="52"/>
  <c r="U3375" i="52"/>
  <c r="V3375" i="52"/>
  <c r="T3376" i="52"/>
  <c r="U3376" i="52"/>
  <c r="V3376" i="52"/>
  <c r="T3377" i="52"/>
  <c r="U3377" i="52"/>
  <c r="V3377" i="52"/>
  <c r="T3378" i="52"/>
  <c r="U3378" i="52"/>
  <c r="V3378" i="52"/>
  <c r="T3379" i="52"/>
  <c r="U3379" i="52"/>
  <c r="V3379" i="52"/>
  <c r="T3380" i="52"/>
  <c r="U3380" i="52"/>
  <c r="V3380" i="52"/>
  <c r="T3381" i="52"/>
  <c r="U3381" i="52"/>
  <c r="V3381" i="52"/>
  <c r="T3382" i="52"/>
  <c r="U3382" i="52"/>
  <c r="V3382" i="52"/>
  <c r="T3383" i="52"/>
  <c r="U3383" i="52"/>
  <c r="V3383" i="52"/>
  <c r="T3384" i="52"/>
  <c r="U3384" i="52"/>
  <c r="V3384" i="52"/>
  <c r="T3385" i="52"/>
  <c r="U3385" i="52"/>
  <c r="V3385" i="52"/>
  <c r="T3386" i="52"/>
  <c r="U3386" i="52"/>
  <c r="V3386" i="52"/>
  <c r="T3387" i="52"/>
  <c r="U3387" i="52"/>
  <c r="V3387" i="52"/>
  <c r="T3388" i="52"/>
  <c r="U3388" i="52"/>
  <c r="V3388" i="52"/>
  <c r="T3389" i="52"/>
  <c r="U3389" i="52"/>
  <c r="V3389" i="52"/>
  <c r="T3390" i="52"/>
  <c r="U3390" i="52"/>
  <c r="V3390" i="52"/>
  <c r="T3391" i="52"/>
  <c r="U3391" i="52"/>
  <c r="V3391" i="52"/>
  <c r="T3392" i="52"/>
  <c r="U3392" i="52"/>
  <c r="V3392" i="52"/>
  <c r="T3393" i="52"/>
  <c r="U3393" i="52"/>
  <c r="V3393" i="52"/>
  <c r="T3394" i="52"/>
  <c r="U3394" i="52"/>
  <c r="V3394" i="52"/>
  <c r="T3395" i="52"/>
  <c r="U3395" i="52"/>
  <c r="V3395" i="52"/>
  <c r="T3396" i="52"/>
  <c r="U3396" i="52"/>
  <c r="V3396" i="52"/>
  <c r="T3397" i="52"/>
  <c r="U3397" i="52"/>
  <c r="V3397" i="52"/>
  <c r="T3398" i="52"/>
  <c r="U3398" i="52"/>
  <c r="V3398" i="52"/>
  <c r="T3399" i="52"/>
  <c r="U3399" i="52"/>
  <c r="V3399" i="52"/>
  <c r="T3400" i="52"/>
  <c r="U3400" i="52"/>
  <c r="V3400" i="52"/>
  <c r="T3401" i="52"/>
  <c r="U3401" i="52"/>
  <c r="V3401" i="52"/>
  <c r="T3402" i="52"/>
  <c r="U3402" i="52"/>
  <c r="V3402" i="52"/>
  <c r="T3403" i="52"/>
  <c r="U3403" i="52"/>
  <c r="V3403" i="52"/>
  <c r="T3404" i="52"/>
  <c r="U3404" i="52"/>
  <c r="V3404" i="52"/>
  <c r="T3405" i="52"/>
  <c r="U3405" i="52"/>
  <c r="V3405" i="52"/>
  <c r="T3406" i="52"/>
  <c r="U3406" i="52"/>
  <c r="V3406" i="52"/>
  <c r="T3407" i="52"/>
  <c r="U3407" i="52"/>
  <c r="V3407" i="52"/>
  <c r="T3408" i="52"/>
  <c r="U3408" i="52"/>
  <c r="V3408" i="52"/>
  <c r="T3409" i="52"/>
  <c r="U3409" i="52"/>
  <c r="V3409" i="52"/>
  <c r="T3410" i="52"/>
  <c r="U3410" i="52"/>
  <c r="V3410" i="52"/>
  <c r="T3411" i="52"/>
  <c r="U3411" i="52"/>
  <c r="V3411" i="52"/>
  <c r="T3412" i="52"/>
  <c r="U3412" i="52"/>
  <c r="V3412" i="52"/>
  <c r="T3413" i="52"/>
  <c r="U3413" i="52"/>
  <c r="V3413" i="52"/>
  <c r="T3414" i="52"/>
  <c r="U3414" i="52"/>
  <c r="V3414" i="52"/>
  <c r="T3415" i="52"/>
  <c r="U3415" i="52"/>
  <c r="V3415" i="52"/>
  <c r="T3416" i="52"/>
  <c r="U3416" i="52"/>
  <c r="V3416" i="52"/>
  <c r="T3417" i="52"/>
  <c r="U3417" i="52"/>
  <c r="V3417" i="52"/>
  <c r="T3418" i="52"/>
  <c r="U3418" i="52"/>
  <c r="V3418" i="52"/>
  <c r="T3419" i="52"/>
  <c r="U3419" i="52"/>
  <c r="V3419" i="52"/>
  <c r="T3420" i="52"/>
  <c r="U3420" i="52"/>
  <c r="V3420" i="52"/>
  <c r="T3421" i="52"/>
  <c r="U3421" i="52"/>
  <c r="V3421" i="52"/>
  <c r="T3422" i="52"/>
  <c r="U3422" i="52"/>
  <c r="V3422" i="52"/>
  <c r="T3423" i="52"/>
  <c r="U3423" i="52"/>
  <c r="V3423" i="52"/>
  <c r="T3424" i="52"/>
  <c r="U3424" i="52"/>
  <c r="V3424" i="52"/>
  <c r="T3425" i="52"/>
  <c r="U3425" i="52"/>
  <c r="V3425" i="52"/>
  <c r="T3426" i="52"/>
  <c r="U3426" i="52"/>
  <c r="V3426" i="52"/>
  <c r="T3427" i="52"/>
  <c r="U3427" i="52"/>
  <c r="V3427" i="52"/>
  <c r="T3428" i="52"/>
  <c r="U3428" i="52"/>
  <c r="V3428" i="52"/>
  <c r="T3429" i="52"/>
  <c r="U3429" i="52"/>
  <c r="V3429" i="52"/>
  <c r="T3430" i="52"/>
  <c r="U3430" i="52"/>
  <c r="V3430" i="52"/>
  <c r="T3431" i="52"/>
  <c r="U3431" i="52"/>
  <c r="V3431" i="52"/>
  <c r="T3432" i="52"/>
  <c r="U3432" i="52"/>
  <c r="V3432" i="52"/>
  <c r="T3433" i="52"/>
  <c r="U3433" i="52"/>
  <c r="V3433" i="52"/>
  <c r="T3434" i="52"/>
  <c r="U3434" i="52"/>
  <c r="V3434" i="52"/>
  <c r="T3435" i="52"/>
  <c r="U3435" i="52"/>
  <c r="V3435" i="52"/>
  <c r="T3436" i="52"/>
  <c r="U3436" i="52"/>
  <c r="V3436" i="52"/>
  <c r="T3437" i="52"/>
  <c r="U3437" i="52"/>
  <c r="V3437" i="52"/>
  <c r="T3438" i="52"/>
  <c r="U3438" i="52"/>
  <c r="V3438" i="52"/>
  <c r="T3439" i="52"/>
  <c r="U3439" i="52"/>
  <c r="V3439" i="52"/>
  <c r="T3440" i="52"/>
  <c r="U3440" i="52"/>
  <c r="V3440" i="52"/>
  <c r="T3441" i="52"/>
  <c r="U3441" i="52"/>
  <c r="V3441" i="52"/>
  <c r="T3442" i="52"/>
  <c r="U3442" i="52"/>
  <c r="V3442" i="52"/>
  <c r="T3443" i="52"/>
  <c r="U3443" i="52"/>
  <c r="V3443" i="52"/>
  <c r="T3444" i="52"/>
  <c r="U3444" i="52"/>
  <c r="V3444" i="52"/>
  <c r="T3445" i="52"/>
  <c r="U3445" i="52"/>
  <c r="V3445" i="52"/>
  <c r="T3446" i="52"/>
  <c r="U3446" i="52"/>
  <c r="V3446" i="52"/>
  <c r="T3447" i="52"/>
  <c r="U3447" i="52"/>
  <c r="V3447" i="52"/>
  <c r="T3448" i="52"/>
  <c r="U3448" i="52"/>
  <c r="V3448" i="52"/>
  <c r="T3449" i="52"/>
  <c r="U3449" i="52"/>
  <c r="V3449" i="52"/>
  <c r="T3450" i="52"/>
  <c r="U3450" i="52"/>
  <c r="V3450" i="52"/>
  <c r="T3451" i="52"/>
  <c r="U3451" i="52"/>
  <c r="V3451" i="52"/>
  <c r="T3452" i="52"/>
  <c r="U3452" i="52"/>
  <c r="V3452" i="52"/>
  <c r="T3453" i="52"/>
  <c r="U3453" i="52"/>
  <c r="V3453" i="52"/>
  <c r="T3454" i="52"/>
  <c r="U3454" i="52"/>
  <c r="V3454" i="52"/>
  <c r="T3455" i="52"/>
  <c r="U3455" i="52"/>
  <c r="V3455" i="52"/>
  <c r="T3456" i="52"/>
  <c r="U3456" i="52"/>
  <c r="V3456" i="52"/>
  <c r="T3457" i="52"/>
  <c r="U3457" i="52"/>
  <c r="V3457" i="52"/>
  <c r="T3458" i="52"/>
  <c r="U3458" i="52"/>
  <c r="V3458" i="52"/>
  <c r="T3459" i="52"/>
  <c r="U3459" i="52"/>
  <c r="V3459" i="52"/>
  <c r="T3460" i="52"/>
  <c r="U3460" i="52"/>
  <c r="V3460" i="52"/>
  <c r="T3461" i="52"/>
  <c r="U3461" i="52"/>
  <c r="V3461" i="52"/>
  <c r="T3462" i="52"/>
  <c r="U3462" i="52"/>
  <c r="V3462" i="52"/>
  <c r="T3463" i="52"/>
  <c r="U3463" i="52"/>
  <c r="V3463" i="52"/>
  <c r="T3464" i="52"/>
  <c r="U3464" i="52"/>
  <c r="V3464" i="52"/>
  <c r="T3465" i="52"/>
  <c r="U3465" i="52"/>
  <c r="V3465" i="52"/>
  <c r="T3466" i="52"/>
  <c r="U3466" i="52"/>
  <c r="V3466" i="52"/>
  <c r="T3467" i="52"/>
  <c r="U3467" i="52"/>
  <c r="V3467" i="52"/>
  <c r="T3468" i="52"/>
  <c r="U3468" i="52"/>
  <c r="V3468" i="52"/>
  <c r="T3469" i="52"/>
  <c r="U3469" i="52"/>
  <c r="V3469" i="52"/>
  <c r="T3470" i="52"/>
  <c r="U3470" i="52"/>
  <c r="V3470" i="52"/>
  <c r="T3471" i="52"/>
  <c r="U3471" i="52"/>
  <c r="V3471" i="52"/>
  <c r="T3472" i="52"/>
  <c r="U3472" i="52"/>
  <c r="V3472" i="52"/>
  <c r="T3473" i="52"/>
  <c r="U3473" i="52"/>
  <c r="V3473" i="52"/>
  <c r="T3474" i="52"/>
  <c r="U3474" i="52"/>
  <c r="V3474" i="52"/>
  <c r="T3475" i="52"/>
  <c r="U3475" i="52"/>
  <c r="V3475" i="52"/>
  <c r="T3476" i="52"/>
  <c r="U3476" i="52"/>
  <c r="V3476" i="52"/>
  <c r="T3477" i="52"/>
  <c r="U3477" i="52"/>
  <c r="V3477" i="52"/>
  <c r="T3478" i="52"/>
  <c r="U3478" i="52"/>
  <c r="V3478" i="52"/>
  <c r="T3479" i="52"/>
  <c r="U3479" i="52"/>
  <c r="V3479" i="52"/>
  <c r="T3480" i="52"/>
  <c r="U3480" i="52"/>
  <c r="V3480" i="52"/>
  <c r="T3481" i="52"/>
  <c r="U3481" i="52"/>
  <c r="V3481" i="52"/>
  <c r="T3482" i="52"/>
  <c r="U3482" i="52"/>
  <c r="V3482" i="52"/>
  <c r="T3483" i="52"/>
  <c r="U3483" i="52"/>
  <c r="V3483" i="52"/>
  <c r="T3484" i="52"/>
  <c r="U3484" i="52"/>
  <c r="V3484" i="52"/>
  <c r="T3485" i="52"/>
  <c r="U3485" i="52"/>
  <c r="V3485" i="52"/>
  <c r="T3486" i="52"/>
  <c r="U3486" i="52"/>
  <c r="V3486" i="52"/>
  <c r="T3487" i="52"/>
  <c r="U3487" i="52"/>
  <c r="V3487" i="52"/>
  <c r="T3488" i="52"/>
  <c r="U3488" i="52"/>
  <c r="V3488" i="52"/>
  <c r="T3489" i="52"/>
  <c r="U3489" i="52"/>
  <c r="V3489" i="52"/>
  <c r="T3490" i="52"/>
  <c r="U3490" i="52"/>
  <c r="V3490" i="52"/>
  <c r="T3491" i="52"/>
  <c r="U3491" i="52"/>
  <c r="V3491" i="52"/>
  <c r="T3492" i="52"/>
  <c r="U3492" i="52"/>
  <c r="V3492" i="52"/>
  <c r="T3493" i="52"/>
  <c r="U3493" i="52"/>
  <c r="V3493" i="52"/>
  <c r="T3494" i="52"/>
  <c r="U3494" i="52"/>
  <c r="V3494" i="52"/>
  <c r="T3495" i="52"/>
  <c r="U3495" i="52"/>
  <c r="V3495" i="52"/>
  <c r="T3496" i="52"/>
  <c r="U3496" i="52"/>
  <c r="V3496" i="52"/>
  <c r="T3497" i="52"/>
  <c r="U3497" i="52"/>
  <c r="V3497" i="52"/>
  <c r="T3498" i="52"/>
  <c r="U3498" i="52"/>
  <c r="V3498" i="52"/>
  <c r="T3499" i="52"/>
  <c r="U3499" i="52"/>
  <c r="V3499" i="52"/>
  <c r="T3500" i="52"/>
  <c r="U3500" i="52"/>
  <c r="V3500" i="52"/>
  <c r="T3501" i="52"/>
  <c r="U3501" i="52"/>
  <c r="V3501" i="52"/>
  <c r="T3502" i="52"/>
  <c r="U3502" i="52"/>
  <c r="V3502" i="52"/>
  <c r="T3503" i="52"/>
  <c r="U3503" i="52"/>
  <c r="V3503" i="52"/>
  <c r="T3504" i="52"/>
  <c r="U3504" i="52"/>
  <c r="V3504" i="52"/>
  <c r="T3505" i="52"/>
  <c r="U3505" i="52"/>
  <c r="V3505" i="52"/>
  <c r="T3506" i="52"/>
  <c r="U3506" i="52"/>
  <c r="V3506" i="52"/>
  <c r="T3507" i="52"/>
  <c r="U3507" i="52"/>
  <c r="V3507" i="52"/>
  <c r="T3508" i="52"/>
  <c r="U3508" i="52"/>
  <c r="V3508" i="52"/>
  <c r="T3509" i="52"/>
  <c r="U3509" i="52"/>
  <c r="V3509" i="52"/>
  <c r="T3510" i="52"/>
  <c r="U3510" i="52"/>
  <c r="V3510" i="52"/>
  <c r="T3511" i="52"/>
  <c r="U3511" i="52"/>
  <c r="V3511" i="52"/>
  <c r="T3512" i="52"/>
  <c r="U3512" i="52"/>
  <c r="V3512" i="52"/>
  <c r="T3513" i="52"/>
  <c r="U3513" i="52"/>
  <c r="V3513" i="52"/>
  <c r="T3514" i="52"/>
  <c r="U3514" i="52"/>
  <c r="V3514" i="52"/>
  <c r="T3515" i="52"/>
  <c r="U3515" i="52"/>
  <c r="V3515" i="52"/>
  <c r="T3516" i="52"/>
  <c r="U3516" i="52"/>
  <c r="V3516" i="52"/>
  <c r="T3517" i="52"/>
  <c r="U3517" i="52"/>
  <c r="V3517" i="52"/>
  <c r="T3518" i="52"/>
  <c r="U3518" i="52"/>
  <c r="V3518" i="52"/>
  <c r="T3519" i="52"/>
  <c r="U3519" i="52"/>
  <c r="V3519" i="52"/>
  <c r="T3520" i="52"/>
  <c r="U3520" i="52"/>
  <c r="V3520" i="52"/>
  <c r="T3521" i="52"/>
  <c r="U3521" i="52"/>
  <c r="V3521" i="52"/>
  <c r="T3522" i="52"/>
  <c r="U3522" i="52"/>
  <c r="V3522" i="52"/>
  <c r="T3523" i="52"/>
  <c r="U3523" i="52"/>
  <c r="V3523" i="52"/>
  <c r="T3524" i="52"/>
  <c r="U3524" i="52"/>
  <c r="V3524" i="52"/>
  <c r="T3525" i="52"/>
  <c r="U3525" i="52"/>
  <c r="V3525" i="52"/>
  <c r="T3526" i="52"/>
  <c r="U3526" i="52"/>
  <c r="V3526" i="52"/>
  <c r="T3527" i="52"/>
  <c r="U3527" i="52"/>
  <c r="V3527" i="52"/>
  <c r="T3528" i="52"/>
  <c r="U3528" i="52"/>
  <c r="V3528" i="52"/>
  <c r="T3529" i="52"/>
  <c r="U3529" i="52"/>
  <c r="V3529" i="52"/>
  <c r="T3530" i="52"/>
  <c r="U3530" i="52"/>
  <c r="V3530" i="52"/>
  <c r="T3531" i="52"/>
  <c r="U3531" i="52"/>
  <c r="V3531" i="52"/>
  <c r="T3532" i="52"/>
  <c r="U3532" i="52"/>
  <c r="V3532" i="52"/>
  <c r="T3533" i="52"/>
  <c r="U3533" i="52"/>
  <c r="V3533" i="52"/>
  <c r="T3534" i="52"/>
  <c r="U3534" i="52"/>
  <c r="V3534" i="52"/>
  <c r="T3535" i="52"/>
  <c r="U3535" i="52"/>
  <c r="V3535" i="52"/>
  <c r="T3536" i="52"/>
  <c r="U3536" i="52"/>
  <c r="V3536" i="52"/>
  <c r="T3537" i="52"/>
  <c r="U3537" i="52"/>
  <c r="V3537" i="52"/>
  <c r="T3538" i="52"/>
  <c r="U3538" i="52"/>
  <c r="V3538" i="52"/>
  <c r="T3539" i="52"/>
  <c r="U3539" i="52"/>
  <c r="V3539" i="52"/>
  <c r="T3540" i="52"/>
  <c r="U3540" i="52"/>
  <c r="V3540" i="52"/>
  <c r="T3541" i="52"/>
  <c r="U3541" i="52"/>
  <c r="V3541" i="52"/>
  <c r="T3542" i="52"/>
  <c r="U3542" i="52"/>
  <c r="V3542" i="52"/>
  <c r="T3543" i="52"/>
  <c r="U3543" i="52"/>
  <c r="V3543" i="52"/>
  <c r="T3544" i="52"/>
  <c r="U3544" i="52"/>
  <c r="V3544" i="52"/>
  <c r="T3545" i="52"/>
  <c r="U3545" i="52"/>
  <c r="V3545" i="52"/>
  <c r="T3546" i="52"/>
  <c r="U3546" i="52"/>
  <c r="V3546" i="52"/>
  <c r="T3547" i="52"/>
  <c r="U3547" i="52"/>
  <c r="V3547" i="52"/>
  <c r="T3548" i="52"/>
  <c r="U3548" i="52"/>
  <c r="V3548" i="52"/>
  <c r="T3549" i="52"/>
  <c r="U3549" i="52"/>
  <c r="V3549" i="52"/>
  <c r="T3550" i="52"/>
  <c r="U3550" i="52"/>
  <c r="V3550" i="52"/>
  <c r="T3551" i="52"/>
  <c r="U3551" i="52"/>
  <c r="V3551" i="52"/>
  <c r="T3552" i="52"/>
  <c r="U3552" i="52"/>
  <c r="V3552" i="52"/>
  <c r="T3553" i="52"/>
  <c r="U3553" i="52"/>
  <c r="V3553" i="52"/>
  <c r="T3554" i="52"/>
  <c r="U3554" i="52"/>
  <c r="V3554" i="52"/>
  <c r="T3555" i="52"/>
  <c r="U3555" i="52"/>
  <c r="V3555" i="52"/>
  <c r="T3556" i="52"/>
  <c r="U3556" i="52"/>
  <c r="V3556" i="52"/>
  <c r="T3557" i="52"/>
  <c r="U3557" i="52"/>
  <c r="V3557" i="52"/>
  <c r="T3558" i="52"/>
  <c r="U3558" i="52"/>
  <c r="V3558" i="52"/>
  <c r="T3559" i="52"/>
  <c r="U3559" i="52"/>
  <c r="V3559" i="52"/>
  <c r="T3560" i="52"/>
  <c r="U3560" i="52"/>
  <c r="V3560" i="52"/>
  <c r="T3561" i="52"/>
  <c r="U3561" i="52"/>
  <c r="V3561" i="52"/>
  <c r="T3562" i="52"/>
  <c r="U3562" i="52"/>
  <c r="V3562" i="52"/>
  <c r="T3563" i="52"/>
  <c r="U3563" i="52"/>
  <c r="V3563" i="52"/>
  <c r="T3564" i="52"/>
  <c r="U3564" i="52"/>
  <c r="V3564" i="52"/>
  <c r="T3565" i="52"/>
  <c r="U3565" i="52"/>
  <c r="V3565" i="52"/>
  <c r="T3566" i="52"/>
  <c r="U3566" i="52"/>
  <c r="V3566" i="52"/>
  <c r="T3567" i="52"/>
  <c r="U3567" i="52"/>
  <c r="V3567" i="52"/>
  <c r="T3568" i="52"/>
  <c r="U3568" i="52"/>
  <c r="V3568" i="52"/>
  <c r="T3569" i="52"/>
  <c r="U3569" i="52"/>
  <c r="V3569" i="52"/>
  <c r="T3570" i="52"/>
  <c r="U3570" i="52"/>
  <c r="V3570" i="52"/>
  <c r="T3571" i="52"/>
  <c r="U3571" i="52"/>
  <c r="V3571" i="52"/>
  <c r="T3572" i="52"/>
  <c r="U3572" i="52"/>
  <c r="V3572" i="52"/>
  <c r="T3573" i="52"/>
  <c r="U3573" i="52"/>
  <c r="V3573" i="52"/>
  <c r="T3574" i="52"/>
  <c r="U3574" i="52"/>
  <c r="V3574" i="52"/>
  <c r="T3575" i="52"/>
  <c r="U3575" i="52"/>
  <c r="V3575" i="52"/>
  <c r="T3576" i="52"/>
  <c r="U3576" i="52"/>
  <c r="V3576" i="52"/>
  <c r="T3577" i="52"/>
  <c r="U3577" i="52"/>
  <c r="V3577" i="52"/>
  <c r="T3578" i="52"/>
  <c r="U3578" i="52"/>
  <c r="V3578" i="52"/>
  <c r="T3579" i="52"/>
  <c r="U3579" i="52"/>
  <c r="V3579" i="52"/>
  <c r="T3580" i="52"/>
  <c r="U3580" i="52"/>
  <c r="V3580" i="52"/>
  <c r="T3581" i="52"/>
  <c r="U3581" i="52"/>
  <c r="V3581" i="52"/>
  <c r="T3582" i="52"/>
  <c r="U3582" i="52"/>
  <c r="V3582" i="52"/>
  <c r="T3583" i="52"/>
  <c r="U3583" i="52"/>
  <c r="V3583" i="52"/>
  <c r="T3584" i="52"/>
  <c r="U3584" i="52"/>
  <c r="V3584" i="52"/>
  <c r="T3585" i="52"/>
  <c r="U3585" i="52"/>
  <c r="V3585" i="52"/>
  <c r="T3586" i="52"/>
  <c r="U3586" i="52"/>
  <c r="V3586" i="52"/>
  <c r="T3587" i="52"/>
  <c r="U3587" i="52"/>
  <c r="V3587" i="52"/>
  <c r="T3588" i="52"/>
  <c r="U3588" i="52"/>
  <c r="V3588" i="52"/>
  <c r="T3589" i="52"/>
  <c r="U3589" i="52"/>
  <c r="V3589" i="52"/>
  <c r="T3590" i="52"/>
  <c r="U3590" i="52"/>
  <c r="V3590" i="52"/>
  <c r="T3591" i="52"/>
  <c r="U3591" i="52"/>
  <c r="V3591" i="52"/>
  <c r="T3592" i="52"/>
  <c r="U3592" i="52"/>
  <c r="V3592" i="52"/>
  <c r="T3593" i="52"/>
  <c r="U3593" i="52"/>
  <c r="V3593" i="52"/>
  <c r="T3594" i="52"/>
  <c r="U3594" i="52"/>
  <c r="V3594" i="52"/>
  <c r="T3595" i="52"/>
  <c r="U3595" i="52"/>
  <c r="V3595" i="52"/>
  <c r="T3596" i="52"/>
  <c r="U3596" i="52"/>
  <c r="V3596" i="52"/>
  <c r="T3597" i="52"/>
  <c r="U3597" i="52"/>
  <c r="V3597" i="52"/>
  <c r="T3598" i="52"/>
  <c r="U3598" i="52"/>
  <c r="V3598" i="52"/>
  <c r="T3599" i="52"/>
  <c r="U3599" i="52"/>
  <c r="V3599" i="52"/>
  <c r="T3600" i="52"/>
  <c r="U3600" i="52"/>
  <c r="V3600" i="52"/>
  <c r="T3601" i="52"/>
  <c r="U3601" i="52"/>
  <c r="V3601" i="52"/>
  <c r="T3602" i="52"/>
  <c r="U3602" i="52"/>
  <c r="V3602" i="52"/>
  <c r="T3603" i="52"/>
  <c r="U3603" i="52"/>
  <c r="V3603" i="52"/>
  <c r="T3604" i="52"/>
  <c r="U3604" i="52"/>
  <c r="V3604" i="52"/>
  <c r="T3605" i="52"/>
  <c r="U3605" i="52"/>
  <c r="V3605" i="52"/>
  <c r="T3606" i="52"/>
  <c r="U3606" i="52"/>
  <c r="V3606" i="52"/>
  <c r="T3607" i="52"/>
  <c r="U3607" i="52"/>
  <c r="V3607" i="52"/>
  <c r="T3608" i="52"/>
  <c r="U3608" i="52"/>
  <c r="V3608" i="52"/>
  <c r="T3609" i="52"/>
  <c r="U3609" i="52"/>
  <c r="V3609" i="52"/>
  <c r="T3610" i="52"/>
  <c r="U3610" i="52"/>
  <c r="V3610" i="52"/>
  <c r="T3611" i="52"/>
  <c r="U3611" i="52"/>
  <c r="V3611" i="52"/>
  <c r="T3612" i="52"/>
  <c r="U3612" i="52"/>
  <c r="V3612" i="52"/>
  <c r="T3613" i="52"/>
  <c r="U3613" i="52"/>
  <c r="V3613" i="52"/>
  <c r="T3614" i="52"/>
  <c r="U3614" i="52"/>
  <c r="V3614" i="52"/>
  <c r="T3615" i="52"/>
  <c r="U3615" i="52"/>
  <c r="V3615" i="52"/>
  <c r="T3616" i="52"/>
  <c r="U3616" i="52"/>
  <c r="V3616" i="52"/>
  <c r="T3617" i="52"/>
  <c r="U3617" i="52"/>
  <c r="V3617" i="52"/>
  <c r="T3618" i="52"/>
  <c r="U3618" i="52"/>
  <c r="V3618" i="52"/>
  <c r="T3619" i="52"/>
  <c r="U3619" i="52"/>
  <c r="V3619" i="52"/>
  <c r="T3620" i="52"/>
  <c r="U3620" i="52"/>
  <c r="V3620" i="52"/>
  <c r="T3621" i="52"/>
  <c r="U3621" i="52"/>
  <c r="V3621" i="52"/>
  <c r="T3622" i="52"/>
  <c r="U3622" i="52"/>
  <c r="V3622" i="52"/>
  <c r="T3623" i="52"/>
  <c r="U3623" i="52"/>
  <c r="V3623" i="52"/>
  <c r="T3624" i="52"/>
  <c r="U3624" i="52"/>
  <c r="V3624" i="52"/>
  <c r="T3625" i="52"/>
  <c r="U3625" i="52"/>
  <c r="V3625" i="52"/>
  <c r="T3626" i="52"/>
  <c r="U3626" i="52"/>
  <c r="V3626" i="52"/>
  <c r="T3627" i="52"/>
  <c r="U3627" i="52"/>
  <c r="V3627" i="52"/>
  <c r="T3628" i="52"/>
  <c r="U3628" i="52"/>
  <c r="V3628" i="52"/>
  <c r="T3629" i="52"/>
  <c r="U3629" i="52"/>
  <c r="V3629" i="52"/>
  <c r="T3630" i="52"/>
  <c r="U3630" i="52"/>
  <c r="V3630" i="52"/>
  <c r="T3631" i="52"/>
  <c r="U3631" i="52"/>
  <c r="V3631" i="52"/>
  <c r="T3632" i="52"/>
  <c r="U3632" i="52"/>
  <c r="V3632" i="52"/>
  <c r="T3633" i="52"/>
  <c r="U3633" i="52"/>
  <c r="V3633" i="52"/>
  <c r="T3634" i="52"/>
  <c r="U3634" i="52"/>
  <c r="V3634" i="52"/>
  <c r="T3635" i="52"/>
  <c r="U3635" i="52"/>
  <c r="V3635" i="52"/>
  <c r="T3636" i="52"/>
  <c r="U3636" i="52"/>
  <c r="V3636" i="52"/>
  <c r="T3637" i="52"/>
  <c r="U3637" i="52"/>
  <c r="V3637" i="52"/>
  <c r="T3638" i="52"/>
  <c r="U3638" i="52"/>
  <c r="V3638" i="52"/>
  <c r="T3639" i="52"/>
  <c r="U3639" i="52"/>
  <c r="V3639" i="52"/>
  <c r="T3640" i="52"/>
  <c r="U3640" i="52"/>
  <c r="V3640" i="52"/>
  <c r="T3641" i="52"/>
  <c r="U3641" i="52"/>
  <c r="V3641" i="52"/>
  <c r="T3642" i="52"/>
  <c r="U3642" i="52"/>
  <c r="V3642" i="52"/>
  <c r="T3643" i="52"/>
  <c r="U3643" i="52"/>
  <c r="V3643" i="52"/>
  <c r="T3644" i="52"/>
  <c r="U3644" i="52"/>
  <c r="V3644" i="52"/>
  <c r="T3645" i="52"/>
  <c r="U3645" i="52"/>
  <c r="V3645" i="52"/>
  <c r="T3646" i="52"/>
  <c r="U3646" i="52"/>
  <c r="V3646" i="52"/>
  <c r="T3647" i="52"/>
  <c r="U3647" i="52"/>
  <c r="V3647" i="52"/>
  <c r="T3648" i="52"/>
  <c r="U3648" i="52"/>
  <c r="V3648" i="52"/>
  <c r="T3649" i="52"/>
  <c r="U3649" i="52"/>
  <c r="V3649" i="52"/>
  <c r="T3650" i="52"/>
  <c r="U3650" i="52"/>
  <c r="V3650" i="52"/>
  <c r="T3651" i="52"/>
  <c r="U3651" i="52"/>
  <c r="V3651" i="52"/>
  <c r="T3652" i="52"/>
  <c r="U3652" i="52"/>
  <c r="V3652" i="52"/>
  <c r="T3653" i="52"/>
  <c r="U3653" i="52"/>
  <c r="V3653" i="52"/>
  <c r="T3654" i="52"/>
  <c r="U3654" i="52"/>
  <c r="V3654" i="52"/>
  <c r="T3655" i="52"/>
  <c r="U3655" i="52"/>
  <c r="V3655" i="52"/>
  <c r="T3656" i="52"/>
  <c r="U3656" i="52"/>
  <c r="V3656" i="52"/>
  <c r="T3657" i="52"/>
  <c r="U3657" i="52"/>
  <c r="V3657" i="52"/>
  <c r="T3658" i="52"/>
  <c r="U3658" i="52"/>
  <c r="V3658" i="52"/>
  <c r="T3659" i="52"/>
  <c r="U3659" i="52"/>
  <c r="V3659" i="52"/>
  <c r="T3660" i="52"/>
  <c r="U3660" i="52"/>
  <c r="V3660" i="52"/>
  <c r="T3661" i="52"/>
  <c r="U3661" i="52"/>
  <c r="V3661" i="52"/>
  <c r="T3662" i="52"/>
  <c r="U3662" i="52"/>
  <c r="V3662" i="52"/>
  <c r="T3663" i="52"/>
  <c r="U3663" i="52"/>
  <c r="V3663" i="52"/>
  <c r="T3664" i="52"/>
  <c r="U3664" i="52"/>
  <c r="V3664" i="52"/>
  <c r="T3665" i="52"/>
  <c r="U3665" i="52"/>
  <c r="V3665" i="52"/>
  <c r="T3666" i="52"/>
  <c r="U3666" i="52"/>
  <c r="V3666" i="52"/>
  <c r="T3667" i="52"/>
  <c r="U3667" i="52"/>
  <c r="V3667" i="52"/>
  <c r="T3668" i="52"/>
  <c r="U3668" i="52"/>
  <c r="V3668" i="52"/>
  <c r="T3669" i="52"/>
  <c r="U3669" i="52"/>
  <c r="V3669" i="52"/>
  <c r="T3670" i="52"/>
  <c r="U3670" i="52"/>
  <c r="V3670" i="52"/>
  <c r="T3671" i="52"/>
  <c r="U3671" i="52"/>
  <c r="V3671" i="52"/>
  <c r="T3672" i="52"/>
  <c r="U3672" i="52"/>
  <c r="V3672" i="52"/>
  <c r="T3673" i="52"/>
  <c r="U3673" i="52"/>
  <c r="V3673" i="52"/>
  <c r="T3674" i="52"/>
  <c r="U3674" i="52"/>
  <c r="V3674" i="52"/>
  <c r="T3675" i="52"/>
  <c r="U3675" i="52"/>
  <c r="V3675" i="52"/>
  <c r="T3676" i="52"/>
  <c r="U3676" i="52"/>
  <c r="V3676" i="52"/>
  <c r="T3677" i="52"/>
  <c r="U3677" i="52"/>
  <c r="V3677" i="52"/>
  <c r="T3678" i="52"/>
  <c r="U3678" i="52"/>
  <c r="V3678" i="52"/>
  <c r="T3679" i="52"/>
  <c r="U3679" i="52"/>
  <c r="V3679" i="52"/>
  <c r="T3680" i="52"/>
  <c r="U3680" i="52"/>
  <c r="V3680" i="52"/>
  <c r="T3681" i="52"/>
  <c r="U3681" i="52"/>
  <c r="V3681" i="52"/>
  <c r="T3682" i="52"/>
  <c r="U3682" i="52"/>
  <c r="V3682" i="52"/>
  <c r="T3683" i="52"/>
  <c r="U3683" i="52"/>
  <c r="V3683" i="52"/>
  <c r="T3684" i="52"/>
  <c r="U3684" i="52"/>
  <c r="V3684" i="52"/>
  <c r="T3685" i="52"/>
  <c r="U3685" i="52"/>
  <c r="V3685" i="52"/>
  <c r="T3686" i="52"/>
  <c r="U3686" i="52"/>
  <c r="V3686" i="52"/>
  <c r="T3687" i="52"/>
  <c r="U3687" i="52"/>
  <c r="V3687" i="52"/>
  <c r="T3688" i="52"/>
  <c r="U3688" i="52"/>
  <c r="V3688" i="52"/>
  <c r="T3689" i="52"/>
  <c r="U3689" i="52"/>
  <c r="V3689" i="52"/>
  <c r="T3690" i="52"/>
  <c r="U3690" i="52"/>
  <c r="V3690" i="52"/>
  <c r="T3691" i="52"/>
  <c r="U3691" i="52"/>
  <c r="V3691" i="52"/>
  <c r="T3692" i="52"/>
  <c r="U3692" i="52"/>
  <c r="V3692" i="52"/>
  <c r="T3693" i="52"/>
  <c r="U3693" i="52"/>
  <c r="V3693" i="52"/>
  <c r="T3694" i="52"/>
  <c r="U3694" i="52"/>
  <c r="V3694" i="52"/>
  <c r="T3695" i="52"/>
  <c r="U3695" i="52"/>
  <c r="V3695" i="52"/>
  <c r="T3696" i="52"/>
  <c r="U3696" i="52"/>
  <c r="V3696" i="52"/>
  <c r="T3697" i="52"/>
  <c r="U3697" i="52"/>
  <c r="V3697" i="52"/>
  <c r="T3698" i="52"/>
  <c r="U3698" i="52"/>
  <c r="V3698" i="52"/>
  <c r="T3699" i="52"/>
  <c r="U3699" i="52"/>
  <c r="V3699" i="52"/>
  <c r="T3700" i="52"/>
  <c r="U3700" i="52"/>
  <c r="V3700" i="52"/>
  <c r="T3701" i="52"/>
  <c r="U3701" i="52"/>
  <c r="V3701" i="52"/>
  <c r="T3702" i="52"/>
  <c r="U3702" i="52"/>
  <c r="V3702" i="52"/>
  <c r="T3703" i="52"/>
  <c r="U3703" i="52"/>
  <c r="V3703" i="52"/>
  <c r="T3704" i="52"/>
  <c r="U3704" i="52"/>
  <c r="V3704" i="52"/>
  <c r="T3705" i="52"/>
  <c r="U3705" i="52"/>
  <c r="V3705" i="52"/>
  <c r="T3706" i="52"/>
  <c r="U3706" i="52"/>
  <c r="V3706" i="52"/>
  <c r="T3707" i="52"/>
  <c r="U3707" i="52"/>
  <c r="V3707" i="52"/>
  <c r="T3708" i="52"/>
  <c r="U3708" i="52"/>
  <c r="V3708" i="52"/>
  <c r="T3709" i="52"/>
  <c r="U3709" i="52"/>
  <c r="V3709" i="52"/>
  <c r="T3710" i="52"/>
  <c r="U3710" i="52"/>
  <c r="V3710" i="52"/>
  <c r="T3711" i="52"/>
  <c r="U3711" i="52"/>
  <c r="V3711" i="52"/>
  <c r="T3712" i="52"/>
  <c r="U3712" i="52"/>
  <c r="V3712" i="52"/>
  <c r="T3713" i="52"/>
  <c r="U3713" i="52"/>
  <c r="V3713" i="52"/>
  <c r="T3714" i="52"/>
  <c r="U3714" i="52"/>
  <c r="V3714" i="52"/>
  <c r="T3715" i="52"/>
  <c r="U3715" i="52"/>
  <c r="V3715" i="52"/>
  <c r="T3716" i="52"/>
  <c r="U3716" i="52"/>
  <c r="V3716" i="52"/>
  <c r="T3717" i="52"/>
  <c r="U3717" i="52"/>
  <c r="V3717" i="52"/>
  <c r="T3718" i="52"/>
  <c r="U3718" i="52"/>
  <c r="V3718" i="52"/>
  <c r="T3719" i="52"/>
  <c r="U3719" i="52"/>
  <c r="V3719" i="52"/>
  <c r="T3720" i="52"/>
  <c r="U3720" i="52"/>
  <c r="V3720" i="52"/>
  <c r="T3721" i="52"/>
  <c r="U3721" i="52"/>
  <c r="V3721" i="52"/>
  <c r="T3722" i="52"/>
  <c r="U3722" i="52"/>
  <c r="V3722" i="52"/>
  <c r="T3723" i="52"/>
  <c r="U3723" i="52"/>
  <c r="V3723" i="52"/>
  <c r="T3724" i="52"/>
  <c r="U3724" i="52"/>
  <c r="V3724" i="52"/>
  <c r="T3725" i="52"/>
  <c r="U3725" i="52"/>
  <c r="V3725" i="52"/>
  <c r="T3726" i="52"/>
  <c r="U3726" i="52"/>
  <c r="V3726" i="52"/>
  <c r="T3727" i="52"/>
  <c r="U3727" i="52"/>
  <c r="V3727" i="52"/>
  <c r="T3728" i="52"/>
  <c r="U3728" i="52"/>
  <c r="V3728" i="52"/>
  <c r="T3729" i="52"/>
  <c r="U3729" i="52"/>
  <c r="V3729" i="52"/>
  <c r="T3730" i="52"/>
  <c r="U3730" i="52"/>
  <c r="V3730" i="52"/>
  <c r="T3731" i="52"/>
  <c r="U3731" i="52"/>
  <c r="V3731" i="52"/>
  <c r="T3732" i="52"/>
  <c r="U3732" i="52"/>
  <c r="V3732" i="52"/>
  <c r="T3733" i="52"/>
  <c r="U3733" i="52"/>
  <c r="V3733" i="52"/>
  <c r="T3734" i="52"/>
  <c r="U3734" i="52"/>
  <c r="V3734" i="52"/>
  <c r="T3735" i="52"/>
  <c r="U3735" i="52"/>
  <c r="V3735" i="52"/>
  <c r="T3736" i="52"/>
  <c r="U3736" i="52"/>
  <c r="V3736" i="52"/>
  <c r="T3737" i="52"/>
  <c r="U3737" i="52"/>
  <c r="V3737" i="52"/>
  <c r="T3738" i="52"/>
  <c r="U3738" i="52"/>
  <c r="V3738" i="52"/>
  <c r="T3739" i="52"/>
  <c r="U3739" i="52"/>
  <c r="V3739" i="52"/>
  <c r="T3740" i="52"/>
  <c r="U3740" i="52"/>
  <c r="V3740" i="52"/>
  <c r="T3741" i="52"/>
  <c r="U3741" i="52"/>
  <c r="V3741" i="52"/>
  <c r="T3742" i="52"/>
  <c r="U3742" i="52"/>
  <c r="V3742" i="52"/>
  <c r="T3743" i="52"/>
  <c r="U3743" i="52"/>
  <c r="V3743" i="52"/>
  <c r="T3744" i="52"/>
  <c r="U3744" i="52"/>
  <c r="V3744" i="52"/>
  <c r="T3745" i="52"/>
  <c r="U3745" i="52"/>
  <c r="V3745" i="52"/>
  <c r="T3746" i="52"/>
  <c r="U3746" i="52"/>
  <c r="V3746" i="52"/>
  <c r="T3747" i="52"/>
  <c r="U3747" i="52"/>
  <c r="V3747" i="52"/>
  <c r="T3748" i="52"/>
  <c r="U3748" i="52"/>
  <c r="V3748" i="52"/>
  <c r="T3749" i="52"/>
  <c r="U3749" i="52"/>
  <c r="V3749" i="52"/>
  <c r="T3750" i="52"/>
  <c r="U3750" i="52"/>
  <c r="V3750" i="52"/>
  <c r="T3751" i="52"/>
  <c r="U3751" i="52"/>
  <c r="V3751" i="52"/>
  <c r="T3752" i="52"/>
  <c r="U3752" i="52"/>
  <c r="V3752" i="52"/>
  <c r="T3753" i="52"/>
  <c r="U3753" i="52"/>
  <c r="V3753" i="52"/>
  <c r="T3754" i="52"/>
  <c r="U3754" i="52"/>
  <c r="V3754" i="52"/>
  <c r="T3755" i="52"/>
  <c r="U3755" i="52"/>
  <c r="V3755" i="52"/>
  <c r="T3756" i="52"/>
  <c r="U3756" i="52"/>
  <c r="V3756" i="52"/>
  <c r="T3757" i="52"/>
  <c r="U3757" i="52"/>
  <c r="V3757" i="52"/>
  <c r="T3758" i="52"/>
  <c r="U3758" i="52"/>
  <c r="V3758" i="52"/>
  <c r="T3759" i="52"/>
  <c r="U3759" i="52"/>
  <c r="V3759" i="52"/>
  <c r="T3760" i="52"/>
  <c r="U3760" i="52"/>
  <c r="V3760" i="52"/>
  <c r="T3761" i="52"/>
  <c r="U3761" i="52"/>
  <c r="V3761" i="52"/>
  <c r="T3762" i="52"/>
  <c r="U3762" i="52"/>
  <c r="V3762" i="52"/>
  <c r="T3763" i="52"/>
  <c r="U3763" i="52"/>
  <c r="V3763" i="52"/>
  <c r="T3764" i="52"/>
  <c r="U3764" i="52"/>
  <c r="V3764" i="52"/>
  <c r="T3765" i="52"/>
  <c r="U3765" i="52"/>
  <c r="V3765" i="52"/>
  <c r="T3766" i="52"/>
  <c r="U3766" i="52"/>
  <c r="V3766" i="52"/>
  <c r="T3767" i="52"/>
  <c r="U3767" i="52"/>
  <c r="V3767" i="52"/>
  <c r="T3768" i="52"/>
  <c r="U3768" i="52"/>
  <c r="V3768" i="52"/>
  <c r="T3769" i="52"/>
  <c r="U3769" i="52"/>
  <c r="V3769" i="52"/>
  <c r="T3770" i="52"/>
  <c r="U3770" i="52"/>
  <c r="V3770" i="52"/>
  <c r="T3771" i="52"/>
  <c r="U3771" i="52"/>
  <c r="V3771" i="52"/>
  <c r="T3772" i="52"/>
  <c r="U3772" i="52"/>
  <c r="V3772" i="52"/>
  <c r="T3773" i="52"/>
  <c r="U3773" i="52"/>
  <c r="V3773" i="52"/>
  <c r="T3774" i="52"/>
  <c r="U3774" i="52"/>
  <c r="V3774" i="52"/>
  <c r="T3775" i="52"/>
  <c r="U3775" i="52"/>
  <c r="V3775" i="52"/>
  <c r="T3776" i="52"/>
  <c r="U3776" i="52"/>
  <c r="V3776" i="52"/>
  <c r="T3777" i="52"/>
  <c r="U3777" i="52"/>
  <c r="V3777" i="52"/>
  <c r="T3778" i="52"/>
  <c r="U3778" i="52"/>
  <c r="V3778" i="52"/>
  <c r="T3779" i="52"/>
  <c r="U3779" i="52"/>
  <c r="V3779" i="52"/>
  <c r="T3780" i="52"/>
  <c r="U3780" i="52"/>
  <c r="V3780" i="52"/>
  <c r="T3781" i="52"/>
  <c r="U3781" i="52"/>
  <c r="V3781" i="52"/>
  <c r="T3782" i="52"/>
  <c r="U3782" i="52"/>
  <c r="V3782" i="52"/>
  <c r="T3783" i="52"/>
  <c r="U3783" i="52"/>
  <c r="V3783" i="52"/>
  <c r="T3784" i="52"/>
  <c r="U3784" i="52"/>
  <c r="V3784" i="52"/>
  <c r="T3785" i="52"/>
  <c r="U3785" i="52"/>
  <c r="V3785" i="52"/>
  <c r="T3786" i="52"/>
  <c r="U3786" i="52"/>
  <c r="V3786" i="52"/>
  <c r="T3787" i="52"/>
  <c r="U3787" i="52"/>
  <c r="V3787" i="52"/>
  <c r="T3788" i="52"/>
  <c r="U3788" i="52"/>
  <c r="V3788" i="52"/>
  <c r="T3789" i="52"/>
  <c r="U3789" i="52"/>
  <c r="V3789" i="52"/>
  <c r="T3790" i="52"/>
  <c r="U3790" i="52"/>
  <c r="V3790" i="52"/>
  <c r="T3791" i="52"/>
  <c r="U3791" i="52"/>
  <c r="V3791" i="52"/>
  <c r="T3792" i="52"/>
  <c r="U3792" i="52"/>
  <c r="V3792" i="52"/>
  <c r="T3793" i="52"/>
  <c r="U3793" i="52"/>
  <c r="V3793" i="52"/>
  <c r="T3794" i="52"/>
  <c r="U3794" i="52"/>
  <c r="V3794" i="52"/>
  <c r="T3795" i="52"/>
  <c r="U3795" i="52"/>
  <c r="V3795" i="52"/>
  <c r="T3796" i="52"/>
  <c r="U3796" i="52"/>
  <c r="V3796" i="52"/>
  <c r="T3797" i="52"/>
  <c r="U3797" i="52"/>
  <c r="V3797" i="52"/>
  <c r="T3798" i="52"/>
  <c r="U3798" i="52"/>
  <c r="V3798" i="52"/>
  <c r="T3799" i="52"/>
  <c r="U3799" i="52"/>
  <c r="V3799" i="52"/>
  <c r="T3800" i="52"/>
  <c r="U3800" i="52"/>
  <c r="V3800" i="52"/>
  <c r="T3801" i="52"/>
  <c r="U3801" i="52"/>
  <c r="V3801" i="52"/>
  <c r="T3802" i="52"/>
  <c r="U3802" i="52"/>
  <c r="V3802" i="52"/>
  <c r="T3803" i="52"/>
  <c r="U3803" i="52"/>
  <c r="V3803" i="52"/>
  <c r="T3804" i="52"/>
  <c r="U3804" i="52"/>
  <c r="V3804" i="52"/>
  <c r="T3805" i="52"/>
  <c r="U3805" i="52"/>
  <c r="V3805" i="52"/>
  <c r="T3806" i="52"/>
  <c r="U3806" i="52"/>
  <c r="V3806" i="52"/>
  <c r="T3807" i="52"/>
  <c r="U3807" i="52"/>
  <c r="V3807" i="52"/>
  <c r="T3808" i="52"/>
  <c r="U3808" i="52"/>
  <c r="V3808" i="52"/>
  <c r="T3809" i="52"/>
  <c r="U3809" i="52"/>
  <c r="V3809" i="52"/>
  <c r="T3810" i="52"/>
  <c r="U3810" i="52"/>
  <c r="V3810" i="52"/>
  <c r="T3811" i="52"/>
  <c r="U3811" i="52"/>
  <c r="V3811" i="52"/>
  <c r="T3812" i="52"/>
  <c r="U3812" i="52"/>
  <c r="V3812" i="52"/>
  <c r="T3813" i="52"/>
  <c r="U3813" i="52"/>
  <c r="V3813" i="52"/>
  <c r="T3814" i="52"/>
  <c r="U3814" i="52"/>
  <c r="V3814" i="52"/>
  <c r="T3815" i="52"/>
  <c r="U3815" i="52"/>
  <c r="V3815" i="52"/>
  <c r="T3816" i="52"/>
  <c r="U3816" i="52"/>
  <c r="V3816" i="52"/>
  <c r="T3817" i="52"/>
  <c r="U3817" i="52"/>
  <c r="V3817" i="52"/>
  <c r="T3818" i="52"/>
  <c r="U3818" i="52"/>
  <c r="V3818" i="52"/>
  <c r="T3819" i="52"/>
  <c r="U3819" i="52"/>
  <c r="V3819" i="52"/>
  <c r="T3820" i="52"/>
  <c r="U3820" i="52"/>
  <c r="V3820" i="52"/>
  <c r="T3821" i="52"/>
  <c r="U3821" i="52"/>
  <c r="V3821" i="52"/>
  <c r="T3822" i="52"/>
  <c r="U3822" i="52"/>
  <c r="V3822" i="52"/>
  <c r="T3823" i="52"/>
  <c r="U3823" i="52"/>
  <c r="V3823" i="52"/>
  <c r="T3824" i="52"/>
  <c r="U3824" i="52"/>
  <c r="V3824" i="52"/>
  <c r="T3825" i="52"/>
  <c r="U3825" i="52"/>
  <c r="V3825" i="52"/>
  <c r="T3826" i="52"/>
  <c r="U3826" i="52"/>
  <c r="V3826" i="52"/>
  <c r="T3827" i="52"/>
  <c r="U3827" i="52"/>
  <c r="V3827" i="52"/>
  <c r="T3828" i="52"/>
  <c r="U3828" i="52"/>
  <c r="V3828" i="52"/>
  <c r="T3829" i="52"/>
  <c r="U3829" i="52"/>
  <c r="V3829" i="52"/>
  <c r="T3830" i="52"/>
  <c r="U3830" i="52"/>
  <c r="V3830" i="52"/>
  <c r="T3831" i="52"/>
  <c r="U3831" i="52"/>
  <c r="V3831" i="52"/>
  <c r="T3832" i="52"/>
  <c r="U3832" i="52"/>
  <c r="V3832" i="52"/>
  <c r="T3833" i="52"/>
  <c r="U3833" i="52"/>
  <c r="V3833" i="52"/>
  <c r="T3834" i="52"/>
  <c r="U3834" i="52"/>
  <c r="V3834" i="52"/>
  <c r="T3835" i="52"/>
  <c r="U3835" i="52"/>
  <c r="V3835" i="52"/>
  <c r="T3836" i="52"/>
  <c r="U3836" i="52"/>
  <c r="V3836" i="52"/>
  <c r="T3837" i="52"/>
  <c r="U3837" i="52"/>
  <c r="V3837" i="52"/>
  <c r="T3838" i="52"/>
  <c r="U3838" i="52"/>
  <c r="V3838" i="52"/>
  <c r="T3839" i="52"/>
  <c r="U3839" i="52"/>
  <c r="V3839" i="52"/>
  <c r="T3840" i="52"/>
  <c r="U3840" i="52"/>
  <c r="V3840" i="52"/>
  <c r="T3841" i="52"/>
  <c r="U3841" i="52"/>
  <c r="V3841" i="52"/>
  <c r="T3842" i="52"/>
  <c r="U3842" i="52"/>
  <c r="V3842" i="52"/>
  <c r="T3843" i="52"/>
  <c r="U3843" i="52"/>
  <c r="V3843" i="52"/>
  <c r="T3844" i="52"/>
  <c r="U3844" i="52"/>
  <c r="V3844" i="52"/>
  <c r="T3845" i="52"/>
  <c r="U3845" i="52"/>
  <c r="V3845" i="52"/>
  <c r="T3846" i="52"/>
  <c r="U3846" i="52"/>
  <c r="V3846" i="52"/>
  <c r="T3847" i="52"/>
  <c r="U3847" i="52"/>
  <c r="V3847" i="52"/>
  <c r="T3848" i="52"/>
  <c r="U3848" i="52"/>
  <c r="V3848" i="52"/>
  <c r="T3849" i="52"/>
  <c r="U3849" i="52"/>
  <c r="V3849" i="52"/>
  <c r="T3850" i="52"/>
  <c r="U3850" i="52"/>
  <c r="V3850" i="52"/>
  <c r="T3851" i="52"/>
  <c r="U3851" i="52"/>
  <c r="V3851" i="52"/>
  <c r="T3852" i="52"/>
  <c r="U3852" i="52"/>
  <c r="V3852" i="52"/>
  <c r="T3853" i="52"/>
  <c r="U3853" i="52"/>
  <c r="V3853" i="52"/>
  <c r="T3854" i="52"/>
  <c r="U3854" i="52"/>
  <c r="V3854" i="52"/>
  <c r="T3855" i="52"/>
  <c r="U3855" i="52"/>
  <c r="V3855" i="52"/>
  <c r="T3856" i="52"/>
  <c r="U3856" i="52"/>
  <c r="V3856" i="52"/>
  <c r="T3857" i="52"/>
  <c r="U3857" i="52"/>
  <c r="V3857" i="52"/>
  <c r="T3858" i="52"/>
  <c r="U3858" i="52"/>
  <c r="V3858" i="52"/>
  <c r="T3859" i="52"/>
  <c r="U3859" i="52"/>
  <c r="V3859" i="52"/>
  <c r="T3860" i="52"/>
  <c r="U3860" i="52"/>
  <c r="V3860" i="52"/>
  <c r="T3861" i="52"/>
  <c r="U3861" i="52"/>
  <c r="V3861" i="52"/>
  <c r="T3862" i="52"/>
  <c r="U3862" i="52"/>
  <c r="V3862" i="52"/>
  <c r="T3863" i="52"/>
  <c r="U3863" i="52"/>
  <c r="V3863" i="52"/>
  <c r="T3864" i="52"/>
  <c r="U3864" i="52"/>
  <c r="V3864" i="52"/>
  <c r="T3865" i="52"/>
  <c r="U3865" i="52"/>
  <c r="V3865" i="52"/>
  <c r="T3866" i="52"/>
  <c r="U3866" i="52"/>
  <c r="V3866" i="52"/>
  <c r="T3867" i="52"/>
  <c r="U3867" i="52"/>
  <c r="V3867" i="52"/>
  <c r="T3868" i="52"/>
  <c r="U3868" i="52"/>
  <c r="V3868" i="52"/>
  <c r="T3869" i="52"/>
  <c r="U3869" i="52"/>
  <c r="V3869" i="52"/>
  <c r="T3870" i="52"/>
  <c r="U3870" i="52"/>
  <c r="V3870" i="52"/>
  <c r="T3871" i="52"/>
  <c r="U3871" i="52"/>
  <c r="V3871" i="52"/>
  <c r="T3872" i="52"/>
  <c r="U3872" i="52"/>
  <c r="V3872" i="52"/>
  <c r="T3873" i="52"/>
  <c r="U3873" i="52"/>
  <c r="V3873" i="52"/>
  <c r="T3874" i="52"/>
  <c r="U3874" i="52"/>
  <c r="V3874" i="52"/>
  <c r="T3875" i="52"/>
  <c r="U3875" i="52"/>
  <c r="V3875" i="52"/>
  <c r="T3876" i="52"/>
  <c r="U3876" i="52"/>
  <c r="V3876" i="52"/>
  <c r="T3877" i="52"/>
  <c r="U3877" i="52"/>
  <c r="V3877" i="52"/>
  <c r="T3878" i="52"/>
  <c r="U3878" i="52"/>
  <c r="V3878" i="52"/>
  <c r="T3879" i="52"/>
  <c r="U3879" i="52"/>
  <c r="V3879" i="52"/>
  <c r="T3880" i="52"/>
  <c r="U3880" i="52"/>
  <c r="V3880" i="52"/>
  <c r="T3881" i="52"/>
  <c r="U3881" i="52"/>
  <c r="V3881" i="52"/>
  <c r="T3882" i="52"/>
  <c r="U3882" i="52"/>
  <c r="V3882" i="52"/>
  <c r="T3883" i="52"/>
  <c r="U3883" i="52"/>
  <c r="V3883" i="52"/>
  <c r="T3884" i="52"/>
  <c r="U3884" i="52"/>
  <c r="V3884" i="52"/>
  <c r="T3885" i="52"/>
  <c r="U3885" i="52"/>
  <c r="V3885" i="52"/>
  <c r="T3886" i="52"/>
  <c r="U3886" i="52"/>
  <c r="V3886" i="52"/>
  <c r="T3887" i="52"/>
  <c r="U3887" i="52"/>
  <c r="V3887" i="52"/>
  <c r="T3888" i="52"/>
  <c r="U3888" i="52"/>
  <c r="V3888" i="52"/>
  <c r="T3889" i="52"/>
  <c r="U3889" i="52"/>
  <c r="V3889" i="52"/>
  <c r="T3890" i="52"/>
  <c r="U3890" i="52"/>
  <c r="V3890" i="52"/>
  <c r="T3891" i="52"/>
  <c r="U3891" i="52"/>
  <c r="V3891" i="52"/>
  <c r="T3892" i="52"/>
  <c r="U3892" i="52"/>
  <c r="V3892" i="52"/>
  <c r="T3893" i="52"/>
  <c r="U3893" i="52"/>
  <c r="V3893" i="52"/>
  <c r="T3894" i="52"/>
  <c r="U3894" i="52"/>
  <c r="V3894" i="52"/>
  <c r="T3895" i="52"/>
  <c r="U3895" i="52"/>
  <c r="V3895" i="52"/>
  <c r="T3896" i="52"/>
  <c r="U3896" i="52"/>
  <c r="V3896" i="52"/>
  <c r="T3897" i="52"/>
  <c r="U3897" i="52"/>
  <c r="V3897" i="52"/>
  <c r="T3898" i="52"/>
  <c r="U3898" i="52"/>
  <c r="V3898" i="52"/>
  <c r="T3899" i="52"/>
  <c r="U3899" i="52"/>
  <c r="V3899" i="52"/>
  <c r="T3900" i="52"/>
  <c r="U3900" i="52"/>
  <c r="V3900" i="52"/>
  <c r="T3901" i="52"/>
  <c r="U3901" i="52"/>
  <c r="V3901" i="52"/>
  <c r="T3902" i="52"/>
  <c r="U3902" i="52"/>
  <c r="V3902" i="52"/>
  <c r="T3903" i="52"/>
  <c r="U3903" i="52"/>
  <c r="V3903" i="52"/>
  <c r="T3904" i="52"/>
  <c r="U3904" i="52"/>
  <c r="V3904" i="52"/>
  <c r="T3905" i="52"/>
  <c r="U3905" i="52"/>
  <c r="V3905" i="52"/>
  <c r="T3906" i="52"/>
  <c r="U3906" i="52"/>
  <c r="V3906" i="52"/>
  <c r="T3907" i="52"/>
  <c r="U3907" i="52"/>
  <c r="V3907" i="52"/>
  <c r="T3908" i="52"/>
  <c r="U3908" i="52"/>
  <c r="V3908" i="52"/>
  <c r="T3909" i="52"/>
  <c r="U3909" i="52"/>
  <c r="V3909" i="52"/>
  <c r="T3910" i="52"/>
  <c r="U3910" i="52"/>
  <c r="V3910" i="52"/>
  <c r="T3911" i="52"/>
  <c r="U3911" i="52"/>
  <c r="V3911" i="52"/>
  <c r="T3912" i="52"/>
  <c r="U3912" i="52"/>
  <c r="V3912" i="52"/>
  <c r="T3913" i="52"/>
  <c r="U3913" i="52"/>
  <c r="V3913" i="52"/>
  <c r="T3914" i="52"/>
  <c r="U3914" i="52"/>
  <c r="V3914" i="52"/>
  <c r="T3915" i="52"/>
  <c r="U3915" i="52"/>
  <c r="V3915" i="52"/>
  <c r="T3916" i="52"/>
  <c r="U3916" i="52"/>
  <c r="V3916" i="52"/>
  <c r="T3917" i="52"/>
  <c r="U3917" i="52"/>
  <c r="V3917" i="52"/>
  <c r="T3918" i="52"/>
  <c r="U3918" i="52"/>
  <c r="V3918" i="52"/>
  <c r="T3919" i="52"/>
  <c r="U3919" i="52"/>
  <c r="V3919" i="52"/>
  <c r="T3920" i="52"/>
  <c r="U3920" i="52"/>
  <c r="V3920" i="52"/>
  <c r="T3921" i="52"/>
  <c r="U3921" i="52"/>
  <c r="V3921" i="52"/>
  <c r="T3922" i="52"/>
  <c r="U3922" i="52"/>
  <c r="V3922" i="52"/>
  <c r="T3923" i="52"/>
  <c r="U3923" i="52"/>
  <c r="V3923" i="52"/>
  <c r="T3924" i="52"/>
  <c r="U3924" i="52"/>
  <c r="V3924" i="52"/>
  <c r="T3925" i="52"/>
  <c r="U3925" i="52"/>
  <c r="V3925" i="52"/>
  <c r="T3926" i="52"/>
  <c r="U3926" i="52"/>
  <c r="V3926" i="52"/>
  <c r="T3927" i="52"/>
  <c r="U3927" i="52"/>
  <c r="V3927" i="52"/>
  <c r="T3928" i="52"/>
  <c r="U3928" i="52"/>
  <c r="V3928" i="52"/>
  <c r="T3929" i="52"/>
  <c r="U3929" i="52"/>
  <c r="V3929" i="52"/>
  <c r="T3930" i="52"/>
  <c r="U3930" i="52"/>
  <c r="V3930" i="52"/>
  <c r="T3931" i="52"/>
  <c r="U3931" i="52"/>
  <c r="V3931" i="52"/>
  <c r="T3932" i="52"/>
  <c r="U3932" i="52"/>
  <c r="V3932" i="52"/>
  <c r="T3933" i="52"/>
  <c r="U3933" i="52"/>
  <c r="V3933" i="52"/>
  <c r="T3934" i="52"/>
  <c r="U3934" i="52"/>
  <c r="V3934" i="52"/>
  <c r="T3935" i="52"/>
  <c r="U3935" i="52"/>
  <c r="V3935" i="52"/>
  <c r="T3936" i="52"/>
  <c r="U3936" i="52"/>
  <c r="V3936" i="52"/>
  <c r="T3937" i="52"/>
  <c r="U3937" i="52"/>
  <c r="V3937" i="52"/>
  <c r="T3938" i="52"/>
  <c r="U3938" i="52"/>
  <c r="V3938" i="52"/>
  <c r="T3939" i="52"/>
  <c r="U3939" i="52"/>
  <c r="V3939" i="52"/>
  <c r="T3940" i="52"/>
  <c r="U3940" i="52"/>
  <c r="V3940" i="52"/>
  <c r="T3941" i="52"/>
  <c r="U3941" i="52"/>
  <c r="V3941" i="52"/>
  <c r="T3942" i="52"/>
  <c r="U3942" i="52"/>
  <c r="V3942" i="52"/>
  <c r="T3943" i="52"/>
  <c r="U3943" i="52"/>
  <c r="V3943" i="52"/>
  <c r="T3944" i="52"/>
  <c r="U3944" i="52"/>
  <c r="V3944" i="52"/>
  <c r="T3945" i="52"/>
  <c r="U3945" i="52"/>
  <c r="V3945" i="52"/>
  <c r="T3946" i="52"/>
  <c r="U3946" i="52"/>
  <c r="V3946" i="52"/>
  <c r="T3947" i="52"/>
  <c r="U3947" i="52"/>
  <c r="V3947" i="52"/>
  <c r="T3948" i="52"/>
  <c r="U3948" i="52"/>
  <c r="V3948" i="52"/>
  <c r="T3949" i="52"/>
  <c r="U3949" i="52"/>
  <c r="V3949" i="52"/>
  <c r="T3950" i="52"/>
  <c r="U3950" i="52"/>
  <c r="V3950" i="52"/>
  <c r="T3951" i="52"/>
  <c r="U3951" i="52"/>
  <c r="V3951" i="52"/>
  <c r="T3952" i="52"/>
  <c r="U3952" i="52"/>
  <c r="V3952" i="52"/>
  <c r="T3953" i="52"/>
  <c r="U3953" i="52"/>
  <c r="V3953" i="52"/>
  <c r="T3954" i="52"/>
  <c r="U3954" i="52"/>
  <c r="V3954" i="52"/>
  <c r="T3955" i="52"/>
  <c r="U3955" i="52"/>
  <c r="V3955" i="52"/>
  <c r="T3956" i="52"/>
  <c r="U3956" i="52"/>
  <c r="V3956" i="52"/>
  <c r="T3957" i="52"/>
  <c r="U3957" i="52"/>
  <c r="V3957" i="52"/>
  <c r="T3958" i="52"/>
  <c r="U3958" i="52"/>
  <c r="V3958" i="52"/>
  <c r="T3959" i="52"/>
  <c r="U3959" i="52"/>
  <c r="V3959" i="52"/>
  <c r="T3960" i="52"/>
  <c r="U3960" i="52"/>
  <c r="V3960" i="52"/>
  <c r="T3961" i="52"/>
  <c r="U3961" i="52"/>
  <c r="V3961" i="52"/>
  <c r="T3962" i="52"/>
  <c r="U3962" i="52"/>
  <c r="V3962" i="52"/>
  <c r="T3963" i="52"/>
  <c r="U3963" i="52"/>
  <c r="V3963" i="52"/>
  <c r="T3964" i="52"/>
  <c r="U3964" i="52"/>
  <c r="V3964" i="52"/>
  <c r="T3965" i="52"/>
  <c r="U3965" i="52"/>
  <c r="V3965" i="52"/>
  <c r="T3966" i="52"/>
  <c r="U3966" i="52"/>
  <c r="V3966" i="52"/>
  <c r="T3967" i="52"/>
  <c r="U3967" i="52"/>
  <c r="V3967" i="52"/>
  <c r="T3968" i="52"/>
  <c r="U3968" i="52"/>
  <c r="V3968" i="52"/>
  <c r="T3969" i="52"/>
  <c r="U3969" i="52"/>
  <c r="V3969" i="52"/>
  <c r="T3970" i="52"/>
  <c r="U3970" i="52"/>
  <c r="V3970" i="52"/>
  <c r="T3971" i="52"/>
  <c r="U3971" i="52"/>
  <c r="V3971" i="52"/>
  <c r="T3972" i="52"/>
  <c r="U3972" i="52"/>
  <c r="V3972" i="52"/>
  <c r="T3973" i="52"/>
  <c r="U3973" i="52"/>
  <c r="V3973" i="52"/>
  <c r="T3974" i="52"/>
  <c r="U3974" i="52"/>
  <c r="V3974" i="52"/>
  <c r="T3975" i="52"/>
  <c r="U3975" i="52"/>
  <c r="V3975" i="52"/>
  <c r="T3976" i="52"/>
  <c r="U3976" i="52"/>
  <c r="V3976" i="52"/>
  <c r="T3977" i="52"/>
  <c r="U3977" i="52"/>
  <c r="V3977" i="52"/>
  <c r="T3978" i="52"/>
  <c r="U3978" i="52"/>
  <c r="V3978" i="52"/>
  <c r="T3979" i="52"/>
  <c r="U3979" i="52"/>
  <c r="V3979" i="52"/>
  <c r="T3980" i="52"/>
  <c r="U3980" i="52"/>
  <c r="V3980" i="52"/>
  <c r="T3981" i="52"/>
  <c r="U3981" i="52"/>
  <c r="V3981" i="52"/>
  <c r="T3982" i="52"/>
  <c r="U3982" i="52"/>
  <c r="V3982" i="52"/>
  <c r="T3983" i="52"/>
  <c r="U3983" i="52"/>
  <c r="V3983" i="52"/>
  <c r="T3984" i="52"/>
  <c r="U3984" i="52"/>
  <c r="V3984" i="52"/>
  <c r="T3985" i="52"/>
  <c r="U3985" i="52"/>
  <c r="V3985" i="52"/>
  <c r="T3986" i="52"/>
  <c r="U3986" i="52"/>
  <c r="V3986" i="52"/>
  <c r="T3987" i="52"/>
  <c r="U3987" i="52"/>
  <c r="V3987" i="52"/>
  <c r="T3988" i="52"/>
  <c r="U3988" i="52"/>
  <c r="V3988" i="52"/>
  <c r="T3989" i="52"/>
  <c r="U3989" i="52"/>
  <c r="V3989" i="52"/>
  <c r="T3990" i="52"/>
  <c r="U3990" i="52"/>
  <c r="V3990" i="52"/>
  <c r="T3991" i="52"/>
  <c r="U3991" i="52"/>
  <c r="V3991" i="52"/>
  <c r="T3992" i="52"/>
  <c r="U3992" i="52"/>
  <c r="V3992" i="52"/>
  <c r="T3993" i="52"/>
  <c r="U3993" i="52"/>
  <c r="V3993" i="52"/>
  <c r="T3994" i="52"/>
  <c r="U3994" i="52"/>
  <c r="V3994" i="52"/>
  <c r="T3995" i="52"/>
  <c r="U3995" i="52"/>
  <c r="V3995" i="52"/>
  <c r="T3996" i="52"/>
  <c r="U3996" i="52"/>
  <c r="V3996" i="52"/>
  <c r="T3997" i="52"/>
  <c r="U3997" i="52"/>
  <c r="V3997" i="52"/>
  <c r="T3998" i="52"/>
  <c r="U3998" i="52"/>
  <c r="V3998" i="52"/>
  <c r="T3999" i="52"/>
  <c r="U3999" i="52"/>
  <c r="V3999" i="52"/>
  <c r="T4000" i="52"/>
  <c r="U4000" i="52"/>
  <c r="V4000" i="52"/>
  <c r="T4001" i="52"/>
  <c r="U4001" i="52"/>
  <c r="V4001" i="52"/>
  <c r="T4002" i="52"/>
  <c r="U4002" i="52"/>
  <c r="V4002" i="52"/>
  <c r="T4003" i="52"/>
  <c r="U4003" i="52"/>
  <c r="V4003" i="52"/>
  <c r="T4004" i="52"/>
  <c r="U4004" i="52"/>
  <c r="V4004" i="52"/>
  <c r="T4005" i="52"/>
  <c r="U4005" i="52"/>
  <c r="V4005" i="52"/>
  <c r="T4006" i="52"/>
  <c r="U4006" i="52"/>
  <c r="V4006" i="52"/>
  <c r="T4007" i="52"/>
  <c r="U4007" i="52"/>
  <c r="V4007" i="52"/>
  <c r="T4008" i="52"/>
  <c r="U4008" i="52"/>
  <c r="V4008" i="52"/>
  <c r="T4009" i="52"/>
  <c r="U4009" i="52"/>
  <c r="V4009" i="52"/>
  <c r="T4010" i="52"/>
  <c r="U4010" i="52"/>
  <c r="V4010" i="52"/>
  <c r="T4011" i="52"/>
  <c r="U4011" i="52"/>
  <c r="V4011" i="52"/>
  <c r="T4012" i="52"/>
  <c r="U4012" i="52"/>
  <c r="V4012" i="52"/>
  <c r="T4013" i="52"/>
  <c r="U4013" i="52"/>
  <c r="V4013" i="52"/>
  <c r="T4014" i="52"/>
  <c r="U4014" i="52"/>
  <c r="V4014" i="52"/>
  <c r="T4015" i="52"/>
  <c r="U4015" i="52"/>
  <c r="V4015" i="52"/>
  <c r="T4016" i="52"/>
  <c r="U4016" i="52"/>
  <c r="V4016" i="52"/>
  <c r="T4017" i="52"/>
  <c r="U4017" i="52"/>
  <c r="V4017" i="52"/>
  <c r="T4018" i="52"/>
  <c r="U4018" i="52"/>
  <c r="V4018" i="52"/>
  <c r="T4019" i="52"/>
  <c r="U4019" i="52"/>
  <c r="V4019" i="52"/>
  <c r="T4020" i="52"/>
  <c r="U4020" i="52"/>
  <c r="V4020" i="52"/>
  <c r="T4021" i="52"/>
  <c r="U4021" i="52"/>
  <c r="V4021" i="52"/>
  <c r="T4022" i="52"/>
  <c r="U4022" i="52"/>
  <c r="V4022" i="52"/>
  <c r="T4023" i="52"/>
  <c r="U4023" i="52"/>
  <c r="V4023" i="52"/>
  <c r="T4024" i="52"/>
  <c r="U4024" i="52"/>
  <c r="V4024" i="52"/>
  <c r="T4025" i="52"/>
  <c r="U4025" i="52"/>
  <c r="V4025" i="52"/>
  <c r="T4026" i="52"/>
  <c r="U4026" i="52"/>
  <c r="V4026" i="52"/>
  <c r="T4027" i="52"/>
  <c r="U4027" i="52"/>
  <c r="V4027" i="52"/>
  <c r="T4028" i="52"/>
  <c r="U4028" i="52"/>
  <c r="V4028" i="52"/>
  <c r="T4029" i="52"/>
  <c r="U4029" i="52"/>
  <c r="V4029" i="52"/>
  <c r="T4030" i="52"/>
  <c r="U4030" i="52"/>
  <c r="V4030" i="52"/>
  <c r="T4031" i="52"/>
  <c r="U4031" i="52"/>
  <c r="V4031" i="52"/>
  <c r="T4032" i="52"/>
  <c r="U4032" i="52"/>
  <c r="V4032" i="52"/>
  <c r="T4033" i="52"/>
  <c r="U4033" i="52"/>
  <c r="V4033" i="52"/>
  <c r="T4034" i="52"/>
  <c r="U4034" i="52"/>
  <c r="V4034" i="52"/>
  <c r="T4035" i="52"/>
  <c r="U4035" i="52"/>
  <c r="V4035" i="52"/>
  <c r="T4036" i="52"/>
  <c r="U4036" i="52"/>
  <c r="V4036" i="52"/>
  <c r="T4037" i="52"/>
  <c r="U4037" i="52"/>
  <c r="V4037" i="52"/>
  <c r="T4038" i="52"/>
  <c r="U4038" i="52"/>
  <c r="V4038" i="52"/>
  <c r="T4039" i="52"/>
  <c r="U4039" i="52"/>
  <c r="V4039" i="52"/>
  <c r="T4040" i="52"/>
  <c r="U4040" i="52"/>
  <c r="V4040" i="52"/>
  <c r="T4041" i="52"/>
  <c r="U4041" i="52"/>
  <c r="V4041" i="52"/>
  <c r="T4042" i="52"/>
  <c r="U4042" i="52"/>
  <c r="V4042" i="52"/>
  <c r="T4043" i="52"/>
  <c r="U4043" i="52"/>
  <c r="V4043" i="52"/>
  <c r="T4044" i="52"/>
  <c r="U4044" i="52"/>
  <c r="V4044" i="52"/>
  <c r="T4045" i="52"/>
  <c r="U4045" i="52"/>
  <c r="V4045" i="52"/>
  <c r="T4046" i="52"/>
  <c r="U4046" i="52"/>
  <c r="V4046" i="52"/>
  <c r="T4047" i="52"/>
  <c r="U4047" i="52"/>
  <c r="V4047" i="52"/>
  <c r="T4048" i="52"/>
  <c r="U4048" i="52"/>
  <c r="V4048" i="52"/>
  <c r="T4049" i="52"/>
  <c r="U4049" i="52"/>
  <c r="V4049" i="52"/>
  <c r="T4050" i="52"/>
  <c r="U4050" i="52"/>
  <c r="V4050" i="52"/>
  <c r="T4051" i="52"/>
  <c r="U4051" i="52"/>
  <c r="V4051" i="52"/>
  <c r="T4052" i="52"/>
  <c r="U4052" i="52"/>
  <c r="V4052" i="52"/>
  <c r="T4053" i="52"/>
  <c r="U4053" i="52"/>
  <c r="V4053" i="52"/>
  <c r="T4054" i="52"/>
  <c r="U4054" i="52"/>
  <c r="V4054" i="52"/>
  <c r="T4055" i="52"/>
  <c r="U4055" i="52"/>
  <c r="V4055" i="52"/>
  <c r="T4056" i="52"/>
  <c r="U4056" i="52"/>
  <c r="V4056" i="52"/>
  <c r="T4057" i="52"/>
  <c r="U4057" i="52"/>
  <c r="V4057" i="52"/>
  <c r="T4058" i="52"/>
  <c r="U4058" i="52"/>
  <c r="V4058" i="52"/>
  <c r="T4059" i="52"/>
  <c r="U4059" i="52"/>
  <c r="V4059" i="52"/>
  <c r="T4060" i="52"/>
  <c r="U4060" i="52"/>
  <c r="V4060" i="52"/>
  <c r="T4061" i="52"/>
  <c r="U4061" i="52"/>
  <c r="V4061" i="52"/>
  <c r="T4062" i="52"/>
  <c r="U4062" i="52"/>
  <c r="V4062" i="52"/>
  <c r="T4063" i="52"/>
  <c r="U4063" i="52"/>
  <c r="V4063" i="52"/>
  <c r="T4064" i="52"/>
  <c r="U4064" i="52"/>
  <c r="V4064" i="52"/>
  <c r="T4065" i="52"/>
  <c r="U4065" i="52"/>
  <c r="V4065" i="52"/>
  <c r="T4066" i="52"/>
  <c r="U4066" i="52"/>
  <c r="V4066" i="52"/>
  <c r="T4067" i="52"/>
  <c r="U4067" i="52"/>
  <c r="V4067" i="52"/>
  <c r="T4068" i="52"/>
  <c r="U4068" i="52"/>
  <c r="V4068" i="52"/>
  <c r="T4069" i="52"/>
  <c r="U4069" i="52"/>
  <c r="V4069" i="52"/>
  <c r="T4070" i="52"/>
  <c r="U4070" i="52"/>
  <c r="V4070" i="52"/>
  <c r="T4071" i="52"/>
  <c r="U4071" i="52"/>
  <c r="V4071" i="52"/>
  <c r="T4072" i="52"/>
  <c r="U4072" i="52"/>
  <c r="V4072" i="52"/>
  <c r="T4073" i="52"/>
  <c r="U4073" i="52"/>
  <c r="V4073" i="52"/>
  <c r="T4074" i="52"/>
  <c r="U4074" i="52"/>
  <c r="V4074" i="52"/>
  <c r="T4075" i="52"/>
  <c r="U4075" i="52"/>
  <c r="V4075" i="52"/>
  <c r="T4076" i="52"/>
  <c r="U4076" i="52"/>
  <c r="V4076" i="52"/>
  <c r="T4077" i="52"/>
  <c r="U4077" i="52"/>
  <c r="V4077" i="52"/>
  <c r="T4078" i="52"/>
  <c r="U4078" i="52"/>
  <c r="V4078" i="52"/>
  <c r="T4079" i="52"/>
  <c r="U4079" i="52"/>
  <c r="V4079" i="52"/>
  <c r="T4080" i="52"/>
  <c r="U4080" i="52"/>
  <c r="V4080" i="52"/>
  <c r="T4081" i="52"/>
  <c r="U4081" i="52"/>
  <c r="V4081" i="52"/>
  <c r="T4082" i="52"/>
  <c r="U4082" i="52"/>
  <c r="V4082" i="52"/>
  <c r="T4083" i="52"/>
  <c r="U4083" i="52"/>
  <c r="V4083" i="52"/>
  <c r="T4084" i="52"/>
  <c r="U4084" i="52"/>
  <c r="V4084" i="52"/>
  <c r="T4085" i="52"/>
  <c r="U4085" i="52"/>
  <c r="V4085" i="52"/>
  <c r="T4086" i="52"/>
  <c r="U4086" i="52"/>
  <c r="V4086" i="52"/>
  <c r="T4087" i="52"/>
  <c r="U4087" i="52"/>
  <c r="V4087" i="52"/>
  <c r="T4088" i="52"/>
  <c r="U4088" i="52"/>
  <c r="V4088" i="52"/>
  <c r="T4089" i="52"/>
  <c r="U4089" i="52"/>
  <c r="V4089" i="52"/>
  <c r="T4090" i="52"/>
  <c r="U4090" i="52"/>
  <c r="V4090" i="52"/>
  <c r="T4091" i="52"/>
  <c r="U4091" i="52"/>
  <c r="V4091" i="52"/>
  <c r="T4092" i="52"/>
  <c r="U4092" i="52"/>
  <c r="V4092" i="52"/>
  <c r="T4093" i="52"/>
  <c r="U4093" i="52"/>
  <c r="V4093" i="52"/>
  <c r="T4094" i="52"/>
  <c r="U4094" i="52"/>
  <c r="V4094" i="52"/>
  <c r="T4095" i="52"/>
  <c r="U4095" i="52"/>
  <c r="V4095" i="52"/>
  <c r="T4096" i="52"/>
  <c r="U4096" i="52"/>
  <c r="V4096" i="52"/>
  <c r="T4097" i="52"/>
  <c r="U4097" i="52"/>
  <c r="V4097" i="52"/>
  <c r="T4098" i="52"/>
  <c r="U4098" i="52"/>
  <c r="V4098" i="52"/>
  <c r="T4099" i="52"/>
  <c r="U4099" i="52"/>
  <c r="V4099" i="52"/>
  <c r="T4100" i="52"/>
  <c r="U4100" i="52"/>
  <c r="V4100" i="52"/>
  <c r="T4101" i="52"/>
  <c r="U4101" i="52"/>
  <c r="V4101" i="52"/>
  <c r="T4102" i="52"/>
  <c r="U4102" i="52"/>
  <c r="V4102" i="52"/>
  <c r="T4103" i="52"/>
  <c r="U4103" i="52"/>
  <c r="V4103" i="52"/>
  <c r="T4104" i="52"/>
  <c r="U4104" i="52"/>
  <c r="V4104" i="52"/>
  <c r="T4105" i="52"/>
  <c r="U4105" i="52"/>
  <c r="V4105" i="52"/>
  <c r="T4106" i="52"/>
  <c r="U4106" i="52"/>
  <c r="V4106" i="52"/>
  <c r="T4107" i="52"/>
  <c r="U4107" i="52"/>
  <c r="V4107" i="52"/>
  <c r="T4108" i="52"/>
  <c r="U4108" i="52"/>
  <c r="V4108" i="52"/>
  <c r="T4109" i="52"/>
  <c r="U4109" i="52"/>
  <c r="V4109" i="52"/>
  <c r="T4110" i="52"/>
  <c r="U4110" i="52"/>
  <c r="V4110" i="52"/>
  <c r="T4111" i="52"/>
  <c r="U4111" i="52"/>
  <c r="V4111" i="52"/>
  <c r="T4112" i="52"/>
  <c r="U4112" i="52"/>
  <c r="V4112" i="52"/>
  <c r="T4113" i="52"/>
  <c r="U4113" i="52"/>
  <c r="V4113" i="52"/>
  <c r="T4114" i="52"/>
  <c r="U4114" i="52"/>
  <c r="V4114" i="52"/>
  <c r="T4115" i="52"/>
  <c r="U4115" i="52"/>
  <c r="V4115" i="52"/>
  <c r="T4116" i="52"/>
  <c r="U4116" i="52"/>
  <c r="V4116" i="52"/>
  <c r="T4117" i="52"/>
  <c r="U4117" i="52"/>
  <c r="V4117" i="52"/>
  <c r="T4118" i="52"/>
  <c r="U4118" i="52"/>
  <c r="V4118" i="52"/>
  <c r="T4119" i="52"/>
  <c r="U4119" i="52"/>
  <c r="V4119" i="52"/>
  <c r="T4120" i="52"/>
  <c r="U4120" i="52"/>
  <c r="V4120" i="52"/>
  <c r="T4121" i="52"/>
  <c r="U4121" i="52"/>
  <c r="V4121" i="52"/>
  <c r="T4122" i="52"/>
  <c r="U4122" i="52"/>
  <c r="V4122" i="52"/>
  <c r="T4123" i="52"/>
  <c r="U4123" i="52"/>
  <c r="V4123" i="52"/>
  <c r="T4124" i="52"/>
  <c r="U4124" i="52"/>
  <c r="V4124" i="52"/>
  <c r="T4125" i="52"/>
  <c r="U4125" i="52"/>
  <c r="V4125" i="52"/>
  <c r="T4126" i="52"/>
  <c r="U4126" i="52"/>
  <c r="V4126" i="52"/>
  <c r="T4127" i="52"/>
  <c r="U4127" i="52"/>
  <c r="V4127" i="52"/>
  <c r="T4128" i="52"/>
  <c r="U4128" i="52"/>
  <c r="V4128" i="52"/>
  <c r="T4129" i="52"/>
  <c r="U4129" i="52"/>
  <c r="V4129" i="52"/>
  <c r="T4130" i="52"/>
  <c r="U4130" i="52"/>
  <c r="V4130" i="52"/>
  <c r="T4131" i="52"/>
  <c r="U4131" i="52"/>
  <c r="V4131" i="52"/>
  <c r="T4132" i="52"/>
  <c r="U4132" i="52"/>
  <c r="V4132" i="52"/>
  <c r="T4133" i="52"/>
  <c r="U4133" i="52"/>
  <c r="V4133" i="52"/>
  <c r="T4134" i="52"/>
  <c r="U4134" i="52"/>
  <c r="V4134" i="52"/>
  <c r="T4135" i="52"/>
  <c r="U4135" i="52"/>
  <c r="V4135" i="52"/>
  <c r="T4136" i="52"/>
  <c r="U4136" i="52"/>
  <c r="V4136" i="52"/>
  <c r="T4137" i="52"/>
  <c r="U4137" i="52"/>
  <c r="V4137" i="52"/>
  <c r="T4138" i="52"/>
  <c r="U4138" i="52"/>
  <c r="V4138" i="52"/>
  <c r="T4139" i="52"/>
  <c r="U4139" i="52"/>
  <c r="V4139" i="52"/>
  <c r="T4140" i="52"/>
  <c r="U4140" i="52"/>
  <c r="V4140" i="52"/>
  <c r="T4141" i="52"/>
  <c r="U4141" i="52"/>
  <c r="V4141" i="52"/>
  <c r="T4142" i="52"/>
  <c r="U4142" i="52"/>
  <c r="V4142" i="52"/>
  <c r="T4143" i="52"/>
  <c r="U4143" i="52"/>
  <c r="V4143" i="52"/>
  <c r="T4144" i="52"/>
  <c r="U4144" i="52"/>
  <c r="V4144" i="52"/>
  <c r="T4145" i="52"/>
  <c r="U4145" i="52"/>
  <c r="V4145" i="52"/>
  <c r="T4146" i="52"/>
  <c r="U4146" i="52"/>
  <c r="V4146" i="52"/>
  <c r="T4147" i="52"/>
  <c r="U4147" i="52"/>
  <c r="V4147" i="52"/>
  <c r="T4148" i="52"/>
  <c r="U4148" i="52"/>
  <c r="V4148" i="52"/>
  <c r="T4149" i="52"/>
  <c r="U4149" i="52"/>
  <c r="V4149" i="52"/>
  <c r="T4150" i="52"/>
  <c r="U4150" i="52"/>
  <c r="V4150" i="52"/>
  <c r="T4151" i="52"/>
  <c r="U4151" i="52"/>
  <c r="V4151" i="52"/>
  <c r="T4152" i="52"/>
  <c r="U4152" i="52"/>
  <c r="V4152" i="52"/>
  <c r="T4153" i="52"/>
  <c r="U4153" i="52"/>
  <c r="V4153" i="52"/>
  <c r="T4154" i="52"/>
  <c r="U4154" i="52"/>
  <c r="V4154" i="52"/>
  <c r="T4155" i="52"/>
  <c r="U4155" i="52"/>
  <c r="V4155" i="52"/>
  <c r="T4156" i="52"/>
  <c r="U4156" i="52"/>
  <c r="V4156" i="52"/>
  <c r="T4157" i="52"/>
  <c r="U4157" i="52"/>
  <c r="V4157" i="52"/>
  <c r="T4158" i="52"/>
  <c r="U4158" i="52"/>
  <c r="V4158" i="52"/>
  <c r="T4159" i="52"/>
  <c r="U4159" i="52"/>
  <c r="V4159" i="52"/>
  <c r="T4160" i="52"/>
  <c r="U4160" i="52"/>
  <c r="V4160" i="52"/>
  <c r="T4161" i="52"/>
  <c r="U4161" i="52"/>
  <c r="V4161" i="52"/>
  <c r="T4162" i="52"/>
  <c r="U4162" i="52"/>
  <c r="V4162" i="52"/>
  <c r="T4163" i="52"/>
  <c r="U4163" i="52"/>
  <c r="V4163" i="52"/>
  <c r="T4164" i="52"/>
  <c r="U4164" i="52"/>
  <c r="V4164" i="52"/>
  <c r="T4165" i="52"/>
  <c r="U4165" i="52"/>
  <c r="V4165" i="52"/>
  <c r="T4166" i="52"/>
  <c r="U4166" i="52"/>
  <c r="V4166" i="52"/>
  <c r="T4167" i="52"/>
  <c r="U4167" i="52"/>
  <c r="V4167" i="52"/>
  <c r="T4168" i="52"/>
  <c r="U4168" i="52"/>
  <c r="V4168" i="52"/>
  <c r="T4169" i="52"/>
  <c r="U4169" i="52"/>
  <c r="V4169" i="52"/>
  <c r="T4170" i="52"/>
  <c r="U4170" i="52"/>
  <c r="V4170" i="52"/>
  <c r="T4171" i="52"/>
  <c r="U4171" i="52"/>
  <c r="V4171" i="52"/>
  <c r="T4172" i="52"/>
  <c r="U4172" i="52"/>
  <c r="V4172" i="52"/>
  <c r="T4173" i="52"/>
  <c r="U4173" i="52"/>
  <c r="V4173" i="52"/>
  <c r="T4174" i="52"/>
  <c r="U4174" i="52"/>
  <c r="V4174" i="52"/>
  <c r="T4175" i="52"/>
  <c r="U4175" i="52"/>
  <c r="V4175" i="52"/>
  <c r="T4176" i="52"/>
  <c r="U4176" i="52"/>
  <c r="V4176" i="52"/>
  <c r="T4177" i="52"/>
  <c r="U4177" i="52"/>
  <c r="V4177" i="52"/>
  <c r="T4178" i="52"/>
  <c r="U4178" i="52"/>
  <c r="V4178" i="52"/>
  <c r="T4179" i="52"/>
  <c r="U4179" i="52"/>
  <c r="V4179" i="52"/>
  <c r="T4180" i="52"/>
  <c r="U4180" i="52"/>
  <c r="V4180" i="52"/>
  <c r="T4181" i="52"/>
  <c r="U4181" i="52"/>
  <c r="V4181" i="52"/>
  <c r="T4182" i="52"/>
  <c r="U4182" i="52"/>
  <c r="V4182" i="52"/>
  <c r="T4183" i="52"/>
  <c r="U4183" i="52"/>
  <c r="V4183" i="52"/>
  <c r="T4184" i="52"/>
  <c r="U4184" i="52"/>
  <c r="V4184" i="52"/>
  <c r="T4185" i="52"/>
  <c r="U4185" i="52"/>
  <c r="V4185" i="52"/>
  <c r="T4186" i="52"/>
  <c r="U4186" i="52"/>
  <c r="V4186" i="52"/>
  <c r="T4187" i="52"/>
  <c r="U4187" i="52"/>
  <c r="V4187" i="52"/>
  <c r="T4188" i="52"/>
  <c r="U4188" i="52"/>
  <c r="V4188" i="52"/>
  <c r="T4189" i="52"/>
  <c r="U4189" i="52"/>
  <c r="V4189" i="52"/>
  <c r="T4190" i="52"/>
  <c r="U4190" i="52"/>
  <c r="V4190" i="52"/>
  <c r="T4191" i="52"/>
  <c r="U4191" i="52"/>
  <c r="V4191" i="52"/>
  <c r="T4192" i="52"/>
  <c r="U4192" i="52"/>
  <c r="V4192" i="52"/>
  <c r="T4193" i="52"/>
  <c r="U4193" i="52"/>
  <c r="V4193" i="52"/>
  <c r="T4194" i="52"/>
  <c r="U4194" i="52"/>
  <c r="V4194" i="52"/>
  <c r="T4195" i="52"/>
  <c r="U4195" i="52"/>
  <c r="V4195" i="52"/>
  <c r="T4196" i="52"/>
  <c r="U4196" i="52"/>
  <c r="V4196" i="52"/>
  <c r="T4197" i="52"/>
  <c r="U4197" i="52"/>
  <c r="V4197" i="52"/>
  <c r="T4198" i="52"/>
  <c r="U4198" i="52"/>
  <c r="V4198" i="52"/>
  <c r="T4199" i="52"/>
  <c r="U4199" i="52"/>
  <c r="V4199" i="52"/>
  <c r="T4200" i="52"/>
  <c r="U4200" i="52"/>
  <c r="V4200" i="52"/>
  <c r="T4201" i="52"/>
  <c r="U4201" i="52"/>
  <c r="V4201" i="52"/>
  <c r="T4202" i="52"/>
  <c r="U4202" i="52"/>
  <c r="V4202" i="52"/>
  <c r="T4203" i="52"/>
  <c r="U4203" i="52"/>
  <c r="V4203" i="52"/>
  <c r="T4204" i="52"/>
  <c r="U4204" i="52"/>
  <c r="V4204" i="52"/>
  <c r="T4205" i="52"/>
  <c r="U4205" i="52"/>
  <c r="V4205" i="52"/>
  <c r="T4206" i="52"/>
  <c r="U4206" i="52"/>
  <c r="V4206" i="52"/>
  <c r="T4207" i="52"/>
  <c r="U4207" i="52"/>
  <c r="V4207" i="52"/>
  <c r="T4208" i="52"/>
  <c r="U4208" i="52"/>
  <c r="V4208" i="52"/>
  <c r="T4209" i="52"/>
  <c r="U4209" i="52"/>
  <c r="V4209" i="52"/>
  <c r="T4210" i="52"/>
  <c r="U4210" i="52"/>
  <c r="V4210" i="52"/>
  <c r="T4211" i="52"/>
  <c r="U4211" i="52"/>
  <c r="V4211" i="52"/>
  <c r="T4212" i="52"/>
  <c r="U4212" i="52"/>
  <c r="V4212" i="52"/>
  <c r="T4213" i="52"/>
  <c r="U4213" i="52"/>
  <c r="V4213" i="52"/>
  <c r="T4214" i="52"/>
  <c r="U4214" i="52"/>
  <c r="V4214" i="52"/>
  <c r="T4215" i="52"/>
  <c r="U4215" i="52"/>
  <c r="V4215" i="52"/>
  <c r="T4216" i="52"/>
  <c r="U4216" i="52"/>
  <c r="V4216" i="52"/>
  <c r="T4217" i="52"/>
  <c r="U4217" i="52"/>
  <c r="V4217" i="52"/>
  <c r="T4218" i="52"/>
  <c r="U4218" i="52"/>
  <c r="V4218" i="52"/>
  <c r="T4219" i="52"/>
  <c r="U4219" i="52"/>
  <c r="V4219" i="52"/>
  <c r="T4220" i="52"/>
  <c r="U4220" i="52"/>
  <c r="V4220" i="52"/>
  <c r="T4221" i="52"/>
  <c r="U4221" i="52"/>
  <c r="V4221" i="52"/>
  <c r="T4222" i="52"/>
  <c r="U4222" i="52"/>
  <c r="V4222" i="52"/>
  <c r="T4223" i="52"/>
  <c r="U4223" i="52"/>
  <c r="V4223" i="52"/>
  <c r="T4224" i="52"/>
  <c r="U4224" i="52"/>
  <c r="V4224" i="52"/>
  <c r="T4225" i="52"/>
  <c r="U4225" i="52"/>
  <c r="V4225" i="52"/>
  <c r="T4226" i="52"/>
  <c r="U4226" i="52"/>
  <c r="V4226" i="52"/>
  <c r="T4227" i="52"/>
  <c r="U4227" i="52"/>
  <c r="V4227" i="52"/>
  <c r="T4228" i="52"/>
  <c r="U4228" i="52"/>
  <c r="V4228" i="52"/>
  <c r="T4229" i="52"/>
  <c r="U4229" i="52"/>
  <c r="V4229" i="52"/>
  <c r="T4230" i="52"/>
  <c r="U4230" i="52"/>
  <c r="V4230" i="52"/>
  <c r="T4231" i="52"/>
  <c r="U4231" i="52"/>
  <c r="V4231" i="52"/>
  <c r="T4232" i="52"/>
  <c r="U4232" i="52"/>
  <c r="V4232" i="52"/>
  <c r="T4233" i="52"/>
  <c r="U4233" i="52"/>
  <c r="V4233" i="52"/>
  <c r="T4234" i="52"/>
  <c r="U4234" i="52"/>
  <c r="V4234" i="52"/>
  <c r="T4235" i="52"/>
  <c r="U4235" i="52"/>
  <c r="V4235" i="52"/>
  <c r="T4236" i="52"/>
  <c r="U4236" i="52"/>
  <c r="V4236" i="52"/>
  <c r="T4237" i="52"/>
  <c r="U4237" i="52"/>
  <c r="V4237" i="52"/>
  <c r="T4238" i="52"/>
  <c r="U4238" i="52"/>
  <c r="V4238" i="52"/>
  <c r="T4239" i="52"/>
  <c r="U4239" i="52"/>
  <c r="V4239" i="52"/>
  <c r="T4240" i="52"/>
  <c r="U4240" i="52"/>
  <c r="V4240" i="52"/>
  <c r="T4241" i="52"/>
  <c r="U4241" i="52"/>
  <c r="V4241" i="52"/>
  <c r="T4242" i="52"/>
  <c r="U4242" i="52"/>
  <c r="V4242" i="52"/>
  <c r="T4243" i="52"/>
  <c r="U4243" i="52"/>
  <c r="V4243" i="52"/>
  <c r="T4244" i="52"/>
  <c r="U4244" i="52"/>
  <c r="V4244" i="52"/>
  <c r="T4245" i="52"/>
  <c r="U4245" i="52"/>
  <c r="V4245" i="52"/>
  <c r="T4246" i="52"/>
  <c r="U4246" i="52"/>
  <c r="V4246" i="52"/>
  <c r="T4247" i="52"/>
  <c r="U4247" i="52"/>
  <c r="V4247" i="52"/>
  <c r="T4248" i="52"/>
  <c r="U4248" i="52"/>
  <c r="V4248" i="52"/>
  <c r="T4249" i="52"/>
  <c r="U4249" i="52"/>
  <c r="V4249" i="52"/>
  <c r="T4250" i="52"/>
  <c r="U4250" i="52"/>
  <c r="V4250" i="52"/>
  <c r="T4251" i="52"/>
  <c r="U4251" i="52"/>
  <c r="V4251" i="52"/>
  <c r="T4252" i="52"/>
  <c r="U4252" i="52"/>
  <c r="V4252" i="52"/>
  <c r="T4253" i="52"/>
  <c r="U4253" i="52"/>
  <c r="V4253" i="52"/>
  <c r="T4254" i="52"/>
  <c r="U4254" i="52"/>
  <c r="V4254" i="52"/>
  <c r="T4255" i="52"/>
  <c r="U4255" i="52"/>
  <c r="V4255" i="52"/>
  <c r="T4256" i="52"/>
  <c r="U4256" i="52"/>
  <c r="V4256" i="52"/>
  <c r="T4257" i="52"/>
  <c r="U4257" i="52"/>
  <c r="V4257" i="52"/>
  <c r="T4258" i="52"/>
  <c r="U4258" i="52"/>
  <c r="V4258" i="52"/>
  <c r="T4259" i="52"/>
  <c r="U4259" i="52"/>
  <c r="V4259" i="52"/>
  <c r="T4260" i="52"/>
  <c r="U4260" i="52"/>
  <c r="V4260" i="52"/>
  <c r="T4261" i="52"/>
  <c r="U4261" i="52"/>
  <c r="V4261" i="52"/>
  <c r="T4262" i="52"/>
  <c r="U4262" i="52"/>
  <c r="V4262" i="52"/>
  <c r="T4263" i="52"/>
  <c r="U4263" i="52"/>
  <c r="V4263" i="52"/>
  <c r="T4264" i="52"/>
  <c r="U4264" i="52"/>
  <c r="V4264" i="52"/>
  <c r="T4265" i="52"/>
  <c r="U4265" i="52"/>
  <c r="V4265" i="52"/>
  <c r="T4266" i="52"/>
  <c r="U4266" i="52"/>
  <c r="V4266" i="52"/>
  <c r="T4267" i="52"/>
  <c r="U4267" i="52"/>
  <c r="V4267" i="52"/>
  <c r="T4268" i="52"/>
  <c r="U4268" i="52"/>
  <c r="V4268" i="52"/>
  <c r="T4269" i="52"/>
  <c r="U4269" i="52"/>
  <c r="V4269" i="52"/>
  <c r="T4270" i="52"/>
  <c r="U4270" i="52"/>
  <c r="V4270" i="52"/>
  <c r="T4271" i="52"/>
  <c r="U4271" i="52"/>
  <c r="V4271" i="52"/>
  <c r="T4272" i="52"/>
  <c r="U4272" i="52"/>
  <c r="V4272" i="52"/>
  <c r="T4273" i="52"/>
  <c r="U4273" i="52"/>
  <c r="V4273" i="52"/>
  <c r="T4274" i="52"/>
  <c r="U4274" i="52"/>
  <c r="V4274" i="52"/>
  <c r="T4275" i="52"/>
  <c r="U4275" i="52"/>
  <c r="V4275" i="52"/>
  <c r="T4276" i="52"/>
  <c r="U4276" i="52"/>
  <c r="V4276" i="52"/>
  <c r="T4277" i="52"/>
  <c r="U4277" i="52"/>
  <c r="V4277" i="52"/>
  <c r="T4278" i="52"/>
  <c r="U4278" i="52"/>
  <c r="V4278" i="52"/>
  <c r="T4279" i="52"/>
  <c r="U4279" i="52"/>
  <c r="V4279" i="52"/>
  <c r="T4280" i="52"/>
  <c r="U4280" i="52"/>
  <c r="V4280" i="52"/>
  <c r="T4281" i="52"/>
  <c r="U4281" i="52"/>
  <c r="V4281" i="52"/>
  <c r="T4282" i="52"/>
  <c r="U4282" i="52"/>
  <c r="V4282" i="52"/>
  <c r="T4283" i="52"/>
  <c r="U4283" i="52"/>
  <c r="V4283" i="52"/>
  <c r="T4284" i="52"/>
  <c r="U4284" i="52"/>
  <c r="V4284" i="52"/>
  <c r="T4285" i="52"/>
  <c r="U4285" i="52"/>
  <c r="V4285" i="52"/>
  <c r="T4286" i="52"/>
  <c r="U4286" i="52"/>
  <c r="V4286" i="52"/>
  <c r="T4287" i="52"/>
  <c r="U4287" i="52"/>
  <c r="V4287" i="52"/>
  <c r="T4288" i="52"/>
  <c r="U4288" i="52"/>
  <c r="V4288" i="52"/>
  <c r="T4289" i="52"/>
  <c r="U4289" i="52"/>
  <c r="V4289" i="52"/>
  <c r="T4290" i="52"/>
  <c r="U4290" i="52"/>
  <c r="V4290" i="52"/>
  <c r="T4291" i="52"/>
  <c r="U4291" i="52"/>
  <c r="V4291" i="52"/>
  <c r="T4292" i="52"/>
  <c r="U4292" i="52"/>
  <c r="V4292" i="52"/>
  <c r="T4293" i="52"/>
  <c r="U4293" i="52"/>
  <c r="V4293" i="52"/>
  <c r="T4294" i="52"/>
  <c r="U4294" i="52"/>
  <c r="V4294" i="52"/>
  <c r="T4295" i="52"/>
  <c r="U4295" i="52"/>
  <c r="V4295" i="52"/>
  <c r="T4296" i="52"/>
  <c r="U4296" i="52"/>
  <c r="V4296" i="52"/>
  <c r="T4297" i="52"/>
  <c r="U4297" i="52"/>
  <c r="V4297" i="52"/>
  <c r="T4298" i="52"/>
  <c r="U4298" i="52"/>
  <c r="V4298" i="52"/>
  <c r="T4299" i="52"/>
  <c r="U4299" i="52"/>
  <c r="V4299" i="52"/>
  <c r="T4300" i="52"/>
  <c r="U4300" i="52"/>
  <c r="V4300" i="52"/>
  <c r="T4301" i="52"/>
  <c r="U4301" i="52"/>
  <c r="V4301" i="52"/>
  <c r="T4302" i="52"/>
  <c r="U4302" i="52"/>
  <c r="V4302" i="52"/>
  <c r="T4303" i="52"/>
  <c r="U4303" i="52"/>
  <c r="V4303" i="52"/>
  <c r="T4304" i="52"/>
  <c r="U4304" i="52"/>
  <c r="V4304" i="52"/>
  <c r="T4305" i="52"/>
  <c r="U4305" i="52"/>
  <c r="V4305" i="52"/>
  <c r="T4306" i="52"/>
  <c r="U4306" i="52"/>
  <c r="V4306" i="52"/>
  <c r="T4307" i="52"/>
  <c r="U4307" i="52"/>
  <c r="V4307" i="52"/>
  <c r="T4308" i="52"/>
  <c r="U4308" i="52"/>
  <c r="V4308" i="52"/>
  <c r="T4309" i="52"/>
  <c r="U4309" i="52"/>
  <c r="V4309" i="52"/>
  <c r="T4310" i="52"/>
  <c r="U4310" i="52"/>
  <c r="V4310" i="52"/>
  <c r="T4311" i="52"/>
  <c r="U4311" i="52"/>
  <c r="V4311" i="52"/>
  <c r="T4312" i="52"/>
  <c r="U4312" i="52"/>
  <c r="V4312" i="52"/>
  <c r="T4313" i="52"/>
  <c r="U4313" i="52"/>
  <c r="V4313" i="52"/>
  <c r="T4314" i="52"/>
  <c r="U4314" i="52"/>
  <c r="V4314" i="52"/>
  <c r="T4315" i="52"/>
  <c r="U4315" i="52"/>
  <c r="V4315" i="52"/>
  <c r="T4316" i="52"/>
  <c r="U4316" i="52"/>
  <c r="V4316" i="52"/>
  <c r="T4317" i="52"/>
  <c r="U4317" i="52"/>
  <c r="V4317" i="52"/>
  <c r="T4318" i="52"/>
  <c r="U4318" i="52"/>
  <c r="V4318" i="52"/>
  <c r="T4319" i="52"/>
  <c r="U4319" i="52"/>
  <c r="V4319" i="52"/>
  <c r="T4320" i="52"/>
  <c r="U4320" i="52"/>
  <c r="V4320" i="52"/>
  <c r="T4321" i="52"/>
  <c r="U4321" i="52"/>
  <c r="V4321" i="52"/>
  <c r="T4322" i="52"/>
  <c r="U4322" i="52"/>
  <c r="V4322" i="52"/>
  <c r="T4323" i="52"/>
  <c r="U4323" i="52"/>
  <c r="V4323" i="52"/>
  <c r="T4324" i="52"/>
  <c r="U4324" i="52"/>
  <c r="V4324" i="52"/>
  <c r="T4325" i="52"/>
  <c r="U4325" i="52"/>
  <c r="V4325" i="52"/>
  <c r="T4326" i="52"/>
  <c r="U4326" i="52"/>
  <c r="V4326" i="52"/>
  <c r="T4327" i="52"/>
  <c r="U4327" i="52"/>
  <c r="V4327" i="52"/>
  <c r="T4328" i="52"/>
  <c r="U4328" i="52"/>
  <c r="V4328" i="52"/>
  <c r="T4329" i="52"/>
  <c r="U4329" i="52"/>
  <c r="V4329" i="52"/>
  <c r="T4330" i="52"/>
  <c r="U4330" i="52"/>
  <c r="V4330" i="52"/>
  <c r="T4331" i="52"/>
  <c r="U4331" i="52"/>
  <c r="V4331" i="52"/>
  <c r="T4332" i="52"/>
  <c r="U4332" i="52"/>
  <c r="V4332" i="52"/>
  <c r="T4333" i="52"/>
  <c r="U4333" i="52"/>
  <c r="V4333" i="52"/>
  <c r="T4334" i="52"/>
  <c r="U4334" i="52"/>
  <c r="V4334" i="52"/>
  <c r="T4335" i="52"/>
  <c r="U4335" i="52"/>
  <c r="V4335" i="52"/>
  <c r="T4336" i="52"/>
  <c r="U4336" i="52"/>
  <c r="V4336" i="52"/>
  <c r="T4337" i="52"/>
  <c r="U4337" i="52"/>
  <c r="V4337" i="52"/>
  <c r="T4338" i="52"/>
  <c r="U4338" i="52"/>
  <c r="V4338" i="52"/>
  <c r="T4339" i="52"/>
  <c r="U4339" i="52"/>
  <c r="V4339" i="52"/>
  <c r="T4340" i="52"/>
  <c r="U4340" i="52"/>
  <c r="V4340" i="52"/>
  <c r="T4341" i="52"/>
  <c r="U4341" i="52"/>
  <c r="V4341" i="52"/>
  <c r="T4342" i="52"/>
  <c r="U4342" i="52"/>
  <c r="V4342" i="52"/>
  <c r="T4343" i="52"/>
  <c r="U4343" i="52"/>
  <c r="V4343" i="52"/>
  <c r="T4344" i="52"/>
  <c r="U4344" i="52"/>
  <c r="V4344" i="52"/>
  <c r="T4345" i="52"/>
  <c r="U4345" i="52"/>
  <c r="V4345" i="52"/>
  <c r="T4346" i="52"/>
  <c r="U4346" i="52"/>
  <c r="V4346" i="52"/>
  <c r="T4347" i="52"/>
  <c r="U4347" i="52"/>
  <c r="V4347" i="52"/>
  <c r="T4348" i="52"/>
  <c r="U4348" i="52"/>
  <c r="V4348" i="52"/>
  <c r="T4349" i="52"/>
  <c r="U4349" i="52"/>
  <c r="V4349" i="52"/>
  <c r="T4350" i="52"/>
  <c r="U4350" i="52"/>
  <c r="V4350" i="52"/>
  <c r="T4351" i="52"/>
  <c r="U4351" i="52"/>
  <c r="V4351" i="52"/>
  <c r="T4352" i="52"/>
  <c r="U4352" i="52"/>
  <c r="V4352" i="52"/>
  <c r="T4353" i="52"/>
  <c r="U4353" i="52"/>
  <c r="V4353" i="52"/>
  <c r="T4354" i="52"/>
  <c r="U4354" i="52"/>
  <c r="V4354" i="52"/>
  <c r="T4355" i="52"/>
  <c r="U4355" i="52"/>
  <c r="V4355" i="52"/>
  <c r="T4356" i="52"/>
  <c r="U4356" i="52"/>
  <c r="V4356" i="52"/>
  <c r="T4357" i="52"/>
  <c r="U4357" i="52"/>
  <c r="V4357" i="52"/>
  <c r="T4358" i="52"/>
  <c r="U4358" i="52"/>
  <c r="V4358" i="52"/>
  <c r="T4359" i="52"/>
  <c r="U4359" i="52"/>
  <c r="V4359" i="52"/>
  <c r="T4360" i="52"/>
  <c r="U4360" i="52"/>
  <c r="V4360" i="52"/>
  <c r="T4361" i="52"/>
  <c r="U4361" i="52"/>
  <c r="V4361" i="52"/>
  <c r="T4362" i="52"/>
  <c r="U4362" i="52"/>
  <c r="V4362" i="52"/>
  <c r="T4363" i="52"/>
  <c r="U4363" i="52"/>
  <c r="V4363" i="52"/>
  <c r="T4364" i="52"/>
  <c r="U4364" i="52"/>
  <c r="V4364" i="52"/>
  <c r="T4365" i="52"/>
  <c r="U4365" i="52"/>
  <c r="V4365" i="52"/>
  <c r="T4366" i="52"/>
  <c r="U4366" i="52"/>
  <c r="V4366" i="52"/>
  <c r="T4367" i="52"/>
  <c r="U4367" i="52"/>
  <c r="V4367" i="52"/>
  <c r="T4368" i="52"/>
  <c r="U4368" i="52"/>
  <c r="V4368" i="52"/>
  <c r="T4369" i="52"/>
  <c r="U4369" i="52"/>
  <c r="V4369" i="52"/>
  <c r="T4370" i="52"/>
  <c r="U4370" i="52"/>
  <c r="V4370" i="52"/>
  <c r="T4371" i="52"/>
  <c r="U4371" i="52"/>
  <c r="V4371" i="52"/>
  <c r="T4372" i="52"/>
  <c r="U4372" i="52"/>
  <c r="V4372" i="52"/>
  <c r="T4373" i="52"/>
  <c r="U4373" i="52"/>
  <c r="V4373" i="52"/>
  <c r="T4374" i="52"/>
  <c r="U4374" i="52"/>
  <c r="V4374" i="52"/>
  <c r="T4375" i="52"/>
  <c r="U4375" i="52"/>
  <c r="V4375" i="52"/>
  <c r="T4376" i="52"/>
  <c r="U4376" i="52"/>
  <c r="V4376" i="52"/>
  <c r="T4377" i="52"/>
  <c r="U4377" i="52"/>
  <c r="V4377" i="52"/>
  <c r="T4378" i="52"/>
  <c r="U4378" i="52"/>
  <c r="V4378" i="52"/>
  <c r="T4379" i="52"/>
  <c r="U4379" i="52"/>
  <c r="V4379" i="52"/>
  <c r="T4380" i="52"/>
  <c r="U4380" i="52"/>
  <c r="V4380" i="52"/>
  <c r="T4381" i="52"/>
  <c r="U4381" i="52"/>
  <c r="V4381" i="52"/>
  <c r="T4382" i="52"/>
  <c r="U4382" i="52"/>
  <c r="V4382" i="52"/>
  <c r="T4383" i="52"/>
  <c r="U4383" i="52"/>
  <c r="V4383" i="52"/>
  <c r="T4384" i="52"/>
  <c r="U4384" i="52"/>
  <c r="V4384" i="52"/>
  <c r="T4385" i="52"/>
  <c r="U4385" i="52"/>
  <c r="V4385" i="52"/>
  <c r="T4386" i="52"/>
  <c r="U4386" i="52"/>
  <c r="V4386" i="52"/>
  <c r="T4387" i="52"/>
  <c r="U4387" i="52"/>
  <c r="V4387" i="52"/>
  <c r="T4388" i="52"/>
  <c r="U4388" i="52"/>
  <c r="V4388" i="52"/>
  <c r="T4389" i="52"/>
  <c r="U4389" i="52"/>
  <c r="V4389" i="52"/>
  <c r="T4390" i="52"/>
  <c r="U4390" i="52"/>
  <c r="V4390" i="52"/>
  <c r="T4391" i="52"/>
  <c r="U4391" i="52"/>
  <c r="V4391" i="52"/>
  <c r="T4392" i="52"/>
  <c r="U4392" i="52"/>
  <c r="V4392" i="52"/>
  <c r="T4393" i="52"/>
  <c r="U4393" i="52"/>
  <c r="V4393" i="52"/>
  <c r="T4394" i="52"/>
  <c r="U4394" i="52"/>
  <c r="V4394" i="52"/>
  <c r="T4395" i="52"/>
  <c r="U4395" i="52"/>
  <c r="V4395" i="52"/>
  <c r="T4396" i="52"/>
  <c r="U4396" i="52"/>
  <c r="V4396" i="52"/>
  <c r="T4397" i="52"/>
  <c r="U4397" i="52"/>
  <c r="V4397" i="52"/>
  <c r="T4398" i="52"/>
  <c r="U4398" i="52"/>
  <c r="V4398" i="52"/>
  <c r="T4399" i="52"/>
  <c r="U4399" i="52"/>
  <c r="V4399" i="52"/>
  <c r="T4400" i="52"/>
  <c r="U4400" i="52"/>
  <c r="V4400" i="52"/>
  <c r="T4401" i="52"/>
  <c r="U4401" i="52"/>
  <c r="V4401" i="52"/>
  <c r="T4402" i="52"/>
  <c r="U4402" i="52"/>
  <c r="V4402" i="52"/>
  <c r="T4403" i="52"/>
  <c r="U4403" i="52"/>
  <c r="V4403" i="52"/>
  <c r="T4404" i="52"/>
  <c r="U4404" i="52"/>
  <c r="V4404" i="52"/>
  <c r="T4405" i="52"/>
  <c r="U4405" i="52"/>
  <c r="V4405" i="52"/>
  <c r="T4406" i="52"/>
  <c r="U4406" i="52"/>
  <c r="V4406" i="52"/>
  <c r="T4407" i="52"/>
  <c r="U4407" i="52"/>
  <c r="V4407" i="52"/>
  <c r="T4408" i="52"/>
  <c r="U4408" i="52"/>
  <c r="V4408" i="52"/>
  <c r="T4409" i="52"/>
  <c r="U4409" i="52"/>
  <c r="V4409" i="52"/>
  <c r="T4410" i="52"/>
  <c r="U4410" i="52"/>
  <c r="V4410" i="52"/>
  <c r="T4411" i="52"/>
  <c r="U4411" i="52"/>
  <c r="V4411" i="52"/>
  <c r="T4412" i="52"/>
  <c r="U4412" i="52"/>
  <c r="V4412" i="52"/>
  <c r="T4413" i="52"/>
  <c r="U4413" i="52"/>
  <c r="V4413" i="52"/>
  <c r="T4414" i="52"/>
  <c r="U4414" i="52"/>
  <c r="V4414" i="52"/>
  <c r="T4415" i="52"/>
  <c r="U4415" i="52"/>
  <c r="V4415" i="52"/>
  <c r="T4416" i="52"/>
  <c r="U4416" i="52"/>
  <c r="V4416" i="52"/>
  <c r="T4417" i="52"/>
  <c r="U4417" i="52"/>
  <c r="V4417" i="52"/>
  <c r="T4418" i="52"/>
  <c r="U4418" i="52"/>
  <c r="V4418" i="52"/>
  <c r="T4419" i="52"/>
  <c r="U4419" i="52"/>
  <c r="V4419" i="52"/>
  <c r="T4420" i="52"/>
  <c r="U4420" i="52"/>
  <c r="V4420" i="52"/>
  <c r="T4421" i="52"/>
  <c r="U4421" i="52"/>
  <c r="V4421" i="52"/>
  <c r="T4422" i="52"/>
  <c r="U4422" i="52"/>
  <c r="V4422" i="52"/>
  <c r="T4423" i="52"/>
  <c r="U4423" i="52"/>
  <c r="V4423" i="52"/>
  <c r="T4424" i="52"/>
  <c r="U4424" i="52"/>
  <c r="V4424" i="52"/>
  <c r="T4425" i="52"/>
  <c r="U4425" i="52"/>
  <c r="V4425" i="52"/>
  <c r="T4426" i="52"/>
  <c r="U4426" i="52"/>
  <c r="V4426" i="52"/>
  <c r="T4427" i="52"/>
  <c r="U4427" i="52"/>
  <c r="V4427" i="52"/>
  <c r="T4428" i="52"/>
  <c r="U4428" i="52"/>
  <c r="V4428" i="52"/>
  <c r="T4429" i="52"/>
  <c r="U4429" i="52"/>
  <c r="V4429" i="52"/>
  <c r="T4430" i="52"/>
  <c r="U4430" i="52"/>
  <c r="V4430" i="52"/>
  <c r="T4431" i="52"/>
  <c r="U4431" i="52"/>
  <c r="V4431" i="52"/>
  <c r="T4432" i="52"/>
  <c r="U4432" i="52"/>
  <c r="V4432" i="52"/>
  <c r="T4433" i="52"/>
  <c r="U4433" i="52"/>
  <c r="V4433" i="52"/>
  <c r="T4434" i="52"/>
  <c r="U4434" i="52"/>
  <c r="V4434" i="52"/>
  <c r="T4435" i="52"/>
  <c r="U4435" i="52"/>
  <c r="V4435" i="52"/>
  <c r="T4436" i="52"/>
  <c r="U4436" i="52"/>
  <c r="V4436" i="52"/>
  <c r="T4437" i="52"/>
  <c r="U4437" i="52"/>
  <c r="V4437" i="52"/>
  <c r="T4438" i="52"/>
  <c r="U4438" i="52"/>
  <c r="V4438" i="52"/>
  <c r="T4439" i="52"/>
  <c r="U4439" i="52"/>
  <c r="V4439" i="52"/>
  <c r="T4440" i="52"/>
  <c r="U4440" i="52"/>
  <c r="V4440" i="52"/>
  <c r="T4441" i="52"/>
  <c r="U4441" i="52"/>
  <c r="V4441" i="52"/>
  <c r="T4442" i="52"/>
  <c r="U4442" i="52"/>
  <c r="V4442" i="52"/>
  <c r="T4443" i="52"/>
  <c r="U4443" i="52"/>
  <c r="V4443" i="52"/>
  <c r="T4444" i="52"/>
  <c r="U4444" i="52"/>
  <c r="V4444" i="52"/>
  <c r="T4445" i="52"/>
  <c r="U4445" i="52"/>
  <c r="V4445" i="52"/>
  <c r="T4446" i="52"/>
  <c r="U4446" i="52"/>
  <c r="V4446" i="52"/>
  <c r="T4447" i="52"/>
  <c r="U4447" i="52"/>
  <c r="V4447" i="52"/>
  <c r="T4448" i="52"/>
  <c r="U4448" i="52"/>
  <c r="V4448" i="52"/>
  <c r="T4449" i="52"/>
  <c r="U4449" i="52"/>
  <c r="V4449" i="52"/>
  <c r="T4450" i="52"/>
  <c r="U4450" i="52"/>
  <c r="V4450" i="52"/>
  <c r="T4451" i="52"/>
  <c r="U4451" i="52"/>
  <c r="V4451" i="52"/>
  <c r="T4452" i="52"/>
  <c r="U4452" i="52"/>
  <c r="V4452" i="52"/>
  <c r="T4453" i="52"/>
  <c r="U4453" i="52"/>
  <c r="V4453" i="52"/>
  <c r="T4454" i="52"/>
  <c r="U4454" i="52"/>
  <c r="V4454" i="52"/>
  <c r="T4455" i="52"/>
  <c r="U4455" i="52"/>
  <c r="V4455" i="52"/>
  <c r="T4456" i="52"/>
  <c r="U4456" i="52"/>
  <c r="V4456" i="52"/>
  <c r="T4457" i="52"/>
  <c r="U4457" i="52"/>
  <c r="V4457" i="52"/>
  <c r="T4458" i="52"/>
  <c r="U4458" i="52"/>
  <c r="V4458" i="52"/>
  <c r="T4459" i="52"/>
  <c r="U4459" i="52"/>
  <c r="V4459" i="52"/>
  <c r="T4460" i="52"/>
  <c r="U4460" i="52"/>
  <c r="V4460" i="52"/>
  <c r="T4461" i="52"/>
  <c r="U4461" i="52"/>
  <c r="V4461" i="52"/>
  <c r="T4462" i="52"/>
  <c r="U4462" i="52"/>
  <c r="V4462" i="52"/>
  <c r="T4463" i="52"/>
  <c r="U4463" i="52"/>
  <c r="V4463" i="52"/>
  <c r="T4464" i="52"/>
  <c r="U4464" i="52"/>
  <c r="V4464" i="52"/>
  <c r="T4465" i="52"/>
  <c r="U4465" i="52"/>
  <c r="V4465" i="52"/>
  <c r="T4466" i="52"/>
  <c r="U4466" i="52"/>
  <c r="V4466" i="52"/>
  <c r="T4467" i="52"/>
  <c r="U4467" i="52"/>
  <c r="V4467" i="52"/>
  <c r="T4468" i="52"/>
  <c r="U4468" i="52"/>
  <c r="V4468" i="52"/>
  <c r="T4469" i="52"/>
  <c r="U4469" i="52"/>
  <c r="V4469" i="52"/>
  <c r="T4470" i="52"/>
  <c r="U4470" i="52"/>
  <c r="V4470" i="52"/>
  <c r="T4471" i="52"/>
  <c r="U4471" i="52"/>
  <c r="V4471" i="52"/>
  <c r="T4472" i="52"/>
  <c r="U4472" i="52"/>
  <c r="V4472" i="52"/>
  <c r="T4473" i="52"/>
  <c r="U4473" i="52"/>
  <c r="V4473" i="52"/>
  <c r="T4474" i="52"/>
  <c r="U4474" i="52"/>
  <c r="V4474" i="52"/>
  <c r="T4475" i="52"/>
  <c r="U4475" i="52"/>
  <c r="V4475" i="52"/>
  <c r="T4476" i="52"/>
  <c r="U4476" i="52"/>
  <c r="V4476" i="52"/>
  <c r="T4477" i="52"/>
  <c r="U4477" i="52"/>
  <c r="V4477" i="52"/>
  <c r="T4478" i="52"/>
  <c r="U4478" i="52"/>
  <c r="V4478" i="52"/>
  <c r="T4479" i="52"/>
  <c r="U4479" i="52"/>
  <c r="V4479" i="52"/>
  <c r="T4480" i="52"/>
  <c r="U4480" i="52"/>
  <c r="V4480" i="52"/>
  <c r="T4481" i="52"/>
  <c r="U4481" i="52"/>
  <c r="V4481" i="52"/>
  <c r="T4482" i="52"/>
  <c r="U4482" i="52"/>
  <c r="V4482" i="52"/>
  <c r="T4483" i="52"/>
  <c r="U4483" i="52"/>
  <c r="V4483" i="52"/>
  <c r="T4484" i="52"/>
  <c r="U4484" i="52"/>
  <c r="V4484" i="52"/>
  <c r="T4485" i="52"/>
  <c r="U4485" i="52"/>
  <c r="V4485" i="52"/>
  <c r="T4486" i="52"/>
  <c r="U4486" i="52"/>
  <c r="V4486" i="52"/>
  <c r="T4487" i="52"/>
  <c r="U4487" i="52"/>
  <c r="V4487" i="52"/>
  <c r="T4488" i="52"/>
  <c r="U4488" i="52"/>
  <c r="V4488" i="52"/>
  <c r="T4489" i="52"/>
  <c r="U4489" i="52"/>
  <c r="V4489" i="52"/>
  <c r="T4490" i="52"/>
  <c r="U4490" i="52"/>
  <c r="V4490" i="52"/>
  <c r="T4491" i="52"/>
  <c r="U4491" i="52"/>
  <c r="V4491" i="52"/>
  <c r="T4492" i="52"/>
  <c r="U4492" i="52"/>
  <c r="V4492" i="52"/>
  <c r="T4493" i="52"/>
  <c r="U4493" i="52"/>
  <c r="V4493" i="52"/>
  <c r="T4494" i="52"/>
  <c r="U4494" i="52"/>
  <c r="V4494" i="52"/>
  <c r="T4495" i="52"/>
  <c r="U4495" i="52"/>
  <c r="V4495" i="52"/>
  <c r="T4496" i="52"/>
  <c r="U4496" i="52"/>
  <c r="V4496" i="52"/>
  <c r="T4497" i="52"/>
  <c r="U4497" i="52"/>
  <c r="V4497" i="52"/>
  <c r="T4498" i="52"/>
  <c r="U4498" i="52"/>
  <c r="V4498" i="52"/>
  <c r="T4499" i="52"/>
  <c r="U4499" i="52"/>
  <c r="V4499" i="52"/>
  <c r="T4500" i="52"/>
  <c r="U4500" i="52"/>
  <c r="V4500" i="52"/>
  <c r="T4501" i="52"/>
  <c r="U4501" i="52"/>
  <c r="V4501" i="52"/>
  <c r="T4502" i="52"/>
  <c r="U4502" i="52"/>
  <c r="V4502" i="52"/>
  <c r="T4503" i="52"/>
  <c r="U4503" i="52"/>
  <c r="V4503" i="52"/>
  <c r="T4504" i="52"/>
  <c r="U4504" i="52"/>
  <c r="V4504" i="52"/>
  <c r="T4505" i="52"/>
  <c r="U4505" i="52"/>
  <c r="V4505" i="52"/>
  <c r="T4506" i="52"/>
  <c r="U4506" i="52"/>
  <c r="V4506" i="52"/>
  <c r="T4507" i="52"/>
  <c r="U4507" i="52"/>
  <c r="V4507" i="52"/>
  <c r="T4508" i="52"/>
  <c r="U4508" i="52"/>
  <c r="V4508" i="52"/>
  <c r="T4509" i="52"/>
  <c r="U4509" i="52"/>
  <c r="V4509" i="52"/>
  <c r="T4510" i="52"/>
  <c r="U4510" i="52"/>
  <c r="V4510" i="52"/>
  <c r="T4511" i="52"/>
  <c r="U4511" i="52"/>
  <c r="V4511" i="52"/>
  <c r="T4512" i="52"/>
  <c r="U4512" i="52"/>
  <c r="V4512" i="52"/>
  <c r="T4513" i="52"/>
  <c r="U4513" i="52"/>
  <c r="V4513" i="52"/>
  <c r="T4514" i="52"/>
  <c r="U4514" i="52"/>
  <c r="V4514" i="52"/>
  <c r="T4515" i="52"/>
  <c r="U4515" i="52"/>
  <c r="V4515" i="52"/>
  <c r="T4516" i="52"/>
  <c r="U4516" i="52"/>
  <c r="V4516" i="52"/>
  <c r="T4517" i="52"/>
  <c r="U4517" i="52"/>
  <c r="V4517" i="52"/>
  <c r="T4518" i="52"/>
  <c r="U4518" i="52"/>
  <c r="V4518" i="52"/>
  <c r="T4519" i="52"/>
  <c r="U4519" i="52"/>
  <c r="V4519" i="52"/>
  <c r="T4520" i="52"/>
  <c r="U4520" i="52"/>
  <c r="V4520" i="52"/>
  <c r="T4521" i="52"/>
  <c r="U4521" i="52"/>
  <c r="V4521" i="52"/>
  <c r="T4522" i="52"/>
  <c r="U4522" i="52"/>
  <c r="V4522" i="52"/>
  <c r="T4523" i="52"/>
  <c r="U4523" i="52"/>
  <c r="V4523" i="52"/>
  <c r="T4524" i="52"/>
  <c r="U4524" i="52"/>
  <c r="V4524" i="52"/>
  <c r="T4525" i="52"/>
  <c r="U4525" i="52"/>
  <c r="V4525" i="52"/>
  <c r="T4526" i="52"/>
  <c r="U4526" i="52"/>
  <c r="V4526" i="52"/>
  <c r="T4527" i="52"/>
  <c r="U4527" i="52"/>
  <c r="V4527" i="52"/>
  <c r="T4528" i="52"/>
  <c r="U4528" i="52"/>
  <c r="V4528" i="52"/>
  <c r="T4529" i="52"/>
  <c r="U4529" i="52"/>
  <c r="V4529" i="52"/>
  <c r="T4530" i="52"/>
  <c r="U4530" i="52"/>
  <c r="V4530" i="52"/>
  <c r="T4531" i="52"/>
  <c r="U4531" i="52"/>
  <c r="V4531" i="52"/>
  <c r="T4532" i="52"/>
  <c r="U4532" i="52"/>
  <c r="V4532" i="52"/>
  <c r="T4533" i="52"/>
  <c r="U4533" i="52"/>
  <c r="V4533" i="52"/>
  <c r="T4534" i="52"/>
  <c r="U4534" i="52"/>
  <c r="V4534" i="52"/>
  <c r="T4535" i="52"/>
  <c r="U4535" i="52"/>
  <c r="V4535" i="52"/>
  <c r="T4536" i="52"/>
  <c r="U4536" i="52"/>
  <c r="V4536" i="52"/>
  <c r="T4537" i="52"/>
  <c r="U4537" i="52"/>
  <c r="V4537" i="52"/>
  <c r="T4538" i="52"/>
  <c r="U4538" i="52"/>
  <c r="V4538" i="52"/>
  <c r="T4539" i="52"/>
  <c r="U4539" i="52"/>
  <c r="V4539" i="52"/>
  <c r="T4540" i="52"/>
  <c r="U4540" i="52"/>
  <c r="V4540" i="52"/>
  <c r="T4541" i="52"/>
  <c r="U4541" i="52"/>
  <c r="V4541" i="52"/>
  <c r="T4542" i="52"/>
  <c r="U4542" i="52"/>
  <c r="V4542" i="52"/>
  <c r="T4543" i="52"/>
  <c r="U4543" i="52"/>
  <c r="V4543" i="52"/>
  <c r="T4544" i="52"/>
  <c r="U4544" i="52"/>
  <c r="V4544" i="52"/>
  <c r="T4545" i="52"/>
  <c r="U4545" i="52"/>
  <c r="V4545" i="52"/>
  <c r="T4546" i="52"/>
  <c r="U4546" i="52"/>
  <c r="V4546" i="52"/>
  <c r="T4547" i="52"/>
  <c r="U4547" i="52"/>
  <c r="V4547" i="52"/>
  <c r="T4548" i="52"/>
  <c r="U4548" i="52"/>
  <c r="V4548" i="52"/>
  <c r="T4549" i="52"/>
  <c r="U4549" i="52"/>
  <c r="V4549" i="52"/>
  <c r="T4550" i="52"/>
  <c r="U4550" i="52"/>
  <c r="V4550" i="52"/>
  <c r="T4551" i="52"/>
  <c r="U4551" i="52"/>
  <c r="V4551" i="52"/>
  <c r="T4552" i="52"/>
  <c r="U4552" i="52"/>
  <c r="V4552" i="52"/>
  <c r="T4553" i="52"/>
  <c r="U4553" i="52"/>
  <c r="V4553" i="52"/>
  <c r="T4554" i="52"/>
  <c r="U4554" i="52"/>
  <c r="V4554" i="52"/>
  <c r="T4555" i="52"/>
  <c r="U4555" i="52"/>
  <c r="V4555" i="52"/>
  <c r="T4556" i="52"/>
  <c r="U4556" i="52"/>
  <c r="V4556" i="52"/>
  <c r="T4557" i="52"/>
  <c r="U4557" i="52"/>
  <c r="V4557" i="52"/>
  <c r="T4558" i="52"/>
  <c r="U4558" i="52"/>
  <c r="V4558" i="52"/>
  <c r="T4559" i="52"/>
  <c r="U4559" i="52"/>
  <c r="V4559" i="52"/>
  <c r="T4560" i="52"/>
  <c r="U4560" i="52"/>
  <c r="V4560" i="52"/>
  <c r="T4561" i="52"/>
  <c r="U4561" i="52"/>
  <c r="V4561" i="52"/>
  <c r="T4562" i="52"/>
  <c r="U4562" i="52"/>
  <c r="V4562" i="52"/>
  <c r="T4563" i="52"/>
  <c r="U4563" i="52"/>
  <c r="V4563" i="52"/>
  <c r="T4564" i="52"/>
  <c r="U4564" i="52"/>
  <c r="V4564" i="52"/>
  <c r="T4565" i="52"/>
  <c r="U4565" i="52"/>
  <c r="V4565" i="52"/>
  <c r="T4566" i="52"/>
  <c r="U4566" i="52"/>
  <c r="V4566" i="52"/>
  <c r="T4567" i="52"/>
  <c r="U4567" i="52"/>
  <c r="V4567" i="52"/>
  <c r="T4568" i="52"/>
  <c r="U4568" i="52"/>
  <c r="V4568" i="52"/>
  <c r="T4569" i="52"/>
  <c r="U4569" i="52"/>
  <c r="V4569" i="52"/>
  <c r="T4570" i="52"/>
  <c r="U4570" i="52"/>
  <c r="V4570" i="52"/>
  <c r="T4571" i="52"/>
  <c r="U4571" i="52"/>
  <c r="V4571" i="52"/>
  <c r="T4572" i="52"/>
  <c r="U4572" i="52"/>
  <c r="V4572" i="52"/>
  <c r="T4573" i="52"/>
  <c r="U4573" i="52"/>
  <c r="V4573" i="52"/>
  <c r="T4574" i="52"/>
  <c r="U4574" i="52"/>
  <c r="V4574" i="52"/>
  <c r="T4575" i="52"/>
  <c r="U4575" i="52"/>
  <c r="V4575" i="52"/>
  <c r="T4576" i="52"/>
  <c r="U4576" i="52"/>
  <c r="V4576" i="52"/>
  <c r="T4577" i="52"/>
  <c r="U4577" i="52"/>
  <c r="V4577" i="52"/>
  <c r="T4578" i="52"/>
  <c r="U4578" i="52"/>
  <c r="V4578" i="52"/>
  <c r="T4579" i="52"/>
  <c r="U4579" i="52"/>
  <c r="V4579" i="52"/>
  <c r="T4580" i="52"/>
  <c r="U4580" i="52"/>
  <c r="V4580" i="52"/>
  <c r="T4581" i="52"/>
  <c r="U4581" i="52"/>
  <c r="V4581" i="52"/>
  <c r="T4582" i="52"/>
  <c r="U4582" i="52"/>
  <c r="V4582" i="52"/>
  <c r="T4583" i="52"/>
  <c r="U4583" i="52"/>
  <c r="V4583" i="52"/>
  <c r="T4584" i="52"/>
  <c r="U4584" i="52"/>
  <c r="V4584" i="52"/>
  <c r="T4585" i="52"/>
  <c r="U4585" i="52"/>
  <c r="V4585" i="52"/>
  <c r="T4586" i="52"/>
  <c r="U4586" i="52"/>
  <c r="V4586" i="52"/>
  <c r="T4587" i="52"/>
  <c r="U4587" i="52"/>
  <c r="V4587" i="52"/>
  <c r="T4588" i="52"/>
  <c r="U4588" i="52"/>
  <c r="V4588" i="52"/>
  <c r="T4589" i="52"/>
  <c r="U4589" i="52"/>
  <c r="V4589" i="52"/>
  <c r="T4590" i="52"/>
  <c r="U4590" i="52"/>
  <c r="V4590" i="52"/>
  <c r="T4591" i="52"/>
  <c r="U4591" i="52"/>
  <c r="V4591" i="52"/>
  <c r="T4592" i="52"/>
  <c r="U4592" i="52"/>
  <c r="V4592" i="52"/>
  <c r="T4593" i="52"/>
  <c r="U4593" i="52"/>
  <c r="V4593" i="52"/>
  <c r="T4594" i="52"/>
  <c r="U4594" i="52"/>
  <c r="V4594" i="52"/>
  <c r="T4595" i="52"/>
  <c r="U4595" i="52"/>
  <c r="V4595" i="52"/>
  <c r="T4596" i="52"/>
  <c r="U4596" i="52"/>
  <c r="V4596" i="52"/>
  <c r="T4597" i="52"/>
  <c r="U4597" i="52"/>
  <c r="V4597" i="52"/>
  <c r="T4598" i="52"/>
  <c r="U4598" i="52"/>
  <c r="V4598" i="52"/>
  <c r="T4599" i="52"/>
  <c r="U4599" i="52"/>
  <c r="V4599" i="52"/>
  <c r="T4600" i="52"/>
  <c r="U4600" i="52"/>
  <c r="V4600" i="52"/>
  <c r="T4601" i="52"/>
  <c r="U4601" i="52"/>
  <c r="V4601" i="52"/>
  <c r="T4602" i="52"/>
  <c r="U4602" i="52"/>
  <c r="V4602" i="52"/>
  <c r="T4603" i="52"/>
  <c r="U4603" i="52"/>
  <c r="V4603" i="52"/>
  <c r="T4604" i="52"/>
  <c r="U4604" i="52"/>
  <c r="V4604" i="52"/>
  <c r="T4605" i="52"/>
  <c r="U4605" i="52"/>
  <c r="V4605" i="52"/>
  <c r="T4606" i="52"/>
  <c r="U4606" i="52"/>
  <c r="V4606" i="52"/>
  <c r="T4607" i="52"/>
  <c r="U4607" i="52"/>
  <c r="V4607" i="52"/>
  <c r="T4608" i="52"/>
  <c r="U4608" i="52"/>
  <c r="V4608" i="52"/>
  <c r="T4609" i="52"/>
  <c r="U4609" i="52"/>
  <c r="V4609" i="52"/>
  <c r="T4610" i="52"/>
  <c r="U4610" i="52"/>
  <c r="V4610" i="52"/>
  <c r="T4611" i="52"/>
  <c r="U4611" i="52"/>
  <c r="V4611" i="52"/>
  <c r="T4612" i="52"/>
  <c r="U4612" i="52"/>
  <c r="V4612" i="52"/>
  <c r="T4613" i="52"/>
  <c r="U4613" i="52"/>
  <c r="V4613" i="52"/>
  <c r="T4614" i="52"/>
  <c r="U4614" i="52"/>
  <c r="V4614" i="52"/>
  <c r="T4615" i="52"/>
  <c r="U4615" i="52"/>
  <c r="V4615" i="52"/>
  <c r="T4616" i="52"/>
  <c r="U4616" i="52"/>
  <c r="V4616" i="52"/>
  <c r="T4617" i="52"/>
  <c r="U4617" i="52"/>
  <c r="V4617" i="52"/>
  <c r="T4618" i="52"/>
  <c r="U4618" i="52"/>
  <c r="V4618" i="52"/>
  <c r="T4619" i="52"/>
  <c r="U4619" i="52"/>
  <c r="V4619" i="52"/>
  <c r="T4620" i="52"/>
  <c r="U4620" i="52"/>
  <c r="V4620" i="52"/>
  <c r="T4621" i="52"/>
  <c r="U4621" i="52"/>
  <c r="V4621" i="52"/>
  <c r="T4622" i="52"/>
  <c r="U4622" i="52"/>
  <c r="V4622" i="52"/>
  <c r="T4623" i="52"/>
  <c r="U4623" i="52"/>
  <c r="V4623" i="52"/>
  <c r="T4624" i="52"/>
  <c r="U4624" i="52"/>
  <c r="V4624" i="52"/>
  <c r="T4625" i="52"/>
  <c r="U4625" i="52"/>
  <c r="V4625" i="52"/>
  <c r="T4626" i="52"/>
  <c r="U4626" i="52"/>
  <c r="V4626" i="52"/>
  <c r="T4627" i="52"/>
  <c r="U4627" i="52"/>
  <c r="V4627" i="52"/>
  <c r="T4628" i="52"/>
  <c r="U4628" i="52"/>
  <c r="V4628" i="52"/>
  <c r="T4629" i="52"/>
  <c r="U4629" i="52"/>
  <c r="V4629" i="52"/>
  <c r="T4630" i="52"/>
  <c r="U4630" i="52"/>
  <c r="V4630" i="52"/>
  <c r="T4631" i="52"/>
  <c r="U4631" i="52"/>
  <c r="V4631" i="52"/>
  <c r="T4632" i="52"/>
  <c r="U4632" i="52"/>
  <c r="V4632" i="52"/>
  <c r="T4633" i="52"/>
  <c r="U4633" i="52"/>
  <c r="V4633" i="52"/>
  <c r="T4634" i="52"/>
  <c r="U4634" i="52"/>
  <c r="V4634" i="52"/>
  <c r="T4635" i="52"/>
  <c r="U4635" i="52"/>
  <c r="V4635" i="52"/>
  <c r="T4636" i="52"/>
  <c r="U4636" i="52"/>
  <c r="V4636" i="52"/>
  <c r="T4637" i="52"/>
  <c r="U4637" i="52"/>
  <c r="V4637" i="52"/>
  <c r="T4638" i="52"/>
  <c r="U4638" i="52"/>
  <c r="V4638" i="52"/>
  <c r="T4639" i="52"/>
  <c r="U4639" i="52"/>
  <c r="V4639" i="52"/>
  <c r="T4640" i="52"/>
  <c r="U4640" i="52"/>
  <c r="V4640" i="52"/>
  <c r="T4641" i="52"/>
  <c r="U4641" i="52"/>
  <c r="V4641" i="52"/>
  <c r="T4642" i="52"/>
  <c r="U4642" i="52"/>
  <c r="V4642" i="52"/>
  <c r="T4643" i="52"/>
  <c r="U4643" i="52"/>
  <c r="V4643" i="52"/>
  <c r="T4644" i="52"/>
  <c r="U4644" i="52"/>
  <c r="V4644" i="52"/>
  <c r="T4645" i="52"/>
  <c r="U4645" i="52"/>
  <c r="V4645" i="52"/>
  <c r="T4646" i="52"/>
  <c r="U4646" i="52"/>
  <c r="V4646" i="52"/>
  <c r="T4647" i="52"/>
  <c r="U4647" i="52"/>
  <c r="V4647" i="52"/>
  <c r="T4648" i="52"/>
  <c r="U4648" i="52"/>
  <c r="V4648" i="52"/>
  <c r="T4649" i="52"/>
  <c r="U4649" i="52"/>
  <c r="V4649" i="52"/>
  <c r="T4650" i="52"/>
  <c r="U4650" i="52"/>
  <c r="V4650" i="52"/>
  <c r="T4651" i="52"/>
  <c r="U4651" i="52"/>
  <c r="V4651" i="52"/>
  <c r="T4652" i="52"/>
  <c r="U4652" i="52"/>
  <c r="V4652" i="52"/>
  <c r="T4653" i="52"/>
  <c r="U4653" i="52"/>
  <c r="V4653" i="52"/>
  <c r="T4654" i="52"/>
  <c r="U4654" i="52"/>
  <c r="V4654" i="52"/>
  <c r="T4655" i="52"/>
  <c r="U4655" i="52"/>
  <c r="V4655" i="52"/>
  <c r="T4656" i="52"/>
  <c r="U4656" i="52"/>
  <c r="V4656" i="52"/>
  <c r="T4657" i="52"/>
  <c r="U4657" i="52"/>
  <c r="V4657" i="52"/>
  <c r="T4658" i="52"/>
  <c r="U4658" i="52"/>
  <c r="V4658" i="52"/>
  <c r="T4659" i="52"/>
  <c r="U4659" i="52"/>
  <c r="V4659" i="52"/>
  <c r="T4660" i="52"/>
  <c r="U4660" i="52"/>
  <c r="V4660" i="52"/>
  <c r="T4661" i="52"/>
  <c r="U4661" i="52"/>
  <c r="V4661" i="52"/>
  <c r="T4662" i="52"/>
  <c r="U4662" i="52"/>
  <c r="V4662" i="52"/>
  <c r="T4663" i="52"/>
  <c r="U4663" i="52"/>
  <c r="V4663" i="52"/>
  <c r="T4664" i="52"/>
  <c r="U4664" i="52"/>
  <c r="V4664" i="52"/>
  <c r="T4665" i="52"/>
  <c r="U4665" i="52"/>
  <c r="V4665" i="52"/>
  <c r="T4666" i="52"/>
  <c r="U4666" i="52"/>
  <c r="V4666" i="52"/>
  <c r="T4667" i="52"/>
  <c r="U4667" i="52"/>
  <c r="V4667" i="52"/>
  <c r="T4668" i="52"/>
  <c r="U4668" i="52"/>
  <c r="V4668" i="52"/>
  <c r="T4669" i="52"/>
  <c r="U4669" i="52"/>
  <c r="V4669" i="52"/>
  <c r="T4670" i="52"/>
  <c r="U4670" i="52"/>
  <c r="V4670" i="52"/>
  <c r="T4671" i="52"/>
  <c r="U4671" i="52"/>
  <c r="V4671" i="52"/>
  <c r="T4672" i="52"/>
  <c r="U4672" i="52"/>
  <c r="V4672" i="52"/>
  <c r="T4673" i="52"/>
  <c r="U4673" i="52"/>
  <c r="V4673" i="52"/>
  <c r="T4674" i="52"/>
  <c r="U4674" i="52"/>
  <c r="V4674" i="52"/>
  <c r="T4675" i="52"/>
  <c r="U4675" i="52"/>
  <c r="V4675" i="52"/>
  <c r="T4676" i="52"/>
  <c r="U4676" i="52"/>
  <c r="V4676" i="52"/>
  <c r="T4677" i="52"/>
  <c r="U4677" i="52"/>
  <c r="V4677" i="52"/>
  <c r="T4678" i="52"/>
  <c r="U4678" i="52"/>
  <c r="V4678" i="52"/>
  <c r="T4679" i="52"/>
  <c r="U4679" i="52"/>
  <c r="V4679" i="52"/>
  <c r="T4680" i="52"/>
  <c r="U4680" i="52"/>
  <c r="V4680" i="52"/>
  <c r="T4681" i="52"/>
  <c r="U4681" i="52"/>
  <c r="V4681" i="52"/>
  <c r="T4682" i="52"/>
  <c r="U4682" i="52"/>
  <c r="V4682" i="52"/>
  <c r="T4683" i="52"/>
  <c r="U4683" i="52"/>
  <c r="V4683" i="52"/>
  <c r="T4684" i="52"/>
  <c r="U4684" i="52"/>
  <c r="V4684" i="52"/>
  <c r="T4685" i="52"/>
  <c r="U4685" i="52"/>
  <c r="V4685" i="52"/>
  <c r="T4686" i="52"/>
  <c r="U4686" i="52"/>
  <c r="V4686" i="52"/>
  <c r="T4687" i="52"/>
  <c r="U4687" i="52"/>
  <c r="V4687" i="52"/>
  <c r="T4688" i="52"/>
  <c r="U4688" i="52"/>
  <c r="V4688" i="52"/>
  <c r="T4689" i="52"/>
  <c r="U4689" i="52"/>
  <c r="V4689" i="52"/>
  <c r="T4690" i="52"/>
  <c r="U4690" i="52"/>
  <c r="V4690" i="52"/>
  <c r="T4691" i="52"/>
  <c r="U4691" i="52"/>
  <c r="V4691" i="52"/>
  <c r="T4692" i="52"/>
  <c r="U4692" i="52"/>
  <c r="V4692" i="52"/>
  <c r="T4693" i="52"/>
  <c r="U4693" i="52"/>
  <c r="V4693" i="52"/>
  <c r="T4694" i="52"/>
  <c r="U4694" i="52"/>
  <c r="V4694" i="52"/>
  <c r="T4695" i="52"/>
  <c r="U4695" i="52"/>
  <c r="V4695" i="52"/>
  <c r="T4696" i="52"/>
  <c r="U4696" i="52"/>
  <c r="V4696" i="52"/>
  <c r="T4697" i="52"/>
  <c r="U4697" i="52"/>
  <c r="V4697" i="52"/>
  <c r="T4698" i="52"/>
  <c r="U4698" i="52"/>
  <c r="V4698" i="52"/>
  <c r="T4699" i="52"/>
  <c r="U4699" i="52"/>
  <c r="V4699" i="52"/>
  <c r="T4700" i="52"/>
  <c r="U4700" i="52"/>
  <c r="V4700" i="52"/>
  <c r="T4701" i="52"/>
  <c r="U4701" i="52"/>
  <c r="V4701" i="52"/>
  <c r="T4702" i="52"/>
  <c r="U4702" i="52"/>
  <c r="V4702" i="52"/>
  <c r="T4703" i="52"/>
  <c r="U4703" i="52"/>
  <c r="V4703" i="52"/>
  <c r="T4704" i="52"/>
  <c r="U4704" i="52"/>
  <c r="V4704" i="52"/>
  <c r="T4705" i="52"/>
  <c r="U4705" i="52"/>
  <c r="V4705" i="52"/>
  <c r="T4706" i="52"/>
  <c r="U4706" i="52"/>
  <c r="V4706" i="52"/>
  <c r="T4707" i="52"/>
  <c r="U4707" i="52"/>
  <c r="V4707" i="52"/>
  <c r="T4708" i="52"/>
  <c r="U4708" i="52"/>
  <c r="V4708" i="52"/>
  <c r="T4709" i="52"/>
  <c r="U4709" i="52"/>
  <c r="V4709" i="52"/>
  <c r="T4710" i="52"/>
  <c r="U4710" i="52"/>
  <c r="V4710" i="52"/>
  <c r="T4711" i="52"/>
  <c r="U4711" i="52"/>
  <c r="V4711" i="52"/>
  <c r="T4712" i="52"/>
  <c r="U4712" i="52"/>
  <c r="V4712" i="52"/>
  <c r="T4713" i="52"/>
  <c r="U4713" i="52"/>
  <c r="V4713" i="52"/>
  <c r="T4714" i="52"/>
  <c r="U4714" i="52"/>
  <c r="V4714" i="52"/>
  <c r="T4715" i="52"/>
  <c r="U4715" i="52"/>
  <c r="V4715" i="52"/>
  <c r="T4716" i="52"/>
  <c r="U4716" i="52"/>
  <c r="V4716" i="52"/>
  <c r="T4717" i="52"/>
  <c r="U4717" i="52"/>
  <c r="V4717" i="52"/>
  <c r="T4718" i="52"/>
  <c r="U4718" i="52"/>
  <c r="V4718" i="52"/>
  <c r="T4719" i="52"/>
  <c r="U4719" i="52"/>
  <c r="V4719" i="52"/>
  <c r="T4720" i="52"/>
  <c r="U4720" i="52"/>
  <c r="V4720" i="52"/>
  <c r="T4721" i="52"/>
  <c r="U4721" i="52"/>
  <c r="V4721" i="52"/>
  <c r="T4722" i="52"/>
  <c r="U4722" i="52"/>
  <c r="V4722" i="52"/>
  <c r="T4723" i="52"/>
  <c r="U4723" i="52"/>
  <c r="V4723" i="52"/>
  <c r="T4724" i="52"/>
  <c r="U4724" i="52"/>
  <c r="V4724" i="52"/>
  <c r="T4725" i="52"/>
  <c r="U4725" i="52"/>
  <c r="V4725" i="52"/>
  <c r="T4726" i="52"/>
  <c r="U4726" i="52"/>
  <c r="V4726" i="52"/>
  <c r="T4727" i="52"/>
  <c r="U4727" i="52"/>
  <c r="V4727" i="52"/>
  <c r="T4728" i="52"/>
  <c r="U4728" i="52"/>
  <c r="V4728" i="52"/>
  <c r="T4729" i="52"/>
  <c r="U4729" i="52"/>
  <c r="V4729" i="52"/>
  <c r="T4730" i="52"/>
  <c r="U4730" i="52"/>
  <c r="V4730" i="52"/>
  <c r="T4731" i="52"/>
  <c r="U4731" i="52"/>
  <c r="V4731" i="52"/>
  <c r="T4732" i="52"/>
  <c r="U4732" i="52"/>
  <c r="V4732" i="52"/>
  <c r="T4733" i="52"/>
  <c r="U4733" i="52"/>
  <c r="V4733" i="52"/>
  <c r="T4734" i="52"/>
  <c r="U4734" i="52"/>
  <c r="V4734" i="52"/>
  <c r="T4735" i="52"/>
  <c r="U4735" i="52"/>
  <c r="V4735" i="52"/>
  <c r="T4736" i="52"/>
  <c r="U4736" i="52"/>
  <c r="V4736" i="52"/>
  <c r="T4737" i="52"/>
  <c r="U4737" i="52"/>
  <c r="V4737" i="52"/>
  <c r="T4738" i="52"/>
  <c r="U4738" i="52"/>
  <c r="V4738" i="52"/>
  <c r="T4739" i="52"/>
  <c r="U4739" i="52"/>
  <c r="V4739" i="52"/>
  <c r="T4740" i="52"/>
  <c r="U4740" i="52"/>
  <c r="V4740" i="52"/>
  <c r="T4741" i="52"/>
  <c r="U4741" i="52"/>
  <c r="V4741" i="52"/>
  <c r="T4742" i="52"/>
  <c r="U4742" i="52"/>
  <c r="V4742" i="52"/>
  <c r="T4743" i="52"/>
  <c r="U4743" i="52"/>
  <c r="V4743" i="52"/>
  <c r="T4744" i="52"/>
  <c r="U4744" i="52"/>
  <c r="V4744" i="52"/>
  <c r="T4745" i="52"/>
  <c r="U4745" i="52"/>
  <c r="V4745" i="52"/>
  <c r="T4746" i="52"/>
  <c r="U4746" i="52"/>
  <c r="V4746" i="52"/>
  <c r="T4747" i="52"/>
  <c r="U4747" i="52"/>
  <c r="V4747" i="52"/>
  <c r="T4748" i="52"/>
  <c r="U4748" i="52"/>
  <c r="V4748" i="52"/>
  <c r="T4749" i="52"/>
  <c r="U4749" i="52"/>
  <c r="V4749" i="52"/>
  <c r="T4750" i="52"/>
  <c r="U4750" i="52"/>
  <c r="V4750" i="52"/>
  <c r="T4751" i="52"/>
  <c r="U4751" i="52"/>
  <c r="V4751" i="52"/>
  <c r="T4752" i="52"/>
  <c r="U4752" i="52"/>
  <c r="V4752" i="52"/>
  <c r="T4753" i="52"/>
  <c r="U4753" i="52"/>
  <c r="V4753" i="52"/>
  <c r="T4754" i="52"/>
  <c r="U4754" i="52"/>
  <c r="V4754" i="52"/>
  <c r="T4755" i="52"/>
  <c r="U4755" i="52"/>
  <c r="V4755" i="52"/>
  <c r="T4756" i="52"/>
  <c r="U4756" i="52"/>
  <c r="V4756" i="52"/>
  <c r="T4757" i="52"/>
  <c r="U4757" i="52"/>
  <c r="V4757" i="52"/>
  <c r="T4758" i="52"/>
  <c r="U4758" i="52"/>
  <c r="V4758" i="52"/>
  <c r="T4759" i="52"/>
  <c r="U4759" i="52"/>
  <c r="V4759" i="52"/>
  <c r="T4760" i="52"/>
  <c r="U4760" i="52"/>
  <c r="V4760" i="52"/>
  <c r="T4761" i="52"/>
  <c r="U4761" i="52"/>
  <c r="V4761" i="52"/>
  <c r="T4762" i="52"/>
  <c r="U4762" i="52"/>
  <c r="V4762" i="52"/>
  <c r="T4763" i="52"/>
  <c r="U4763" i="52"/>
  <c r="V4763" i="52"/>
  <c r="T4764" i="52"/>
  <c r="U4764" i="52"/>
  <c r="V4764" i="52"/>
  <c r="T4765" i="52"/>
  <c r="U4765" i="52"/>
  <c r="V4765" i="52"/>
  <c r="T4766" i="52"/>
  <c r="U4766" i="52"/>
  <c r="V4766" i="52"/>
  <c r="T4767" i="52"/>
  <c r="U4767" i="52"/>
  <c r="V4767" i="52"/>
  <c r="T4768" i="52"/>
  <c r="U4768" i="52"/>
  <c r="V4768" i="52"/>
  <c r="T4769" i="52"/>
  <c r="U4769" i="52"/>
  <c r="V4769" i="52"/>
  <c r="T4770" i="52"/>
  <c r="U4770" i="52"/>
  <c r="V4770" i="52"/>
  <c r="T4771" i="52"/>
  <c r="U4771" i="52"/>
  <c r="V4771" i="52"/>
  <c r="T4772" i="52"/>
  <c r="U4772" i="52"/>
  <c r="V4772" i="52"/>
  <c r="T4773" i="52"/>
  <c r="U4773" i="52"/>
  <c r="V4773" i="52"/>
  <c r="T4774" i="52"/>
  <c r="U4774" i="52"/>
  <c r="V4774" i="52"/>
  <c r="T4775" i="52"/>
  <c r="U4775" i="52"/>
  <c r="V4775" i="52"/>
  <c r="T4776" i="52"/>
  <c r="U4776" i="52"/>
  <c r="V4776" i="52"/>
  <c r="T4777" i="52"/>
  <c r="U4777" i="52"/>
  <c r="V4777" i="52"/>
  <c r="T4778" i="52"/>
  <c r="U4778" i="52"/>
  <c r="V4778" i="52"/>
  <c r="T4779" i="52"/>
  <c r="U4779" i="52"/>
  <c r="V4779" i="52"/>
  <c r="T4780" i="52"/>
  <c r="U4780" i="52"/>
  <c r="V4780" i="52"/>
  <c r="T4781" i="52"/>
  <c r="U4781" i="52"/>
  <c r="V4781" i="52"/>
  <c r="T4782" i="52"/>
  <c r="U4782" i="52"/>
  <c r="V4782" i="52"/>
  <c r="T4783" i="52"/>
  <c r="U4783" i="52"/>
  <c r="V4783" i="52"/>
  <c r="T4784" i="52"/>
  <c r="U4784" i="52"/>
  <c r="V4784" i="52"/>
  <c r="T4785" i="52"/>
  <c r="U4785" i="52"/>
  <c r="V4785" i="52"/>
  <c r="T4786" i="52"/>
  <c r="U4786" i="52"/>
  <c r="V4786" i="52"/>
  <c r="T4787" i="52"/>
  <c r="U4787" i="52"/>
  <c r="V4787" i="52"/>
  <c r="T4788" i="52"/>
  <c r="U4788" i="52"/>
  <c r="V4788" i="52"/>
  <c r="T4789" i="52"/>
  <c r="U4789" i="52"/>
  <c r="V4789" i="52"/>
  <c r="T4790" i="52"/>
  <c r="U4790" i="52"/>
  <c r="V4790" i="52"/>
  <c r="T4791" i="52"/>
  <c r="U4791" i="52"/>
  <c r="V4791" i="52"/>
  <c r="T4792" i="52"/>
  <c r="U4792" i="52"/>
  <c r="V4792" i="52"/>
  <c r="T4793" i="52"/>
  <c r="U4793" i="52"/>
  <c r="V4793" i="52"/>
  <c r="T4794" i="52"/>
  <c r="U4794" i="52"/>
  <c r="V4794" i="52"/>
  <c r="T4795" i="52"/>
  <c r="U4795" i="52"/>
  <c r="V4795" i="52"/>
  <c r="T4796" i="52"/>
  <c r="U4796" i="52"/>
  <c r="V4796" i="52"/>
  <c r="T4797" i="52"/>
  <c r="U4797" i="52"/>
  <c r="V4797" i="52"/>
  <c r="T4798" i="52"/>
  <c r="U4798" i="52"/>
  <c r="V4798" i="52"/>
  <c r="T4799" i="52"/>
  <c r="U4799" i="52"/>
  <c r="V4799" i="52"/>
  <c r="T4800" i="52"/>
  <c r="U4800" i="52"/>
  <c r="V4800" i="52"/>
  <c r="T4801" i="52"/>
  <c r="U4801" i="52"/>
  <c r="V4801" i="52"/>
  <c r="T4802" i="52"/>
  <c r="U4802" i="52"/>
  <c r="V4802" i="52"/>
  <c r="T4803" i="52"/>
  <c r="U4803" i="52"/>
  <c r="V4803" i="52"/>
  <c r="T4804" i="52"/>
  <c r="U4804" i="52"/>
  <c r="V4804" i="52"/>
  <c r="T4805" i="52"/>
  <c r="U4805" i="52"/>
  <c r="V4805" i="52"/>
  <c r="T4806" i="52"/>
  <c r="U4806" i="52"/>
  <c r="V4806" i="52"/>
  <c r="T4807" i="52"/>
  <c r="U4807" i="52"/>
  <c r="V4807" i="52"/>
  <c r="T4808" i="52"/>
  <c r="U4808" i="52"/>
  <c r="V4808" i="52"/>
  <c r="T4809" i="52"/>
  <c r="U4809" i="52"/>
  <c r="V4809" i="52"/>
  <c r="T4810" i="52"/>
  <c r="U4810" i="52"/>
  <c r="V4810" i="52"/>
  <c r="T4811" i="52"/>
  <c r="U4811" i="52"/>
  <c r="V4811" i="52"/>
  <c r="T4812" i="52"/>
  <c r="U4812" i="52"/>
  <c r="V4812" i="52"/>
  <c r="T4813" i="52"/>
  <c r="U4813" i="52"/>
  <c r="V4813" i="52"/>
  <c r="T4814" i="52"/>
  <c r="U4814" i="52"/>
  <c r="V4814" i="52"/>
  <c r="T4815" i="52"/>
  <c r="U4815" i="52"/>
  <c r="V4815" i="52"/>
  <c r="T4816" i="52"/>
  <c r="U4816" i="52"/>
  <c r="V4816" i="52"/>
  <c r="T4817" i="52"/>
  <c r="U4817" i="52"/>
  <c r="V4817" i="52"/>
  <c r="T4818" i="52"/>
  <c r="U4818" i="52"/>
  <c r="V4818" i="52"/>
  <c r="T4819" i="52"/>
  <c r="U4819" i="52"/>
  <c r="V4819" i="52"/>
  <c r="T4820" i="52"/>
  <c r="U4820" i="52"/>
  <c r="V4820" i="52"/>
  <c r="T4821" i="52"/>
  <c r="U4821" i="52"/>
  <c r="V4821" i="52"/>
  <c r="T4822" i="52"/>
  <c r="U4822" i="52"/>
  <c r="V4822" i="52"/>
  <c r="T4823" i="52"/>
  <c r="U4823" i="52"/>
  <c r="V4823" i="52"/>
  <c r="T4824" i="52"/>
  <c r="U4824" i="52"/>
  <c r="V4824" i="52"/>
  <c r="T4825" i="52"/>
  <c r="U4825" i="52"/>
  <c r="V4825" i="52"/>
  <c r="T4826" i="52"/>
  <c r="U4826" i="52"/>
  <c r="V4826" i="52"/>
  <c r="T4827" i="52"/>
  <c r="U4827" i="52"/>
  <c r="V4827" i="52"/>
  <c r="T4828" i="52"/>
  <c r="U4828" i="52"/>
  <c r="V4828" i="52"/>
  <c r="T4829" i="52"/>
  <c r="U4829" i="52"/>
  <c r="V4829" i="52"/>
  <c r="T4830" i="52"/>
  <c r="U4830" i="52"/>
  <c r="V4830" i="52"/>
  <c r="T4831" i="52"/>
  <c r="U4831" i="52"/>
  <c r="V4831" i="52"/>
  <c r="T4832" i="52"/>
  <c r="U4832" i="52"/>
  <c r="V4832" i="52"/>
  <c r="T4833" i="52"/>
  <c r="U4833" i="52"/>
  <c r="V4833" i="52"/>
  <c r="T4834" i="52"/>
  <c r="U4834" i="52"/>
  <c r="V4834" i="52"/>
  <c r="T4835" i="52"/>
  <c r="U4835" i="52"/>
  <c r="V4835" i="52"/>
  <c r="T4836" i="52"/>
  <c r="U4836" i="52"/>
  <c r="V4836" i="52"/>
  <c r="T4837" i="52"/>
  <c r="U4837" i="52"/>
  <c r="V4837" i="52"/>
  <c r="T4838" i="52"/>
  <c r="U4838" i="52"/>
  <c r="V4838" i="52"/>
  <c r="T4839" i="52"/>
  <c r="U4839" i="52"/>
  <c r="V4839" i="52"/>
  <c r="T4840" i="52"/>
  <c r="U4840" i="52"/>
  <c r="V4840" i="52"/>
  <c r="T4841" i="52"/>
  <c r="U4841" i="52"/>
  <c r="V4841" i="52"/>
  <c r="T4842" i="52"/>
  <c r="U4842" i="52"/>
  <c r="V4842" i="52"/>
  <c r="T4843" i="52"/>
  <c r="U4843" i="52"/>
  <c r="V4843" i="52"/>
  <c r="T4844" i="52"/>
  <c r="U4844" i="52"/>
  <c r="V4844" i="52"/>
  <c r="T4845" i="52"/>
  <c r="U4845" i="52"/>
  <c r="V4845" i="52"/>
  <c r="T4846" i="52"/>
  <c r="U4846" i="52"/>
  <c r="V4846" i="52"/>
  <c r="T4847" i="52"/>
  <c r="U4847" i="52"/>
  <c r="V4847" i="52"/>
  <c r="T4848" i="52"/>
  <c r="U4848" i="52"/>
  <c r="V4848" i="52"/>
  <c r="T4849" i="52"/>
  <c r="U4849" i="52"/>
  <c r="V4849" i="52"/>
  <c r="T4850" i="52"/>
  <c r="U4850" i="52"/>
  <c r="V4850" i="52"/>
  <c r="T4851" i="52"/>
  <c r="U4851" i="52"/>
  <c r="V4851" i="52"/>
  <c r="T4852" i="52"/>
  <c r="U4852" i="52"/>
  <c r="V4852" i="52"/>
  <c r="T4853" i="52"/>
  <c r="U4853" i="52"/>
  <c r="V4853" i="52"/>
  <c r="T4854" i="52"/>
  <c r="U4854" i="52"/>
  <c r="V4854" i="52"/>
  <c r="T4855" i="52"/>
  <c r="U4855" i="52"/>
  <c r="V4855" i="52"/>
  <c r="T4856" i="52"/>
  <c r="U4856" i="52"/>
  <c r="V4856" i="52"/>
  <c r="T4857" i="52"/>
  <c r="U4857" i="52"/>
  <c r="V4857" i="52"/>
  <c r="T4858" i="52"/>
  <c r="U4858" i="52"/>
  <c r="V4858" i="52"/>
  <c r="T4859" i="52"/>
  <c r="U4859" i="52"/>
  <c r="V4859" i="52"/>
  <c r="T4860" i="52"/>
  <c r="U4860" i="52"/>
  <c r="V4860" i="52"/>
  <c r="T4861" i="52"/>
  <c r="U4861" i="52"/>
  <c r="V4861" i="52"/>
  <c r="T4862" i="52"/>
  <c r="U4862" i="52"/>
  <c r="V4862" i="52"/>
  <c r="T4863" i="52"/>
  <c r="U4863" i="52"/>
  <c r="V4863" i="52"/>
  <c r="T4864" i="52"/>
  <c r="U4864" i="52"/>
  <c r="V4864" i="52"/>
  <c r="T4865" i="52"/>
  <c r="U4865" i="52"/>
  <c r="V4865" i="52"/>
  <c r="T4866" i="52"/>
  <c r="U4866" i="52"/>
  <c r="V4866" i="52"/>
  <c r="T4867" i="52"/>
  <c r="U4867" i="52"/>
  <c r="V4867" i="52"/>
  <c r="T4868" i="52"/>
  <c r="U4868" i="52"/>
  <c r="V4868" i="52"/>
  <c r="T4869" i="52"/>
  <c r="U4869" i="52"/>
  <c r="V4869" i="52"/>
  <c r="T4870" i="52"/>
  <c r="U4870" i="52"/>
  <c r="V4870" i="52"/>
  <c r="T4871" i="52"/>
  <c r="U4871" i="52"/>
  <c r="V4871" i="52"/>
  <c r="T4872" i="52"/>
  <c r="U4872" i="52"/>
  <c r="V4872" i="52"/>
  <c r="T4873" i="52"/>
  <c r="U4873" i="52"/>
  <c r="V4873" i="52"/>
  <c r="T4874" i="52"/>
  <c r="U4874" i="52"/>
  <c r="V4874" i="52"/>
  <c r="T4875" i="52"/>
  <c r="U4875" i="52"/>
  <c r="V4875" i="52"/>
  <c r="T4876" i="52"/>
  <c r="U4876" i="52"/>
  <c r="V4876" i="52"/>
  <c r="T4877" i="52"/>
  <c r="U4877" i="52"/>
  <c r="V4877" i="52"/>
  <c r="T4878" i="52"/>
  <c r="U4878" i="52"/>
  <c r="V4878" i="52"/>
  <c r="T4879" i="52"/>
  <c r="U4879" i="52"/>
  <c r="V4879" i="52"/>
  <c r="T4880" i="52"/>
  <c r="U4880" i="52"/>
  <c r="V4880" i="52"/>
  <c r="T4881" i="52"/>
  <c r="U4881" i="52"/>
  <c r="V4881" i="52"/>
  <c r="T4882" i="52"/>
  <c r="U4882" i="52"/>
  <c r="V4882" i="52"/>
  <c r="T4883" i="52"/>
  <c r="U4883" i="52"/>
  <c r="V4883" i="52"/>
  <c r="T4884" i="52"/>
  <c r="U4884" i="52"/>
  <c r="V4884" i="52"/>
  <c r="T4885" i="52"/>
  <c r="U4885" i="52"/>
  <c r="V4885" i="52"/>
  <c r="T4886" i="52"/>
  <c r="U4886" i="52"/>
  <c r="V4886" i="52"/>
  <c r="T4887" i="52"/>
  <c r="U4887" i="52"/>
  <c r="V4887" i="52"/>
  <c r="T4888" i="52"/>
  <c r="U4888" i="52"/>
  <c r="V4888" i="52"/>
  <c r="T4889" i="52"/>
  <c r="U4889" i="52"/>
  <c r="V4889" i="52"/>
  <c r="T4890" i="52"/>
  <c r="U4890" i="52"/>
  <c r="V4890" i="52"/>
  <c r="T4891" i="52"/>
  <c r="U4891" i="52"/>
  <c r="V4891" i="52"/>
  <c r="T4892" i="52"/>
  <c r="U4892" i="52"/>
  <c r="V4892" i="52"/>
  <c r="T4893" i="52"/>
  <c r="U4893" i="52"/>
  <c r="V4893" i="52"/>
  <c r="T4894" i="52"/>
  <c r="U4894" i="52"/>
  <c r="V4894" i="52"/>
  <c r="T4895" i="52"/>
  <c r="U4895" i="52"/>
  <c r="V4895" i="52"/>
  <c r="T4896" i="52"/>
  <c r="U4896" i="52"/>
  <c r="V4896" i="52"/>
  <c r="T4897" i="52"/>
  <c r="U4897" i="52"/>
  <c r="V4897" i="52"/>
  <c r="T4898" i="52"/>
  <c r="U4898" i="52"/>
  <c r="V4898" i="52"/>
  <c r="T4899" i="52"/>
  <c r="U4899" i="52"/>
  <c r="V4899" i="52"/>
  <c r="T4900" i="52"/>
  <c r="U4900" i="52"/>
  <c r="V4900" i="52"/>
  <c r="T4901" i="52"/>
  <c r="U4901" i="52"/>
  <c r="V4901" i="52"/>
  <c r="T4902" i="52"/>
  <c r="U4902" i="52"/>
  <c r="V4902" i="52"/>
  <c r="T4903" i="52"/>
  <c r="U4903" i="52"/>
  <c r="V4903" i="52"/>
  <c r="T4904" i="52"/>
  <c r="U4904" i="52"/>
  <c r="V4904" i="52"/>
  <c r="T4905" i="52"/>
  <c r="U4905" i="52"/>
  <c r="V4905" i="52"/>
  <c r="T4906" i="52"/>
  <c r="U4906" i="52"/>
  <c r="V4906" i="52"/>
  <c r="T4907" i="52"/>
  <c r="U4907" i="52"/>
  <c r="V4907" i="52"/>
  <c r="T4908" i="52"/>
  <c r="U4908" i="52"/>
  <c r="V4908" i="52"/>
  <c r="T4909" i="52"/>
  <c r="U4909" i="52"/>
  <c r="V4909" i="52"/>
  <c r="T4910" i="52"/>
  <c r="U4910" i="52"/>
  <c r="V4910" i="52"/>
  <c r="T4911" i="52"/>
  <c r="U4911" i="52"/>
  <c r="V4911" i="52"/>
  <c r="T4912" i="52"/>
  <c r="U4912" i="52"/>
  <c r="V4912" i="52"/>
  <c r="T4913" i="52"/>
  <c r="U4913" i="52"/>
  <c r="V4913" i="52"/>
  <c r="T4914" i="52"/>
  <c r="U4914" i="52"/>
  <c r="V4914" i="52"/>
  <c r="T4915" i="52"/>
  <c r="U4915" i="52"/>
  <c r="V4915" i="52"/>
  <c r="T4916" i="52"/>
  <c r="U4916" i="52"/>
  <c r="V4916" i="52"/>
  <c r="T4917" i="52"/>
  <c r="U4917" i="52"/>
  <c r="V4917" i="52"/>
  <c r="T4918" i="52"/>
  <c r="U4918" i="52"/>
  <c r="V4918" i="52"/>
  <c r="T4919" i="52"/>
  <c r="U4919" i="52"/>
  <c r="V4919" i="52"/>
  <c r="T4920" i="52"/>
  <c r="U4920" i="52"/>
  <c r="V4920" i="52"/>
  <c r="T4921" i="52"/>
  <c r="U4921" i="52"/>
  <c r="V4921" i="52"/>
  <c r="T4922" i="52"/>
  <c r="U4922" i="52"/>
  <c r="V4922" i="52"/>
  <c r="T4923" i="52"/>
  <c r="U4923" i="52"/>
  <c r="V4923" i="52"/>
  <c r="T4924" i="52"/>
  <c r="U4924" i="52"/>
  <c r="V4924" i="52"/>
  <c r="T4925" i="52"/>
  <c r="U4925" i="52"/>
  <c r="V4925" i="52"/>
  <c r="T4926" i="52"/>
  <c r="U4926" i="52"/>
  <c r="V4926" i="52"/>
  <c r="T4927" i="52"/>
  <c r="U4927" i="52"/>
  <c r="V4927" i="52"/>
  <c r="T4928" i="52"/>
  <c r="U4928" i="52"/>
  <c r="V4928" i="52"/>
  <c r="T4929" i="52"/>
  <c r="U4929" i="52"/>
  <c r="V4929" i="52"/>
  <c r="T4930" i="52"/>
  <c r="U4930" i="52"/>
  <c r="V4930" i="52"/>
  <c r="T4931" i="52"/>
  <c r="U4931" i="52"/>
  <c r="V4931" i="52"/>
  <c r="T4932" i="52"/>
  <c r="U4932" i="52"/>
  <c r="V4932" i="52"/>
  <c r="T4933" i="52"/>
  <c r="U4933" i="52"/>
  <c r="V4933" i="52"/>
  <c r="T4934" i="52"/>
  <c r="U4934" i="52"/>
  <c r="V4934" i="52"/>
  <c r="T4935" i="52"/>
  <c r="U4935" i="52"/>
  <c r="V4935" i="52"/>
  <c r="T4936" i="52"/>
  <c r="U4936" i="52"/>
  <c r="V4936" i="52"/>
  <c r="T4937" i="52"/>
  <c r="U4937" i="52"/>
  <c r="V4937" i="52"/>
  <c r="T4938" i="52"/>
  <c r="U4938" i="52"/>
  <c r="V4938" i="52"/>
  <c r="T4939" i="52"/>
  <c r="U4939" i="52"/>
  <c r="V4939" i="52"/>
  <c r="T4940" i="52"/>
  <c r="U4940" i="52"/>
  <c r="V4940" i="52"/>
  <c r="T4941" i="52"/>
  <c r="U4941" i="52"/>
  <c r="V4941" i="52"/>
  <c r="T4942" i="52"/>
  <c r="U4942" i="52"/>
  <c r="V4942" i="52"/>
  <c r="T4943" i="52"/>
  <c r="U4943" i="52"/>
  <c r="V4943" i="52"/>
  <c r="T4944" i="52"/>
  <c r="U4944" i="52"/>
  <c r="V4944" i="52"/>
  <c r="T4945" i="52"/>
  <c r="U4945" i="52"/>
  <c r="V4945" i="52"/>
  <c r="T4946" i="52"/>
  <c r="U4946" i="52"/>
  <c r="V4946" i="52"/>
  <c r="T4947" i="52"/>
  <c r="U4947" i="52"/>
  <c r="V4947" i="52"/>
  <c r="T4948" i="52"/>
  <c r="U4948" i="52"/>
  <c r="V4948" i="52"/>
  <c r="T4949" i="52"/>
  <c r="U4949" i="52"/>
  <c r="V4949" i="52"/>
  <c r="T4950" i="52"/>
  <c r="U4950" i="52"/>
  <c r="V4950" i="52"/>
  <c r="T4951" i="52"/>
  <c r="U4951" i="52"/>
  <c r="V4951" i="52"/>
  <c r="T4952" i="52"/>
  <c r="U4952" i="52"/>
  <c r="V4952" i="52"/>
  <c r="T4953" i="52"/>
  <c r="U4953" i="52"/>
  <c r="V4953" i="52"/>
  <c r="T4954" i="52"/>
  <c r="U4954" i="52"/>
  <c r="V4954" i="52"/>
  <c r="T4955" i="52"/>
  <c r="U4955" i="52"/>
  <c r="V4955" i="52"/>
  <c r="T4956" i="52"/>
  <c r="U4956" i="52"/>
  <c r="V4956" i="52"/>
  <c r="T4957" i="52"/>
  <c r="U4957" i="52"/>
  <c r="V4957" i="52"/>
  <c r="T4958" i="52"/>
  <c r="U4958" i="52"/>
  <c r="V4958" i="52"/>
  <c r="T4959" i="52"/>
  <c r="U4959" i="52"/>
  <c r="V4959" i="52"/>
  <c r="T4960" i="52"/>
  <c r="U4960" i="52"/>
  <c r="V4960" i="52"/>
  <c r="T4961" i="52"/>
  <c r="U4961" i="52"/>
  <c r="V4961" i="52"/>
  <c r="T4962" i="52"/>
  <c r="U4962" i="52"/>
  <c r="V4962" i="52"/>
  <c r="T4963" i="52"/>
  <c r="U4963" i="52"/>
  <c r="V4963" i="52"/>
  <c r="T4964" i="52"/>
  <c r="U4964" i="52"/>
  <c r="V4964" i="52"/>
  <c r="T4965" i="52"/>
  <c r="U4965" i="52"/>
  <c r="V4965" i="52"/>
  <c r="T4966" i="52"/>
  <c r="U4966" i="52"/>
  <c r="V4966" i="52"/>
  <c r="T4967" i="52"/>
  <c r="U4967" i="52"/>
  <c r="V4967" i="52"/>
  <c r="T4968" i="52"/>
  <c r="U4968" i="52"/>
  <c r="V4968" i="52"/>
  <c r="T4969" i="52"/>
  <c r="U4969" i="52"/>
  <c r="V4969" i="52"/>
  <c r="T4970" i="52"/>
  <c r="U4970" i="52"/>
  <c r="V4970" i="52"/>
  <c r="T4971" i="52"/>
  <c r="U4971" i="52"/>
  <c r="V4971" i="52"/>
  <c r="T4972" i="52"/>
  <c r="U4972" i="52"/>
  <c r="V4972" i="52"/>
  <c r="T4973" i="52"/>
  <c r="U4973" i="52"/>
  <c r="V4973" i="52"/>
  <c r="T4974" i="52"/>
  <c r="U4974" i="52"/>
  <c r="V4974" i="52"/>
  <c r="T4975" i="52"/>
  <c r="U4975" i="52"/>
  <c r="V4975" i="52"/>
  <c r="T4976" i="52"/>
  <c r="U4976" i="52"/>
  <c r="V4976" i="52"/>
  <c r="T4977" i="52"/>
  <c r="U4977" i="52"/>
  <c r="V4977" i="52"/>
  <c r="T4978" i="52"/>
  <c r="U4978" i="52"/>
  <c r="V4978" i="52"/>
  <c r="T4979" i="52"/>
  <c r="U4979" i="52"/>
  <c r="V4979" i="52"/>
  <c r="T4980" i="52"/>
  <c r="U4980" i="52"/>
  <c r="V4980" i="52"/>
  <c r="T4981" i="52"/>
  <c r="U4981" i="52"/>
  <c r="V4981" i="52"/>
  <c r="T4982" i="52"/>
  <c r="U4982" i="52"/>
  <c r="V4982" i="52"/>
  <c r="T4983" i="52"/>
  <c r="U4983" i="52"/>
  <c r="V4983" i="52"/>
  <c r="T4984" i="52"/>
  <c r="U4984" i="52"/>
  <c r="V4984" i="52"/>
  <c r="T4985" i="52"/>
  <c r="U4985" i="52"/>
  <c r="V4985" i="52"/>
  <c r="T4986" i="52"/>
  <c r="U4986" i="52"/>
  <c r="V4986" i="52"/>
  <c r="T4987" i="52"/>
  <c r="U4987" i="52"/>
  <c r="V4987" i="52"/>
  <c r="T4988" i="52"/>
  <c r="U4988" i="52"/>
  <c r="V4988" i="52"/>
  <c r="T4989" i="52"/>
  <c r="U4989" i="52"/>
  <c r="V4989" i="52"/>
  <c r="T4990" i="52"/>
  <c r="U4990" i="52"/>
  <c r="V4990" i="52"/>
  <c r="T4991" i="52"/>
  <c r="U4991" i="52"/>
  <c r="V4991" i="52"/>
  <c r="T4992" i="52"/>
  <c r="U4992" i="52"/>
  <c r="V4992" i="52"/>
  <c r="T4993" i="52"/>
  <c r="U4993" i="52"/>
  <c r="V4993" i="52"/>
  <c r="T4994" i="52"/>
  <c r="U4994" i="52"/>
  <c r="V4994" i="52"/>
  <c r="T4995" i="52"/>
  <c r="U4995" i="52"/>
  <c r="V4995" i="52"/>
  <c r="T4996" i="52"/>
  <c r="U4996" i="52"/>
  <c r="V4996" i="52"/>
  <c r="T4997" i="52"/>
  <c r="U4997" i="52"/>
  <c r="V4997" i="52"/>
  <c r="T4998" i="52"/>
  <c r="U4998" i="52"/>
  <c r="V4998" i="52"/>
  <c r="T4999" i="52"/>
  <c r="U4999" i="52"/>
  <c r="V4999" i="52"/>
  <c r="T5000" i="52"/>
  <c r="U5000" i="52"/>
  <c r="V5000" i="52"/>
  <c r="T5001" i="52"/>
  <c r="U5001" i="52"/>
  <c r="V5001" i="52"/>
  <c r="T5002" i="52"/>
  <c r="U5002" i="52"/>
  <c r="V5002" i="52"/>
  <c r="T5003" i="52"/>
  <c r="U5003" i="52"/>
  <c r="V5003" i="52"/>
  <c r="T5004" i="52"/>
  <c r="U5004" i="52"/>
  <c r="V5004" i="52"/>
  <c r="T5005" i="52"/>
  <c r="U5005" i="52"/>
  <c r="V5005" i="52"/>
  <c r="T5006" i="52"/>
  <c r="U5006" i="52"/>
  <c r="V5006" i="52"/>
  <c r="T5007" i="52"/>
  <c r="U5007" i="52"/>
  <c r="V5007" i="52"/>
  <c r="T5008" i="52"/>
  <c r="U5008" i="52"/>
  <c r="V5008" i="52"/>
  <c r="T5009" i="52"/>
  <c r="U5009" i="52"/>
  <c r="V5009" i="52"/>
  <c r="T5010" i="52"/>
  <c r="U5010" i="52"/>
  <c r="V5010" i="52"/>
  <c r="T5011" i="52"/>
  <c r="U5011" i="52"/>
  <c r="V5011" i="52"/>
  <c r="T5012" i="52"/>
  <c r="U5012" i="52"/>
  <c r="V5012" i="52"/>
  <c r="T5013" i="52"/>
  <c r="U5013" i="52"/>
  <c r="V5013" i="52"/>
  <c r="T5014" i="52"/>
  <c r="U5014" i="52"/>
  <c r="V5014" i="52"/>
  <c r="T5015" i="52"/>
  <c r="U5015" i="52"/>
  <c r="V5015" i="52"/>
  <c r="T5016" i="52"/>
  <c r="U5016" i="52"/>
  <c r="V5016" i="52"/>
  <c r="T5017" i="52"/>
  <c r="U5017" i="52"/>
  <c r="V5017" i="52"/>
  <c r="T5018" i="52"/>
  <c r="U5018" i="52"/>
  <c r="V5018" i="52"/>
  <c r="T5019" i="52"/>
  <c r="U5019" i="52"/>
  <c r="V5019" i="52"/>
  <c r="T5020" i="52"/>
  <c r="U5020" i="52"/>
  <c r="V5020" i="52"/>
  <c r="T5021" i="52"/>
  <c r="U5021" i="52"/>
  <c r="V5021" i="52"/>
  <c r="T5022" i="52"/>
  <c r="U5022" i="52"/>
  <c r="V5022" i="52"/>
  <c r="T5023" i="52"/>
  <c r="U5023" i="52"/>
  <c r="V5023" i="52"/>
  <c r="T5024" i="52"/>
  <c r="U5024" i="52"/>
  <c r="V5024" i="52"/>
  <c r="T5025" i="52"/>
  <c r="U5025" i="52"/>
  <c r="V5025" i="52"/>
  <c r="T5026" i="52"/>
  <c r="U5026" i="52"/>
  <c r="V5026" i="52"/>
  <c r="T5027" i="52"/>
  <c r="U5027" i="52"/>
  <c r="V5027" i="52"/>
  <c r="T5028" i="52"/>
  <c r="U5028" i="52"/>
  <c r="V5028" i="52"/>
  <c r="T5029" i="52"/>
  <c r="U5029" i="52"/>
  <c r="V5029" i="52"/>
  <c r="T5030" i="52"/>
  <c r="U5030" i="52"/>
  <c r="V5030" i="52"/>
  <c r="T5031" i="52"/>
  <c r="U5031" i="52"/>
  <c r="V5031" i="52"/>
  <c r="T5032" i="52"/>
  <c r="U5032" i="52"/>
  <c r="V5032" i="52"/>
  <c r="T5033" i="52"/>
  <c r="U5033" i="52"/>
  <c r="V5033" i="52"/>
  <c r="T5034" i="52"/>
  <c r="U5034" i="52"/>
  <c r="V5034" i="52"/>
  <c r="T5035" i="52"/>
  <c r="U5035" i="52"/>
  <c r="V5035" i="52"/>
  <c r="T5036" i="52"/>
  <c r="U5036" i="52"/>
  <c r="V5036" i="52"/>
  <c r="T5037" i="52"/>
  <c r="U5037" i="52"/>
  <c r="V5037" i="52"/>
  <c r="T5038" i="52"/>
  <c r="U5038" i="52"/>
  <c r="V5038" i="52"/>
  <c r="T5039" i="52"/>
  <c r="U5039" i="52"/>
  <c r="V5039" i="52"/>
  <c r="T5040" i="52"/>
  <c r="U5040" i="52"/>
  <c r="V5040" i="52"/>
  <c r="T5041" i="52"/>
  <c r="U5041" i="52"/>
  <c r="V5041" i="52"/>
  <c r="T5042" i="52"/>
  <c r="U5042" i="52"/>
  <c r="V5042" i="52"/>
  <c r="T5043" i="52"/>
  <c r="U5043" i="52"/>
  <c r="V5043" i="52"/>
  <c r="T5044" i="52"/>
  <c r="U5044" i="52"/>
  <c r="V5044" i="52"/>
  <c r="T5045" i="52"/>
  <c r="U5045" i="52"/>
  <c r="V5045" i="52"/>
  <c r="T5046" i="52"/>
  <c r="U5046" i="52"/>
  <c r="V5046" i="52"/>
  <c r="T5047" i="52"/>
  <c r="U5047" i="52"/>
  <c r="V5047" i="52"/>
  <c r="T5048" i="52"/>
  <c r="U5048" i="52"/>
  <c r="V5048" i="52"/>
  <c r="T5049" i="52"/>
  <c r="U5049" i="52"/>
  <c r="V5049" i="52"/>
  <c r="T5050" i="52"/>
  <c r="U5050" i="52"/>
  <c r="V5050" i="52"/>
  <c r="T5051" i="52"/>
  <c r="U5051" i="52"/>
  <c r="V5051" i="52"/>
  <c r="T5052" i="52"/>
  <c r="U5052" i="52"/>
  <c r="V5052" i="52"/>
  <c r="T5053" i="52"/>
  <c r="U5053" i="52"/>
  <c r="V5053" i="52"/>
  <c r="T5054" i="52"/>
  <c r="U5054" i="52"/>
  <c r="V5054" i="52"/>
  <c r="T5055" i="52"/>
  <c r="U5055" i="52"/>
  <c r="V5055" i="52"/>
  <c r="T5056" i="52"/>
  <c r="U5056" i="52"/>
  <c r="V5056" i="52"/>
  <c r="T5057" i="52"/>
  <c r="U5057" i="52"/>
  <c r="V5057" i="52"/>
  <c r="T5058" i="52"/>
  <c r="U5058" i="52"/>
  <c r="V5058" i="52"/>
  <c r="T5059" i="52"/>
  <c r="U5059" i="52"/>
  <c r="V5059" i="52"/>
  <c r="T5060" i="52"/>
  <c r="U5060" i="52"/>
  <c r="V5060" i="52"/>
  <c r="T5061" i="52"/>
  <c r="U5061" i="52"/>
  <c r="V5061" i="52"/>
  <c r="T5062" i="52"/>
  <c r="U5062" i="52"/>
  <c r="V5062" i="52"/>
  <c r="T5063" i="52"/>
  <c r="U5063" i="52"/>
  <c r="V5063" i="52"/>
  <c r="T5064" i="52"/>
  <c r="U5064" i="52"/>
  <c r="V5064" i="52"/>
  <c r="T5065" i="52"/>
  <c r="U5065" i="52"/>
  <c r="V5065" i="52"/>
  <c r="T5066" i="52"/>
  <c r="U5066" i="52"/>
  <c r="V5066" i="52"/>
  <c r="T5067" i="52"/>
  <c r="U5067" i="52"/>
  <c r="V5067" i="52"/>
  <c r="T5068" i="52"/>
  <c r="U5068" i="52"/>
  <c r="V5068" i="52"/>
  <c r="T5069" i="52"/>
  <c r="U5069" i="52"/>
  <c r="V5069" i="52"/>
  <c r="T5070" i="52"/>
  <c r="U5070" i="52"/>
  <c r="V5070" i="52"/>
  <c r="T5071" i="52"/>
  <c r="U5071" i="52"/>
  <c r="V5071" i="52"/>
  <c r="T5072" i="52"/>
  <c r="U5072" i="52"/>
  <c r="V5072" i="52"/>
  <c r="T5073" i="52"/>
  <c r="U5073" i="52"/>
  <c r="V5073" i="52"/>
  <c r="T5074" i="52"/>
  <c r="U5074" i="52"/>
  <c r="V5074" i="52"/>
  <c r="T5075" i="52"/>
  <c r="U5075" i="52"/>
  <c r="V5075" i="52"/>
  <c r="T5076" i="52"/>
  <c r="U5076" i="52"/>
  <c r="V5076" i="52"/>
  <c r="T5077" i="52"/>
  <c r="U5077" i="52"/>
  <c r="V5077" i="52"/>
  <c r="T5078" i="52"/>
  <c r="U5078" i="52"/>
  <c r="V5078" i="52"/>
  <c r="T5079" i="52"/>
  <c r="U5079" i="52"/>
  <c r="V5079" i="52"/>
  <c r="T5080" i="52"/>
  <c r="U5080" i="52"/>
  <c r="V5080" i="52"/>
  <c r="T5081" i="52"/>
  <c r="U5081" i="52"/>
  <c r="V5081" i="52"/>
  <c r="T5082" i="52"/>
  <c r="U5082" i="52"/>
  <c r="V5082" i="52"/>
  <c r="T5083" i="52"/>
  <c r="U5083" i="52"/>
  <c r="V5083" i="52"/>
  <c r="T5084" i="52"/>
  <c r="U5084" i="52"/>
  <c r="V5084" i="52"/>
  <c r="T5085" i="52"/>
  <c r="U5085" i="52"/>
  <c r="V5085" i="52"/>
  <c r="T5086" i="52"/>
  <c r="U5086" i="52"/>
  <c r="V5086" i="52"/>
  <c r="T5087" i="52"/>
  <c r="U5087" i="52"/>
  <c r="V5087" i="52"/>
  <c r="T5088" i="52"/>
  <c r="U5088" i="52"/>
  <c r="V5088" i="52"/>
  <c r="T5089" i="52"/>
  <c r="U5089" i="52"/>
  <c r="V5089" i="52"/>
  <c r="T5090" i="52"/>
  <c r="U5090" i="52"/>
  <c r="V5090" i="52"/>
  <c r="T5091" i="52"/>
  <c r="U5091" i="52"/>
  <c r="V5091" i="52"/>
  <c r="T5092" i="52"/>
  <c r="U5092" i="52"/>
  <c r="V5092" i="52"/>
  <c r="T5093" i="52"/>
  <c r="U5093" i="52"/>
  <c r="V5093" i="52"/>
  <c r="T5094" i="52"/>
  <c r="U5094" i="52"/>
  <c r="V5094" i="52"/>
  <c r="T5095" i="52"/>
  <c r="U5095" i="52"/>
  <c r="V5095" i="52"/>
  <c r="T5096" i="52"/>
  <c r="U5096" i="52"/>
  <c r="V5096" i="52"/>
  <c r="T5097" i="52"/>
  <c r="U5097" i="52"/>
  <c r="V5097" i="52"/>
  <c r="T5098" i="52"/>
  <c r="U5098" i="52"/>
  <c r="V5098" i="52"/>
  <c r="T5099" i="52"/>
  <c r="U5099" i="52"/>
  <c r="V5099" i="52"/>
  <c r="T5100" i="52"/>
  <c r="U5100" i="52"/>
  <c r="V5100" i="52"/>
  <c r="T5101" i="52"/>
  <c r="U5101" i="52"/>
  <c r="V5101" i="52"/>
  <c r="T5102" i="52"/>
  <c r="U5102" i="52"/>
  <c r="V5102" i="52"/>
  <c r="T5103" i="52"/>
  <c r="U5103" i="52"/>
  <c r="V5103" i="52"/>
  <c r="T5104" i="52"/>
  <c r="U5104" i="52"/>
  <c r="V5104" i="52"/>
  <c r="T5105" i="52"/>
  <c r="U5105" i="52"/>
  <c r="V5105" i="52"/>
  <c r="T5106" i="52"/>
  <c r="U5106" i="52"/>
  <c r="V5106" i="52"/>
  <c r="T5107" i="52"/>
  <c r="U5107" i="52"/>
  <c r="V5107" i="52"/>
  <c r="T5108" i="52"/>
  <c r="U5108" i="52"/>
  <c r="V5108" i="52"/>
  <c r="T5109" i="52"/>
  <c r="U5109" i="52"/>
  <c r="V5109" i="52"/>
  <c r="T5110" i="52"/>
  <c r="U5110" i="52"/>
  <c r="V5110" i="52"/>
  <c r="T5111" i="52"/>
  <c r="U5111" i="52"/>
  <c r="V5111" i="52"/>
  <c r="T5112" i="52"/>
  <c r="U5112" i="52"/>
  <c r="V5112" i="52"/>
  <c r="T5113" i="52"/>
  <c r="U5113" i="52"/>
  <c r="V5113" i="52"/>
  <c r="T5114" i="52"/>
  <c r="U5114" i="52"/>
  <c r="V5114" i="52"/>
  <c r="T5115" i="52"/>
  <c r="U5115" i="52"/>
  <c r="V5115" i="52"/>
  <c r="T5116" i="52"/>
  <c r="U5116" i="52"/>
  <c r="V5116" i="52"/>
  <c r="T5117" i="52"/>
  <c r="U5117" i="52"/>
  <c r="V5117" i="52"/>
  <c r="T5118" i="52"/>
  <c r="U5118" i="52"/>
  <c r="V5118" i="52"/>
  <c r="T5119" i="52"/>
  <c r="U5119" i="52"/>
  <c r="V5119" i="52"/>
  <c r="T5120" i="52"/>
  <c r="U5120" i="52"/>
  <c r="V5120" i="52"/>
  <c r="T5121" i="52"/>
  <c r="U5121" i="52"/>
  <c r="V5121" i="52"/>
  <c r="T5122" i="52"/>
  <c r="U5122" i="52"/>
  <c r="V5122" i="52"/>
  <c r="T5123" i="52"/>
  <c r="U5123" i="52"/>
  <c r="V5123" i="52"/>
  <c r="T5124" i="52"/>
  <c r="U5124" i="52"/>
  <c r="V5124" i="52"/>
  <c r="T5125" i="52"/>
  <c r="U5125" i="52"/>
  <c r="V5125" i="52"/>
  <c r="T5126" i="52"/>
  <c r="U5126" i="52"/>
  <c r="V5126" i="52"/>
  <c r="T5127" i="52"/>
  <c r="U5127" i="52"/>
  <c r="V5127" i="52"/>
  <c r="T5128" i="52"/>
  <c r="U5128" i="52"/>
  <c r="V5128" i="52"/>
  <c r="T5129" i="52"/>
  <c r="U5129" i="52"/>
  <c r="V5129" i="52"/>
  <c r="T5130" i="52"/>
  <c r="U5130" i="52"/>
  <c r="V5130" i="52"/>
  <c r="T5131" i="52"/>
  <c r="U5131" i="52"/>
  <c r="V5131" i="52"/>
  <c r="T5132" i="52"/>
  <c r="U5132" i="52"/>
  <c r="V5132" i="52"/>
  <c r="T5133" i="52"/>
  <c r="U5133" i="52"/>
  <c r="V5133" i="52"/>
  <c r="T5134" i="52"/>
  <c r="U5134" i="52"/>
  <c r="V5134" i="52"/>
  <c r="T5135" i="52"/>
  <c r="U5135" i="52"/>
  <c r="V5135" i="52"/>
  <c r="T5136" i="52"/>
  <c r="U5136" i="52"/>
  <c r="V5136" i="52"/>
  <c r="T5137" i="52"/>
  <c r="U5137" i="52"/>
  <c r="V5137" i="52"/>
  <c r="T5138" i="52"/>
  <c r="U5138" i="52"/>
  <c r="V5138" i="52"/>
  <c r="T5139" i="52"/>
  <c r="U5139" i="52"/>
  <c r="V5139" i="52"/>
  <c r="T5140" i="52"/>
  <c r="U5140" i="52"/>
  <c r="V5140" i="52"/>
  <c r="T5141" i="52"/>
  <c r="U5141" i="52"/>
  <c r="V5141" i="52"/>
  <c r="T5142" i="52"/>
  <c r="U5142" i="52"/>
  <c r="V5142" i="52"/>
  <c r="T5143" i="52"/>
  <c r="U5143" i="52"/>
  <c r="V5143" i="52"/>
  <c r="T5144" i="52"/>
  <c r="U5144" i="52"/>
  <c r="V5144" i="52"/>
  <c r="T5145" i="52"/>
  <c r="U5145" i="52"/>
  <c r="V5145" i="52"/>
  <c r="T5146" i="52"/>
  <c r="U5146" i="52"/>
  <c r="V5146" i="52"/>
  <c r="T5147" i="52"/>
  <c r="U5147" i="52"/>
  <c r="V5147" i="52"/>
  <c r="T5148" i="52"/>
  <c r="U5148" i="52"/>
  <c r="V5148" i="52"/>
  <c r="T5149" i="52"/>
  <c r="U5149" i="52"/>
  <c r="V5149" i="52"/>
  <c r="T5150" i="52"/>
  <c r="U5150" i="52"/>
  <c r="V5150" i="52"/>
  <c r="T5151" i="52"/>
  <c r="U5151" i="52"/>
  <c r="V5151" i="52"/>
  <c r="T5152" i="52"/>
  <c r="U5152" i="52"/>
  <c r="V5152" i="52"/>
  <c r="T5153" i="52"/>
  <c r="U5153" i="52"/>
  <c r="V5153" i="52"/>
  <c r="T5154" i="52"/>
  <c r="U5154" i="52"/>
  <c r="V5154" i="52"/>
  <c r="T5155" i="52"/>
  <c r="U5155" i="52"/>
  <c r="V5155" i="52"/>
  <c r="T5156" i="52"/>
  <c r="U5156" i="52"/>
  <c r="V5156" i="52"/>
  <c r="T5157" i="52"/>
  <c r="U5157" i="52"/>
  <c r="V5157" i="52"/>
  <c r="T5158" i="52"/>
  <c r="U5158" i="52"/>
  <c r="V5158" i="52"/>
  <c r="T5159" i="52"/>
  <c r="U5159" i="52"/>
  <c r="V5159" i="52"/>
  <c r="T5160" i="52"/>
  <c r="U5160" i="52"/>
  <c r="V5160" i="52"/>
  <c r="T5161" i="52"/>
  <c r="U5161" i="52"/>
  <c r="V5161" i="52"/>
  <c r="T5162" i="52"/>
  <c r="U5162" i="52"/>
  <c r="V5162" i="52"/>
  <c r="T5163" i="52"/>
  <c r="U5163" i="52"/>
  <c r="V5163" i="52"/>
  <c r="T5164" i="52"/>
  <c r="U5164" i="52"/>
  <c r="V5164" i="52"/>
  <c r="T5165" i="52"/>
  <c r="U5165" i="52"/>
  <c r="V5165" i="52"/>
  <c r="T5166" i="52"/>
  <c r="U5166" i="52"/>
  <c r="V5166" i="52"/>
  <c r="T5167" i="52"/>
  <c r="U5167" i="52"/>
  <c r="V5167" i="52"/>
  <c r="T5168" i="52"/>
  <c r="U5168" i="52"/>
  <c r="V5168" i="52"/>
  <c r="T5169" i="52"/>
  <c r="U5169" i="52"/>
  <c r="V5169" i="52"/>
  <c r="T5170" i="52"/>
  <c r="U5170" i="52"/>
  <c r="V5170" i="52"/>
  <c r="T5171" i="52"/>
  <c r="U5171" i="52"/>
  <c r="V5171" i="52"/>
  <c r="T5172" i="52"/>
  <c r="U5172" i="52"/>
  <c r="V5172" i="52"/>
  <c r="T5173" i="52"/>
  <c r="U5173" i="52"/>
  <c r="V5173" i="52"/>
  <c r="T5174" i="52"/>
  <c r="U5174" i="52"/>
  <c r="V5174" i="52"/>
  <c r="T5175" i="52"/>
  <c r="U5175" i="52"/>
  <c r="V5175" i="52"/>
  <c r="T5176" i="52"/>
  <c r="U5176" i="52"/>
  <c r="V5176" i="52"/>
  <c r="T5177" i="52"/>
  <c r="U5177" i="52"/>
  <c r="V5177" i="52"/>
  <c r="T5178" i="52"/>
  <c r="U5178" i="52"/>
  <c r="V5178" i="52"/>
  <c r="T5179" i="52"/>
  <c r="U5179" i="52"/>
  <c r="V5179" i="52"/>
  <c r="T5180" i="52"/>
  <c r="U5180" i="52"/>
  <c r="V5180" i="52"/>
  <c r="T5181" i="52"/>
  <c r="U5181" i="52"/>
  <c r="V5181" i="52"/>
  <c r="T5182" i="52"/>
  <c r="U5182" i="52"/>
  <c r="V5182" i="52"/>
  <c r="T5183" i="52"/>
  <c r="U5183" i="52"/>
  <c r="V5183" i="52"/>
  <c r="T5184" i="52"/>
  <c r="U5184" i="52"/>
  <c r="V5184" i="52"/>
  <c r="T5185" i="52"/>
  <c r="U5185" i="52"/>
  <c r="V5185" i="52"/>
  <c r="T5186" i="52"/>
  <c r="U5186" i="52"/>
  <c r="V5186" i="52"/>
  <c r="T5187" i="52"/>
  <c r="U5187" i="52"/>
  <c r="V5187" i="52"/>
  <c r="T5188" i="52"/>
  <c r="U5188" i="52"/>
  <c r="V5188" i="52"/>
  <c r="T5189" i="52"/>
  <c r="U5189" i="52"/>
  <c r="V5189" i="52"/>
  <c r="T5190" i="52"/>
  <c r="U5190" i="52"/>
  <c r="V5190" i="52"/>
  <c r="T5191" i="52"/>
  <c r="U5191" i="52"/>
  <c r="V5191" i="52"/>
  <c r="T5192" i="52"/>
  <c r="U5192" i="52"/>
  <c r="V5192" i="52"/>
  <c r="T5193" i="52"/>
  <c r="U5193" i="52"/>
  <c r="V5193" i="52"/>
  <c r="T5194" i="52"/>
  <c r="U5194" i="52"/>
  <c r="V5194" i="52"/>
  <c r="T5195" i="52"/>
  <c r="U5195" i="52"/>
  <c r="V5195" i="52"/>
  <c r="T5196" i="52"/>
  <c r="U5196" i="52"/>
  <c r="V5196" i="52"/>
  <c r="T5197" i="52"/>
  <c r="U5197" i="52"/>
  <c r="V5197" i="52"/>
  <c r="T5198" i="52"/>
  <c r="U5198" i="52"/>
  <c r="V5198" i="52"/>
  <c r="T5199" i="52"/>
  <c r="U5199" i="52"/>
  <c r="V5199" i="52"/>
  <c r="T5200" i="52"/>
  <c r="U5200" i="52"/>
  <c r="V5200" i="52"/>
  <c r="T5201" i="52"/>
  <c r="U5201" i="52"/>
  <c r="V5201" i="52"/>
  <c r="T5202" i="52"/>
  <c r="U5202" i="52"/>
  <c r="V5202" i="52"/>
  <c r="T5203" i="52"/>
  <c r="U5203" i="52"/>
  <c r="V5203" i="52"/>
  <c r="T5204" i="52"/>
  <c r="U5204" i="52"/>
  <c r="V5204" i="52"/>
  <c r="T5205" i="52"/>
  <c r="U5205" i="52"/>
  <c r="V5205" i="52"/>
  <c r="T5206" i="52"/>
  <c r="U5206" i="52"/>
  <c r="V5206" i="52"/>
  <c r="T5207" i="52"/>
  <c r="U5207" i="52"/>
  <c r="V5207" i="52"/>
  <c r="T5208" i="52"/>
  <c r="U5208" i="52"/>
  <c r="V5208" i="52"/>
  <c r="T5209" i="52"/>
  <c r="U5209" i="52"/>
  <c r="V5209" i="52"/>
  <c r="T5210" i="52"/>
  <c r="U5210" i="52"/>
  <c r="V5210" i="52"/>
  <c r="T5211" i="52"/>
  <c r="U5211" i="52"/>
  <c r="V5211" i="52"/>
  <c r="T5212" i="52"/>
  <c r="U5212" i="52"/>
  <c r="V5212" i="52"/>
  <c r="T5213" i="52"/>
  <c r="U5213" i="52"/>
  <c r="V5213" i="52"/>
  <c r="T5214" i="52"/>
  <c r="U5214" i="52"/>
  <c r="V5214" i="52"/>
  <c r="T5215" i="52"/>
  <c r="U5215" i="52"/>
  <c r="V5215" i="52"/>
  <c r="T5216" i="52"/>
  <c r="U5216" i="52"/>
  <c r="V5216" i="52"/>
  <c r="T5217" i="52"/>
  <c r="U5217" i="52"/>
  <c r="V5217" i="52"/>
  <c r="T5218" i="52"/>
  <c r="U5218" i="52"/>
  <c r="V5218" i="52"/>
  <c r="T5219" i="52"/>
  <c r="U5219" i="52"/>
  <c r="V5219" i="52"/>
  <c r="T5220" i="52"/>
  <c r="U5220" i="52"/>
  <c r="V5220" i="52"/>
  <c r="T5221" i="52"/>
  <c r="U5221" i="52"/>
  <c r="V5221" i="52"/>
  <c r="T5222" i="52"/>
  <c r="U5222" i="52"/>
  <c r="V5222" i="52"/>
  <c r="T5223" i="52"/>
  <c r="U5223" i="52"/>
  <c r="V5223" i="52"/>
  <c r="T5224" i="52"/>
  <c r="U5224" i="52"/>
  <c r="V5224" i="52"/>
  <c r="T5225" i="52"/>
  <c r="U5225" i="52"/>
  <c r="V5225" i="52"/>
  <c r="T5226" i="52"/>
  <c r="U5226" i="52"/>
  <c r="V5226" i="52"/>
  <c r="T5227" i="52"/>
  <c r="U5227" i="52"/>
  <c r="V5227" i="52"/>
  <c r="T5228" i="52"/>
  <c r="U5228" i="52"/>
  <c r="V5228" i="52"/>
  <c r="T5229" i="52"/>
  <c r="U5229" i="52"/>
  <c r="V5229" i="52"/>
  <c r="T5230" i="52"/>
  <c r="U5230" i="52"/>
  <c r="V5230" i="52"/>
  <c r="T5231" i="52"/>
  <c r="U5231" i="52"/>
  <c r="V5231" i="52"/>
  <c r="T5232" i="52"/>
  <c r="U5232" i="52"/>
  <c r="V5232" i="52"/>
  <c r="T5233" i="52"/>
  <c r="U5233" i="52"/>
  <c r="V5233" i="52"/>
  <c r="T5234" i="52"/>
  <c r="U5234" i="52"/>
  <c r="V5234" i="52"/>
  <c r="T5235" i="52"/>
  <c r="U5235" i="52"/>
  <c r="V5235" i="52"/>
  <c r="T5236" i="52"/>
  <c r="U5236" i="52"/>
  <c r="V5236" i="52"/>
  <c r="T5237" i="52"/>
  <c r="U5237" i="52"/>
  <c r="V5237" i="52"/>
  <c r="T5238" i="52"/>
  <c r="U5238" i="52"/>
  <c r="V5238" i="52"/>
  <c r="T5239" i="52"/>
  <c r="U5239" i="52"/>
  <c r="V5239" i="52"/>
  <c r="T5240" i="52"/>
  <c r="U5240" i="52"/>
  <c r="V5240" i="52"/>
  <c r="T5241" i="52"/>
  <c r="U5241" i="52"/>
  <c r="V5241" i="52"/>
  <c r="T5242" i="52"/>
  <c r="U5242" i="52"/>
  <c r="V5242" i="52"/>
  <c r="T5243" i="52"/>
  <c r="U5243" i="52"/>
  <c r="V5243" i="52"/>
  <c r="T5244" i="52"/>
  <c r="U5244" i="52"/>
  <c r="V5244" i="52"/>
  <c r="T5245" i="52"/>
  <c r="U5245" i="52"/>
  <c r="V5245" i="52"/>
  <c r="T5246" i="52"/>
  <c r="U5246" i="52"/>
  <c r="V5246" i="52"/>
  <c r="T5247" i="52"/>
  <c r="U5247" i="52"/>
  <c r="V5247" i="52"/>
  <c r="T5248" i="52"/>
  <c r="U5248" i="52"/>
  <c r="V5248" i="52"/>
  <c r="T5249" i="52"/>
  <c r="U5249" i="52"/>
  <c r="V5249" i="52"/>
  <c r="T5250" i="52"/>
  <c r="U5250" i="52"/>
  <c r="V5250" i="52"/>
  <c r="T5251" i="52"/>
  <c r="U5251" i="52"/>
  <c r="V5251" i="52"/>
  <c r="T5252" i="52"/>
  <c r="U5252" i="52"/>
  <c r="V5252" i="52"/>
  <c r="T5253" i="52"/>
  <c r="U5253" i="52"/>
  <c r="V5253" i="52"/>
  <c r="T5254" i="52"/>
  <c r="U5254" i="52"/>
  <c r="V5254" i="52"/>
  <c r="T5255" i="52"/>
  <c r="U5255" i="52"/>
  <c r="V5255" i="52"/>
  <c r="T5256" i="52"/>
  <c r="U5256" i="52"/>
  <c r="V5256" i="52"/>
  <c r="T5257" i="52"/>
  <c r="U5257" i="52"/>
  <c r="V5257" i="52"/>
  <c r="T5258" i="52"/>
  <c r="U5258" i="52"/>
  <c r="V5258" i="52"/>
  <c r="T5259" i="52"/>
  <c r="U5259" i="52"/>
  <c r="V5259" i="52"/>
  <c r="T5260" i="52"/>
  <c r="U5260" i="52"/>
  <c r="V5260" i="52"/>
  <c r="T5261" i="52"/>
  <c r="U5261" i="52"/>
  <c r="V5261" i="52"/>
  <c r="T5262" i="52"/>
  <c r="U5262" i="52"/>
  <c r="V5262" i="52"/>
  <c r="T5263" i="52"/>
  <c r="U5263" i="52"/>
  <c r="V5263" i="52"/>
  <c r="T5264" i="52"/>
  <c r="U5264" i="52"/>
  <c r="V5264" i="52"/>
  <c r="T5265" i="52"/>
  <c r="U5265" i="52"/>
  <c r="V5265" i="52"/>
  <c r="T5266" i="52"/>
  <c r="U5266" i="52"/>
  <c r="V5266" i="52"/>
  <c r="T5267" i="52"/>
  <c r="U5267" i="52"/>
  <c r="V5267" i="52"/>
  <c r="T5268" i="52"/>
  <c r="U5268" i="52"/>
  <c r="V5268" i="52"/>
  <c r="T5269" i="52"/>
  <c r="U5269" i="52"/>
  <c r="V5269" i="52"/>
  <c r="T5270" i="52"/>
  <c r="U5270" i="52"/>
  <c r="V5270" i="52"/>
  <c r="T5271" i="52"/>
  <c r="U5271" i="52"/>
  <c r="V5271" i="52"/>
  <c r="T5272" i="52"/>
  <c r="U5272" i="52"/>
  <c r="V5272" i="52"/>
  <c r="T5273" i="52"/>
  <c r="U5273" i="52"/>
  <c r="V5273" i="52"/>
  <c r="T5274" i="52"/>
  <c r="U5274" i="52"/>
  <c r="V5274" i="52"/>
  <c r="T5275" i="52"/>
  <c r="U5275" i="52"/>
  <c r="V5275" i="52"/>
  <c r="T5276" i="52"/>
  <c r="U5276" i="52"/>
  <c r="V5276" i="52"/>
  <c r="T5277" i="52"/>
  <c r="U5277" i="52"/>
  <c r="V5277" i="52"/>
  <c r="T5278" i="52"/>
  <c r="U5278" i="52"/>
  <c r="V5278" i="52"/>
  <c r="T5279" i="52"/>
  <c r="U5279" i="52"/>
  <c r="V5279" i="52"/>
  <c r="T5280" i="52"/>
  <c r="U5280" i="52"/>
  <c r="V5280" i="52"/>
  <c r="T5281" i="52"/>
  <c r="U5281" i="52"/>
  <c r="V5281" i="52"/>
  <c r="T5282" i="52"/>
  <c r="U5282" i="52"/>
  <c r="V5282" i="52"/>
  <c r="T5283" i="52"/>
  <c r="U5283" i="52"/>
  <c r="V5283" i="52"/>
  <c r="T5284" i="52"/>
  <c r="U5284" i="52"/>
  <c r="V5284" i="52"/>
  <c r="T5285" i="52"/>
  <c r="U5285" i="52"/>
  <c r="V5285" i="52"/>
  <c r="T5286" i="52"/>
  <c r="U5286" i="52"/>
  <c r="V5286" i="52"/>
  <c r="T5287" i="52"/>
  <c r="U5287" i="52"/>
  <c r="V5287" i="52"/>
  <c r="T5288" i="52"/>
  <c r="U5288" i="52"/>
  <c r="V5288" i="52"/>
  <c r="T5289" i="52"/>
  <c r="U5289" i="52"/>
  <c r="V5289" i="52"/>
  <c r="T5290" i="52"/>
  <c r="U5290" i="52"/>
  <c r="V5290" i="52"/>
  <c r="T5291" i="52"/>
  <c r="U5291" i="52"/>
  <c r="V5291" i="52"/>
  <c r="T5292" i="52"/>
  <c r="U5292" i="52"/>
  <c r="V5292" i="52"/>
  <c r="T5293" i="52"/>
  <c r="U5293" i="52"/>
  <c r="V5293" i="52"/>
  <c r="T5294" i="52"/>
  <c r="U5294" i="52"/>
  <c r="V5294" i="52"/>
  <c r="T5295" i="52"/>
  <c r="U5295" i="52"/>
  <c r="V5295" i="52"/>
  <c r="T5296" i="52"/>
  <c r="U5296" i="52"/>
  <c r="V5296" i="52"/>
  <c r="T5297" i="52"/>
  <c r="U5297" i="52"/>
  <c r="V5297" i="52"/>
  <c r="T5298" i="52"/>
  <c r="U5298" i="52"/>
  <c r="V5298" i="52"/>
  <c r="T5299" i="52"/>
  <c r="U5299" i="52"/>
  <c r="V5299" i="52"/>
  <c r="T5300" i="52"/>
  <c r="U5300" i="52"/>
  <c r="V5300" i="52"/>
  <c r="T5301" i="52"/>
  <c r="U5301" i="52"/>
  <c r="V5301" i="52"/>
  <c r="T5302" i="52"/>
  <c r="U5302" i="52"/>
  <c r="V5302" i="52"/>
  <c r="T5303" i="52"/>
  <c r="U5303" i="52"/>
  <c r="V5303" i="52"/>
  <c r="T5304" i="52"/>
  <c r="U5304" i="52"/>
  <c r="V5304" i="52"/>
  <c r="T5305" i="52"/>
  <c r="U5305" i="52"/>
  <c r="V5305" i="52"/>
  <c r="T5306" i="52"/>
  <c r="U5306" i="52"/>
  <c r="V5306" i="52"/>
  <c r="T5307" i="52"/>
  <c r="U5307" i="52"/>
  <c r="V5307" i="52"/>
  <c r="T5308" i="52"/>
  <c r="U5308" i="52"/>
  <c r="V5308" i="52"/>
  <c r="T5309" i="52"/>
  <c r="U5309" i="52"/>
  <c r="V5309" i="52"/>
  <c r="T5310" i="52"/>
  <c r="U5310" i="52"/>
  <c r="V5310" i="52"/>
  <c r="T5311" i="52"/>
  <c r="U5311" i="52"/>
  <c r="V5311" i="52"/>
  <c r="T5312" i="52"/>
  <c r="U5312" i="52"/>
  <c r="V5312" i="52"/>
  <c r="T5313" i="52"/>
  <c r="U5313" i="52"/>
  <c r="V5313" i="52"/>
  <c r="T5314" i="52"/>
  <c r="U5314" i="52"/>
  <c r="V5314" i="52"/>
  <c r="T5315" i="52"/>
  <c r="U5315" i="52"/>
  <c r="V5315" i="52"/>
  <c r="T5316" i="52"/>
  <c r="U5316" i="52"/>
  <c r="V5316" i="52"/>
  <c r="T5317" i="52"/>
  <c r="U5317" i="52"/>
  <c r="V5317" i="52"/>
  <c r="T5318" i="52"/>
  <c r="U5318" i="52"/>
  <c r="V5318" i="52"/>
  <c r="T5319" i="52"/>
  <c r="U5319" i="52"/>
  <c r="V5319" i="52"/>
  <c r="T5320" i="52"/>
  <c r="U5320" i="52"/>
  <c r="V5320" i="52"/>
  <c r="T5321" i="52"/>
  <c r="U5321" i="52"/>
  <c r="V5321" i="52"/>
  <c r="T5322" i="52"/>
  <c r="U5322" i="52"/>
  <c r="V5322" i="52"/>
  <c r="T5323" i="52"/>
  <c r="U5323" i="52"/>
  <c r="V5323" i="52"/>
  <c r="T5324" i="52"/>
  <c r="U5324" i="52"/>
  <c r="V5324" i="52"/>
  <c r="T5325" i="52"/>
  <c r="U5325" i="52"/>
  <c r="V5325" i="52"/>
  <c r="T5326" i="52"/>
  <c r="U5326" i="52"/>
  <c r="V5326" i="52"/>
  <c r="T5327" i="52"/>
  <c r="U5327" i="52"/>
  <c r="V5327" i="52"/>
  <c r="T5328" i="52"/>
  <c r="U5328" i="52"/>
  <c r="V5328" i="52"/>
  <c r="T5329" i="52"/>
  <c r="U5329" i="52"/>
  <c r="V5329" i="52"/>
  <c r="T5330" i="52"/>
  <c r="U5330" i="52"/>
  <c r="V5330" i="52"/>
  <c r="T5331" i="52"/>
  <c r="U5331" i="52"/>
  <c r="V5331" i="52"/>
  <c r="T5332" i="52"/>
  <c r="U5332" i="52"/>
  <c r="V5332" i="52"/>
  <c r="T5333" i="52"/>
  <c r="U5333" i="52"/>
  <c r="V5333" i="52"/>
  <c r="T5334" i="52"/>
  <c r="U5334" i="52"/>
  <c r="V5334" i="52"/>
  <c r="T5335" i="52"/>
  <c r="U5335" i="52"/>
  <c r="V5335" i="52"/>
  <c r="T5336" i="52"/>
  <c r="U5336" i="52"/>
  <c r="V5336" i="52"/>
  <c r="T5337" i="52"/>
  <c r="U5337" i="52"/>
  <c r="V5337" i="52"/>
  <c r="T5338" i="52"/>
  <c r="U5338" i="52"/>
  <c r="V5338" i="52"/>
  <c r="T5339" i="52"/>
  <c r="U5339" i="52"/>
  <c r="V5339" i="52"/>
  <c r="T5340" i="52"/>
  <c r="U5340" i="52"/>
  <c r="V5340" i="52"/>
  <c r="T5341" i="52"/>
  <c r="U5341" i="52"/>
  <c r="V5341" i="52"/>
  <c r="T5342" i="52"/>
  <c r="U5342" i="52"/>
  <c r="V5342" i="52"/>
  <c r="T5343" i="52"/>
  <c r="U5343" i="52"/>
  <c r="V5343" i="52"/>
  <c r="T5344" i="52"/>
  <c r="U5344" i="52"/>
  <c r="V5344" i="52"/>
  <c r="T5345" i="52"/>
  <c r="U5345" i="52"/>
  <c r="V5345" i="52"/>
  <c r="T5346" i="52"/>
  <c r="U5346" i="52"/>
  <c r="V5346" i="52"/>
  <c r="T5347" i="52"/>
  <c r="U5347" i="52"/>
  <c r="V5347" i="52"/>
  <c r="T5348" i="52"/>
  <c r="U5348" i="52"/>
  <c r="V5348" i="52"/>
  <c r="T5349" i="52"/>
  <c r="U5349" i="52"/>
  <c r="V5349" i="52"/>
  <c r="T5350" i="52"/>
  <c r="U5350" i="52"/>
  <c r="V5350" i="52"/>
  <c r="T5351" i="52"/>
  <c r="U5351" i="52"/>
  <c r="V5351" i="52"/>
  <c r="T5352" i="52"/>
  <c r="U5352" i="52"/>
  <c r="V5352" i="52"/>
  <c r="T5353" i="52"/>
  <c r="U5353" i="52"/>
  <c r="V5353" i="52"/>
  <c r="T5354" i="52"/>
  <c r="U5354" i="52"/>
  <c r="V5354" i="52"/>
  <c r="T5355" i="52"/>
  <c r="U5355" i="52"/>
  <c r="V5355" i="52"/>
  <c r="T5356" i="52"/>
  <c r="U5356" i="52"/>
  <c r="V5356" i="52"/>
  <c r="T5357" i="52"/>
  <c r="U5357" i="52"/>
  <c r="V5357" i="52"/>
  <c r="T5358" i="52"/>
  <c r="U5358" i="52"/>
  <c r="V5358" i="52"/>
  <c r="T5359" i="52"/>
  <c r="U5359" i="52"/>
  <c r="V5359" i="52"/>
  <c r="T5360" i="52"/>
  <c r="U5360" i="52"/>
  <c r="V5360" i="52"/>
  <c r="T5361" i="52"/>
  <c r="U5361" i="52"/>
  <c r="V5361" i="52"/>
  <c r="T5362" i="52"/>
  <c r="U5362" i="52"/>
  <c r="V5362" i="52"/>
  <c r="T5363" i="52"/>
  <c r="U5363" i="52"/>
  <c r="V5363" i="52"/>
  <c r="T5364" i="52"/>
  <c r="U5364" i="52"/>
  <c r="V5364" i="52"/>
  <c r="T5365" i="52"/>
  <c r="U5365" i="52"/>
  <c r="V5365" i="52"/>
  <c r="T5366" i="52"/>
  <c r="U5366" i="52"/>
  <c r="V5366" i="52"/>
  <c r="T5367" i="52"/>
  <c r="U5367" i="52"/>
  <c r="V5367" i="52"/>
  <c r="T5368" i="52"/>
  <c r="U5368" i="52"/>
  <c r="V5368" i="52"/>
  <c r="T5369" i="52"/>
  <c r="U5369" i="52"/>
  <c r="V5369" i="52"/>
  <c r="T5370" i="52"/>
  <c r="U5370" i="52"/>
  <c r="V5370" i="52"/>
  <c r="T5371" i="52"/>
  <c r="U5371" i="52"/>
  <c r="V5371" i="52"/>
  <c r="T5372" i="52"/>
  <c r="U5372" i="52"/>
  <c r="V5372" i="52"/>
  <c r="T5373" i="52"/>
  <c r="U5373" i="52"/>
  <c r="V5373" i="52"/>
  <c r="T5374" i="52"/>
  <c r="U5374" i="52"/>
  <c r="V5374" i="52"/>
  <c r="T5375" i="52"/>
  <c r="U5375" i="52"/>
  <c r="V5375" i="52"/>
  <c r="T5376" i="52"/>
  <c r="U5376" i="52"/>
  <c r="V5376" i="52"/>
  <c r="T5377" i="52"/>
  <c r="U5377" i="52"/>
  <c r="V5377" i="52"/>
  <c r="T5378" i="52"/>
  <c r="U5378" i="52"/>
  <c r="V5378" i="52"/>
  <c r="T5379" i="52"/>
  <c r="U5379" i="52"/>
  <c r="V5379" i="52"/>
  <c r="T5380" i="52"/>
  <c r="U5380" i="52"/>
  <c r="V5380" i="52"/>
  <c r="T5381" i="52"/>
  <c r="U5381" i="52"/>
  <c r="V5381" i="52"/>
  <c r="T5382" i="52"/>
  <c r="U5382" i="52"/>
  <c r="V5382" i="52"/>
  <c r="T5383" i="52"/>
  <c r="U5383" i="52"/>
  <c r="V5383" i="52"/>
  <c r="T5384" i="52"/>
  <c r="U5384" i="52"/>
  <c r="V5384" i="52"/>
  <c r="T5385" i="52"/>
  <c r="U5385" i="52"/>
  <c r="V5385" i="52"/>
  <c r="T5386" i="52"/>
  <c r="U5386" i="52"/>
  <c r="V5386" i="52"/>
  <c r="T5387" i="52"/>
  <c r="U5387" i="52"/>
  <c r="V5387" i="52"/>
  <c r="T5388" i="52"/>
  <c r="U5388" i="52"/>
  <c r="V5388" i="52"/>
  <c r="T5389" i="52"/>
  <c r="U5389" i="52"/>
  <c r="V5389" i="52"/>
  <c r="T5390" i="52"/>
  <c r="U5390" i="52"/>
  <c r="V5390" i="52"/>
  <c r="T5391" i="52"/>
  <c r="U5391" i="52"/>
  <c r="V5391" i="52"/>
  <c r="T5392" i="52"/>
  <c r="U5392" i="52"/>
  <c r="V5392" i="52"/>
  <c r="T5393" i="52"/>
  <c r="U5393" i="52"/>
  <c r="V5393" i="52"/>
  <c r="T5394" i="52"/>
  <c r="U5394" i="52"/>
  <c r="V5394" i="52"/>
  <c r="T5395" i="52"/>
  <c r="U5395" i="52"/>
  <c r="V5395" i="52"/>
  <c r="T5396" i="52"/>
  <c r="U5396" i="52"/>
  <c r="V5396" i="52"/>
  <c r="T5397" i="52"/>
  <c r="U5397" i="52"/>
  <c r="V5397" i="52"/>
  <c r="T5398" i="52"/>
  <c r="U5398" i="52"/>
  <c r="V5398" i="52"/>
  <c r="T5399" i="52"/>
  <c r="U5399" i="52"/>
  <c r="V5399" i="52"/>
  <c r="T5400" i="52"/>
  <c r="U5400" i="52"/>
  <c r="V5400" i="52"/>
  <c r="T5401" i="52"/>
  <c r="U5401" i="52"/>
  <c r="V5401" i="52"/>
  <c r="T5402" i="52"/>
  <c r="U5402" i="52"/>
  <c r="V5402" i="52"/>
  <c r="T5403" i="52"/>
  <c r="U5403" i="52"/>
  <c r="V5403" i="52"/>
  <c r="T5404" i="52"/>
  <c r="U5404" i="52"/>
  <c r="V5404" i="52"/>
  <c r="T5405" i="52"/>
  <c r="U5405" i="52"/>
  <c r="V5405" i="52"/>
  <c r="T5406" i="52"/>
  <c r="U5406" i="52"/>
  <c r="V5406" i="52"/>
  <c r="T5407" i="52"/>
  <c r="U5407" i="52"/>
  <c r="V5407" i="52"/>
  <c r="T5408" i="52"/>
  <c r="U5408" i="52"/>
  <c r="V5408" i="52"/>
  <c r="T5409" i="52"/>
  <c r="U5409" i="52"/>
  <c r="V5409" i="52"/>
  <c r="T5410" i="52"/>
  <c r="U5410" i="52"/>
  <c r="V5410" i="52"/>
  <c r="T5411" i="52"/>
  <c r="U5411" i="52"/>
  <c r="V5411" i="52"/>
  <c r="T5412" i="52"/>
  <c r="U5412" i="52"/>
  <c r="V5412" i="52"/>
  <c r="T5413" i="52"/>
  <c r="U5413" i="52"/>
  <c r="V5413" i="52"/>
  <c r="T5414" i="52"/>
  <c r="U5414" i="52"/>
  <c r="V5414" i="52"/>
  <c r="T5415" i="52"/>
  <c r="U5415" i="52"/>
  <c r="V5415" i="52"/>
  <c r="T5416" i="52"/>
  <c r="U5416" i="52"/>
  <c r="V5416" i="52"/>
  <c r="T5417" i="52"/>
  <c r="U5417" i="52"/>
  <c r="V5417" i="52"/>
  <c r="T5418" i="52"/>
  <c r="U5418" i="52"/>
  <c r="V5418" i="52"/>
  <c r="T5419" i="52"/>
  <c r="U5419" i="52"/>
  <c r="V5419" i="52"/>
  <c r="T5420" i="52"/>
  <c r="U5420" i="52"/>
  <c r="V5420" i="52"/>
  <c r="T5421" i="52"/>
  <c r="U5421" i="52"/>
  <c r="V5421" i="52"/>
  <c r="T5422" i="52"/>
  <c r="U5422" i="52"/>
  <c r="V5422" i="52"/>
  <c r="T5423" i="52"/>
  <c r="U5423" i="52"/>
  <c r="V5423" i="52"/>
  <c r="T5424" i="52"/>
  <c r="U5424" i="52"/>
  <c r="V5424" i="52"/>
  <c r="T5425" i="52"/>
  <c r="U5425" i="52"/>
  <c r="V5425" i="52"/>
  <c r="T5426" i="52"/>
  <c r="U5426" i="52"/>
  <c r="V5426" i="52"/>
  <c r="T5427" i="52"/>
  <c r="U5427" i="52"/>
  <c r="V5427" i="52"/>
  <c r="T5428" i="52"/>
  <c r="U5428" i="52"/>
  <c r="V5428" i="52"/>
  <c r="T5429" i="52"/>
  <c r="U5429" i="52"/>
  <c r="V5429" i="52"/>
  <c r="T5430" i="52"/>
  <c r="U5430" i="52"/>
  <c r="V5430" i="52"/>
  <c r="T5431" i="52"/>
  <c r="U5431" i="52"/>
  <c r="V5431" i="52"/>
  <c r="T5432" i="52"/>
  <c r="U5432" i="52"/>
  <c r="V5432" i="52"/>
  <c r="T5433" i="52"/>
  <c r="U5433" i="52"/>
  <c r="V5433" i="52"/>
  <c r="T5434" i="52"/>
  <c r="U5434" i="52"/>
  <c r="V5434" i="52"/>
  <c r="T5435" i="52"/>
  <c r="U5435" i="52"/>
  <c r="V5435" i="52"/>
  <c r="T5436" i="52"/>
  <c r="U5436" i="52"/>
  <c r="V5436" i="52"/>
  <c r="T5437" i="52"/>
  <c r="U5437" i="52"/>
  <c r="V5437" i="52"/>
  <c r="T5438" i="52"/>
  <c r="U5438" i="52"/>
  <c r="V5438" i="52"/>
  <c r="T5439" i="52"/>
  <c r="U5439" i="52"/>
  <c r="V5439" i="52"/>
  <c r="T5440" i="52"/>
  <c r="U5440" i="52"/>
  <c r="V5440" i="52"/>
  <c r="T5441" i="52"/>
  <c r="U5441" i="52"/>
  <c r="V5441" i="52"/>
  <c r="T5442" i="52"/>
  <c r="U5442" i="52"/>
  <c r="V5442" i="52"/>
  <c r="T5443" i="52"/>
  <c r="U5443" i="52"/>
  <c r="V5443" i="52"/>
  <c r="T5444" i="52"/>
  <c r="U5444" i="52"/>
  <c r="V5444" i="52"/>
  <c r="T5445" i="52"/>
  <c r="U5445" i="52"/>
  <c r="V5445" i="52"/>
  <c r="T5446" i="52"/>
  <c r="U5446" i="52"/>
  <c r="V5446" i="52"/>
  <c r="T5447" i="52"/>
  <c r="U5447" i="52"/>
  <c r="V5447" i="52"/>
  <c r="T5448" i="52"/>
  <c r="U5448" i="52"/>
  <c r="V5448" i="52"/>
  <c r="T5449" i="52"/>
  <c r="U5449" i="52"/>
  <c r="V5449" i="52"/>
  <c r="T5450" i="52"/>
  <c r="U5450" i="52"/>
  <c r="V5450" i="52"/>
  <c r="T5451" i="52"/>
  <c r="U5451" i="52"/>
  <c r="V5451" i="52"/>
  <c r="T5452" i="52"/>
  <c r="U5452" i="52"/>
  <c r="V5452" i="52"/>
  <c r="T5453" i="52"/>
  <c r="U5453" i="52"/>
  <c r="V5453" i="52"/>
  <c r="T5454" i="52"/>
  <c r="U5454" i="52"/>
  <c r="V5454" i="52"/>
  <c r="T5455" i="52"/>
  <c r="U5455" i="52"/>
  <c r="V5455" i="52"/>
  <c r="T5456" i="52"/>
  <c r="U5456" i="52"/>
  <c r="V5456" i="52"/>
  <c r="T5457" i="52"/>
  <c r="U5457" i="52"/>
  <c r="V5457" i="52"/>
  <c r="T5458" i="52"/>
  <c r="U5458" i="52"/>
  <c r="V5458" i="52"/>
  <c r="T5459" i="52"/>
  <c r="U5459" i="52"/>
  <c r="V5459" i="52"/>
  <c r="T5460" i="52"/>
  <c r="U5460" i="52"/>
  <c r="V5460" i="52"/>
  <c r="T5461" i="52"/>
  <c r="U5461" i="52"/>
  <c r="V5461" i="52"/>
  <c r="T5462" i="52"/>
  <c r="U5462" i="52"/>
  <c r="V5462" i="52"/>
  <c r="T5463" i="52"/>
  <c r="U5463" i="52"/>
  <c r="V5463" i="52"/>
  <c r="T5464" i="52"/>
  <c r="U5464" i="52"/>
  <c r="V5464" i="52"/>
  <c r="T5465" i="52"/>
  <c r="U5465" i="52"/>
  <c r="V5465" i="52"/>
  <c r="T5466" i="52"/>
  <c r="U5466" i="52"/>
  <c r="V5466" i="52"/>
  <c r="T5467" i="52"/>
  <c r="U5467" i="52"/>
  <c r="V5467" i="52"/>
  <c r="T5468" i="52"/>
  <c r="U5468" i="52"/>
  <c r="V5468" i="52"/>
  <c r="T5469" i="52"/>
  <c r="U5469" i="52"/>
  <c r="V5469" i="52"/>
  <c r="T5470" i="52"/>
  <c r="U5470" i="52"/>
  <c r="V5470" i="52"/>
  <c r="T5471" i="52"/>
  <c r="U5471" i="52"/>
  <c r="V5471" i="52"/>
  <c r="T5472" i="52"/>
  <c r="U5472" i="52"/>
  <c r="V5472" i="52"/>
  <c r="T5473" i="52"/>
  <c r="U5473" i="52"/>
  <c r="V5473" i="52"/>
  <c r="T5474" i="52"/>
  <c r="U5474" i="52"/>
  <c r="V5474" i="52"/>
  <c r="T5475" i="52"/>
  <c r="U5475" i="52"/>
  <c r="V5475" i="52"/>
  <c r="T5476" i="52"/>
  <c r="U5476" i="52"/>
  <c r="V5476" i="52"/>
  <c r="T5477" i="52"/>
  <c r="U5477" i="52"/>
  <c r="V5477" i="52"/>
  <c r="T5478" i="52"/>
  <c r="U5478" i="52"/>
  <c r="V5478" i="52"/>
  <c r="T5479" i="52"/>
  <c r="U5479" i="52"/>
  <c r="V5479" i="52"/>
  <c r="T5480" i="52"/>
  <c r="U5480" i="52"/>
  <c r="V5480" i="52"/>
  <c r="T5481" i="52"/>
  <c r="U5481" i="52"/>
  <c r="V5481" i="52"/>
  <c r="T5482" i="52"/>
  <c r="U5482" i="52"/>
  <c r="V5482" i="52"/>
  <c r="T5483" i="52"/>
  <c r="U5483" i="52"/>
  <c r="V5483" i="52"/>
  <c r="T5484" i="52"/>
  <c r="U5484" i="52"/>
  <c r="V5484" i="52"/>
  <c r="T5485" i="52"/>
  <c r="U5485" i="52"/>
  <c r="V5485" i="52"/>
  <c r="T5486" i="52"/>
  <c r="U5486" i="52"/>
  <c r="V5486" i="52"/>
  <c r="T5487" i="52"/>
  <c r="U5487" i="52"/>
  <c r="V5487" i="52"/>
  <c r="T5488" i="52"/>
  <c r="U5488" i="52"/>
  <c r="V5488" i="52"/>
  <c r="T5489" i="52"/>
  <c r="U5489" i="52"/>
  <c r="V5489" i="52"/>
  <c r="T5490" i="52"/>
  <c r="U5490" i="52"/>
  <c r="V5490" i="52"/>
  <c r="T5491" i="52"/>
  <c r="U5491" i="52"/>
  <c r="V5491" i="52"/>
  <c r="T5492" i="52"/>
  <c r="U5492" i="52"/>
  <c r="V5492" i="52"/>
  <c r="T5493" i="52"/>
  <c r="U5493" i="52"/>
  <c r="V5493" i="52"/>
  <c r="T5494" i="52"/>
  <c r="U5494" i="52"/>
  <c r="V5494" i="52"/>
  <c r="T5495" i="52"/>
  <c r="U5495" i="52"/>
  <c r="V5495" i="52"/>
  <c r="T5496" i="52"/>
  <c r="U5496" i="52"/>
  <c r="V5496" i="52"/>
  <c r="T5497" i="52"/>
  <c r="U5497" i="52"/>
  <c r="V5497" i="52"/>
  <c r="T5498" i="52"/>
  <c r="U5498" i="52"/>
  <c r="V5498" i="52"/>
  <c r="T5499" i="52"/>
  <c r="U5499" i="52"/>
  <c r="V5499" i="52"/>
  <c r="T5500" i="52"/>
  <c r="U5500" i="52"/>
  <c r="V5500" i="52"/>
  <c r="T5501" i="52"/>
  <c r="U5501" i="52"/>
  <c r="V5501" i="52"/>
  <c r="T5502" i="52"/>
  <c r="U5502" i="52"/>
  <c r="V5502" i="52"/>
  <c r="T5503" i="52"/>
  <c r="U5503" i="52"/>
  <c r="V5503" i="52"/>
  <c r="T5504" i="52"/>
  <c r="U5504" i="52"/>
  <c r="V5504" i="52"/>
  <c r="T5505" i="52"/>
  <c r="U5505" i="52"/>
  <c r="V5505" i="52"/>
  <c r="T5506" i="52"/>
  <c r="U5506" i="52"/>
  <c r="V5506" i="52"/>
  <c r="T5507" i="52"/>
  <c r="U5507" i="52"/>
  <c r="V5507" i="52"/>
  <c r="T5508" i="52"/>
  <c r="U5508" i="52"/>
  <c r="V5508" i="52"/>
  <c r="T5509" i="52"/>
  <c r="U5509" i="52"/>
  <c r="V5509" i="52"/>
  <c r="T5510" i="52"/>
  <c r="U5510" i="52"/>
  <c r="V5510" i="52"/>
  <c r="T5511" i="52"/>
  <c r="U5511" i="52"/>
  <c r="V5511" i="52"/>
  <c r="T5512" i="52"/>
  <c r="U5512" i="52"/>
  <c r="V5512" i="52"/>
  <c r="T5513" i="52"/>
  <c r="U5513" i="52"/>
  <c r="V5513" i="52"/>
  <c r="T5514" i="52"/>
  <c r="U5514" i="52"/>
  <c r="V5514" i="52"/>
  <c r="T5515" i="52"/>
  <c r="U5515" i="52"/>
  <c r="V5515" i="52"/>
  <c r="T5516" i="52"/>
  <c r="U5516" i="52"/>
  <c r="V5516" i="52"/>
  <c r="T5517" i="52"/>
  <c r="U5517" i="52"/>
  <c r="V5517" i="52"/>
  <c r="T5518" i="52"/>
  <c r="U5518" i="52"/>
  <c r="V5518" i="52"/>
  <c r="T5519" i="52"/>
  <c r="U5519" i="52"/>
  <c r="V5519" i="52"/>
  <c r="T5520" i="52"/>
  <c r="U5520" i="52"/>
  <c r="V5520" i="52"/>
  <c r="T5521" i="52"/>
  <c r="U5521" i="52"/>
  <c r="V5521" i="52"/>
  <c r="T5522" i="52"/>
  <c r="U5522" i="52"/>
  <c r="V5522" i="52"/>
  <c r="T5523" i="52"/>
  <c r="U5523" i="52"/>
  <c r="V5523" i="52"/>
  <c r="T5524" i="52"/>
  <c r="U5524" i="52"/>
  <c r="V5524" i="52"/>
  <c r="T5525" i="52"/>
  <c r="U5525" i="52"/>
  <c r="V5525" i="52"/>
  <c r="T5526" i="52"/>
  <c r="U5526" i="52"/>
  <c r="V5526" i="52"/>
  <c r="T5527" i="52"/>
  <c r="U5527" i="52"/>
  <c r="V5527" i="52"/>
  <c r="T5528" i="52"/>
  <c r="U5528" i="52"/>
  <c r="V5528" i="52"/>
  <c r="T5529" i="52"/>
  <c r="U5529" i="52"/>
  <c r="V5529" i="52"/>
  <c r="T5530" i="52"/>
  <c r="U5530" i="52"/>
  <c r="V5530" i="52"/>
  <c r="T5531" i="52"/>
  <c r="U5531" i="52"/>
  <c r="V5531" i="52"/>
  <c r="T5532" i="52"/>
  <c r="U5532" i="52"/>
  <c r="V5532" i="52"/>
  <c r="T5533" i="52"/>
  <c r="U5533" i="52"/>
  <c r="V5533" i="52"/>
  <c r="T5534" i="52"/>
  <c r="U5534" i="52"/>
  <c r="V5534" i="52"/>
  <c r="T5535" i="52"/>
  <c r="U5535" i="52"/>
  <c r="V5535" i="52"/>
  <c r="T5536" i="52"/>
  <c r="U5536" i="52"/>
  <c r="V5536" i="52"/>
  <c r="T5537" i="52"/>
  <c r="U5537" i="52"/>
  <c r="V5537" i="52"/>
  <c r="T5538" i="52"/>
  <c r="U5538" i="52"/>
  <c r="V5538" i="52"/>
  <c r="T5539" i="52"/>
  <c r="U5539" i="52"/>
  <c r="V5539" i="52"/>
  <c r="T5540" i="52"/>
  <c r="U5540" i="52"/>
  <c r="V5540" i="52"/>
  <c r="T5541" i="52"/>
  <c r="U5541" i="52"/>
  <c r="V5541" i="52"/>
  <c r="T5542" i="52"/>
  <c r="U5542" i="52"/>
  <c r="V5542" i="52"/>
  <c r="T5543" i="52"/>
  <c r="U5543" i="52"/>
  <c r="V5543" i="52"/>
  <c r="T5544" i="52"/>
  <c r="U5544" i="52"/>
  <c r="V5544" i="52"/>
  <c r="T5545" i="52"/>
  <c r="U5545" i="52"/>
  <c r="V5545" i="52"/>
  <c r="T5546" i="52"/>
  <c r="U5546" i="52"/>
  <c r="V5546" i="52"/>
  <c r="T5547" i="52"/>
  <c r="U5547" i="52"/>
  <c r="V5547" i="52"/>
  <c r="T5548" i="52"/>
  <c r="U5548" i="52"/>
  <c r="V5548" i="52"/>
  <c r="T5549" i="52"/>
  <c r="U5549" i="52"/>
  <c r="V5549" i="52"/>
  <c r="T5550" i="52"/>
  <c r="U5550" i="52"/>
  <c r="V5550" i="52"/>
  <c r="T5551" i="52"/>
  <c r="U5551" i="52"/>
  <c r="V5551" i="52"/>
  <c r="T5552" i="52"/>
  <c r="U5552" i="52"/>
  <c r="V5552" i="52"/>
  <c r="T5553" i="52"/>
  <c r="U5553" i="52"/>
  <c r="V5553" i="52"/>
  <c r="T5554" i="52"/>
  <c r="U5554" i="52"/>
  <c r="V5554" i="52"/>
  <c r="T5555" i="52"/>
  <c r="U5555" i="52"/>
  <c r="V5555" i="52"/>
  <c r="T5556" i="52"/>
  <c r="U5556" i="52"/>
  <c r="V5556" i="52"/>
  <c r="T5557" i="52"/>
  <c r="U5557" i="52"/>
  <c r="V5557" i="52"/>
  <c r="T5558" i="52"/>
  <c r="U5558" i="52"/>
  <c r="V5558" i="52"/>
  <c r="T5559" i="52"/>
  <c r="U5559" i="52"/>
  <c r="V5559" i="52"/>
  <c r="T5560" i="52"/>
  <c r="U5560" i="52"/>
  <c r="V5560" i="52"/>
  <c r="T5561" i="52"/>
  <c r="U5561" i="52"/>
  <c r="V5561" i="52"/>
  <c r="T5562" i="52"/>
  <c r="U5562" i="52"/>
  <c r="V5562" i="52"/>
  <c r="T5563" i="52"/>
  <c r="U5563" i="52"/>
  <c r="V5563" i="52"/>
  <c r="T5564" i="52"/>
  <c r="U5564" i="52"/>
  <c r="V5564" i="52"/>
  <c r="T5565" i="52"/>
  <c r="U5565" i="52"/>
  <c r="V5565" i="52"/>
  <c r="T5566" i="52"/>
  <c r="U5566" i="52"/>
  <c r="V5566" i="52"/>
  <c r="T5567" i="52"/>
  <c r="U5567" i="52"/>
  <c r="V5567" i="52"/>
  <c r="T5568" i="52"/>
  <c r="U5568" i="52"/>
  <c r="V5568" i="52"/>
  <c r="T5569" i="52"/>
  <c r="U5569" i="52"/>
  <c r="V5569" i="52"/>
  <c r="T5570" i="52"/>
  <c r="U5570" i="52"/>
  <c r="V5570" i="52"/>
  <c r="T5571" i="52"/>
  <c r="U5571" i="52"/>
  <c r="V5571" i="52"/>
  <c r="T5572" i="52"/>
  <c r="U5572" i="52"/>
  <c r="V5572" i="52"/>
  <c r="T5573" i="52"/>
  <c r="U5573" i="52"/>
  <c r="V5573" i="52"/>
  <c r="T5574" i="52"/>
  <c r="U5574" i="52"/>
  <c r="V5574" i="52"/>
  <c r="T5575" i="52"/>
  <c r="U5575" i="52"/>
  <c r="V5575" i="52"/>
  <c r="T5576" i="52"/>
  <c r="U5576" i="52"/>
  <c r="V5576" i="52"/>
  <c r="T5577" i="52"/>
  <c r="U5577" i="52"/>
  <c r="V5577" i="52"/>
  <c r="T5578" i="52"/>
  <c r="U5578" i="52"/>
  <c r="V5578" i="52"/>
  <c r="T5579" i="52"/>
  <c r="U5579" i="52"/>
  <c r="V5579" i="52"/>
  <c r="T5580" i="52"/>
  <c r="U5580" i="52"/>
  <c r="V5580" i="52"/>
  <c r="T5581" i="52"/>
  <c r="U5581" i="52"/>
  <c r="V5581" i="52"/>
  <c r="T5582" i="52"/>
  <c r="U5582" i="52"/>
  <c r="V5582" i="52"/>
  <c r="T5583" i="52"/>
  <c r="U5583" i="52"/>
  <c r="V5583" i="52"/>
  <c r="T5584" i="52"/>
  <c r="U5584" i="52"/>
  <c r="V5584" i="52"/>
  <c r="T5585" i="52"/>
  <c r="U5585" i="52"/>
  <c r="V5585" i="52"/>
  <c r="T5586" i="52"/>
  <c r="U5586" i="52"/>
  <c r="V5586" i="52"/>
  <c r="T5587" i="52"/>
  <c r="U5587" i="52"/>
  <c r="V5587" i="52"/>
  <c r="T5588" i="52"/>
  <c r="U5588" i="52"/>
  <c r="V5588" i="52"/>
  <c r="T5589" i="52"/>
  <c r="U5589" i="52"/>
  <c r="V5589" i="52"/>
  <c r="T5590" i="52"/>
  <c r="U5590" i="52"/>
  <c r="V5590" i="52"/>
  <c r="T5591" i="52"/>
  <c r="U5591" i="52"/>
  <c r="V5591" i="52"/>
  <c r="T5592" i="52"/>
  <c r="U5592" i="52"/>
  <c r="V5592" i="52"/>
  <c r="T5593" i="52"/>
  <c r="U5593" i="52"/>
  <c r="V5593" i="52"/>
  <c r="T5594" i="52"/>
  <c r="U5594" i="52"/>
  <c r="V5594" i="52"/>
  <c r="T5595" i="52"/>
  <c r="U5595" i="52"/>
  <c r="V5595" i="52"/>
  <c r="T5596" i="52"/>
  <c r="U5596" i="52"/>
  <c r="V5596" i="52"/>
  <c r="T5597" i="52"/>
  <c r="U5597" i="52"/>
  <c r="V5597" i="52"/>
  <c r="T5598" i="52"/>
  <c r="U5598" i="52"/>
  <c r="V5598" i="52"/>
  <c r="T5599" i="52"/>
  <c r="U5599" i="52"/>
  <c r="V5599" i="52"/>
  <c r="T5600" i="52"/>
  <c r="U5600" i="52"/>
  <c r="V5600" i="52"/>
  <c r="T5601" i="52"/>
  <c r="U5601" i="52"/>
  <c r="V5601" i="52"/>
  <c r="T5602" i="52"/>
  <c r="U5602" i="52"/>
  <c r="V5602" i="52"/>
  <c r="T5603" i="52"/>
  <c r="U5603" i="52"/>
  <c r="V5603" i="52"/>
  <c r="T5604" i="52"/>
  <c r="U5604" i="52"/>
  <c r="V5604" i="52"/>
  <c r="T5605" i="52"/>
  <c r="U5605" i="52"/>
  <c r="V5605" i="52"/>
  <c r="T5606" i="52"/>
  <c r="U5606" i="52"/>
  <c r="V5606" i="52"/>
  <c r="T5607" i="52"/>
  <c r="U5607" i="52"/>
  <c r="V5607" i="52"/>
  <c r="T5608" i="52"/>
  <c r="U5608" i="52"/>
  <c r="V5608" i="52"/>
  <c r="T5609" i="52"/>
  <c r="U5609" i="52"/>
  <c r="V5609" i="52"/>
  <c r="T5610" i="52"/>
  <c r="U5610" i="52"/>
  <c r="V5610" i="52"/>
  <c r="T5611" i="52"/>
  <c r="U5611" i="52"/>
  <c r="V5611" i="52"/>
  <c r="T5612" i="52"/>
  <c r="U5612" i="52"/>
  <c r="V5612" i="52"/>
  <c r="T5613" i="52"/>
  <c r="U5613" i="52"/>
  <c r="V5613" i="52"/>
  <c r="T5614" i="52"/>
  <c r="U5614" i="52"/>
  <c r="V5614" i="52"/>
  <c r="T5615" i="52"/>
  <c r="U5615" i="52"/>
  <c r="V5615" i="52"/>
  <c r="T5616" i="52"/>
  <c r="U5616" i="52"/>
  <c r="V5616" i="52"/>
  <c r="T5617" i="52"/>
  <c r="U5617" i="52"/>
  <c r="V5617" i="52"/>
  <c r="T5618" i="52"/>
  <c r="U5618" i="52"/>
  <c r="V5618" i="52"/>
  <c r="T5619" i="52"/>
  <c r="U5619" i="52"/>
  <c r="V5619" i="52"/>
  <c r="T5620" i="52"/>
  <c r="U5620" i="52"/>
  <c r="V5620" i="52"/>
  <c r="T5621" i="52"/>
  <c r="U5621" i="52"/>
  <c r="V5621" i="52"/>
  <c r="T5622" i="52"/>
  <c r="U5622" i="52"/>
  <c r="V5622" i="52"/>
  <c r="T5623" i="52"/>
  <c r="U5623" i="52"/>
  <c r="V5623" i="52"/>
  <c r="T5624" i="52"/>
  <c r="U5624" i="52"/>
  <c r="V5624" i="52"/>
  <c r="T5625" i="52"/>
  <c r="U5625" i="52"/>
  <c r="V5625" i="52"/>
  <c r="T5626" i="52"/>
  <c r="U5626" i="52"/>
  <c r="V5626" i="52"/>
  <c r="T5627" i="52"/>
  <c r="U5627" i="52"/>
  <c r="V5627" i="52"/>
  <c r="T5628" i="52"/>
  <c r="U5628" i="52"/>
  <c r="V5628" i="52"/>
  <c r="T5629" i="52"/>
  <c r="U5629" i="52"/>
  <c r="V5629" i="52"/>
  <c r="T5630" i="52"/>
  <c r="U5630" i="52"/>
  <c r="V5630" i="52"/>
  <c r="T5631" i="52"/>
  <c r="U5631" i="52"/>
  <c r="V5631" i="52"/>
  <c r="T5632" i="52"/>
  <c r="U5632" i="52"/>
  <c r="V5632" i="52"/>
  <c r="T5633" i="52"/>
  <c r="U5633" i="52"/>
  <c r="V5633" i="52"/>
  <c r="T5634" i="52"/>
  <c r="U5634" i="52"/>
  <c r="V5634" i="52"/>
  <c r="T5635" i="52"/>
  <c r="U5635" i="52"/>
  <c r="V5635" i="52"/>
  <c r="T5636" i="52"/>
  <c r="U5636" i="52"/>
  <c r="V5636" i="52"/>
  <c r="T5637" i="52"/>
  <c r="U5637" i="52"/>
  <c r="V5637" i="52"/>
  <c r="T5638" i="52"/>
  <c r="U5638" i="52"/>
  <c r="V5638" i="52"/>
  <c r="T5639" i="52"/>
  <c r="U5639" i="52"/>
  <c r="V5639" i="52"/>
  <c r="T5640" i="52"/>
  <c r="U5640" i="52"/>
  <c r="V5640" i="52"/>
  <c r="T5641" i="52"/>
  <c r="U5641" i="52"/>
  <c r="V5641" i="52"/>
  <c r="T5642" i="52"/>
  <c r="U5642" i="52"/>
  <c r="V5642" i="52"/>
  <c r="T5643" i="52"/>
  <c r="U5643" i="52"/>
  <c r="V5643" i="52"/>
  <c r="T5644" i="52"/>
  <c r="U5644" i="52"/>
  <c r="V5644" i="52"/>
  <c r="T5645" i="52"/>
  <c r="U5645" i="52"/>
  <c r="V5645" i="52"/>
  <c r="T5646" i="52"/>
  <c r="U5646" i="52"/>
  <c r="V5646" i="52"/>
  <c r="T5647" i="52"/>
  <c r="U5647" i="52"/>
  <c r="V5647" i="52"/>
  <c r="T5648" i="52"/>
  <c r="U5648" i="52"/>
  <c r="V5648" i="52"/>
  <c r="T5649" i="52"/>
  <c r="U5649" i="52"/>
  <c r="V5649" i="52"/>
  <c r="T5650" i="52"/>
  <c r="U5650" i="52"/>
  <c r="V5650" i="52"/>
  <c r="T5651" i="52"/>
  <c r="U5651" i="52"/>
  <c r="V5651" i="52"/>
  <c r="T5652" i="52"/>
  <c r="U5652" i="52"/>
  <c r="V5652" i="52"/>
  <c r="T5653" i="52"/>
  <c r="U5653" i="52"/>
  <c r="V5653" i="52"/>
  <c r="T5654" i="52"/>
  <c r="U5654" i="52"/>
  <c r="V5654" i="52"/>
  <c r="T5655" i="52"/>
  <c r="U5655" i="52"/>
  <c r="V5655" i="52"/>
  <c r="T5656" i="52"/>
  <c r="U5656" i="52"/>
  <c r="V5656" i="52"/>
  <c r="T5657" i="52"/>
  <c r="U5657" i="52"/>
  <c r="V5657" i="52"/>
  <c r="T5658" i="52"/>
  <c r="U5658" i="52"/>
  <c r="V5658" i="52"/>
  <c r="T5659" i="52"/>
  <c r="U5659" i="52"/>
  <c r="V5659" i="52"/>
  <c r="T5660" i="52"/>
  <c r="U5660" i="52"/>
  <c r="V5660" i="52"/>
  <c r="T5661" i="52"/>
  <c r="U5661" i="52"/>
  <c r="V5661" i="52"/>
  <c r="T5662" i="52"/>
  <c r="U5662" i="52"/>
  <c r="V5662" i="52"/>
  <c r="T5663" i="52"/>
  <c r="U5663" i="52"/>
  <c r="V5663" i="52"/>
  <c r="T5664" i="52"/>
  <c r="U5664" i="52"/>
  <c r="V5664" i="52"/>
  <c r="T5665" i="52"/>
  <c r="U5665" i="52"/>
  <c r="V5665" i="52"/>
  <c r="T5666" i="52"/>
  <c r="U5666" i="52"/>
  <c r="V5666" i="52"/>
  <c r="T5667" i="52"/>
  <c r="U5667" i="52"/>
  <c r="V5667" i="52"/>
  <c r="T5668" i="52"/>
  <c r="U5668" i="52"/>
  <c r="V5668" i="52"/>
  <c r="T5669" i="52"/>
  <c r="U5669" i="52"/>
  <c r="V5669" i="52"/>
  <c r="T5670" i="52"/>
  <c r="U5670" i="52"/>
  <c r="V5670" i="52"/>
  <c r="T5671" i="52"/>
  <c r="U5671" i="52"/>
  <c r="V5671" i="52"/>
  <c r="T5672" i="52"/>
  <c r="U5672" i="52"/>
  <c r="V5672" i="52"/>
  <c r="T5673" i="52"/>
  <c r="U5673" i="52"/>
  <c r="V5673" i="52"/>
  <c r="T5674" i="52"/>
  <c r="U5674" i="52"/>
  <c r="V5674" i="52"/>
  <c r="T5675" i="52"/>
  <c r="U5675" i="52"/>
  <c r="V5675" i="52"/>
  <c r="T5676" i="52"/>
  <c r="U5676" i="52"/>
  <c r="V5676" i="52"/>
  <c r="T5677" i="52"/>
  <c r="U5677" i="52"/>
  <c r="V5677" i="52"/>
  <c r="T5678" i="52"/>
  <c r="U5678" i="52"/>
  <c r="V5678" i="52"/>
  <c r="T5679" i="52"/>
  <c r="U5679" i="52"/>
  <c r="V5679" i="52"/>
  <c r="T5680" i="52"/>
  <c r="U5680" i="52"/>
  <c r="V5680" i="52"/>
  <c r="T5681" i="52"/>
  <c r="U5681" i="52"/>
  <c r="V5681" i="52"/>
  <c r="T5682" i="52"/>
  <c r="U5682" i="52"/>
  <c r="V5682" i="52"/>
  <c r="T5683" i="52"/>
  <c r="U5683" i="52"/>
  <c r="V5683" i="52"/>
  <c r="T5684" i="52"/>
  <c r="U5684" i="52"/>
  <c r="V5684" i="52"/>
  <c r="T5685" i="52"/>
  <c r="U5685" i="52"/>
  <c r="V5685" i="52"/>
  <c r="T5686" i="52"/>
  <c r="U5686" i="52"/>
  <c r="V5686" i="52"/>
  <c r="T5687" i="52"/>
  <c r="U5687" i="52"/>
  <c r="V5687" i="52"/>
  <c r="T5688" i="52"/>
  <c r="U5688" i="52"/>
  <c r="V5688" i="52"/>
  <c r="T5689" i="52"/>
  <c r="U5689" i="52"/>
  <c r="V5689" i="52"/>
  <c r="T5690" i="52"/>
  <c r="U5690" i="52"/>
  <c r="V5690" i="52"/>
  <c r="T5691" i="52"/>
  <c r="U5691" i="52"/>
  <c r="V5691" i="52"/>
  <c r="T5692" i="52"/>
  <c r="U5692" i="52"/>
  <c r="V5692" i="52"/>
  <c r="T5693" i="52"/>
  <c r="U5693" i="52"/>
  <c r="V5693" i="52"/>
  <c r="T5694" i="52"/>
  <c r="U5694" i="52"/>
  <c r="V5694" i="52"/>
  <c r="T5695" i="52"/>
  <c r="U5695" i="52"/>
  <c r="V5695" i="52"/>
  <c r="T5696" i="52"/>
  <c r="U5696" i="52"/>
  <c r="V5696" i="52"/>
  <c r="T5697" i="52"/>
  <c r="U5697" i="52"/>
  <c r="V5697" i="52"/>
  <c r="T5698" i="52"/>
  <c r="U5698" i="52"/>
  <c r="V5698" i="52"/>
  <c r="T5699" i="52"/>
  <c r="U5699" i="52"/>
  <c r="V5699" i="52"/>
  <c r="T5700" i="52"/>
  <c r="U5700" i="52"/>
  <c r="V5700" i="52"/>
  <c r="T5701" i="52"/>
  <c r="U5701" i="52"/>
  <c r="V5701" i="52"/>
  <c r="T5702" i="52"/>
  <c r="U5702" i="52"/>
  <c r="V5702" i="52"/>
  <c r="T5703" i="52"/>
  <c r="U5703" i="52"/>
  <c r="V5703" i="52"/>
  <c r="T5704" i="52"/>
  <c r="U5704" i="52"/>
  <c r="V5704" i="52"/>
  <c r="T5705" i="52"/>
  <c r="U5705" i="52"/>
  <c r="V5705" i="52"/>
  <c r="T5706" i="52"/>
  <c r="U5706" i="52"/>
  <c r="V5706" i="52"/>
  <c r="T5707" i="52"/>
  <c r="U5707" i="52"/>
  <c r="V5707" i="52"/>
  <c r="T5708" i="52"/>
  <c r="U5708" i="52"/>
  <c r="V5708" i="52"/>
  <c r="T5709" i="52"/>
  <c r="U5709" i="52"/>
  <c r="V5709" i="52"/>
  <c r="T5710" i="52"/>
  <c r="U5710" i="52"/>
  <c r="V5710" i="52"/>
  <c r="T5711" i="52"/>
  <c r="U5711" i="52"/>
  <c r="V5711" i="52"/>
  <c r="T5712" i="52"/>
  <c r="U5712" i="52"/>
  <c r="V5712" i="52"/>
  <c r="T5713" i="52"/>
  <c r="U5713" i="52"/>
  <c r="V5713" i="52"/>
  <c r="T5714" i="52"/>
  <c r="U5714" i="52"/>
  <c r="V5714" i="52"/>
  <c r="T5715" i="52"/>
  <c r="U5715" i="52"/>
  <c r="V5715" i="52"/>
  <c r="T5716" i="52"/>
  <c r="U5716" i="52"/>
  <c r="V5716" i="52"/>
  <c r="T5717" i="52"/>
  <c r="U5717" i="52"/>
  <c r="V5717" i="52"/>
  <c r="T5718" i="52"/>
  <c r="U5718" i="52"/>
  <c r="V5718" i="52"/>
  <c r="T5719" i="52"/>
  <c r="U5719" i="52"/>
  <c r="V5719" i="52"/>
  <c r="T5720" i="52"/>
  <c r="U5720" i="52"/>
  <c r="V5720" i="52"/>
  <c r="T5721" i="52"/>
  <c r="U5721" i="52"/>
  <c r="V5721" i="52"/>
  <c r="T5722" i="52"/>
  <c r="U5722" i="52"/>
  <c r="V5722" i="52"/>
  <c r="T5723" i="52"/>
  <c r="U5723" i="52"/>
  <c r="V5723" i="52"/>
  <c r="T5724" i="52"/>
  <c r="U5724" i="52"/>
  <c r="V5724" i="52"/>
  <c r="T5725" i="52"/>
  <c r="U5725" i="52"/>
  <c r="V5725" i="52"/>
  <c r="T5726" i="52"/>
  <c r="U5726" i="52"/>
  <c r="V5726" i="52"/>
  <c r="T5727" i="52"/>
  <c r="U5727" i="52"/>
  <c r="V5727" i="52"/>
  <c r="T5728" i="52"/>
  <c r="U5728" i="52"/>
  <c r="V5728" i="52"/>
  <c r="T5729" i="52"/>
  <c r="U5729" i="52"/>
  <c r="V5729" i="52"/>
  <c r="T5730" i="52"/>
  <c r="U5730" i="52"/>
  <c r="V5730" i="52"/>
  <c r="T5731" i="52"/>
  <c r="U5731" i="52"/>
  <c r="V5731" i="52"/>
  <c r="T5732" i="52"/>
  <c r="U5732" i="52"/>
  <c r="V5732" i="52"/>
  <c r="T5733" i="52"/>
  <c r="U5733" i="52"/>
  <c r="V5733" i="52"/>
  <c r="T5734" i="52"/>
  <c r="U5734" i="52"/>
  <c r="V5734" i="52"/>
  <c r="T5735" i="52"/>
  <c r="U5735" i="52"/>
  <c r="V5735" i="52"/>
  <c r="T5736" i="52"/>
  <c r="U5736" i="52"/>
  <c r="V5736" i="52"/>
  <c r="T5737" i="52"/>
  <c r="U5737" i="52"/>
  <c r="V5737" i="52"/>
  <c r="T5738" i="52"/>
  <c r="U5738" i="52"/>
  <c r="V5738" i="52"/>
  <c r="T5739" i="52"/>
  <c r="U5739" i="52"/>
  <c r="V5739" i="52"/>
  <c r="T5740" i="52"/>
  <c r="U5740" i="52"/>
  <c r="V5740" i="52"/>
  <c r="T5741" i="52"/>
  <c r="U5741" i="52"/>
  <c r="V5741" i="52"/>
  <c r="T5742" i="52"/>
  <c r="U5742" i="52"/>
  <c r="V5742" i="52"/>
  <c r="T5743" i="52"/>
  <c r="U5743" i="52"/>
  <c r="V5743" i="52"/>
  <c r="T5744" i="52"/>
  <c r="U5744" i="52"/>
  <c r="V5744" i="52"/>
  <c r="T5745" i="52"/>
  <c r="U5745" i="52"/>
  <c r="V5745" i="52"/>
  <c r="T5746" i="52"/>
  <c r="U5746" i="52"/>
  <c r="V5746" i="52"/>
  <c r="T5747" i="52"/>
  <c r="U5747" i="52"/>
  <c r="V5747" i="52"/>
  <c r="T5748" i="52"/>
  <c r="U5748" i="52"/>
  <c r="V5748" i="52"/>
  <c r="T5749" i="52"/>
  <c r="U5749" i="52"/>
  <c r="V5749" i="52"/>
  <c r="T5750" i="52"/>
  <c r="U5750" i="52"/>
  <c r="V5750" i="52"/>
  <c r="T5751" i="52"/>
  <c r="U5751" i="52"/>
  <c r="V5751" i="52"/>
  <c r="T5752" i="52"/>
  <c r="U5752" i="52"/>
  <c r="V5752" i="52"/>
  <c r="T5753" i="52"/>
  <c r="U5753" i="52"/>
  <c r="V5753" i="52"/>
  <c r="T5754" i="52"/>
  <c r="U5754" i="52"/>
  <c r="V5754" i="52"/>
  <c r="T5755" i="52"/>
  <c r="U5755" i="52"/>
  <c r="V5755" i="52"/>
  <c r="T5756" i="52"/>
  <c r="U5756" i="52"/>
  <c r="V5756" i="52"/>
  <c r="T5757" i="52"/>
  <c r="U5757" i="52"/>
  <c r="V5757" i="52"/>
  <c r="T5758" i="52"/>
  <c r="U5758" i="52"/>
  <c r="V5758" i="52"/>
  <c r="T5759" i="52"/>
  <c r="U5759" i="52"/>
  <c r="V5759" i="52"/>
  <c r="T5760" i="52"/>
  <c r="U5760" i="52"/>
  <c r="V5760" i="52"/>
  <c r="T5761" i="52"/>
  <c r="U5761" i="52"/>
  <c r="V5761" i="52"/>
  <c r="T5762" i="52"/>
  <c r="U5762" i="52"/>
  <c r="V5762" i="52"/>
  <c r="T5763" i="52"/>
  <c r="U5763" i="52"/>
  <c r="V5763" i="52"/>
  <c r="T5764" i="52"/>
  <c r="U5764" i="52"/>
  <c r="V5764" i="52"/>
  <c r="T5765" i="52"/>
  <c r="U5765" i="52"/>
  <c r="V5765" i="52"/>
  <c r="T5766" i="52"/>
  <c r="U5766" i="52"/>
  <c r="V5766" i="52"/>
  <c r="T5767" i="52"/>
  <c r="U5767" i="52"/>
  <c r="V5767" i="52"/>
  <c r="T5768" i="52"/>
  <c r="U5768" i="52"/>
  <c r="V5768" i="52"/>
  <c r="T5769" i="52"/>
  <c r="U5769" i="52"/>
  <c r="V5769" i="52"/>
  <c r="T5770" i="52"/>
  <c r="U5770" i="52"/>
  <c r="V5770" i="52"/>
  <c r="T5771" i="52"/>
  <c r="U5771" i="52"/>
  <c r="V5771" i="52"/>
  <c r="T5772" i="52"/>
  <c r="U5772" i="52"/>
  <c r="V5772" i="52"/>
  <c r="T5773" i="52"/>
  <c r="U5773" i="52"/>
  <c r="V5773" i="52"/>
  <c r="T5774" i="52"/>
  <c r="U5774" i="52"/>
  <c r="V5774" i="52"/>
  <c r="T5775" i="52"/>
  <c r="U5775" i="52"/>
  <c r="V5775" i="52"/>
  <c r="T5776" i="52"/>
  <c r="U5776" i="52"/>
  <c r="V5776" i="52"/>
  <c r="T5777" i="52"/>
  <c r="U5777" i="52"/>
  <c r="V5777" i="52"/>
  <c r="T5778" i="52"/>
  <c r="U5778" i="52"/>
  <c r="V5778" i="52"/>
  <c r="T5779" i="52"/>
  <c r="U5779" i="52"/>
  <c r="V5779" i="52"/>
  <c r="T5780" i="52"/>
  <c r="U5780" i="52"/>
  <c r="V5780" i="52"/>
  <c r="T5781" i="52"/>
  <c r="U5781" i="52"/>
  <c r="V5781" i="52"/>
  <c r="T5782" i="52"/>
  <c r="U5782" i="52"/>
  <c r="V5782" i="52"/>
  <c r="T5783" i="52"/>
  <c r="U5783" i="52"/>
  <c r="V5783" i="52"/>
  <c r="T5784" i="52"/>
  <c r="U5784" i="52"/>
  <c r="V5784" i="52"/>
  <c r="T5785" i="52"/>
  <c r="U5785" i="52"/>
  <c r="V5785" i="52"/>
  <c r="T5786" i="52"/>
  <c r="U5786" i="52"/>
  <c r="V5786" i="52"/>
  <c r="T5787" i="52"/>
  <c r="U5787" i="52"/>
  <c r="V5787" i="52"/>
  <c r="T5788" i="52"/>
  <c r="U5788" i="52"/>
  <c r="V5788" i="52"/>
  <c r="T5789" i="52"/>
  <c r="U5789" i="52"/>
  <c r="V5789" i="52"/>
  <c r="T5790" i="52"/>
  <c r="U5790" i="52"/>
  <c r="V5790" i="52"/>
  <c r="T5791" i="52"/>
  <c r="U5791" i="52"/>
  <c r="V5791" i="52"/>
  <c r="T5792" i="52"/>
  <c r="U5792" i="52"/>
  <c r="V5792" i="52"/>
  <c r="T5793" i="52"/>
  <c r="U5793" i="52"/>
  <c r="V5793" i="52"/>
  <c r="T5794" i="52"/>
  <c r="U5794" i="52"/>
  <c r="V5794" i="52"/>
  <c r="T5795" i="52"/>
  <c r="U5795" i="52"/>
  <c r="V5795" i="52"/>
  <c r="T5796" i="52"/>
  <c r="U5796" i="52"/>
  <c r="V5796" i="52"/>
  <c r="T5797" i="52"/>
  <c r="U5797" i="52"/>
  <c r="V5797" i="52"/>
  <c r="T5798" i="52"/>
  <c r="U5798" i="52"/>
  <c r="V5798" i="52"/>
  <c r="T5799" i="52"/>
  <c r="U5799" i="52"/>
  <c r="V5799" i="52"/>
  <c r="T5800" i="52"/>
  <c r="U5800" i="52"/>
  <c r="V5800" i="52"/>
  <c r="T5801" i="52"/>
  <c r="U5801" i="52"/>
  <c r="V5801" i="52"/>
  <c r="T5802" i="52"/>
  <c r="U5802" i="52"/>
  <c r="V5802" i="52"/>
  <c r="T5803" i="52"/>
  <c r="U5803" i="52"/>
  <c r="V5803" i="52"/>
  <c r="T5804" i="52"/>
  <c r="U5804" i="52"/>
  <c r="V5804" i="52"/>
  <c r="T5805" i="52"/>
  <c r="U5805" i="52"/>
  <c r="V5805" i="52"/>
  <c r="T5806" i="52"/>
  <c r="U5806" i="52"/>
  <c r="V5806" i="52"/>
  <c r="T5807" i="52"/>
  <c r="U5807" i="52"/>
  <c r="V5807" i="52"/>
  <c r="T5808" i="52"/>
  <c r="U5808" i="52"/>
  <c r="V5808" i="52"/>
  <c r="T5809" i="52"/>
  <c r="U5809" i="52"/>
  <c r="V5809" i="52"/>
  <c r="T5810" i="52"/>
  <c r="U5810" i="52"/>
  <c r="V5810" i="52"/>
  <c r="T5811" i="52"/>
  <c r="U5811" i="52"/>
  <c r="V5811" i="52"/>
  <c r="T5812" i="52"/>
  <c r="U5812" i="52"/>
  <c r="V5812" i="52"/>
  <c r="T5813" i="52"/>
  <c r="U5813" i="52"/>
  <c r="V5813" i="52"/>
  <c r="T5814" i="52"/>
  <c r="U5814" i="52"/>
  <c r="V5814" i="52"/>
  <c r="T5815" i="52"/>
  <c r="U5815" i="52"/>
  <c r="V5815" i="52"/>
  <c r="T5816" i="52"/>
  <c r="U5816" i="52"/>
  <c r="V5816" i="52"/>
  <c r="T5817" i="52"/>
  <c r="U5817" i="52"/>
  <c r="V5817" i="52"/>
  <c r="T5818" i="52"/>
  <c r="U5818" i="52"/>
  <c r="V5818" i="52"/>
  <c r="T5819" i="52"/>
  <c r="U5819" i="52"/>
  <c r="V5819" i="52"/>
  <c r="T5820" i="52"/>
  <c r="U5820" i="52"/>
  <c r="V5820" i="52"/>
  <c r="T5821" i="52"/>
  <c r="U5821" i="52"/>
  <c r="V5821" i="52"/>
  <c r="T5822" i="52"/>
  <c r="U5822" i="52"/>
  <c r="V5822" i="52"/>
  <c r="T5823" i="52"/>
  <c r="U5823" i="52"/>
  <c r="V5823" i="52"/>
  <c r="T5824" i="52"/>
  <c r="U5824" i="52"/>
  <c r="V5824" i="52"/>
  <c r="T5825" i="52"/>
  <c r="U5825" i="52"/>
  <c r="V5825" i="52"/>
  <c r="T5826" i="52"/>
  <c r="U5826" i="52"/>
  <c r="V5826" i="52"/>
  <c r="T5827" i="52"/>
  <c r="U5827" i="52"/>
  <c r="V5827" i="52"/>
  <c r="T5828" i="52"/>
  <c r="U5828" i="52"/>
  <c r="V5828" i="52"/>
  <c r="T5829" i="52"/>
  <c r="U5829" i="52"/>
  <c r="V5829" i="52"/>
  <c r="T5830" i="52"/>
  <c r="U5830" i="52"/>
  <c r="V5830" i="52"/>
  <c r="T5831" i="52"/>
  <c r="U5831" i="52"/>
  <c r="V5831" i="52"/>
  <c r="T5832" i="52"/>
  <c r="U5832" i="52"/>
  <c r="V5832" i="52"/>
  <c r="T5833" i="52"/>
  <c r="U5833" i="52"/>
  <c r="V5833" i="52"/>
  <c r="T5834" i="52"/>
  <c r="U5834" i="52"/>
  <c r="V5834" i="52"/>
  <c r="T5835" i="52"/>
  <c r="U5835" i="52"/>
  <c r="V5835" i="52"/>
  <c r="T5836" i="52"/>
  <c r="U5836" i="52"/>
  <c r="V5836" i="52"/>
  <c r="T5837" i="52"/>
  <c r="U5837" i="52"/>
  <c r="V5837" i="52"/>
  <c r="T5838" i="52"/>
  <c r="U5838" i="52"/>
  <c r="V5838" i="52"/>
  <c r="T5839" i="52"/>
  <c r="U5839" i="52"/>
  <c r="V5839" i="52"/>
  <c r="T5840" i="52"/>
  <c r="U5840" i="52"/>
  <c r="V5840" i="52"/>
  <c r="T5841" i="52"/>
  <c r="U5841" i="52"/>
  <c r="V5841" i="52"/>
  <c r="T5842" i="52"/>
  <c r="U5842" i="52"/>
  <c r="V5842" i="52"/>
  <c r="T5843" i="52"/>
  <c r="U5843" i="52"/>
  <c r="V5843" i="52"/>
  <c r="T5844" i="52"/>
  <c r="U5844" i="52"/>
  <c r="V5844" i="52"/>
  <c r="T5845" i="52"/>
  <c r="U5845" i="52"/>
  <c r="V5845" i="52"/>
  <c r="T5846" i="52"/>
  <c r="U5846" i="52"/>
  <c r="V5846" i="52"/>
  <c r="T5847" i="52"/>
  <c r="U5847" i="52"/>
  <c r="V5847" i="52"/>
  <c r="T5848" i="52"/>
  <c r="U5848" i="52"/>
  <c r="V5848" i="52"/>
  <c r="T5849" i="52"/>
  <c r="U5849" i="52"/>
  <c r="V5849" i="52"/>
  <c r="T5850" i="52"/>
  <c r="U5850" i="52"/>
  <c r="V5850" i="52"/>
  <c r="T5851" i="52"/>
  <c r="U5851" i="52"/>
  <c r="V5851" i="52"/>
  <c r="T5852" i="52"/>
  <c r="U5852" i="52"/>
  <c r="V5852" i="52"/>
  <c r="T5853" i="52"/>
  <c r="U5853" i="52"/>
  <c r="V5853" i="52"/>
  <c r="T5854" i="52"/>
  <c r="U5854" i="52"/>
  <c r="V5854" i="52"/>
  <c r="T5855" i="52"/>
  <c r="U5855" i="52"/>
  <c r="V5855" i="52"/>
  <c r="T5856" i="52"/>
  <c r="U5856" i="52"/>
  <c r="V5856" i="52"/>
  <c r="T5857" i="52"/>
  <c r="U5857" i="52"/>
  <c r="V5857" i="52"/>
  <c r="T5858" i="52"/>
  <c r="U5858" i="52"/>
  <c r="V5858" i="52"/>
  <c r="T5859" i="52"/>
  <c r="U5859" i="52"/>
  <c r="V5859" i="52"/>
  <c r="T5860" i="52"/>
  <c r="U5860" i="52"/>
  <c r="V5860" i="52"/>
  <c r="T5861" i="52"/>
  <c r="U5861" i="52"/>
  <c r="V5861" i="52"/>
  <c r="T5862" i="52"/>
  <c r="U5862" i="52"/>
  <c r="V5862" i="52"/>
  <c r="T5863" i="52"/>
  <c r="U5863" i="52"/>
  <c r="V5863" i="52"/>
  <c r="T5864" i="52"/>
  <c r="U5864" i="52"/>
  <c r="V5864" i="52"/>
  <c r="T5865" i="52"/>
  <c r="U5865" i="52"/>
  <c r="V5865" i="52"/>
  <c r="T5866" i="52"/>
  <c r="U5866" i="52"/>
  <c r="V5866" i="52"/>
  <c r="T5867" i="52"/>
  <c r="U5867" i="52"/>
  <c r="V5867" i="52"/>
  <c r="T5868" i="52"/>
  <c r="U5868" i="52"/>
  <c r="V5868" i="52"/>
  <c r="T5869" i="52"/>
  <c r="U5869" i="52"/>
  <c r="V5869" i="52"/>
  <c r="T5870" i="52"/>
  <c r="U5870" i="52"/>
  <c r="V5870" i="52"/>
  <c r="T5871" i="52"/>
  <c r="U5871" i="52"/>
  <c r="V5871" i="52"/>
  <c r="T5872" i="52"/>
  <c r="U5872" i="52"/>
  <c r="V5872" i="52"/>
  <c r="T5873" i="52"/>
  <c r="U5873" i="52"/>
  <c r="V5873" i="52"/>
  <c r="T5874" i="52"/>
  <c r="U5874" i="52"/>
  <c r="V5874" i="52"/>
  <c r="T5875" i="52"/>
  <c r="U5875" i="52"/>
  <c r="V5875" i="52"/>
  <c r="T5876" i="52"/>
  <c r="U5876" i="52"/>
  <c r="V5876" i="52"/>
  <c r="T5877" i="52"/>
  <c r="U5877" i="52"/>
  <c r="V5877" i="52"/>
  <c r="T5878" i="52"/>
  <c r="U5878" i="52"/>
  <c r="V5878" i="52"/>
  <c r="T5879" i="52"/>
  <c r="U5879" i="52"/>
  <c r="V5879" i="52"/>
  <c r="T5880" i="52"/>
  <c r="U5880" i="52"/>
  <c r="V5880" i="52"/>
  <c r="T5881" i="52"/>
  <c r="U5881" i="52"/>
  <c r="V5881" i="52"/>
  <c r="T5882" i="52"/>
  <c r="U5882" i="52"/>
  <c r="V5882" i="52"/>
  <c r="T5883" i="52"/>
  <c r="U5883" i="52"/>
  <c r="V5883" i="52"/>
  <c r="T5884" i="52"/>
  <c r="U5884" i="52"/>
  <c r="V5884" i="52"/>
  <c r="T5885" i="52"/>
  <c r="U5885" i="52"/>
  <c r="V5885" i="52"/>
  <c r="T5886" i="52"/>
  <c r="U5886" i="52"/>
  <c r="V5886" i="52"/>
  <c r="T5887" i="52"/>
  <c r="U5887" i="52"/>
  <c r="V5887" i="52"/>
  <c r="T5888" i="52"/>
  <c r="U5888" i="52"/>
  <c r="V5888" i="52"/>
  <c r="T5889" i="52"/>
  <c r="U5889" i="52"/>
  <c r="V5889" i="52"/>
  <c r="T5890" i="52"/>
  <c r="U5890" i="52"/>
  <c r="V5890" i="52"/>
  <c r="T5891" i="52"/>
  <c r="U5891" i="52"/>
  <c r="V5891" i="52"/>
  <c r="T5892" i="52"/>
  <c r="U5892" i="52"/>
  <c r="V5892" i="52"/>
  <c r="T5893" i="52"/>
  <c r="U5893" i="52"/>
  <c r="V5893" i="52"/>
  <c r="T5894" i="52"/>
  <c r="U5894" i="52"/>
  <c r="V5894" i="52"/>
  <c r="T5895" i="52"/>
  <c r="U5895" i="52"/>
  <c r="V5895" i="52"/>
  <c r="T5896" i="52"/>
  <c r="U5896" i="52"/>
  <c r="V5896" i="52"/>
  <c r="T5897" i="52"/>
  <c r="U5897" i="52"/>
  <c r="V5897" i="52"/>
  <c r="T5898" i="52"/>
  <c r="U5898" i="52"/>
  <c r="V5898" i="52"/>
  <c r="T5899" i="52"/>
  <c r="U5899" i="52"/>
  <c r="V5899" i="52"/>
  <c r="T5900" i="52"/>
  <c r="U5900" i="52"/>
  <c r="V5900" i="52"/>
  <c r="T5901" i="52"/>
  <c r="U5901" i="52"/>
  <c r="V5901" i="52"/>
  <c r="T5902" i="52"/>
  <c r="U5902" i="52"/>
  <c r="V5902" i="52"/>
  <c r="T5903" i="52"/>
  <c r="U5903" i="52"/>
  <c r="V5903" i="52"/>
  <c r="T5904" i="52"/>
  <c r="U5904" i="52"/>
  <c r="V5904" i="52"/>
  <c r="T5905" i="52"/>
  <c r="U5905" i="52"/>
  <c r="V5905" i="52"/>
  <c r="T5906" i="52"/>
  <c r="U5906" i="52"/>
  <c r="V5906" i="52"/>
  <c r="T5907" i="52"/>
  <c r="U5907" i="52"/>
  <c r="V5907" i="52"/>
  <c r="T5908" i="52"/>
  <c r="U5908" i="52"/>
  <c r="V5908" i="52"/>
  <c r="T5909" i="52"/>
  <c r="U5909" i="52"/>
  <c r="V5909" i="52"/>
  <c r="T5910" i="52"/>
  <c r="U5910" i="52"/>
  <c r="V5910" i="52"/>
  <c r="T5911" i="52"/>
  <c r="U5911" i="52"/>
  <c r="V5911" i="52"/>
  <c r="T5912" i="52"/>
  <c r="U5912" i="52"/>
  <c r="V5912" i="52"/>
  <c r="T5913" i="52"/>
  <c r="U5913" i="52"/>
  <c r="V5913" i="52"/>
  <c r="T5914" i="52"/>
  <c r="U5914" i="52"/>
  <c r="V5914" i="52"/>
  <c r="T5915" i="52"/>
  <c r="U5915" i="52"/>
  <c r="V5915" i="52"/>
  <c r="T5916" i="52"/>
  <c r="U5916" i="52"/>
  <c r="V5916" i="52"/>
  <c r="T5917" i="52"/>
  <c r="U5917" i="52"/>
  <c r="V5917" i="52"/>
  <c r="T5918" i="52"/>
  <c r="U5918" i="52"/>
  <c r="V5918" i="52"/>
  <c r="T5919" i="52"/>
  <c r="U5919" i="52"/>
  <c r="V5919" i="52"/>
  <c r="T5920" i="52"/>
  <c r="U5920" i="52"/>
  <c r="V5920" i="52"/>
  <c r="T5921" i="52"/>
  <c r="U5921" i="52"/>
  <c r="V5921" i="52"/>
  <c r="T5922" i="52"/>
  <c r="U5922" i="52"/>
  <c r="V5922" i="52"/>
  <c r="T5923" i="52"/>
  <c r="U5923" i="52"/>
  <c r="V5923" i="52"/>
  <c r="T5924" i="52"/>
  <c r="U5924" i="52"/>
  <c r="V5924" i="52"/>
  <c r="T5925" i="52"/>
  <c r="U5925" i="52"/>
  <c r="V5925" i="52"/>
  <c r="T5926" i="52"/>
  <c r="U5926" i="52"/>
  <c r="V5926" i="52"/>
  <c r="T5927" i="52"/>
  <c r="U5927" i="52"/>
  <c r="V5927" i="52"/>
  <c r="T5928" i="52"/>
  <c r="U5928" i="52"/>
  <c r="V5928" i="52"/>
  <c r="T5929" i="52"/>
  <c r="U5929" i="52"/>
  <c r="V5929" i="52"/>
  <c r="T5930" i="52"/>
  <c r="U5930" i="52"/>
  <c r="V5930" i="52"/>
  <c r="T5931" i="52"/>
  <c r="U5931" i="52"/>
  <c r="V5931" i="52"/>
  <c r="T5932" i="52"/>
  <c r="U5932" i="52"/>
  <c r="V5932" i="52"/>
  <c r="T5933" i="52"/>
  <c r="U5933" i="52"/>
  <c r="V5933" i="52"/>
  <c r="T5934" i="52"/>
  <c r="U5934" i="52"/>
  <c r="V5934" i="52"/>
  <c r="T5935" i="52"/>
  <c r="U5935" i="52"/>
  <c r="V5935" i="52"/>
  <c r="T5936" i="52"/>
  <c r="U5936" i="52"/>
  <c r="V5936" i="52"/>
  <c r="T5937" i="52"/>
  <c r="U5937" i="52"/>
  <c r="V5937" i="52"/>
  <c r="T5938" i="52"/>
  <c r="U5938" i="52"/>
  <c r="V5938" i="52"/>
  <c r="T5939" i="52"/>
  <c r="U5939" i="52"/>
  <c r="V5939" i="52"/>
  <c r="T5940" i="52"/>
  <c r="U5940" i="52"/>
  <c r="V5940" i="52"/>
  <c r="T5941" i="52"/>
  <c r="U5941" i="52"/>
  <c r="V5941" i="52"/>
  <c r="T5942" i="52"/>
  <c r="U5942" i="52"/>
  <c r="V5942" i="52"/>
  <c r="T5943" i="52"/>
  <c r="U5943" i="52"/>
  <c r="V5943" i="52"/>
  <c r="T5944" i="52"/>
  <c r="U5944" i="52"/>
  <c r="V5944" i="52"/>
  <c r="T5945" i="52"/>
  <c r="U5945" i="52"/>
  <c r="V5945" i="52"/>
  <c r="T5946" i="52"/>
  <c r="U5946" i="52"/>
  <c r="V5946" i="52"/>
  <c r="T5947" i="52"/>
  <c r="U5947" i="52"/>
  <c r="V5947" i="52"/>
  <c r="T5948" i="52"/>
  <c r="U5948" i="52"/>
  <c r="V5948" i="52"/>
  <c r="T5949" i="52"/>
  <c r="U5949" i="52"/>
  <c r="V5949" i="52"/>
  <c r="T5950" i="52"/>
  <c r="U5950" i="52"/>
  <c r="V5950" i="52"/>
  <c r="T5951" i="52"/>
  <c r="U5951" i="52"/>
  <c r="V5951" i="52"/>
  <c r="T5952" i="52"/>
  <c r="U5952" i="52"/>
  <c r="V5952" i="52"/>
  <c r="T5953" i="52"/>
  <c r="U5953" i="52"/>
  <c r="V5953" i="52"/>
  <c r="T5954" i="52"/>
  <c r="U5954" i="52"/>
  <c r="V5954" i="52"/>
  <c r="T5955" i="52"/>
  <c r="U5955" i="52"/>
  <c r="V5955" i="52"/>
  <c r="T5956" i="52"/>
  <c r="U5956" i="52"/>
  <c r="V5956" i="52"/>
  <c r="T5957" i="52"/>
  <c r="U5957" i="52"/>
  <c r="V5957" i="52"/>
  <c r="T5958" i="52"/>
  <c r="U5958" i="52"/>
  <c r="V5958" i="52"/>
  <c r="T5959" i="52"/>
  <c r="U5959" i="52"/>
  <c r="V5959" i="52"/>
  <c r="T5960" i="52"/>
  <c r="U5960" i="52"/>
  <c r="V5960" i="52"/>
  <c r="T5961" i="52"/>
  <c r="U5961" i="52"/>
  <c r="V5961" i="52"/>
  <c r="T5962" i="52"/>
  <c r="U5962" i="52"/>
  <c r="V5962" i="52"/>
  <c r="T5963" i="52"/>
  <c r="U5963" i="52"/>
  <c r="V5963" i="52"/>
  <c r="T5964" i="52"/>
  <c r="U5964" i="52"/>
  <c r="V5964" i="52"/>
  <c r="T5965" i="52"/>
  <c r="U5965" i="52"/>
  <c r="V5965" i="52"/>
  <c r="T5966" i="52"/>
  <c r="U5966" i="52"/>
  <c r="V5966" i="52"/>
  <c r="T5967" i="52"/>
  <c r="U5967" i="52"/>
  <c r="V5967" i="52"/>
  <c r="T5968" i="52"/>
  <c r="U5968" i="52"/>
  <c r="V5968" i="52"/>
  <c r="T5969" i="52"/>
  <c r="U5969" i="52"/>
  <c r="V5969" i="52"/>
  <c r="T5970" i="52"/>
  <c r="U5970" i="52"/>
  <c r="V5970" i="52"/>
  <c r="T5971" i="52"/>
  <c r="U5971" i="52"/>
  <c r="V5971" i="52"/>
  <c r="T5972" i="52"/>
  <c r="U5972" i="52"/>
  <c r="V5972" i="52"/>
  <c r="T5973" i="52"/>
  <c r="U5973" i="52"/>
  <c r="V5973" i="52"/>
  <c r="T5974" i="52"/>
  <c r="U5974" i="52"/>
  <c r="V5974" i="52"/>
  <c r="T5975" i="52"/>
  <c r="U5975" i="52"/>
  <c r="V5975" i="52"/>
  <c r="T5976" i="52"/>
  <c r="U5976" i="52"/>
  <c r="V5976" i="52"/>
  <c r="T5977" i="52"/>
  <c r="U5977" i="52"/>
  <c r="V5977" i="52"/>
  <c r="T5978" i="52"/>
  <c r="U5978" i="52"/>
  <c r="V5978" i="52"/>
  <c r="T5979" i="52"/>
  <c r="U5979" i="52"/>
  <c r="V5979" i="52"/>
  <c r="T5980" i="52"/>
  <c r="U5980" i="52"/>
  <c r="V5980" i="52"/>
  <c r="T5981" i="52"/>
  <c r="U5981" i="52"/>
  <c r="V5981" i="52"/>
  <c r="T5982" i="52"/>
  <c r="U5982" i="52"/>
  <c r="V5982" i="52"/>
  <c r="T5983" i="52"/>
  <c r="U5983" i="52"/>
  <c r="V5983" i="52"/>
  <c r="T5984" i="52"/>
  <c r="U5984" i="52"/>
  <c r="V5984" i="52"/>
  <c r="T5985" i="52"/>
  <c r="U5985" i="52"/>
  <c r="V5985" i="52"/>
  <c r="T5986" i="52"/>
  <c r="U5986" i="52"/>
  <c r="V5986" i="52"/>
  <c r="T5987" i="52"/>
  <c r="U5987" i="52"/>
  <c r="V5987" i="52"/>
  <c r="T5988" i="52"/>
  <c r="U5988" i="52"/>
  <c r="V5988" i="52"/>
  <c r="T5989" i="52"/>
  <c r="U5989" i="52"/>
  <c r="V5989" i="52"/>
  <c r="T5990" i="52"/>
  <c r="U5990" i="52"/>
  <c r="V5990" i="52"/>
  <c r="T5991" i="52"/>
  <c r="U5991" i="52"/>
  <c r="V5991" i="52"/>
  <c r="T5992" i="52"/>
  <c r="U5992" i="52"/>
  <c r="V5992" i="52"/>
  <c r="T5993" i="52"/>
  <c r="U5993" i="52"/>
  <c r="V5993" i="52"/>
  <c r="T5994" i="52"/>
  <c r="U5994" i="52"/>
  <c r="V5994" i="52"/>
  <c r="T5995" i="52"/>
  <c r="U5995" i="52"/>
  <c r="V5995" i="52"/>
  <c r="T5996" i="52"/>
  <c r="U5996" i="52"/>
  <c r="V5996" i="52"/>
  <c r="T5997" i="52"/>
  <c r="U5997" i="52"/>
  <c r="V5997" i="52"/>
  <c r="T5998" i="52"/>
  <c r="U5998" i="52"/>
  <c r="V5998" i="52"/>
  <c r="T5999" i="52"/>
  <c r="U5999" i="52"/>
  <c r="V5999" i="52"/>
  <c r="T6000" i="52"/>
  <c r="U6000" i="52"/>
  <c r="V6000" i="52"/>
  <c r="T6001" i="52"/>
  <c r="U6001" i="52"/>
  <c r="V6001" i="52"/>
  <c r="T6002" i="52"/>
  <c r="U6002" i="52"/>
  <c r="V6002" i="52"/>
  <c r="T6003" i="52"/>
  <c r="U6003" i="52"/>
  <c r="V6003" i="52"/>
  <c r="T6004" i="52"/>
  <c r="U6004" i="52"/>
  <c r="V6004" i="52"/>
  <c r="T6005" i="52"/>
  <c r="U6005" i="52"/>
  <c r="V6005" i="52"/>
  <c r="T6006" i="52"/>
  <c r="U6006" i="52"/>
  <c r="V6006" i="52"/>
  <c r="T6007" i="52"/>
  <c r="U6007" i="52"/>
  <c r="V6007" i="52"/>
  <c r="T6008" i="52"/>
  <c r="U6008" i="52"/>
  <c r="V6008" i="52"/>
  <c r="T6009" i="52"/>
  <c r="U6009" i="52"/>
  <c r="V6009" i="52"/>
  <c r="T6010" i="52"/>
  <c r="U6010" i="52"/>
  <c r="V6010" i="52"/>
  <c r="T6011" i="52"/>
  <c r="U6011" i="52"/>
  <c r="V6011" i="52"/>
  <c r="T6012" i="52"/>
  <c r="U6012" i="52"/>
  <c r="V6012" i="52"/>
  <c r="T6013" i="52"/>
  <c r="U6013" i="52"/>
  <c r="V6013" i="52"/>
  <c r="T6014" i="52"/>
  <c r="U6014" i="52"/>
  <c r="V6014" i="52"/>
  <c r="T6015" i="52"/>
  <c r="U6015" i="52"/>
  <c r="V6015" i="52"/>
  <c r="T6016" i="52"/>
  <c r="U6016" i="52"/>
  <c r="V6016" i="52"/>
  <c r="T6017" i="52"/>
  <c r="U6017" i="52"/>
  <c r="V6017" i="52"/>
  <c r="T6018" i="52"/>
  <c r="U6018" i="52"/>
  <c r="V6018" i="52"/>
  <c r="T6019" i="52"/>
  <c r="U6019" i="52"/>
  <c r="V6019" i="52"/>
  <c r="T6020" i="52"/>
  <c r="U6020" i="52"/>
  <c r="V6020" i="52"/>
  <c r="T6021" i="52"/>
  <c r="U6021" i="52"/>
  <c r="V6021" i="52"/>
  <c r="T6022" i="52"/>
  <c r="U6022" i="52"/>
  <c r="V6022" i="52"/>
  <c r="T6023" i="52"/>
  <c r="U6023" i="52"/>
  <c r="V6023" i="52"/>
  <c r="T6024" i="52"/>
  <c r="U6024" i="52"/>
  <c r="V6024" i="52"/>
  <c r="T6025" i="52"/>
  <c r="U6025" i="52"/>
  <c r="V6025" i="52"/>
  <c r="T6026" i="52"/>
  <c r="U6026" i="52"/>
  <c r="V6026" i="52"/>
  <c r="T6027" i="52"/>
  <c r="U6027" i="52"/>
  <c r="V6027" i="52"/>
  <c r="T6028" i="52"/>
  <c r="U6028" i="52"/>
  <c r="V6028" i="52"/>
  <c r="T6029" i="52"/>
  <c r="U6029" i="52"/>
  <c r="V6029" i="52"/>
  <c r="T6030" i="52"/>
  <c r="U6030" i="52"/>
  <c r="V6030" i="52"/>
  <c r="T6031" i="52"/>
  <c r="U6031" i="52"/>
  <c r="V6031" i="52"/>
  <c r="T6032" i="52"/>
  <c r="U6032" i="52"/>
  <c r="V6032" i="52"/>
  <c r="T6033" i="52"/>
  <c r="U6033" i="52"/>
  <c r="V6033" i="52"/>
  <c r="T6034" i="52"/>
  <c r="U6034" i="52"/>
  <c r="V6034" i="52"/>
  <c r="T6035" i="52"/>
  <c r="U6035" i="52"/>
  <c r="V6035" i="52"/>
  <c r="T6036" i="52"/>
  <c r="U6036" i="52"/>
  <c r="V6036" i="52"/>
  <c r="T6037" i="52"/>
  <c r="U6037" i="52"/>
  <c r="V6037" i="52"/>
  <c r="T6038" i="52"/>
  <c r="U6038" i="52"/>
  <c r="V6038" i="52"/>
  <c r="T6039" i="52"/>
  <c r="U6039" i="52"/>
  <c r="V6039" i="52"/>
  <c r="T6040" i="52"/>
  <c r="U6040" i="52"/>
  <c r="V6040" i="52"/>
  <c r="T6041" i="52"/>
  <c r="U6041" i="52"/>
  <c r="V6041" i="52"/>
  <c r="T6042" i="52"/>
  <c r="U6042" i="52"/>
  <c r="V6042" i="52"/>
  <c r="T6043" i="52"/>
  <c r="U6043" i="52"/>
  <c r="V6043" i="52"/>
  <c r="T6044" i="52"/>
  <c r="U6044" i="52"/>
  <c r="V6044" i="52"/>
  <c r="T6045" i="52"/>
  <c r="U6045" i="52"/>
  <c r="V6045" i="52"/>
  <c r="T6046" i="52"/>
  <c r="U6046" i="52"/>
  <c r="V6046" i="52"/>
  <c r="T6047" i="52"/>
  <c r="U6047" i="52"/>
  <c r="V6047" i="52"/>
  <c r="T6048" i="52"/>
  <c r="U6048" i="52"/>
  <c r="V6048" i="52"/>
  <c r="T6049" i="52"/>
  <c r="U6049" i="52"/>
  <c r="V6049" i="52"/>
  <c r="T6050" i="52"/>
  <c r="U6050" i="52"/>
  <c r="V6050" i="52"/>
  <c r="T6051" i="52"/>
  <c r="U6051" i="52"/>
  <c r="V6051" i="52"/>
  <c r="T6052" i="52"/>
  <c r="U6052" i="52"/>
  <c r="V6052" i="52"/>
  <c r="T6053" i="52"/>
  <c r="U6053" i="52"/>
  <c r="V6053" i="52"/>
  <c r="T6054" i="52"/>
  <c r="U6054" i="52"/>
  <c r="V6054" i="52"/>
  <c r="T6055" i="52"/>
  <c r="U6055" i="52"/>
  <c r="V6055" i="52"/>
  <c r="T6056" i="52"/>
  <c r="U6056" i="52"/>
  <c r="V6056" i="52"/>
  <c r="T6057" i="52"/>
  <c r="U6057" i="52"/>
  <c r="V6057" i="52"/>
  <c r="T6058" i="52"/>
  <c r="U6058" i="52"/>
  <c r="V6058" i="52"/>
  <c r="T6059" i="52"/>
  <c r="U6059" i="52"/>
  <c r="V6059" i="52"/>
  <c r="T6060" i="52"/>
  <c r="U6060" i="52"/>
  <c r="V6060" i="52"/>
  <c r="T6061" i="52"/>
  <c r="U6061" i="52"/>
  <c r="V6061" i="52"/>
  <c r="T6062" i="52"/>
  <c r="U6062" i="52"/>
  <c r="V6062" i="52"/>
  <c r="T6063" i="52"/>
  <c r="U6063" i="52"/>
  <c r="V6063" i="52"/>
  <c r="T6064" i="52"/>
  <c r="U6064" i="52"/>
  <c r="V6064" i="52"/>
  <c r="T6065" i="52"/>
  <c r="U6065" i="52"/>
  <c r="V6065" i="52"/>
  <c r="T6066" i="52"/>
  <c r="U6066" i="52"/>
  <c r="V6066" i="52"/>
  <c r="T6067" i="52"/>
  <c r="U6067" i="52"/>
  <c r="V6067" i="52"/>
  <c r="T6068" i="52"/>
  <c r="U6068" i="52"/>
  <c r="V6068" i="52"/>
  <c r="T6069" i="52"/>
  <c r="U6069" i="52"/>
  <c r="V6069" i="52"/>
  <c r="T6070" i="52"/>
  <c r="U6070" i="52"/>
  <c r="V6070" i="52"/>
  <c r="T6071" i="52"/>
  <c r="U6071" i="52"/>
  <c r="V6071" i="52"/>
  <c r="T6072" i="52"/>
  <c r="U6072" i="52"/>
  <c r="V6072" i="52"/>
  <c r="T6073" i="52"/>
  <c r="U6073" i="52"/>
  <c r="V6073" i="52"/>
  <c r="T6074" i="52"/>
  <c r="U6074" i="52"/>
  <c r="V6074" i="52"/>
  <c r="T6075" i="52"/>
  <c r="U6075" i="52"/>
  <c r="V6075" i="52"/>
  <c r="T6076" i="52"/>
  <c r="U6076" i="52"/>
  <c r="V6076" i="52"/>
  <c r="T6077" i="52"/>
  <c r="U6077" i="52"/>
  <c r="V6077" i="52"/>
  <c r="T6078" i="52"/>
  <c r="U6078" i="52"/>
  <c r="V6078" i="52"/>
  <c r="T6079" i="52"/>
  <c r="U6079" i="52"/>
  <c r="V6079" i="52"/>
  <c r="T6080" i="52"/>
  <c r="U6080" i="52"/>
  <c r="V6080" i="52"/>
  <c r="T6081" i="52"/>
  <c r="U6081" i="52"/>
  <c r="V6081" i="52"/>
  <c r="T6082" i="52"/>
  <c r="U6082" i="52"/>
  <c r="V6082" i="52"/>
  <c r="T6083" i="52"/>
  <c r="U6083" i="52"/>
  <c r="V6083" i="52"/>
  <c r="T6084" i="52"/>
  <c r="U6084" i="52"/>
  <c r="V6084" i="52"/>
  <c r="T6085" i="52"/>
  <c r="U6085" i="52"/>
  <c r="V6085" i="52"/>
  <c r="T6086" i="52"/>
  <c r="U6086" i="52"/>
  <c r="V6086" i="52"/>
  <c r="T6087" i="52"/>
  <c r="U6087" i="52"/>
  <c r="V6087" i="52"/>
  <c r="T6088" i="52"/>
  <c r="U6088" i="52"/>
  <c r="V6088" i="52"/>
  <c r="T6089" i="52"/>
  <c r="U6089" i="52"/>
  <c r="V6089" i="52"/>
  <c r="T6090" i="52"/>
  <c r="U6090" i="52"/>
  <c r="V6090" i="52"/>
  <c r="T6091" i="52"/>
  <c r="U6091" i="52"/>
  <c r="V6091" i="52"/>
  <c r="T6092" i="52"/>
  <c r="U6092" i="52"/>
  <c r="V6092" i="52"/>
  <c r="T6093" i="52"/>
  <c r="U6093" i="52"/>
  <c r="V6093" i="52"/>
  <c r="T6094" i="52"/>
  <c r="U6094" i="52"/>
  <c r="V6094" i="52"/>
  <c r="T6095" i="52"/>
  <c r="U6095" i="52"/>
  <c r="V6095" i="52"/>
  <c r="T6096" i="52"/>
  <c r="U6096" i="52"/>
  <c r="V6096" i="52"/>
  <c r="T6097" i="52"/>
  <c r="U6097" i="52"/>
  <c r="V6097" i="52"/>
  <c r="T6098" i="52"/>
  <c r="U6098" i="52"/>
  <c r="V6098" i="52"/>
  <c r="T6099" i="52"/>
  <c r="U6099" i="52"/>
  <c r="V6099" i="52"/>
  <c r="T6100" i="52"/>
  <c r="U6100" i="52"/>
  <c r="V6100" i="52"/>
  <c r="T6101" i="52"/>
  <c r="U6101" i="52"/>
  <c r="V6101" i="52"/>
  <c r="T6102" i="52"/>
  <c r="U6102" i="52"/>
  <c r="V6102" i="52"/>
  <c r="T6103" i="52"/>
  <c r="U6103" i="52"/>
  <c r="V6103" i="52"/>
  <c r="T6104" i="52"/>
  <c r="U6104" i="52"/>
  <c r="V6104" i="52"/>
  <c r="T6105" i="52"/>
  <c r="U6105" i="52"/>
  <c r="V6105" i="52"/>
  <c r="T6106" i="52"/>
  <c r="U6106" i="52"/>
  <c r="V6106" i="52"/>
  <c r="T6107" i="52"/>
  <c r="U6107" i="52"/>
  <c r="V6107" i="52"/>
  <c r="T6108" i="52"/>
  <c r="U6108" i="52"/>
  <c r="V6108" i="52"/>
  <c r="T6109" i="52"/>
  <c r="U6109" i="52"/>
  <c r="V6109" i="52"/>
  <c r="T6110" i="52"/>
  <c r="U6110" i="52"/>
  <c r="V6110" i="52"/>
  <c r="T6111" i="52"/>
  <c r="U6111" i="52"/>
  <c r="V6111" i="52"/>
  <c r="T6112" i="52"/>
  <c r="U6112" i="52"/>
  <c r="V6112" i="52"/>
  <c r="T6113" i="52"/>
  <c r="U6113" i="52"/>
  <c r="V6113" i="52"/>
  <c r="T6114" i="52"/>
  <c r="U6114" i="52"/>
  <c r="V6114" i="52"/>
  <c r="T6115" i="52"/>
  <c r="U6115" i="52"/>
  <c r="V6115" i="52"/>
  <c r="T6116" i="52"/>
  <c r="U6116" i="52"/>
  <c r="V6116" i="52"/>
  <c r="T6117" i="52"/>
  <c r="U6117" i="52"/>
  <c r="V6117" i="52"/>
  <c r="T6118" i="52"/>
  <c r="U6118" i="52"/>
  <c r="V6118" i="52"/>
  <c r="T6119" i="52"/>
  <c r="U6119" i="52"/>
  <c r="V6119" i="52"/>
  <c r="T6120" i="52"/>
  <c r="U6120" i="52"/>
  <c r="V6120" i="52"/>
  <c r="T6121" i="52"/>
  <c r="U6121" i="52"/>
  <c r="V6121" i="52"/>
  <c r="T6122" i="52"/>
  <c r="U6122" i="52"/>
  <c r="V6122" i="52"/>
  <c r="T6123" i="52"/>
  <c r="U6123" i="52"/>
  <c r="V6123" i="52"/>
  <c r="T6124" i="52"/>
  <c r="U6124" i="52"/>
  <c r="V6124" i="52"/>
  <c r="T6125" i="52"/>
  <c r="U6125" i="52"/>
  <c r="V6125" i="52"/>
  <c r="T6126" i="52"/>
  <c r="U6126" i="52"/>
  <c r="V6126" i="52"/>
  <c r="T6127" i="52"/>
  <c r="U6127" i="52"/>
  <c r="V6127" i="52"/>
  <c r="T6128" i="52"/>
  <c r="U6128" i="52"/>
  <c r="V6128" i="52"/>
  <c r="T6129" i="52"/>
  <c r="U6129" i="52"/>
  <c r="V6129" i="52"/>
  <c r="T6130" i="52"/>
  <c r="U6130" i="52"/>
  <c r="V6130" i="52"/>
  <c r="T6131" i="52"/>
  <c r="U6131" i="52"/>
  <c r="V6131" i="52"/>
  <c r="T6132" i="52"/>
  <c r="U6132" i="52"/>
  <c r="V6132" i="52"/>
  <c r="T6133" i="52"/>
  <c r="U6133" i="52"/>
  <c r="V6133" i="52"/>
  <c r="T6134" i="52"/>
  <c r="U6134" i="52"/>
  <c r="V6134" i="52"/>
  <c r="T6135" i="52"/>
  <c r="U6135" i="52"/>
  <c r="V6135" i="52"/>
  <c r="T6136" i="52"/>
  <c r="U6136" i="52"/>
  <c r="V6136" i="52"/>
  <c r="T6137" i="52"/>
  <c r="U6137" i="52"/>
  <c r="V6137" i="52"/>
  <c r="T6138" i="52"/>
  <c r="U6138" i="52"/>
  <c r="V6138" i="52"/>
  <c r="T6139" i="52"/>
  <c r="U6139" i="52"/>
  <c r="V6139" i="52"/>
  <c r="T6140" i="52"/>
  <c r="U6140" i="52"/>
  <c r="V6140" i="52"/>
  <c r="T6141" i="52"/>
  <c r="U6141" i="52"/>
  <c r="V6141" i="52"/>
  <c r="T6142" i="52"/>
  <c r="U6142" i="52"/>
  <c r="V6142" i="52"/>
  <c r="T6143" i="52"/>
  <c r="U6143" i="52"/>
  <c r="V6143" i="52"/>
  <c r="T6144" i="52"/>
  <c r="U6144" i="52"/>
  <c r="V6144" i="52"/>
  <c r="T6145" i="52"/>
  <c r="U6145" i="52"/>
  <c r="V6145" i="52"/>
  <c r="T6146" i="52"/>
  <c r="U6146" i="52"/>
  <c r="V6146" i="52"/>
  <c r="T6147" i="52"/>
  <c r="U6147" i="52"/>
  <c r="V6147" i="52"/>
  <c r="T6148" i="52"/>
  <c r="U6148" i="52"/>
  <c r="V6148" i="52"/>
  <c r="T6149" i="52"/>
  <c r="U6149" i="52"/>
  <c r="V6149" i="52"/>
  <c r="T6150" i="52"/>
  <c r="U6150" i="52"/>
  <c r="V6150" i="52"/>
  <c r="T6151" i="52"/>
  <c r="U6151" i="52"/>
  <c r="V6151" i="52"/>
  <c r="T6152" i="52"/>
  <c r="U6152" i="52"/>
  <c r="V6152" i="52"/>
  <c r="T6153" i="52"/>
  <c r="U6153" i="52"/>
  <c r="V6153" i="52"/>
  <c r="T6154" i="52"/>
  <c r="U6154" i="52"/>
  <c r="V6154" i="52"/>
  <c r="T6155" i="52"/>
  <c r="U6155" i="52"/>
  <c r="V6155" i="52"/>
  <c r="T6156" i="52"/>
  <c r="U6156" i="52"/>
  <c r="V6156" i="52"/>
  <c r="T6157" i="52"/>
  <c r="U6157" i="52"/>
  <c r="V6157" i="52"/>
  <c r="T6158" i="52"/>
  <c r="U6158" i="52"/>
  <c r="V6158" i="52"/>
  <c r="T6159" i="52"/>
  <c r="U6159" i="52"/>
  <c r="V6159" i="52"/>
  <c r="T6160" i="52"/>
  <c r="U6160" i="52"/>
  <c r="V6160" i="52"/>
  <c r="T6161" i="52"/>
  <c r="U6161" i="52"/>
  <c r="V6161" i="52"/>
  <c r="T6162" i="52"/>
  <c r="U6162" i="52"/>
  <c r="V6162" i="52"/>
  <c r="T6163" i="52"/>
  <c r="U6163" i="52"/>
  <c r="V6163" i="52"/>
  <c r="T6164" i="52"/>
  <c r="U6164" i="52"/>
  <c r="V6164" i="52"/>
  <c r="T6165" i="52"/>
  <c r="U6165" i="52"/>
  <c r="V6165" i="52"/>
  <c r="T6166" i="52"/>
  <c r="U6166" i="52"/>
  <c r="V6166" i="52"/>
  <c r="T6167" i="52"/>
  <c r="U6167" i="52"/>
  <c r="V6167" i="52"/>
  <c r="T6168" i="52"/>
  <c r="U6168" i="52"/>
  <c r="V6168" i="52"/>
  <c r="T6169" i="52"/>
  <c r="U6169" i="52"/>
  <c r="V6169" i="52"/>
  <c r="T6170" i="52"/>
  <c r="U6170" i="52"/>
  <c r="V6170" i="52"/>
  <c r="T6171" i="52"/>
  <c r="U6171" i="52"/>
  <c r="V6171" i="52"/>
  <c r="T6172" i="52"/>
  <c r="U6172" i="52"/>
  <c r="V6172" i="52"/>
  <c r="T6173" i="52"/>
  <c r="U6173" i="52"/>
  <c r="V6173" i="52"/>
  <c r="T6174" i="52"/>
  <c r="U6174" i="52"/>
  <c r="V6174" i="52"/>
  <c r="T6175" i="52"/>
  <c r="U6175" i="52"/>
  <c r="V6175" i="52"/>
  <c r="T6176" i="52"/>
  <c r="U6176" i="52"/>
  <c r="V6176" i="52"/>
  <c r="T6177" i="52"/>
  <c r="U6177" i="52"/>
  <c r="V6177" i="52"/>
  <c r="T6178" i="52"/>
  <c r="U6178" i="52"/>
  <c r="V6178" i="52"/>
  <c r="T6179" i="52"/>
  <c r="U6179" i="52"/>
  <c r="V6179" i="52"/>
  <c r="T6180" i="52"/>
  <c r="U6180" i="52"/>
  <c r="V6180" i="52"/>
  <c r="T6181" i="52"/>
  <c r="U6181" i="52"/>
  <c r="V6181" i="52"/>
  <c r="T6182" i="52"/>
  <c r="U6182" i="52"/>
  <c r="V6182" i="52"/>
  <c r="T6183" i="52"/>
  <c r="U6183" i="52"/>
  <c r="V6183" i="52"/>
  <c r="T6184" i="52"/>
  <c r="U6184" i="52"/>
  <c r="V6184" i="52"/>
  <c r="T6185" i="52"/>
  <c r="U6185" i="52"/>
  <c r="V6185" i="52"/>
  <c r="T6186" i="52"/>
  <c r="U6186" i="52"/>
  <c r="V6186" i="52"/>
  <c r="T6187" i="52"/>
  <c r="U6187" i="52"/>
  <c r="V6187" i="52"/>
  <c r="T6188" i="52"/>
  <c r="U6188" i="52"/>
  <c r="V6188" i="52"/>
  <c r="T6189" i="52"/>
  <c r="U6189" i="52"/>
  <c r="V6189" i="52"/>
  <c r="T6190" i="52"/>
  <c r="U6190" i="52"/>
  <c r="V6190" i="52"/>
  <c r="T6191" i="52"/>
  <c r="U6191" i="52"/>
  <c r="V6191" i="52"/>
  <c r="T6192" i="52"/>
  <c r="U6192" i="52"/>
  <c r="V6192" i="52"/>
  <c r="T6193" i="52"/>
  <c r="U6193" i="52"/>
  <c r="V6193" i="52"/>
  <c r="T6194" i="52"/>
  <c r="U6194" i="52"/>
  <c r="V6194" i="52"/>
  <c r="T6195" i="52"/>
  <c r="U6195" i="52"/>
  <c r="V6195" i="52"/>
  <c r="T6196" i="52"/>
  <c r="U6196" i="52"/>
  <c r="V6196" i="52"/>
  <c r="T6197" i="52"/>
  <c r="U6197" i="52"/>
  <c r="V6197" i="52"/>
  <c r="T6198" i="52"/>
  <c r="U6198" i="52"/>
  <c r="V6198" i="52"/>
  <c r="T6199" i="52"/>
  <c r="U6199" i="52"/>
  <c r="V6199" i="52"/>
  <c r="T6200" i="52"/>
  <c r="U6200" i="52"/>
  <c r="V6200" i="52"/>
  <c r="T6201" i="52"/>
  <c r="U6201" i="52"/>
  <c r="V6201" i="52"/>
  <c r="T6202" i="52"/>
  <c r="U6202" i="52"/>
  <c r="V6202" i="52"/>
  <c r="T6203" i="52"/>
  <c r="U6203" i="52"/>
  <c r="V6203" i="52"/>
  <c r="T6204" i="52"/>
  <c r="U6204" i="52"/>
  <c r="V6204" i="52"/>
  <c r="T6205" i="52"/>
  <c r="U6205" i="52"/>
  <c r="V6205" i="52"/>
  <c r="T6206" i="52"/>
  <c r="U6206" i="52"/>
  <c r="V6206" i="52"/>
  <c r="T6207" i="52"/>
  <c r="U6207" i="52"/>
  <c r="V6207" i="52"/>
  <c r="T6208" i="52"/>
  <c r="U6208" i="52"/>
  <c r="V6208" i="52"/>
  <c r="T6209" i="52"/>
  <c r="U6209" i="52"/>
  <c r="V6209" i="52"/>
  <c r="T6210" i="52"/>
  <c r="U6210" i="52"/>
  <c r="V6210" i="52"/>
  <c r="T6211" i="52"/>
  <c r="U6211" i="52"/>
  <c r="V6211" i="52"/>
  <c r="T6212" i="52"/>
  <c r="U6212" i="52"/>
  <c r="V6212" i="52"/>
  <c r="T6213" i="52"/>
  <c r="U6213" i="52"/>
  <c r="V6213" i="52"/>
  <c r="T6214" i="52"/>
  <c r="U6214" i="52"/>
  <c r="V6214" i="52"/>
  <c r="T6215" i="52"/>
  <c r="U6215" i="52"/>
  <c r="V6215" i="52"/>
  <c r="T6216" i="52"/>
  <c r="U6216" i="52"/>
  <c r="V6216" i="52"/>
  <c r="T6217" i="52"/>
  <c r="U6217" i="52"/>
  <c r="V6217" i="52"/>
  <c r="T6218" i="52"/>
  <c r="U6218" i="52"/>
  <c r="V6218" i="52"/>
  <c r="T6219" i="52"/>
  <c r="U6219" i="52"/>
  <c r="V6219" i="52"/>
  <c r="T6220" i="52"/>
  <c r="U6220" i="52"/>
  <c r="V6220" i="52"/>
  <c r="T6221" i="52"/>
  <c r="U6221" i="52"/>
  <c r="V6221" i="52"/>
  <c r="T6222" i="52"/>
  <c r="U6222" i="52"/>
  <c r="V6222" i="52"/>
  <c r="T6223" i="52"/>
  <c r="U6223" i="52"/>
  <c r="V6223" i="52"/>
  <c r="T6224" i="52"/>
  <c r="U6224" i="52"/>
  <c r="V6224" i="52"/>
  <c r="T6225" i="52"/>
  <c r="U6225" i="52"/>
  <c r="V6225" i="52"/>
  <c r="T6226" i="52"/>
  <c r="U6226" i="52"/>
  <c r="V6226" i="52"/>
  <c r="T6227" i="52"/>
  <c r="U6227" i="52"/>
  <c r="V6227" i="52"/>
  <c r="T6228" i="52"/>
  <c r="U6228" i="52"/>
  <c r="V6228" i="52"/>
  <c r="T6229" i="52"/>
  <c r="U6229" i="52"/>
  <c r="V6229" i="52"/>
  <c r="T6230" i="52"/>
  <c r="U6230" i="52"/>
  <c r="V6230" i="52"/>
  <c r="T6231" i="52"/>
  <c r="U6231" i="52"/>
  <c r="V6231" i="52"/>
  <c r="T6232" i="52"/>
  <c r="U6232" i="52"/>
  <c r="V6232" i="52"/>
  <c r="T6233" i="52"/>
  <c r="U6233" i="52"/>
  <c r="V6233" i="52"/>
  <c r="T6234" i="52"/>
  <c r="U6234" i="52"/>
  <c r="V6234" i="52"/>
  <c r="T6235" i="52"/>
  <c r="U6235" i="52"/>
  <c r="V6235" i="52"/>
  <c r="T6236" i="52"/>
  <c r="U6236" i="52"/>
  <c r="V6236" i="52"/>
  <c r="T6237" i="52"/>
  <c r="U6237" i="52"/>
  <c r="V6237" i="52"/>
  <c r="T6238" i="52"/>
  <c r="U6238" i="52"/>
  <c r="V6238" i="52"/>
  <c r="T6239" i="52"/>
  <c r="U6239" i="52"/>
  <c r="V6239" i="52"/>
  <c r="T6240" i="52"/>
  <c r="U6240" i="52"/>
  <c r="V6240" i="52"/>
  <c r="T6241" i="52"/>
  <c r="U6241" i="52"/>
  <c r="V6241" i="52"/>
  <c r="T6242" i="52"/>
  <c r="U6242" i="52"/>
  <c r="V6242" i="52"/>
  <c r="T6243" i="52"/>
  <c r="U6243" i="52"/>
  <c r="V6243" i="52"/>
  <c r="T6244" i="52"/>
  <c r="U6244" i="52"/>
  <c r="V6244" i="52"/>
  <c r="T6245" i="52"/>
  <c r="U6245" i="52"/>
  <c r="V6245" i="52"/>
  <c r="T6246" i="52"/>
  <c r="U6246" i="52"/>
  <c r="V6246" i="52"/>
  <c r="T6247" i="52"/>
  <c r="U6247" i="52"/>
  <c r="V6247" i="52"/>
  <c r="T6248" i="52"/>
  <c r="U6248" i="52"/>
  <c r="V6248" i="52"/>
  <c r="T6249" i="52"/>
  <c r="U6249" i="52"/>
  <c r="V6249" i="52"/>
  <c r="T6250" i="52"/>
  <c r="U6250" i="52"/>
  <c r="V6250" i="52"/>
  <c r="T6251" i="52"/>
  <c r="U6251" i="52"/>
  <c r="V6251" i="52"/>
  <c r="T6252" i="52"/>
  <c r="U6252" i="52"/>
  <c r="V6252" i="52"/>
  <c r="T6253" i="52"/>
  <c r="U6253" i="52"/>
  <c r="V6253" i="52"/>
  <c r="T6254" i="52"/>
  <c r="U6254" i="52"/>
  <c r="V6254" i="52"/>
  <c r="T6255" i="52"/>
  <c r="U6255" i="52"/>
  <c r="V6255" i="52"/>
  <c r="T6256" i="52"/>
  <c r="U6256" i="52"/>
  <c r="V6256" i="52"/>
  <c r="T6257" i="52"/>
  <c r="U6257" i="52"/>
  <c r="V6257" i="52"/>
  <c r="T6258" i="52"/>
  <c r="U6258" i="52"/>
  <c r="V6258" i="52"/>
  <c r="T6259" i="52"/>
  <c r="U6259" i="52"/>
  <c r="V6259" i="52"/>
  <c r="T6260" i="52"/>
  <c r="U6260" i="52"/>
  <c r="V6260" i="52"/>
  <c r="T6261" i="52"/>
  <c r="U6261" i="52"/>
  <c r="V6261" i="52"/>
  <c r="T6262" i="52"/>
  <c r="U6262" i="52"/>
  <c r="V6262" i="52"/>
  <c r="T6263" i="52"/>
  <c r="U6263" i="52"/>
  <c r="V6263" i="52"/>
  <c r="T6264" i="52"/>
  <c r="U6264" i="52"/>
  <c r="V6264" i="52"/>
  <c r="T6265" i="52"/>
  <c r="U6265" i="52"/>
  <c r="V6265" i="52"/>
  <c r="T6266" i="52"/>
  <c r="U6266" i="52"/>
  <c r="V6266" i="52"/>
  <c r="T6267" i="52"/>
  <c r="U6267" i="52"/>
  <c r="V6267" i="52"/>
  <c r="T6268" i="52"/>
  <c r="U6268" i="52"/>
  <c r="V6268" i="52"/>
  <c r="T6269" i="52"/>
  <c r="U6269" i="52"/>
  <c r="V6269" i="52"/>
  <c r="T6270" i="52"/>
  <c r="U6270" i="52"/>
  <c r="V6270" i="52"/>
  <c r="T6271" i="52"/>
  <c r="U6271" i="52"/>
  <c r="V6271" i="52"/>
  <c r="T6272" i="52"/>
  <c r="U6272" i="52"/>
  <c r="V6272" i="52"/>
  <c r="T6273" i="52"/>
  <c r="U6273" i="52"/>
  <c r="V6273" i="52"/>
  <c r="T6274" i="52"/>
  <c r="U6274" i="52"/>
  <c r="V6274" i="52"/>
  <c r="T6275" i="52"/>
  <c r="U6275" i="52"/>
  <c r="V6275" i="52"/>
  <c r="T6276" i="52"/>
  <c r="U6276" i="52"/>
  <c r="V6276" i="52"/>
  <c r="T6277" i="52"/>
  <c r="U6277" i="52"/>
  <c r="V6277" i="52"/>
  <c r="T6278" i="52"/>
  <c r="U6278" i="52"/>
  <c r="V6278" i="52"/>
  <c r="T6279" i="52"/>
  <c r="U6279" i="52"/>
  <c r="V6279" i="52"/>
  <c r="T6280" i="52"/>
  <c r="U6280" i="52"/>
  <c r="V6280" i="52"/>
  <c r="T6281" i="52"/>
  <c r="U6281" i="52"/>
  <c r="V6281" i="52"/>
  <c r="T6282" i="52"/>
  <c r="U6282" i="52"/>
  <c r="V6282" i="52"/>
  <c r="T6283" i="52"/>
  <c r="U6283" i="52"/>
  <c r="V6283" i="52"/>
  <c r="T6284" i="52"/>
  <c r="U6284" i="52"/>
  <c r="V6284" i="52"/>
  <c r="T6285" i="52"/>
  <c r="U6285" i="52"/>
  <c r="V6285" i="52"/>
  <c r="T6286" i="52"/>
  <c r="U6286" i="52"/>
  <c r="V6286" i="52"/>
  <c r="T6287" i="52"/>
  <c r="U6287" i="52"/>
  <c r="V6287" i="52"/>
  <c r="T6288" i="52"/>
  <c r="U6288" i="52"/>
  <c r="V6288" i="52"/>
  <c r="T6289" i="52"/>
  <c r="U6289" i="52"/>
  <c r="V6289" i="52"/>
  <c r="T6290" i="52"/>
  <c r="U6290" i="52"/>
  <c r="V6290" i="52"/>
  <c r="T6291" i="52"/>
  <c r="U6291" i="52"/>
  <c r="V6291" i="52"/>
  <c r="T6292" i="52"/>
  <c r="U6292" i="52"/>
  <c r="V6292" i="52"/>
  <c r="T6293" i="52"/>
  <c r="U6293" i="52"/>
  <c r="V6293" i="52"/>
  <c r="T6294" i="52"/>
  <c r="U6294" i="52"/>
  <c r="V6294" i="52"/>
  <c r="T6295" i="52"/>
  <c r="U6295" i="52"/>
  <c r="V6295" i="52"/>
  <c r="T6296" i="52"/>
  <c r="U6296" i="52"/>
  <c r="V6296" i="52"/>
  <c r="T6297" i="52"/>
  <c r="U6297" i="52"/>
  <c r="V6297" i="52"/>
  <c r="T6298" i="52"/>
  <c r="U6298" i="52"/>
  <c r="V6298" i="52"/>
  <c r="T6299" i="52"/>
  <c r="U6299" i="52"/>
  <c r="V6299" i="52"/>
  <c r="T6300" i="52"/>
  <c r="U6300" i="52"/>
  <c r="V6300" i="52"/>
  <c r="T6301" i="52"/>
  <c r="U6301" i="52"/>
  <c r="V6301" i="52"/>
  <c r="T6302" i="52"/>
  <c r="U6302" i="52"/>
  <c r="V6302" i="52"/>
  <c r="T6303" i="52"/>
  <c r="U6303" i="52"/>
  <c r="V6303" i="52"/>
  <c r="T6304" i="52"/>
  <c r="U6304" i="52"/>
  <c r="V6304" i="52"/>
  <c r="T6305" i="52"/>
  <c r="U6305" i="52"/>
  <c r="V6305" i="52"/>
  <c r="T6306" i="52"/>
  <c r="U6306" i="52"/>
  <c r="V6306" i="52"/>
  <c r="T6307" i="52"/>
  <c r="U6307" i="52"/>
  <c r="V6307" i="52"/>
  <c r="T6308" i="52"/>
  <c r="U6308" i="52"/>
  <c r="V6308" i="52"/>
  <c r="T6309" i="52"/>
  <c r="U6309" i="52"/>
  <c r="V6309" i="52"/>
  <c r="T6310" i="52"/>
  <c r="U6310" i="52"/>
  <c r="V6310" i="52"/>
  <c r="T6311" i="52"/>
  <c r="U6311" i="52"/>
  <c r="V6311" i="52"/>
  <c r="T6352" i="52"/>
  <c r="U6352" i="52"/>
  <c r="V6352" i="52"/>
  <c r="T6353" i="52"/>
  <c r="U6353" i="52"/>
  <c r="V6353" i="52"/>
  <c r="T6354" i="52"/>
  <c r="U6354" i="52"/>
  <c r="V6354" i="52"/>
  <c r="T6355" i="52"/>
  <c r="U6355" i="52"/>
  <c r="V6355" i="52"/>
  <c r="T6356" i="52"/>
  <c r="U6356" i="52"/>
  <c r="V6356" i="52"/>
  <c r="T6357" i="52"/>
  <c r="U6357" i="52"/>
  <c r="V6357" i="52"/>
  <c r="T6358" i="52"/>
  <c r="U6358" i="52"/>
  <c r="V6358" i="52"/>
  <c r="T6359" i="52"/>
  <c r="U6359" i="52"/>
  <c r="V6359" i="52"/>
  <c r="T6360" i="52"/>
  <c r="U6360" i="52"/>
  <c r="V6360" i="52"/>
  <c r="T6361" i="52"/>
  <c r="U6361" i="52"/>
  <c r="V6361" i="52"/>
  <c r="T6362" i="52"/>
  <c r="U6362" i="52"/>
  <c r="V6362" i="52"/>
  <c r="T6363" i="52"/>
  <c r="U6363" i="52"/>
  <c r="V6363" i="52"/>
  <c r="T6364" i="52"/>
  <c r="U6364" i="52"/>
  <c r="V6364" i="52"/>
  <c r="T6365" i="52"/>
  <c r="U6365" i="52"/>
  <c r="V6365" i="52"/>
  <c r="T6366" i="52"/>
  <c r="U6366" i="52"/>
  <c r="V6366" i="52"/>
  <c r="T6367" i="52"/>
  <c r="U6367" i="52"/>
  <c r="V6367" i="52"/>
  <c r="T6368" i="52"/>
  <c r="U6368" i="52"/>
  <c r="V6368" i="52"/>
  <c r="T6369" i="52"/>
  <c r="U6369" i="52"/>
  <c r="V6369" i="52"/>
  <c r="T6370" i="52"/>
  <c r="U6370" i="52"/>
  <c r="V6370" i="52"/>
  <c r="T6371" i="52"/>
  <c r="U6371" i="52"/>
  <c r="V6371" i="52"/>
  <c r="T6372" i="52"/>
  <c r="U6372" i="52"/>
  <c r="V6372" i="52"/>
  <c r="T6373" i="52"/>
  <c r="U6373" i="52"/>
  <c r="V6373" i="52"/>
  <c r="T6374" i="52"/>
  <c r="U6374" i="52"/>
  <c r="V6374" i="52"/>
  <c r="T6375" i="52"/>
  <c r="U6375" i="52"/>
  <c r="V6375" i="52"/>
  <c r="T6376" i="52"/>
  <c r="U6376" i="52"/>
  <c r="V6376" i="52"/>
  <c r="T6377" i="52"/>
  <c r="U6377" i="52"/>
  <c r="V6377" i="52"/>
  <c r="T6378" i="52"/>
  <c r="U6378" i="52"/>
  <c r="V6378" i="52"/>
  <c r="T6379" i="52"/>
  <c r="U6379" i="52"/>
  <c r="V6379" i="52"/>
  <c r="T6380" i="52"/>
  <c r="U6380" i="52"/>
  <c r="V6380" i="52"/>
  <c r="T6381" i="52"/>
  <c r="U6381" i="52"/>
  <c r="V6381" i="52"/>
  <c r="T6382" i="52"/>
  <c r="U6382" i="52"/>
  <c r="V6382" i="52"/>
  <c r="T6383" i="52"/>
  <c r="U6383" i="52"/>
  <c r="V6383" i="52"/>
  <c r="T6384" i="52"/>
  <c r="U6384" i="52"/>
  <c r="V6384" i="52"/>
  <c r="T6385" i="52"/>
  <c r="U6385" i="52"/>
  <c r="V6385" i="52"/>
  <c r="T6386" i="52"/>
  <c r="U6386" i="52"/>
  <c r="V6386" i="52"/>
  <c r="T6387" i="52"/>
  <c r="U6387" i="52"/>
  <c r="V6387" i="52"/>
  <c r="T6388" i="52"/>
  <c r="U6388" i="52"/>
  <c r="V6388" i="52"/>
  <c r="T6389" i="52"/>
  <c r="U6389" i="52"/>
  <c r="V6389" i="52"/>
  <c r="T6390" i="52"/>
  <c r="U6390" i="52"/>
  <c r="V6390" i="52"/>
  <c r="T6391" i="52"/>
  <c r="U6391" i="52"/>
  <c r="V6391" i="52"/>
  <c r="T6392" i="52"/>
  <c r="U6392" i="52"/>
  <c r="V6392" i="52"/>
  <c r="T6393" i="52"/>
  <c r="U6393" i="52"/>
  <c r="V6393" i="52"/>
  <c r="T6394" i="52"/>
  <c r="U6394" i="52"/>
  <c r="V6394" i="52"/>
  <c r="T6395" i="52"/>
  <c r="U6395" i="52"/>
  <c r="V6395" i="52"/>
  <c r="T6396" i="52"/>
  <c r="U6396" i="52"/>
  <c r="V6396" i="52"/>
  <c r="T6397" i="52"/>
  <c r="U6397" i="52"/>
  <c r="V6397" i="52"/>
  <c r="T6398" i="52"/>
  <c r="U6398" i="52"/>
  <c r="V6398" i="52"/>
  <c r="T6399" i="52"/>
  <c r="U6399" i="52"/>
  <c r="V6399" i="52"/>
  <c r="T6400" i="52"/>
  <c r="U6400" i="52"/>
  <c r="V6400" i="52"/>
  <c r="T6401" i="52"/>
  <c r="U6401" i="52"/>
  <c r="V6401" i="52"/>
  <c r="T6402" i="52"/>
  <c r="U6402" i="52"/>
  <c r="V6402" i="52"/>
  <c r="T6403" i="52"/>
  <c r="U6403" i="52"/>
  <c r="V6403" i="52"/>
  <c r="T6404" i="52"/>
  <c r="U6404" i="52"/>
  <c r="V6404" i="52"/>
  <c r="T6405" i="52"/>
  <c r="U6405" i="52"/>
  <c r="V6405" i="52"/>
  <c r="T6406" i="52"/>
  <c r="U6406" i="52"/>
  <c r="V6406" i="52"/>
  <c r="T6407" i="52"/>
  <c r="U6407" i="52"/>
  <c r="V6407" i="52"/>
  <c r="T6408" i="52"/>
  <c r="U6408" i="52"/>
  <c r="V6408" i="52"/>
  <c r="T6409" i="52"/>
  <c r="U6409" i="52"/>
  <c r="V6409" i="52"/>
  <c r="T6410" i="52"/>
  <c r="U6410" i="52"/>
  <c r="V6410" i="52"/>
  <c r="T6411" i="52"/>
  <c r="U6411" i="52"/>
  <c r="V6411" i="52"/>
  <c r="T6412" i="52"/>
  <c r="U6412" i="52"/>
  <c r="V6412" i="52"/>
  <c r="T6413" i="52"/>
  <c r="U6413" i="52"/>
  <c r="V6413" i="52"/>
  <c r="T6414" i="52"/>
  <c r="U6414" i="52"/>
  <c r="V6414" i="52"/>
  <c r="T6415" i="52"/>
  <c r="U6415" i="52"/>
  <c r="V6415" i="52"/>
  <c r="T6416" i="52"/>
  <c r="U6416" i="52"/>
  <c r="V6416" i="52"/>
  <c r="T6417" i="52"/>
  <c r="U6417" i="52"/>
  <c r="V6417" i="52"/>
  <c r="T6418" i="52"/>
  <c r="U6418" i="52"/>
  <c r="V6418" i="52"/>
  <c r="T6419" i="52"/>
  <c r="U6419" i="52"/>
  <c r="V6419" i="52"/>
  <c r="T6420" i="52"/>
  <c r="U6420" i="52"/>
  <c r="V6420" i="52"/>
  <c r="T6421" i="52"/>
  <c r="U6421" i="52"/>
  <c r="V6421" i="52"/>
  <c r="T6422" i="52"/>
  <c r="U6422" i="52"/>
  <c r="V6422" i="52"/>
  <c r="T6423" i="52"/>
  <c r="U6423" i="52"/>
  <c r="V6423" i="52"/>
  <c r="T6424" i="52"/>
  <c r="U6424" i="52"/>
  <c r="V6424" i="52"/>
  <c r="T6425" i="52"/>
  <c r="U6425" i="52"/>
  <c r="V6425" i="52"/>
  <c r="T6426" i="52"/>
  <c r="U6426" i="52"/>
  <c r="V6426" i="52"/>
  <c r="T6427" i="52"/>
  <c r="U6427" i="52"/>
  <c r="V6427" i="52"/>
  <c r="T6428" i="52"/>
  <c r="U6428" i="52"/>
  <c r="V6428" i="52"/>
  <c r="T6429" i="52"/>
  <c r="U6429" i="52"/>
  <c r="V6429" i="52"/>
  <c r="T6430" i="52"/>
  <c r="U6430" i="52"/>
  <c r="V6430" i="52"/>
  <c r="T6431" i="52"/>
  <c r="U6431" i="52"/>
  <c r="V6431" i="52"/>
  <c r="T6432" i="52"/>
  <c r="U6432" i="52"/>
  <c r="V6432" i="52"/>
  <c r="T6433" i="52"/>
  <c r="U6433" i="52"/>
  <c r="V6433" i="52"/>
  <c r="T6434" i="52"/>
  <c r="U6434" i="52"/>
  <c r="V6434" i="52"/>
  <c r="T6435" i="52"/>
  <c r="U6435" i="52"/>
  <c r="V6435" i="52"/>
  <c r="T6436" i="52"/>
  <c r="U6436" i="52"/>
  <c r="V6436" i="52"/>
  <c r="T6437" i="52"/>
  <c r="U6437" i="52"/>
  <c r="V6437" i="52"/>
  <c r="T6438" i="52"/>
  <c r="U6438" i="52"/>
  <c r="V6438" i="52"/>
  <c r="T6439" i="52"/>
  <c r="U6439" i="52"/>
  <c r="V6439" i="52"/>
  <c r="T6440" i="52"/>
  <c r="U6440" i="52"/>
  <c r="V6440" i="52"/>
  <c r="T6441" i="52"/>
  <c r="U6441" i="52"/>
  <c r="V6441" i="52"/>
  <c r="T6442" i="52"/>
  <c r="U6442" i="52"/>
  <c r="V6442" i="52"/>
  <c r="T6443" i="52"/>
  <c r="U6443" i="52"/>
  <c r="V6443" i="52"/>
  <c r="T6444" i="52"/>
  <c r="U6444" i="52"/>
  <c r="V6444" i="52"/>
  <c r="T6445" i="52"/>
  <c r="U6445" i="52"/>
  <c r="V6445" i="52"/>
  <c r="T6446" i="52"/>
  <c r="U6446" i="52"/>
  <c r="V6446" i="52"/>
  <c r="T6447" i="52"/>
  <c r="U6447" i="52"/>
  <c r="V6447" i="52"/>
  <c r="T6448" i="52"/>
  <c r="U6448" i="52"/>
  <c r="V6448" i="52"/>
  <c r="T6449" i="52"/>
  <c r="U6449" i="52"/>
  <c r="V6449" i="52"/>
  <c r="T6450" i="52"/>
  <c r="U6450" i="52"/>
  <c r="V6450" i="52"/>
  <c r="T6451" i="52"/>
  <c r="U6451" i="52"/>
  <c r="V6451" i="52"/>
  <c r="T6452" i="52"/>
  <c r="U6452" i="52"/>
  <c r="V6452" i="52"/>
  <c r="T6453" i="52"/>
  <c r="U6453" i="52"/>
  <c r="V6453" i="52"/>
  <c r="T6454" i="52"/>
  <c r="U6454" i="52"/>
  <c r="V6454" i="52"/>
  <c r="T6455" i="52"/>
  <c r="U6455" i="52"/>
  <c r="V6455" i="52"/>
  <c r="T6456" i="52"/>
  <c r="U6456" i="52"/>
  <c r="V6456" i="52"/>
  <c r="T6457" i="52"/>
  <c r="U6457" i="52"/>
  <c r="V6457" i="52"/>
  <c r="T6458" i="52"/>
  <c r="U6458" i="52"/>
  <c r="V6458" i="52"/>
  <c r="T6459" i="52"/>
  <c r="U6459" i="52"/>
  <c r="V6459" i="52"/>
  <c r="T6460" i="52"/>
  <c r="U6460" i="52"/>
  <c r="V6460" i="52"/>
  <c r="T6461" i="52"/>
  <c r="U6461" i="52"/>
  <c r="V6461" i="52"/>
  <c r="T6462" i="52"/>
  <c r="U6462" i="52"/>
  <c r="V6462" i="52"/>
  <c r="T6463" i="52"/>
  <c r="U6463" i="52"/>
  <c r="V6463" i="52"/>
  <c r="T6464" i="52"/>
  <c r="U6464" i="52"/>
  <c r="V6464" i="52"/>
  <c r="T6465" i="52"/>
  <c r="U6465" i="52"/>
  <c r="V6465" i="52"/>
  <c r="T6466" i="52"/>
  <c r="U6466" i="52"/>
  <c r="V6466" i="52"/>
  <c r="T6467" i="52"/>
  <c r="U6467" i="52"/>
  <c r="V6467" i="52"/>
  <c r="T6468" i="52"/>
  <c r="U6468" i="52"/>
  <c r="V6468" i="52"/>
  <c r="T6469" i="52"/>
  <c r="U6469" i="52"/>
  <c r="V6469" i="52"/>
  <c r="T6470" i="52"/>
  <c r="U6470" i="52"/>
  <c r="V6470" i="52"/>
  <c r="T6471" i="52"/>
  <c r="U6471" i="52"/>
  <c r="V6471" i="52"/>
  <c r="T6472" i="52"/>
  <c r="U6472" i="52"/>
  <c r="V6472" i="52"/>
  <c r="T6473" i="52"/>
  <c r="U6473" i="52"/>
  <c r="V6473" i="52"/>
  <c r="T6474" i="52"/>
  <c r="U6474" i="52"/>
  <c r="V6474" i="52"/>
  <c r="T6475" i="52"/>
  <c r="U6475" i="52"/>
  <c r="V6475" i="52"/>
  <c r="T6476" i="52"/>
  <c r="U6476" i="52"/>
  <c r="V6476" i="52"/>
  <c r="T6477" i="52"/>
  <c r="U6477" i="52"/>
  <c r="V6477" i="52"/>
  <c r="T6478" i="52"/>
  <c r="U6478" i="52"/>
  <c r="V6478" i="52"/>
  <c r="T6479" i="52"/>
  <c r="U6479" i="52"/>
  <c r="V6479" i="52"/>
  <c r="T6480" i="52"/>
  <c r="U6480" i="52"/>
  <c r="V6480" i="52"/>
  <c r="T6481" i="52"/>
  <c r="U6481" i="52"/>
  <c r="V6481" i="52"/>
  <c r="T6482" i="52"/>
  <c r="U6482" i="52"/>
  <c r="V6482" i="52"/>
  <c r="T6483" i="52"/>
  <c r="U6483" i="52"/>
  <c r="V6483" i="52"/>
  <c r="T6484" i="52"/>
  <c r="U6484" i="52"/>
  <c r="V6484" i="52"/>
  <c r="T6485" i="52"/>
  <c r="U6485" i="52"/>
  <c r="V6485" i="52"/>
  <c r="T6486" i="52"/>
  <c r="U6486" i="52"/>
  <c r="V6486" i="52"/>
  <c r="T6487" i="52"/>
  <c r="U6487" i="52"/>
  <c r="V6487" i="52"/>
  <c r="T6488" i="52"/>
  <c r="U6488" i="52"/>
  <c r="V6488" i="52"/>
  <c r="T6489" i="52"/>
  <c r="U6489" i="52"/>
  <c r="V6489" i="52"/>
  <c r="T6490" i="52"/>
  <c r="U6490" i="52"/>
  <c r="V6490" i="52"/>
  <c r="T6491" i="52"/>
  <c r="U6491" i="52"/>
  <c r="V6491" i="52"/>
  <c r="T6492" i="52"/>
  <c r="U6492" i="52"/>
  <c r="V6492" i="52"/>
  <c r="T6493" i="52"/>
  <c r="U6493" i="52"/>
  <c r="V6493" i="52"/>
  <c r="T6494" i="52"/>
  <c r="U6494" i="52"/>
  <c r="V6494" i="52"/>
  <c r="T6495" i="52"/>
  <c r="U6495" i="52"/>
  <c r="V6495" i="52"/>
  <c r="T6496" i="52"/>
  <c r="U6496" i="52"/>
  <c r="V6496" i="52"/>
  <c r="T6497" i="52"/>
  <c r="U6497" i="52"/>
  <c r="V6497" i="52"/>
  <c r="T6498" i="52"/>
  <c r="U6498" i="52"/>
  <c r="V6498" i="52"/>
  <c r="T6499" i="52"/>
  <c r="U6499" i="52"/>
  <c r="V6499" i="52"/>
  <c r="T6500" i="52"/>
  <c r="U6500" i="52"/>
  <c r="V6500" i="52"/>
  <c r="T6501" i="52"/>
  <c r="U6501" i="52"/>
  <c r="V6501" i="52"/>
  <c r="T6502" i="52"/>
  <c r="U6502" i="52"/>
  <c r="V6502" i="52"/>
  <c r="T6503" i="52"/>
  <c r="U6503" i="52"/>
  <c r="V6503" i="52"/>
  <c r="T6504" i="52"/>
  <c r="U6504" i="52"/>
  <c r="V6504" i="52"/>
  <c r="T6505" i="52"/>
  <c r="U6505" i="52"/>
  <c r="V6505" i="52"/>
  <c r="T6506" i="52"/>
  <c r="U6506" i="52"/>
  <c r="V6506" i="52"/>
  <c r="T6507" i="52"/>
  <c r="U6507" i="52"/>
  <c r="V6507" i="52"/>
  <c r="T6508" i="52"/>
  <c r="U6508" i="52"/>
  <c r="V6508" i="52"/>
  <c r="T6509" i="52"/>
  <c r="U6509" i="52"/>
  <c r="V6509" i="52"/>
  <c r="T6510" i="52"/>
  <c r="U6510" i="52"/>
  <c r="V6510" i="52"/>
  <c r="T6511" i="52"/>
  <c r="U6511" i="52"/>
  <c r="V6511" i="52"/>
  <c r="T6512" i="52"/>
  <c r="U6512" i="52"/>
  <c r="V6512" i="52"/>
  <c r="T6513" i="52"/>
  <c r="U6513" i="52"/>
  <c r="V6513" i="52"/>
  <c r="T6514" i="52"/>
  <c r="U6514" i="52"/>
  <c r="V6514" i="52"/>
  <c r="T6515" i="52"/>
  <c r="U6515" i="52"/>
  <c r="V6515" i="52"/>
  <c r="T6516" i="52"/>
  <c r="U6516" i="52"/>
  <c r="V6516" i="52"/>
  <c r="T6517" i="52"/>
  <c r="U6517" i="52"/>
  <c r="V6517" i="52"/>
  <c r="T6518" i="52"/>
  <c r="U6518" i="52"/>
  <c r="V6518" i="52"/>
  <c r="T6519" i="52"/>
  <c r="U6519" i="52"/>
  <c r="V6519" i="52"/>
  <c r="T6520" i="52"/>
  <c r="U6520" i="52"/>
  <c r="V6520" i="52"/>
  <c r="T6521" i="52"/>
  <c r="U6521" i="52"/>
  <c r="V6521" i="52"/>
  <c r="T6522" i="52"/>
  <c r="U6522" i="52"/>
  <c r="V6522" i="52"/>
  <c r="T6523" i="52"/>
  <c r="U6523" i="52"/>
  <c r="V6523" i="52"/>
  <c r="T6524" i="52"/>
  <c r="U6524" i="52"/>
  <c r="V6524" i="52"/>
  <c r="T6525" i="52"/>
  <c r="U6525" i="52"/>
  <c r="V6525" i="52"/>
  <c r="T6526" i="52"/>
  <c r="U6526" i="52"/>
  <c r="V6526" i="52"/>
  <c r="T6527" i="52"/>
  <c r="U6527" i="52"/>
  <c r="V6527" i="52"/>
  <c r="T6528" i="52"/>
  <c r="U6528" i="52"/>
  <c r="V6528" i="52"/>
  <c r="T6529" i="52"/>
  <c r="U6529" i="52"/>
  <c r="V6529" i="52"/>
  <c r="T6530" i="52"/>
  <c r="U6530" i="52"/>
  <c r="V6530" i="52"/>
  <c r="T6531" i="52"/>
  <c r="U6531" i="52"/>
  <c r="V6531" i="52"/>
  <c r="T6532" i="52"/>
  <c r="U6532" i="52"/>
  <c r="V6532" i="52"/>
  <c r="T6533" i="52"/>
  <c r="U6533" i="52"/>
  <c r="V6533" i="52"/>
  <c r="T6534" i="52"/>
  <c r="U6534" i="52"/>
  <c r="V6534" i="52"/>
  <c r="T6535" i="52"/>
  <c r="U6535" i="52"/>
  <c r="V6535" i="52"/>
  <c r="T6536" i="52"/>
  <c r="U6536" i="52"/>
  <c r="V6536" i="52"/>
  <c r="T6537" i="52"/>
  <c r="U6537" i="52"/>
  <c r="V6537" i="52"/>
  <c r="T6538" i="52"/>
  <c r="U6538" i="52"/>
  <c r="V6538" i="52"/>
  <c r="T6539" i="52"/>
  <c r="U6539" i="52"/>
  <c r="V6539" i="52"/>
  <c r="T6540" i="52"/>
  <c r="U6540" i="52"/>
  <c r="V6540" i="52"/>
  <c r="T6541" i="52"/>
  <c r="U6541" i="52"/>
  <c r="V6541" i="52"/>
  <c r="T6542" i="52"/>
  <c r="U6542" i="52"/>
  <c r="V6542" i="52"/>
  <c r="T6543" i="52"/>
  <c r="U6543" i="52"/>
  <c r="V6543" i="52"/>
  <c r="T6544" i="52"/>
  <c r="U6544" i="52"/>
  <c r="V6544" i="52"/>
  <c r="T6545" i="52"/>
  <c r="U6545" i="52"/>
  <c r="V6545" i="52"/>
  <c r="T6546" i="52"/>
  <c r="U6546" i="52"/>
  <c r="V6546" i="52"/>
  <c r="T6547" i="52"/>
  <c r="U6547" i="52"/>
  <c r="V6547" i="52"/>
  <c r="T6548" i="52"/>
  <c r="U6548" i="52"/>
  <c r="V6548" i="52"/>
  <c r="T6549" i="52"/>
  <c r="U6549" i="52"/>
  <c r="V6549" i="52"/>
  <c r="T6550" i="52"/>
  <c r="U6550" i="52"/>
  <c r="V6550" i="52"/>
  <c r="T6551" i="52"/>
  <c r="U6551" i="52"/>
  <c r="V6551" i="52"/>
  <c r="T6552" i="52"/>
  <c r="U6552" i="52"/>
  <c r="V6552" i="52"/>
  <c r="T6553" i="52"/>
  <c r="U6553" i="52"/>
  <c r="V6553" i="52"/>
  <c r="T6554" i="52"/>
  <c r="U6554" i="52"/>
  <c r="V6554" i="52"/>
  <c r="T6555" i="52"/>
  <c r="U6555" i="52"/>
  <c r="V6555" i="52"/>
  <c r="T6556" i="52"/>
  <c r="U6556" i="52"/>
  <c r="V6556" i="52"/>
  <c r="T6557" i="52"/>
  <c r="U6557" i="52"/>
  <c r="V6557" i="52"/>
  <c r="T6558" i="52"/>
  <c r="U6558" i="52"/>
  <c r="V6558" i="52"/>
  <c r="T6559" i="52"/>
  <c r="U6559" i="52"/>
  <c r="V6559" i="52"/>
  <c r="T6560" i="52"/>
  <c r="U6560" i="52"/>
  <c r="V6560" i="52"/>
  <c r="T6561" i="52"/>
  <c r="U6561" i="52"/>
  <c r="V6561" i="52"/>
  <c r="T6562" i="52"/>
  <c r="U6562" i="52"/>
  <c r="V6562" i="52"/>
  <c r="T6563" i="52"/>
  <c r="U6563" i="52"/>
  <c r="V6563" i="52"/>
  <c r="T6564" i="52"/>
  <c r="U6564" i="52"/>
  <c r="V6564" i="52"/>
  <c r="T6565" i="52"/>
  <c r="U6565" i="52"/>
  <c r="V6565" i="52"/>
  <c r="T6566" i="52"/>
  <c r="U6566" i="52"/>
  <c r="V6566" i="52"/>
  <c r="T6567" i="52"/>
  <c r="U6567" i="52"/>
  <c r="V6567" i="52"/>
  <c r="T6568" i="52"/>
  <c r="U6568" i="52"/>
  <c r="V6568" i="52"/>
  <c r="T6569" i="52"/>
  <c r="U6569" i="52"/>
  <c r="V6569" i="52"/>
  <c r="T6570" i="52"/>
  <c r="U6570" i="52"/>
  <c r="V6570" i="52"/>
  <c r="T6571" i="52"/>
  <c r="U6571" i="52"/>
  <c r="V6571" i="52"/>
  <c r="T6572" i="52"/>
  <c r="U6572" i="52"/>
  <c r="V6572" i="52"/>
  <c r="T6573" i="52"/>
  <c r="U6573" i="52"/>
  <c r="V6573" i="52"/>
  <c r="T6574" i="52"/>
  <c r="U6574" i="52"/>
  <c r="V6574" i="52"/>
  <c r="T6575" i="52"/>
  <c r="U6575" i="52"/>
  <c r="V6575" i="52"/>
  <c r="T6576" i="52"/>
  <c r="U6576" i="52"/>
  <c r="V6576" i="52"/>
  <c r="T6577" i="52"/>
  <c r="U6577" i="52"/>
  <c r="V6577" i="52"/>
  <c r="T6578" i="52"/>
  <c r="U6578" i="52"/>
  <c r="V6578" i="52"/>
  <c r="T6579" i="52"/>
  <c r="U6579" i="52"/>
  <c r="V6579" i="52"/>
  <c r="T6580" i="52"/>
  <c r="U6580" i="52"/>
  <c r="V6580" i="52"/>
  <c r="T6581" i="52"/>
  <c r="U6581" i="52"/>
  <c r="V6581" i="52"/>
  <c r="T6582" i="52"/>
  <c r="U6582" i="52"/>
  <c r="V6582" i="52"/>
  <c r="T6583" i="52"/>
  <c r="U6583" i="52"/>
  <c r="V6583" i="52"/>
  <c r="T6584" i="52"/>
  <c r="U6584" i="52"/>
  <c r="V6584" i="52"/>
  <c r="T6585" i="52"/>
  <c r="U6585" i="52"/>
  <c r="V6585" i="52"/>
  <c r="T6586" i="52"/>
  <c r="U6586" i="52"/>
  <c r="V6586" i="52"/>
  <c r="T6587" i="52"/>
  <c r="U6587" i="52"/>
  <c r="V6587" i="52"/>
  <c r="T6588" i="52"/>
  <c r="U6588" i="52"/>
  <c r="V6588" i="52"/>
  <c r="T6589" i="52"/>
  <c r="U6589" i="52"/>
  <c r="V6589" i="52"/>
  <c r="T6590" i="52"/>
  <c r="U6590" i="52"/>
  <c r="V6590" i="52"/>
  <c r="T6591" i="52"/>
  <c r="U6591" i="52"/>
  <c r="V6591" i="52"/>
  <c r="T6592" i="52"/>
  <c r="U6592" i="52"/>
  <c r="V6592" i="52"/>
  <c r="T6593" i="52"/>
  <c r="U6593" i="52"/>
  <c r="V6593" i="52"/>
  <c r="T6594" i="52"/>
  <c r="U6594" i="52"/>
  <c r="V6594" i="52"/>
  <c r="T6595" i="52"/>
  <c r="U6595" i="52"/>
  <c r="V6595" i="52"/>
  <c r="T6596" i="52"/>
  <c r="U6596" i="52"/>
  <c r="V6596" i="52"/>
  <c r="T6597" i="52"/>
  <c r="U6597" i="52"/>
  <c r="V6597" i="52"/>
  <c r="T6598" i="52"/>
  <c r="U6598" i="52"/>
  <c r="V6598" i="52"/>
  <c r="T6599" i="52"/>
  <c r="U6599" i="52"/>
  <c r="V6599" i="52"/>
  <c r="T6600" i="52"/>
  <c r="U6600" i="52"/>
  <c r="V6600" i="52"/>
  <c r="T6601" i="52"/>
  <c r="U6601" i="52"/>
  <c r="V6601" i="52"/>
  <c r="T6602" i="52"/>
  <c r="U6602" i="52"/>
  <c r="V6602" i="52"/>
  <c r="T6603" i="52"/>
  <c r="U6603" i="52"/>
  <c r="V6603" i="52"/>
  <c r="T6604" i="52"/>
  <c r="U6604" i="52"/>
  <c r="V6604" i="52"/>
  <c r="T6605" i="52"/>
  <c r="U6605" i="52"/>
  <c r="V6605" i="52"/>
  <c r="T6606" i="52"/>
  <c r="U6606" i="52"/>
  <c r="V6606" i="52"/>
  <c r="T6607" i="52"/>
  <c r="U6607" i="52"/>
  <c r="V6607" i="52"/>
  <c r="T6608" i="52"/>
  <c r="U6608" i="52"/>
  <c r="V6608" i="52"/>
  <c r="T6609" i="52"/>
  <c r="U6609" i="52"/>
  <c r="V6609" i="52"/>
  <c r="T6610" i="52"/>
  <c r="U6610" i="52"/>
  <c r="V6610" i="52"/>
  <c r="T6611" i="52"/>
  <c r="U6611" i="52"/>
  <c r="V6611" i="52"/>
  <c r="T6612" i="52"/>
  <c r="U6612" i="52"/>
  <c r="V6612" i="52"/>
  <c r="T6613" i="52"/>
  <c r="U6613" i="52"/>
  <c r="V6613" i="52"/>
  <c r="T6614" i="52"/>
  <c r="U6614" i="52"/>
  <c r="V6614" i="52"/>
  <c r="T6615" i="52"/>
  <c r="U6615" i="52"/>
  <c r="V6615" i="52"/>
  <c r="T6616" i="52"/>
  <c r="U6616" i="52"/>
  <c r="V6616" i="52"/>
  <c r="T6617" i="52"/>
  <c r="U6617" i="52"/>
  <c r="V6617" i="52"/>
  <c r="T6618" i="52"/>
  <c r="U6618" i="52"/>
  <c r="V6618" i="52"/>
  <c r="T6619" i="52"/>
  <c r="U6619" i="52"/>
  <c r="V6619" i="52"/>
  <c r="T6620" i="52"/>
  <c r="U6620" i="52"/>
  <c r="V6620" i="52"/>
  <c r="T6621" i="52"/>
  <c r="U6621" i="52"/>
  <c r="V6621" i="52"/>
  <c r="T6622" i="52"/>
  <c r="U6622" i="52"/>
  <c r="V6622" i="52"/>
  <c r="T6623" i="52"/>
  <c r="U6623" i="52"/>
  <c r="V6623" i="52"/>
  <c r="T6624" i="52"/>
  <c r="U6624" i="52"/>
  <c r="V6624" i="52"/>
  <c r="T6625" i="52"/>
  <c r="U6625" i="52"/>
  <c r="V6625" i="52"/>
  <c r="T6626" i="52"/>
  <c r="U6626" i="52"/>
  <c r="V6626" i="52"/>
  <c r="T6627" i="52"/>
  <c r="U6627" i="52"/>
  <c r="V6627" i="52"/>
  <c r="T6628" i="52"/>
  <c r="U6628" i="52"/>
  <c r="V6628" i="52"/>
  <c r="T6629" i="52"/>
  <c r="U6629" i="52"/>
  <c r="V6629" i="52"/>
  <c r="T6630" i="52"/>
  <c r="U6630" i="52"/>
  <c r="V6630" i="52"/>
  <c r="T6631" i="52"/>
  <c r="U6631" i="52"/>
  <c r="V6631" i="52"/>
  <c r="T6632" i="52"/>
  <c r="U6632" i="52"/>
  <c r="V6632" i="52"/>
  <c r="T6633" i="52"/>
  <c r="U6633" i="52"/>
  <c r="V6633" i="52"/>
  <c r="T6634" i="52"/>
  <c r="U6634" i="52"/>
  <c r="V6634" i="52"/>
  <c r="T6635" i="52"/>
  <c r="U6635" i="52"/>
  <c r="V6635" i="52"/>
  <c r="T6636" i="52"/>
  <c r="U6636" i="52"/>
  <c r="V6636" i="52"/>
  <c r="T6637" i="52"/>
  <c r="U6637" i="52"/>
  <c r="V6637" i="52"/>
  <c r="T6638" i="52"/>
  <c r="U6638" i="52"/>
  <c r="V6638" i="52"/>
  <c r="T6639" i="52"/>
  <c r="U6639" i="52"/>
  <c r="V6639" i="52"/>
  <c r="T6640" i="52"/>
  <c r="U6640" i="52"/>
  <c r="V6640" i="52"/>
  <c r="T6641" i="52"/>
  <c r="U6641" i="52"/>
  <c r="V6641" i="52"/>
  <c r="T6642" i="52"/>
  <c r="U6642" i="52"/>
  <c r="V6642" i="52"/>
  <c r="T6643" i="52"/>
  <c r="U6643" i="52"/>
  <c r="V6643" i="52"/>
  <c r="T6644" i="52"/>
  <c r="U6644" i="52"/>
  <c r="V6644" i="52"/>
  <c r="T6645" i="52"/>
  <c r="U6645" i="52"/>
  <c r="V6645" i="52"/>
  <c r="T6646" i="52"/>
  <c r="U6646" i="52"/>
  <c r="V6646" i="52"/>
  <c r="T6647" i="52"/>
  <c r="U6647" i="52"/>
  <c r="V6647" i="52"/>
  <c r="T6648" i="52"/>
  <c r="U6648" i="52"/>
  <c r="V6648" i="52"/>
  <c r="T6649" i="52"/>
  <c r="U6649" i="52"/>
  <c r="V6649" i="52"/>
  <c r="T6650" i="52"/>
  <c r="U6650" i="52"/>
  <c r="V6650" i="52"/>
  <c r="T6651" i="52"/>
  <c r="U6651" i="52"/>
  <c r="V6651" i="52"/>
  <c r="T6652" i="52"/>
  <c r="U6652" i="52"/>
  <c r="V6652" i="52"/>
  <c r="T6653" i="52"/>
  <c r="U6653" i="52"/>
  <c r="V6653" i="52"/>
  <c r="T6654" i="52"/>
  <c r="U6654" i="52"/>
  <c r="V6654" i="52"/>
  <c r="T6655" i="52"/>
  <c r="U6655" i="52"/>
  <c r="V6655" i="52"/>
  <c r="T6656" i="52"/>
  <c r="U6656" i="52"/>
  <c r="V6656" i="52"/>
  <c r="T6657" i="52"/>
  <c r="U6657" i="52"/>
  <c r="V6657" i="52"/>
  <c r="T6658" i="52"/>
  <c r="U6658" i="52"/>
  <c r="V6658" i="52"/>
  <c r="T6659" i="52"/>
  <c r="U6659" i="52"/>
  <c r="V6659" i="52"/>
  <c r="T6660" i="52"/>
  <c r="U6660" i="52"/>
  <c r="V6660" i="52"/>
  <c r="T6661" i="52"/>
  <c r="U6661" i="52"/>
  <c r="V6661" i="52"/>
  <c r="T6662" i="52"/>
  <c r="U6662" i="52"/>
  <c r="V6662" i="52"/>
  <c r="T6663" i="52"/>
  <c r="U6663" i="52"/>
  <c r="V6663" i="52"/>
  <c r="T6664" i="52"/>
  <c r="U6664" i="52"/>
  <c r="V6664" i="52"/>
  <c r="T6665" i="52"/>
  <c r="U6665" i="52"/>
  <c r="V6665" i="52"/>
  <c r="T6666" i="52"/>
  <c r="U6666" i="52"/>
  <c r="V6666" i="52"/>
  <c r="T6667" i="52"/>
  <c r="U6667" i="52"/>
  <c r="V6667" i="52"/>
  <c r="T6668" i="52"/>
  <c r="U6668" i="52"/>
  <c r="V6668" i="52"/>
  <c r="T6669" i="52"/>
  <c r="U6669" i="52"/>
  <c r="V6669" i="52"/>
  <c r="T6670" i="52"/>
  <c r="U6670" i="52"/>
  <c r="V6670" i="52"/>
  <c r="T6671" i="52"/>
  <c r="U6671" i="52"/>
  <c r="V6671" i="52"/>
  <c r="T6672" i="52"/>
  <c r="U6672" i="52"/>
  <c r="V6672" i="52"/>
  <c r="T6673" i="52"/>
  <c r="U6673" i="52"/>
  <c r="V6673" i="52"/>
  <c r="T6674" i="52"/>
  <c r="U6674" i="52"/>
  <c r="V6674" i="52"/>
  <c r="T6675" i="52"/>
  <c r="U6675" i="52"/>
  <c r="V6675" i="52"/>
  <c r="T6676" i="52"/>
  <c r="U6676" i="52"/>
  <c r="V6676" i="52"/>
  <c r="T6677" i="52"/>
  <c r="U6677" i="52"/>
  <c r="V6677" i="52"/>
  <c r="T6678" i="52"/>
  <c r="U6678" i="52"/>
  <c r="V6678" i="52"/>
  <c r="T6679" i="52"/>
  <c r="U6679" i="52"/>
  <c r="V6679" i="52"/>
  <c r="T6680" i="52"/>
  <c r="U6680" i="52"/>
  <c r="V6680" i="52"/>
  <c r="T6681" i="52"/>
  <c r="U6681" i="52"/>
  <c r="V6681" i="52"/>
  <c r="T6682" i="52"/>
  <c r="U6682" i="52"/>
  <c r="V6682" i="52"/>
  <c r="T6683" i="52"/>
  <c r="U6683" i="52"/>
  <c r="V6683" i="52"/>
  <c r="T6684" i="52"/>
  <c r="U6684" i="52"/>
  <c r="V6684" i="52"/>
  <c r="T6685" i="52"/>
  <c r="U6685" i="52"/>
  <c r="V6685" i="52"/>
  <c r="T6686" i="52"/>
  <c r="U6686" i="52"/>
  <c r="V6686" i="52"/>
  <c r="T6687" i="52"/>
  <c r="U6687" i="52"/>
  <c r="V6687" i="52"/>
  <c r="T6688" i="52"/>
  <c r="U6688" i="52"/>
  <c r="V6688" i="52"/>
  <c r="T6689" i="52"/>
  <c r="U6689" i="52"/>
  <c r="V6689" i="52"/>
  <c r="T6690" i="52"/>
  <c r="U6690" i="52"/>
  <c r="V6690" i="52"/>
  <c r="T6691" i="52"/>
  <c r="U6691" i="52"/>
  <c r="V6691" i="52"/>
  <c r="T6692" i="52"/>
  <c r="U6692" i="52"/>
  <c r="V6692" i="52"/>
  <c r="T6693" i="52"/>
  <c r="U6693" i="52"/>
  <c r="V6693" i="52"/>
  <c r="T6694" i="52"/>
  <c r="U6694" i="52"/>
  <c r="V6694" i="52"/>
  <c r="T6695" i="52"/>
  <c r="U6695" i="52"/>
  <c r="V6695" i="52"/>
  <c r="T6696" i="52"/>
  <c r="U6696" i="52"/>
  <c r="V6696" i="52"/>
  <c r="T6697" i="52"/>
  <c r="U6697" i="52"/>
  <c r="V6697" i="52"/>
  <c r="T6698" i="52"/>
  <c r="U6698" i="52"/>
  <c r="V6698" i="52"/>
  <c r="T6699" i="52"/>
  <c r="U6699" i="52"/>
  <c r="V6699" i="52"/>
  <c r="T6700" i="52"/>
  <c r="U6700" i="52"/>
  <c r="V6700" i="52"/>
  <c r="T6701" i="52"/>
  <c r="U6701" i="52"/>
  <c r="V6701" i="52"/>
  <c r="T6702" i="52"/>
  <c r="U6702" i="52"/>
  <c r="V6702" i="52"/>
  <c r="T6703" i="52"/>
  <c r="U6703" i="52"/>
  <c r="V6703" i="52"/>
  <c r="T6704" i="52"/>
  <c r="U6704" i="52"/>
  <c r="V6704" i="52"/>
  <c r="T6705" i="52"/>
  <c r="U6705" i="52"/>
  <c r="V6705" i="52"/>
  <c r="T6706" i="52"/>
  <c r="U6706" i="52"/>
  <c r="V6706" i="52"/>
  <c r="T6707" i="52"/>
  <c r="U6707" i="52"/>
  <c r="V6707" i="52"/>
  <c r="T6708" i="52"/>
  <c r="U6708" i="52"/>
  <c r="V6708" i="52"/>
  <c r="T6709" i="52"/>
  <c r="U6709" i="52"/>
  <c r="V6709" i="52"/>
  <c r="T6710" i="52"/>
  <c r="U6710" i="52"/>
  <c r="V6710" i="52"/>
  <c r="T6711" i="52"/>
  <c r="U6711" i="52"/>
  <c r="V6711" i="52"/>
  <c r="T6712" i="52"/>
  <c r="U6712" i="52"/>
  <c r="V6712" i="52"/>
  <c r="T6713" i="52"/>
  <c r="U6713" i="52"/>
  <c r="V6713" i="52"/>
  <c r="T6714" i="52"/>
  <c r="U6714" i="52"/>
  <c r="V6714" i="52"/>
  <c r="T6715" i="52"/>
  <c r="U6715" i="52"/>
  <c r="V6715" i="52"/>
  <c r="T6716" i="52"/>
  <c r="U6716" i="52"/>
  <c r="V6716" i="52"/>
  <c r="T6717" i="52"/>
  <c r="U6717" i="52"/>
  <c r="V6717" i="52"/>
  <c r="T6718" i="52"/>
  <c r="U6718" i="52"/>
  <c r="V6718" i="52"/>
  <c r="T6719" i="52"/>
  <c r="U6719" i="52"/>
  <c r="V6719" i="52"/>
  <c r="T6720" i="52"/>
  <c r="U6720" i="52"/>
  <c r="V6720" i="52"/>
  <c r="T6721" i="52"/>
  <c r="U6721" i="52"/>
  <c r="V6721" i="52"/>
  <c r="T6722" i="52"/>
  <c r="U6722" i="52"/>
  <c r="V6722" i="52"/>
  <c r="T6723" i="52"/>
  <c r="U6723" i="52"/>
  <c r="V6723" i="52"/>
  <c r="T6724" i="52"/>
  <c r="U6724" i="52"/>
  <c r="V6724" i="52"/>
  <c r="T6725" i="52"/>
  <c r="U6725" i="52"/>
  <c r="V6725" i="52"/>
  <c r="T6726" i="52"/>
  <c r="U6726" i="52"/>
  <c r="V6726" i="52"/>
  <c r="T6727" i="52"/>
  <c r="U6727" i="52"/>
  <c r="V6727" i="52"/>
  <c r="T6728" i="52"/>
  <c r="U6728" i="52"/>
  <c r="V6728" i="52"/>
  <c r="T6729" i="52"/>
  <c r="U6729" i="52"/>
  <c r="V6729" i="52"/>
  <c r="T6730" i="52"/>
  <c r="U6730" i="52"/>
  <c r="V6730" i="52"/>
  <c r="T6731" i="52"/>
  <c r="U6731" i="52"/>
  <c r="V6731" i="52"/>
  <c r="T6732" i="52"/>
  <c r="U6732" i="52"/>
  <c r="V6732" i="52"/>
  <c r="T6733" i="52"/>
  <c r="U6733" i="52"/>
  <c r="V6733" i="52"/>
  <c r="T6734" i="52"/>
  <c r="U6734" i="52"/>
  <c r="V6734" i="52"/>
  <c r="T6735" i="52"/>
  <c r="U6735" i="52"/>
  <c r="V6735" i="52"/>
  <c r="T6736" i="52"/>
  <c r="U6736" i="52"/>
  <c r="V6736" i="52"/>
  <c r="T6737" i="52"/>
  <c r="U6737" i="52"/>
  <c r="V6737" i="52"/>
  <c r="T6738" i="52"/>
  <c r="U6738" i="52"/>
  <c r="V6738" i="52"/>
  <c r="T6739" i="52"/>
  <c r="U6739" i="52"/>
  <c r="V6739" i="52"/>
  <c r="T6740" i="52"/>
  <c r="U6740" i="52"/>
  <c r="V6740" i="52"/>
  <c r="T6741" i="52"/>
  <c r="U6741" i="52"/>
  <c r="V6741" i="52"/>
  <c r="T6742" i="52"/>
  <c r="U6742" i="52"/>
  <c r="V6742" i="52"/>
  <c r="T6743" i="52"/>
  <c r="U6743" i="52"/>
  <c r="V6743" i="52"/>
  <c r="T6744" i="52"/>
  <c r="U6744" i="52"/>
  <c r="V6744" i="52"/>
  <c r="T6745" i="52"/>
  <c r="U6745" i="52"/>
  <c r="V6745" i="52"/>
  <c r="T6746" i="52"/>
  <c r="U6746" i="52"/>
  <c r="V6746" i="52"/>
  <c r="T6747" i="52"/>
  <c r="U6747" i="52"/>
  <c r="V6747" i="52"/>
  <c r="T6748" i="52"/>
  <c r="U6748" i="52"/>
  <c r="V6748" i="52"/>
  <c r="T6749" i="52"/>
  <c r="U6749" i="52"/>
  <c r="V6749" i="52"/>
  <c r="T6750" i="52"/>
  <c r="U6750" i="52"/>
  <c r="V6750" i="52"/>
  <c r="T6751" i="52"/>
  <c r="U6751" i="52"/>
  <c r="V6751" i="52"/>
  <c r="T6752" i="52"/>
  <c r="U6752" i="52"/>
  <c r="V6752" i="52"/>
  <c r="T6753" i="52"/>
  <c r="U6753" i="52"/>
  <c r="V6753" i="52"/>
  <c r="T6754" i="52"/>
  <c r="U6754" i="52"/>
  <c r="V6754" i="52"/>
  <c r="T6755" i="52"/>
  <c r="U6755" i="52"/>
  <c r="V6755" i="52"/>
  <c r="T6756" i="52"/>
  <c r="U6756" i="52"/>
  <c r="V6756" i="52"/>
  <c r="T6757" i="52"/>
  <c r="U6757" i="52"/>
  <c r="V6757" i="52"/>
  <c r="T6758" i="52"/>
  <c r="U6758" i="52"/>
  <c r="V6758" i="52"/>
  <c r="T6759" i="52"/>
  <c r="U6759" i="52"/>
  <c r="V6759" i="52"/>
  <c r="T6760" i="52"/>
  <c r="U6760" i="52"/>
  <c r="V6760" i="52"/>
  <c r="T6761" i="52"/>
  <c r="U6761" i="52"/>
  <c r="V6761" i="52"/>
  <c r="T6762" i="52"/>
  <c r="U6762" i="52"/>
  <c r="V6762" i="52"/>
  <c r="T6763" i="52"/>
  <c r="U6763" i="52"/>
  <c r="V6763" i="52"/>
  <c r="T6764" i="52"/>
  <c r="U6764" i="52"/>
  <c r="V6764" i="52"/>
  <c r="T6765" i="52"/>
  <c r="U6765" i="52"/>
  <c r="V6765" i="52"/>
  <c r="T6766" i="52"/>
  <c r="U6766" i="52"/>
  <c r="V6766" i="52"/>
  <c r="T6767" i="52"/>
  <c r="U6767" i="52"/>
  <c r="V6767" i="52"/>
  <c r="T6768" i="52"/>
  <c r="U6768" i="52"/>
  <c r="V6768" i="52"/>
  <c r="T6769" i="52"/>
  <c r="U6769" i="52"/>
  <c r="V6769" i="52"/>
  <c r="T6770" i="52"/>
  <c r="U6770" i="52"/>
  <c r="V6770" i="52"/>
  <c r="T6771" i="52"/>
  <c r="U6771" i="52"/>
  <c r="V6771" i="52"/>
  <c r="T6772" i="52"/>
  <c r="U6772" i="52"/>
  <c r="V6772" i="52"/>
  <c r="T6773" i="52"/>
  <c r="U6773" i="52"/>
  <c r="V6773" i="52"/>
  <c r="T6774" i="52"/>
  <c r="U6774" i="52"/>
  <c r="V6774" i="52"/>
  <c r="T6775" i="52"/>
  <c r="U6775" i="52"/>
  <c r="V6775" i="52"/>
  <c r="T6776" i="52"/>
  <c r="U6776" i="52"/>
  <c r="V6776" i="52"/>
  <c r="T6777" i="52"/>
  <c r="U6777" i="52"/>
  <c r="V6777" i="52"/>
  <c r="T6778" i="52"/>
  <c r="U6778" i="52"/>
  <c r="V6778" i="52"/>
  <c r="T6779" i="52"/>
  <c r="U6779" i="52"/>
  <c r="V6779" i="52"/>
  <c r="T6780" i="52"/>
  <c r="U6780" i="52"/>
  <c r="V6780" i="52"/>
  <c r="T6781" i="52"/>
  <c r="U6781" i="52"/>
  <c r="V6781" i="52"/>
  <c r="T6782" i="52"/>
  <c r="U6782" i="52"/>
  <c r="V6782" i="52"/>
  <c r="T6783" i="52"/>
  <c r="U6783" i="52"/>
  <c r="V6783" i="52"/>
  <c r="T6784" i="52"/>
  <c r="U6784" i="52"/>
  <c r="V6784" i="52"/>
  <c r="T6785" i="52"/>
  <c r="U6785" i="52"/>
  <c r="V6785" i="52"/>
  <c r="T6786" i="52"/>
  <c r="U6786" i="52"/>
  <c r="V6786" i="52"/>
  <c r="T6787" i="52"/>
  <c r="U6787" i="52"/>
  <c r="V6787" i="52"/>
  <c r="T6788" i="52"/>
  <c r="U6788" i="52"/>
  <c r="V6788" i="52"/>
  <c r="T6789" i="52"/>
  <c r="U6789" i="52"/>
  <c r="V6789" i="52"/>
  <c r="T6790" i="52"/>
  <c r="U6790" i="52"/>
  <c r="V6790" i="52"/>
  <c r="T6791" i="52"/>
  <c r="U6791" i="52"/>
  <c r="V6791" i="52"/>
  <c r="T6792" i="52"/>
  <c r="U6792" i="52"/>
  <c r="V6792" i="52"/>
  <c r="T6793" i="52"/>
  <c r="U6793" i="52"/>
  <c r="V6793" i="52"/>
  <c r="T6794" i="52"/>
  <c r="U6794" i="52"/>
  <c r="V6794" i="52"/>
  <c r="T6795" i="52"/>
  <c r="U6795" i="52"/>
  <c r="V6795" i="52"/>
  <c r="T6796" i="52"/>
  <c r="U6796" i="52"/>
  <c r="V6796" i="52"/>
  <c r="T6797" i="52"/>
  <c r="U6797" i="52"/>
  <c r="V6797" i="52"/>
  <c r="T6798" i="52"/>
  <c r="U6798" i="52"/>
  <c r="V6798" i="52"/>
  <c r="T656" i="52"/>
  <c r="U656" i="52"/>
  <c r="V656" i="52"/>
  <c r="T657" i="52"/>
  <c r="U657" i="52"/>
  <c r="V657" i="52"/>
  <c r="T658" i="52"/>
  <c r="U658" i="52"/>
  <c r="V658" i="52"/>
  <c r="T659" i="52"/>
  <c r="U659" i="52"/>
  <c r="V659" i="52"/>
  <c r="T660" i="52"/>
  <c r="U660" i="52"/>
  <c r="V660" i="52"/>
  <c r="T661" i="52"/>
  <c r="U661" i="52"/>
  <c r="V661" i="52"/>
  <c r="T662" i="52"/>
  <c r="U662" i="52"/>
  <c r="V662" i="52"/>
  <c r="T663" i="52"/>
  <c r="U663" i="52"/>
  <c r="V663" i="52"/>
  <c r="T664" i="52"/>
  <c r="U664" i="52"/>
  <c r="V664" i="52"/>
  <c r="T665" i="52"/>
  <c r="U665" i="52"/>
  <c r="V665" i="52"/>
  <c r="T666" i="52"/>
  <c r="U666" i="52"/>
  <c r="V666" i="52"/>
  <c r="T667" i="52"/>
  <c r="U667" i="52"/>
  <c r="V667" i="52"/>
  <c r="T668" i="52"/>
  <c r="U668" i="52"/>
  <c r="V668" i="52"/>
  <c r="T669" i="52"/>
  <c r="U669" i="52"/>
  <c r="V669" i="52"/>
  <c r="T670" i="52"/>
  <c r="U670" i="52"/>
  <c r="V670" i="52"/>
  <c r="T671" i="52"/>
  <c r="U671" i="52"/>
  <c r="V671" i="52"/>
  <c r="T672" i="52"/>
  <c r="U672" i="52"/>
  <c r="V672" i="52"/>
  <c r="T673" i="52"/>
  <c r="U673" i="52"/>
  <c r="V673" i="52"/>
  <c r="T674" i="52"/>
  <c r="U674" i="52"/>
  <c r="V674" i="52"/>
  <c r="T675" i="52"/>
  <c r="U675" i="52"/>
  <c r="V675" i="52"/>
  <c r="T676" i="52"/>
  <c r="U676" i="52"/>
  <c r="V676" i="52"/>
  <c r="T677" i="52"/>
  <c r="U677" i="52"/>
  <c r="V677" i="52"/>
  <c r="T678" i="52"/>
  <c r="U678" i="52"/>
  <c r="V678" i="52"/>
  <c r="T679" i="52"/>
  <c r="U679" i="52"/>
  <c r="V679" i="52"/>
  <c r="T680" i="52"/>
  <c r="U680" i="52"/>
  <c r="V680" i="52"/>
  <c r="T681" i="52"/>
  <c r="U681" i="52"/>
  <c r="V681" i="52"/>
  <c r="T682" i="52"/>
  <c r="U682" i="52"/>
  <c r="V682" i="52"/>
  <c r="T683" i="52"/>
  <c r="U683" i="52"/>
  <c r="V683" i="52"/>
  <c r="T684" i="52"/>
  <c r="U684" i="52"/>
  <c r="V684" i="52"/>
  <c r="T685" i="52"/>
  <c r="U685" i="52"/>
  <c r="V685" i="52"/>
  <c r="T686" i="52"/>
  <c r="U686" i="52"/>
  <c r="V686" i="52"/>
  <c r="T687" i="52"/>
  <c r="U687" i="52"/>
  <c r="V687" i="52"/>
  <c r="T688" i="52"/>
  <c r="U688" i="52"/>
  <c r="V688" i="52"/>
  <c r="T689" i="52"/>
  <c r="U689" i="52"/>
  <c r="V689" i="52"/>
  <c r="T690" i="52"/>
  <c r="U690" i="52"/>
  <c r="V690" i="52"/>
  <c r="T691" i="52"/>
  <c r="U691" i="52"/>
  <c r="V691" i="52"/>
  <c r="T692" i="52"/>
  <c r="U692" i="52"/>
  <c r="V692" i="52"/>
  <c r="T693" i="52"/>
  <c r="U693" i="52"/>
  <c r="V693" i="52"/>
  <c r="T694" i="52"/>
  <c r="U694" i="52"/>
  <c r="V694" i="52"/>
  <c r="T695" i="52"/>
  <c r="U695" i="52"/>
  <c r="V695" i="52"/>
  <c r="T696" i="52"/>
  <c r="U696" i="52"/>
  <c r="V696" i="52"/>
  <c r="T697" i="52"/>
  <c r="U697" i="52"/>
  <c r="V697" i="52"/>
  <c r="T698" i="52"/>
  <c r="U698" i="52"/>
  <c r="V698" i="52"/>
  <c r="T699" i="52"/>
  <c r="U699" i="52"/>
  <c r="V699" i="52"/>
  <c r="T700" i="52"/>
  <c r="U700" i="52"/>
  <c r="V700" i="52"/>
  <c r="T701" i="52"/>
  <c r="U701" i="52"/>
  <c r="V701" i="52"/>
  <c r="T702" i="52"/>
  <c r="U702" i="52"/>
  <c r="V702" i="52"/>
  <c r="T703" i="52"/>
  <c r="U703" i="52"/>
  <c r="V703" i="52"/>
  <c r="T704" i="52"/>
  <c r="U704" i="52"/>
  <c r="V704" i="52"/>
  <c r="T705" i="52"/>
  <c r="U705" i="52"/>
  <c r="V705" i="52"/>
  <c r="T706" i="52"/>
  <c r="U706" i="52"/>
  <c r="V706" i="52"/>
  <c r="T707" i="52"/>
  <c r="U707" i="52"/>
  <c r="V707" i="52"/>
  <c r="T708" i="52"/>
  <c r="U708" i="52"/>
  <c r="V708" i="52"/>
  <c r="T709" i="52"/>
  <c r="U709" i="52"/>
  <c r="V709" i="52"/>
  <c r="T710" i="52"/>
  <c r="U710" i="52"/>
  <c r="V710" i="52"/>
  <c r="T711" i="52"/>
  <c r="U711" i="52"/>
  <c r="V711" i="52"/>
  <c r="T712" i="52"/>
  <c r="U712" i="52"/>
  <c r="V712" i="52"/>
  <c r="T713" i="52"/>
  <c r="U713" i="52"/>
  <c r="V713" i="52"/>
  <c r="T714" i="52"/>
  <c r="U714" i="52"/>
  <c r="V714" i="52"/>
  <c r="T715" i="52"/>
  <c r="U715" i="52"/>
  <c r="V715" i="52"/>
  <c r="T716" i="52"/>
  <c r="U716" i="52"/>
  <c r="V716" i="52"/>
  <c r="T717" i="52"/>
  <c r="U717" i="52"/>
  <c r="V717" i="52"/>
  <c r="T718" i="52"/>
  <c r="U718" i="52"/>
  <c r="V718" i="52"/>
  <c r="T719" i="52"/>
  <c r="U719" i="52"/>
  <c r="V719" i="52"/>
  <c r="T720" i="52"/>
  <c r="U720" i="52"/>
  <c r="V720" i="52"/>
  <c r="T721" i="52"/>
  <c r="U721" i="52"/>
  <c r="V721" i="52"/>
  <c r="T722" i="52"/>
  <c r="U722" i="52"/>
  <c r="V722" i="52"/>
  <c r="T723" i="52"/>
  <c r="U723" i="52"/>
  <c r="V723" i="52"/>
  <c r="T724" i="52"/>
  <c r="U724" i="52"/>
  <c r="V724" i="52"/>
  <c r="T725" i="52"/>
  <c r="U725" i="52"/>
  <c r="V725" i="52"/>
  <c r="T726" i="52"/>
  <c r="U726" i="52"/>
  <c r="V726" i="52"/>
  <c r="T727" i="52"/>
  <c r="U727" i="52"/>
  <c r="V727" i="52"/>
  <c r="T728" i="52"/>
  <c r="U728" i="52"/>
  <c r="V728" i="52"/>
  <c r="T729" i="52"/>
  <c r="U729" i="52"/>
  <c r="V729" i="52"/>
  <c r="T730" i="52"/>
  <c r="U730" i="52"/>
  <c r="V730" i="52"/>
  <c r="T731" i="52"/>
  <c r="U731" i="52"/>
  <c r="V731" i="52"/>
  <c r="T732" i="52"/>
  <c r="U732" i="52"/>
  <c r="V732" i="52"/>
  <c r="T733" i="52"/>
  <c r="U733" i="52"/>
  <c r="V733" i="52"/>
  <c r="T734" i="52"/>
  <c r="U734" i="52"/>
  <c r="V734" i="52"/>
  <c r="T735" i="52"/>
  <c r="U735" i="52"/>
  <c r="V735" i="52"/>
  <c r="T736" i="52"/>
  <c r="U736" i="52"/>
  <c r="V736" i="52"/>
  <c r="T737" i="52"/>
  <c r="U737" i="52"/>
  <c r="V737" i="52"/>
  <c r="T738" i="52"/>
  <c r="U738" i="52"/>
  <c r="V738" i="52"/>
  <c r="T739" i="52"/>
  <c r="U739" i="52"/>
  <c r="V739" i="52"/>
  <c r="T740" i="52"/>
  <c r="U740" i="52"/>
  <c r="V740" i="52"/>
  <c r="T741" i="52"/>
  <c r="U741" i="52"/>
  <c r="V741" i="52"/>
  <c r="T742" i="52"/>
  <c r="U742" i="52"/>
  <c r="V742" i="52"/>
  <c r="T743" i="52"/>
  <c r="U743" i="52"/>
  <c r="V743" i="52"/>
  <c r="T744" i="52"/>
  <c r="U744" i="52"/>
  <c r="V744" i="52"/>
  <c r="T745" i="52"/>
  <c r="U745" i="52"/>
  <c r="V745" i="52"/>
  <c r="T746" i="52"/>
  <c r="U746" i="52"/>
  <c r="V746" i="52"/>
  <c r="T747" i="52"/>
  <c r="U747" i="52"/>
  <c r="V747" i="52"/>
  <c r="T748" i="52"/>
  <c r="U748" i="52"/>
  <c r="V748" i="52"/>
  <c r="T749" i="52"/>
  <c r="U749" i="52"/>
  <c r="V749" i="52"/>
  <c r="T750" i="52"/>
  <c r="U750" i="52"/>
  <c r="V750" i="52"/>
  <c r="T751" i="52"/>
  <c r="U751" i="52"/>
  <c r="V751" i="52"/>
  <c r="T752" i="52"/>
  <c r="U752" i="52"/>
  <c r="V752" i="52"/>
  <c r="T753" i="52"/>
  <c r="U753" i="52"/>
  <c r="V753" i="52"/>
  <c r="T754" i="52"/>
  <c r="U754" i="52"/>
  <c r="V754" i="52"/>
  <c r="T755" i="52"/>
  <c r="U755" i="52"/>
  <c r="V755" i="52"/>
  <c r="T756" i="52"/>
  <c r="U756" i="52"/>
  <c r="V756" i="52"/>
  <c r="T757" i="52"/>
  <c r="U757" i="52"/>
  <c r="V757" i="52"/>
  <c r="T758" i="52"/>
  <c r="U758" i="52"/>
  <c r="V758" i="52"/>
  <c r="T759" i="52"/>
  <c r="U759" i="52"/>
  <c r="V759" i="52"/>
  <c r="T760" i="52"/>
  <c r="U760" i="52"/>
  <c r="V760" i="52"/>
  <c r="T761" i="52"/>
  <c r="U761" i="52"/>
  <c r="V761" i="52"/>
  <c r="T762" i="52"/>
  <c r="U762" i="52"/>
  <c r="V762" i="52"/>
  <c r="T763" i="52"/>
  <c r="U763" i="52"/>
  <c r="V763" i="52"/>
  <c r="T764" i="52"/>
  <c r="U764" i="52"/>
  <c r="V764" i="52"/>
  <c r="T765" i="52"/>
  <c r="U765" i="52"/>
  <c r="V765" i="52"/>
  <c r="T766" i="52"/>
  <c r="U766" i="52"/>
  <c r="V766" i="52"/>
  <c r="T767" i="52"/>
  <c r="U767" i="52"/>
  <c r="V767" i="52"/>
  <c r="T768" i="52"/>
  <c r="U768" i="52"/>
  <c r="V768" i="52"/>
  <c r="T769" i="52"/>
  <c r="U769" i="52"/>
  <c r="V769" i="52"/>
  <c r="T770" i="52"/>
  <c r="U770" i="52"/>
  <c r="V770" i="52"/>
  <c r="T771" i="52"/>
  <c r="U771" i="52"/>
  <c r="V771" i="52"/>
  <c r="T772" i="52"/>
  <c r="U772" i="52"/>
  <c r="V772" i="52"/>
  <c r="T773" i="52"/>
  <c r="U773" i="52"/>
  <c r="V773" i="52"/>
  <c r="T774" i="52"/>
  <c r="U774" i="52"/>
  <c r="V774" i="52"/>
  <c r="T775" i="52"/>
  <c r="U775" i="52"/>
  <c r="V775" i="52"/>
  <c r="T776" i="52"/>
  <c r="U776" i="52"/>
  <c r="V776" i="52"/>
  <c r="T777" i="52"/>
  <c r="U777" i="52"/>
  <c r="V777" i="52"/>
  <c r="T778" i="52"/>
  <c r="U778" i="52"/>
  <c r="V778" i="52"/>
  <c r="T779" i="52"/>
  <c r="U779" i="52"/>
  <c r="V779" i="52"/>
  <c r="T780" i="52"/>
  <c r="U780" i="52"/>
  <c r="V780" i="52"/>
  <c r="T781" i="52"/>
  <c r="U781" i="52"/>
  <c r="V781" i="52"/>
  <c r="T782" i="52"/>
  <c r="U782" i="52"/>
  <c r="V782" i="52"/>
  <c r="T783" i="52"/>
  <c r="U783" i="52"/>
  <c r="V783" i="52"/>
  <c r="T784" i="52"/>
  <c r="U784" i="52"/>
  <c r="V784" i="52"/>
  <c r="T785" i="52"/>
  <c r="U785" i="52"/>
  <c r="V785" i="52"/>
  <c r="T786" i="52"/>
  <c r="U786" i="52"/>
  <c r="V786" i="52"/>
  <c r="T787" i="52"/>
  <c r="U787" i="52"/>
  <c r="V787" i="52"/>
  <c r="T788" i="52"/>
  <c r="U788" i="52"/>
  <c r="V788" i="52"/>
  <c r="T789" i="52"/>
  <c r="U789" i="52"/>
  <c r="V789" i="52"/>
  <c r="T790" i="52"/>
  <c r="U790" i="52"/>
  <c r="V790" i="52"/>
  <c r="T791" i="52"/>
  <c r="U791" i="52"/>
  <c r="V791" i="52"/>
  <c r="T792" i="52"/>
  <c r="U792" i="52"/>
  <c r="V792" i="52"/>
  <c r="T793" i="52"/>
  <c r="U793" i="52"/>
  <c r="V793" i="52"/>
  <c r="T794" i="52"/>
  <c r="U794" i="52"/>
  <c r="V794" i="52"/>
  <c r="T795" i="52"/>
  <c r="U795" i="52"/>
  <c r="V795" i="52"/>
  <c r="T796" i="52"/>
  <c r="U796" i="52"/>
  <c r="V796" i="52"/>
  <c r="T797" i="52"/>
  <c r="U797" i="52"/>
  <c r="V797" i="52"/>
  <c r="T798" i="52"/>
  <c r="U798" i="52"/>
  <c r="V798" i="52"/>
  <c r="T799" i="52"/>
  <c r="U799" i="52"/>
  <c r="V799" i="52"/>
  <c r="T800" i="52"/>
  <c r="U800" i="52"/>
  <c r="V800" i="52"/>
  <c r="T801" i="52"/>
  <c r="U801" i="52"/>
  <c r="V801" i="52"/>
  <c r="T802" i="52"/>
  <c r="U802" i="52"/>
  <c r="V802" i="52"/>
  <c r="T803" i="52"/>
  <c r="U803" i="52"/>
  <c r="V803" i="52"/>
  <c r="T804" i="52"/>
  <c r="U804" i="52"/>
  <c r="V804" i="52"/>
  <c r="T805" i="52"/>
  <c r="U805" i="52"/>
  <c r="V805" i="52"/>
  <c r="T806" i="52"/>
  <c r="U806" i="52"/>
  <c r="V806" i="52"/>
  <c r="T807" i="52"/>
  <c r="U807" i="52"/>
  <c r="V807" i="52"/>
  <c r="T808" i="52"/>
  <c r="U808" i="52"/>
  <c r="V808" i="52"/>
  <c r="T809" i="52"/>
  <c r="U809" i="52"/>
  <c r="V809" i="52"/>
  <c r="T810" i="52"/>
  <c r="U810" i="52"/>
  <c r="V810" i="52"/>
  <c r="T811" i="52"/>
  <c r="U811" i="52"/>
  <c r="V811" i="52"/>
  <c r="T812" i="52"/>
  <c r="U812" i="52"/>
  <c r="V812" i="52"/>
  <c r="T813" i="52"/>
  <c r="U813" i="52"/>
  <c r="V813" i="52"/>
  <c r="T814" i="52"/>
  <c r="U814" i="52"/>
  <c r="V814" i="52"/>
  <c r="T815" i="52"/>
  <c r="U815" i="52"/>
  <c r="V815" i="52"/>
  <c r="T816" i="52"/>
  <c r="U816" i="52"/>
  <c r="V816" i="52"/>
  <c r="T817" i="52"/>
  <c r="U817" i="52"/>
  <c r="V817" i="52"/>
  <c r="T818" i="52"/>
  <c r="U818" i="52"/>
  <c r="V818" i="52"/>
  <c r="T819" i="52"/>
  <c r="U819" i="52"/>
  <c r="V819" i="52"/>
  <c r="T820" i="52"/>
  <c r="U820" i="52"/>
  <c r="V820" i="52"/>
  <c r="T821" i="52"/>
  <c r="U821" i="52"/>
  <c r="V821" i="52"/>
  <c r="T822" i="52"/>
  <c r="U822" i="52"/>
  <c r="V822" i="52"/>
  <c r="T823" i="52"/>
  <c r="U823" i="52"/>
  <c r="V823" i="52"/>
  <c r="T824" i="52"/>
  <c r="U824" i="52"/>
  <c r="V824" i="52"/>
  <c r="T825" i="52"/>
  <c r="U825" i="52"/>
  <c r="V825" i="52"/>
  <c r="T826" i="52"/>
  <c r="U826" i="52"/>
  <c r="V826" i="52"/>
  <c r="T827" i="52"/>
  <c r="U827" i="52"/>
  <c r="V827" i="52"/>
  <c r="T828" i="52"/>
  <c r="U828" i="52"/>
  <c r="V828" i="52"/>
  <c r="T829" i="52"/>
  <c r="U829" i="52"/>
  <c r="V829" i="52"/>
  <c r="T830" i="52"/>
  <c r="U830" i="52"/>
  <c r="V830" i="52"/>
  <c r="T831" i="52"/>
  <c r="U831" i="52"/>
  <c r="V831" i="52"/>
  <c r="T832" i="52"/>
  <c r="U832" i="52"/>
  <c r="V832" i="52"/>
  <c r="T833" i="52"/>
  <c r="U833" i="52"/>
  <c r="V833" i="52"/>
  <c r="T834" i="52"/>
  <c r="U834" i="52"/>
  <c r="V834" i="52"/>
  <c r="T835" i="52"/>
  <c r="U835" i="52"/>
  <c r="V835" i="52"/>
  <c r="T836" i="52"/>
  <c r="U836" i="52"/>
  <c r="V836" i="52"/>
  <c r="T837" i="52"/>
  <c r="U837" i="52"/>
  <c r="V837" i="52"/>
  <c r="T838" i="52"/>
  <c r="U838" i="52"/>
  <c r="V838" i="52"/>
  <c r="T839" i="52"/>
  <c r="U839" i="52"/>
  <c r="V839" i="52"/>
  <c r="T840" i="52"/>
  <c r="U840" i="52"/>
  <c r="V840" i="52"/>
  <c r="T841" i="52"/>
  <c r="U841" i="52"/>
  <c r="V841" i="52"/>
  <c r="T842" i="52"/>
  <c r="U842" i="52"/>
  <c r="V842" i="52"/>
  <c r="T843" i="52"/>
  <c r="U843" i="52"/>
  <c r="V843" i="52"/>
  <c r="T844" i="52"/>
  <c r="U844" i="52"/>
  <c r="V844" i="52"/>
  <c r="T845" i="52"/>
  <c r="U845" i="52"/>
  <c r="V845" i="52"/>
  <c r="T846" i="52"/>
  <c r="U846" i="52"/>
  <c r="V846" i="52"/>
  <c r="T847" i="52"/>
  <c r="U847" i="52"/>
  <c r="V847" i="52"/>
  <c r="T848" i="52"/>
  <c r="U848" i="52"/>
  <c r="V848" i="52"/>
  <c r="T849" i="52"/>
  <c r="U849" i="52"/>
  <c r="V849" i="52"/>
  <c r="T850" i="52"/>
  <c r="U850" i="52"/>
  <c r="V850" i="52"/>
  <c r="T851" i="52"/>
  <c r="U851" i="52"/>
  <c r="V851" i="52"/>
  <c r="T852" i="52"/>
  <c r="U852" i="52"/>
  <c r="V852" i="52"/>
  <c r="T853" i="52"/>
  <c r="U853" i="52"/>
  <c r="V853" i="52"/>
  <c r="T854" i="52"/>
  <c r="U854" i="52"/>
  <c r="V854" i="52"/>
  <c r="T855" i="52"/>
  <c r="U855" i="52"/>
  <c r="V855" i="52"/>
  <c r="T856" i="52"/>
  <c r="U856" i="52"/>
  <c r="V856" i="52"/>
  <c r="T857" i="52"/>
  <c r="U857" i="52"/>
  <c r="V857" i="52"/>
  <c r="T858" i="52"/>
  <c r="U858" i="52"/>
  <c r="V858" i="52"/>
  <c r="T859" i="52"/>
  <c r="U859" i="52"/>
  <c r="V859" i="52"/>
  <c r="T860" i="52"/>
  <c r="U860" i="52"/>
  <c r="V860" i="52"/>
  <c r="T861" i="52"/>
  <c r="U861" i="52"/>
  <c r="V861" i="52"/>
  <c r="T862" i="52"/>
  <c r="U862" i="52"/>
  <c r="V862" i="52"/>
  <c r="T863" i="52"/>
  <c r="U863" i="52"/>
  <c r="V863" i="52"/>
  <c r="T864" i="52"/>
  <c r="U864" i="52"/>
  <c r="V864" i="52"/>
  <c r="T865" i="52"/>
  <c r="U865" i="52"/>
  <c r="V865" i="52"/>
  <c r="T866" i="52"/>
  <c r="U866" i="52"/>
  <c r="V866" i="52"/>
  <c r="T867" i="52"/>
  <c r="U867" i="52"/>
  <c r="V867" i="52"/>
  <c r="T868" i="52"/>
  <c r="U868" i="52"/>
  <c r="V868" i="52"/>
  <c r="T869" i="52"/>
  <c r="U869" i="52"/>
  <c r="V869" i="52"/>
  <c r="T870" i="52"/>
  <c r="U870" i="52"/>
  <c r="V870" i="52"/>
  <c r="T871" i="52"/>
  <c r="U871" i="52"/>
  <c r="V871" i="52"/>
  <c r="T872" i="52"/>
  <c r="U872" i="52"/>
  <c r="V872" i="52"/>
  <c r="T873" i="52"/>
  <c r="U873" i="52"/>
  <c r="V873" i="52"/>
  <c r="T874" i="52"/>
  <c r="U874" i="52"/>
  <c r="V874" i="52"/>
  <c r="T875" i="52"/>
  <c r="U875" i="52"/>
  <c r="V875" i="52"/>
  <c r="T876" i="52"/>
  <c r="U876" i="52"/>
  <c r="V876" i="52"/>
  <c r="T877" i="52"/>
  <c r="U877" i="52"/>
  <c r="V877" i="52"/>
  <c r="T878" i="52"/>
  <c r="U878" i="52"/>
  <c r="V878" i="52"/>
  <c r="T879" i="52"/>
  <c r="U879" i="52"/>
  <c r="V879" i="52"/>
  <c r="T880" i="52"/>
  <c r="U880" i="52"/>
  <c r="V880" i="52"/>
  <c r="T881" i="52"/>
  <c r="U881" i="52"/>
  <c r="V881" i="52"/>
  <c r="T882" i="52"/>
  <c r="U882" i="52"/>
  <c r="V882" i="52"/>
  <c r="T883" i="52"/>
  <c r="U883" i="52"/>
  <c r="V883" i="52"/>
  <c r="T884" i="52"/>
  <c r="U884" i="52"/>
  <c r="V884" i="52"/>
  <c r="T885" i="52"/>
  <c r="U885" i="52"/>
  <c r="V885" i="52"/>
  <c r="T886" i="52"/>
  <c r="U886" i="52"/>
  <c r="V886" i="52"/>
  <c r="T887" i="52"/>
  <c r="U887" i="52"/>
  <c r="V887" i="52"/>
  <c r="T888" i="52"/>
  <c r="U888" i="52"/>
  <c r="V888" i="52"/>
  <c r="T889" i="52"/>
  <c r="U889" i="52"/>
  <c r="V889" i="52"/>
  <c r="T890" i="52"/>
  <c r="U890" i="52"/>
  <c r="V890" i="52"/>
  <c r="T891" i="52"/>
  <c r="U891" i="52"/>
  <c r="V891" i="52"/>
  <c r="T892" i="52"/>
  <c r="U892" i="52"/>
  <c r="V892" i="52"/>
  <c r="T893" i="52"/>
  <c r="U893" i="52"/>
  <c r="V893" i="52"/>
  <c r="T894" i="52"/>
  <c r="U894" i="52"/>
  <c r="V894" i="52"/>
  <c r="T895" i="52"/>
  <c r="U895" i="52"/>
  <c r="V895" i="52"/>
  <c r="T896" i="52"/>
  <c r="U896" i="52"/>
  <c r="V896" i="52"/>
  <c r="T897" i="52"/>
  <c r="U897" i="52"/>
  <c r="V897" i="52"/>
  <c r="T898" i="52"/>
  <c r="U898" i="52"/>
  <c r="V898" i="52"/>
  <c r="T899" i="52"/>
  <c r="U899" i="52"/>
  <c r="V899" i="52"/>
  <c r="T900" i="52"/>
  <c r="U900" i="52"/>
  <c r="V900" i="52"/>
  <c r="T901" i="52"/>
  <c r="U901" i="52"/>
  <c r="V901" i="52"/>
  <c r="T902" i="52"/>
  <c r="U902" i="52"/>
  <c r="V902" i="52"/>
  <c r="T903" i="52"/>
  <c r="U903" i="52"/>
  <c r="V903" i="52"/>
  <c r="T904" i="52"/>
  <c r="U904" i="52"/>
  <c r="V904" i="52"/>
  <c r="T905" i="52"/>
  <c r="U905" i="52"/>
  <c r="V905" i="52"/>
  <c r="T906" i="52"/>
  <c r="U906" i="52"/>
  <c r="V906" i="52"/>
  <c r="T907" i="52"/>
  <c r="U907" i="52"/>
  <c r="V907" i="52"/>
  <c r="T908" i="52"/>
  <c r="U908" i="52"/>
  <c r="V908" i="52"/>
  <c r="T909" i="52"/>
  <c r="U909" i="52"/>
  <c r="V909" i="52"/>
  <c r="T910" i="52"/>
  <c r="U910" i="52"/>
  <c r="V910" i="52"/>
  <c r="T911" i="52"/>
  <c r="U911" i="52"/>
  <c r="V911" i="52"/>
  <c r="T912" i="52"/>
  <c r="U912" i="52"/>
  <c r="V912" i="52"/>
  <c r="T913" i="52"/>
  <c r="U913" i="52"/>
  <c r="V913" i="52"/>
  <c r="T914" i="52"/>
  <c r="U914" i="52"/>
  <c r="V914" i="52"/>
  <c r="T915" i="52"/>
  <c r="U915" i="52"/>
  <c r="V915" i="52"/>
  <c r="T916" i="52"/>
  <c r="U916" i="52"/>
  <c r="V916" i="52"/>
  <c r="T917" i="52"/>
  <c r="U917" i="52"/>
  <c r="V917" i="52"/>
  <c r="T918" i="52"/>
  <c r="U918" i="52"/>
  <c r="V918" i="52"/>
  <c r="T919" i="52"/>
  <c r="U919" i="52"/>
  <c r="V919" i="52"/>
  <c r="T920" i="52"/>
  <c r="U920" i="52"/>
  <c r="V920" i="52"/>
  <c r="T921" i="52"/>
  <c r="U921" i="52"/>
  <c r="V921" i="52"/>
  <c r="T922" i="52"/>
  <c r="U922" i="52"/>
  <c r="V922" i="52"/>
  <c r="T923" i="52"/>
  <c r="U923" i="52"/>
  <c r="V923" i="52"/>
  <c r="T924" i="52"/>
  <c r="U924" i="52"/>
  <c r="V924" i="52"/>
  <c r="T925" i="52"/>
  <c r="U925" i="52"/>
  <c r="V925" i="52"/>
  <c r="T926" i="52"/>
  <c r="U926" i="52"/>
  <c r="V926" i="52"/>
  <c r="T927" i="52"/>
  <c r="U927" i="52"/>
  <c r="V927" i="52"/>
  <c r="T928" i="52"/>
  <c r="U928" i="52"/>
  <c r="V928" i="52"/>
  <c r="T929" i="52"/>
  <c r="U929" i="52"/>
  <c r="V929" i="52"/>
  <c r="T930" i="52"/>
  <c r="U930" i="52"/>
  <c r="V930" i="52"/>
  <c r="T931" i="52"/>
  <c r="U931" i="52"/>
  <c r="V931" i="52"/>
  <c r="T932" i="52"/>
  <c r="U932" i="52"/>
  <c r="V932" i="52"/>
  <c r="T933" i="52"/>
  <c r="U933" i="52"/>
  <c r="V933" i="52"/>
  <c r="T934" i="52"/>
  <c r="U934" i="52"/>
  <c r="V934" i="52"/>
  <c r="T935" i="52"/>
  <c r="U935" i="52"/>
  <c r="V935" i="52"/>
  <c r="T936" i="52"/>
  <c r="U936" i="52"/>
  <c r="V936" i="52"/>
  <c r="T937" i="52"/>
  <c r="U937" i="52"/>
  <c r="V937" i="52"/>
  <c r="T938" i="52"/>
  <c r="U938" i="52"/>
  <c r="V938" i="52"/>
  <c r="T939" i="52"/>
  <c r="U939" i="52"/>
  <c r="V939" i="52"/>
  <c r="T940" i="52"/>
  <c r="U940" i="52"/>
  <c r="V940" i="52"/>
  <c r="T941" i="52"/>
  <c r="U941" i="52"/>
  <c r="V941" i="52"/>
  <c r="T942" i="52"/>
  <c r="U942" i="52"/>
  <c r="V942" i="52"/>
  <c r="T943" i="52"/>
  <c r="U943" i="52"/>
  <c r="V943" i="52"/>
  <c r="T944" i="52"/>
  <c r="U944" i="52"/>
  <c r="V944" i="52"/>
  <c r="T945" i="52"/>
  <c r="U945" i="52"/>
  <c r="V945" i="52"/>
  <c r="T946" i="52"/>
  <c r="U946" i="52"/>
  <c r="V946" i="52"/>
  <c r="T947" i="52"/>
  <c r="U947" i="52"/>
  <c r="V947" i="52"/>
  <c r="T948" i="52"/>
  <c r="U948" i="52"/>
  <c r="V948" i="52"/>
  <c r="T949" i="52"/>
  <c r="U949" i="52"/>
  <c r="V949" i="52"/>
  <c r="T950" i="52"/>
  <c r="U950" i="52"/>
  <c r="V950" i="52"/>
  <c r="T951" i="52"/>
  <c r="U951" i="52"/>
  <c r="V951" i="52"/>
  <c r="T952" i="52"/>
  <c r="U952" i="52"/>
  <c r="V952" i="52"/>
  <c r="T953" i="52"/>
  <c r="U953" i="52"/>
  <c r="V953" i="52"/>
  <c r="T954" i="52"/>
  <c r="U954" i="52"/>
  <c r="V954" i="52"/>
  <c r="T955" i="52"/>
  <c r="U955" i="52"/>
  <c r="V955" i="52"/>
  <c r="T956" i="52"/>
  <c r="U956" i="52"/>
  <c r="V956" i="52"/>
  <c r="T957" i="52"/>
  <c r="U957" i="52"/>
  <c r="V957" i="52"/>
  <c r="T958" i="52"/>
  <c r="U958" i="52"/>
  <c r="V958" i="52"/>
  <c r="T959" i="52"/>
  <c r="U959" i="52"/>
  <c r="V959" i="52"/>
  <c r="T960" i="52"/>
  <c r="U960" i="52"/>
  <c r="V960" i="52"/>
  <c r="T961" i="52"/>
  <c r="U961" i="52"/>
  <c r="V961" i="52"/>
  <c r="T962" i="52"/>
  <c r="U962" i="52"/>
  <c r="V962" i="52"/>
  <c r="T963" i="52"/>
  <c r="U963" i="52"/>
  <c r="V963" i="52"/>
  <c r="T964" i="52"/>
  <c r="U964" i="52"/>
  <c r="V964" i="52"/>
  <c r="T965" i="52"/>
  <c r="U965" i="52"/>
  <c r="V965" i="52"/>
  <c r="T966" i="52"/>
  <c r="U966" i="52"/>
  <c r="V966" i="52"/>
  <c r="T967" i="52"/>
  <c r="U967" i="52"/>
  <c r="V967" i="52"/>
  <c r="T968" i="52"/>
  <c r="U968" i="52"/>
  <c r="V968" i="52"/>
  <c r="T969" i="52"/>
  <c r="U969" i="52"/>
  <c r="V969" i="52"/>
  <c r="T970" i="52"/>
  <c r="U970" i="52"/>
  <c r="V970" i="52"/>
  <c r="T971" i="52"/>
  <c r="U971" i="52"/>
  <c r="V971" i="52"/>
  <c r="T972" i="52"/>
  <c r="U972" i="52"/>
  <c r="V972" i="52"/>
  <c r="T973" i="52"/>
  <c r="U973" i="52"/>
  <c r="V973" i="52"/>
  <c r="T974" i="52"/>
  <c r="U974" i="52"/>
  <c r="V974" i="52"/>
  <c r="T975" i="52"/>
  <c r="U975" i="52"/>
  <c r="V975" i="52"/>
  <c r="T976" i="52"/>
  <c r="U976" i="52"/>
  <c r="V976" i="52"/>
  <c r="T977" i="52"/>
  <c r="U977" i="52"/>
  <c r="V977" i="52"/>
  <c r="T978" i="52"/>
  <c r="U978" i="52"/>
  <c r="V978" i="52"/>
  <c r="T979" i="52"/>
  <c r="U979" i="52"/>
  <c r="V979" i="52"/>
  <c r="T980" i="52"/>
  <c r="U980" i="52"/>
  <c r="V980" i="52"/>
  <c r="T981" i="52"/>
  <c r="U981" i="52"/>
  <c r="V981" i="52"/>
  <c r="T982" i="52"/>
  <c r="U982" i="52"/>
  <c r="V982" i="52"/>
  <c r="T983" i="52"/>
  <c r="U983" i="52"/>
  <c r="V983" i="52"/>
  <c r="T984" i="52"/>
  <c r="U984" i="52"/>
  <c r="V984" i="52"/>
  <c r="T985" i="52"/>
  <c r="U985" i="52"/>
  <c r="V985" i="52"/>
  <c r="T986" i="52"/>
  <c r="U986" i="52"/>
  <c r="V986" i="52"/>
  <c r="T987" i="52"/>
  <c r="U987" i="52"/>
  <c r="V987" i="52"/>
  <c r="T988" i="52"/>
  <c r="U988" i="52"/>
  <c r="V988" i="52"/>
  <c r="T989" i="52"/>
  <c r="U989" i="52"/>
  <c r="V989" i="52"/>
  <c r="T990" i="52"/>
  <c r="U990" i="52"/>
  <c r="V990" i="52"/>
  <c r="T991" i="52"/>
  <c r="U991" i="52"/>
  <c r="V991" i="52"/>
  <c r="T992" i="52"/>
  <c r="U992" i="52"/>
  <c r="V992" i="52"/>
  <c r="T993" i="52"/>
  <c r="U993" i="52"/>
  <c r="V993" i="52"/>
  <c r="T994" i="52"/>
  <c r="U994" i="52"/>
  <c r="V994" i="52"/>
  <c r="T995" i="52"/>
  <c r="U995" i="52"/>
  <c r="V995" i="52"/>
  <c r="T996" i="52"/>
  <c r="U996" i="52"/>
  <c r="V996" i="52"/>
  <c r="T997" i="52"/>
  <c r="U997" i="52"/>
  <c r="V997" i="52"/>
  <c r="T998" i="52"/>
  <c r="U998" i="52"/>
  <c r="V998" i="52"/>
  <c r="T999" i="52"/>
  <c r="U999" i="52"/>
  <c r="V999" i="52"/>
  <c r="T1000" i="52"/>
  <c r="U1000" i="52"/>
  <c r="V1000" i="52"/>
  <c r="T1001" i="52"/>
  <c r="U1001" i="52"/>
  <c r="V1001" i="52"/>
  <c r="T1002" i="52"/>
  <c r="U1002" i="52"/>
  <c r="V1002" i="52"/>
  <c r="T1003" i="52"/>
  <c r="U1003" i="52"/>
  <c r="V1003" i="52"/>
  <c r="T1004" i="52"/>
  <c r="U1004" i="52"/>
  <c r="V1004" i="52"/>
  <c r="T1005" i="52"/>
  <c r="U1005" i="52"/>
  <c r="V1005" i="52"/>
  <c r="T1006" i="52"/>
  <c r="U1006" i="52"/>
  <c r="V1006" i="52"/>
  <c r="T1007" i="52"/>
  <c r="U1007" i="52"/>
  <c r="V1007" i="52"/>
  <c r="T1008" i="52"/>
  <c r="U1008" i="52"/>
  <c r="V1008" i="52"/>
  <c r="T1009" i="52"/>
  <c r="U1009" i="52"/>
  <c r="V1009" i="52"/>
  <c r="T1010" i="52"/>
  <c r="U1010" i="52"/>
  <c r="V1010" i="52"/>
  <c r="T1011" i="52"/>
  <c r="U1011" i="52"/>
  <c r="V1011" i="52"/>
  <c r="T1012" i="52"/>
  <c r="U1012" i="52"/>
  <c r="V1012" i="52"/>
  <c r="T1013" i="52"/>
  <c r="U1013" i="52"/>
  <c r="V1013" i="52"/>
  <c r="T1014" i="52"/>
  <c r="U1014" i="52"/>
  <c r="V1014" i="52"/>
  <c r="T1015" i="52"/>
  <c r="U1015" i="52"/>
  <c r="V1015" i="52"/>
  <c r="T1016" i="52"/>
  <c r="U1016" i="52"/>
  <c r="V1016" i="52"/>
  <c r="T1017" i="52"/>
  <c r="U1017" i="52"/>
  <c r="V1017" i="52"/>
  <c r="T1018" i="52"/>
  <c r="U1018" i="52"/>
  <c r="V1018" i="52"/>
  <c r="T1019" i="52"/>
  <c r="U1019" i="52"/>
  <c r="V1019" i="52"/>
  <c r="T1020" i="52"/>
  <c r="U1020" i="52"/>
  <c r="V1020" i="52"/>
  <c r="T1021" i="52"/>
  <c r="U1021" i="52"/>
  <c r="V1021" i="52"/>
  <c r="T1022" i="52"/>
  <c r="U1022" i="52"/>
  <c r="V1022" i="52"/>
  <c r="T1023" i="52"/>
  <c r="U1023" i="52"/>
  <c r="V1023" i="52"/>
  <c r="T1024" i="52"/>
  <c r="U1024" i="52"/>
  <c r="V1024" i="52"/>
  <c r="T1025" i="52"/>
  <c r="U1025" i="52"/>
  <c r="V1025" i="52"/>
  <c r="T1026" i="52"/>
  <c r="U1026" i="52"/>
  <c r="V1026" i="52"/>
  <c r="T1027" i="52"/>
  <c r="U1027" i="52"/>
  <c r="V1027" i="52"/>
  <c r="T1028" i="52"/>
  <c r="U1028" i="52"/>
  <c r="V1028" i="52"/>
  <c r="T1029" i="52"/>
  <c r="U1029" i="52"/>
  <c r="V1029" i="52"/>
  <c r="T1030" i="52"/>
  <c r="U1030" i="52"/>
  <c r="V1030" i="52"/>
  <c r="T1031" i="52"/>
  <c r="U1031" i="52"/>
  <c r="V1031" i="52"/>
  <c r="T1032" i="52"/>
  <c r="U1032" i="52"/>
  <c r="V1032" i="52"/>
  <c r="T1033" i="52"/>
  <c r="U1033" i="52"/>
  <c r="V1033" i="52"/>
  <c r="T1034" i="52"/>
  <c r="U1034" i="52"/>
  <c r="V1034" i="52"/>
  <c r="T1035" i="52"/>
  <c r="U1035" i="52"/>
  <c r="V1035" i="52"/>
  <c r="T1036" i="52"/>
  <c r="U1036" i="52"/>
  <c r="V1036" i="52"/>
  <c r="T1037" i="52"/>
  <c r="U1037" i="52"/>
  <c r="V1037" i="52"/>
  <c r="T1038" i="52"/>
  <c r="U1038" i="52"/>
  <c r="V1038" i="52"/>
  <c r="T1039" i="52"/>
  <c r="U1039" i="52"/>
  <c r="V1039" i="52"/>
  <c r="T1040" i="52"/>
  <c r="U1040" i="52"/>
  <c r="V1040" i="52"/>
  <c r="T1041" i="52"/>
  <c r="U1041" i="52"/>
  <c r="V1041" i="52"/>
  <c r="T1042" i="52"/>
  <c r="U1042" i="52"/>
  <c r="V1042" i="52"/>
  <c r="T1043" i="52"/>
  <c r="U1043" i="52"/>
  <c r="V1043" i="52"/>
  <c r="T1044" i="52"/>
  <c r="U1044" i="52"/>
  <c r="V1044" i="52"/>
  <c r="T1045" i="52"/>
  <c r="U1045" i="52"/>
  <c r="V1045" i="52"/>
  <c r="T1046" i="52"/>
  <c r="U1046" i="52"/>
  <c r="V1046" i="52"/>
  <c r="T1047" i="52"/>
  <c r="U1047" i="52"/>
  <c r="V1047" i="52"/>
  <c r="T1048" i="52"/>
  <c r="U1048" i="52"/>
  <c r="V1048" i="52"/>
  <c r="T1049" i="52"/>
  <c r="U1049" i="52"/>
  <c r="V1049" i="52"/>
  <c r="T1050" i="52"/>
  <c r="U1050" i="52"/>
  <c r="V1050" i="52"/>
  <c r="T1051" i="52"/>
  <c r="U1051" i="52"/>
  <c r="V1051" i="52"/>
  <c r="T1052" i="52"/>
  <c r="U1052" i="52"/>
  <c r="V1052" i="52"/>
  <c r="T1053" i="52"/>
  <c r="U1053" i="52"/>
  <c r="V1053" i="52"/>
  <c r="T1054" i="52"/>
  <c r="U1054" i="52"/>
  <c r="V1054" i="52"/>
  <c r="T1055" i="52"/>
  <c r="U1055" i="52"/>
  <c r="V1055" i="52"/>
  <c r="T1056" i="52"/>
  <c r="U1056" i="52"/>
  <c r="V1056" i="52"/>
  <c r="T1057" i="52"/>
  <c r="U1057" i="52"/>
  <c r="V1057" i="52"/>
  <c r="T1058" i="52"/>
  <c r="U1058" i="52"/>
  <c r="V1058" i="52"/>
  <c r="T1059" i="52"/>
  <c r="U1059" i="52"/>
  <c r="V1059" i="52"/>
  <c r="T1060" i="52"/>
  <c r="U1060" i="52"/>
  <c r="V1060" i="52"/>
  <c r="T1061" i="52"/>
  <c r="U1061" i="52"/>
  <c r="V1061" i="52"/>
  <c r="T1062" i="52"/>
  <c r="U1062" i="52"/>
  <c r="V1062" i="52"/>
  <c r="T1063" i="52"/>
  <c r="U1063" i="52"/>
  <c r="V1063" i="52"/>
  <c r="T1064" i="52"/>
  <c r="U1064" i="52"/>
  <c r="V1064" i="52"/>
  <c r="T1065" i="52"/>
  <c r="U1065" i="52"/>
  <c r="V1065" i="52"/>
  <c r="T1066" i="52"/>
  <c r="U1066" i="52"/>
  <c r="V1066" i="52"/>
  <c r="T1067" i="52"/>
  <c r="U1067" i="52"/>
  <c r="V1067" i="52"/>
  <c r="T1068" i="52"/>
  <c r="U1068" i="52"/>
  <c r="V1068" i="52"/>
  <c r="T1069" i="52"/>
  <c r="U1069" i="52"/>
  <c r="V1069" i="52"/>
  <c r="T1070" i="52"/>
  <c r="U1070" i="52"/>
  <c r="V1070" i="52"/>
  <c r="T1071" i="52"/>
  <c r="U1071" i="52"/>
  <c r="V1071" i="52"/>
  <c r="T1072" i="52"/>
  <c r="U1072" i="52"/>
  <c r="V1072" i="52"/>
  <c r="T1073" i="52"/>
  <c r="U1073" i="52"/>
  <c r="V1073" i="52"/>
  <c r="T1074" i="52"/>
  <c r="U1074" i="52"/>
  <c r="V1074" i="52"/>
  <c r="T1075" i="52"/>
  <c r="U1075" i="52"/>
  <c r="V1075" i="52"/>
  <c r="T1076" i="52"/>
  <c r="U1076" i="52"/>
  <c r="V1076" i="52"/>
  <c r="T1077" i="52"/>
  <c r="U1077" i="52"/>
  <c r="V1077" i="52"/>
  <c r="T1078" i="52"/>
  <c r="U1078" i="52"/>
  <c r="V1078" i="52"/>
  <c r="T1079" i="52"/>
  <c r="U1079" i="52"/>
  <c r="V1079" i="52"/>
  <c r="T1080" i="52"/>
  <c r="U1080" i="52"/>
  <c r="V1080" i="52"/>
  <c r="T1081" i="52"/>
  <c r="U1081" i="52"/>
  <c r="V1081" i="52"/>
  <c r="T1082" i="52"/>
  <c r="U1082" i="52"/>
  <c r="V1082" i="52"/>
  <c r="T1083" i="52"/>
  <c r="U1083" i="52"/>
  <c r="V1083" i="52"/>
  <c r="T1084" i="52"/>
  <c r="U1084" i="52"/>
  <c r="V1084" i="52"/>
  <c r="T1085" i="52"/>
  <c r="U1085" i="52"/>
  <c r="V1085" i="52"/>
  <c r="T1086" i="52"/>
  <c r="U1086" i="52"/>
  <c r="V1086" i="52"/>
  <c r="T1087" i="52"/>
  <c r="U1087" i="52"/>
  <c r="V1087" i="52"/>
  <c r="T1088" i="52"/>
  <c r="U1088" i="52"/>
  <c r="V1088" i="52"/>
  <c r="T1089" i="52"/>
  <c r="U1089" i="52"/>
  <c r="V1089" i="52"/>
  <c r="T1090" i="52"/>
  <c r="U1090" i="52"/>
  <c r="V1090" i="52"/>
  <c r="T1091" i="52"/>
  <c r="U1091" i="52"/>
  <c r="V1091" i="52"/>
  <c r="T1092" i="52"/>
  <c r="U1092" i="52"/>
  <c r="V1092" i="52"/>
  <c r="T1093" i="52"/>
  <c r="U1093" i="52"/>
  <c r="V1093" i="52"/>
  <c r="T1094" i="52"/>
  <c r="U1094" i="52"/>
  <c r="V1094" i="52"/>
  <c r="T1095" i="52"/>
  <c r="U1095" i="52"/>
  <c r="V1095" i="52"/>
  <c r="T1096" i="52"/>
  <c r="U1096" i="52"/>
  <c r="V1096" i="52"/>
  <c r="T1097" i="52"/>
  <c r="U1097" i="52"/>
  <c r="V1097" i="52"/>
  <c r="T1098" i="52"/>
  <c r="U1098" i="52"/>
  <c r="V1098" i="52"/>
  <c r="T1099" i="52"/>
  <c r="U1099" i="52"/>
  <c r="V1099" i="52"/>
  <c r="T1100" i="52"/>
  <c r="U1100" i="52"/>
  <c r="V1100" i="52"/>
  <c r="T1101" i="52"/>
  <c r="U1101" i="52"/>
  <c r="V1101" i="52"/>
  <c r="T1102" i="52"/>
  <c r="U1102" i="52"/>
  <c r="V1102" i="52"/>
  <c r="T1103" i="52"/>
  <c r="U1103" i="52"/>
  <c r="V1103" i="52"/>
  <c r="T1104" i="52"/>
  <c r="U1104" i="52"/>
  <c r="V1104" i="52"/>
  <c r="T1105" i="52"/>
  <c r="U1105" i="52"/>
  <c r="V1105" i="52"/>
  <c r="T1106" i="52"/>
  <c r="U1106" i="52"/>
  <c r="V1106" i="52"/>
  <c r="T1107" i="52"/>
  <c r="U1107" i="52"/>
  <c r="V1107" i="52"/>
  <c r="T1108" i="52"/>
  <c r="U1108" i="52"/>
  <c r="V1108" i="52"/>
  <c r="T1109" i="52"/>
  <c r="U1109" i="52"/>
  <c r="V1109" i="52"/>
  <c r="T1110" i="52"/>
  <c r="U1110" i="52"/>
  <c r="V1110" i="52"/>
  <c r="T1111" i="52"/>
  <c r="U1111" i="52"/>
  <c r="V1111" i="52"/>
  <c r="T1112" i="52"/>
  <c r="U1112" i="52"/>
  <c r="V1112" i="52"/>
  <c r="T1113" i="52"/>
  <c r="U1113" i="52"/>
  <c r="V1113" i="52"/>
  <c r="T1114" i="52"/>
  <c r="U1114" i="52"/>
  <c r="V1114" i="52"/>
  <c r="T1115" i="52"/>
  <c r="U1115" i="52"/>
  <c r="V1115" i="52"/>
  <c r="T1116" i="52"/>
  <c r="U1116" i="52"/>
  <c r="V1116" i="52"/>
  <c r="T1117" i="52"/>
  <c r="U1117" i="52"/>
  <c r="V1117" i="52"/>
  <c r="T1118" i="52"/>
  <c r="U1118" i="52"/>
  <c r="V1118" i="52"/>
  <c r="T1119" i="52"/>
  <c r="U1119" i="52"/>
  <c r="V1119" i="52"/>
  <c r="T1120" i="52"/>
  <c r="U1120" i="52"/>
  <c r="V1120" i="52"/>
  <c r="T1121" i="52"/>
  <c r="U1121" i="52"/>
  <c r="V1121" i="52"/>
  <c r="T1122" i="52"/>
  <c r="U1122" i="52"/>
  <c r="V1122" i="52"/>
  <c r="T1123" i="52"/>
  <c r="U1123" i="52"/>
  <c r="V1123" i="52"/>
  <c r="T1124" i="52"/>
  <c r="U1124" i="52"/>
  <c r="V1124" i="52"/>
  <c r="T1125" i="52"/>
  <c r="U1125" i="52"/>
  <c r="V1125" i="52"/>
  <c r="T1126" i="52"/>
  <c r="U1126" i="52"/>
  <c r="V1126" i="52"/>
  <c r="T1127" i="52"/>
  <c r="U1127" i="52"/>
  <c r="V1127" i="52"/>
  <c r="T1128" i="52"/>
  <c r="U1128" i="52"/>
  <c r="V1128" i="52"/>
  <c r="T1129" i="52"/>
  <c r="U1129" i="52"/>
  <c r="V1129" i="52"/>
  <c r="T1130" i="52"/>
  <c r="U1130" i="52"/>
  <c r="V1130" i="52"/>
  <c r="T1131" i="52"/>
  <c r="U1131" i="52"/>
  <c r="V1131" i="52"/>
  <c r="T1132" i="52"/>
  <c r="U1132" i="52"/>
  <c r="V1132" i="52"/>
  <c r="T1133" i="52"/>
  <c r="U1133" i="52"/>
  <c r="V1133" i="52"/>
  <c r="T1134" i="52"/>
  <c r="U1134" i="52"/>
  <c r="V1134" i="52"/>
  <c r="T1135" i="52"/>
  <c r="U1135" i="52"/>
  <c r="V1135" i="52"/>
  <c r="T1136" i="52"/>
  <c r="U1136" i="52"/>
  <c r="V1136" i="52"/>
  <c r="T1137" i="52"/>
  <c r="U1137" i="52"/>
  <c r="V1137" i="52"/>
  <c r="T1138" i="52"/>
  <c r="U1138" i="52"/>
  <c r="V1138" i="52"/>
  <c r="T1139" i="52"/>
  <c r="U1139" i="52"/>
  <c r="V1139" i="52"/>
  <c r="T1140" i="52"/>
  <c r="U1140" i="52"/>
  <c r="V1140" i="52"/>
  <c r="T1141" i="52"/>
  <c r="U1141" i="52"/>
  <c r="V1141" i="52"/>
  <c r="T1142" i="52"/>
  <c r="U1142" i="52"/>
  <c r="V1142" i="52"/>
  <c r="T1143" i="52"/>
  <c r="U1143" i="52"/>
  <c r="V1143" i="52"/>
  <c r="T1144" i="52"/>
  <c r="U1144" i="52"/>
  <c r="V1144" i="52"/>
  <c r="T1145" i="52"/>
  <c r="U1145" i="52"/>
  <c r="V1145" i="52"/>
  <c r="T1146" i="52"/>
  <c r="U1146" i="52"/>
  <c r="V1146" i="52"/>
  <c r="T1147" i="52"/>
  <c r="U1147" i="52"/>
  <c r="V1147" i="52"/>
  <c r="T1148" i="52"/>
  <c r="U1148" i="52"/>
  <c r="V1148" i="52"/>
  <c r="T1149" i="52"/>
  <c r="U1149" i="52"/>
  <c r="V1149" i="52"/>
  <c r="T1150" i="52"/>
  <c r="U1150" i="52"/>
  <c r="V1150" i="52"/>
  <c r="T1151" i="52"/>
  <c r="U1151" i="52"/>
  <c r="V1151" i="52"/>
  <c r="T1152" i="52"/>
  <c r="U1152" i="52"/>
  <c r="V1152" i="52"/>
  <c r="T1153" i="52"/>
  <c r="U1153" i="52"/>
  <c r="V1153" i="52"/>
  <c r="T1154" i="52"/>
  <c r="U1154" i="52"/>
  <c r="V1154" i="52"/>
  <c r="T1155" i="52"/>
  <c r="U1155" i="52"/>
  <c r="V1155" i="52"/>
  <c r="T1156" i="52"/>
  <c r="U1156" i="52"/>
  <c r="V1156" i="52"/>
  <c r="T1157" i="52"/>
  <c r="U1157" i="52"/>
  <c r="V1157" i="52"/>
  <c r="T1158" i="52"/>
  <c r="U1158" i="52"/>
  <c r="V1158" i="52"/>
  <c r="T1159" i="52"/>
  <c r="U1159" i="52"/>
  <c r="V1159" i="52"/>
  <c r="T1160" i="52"/>
  <c r="U1160" i="52"/>
  <c r="V1160" i="52"/>
  <c r="T1161" i="52"/>
  <c r="U1161" i="52"/>
  <c r="V1161" i="52"/>
  <c r="T1162" i="52"/>
  <c r="U1162" i="52"/>
  <c r="V1162" i="52"/>
  <c r="T1163" i="52"/>
  <c r="U1163" i="52"/>
  <c r="V1163" i="52"/>
  <c r="T1164" i="52"/>
  <c r="U1164" i="52"/>
  <c r="V1164" i="52"/>
  <c r="T1165" i="52"/>
  <c r="U1165" i="52"/>
  <c r="V1165" i="52"/>
  <c r="T1166" i="52"/>
  <c r="U1166" i="52"/>
  <c r="V1166" i="52"/>
  <c r="T1167" i="52"/>
  <c r="U1167" i="52"/>
  <c r="V1167" i="52"/>
  <c r="T1168" i="52"/>
  <c r="U1168" i="52"/>
  <c r="V1168" i="52"/>
  <c r="T1169" i="52"/>
  <c r="U1169" i="52"/>
  <c r="V1169" i="52"/>
  <c r="T1170" i="52"/>
  <c r="U1170" i="52"/>
  <c r="V1170" i="52"/>
  <c r="T1171" i="52"/>
  <c r="U1171" i="52"/>
  <c r="V1171" i="52"/>
  <c r="T1172" i="52"/>
  <c r="U1172" i="52"/>
  <c r="V1172" i="52"/>
  <c r="T1173" i="52"/>
  <c r="U1173" i="52"/>
  <c r="V1173" i="52"/>
  <c r="T1174" i="52"/>
  <c r="U1174" i="52"/>
  <c r="V1174" i="52"/>
  <c r="T1175" i="52"/>
  <c r="U1175" i="52"/>
  <c r="V1175" i="52"/>
  <c r="T1176" i="52"/>
  <c r="U1176" i="52"/>
  <c r="V1176" i="52"/>
  <c r="T1177" i="52"/>
  <c r="U1177" i="52"/>
  <c r="V1177" i="52"/>
  <c r="T1178" i="52"/>
  <c r="U1178" i="52"/>
  <c r="V1178" i="52"/>
  <c r="T1179" i="52"/>
  <c r="U1179" i="52"/>
  <c r="V1179" i="52"/>
  <c r="T1180" i="52"/>
  <c r="U1180" i="52"/>
  <c r="V1180" i="52"/>
  <c r="T1181" i="52"/>
  <c r="U1181" i="52"/>
  <c r="V1181" i="52"/>
  <c r="T1182" i="52"/>
  <c r="U1182" i="52"/>
  <c r="V1182" i="52"/>
  <c r="T1183" i="52"/>
  <c r="U1183" i="52"/>
  <c r="V1183" i="52"/>
  <c r="T1184" i="52"/>
  <c r="U1184" i="52"/>
  <c r="V1184" i="52"/>
  <c r="T1185" i="52"/>
  <c r="U1185" i="52"/>
  <c r="V1185" i="52"/>
  <c r="T1186" i="52"/>
  <c r="U1186" i="52"/>
  <c r="V1186" i="52"/>
  <c r="T1187" i="52"/>
  <c r="U1187" i="52"/>
  <c r="V1187" i="52"/>
  <c r="T1188" i="52"/>
  <c r="U1188" i="52"/>
  <c r="V1188" i="52"/>
  <c r="T1189" i="52"/>
  <c r="U1189" i="52"/>
  <c r="V1189" i="52"/>
  <c r="T1190" i="52"/>
  <c r="U1190" i="52"/>
  <c r="V1190" i="52"/>
  <c r="T1191" i="52"/>
  <c r="U1191" i="52"/>
  <c r="V1191" i="52"/>
  <c r="T1192" i="52"/>
  <c r="U1192" i="52"/>
  <c r="V1192" i="52"/>
  <c r="T1193" i="52"/>
  <c r="U1193" i="52"/>
  <c r="V1193" i="52"/>
  <c r="T1194" i="52"/>
  <c r="U1194" i="52"/>
  <c r="V1194" i="52"/>
  <c r="T1195" i="52"/>
  <c r="U1195" i="52"/>
  <c r="V1195" i="52"/>
  <c r="T1196" i="52"/>
  <c r="U1196" i="52"/>
  <c r="V1196" i="52"/>
  <c r="T1197" i="52"/>
  <c r="U1197" i="52"/>
  <c r="V1197" i="52"/>
  <c r="T1198" i="52"/>
  <c r="U1198" i="52"/>
  <c r="V1198" i="52"/>
  <c r="T1199" i="52"/>
  <c r="U1199" i="52"/>
  <c r="V1199" i="52"/>
  <c r="T1200" i="52"/>
  <c r="U1200" i="52"/>
  <c r="V1200" i="52"/>
  <c r="T1201" i="52"/>
  <c r="U1201" i="52"/>
  <c r="V1201" i="52"/>
  <c r="T1202" i="52"/>
  <c r="U1202" i="52"/>
  <c r="V1202" i="52"/>
  <c r="T1203" i="52"/>
  <c r="U1203" i="52"/>
  <c r="V1203" i="52"/>
  <c r="T1204" i="52"/>
  <c r="U1204" i="52"/>
  <c r="V1204" i="52"/>
  <c r="T1205" i="52"/>
  <c r="U1205" i="52"/>
  <c r="V1205" i="52"/>
  <c r="T1206" i="52"/>
  <c r="U1206" i="52"/>
  <c r="V1206" i="52"/>
  <c r="T1207" i="52"/>
  <c r="U1207" i="52"/>
  <c r="V1207" i="52"/>
  <c r="T1208" i="52"/>
  <c r="U1208" i="52"/>
  <c r="V1208" i="52"/>
  <c r="T1209" i="52"/>
  <c r="U1209" i="52"/>
  <c r="V1209" i="52"/>
  <c r="T1210" i="52"/>
  <c r="U1210" i="52"/>
  <c r="V1210" i="52"/>
  <c r="T1211" i="52"/>
  <c r="U1211" i="52"/>
  <c r="V1211" i="52"/>
  <c r="T1212" i="52"/>
  <c r="U1212" i="52"/>
  <c r="V1212" i="52"/>
  <c r="T1213" i="52"/>
  <c r="U1213" i="52"/>
  <c r="V1213" i="52"/>
  <c r="T1214" i="52"/>
  <c r="U1214" i="52"/>
  <c r="V1214" i="52"/>
  <c r="T1215" i="52"/>
  <c r="U1215" i="52"/>
  <c r="V1215" i="52"/>
  <c r="T1216" i="52"/>
  <c r="U1216" i="52"/>
  <c r="V1216" i="52"/>
  <c r="T1217" i="52"/>
  <c r="U1217" i="52"/>
  <c r="V1217" i="52"/>
  <c r="T1218" i="52"/>
  <c r="U1218" i="52"/>
  <c r="V1218" i="52"/>
  <c r="T1219" i="52"/>
  <c r="U1219" i="52"/>
  <c r="V1219" i="52"/>
  <c r="T1220" i="52"/>
  <c r="U1220" i="52"/>
  <c r="V1220" i="52"/>
  <c r="T1221" i="52"/>
  <c r="U1221" i="52"/>
  <c r="V1221" i="52"/>
  <c r="T1222" i="52"/>
  <c r="U1222" i="52"/>
  <c r="V1222" i="52"/>
  <c r="T1223" i="52"/>
  <c r="U1223" i="52"/>
  <c r="V1223" i="52"/>
  <c r="T1224" i="52"/>
  <c r="U1224" i="52"/>
  <c r="V1224" i="52"/>
  <c r="T1225" i="52"/>
  <c r="U1225" i="52"/>
  <c r="V1225" i="52"/>
  <c r="T1226" i="52"/>
  <c r="U1226" i="52"/>
  <c r="V1226" i="52"/>
  <c r="T1227" i="52"/>
  <c r="U1227" i="52"/>
  <c r="V1227" i="52"/>
  <c r="T1228" i="52"/>
  <c r="U1228" i="52"/>
  <c r="V1228" i="52"/>
  <c r="T1229" i="52"/>
  <c r="U1229" i="52"/>
  <c r="V1229" i="52"/>
  <c r="T1230" i="52"/>
  <c r="U1230" i="52"/>
  <c r="V1230" i="52"/>
  <c r="T1231" i="52"/>
  <c r="U1231" i="52"/>
  <c r="V1231" i="52"/>
  <c r="T1232" i="52"/>
  <c r="U1232" i="52"/>
  <c r="V1232" i="52"/>
  <c r="T1233" i="52"/>
  <c r="U1233" i="52"/>
  <c r="V1233" i="52"/>
  <c r="T1234" i="52"/>
  <c r="U1234" i="52"/>
  <c r="V1234" i="52"/>
  <c r="T1235" i="52"/>
  <c r="U1235" i="52"/>
  <c r="V1235" i="52"/>
  <c r="T1236" i="52"/>
  <c r="U1236" i="52"/>
  <c r="V1236" i="52"/>
  <c r="T1237" i="52"/>
  <c r="U1237" i="52"/>
  <c r="V1237" i="52"/>
  <c r="T1238" i="52"/>
  <c r="U1238" i="52"/>
  <c r="V1238" i="52"/>
  <c r="T1239" i="52"/>
  <c r="U1239" i="52"/>
  <c r="V1239" i="52"/>
  <c r="T1240" i="52"/>
  <c r="U1240" i="52"/>
  <c r="V1240" i="52"/>
  <c r="T1241" i="52"/>
  <c r="U1241" i="52"/>
  <c r="V1241" i="52"/>
  <c r="T1242" i="52"/>
  <c r="U1242" i="52"/>
  <c r="V1242" i="52"/>
  <c r="T1243" i="52"/>
  <c r="U1243" i="52"/>
  <c r="V1243" i="52"/>
  <c r="T1244" i="52"/>
  <c r="U1244" i="52"/>
  <c r="V1244" i="52"/>
  <c r="T1245" i="52"/>
  <c r="U1245" i="52"/>
  <c r="V1245" i="52"/>
  <c r="T1246" i="52"/>
  <c r="U1246" i="52"/>
  <c r="V1246" i="52"/>
  <c r="T1247" i="52"/>
  <c r="U1247" i="52"/>
  <c r="V1247" i="52"/>
  <c r="T1248" i="52"/>
  <c r="U1248" i="52"/>
  <c r="V1248" i="52"/>
  <c r="T1249" i="52"/>
  <c r="U1249" i="52"/>
  <c r="V1249" i="52"/>
  <c r="T1250" i="52"/>
  <c r="U1250" i="52"/>
  <c r="V1250" i="52"/>
  <c r="T1251" i="52"/>
  <c r="U1251" i="52"/>
  <c r="V1251" i="52"/>
  <c r="T1252" i="52"/>
  <c r="U1252" i="52"/>
  <c r="V1252" i="52"/>
  <c r="T1253" i="52"/>
  <c r="U1253" i="52"/>
  <c r="V1253" i="52"/>
  <c r="T1254" i="52"/>
  <c r="U1254" i="52"/>
  <c r="V1254" i="52"/>
  <c r="T1255" i="52"/>
  <c r="U1255" i="52"/>
  <c r="V1255" i="52"/>
  <c r="T1256" i="52"/>
  <c r="U1256" i="52"/>
  <c r="V1256" i="52"/>
  <c r="T1257" i="52"/>
  <c r="U1257" i="52"/>
  <c r="V1257" i="52"/>
  <c r="T1258" i="52"/>
  <c r="U1258" i="52"/>
  <c r="V1258" i="52"/>
  <c r="T1259" i="52"/>
  <c r="U1259" i="52"/>
  <c r="V1259" i="52"/>
  <c r="T1260" i="52"/>
  <c r="U1260" i="52"/>
  <c r="V1260" i="52"/>
  <c r="T1261" i="52"/>
  <c r="U1261" i="52"/>
  <c r="V1261" i="52"/>
  <c r="T1262" i="52"/>
  <c r="U1262" i="52"/>
  <c r="V1262" i="52"/>
  <c r="T1263" i="52"/>
  <c r="U1263" i="52"/>
  <c r="V1263" i="52"/>
  <c r="T1264" i="52"/>
  <c r="U1264" i="52"/>
  <c r="V1264" i="52"/>
  <c r="T1265" i="52"/>
  <c r="U1265" i="52"/>
  <c r="V1265" i="52"/>
  <c r="T1266" i="52"/>
  <c r="U1266" i="52"/>
  <c r="V1266" i="52"/>
  <c r="T1267" i="52"/>
  <c r="U1267" i="52"/>
  <c r="V1267" i="52"/>
  <c r="T1268" i="52"/>
  <c r="U1268" i="52"/>
  <c r="V1268" i="52"/>
  <c r="T1269" i="52"/>
  <c r="U1269" i="52"/>
  <c r="V1269" i="52"/>
  <c r="T1270" i="52"/>
  <c r="U1270" i="52"/>
  <c r="V1270" i="52"/>
  <c r="T1271" i="52"/>
  <c r="U1271" i="52"/>
  <c r="V1271" i="52"/>
  <c r="T1272" i="52"/>
  <c r="U1272" i="52"/>
  <c r="V1272" i="52"/>
  <c r="T1273" i="52"/>
  <c r="U1273" i="52"/>
  <c r="V1273" i="52"/>
  <c r="T1274" i="52"/>
  <c r="U1274" i="52"/>
  <c r="V1274" i="52"/>
  <c r="T1275" i="52"/>
  <c r="U1275" i="52"/>
  <c r="V1275" i="52"/>
  <c r="T1276" i="52"/>
  <c r="U1276" i="52"/>
  <c r="V1276" i="52"/>
  <c r="T1277" i="52"/>
  <c r="U1277" i="52"/>
  <c r="V1277" i="52"/>
  <c r="T1278" i="52"/>
  <c r="U1278" i="52"/>
  <c r="V1278" i="52"/>
  <c r="T1279" i="52"/>
  <c r="U1279" i="52"/>
  <c r="V1279" i="52"/>
  <c r="T1280" i="52"/>
  <c r="U1280" i="52"/>
  <c r="V1280" i="52"/>
  <c r="T1281" i="52"/>
  <c r="U1281" i="52"/>
  <c r="V1281" i="52"/>
  <c r="T1282" i="52"/>
  <c r="U1282" i="52"/>
  <c r="V1282" i="52"/>
  <c r="T1283" i="52"/>
  <c r="U1283" i="52"/>
  <c r="V1283" i="52"/>
  <c r="T1284" i="52"/>
  <c r="U1284" i="52"/>
  <c r="V1284" i="52"/>
  <c r="T1285" i="52"/>
  <c r="U1285" i="52"/>
  <c r="V1285" i="52"/>
  <c r="T1286" i="52"/>
  <c r="U1286" i="52"/>
  <c r="V1286" i="52"/>
  <c r="T1287" i="52"/>
  <c r="U1287" i="52"/>
  <c r="V1287" i="52"/>
  <c r="T1288" i="52"/>
  <c r="U1288" i="52"/>
  <c r="V1288" i="52"/>
  <c r="T1289" i="52"/>
  <c r="U1289" i="52"/>
  <c r="V1289" i="52"/>
  <c r="T1290" i="52"/>
  <c r="U1290" i="52"/>
  <c r="V1290" i="52"/>
  <c r="T1291" i="52"/>
  <c r="U1291" i="52"/>
  <c r="V1291" i="52"/>
  <c r="T1292" i="52"/>
  <c r="U1292" i="52"/>
  <c r="V1292" i="52"/>
  <c r="T1293" i="52"/>
  <c r="U1293" i="52"/>
  <c r="V1293" i="52"/>
  <c r="T1294" i="52"/>
  <c r="U1294" i="52"/>
  <c r="V1294" i="52"/>
  <c r="T1295" i="52"/>
  <c r="U1295" i="52"/>
  <c r="V1295" i="52"/>
  <c r="T1296" i="52"/>
  <c r="U1296" i="52"/>
  <c r="V1296" i="52"/>
  <c r="T1297" i="52"/>
  <c r="U1297" i="52"/>
  <c r="V1297" i="52"/>
  <c r="T1298" i="52"/>
  <c r="U1298" i="52"/>
  <c r="V1298" i="52"/>
  <c r="T1299" i="52"/>
  <c r="U1299" i="52"/>
  <c r="V1299" i="52"/>
  <c r="T1300" i="52"/>
  <c r="U1300" i="52"/>
  <c r="V1300" i="52"/>
  <c r="T1301" i="52"/>
  <c r="U1301" i="52"/>
  <c r="V1301" i="52"/>
  <c r="T1302" i="52"/>
  <c r="U1302" i="52"/>
  <c r="V1302" i="52"/>
  <c r="T1303" i="52"/>
  <c r="U1303" i="52"/>
  <c r="V1303" i="52"/>
  <c r="T1304" i="52"/>
  <c r="U1304" i="52"/>
  <c r="V1304" i="52"/>
  <c r="T1305" i="52"/>
  <c r="U1305" i="52"/>
  <c r="V1305" i="52"/>
  <c r="T1306" i="52"/>
  <c r="U1306" i="52"/>
  <c r="V1306" i="52"/>
  <c r="T1307" i="52"/>
  <c r="U1307" i="52"/>
  <c r="V1307" i="52"/>
  <c r="T1308" i="52"/>
  <c r="U1308" i="52"/>
  <c r="V1308" i="52"/>
  <c r="T1309" i="52"/>
  <c r="U1309" i="52"/>
  <c r="V1309" i="52"/>
  <c r="T1310" i="52"/>
  <c r="U1310" i="52"/>
  <c r="V1310" i="52"/>
  <c r="T1311" i="52"/>
  <c r="U1311" i="52"/>
  <c r="V1311" i="52"/>
  <c r="T1312" i="52"/>
  <c r="U1312" i="52"/>
  <c r="V1312" i="52"/>
  <c r="T1313" i="52"/>
  <c r="U1313" i="52"/>
  <c r="V1313" i="52"/>
  <c r="T1314" i="52"/>
  <c r="U1314" i="52"/>
  <c r="V1314" i="52"/>
  <c r="T1315" i="52"/>
  <c r="U1315" i="52"/>
  <c r="V1315" i="52"/>
  <c r="T1316" i="52"/>
  <c r="U1316" i="52"/>
  <c r="V1316" i="52"/>
  <c r="T1317" i="52"/>
  <c r="U1317" i="52"/>
  <c r="V1317" i="52"/>
  <c r="T1318" i="52"/>
  <c r="U1318" i="52"/>
  <c r="V1318" i="52"/>
  <c r="T1319" i="52"/>
  <c r="U1319" i="52"/>
  <c r="V1319" i="52"/>
  <c r="T1320" i="52"/>
  <c r="U1320" i="52"/>
  <c r="V1320" i="52"/>
  <c r="T1321" i="52"/>
  <c r="U1321" i="52"/>
  <c r="V1321" i="52"/>
  <c r="T1322" i="52"/>
  <c r="U1322" i="52"/>
  <c r="V1322" i="52"/>
  <c r="T1323" i="52"/>
  <c r="U1323" i="52"/>
  <c r="V1323" i="52"/>
  <c r="T1324" i="52"/>
  <c r="U1324" i="52"/>
  <c r="V1324" i="52"/>
  <c r="T1325" i="52"/>
  <c r="U1325" i="52"/>
  <c r="V1325" i="52"/>
  <c r="T1326" i="52"/>
  <c r="U1326" i="52"/>
  <c r="V1326" i="52"/>
  <c r="T1327" i="52"/>
  <c r="U1327" i="52"/>
  <c r="V1327" i="52"/>
  <c r="T1328" i="52"/>
  <c r="U1328" i="52"/>
  <c r="V1328" i="52"/>
  <c r="T1329" i="52"/>
  <c r="U1329" i="52"/>
  <c r="V1329" i="52"/>
  <c r="T1330" i="52"/>
  <c r="U1330" i="52"/>
  <c r="V1330" i="52"/>
  <c r="T1331" i="52"/>
  <c r="U1331" i="52"/>
  <c r="V1331" i="52"/>
  <c r="T1332" i="52"/>
  <c r="U1332" i="52"/>
  <c r="V1332" i="52"/>
  <c r="T1333" i="52"/>
  <c r="U1333" i="52"/>
  <c r="V1333" i="52"/>
  <c r="T1334" i="52"/>
  <c r="U1334" i="52"/>
  <c r="V1334" i="52"/>
  <c r="T1335" i="52"/>
  <c r="U1335" i="52"/>
  <c r="V1335" i="52"/>
  <c r="T1336" i="52"/>
  <c r="U1336" i="52"/>
  <c r="V1336" i="52"/>
  <c r="T1337" i="52"/>
  <c r="U1337" i="52"/>
  <c r="V1337" i="52"/>
  <c r="T1338" i="52"/>
  <c r="U1338" i="52"/>
  <c r="V1338" i="52"/>
  <c r="T1339" i="52"/>
  <c r="U1339" i="52"/>
  <c r="V1339" i="52"/>
  <c r="T1340" i="52"/>
  <c r="U1340" i="52"/>
  <c r="V1340" i="52"/>
  <c r="T1341" i="52"/>
  <c r="U1341" i="52"/>
  <c r="V1341" i="52"/>
  <c r="T1342" i="52"/>
  <c r="U1342" i="52"/>
  <c r="V1342" i="52"/>
  <c r="T1343" i="52"/>
  <c r="U1343" i="52"/>
  <c r="V1343" i="52"/>
  <c r="T1344" i="52"/>
  <c r="U1344" i="52"/>
  <c r="V1344" i="52"/>
  <c r="T1345" i="52"/>
  <c r="U1345" i="52"/>
  <c r="V1345" i="52"/>
  <c r="T1346" i="52"/>
  <c r="U1346" i="52"/>
  <c r="V1346" i="52"/>
  <c r="T1347" i="52"/>
  <c r="U1347" i="52"/>
  <c r="V1347" i="52"/>
  <c r="T1348" i="52"/>
  <c r="U1348" i="52"/>
  <c r="V1348" i="52"/>
  <c r="T1349" i="52"/>
  <c r="U1349" i="52"/>
  <c r="V1349" i="52"/>
  <c r="T1350" i="52"/>
  <c r="U1350" i="52"/>
  <c r="V1350" i="52"/>
  <c r="T1351" i="52"/>
  <c r="U1351" i="52"/>
  <c r="V1351" i="52"/>
  <c r="T1352" i="52"/>
  <c r="U1352" i="52"/>
  <c r="V1352" i="52"/>
  <c r="T1353" i="52"/>
  <c r="U1353" i="52"/>
  <c r="V1353" i="52"/>
  <c r="T1354" i="52"/>
  <c r="U1354" i="52"/>
  <c r="V1354" i="52"/>
  <c r="T1355" i="52"/>
  <c r="U1355" i="52"/>
  <c r="V1355" i="52"/>
  <c r="T1356" i="52"/>
  <c r="U1356" i="52"/>
  <c r="V1356" i="52"/>
  <c r="T1357" i="52"/>
  <c r="U1357" i="52"/>
  <c r="V1357" i="52"/>
  <c r="T1358" i="52"/>
  <c r="U1358" i="52"/>
  <c r="V1358" i="52"/>
  <c r="T1359" i="52"/>
  <c r="U1359" i="52"/>
  <c r="V1359" i="52"/>
  <c r="T1360" i="52"/>
  <c r="U1360" i="52"/>
  <c r="V1360" i="52"/>
  <c r="T1361" i="52"/>
  <c r="U1361" i="52"/>
  <c r="V1361" i="52"/>
  <c r="T1362" i="52"/>
  <c r="U1362" i="52"/>
  <c r="V1362" i="52"/>
  <c r="T1363" i="52"/>
  <c r="U1363" i="52"/>
  <c r="V1363" i="52"/>
  <c r="T1364" i="52"/>
  <c r="U1364" i="52"/>
  <c r="V1364" i="52"/>
  <c r="T1365" i="52"/>
  <c r="U1365" i="52"/>
  <c r="V1365" i="52"/>
  <c r="T1366" i="52"/>
  <c r="U1366" i="52"/>
  <c r="V1366" i="52"/>
  <c r="T1367" i="52"/>
  <c r="U1367" i="52"/>
  <c r="V1367" i="52"/>
  <c r="T1368" i="52"/>
  <c r="U1368" i="52"/>
  <c r="V1368" i="52"/>
  <c r="T1369" i="52"/>
  <c r="U1369" i="52"/>
  <c r="V1369" i="52"/>
  <c r="T1370" i="52"/>
  <c r="U1370" i="52"/>
  <c r="V1370" i="52"/>
  <c r="T1371" i="52"/>
  <c r="U1371" i="52"/>
  <c r="V1371" i="52"/>
  <c r="T1372" i="52"/>
  <c r="U1372" i="52"/>
  <c r="V1372" i="52"/>
  <c r="T1373" i="52"/>
  <c r="U1373" i="52"/>
  <c r="V1373" i="52"/>
  <c r="T1374" i="52"/>
  <c r="U1374" i="52"/>
  <c r="V1374" i="52"/>
  <c r="T1375" i="52"/>
  <c r="U1375" i="52"/>
  <c r="V1375" i="52"/>
  <c r="T1376" i="52"/>
  <c r="U1376" i="52"/>
  <c r="V1376" i="52"/>
  <c r="T1377" i="52"/>
  <c r="U1377" i="52"/>
  <c r="V1377" i="52"/>
  <c r="T1378" i="52"/>
  <c r="U1378" i="52"/>
  <c r="V1378" i="52"/>
  <c r="T1379" i="52"/>
  <c r="U1379" i="52"/>
  <c r="V1379" i="52"/>
  <c r="T1380" i="52"/>
  <c r="U1380" i="52"/>
  <c r="V1380" i="52"/>
  <c r="T1381" i="52"/>
  <c r="U1381" i="52"/>
  <c r="V1381" i="52"/>
  <c r="T1382" i="52"/>
  <c r="U1382" i="52"/>
  <c r="V1382" i="52"/>
  <c r="T1383" i="52"/>
  <c r="U1383" i="52"/>
  <c r="V1383" i="52"/>
  <c r="T1384" i="52"/>
  <c r="U1384" i="52"/>
  <c r="V1384" i="52"/>
  <c r="T1385" i="52"/>
  <c r="U1385" i="52"/>
  <c r="V1385" i="52"/>
  <c r="T1386" i="52"/>
  <c r="U1386" i="52"/>
  <c r="V1386" i="52"/>
  <c r="T1387" i="52"/>
  <c r="U1387" i="52"/>
  <c r="V1387" i="52"/>
  <c r="T1388" i="52"/>
  <c r="U1388" i="52"/>
  <c r="V1388" i="52"/>
  <c r="T1389" i="52"/>
  <c r="U1389" i="52"/>
  <c r="V1389" i="52"/>
  <c r="T1390" i="52"/>
  <c r="U1390" i="52"/>
  <c r="V1390" i="52"/>
  <c r="T1391" i="52"/>
  <c r="U1391" i="52"/>
  <c r="V1391" i="52"/>
  <c r="T1392" i="52"/>
  <c r="U1392" i="52"/>
  <c r="V1392" i="52"/>
  <c r="T1393" i="52"/>
  <c r="U1393" i="52"/>
  <c r="V1393" i="52"/>
  <c r="T1394" i="52"/>
  <c r="U1394" i="52"/>
  <c r="V1394" i="52"/>
  <c r="T1395" i="52"/>
  <c r="U1395" i="52"/>
  <c r="V1395" i="52"/>
  <c r="T1396" i="52"/>
  <c r="U1396" i="52"/>
  <c r="V1396" i="52"/>
  <c r="T1397" i="52"/>
  <c r="U1397" i="52"/>
  <c r="V1397" i="52"/>
  <c r="T1398" i="52"/>
  <c r="U1398" i="52"/>
  <c r="V1398" i="52"/>
  <c r="T1399" i="52"/>
  <c r="U1399" i="52"/>
  <c r="V1399" i="52"/>
  <c r="T1400" i="52"/>
  <c r="U1400" i="52"/>
  <c r="V1400" i="52"/>
  <c r="T1401" i="52"/>
  <c r="U1401" i="52"/>
  <c r="V1401" i="52"/>
  <c r="T1402" i="52"/>
  <c r="U1402" i="52"/>
  <c r="V1402" i="52"/>
  <c r="T1403" i="52"/>
  <c r="U1403" i="52"/>
  <c r="V1403" i="52"/>
  <c r="T1404" i="52"/>
  <c r="U1404" i="52"/>
  <c r="V1404" i="52"/>
  <c r="T1405" i="52"/>
  <c r="U1405" i="52"/>
  <c r="V1405" i="52"/>
  <c r="T1406" i="52"/>
  <c r="U1406" i="52"/>
  <c r="V1406" i="52"/>
  <c r="T1407" i="52"/>
  <c r="U1407" i="52"/>
  <c r="V1407" i="52"/>
  <c r="T1408" i="52"/>
  <c r="U1408" i="52"/>
  <c r="V1408" i="52"/>
  <c r="T1409" i="52"/>
  <c r="U1409" i="52"/>
  <c r="V1409" i="52"/>
  <c r="T1410" i="52"/>
  <c r="U1410" i="52"/>
  <c r="V1410" i="52"/>
  <c r="T1411" i="52"/>
  <c r="U1411" i="52"/>
  <c r="V1411" i="52"/>
  <c r="T1412" i="52"/>
  <c r="U1412" i="52"/>
  <c r="V1412" i="52"/>
  <c r="T1413" i="52"/>
  <c r="U1413" i="52"/>
  <c r="V1413" i="52"/>
  <c r="T1414" i="52"/>
  <c r="U1414" i="52"/>
  <c r="V1414" i="52"/>
  <c r="T1415" i="52"/>
  <c r="U1415" i="52"/>
  <c r="V1415" i="52"/>
  <c r="T1416" i="52"/>
  <c r="U1416" i="52"/>
  <c r="V1416" i="52"/>
  <c r="T1417" i="52"/>
  <c r="U1417" i="52"/>
  <c r="V1417" i="52"/>
  <c r="T1418" i="52"/>
  <c r="U1418" i="52"/>
  <c r="V1418" i="52"/>
  <c r="T1419" i="52"/>
  <c r="U1419" i="52"/>
  <c r="V1419" i="52"/>
  <c r="T1420" i="52"/>
  <c r="U1420" i="52"/>
  <c r="V1420" i="52"/>
  <c r="T1421" i="52"/>
  <c r="U1421" i="52"/>
  <c r="V1421" i="52"/>
  <c r="T1422" i="52"/>
  <c r="U1422" i="52"/>
  <c r="V1422" i="52"/>
  <c r="T1423" i="52"/>
  <c r="U1423" i="52"/>
  <c r="V1423" i="52"/>
  <c r="T1424" i="52"/>
  <c r="U1424" i="52"/>
  <c r="V1424" i="52"/>
  <c r="T1425" i="52"/>
  <c r="U1425" i="52"/>
  <c r="V1425" i="52"/>
  <c r="T1426" i="52"/>
  <c r="U1426" i="52"/>
  <c r="V1426" i="52"/>
  <c r="T1427" i="52"/>
  <c r="U1427" i="52"/>
  <c r="V1427" i="52"/>
  <c r="T1428" i="52"/>
  <c r="U1428" i="52"/>
  <c r="V1428" i="52"/>
  <c r="T1429" i="52"/>
  <c r="U1429" i="52"/>
  <c r="V1429" i="52"/>
  <c r="T1430" i="52"/>
  <c r="U1430" i="52"/>
  <c r="V1430" i="52"/>
  <c r="T1431" i="52"/>
  <c r="U1431" i="52"/>
  <c r="V1431" i="52"/>
  <c r="T1432" i="52"/>
  <c r="U1432" i="52"/>
  <c r="V1432" i="52"/>
  <c r="T1433" i="52"/>
  <c r="U1433" i="52"/>
  <c r="V1433" i="52"/>
  <c r="T1434" i="52"/>
  <c r="U1434" i="52"/>
  <c r="V1434" i="52"/>
  <c r="T1435" i="52"/>
  <c r="U1435" i="52"/>
  <c r="V1435" i="52"/>
  <c r="T1436" i="52"/>
  <c r="U1436" i="52"/>
  <c r="V1436" i="52"/>
  <c r="T1437" i="52"/>
  <c r="U1437" i="52"/>
  <c r="V1437" i="52"/>
  <c r="T1438" i="52"/>
  <c r="U1438" i="52"/>
  <c r="V1438" i="52"/>
  <c r="T1439" i="52"/>
  <c r="U1439" i="52"/>
  <c r="V1439" i="52"/>
  <c r="T1440" i="52"/>
  <c r="U1440" i="52"/>
  <c r="V1440" i="52"/>
  <c r="T1441" i="52"/>
  <c r="U1441" i="52"/>
  <c r="V1441" i="52"/>
  <c r="T1442" i="52"/>
  <c r="U1442" i="52"/>
  <c r="V1442" i="52"/>
  <c r="T1443" i="52"/>
  <c r="U1443" i="52"/>
  <c r="V1443" i="52"/>
  <c r="T1444" i="52"/>
  <c r="U1444" i="52"/>
  <c r="V1444" i="52"/>
  <c r="T1445" i="52"/>
  <c r="U1445" i="52"/>
  <c r="V1445" i="52"/>
  <c r="T1446" i="52"/>
  <c r="U1446" i="52"/>
  <c r="V1446" i="52"/>
  <c r="T1447" i="52"/>
  <c r="U1447" i="52"/>
  <c r="V1447" i="52"/>
  <c r="T1448" i="52"/>
  <c r="U1448" i="52"/>
  <c r="V1448" i="52"/>
  <c r="T1449" i="52"/>
  <c r="U1449" i="52"/>
  <c r="V1449" i="52"/>
  <c r="T1450" i="52"/>
  <c r="U1450" i="52"/>
  <c r="V1450" i="52"/>
  <c r="T1451" i="52"/>
  <c r="U1451" i="52"/>
  <c r="V1451" i="52"/>
  <c r="T1452" i="52"/>
  <c r="U1452" i="52"/>
  <c r="V1452" i="52"/>
  <c r="T1453" i="52"/>
  <c r="U1453" i="52"/>
  <c r="V1453" i="52"/>
  <c r="T1454" i="52"/>
  <c r="U1454" i="52"/>
  <c r="V1454" i="52"/>
  <c r="T1455" i="52"/>
  <c r="U1455" i="52"/>
  <c r="V1455" i="52"/>
  <c r="T1456" i="52"/>
  <c r="U1456" i="52"/>
  <c r="V1456" i="52"/>
  <c r="T1457" i="52"/>
  <c r="U1457" i="52"/>
  <c r="V1457" i="52"/>
  <c r="T1458" i="52"/>
  <c r="U1458" i="52"/>
  <c r="V1458" i="52"/>
  <c r="T1459" i="52"/>
  <c r="U1459" i="52"/>
  <c r="V1459" i="52"/>
  <c r="T1460" i="52"/>
  <c r="U1460" i="52"/>
  <c r="V1460" i="52"/>
  <c r="T1461" i="52"/>
  <c r="U1461" i="52"/>
  <c r="V1461" i="52"/>
  <c r="T1462" i="52"/>
  <c r="U1462" i="52"/>
  <c r="V1462" i="52"/>
  <c r="T1463" i="52"/>
  <c r="U1463" i="52"/>
  <c r="V1463" i="52"/>
  <c r="T1464" i="52"/>
  <c r="U1464" i="52"/>
  <c r="V1464" i="52"/>
  <c r="T1465" i="52"/>
  <c r="U1465" i="52"/>
  <c r="V1465" i="52"/>
  <c r="T1466" i="52"/>
  <c r="U1466" i="52"/>
  <c r="V1466" i="52"/>
  <c r="T1467" i="52"/>
  <c r="U1467" i="52"/>
  <c r="V1467" i="52"/>
  <c r="T1468" i="52"/>
  <c r="U1468" i="52"/>
  <c r="V1468" i="52"/>
  <c r="T1469" i="52"/>
  <c r="U1469" i="52"/>
  <c r="V1469" i="52"/>
  <c r="T1470" i="52"/>
  <c r="U1470" i="52"/>
  <c r="V1470" i="52"/>
  <c r="T1471" i="52"/>
  <c r="U1471" i="52"/>
  <c r="V1471" i="52"/>
  <c r="T1472" i="52"/>
  <c r="U1472" i="52"/>
  <c r="V1472" i="52"/>
  <c r="T1473" i="52"/>
  <c r="U1473" i="52"/>
  <c r="V1473" i="52"/>
  <c r="T1474" i="52"/>
  <c r="U1474" i="52"/>
  <c r="V1474" i="52"/>
  <c r="T1475" i="52"/>
  <c r="U1475" i="52"/>
  <c r="V1475" i="52"/>
  <c r="T1476" i="52"/>
  <c r="U1476" i="52"/>
  <c r="V1476" i="52"/>
  <c r="T1477" i="52"/>
  <c r="U1477" i="52"/>
  <c r="V1477" i="52"/>
  <c r="T1478" i="52"/>
  <c r="U1478" i="52"/>
  <c r="V1478" i="52"/>
  <c r="T1479" i="52"/>
  <c r="U1479" i="52"/>
  <c r="V1479" i="52"/>
  <c r="T1480" i="52"/>
  <c r="U1480" i="52"/>
  <c r="V1480" i="52"/>
  <c r="T1481" i="52"/>
  <c r="U1481" i="52"/>
  <c r="V1481" i="52"/>
  <c r="T1482" i="52"/>
  <c r="U1482" i="52"/>
  <c r="V1482" i="52"/>
  <c r="T1483" i="52"/>
  <c r="U1483" i="52"/>
  <c r="V1483" i="52"/>
  <c r="T1484" i="52"/>
  <c r="U1484" i="52"/>
  <c r="V1484" i="52"/>
  <c r="T1485" i="52"/>
  <c r="U1485" i="52"/>
  <c r="V1485" i="52"/>
  <c r="T1486" i="52"/>
  <c r="U1486" i="52"/>
  <c r="V1486" i="52"/>
  <c r="T1487" i="52"/>
  <c r="U1487" i="52"/>
  <c r="V1487" i="52"/>
  <c r="T1488" i="52"/>
  <c r="U1488" i="52"/>
  <c r="V1488" i="52"/>
  <c r="T1489" i="52"/>
  <c r="U1489" i="52"/>
  <c r="V1489" i="52"/>
  <c r="T1490" i="52"/>
  <c r="U1490" i="52"/>
  <c r="V1490" i="52"/>
  <c r="T1491" i="52"/>
  <c r="U1491" i="52"/>
  <c r="V1491" i="52"/>
  <c r="T1492" i="52"/>
  <c r="U1492" i="52"/>
  <c r="V1492" i="52"/>
  <c r="T1493" i="52"/>
  <c r="U1493" i="52"/>
  <c r="V1493" i="52"/>
  <c r="T1494" i="52"/>
  <c r="U1494" i="52"/>
  <c r="V1494" i="52"/>
  <c r="T1495" i="52"/>
  <c r="U1495" i="52"/>
  <c r="V1495" i="52"/>
  <c r="T1496" i="52"/>
  <c r="U1496" i="52"/>
  <c r="V1496" i="52"/>
  <c r="T1497" i="52"/>
  <c r="U1497" i="52"/>
  <c r="V1497" i="52"/>
  <c r="T1498" i="52"/>
  <c r="U1498" i="52"/>
  <c r="V1498" i="52"/>
  <c r="T1499" i="52"/>
  <c r="U1499" i="52"/>
  <c r="V1499" i="52"/>
  <c r="T1500" i="52"/>
  <c r="U1500" i="52"/>
  <c r="V1500" i="52"/>
  <c r="T1501" i="52"/>
  <c r="U1501" i="52"/>
  <c r="V1501" i="52"/>
  <c r="T1502" i="52"/>
  <c r="U1502" i="52"/>
  <c r="V1502" i="52"/>
  <c r="T1503" i="52"/>
  <c r="U1503" i="52"/>
  <c r="V1503" i="52"/>
  <c r="T1504" i="52"/>
  <c r="U1504" i="52"/>
  <c r="V1504" i="52"/>
  <c r="T1505" i="52"/>
  <c r="U1505" i="52"/>
  <c r="V1505" i="52"/>
  <c r="T1506" i="52"/>
  <c r="U1506" i="52"/>
  <c r="V1506" i="52"/>
  <c r="T1507" i="52"/>
  <c r="U1507" i="52"/>
  <c r="V1507" i="52"/>
  <c r="T1508" i="52"/>
  <c r="U1508" i="52"/>
  <c r="V1508" i="52"/>
  <c r="T1509" i="52"/>
  <c r="U1509" i="52"/>
  <c r="V1509" i="52"/>
  <c r="T1510" i="52"/>
  <c r="U1510" i="52"/>
  <c r="V1510" i="52"/>
  <c r="T1511" i="52"/>
  <c r="U1511" i="52"/>
  <c r="V1511" i="52"/>
  <c r="T1512" i="52"/>
  <c r="U1512" i="52"/>
  <c r="V1512" i="52"/>
  <c r="T1513" i="52"/>
  <c r="U1513" i="52"/>
  <c r="V1513" i="52"/>
  <c r="T1514" i="52"/>
  <c r="U1514" i="52"/>
  <c r="V1514" i="52"/>
  <c r="T1515" i="52"/>
  <c r="U1515" i="52"/>
  <c r="V1515" i="52"/>
  <c r="T1516" i="52"/>
  <c r="U1516" i="52"/>
  <c r="V1516" i="52"/>
  <c r="T1517" i="52"/>
  <c r="U1517" i="52"/>
  <c r="V1517" i="52"/>
  <c r="T1518" i="52"/>
  <c r="U1518" i="52"/>
  <c r="V1518" i="52"/>
  <c r="T1519" i="52"/>
  <c r="U1519" i="52"/>
  <c r="V1519" i="52"/>
  <c r="T1520" i="52"/>
  <c r="U1520" i="52"/>
  <c r="V1520" i="52"/>
  <c r="T1521" i="52"/>
  <c r="U1521" i="52"/>
  <c r="V1521" i="52"/>
  <c r="T1522" i="52"/>
  <c r="U1522" i="52"/>
  <c r="V1522" i="52"/>
  <c r="T1523" i="52"/>
  <c r="U1523" i="52"/>
  <c r="V1523" i="52"/>
  <c r="T1524" i="52"/>
  <c r="U1524" i="52"/>
  <c r="V1524" i="52"/>
  <c r="T1525" i="52"/>
  <c r="U1525" i="52"/>
  <c r="V1525" i="52"/>
  <c r="T1526" i="52"/>
  <c r="U1526" i="52"/>
  <c r="V1526" i="52"/>
  <c r="T1527" i="52"/>
  <c r="U1527" i="52"/>
  <c r="V1527" i="52"/>
  <c r="T1528" i="52"/>
  <c r="U1528" i="52"/>
  <c r="V1528" i="52"/>
  <c r="T1529" i="52"/>
  <c r="U1529" i="52"/>
  <c r="V1529" i="52"/>
  <c r="T1530" i="52"/>
  <c r="U1530" i="52"/>
  <c r="V1530" i="52"/>
  <c r="T1531" i="52"/>
  <c r="U1531" i="52"/>
  <c r="V1531" i="52"/>
  <c r="T1532" i="52"/>
  <c r="U1532" i="52"/>
  <c r="V1532" i="52"/>
  <c r="T1533" i="52"/>
  <c r="U1533" i="52"/>
  <c r="V1533" i="52"/>
  <c r="T1534" i="52"/>
  <c r="U1534" i="52"/>
  <c r="V1534" i="52"/>
  <c r="T1535" i="52"/>
  <c r="U1535" i="52"/>
  <c r="V1535" i="52"/>
  <c r="T1536" i="52"/>
  <c r="U1536" i="52"/>
  <c r="V1536" i="52"/>
  <c r="T1537" i="52"/>
  <c r="U1537" i="52"/>
  <c r="V1537" i="52"/>
  <c r="T1538" i="52"/>
  <c r="U1538" i="52"/>
  <c r="V1538" i="52"/>
  <c r="T1539" i="52"/>
  <c r="U1539" i="52"/>
  <c r="V1539" i="52"/>
  <c r="T1540" i="52"/>
  <c r="U1540" i="52"/>
  <c r="V1540" i="52"/>
  <c r="T1541" i="52"/>
  <c r="U1541" i="52"/>
  <c r="V1541" i="52"/>
  <c r="T1542" i="52"/>
  <c r="U1542" i="52"/>
  <c r="V1542" i="52"/>
  <c r="T1543" i="52"/>
  <c r="U1543" i="52"/>
  <c r="V1543" i="52"/>
  <c r="T1544" i="52"/>
  <c r="U1544" i="52"/>
  <c r="V1544" i="52"/>
  <c r="T1545" i="52"/>
  <c r="U1545" i="52"/>
  <c r="V1545" i="52"/>
  <c r="T1546" i="52"/>
  <c r="U1546" i="52"/>
  <c r="V1546" i="52"/>
  <c r="T1547" i="52"/>
  <c r="U1547" i="52"/>
  <c r="V1547" i="52"/>
  <c r="T1548" i="52"/>
  <c r="U1548" i="52"/>
  <c r="V1548" i="52"/>
  <c r="T1549" i="52"/>
  <c r="U1549" i="52"/>
  <c r="V1549" i="52"/>
  <c r="T1550" i="52"/>
  <c r="U1550" i="52"/>
  <c r="V1550" i="52"/>
  <c r="T1551" i="52"/>
  <c r="U1551" i="52"/>
  <c r="V1551" i="52"/>
  <c r="T1552" i="52"/>
  <c r="U1552" i="52"/>
  <c r="V1552" i="52"/>
  <c r="T1553" i="52"/>
  <c r="U1553" i="52"/>
  <c r="V1553" i="52"/>
  <c r="T1554" i="52"/>
  <c r="U1554" i="52"/>
  <c r="V1554" i="52"/>
  <c r="T1555" i="52"/>
  <c r="U1555" i="52"/>
  <c r="V1555" i="52"/>
  <c r="T1556" i="52"/>
  <c r="U1556" i="52"/>
  <c r="V1556" i="52"/>
  <c r="T1557" i="52"/>
  <c r="U1557" i="52"/>
  <c r="V1557" i="52"/>
  <c r="T1558" i="52"/>
  <c r="U1558" i="52"/>
  <c r="V1558" i="52"/>
  <c r="T1559" i="52"/>
  <c r="U1559" i="52"/>
  <c r="V1559" i="52"/>
  <c r="T1560" i="52"/>
  <c r="U1560" i="52"/>
  <c r="V1560" i="52"/>
  <c r="T1561" i="52"/>
  <c r="U1561" i="52"/>
  <c r="V1561" i="52"/>
  <c r="T1562" i="52"/>
  <c r="U1562" i="52"/>
  <c r="V1562" i="52"/>
  <c r="T1563" i="52"/>
  <c r="U1563" i="52"/>
  <c r="V1563" i="52"/>
  <c r="T1564" i="52"/>
  <c r="U1564" i="52"/>
  <c r="V1564" i="52"/>
  <c r="T1565" i="52"/>
  <c r="U1565" i="52"/>
  <c r="V1565" i="52"/>
  <c r="T1566" i="52"/>
  <c r="U1566" i="52"/>
  <c r="V1566" i="52"/>
  <c r="T1567" i="52"/>
  <c r="U1567" i="52"/>
  <c r="V1567" i="52"/>
  <c r="T1568" i="52"/>
  <c r="U1568" i="52"/>
  <c r="V1568" i="52"/>
  <c r="T1569" i="52"/>
  <c r="U1569" i="52"/>
  <c r="V1569" i="52"/>
  <c r="T1570" i="52"/>
  <c r="U1570" i="52"/>
  <c r="V1570" i="52"/>
  <c r="T1571" i="52"/>
  <c r="U1571" i="52"/>
  <c r="V1571" i="52"/>
  <c r="T1572" i="52"/>
  <c r="U1572" i="52"/>
  <c r="V1572" i="52"/>
  <c r="T1573" i="52"/>
  <c r="U1573" i="52"/>
  <c r="V1573" i="52"/>
  <c r="T1574" i="52"/>
  <c r="U1574" i="52"/>
  <c r="V1574" i="52"/>
  <c r="T1575" i="52"/>
  <c r="U1575" i="52"/>
  <c r="V1575" i="52"/>
  <c r="T1576" i="52"/>
  <c r="U1576" i="52"/>
  <c r="V1576" i="52"/>
  <c r="T1577" i="52"/>
  <c r="U1577" i="52"/>
  <c r="V1577" i="52"/>
  <c r="T1578" i="52"/>
  <c r="U1578" i="52"/>
  <c r="V1578" i="52"/>
  <c r="T1579" i="52"/>
  <c r="U1579" i="52"/>
  <c r="V1579" i="52"/>
  <c r="T1580" i="52"/>
  <c r="U1580" i="52"/>
  <c r="V1580" i="52"/>
  <c r="T1581" i="52"/>
  <c r="U1581" i="52"/>
  <c r="V1581" i="52"/>
  <c r="T1582" i="52"/>
  <c r="U1582" i="52"/>
  <c r="V1582" i="52"/>
  <c r="T1583" i="52"/>
  <c r="U1583" i="52"/>
  <c r="V1583" i="52"/>
  <c r="T1584" i="52"/>
  <c r="U1584" i="52"/>
  <c r="V1584" i="52"/>
  <c r="T1585" i="52"/>
  <c r="U1585" i="52"/>
  <c r="V1585" i="52"/>
  <c r="T1586" i="52"/>
  <c r="U1586" i="52"/>
  <c r="V1586" i="52"/>
  <c r="T1587" i="52"/>
  <c r="U1587" i="52"/>
  <c r="V1587" i="52"/>
  <c r="T1588" i="52"/>
  <c r="U1588" i="52"/>
  <c r="V1588" i="52"/>
  <c r="T1589" i="52"/>
  <c r="U1589" i="52"/>
  <c r="V1589" i="52"/>
  <c r="T1590" i="52"/>
  <c r="U1590" i="52"/>
  <c r="V1590" i="52"/>
  <c r="T1591" i="52"/>
  <c r="U1591" i="52"/>
  <c r="V1591" i="52"/>
  <c r="T1592" i="52"/>
  <c r="U1592" i="52"/>
  <c r="V1592" i="52"/>
  <c r="T1593" i="52"/>
  <c r="U1593" i="52"/>
  <c r="V1593" i="52"/>
  <c r="T1594" i="52"/>
  <c r="U1594" i="52"/>
  <c r="V1594" i="52"/>
  <c r="T1595" i="52"/>
  <c r="U1595" i="52"/>
  <c r="V1595" i="52"/>
  <c r="T1596" i="52"/>
  <c r="U1596" i="52"/>
  <c r="V1596" i="52"/>
  <c r="T1597" i="52"/>
  <c r="U1597" i="52"/>
  <c r="V1597" i="52"/>
  <c r="T1598" i="52"/>
  <c r="U1598" i="52"/>
  <c r="V1598" i="52"/>
  <c r="T1599" i="52"/>
  <c r="U1599" i="52"/>
  <c r="V1599" i="52"/>
  <c r="T1600" i="52"/>
  <c r="U1600" i="52"/>
  <c r="V1600" i="52"/>
  <c r="T1601" i="52"/>
  <c r="U1601" i="52"/>
  <c r="V1601" i="52"/>
  <c r="T1602" i="52"/>
  <c r="U1602" i="52"/>
  <c r="V1602" i="52"/>
  <c r="T1603" i="52"/>
  <c r="U1603" i="52"/>
  <c r="V1603" i="52"/>
  <c r="T1604" i="52"/>
  <c r="U1604" i="52"/>
  <c r="V1604" i="52"/>
  <c r="T1605" i="52"/>
  <c r="U1605" i="52"/>
  <c r="V1605" i="52"/>
  <c r="T1606" i="52"/>
  <c r="U1606" i="52"/>
  <c r="V1606" i="52"/>
  <c r="T1607" i="52"/>
  <c r="U1607" i="52"/>
  <c r="V1607" i="52"/>
  <c r="T1608" i="52"/>
  <c r="U1608" i="52"/>
  <c r="V1608" i="52"/>
  <c r="T1609" i="52"/>
  <c r="U1609" i="52"/>
  <c r="V1609" i="52"/>
  <c r="T1610" i="52"/>
  <c r="U1610" i="52"/>
  <c r="V1610" i="52"/>
  <c r="T1611" i="52"/>
  <c r="U1611" i="52"/>
  <c r="V1611" i="52"/>
  <c r="T1612" i="52"/>
  <c r="U1612" i="52"/>
  <c r="V1612" i="52"/>
  <c r="T1613" i="52"/>
  <c r="U1613" i="52"/>
  <c r="V1613" i="52"/>
  <c r="T1614" i="52"/>
  <c r="U1614" i="52"/>
  <c r="V1614" i="52"/>
  <c r="T1615" i="52"/>
  <c r="U1615" i="52"/>
  <c r="V1615" i="52"/>
  <c r="T1616" i="52"/>
  <c r="U1616" i="52"/>
  <c r="V1616" i="52"/>
  <c r="T1617" i="52"/>
  <c r="U1617" i="52"/>
  <c r="V1617" i="52"/>
  <c r="T1618" i="52"/>
  <c r="U1618" i="52"/>
  <c r="V1618" i="52"/>
  <c r="T1619" i="52"/>
  <c r="U1619" i="52"/>
  <c r="V1619" i="52"/>
  <c r="T1620" i="52"/>
  <c r="U1620" i="52"/>
  <c r="V1620" i="52"/>
  <c r="T1621" i="52"/>
  <c r="U1621" i="52"/>
  <c r="V1621" i="52"/>
  <c r="T1622" i="52"/>
  <c r="U1622" i="52"/>
  <c r="V1622" i="52"/>
  <c r="T1623" i="52"/>
  <c r="U1623" i="52"/>
  <c r="V1623" i="52"/>
  <c r="T1624" i="52"/>
  <c r="U1624" i="52"/>
  <c r="V1624" i="52"/>
  <c r="T1625" i="52"/>
  <c r="U1625" i="52"/>
  <c r="V1625" i="52"/>
  <c r="T1626" i="52"/>
  <c r="U1626" i="52"/>
  <c r="V1626" i="52"/>
  <c r="T1627" i="52"/>
  <c r="U1627" i="52"/>
  <c r="V1627" i="52"/>
  <c r="T1628" i="52"/>
  <c r="U1628" i="52"/>
  <c r="V1628" i="52"/>
  <c r="T1629" i="52"/>
  <c r="U1629" i="52"/>
  <c r="V1629" i="52"/>
  <c r="T1630" i="52"/>
  <c r="U1630" i="52"/>
  <c r="V1630" i="52"/>
  <c r="T1631" i="52"/>
  <c r="U1631" i="52"/>
  <c r="V1631" i="52"/>
  <c r="T1632" i="52"/>
  <c r="U1632" i="52"/>
  <c r="V1632" i="52"/>
  <c r="T1633" i="52"/>
  <c r="U1633" i="52"/>
  <c r="V1633" i="52"/>
  <c r="T1634" i="52"/>
  <c r="U1634" i="52"/>
  <c r="V1634" i="52"/>
  <c r="T1635" i="52"/>
  <c r="U1635" i="52"/>
  <c r="V1635" i="52"/>
  <c r="T1636" i="52"/>
  <c r="U1636" i="52"/>
  <c r="V1636" i="52"/>
  <c r="T1637" i="52"/>
  <c r="U1637" i="52"/>
  <c r="V1637" i="52"/>
  <c r="T1638" i="52"/>
  <c r="U1638" i="52"/>
  <c r="V1638" i="52"/>
  <c r="T1639" i="52"/>
  <c r="U1639" i="52"/>
  <c r="V1639" i="52"/>
  <c r="T1640" i="52"/>
  <c r="U1640" i="52"/>
  <c r="V1640" i="52"/>
  <c r="T1641" i="52"/>
  <c r="U1641" i="52"/>
  <c r="V1641" i="52"/>
  <c r="T1642" i="52"/>
  <c r="U1642" i="52"/>
  <c r="V1642" i="52"/>
  <c r="T1643" i="52"/>
  <c r="U1643" i="52"/>
  <c r="V1643" i="52"/>
  <c r="T1644" i="52"/>
  <c r="U1644" i="52"/>
  <c r="V1644" i="52"/>
  <c r="T1645" i="52"/>
  <c r="U1645" i="52"/>
  <c r="V1645" i="52"/>
  <c r="T1646" i="52"/>
  <c r="U1646" i="52"/>
  <c r="V1646" i="52"/>
  <c r="T1647" i="52"/>
  <c r="U1647" i="52"/>
  <c r="V1647" i="52"/>
  <c r="T1648" i="52"/>
  <c r="U1648" i="52"/>
  <c r="V1648" i="52"/>
  <c r="T1649" i="52"/>
  <c r="U1649" i="52"/>
  <c r="V1649" i="52"/>
  <c r="T1650" i="52"/>
  <c r="U1650" i="52"/>
  <c r="V1650" i="52"/>
  <c r="T1651" i="52"/>
  <c r="U1651" i="52"/>
  <c r="V1651" i="52"/>
  <c r="A2" i="52"/>
  <c r="A3" i="52"/>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08" i="52"/>
  <c r="A109" i="52"/>
  <c r="A110" i="52"/>
  <c r="A111" i="52"/>
  <c r="A112" i="52"/>
  <c r="A113" i="52"/>
  <c r="A114" i="52"/>
  <c r="A115" i="52"/>
  <c r="A116" i="52"/>
  <c r="A117" i="52"/>
  <c r="A118" i="52"/>
  <c r="A119" i="52"/>
  <c r="A120" i="52"/>
  <c r="A121" i="52"/>
  <c r="A122" i="52"/>
  <c r="A123" i="52"/>
  <c r="A124" i="52"/>
  <c r="A125" i="52"/>
  <c r="A126" i="52"/>
  <c r="A127" i="52"/>
  <c r="A128" i="52"/>
  <c r="A129" i="52"/>
  <c r="A130" i="52"/>
  <c r="A131" i="52"/>
  <c r="A132" i="52"/>
  <c r="A133" i="52"/>
  <c r="A134" i="52"/>
  <c r="A135" i="52"/>
  <c r="A136" i="52"/>
  <c r="A137" i="52"/>
  <c r="A138" i="52"/>
  <c r="A139" i="52"/>
  <c r="A140" i="52"/>
  <c r="A141" i="52"/>
  <c r="A142" i="52"/>
  <c r="A143" i="52"/>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251" i="52"/>
  <c r="A252" i="52"/>
  <c r="A253" i="52"/>
  <c r="A254" i="52"/>
  <c r="A255" i="52"/>
  <c r="A256" i="52"/>
  <c r="A257" i="52"/>
  <c r="A258" i="52"/>
  <c r="A259" i="52"/>
  <c r="A260" i="52"/>
  <c r="A261" i="52"/>
  <c r="A262" i="52"/>
  <c r="A263" i="52"/>
  <c r="A264" i="52"/>
  <c r="A265" i="52"/>
  <c r="A266" i="52"/>
  <c r="A267" i="52"/>
  <c r="A268" i="52"/>
  <c r="A269" i="52"/>
  <c r="A270" i="52"/>
  <c r="A271" i="52"/>
  <c r="A272" i="52"/>
  <c r="A273" i="52"/>
  <c r="A274" i="52"/>
  <c r="A275" i="52"/>
  <c r="A276" i="52"/>
  <c r="A277" i="52"/>
  <c r="A278" i="52"/>
  <c r="A279" i="52"/>
  <c r="A280" i="52"/>
  <c r="A281" i="52"/>
  <c r="A282" i="52"/>
  <c r="A283" i="52"/>
  <c r="A284" i="52"/>
  <c r="A285" i="52"/>
  <c r="A286" i="52"/>
  <c r="A287" i="52"/>
  <c r="A288" i="52"/>
  <c r="A289" i="52"/>
  <c r="A290" i="52"/>
  <c r="A291" i="52"/>
  <c r="A292" i="52"/>
  <c r="A293" i="52"/>
  <c r="A294" i="52"/>
  <c r="A295" i="52"/>
  <c r="A296" i="52"/>
  <c r="A297" i="52"/>
  <c r="A298" i="52"/>
  <c r="A299" i="52"/>
  <c r="A300" i="52"/>
  <c r="A301" i="52"/>
  <c r="A302" i="52"/>
  <c r="A303" i="52"/>
  <c r="A304" i="52"/>
  <c r="A305" i="52"/>
  <c r="A306" i="52"/>
  <c r="A307" i="52"/>
  <c r="A308" i="52"/>
  <c r="A309" i="52"/>
  <c r="A310" i="52"/>
  <c r="A311" i="52"/>
  <c r="A312" i="52"/>
  <c r="A313" i="52"/>
  <c r="A314" i="52"/>
  <c r="A315" i="52"/>
  <c r="A316" i="52"/>
  <c r="A317" i="52"/>
  <c r="A318" i="52"/>
  <c r="A319" i="52"/>
  <c r="A320" i="52"/>
  <c r="A321" i="52"/>
  <c r="A322" i="52"/>
  <c r="A323" i="52"/>
  <c r="A324" i="52"/>
  <c r="A325" i="52"/>
  <c r="A326" i="52"/>
  <c r="A327" i="52"/>
  <c r="A328" i="52"/>
  <c r="A329" i="52"/>
  <c r="A330" i="52"/>
  <c r="A331" i="52"/>
  <c r="A332" i="52"/>
  <c r="A333" i="52"/>
  <c r="A334" i="52"/>
  <c r="A335" i="52"/>
  <c r="A336" i="52"/>
  <c r="A337" i="52"/>
  <c r="A338" i="52"/>
  <c r="A339" i="52"/>
  <c r="A340" i="52"/>
  <c r="A341" i="52"/>
  <c r="A342" i="52"/>
  <c r="A343" i="52"/>
  <c r="A344" i="52"/>
  <c r="A345" i="52"/>
  <c r="A346" i="52"/>
  <c r="A347" i="52"/>
  <c r="A348" i="52"/>
  <c r="A349" i="52"/>
  <c r="A350" i="52"/>
  <c r="A351" i="52"/>
  <c r="A352" i="52"/>
  <c r="A353" i="52"/>
  <c r="A354" i="52"/>
  <c r="A355" i="52"/>
  <c r="A356" i="52"/>
  <c r="A357" i="52"/>
  <c r="A358" i="52"/>
  <c r="A359" i="52"/>
  <c r="A360" i="52"/>
  <c r="A361" i="52"/>
  <c r="A362" i="52"/>
  <c r="A363" i="52"/>
  <c r="A364" i="52"/>
  <c r="A365" i="52"/>
  <c r="A366" i="52"/>
  <c r="A367" i="52"/>
  <c r="A368" i="52"/>
  <c r="A369" i="52"/>
  <c r="A370" i="52"/>
  <c r="A371" i="52"/>
  <c r="A372" i="52"/>
  <c r="A373" i="52"/>
  <c r="A374" i="52"/>
  <c r="A375" i="52"/>
  <c r="A376" i="52"/>
  <c r="A377" i="52"/>
  <c r="A378" i="52"/>
  <c r="A379" i="52"/>
  <c r="A380" i="52"/>
  <c r="A381" i="52"/>
  <c r="A382" i="52"/>
  <c r="A383" i="52"/>
  <c r="A384" i="52"/>
  <c r="A385" i="52"/>
  <c r="A386" i="52"/>
  <c r="A387" i="52"/>
  <c r="A388" i="52"/>
  <c r="A389" i="52"/>
  <c r="A390" i="52"/>
  <c r="A391" i="52"/>
  <c r="A392" i="52"/>
  <c r="A393" i="52"/>
  <c r="A394" i="52"/>
  <c r="A395" i="52"/>
  <c r="A396" i="52"/>
  <c r="A397" i="52"/>
  <c r="A398" i="52"/>
  <c r="A399" i="52"/>
  <c r="A400" i="52"/>
  <c r="A401" i="52"/>
  <c r="A402" i="52"/>
  <c r="A403" i="52"/>
  <c r="A404" i="52"/>
  <c r="A405" i="52"/>
  <c r="A406" i="52"/>
  <c r="A407" i="52"/>
  <c r="A408" i="52"/>
  <c r="A409" i="52"/>
  <c r="A410" i="52"/>
  <c r="A411" i="52"/>
  <c r="A412" i="52"/>
  <c r="A413" i="52"/>
  <c r="A414" i="52"/>
  <c r="A415" i="52"/>
  <c r="A416" i="52"/>
  <c r="A417" i="52"/>
  <c r="A418" i="52"/>
  <c r="A419" i="52"/>
  <c r="A420" i="52"/>
  <c r="A421" i="52"/>
  <c r="A422" i="52"/>
  <c r="A423" i="52"/>
  <c r="A424" i="52"/>
  <c r="A425" i="52"/>
  <c r="A426" i="52"/>
  <c r="A427" i="52"/>
  <c r="A428" i="52"/>
  <c r="A429" i="52"/>
  <c r="A430" i="52"/>
  <c r="A431" i="52"/>
  <c r="A432" i="52"/>
  <c r="A433" i="52"/>
  <c r="A434" i="52"/>
  <c r="A435" i="52"/>
  <c r="A436" i="52"/>
  <c r="A437" i="52"/>
  <c r="A438" i="52"/>
  <c r="A439" i="52"/>
  <c r="A440" i="52"/>
  <c r="A441" i="52"/>
  <c r="A442" i="52"/>
  <c r="A443" i="52"/>
  <c r="A444" i="52"/>
  <c r="A445" i="52"/>
  <c r="A446" i="52"/>
  <c r="A447" i="52"/>
  <c r="A448" i="52"/>
  <c r="A449" i="52"/>
  <c r="A450" i="52"/>
  <c r="A451" i="52"/>
  <c r="A452" i="52"/>
  <c r="A453" i="52"/>
  <c r="A454" i="52"/>
  <c r="A455" i="52"/>
  <c r="A456" i="52"/>
  <c r="A457" i="52"/>
  <c r="A458" i="52"/>
  <c r="A459" i="52"/>
  <c r="A460" i="52"/>
  <c r="A461" i="52"/>
  <c r="A462" i="52"/>
  <c r="A463" i="52"/>
  <c r="A464" i="52"/>
  <c r="A465" i="52"/>
  <c r="A466" i="52"/>
  <c r="A467" i="52"/>
  <c r="A468" i="52"/>
  <c r="A469" i="52"/>
  <c r="A470" i="52"/>
  <c r="A471" i="52"/>
  <c r="A472" i="52"/>
  <c r="A473" i="52"/>
  <c r="A474" i="52"/>
  <c r="A475" i="52"/>
  <c r="A476" i="52"/>
  <c r="A477" i="52"/>
  <c r="A478" i="52"/>
  <c r="A479" i="52"/>
  <c r="A480" i="52"/>
  <c r="A481" i="52"/>
  <c r="A482" i="52"/>
  <c r="A483" i="52"/>
  <c r="A484" i="52"/>
  <c r="A485" i="52"/>
  <c r="A486" i="52"/>
  <c r="A487" i="52"/>
  <c r="A488" i="52"/>
  <c r="A489" i="52"/>
  <c r="A490" i="52"/>
  <c r="A491" i="52"/>
  <c r="A492" i="52"/>
  <c r="A493" i="52"/>
  <c r="A494" i="52"/>
  <c r="A495" i="52"/>
  <c r="A496" i="52"/>
  <c r="A497" i="52"/>
  <c r="A498" i="52"/>
  <c r="A499" i="52"/>
  <c r="A500" i="52"/>
  <c r="A501" i="52"/>
  <c r="A502" i="52"/>
  <c r="A503" i="52"/>
  <c r="A504" i="52"/>
  <c r="A505" i="52"/>
  <c r="A506" i="52"/>
  <c r="A507" i="52"/>
  <c r="A508" i="52"/>
  <c r="A509" i="52"/>
  <c r="A510" i="52"/>
  <c r="A511" i="52"/>
  <c r="A512" i="52"/>
  <c r="A513" i="52"/>
  <c r="A514" i="52"/>
  <c r="A515" i="52"/>
  <c r="A516" i="52"/>
  <c r="A517" i="52"/>
  <c r="A518" i="52"/>
  <c r="A519" i="52"/>
  <c r="A520" i="52"/>
  <c r="A521" i="52"/>
  <c r="A522" i="52"/>
  <c r="A523" i="52"/>
  <c r="A524" i="52"/>
  <c r="A525" i="52"/>
  <c r="A526" i="52"/>
  <c r="A527" i="52"/>
  <c r="A528" i="52"/>
  <c r="A529" i="52"/>
  <c r="A530" i="52"/>
  <c r="A531" i="52"/>
  <c r="A532" i="52"/>
  <c r="A533" i="52"/>
  <c r="A534" i="52"/>
  <c r="A535" i="52"/>
  <c r="A536" i="52"/>
  <c r="A537" i="52"/>
  <c r="A538" i="52"/>
  <c r="A539" i="52"/>
  <c r="A540" i="52"/>
  <c r="A541" i="52"/>
  <c r="A542" i="52"/>
  <c r="A543" i="52"/>
  <c r="A544" i="52"/>
  <c r="A545" i="52"/>
  <c r="A546" i="52"/>
  <c r="A547" i="52"/>
  <c r="A548" i="52"/>
  <c r="A549" i="52"/>
  <c r="A550" i="52"/>
  <c r="A551" i="52"/>
  <c r="A552" i="52"/>
  <c r="A553" i="52"/>
  <c r="A554" i="52"/>
  <c r="A555" i="52"/>
  <c r="A556" i="52"/>
  <c r="A557" i="52"/>
  <c r="A558" i="52"/>
  <c r="A559" i="52"/>
  <c r="A560" i="52"/>
  <c r="A561" i="52"/>
  <c r="A562" i="52"/>
  <c r="A563" i="52"/>
  <c r="A564" i="52"/>
  <c r="A565" i="52"/>
  <c r="A566" i="52"/>
  <c r="A567" i="52"/>
  <c r="A568" i="52"/>
  <c r="A569" i="52"/>
  <c r="A570" i="52"/>
  <c r="A571" i="52"/>
  <c r="A572" i="52"/>
  <c r="A573" i="52"/>
  <c r="A574" i="52"/>
  <c r="A575" i="52"/>
  <c r="A576" i="52"/>
  <c r="A577" i="52"/>
  <c r="A578" i="52"/>
  <c r="A579" i="52"/>
  <c r="A580" i="52"/>
  <c r="A581" i="52"/>
  <c r="A582" i="52"/>
  <c r="A583" i="52"/>
  <c r="A584" i="52"/>
  <c r="A585" i="52"/>
  <c r="A586" i="52"/>
  <c r="A587" i="52"/>
  <c r="A588" i="52"/>
  <c r="A589" i="52"/>
  <c r="A590" i="52"/>
  <c r="A591" i="52"/>
  <c r="A592" i="52"/>
  <c r="A593" i="52"/>
  <c r="A594" i="52"/>
  <c r="A595" i="52"/>
  <c r="A596" i="52"/>
  <c r="A597" i="52"/>
  <c r="A598" i="52"/>
  <c r="A599" i="52"/>
  <c r="A600" i="52"/>
  <c r="A601" i="52"/>
  <c r="A602" i="52"/>
  <c r="A603" i="52"/>
  <c r="A604" i="52"/>
  <c r="A605" i="52"/>
  <c r="A606" i="52"/>
  <c r="A607" i="52"/>
  <c r="A608" i="52"/>
  <c r="A609" i="52"/>
  <c r="A610" i="52"/>
  <c r="A611" i="52"/>
  <c r="A612" i="52"/>
  <c r="A613" i="52"/>
  <c r="A614" i="52"/>
  <c r="A615" i="52"/>
  <c r="A616" i="52"/>
  <c r="A617" i="52"/>
  <c r="A618" i="52"/>
  <c r="A619" i="52"/>
  <c r="A620" i="52"/>
  <c r="A621" i="52"/>
  <c r="A622" i="52"/>
  <c r="A623" i="52"/>
  <c r="A624" i="52"/>
  <c r="A625" i="52"/>
  <c r="A626" i="52"/>
  <c r="A627" i="52"/>
  <c r="A628" i="52"/>
  <c r="A629" i="52"/>
  <c r="A630" i="52"/>
  <c r="A631" i="52"/>
  <c r="A632" i="52"/>
  <c r="A633" i="52"/>
  <c r="A634" i="52"/>
  <c r="A635" i="52"/>
  <c r="A636" i="52"/>
  <c r="A637" i="52"/>
  <c r="A638" i="52"/>
  <c r="A639" i="52"/>
  <c r="A640" i="52"/>
  <c r="A641" i="52"/>
  <c r="A642" i="52"/>
  <c r="A643" i="52"/>
  <c r="A644" i="52"/>
  <c r="A645" i="52"/>
  <c r="A646" i="52"/>
  <c r="A647" i="52"/>
  <c r="A648" i="52"/>
  <c r="A649" i="52"/>
  <c r="A650" i="52"/>
  <c r="A651" i="52"/>
  <c r="A652" i="52"/>
  <c r="A653" i="52"/>
  <c r="A654" i="52"/>
  <c r="A655" i="52"/>
  <c r="A656" i="52"/>
  <c r="A657" i="52"/>
  <c r="A658" i="52"/>
  <c r="A659" i="52"/>
  <c r="A660" i="52"/>
  <c r="A661" i="52"/>
  <c r="A662" i="52"/>
  <c r="A663" i="52"/>
  <c r="A664" i="52"/>
  <c r="A665" i="52"/>
  <c r="A666" i="52"/>
  <c r="A667" i="52"/>
  <c r="A668" i="52"/>
  <c r="A669" i="52"/>
  <c r="A670" i="52"/>
  <c r="A671" i="52"/>
  <c r="A672" i="52"/>
  <c r="A673" i="52"/>
  <c r="A674" i="52"/>
  <c r="A675" i="52"/>
  <c r="A676" i="52"/>
  <c r="A677" i="52"/>
  <c r="A678" i="52"/>
  <c r="A679" i="52"/>
  <c r="A680" i="52"/>
  <c r="A681" i="52"/>
  <c r="A682" i="52"/>
  <c r="A683" i="52"/>
  <c r="A684" i="52"/>
  <c r="A685" i="52"/>
  <c r="A686" i="52"/>
  <c r="A687" i="52"/>
  <c r="A688" i="52"/>
  <c r="A689" i="52"/>
  <c r="A690" i="52"/>
  <c r="A691" i="52"/>
  <c r="A692" i="52"/>
  <c r="A693" i="52"/>
  <c r="A694" i="52"/>
  <c r="A695" i="52"/>
  <c r="A696" i="52"/>
  <c r="A697" i="52"/>
  <c r="A698" i="52"/>
  <c r="A699" i="52"/>
  <c r="A700" i="52"/>
  <c r="A701" i="52"/>
  <c r="A702" i="52"/>
  <c r="A703" i="52"/>
  <c r="A704" i="52"/>
  <c r="A705" i="52"/>
  <c r="A706" i="52"/>
  <c r="A707" i="52"/>
  <c r="A708" i="52"/>
  <c r="A709" i="52"/>
  <c r="A710" i="52"/>
  <c r="A711" i="52"/>
  <c r="A712" i="52"/>
  <c r="A713" i="52"/>
  <c r="A714" i="52"/>
  <c r="A715" i="52"/>
  <c r="A716" i="52"/>
  <c r="A717" i="52"/>
  <c r="A718" i="52"/>
  <c r="A719" i="52"/>
  <c r="A720" i="52"/>
  <c r="A721" i="52"/>
  <c r="A722" i="52"/>
  <c r="A723" i="52"/>
  <c r="A724" i="52"/>
  <c r="A725" i="52"/>
  <c r="A726" i="52"/>
  <c r="A727" i="52"/>
  <c r="A728" i="52"/>
  <c r="A729" i="52"/>
  <c r="A730" i="52"/>
  <c r="A731" i="52"/>
  <c r="A732" i="52"/>
  <c r="A733" i="52"/>
  <c r="A734" i="52"/>
  <c r="A735" i="52"/>
  <c r="A736" i="52"/>
  <c r="A737" i="52"/>
  <c r="A738" i="52"/>
  <c r="A739" i="52"/>
  <c r="A740" i="52"/>
  <c r="A741" i="52"/>
  <c r="A742" i="52"/>
  <c r="A743" i="52"/>
  <c r="A744" i="52"/>
  <c r="A745" i="52"/>
  <c r="A746" i="52"/>
  <c r="A747" i="52"/>
  <c r="A748" i="52"/>
  <c r="A749" i="52"/>
  <c r="A750" i="52"/>
  <c r="A751" i="52"/>
  <c r="A752" i="52"/>
  <c r="A753" i="52"/>
  <c r="A754" i="52"/>
  <c r="A755" i="52"/>
  <c r="A756" i="52"/>
  <c r="A757" i="52"/>
  <c r="A758" i="52"/>
  <c r="A759" i="52"/>
  <c r="A760" i="52"/>
  <c r="A761" i="52"/>
  <c r="A762" i="52"/>
  <c r="A763" i="52"/>
  <c r="A764" i="52"/>
  <c r="A765" i="52"/>
  <c r="A766" i="52"/>
  <c r="A767" i="52"/>
  <c r="A768" i="52"/>
  <c r="A769" i="52"/>
  <c r="A770" i="52"/>
  <c r="A771" i="52"/>
  <c r="A772" i="52"/>
  <c r="A773" i="52"/>
  <c r="A774" i="52"/>
  <c r="A775" i="52"/>
  <c r="A776" i="52"/>
  <c r="A777" i="52"/>
  <c r="A778" i="52"/>
  <c r="A779" i="52"/>
  <c r="A780" i="52"/>
  <c r="A781" i="52"/>
  <c r="A782" i="52"/>
  <c r="A783" i="52"/>
  <c r="A784" i="52"/>
  <c r="A785" i="52"/>
  <c r="A786" i="52"/>
  <c r="A787" i="52"/>
  <c r="A788" i="52"/>
  <c r="A789" i="52"/>
  <c r="A790" i="52"/>
  <c r="A791" i="52"/>
  <c r="A792" i="52"/>
  <c r="A793" i="52"/>
  <c r="A794" i="52"/>
  <c r="A795" i="52"/>
  <c r="A796" i="52"/>
  <c r="A797" i="52"/>
  <c r="A798" i="52"/>
  <c r="A799" i="52"/>
  <c r="A800" i="52"/>
  <c r="A801" i="52"/>
  <c r="A802" i="52"/>
  <c r="A803" i="52"/>
  <c r="A804" i="52"/>
  <c r="A805" i="52"/>
  <c r="A806" i="52"/>
  <c r="A807" i="52"/>
  <c r="A808" i="52"/>
  <c r="A809" i="52"/>
  <c r="A810" i="52"/>
  <c r="A811" i="52"/>
  <c r="A812" i="52"/>
  <c r="A813" i="52"/>
  <c r="A814" i="52"/>
  <c r="A815" i="52"/>
  <c r="A816" i="52"/>
  <c r="A817" i="52"/>
  <c r="A818" i="52"/>
  <c r="A819" i="52"/>
  <c r="A820" i="52"/>
  <c r="A821" i="52"/>
  <c r="A822" i="52"/>
  <c r="A823" i="52"/>
  <c r="A824" i="52"/>
  <c r="A825" i="52"/>
  <c r="A826" i="52"/>
  <c r="A827" i="52"/>
  <c r="A828" i="52"/>
  <c r="A829" i="52"/>
  <c r="A830" i="52"/>
  <c r="A831" i="52"/>
  <c r="A832" i="52"/>
  <c r="A833" i="52"/>
  <c r="A834" i="52"/>
  <c r="A835" i="52"/>
  <c r="A836" i="52"/>
  <c r="A837" i="52"/>
  <c r="A838" i="52"/>
  <c r="A839" i="52"/>
  <c r="A840" i="52"/>
  <c r="A841" i="52"/>
  <c r="A842" i="52"/>
  <c r="A843" i="52"/>
  <c r="A844" i="52"/>
  <c r="A845" i="52"/>
  <c r="A846" i="52"/>
  <c r="A847" i="52"/>
  <c r="A848" i="52"/>
  <c r="A849" i="52"/>
  <c r="A850" i="52"/>
  <c r="A851" i="52"/>
  <c r="A852" i="52"/>
  <c r="A853" i="52"/>
  <c r="A854" i="52"/>
  <c r="A855" i="52"/>
  <c r="A856" i="52"/>
  <c r="A857" i="52"/>
  <c r="A858" i="52"/>
  <c r="A859" i="52"/>
  <c r="A860" i="52"/>
  <c r="A861" i="52"/>
  <c r="A862" i="52"/>
  <c r="A863" i="52"/>
  <c r="A864" i="52"/>
  <c r="A865" i="52"/>
  <c r="A866" i="52"/>
  <c r="A867" i="52"/>
  <c r="A868" i="52"/>
  <c r="A869" i="52"/>
  <c r="A870" i="52"/>
  <c r="A871" i="52"/>
  <c r="A872" i="52"/>
  <c r="A873" i="52"/>
  <c r="A874" i="52"/>
  <c r="A875" i="52"/>
  <c r="A876" i="52"/>
  <c r="A877" i="52"/>
  <c r="A878" i="52"/>
  <c r="A879" i="52"/>
  <c r="A880" i="52"/>
  <c r="A881" i="52"/>
  <c r="A882" i="52"/>
  <c r="A883" i="52"/>
  <c r="A884" i="52"/>
  <c r="A885" i="52"/>
  <c r="A886" i="52"/>
  <c r="A887" i="52"/>
  <c r="A888" i="52"/>
  <c r="A889" i="52"/>
  <c r="A890" i="52"/>
  <c r="A891" i="52"/>
  <c r="A892" i="52"/>
  <c r="A893" i="52"/>
  <c r="A894" i="52"/>
  <c r="A895" i="52"/>
  <c r="A896" i="52"/>
  <c r="A897" i="52"/>
  <c r="A898" i="52"/>
  <c r="A899" i="52"/>
  <c r="A900" i="52"/>
  <c r="A901" i="52"/>
  <c r="A902" i="52"/>
  <c r="A903" i="52"/>
  <c r="A904" i="52"/>
  <c r="A905" i="52"/>
  <c r="A906" i="52"/>
  <c r="A907" i="52"/>
  <c r="A908" i="52"/>
  <c r="A909" i="52"/>
  <c r="A910" i="52"/>
  <c r="A911" i="52"/>
  <c r="A912" i="52"/>
  <c r="A913" i="52"/>
  <c r="A914" i="52"/>
  <c r="A915" i="52"/>
  <c r="A916" i="52"/>
  <c r="A917" i="52"/>
  <c r="A918" i="52"/>
  <c r="A919" i="52"/>
  <c r="A920" i="52"/>
  <c r="A921" i="52"/>
  <c r="A922" i="52"/>
  <c r="A923" i="52"/>
  <c r="A924" i="52"/>
  <c r="A925" i="52"/>
  <c r="A926" i="52"/>
  <c r="A927" i="52"/>
  <c r="A928" i="52"/>
  <c r="A929" i="52"/>
  <c r="A930" i="52"/>
  <c r="A931" i="52"/>
  <c r="A932" i="52"/>
  <c r="A933" i="52"/>
  <c r="A934" i="52"/>
  <c r="A935" i="52"/>
  <c r="A936" i="52"/>
  <c r="A937" i="52"/>
  <c r="A938" i="52"/>
  <c r="A939" i="52"/>
  <c r="A940" i="52"/>
  <c r="A941" i="52"/>
  <c r="A942" i="52"/>
  <c r="A943" i="52"/>
  <c r="A944" i="52"/>
  <c r="A945" i="52"/>
  <c r="A946" i="52"/>
  <c r="A947" i="52"/>
  <c r="A948" i="52"/>
  <c r="A949" i="52"/>
  <c r="A950" i="52"/>
  <c r="A951" i="52"/>
  <c r="A952" i="52"/>
  <c r="A953" i="52"/>
  <c r="A954" i="52"/>
  <c r="A955" i="52"/>
  <c r="A956" i="52"/>
  <c r="A957" i="52"/>
  <c r="A958" i="52"/>
  <c r="A959" i="52"/>
  <c r="A960" i="52"/>
  <c r="A961" i="52"/>
  <c r="A962" i="52"/>
  <c r="A963" i="52"/>
  <c r="A964" i="52"/>
  <c r="A965" i="52"/>
  <c r="A966" i="52"/>
  <c r="A967" i="52"/>
  <c r="A968" i="52"/>
  <c r="A969" i="52"/>
  <c r="A970" i="52"/>
  <c r="A971" i="52"/>
  <c r="A972" i="52"/>
  <c r="A973" i="52"/>
  <c r="A974" i="52"/>
  <c r="A975" i="52"/>
  <c r="A976" i="52"/>
  <c r="A977" i="52"/>
  <c r="A978" i="52"/>
  <c r="A979" i="52"/>
  <c r="A980" i="52"/>
  <c r="A981" i="52"/>
  <c r="A982" i="52"/>
  <c r="A983" i="52"/>
  <c r="A984" i="52"/>
  <c r="A985" i="52"/>
  <c r="A986" i="52"/>
  <c r="A987" i="52"/>
  <c r="A988" i="52"/>
  <c r="A989" i="52"/>
  <c r="A990" i="52"/>
  <c r="A991" i="52"/>
  <c r="A992" i="52"/>
  <c r="A993" i="52"/>
  <c r="A994" i="52"/>
  <c r="A995" i="52"/>
  <c r="A996" i="52"/>
  <c r="A997" i="52"/>
  <c r="A998" i="52"/>
  <c r="A999" i="52"/>
  <c r="A1000" i="52"/>
  <c r="A1001" i="52"/>
  <c r="A1002" i="52"/>
  <c r="A1003" i="52"/>
  <c r="A1004" i="52"/>
  <c r="A1005" i="52"/>
  <c r="A1006" i="52"/>
  <c r="A1007" i="52"/>
  <c r="A1008" i="52"/>
  <c r="A1009" i="52"/>
  <c r="A1010" i="52"/>
  <c r="A1011" i="52"/>
  <c r="A1012" i="52"/>
  <c r="A1013" i="52"/>
  <c r="A1014" i="52"/>
  <c r="A1015" i="52"/>
  <c r="A1016" i="52"/>
  <c r="A1017" i="52"/>
  <c r="A1018" i="52"/>
  <c r="A1019" i="52"/>
  <c r="A1020" i="52"/>
  <c r="A1021" i="52"/>
  <c r="A1022" i="52"/>
  <c r="A1023" i="52"/>
  <c r="A1024" i="52"/>
  <c r="A1025" i="52"/>
  <c r="A1026" i="52"/>
  <c r="A1027" i="52"/>
  <c r="A1028" i="52"/>
  <c r="A1029" i="52"/>
  <c r="A1030" i="52"/>
  <c r="A1031" i="52"/>
  <c r="A1032" i="52"/>
  <c r="A1033" i="52"/>
  <c r="A1034" i="52"/>
  <c r="A1035" i="52"/>
  <c r="A1036" i="52"/>
  <c r="A1037" i="52"/>
  <c r="A1038" i="52"/>
  <c r="A1039" i="52"/>
  <c r="A1040" i="52"/>
  <c r="A1041" i="52"/>
  <c r="A1042" i="52"/>
  <c r="A1043" i="52"/>
  <c r="A1044" i="52"/>
  <c r="A1045" i="52"/>
  <c r="A1046" i="52"/>
  <c r="A1047" i="52"/>
  <c r="A1048" i="52"/>
  <c r="A1049" i="52"/>
  <c r="A1050" i="52"/>
  <c r="A1051" i="52"/>
  <c r="A1052" i="52"/>
  <c r="A1053" i="52"/>
  <c r="A1054" i="52"/>
  <c r="A1055" i="52"/>
  <c r="A1056" i="52"/>
  <c r="A1057" i="52"/>
  <c r="A1058" i="52"/>
  <c r="A1059" i="52"/>
  <c r="A1060" i="52"/>
  <c r="A1061" i="52"/>
  <c r="A1062" i="52"/>
  <c r="A1063" i="52"/>
  <c r="A1064" i="52"/>
  <c r="A1065" i="52"/>
  <c r="A1066" i="52"/>
  <c r="A1067" i="52"/>
  <c r="A1068" i="52"/>
  <c r="A1069" i="52"/>
  <c r="A1070" i="52"/>
  <c r="A1071" i="52"/>
  <c r="A1072" i="52"/>
  <c r="A1073" i="52"/>
  <c r="A1074" i="52"/>
  <c r="A1075" i="52"/>
  <c r="A1076" i="52"/>
  <c r="A1077" i="52"/>
  <c r="A1078" i="52"/>
  <c r="A1079" i="52"/>
  <c r="A1080" i="52"/>
  <c r="A1081" i="52"/>
  <c r="A1082" i="52"/>
  <c r="A1083" i="52"/>
  <c r="A1084" i="52"/>
  <c r="A1085" i="52"/>
  <c r="A1086" i="52"/>
  <c r="A1087" i="52"/>
  <c r="A1088" i="52"/>
  <c r="A1089" i="52"/>
  <c r="A1090" i="52"/>
  <c r="A1091" i="52"/>
  <c r="A1092" i="52"/>
  <c r="A1093" i="52"/>
  <c r="A1094" i="52"/>
  <c r="A1095" i="52"/>
  <c r="A1096" i="52"/>
  <c r="A1097" i="52"/>
  <c r="A1098" i="52"/>
  <c r="A1099" i="52"/>
  <c r="A1100" i="52"/>
  <c r="A1101" i="52"/>
  <c r="A1102" i="52"/>
  <c r="A1103" i="52"/>
  <c r="A1104" i="52"/>
  <c r="A1105" i="52"/>
  <c r="A1106" i="52"/>
  <c r="A1107" i="52"/>
  <c r="A1108" i="52"/>
  <c r="A1109" i="52"/>
  <c r="A1110" i="52"/>
  <c r="A1111" i="52"/>
  <c r="A1112" i="52"/>
  <c r="A1113" i="52"/>
  <c r="A1114" i="52"/>
  <c r="A1115" i="52"/>
  <c r="A1116" i="52"/>
  <c r="A1117" i="52"/>
  <c r="A1118" i="52"/>
  <c r="A1119" i="52"/>
  <c r="A1120" i="52"/>
  <c r="A1121" i="52"/>
  <c r="A1122" i="52"/>
  <c r="A1123" i="52"/>
  <c r="A1124" i="52"/>
  <c r="A1125" i="52"/>
  <c r="A1126" i="52"/>
  <c r="A1127" i="52"/>
  <c r="A1128" i="52"/>
  <c r="A1129" i="52"/>
  <c r="A1130" i="52"/>
  <c r="A1131" i="52"/>
  <c r="A1132" i="52"/>
  <c r="A1133" i="52"/>
  <c r="A1134" i="52"/>
  <c r="A1135" i="52"/>
  <c r="A1136" i="52"/>
  <c r="A1137" i="52"/>
  <c r="A1138" i="52"/>
  <c r="A1139" i="52"/>
  <c r="A1140" i="52"/>
  <c r="A1141" i="52"/>
  <c r="A1142" i="52"/>
  <c r="A1143" i="52"/>
  <c r="A1144" i="52"/>
  <c r="A1145" i="52"/>
  <c r="A1146" i="52"/>
  <c r="A1147" i="52"/>
  <c r="A1148" i="52"/>
  <c r="A1149" i="52"/>
  <c r="A1150" i="52"/>
  <c r="A1151" i="52"/>
  <c r="A1152" i="52"/>
  <c r="A1153" i="52"/>
  <c r="A1154" i="52"/>
  <c r="A1155" i="52"/>
  <c r="A1156" i="52"/>
  <c r="A1157" i="52"/>
  <c r="A1158" i="52"/>
  <c r="A1159" i="52"/>
  <c r="A1160" i="52"/>
  <c r="A1161" i="52"/>
  <c r="A1162" i="52"/>
  <c r="A1163" i="52"/>
  <c r="A1164" i="52"/>
  <c r="A1165" i="52"/>
  <c r="A1166" i="52"/>
  <c r="A1167" i="52"/>
  <c r="A1168" i="52"/>
  <c r="A1169" i="52"/>
  <c r="A1170" i="52"/>
  <c r="A1171" i="52"/>
  <c r="A1172" i="52"/>
  <c r="A1173" i="52"/>
  <c r="A1174" i="52"/>
  <c r="A1175" i="52"/>
  <c r="A1176" i="52"/>
  <c r="A1177" i="52"/>
  <c r="A1178" i="52"/>
  <c r="A1179" i="52"/>
  <c r="A1180" i="52"/>
  <c r="A1181" i="52"/>
  <c r="A1182" i="52"/>
  <c r="A1183" i="52"/>
  <c r="A1184" i="52"/>
  <c r="A1185" i="52"/>
  <c r="A1186" i="52"/>
  <c r="A1187" i="52"/>
  <c r="A1188" i="52"/>
  <c r="A1189" i="52"/>
  <c r="A1190" i="52"/>
  <c r="A1191" i="52"/>
  <c r="A1192" i="52"/>
  <c r="A1193" i="52"/>
  <c r="A1194" i="52"/>
  <c r="A1195" i="52"/>
  <c r="A1196" i="52"/>
  <c r="A1197" i="52"/>
  <c r="A1198" i="52"/>
  <c r="A1199" i="52"/>
  <c r="A1200" i="52"/>
  <c r="A1201" i="52"/>
  <c r="A1202" i="52"/>
  <c r="A1203" i="52"/>
  <c r="A1204" i="52"/>
  <c r="A1205" i="52"/>
  <c r="A1206" i="52"/>
  <c r="A1207" i="52"/>
  <c r="A1208" i="52"/>
  <c r="A1209" i="52"/>
  <c r="A1210" i="52"/>
  <c r="A1211" i="52"/>
  <c r="A1212" i="52"/>
  <c r="A1213" i="52"/>
  <c r="A1214" i="52"/>
  <c r="A1215" i="52"/>
  <c r="A1216" i="52"/>
  <c r="A1217" i="52"/>
  <c r="A1218" i="52"/>
  <c r="A1219" i="52"/>
  <c r="A1220" i="52"/>
  <c r="A1221" i="52"/>
  <c r="A1222" i="52"/>
  <c r="A1223" i="52"/>
  <c r="A1224" i="52"/>
  <c r="A1225" i="52"/>
  <c r="A1226" i="52"/>
  <c r="A1227" i="52"/>
  <c r="A1228" i="52"/>
  <c r="A1229" i="52"/>
  <c r="A1230" i="52"/>
  <c r="A1231" i="52"/>
  <c r="A1232" i="52"/>
  <c r="A1233" i="52"/>
  <c r="A1234" i="52"/>
  <c r="A1235" i="52"/>
  <c r="A1236" i="52"/>
  <c r="A1237" i="52"/>
  <c r="A1238" i="52"/>
  <c r="A1239" i="52"/>
  <c r="A1240" i="52"/>
  <c r="A1241" i="52"/>
  <c r="A1242" i="52"/>
  <c r="A1243" i="52"/>
  <c r="A1244" i="52"/>
  <c r="A1245" i="52"/>
  <c r="A1246" i="52"/>
  <c r="A1247" i="52"/>
  <c r="A1248" i="52"/>
  <c r="A1249" i="52"/>
  <c r="A1250" i="52"/>
  <c r="A1251" i="52"/>
  <c r="A1252" i="52"/>
  <c r="A1253" i="52"/>
  <c r="A1254" i="52"/>
  <c r="A1255" i="52"/>
  <c r="A1256" i="52"/>
  <c r="A1257" i="52"/>
  <c r="A1258" i="52"/>
  <c r="A1259" i="52"/>
  <c r="A1260" i="52"/>
  <c r="A1261" i="52"/>
  <c r="A1262" i="52"/>
  <c r="A1263" i="52"/>
  <c r="A1264" i="52"/>
  <c r="A1265" i="52"/>
  <c r="A1266" i="52"/>
  <c r="A1267" i="52"/>
  <c r="A1268" i="52"/>
  <c r="A1269" i="52"/>
  <c r="A1270" i="52"/>
  <c r="A1271" i="52"/>
  <c r="A1272" i="52"/>
  <c r="A1273" i="52"/>
  <c r="A1274" i="52"/>
  <c r="A1275" i="52"/>
  <c r="A1276" i="52"/>
  <c r="A1277" i="52"/>
  <c r="A1278" i="52"/>
  <c r="A1279" i="52"/>
  <c r="A1280" i="52"/>
  <c r="A1281" i="52"/>
  <c r="A1282" i="52"/>
  <c r="A1283" i="52"/>
  <c r="A1284" i="52"/>
  <c r="A1285" i="52"/>
  <c r="A1286" i="52"/>
  <c r="A1287" i="52"/>
  <c r="A1288" i="52"/>
  <c r="A1289" i="52"/>
  <c r="A1290" i="52"/>
  <c r="A1291" i="52"/>
  <c r="A1292" i="52"/>
  <c r="A1293" i="52"/>
  <c r="A1294" i="52"/>
  <c r="A1295" i="52"/>
  <c r="A1296" i="52"/>
  <c r="A1297" i="52"/>
  <c r="A1298" i="52"/>
  <c r="A1299" i="52"/>
  <c r="A1300" i="52"/>
  <c r="A1301" i="52"/>
  <c r="A1302" i="52"/>
  <c r="A1303" i="52"/>
  <c r="A1304" i="52"/>
  <c r="A1305" i="52"/>
  <c r="A1306" i="52"/>
  <c r="A1307" i="52"/>
  <c r="A1308" i="52"/>
  <c r="A1309" i="52"/>
  <c r="A1310" i="52"/>
  <c r="A1311" i="52"/>
  <c r="A1312" i="52"/>
  <c r="A1313" i="52"/>
  <c r="A1314" i="52"/>
  <c r="A1315" i="52"/>
  <c r="A1316" i="52"/>
  <c r="A1317" i="52"/>
  <c r="A1318" i="52"/>
  <c r="A1319" i="52"/>
  <c r="A1320" i="52"/>
  <c r="A1321" i="52"/>
  <c r="A1322" i="52"/>
  <c r="A1323" i="52"/>
  <c r="A1324" i="52"/>
  <c r="A1325" i="52"/>
  <c r="A1326" i="52"/>
  <c r="A1327" i="52"/>
  <c r="A1328" i="52"/>
  <c r="A1329" i="52"/>
  <c r="A1330" i="52"/>
  <c r="A1331" i="52"/>
  <c r="A1332" i="52"/>
  <c r="A1333" i="52"/>
  <c r="A1334" i="52"/>
  <c r="A1335" i="52"/>
  <c r="A1336" i="52"/>
  <c r="A1337" i="52"/>
  <c r="A1338" i="52"/>
  <c r="A1339" i="52"/>
  <c r="A1340" i="52"/>
  <c r="A1341" i="52"/>
  <c r="A1342" i="52"/>
  <c r="A1343" i="52"/>
  <c r="A1344" i="52"/>
  <c r="A1345" i="52"/>
  <c r="A1346" i="52"/>
  <c r="A1347" i="52"/>
  <c r="A1348" i="52"/>
  <c r="A1349" i="52"/>
  <c r="A1350" i="52"/>
  <c r="A1351" i="52"/>
  <c r="A1352" i="52"/>
  <c r="A1353" i="52"/>
  <c r="A1354" i="52"/>
  <c r="A1355" i="52"/>
  <c r="A1356" i="52"/>
  <c r="A1357" i="52"/>
  <c r="A1358" i="52"/>
  <c r="A1359" i="52"/>
  <c r="A1360" i="52"/>
  <c r="A1361" i="52"/>
  <c r="A1362" i="52"/>
  <c r="A1363" i="52"/>
  <c r="A1364" i="52"/>
  <c r="A1365" i="52"/>
  <c r="A1366" i="52"/>
  <c r="A1367" i="52"/>
  <c r="A1368" i="52"/>
  <c r="A1369" i="52"/>
  <c r="A1370" i="52"/>
  <c r="A1371" i="52"/>
  <c r="A1372" i="52"/>
  <c r="A1373" i="52"/>
  <c r="A1374" i="52"/>
  <c r="A1375" i="52"/>
  <c r="A1376" i="52"/>
  <c r="A1377" i="52"/>
  <c r="A1378" i="52"/>
  <c r="A1379" i="52"/>
  <c r="A1380" i="52"/>
  <c r="A1381" i="52"/>
  <c r="A1382" i="52"/>
  <c r="A1383" i="52"/>
  <c r="A1384" i="52"/>
  <c r="A1385" i="52"/>
  <c r="A1386" i="52"/>
  <c r="A1387" i="52"/>
  <c r="A1388" i="52"/>
  <c r="A1389" i="52"/>
  <c r="A1390" i="52"/>
  <c r="A1391" i="52"/>
  <c r="A1392" i="52"/>
  <c r="A1393" i="52"/>
  <c r="A1394" i="52"/>
  <c r="A1395" i="52"/>
  <c r="A1396" i="52"/>
  <c r="A1397" i="52"/>
  <c r="A1398" i="52"/>
  <c r="A1399" i="52"/>
  <c r="A1400" i="52"/>
  <c r="A1401" i="52"/>
  <c r="A1402" i="52"/>
  <c r="A1403" i="52"/>
  <c r="A1404" i="52"/>
  <c r="A1405" i="52"/>
  <c r="A1406" i="52"/>
  <c r="A1407" i="52"/>
  <c r="A1408" i="52"/>
  <c r="A1409" i="52"/>
  <c r="A1410" i="52"/>
  <c r="A1411" i="52"/>
  <c r="A1412" i="52"/>
  <c r="A1413" i="52"/>
  <c r="A1414" i="52"/>
  <c r="A1415" i="52"/>
  <c r="A1416" i="52"/>
  <c r="A1417" i="52"/>
  <c r="A1418" i="52"/>
  <c r="A1419" i="52"/>
  <c r="A1420" i="52"/>
  <c r="A1421" i="52"/>
  <c r="A1422" i="52"/>
  <c r="A1423" i="52"/>
  <c r="A1424" i="52"/>
  <c r="A1425" i="52"/>
  <c r="A1426" i="52"/>
  <c r="A1427" i="52"/>
  <c r="A1428" i="52"/>
  <c r="A1429" i="52"/>
  <c r="A1430" i="52"/>
  <c r="A1431" i="52"/>
  <c r="A1432" i="52"/>
  <c r="A1433" i="52"/>
  <c r="A1434" i="52"/>
  <c r="A1435" i="52"/>
  <c r="A1436" i="52"/>
  <c r="A1437" i="52"/>
  <c r="A1438" i="52"/>
  <c r="A1439" i="52"/>
  <c r="A1440" i="52"/>
  <c r="A1441" i="52"/>
  <c r="A1442" i="52"/>
  <c r="A1443" i="52"/>
  <c r="A1444" i="52"/>
  <c r="A1445" i="52"/>
  <c r="A1446" i="52"/>
  <c r="A1447" i="52"/>
  <c r="A1448" i="52"/>
  <c r="A1449" i="52"/>
  <c r="A1450" i="52"/>
  <c r="A1451" i="52"/>
  <c r="A1452" i="52"/>
  <c r="A1453" i="52"/>
  <c r="A1454" i="52"/>
  <c r="A1455" i="52"/>
  <c r="A1456" i="52"/>
  <c r="A1457" i="52"/>
  <c r="A1458" i="52"/>
  <c r="A1459" i="52"/>
  <c r="A1460" i="52"/>
  <c r="A1461" i="52"/>
  <c r="A1462" i="52"/>
  <c r="A1463" i="52"/>
  <c r="A1464" i="52"/>
  <c r="A1465" i="52"/>
  <c r="A1466" i="52"/>
  <c r="A1467" i="52"/>
  <c r="A1468" i="52"/>
  <c r="A1469" i="52"/>
  <c r="A1470" i="52"/>
  <c r="A1471" i="52"/>
  <c r="A1472" i="52"/>
  <c r="A1473" i="52"/>
  <c r="A1474" i="52"/>
  <c r="A1475" i="52"/>
  <c r="A1476" i="52"/>
  <c r="A1477" i="52"/>
  <c r="A1478" i="52"/>
  <c r="A1479" i="52"/>
  <c r="A1480" i="52"/>
  <c r="A1481" i="52"/>
  <c r="A1482" i="52"/>
  <c r="A1483" i="52"/>
  <c r="A1484" i="52"/>
  <c r="A1485" i="52"/>
  <c r="A1486" i="52"/>
  <c r="A1487" i="52"/>
  <c r="A1488" i="52"/>
  <c r="A1489" i="52"/>
  <c r="A1490" i="52"/>
  <c r="A1491" i="52"/>
  <c r="A1492" i="52"/>
  <c r="A1493" i="52"/>
  <c r="A1494" i="52"/>
  <c r="A1495" i="52"/>
  <c r="A1496" i="52"/>
  <c r="A1497" i="52"/>
  <c r="A1498" i="52"/>
  <c r="A1499" i="52"/>
  <c r="A1500" i="52"/>
  <c r="A1501" i="52"/>
  <c r="A1502" i="52"/>
  <c r="A1503" i="52"/>
  <c r="A1504" i="52"/>
  <c r="A1505" i="52"/>
  <c r="A1506" i="52"/>
  <c r="A1507" i="52"/>
  <c r="A1508" i="52"/>
  <c r="A1509" i="52"/>
  <c r="A1510" i="52"/>
  <c r="A1511" i="52"/>
  <c r="A1512" i="52"/>
  <c r="A1513" i="52"/>
  <c r="A1514" i="52"/>
  <c r="A1515" i="52"/>
  <c r="A1516" i="52"/>
  <c r="A1517" i="52"/>
  <c r="A1518" i="52"/>
  <c r="A1519" i="52"/>
  <c r="A1520" i="52"/>
  <c r="A1521" i="52"/>
  <c r="A1522" i="52"/>
  <c r="A1523" i="52"/>
  <c r="A1524" i="52"/>
  <c r="A1525" i="52"/>
  <c r="A1526" i="52"/>
  <c r="A1527" i="52"/>
  <c r="A1528" i="52"/>
  <c r="A1529" i="52"/>
  <c r="A1530" i="52"/>
  <c r="A1531" i="52"/>
  <c r="A1532" i="52"/>
  <c r="A1533" i="52"/>
  <c r="A1534" i="52"/>
  <c r="A1535" i="52"/>
  <c r="A1536" i="52"/>
  <c r="A1537" i="52"/>
  <c r="A1538" i="52"/>
  <c r="A1539" i="52"/>
  <c r="A1540" i="52"/>
  <c r="A1541" i="52"/>
  <c r="A1542" i="52"/>
  <c r="A1543" i="52"/>
  <c r="A1544" i="52"/>
  <c r="A1545" i="52"/>
  <c r="A1546" i="52"/>
  <c r="A1547" i="52"/>
  <c r="A1548" i="52"/>
  <c r="A1549" i="52"/>
  <c r="A1550" i="52"/>
  <c r="A1551" i="52"/>
  <c r="A1552" i="52"/>
  <c r="A1553" i="52"/>
  <c r="A1554" i="52"/>
  <c r="A1555" i="52"/>
  <c r="A1556" i="52"/>
  <c r="A1557" i="52"/>
  <c r="A1558" i="52"/>
  <c r="A1559" i="52"/>
  <c r="A1560" i="52"/>
  <c r="A1561" i="52"/>
  <c r="A1562" i="52"/>
  <c r="A1563" i="52"/>
  <c r="A1564" i="52"/>
  <c r="A1565" i="52"/>
  <c r="A1566" i="52"/>
  <c r="A1567" i="52"/>
  <c r="A1568" i="52"/>
  <c r="A1569" i="52"/>
  <c r="A1570" i="52"/>
  <c r="A1571" i="52"/>
  <c r="A1572" i="52"/>
  <c r="A1573" i="52"/>
  <c r="A1574" i="52"/>
  <c r="A1575" i="52"/>
  <c r="A1576" i="52"/>
  <c r="A1577" i="52"/>
  <c r="A1578" i="52"/>
  <c r="A1579" i="52"/>
  <c r="A1580" i="52"/>
  <c r="A1581" i="52"/>
  <c r="A1582" i="52"/>
  <c r="A1583" i="52"/>
  <c r="A1584" i="52"/>
  <c r="A1585" i="52"/>
  <c r="A1586" i="52"/>
  <c r="A1587" i="52"/>
  <c r="A1588" i="52"/>
  <c r="A1589" i="52"/>
  <c r="A1590" i="52"/>
  <c r="A1591" i="52"/>
  <c r="A1592" i="52"/>
  <c r="A1593" i="52"/>
  <c r="A1594" i="52"/>
  <c r="A1595" i="52"/>
  <c r="A1596" i="52"/>
  <c r="A1597" i="52"/>
  <c r="A1598" i="52"/>
  <c r="A1599" i="52"/>
  <c r="A1600" i="52"/>
  <c r="A1601" i="52"/>
  <c r="A1602" i="52"/>
  <c r="A1603" i="52"/>
  <c r="A1604" i="52"/>
  <c r="A1605" i="52"/>
  <c r="A1606" i="52"/>
  <c r="A1607" i="52"/>
  <c r="A1608" i="52"/>
  <c r="A1609" i="52"/>
  <c r="A1610" i="52"/>
  <c r="A1611" i="52"/>
  <c r="A1612" i="52"/>
  <c r="A1613" i="52"/>
  <c r="A1614" i="52"/>
  <c r="A1615" i="52"/>
  <c r="A1616" i="52"/>
  <c r="A1617" i="52"/>
  <c r="A1618" i="52"/>
  <c r="A1619" i="52"/>
  <c r="A1620" i="52"/>
  <c r="A1621" i="52"/>
  <c r="A1622" i="52"/>
  <c r="A1623" i="52"/>
  <c r="A1624" i="52"/>
  <c r="A1625" i="52"/>
  <c r="A1626" i="52"/>
  <c r="A1627" i="52"/>
  <c r="A1628" i="52"/>
  <c r="A1629" i="52"/>
  <c r="A1630" i="52"/>
  <c r="A1631" i="52"/>
  <c r="A1632" i="52"/>
  <c r="A1633" i="52"/>
  <c r="A1634" i="52"/>
  <c r="A1635" i="52"/>
  <c r="A1636" i="52"/>
  <c r="A1637" i="52"/>
  <c r="A1638" i="52"/>
  <c r="A1639" i="52"/>
  <c r="A1640" i="52"/>
  <c r="A1641" i="52"/>
  <c r="A1642" i="52"/>
  <c r="A1643" i="52"/>
  <c r="A1644" i="52"/>
  <c r="A1645" i="52"/>
  <c r="A1646" i="52"/>
  <c r="A1647" i="52"/>
  <c r="A1648" i="52"/>
  <c r="A1649" i="52"/>
  <c r="A1650" i="52"/>
  <c r="A1651" i="52"/>
  <c r="A1652" i="52"/>
  <c r="A1653" i="52"/>
  <c r="A1654" i="52"/>
  <c r="A1655" i="52"/>
  <c r="A1656" i="52"/>
  <c r="A1657" i="52"/>
  <c r="A1658" i="52"/>
  <c r="A1659" i="52"/>
  <c r="A1660" i="52"/>
  <c r="A1661" i="52"/>
  <c r="A1662" i="52"/>
  <c r="A1663" i="52"/>
  <c r="A1664" i="52"/>
  <c r="A1665" i="52"/>
  <c r="A1666" i="52"/>
  <c r="A1667" i="52"/>
  <c r="A1668" i="52"/>
  <c r="A1669" i="52"/>
  <c r="A1670" i="52"/>
  <c r="A1671" i="52"/>
  <c r="A1672" i="52"/>
  <c r="A1673" i="52"/>
  <c r="A1674" i="52"/>
  <c r="A1675" i="52"/>
  <c r="A1676" i="52"/>
  <c r="A1677" i="52"/>
  <c r="A1678" i="52"/>
  <c r="A1679" i="52"/>
  <c r="A1680" i="52"/>
  <c r="A1681" i="52"/>
  <c r="A1682" i="52"/>
  <c r="A1683" i="52"/>
  <c r="A1684" i="52"/>
  <c r="A1685" i="52"/>
  <c r="A1686" i="52"/>
  <c r="A1687" i="52"/>
  <c r="A1688" i="52"/>
  <c r="A1689" i="52"/>
  <c r="A1690" i="52"/>
  <c r="A1691" i="52"/>
  <c r="A1692" i="52"/>
  <c r="A1693" i="52"/>
  <c r="A1694" i="52"/>
  <c r="A1695" i="52"/>
  <c r="A1696" i="52"/>
  <c r="A1697" i="52"/>
  <c r="A1698" i="52"/>
  <c r="A1699" i="52"/>
  <c r="A1700" i="52"/>
  <c r="A1701" i="52"/>
  <c r="A1702" i="52"/>
  <c r="A1703" i="52"/>
  <c r="A1704" i="52"/>
  <c r="A1705" i="52"/>
  <c r="A1706" i="52"/>
  <c r="A1707" i="52"/>
  <c r="A1708" i="52"/>
  <c r="A1709" i="52"/>
  <c r="A1710" i="52"/>
  <c r="A1711" i="52"/>
  <c r="A1712" i="52"/>
  <c r="A1713" i="52"/>
  <c r="A1714" i="52"/>
  <c r="A1715" i="52"/>
  <c r="A1716" i="52"/>
  <c r="A1717" i="52"/>
  <c r="A1718" i="52"/>
  <c r="A1719" i="52"/>
  <c r="A1720" i="52"/>
  <c r="A1721" i="52"/>
  <c r="A1722" i="52"/>
  <c r="A1723" i="52"/>
  <c r="A1724" i="52"/>
  <c r="A1725" i="52"/>
  <c r="A1726" i="52"/>
  <c r="A1727" i="52"/>
  <c r="A1728" i="52"/>
  <c r="A1729" i="52"/>
  <c r="A1730" i="52"/>
  <c r="A1731" i="52"/>
  <c r="A1732" i="52"/>
  <c r="A1733" i="52"/>
  <c r="A1734" i="52"/>
  <c r="A1735" i="52"/>
  <c r="A1736" i="52"/>
  <c r="A1737" i="52"/>
  <c r="A1738" i="52"/>
  <c r="A1739" i="52"/>
  <c r="A1740" i="52"/>
  <c r="A1741" i="52"/>
  <c r="A1742" i="52"/>
  <c r="A1743" i="52"/>
  <c r="A1744" i="52"/>
  <c r="A1745" i="52"/>
  <c r="A1746" i="52"/>
  <c r="A1747" i="52"/>
  <c r="A1748" i="52"/>
  <c r="A1749" i="52"/>
  <c r="A1750" i="52"/>
  <c r="A1751" i="52"/>
  <c r="A1752" i="52"/>
  <c r="A1753" i="52"/>
  <c r="A1754" i="52"/>
  <c r="A1755" i="52"/>
  <c r="A1756" i="52"/>
  <c r="A1757" i="52"/>
  <c r="A1758" i="52"/>
  <c r="A1759" i="52"/>
  <c r="A1760" i="52"/>
  <c r="A1761" i="52"/>
  <c r="A1762" i="52"/>
  <c r="A1763" i="52"/>
  <c r="A1764" i="52"/>
  <c r="A1765" i="52"/>
  <c r="A1766" i="52"/>
  <c r="A1767" i="52"/>
  <c r="A1768" i="52"/>
  <c r="A1769" i="52"/>
  <c r="A1770" i="52"/>
  <c r="A1771" i="52"/>
  <c r="A1772" i="52"/>
  <c r="A1773" i="52"/>
  <c r="A1774" i="52"/>
  <c r="A1775" i="52"/>
  <c r="A1776" i="52"/>
  <c r="A1777" i="52"/>
  <c r="A1778" i="52"/>
  <c r="A1779" i="52"/>
  <c r="A1780" i="52"/>
  <c r="A1781" i="52"/>
  <c r="A1782" i="52"/>
  <c r="A1783" i="52"/>
  <c r="A1784" i="52"/>
  <c r="A1785" i="52"/>
  <c r="A1786" i="52"/>
  <c r="A1787" i="52"/>
  <c r="A1788" i="52"/>
  <c r="A1789" i="52"/>
  <c r="A1790" i="52"/>
  <c r="A1791" i="52"/>
  <c r="A1792" i="52"/>
  <c r="A1793" i="52"/>
  <c r="A1794" i="52"/>
  <c r="A1795" i="52"/>
  <c r="A1796" i="52"/>
  <c r="A1797" i="52"/>
  <c r="A1798" i="52"/>
  <c r="A1799" i="52"/>
  <c r="A1800" i="52"/>
  <c r="A1801" i="52"/>
  <c r="A1802" i="52"/>
  <c r="A1803" i="52"/>
  <c r="A1804" i="52"/>
  <c r="A1805" i="52"/>
  <c r="A1806" i="52"/>
  <c r="A1807" i="52"/>
  <c r="A1808" i="52"/>
  <c r="A1809" i="52"/>
  <c r="A1810" i="52"/>
  <c r="A1811" i="52"/>
  <c r="A1812" i="52"/>
  <c r="A1813" i="52"/>
  <c r="A1814" i="52"/>
  <c r="A1815" i="52"/>
  <c r="A1816" i="52"/>
  <c r="A1817" i="52"/>
  <c r="A1818" i="52"/>
  <c r="A1819" i="52"/>
  <c r="A1820" i="52"/>
  <c r="A1821" i="52"/>
  <c r="A1822" i="52"/>
  <c r="A1823" i="52"/>
  <c r="A1824" i="52"/>
  <c r="A1825" i="52"/>
  <c r="A1826" i="52"/>
  <c r="A1827" i="52"/>
  <c r="A1828" i="52"/>
  <c r="A1829" i="52"/>
  <c r="A1830" i="52"/>
  <c r="A1831" i="52"/>
  <c r="A1832" i="52"/>
  <c r="A1833" i="52"/>
  <c r="A1834" i="52"/>
  <c r="A1835" i="52"/>
  <c r="A1836" i="52"/>
  <c r="A1837" i="52"/>
  <c r="A1838" i="52"/>
  <c r="A1839" i="52"/>
  <c r="A1840" i="52"/>
  <c r="A1841" i="52"/>
  <c r="A1842" i="52"/>
  <c r="A1843" i="52"/>
  <c r="A1844" i="52"/>
  <c r="A1845" i="52"/>
  <c r="A1846" i="52"/>
  <c r="A1847" i="52"/>
  <c r="A1848" i="52"/>
  <c r="A1849" i="52"/>
  <c r="A1850" i="52"/>
  <c r="A1851" i="52"/>
  <c r="A1852" i="52"/>
  <c r="A1853" i="52"/>
  <c r="A1854" i="52"/>
  <c r="A1855" i="52"/>
  <c r="A1856" i="52"/>
  <c r="A1857" i="52"/>
  <c r="A1858" i="52"/>
  <c r="A1859" i="52"/>
  <c r="A1860" i="52"/>
  <c r="A1861" i="52"/>
  <c r="A1862" i="52"/>
  <c r="A1863" i="52"/>
  <c r="A1864" i="52"/>
  <c r="A1865" i="52"/>
  <c r="A1866" i="52"/>
  <c r="A1867" i="52"/>
  <c r="A1868" i="52"/>
  <c r="A1869" i="52"/>
  <c r="A1870" i="52"/>
  <c r="A1871" i="52"/>
  <c r="A1872" i="52"/>
  <c r="A1873" i="52"/>
  <c r="A1874" i="52"/>
  <c r="A1875" i="52"/>
  <c r="A1876" i="52"/>
  <c r="A1877" i="52"/>
  <c r="A1878" i="52"/>
  <c r="A1879" i="52"/>
  <c r="A1880" i="52"/>
  <c r="A1881" i="52"/>
  <c r="A1882" i="52"/>
  <c r="A1883" i="52"/>
  <c r="A1884" i="52"/>
  <c r="A1885" i="52"/>
  <c r="A1886" i="52"/>
  <c r="A1887" i="52"/>
  <c r="A1888" i="52"/>
  <c r="A1889" i="52"/>
  <c r="A1890" i="52"/>
  <c r="A1891" i="52"/>
  <c r="A1892" i="52"/>
  <c r="A1893" i="52"/>
  <c r="A1894" i="52"/>
  <c r="A1895" i="52"/>
  <c r="A1896" i="52"/>
  <c r="A1897" i="52"/>
  <c r="A1898" i="52"/>
  <c r="A1899" i="52"/>
  <c r="A1900" i="52"/>
  <c r="A1901" i="52"/>
  <c r="A1902" i="52"/>
  <c r="A1903" i="52"/>
  <c r="A1904" i="52"/>
  <c r="A1905" i="52"/>
  <c r="A1906" i="52"/>
  <c r="A1907" i="52"/>
  <c r="A1908" i="52"/>
  <c r="A1909" i="52"/>
  <c r="A1910" i="52"/>
  <c r="A1911" i="52"/>
  <c r="A1912" i="52"/>
  <c r="A1913" i="52"/>
  <c r="A1914" i="52"/>
  <c r="A1915" i="52"/>
  <c r="A1916" i="52"/>
  <c r="A1917" i="52"/>
  <c r="A1918" i="52"/>
  <c r="A1919" i="52"/>
  <c r="A1920" i="52"/>
  <c r="A1921" i="52"/>
  <c r="A1922" i="52"/>
  <c r="A1923" i="52"/>
  <c r="A1924" i="52"/>
  <c r="A1925" i="52"/>
  <c r="A1926" i="52"/>
  <c r="A1927" i="52"/>
  <c r="A1928" i="52"/>
  <c r="A1929" i="52"/>
  <c r="A1930" i="52"/>
  <c r="A1931" i="52"/>
  <c r="A1932" i="52"/>
  <c r="A1933" i="52"/>
  <c r="A1934" i="52"/>
  <c r="A1935" i="52"/>
  <c r="A1936" i="52"/>
  <c r="A1937" i="52"/>
  <c r="A1938" i="52"/>
  <c r="A1939" i="52"/>
  <c r="A1940" i="52"/>
  <c r="A1941" i="52"/>
  <c r="A1942" i="52"/>
  <c r="A1943" i="52"/>
  <c r="A1944" i="52"/>
  <c r="A1945" i="52"/>
  <c r="A1946" i="52"/>
  <c r="A1947" i="52"/>
  <c r="A1948" i="52"/>
  <c r="A1949" i="52"/>
  <c r="A1950" i="52"/>
  <c r="A1951" i="52"/>
  <c r="A1952" i="52"/>
  <c r="A1953" i="52"/>
  <c r="A1954" i="52"/>
  <c r="A1955" i="52"/>
  <c r="A1956" i="52"/>
  <c r="A1957" i="52"/>
  <c r="A1958" i="52"/>
  <c r="A1959" i="52"/>
  <c r="A1960" i="52"/>
  <c r="A1961" i="52"/>
  <c r="A1962" i="52"/>
  <c r="A1963" i="52"/>
  <c r="A1964" i="52"/>
  <c r="A1965" i="52"/>
  <c r="A1966" i="52"/>
  <c r="A1967" i="52"/>
  <c r="A1968" i="52"/>
  <c r="A1969" i="52"/>
  <c r="A1970" i="52"/>
  <c r="A1971" i="52"/>
  <c r="A1972" i="52"/>
  <c r="A1973" i="52"/>
  <c r="A1974" i="52"/>
  <c r="A1975" i="52"/>
  <c r="A1976" i="52"/>
  <c r="A1977" i="52"/>
  <c r="A1978" i="52"/>
  <c r="A1979" i="52"/>
  <c r="A1980" i="52"/>
  <c r="A1981" i="52"/>
  <c r="A1982" i="52"/>
  <c r="A1983" i="52"/>
  <c r="A1984" i="52"/>
  <c r="A1985" i="52"/>
  <c r="A1986" i="52"/>
  <c r="A1987" i="52"/>
  <c r="A1988" i="52"/>
  <c r="A1989" i="52"/>
  <c r="A1990" i="52"/>
  <c r="A1991" i="52"/>
  <c r="A1992" i="52"/>
  <c r="A1993" i="52"/>
  <c r="A1994" i="52"/>
  <c r="A1995" i="52"/>
  <c r="A1996" i="52"/>
  <c r="A1997" i="52"/>
  <c r="A1998" i="52"/>
  <c r="A1999" i="52"/>
  <c r="A2000" i="52"/>
  <c r="A2001" i="52"/>
  <c r="A2002" i="52"/>
  <c r="A2003" i="52"/>
  <c r="A2004" i="52"/>
  <c r="A2005" i="52"/>
  <c r="A2006" i="52"/>
  <c r="A2007" i="52"/>
  <c r="A2008" i="52"/>
  <c r="A2009" i="52"/>
  <c r="A2010" i="52"/>
  <c r="A2011" i="52"/>
  <c r="A2012" i="52"/>
  <c r="A2013" i="52"/>
  <c r="A2014" i="52"/>
  <c r="A2015" i="52"/>
  <c r="A2016" i="52"/>
  <c r="A2017" i="52"/>
  <c r="A2018" i="52"/>
  <c r="A2019" i="52"/>
  <c r="A2020" i="52"/>
  <c r="A2021" i="52"/>
  <c r="A2022" i="52"/>
  <c r="A2023" i="52"/>
  <c r="A2024" i="52"/>
  <c r="A2025" i="52"/>
  <c r="A2026" i="52"/>
  <c r="A2027" i="52"/>
  <c r="A2028" i="52"/>
  <c r="A2029" i="52"/>
  <c r="A2030" i="52"/>
  <c r="A2031" i="52"/>
  <c r="A2032" i="52"/>
  <c r="A2033" i="52"/>
  <c r="A2034" i="52"/>
  <c r="A2035" i="52"/>
  <c r="A2036" i="52"/>
  <c r="A2037" i="52"/>
  <c r="A2038" i="52"/>
  <c r="A2039" i="52"/>
  <c r="A2040" i="52"/>
  <c r="A2041" i="52"/>
  <c r="A2042" i="52"/>
  <c r="A2043" i="52"/>
  <c r="A2044" i="52"/>
  <c r="A2045" i="52"/>
  <c r="A2046" i="52"/>
  <c r="A2047" i="52"/>
  <c r="A2048" i="52"/>
  <c r="A2049" i="52"/>
  <c r="A2050" i="52"/>
  <c r="A2051" i="52"/>
  <c r="A2052" i="52"/>
  <c r="A2053" i="52"/>
  <c r="A2054" i="52"/>
  <c r="A2055" i="52"/>
  <c r="A2056" i="52"/>
  <c r="A2057" i="52"/>
  <c r="A2058" i="52"/>
  <c r="A2059" i="52"/>
  <c r="A2060" i="52"/>
  <c r="A2061" i="52"/>
  <c r="A2062" i="52"/>
  <c r="A2063" i="52"/>
  <c r="A2064" i="52"/>
  <c r="A2065" i="52"/>
  <c r="A2066" i="52"/>
  <c r="A2067" i="52"/>
  <c r="A2068" i="52"/>
  <c r="A2069" i="52"/>
  <c r="A2070" i="52"/>
  <c r="A2071" i="52"/>
  <c r="A2072" i="52"/>
  <c r="A2073" i="52"/>
  <c r="A2074" i="52"/>
  <c r="A2075" i="52"/>
  <c r="A2076" i="52"/>
  <c r="A2077" i="52"/>
  <c r="A2078" i="52"/>
  <c r="A2079" i="52"/>
  <c r="A2080" i="52"/>
  <c r="A2081" i="52"/>
  <c r="A2082" i="52"/>
  <c r="A2083" i="52"/>
  <c r="A2084" i="52"/>
  <c r="A2085" i="52"/>
  <c r="A2086" i="52"/>
  <c r="A2087" i="52"/>
  <c r="A2088" i="52"/>
  <c r="A2089" i="52"/>
  <c r="A2090" i="52"/>
  <c r="A2091" i="52"/>
  <c r="A2092" i="52"/>
  <c r="A2093" i="52"/>
  <c r="A2094" i="52"/>
  <c r="A2095" i="52"/>
  <c r="A2096" i="52"/>
  <c r="A2097" i="52"/>
  <c r="A2098" i="52"/>
  <c r="A2099" i="52"/>
  <c r="A2100" i="52"/>
  <c r="A2101" i="52"/>
  <c r="A2102" i="52"/>
  <c r="A2103" i="52"/>
  <c r="A2104" i="52"/>
  <c r="A2105" i="52"/>
  <c r="A2106" i="52"/>
  <c r="A2107" i="52"/>
  <c r="A2108" i="52"/>
  <c r="A2109" i="52"/>
  <c r="A2110" i="52"/>
  <c r="A2111" i="52"/>
  <c r="A2112" i="52"/>
  <c r="A2113" i="52"/>
  <c r="A2114" i="52"/>
  <c r="A2115" i="52"/>
  <c r="A2116" i="52"/>
  <c r="A2117" i="52"/>
  <c r="A2118" i="52"/>
  <c r="A2119" i="52"/>
  <c r="A2120" i="52"/>
  <c r="A2121" i="52"/>
  <c r="A2122" i="52"/>
  <c r="A2123" i="52"/>
  <c r="A2124" i="52"/>
  <c r="A2125" i="52"/>
  <c r="A2126" i="52"/>
  <c r="A2127" i="52"/>
  <c r="A2128" i="52"/>
  <c r="A2129" i="52"/>
  <c r="A2130" i="52"/>
  <c r="A2131" i="52"/>
  <c r="A2132" i="52"/>
  <c r="A2133" i="52"/>
  <c r="A2134" i="52"/>
  <c r="A2135" i="52"/>
  <c r="A2136" i="52"/>
  <c r="A2137" i="52"/>
  <c r="A2138" i="52"/>
  <c r="A2139" i="52"/>
  <c r="A2140" i="52"/>
  <c r="A2141" i="52"/>
  <c r="A2142" i="52"/>
  <c r="A2143" i="52"/>
  <c r="A2144" i="52"/>
  <c r="A2145" i="52"/>
  <c r="A2146" i="52"/>
  <c r="A2147" i="52"/>
  <c r="A2148" i="52"/>
  <c r="A2149" i="52"/>
  <c r="A2150" i="52"/>
  <c r="A2151" i="52"/>
  <c r="A2152" i="52"/>
  <c r="A2153" i="52"/>
  <c r="A2154" i="52"/>
  <c r="A2155" i="52"/>
  <c r="A2156" i="52"/>
  <c r="A2157" i="52"/>
  <c r="A2158" i="52"/>
  <c r="A2159" i="52"/>
  <c r="A2160" i="52"/>
  <c r="A2161" i="52"/>
  <c r="A2162" i="52"/>
  <c r="A2163" i="52"/>
  <c r="A2164" i="52"/>
  <c r="A2165" i="52"/>
  <c r="A2166" i="52"/>
  <c r="A2167" i="52"/>
  <c r="A2168" i="52"/>
  <c r="A2169" i="52"/>
  <c r="A2170" i="52"/>
  <c r="A2171" i="52"/>
  <c r="A2172" i="52"/>
  <c r="A2173" i="52"/>
  <c r="A2174" i="52"/>
  <c r="A2175" i="52"/>
  <c r="A2176" i="52"/>
  <c r="A2177" i="52"/>
  <c r="A2178" i="52"/>
  <c r="A2179" i="52"/>
  <c r="A2180" i="52"/>
  <c r="A2181" i="52"/>
  <c r="A2182" i="52"/>
  <c r="A2183" i="52"/>
  <c r="A2184" i="52"/>
  <c r="A2185" i="52"/>
  <c r="A2186" i="52"/>
  <c r="A2187" i="52"/>
  <c r="A2188" i="52"/>
  <c r="A2189" i="52"/>
  <c r="A2190" i="52"/>
  <c r="A2191" i="52"/>
  <c r="A2192" i="52"/>
  <c r="A2193" i="52"/>
  <c r="A2194" i="52"/>
  <c r="A2195" i="52"/>
  <c r="A2196" i="52"/>
  <c r="A2197" i="52"/>
  <c r="A2198" i="52"/>
  <c r="A2199" i="52"/>
  <c r="A2200" i="52"/>
  <c r="A2201" i="52"/>
  <c r="A2202" i="52"/>
  <c r="A2203" i="52"/>
  <c r="A2204" i="52"/>
  <c r="A2205" i="52"/>
  <c r="A2206" i="52"/>
  <c r="A2207" i="52"/>
  <c r="A2208" i="52"/>
  <c r="A2209" i="52"/>
  <c r="A2210" i="52"/>
  <c r="A2211" i="52"/>
  <c r="A2212" i="52"/>
  <c r="A2213" i="52"/>
  <c r="A2214" i="52"/>
  <c r="A2215" i="52"/>
  <c r="A2216" i="52"/>
  <c r="A2217" i="52"/>
  <c r="A2218" i="52"/>
  <c r="A2219" i="52"/>
  <c r="A2220" i="52"/>
  <c r="A2221" i="52"/>
  <c r="A2222" i="52"/>
  <c r="A2223" i="52"/>
  <c r="A2224" i="52"/>
  <c r="A2225" i="52"/>
  <c r="A2226" i="52"/>
  <c r="A2227" i="52"/>
  <c r="A2228" i="52"/>
  <c r="A2229" i="52"/>
  <c r="A2230" i="52"/>
  <c r="A2231" i="52"/>
  <c r="A2232" i="52"/>
  <c r="A2233" i="52"/>
  <c r="A2234" i="52"/>
  <c r="A2235" i="52"/>
  <c r="A2236" i="52"/>
  <c r="A2237" i="52"/>
  <c r="A2238" i="52"/>
  <c r="A2239" i="52"/>
  <c r="A2240" i="52"/>
  <c r="A2241" i="52"/>
  <c r="A2242" i="52"/>
  <c r="A2243" i="52"/>
  <c r="A2244" i="52"/>
  <c r="A2245" i="52"/>
  <c r="A2246" i="52"/>
  <c r="A2247" i="52"/>
  <c r="A2248" i="52"/>
  <c r="A2249" i="52"/>
  <c r="A2250" i="52"/>
  <c r="A2251" i="52"/>
  <c r="A2252" i="52"/>
  <c r="A2253" i="52"/>
  <c r="A2254" i="52"/>
  <c r="A2255" i="52"/>
  <c r="A2256" i="52"/>
  <c r="A2257" i="52"/>
  <c r="A2258" i="52"/>
  <c r="A2259" i="52"/>
  <c r="A2260" i="52"/>
  <c r="A2261" i="52"/>
  <c r="A2262" i="52"/>
  <c r="A2263" i="52"/>
  <c r="A2264" i="52"/>
  <c r="A2265" i="52"/>
  <c r="A2266" i="52"/>
  <c r="A2267" i="52"/>
  <c r="A2268" i="52"/>
  <c r="A2269" i="52"/>
  <c r="A2270" i="52"/>
  <c r="A2271" i="52"/>
  <c r="A2272" i="52"/>
  <c r="A2273" i="52"/>
  <c r="A2274" i="52"/>
  <c r="A2275" i="52"/>
  <c r="A2276" i="52"/>
  <c r="A2277" i="52"/>
  <c r="A2278" i="52"/>
  <c r="A2279" i="52"/>
  <c r="A2280" i="52"/>
  <c r="A2281" i="52"/>
  <c r="A2282" i="52"/>
  <c r="A2283" i="52"/>
  <c r="A2284" i="52"/>
  <c r="A2285" i="52"/>
  <c r="A2286" i="52"/>
  <c r="A2287" i="52"/>
  <c r="A2288" i="52"/>
  <c r="A2289" i="52"/>
  <c r="A2290" i="52"/>
  <c r="A2291" i="52"/>
  <c r="A2292" i="52"/>
  <c r="A2293" i="52"/>
  <c r="A2294" i="52"/>
  <c r="A2295" i="52"/>
  <c r="A2296" i="52"/>
  <c r="A2297" i="52"/>
  <c r="A2298" i="52"/>
  <c r="A2299" i="52"/>
  <c r="A2300" i="52"/>
  <c r="A2301" i="52"/>
  <c r="A2302" i="52"/>
  <c r="A2303" i="52"/>
  <c r="A2304" i="52"/>
  <c r="A2305" i="52"/>
  <c r="A2306" i="52"/>
  <c r="A2307" i="52"/>
  <c r="A2308" i="52"/>
  <c r="A2309" i="52"/>
  <c r="A2310" i="52"/>
  <c r="A2311" i="52"/>
  <c r="A2312" i="52"/>
  <c r="A2313" i="52"/>
  <c r="A2314" i="52"/>
  <c r="A2315" i="52"/>
  <c r="A2316" i="52"/>
  <c r="A2317" i="52"/>
  <c r="A2318" i="52"/>
  <c r="A2319" i="52"/>
  <c r="A2320" i="52"/>
  <c r="A2321" i="52"/>
  <c r="A2322" i="52"/>
  <c r="A2323" i="52"/>
  <c r="A2324" i="52"/>
  <c r="A2325" i="52"/>
  <c r="A2326" i="52"/>
  <c r="A2327" i="52"/>
  <c r="A2328" i="52"/>
  <c r="A2329" i="52"/>
  <c r="A2330" i="52"/>
  <c r="A2331" i="52"/>
  <c r="A2332" i="52"/>
  <c r="A2333" i="52"/>
  <c r="A2334" i="52"/>
  <c r="A2335" i="52"/>
  <c r="A2336" i="52"/>
  <c r="A2337" i="52"/>
  <c r="A2338" i="52"/>
  <c r="A2339" i="52"/>
  <c r="A2340" i="52"/>
  <c r="A2341" i="52"/>
  <c r="A2342" i="52"/>
  <c r="A2343" i="52"/>
  <c r="A2344" i="52"/>
  <c r="A2345" i="52"/>
  <c r="A2346" i="52"/>
  <c r="A2347" i="52"/>
  <c r="A2348" i="52"/>
  <c r="A2349" i="52"/>
  <c r="A2350" i="52"/>
  <c r="A2351" i="52"/>
  <c r="A2352" i="52"/>
  <c r="A2353" i="52"/>
  <c r="A2354" i="52"/>
  <c r="A2355" i="52"/>
  <c r="A2356" i="52"/>
  <c r="A2357" i="52"/>
  <c r="A2358" i="52"/>
  <c r="A2359" i="52"/>
  <c r="A2360" i="52"/>
  <c r="A2361" i="52"/>
  <c r="A2362" i="52"/>
  <c r="A2363" i="52"/>
  <c r="A2364" i="52"/>
  <c r="A2365" i="52"/>
  <c r="A2366" i="52"/>
  <c r="A2367" i="52"/>
  <c r="A2368" i="52"/>
  <c r="A2369" i="52"/>
  <c r="A2370" i="52"/>
  <c r="A2371" i="52"/>
  <c r="A2372" i="52"/>
  <c r="A2373" i="52"/>
  <c r="A2374" i="52"/>
  <c r="A2375" i="52"/>
  <c r="A2376" i="52"/>
  <c r="A2377" i="52"/>
  <c r="A2378" i="52"/>
  <c r="A2379" i="52"/>
  <c r="A2380" i="52"/>
  <c r="A2381" i="52"/>
  <c r="A2382" i="52"/>
  <c r="A2383" i="52"/>
  <c r="A2384" i="52"/>
  <c r="A2385" i="52"/>
  <c r="A2386" i="52"/>
  <c r="A2387" i="52"/>
  <c r="A2388" i="52"/>
  <c r="A2389" i="52"/>
  <c r="A2390" i="52"/>
  <c r="A2391" i="52"/>
  <c r="A2392" i="52"/>
  <c r="A2393" i="52"/>
  <c r="A2394" i="52"/>
  <c r="A2395" i="52"/>
  <c r="A2396" i="52"/>
  <c r="A2397" i="52"/>
  <c r="A2398" i="52"/>
  <c r="A2399" i="52"/>
  <c r="A2400" i="52"/>
  <c r="A2401" i="52"/>
  <c r="A2402" i="52"/>
  <c r="A2403" i="52"/>
  <c r="A2404" i="52"/>
  <c r="A2405" i="52"/>
  <c r="A2406" i="52"/>
  <c r="A2407" i="52"/>
  <c r="A2408" i="52"/>
  <c r="A2409" i="52"/>
  <c r="A2410" i="52"/>
  <c r="A2411" i="52"/>
  <c r="A2412" i="52"/>
  <c r="A2413" i="52"/>
  <c r="A2414" i="52"/>
  <c r="A2415" i="52"/>
  <c r="A2416" i="52"/>
  <c r="A2417" i="52"/>
  <c r="A2418" i="52"/>
  <c r="A2419" i="52"/>
  <c r="A2420" i="52"/>
  <c r="A2421" i="52"/>
  <c r="A2422" i="52"/>
  <c r="A2423" i="52"/>
  <c r="A2424" i="52"/>
  <c r="A2425" i="52"/>
  <c r="A2426" i="52"/>
  <c r="A2427" i="52"/>
  <c r="A2428" i="52"/>
  <c r="A2429" i="52"/>
  <c r="A2430" i="52"/>
  <c r="A2431" i="52"/>
  <c r="A2432" i="52"/>
  <c r="A2433" i="52"/>
  <c r="A2434" i="52"/>
  <c r="A2435" i="52"/>
  <c r="A2436" i="52"/>
  <c r="A2437" i="52"/>
  <c r="A2438" i="52"/>
  <c r="A2439" i="52"/>
  <c r="A2440" i="52"/>
  <c r="A2441" i="52"/>
  <c r="A2442" i="52"/>
  <c r="A2443" i="52"/>
  <c r="A2444" i="52"/>
  <c r="A2445" i="52"/>
  <c r="A2446" i="52"/>
  <c r="A2447" i="52"/>
  <c r="A2448" i="52"/>
  <c r="A2449" i="52"/>
  <c r="A2450" i="52"/>
  <c r="A2451" i="52"/>
  <c r="A2452" i="52"/>
  <c r="A2453" i="52"/>
  <c r="A2454" i="52"/>
  <c r="A2455" i="52"/>
  <c r="A2456" i="52"/>
  <c r="A2457" i="52"/>
  <c r="A2458" i="52"/>
  <c r="A2459" i="52"/>
  <c r="A2460" i="52"/>
  <c r="A2461" i="52"/>
  <c r="A2462" i="52"/>
  <c r="A2463" i="52"/>
  <c r="A2464" i="52"/>
  <c r="A2465" i="52"/>
  <c r="A2466" i="52"/>
  <c r="A2467" i="52"/>
  <c r="A2468" i="52"/>
  <c r="A2469" i="52"/>
  <c r="A2470" i="52"/>
  <c r="A2471" i="52"/>
  <c r="A2472" i="52"/>
  <c r="A2473" i="52"/>
  <c r="A2474" i="52"/>
  <c r="A2475" i="52"/>
  <c r="A2476" i="52"/>
  <c r="A2477" i="52"/>
  <c r="A2478" i="52"/>
  <c r="A2479" i="52"/>
  <c r="A2480" i="52"/>
  <c r="A2481" i="52"/>
  <c r="A2482" i="52"/>
  <c r="A2483" i="52"/>
  <c r="A2484" i="52"/>
  <c r="A2485" i="52"/>
  <c r="A2486" i="52"/>
  <c r="A2487" i="52"/>
  <c r="A2488" i="52"/>
  <c r="A2489" i="52"/>
  <c r="A2490" i="52"/>
  <c r="A2491" i="52"/>
  <c r="A2492" i="52"/>
  <c r="A2493" i="52"/>
  <c r="A2494" i="52"/>
  <c r="A2495" i="52"/>
  <c r="A2496" i="52"/>
  <c r="A2497" i="52"/>
  <c r="A2498" i="52"/>
  <c r="A2499" i="52"/>
  <c r="A2500" i="52"/>
  <c r="A2501" i="52"/>
  <c r="A2502" i="52"/>
  <c r="A2503" i="52"/>
  <c r="A2504" i="52"/>
  <c r="A2505" i="52"/>
  <c r="A2506" i="52"/>
  <c r="A2507" i="52"/>
  <c r="A2508" i="52"/>
  <c r="A2509" i="52"/>
  <c r="A2510" i="52"/>
  <c r="A2511" i="52"/>
  <c r="A2512" i="52"/>
  <c r="A2513" i="52"/>
  <c r="A2514" i="52"/>
  <c r="A2515" i="52"/>
  <c r="A2516" i="52"/>
  <c r="A2517" i="52"/>
  <c r="A2518" i="52"/>
  <c r="A2519" i="52"/>
  <c r="A2520" i="52"/>
  <c r="A2521" i="52"/>
  <c r="A2522" i="52"/>
  <c r="A2523" i="52"/>
  <c r="A2524" i="52"/>
  <c r="A2525" i="52"/>
  <c r="A2526" i="52"/>
  <c r="A2527" i="52"/>
  <c r="A2528" i="52"/>
  <c r="A2529" i="52"/>
  <c r="A2530" i="52"/>
  <c r="A2531" i="52"/>
  <c r="A2532" i="52"/>
  <c r="A2533" i="52"/>
  <c r="A2534" i="52"/>
  <c r="A2535" i="52"/>
  <c r="A2536" i="52"/>
  <c r="A2537" i="52"/>
  <c r="A2538" i="52"/>
  <c r="A2539" i="52"/>
  <c r="A2540" i="52"/>
  <c r="A2541" i="52"/>
  <c r="A2542" i="52"/>
  <c r="A2543" i="52"/>
  <c r="A2544" i="52"/>
  <c r="A2545" i="52"/>
  <c r="A2546" i="52"/>
  <c r="A2547" i="52"/>
  <c r="A2548" i="52"/>
  <c r="A2549" i="52"/>
  <c r="A2550" i="52"/>
  <c r="A2551" i="52"/>
  <c r="A2552" i="52"/>
  <c r="A2553" i="52"/>
  <c r="A2554" i="52"/>
  <c r="A2555" i="52"/>
  <c r="A2556" i="52"/>
  <c r="A2557" i="52"/>
  <c r="A2558" i="52"/>
  <c r="A2559" i="52"/>
  <c r="A2560" i="52"/>
  <c r="A2561" i="52"/>
  <c r="A2562" i="52"/>
  <c r="A2563" i="52"/>
  <c r="A2564" i="52"/>
  <c r="A2565" i="52"/>
  <c r="A2566" i="52"/>
  <c r="A2567" i="52"/>
  <c r="A2568" i="52"/>
  <c r="A2569" i="52"/>
  <c r="A2570" i="52"/>
  <c r="A2571" i="52"/>
  <c r="A2572" i="52"/>
  <c r="A2573" i="52"/>
  <c r="A2574" i="52"/>
  <c r="A2575" i="52"/>
  <c r="A2576" i="52"/>
  <c r="A2577" i="52"/>
  <c r="A2578" i="52"/>
  <c r="A2579" i="52"/>
  <c r="A2580" i="52"/>
  <c r="A2581" i="52"/>
  <c r="A2582" i="52"/>
  <c r="A2583" i="52"/>
  <c r="A2584" i="52"/>
  <c r="A2585" i="52"/>
  <c r="A2586" i="52"/>
  <c r="A2587" i="52"/>
  <c r="A2588" i="52"/>
  <c r="A2589" i="52"/>
  <c r="A2590" i="52"/>
  <c r="A2591" i="52"/>
  <c r="A2592" i="52"/>
  <c r="A2593" i="52"/>
  <c r="A2594" i="52"/>
  <c r="A2595" i="52"/>
  <c r="A2596" i="52"/>
  <c r="A2597" i="52"/>
  <c r="A2598" i="52"/>
  <c r="A2599" i="52"/>
  <c r="A2600" i="52"/>
  <c r="A2601" i="52"/>
  <c r="A2602" i="52"/>
  <c r="A2603" i="52"/>
  <c r="A2604" i="52"/>
  <c r="A2605" i="52"/>
  <c r="A2606" i="52"/>
  <c r="A2607" i="52"/>
  <c r="A2608" i="52"/>
  <c r="A2609" i="52"/>
  <c r="A2610" i="52"/>
  <c r="A2611" i="52"/>
  <c r="A2612" i="52"/>
  <c r="A2613" i="52"/>
  <c r="A2614" i="52"/>
  <c r="A2615" i="52"/>
  <c r="A2616" i="52"/>
  <c r="A2617" i="52"/>
  <c r="A2618" i="52"/>
  <c r="A2619" i="52"/>
  <c r="A2620" i="52"/>
  <c r="A2621" i="52"/>
  <c r="A2622" i="52"/>
  <c r="A2623" i="52"/>
  <c r="A2624" i="52"/>
  <c r="A2625" i="52"/>
  <c r="A2626" i="52"/>
  <c r="A2627" i="52"/>
  <c r="A2628" i="52"/>
  <c r="A2629" i="52"/>
  <c r="A2630" i="52"/>
  <c r="A2631" i="52"/>
  <c r="A2632" i="52"/>
  <c r="A2633" i="52"/>
  <c r="A2634" i="52"/>
  <c r="A2635" i="52"/>
  <c r="A2636" i="52"/>
  <c r="A2637" i="52"/>
  <c r="A2638" i="52"/>
  <c r="A2639" i="52"/>
  <c r="A2640" i="52"/>
  <c r="A2641" i="52"/>
  <c r="A2642" i="52"/>
  <c r="A2643" i="52"/>
  <c r="A2644" i="52"/>
  <c r="A2645" i="52"/>
  <c r="A2646" i="52"/>
  <c r="A2647" i="52"/>
  <c r="A2648" i="52"/>
  <c r="A2649" i="52"/>
  <c r="A2650" i="52"/>
  <c r="A2651" i="52"/>
  <c r="A2652" i="52"/>
  <c r="A2653" i="52"/>
  <c r="A2654" i="52"/>
  <c r="A2655" i="52"/>
  <c r="A2656" i="52"/>
  <c r="A2657" i="52"/>
  <c r="A2658" i="52"/>
  <c r="A2659" i="52"/>
  <c r="A2660" i="52"/>
  <c r="A2661" i="52"/>
  <c r="A2662" i="52"/>
  <c r="A2663" i="52"/>
  <c r="A2664" i="52"/>
  <c r="A2665" i="52"/>
  <c r="A2666" i="52"/>
  <c r="A2667" i="52"/>
  <c r="A2668" i="52"/>
  <c r="A2669" i="52"/>
  <c r="A2670" i="52"/>
  <c r="A2671" i="52"/>
  <c r="A2672" i="52"/>
  <c r="A2673" i="52"/>
  <c r="A2674" i="52"/>
  <c r="A2675" i="52"/>
  <c r="A2676" i="52"/>
  <c r="A2677" i="52"/>
  <c r="A2678" i="52"/>
  <c r="A2679" i="52"/>
  <c r="A2680" i="52"/>
  <c r="A2681" i="52"/>
  <c r="A2682" i="52"/>
  <c r="A2683" i="52"/>
  <c r="A2684" i="52"/>
  <c r="A2685" i="52"/>
  <c r="A2686" i="52"/>
  <c r="A2687" i="52"/>
  <c r="A2688" i="52"/>
  <c r="A2689" i="52"/>
  <c r="A2690" i="52"/>
  <c r="A2691" i="52"/>
  <c r="A2692" i="52"/>
  <c r="A2693" i="52"/>
  <c r="A2694" i="52"/>
  <c r="A2695" i="52"/>
  <c r="A2696" i="52"/>
  <c r="A2697" i="52"/>
  <c r="A2698" i="52"/>
  <c r="A2699" i="52"/>
  <c r="A2700" i="52"/>
  <c r="A2701" i="52"/>
  <c r="A2702" i="52"/>
  <c r="A2703" i="52"/>
  <c r="A2704" i="52"/>
  <c r="A2705" i="52"/>
  <c r="A2706" i="52"/>
  <c r="A2707" i="52"/>
  <c r="A2708" i="52"/>
  <c r="A2709" i="52"/>
  <c r="A2710" i="52"/>
  <c r="A2711" i="52"/>
  <c r="A2712" i="52"/>
  <c r="A2713" i="52"/>
  <c r="A2714" i="52"/>
  <c r="A2715" i="52"/>
  <c r="A2716" i="52"/>
  <c r="A2717" i="52"/>
  <c r="A2718" i="52"/>
  <c r="A2719" i="52"/>
  <c r="A2720" i="52"/>
  <c r="A2721" i="52"/>
  <c r="A2722" i="52"/>
  <c r="A2723" i="52"/>
  <c r="A2724" i="52"/>
  <c r="A2725" i="52"/>
  <c r="A2726" i="52"/>
  <c r="A2727" i="52"/>
  <c r="A2728" i="52"/>
  <c r="A2729" i="52"/>
  <c r="A2730" i="52"/>
  <c r="A2731" i="52"/>
  <c r="A2732" i="52"/>
  <c r="A2733" i="52"/>
  <c r="A2734" i="52"/>
  <c r="A2735" i="52"/>
  <c r="A2736" i="52"/>
  <c r="A2737" i="52"/>
  <c r="A2738" i="52"/>
  <c r="A2739" i="52"/>
  <c r="A2740" i="52"/>
  <c r="A2741" i="52"/>
  <c r="A2742" i="52"/>
  <c r="A2743" i="52"/>
  <c r="A2744" i="52"/>
  <c r="A2745" i="52"/>
  <c r="A2746" i="52"/>
  <c r="A2747" i="52"/>
  <c r="A2748" i="52"/>
  <c r="A2749" i="52"/>
  <c r="A2750" i="52"/>
  <c r="A2751" i="52"/>
  <c r="A2752" i="52"/>
  <c r="A2753" i="52"/>
  <c r="A2754" i="52"/>
  <c r="A2755" i="52"/>
  <c r="A2756" i="52"/>
  <c r="A2757" i="52"/>
  <c r="A2758" i="52"/>
  <c r="A2759" i="52"/>
  <c r="A2760" i="52"/>
  <c r="A2761" i="52"/>
  <c r="A2762" i="52"/>
  <c r="A2763" i="52"/>
  <c r="A2764" i="52"/>
  <c r="A2765" i="52"/>
  <c r="A2766" i="52"/>
  <c r="A2767" i="52"/>
  <c r="A2768" i="52"/>
  <c r="A2769" i="52"/>
  <c r="A2770" i="52"/>
  <c r="A2771" i="52"/>
  <c r="A2772" i="52"/>
  <c r="A2773" i="52"/>
  <c r="A2774" i="52"/>
  <c r="A2775" i="52"/>
  <c r="A2776" i="52"/>
  <c r="A2777" i="52"/>
  <c r="A2778" i="52"/>
  <c r="A2779" i="52"/>
  <c r="A2780" i="52"/>
  <c r="A2781" i="52"/>
  <c r="A2782" i="52"/>
  <c r="A2783" i="52"/>
  <c r="A2784" i="52"/>
  <c r="A2785" i="52"/>
  <c r="A2786" i="52"/>
  <c r="A2787" i="52"/>
  <c r="A2788" i="52"/>
  <c r="A2789" i="52"/>
  <c r="A2790" i="52"/>
  <c r="A2791" i="52"/>
  <c r="A2792" i="52"/>
  <c r="A2793" i="52"/>
  <c r="A2794" i="52"/>
  <c r="A2795" i="52"/>
  <c r="A2796" i="52"/>
  <c r="A2797" i="52"/>
  <c r="A2798" i="52"/>
  <c r="A2799" i="52"/>
  <c r="A2800" i="52"/>
  <c r="A2801" i="52"/>
  <c r="A2802" i="52"/>
  <c r="A2803" i="52"/>
  <c r="A2804" i="52"/>
  <c r="A2805" i="52"/>
  <c r="A2806" i="52"/>
  <c r="A2807" i="52"/>
  <c r="A2808" i="52"/>
  <c r="A2809" i="52"/>
  <c r="A2810" i="52"/>
  <c r="A2811" i="52"/>
  <c r="A2812" i="52"/>
  <c r="A2813" i="52"/>
  <c r="A2814" i="52"/>
  <c r="A2815" i="52"/>
  <c r="A2816" i="52"/>
  <c r="A2817" i="52"/>
  <c r="A2818" i="52"/>
  <c r="A2819" i="52"/>
  <c r="A2820" i="52"/>
  <c r="A2821" i="52"/>
  <c r="A2822" i="52"/>
  <c r="A2823" i="52"/>
  <c r="A2824" i="52"/>
  <c r="A2825" i="52"/>
  <c r="A2826" i="52"/>
  <c r="A2827" i="52"/>
  <c r="A2828" i="52"/>
  <c r="A2829" i="52"/>
  <c r="A2830" i="52"/>
  <c r="A2831" i="52"/>
  <c r="A2832" i="52"/>
  <c r="A2833" i="52"/>
  <c r="A2834" i="52"/>
  <c r="A2835" i="52"/>
  <c r="A2836" i="52"/>
  <c r="A2837" i="52"/>
  <c r="A2838" i="52"/>
  <c r="A2839" i="52"/>
  <c r="A2840" i="52"/>
  <c r="A2841" i="52"/>
  <c r="A2842" i="52"/>
  <c r="A2843" i="52"/>
  <c r="A2844" i="52"/>
  <c r="A2845" i="52"/>
  <c r="A2846" i="52"/>
  <c r="A2847" i="52"/>
  <c r="A2848" i="52"/>
  <c r="A2849" i="52"/>
  <c r="A2850" i="52"/>
  <c r="A2851" i="52"/>
  <c r="A2852" i="52"/>
  <c r="A2853" i="52"/>
  <c r="A2854" i="52"/>
  <c r="A2855" i="52"/>
  <c r="A2856" i="52"/>
  <c r="A2857" i="52"/>
  <c r="A2858" i="52"/>
  <c r="A2859" i="52"/>
  <c r="A2860" i="52"/>
  <c r="A2861" i="52"/>
  <c r="A2862" i="52"/>
  <c r="A2863" i="52"/>
  <c r="A2864" i="52"/>
  <c r="A2865" i="52"/>
  <c r="A2866" i="52"/>
  <c r="A2867" i="52"/>
  <c r="A2868" i="52"/>
  <c r="A2869" i="52"/>
  <c r="A2870" i="52"/>
  <c r="A2871" i="52"/>
  <c r="A2872" i="52"/>
  <c r="A2873" i="52"/>
  <c r="A2874" i="52"/>
  <c r="A2875" i="52"/>
  <c r="A2876" i="52"/>
  <c r="A2877" i="52"/>
  <c r="A2878" i="52"/>
  <c r="A2879" i="52"/>
  <c r="A2880" i="52"/>
  <c r="A2881" i="52"/>
  <c r="A2882" i="52"/>
  <c r="A2883" i="52"/>
  <c r="A2884" i="52"/>
  <c r="A2885" i="52"/>
  <c r="A2886" i="52"/>
  <c r="A2887" i="52"/>
  <c r="A2888" i="52"/>
  <c r="A2889" i="52"/>
  <c r="A2890" i="52"/>
  <c r="A2891" i="52"/>
  <c r="A2892" i="52"/>
  <c r="A2893" i="52"/>
  <c r="A2894" i="52"/>
  <c r="A2895" i="52"/>
  <c r="A2896" i="52"/>
  <c r="A2897" i="52"/>
  <c r="A2898" i="52"/>
  <c r="A2899" i="52"/>
  <c r="A2900" i="52"/>
  <c r="A2901" i="52"/>
  <c r="A2902" i="52"/>
  <c r="A2903" i="52"/>
  <c r="A2904" i="52"/>
  <c r="A2905" i="52"/>
  <c r="A2906" i="52"/>
  <c r="A2907" i="52"/>
  <c r="A2908" i="52"/>
  <c r="A2909" i="52"/>
  <c r="A2910" i="52"/>
  <c r="A2911" i="52"/>
  <c r="A2912" i="52"/>
  <c r="A2913" i="52"/>
  <c r="A2914" i="52"/>
  <c r="A2915" i="52"/>
  <c r="A2916" i="52"/>
  <c r="A2917" i="52"/>
  <c r="A2918" i="52"/>
  <c r="A2919" i="52"/>
  <c r="A2920" i="52"/>
  <c r="A2921" i="52"/>
  <c r="A2922" i="52"/>
  <c r="A2923" i="52"/>
  <c r="A2924" i="52"/>
  <c r="A2925" i="52"/>
  <c r="A2926" i="52"/>
  <c r="A2927" i="52"/>
  <c r="A2928" i="52"/>
  <c r="A2929" i="52"/>
  <c r="A2930" i="52"/>
  <c r="A2931" i="52"/>
  <c r="A2932" i="52"/>
  <c r="A2933" i="52"/>
  <c r="A2934" i="52"/>
  <c r="A2935" i="52"/>
  <c r="A2936" i="52"/>
  <c r="A2937" i="52"/>
  <c r="A2938" i="52"/>
  <c r="A2939" i="52"/>
  <c r="A2940" i="52"/>
  <c r="A2941" i="52"/>
  <c r="A2942" i="52"/>
  <c r="A2943" i="52"/>
  <c r="A2944" i="52"/>
  <c r="A2945" i="52"/>
  <c r="A2946" i="52"/>
  <c r="A2947" i="52"/>
  <c r="A2948" i="52"/>
  <c r="A2949" i="52"/>
  <c r="A2950" i="52"/>
  <c r="A2951" i="52"/>
  <c r="A2952" i="52"/>
  <c r="A2953" i="52"/>
  <c r="A2954" i="52"/>
  <c r="A2955" i="52"/>
  <c r="A2956" i="52"/>
  <c r="A2957" i="52"/>
  <c r="A2958" i="52"/>
  <c r="A2959" i="52"/>
  <c r="A2960" i="52"/>
  <c r="A2961" i="52"/>
  <c r="A2962" i="52"/>
  <c r="A2963" i="52"/>
  <c r="A2964" i="52"/>
  <c r="A2965" i="52"/>
  <c r="A2966" i="52"/>
  <c r="A2967" i="52"/>
  <c r="A2968" i="52"/>
  <c r="A2969" i="52"/>
  <c r="A2970" i="52"/>
  <c r="A2971" i="52"/>
  <c r="A2972" i="52"/>
  <c r="A2973" i="52"/>
  <c r="A2974" i="52"/>
  <c r="A2975" i="52"/>
  <c r="A2976" i="52"/>
  <c r="A2977" i="52"/>
  <c r="A2978" i="52"/>
  <c r="A2979" i="52"/>
  <c r="A2980" i="52"/>
  <c r="A2981" i="52"/>
  <c r="A2982" i="52"/>
  <c r="A2983" i="52"/>
  <c r="A2984" i="52"/>
  <c r="A2985" i="52"/>
  <c r="A2986" i="52"/>
  <c r="A2987" i="52"/>
  <c r="A2988" i="52"/>
  <c r="A2989" i="52"/>
  <c r="A2990" i="52"/>
  <c r="A2991" i="52"/>
  <c r="A2992" i="52"/>
  <c r="A2993" i="52"/>
  <c r="A2994" i="52"/>
  <c r="A2995" i="52"/>
  <c r="A2996" i="52"/>
  <c r="A2997" i="52"/>
  <c r="A2998" i="52"/>
  <c r="A2999" i="52"/>
  <c r="A3000" i="52"/>
  <c r="A3001" i="52"/>
  <c r="A3002" i="52"/>
  <c r="A3003" i="52"/>
  <c r="A3004" i="52"/>
  <c r="A3005" i="52"/>
  <c r="A3006" i="52"/>
  <c r="A3007" i="52"/>
  <c r="A3008" i="52"/>
  <c r="A3009" i="52"/>
  <c r="A3010" i="52"/>
  <c r="A3011" i="52"/>
  <c r="A3012" i="52"/>
  <c r="A3013" i="52"/>
  <c r="A3014" i="52"/>
  <c r="A3015" i="52"/>
  <c r="A3016" i="52"/>
  <c r="A3017" i="52"/>
  <c r="A3018" i="52"/>
  <c r="A3019" i="52"/>
  <c r="A3020" i="52"/>
  <c r="A3021" i="52"/>
  <c r="A3022" i="52"/>
  <c r="A3023" i="52"/>
  <c r="A3024" i="52"/>
  <c r="A3025" i="52"/>
  <c r="A3026" i="52"/>
  <c r="A3027" i="52"/>
  <c r="A3028" i="52"/>
  <c r="A3029" i="52"/>
  <c r="A3030" i="52"/>
  <c r="A3031" i="52"/>
  <c r="A3032" i="52"/>
  <c r="A3033" i="52"/>
  <c r="A3034" i="52"/>
  <c r="A3035" i="52"/>
  <c r="A3036" i="52"/>
  <c r="A3037" i="52"/>
  <c r="A3038" i="52"/>
  <c r="A3039" i="52"/>
  <c r="A3040" i="52"/>
  <c r="A3041" i="52"/>
  <c r="A3042" i="52"/>
  <c r="A3043" i="52"/>
  <c r="A3044" i="52"/>
  <c r="A3045" i="52"/>
  <c r="A3046" i="52"/>
  <c r="A3047" i="52"/>
  <c r="A3048" i="52"/>
  <c r="A3049" i="52"/>
  <c r="A3050" i="52"/>
  <c r="A3051" i="52"/>
  <c r="A3052" i="52"/>
  <c r="A3053" i="52"/>
  <c r="A3054" i="52"/>
  <c r="A3055" i="52"/>
  <c r="A3056" i="52"/>
  <c r="A3057" i="52"/>
  <c r="A3058" i="52"/>
  <c r="A3059" i="52"/>
  <c r="A3060" i="52"/>
  <c r="A3061" i="52"/>
  <c r="A3062" i="52"/>
  <c r="A3063" i="52"/>
  <c r="A3064" i="52"/>
  <c r="A3065" i="52"/>
  <c r="A3066" i="52"/>
  <c r="A3067" i="52"/>
  <c r="A3068" i="52"/>
  <c r="A3069" i="52"/>
  <c r="A3070" i="52"/>
  <c r="A3071" i="52"/>
  <c r="A3072" i="52"/>
  <c r="A3073" i="52"/>
  <c r="A3074" i="52"/>
  <c r="A3075" i="52"/>
  <c r="A3076" i="52"/>
  <c r="A3077" i="52"/>
  <c r="A3078" i="52"/>
  <c r="A3079" i="52"/>
  <c r="A3080" i="52"/>
  <c r="A3081" i="52"/>
  <c r="A3082" i="52"/>
  <c r="A3083" i="52"/>
  <c r="A3084" i="52"/>
  <c r="A3085" i="52"/>
  <c r="A3086" i="52"/>
  <c r="A3087" i="52"/>
  <c r="A3088" i="52"/>
  <c r="A3089" i="52"/>
  <c r="A3090" i="52"/>
  <c r="A3091" i="52"/>
  <c r="A3092" i="52"/>
  <c r="A3093" i="52"/>
  <c r="A3094" i="52"/>
  <c r="A3095" i="52"/>
  <c r="A3096" i="52"/>
  <c r="A3097" i="52"/>
  <c r="A3098" i="52"/>
  <c r="A3099" i="52"/>
  <c r="A3100" i="52"/>
  <c r="A3101" i="52"/>
  <c r="A3102" i="52"/>
  <c r="A3103" i="52"/>
  <c r="A3104" i="52"/>
  <c r="A3105" i="52"/>
  <c r="A3106" i="52"/>
  <c r="A3107" i="52"/>
  <c r="A3108" i="52"/>
  <c r="A3109" i="52"/>
  <c r="A3110" i="52"/>
  <c r="A3111" i="52"/>
  <c r="A3112" i="52"/>
  <c r="A3113" i="52"/>
  <c r="A3114" i="52"/>
  <c r="A3115" i="52"/>
  <c r="A3116" i="52"/>
  <c r="A3117" i="52"/>
  <c r="A3118" i="52"/>
  <c r="A3119" i="52"/>
  <c r="A3120" i="52"/>
  <c r="A3121" i="52"/>
  <c r="A3122" i="52"/>
  <c r="A3123" i="52"/>
  <c r="A3124" i="52"/>
  <c r="A3125" i="52"/>
  <c r="A3126" i="52"/>
  <c r="A3127" i="52"/>
  <c r="A3128" i="52"/>
  <c r="A3129" i="52"/>
  <c r="A3130" i="52"/>
  <c r="A3131" i="52"/>
  <c r="A3132" i="52"/>
  <c r="A3133" i="52"/>
  <c r="A3134" i="52"/>
  <c r="A3135" i="52"/>
  <c r="A3136" i="52"/>
  <c r="A3137" i="52"/>
  <c r="A3138" i="52"/>
  <c r="A3139" i="52"/>
  <c r="A3140" i="52"/>
  <c r="A3141" i="52"/>
  <c r="A3142" i="52"/>
  <c r="A3143" i="52"/>
  <c r="A3144" i="52"/>
  <c r="A3145" i="52"/>
  <c r="A3146" i="52"/>
  <c r="A3147" i="52"/>
  <c r="A3148" i="52"/>
  <c r="A3149" i="52"/>
  <c r="A3150" i="52"/>
  <c r="A3151" i="52"/>
  <c r="A3152" i="52"/>
  <c r="A3153" i="52"/>
  <c r="A3154" i="52"/>
  <c r="A3155" i="52"/>
  <c r="A3156" i="52"/>
  <c r="A3157" i="52"/>
  <c r="A3158" i="52"/>
  <c r="A3159" i="52"/>
  <c r="A3160" i="52"/>
  <c r="A3161" i="52"/>
  <c r="A3162" i="52"/>
  <c r="A3163" i="52"/>
  <c r="A3164" i="52"/>
  <c r="A3165" i="52"/>
  <c r="A3166" i="52"/>
  <c r="A3167" i="52"/>
  <c r="A3168" i="52"/>
  <c r="A3169" i="52"/>
  <c r="A3170" i="52"/>
  <c r="A3171" i="52"/>
  <c r="A3172" i="52"/>
  <c r="A3173" i="52"/>
  <c r="A3174" i="52"/>
  <c r="A3175" i="52"/>
  <c r="A3176" i="52"/>
  <c r="A3177" i="52"/>
  <c r="A3178" i="52"/>
  <c r="A3179" i="52"/>
  <c r="A3180" i="52"/>
  <c r="A3181" i="52"/>
  <c r="A3182" i="52"/>
  <c r="A3183" i="52"/>
  <c r="A3184" i="52"/>
  <c r="A3185" i="52"/>
  <c r="A3186" i="52"/>
  <c r="A3187" i="52"/>
  <c r="A3188" i="52"/>
  <c r="A3189" i="52"/>
  <c r="A3190" i="52"/>
  <c r="A3191" i="52"/>
  <c r="A3192" i="52"/>
  <c r="A3193" i="52"/>
  <c r="A3194" i="52"/>
  <c r="A3195" i="52"/>
  <c r="A3196" i="52"/>
  <c r="A3197" i="52"/>
  <c r="A3198" i="52"/>
  <c r="A3199" i="52"/>
  <c r="A3200" i="52"/>
  <c r="A3201" i="52"/>
  <c r="A3202" i="52"/>
  <c r="A3203" i="52"/>
  <c r="A3204" i="52"/>
  <c r="A3205" i="52"/>
  <c r="A3206" i="52"/>
  <c r="A3207" i="52"/>
  <c r="A3208" i="52"/>
  <c r="A3209" i="52"/>
  <c r="A3210" i="52"/>
  <c r="A3211" i="52"/>
  <c r="A3212" i="52"/>
  <c r="A3213" i="52"/>
  <c r="A3214" i="52"/>
  <c r="A3215" i="52"/>
  <c r="A3216" i="52"/>
  <c r="A3217" i="52"/>
  <c r="A3218" i="52"/>
  <c r="A3219" i="52"/>
  <c r="A3220" i="52"/>
  <c r="A3221" i="52"/>
  <c r="A3222" i="52"/>
  <c r="A3223" i="52"/>
  <c r="A3224" i="52"/>
  <c r="A3225" i="52"/>
  <c r="A3226" i="52"/>
  <c r="A3227" i="52"/>
  <c r="A3228" i="52"/>
  <c r="A3229" i="52"/>
  <c r="A3230" i="52"/>
  <c r="A3231" i="52"/>
  <c r="A3232" i="52"/>
  <c r="A3233" i="52"/>
  <c r="A3234" i="52"/>
  <c r="A3235" i="52"/>
  <c r="A3236" i="52"/>
  <c r="A3237" i="52"/>
  <c r="A3238" i="52"/>
  <c r="A3239" i="52"/>
  <c r="A3240" i="52"/>
  <c r="A3241" i="52"/>
  <c r="A3242" i="52"/>
  <c r="A3243" i="52"/>
  <c r="A3244" i="52"/>
  <c r="A3245" i="52"/>
  <c r="A3246" i="52"/>
  <c r="A3247" i="52"/>
  <c r="A3248" i="52"/>
  <c r="A3249" i="52"/>
  <c r="A3250" i="52"/>
  <c r="A3251" i="52"/>
  <c r="A3252" i="52"/>
  <c r="A3253" i="52"/>
  <c r="A3254" i="52"/>
  <c r="A3255" i="52"/>
  <c r="A3256" i="52"/>
  <c r="A3257" i="52"/>
  <c r="A3258" i="52"/>
  <c r="A3259" i="52"/>
  <c r="A3260" i="52"/>
  <c r="A3261" i="52"/>
  <c r="A3262" i="52"/>
  <c r="A3263" i="52"/>
  <c r="A3264" i="52"/>
  <c r="A3265" i="52"/>
  <c r="A3266" i="52"/>
  <c r="A3267" i="52"/>
  <c r="A3268" i="52"/>
  <c r="A3269" i="52"/>
  <c r="A3270" i="52"/>
  <c r="A3271" i="52"/>
  <c r="A3272" i="52"/>
  <c r="A3273" i="52"/>
  <c r="A3274" i="52"/>
  <c r="A3275" i="52"/>
  <c r="A3276" i="52"/>
  <c r="A3277" i="52"/>
  <c r="A3278" i="52"/>
  <c r="A3279" i="52"/>
  <c r="A3280" i="52"/>
  <c r="A3281" i="52"/>
  <c r="A3282" i="52"/>
  <c r="A3283" i="52"/>
  <c r="A3284" i="52"/>
  <c r="A3285" i="52"/>
  <c r="A3286" i="52"/>
  <c r="A3287" i="52"/>
  <c r="A3288" i="52"/>
  <c r="A3289" i="52"/>
  <c r="A3290" i="52"/>
  <c r="A3291" i="52"/>
  <c r="A3292" i="52"/>
  <c r="A3293" i="52"/>
  <c r="A3294" i="52"/>
  <c r="A3295" i="52"/>
  <c r="A3296" i="52"/>
  <c r="A3297" i="52"/>
  <c r="A3298" i="52"/>
  <c r="A3299" i="52"/>
  <c r="A3300" i="52"/>
  <c r="A3301" i="52"/>
  <c r="A3302" i="52"/>
  <c r="A3303" i="52"/>
  <c r="A3304" i="52"/>
  <c r="A3305" i="52"/>
  <c r="A3306" i="52"/>
  <c r="A3307" i="52"/>
  <c r="A3308" i="52"/>
  <c r="A3309" i="52"/>
  <c r="A3310" i="52"/>
  <c r="A3311" i="52"/>
  <c r="A3312" i="52"/>
  <c r="A3313" i="52"/>
  <c r="A3314" i="52"/>
  <c r="A3315" i="52"/>
  <c r="A3316" i="52"/>
  <c r="A3317" i="52"/>
  <c r="A3318" i="52"/>
  <c r="A3319" i="52"/>
  <c r="A3320" i="52"/>
  <c r="A3321" i="52"/>
  <c r="A3322" i="52"/>
  <c r="A3323" i="52"/>
  <c r="A3324" i="52"/>
  <c r="A3325" i="52"/>
  <c r="A3326" i="52"/>
  <c r="A3327" i="52"/>
  <c r="A3328" i="52"/>
  <c r="A3329" i="52"/>
  <c r="A3330" i="52"/>
  <c r="A3331" i="52"/>
  <c r="A3332" i="52"/>
  <c r="A3333" i="52"/>
  <c r="A3334" i="52"/>
  <c r="A3335" i="52"/>
  <c r="A3336" i="52"/>
  <c r="A3337" i="52"/>
  <c r="A3338" i="52"/>
  <c r="A3339" i="52"/>
  <c r="A3340" i="52"/>
  <c r="A3341" i="52"/>
  <c r="A3342" i="52"/>
  <c r="A3343" i="52"/>
  <c r="A3344" i="52"/>
  <c r="A3345" i="52"/>
  <c r="A3346" i="52"/>
  <c r="A3347" i="52"/>
  <c r="A3348" i="52"/>
  <c r="A3349" i="52"/>
  <c r="A3350" i="52"/>
  <c r="A3351" i="52"/>
  <c r="A3352" i="52"/>
  <c r="A3353" i="52"/>
  <c r="A3354" i="52"/>
  <c r="A3355" i="52"/>
  <c r="A3356" i="52"/>
  <c r="A3357" i="52"/>
  <c r="A3358" i="52"/>
  <c r="A3359" i="52"/>
  <c r="A3360" i="52"/>
  <c r="A3361" i="52"/>
  <c r="A3362" i="52"/>
  <c r="A3363" i="52"/>
  <c r="A3364" i="52"/>
  <c r="A3365" i="52"/>
  <c r="A3366" i="52"/>
  <c r="A3367" i="52"/>
  <c r="A3368" i="52"/>
  <c r="A3369" i="52"/>
  <c r="A3370" i="52"/>
  <c r="A3371" i="52"/>
  <c r="A3372" i="52"/>
  <c r="A3373" i="52"/>
  <c r="A3374" i="52"/>
  <c r="A3375" i="52"/>
  <c r="A3376" i="52"/>
  <c r="A3377" i="52"/>
  <c r="A3378" i="52"/>
  <c r="A3379" i="52"/>
  <c r="A3380" i="52"/>
  <c r="A3381" i="52"/>
  <c r="A3382" i="52"/>
  <c r="A3383" i="52"/>
  <c r="A3384" i="52"/>
  <c r="A3385" i="52"/>
  <c r="A3386" i="52"/>
  <c r="A3387" i="52"/>
  <c r="A3388" i="52"/>
  <c r="A3389" i="52"/>
  <c r="A3390" i="52"/>
  <c r="A3391" i="52"/>
  <c r="A3392" i="52"/>
  <c r="A3393" i="52"/>
  <c r="A3394" i="52"/>
  <c r="A3395" i="52"/>
  <c r="A3396" i="52"/>
  <c r="A3397" i="52"/>
  <c r="A3398" i="52"/>
  <c r="A3399" i="52"/>
  <c r="A3400" i="52"/>
  <c r="A3401" i="52"/>
  <c r="A3402" i="52"/>
  <c r="A3403" i="52"/>
  <c r="A3404" i="52"/>
  <c r="A3405" i="52"/>
  <c r="A3406" i="52"/>
  <c r="A3407" i="52"/>
  <c r="A3408" i="52"/>
  <c r="A3409" i="52"/>
  <c r="A3410" i="52"/>
  <c r="A3411" i="52"/>
  <c r="A3412" i="52"/>
  <c r="A3413" i="52"/>
  <c r="A3414" i="52"/>
  <c r="A3415" i="52"/>
  <c r="A3416" i="52"/>
  <c r="A3417" i="52"/>
  <c r="A3418" i="52"/>
  <c r="A3419" i="52"/>
  <c r="A3420" i="52"/>
  <c r="A3421" i="52"/>
  <c r="A3422" i="52"/>
  <c r="A3423" i="52"/>
  <c r="A3424" i="52"/>
  <c r="A3425" i="52"/>
  <c r="A3426" i="52"/>
  <c r="A3427" i="52"/>
  <c r="A3428" i="52"/>
  <c r="A3429" i="52"/>
  <c r="A3430" i="52"/>
  <c r="A3431" i="52"/>
  <c r="A3432" i="52"/>
  <c r="A3433" i="52"/>
  <c r="A3434" i="52"/>
  <c r="A3435" i="52"/>
  <c r="A3436" i="52"/>
  <c r="A3437" i="52"/>
  <c r="A3438" i="52"/>
  <c r="A3439" i="52"/>
  <c r="A3440" i="52"/>
  <c r="A3441" i="52"/>
  <c r="A3442" i="52"/>
  <c r="A3443" i="52"/>
  <c r="A3444" i="52"/>
  <c r="A3445" i="52"/>
  <c r="A3446" i="52"/>
  <c r="A3447" i="52"/>
  <c r="A3448" i="52"/>
  <c r="A3449" i="52"/>
  <c r="A3450" i="52"/>
  <c r="A3451" i="52"/>
  <c r="A3452" i="52"/>
  <c r="A3453" i="52"/>
  <c r="A3454" i="52"/>
  <c r="A3455" i="52"/>
  <c r="A3456" i="52"/>
  <c r="A3457" i="52"/>
  <c r="A3458" i="52"/>
  <c r="A3459" i="52"/>
  <c r="A3460" i="52"/>
  <c r="A3461" i="52"/>
  <c r="A3462" i="52"/>
  <c r="A3463" i="52"/>
  <c r="A3464" i="52"/>
  <c r="A3465" i="52"/>
  <c r="A3466" i="52"/>
  <c r="A3467" i="52"/>
  <c r="A3468" i="52"/>
  <c r="A3469" i="52"/>
  <c r="A3470" i="52"/>
  <c r="A3471" i="52"/>
  <c r="A3472" i="52"/>
  <c r="A3473" i="52"/>
  <c r="A3474" i="52"/>
  <c r="A3475" i="52"/>
  <c r="A3476" i="52"/>
  <c r="A3477" i="52"/>
  <c r="A3478" i="52"/>
  <c r="A3479" i="52"/>
  <c r="A3480" i="52"/>
  <c r="A3481" i="52"/>
  <c r="A3482" i="52"/>
  <c r="A3483" i="52"/>
  <c r="A3484" i="52"/>
  <c r="A3485" i="52"/>
  <c r="A3486" i="52"/>
  <c r="A3487" i="52"/>
  <c r="A3488" i="52"/>
  <c r="A3489" i="52"/>
  <c r="A3490" i="52"/>
  <c r="A3491" i="52"/>
  <c r="A3492" i="52"/>
  <c r="A3493" i="52"/>
  <c r="A3494" i="52"/>
  <c r="A3495" i="52"/>
  <c r="A3496" i="52"/>
  <c r="A3497" i="52"/>
  <c r="A3498" i="52"/>
  <c r="A3499" i="52"/>
  <c r="A3500" i="52"/>
  <c r="A3501" i="52"/>
  <c r="A3502" i="52"/>
  <c r="A3503" i="52"/>
  <c r="A3504" i="52"/>
  <c r="A3505" i="52"/>
  <c r="A3506" i="52"/>
  <c r="A3507" i="52"/>
  <c r="A3508" i="52"/>
  <c r="A3509" i="52"/>
  <c r="A3510" i="52"/>
  <c r="A3511" i="52"/>
  <c r="A3512" i="52"/>
  <c r="A3513" i="52"/>
  <c r="A3514" i="52"/>
  <c r="A3515" i="52"/>
  <c r="A3516" i="52"/>
  <c r="A3517" i="52"/>
  <c r="A3518" i="52"/>
  <c r="A3519" i="52"/>
  <c r="A3520" i="52"/>
  <c r="A3521" i="52"/>
  <c r="A3522" i="52"/>
  <c r="A3523" i="52"/>
  <c r="A3524" i="52"/>
  <c r="A3525" i="52"/>
  <c r="A3526" i="52"/>
  <c r="A3527" i="52"/>
  <c r="A3528" i="52"/>
  <c r="A3529" i="52"/>
  <c r="A3530" i="52"/>
  <c r="A3531" i="52"/>
  <c r="A3532" i="52"/>
  <c r="A3533" i="52"/>
  <c r="A3534" i="52"/>
  <c r="A3535" i="52"/>
  <c r="A3536" i="52"/>
  <c r="A3537" i="52"/>
  <c r="A3538" i="52"/>
  <c r="A3539" i="52"/>
  <c r="A3540" i="52"/>
  <c r="A3541" i="52"/>
  <c r="A3542" i="52"/>
  <c r="A3543" i="52"/>
  <c r="A3544" i="52"/>
  <c r="A3545" i="52"/>
  <c r="A3546" i="52"/>
  <c r="A3547" i="52"/>
  <c r="A3548" i="52"/>
  <c r="A3549" i="52"/>
  <c r="A3550" i="52"/>
  <c r="A3551" i="52"/>
  <c r="A3552" i="52"/>
  <c r="A3553" i="52"/>
  <c r="A3554" i="52"/>
  <c r="A3555" i="52"/>
  <c r="A3556" i="52"/>
  <c r="A3557" i="52"/>
  <c r="A3558" i="52"/>
  <c r="A3559" i="52"/>
  <c r="A3560" i="52"/>
  <c r="A3561" i="52"/>
  <c r="A3562" i="52"/>
  <c r="A3563" i="52"/>
  <c r="A3564" i="52"/>
  <c r="A3565" i="52"/>
  <c r="A3566" i="52"/>
  <c r="A3567" i="52"/>
  <c r="A3568" i="52"/>
  <c r="A3569" i="52"/>
  <c r="A3570" i="52"/>
  <c r="A3571" i="52"/>
  <c r="A3572" i="52"/>
  <c r="A3573" i="52"/>
  <c r="A3574" i="52"/>
  <c r="A3575" i="52"/>
  <c r="A3576" i="52"/>
  <c r="A3577" i="52"/>
  <c r="A3578" i="52"/>
  <c r="A3579" i="52"/>
  <c r="A3580" i="52"/>
  <c r="A3581" i="52"/>
  <c r="A3582" i="52"/>
  <c r="A3583" i="52"/>
  <c r="A3584" i="52"/>
  <c r="A3585" i="52"/>
  <c r="A3586" i="52"/>
  <c r="A3587" i="52"/>
  <c r="A3588" i="52"/>
  <c r="A3589" i="52"/>
  <c r="A3590" i="52"/>
  <c r="A3591" i="52"/>
  <c r="A3592" i="52"/>
  <c r="A3593" i="52"/>
  <c r="A3594" i="52"/>
  <c r="A3595" i="52"/>
  <c r="A3596" i="52"/>
  <c r="A3597" i="52"/>
  <c r="A3598" i="52"/>
  <c r="A3599" i="52"/>
  <c r="A3600" i="52"/>
  <c r="A3601" i="52"/>
  <c r="A3602" i="52"/>
  <c r="A3603" i="52"/>
  <c r="A3604" i="52"/>
  <c r="A3605" i="52"/>
  <c r="A3606" i="52"/>
  <c r="A3607" i="52"/>
  <c r="A3608" i="52"/>
  <c r="A3609" i="52"/>
  <c r="A3610" i="52"/>
  <c r="A3611" i="52"/>
  <c r="A3612" i="52"/>
  <c r="A3613" i="52"/>
  <c r="A3614" i="52"/>
  <c r="A3615" i="52"/>
  <c r="A3616" i="52"/>
  <c r="A3617" i="52"/>
  <c r="A3618" i="52"/>
  <c r="A3619" i="52"/>
  <c r="A3620" i="52"/>
  <c r="A3621" i="52"/>
  <c r="A3622" i="52"/>
  <c r="A3623" i="52"/>
  <c r="A3624" i="52"/>
  <c r="A3625" i="52"/>
  <c r="A3626" i="52"/>
  <c r="A3627" i="52"/>
  <c r="A3628" i="52"/>
  <c r="A3629" i="52"/>
  <c r="A3630" i="52"/>
  <c r="A3631" i="52"/>
  <c r="A3632" i="52"/>
  <c r="A3633" i="52"/>
  <c r="A3634" i="52"/>
  <c r="A3635" i="52"/>
  <c r="A3636" i="52"/>
  <c r="A3637" i="52"/>
  <c r="A3638" i="52"/>
  <c r="A3639" i="52"/>
  <c r="A3640" i="52"/>
  <c r="A3641" i="52"/>
  <c r="A3642" i="52"/>
  <c r="A3643" i="52"/>
  <c r="A3644" i="52"/>
  <c r="A3645" i="52"/>
  <c r="A3646" i="52"/>
  <c r="A3647" i="52"/>
  <c r="A3648" i="52"/>
  <c r="A3649" i="52"/>
  <c r="A3650" i="52"/>
  <c r="A3651" i="52"/>
  <c r="A3652" i="52"/>
  <c r="A3653" i="52"/>
  <c r="A3654" i="52"/>
  <c r="A3655" i="52"/>
  <c r="A3656" i="52"/>
  <c r="A3657" i="52"/>
  <c r="A3658" i="52"/>
  <c r="A3659" i="52"/>
  <c r="A3660" i="52"/>
  <c r="A3661" i="52"/>
  <c r="A3662" i="52"/>
  <c r="A3663" i="52"/>
  <c r="A3664" i="52"/>
  <c r="A3665" i="52"/>
  <c r="A3666" i="52"/>
  <c r="A3667" i="52"/>
  <c r="A3668" i="52"/>
  <c r="A3669" i="52"/>
  <c r="A3670" i="52"/>
  <c r="A3671" i="52"/>
  <c r="A3672" i="52"/>
  <c r="A3673" i="52"/>
  <c r="A3674" i="52"/>
  <c r="A3675" i="52"/>
  <c r="A3676" i="52"/>
  <c r="A3677" i="52"/>
  <c r="A3678" i="52"/>
  <c r="A3679" i="52"/>
  <c r="A3680" i="52"/>
  <c r="A3681" i="52"/>
  <c r="A3682" i="52"/>
  <c r="A3683" i="52"/>
  <c r="A3684" i="52"/>
  <c r="A3685" i="52"/>
  <c r="A3686" i="52"/>
  <c r="A3687" i="52"/>
  <c r="A3688" i="52"/>
  <c r="A3689" i="52"/>
  <c r="A3690" i="52"/>
  <c r="A3691" i="52"/>
  <c r="A3692" i="52"/>
  <c r="A3693" i="52"/>
  <c r="A3694" i="52"/>
  <c r="A3695" i="52"/>
  <c r="A3696" i="52"/>
  <c r="A3697" i="52"/>
  <c r="A3698" i="52"/>
  <c r="A3699" i="52"/>
  <c r="A3700" i="52"/>
  <c r="A3701" i="52"/>
  <c r="A3702" i="52"/>
  <c r="A3703" i="52"/>
  <c r="A3704" i="52"/>
  <c r="A3705" i="52"/>
  <c r="A3706" i="52"/>
  <c r="A3707" i="52"/>
  <c r="A3708" i="52"/>
  <c r="A3709" i="52"/>
  <c r="A3710" i="52"/>
  <c r="A3711" i="52"/>
  <c r="A3712" i="52"/>
  <c r="A3713" i="52"/>
  <c r="A3714" i="52"/>
  <c r="A3715" i="52"/>
  <c r="A3716" i="52"/>
  <c r="A3717" i="52"/>
  <c r="A3718" i="52"/>
  <c r="A3719" i="52"/>
  <c r="A3720" i="52"/>
  <c r="A3721" i="52"/>
  <c r="A3722" i="52"/>
  <c r="A3723" i="52"/>
  <c r="A3724" i="52"/>
  <c r="A3725" i="52"/>
  <c r="A3726" i="52"/>
  <c r="A3727" i="52"/>
  <c r="A3728" i="52"/>
  <c r="A3729" i="52"/>
  <c r="A3730" i="52"/>
  <c r="A3731" i="52"/>
  <c r="A3732" i="52"/>
  <c r="A3733" i="52"/>
  <c r="A3734" i="52"/>
  <c r="A3735" i="52"/>
  <c r="A3736" i="52"/>
  <c r="A3737" i="52"/>
  <c r="A3738" i="52"/>
  <c r="A3739" i="52"/>
  <c r="A3740" i="52"/>
  <c r="A3741" i="52"/>
  <c r="A3742" i="52"/>
  <c r="A3743" i="52"/>
  <c r="A3744" i="52"/>
  <c r="A3745" i="52"/>
  <c r="A3746" i="52"/>
  <c r="A3747" i="52"/>
  <c r="A3748" i="52"/>
  <c r="A3749" i="52"/>
  <c r="A3750" i="52"/>
  <c r="A3751" i="52"/>
  <c r="A3752" i="52"/>
  <c r="A3753" i="52"/>
  <c r="A3754" i="52"/>
  <c r="A3755" i="52"/>
  <c r="A3756" i="52"/>
  <c r="A3757" i="52"/>
  <c r="A3758" i="52"/>
  <c r="A3759" i="52"/>
  <c r="A3760" i="52"/>
  <c r="A3761" i="52"/>
  <c r="A3762" i="52"/>
  <c r="A3763" i="52"/>
  <c r="A3764" i="52"/>
  <c r="A3765" i="52"/>
  <c r="A3766" i="52"/>
  <c r="A3767" i="52"/>
  <c r="A3768" i="52"/>
  <c r="A3769" i="52"/>
  <c r="A3770" i="52"/>
  <c r="A3771" i="52"/>
  <c r="A3772" i="52"/>
  <c r="A3773" i="52"/>
  <c r="A3774" i="52"/>
  <c r="A3775" i="52"/>
  <c r="A3776" i="52"/>
  <c r="A3777" i="52"/>
  <c r="A3778" i="52"/>
  <c r="A3779" i="52"/>
  <c r="A3780" i="52"/>
  <c r="A3781" i="52"/>
  <c r="A3782" i="52"/>
  <c r="A3783" i="52"/>
  <c r="A3784" i="52"/>
  <c r="A3785" i="52"/>
  <c r="A3786" i="52"/>
  <c r="A3787" i="52"/>
  <c r="A3788" i="52"/>
  <c r="A3789" i="52"/>
  <c r="A3790" i="52"/>
  <c r="A3791" i="52"/>
  <c r="A3792" i="52"/>
  <c r="A3793" i="52"/>
  <c r="A3794" i="52"/>
  <c r="A3795" i="52"/>
  <c r="A3796" i="52"/>
  <c r="A3797" i="52"/>
  <c r="A3798" i="52"/>
  <c r="A3799" i="52"/>
  <c r="A3800" i="52"/>
  <c r="A3801" i="52"/>
  <c r="A3802" i="52"/>
  <c r="A3803" i="52"/>
  <c r="A3804" i="52"/>
  <c r="A3805" i="52"/>
  <c r="A3806" i="52"/>
  <c r="A3807" i="52"/>
  <c r="A3808" i="52"/>
  <c r="A3809" i="52"/>
  <c r="A3810" i="52"/>
  <c r="A3811" i="52"/>
  <c r="A3812" i="52"/>
  <c r="A3813" i="52"/>
  <c r="A3814" i="52"/>
  <c r="A3815" i="52"/>
  <c r="A3816" i="52"/>
  <c r="A3817" i="52"/>
  <c r="A3818" i="52"/>
  <c r="A3819" i="52"/>
  <c r="A3820" i="52"/>
  <c r="A3821" i="52"/>
  <c r="A3822" i="52"/>
  <c r="A3823" i="52"/>
  <c r="A3824" i="52"/>
  <c r="A3825" i="52"/>
  <c r="A3826" i="52"/>
  <c r="A3827" i="52"/>
  <c r="A3828" i="52"/>
  <c r="A3829" i="52"/>
  <c r="A3830" i="52"/>
  <c r="A3831" i="52"/>
  <c r="A3832" i="52"/>
  <c r="A3833" i="52"/>
  <c r="A3834" i="52"/>
  <c r="A3835" i="52"/>
  <c r="A3836" i="52"/>
  <c r="A3837" i="52"/>
  <c r="A3838" i="52"/>
  <c r="A3839" i="52"/>
  <c r="A3840" i="52"/>
  <c r="A3841" i="52"/>
  <c r="A3842" i="52"/>
  <c r="A3843" i="52"/>
  <c r="A3844" i="52"/>
  <c r="A3845" i="52"/>
  <c r="A3846" i="52"/>
  <c r="A3847" i="52"/>
  <c r="A3848" i="52"/>
  <c r="A3849" i="52"/>
  <c r="A3850" i="52"/>
  <c r="A3851" i="52"/>
  <c r="A3852" i="52"/>
  <c r="A3853" i="52"/>
  <c r="A3854" i="52"/>
  <c r="A3855" i="52"/>
  <c r="A3856" i="52"/>
  <c r="A3857" i="52"/>
  <c r="A3858" i="52"/>
  <c r="A3859" i="52"/>
  <c r="A3860" i="52"/>
  <c r="A3861" i="52"/>
  <c r="A3862" i="52"/>
  <c r="A3863" i="52"/>
  <c r="A3864" i="52"/>
  <c r="A3865" i="52"/>
  <c r="A3866" i="52"/>
  <c r="A3867" i="52"/>
  <c r="A3868" i="52"/>
  <c r="A3869" i="52"/>
  <c r="A3870" i="52"/>
  <c r="A3871" i="52"/>
  <c r="A3872" i="52"/>
  <c r="A3873" i="52"/>
  <c r="A3874" i="52"/>
  <c r="A3875" i="52"/>
  <c r="A3876" i="52"/>
  <c r="A3877" i="52"/>
  <c r="A3878" i="52"/>
  <c r="A3879" i="52"/>
  <c r="A3880" i="52"/>
  <c r="A3881" i="52"/>
  <c r="A3882" i="52"/>
  <c r="A3883" i="52"/>
  <c r="A3884" i="52"/>
  <c r="A3885" i="52"/>
  <c r="A3886" i="52"/>
  <c r="A3887" i="52"/>
  <c r="A3888" i="52"/>
  <c r="A3889" i="52"/>
  <c r="A3890" i="52"/>
  <c r="A3891" i="52"/>
  <c r="A3892" i="52"/>
  <c r="A3893" i="52"/>
  <c r="A3894" i="52"/>
  <c r="A3895" i="52"/>
  <c r="A3896" i="52"/>
  <c r="A3897" i="52"/>
  <c r="A3898" i="52"/>
  <c r="A3899" i="52"/>
  <c r="A3900" i="52"/>
  <c r="A3901" i="52"/>
  <c r="A3902" i="52"/>
  <c r="A3903" i="52"/>
  <c r="A3904" i="52"/>
  <c r="A3905" i="52"/>
  <c r="A3906" i="52"/>
  <c r="A3907" i="52"/>
  <c r="A3908" i="52"/>
  <c r="A3909" i="52"/>
  <c r="A3910" i="52"/>
  <c r="A3911" i="52"/>
  <c r="A3912" i="52"/>
  <c r="A3913" i="52"/>
  <c r="A3914" i="52"/>
  <c r="A3915" i="52"/>
  <c r="A3916" i="52"/>
  <c r="A3917" i="52"/>
  <c r="A3918" i="52"/>
  <c r="A3919" i="52"/>
  <c r="A3920" i="52"/>
  <c r="A3921" i="52"/>
  <c r="A3922" i="52"/>
  <c r="A3923" i="52"/>
  <c r="A3924" i="52"/>
  <c r="A3925" i="52"/>
  <c r="A3926" i="52"/>
  <c r="A3927" i="52"/>
  <c r="A3928" i="52"/>
  <c r="A3929" i="52"/>
  <c r="A3930" i="52"/>
  <c r="A3931" i="52"/>
  <c r="A3932" i="52"/>
  <c r="A3933" i="52"/>
  <c r="A3934" i="52"/>
  <c r="A3935" i="52"/>
  <c r="A3936" i="52"/>
  <c r="A3937" i="52"/>
  <c r="A3938" i="52"/>
  <c r="A3939" i="52"/>
  <c r="A3940" i="52"/>
  <c r="A3941" i="52"/>
  <c r="A3942" i="52"/>
  <c r="A3943" i="52"/>
  <c r="A3944" i="52"/>
  <c r="A3945" i="52"/>
  <c r="A3946" i="52"/>
  <c r="A3947" i="52"/>
  <c r="A3948" i="52"/>
  <c r="A3949" i="52"/>
  <c r="A3950" i="52"/>
  <c r="A3951" i="52"/>
  <c r="A3952" i="52"/>
  <c r="A3953" i="52"/>
  <c r="A3954" i="52"/>
  <c r="A3955" i="52"/>
  <c r="A3956" i="52"/>
  <c r="A3957" i="52"/>
  <c r="A3958" i="52"/>
  <c r="A3959" i="52"/>
  <c r="A3960" i="52"/>
  <c r="A3961" i="52"/>
  <c r="A3962" i="52"/>
  <c r="A3963" i="52"/>
  <c r="A3964" i="52"/>
  <c r="A3965" i="52"/>
  <c r="A3966" i="52"/>
  <c r="A3967" i="52"/>
  <c r="A3968" i="52"/>
  <c r="A3969" i="52"/>
  <c r="A3970" i="52"/>
  <c r="A3971" i="52"/>
  <c r="A3972" i="52"/>
  <c r="A3973" i="52"/>
  <c r="A3974" i="52"/>
  <c r="A3975" i="52"/>
  <c r="A3976" i="52"/>
  <c r="A3977" i="52"/>
  <c r="A3978" i="52"/>
  <c r="A3979" i="52"/>
  <c r="A3980" i="52"/>
  <c r="A3981" i="52"/>
  <c r="A3982" i="52"/>
  <c r="A3983" i="52"/>
  <c r="A3984" i="52"/>
  <c r="A3985" i="52"/>
  <c r="A3986" i="52"/>
  <c r="A3987" i="52"/>
  <c r="A3988" i="52"/>
  <c r="A3989" i="52"/>
  <c r="A3990" i="52"/>
  <c r="A3991" i="52"/>
  <c r="A3992" i="52"/>
  <c r="A3993" i="52"/>
  <c r="A3994" i="52"/>
  <c r="A3995" i="52"/>
  <c r="A3996" i="52"/>
  <c r="A3997" i="52"/>
  <c r="A3998" i="52"/>
  <c r="A3999" i="52"/>
  <c r="A4000" i="52"/>
  <c r="A4001" i="52"/>
  <c r="A4002" i="52"/>
  <c r="A4003" i="52"/>
  <c r="A4004" i="52"/>
  <c r="A4005" i="52"/>
  <c r="A4006" i="52"/>
  <c r="A4007" i="52"/>
  <c r="A4008" i="52"/>
  <c r="A4009" i="52"/>
  <c r="A4010" i="52"/>
  <c r="A4011" i="52"/>
  <c r="A4012" i="52"/>
  <c r="A4013" i="52"/>
  <c r="A4014" i="52"/>
  <c r="A4015" i="52"/>
  <c r="A4016" i="52"/>
  <c r="A4017" i="52"/>
  <c r="A4018" i="52"/>
  <c r="A4019" i="52"/>
  <c r="A4020" i="52"/>
  <c r="A4021" i="52"/>
  <c r="A4022" i="52"/>
  <c r="A4023" i="52"/>
  <c r="A4024" i="52"/>
  <c r="A4025" i="52"/>
  <c r="A4026" i="52"/>
  <c r="A4027" i="52"/>
  <c r="A4028" i="52"/>
  <c r="A4029" i="52"/>
  <c r="A4030" i="52"/>
  <c r="A4031" i="52"/>
  <c r="A4032" i="52"/>
  <c r="A4033" i="52"/>
  <c r="A4034" i="52"/>
  <c r="A4035" i="52"/>
  <c r="A4036" i="52"/>
  <c r="A4037" i="52"/>
  <c r="A4038" i="52"/>
  <c r="A4039" i="52"/>
  <c r="A4040" i="52"/>
  <c r="A4041" i="52"/>
  <c r="A4042" i="52"/>
  <c r="A4043" i="52"/>
  <c r="A4044" i="52"/>
  <c r="A4045" i="52"/>
  <c r="A4046" i="52"/>
  <c r="A4047" i="52"/>
  <c r="A4048" i="52"/>
  <c r="A4049" i="52"/>
  <c r="A4050" i="52"/>
  <c r="A4051" i="52"/>
  <c r="A4052" i="52"/>
  <c r="A4053" i="52"/>
  <c r="A4054" i="52"/>
  <c r="A4055" i="52"/>
  <c r="A4056" i="52"/>
  <c r="A4057" i="52"/>
  <c r="A4058" i="52"/>
  <c r="A4059" i="52"/>
  <c r="A4060" i="52"/>
  <c r="A4061" i="52"/>
  <c r="A4062" i="52"/>
  <c r="A4063" i="52"/>
  <c r="A4064" i="52"/>
  <c r="A4065" i="52"/>
  <c r="A4066" i="52"/>
  <c r="A4067" i="52"/>
  <c r="A4068" i="52"/>
  <c r="A4069" i="52"/>
  <c r="A4070" i="52"/>
  <c r="A4071" i="52"/>
  <c r="A4072" i="52"/>
  <c r="A4073" i="52"/>
  <c r="A4074" i="52"/>
  <c r="A4075" i="52"/>
  <c r="A4076" i="52"/>
  <c r="A4077" i="52"/>
  <c r="A4078" i="52"/>
  <c r="A4079" i="52"/>
  <c r="A4080" i="52"/>
  <c r="A4081" i="52"/>
  <c r="A4082" i="52"/>
  <c r="A4083" i="52"/>
  <c r="A4084" i="52"/>
  <c r="A4085" i="52"/>
  <c r="A4086" i="52"/>
  <c r="A4087" i="52"/>
  <c r="A4088" i="52"/>
  <c r="A4089" i="52"/>
  <c r="A4090" i="52"/>
  <c r="A4091" i="52"/>
  <c r="A4092" i="52"/>
  <c r="A4093" i="52"/>
  <c r="A4094" i="52"/>
  <c r="A4095" i="52"/>
  <c r="A4096" i="52"/>
  <c r="A4097" i="52"/>
  <c r="A4098" i="52"/>
  <c r="A4099" i="52"/>
  <c r="A4100" i="52"/>
  <c r="A4101" i="52"/>
  <c r="A4102" i="52"/>
  <c r="A4103" i="52"/>
  <c r="A4104" i="52"/>
  <c r="A4105" i="52"/>
  <c r="A4106" i="52"/>
  <c r="A4107" i="52"/>
  <c r="A4108" i="52"/>
  <c r="A4109" i="52"/>
  <c r="A4110" i="52"/>
  <c r="A4111" i="52"/>
  <c r="A4112" i="52"/>
  <c r="A4113" i="52"/>
  <c r="A4114" i="52"/>
  <c r="A4115" i="52"/>
  <c r="A4116" i="52"/>
  <c r="A4117" i="52"/>
  <c r="A4118" i="52"/>
  <c r="A4119" i="52"/>
  <c r="A4120" i="52"/>
  <c r="A4121" i="52"/>
  <c r="A4122" i="52"/>
  <c r="A4123" i="52"/>
  <c r="A4124" i="52"/>
  <c r="A4125" i="52"/>
  <c r="A4126" i="52"/>
  <c r="A4127" i="52"/>
  <c r="A4128" i="52"/>
  <c r="A4129" i="52"/>
  <c r="A4130" i="52"/>
  <c r="A4131" i="52"/>
  <c r="A4132" i="52"/>
  <c r="A4133" i="52"/>
  <c r="A4134" i="52"/>
  <c r="A4135" i="52"/>
  <c r="A4136" i="52"/>
  <c r="A4137" i="52"/>
  <c r="A4138" i="52"/>
  <c r="A4139" i="52"/>
  <c r="A4140" i="52"/>
  <c r="A4141" i="52"/>
  <c r="A4142" i="52"/>
  <c r="A4143" i="52"/>
  <c r="A4144" i="52"/>
  <c r="A4145" i="52"/>
  <c r="A4146" i="52"/>
  <c r="A4147" i="52"/>
  <c r="A4148" i="52"/>
  <c r="A4149" i="52"/>
  <c r="A4150" i="52"/>
  <c r="A4151" i="52"/>
  <c r="A4152" i="52"/>
  <c r="A4153" i="52"/>
  <c r="A4154" i="52"/>
  <c r="A4155" i="52"/>
  <c r="A4156" i="52"/>
  <c r="A4157" i="52"/>
  <c r="A4158" i="52"/>
  <c r="A4159" i="52"/>
  <c r="A4160" i="52"/>
  <c r="A4161" i="52"/>
  <c r="A4162" i="52"/>
  <c r="A4163" i="52"/>
  <c r="A4164" i="52"/>
  <c r="A4165" i="52"/>
  <c r="A4166" i="52"/>
  <c r="A4167" i="52"/>
  <c r="A4168" i="52"/>
  <c r="A4169" i="52"/>
  <c r="A4170" i="52"/>
  <c r="A4171" i="52"/>
  <c r="A4172" i="52"/>
  <c r="A4173" i="52"/>
  <c r="A4174" i="52"/>
  <c r="A4175" i="52"/>
  <c r="A4176" i="52"/>
  <c r="A4177" i="52"/>
  <c r="A4178" i="52"/>
  <c r="A4179" i="52"/>
  <c r="A4180" i="52"/>
  <c r="A4181" i="52"/>
  <c r="A4182" i="52"/>
  <c r="A4183" i="52"/>
  <c r="A4184" i="52"/>
  <c r="A4185" i="52"/>
  <c r="A4186" i="52"/>
  <c r="A4187" i="52"/>
  <c r="A4188" i="52"/>
  <c r="A4189" i="52"/>
  <c r="A4190" i="52"/>
  <c r="A4191" i="52"/>
  <c r="A4192" i="52"/>
  <c r="A4193" i="52"/>
  <c r="A4194" i="52"/>
  <c r="A4195" i="52"/>
  <c r="A4196" i="52"/>
  <c r="A4197" i="52"/>
  <c r="A4198" i="52"/>
  <c r="A4199" i="52"/>
  <c r="A4200" i="52"/>
  <c r="A4201" i="52"/>
  <c r="A4202" i="52"/>
  <c r="A4203" i="52"/>
  <c r="A4204" i="52"/>
  <c r="A4205" i="52"/>
  <c r="A4206" i="52"/>
  <c r="A4207" i="52"/>
  <c r="A4208" i="52"/>
  <c r="A4209" i="52"/>
  <c r="A4210" i="52"/>
  <c r="A4211" i="52"/>
  <c r="A4212" i="52"/>
  <c r="A4213" i="52"/>
  <c r="A4214" i="52"/>
  <c r="A4215" i="52"/>
  <c r="A4216" i="52"/>
  <c r="A4217" i="52"/>
  <c r="A4218" i="52"/>
  <c r="A4219" i="52"/>
  <c r="A4220" i="52"/>
  <c r="A4221" i="52"/>
  <c r="A4222" i="52"/>
  <c r="A4223" i="52"/>
  <c r="A4224" i="52"/>
  <c r="A4225" i="52"/>
  <c r="A4226" i="52"/>
  <c r="A4227" i="52"/>
  <c r="A4228" i="52"/>
  <c r="A4229" i="52"/>
  <c r="A4230" i="52"/>
  <c r="A4231" i="52"/>
  <c r="A4232" i="52"/>
  <c r="A4233" i="52"/>
  <c r="A4234" i="52"/>
  <c r="A4235" i="52"/>
  <c r="A4236" i="52"/>
  <c r="A4237" i="52"/>
  <c r="A4238" i="52"/>
  <c r="A4239" i="52"/>
  <c r="A4240" i="52"/>
  <c r="A4241" i="52"/>
  <c r="A4242" i="52"/>
  <c r="A4243" i="52"/>
  <c r="A4244" i="52"/>
  <c r="A4245" i="52"/>
  <c r="A4246" i="52"/>
  <c r="A4247" i="52"/>
  <c r="A4248" i="52"/>
  <c r="A4249" i="52"/>
  <c r="A4250" i="52"/>
  <c r="A4251" i="52"/>
  <c r="A4252" i="52"/>
  <c r="A4253" i="52"/>
  <c r="A4254" i="52"/>
  <c r="A4255" i="52"/>
  <c r="A4256" i="52"/>
  <c r="A4257" i="52"/>
  <c r="A4258" i="52"/>
  <c r="A4259" i="52"/>
  <c r="A4260" i="52"/>
  <c r="A4261" i="52"/>
  <c r="A4262" i="52"/>
  <c r="A4263" i="52"/>
  <c r="A4264" i="52"/>
  <c r="A4265" i="52"/>
  <c r="A4266" i="52"/>
  <c r="A4267" i="52"/>
  <c r="A4268" i="52"/>
  <c r="A4269" i="52"/>
  <c r="A4270" i="52"/>
  <c r="A4271" i="52"/>
  <c r="A4272" i="52"/>
  <c r="A4273" i="52"/>
  <c r="A4274" i="52"/>
  <c r="A4275" i="52"/>
  <c r="A4276" i="52"/>
  <c r="A4277" i="52"/>
  <c r="A4278" i="52"/>
  <c r="A4279" i="52"/>
  <c r="A4280" i="52"/>
  <c r="A4281" i="52"/>
  <c r="A4282" i="52"/>
  <c r="A4283" i="52"/>
  <c r="A4284" i="52"/>
  <c r="A4285" i="52"/>
  <c r="A4286" i="52"/>
  <c r="A4287" i="52"/>
  <c r="A4288" i="52"/>
  <c r="A4289" i="52"/>
  <c r="A4290" i="52"/>
  <c r="A4291" i="52"/>
  <c r="A4292" i="52"/>
  <c r="A4293" i="52"/>
  <c r="A4294" i="52"/>
  <c r="A4295" i="52"/>
  <c r="A4296" i="52"/>
  <c r="A4297" i="52"/>
  <c r="A4298" i="52"/>
  <c r="A4299" i="52"/>
  <c r="A4300" i="52"/>
  <c r="A4301" i="52"/>
  <c r="A4302" i="52"/>
  <c r="A4303" i="52"/>
  <c r="A4304" i="52"/>
  <c r="A4305" i="52"/>
  <c r="A4306" i="52"/>
  <c r="A4307" i="52"/>
  <c r="A4308" i="52"/>
  <c r="A4309" i="52"/>
  <c r="A4310" i="52"/>
  <c r="A4311" i="52"/>
  <c r="A4312" i="52"/>
  <c r="A4313" i="52"/>
  <c r="A4314" i="52"/>
  <c r="A4315" i="52"/>
  <c r="A4316" i="52"/>
  <c r="A4317" i="52"/>
  <c r="A4318" i="52"/>
  <c r="A4319" i="52"/>
  <c r="A4320" i="52"/>
  <c r="A4321" i="52"/>
  <c r="A4322" i="52"/>
  <c r="A4323" i="52"/>
  <c r="A4324" i="52"/>
  <c r="A4325" i="52"/>
  <c r="A4326" i="52"/>
  <c r="A4327" i="52"/>
  <c r="A4328" i="52"/>
  <c r="A4329" i="52"/>
  <c r="A4330" i="52"/>
  <c r="A4331" i="52"/>
  <c r="A4332" i="52"/>
  <c r="A4333" i="52"/>
  <c r="A4334" i="52"/>
  <c r="A4335" i="52"/>
  <c r="A4336" i="52"/>
  <c r="A4337" i="52"/>
  <c r="A4338" i="52"/>
  <c r="A4339" i="52"/>
  <c r="A4340" i="52"/>
  <c r="A4341" i="52"/>
  <c r="A4342" i="52"/>
  <c r="A4343" i="52"/>
  <c r="A4344" i="52"/>
  <c r="A4345" i="52"/>
  <c r="A4346" i="52"/>
  <c r="A4347" i="52"/>
  <c r="A4348" i="52"/>
  <c r="A4349" i="52"/>
  <c r="A4350" i="52"/>
  <c r="A4351" i="52"/>
  <c r="A4352" i="52"/>
  <c r="A4353" i="52"/>
  <c r="A4354" i="52"/>
  <c r="A4355" i="52"/>
  <c r="A4356" i="52"/>
  <c r="A4357" i="52"/>
  <c r="A4358" i="52"/>
  <c r="A4359" i="52"/>
  <c r="A4360" i="52"/>
  <c r="A4361" i="52"/>
  <c r="A4362" i="52"/>
  <c r="A4363" i="52"/>
  <c r="A4364" i="52"/>
  <c r="A4365" i="52"/>
  <c r="A4366" i="52"/>
  <c r="A4367" i="52"/>
  <c r="A4368" i="52"/>
  <c r="A4369" i="52"/>
  <c r="A4370" i="52"/>
  <c r="A4371" i="52"/>
  <c r="A4372" i="52"/>
  <c r="A4373" i="52"/>
  <c r="A4374" i="52"/>
  <c r="A4375" i="52"/>
  <c r="A4376" i="52"/>
  <c r="A4377" i="52"/>
  <c r="A4378" i="52"/>
  <c r="A4379" i="52"/>
  <c r="A4380" i="52"/>
  <c r="A4381" i="52"/>
  <c r="A4382" i="52"/>
  <c r="A4383" i="52"/>
  <c r="A4384" i="52"/>
  <c r="A4385" i="52"/>
  <c r="A4386" i="52"/>
  <c r="A4387" i="52"/>
  <c r="A4388" i="52"/>
  <c r="A4389" i="52"/>
  <c r="A4390" i="52"/>
  <c r="A4391" i="52"/>
  <c r="A4392" i="52"/>
  <c r="A4393" i="52"/>
  <c r="A4394" i="52"/>
  <c r="A4395" i="52"/>
  <c r="A4396" i="52"/>
  <c r="A4397" i="52"/>
  <c r="A4398" i="52"/>
  <c r="A4399" i="52"/>
  <c r="A4400" i="52"/>
  <c r="A4401" i="52"/>
  <c r="A4402" i="52"/>
  <c r="A4403" i="52"/>
  <c r="A4404" i="52"/>
  <c r="A4405" i="52"/>
  <c r="A4406" i="52"/>
  <c r="A4407" i="52"/>
  <c r="A4408" i="52"/>
  <c r="A4409" i="52"/>
  <c r="A4410" i="52"/>
  <c r="A4411" i="52"/>
  <c r="A4412" i="52"/>
  <c r="A4413" i="52"/>
  <c r="A4414" i="52"/>
  <c r="A4415" i="52"/>
  <c r="A4416" i="52"/>
  <c r="A4417" i="52"/>
  <c r="A4418" i="52"/>
  <c r="A4419" i="52"/>
  <c r="A4420" i="52"/>
  <c r="A4421" i="52"/>
  <c r="A4422" i="52"/>
  <c r="A4423" i="52"/>
  <c r="A4424" i="52"/>
  <c r="A4425" i="52"/>
  <c r="A4426" i="52"/>
  <c r="A4427" i="52"/>
  <c r="A4428" i="52"/>
  <c r="A4429" i="52"/>
  <c r="A4430" i="52"/>
  <c r="A4431" i="52"/>
  <c r="A4432" i="52"/>
  <c r="A4433" i="52"/>
  <c r="A4434" i="52"/>
  <c r="A4435" i="52"/>
  <c r="A4436" i="52"/>
  <c r="A4437" i="52"/>
  <c r="A4438" i="52"/>
  <c r="A4439" i="52"/>
  <c r="A4440" i="52"/>
  <c r="A4441" i="52"/>
  <c r="A4442" i="52"/>
  <c r="A4443" i="52"/>
  <c r="A4444" i="52"/>
  <c r="A4445" i="52"/>
  <c r="A4446" i="52"/>
  <c r="A4447" i="52"/>
  <c r="A4448" i="52"/>
  <c r="A4449" i="52"/>
  <c r="A4450" i="52"/>
  <c r="A4451" i="52"/>
  <c r="A4452" i="52"/>
  <c r="A4453" i="52"/>
  <c r="A4454" i="52"/>
  <c r="A4455" i="52"/>
  <c r="A4456" i="52"/>
  <c r="A4457" i="52"/>
  <c r="A4458" i="52"/>
  <c r="A4459" i="52"/>
  <c r="A4460" i="52"/>
  <c r="A4461" i="52"/>
  <c r="A4462" i="52"/>
  <c r="A4463" i="52"/>
  <c r="A4464" i="52"/>
  <c r="A4465" i="52"/>
  <c r="A4466" i="52"/>
  <c r="A4467" i="52"/>
  <c r="A4468" i="52"/>
  <c r="A4469" i="52"/>
  <c r="A4470" i="52"/>
  <c r="A4471" i="52"/>
  <c r="A4472" i="52"/>
  <c r="A4473" i="52"/>
  <c r="A4474" i="52"/>
  <c r="A4475" i="52"/>
  <c r="A4476" i="52"/>
  <c r="A4477" i="52"/>
  <c r="A4478" i="52"/>
  <c r="A4479" i="52"/>
  <c r="A4480" i="52"/>
  <c r="A4481" i="52"/>
  <c r="A4482" i="52"/>
  <c r="A4483" i="52"/>
  <c r="A4484" i="52"/>
  <c r="A4485" i="52"/>
  <c r="A4486" i="52"/>
  <c r="A4487" i="52"/>
  <c r="A4488" i="52"/>
  <c r="A4489" i="52"/>
  <c r="A4490" i="52"/>
  <c r="A4491" i="52"/>
  <c r="A4492" i="52"/>
  <c r="A4493" i="52"/>
  <c r="A4494" i="52"/>
  <c r="A4495" i="52"/>
  <c r="A4496" i="52"/>
  <c r="A4497" i="52"/>
  <c r="A4498" i="52"/>
  <c r="A4499" i="52"/>
  <c r="A4500" i="52"/>
  <c r="A4501" i="52"/>
  <c r="A4502" i="52"/>
  <c r="A4503" i="52"/>
  <c r="A4504" i="52"/>
  <c r="A4505" i="52"/>
  <c r="A4506" i="52"/>
  <c r="A4507" i="52"/>
  <c r="A4508" i="52"/>
  <c r="A4509" i="52"/>
  <c r="A4510" i="52"/>
  <c r="A4511" i="52"/>
  <c r="A4512" i="52"/>
  <c r="A4513" i="52"/>
  <c r="A4514" i="52"/>
  <c r="A4515" i="52"/>
  <c r="A4516" i="52"/>
  <c r="A4517" i="52"/>
  <c r="A4518" i="52"/>
  <c r="A4519" i="52"/>
  <c r="A4520" i="52"/>
  <c r="A4521" i="52"/>
  <c r="A4522" i="52"/>
  <c r="A4523" i="52"/>
  <c r="A4524" i="52"/>
  <c r="A4525" i="52"/>
  <c r="A4526" i="52"/>
  <c r="A4527" i="52"/>
  <c r="A4528" i="52"/>
  <c r="A4529" i="52"/>
  <c r="A4530" i="52"/>
  <c r="A4531" i="52"/>
  <c r="A4532" i="52"/>
  <c r="A4533" i="52"/>
  <c r="A4534" i="52"/>
  <c r="A4535" i="52"/>
  <c r="A4536" i="52"/>
  <c r="A4537" i="52"/>
  <c r="A4538" i="52"/>
  <c r="A4539" i="52"/>
  <c r="A4540" i="52"/>
  <c r="A4541" i="52"/>
  <c r="A4542" i="52"/>
  <c r="A4543" i="52"/>
  <c r="A4544" i="52"/>
  <c r="A4545" i="52"/>
  <c r="A4546" i="52"/>
  <c r="A4547" i="52"/>
  <c r="A4548" i="52"/>
  <c r="A4549" i="52"/>
  <c r="A4550" i="52"/>
  <c r="A4551" i="52"/>
  <c r="A4552" i="52"/>
  <c r="A4553" i="52"/>
  <c r="A4554" i="52"/>
  <c r="A4555" i="52"/>
  <c r="A4556" i="52"/>
  <c r="A4557" i="52"/>
  <c r="A4558" i="52"/>
  <c r="A4559" i="52"/>
  <c r="A4560" i="52"/>
  <c r="A4561" i="52"/>
  <c r="A4562" i="52"/>
  <c r="A4563" i="52"/>
  <c r="A4564" i="52"/>
  <c r="A4565" i="52"/>
  <c r="A4566" i="52"/>
  <c r="A4567" i="52"/>
  <c r="A4568" i="52"/>
  <c r="A4569" i="52"/>
  <c r="A4570" i="52"/>
  <c r="A4571" i="52"/>
  <c r="A4572" i="52"/>
  <c r="A4573" i="52"/>
  <c r="A4574" i="52"/>
  <c r="A4575" i="52"/>
  <c r="A4576" i="52"/>
  <c r="A4577" i="52"/>
  <c r="A4578" i="52"/>
  <c r="A4579" i="52"/>
  <c r="A4580" i="52"/>
  <c r="A4581" i="52"/>
  <c r="A4582" i="52"/>
  <c r="A4583" i="52"/>
  <c r="A4584" i="52"/>
  <c r="A4585" i="52"/>
  <c r="A4586" i="52"/>
  <c r="A4587" i="52"/>
  <c r="A4588" i="52"/>
  <c r="A4589" i="52"/>
  <c r="A4590" i="52"/>
  <c r="A4591" i="52"/>
  <c r="A4592" i="52"/>
  <c r="A4593" i="52"/>
  <c r="A4594" i="52"/>
  <c r="A4595" i="52"/>
  <c r="A4596" i="52"/>
  <c r="A4597" i="52"/>
  <c r="A4598" i="52"/>
  <c r="A4599" i="52"/>
  <c r="A4600" i="52"/>
  <c r="A4601" i="52"/>
  <c r="A4602" i="52"/>
  <c r="A4603" i="52"/>
  <c r="A4604" i="52"/>
  <c r="A4605" i="52"/>
  <c r="A4606" i="52"/>
  <c r="A4607" i="52"/>
  <c r="A4608" i="52"/>
  <c r="A4609" i="52"/>
  <c r="A4610" i="52"/>
  <c r="A4611" i="52"/>
  <c r="A4612" i="52"/>
  <c r="A4613" i="52"/>
  <c r="A4614" i="52"/>
  <c r="A4615" i="52"/>
  <c r="A4616" i="52"/>
  <c r="A4617" i="52"/>
  <c r="A4618" i="52"/>
  <c r="A4619" i="52"/>
  <c r="A4620" i="52"/>
  <c r="A4621" i="52"/>
  <c r="A4622" i="52"/>
  <c r="A4623" i="52"/>
  <c r="A4624" i="52"/>
  <c r="A4625" i="52"/>
  <c r="A4626" i="52"/>
  <c r="A4627" i="52"/>
  <c r="A4628" i="52"/>
  <c r="A4629" i="52"/>
  <c r="A4630" i="52"/>
  <c r="A4631" i="52"/>
  <c r="A4632" i="52"/>
  <c r="A4633" i="52"/>
  <c r="A4634" i="52"/>
  <c r="A4635" i="52"/>
  <c r="A4636" i="52"/>
  <c r="A4637" i="52"/>
  <c r="A4638" i="52"/>
  <c r="A4639" i="52"/>
  <c r="A4640" i="52"/>
  <c r="A4641" i="52"/>
  <c r="A4642" i="52"/>
  <c r="A4643" i="52"/>
  <c r="A4644" i="52"/>
  <c r="A4645" i="52"/>
  <c r="A4646" i="52"/>
  <c r="A4647" i="52"/>
  <c r="A4648" i="52"/>
  <c r="A4649" i="52"/>
  <c r="A4650" i="52"/>
  <c r="A4651" i="52"/>
  <c r="A4652" i="52"/>
  <c r="A4653" i="52"/>
  <c r="A4654" i="52"/>
  <c r="A4655" i="52"/>
  <c r="A4656" i="52"/>
  <c r="A4657" i="52"/>
  <c r="A4658" i="52"/>
  <c r="A4659" i="52"/>
  <c r="A4660" i="52"/>
  <c r="A4661" i="52"/>
  <c r="A4662" i="52"/>
  <c r="A4663" i="52"/>
  <c r="A4664" i="52"/>
  <c r="A4665" i="52"/>
  <c r="A4666" i="52"/>
  <c r="A4667" i="52"/>
  <c r="A4668" i="52"/>
  <c r="A4669" i="52"/>
  <c r="A4670" i="52"/>
  <c r="A4671" i="52"/>
  <c r="A4672" i="52"/>
  <c r="A4673" i="52"/>
  <c r="A4674" i="52"/>
  <c r="A4675" i="52"/>
  <c r="A4676" i="52"/>
  <c r="A4677" i="52"/>
  <c r="A4678" i="52"/>
  <c r="A4679" i="52"/>
  <c r="A4680" i="52"/>
  <c r="A4681" i="52"/>
  <c r="A4682" i="52"/>
  <c r="A4683" i="52"/>
  <c r="A4684" i="52"/>
  <c r="A4685" i="52"/>
  <c r="A4686" i="52"/>
  <c r="A4687" i="52"/>
  <c r="A4688" i="52"/>
  <c r="A4689" i="52"/>
  <c r="A4690" i="52"/>
  <c r="A4691" i="52"/>
  <c r="A4692" i="52"/>
  <c r="A4693" i="52"/>
  <c r="A4694" i="52"/>
  <c r="A4695" i="52"/>
  <c r="A4696" i="52"/>
  <c r="A4697" i="52"/>
  <c r="A4698" i="52"/>
  <c r="A4699" i="52"/>
  <c r="A4700" i="52"/>
  <c r="A4701" i="52"/>
  <c r="A4702" i="52"/>
  <c r="A4703" i="52"/>
  <c r="A4704" i="52"/>
  <c r="A4705" i="52"/>
  <c r="A4706" i="52"/>
  <c r="A4707" i="52"/>
  <c r="A4708" i="52"/>
  <c r="A4709" i="52"/>
  <c r="A4710" i="52"/>
  <c r="A4711" i="52"/>
  <c r="A4712" i="52"/>
  <c r="A4713" i="52"/>
  <c r="A4714" i="52"/>
  <c r="A4715" i="52"/>
  <c r="A4716" i="52"/>
  <c r="A4717" i="52"/>
  <c r="A4718" i="52"/>
  <c r="A4719" i="52"/>
  <c r="A4720" i="52"/>
  <c r="A4721" i="52"/>
  <c r="A4722" i="52"/>
  <c r="A4723" i="52"/>
  <c r="A4724" i="52"/>
  <c r="A4725" i="52"/>
  <c r="A4726" i="52"/>
  <c r="A4727" i="52"/>
  <c r="A4728" i="52"/>
  <c r="A4729" i="52"/>
  <c r="A4730" i="52"/>
  <c r="A4731" i="52"/>
  <c r="A4732" i="52"/>
  <c r="A4733" i="52"/>
  <c r="A4734" i="52"/>
  <c r="A4735" i="52"/>
  <c r="A4736" i="52"/>
  <c r="A4737" i="52"/>
  <c r="A4738" i="52"/>
  <c r="A4739" i="52"/>
  <c r="A4740" i="52"/>
  <c r="A4741" i="52"/>
  <c r="A4742" i="52"/>
  <c r="A4743" i="52"/>
  <c r="A4744" i="52"/>
  <c r="A4745" i="52"/>
  <c r="A4746" i="52"/>
  <c r="A4747" i="52"/>
  <c r="A4748" i="52"/>
  <c r="A4749" i="52"/>
  <c r="A4750" i="52"/>
  <c r="A4751" i="52"/>
  <c r="A4752" i="52"/>
  <c r="A4753" i="52"/>
  <c r="A4754" i="52"/>
  <c r="A4755" i="52"/>
  <c r="A4756" i="52"/>
  <c r="A4757" i="52"/>
  <c r="A4758" i="52"/>
  <c r="A4759" i="52"/>
  <c r="A4760" i="52"/>
  <c r="A4761" i="52"/>
  <c r="A4762" i="52"/>
  <c r="A4763" i="52"/>
  <c r="A4764" i="52"/>
  <c r="A4765" i="52"/>
  <c r="A4766" i="52"/>
  <c r="A4767" i="52"/>
  <c r="A4768" i="52"/>
  <c r="A4769" i="52"/>
  <c r="A4770" i="52"/>
  <c r="A4771" i="52"/>
  <c r="A4772" i="52"/>
  <c r="A4773" i="52"/>
  <c r="A4774" i="52"/>
  <c r="A4775" i="52"/>
  <c r="A4776" i="52"/>
  <c r="A4777" i="52"/>
  <c r="A4778" i="52"/>
  <c r="A4779" i="52"/>
  <c r="A4780" i="52"/>
  <c r="A4781" i="52"/>
  <c r="A4782" i="52"/>
  <c r="A4783" i="52"/>
  <c r="A4784" i="52"/>
  <c r="A4785" i="52"/>
  <c r="A4786" i="52"/>
  <c r="A4787" i="52"/>
  <c r="A4788" i="52"/>
  <c r="A4789" i="52"/>
  <c r="A4790" i="52"/>
  <c r="A4791" i="52"/>
  <c r="A4792" i="52"/>
  <c r="A4793" i="52"/>
  <c r="A4794" i="52"/>
  <c r="A4795" i="52"/>
  <c r="A4796" i="52"/>
  <c r="A4797" i="52"/>
  <c r="A4798" i="52"/>
  <c r="A4799" i="52"/>
  <c r="A4800" i="52"/>
  <c r="A4801" i="52"/>
  <c r="A4802" i="52"/>
  <c r="A4803" i="52"/>
  <c r="A4804" i="52"/>
  <c r="A4805" i="52"/>
  <c r="A4806" i="52"/>
  <c r="A4807" i="52"/>
  <c r="A4808" i="52"/>
  <c r="A4809" i="52"/>
  <c r="A4810" i="52"/>
  <c r="A4811" i="52"/>
  <c r="A4812" i="52"/>
  <c r="A4813" i="52"/>
  <c r="A4814" i="52"/>
  <c r="A4815" i="52"/>
  <c r="A4816" i="52"/>
  <c r="A4817" i="52"/>
  <c r="A4818" i="52"/>
  <c r="A4819" i="52"/>
  <c r="A4820" i="52"/>
  <c r="A4821" i="52"/>
  <c r="A4822" i="52"/>
  <c r="A4823" i="52"/>
  <c r="A4824" i="52"/>
  <c r="A4825" i="52"/>
  <c r="A4826" i="52"/>
  <c r="A4827" i="52"/>
  <c r="A4828" i="52"/>
  <c r="A4829" i="52"/>
  <c r="A4830" i="52"/>
  <c r="A4831" i="52"/>
  <c r="A4832" i="52"/>
  <c r="A4833" i="52"/>
  <c r="A4834" i="52"/>
  <c r="A4835" i="52"/>
  <c r="A4836" i="52"/>
  <c r="A4837" i="52"/>
  <c r="A4838" i="52"/>
  <c r="A4839" i="52"/>
  <c r="A4840" i="52"/>
  <c r="A4841" i="52"/>
  <c r="A4842" i="52"/>
  <c r="A4843" i="52"/>
  <c r="A4844" i="52"/>
  <c r="A4845" i="52"/>
  <c r="A4846" i="52"/>
  <c r="A4847" i="52"/>
  <c r="A4848" i="52"/>
  <c r="A4849" i="52"/>
  <c r="A4850" i="52"/>
  <c r="A4851" i="52"/>
  <c r="A4852" i="52"/>
  <c r="A4853" i="52"/>
  <c r="A4854" i="52"/>
  <c r="A4855" i="52"/>
  <c r="A4856" i="52"/>
  <c r="A4857" i="52"/>
  <c r="A4858" i="52"/>
  <c r="A4859" i="52"/>
  <c r="A4860" i="52"/>
  <c r="A4861" i="52"/>
  <c r="A4862" i="52"/>
  <c r="A4863" i="52"/>
  <c r="A4864" i="52"/>
  <c r="A4865" i="52"/>
  <c r="A4866" i="52"/>
  <c r="A4867" i="52"/>
  <c r="A4868" i="52"/>
  <c r="A4869" i="52"/>
  <c r="A4870" i="52"/>
  <c r="A4871" i="52"/>
  <c r="A4872" i="52"/>
  <c r="A4873" i="52"/>
  <c r="A4874" i="52"/>
  <c r="A4875" i="52"/>
  <c r="A4876" i="52"/>
  <c r="A4877" i="52"/>
  <c r="A4878" i="52"/>
  <c r="A4879" i="52"/>
  <c r="A4880" i="52"/>
  <c r="A4881" i="52"/>
  <c r="A4882" i="52"/>
  <c r="A4883" i="52"/>
  <c r="A4884" i="52"/>
  <c r="A4885" i="52"/>
  <c r="A4886" i="52"/>
  <c r="A4887" i="52"/>
  <c r="A4888" i="52"/>
  <c r="A4889" i="52"/>
  <c r="A4890" i="52"/>
  <c r="A4891" i="52"/>
  <c r="A4892" i="52"/>
  <c r="A4893" i="52"/>
  <c r="A4894" i="52"/>
  <c r="A4895" i="52"/>
  <c r="A4896" i="52"/>
  <c r="A4897" i="52"/>
  <c r="A4898" i="52"/>
  <c r="A4899" i="52"/>
  <c r="A4900" i="52"/>
  <c r="A4901" i="52"/>
  <c r="A4902" i="52"/>
  <c r="A4903" i="52"/>
  <c r="A4904" i="52"/>
  <c r="A4905" i="52"/>
  <c r="A4906" i="52"/>
  <c r="A4907" i="52"/>
  <c r="A4908" i="52"/>
  <c r="A4909" i="52"/>
  <c r="A4910" i="52"/>
  <c r="A4911" i="52"/>
  <c r="A4912" i="52"/>
  <c r="A4913" i="52"/>
  <c r="A4914" i="52"/>
  <c r="A4915" i="52"/>
  <c r="A4916" i="52"/>
  <c r="A4917" i="52"/>
  <c r="A4918" i="52"/>
  <c r="A4919" i="52"/>
  <c r="A4920" i="52"/>
  <c r="A4921" i="52"/>
  <c r="A4922" i="52"/>
  <c r="A4923" i="52"/>
  <c r="A4924" i="52"/>
  <c r="A4925" i="52"/>
  <c r="A4926" i="52"/>
  <c r="A4927" i="52"/>
  <c r="A4928" i="52"/>
  <c r="A4929" i="52"/>
  <c r="A4930" i="52"/>
  <c r="A4931" i="52"/>
  <c r="A4932" i="52"/>
  <c r="A4933" i="52"/>
  <c r="A4934" i="52"/>
  <c r="A4935" i="52"/>
  <c r="A4936" i="52"/>
  <c r="A4937" i="52"/>
  <c r="A4938" i="52"/>
  <c r="A4939" i="52"/>
  <c r="A4940" i="52"/>
  <c r="A4941" i="52"/>
  <c r="A4942" i="52"/>
  <c r="A4943" i="52"/>
  <c r="A4944" i="52"/>
  <c r="A4945" i="52"/>
  <c r="A4946" i="52"/>
  <c r="A4947" i="52"/>
  <c r="A4948" i="52"/>
  <c r="A4949" i="52"/>
  <c r="A4950" i="52"/>
  <c r="A4951" i="52"/>
  <c r="A4952" i="52"/>
  <c r="A4953" i="52"/>
  <c r="A4954" i="52"/>
  <c r="A4955" i="52"/>
  <c r="A4956" i="52"/>
  <c r="A4957" i="52"/>
  <c r="A4958" i="52"/>
  <c r="A4959" i="52"/>
  <c r="A4960" i="52"/>
  <c r="A4961" i="52"/>
  <c r="A4962" i="52"/>
  <c r="A4963" i="52"/>
  <c r="A4964" i="52"/>
  <c r="A4965" i="52"/>
  <c r="A4966" i="52"/>
  <c r="A4967" i="52"/>
  <c r="A4968" i="52"/>
  <c r="A4969" i="52"/>
  <c r="A4970" i="52"/>
  <c r="A4971" i="52"/>
  <c r="A4972" i="52"/>
  <c r="A4973" i="52"/>
  <c r="A4974" i="52"/>
  <c r="A4975" i="52"/>
  <c r="A4976" i="52"/>
  <c r="A4977" i="52"/>
  <c r="A4978" i="52"/>
  <c r="A4979" i="52"/>
  <c r="A4980" i="52"/>
  <c r="A4981" i="52"/>
  <c r="A4982" i="52"/>
  <c r="A4983" i="52"/>
  <c r="A4984" i="52"/>
  <c r="A4985" i="52"/>
  <c r="A4986" i="52"/>
  <c r="A4987" i="52"/>
  <c r="A4988" i="52"/>
  <c r="A4989" i="52"/>
  <c r="A4990" i="52"/>
  <c r="A4991" i="52"/>
  <c r="A4992" i="52"/>
  <c r="A4993" i="52"/>
  <c r="A4994" i="52"/>
  <c r="A4995" i="52"/>
  <c r="A4996" i="52"/>
  <c r="A4997" i="52"/>
  <c r="A4998" i="52"/>
  <c r="A4999" i="52"/>
  <c r="A5000" i="52"/>
  <c r="A5001" i="52"/>
  <c r="A5002" i="52"/>
  <c r="A5003" i="52"/>
  <c r="A5004" i="52"/>
  <c r="A5005" i="52"/>
  <c r="A5006" i="52"/>
  <c r="A5007" i="52"/>
  <c r="A5008" i="52"/>
  <c r="A5009" i="52"/>
  <c r="A5010" i="52"/>
  <c r="A5011" i="52"/>
  <c r="A5012" i="52"/>
  <c r="A5013" i="52"/>
  <c r="A5014" i="52"/>
  <c r="A5015" i="52"/>
  <c r="A5016" i="52"/>
  <c r="A5017" i="52"/>
  <c r="A5018" i="52"/>
  <c r="A5019" i="52"/>
  <c r="A5020" i="52"/>
  <c r="A5021" i="52"/>
  <c r="A5022" i="52"/>
  <c r="A5023" i="52"/>
  <c r="A5024" i="52"/>
  <c r="A5025" i="52"/>
  <c r="A5026" i="52"/>
  <c r="A5027" i="52"/>
  <c r="A5028" i="52"/>
  <c r="A5029" i="52"/>
  <c r="A5030" i="52"/>
  <c r="A5031" i="52"/>
  <c r="A5032" i="52"/>
  <c r="A5033" i="52"/>
  <c r="A5034" i="52"/>
  <c r="A5035" i="52"/>
  <c r="A5036" i="52"/>
  <c r="A5037" i="52"/>
  <c r="A5038" i="52"/>
  <c r="A5039" i="52"/>
  <c r="A5040" i="52"/>
  <c r="A5041" i="52"/>
  <c r="A5042" i="52"/>
  <c r="A5043" i="52"/>
  <c r="A5044" i="52"/>
  <c r="A5045" i="52"/>
  <c r="A5046" i="52"/>
  <c r="A5047" i="52"/>
  <c r="A5048" i="52"/>
  <c r="A5049" i="52"/>
  <c r="A5050" i="52"/>
  <c r="A5051" i="52"/>
  <c r="A5052" i="52"/>
  <c r="A5053" i="52"/>
  <c r="A5054" i="52"/>
  <c r="A5055" i="52"/>
  <c r="A5056" i="52"/>
  <c r="A5057" i="52"/>
  <c r="A5058" i="52"/>
  <c r="A5059" i="52"/>
  <c r="A5060" i="52"/>
  <c r="A5061" i="52"/>
  <c r="A5062" i="52"/>
  <c r="A5063" i="52"/>
  <c r="A5064" i="52"/>
  <c r="A5065" i="52"/>
  <c r="A5066" i="52"/>
  <c r="A5067" i="52"/>
  <c r="A5068" i="52"/>
  <c r="A5069" i="52"/>
  <c r="A5070" i="52"/>
  <c r="A5071" i="52"/>
  <c r="A5072" i="52"/>
  <c r="A5073" i="52"/>
  <c r="A5074" i="52"/>
  <c r="A5075" i="52"/>
  <c r="A5076" i="52"/>
  <c r="A5077" i="52"/>
  <c r="A5078" i="52"/>
  <c r="A5079" i="52"/>
  <c r="A5080" i="52"/>
  <c r="A5081" i="52"/>
  <c r="A5082" i="52"/>
  <c r="A5083" i="52"/>
  <c r="A5084" i="52"/>
  <c r="A5085" i="52"/>
  <c r="A5086" i="52"/>
  <c r="A5087" i="52"/>
  <c r="A5088" i="52"/>
  <c r="A5089" i="52"/>
  <c r="A5090" i="52"/>
  <c r="A5091" i="52"/>
  <c r="A5092" i="52"/>
  <c r="A5093" i="52"/>
  <c r="A5094" i="52"/>
  <c r="A5095" i="52"/>
  <c r="A5096" i="52"/>
  <c r="A5097" i="52"/>
  <c r="A5098" i="52"/>
  <c r="A5099" i="52"/>
  <c r="A5100" i="52"/>
  <c r="A5101" i="52"/>
  <c r="A5102" i="52"/>
  <c r="A5103" i="52"/>
  <c r="A5104" i="52"/>
  <c r="A5105" i="52"/>
  <c r="A5106" i="52"/>
  <c r="A5107" i="52"/>
  <c r="A5108" i="52"/>
  <c r="A5109" i="52"/>
  <c r="A5110" i="52"/>
  <c r="A5111" i="52"/>
  <c r="A5112" i="52"/>
  <c r="A5113" i="52"/>
  <c r="A5114" i="52"/>
  <c r="A5115" i="52"/>
  <c r="A5116" i="52"/>
  <c r="A5117" i="52"/>
  <c r="A5118" i="52"/>
  <c r="A5119" i="52"/>
  <c r="A5120" i="52"/>
  <c r="A5121" i="52"/>
  <c r="A5122" i="52"/>
  <c r="A5123" i="52"/>
  <c r="A5124" i="52"/>
  <c r="A5125" i="52"/>
  <c r="A5126" i="52"/>
  <c r="A5127" i="52"/>
  <c r="A5128" i="52"/>
  <c r="A5129" i="52"/>
  <c r="A5130" i="52"/>
  <c r="A5131" i="52"/>
  <c r="A5132" i="52"/>
  <c r="A5133" i="52"/>
  <c r="A5134" i="52"/>
  <c r="A5135" i="52"/>
  <c r="A5136" i="52"/>
  <c r="A5137" i="52"/>
  <c r="A5138" i="52"/>
  <c r="A5139" i="52"/>
  <c r="A5140" i="52"/>
  <c r="A5141" i="52"/>
  <c r="A5142" i="52"/>
  <c r="A5143" i="52"/>
  <c r="A5144" i="52"/>
  <c r="A5145" i="52"/>
  <c r="A5146" i="52"/>
  <c r="A5147" i="52"/>
  <c r="A5148" i="52"/>
  <c r="A5149" i="52"/>
  <c r="A5150" i="52"/>
  <c r="A5151" i="52"/>
  <c r="A5152" i="52"/>
  <c r="A5153" i="52"/>
  <c r="A5154" i="52"/>
  <c r="A5155" i="52"/>
  <c r="A5156" i="52"/>
  <c r="A5157" i="52"/>
  <c r="A5158" i="52"/>
  <c r="A5159" i="52"/>
  <c r="A5160" i="52"/>
  <c r="A5161" i="52"/>
  <c r="A5162" i="52"/>
  <c r="A5163" i="52"/>
  <c r="A5164" i="52"/>
  <c r="A5165" i="52"/>
  <c r="A5166" i="52"/>
  <c r="A5167" i="52"/>
  <c r="A5168" i="52"/>
  <c r="A5169" i="52"/>
  <c r="A5170" i="52"/>
  <c r="A5171" i="52"/>
  <c r="A5172" i="52"/>
  <c r="A5173" i="52"/>
  <c r="A5174" i="52"/>
  <c r="A5175" i="52"/>
  <c r="A5176" i="52"/>
  <c r="A5177" i="52"/>
  <c r="A5178" i="52"/>
  <c r="A5179" i="52"/>
  <c r="A5180" i="52"/>
  <c r="A5181" i="52"/>
  <c r="A5182" i="52"/>
  <c r="A5183" i="52"/>
  <c r="A5184" i="52"/>
  <c r="A5185" i="52"/>
  <c r="A5186" i="52"/>
  <c r="A5187" i="52"/>
  <c r="A5188" i="52"/>
  <c r="A5189" i="52"/>
  <c r="A5190" i="52"/>
  <c r="A5191" i="52"/>
  <c r="A5192" i="52"/>
  <c r="A5193" i="52"/>
  <c r="A5194" i="52"/>
  <c r="A5195" i="52"/>
  <c r="A5196" i="52"/>
  <c r="A5197" i="52"/>
  <c r="A5198" i="52"/>
  <c r="A5199" i="52"/>
  <c r="A5200" i="52"/>
  <c r="A5201" i="52"/>
  <c r="A5202" i="52"/>
  <c r="A5203" i="52"/>
  <c r="A5204" i="52"/>
  <c r="A5205" i="52"/>
  <c r="A5206" i="52"/>
  <c r="A5207" i="52"/>
  <c r="A5208" i="52"/>
  <c r="A5209" i="52"/>
  <c r="A5210" i="52"/>
  <c r="A5211" i="52"/>
  <c r="A5212" i="52"/>
  <c r="A5213" i="52"/>
  <c r="A5214" i="52"/>
  <c r="A5215" i="52"/>
  <c r="A5216" i="52"/>
  <c r="A5217" i="52"/>
  <c r="A5218" i="52"/>
  <c r="A5219" i="52"/>
  <c r="A5220" i="52"/>
  <c r="A5221" i="52"/>
  <c r="A5222" i="52"/>
  <c r="A5223" i="52"/>
  <c r="A5224" i="52"/>
  <c r="A5225" i="52"/>
  <c r="A5226" i="52"/>
  <c r="A5227" i="52"/>
  <c r="A5228" i="52"/>
  <c r="A5229" i="52"/>
  <c r="A5230" i="52"/>
  <c r="A5231" i="52"/>
  <c r="A5232" i="52"/>
  <c r="A5233" i="52"/>
  <c r="A5234" i="52"/>
  <c r="A5235" i="52"/>
  <c r="A5236" i="52"/>
  <c r="A5237" i="52"/>
  <c r="A5238" i="52"/>
  <c r="A5239" i="52"/>
  <c r="A5240" i="52"/>
  <c r="A5241" i="52"/>
  <c r="A5242" i="52"/>
  <c r="A5243" i="52"/>
  <c r="A5244" i="52"/>
  <c r="A5245" i="52"/>
  <c r="A5246" i="52"/>
  <c r="A5247" i="52"/>
  <c r="A5248" i="52"/>
  <c r="A5249" i="52"/>
  <c r="A5250" i="52"/>
  <c r="A5251" i="52"/>
  <c r="A5252" i="52"/>
  <c r="A5253" i="52"/>
  <c r="A5254" i="52"/>
  <c r="A5255" i="52"/>
  <c r="A5256" i="52"/>
  <c r="A5257" i="52"/>
  <c r="A5258" i="52"/>
  <c r="A5259" i="52"/>
  <c r="A5260" i="52"/>
  <c r="A5261" i="52"/>
  <c r="A5262" i="52"/>
  <c r="A5263" i="52"/>
  <c r="A5264" i="52"/>
  <c r="A5265" i="52"/>
  <c r="A5266" i="52"/>
  <c r="A5267" i="52"/>
  <c r="A5268" i="52"/>
  <c r="A5269" i="52"/>
  <c r="A5270" i="52"/>
  <c r="A5271" i="52"/>
  <c r="A5272" i="52"/>
  <c r="A5273" i="52"/>
  <c r="A5274" i="52"/>
  <c r="A5275" i="52"/>
  <c r="A5276" i="52"/>
  <c r="A5277" i="52"/>
  <c r="A5278" i="52"/>
  <c r="A5279" i="52"/>
  <c r="A5280" i="52"/>
  <c r="A5281" i="52"/>
  <c r="A5282" i="52"/>
  <c r="A5283" i="52"/>
  <c r="A5284" i="52"/>
  <c r="A5285" i="52"/>
  <c r="A5286" i="52"/>
  <c r="A5287" i="52"/>
  <c r="A5288" i="52"/>
  <c r="A5289" i="52"/>
  <c r="A5290" i="52"/>
  <c r="A5291" i="52"/>
  <c r="A5292" i="52"/>
  <c r="A5293" i="52"/>
  <c r="A5294" i="52"/>
  <c r="A5295" i="52"/>
  <c r="A5296" i="52"/>
  <c r="A5297" i="52"/>
  <c r="A5298" i="52"/>
  <c r="A5299" i="52"/>
  <c r="A5300" i="52"/>
  <c r="A5301" i="52"/>
  <c r="A5302" i="52"/>
  <c r="A5303" i="52"/>
  <c r="A5304" i="52"/>
  <c r="A5305" i="52"/>
  <c r="A5306" i="52"/>
  <c r="A5307" i="52"/>
  <c r="A5308" i="52"/>
  <c r="A5309" i="52"/>
  <c r="A5310" i="52"/>
  <c r="A5311" i="52"/>
  <c r="A5312" i="52"/>
  <c r="A5313" i="52"/>
  <c r="A5314" i="52"/>
  <c r="A5315" i="52"/>
  <c r="A5316" i="52"/>
  <c r="A5317" i="52"/>
  <c r="A5318" i="52"/>
  <c r="A5319" i="52"/>
  <c r="A5320" i="52"/>
  <c r="A5321" i="52"/>
  <c r="A5322" i="52"/>
  <c r="A5323" i="52"/>
  <c r="A5324" i="52"/>
  <c r="A5325" i="52"/>
  <c r="A5326" i="52"/>
  <c r="A5327" i="52"/>
  <c r="A5328" i="52"/>
  <c r="A5329" i="52"/>
  <c r="A5330" i="52"/>
  <c r="A5331" i="52"/>
  <c r="A5332" i="52"/>
  <c r="A5333" i="52"/>
  <c r="A5334" i="52"/>
  <c r="A5335" i="52"/>
  <c r="A5336" i="52"/>
  <c r="A5337" i="52"/>
  <c r="A5338" i="52"/>
  <c r="A5339" i="52"/>
  <c r="A5340" i="52"/>
  <c r="A5341" i="52"/>
  <c r="A5342" i="52"/>
  <c r="A5343" i="52"/>
  <c r="A5344" i="52"/>
  <c r="A5345" i="52"/>
  <c r="A5346" i="52"/>
  <c r="A5347" i="52"/>
  <c r="A5348" i="52"/>
  <c r="A5349" i="52"/>
  <c r="A5350" i="52"/>
  <c r="A5351" i="52"/>
  <c r="A5352" i="52"/>
  <c r="A5353" i="52"/>
  <c r="A5354" i="52"/>
  <c r="A5355" i="52"/>
  <c r="A5356" i="52"/>
  <c r="A5357" i="52"/>
  <c r="A5358" i="52"/>
  <c r="A5359" i="52"/>
  <c r="A5360" i="52"/>
  <c r="A5361" i="52"/>
  <c r="A5362" i="52"/>
  <c r="A5363" i="52"/>
  <c r="A5364" i="52"/>
  <c r="A5365" i="52"/>
  <c r="A5366" i="52"/>
  <c r="A5367" i="52"/>
  <c r="A5368" i="52"/>
  <c r="A5369" i="52"/>
  <c r="A5370" i="52"/>
  <c r="A5371" i="52"/>
  <c r="A5372" i="52"/>
  <c r="A5373" i="52"/>
  <c r="A5374" i="52"/>
  <c r="A5375" i="52"/>
  <c r="A5376" i="52"/>
  <c r="A5377" i="52"/>
  <c r="A5378" i="52"/>
  <c r="A5379" i="52"/>
  <c r="A5380" i="52"/>
  <c r="A5381" i="52"/>
  <c r="A5382" i="52"/>
  <c r="A5383" i="52"/>
  <c r="A5384" i="52"/>
  <c r="A5385" i="52"/>
  <c r="A5386" i="52"/>
  <c r="A5387" i="52"/>
  <c r="A5388" i="52"/>
  <c r="A5389" i="52"/>
  <c r="A5390" i="52"/>
  <c r="A5391" i="52"/>
  <c r="A5392" i="52"/>
  <c r="A5393" i="52"/>
  <c r="A5394" i="52"/>
  <c r="A5395" i="52"/>
  <c r="A5396" i="52"/>
  <c r="A5397" i="52"/>
  <c r="A5398" i="52"/>
  <c r="A5399" i="52"/>
  <c r="A5400" i="52"/>
  <c r="A5401" i="52"/>
  <c r="A5402" i="52"/>
  <c r="A5403" i="52"/>
  <c r="A5404" i="52"/>
  <c r="A5405" i="52"/>
  <c r="A5406" i="52"/>
  <c r="A5407" i="52"/>
  <c r="A5408" i="52"/>
  <c r="A5409" i="52"/>
  <c r="A5410" i="52"/>
  <c r="A5411" i="52"/>
  <c r="A5412" i="52"/>
  <c r="A5413" i="52"/>
  <c r="A5414" i="52"/>
  <c r="A5415" i="52"/>
  <c r="A5416" i="52"/>
  <c r="A5417" i="52"/>
  <c r="A5418" i="52"/>
  <c r="A5419" i="52"/>
  <c r="A5420" i="52"/>
  <c r="A5421" i="52"/>
  <c r="A5422" i="52"/>
  <c r="A5423" i="52"/>
  <c r="A5424" i="52"/>
  <c r="A5425" i="52"/>
  <c r="A5426" i="52"/>
  <c r="A5427" i="52"/>
  <c r="A5428" i="52"/>
  <c r="A5429" i="52"/>
  <c r="A5430" i="52"/>
  <c r="A5431" i="52"/>
  <c r="A5432" i="52"/>
  <c r="A5433" i="52"/>
  <c r="A5434" i="52"/>
  <c r="A5435" i="52"/>
  <c r="A5436" i="52"/>
  <c r="A5437" i="52"/>
  <c r="A5438" i="52"/>
  <c r="A5439" i="52"/>
  <c r="A5440" i="52"/>
  <c r="A5441" i="52"/>
  <c r="A5442" i="52"/>
  <c r="A5443" i="52"/>
  <c r="A5444" i="52"/>
  <c r="A5445" i="52"/>
  <c r="A5446" i="52"/>
  <c r="A5447" i="52"/>
  <c r="A5448" i="52"/>
  <c r="A5449" i="52"/>
  <c r="A5450" i="52"/>
  <c r="A5451" i="52"/>
  <c r="A5452" i="52"/>
  <c r="A5453" i="52"/>
  <c r="A5454" i="52"/>
  <c r="A5455" i="52"/>
  <c r="A5456" i="52"/>
  <c r="A5457" i="52"/>
  <c r="A5458" i="52"/>
  <c r="A5459" i="52"/>
  <c r="A5460" i="52"/>
  <c r="A5461" i="52"/>
  <c r="A5462" i="52"/>
  <c r="A5463" i="52"/>
  <c r="A5464" i="52"/>
  <c r="A5465" i="52"/>
  <c r="A5466" i="52"/>
  <c r="A5467" i="52"/>
  <c r="A5468" i="52"/>
  <c r="A5469" i="52"/>
  <c r="A5470" i="52"/>
  <c r="A5471" i="52"/>
  <c r="A5472" i="52"/>
  <c r="A5473" i="52"/>
  <c r="A5474" i="52"/>
  <c r="A5475" i="52"/>
  <c r="A5476" i="52"/>
  <c r="A5477" i="52"/>
  <c r="A5478" i="52"/>
  <c r="A5479" i="52"/>
  <c r="A5480" i="52"/>
  <c r="A5481" i="52"/>
  <c r="A5482" i="52"/>
  <c r="A5483" i="52"/>
  <c r="A5484" i="52"/>
  <c r="A5485" i="52"/>
  <c r="A5486" i="52"/>
  <c r="A5487" i="52"/>
  <c r="A5488" i="52"/>
  <c r="A5489" i="52"/>
  <c r="A5490" i="52"/>
  <c r="A5491" i="52"/>
  <c r="A5492" i="52"/>
  <c r="A5493" i="52"/>
  <c r="A5494" i="52"/>
  <c r="A5495" i="52"/>
  <c r="A5496" i="52"/>
  <c r="A5497" i="52"/>
  <c r="A5498" i="52"/>
  <c r="A5499" i="52"/>
  <c r="A5500" i="52"/>
  <c r="A5501" i="52"/>
  <c r="A5502" i="52"/>
  <c r="A5503" i="52"/>
  <c r="A5504" i="52"/>
  <c r="A5505" i="52"/>
  <c r="A5506" i="52"/>
  <c r="A5507" i="52"/>
  <c r="A5508" i="52"/>
  <c r="A5509" i="52"/>
  <c r="A5510" i="52"/>
  <c r="A5511" i="52"/>
  <c r="A5512" i="52"/>
  <c r="A5513" i="52"/>
  <c r="A5514" i="52"/>
  <c r="A5515" i="52"/>
  <c r="A5516" i="52"/>
  <c r="A5517" i="52"/>
  <c r="A5518" i="52"/>
  <c r="A5519" i="52"/>
  <c r="A5520" i="52"/>
  <c r="A5521" i="52"/>
  <c r="A5522" i="52"/>
  <c r="A5523" i="52"/>
  <c r="A5524" i="52"/>
  <c r="A5525" i="52"/>
  <c r="A5526" i="52"/>
  <c r="A5527" i="52"/>
  <c r="A5528" i="52"/>
  <c r="A5529" i="52"/>
  <c r="A5530" i="52"/>
  <c r="A5531" i="52"/>
  <c r="A5532" i="52"/>
  <c r="A5533" i="52"/>
  <c r="A5534" i="52"/>
  <c r="A5535" i="52"/>
  <c r="A5536" i="52"/>
  <c r="A5537" i="52"/>
  <c r="A5538" i="52"/>
  <c r="A5539" i="52"/>
  <c r="A5540" i="52"/>
  <c r="A5541" i="52"/>
  <c r="A5542" i="52"/>
  <c r="A5543" i="52"/>
  <c r="A5544" i="52"/>
  <c r="A5545" i="52"/>
  <c r="A5546" i="52"/>
  <c r="A5547" i="52"/>
  <c r="A5548" i="52"/>
  <c r="A5549" i="52"/>
  <c r="A5550" i="52"/>
  <c r="A5551" i="52"/>
  <c r="A5552" i="52"/>
  <c r="A5553" i="52"/>
  <c r="A5554" i="52"/>
  <c r="A5555" i="52"/>
  <c r="A5556" i="52"/>
  <c r="A5557" i="52"/>
  <c r="A5558" i="52"/>
  <c r="A5559" i="52"/>
  <c r="A5560" i="52"/>
  <c r="A5561" i="52"/>
  <c r="A5562" i="52"/>
  <c r="A5563" i="52"/>
  <c r="A5564" i="52"/>
  <c r="A5565" i="52"/>
  <c r="A5566" i="52"/>
  <c r="A5567" i="52"/>
  <c r="A5568" i="52"/>
  <c r="A5569" i="52"/>
  <c r="A5570" i="52"/>
  <c r="A5571" i="52"/>
  <c r="A5572" i="52"/>
  <c r="A5573" i="52"/>
  <c r="A5574" i="52"/>
  <c r="A5575" i="52"/>
  <c r="A5576" i="52"/>
  <c r="A5577" i="52"/>
  <c r="A5578" i="52"/>
  <c r="A5579" i="52"/>
  <c r="A5580" i="52"/>
  <c r="A5581" i="52"/>
  <c r="A5582" i="52"/>
  <c r="A5583" i="52"/>
  <c r="A5584" i="52"/>
  <c r="A5585" i="52"/>
  <c r="A5586" i="52"/>
  <c r="A5587" i="52"/>
  <c r="A5588" i="52"/>
  <c r="A5589" i="52"/>
  <c r="A5590" i="52"/>
  <c r="A5591" i="52"/>
  <c r="A5592" i="52"/>
  <c r="A5593" i="52"/>
  <c r="A5594" i="52"/>
  <c r="A5595" i="52"/>
  <c r="A5596" i="52"/>
  <c r="A5597" i="52"/>
  <c r="A5598" i="52"/>
  <c r="A5599" i="52"/>
  <c r="A5600" i="52"/>
  <c r="A5601" i="52"/>
  <c r="A5602" i="52"/>
  <c r="A5603" i="52"/>
  <c r="A5604" i="52"/>
  <c r="A5605" i="52"/>
  <c r="A5606" i="52"/>
  <c r="A5607" i="52"/>
  <c r="A5608" i="52"/>
  <c r="A5609" i="52"/>
  <c r="A5610" i="52"/>
  <c r="A5611" i="52"/>
  <c r="A5612" i="52"/>
  <c r="A5613" i="52"/>
  <c r="A5614" i="52"/>
  <c r="A5615" i="52"/>
  <c r="A5616" i="52"/>
  <c r="A5617" i="52"/>
  <c r="A5618" i="52"/>
  <c r="A5619" i="52"/>
  <c r="A5620" i="52"/>
  <c r="A5621" i="52"/>
  <c r="A5622" i="52"/>
  <c r="A5623" i="52"/>
  <c r="A5624" i="52"/>
  <c r="A5625" i="52"/>
  <c r="A5626" i="52"/>
  <c r="A5627" i="52"/>
  <c r="A5628" i="52"/>
  <c r="A5629" i="52"/>
  <c r="A5630" i="52"/>
  <c r="A5631" i="52"/>
  <c r="A5632" i="52"/>
  <c r="A5633" i="52"/>
  <c r="A5634" i="52"/>
  <c r="A5635" i="52"/>
  <c r="A5636" i="52"/>
  <c r="A5637" i="52"/>
  <c r="A5638" i="52"/>
  <c r="A5639" i="52"/>
  <c r="A5640" i="52"/>
  <c r="A5641" i="52"/>
  <c r="A5642" i="52"/>
  <c r="A5643" i="52"/>
  <c r="A5644" i="52"/>
  <c r="A5645" i="52"/>
  <c r="A5646" i="52"/>
  <c r="A5647" i="52"/>
  <c r="A5648" i="52"/>
  <c r="A5649" i="52"/>
  <c r="A5650" i="52"/>
  <c r="A5651" i="52"/>
  <c r="A5652" i="52"/>
  <c r="A5653" i="52"/>
  <c r="A5654" i="52"/>
  <c r="A5655" i="52"/>
  <c r="A5656" i="52"/>
  <c r="A5657" i="52"/>
  <c r="A5658" i="52"/>
  <c r="A5659" i="52"/>
  <c r="A5660" i="52"/>
  <c r="A5661" i="52"/>
  <c r="A5662" i="52"/>
  <c r="A5663" i="52"/>
  <c r="A5664" i="52"/>
  <c r="A5665" i="52"/>
  <c r="A5666" i="52"/>
  <c r="A5667" i="52"/>
  <c r="A5668" i="52"/>
  <c r="A5669" i="52"/>
  <c r="A5670" i="52"/>
  <c r="A5671" i="52"/>
  <c r="A5672" i="52"/>
  <c r="A5673" i="52"/>
  <c r="A5674" i="52"/>
  <c r="A5675" i="52"/>
  <c r="A5676" i="52"/>
  <c r="A5677" i="52"/>
  <c r="A5678" i="52"/>
  <c r="A5679" i="52"/>
  <c r="A5680" i="52"/>
  <c r="A5681" i="52"/>
  <c r="A5682" i="52"/>
  <c r="A5683" i="52"/>
  <c r="A5684" i="52"/>
  <c r="A5685" i="52"/>
  <c r="A5686" i="52"/>
  <c r="A5687" i="52"/>
  <c r="A5688" i="52"/>
  <c r="A5689" i="52"/>
  <c r="A5690" i="52"/>
  <c r="A5691" i="52"/>
  <c r="A5692" i="52"/>
  <c r="A5693" i="52"/>
  <c r="A5694" i="52"/>
  <c r="A5695" i="52"/>
  <c r="A5696" i="52"/>
  <c r="A5697" i="52"/>
  <c r="A5698" i="52"/>
  <c r="A5699" i="52"/>
  <c r="A5700" i="52"/>
  <c r="A5701" i="52"/>
  <c r="A5702" i="52"/>
  <c r="A5703" i="52"/>
  <c r="A5704" i="52"/>
  <c r="A5705" i="52"/>
  <c r="A5706" i="52"/>
  <c r="A5707" i="52"/>
  <c r="A5708" i="52"/>
  <c r="A5709" i="52"/>
  <c r="A5710" i="52"/>
  <c r="A5711" i="52"/>
  <c r="A5712" i="52"/>
  <c r="A5713" i="52"/>
  <c r="A5714" i="52"/>
  <c r="A5715" i="52"/>
  <c r="A5716" i="52"/>
  <c r="A5717" i="52"/>
  <c r="A5718" i="52"/>
  <c r="A5719" i="52"/>
  <c r="A5720" i="52"/>
  <c r="A5721" i="52"/>
  <c r="A5722" i="52"/>
  <c r="A5723" i="52"/>
  <c r="A5724" i="52"/>
  <c r="A5725" i="52"/>
  <c r="A5726" i="52"/>
  <c r="A5727" i="52"/>
  <c r="A5728" i="52"/>
  <c r="A5729" i="52"/>
  <c r="A5730" i="52"/>
  <c r="A5731" i="52"/>
  <c r="A5732" i="52"/>
  <c r="A5733" i="52"/>
  <c r="A5734" i="52"/>
  <c r="A5735" i="52"/>
  <c r="A5736" i="52"/>
  <c r="A5737" i="52"/>
  <c r="A5738" i="52"/>
  <c r="A5739" i="52"/>
  <c r="A5740" i="52"/>
  <c r="A5741" i="52"/>
  <c r="A5742" i="52"/>
  <c r="A5743" i="52"/>
  <c r="A5744" i="52"/>
  <c r="A5745" i="52"/>
  <c r="A5746" i="52"/>
  <c r="A5747" i="52"/>
  <c r="A5748" i="52"/>
  <c r="A5749" i="52"/>
  <c r="A5750" i="52"/>
  <c r="A5751" i="52"/>
  <c r="A5752" i="52"/>
  <c r="A5753" i="52"/>
  <c r="A5754" i="52"/>
  <c r="A5755" i="52"/>
  <c r="A5756" i="52"/>
  <c r="A5757" i="52"/>
  <c r="A5758" i="52"/>
  <c r="A5759" i="52"/>
  <c r="A5760" i="52"/>
  <c r="A5761" i="52"/>
  <c r="A5762" i="52"/>
  <c r="A5763" i="52"/>
  <c r="A5764" i="52"/>
  <c r="A5765" i="52"/>
  <c r="A5766" i="52"/>
  <c r="A5767" i="52"/>
  <c r="A5768" i="52"/>
  <c r="A5769" i="52"/>
  <c r="A5770" i="52"/>
  <c r="A5771" i="52"/>
  <c r="A5772" i="52"/>
  <c r="A5773" i="52"/>
  <c r="A5774" i="52"/>
  <c r="A5775" i="52"/>
  <c r="A5776" i="52"/>
  <c r="A5777" i="52"/>
  <c r="A5778" i="52"/>
  <c r="A5779" i="52"/>
  <c r="A5780" i="52"/>
  <c r="A5781" i="52"/>
  <c r="A5782" i="52"/>
  <c r="A5783" i="52"/>
  <c r="A5784" i="52"/>
  <c r="A5785" i="52"/>
  <c r="A5786" i="52"/>
  <c r="A5787" i="52"/>
  <c r="A5788" i="52"/>
  <c r="A5789" i="52"/>
  <c r="A5790" i="52"/>
  <c r="A5791" i="52"/>
  <c r="A5792" i="52"/>
  <c r="A5793" i="52"/>
  <c r="A5794" i="52"/>
  <c r="A5795" i="52"/>
  <c r="A5796" i="52"/>
  <c r="A5797" i="52"/>
  <c r="A5798" i="52"/>
  <c r="A5799" i="52"/>
  <c r="A5800" i="52"/>
  <c r="A5801" i="52"/>
  <c r="A5802" i="52"/>
  <c r="A5803" i="52"/>
  <c r="A5804" i="52"/>
  <c r="A5805" i="52"/>
  <c r="A5806" i="52"/>
  <c r="A5807" i="52"/>
  <c r="A5808" i="52"/>
  <c r="A5809" i="52"/>
  <c r="A5810" i="52"/>
  <c r="A5811" i="52"/>
  <c r="A5812" i="52"/>
  <c r="A5813" i="52"/>
  <c r="A5814" i="52"/>
  <c r="A5815" i="52"/>
  <c r="A5816" i="52"/>
  <c r="A5817" i="52"/>
  <c r="A5818" i="52"/>
  <c r="A5819" i="52"/>
  <c r="A5820" i="52"/>
  <c r="A5821" i="52"/>
  <c r="A5822" i="52"/>
  <c r="A5823" i="52"/>
  <c r="A5824" i="52"/>
  <c r="A5825" i="52"/>
  <c r="A5826" i="52"/>
  <c r="A5827" i="52"/>
  <c r="A5828" i="52"/>
  <c r="A5829" i="52"/>
  <c r="A5830" i="52"/>
  <c r="A5831" i="52"/>
  <c r="A5832" i="52"/>
  <c r="A5833" i="52"/>
  <c r="A5834" i="52"/>
  <c r="A5835" i="52"/>
  <c r="A5836" i="52"/>
  <c r="A5837" i="52"/>
  <c r="A5838" i="52"/>
  <c r="A5839" i="52"/>
  <c r="A5840" i="52"/>
  <c r="A5841" i="52"/>
  <c r="A5842" i="52"/>
  <c r="A5843" i="52"/>
  <c r="A5844" i="52"/>
  <c r="A5845" i="52"/>
  <c r="A5846" i="52"/>
  <c r="A5847" i="52"/>
  <c r="A5848" i="52"/>
  <c r="A5849" i="52"/>
  <c r="A5850" i="52"/>
  <c r="A5851" i="52"/>
  <c r="A5852" i="52"/>
  <c r="A5853" i="52"/>
  <c r="A5854" i="52"/>
  <c r="A5855" i="52"/>
  <c r="A5856" i="52"/>
  <c r="A5857" i="52"/>
  <c r="A5858" i="52"/>
  <c r="A5859" i="52"/>
  <c r="A5860" i="52"/>
  <c r="A5861" i="52"/>
  <c r="A5862" i="52"/>
  <c r="A5863" i="52"/>
  <c r="A5864" i="52"/>
  <c r="A5865" i="52"/>
  <c r="A5866" i="52"/>
  <c r="A5867" i="52"/>
  <c r="A5868" i="52"/>
  <c r="A5869" i="52"/>
  <c r="A5870" i="52"/>
  <c r="A5871" i="52"/>
  <c r="A5872" i="52"/>
  <c r="A5873" i="52"/>
  <c r="A5874" i="52"/>
  <c r="A5875" i="52"/>
  <c r="A5876" i="52"/>
  <c r="A5877" i="52"/>
  <c r="A5878" i="52"/>
  <c r="A5879" i="52"/>
  <c r="A5880" i="52"/>
  <c r="A5881" i="52"/>
  <c r="A5882" i="52"/>
  <c r="A5883" i="52"/>
  <c r="A5884" i="52"/>
  <c r="A5885" i="52"/>
  <c r="A5886" i="52"/>
  <c r="A5887" i="52"/>
  <c r="A5888" i="52"/>
  <c r="A5889" i="52"/>
  <c r="A5890" i="52"/>
  <c r="A5891" i="52"/>
  <c r="A5892" i="52"/>
  <c r="A5893" i="52"/>
  <c r="A5894" i="52"/>
  <c r="A5895" i="52"/>
  <c r="A5896" i="52"/>
  <c r="A5897" i="52"/>
  <c r="A5898" i="52"/>
  <c r="A5899" i="52"/>
  <c r="A5900" i="52"/>
  <c r="A5901" i="52"/>
  <c r="A5902" i="52"/>
  <c r="A5903" i="52"/>
  <c r="A5904" i="52"/>
  <c r="A5905" i="52"/>
  <c r="A5906" i="52"/>
  <c r="A5907" i="52"/>
  <c r="A5908" i="52"/>
  <c r="A5909" i="52"/>
  <c r="A5910" i="52"/>
  <c r="A5911" i="52"/>
  <c r="A5912" i="52"/>
  <c r="A5913" i="52"/>
  <c r="A5914" i="52"/>
  <c r="A5915" i="52"/>
  <c r="A5916" i="52"/>
  <c r="A5917" i="52"/>
  <c r="A5918" i="52"/>
  <c r="A5919" i="52"/>
  <c r="A5920" i="52"/>
  <c r="A5921" i="52"/>
  <c r="A5922" i="52"/>
  <c r="A5923" i="52"/>
  <c r="A5924" i="52"/>
  <c r="A5925" i="52"/>
  <c r="A5926" i="52"/>
  <c r="A5927" i="52"/>
  <c r="A5928" i="52"/>
  <c r="A5929" i="52"/>
  <c r="A5930" i="52"/>
  <c r="A5931" i="52"/>
  <c r="A5932" i="52"/>
  <c r="A5933" i="52"/>
  <c r="A5934" i="52"/>
  <c r="A5935" i="52"/>
  <c r="A5936" i="52"/>
  <c r="A5937" i="52"/>
  <c r="A5938" i="52"/>
  <c r="A5939" i="52"/>
  <c r="A5940" i="52"/>
  <c r="A5941" i="52"/>
  <c r="A5942" i="52"/>
  <c r="A5943" i="52"/>
  <c r="A5944" i="52"/>
  <c r="A5945" i="52"/>
  <c r="A5946" i="52"/>
  <c r="A5947" i="52"/>
  <c r="A5948" i="52"/>
  <c r="A5949" i="52"/>
  <c r="A5950" i="52"/>
  <c r="A5951" i="52"/>
  <c r="A5952" i="52"/>
  <c r="A5953" i="52"/>
  <c r="A5954" i="52"/>
  <c r="A5955" i="52"/>
  <c r="A5956" i="52"/>
  <c r="A5957" i="52"/>
  <c r="A5958" i="52"/>
  <c r="A5959" i="52"/>
  <c r="A5960" i="52"/>
  <c r="A5961" i="52"/>
  <c r="A5962" i="52"/>
  <c r="A5963" i="52"/>
  <c r="A5964" i="52"/>
  <c r="A5965" i="52"/>
  <c r="A5966" i="52"/>
  <c r="A5967" i="52"/>
  <c r="A5968" i="52"/>
  <c r="A5969" i="52"/>
  <c r="A5970" i="52"/>
  <c r="A5971" i="52"/>
  <c r="A5972" i="52"/>
  <c r="A5973" i="52"/>
  <c r="A5974" i="52"/>
  <c r="A5975" i="52"/>
  <c r="A5976" i="52"/>
  <c r="A5977" i="52"/>
  <c r="A5978" i="52"/>
  <c r="A5979" i="52"/>
  <c r="A5980" i="52"/>
  <c r="A5981" i="52"/>
  <c r="A5982" i="52"/>
  <c r="A5983" i="52"/>
  <c r="A5984" i="52"/>
  <c r="A5985" i="52"/>
  <c r="A5986" i="52"/>
  <c r="A5987" i="52"/>
  <c r="A5988" i="52"/>
  <c r="A5989" i="52"/>
  <c r="A5990" i="52"/>
  <c r="A5991" i="52"/>
  <c r="A5992" i="52"/>
  <c r="A5993" i="52"/>
  <c r="A5994" i="52"/>
  <c r="A5995" i="52"/>
  <c r="A5996" i="52"/>
  <c r="A5997" i="52"/>
  <c r="A5998" i="52"/>
  <c r="A5999" i="52"/>
  <c r="A6000" i="52"/>
  <c r="A6001" i="52"/>
  <c r="A6002" i="52"/>
  <c r="A6003" i="52"/>
  <c r="A6004" i="52"/>
  <c r="A6005" i="52"/>
  <c r="A6006" i="52"/>
  <c r="A6007" i="52"/>
  <c r="A6008" i="52"/>
  <c r="A6009" i="52"/>
  <c r="A6010" i="52"/>
  <c r="A6011" i="52"/>
  <c r="A6012" i="52"/>
  <c r="A6013" i="52"/>
  <c r="A6014" i="52"/>
  <c r="A6015" i="52"/>
  <c r="A6016" i="52"/>
  <c r="A6017" i="52"/>
  <c r="A6018" i="52"/>
  <c r="A6019" i="52"/>
  <c r="A6020" i="52"/>
  <c r="A6021" i="52"/>
  <c r="A6022" i="52"/>
  <c r="A6023" i="52"/>
  <c r="A6024" i="52"/>
  <c r="A6025" i="52"/>
  <c r="A6026" i="52"/>
  <c r="A6027" i="52"/>
  <c r="A6028" i="52"/>
  <c r="A6029" i="52"/>
  <c r="A6030" i="52"/>
  <c r="A6031" i="52"/>
  <c r="A6032" i="52"/>
  <c r="A6033" i="52"/>
  <c r="A6034" i="52"/>
  <c r="A6035" i="52"/>
  <c r="A6036" i="52"/>
  <c r="A6037" i="52"/>
  <c r="A6038" i="52"/>
  <c r="A6039" i="52"/>
  <c r="A6040" i="52"/>
  <c r="A6041" i="52"/>
  <c r="A6042" i="52"/>
  <c r="A6043" i="52"/>
  <c r="A6044" i="52"/>
  <c r="A6045" i="52"/>
  <c r="A6046" i="52"/>
  <c r="A6047" i="52"/>
  <c r="A6048" i="52"/>
  <c r="A6049" i="52"/>
  <c r="A6050" i="52"/>
  <c r="A6051" i="52"/>
  <c r="A6052" i="52"/>
  <c r="A6053" i="52"/>
  <c r="A6054" i="52"/>
  <c r="A6055" i="52"/>
  <c r="A6056" i="52"/>
  <c r="A6057" i="52"/>
  <c r="A6058" i="52"/>
  <c r="A6059" i="52"/>
  <c r="A6060" i="52"/>
  <c r="A6061" i="52"/>
  <c r="A6062" i="52"/>
  <c r="A6063" i="52"/>
  <c r="A6064" i="52"/>
  <c r="A6065" i="52"/>
  <c r="A6066" i="52"/>
  <c r="A6067" i="52"/>
  <c r="A6068" i="52"/>
  <c r="A6069" i="52"/>
  <c r="A6070" i="52"/>
  <c r="A6071" i="52"/>
  <c r="A6072" i="52"/>
  <c r="A6073" i="52"/>
  <c r="A6074" i="52"/>
  <c r="A6075" i="52"/>
  <c r="A6076" i="52"/>
  <c r="A6077" i="52"/>
  <c r="A6078" i="52"/>
  <c r="A6079" i="52"/>
  <c r="A6080" i="52"/>
  <c r="A6081" i="52"/>
  <c r="A6082" i="52"/>
  <c r="A6083" i="52"/>
  <c r="A6084" i="52"/>
  <c r="A6085" i="52"/>
  <c r="A6086" i="52"/>
  <c r="A6087" i="52"/>
  <c r="A6088" i="52"/>
  <c r="A6089" i="52"/>
  <c r="A6090" i="52"/>
  <c r="A6091" i="52"/>
  <c r="A6092" i="52"/>
  <c r="A6093" i="52"/>
  <c r="A6094" i="52"/>
  <c r="A6095" i="52"/>
  <c r="A6096" i="52"/>
  <c r="A6097" i="52"/>
  <c r="A6098" i="52"/>
  <c r="A6099" i="52"/>
  <c r="A6100" i="52"/>
  <c r="A6101" i="52"/>
  <c r="A6102" i="52"/>
  <c r="A6103" i="52"/>
  <c r="A6104" i="52"/>
  <c r="A6105" i="52"/>
  <c r="A6106" i="52"/>
  <c r="A6107" i="52"/>
  <c r="A6108" i="52"/>
  <c r="A6109" i="52"/>
  <c r="A6110" i="52"/>
  <c r="A6111" i="52"/>
  <c r="A6112" i="52"/>
  <c r="A6113" i="52"/>
  <c r="A6114" i="52"/>
  <c r="A6115" i="52"/>
  <c r="A6116" i="52"/>
  <c r="A6117" i="52"/>
  <c r="A6118" i="52"/>
  <c r="A6119" i="52"/>
  <c r="A6120" i="52"/>
  <c r="A6121" i="52"/>
  <c r="A6122" i="52"/>
  <c r="A6123" i="52"/>
  <c r="A6124" i="52"/>
  <c r="A6125" i="52"/>
  <c r="A6126" i="52"/>
  <c r="A6127" i="52"/>
  <c r="A6128" i="52"/>
  <c r="A6129" i="52"/>
  <c r="A6130" i="52"/>
  <c r="A6131" i="52"/>
  <c r="A6132" i="52"/>
  <c r="A6133" i="52"/>
  <c r="A6134" i="52"/>
  <c r="A6135" i="52"/>
  <c r="A6136" i="52"/>
  <c r="A6137" i="52"/>
  <c r="A6138" i="52"/>
  <c r="A6139" i="52"/>
  <c r="A6140" i="52"/>
  <c r="A6141" i="52"/>
  <c r="A6142" i="52"/>
  <c r="A6143" i="52"/>
  <c r="A6144" i="52"/>
  <c r="A6145" i="52"/>
  <c r="A6146" i="52"/>
  <c r="A6147" i="52"/>
  <c r="A6148" i="52"/>
  <c r="A6149" i="52"/>
  <c r="A6150" i="52"/>
  <c r="A6151" i="52"/>
  <c r="A6152" i="52"/>
  <c r="A6153" i="52"/>
  <c r="A6154" i="52"/>
  <c r="A6155" i="52"/>
  <c r="A6156" i="52"/>
  <c r="A6157" i="52"/>
  <c r="A6158" i="52"/>
  <c r="A6159" i="52"/>
  <c r="A6160" i="52"/>
  <c r="A6161" i="52"/>
  <c r="A6162" i="52"/>
  <c r="A6163" i="52"/>
  <c r="A6164" i="52"/>
  <c r="A6165" i="52"/>
  <c r="A6166" i="52"/>
  <c r="A6167" i="52"/>
  <c r="A6168" i="52"/>
  <c r="A6169" i="52"/>
  <c r="A6170" i="52"/>
  <c r="A6171" i="52"/>
  <c r="A6172" i="52"/>
  <c r="A6173" i="52"/>
  <c r="A6174" i="52"/>
  <c r="A6175" i="52"/>
  <c r="A6176" i="52"/>
  <c r="A6177" i="52"/>
  <c r="A6178" i="52"/>
  <c r="A6179" i="52"/>
  <c r="A6180" i="52"/>
  <c r="A6181" i="52"/>
  <c r="A6182" i="52"/>
  <c r="A6183" i="52"/>
  <c r="A6184" i="52"/>
  <c r="A6185" i="52"/>
  <c r="A6186" i="52"/>
  <c r="A6187" i="52"/>
  <c r="A6188" i="52"/>
  <c r="A6189" i="52"/>
  <c r="A6190" i="52"/>
  <c r="A6191" i="52"/>
  <c r="A6192" i="52"/>
  <c r="A6193" i="52"/>
  <c r="A6194" i="52"/>
  <c r="A6195" i="52"/>
  <c r="A6196" i="52"/>
  <c r="A6197" i="52"/>
  <c r="A6198" i="52"/>
  <c r="A6199" i="52"/>
  <c r="A6200" i="52"/>
  <c r="A6201" i="52"/>
  <c r="A6202" i="52"/>
  <c r="A6203" i="52"/>
  <c r="A6204" i="52"/>
  <c r="A6205" i="52"/>
  <c r="A6206" i="52"/>
  <c r="A6207" i="52"/>
  <c r="A6208" i="52"/>
  <c r="A6209" i="52"/>
  <c r="A6210" i="52"/>
  <c r="A6211" i="52"/>
  <c r="A6212" i="52"/>
  <c r="A6213" i="52"/>
  <c r="A6214" i="52"/>
  <c r="A6215" i="52"/>
  <c r="A6216" i="52"/>
  <c r="A6217" i="52"/>
  <c r="A6218" i="52"/>
  <c r="A6219" i="52"/>
  <c r="A6220" i="52"/>
  <c r="A6221" i="52"/>
  <c r="A6222" i="52"/>
  <c r="A6223" i="52"/>
  <c r="A6224" i="52"/>
  <c r="A6225" i="52"/>
  <c r="A6226" i="52"/>
  <c r="A6227" i="52"/>
  <c r="A6228" i="52"/>
  <c r="A6229" i="52"/>
  <c r="A6230" i="52"/>
  <c r="A6231" i="52"/>
  <c r="A6232" i="52"/>
  <c r="A6233" i="52"/>
  <c r="A6234" i="52"/>
  <c r="A6235" i="52"/>
  <c r="A6236" i="52"/>
  <c r="A6237" i="52"/>
  <c r="A6238" i="52"/>
  <c r="A6239" i="52"/>
  <c r="A6240" i="52"/>
  <c r="A6241" i="52"/>
  <c r="A6242" i="52"/>
  <c r="A6243" i="52"/>
  <c r="A6244" i="52"/>
  <c r="A6245" i="52"/>
  <c r="A6246" i="52"/>
  <c r="A6247" i="52"/>
  <c r="A6248" i="52"/>
  <c r="A6249" i="52"/>
  <c r="A6250" i="52"/>
  <c r="A6251" i="52"/>
  <c r="A6252" i="52"/>
  <c r="A6253" i="52"/>
  <c r="A6254" i="52"/>
  <c r="A6255" i="52"/>
  <c r="A6256" i="52"/>
  <c r="A6257" i="52"/>
  <c r="A6258" i="52"/>
  <c r="A6259" i="52"/>
  <c r="A6260" i="52"/>
  <c r="A6261" i="52"/>
  <c r="A6262" i="52"/>
  <c r="A6263" i="52"/>
  <c r="A6264" i="52"/>
  <c r="A6265" i="52"/>
  <c r="A6266" i="52"/>
  <c r="A6267" i="52"/>
  <c r="A6268" i="52"/>
  <c r="A6269" i="52"/>
  <c r="A6270" i="52"/>
  <c r="A6271" i="52"/>
  <c r="A6272" i="52"/>
  <c r="A6273" i="52"/>
  <c r="A6274" i="52"/>
  <c r="A6275" i="52"/>
  <c r="A6276" i="52"/>
  <c r="A6277" i="52"/>
  <c r="A6278" i="52"/>
  <c r="A6279" i="52"/>
  <c r="A6280" i="52"/>
  <c r="A6281" i="52"/>
  <c r="A6282" i="52"/>
  <c r="A6283" i="52"/>
  <c r="A6284" i="52"/>
  <c r="A6285" i="52"/>
  <c r="A6286" i="52"/>
  <c r="A6287" i="52"/>
  <c r="A6288" i="52"/>
  <c r="A6289" i="52"/>
  <c r="A6290" i="52"/>
  <c r="A6291" i="52"/>
  <c r="A6292" i="52"/>
  <c r="A6293" i="52"/>
  <c r="A6294" i="52"/>
  <c r="A6295" i="52"/>
  <c r="A6296" i="52"/>
  <c r="A6297" i="52"/>
  <c r="A6298" i="52"/>
  <c r="A6299" i="52"/>
  <c r="A6300" i="52"/>
  <c r="A6301" i="52"/>
  <c r="A6302" i="52"/>
  <c r="A6303" i="52"/>
  <c r="A6304" i="52"/>
  <c r="A6305" i="52"/>
  <c r="A6306" i="52"/>
  <c r="A6307" i="52"/>
  <c r="A6308" i="52"/>
  <c r="A6309" i="52"/>
  <c r="A6310" i="52"/>
  <c r="A6311" i="52"/>
  <c r="A6352" i="52"/>
  <c r="A6353" i="52"/>
  <c r="A6354" i="52"/>
  <c r="A6355" i="52"/>
  <c r="A6356" i="52"/>
  <c r="A6357" i="52"/>
  <c r="A6358" i="52"/>
  <c r="A6359" i="52"/>
  <c r="A6360" i="52"/>
  <c r="A6361" i="52"/>
  <c r="A6362" i="52"/>
  <c r="A6363" i="52"/>
  <c r="A6364" i="52"/>
  <c r="A6365" i="52"/>
  <c r="A6366" i="52"/>
  <c r="A6367" i="52"/>
  <c r="A6368" i="52"/>
  <c r="A6369" i="52"/>
  <c r="A6370" i="52"/>
  <c r="A6371" i="52"/>
  <c r="A6372" i="52"/>
  <c r="A6373" i="52"/>
  <c r="A6374" i="52"/>
  <c r="A6375" i="52"/>
  <c r="A6376" i="52"/>
  <c r="A6377" i="52"/>
  <c r="A6378" i="52"/>
  <c r="A6379" i="52"/>
  <c r="A6380" i="52"/>
  <c r="A6381" i="52"/>
  <c r="A6382" i="52"/>
  <c r="A6383" i="52"/>
  <c r="A6384" i="52"/>
  <c r="A6385" i="52"/>
  <c r="A6386" i="52"/>
  <c r="A6387" i="52"/>
  <c r="A6388" i="52"/>
  <c r="A6389" i="52"/>
  <c r="A6390" i="52"/>
  <c r="A6391" i="52"/>
  <c r="A6392" i="52"/>
  <c r="A6393" i="52"/>
  <c r="A6394" i="52"/>
  <c r="A6395" i="52"/>
  <c r="A6396" i="52"/>
  <c r="A6397" i="52"/>
  <c r="A6398" i="52"/>
  <c r="A6399" i="52"/>
  <c r="A6400" i="52"/>
  <c r="A6401" i="52"/>
  <c r="A6402" i="52"/>
  <c r="A6403" i="52"/>
  <c r="A6404" i="52"/>
  <c r="A6405" i="52"/>
  <c r="A6406" i="52"/>
  <c r="A6407" i="52"/>
  <c r="A6408" i="52"/>
  <c r="A6409" i="52"/>
  <c r="A6410" i="52"/>
  <c r="A6411" i="52"/>
  <c r="A6412" i="52"/>
  <c r="A6413" i="52"/>
  <c r="A6414" i="52"/>
  <c r="A6415" i="52"/>
  <c r="A6416" i="52"/>
  <c r="A6417" i="52"/>
  <c r="A6418" i="52"/>
  <c r="A6419" i="52"/>
  <c r="A6420" i="52"/>
  <c r="A6421" i="52"/>
  <c r="A6422" i="52"/>
  <c r="A6423" i="52"/>
  <c r="A6424" i="52"/>
  <c r="A6425" i="52"/>
  <c r="A6426" i="52"/>
  <c r="A6427" i="52"/>
  <c r="A6428" i="52"/>
  <c r="A6429" i="52"/>
  <c r="A6430" i="52"/>
  <c r="A6431" i="52"/>
  <c r="A6432" i="52"/>
  <c r="A6433" i="52"/>
  <c r="A6434" i="52"/>
  <c r="A6435" i="52"/>
  <c r="A6436" i="52"/>
  <c r="A6437" i="52"/>
  <c r="A6438" i="52"/>
  <c r="A6439" i="52"/>
  <c r="A6440" i="52"/>
  <c r="A6441" i="52"/>
  <c r="A6442" i="52"/>
  <c r="A6443" i="52"/>
  <c r="A6444" i="52"/>
  <c r="A6445" i="52"/>
  <c r="A6446" i="52"/>
  <c r="A6447" i="52"/>
  <c r="A6448" i="52"/>
  <c r="A6449" i="52"/>
  <c r="A6450" i="52"/>
  <c r="A6451" i="52"/>
  <c r="A6452" i="52"/>
  <c r="A6453" i="52"/>
  <c r="A6454" i="52"/>
  <c r="A6455" i="52"/>
  <c r="A6456" i="52"/>
  <c r="A6457" i="52"/>
  <c r="A6458" i="52"/>
  <c r="A6459" i="52"/>
  <c r="A6460" i="52"/>
  <c r="A6461" i="52"/>
  <c r="A6462" i="52"/>
  <c r="A6463" i="52"/>
  <c r="A6464" i="52"/>
  <c r="A6465" i="52"/>
  <c r="A6466" i="52"/>
  <c r="A6467" i="52"/>
  <c r="A6468" i="52"/>
  <c r="A6469" i="52"/>
  <c r="A6470" i="52"/>
  <c r="A6471" i="52"/>
  <c r="A6472" i="52"/>
  <c r="A6473" i="52"/>
  <c r="A6474" i="52"/>
  <c r="A6475" i="52"/>
  <c r="A6476" i="52"/>
  <c r="A6477" i="52"/>
  <c r="A6478" i="52"/>
  <c r="A6479" i="52"/>
  <c r="A6480" i="52"/>
  <c r="A6481" i="52"/>
  <c r="A6482" i="52"/>
  <c r="A6483" i="52"/>
  <c r="A6484" i="52"/>
  <c r="A6485" i="52"/>
  <c r="A6486" i="52"/>
  <c r="A6487" i="52"/>
  <c r="A6488" i="52"/>
  <c r="A6489" i="52"/>
  <c r="A6490" i="52"/>
  <c r="A6491" i="52"/>
  <c r="A6492" i="52"/>
  <c r="A6493" i="52"/>
  <c r="A6494" i="52"/>
  <c r="A6495" i="52"/>
  <c r="A6496" i="52"/>
  <c r="A6497" i="52"/>
  <c r="A6498" i="52"/>
  <c r="A6499" i="52"/>
  <c r="A6500" i="52"/>
  <c r="A6501" i="52"/>
  <c r="A6502" i="52"/>
  <c r="A6503" i="52"/>
  <c r="A6504" i="52"/>
  <c r="A6505" i="52"/>
  <c r="A6506" i="52"/>
  <c r="A6507" i="52"/>
  <c r="A6508" i="52"/>
  <c r="A6509" i="52"/>
  <c r="A6510" i="52"/>
  <c r="A6511" i="52"/>
  <c r="A6512" i="52"/>
  <c r="A6513" i="52"/>
  <c r="A6514" i="52"/>
  <c r="A6515" i="52"/>
  <c r="A6516" i="52"/>
  <c r="A6517" i="52"/>
  <c r="A6518" i="52"/>
  <c r="A6519" i="52"/>
  <c r="A6520" i="52"/>
  <c r="A6521" i="52"/>
  <c r="A6522" i="52"/>
  <c r="A6523" i="52"/>
  <c r="A6524" i="52"/>
  <c r="A6525" i="52"/>
  <c r="A6526" i="52"/>
  <c r="A6527" i="52"/>
  <c r="A6528" i="52"/>
  <c r="A6529" i="52"/>
  <c r="A6530" i="52"/>
  <c r="A6531" i="52"/>
  <c r="A6532" i="52"/>
  <c r="A6533" i="52"/>
  <c r="A6534" i="52"/>
  <c r="A6535" i="52"/>
  <c r="A6536" i="52"/>
  <c r="A6537" i="52"/>
  <c r="A6538" i="52"/>
  <c r="A6539" i="52"/>
  <c r="A6540" i="52"/>
  <c r="A6541" i="52"/>
  <c r="A6542" i="52"/>
  <c r="A6543" i="52"/>
  <c r="A6544" i="52"/>
  <c r="A6545" i="52"/>
  <c r="A6546" i="52"/>
  <c r="A6547" i="52"/>
  <c r="A6548" i="52"/>
  <c r="A6549" i="52"/>
  <c r="A6550" i="52"/>
  <c r="A6551" i="52"/>
  <c r="A6552" i="52"/>
  <c r="A6553" i="52"/>
  <c r="A6554" i="52"/>
  <c r="A6555" i="52"/>
  <c r="A6556" i="52"/>
  <c r="A6557" i="52"/>
  <c r="A6558" i="52"/>
  <c r="A6559" i="52"/>
  <c r="A6560" i="52"/>
  <c r="A6561" i="52"/>
  <c r="A6562" i="52"/>
  <c r="A6563" i="52"/>
  <c r="A6564" i="52"/>
  <c r="A6565" i="52"/>
  <c r="A6566" i="52"/>
  <c r="A6567" i="52"/>
  <c r="A6568" i="52"/>
  <c r="A6569" i="52"/>
  <c r="A6570" i="52"/>
  <c r="A6571" i="52"/>
  <c r="A6572" i="52"/>
  <c r="A6573" i="52"/>
  <c r="A6574" i="52"/>
  <c r="A6575" i="52"/>
  <c r="A6576" i="52"/>
  <c r="A6577" i="52"/>
  <c r="A6578" i="52"/>
  <c r="A6579" i="52"/>
  <c r="A6580" i="52"/>
  <c r="A6581" i="52"/>
  <c r="A6582" i="52"/>
  <c r="A6583" i="52"/>
  <c r="A6584" i="52"/>
  <c r="A6585" i="52"/>
  <c r="A6586" i="52"/>
  <c r="A6587" i="52"/>
  <c r="A6588" i="52"/>
  <c r="A6589" i="52"/>
  <c r="A6590" i="52"/>
  <c r="A6591" i="52"/>
  <c r="A6592" i="52"/>
  <c r="A6593" i="52"/>
  <c r="A6594" i="52"/>
  <c r="A6595" i="52"/>
  <c r="A6596" i="52"/>
  <c r="A6597" i="52"/>
  <c r="A6598" i="52"/>
  <c r="A6599" i="52"/>
  <c r="A6600" i="52"/>
  <c r="A6601" i="52"/>
  <c r="A6602" i="52"/>
  <c r="A6603" i="52"/>
  <c r="A6604" i="52"/>
  <c r="A6605" i="52"/>
  <c r="A6606" i="52"/>
  <c r="A6607" i="52"/>
  <c r="A6608" i="52"/>
  <c r="A6609" i="52"/>
  <c r="A6610" i="52"/>
  <c r="A6611" i="52"/>
  <c r="A6612" i="52"/>
  <c r="A6613" i="52"/>
  <c r="A6614" i="52"/>
  <c r="A6615" i="52"/>
  <c r="A6616" i="52"/>
  <c r="A6617" i="52"/>
  <c r="A6618" i="52"/>
  <c r="A6619" i="52"/>
  <c r="A6620" i="52"/>
  <c r="A6621" i="52"/>
  <c r="A6622" i="52"/>
  <c r="A6623" i="52"/>
  <c r="A6624" i="52"/>
  <c r="A6625" i="52"/>
  <c r="A6626" i="52"/>
  <c r="A6627" i="52"/>
  <c r="A6628" i="52"/>
  <c r="A6629" i="52"/>
  <c r="A6630" i="52"/>
  <c r="A6631" i="52"/>
  <c r="A6632" i="52"/>
  <c r="A6633" i="52"/>
  <c r="A6634" i="52"/>
  <c r="A6635" i="52"/>
  <c r="A6636" i="52"/>
  <c r="A6637" i="52"/>
  <c r="A6638" i="52"/>
  <c r="A6639" i="52"/>
  <c r="A6640" i="52"/>
  <c r="A6641" i="52"/>
  <c r="A6642" i="52"/>
  <c r="A6643" i="52"/>
  <c r="A6644" i="52"/>
  <c r="A6645" i="52"/>
  <c r="A6646" i="52"/>
  <c r="A6647" i="52"/>
  <c r="A6648" i="52"/>
  <c r="A6649" i="52"/>
  <c r="A6650" i="52"/>
  <c r="A6651" i="52"/>
  <c r="A6652" i="52"/>
  <c r="A6653" i="52"/>
  <c r="A6654" i="52"/>
  <c r="A6655" i="52"/>
  <c r="A6656" i="52"/>
  <c r="A6657" i="52"/>
  <c r="A6658" i="52"/>
  <c r="A6659" i="52"/>
  <c r="A6660" i="52"/>
  <c r="A6661" i="52"/>
  <c r="A6662" i="52"/>
  <c r="A6663" i="52"/>
  <c r="A6664" i="52"/>
  <c r="A6665" i="52"/>
  <c r="A6666" i="52"/>
  <c r="A6667" i="52"/>
  <c r="A6668" i="52"/>
  <c r="A6669" i="52"/>
  <c r="A6670" i="52"/>
  <c r="A6671" i="52"/>
  <c r="A6672" i="52"/>
  <c r="A6673" i="52"/>
  <c r="A6674" i="52"/>
  <c r="A6675" i="52"/>
  <c r="A6676" i="52"/>
  <c r="A6677" i="52"/>
  <c r="A6678" i="52"/>
  <c r="A6679" i="52"/>
  <c r="A6680" i="52"/>
  <c r="A6681" i="52"/>
  <c r="A6682" i="52"/>
  <c r="A6683" i="52"/>
  <c r="A6684" i="52"/>
  <c r="A6685" i="52"/>
  <c r="A6686" i="52"/>
  <c r="A6687" i="52"/>
  <c r="A6688" i="52"/>
  <c r="A6689" i="52"/>
  <c r="A6690" i="52"/>
  <c r="A6691" i="52"/>
  <c r="A6692" i="52"/>
  <c r="A6693" i="52"/>
  <c r="A6694" i="52"/>
  <c r="A6695" i="52"/>
  <c r="A6696" i="52"/>
  <c r="A6697" i="52"/>
  <c r="A6698" i="52"/>
  <c r="A6699" i="52"/>
  <c r="A6700" i="52"/>
  <c r="A6701" i="52"/>
  <c r="A6702" i="52"/>
  <c r="A6703" i="52"/>
  <c r="A6704" i="52"/>
  <c r="A6705" i="52"/>
  <c r="A6706" i="52"/>
  <c r="A6707" i="52"/>
  <c r="A6708" i="52"/>
  <c r="A6709" i="52"/>
  <c r="A6710" i="52"/>
  <c r="A6711" i="52"/>
  <c r="A6712" i="52"/>
  <c r="A6713" i="52"/>
  <c r="A6714" i="52"/>
  <c r="A6715" i="52"/>
  <c r="A6716" i="52"/>
  <c r="A6717" i="52"/>
  <c r="A6718" i="52"/>
  <c r="A6719" i="52"/>
  <c r="A6720" i="52"/>
  <c r="A6721" i="52"/>
  <c r="A6722" i="52"/>
  <c r="A6723" i="52"/>
  <c r="A6724" i="52"/>
  <c r="A6725" i="52"/>
  <c r="A6726" i="52"/>
  <c r="A6727" i="52"/>
  <c r="A6728" i="52"/>
  <c r="A6729" i="52"/>
  <c r="A6730" i="52"/>
  <c r="A6731" i="52"/>
  <c r="A6732" i="52"/>
  <c r="A6733" i="52"/>
  <c r="A6734" i="52"/>
  <c r="A6735" i="52"/>
  <c r="A6736" i="52"/>
  <c r="A6737" i="52"/>
  <c r="A6738" i="52"/>
  <c r="A6739" i="52"/>
  <c r="A6740" i="52"/>
  <c r="A6741" i="52"/>
  <c r="A6742" i="52"/>
  <c r="A6743" i="52"/>
  <c r="A6744" i="52"/>
  <c r="A6745" i="52"/>
  <c r="A6746" i="52"/>
  <c r="A6747" i="52"/>
  <c r="A6748" i="52"/>
  <c r="A6749" i="52"/>
  <c r="A6750" i="52"/>
  <c r="A6751" i="52"/>
  <c r="A6752" i="52"/>
  <c r="A6753" i="52"/>
  <c r="A6754" i="52"/>
  <c r="A6755" i="52"/>
  <c r="A6756" i="52"/>
  <c r="A6757" i="52"/>
  <c r="A6758" i="52"/>
  <c r="A6759" i="52"/>
  <c r="A6760" i="52"/>
  <c r="A6761" i="52"/>
  <c r="A6762" i="52"/>
  <c r="A6763" i="52"/>
  <c r="A6764" i="52"/>
  <c r="A6765" i="52"/>
  <c r="A6766" i="52"/>
  <c r="A6767" i="52"/>
  <c r="A6768" i="52"/>
  <c r="A6769" i="52"/>
  <c r="A6770" i="52"/>
  <c r="A6771" i="52"/>
  <c r="A6772" i="52"/>
  <c r="A6773" i="52"/>
  <c r="A6774" i="52"/>
  <c r="A6775" i="52"/>
  <c r="A6776" i="52"/>
  <c r="A6777" i="52"/>
  <c r="A6778" i="52"/>
  <c r="A6779" i="52"/>
  <c r="A6780" i="52"/>
  <c r="A6781" i="52"/>
  <c r="A6782" i="52"/>
  <c r="A6783" i="52"/>
  <c r="A6784" i="52"/>
  <c r="A6785" i="52"/>
  <c r="A6786" i="52"/>
  <c r="A6787" i="52"/>
  <c r="A6788" i="52"/>
  <c r="A6789" i="52"/>
  <c r="A6790" i="52"/>
  <c r="A6791" i="52"/>
  <c r="A6792" i="52"/>
  <c r="A6793" i="52"/>
  <c r="A6794" i="52"/>
  <c r="A6795" i="52"/>
  <c r="A6796" i="52"/>
  <c r="A6797" i="52"/>
  <c r="A6798" i="52"/>
  <c r="P2" i="52"/>
  <c r="P3" i="52"/>
  <c r="P4" i="52"/>
  <c r="P5" i="52"/>
  <c r="P6" i="52"/>
  <c r="P7" i="52"/>
  <c r="P8" i="52"/>
  <c r="P9" i="52"/>
  <c r="P10" i="52"/>
  <c r="P11" i="52"/>
  <c r="P12" i="52"/>
  <c r="P13" i="52"/>
  <c r="P14" i="52"/>
  <c r="P15" i="52"/>
  <c r="P16" i="52"/>
  <c r="P17" i="52"/>
  <c r="P18" i="52"/>
  <c r="P19" i="52"/>
  <c r="P20" i="52"/>
  <c r="P21" i="52"/>
  <c r="P22" i="52"/>
  <c r="P23" i="52"/>
  <c r="P24" i="52"/>
  <c r="P25" i="52"/>
  <c r="P26" i="52"/>
  <c r="P27" i="52"/>
  <c r="P28" i="52"/>
  <c r="P29" i="52"/>
  <c r="P30" i="52"/>
  <c r="P31" i="52"/>
  <c r="P32" i="52"/>
  <c r="P33" i="52"/>
  <c r="P34" i="52"/>
  <c r="P35" i="52"/>
  <c r="P36" i="52"/>
  <c r="P37" i="52"/>
  <c r="P38" i="52"/>
  <c r="P39" i="52"/>
  <c r="P40" i="52"/>
  <c r="P41" i="52"/>
  <c r="P42" i="52"/>
  <c r="P43" i="52"/>
  <c r="P44" i="52"/>
  <c r="P45" i="52"/>
  <c r="P46" i="52"/>
  <c r="P47" i="52"/>
  <c r="P48" i="52"/>
  <c r="P49" i="52"/>
  <c r="P50" i="52"/>
  <c r="P51" i="52"/>
  <c r="P52" i="52"/>
  <c r="P53" i="52"/>
  <c r="P54" i="52"/>
  <c r="P55" i="52"/>
  <c r="P56" i="52"/>
  <c r="P57" i="52"/>
  <c r="P58" i="52"/>
  <c r="P59" i="52"/>
  <c r="P60" i="52"/>
  <c r="P61" i="52"/>
  <c r="P62" i="52"/>
  <c r="P63" i="52"/>
  <c r="P64" i="52"/>
  <c r="P65" i="52"/>
  <c r="P66" i="52"/>
  <c r="P67" i="52"/>
  <c r="P68" i="52"/>
  <c r="P69" i="52"/>
  <c r="P70" i="52"/>
  <c r="P71" i="52"/>
  <c r="P72" i="52"/>
  <c r="P73" i="52"/>
  <c r="P74" i="52"/>
  <c r="P75" i="52"/>
  <c r="P76" i="52"/>
  <c r="P77" i="52"/>
  <c r="P78" i="52"/>
  <c r="P79" i="52"/>
  <c r="P80" i="52"/>
  <c r="P81" i="52"/>
  <c r="P82" i="52"/>
  <c r="P83" i="52"/>
  <c r="P84" i="52"/>
  <c r="P85" i="52"/>
  <c r="P86" i="52"/>
  <c r="P87" i="52"/>
  <c r="P88" i="52"/>
  <c r="P89" i="52"/>
  <c r="P90" i="52"/>
  <c r="P91" i="52"/>
  <c r="P92" i="52"/>
  <c r="P93" i="52"/>
  <c r="P94" i="52"/>
  <c r="P95" i="52"/>
  <c r="P96" i="52"/>
  <c r="P97" i="52"/>
  <c r="P98" i="52"/>
  <c r="P99" i="52"/>
  <c r="P100" i="52"/>
  <c r="P101" i="52"/>
  <c r="P102" i="52"/>
  <c r="P103" i="52"/>
  <c r="P104" i="52"/>
  <c r="P105" i="52"/>
  <c r="P106" i="52"/>
  <c r="P107" i="52"/>
  <c r="P108" i="52"/>
  <c r="P109" i="52"/>
  <c r="P110" i="52"/>
  <c r="P111" i="52"/>
  <c r="P112" i="52"/>
  <c r="P113" i="52"/>
  <c r="P114" i="52"/>
  <c r="P115" i="52"/>
  <c r="P116" i="52"/>
  <c r="P117" i="52"/>
  <c r="P118" i="52"/>
  <c r="P119" i="52"/>
  <c r="P120" i="52"/>
  <c r="P121" i="52"/>
  <c r="P122" i="52"/>
  <c r="P123" i="52"/>
  <c r="P124" i="52"/>
  <c r="P125" i="52"/>
  <c r="P126" i="52"/>
  <c r="P127" i="52"/>
  <c r="P128" i="52"/>
  <c r="P129" i="52"/>
  <c r="P130" i="52"/>
  <c r="P131" i="52"/>
  <c r="P132" i="52"/>
  <c r="P133" i="52"/>
  <c r="P134" i="52"/>
  <c r="P135" i="52"/>
  <c r="P136" i="52"/>
  <c r="P137" i="52"/>
  <c r="P138" i="52"/>
  <c r="P139" i="52"/>
  <c r="P140" i="52"/>
  <c r="P141" i="52"/>
  <c r="P142" i="52"/>
  <c r="P143" i="52"/>
  <c r="P144" i="52"/>
  <c r="P145" i="52"/>
  <c r="P146" i="52"/>
  <c r="P147" i="52"/>
  <c r="P148" i="52"/>
  <c r="P149" i="52"/>
  <c r="P150" i="52"/>
  <c r="P151" i="52"/>
  <c r="P152" i="52"/>
  <c r="P153" i="52"/>
  <c r="P154" i="52"/>
  <c r="P155" i="52"/>
  <c r="P156" i="52"/>
  <c r="P157" i="52"/>
  <c r="P158" i="52"/>
  <c r="P159" i="52"/>
  <c r="P160" i="52"/>
  <c r="P161" i="52"/>
  <c r="P162" i="52"/>
  <c r="P163" i="52"/>
  <c r="P164" i="52"/>
  <c r="P165" i="52"/>
  <c r="P166" i="52"/>
  <c r="P167" i="52"/>
  <c r="P168" i="52"/>
  <c r="P169" i="52"/>
  <c r="P170" i="52"/>
  <c r="P171" i="52"/>
  <c r="P172" i="52"/>
  <c r="P173" i="52"/>
  <c r="P174" i="52"/>
  <c r="P175" i="52"/>
  <c r="P176" i="52"/>
  <c r="P177" i="52"/>
  <c r="P178" i="52"/>
  <c r="P179" i="52"/>
  <c r="P180" i="52"/>
  <c r="P181" i="52"/>
  <c r="P182" i="52"/>
  <c r="P183" i="52"/>
  <c r="P184" i="52"/>
  <c r="P185" i="52"/>
  <c r="P186" i="52"/>
  <c r="P187" i="52"/>
  <c r="P188" i="52"/>
  <c r="P189" i="52"/>
  <c r="P190" i="52"/>
  <c r="P191" i="52"/>
  <c r="P192" i="52"/>
  <c r="P193" i="52"/>
  <c r="P194" i="52"/>
  <c r="P195" i="52"/>
  <c r="P196" i="52"/>
  <c r="P197" i="52"/>
  <c r="P198" i="52"/>
  <c r="P199" i="52"/>
  <c r="P200" i="52"/>
  <c r="P201" i="52"/>
  <c r="P202" i="52"/>
  <c r="P203" i="52"/>
  <c r="P204" i="52"/>
  <c r="P205" i="52"/>
  <c r="P206" i="52"/>
  <c r="P207" i="52"/>
  <c r="P208" i="52"/>
  <c r="P209" i="52"/>
  <c r="P210" i="52"/>
  <c r="P211" i="52"/>
  <c r="P212" i="52"/>
  <c r="P213" i="52"/>
  <c r="P214" i="52"/>
  <c r="P215" i="52"/>
  <c r="P216" i="52"/>
  <c r="P217" i="52"/>
  <c r="P218" i="52"/>
  <c r="P219" i="52"/>
  <c r="P220" i="52"/>
  <c r="P221" i="52"/>
  <c r="P222" i="52"/>
  <c r="P223" i="52"/>
  <c r="P224" i="52"/>
  <c r="P225" i="52"/>
  <c r="P226" i="52"/>
  <c r="P227" i="52"/>
  <c r="P228" i="52"/>
  <c r="P229" i="52"/>
  <c r="P230" i="52"/>
  <c r="P231" i="52"/>
  <c r="P232" i="52"/>
  <c r="P233" i="52"/>
  <c r="P234" i="52"/>
  <c r="P235" i="52"/>
  <c r="P236" i="52"/>
  <c r="P237" i="52"/>
  <c r="P238" i="52"/>
  <c r="P239" i="52"/>
  <c r="P240" i="52"/>
  <c r="P241" i="52"/>
  <c r="P242" i="52"/>
  <c r="P243" i="52"/>
  <c r="P244" i="52"/>
  <c r="P245" i="52"/>
  <c r="P246" i="52"/>
  <c r="P247" i="52"/>
  <c r="P248" i="52"/>
  <c r="P249" i="52"/>
  <c r="P250" i="52"/>
  <c r="P251" i="52"/>
  <c r="P252" i="52"/>
  <c r="P253" i="52"/>
  <c r="P254" i="52"/>
  <c r="P255" i="52"/>
  <c r="P256" i="52"/>
  <c r="P257" i="52"/>
  <c r="P258" i="52"/>
  <c r="P259" i="52"/>
  <c r="P260" i="52"/>
  <c r="P261" i="52"/>
  <c r="P262" i="52"/>
  <c r="P263" i="52"/>
  <c r="P264" i="52"/>
  <c r="P265" i="52"/>
  <c r="P266" i="52"/>
  <c r="P267" i="52"/>
  <c r="P268" i="52"/>
  <c r="P269" i="52"/>
  <c r="P270" i="52"/>
  <c r="P271" i="52"/>
  <c r="P272" i="52"/>
  <c r="P273" i="52"/>
  <c r="P274" i="52"/>
  <c r="P275" i="52"/>
  <c r="P276" i="52"/>
  <c r="P277" i="52"/>
  <c r="P278" i="52"/>
  <c r="P279" i="52"/>
  <c r="P280" i="52"/>
  <c r="P281" i="52"/>
  <c r="P282" i="52"/>
  <c r="P283" i="52"/>
  <c r="P284" i="52"/>
  <c r="P285" i="52"/>
  <c r="P286" i="52"/>
  <c r="P287" i="52"/>
  <c r="P288" i="52"/>
  <c r="P289" i="52"/>
  <c r="P290" i="52"/>
  <c r="P291" i="52"/>
  <c r="P292" i="52"/>
  <c r="P293" i="52"/>
  <c r="P294" i="52"/>
  <c r="P295" i="52"/>
  <c r="P296" i="52"/>
  <c r="P297" i="52"/>
  <c r="P298" i="52"/>
  <c r="P299" i="52"/>
  <c r="P300" i="52"/>
  <c r="P301" i="52"/>
  <c r="P302" i="52"/>
  <c r="P303" i="52"/>
  <c r="P304" i="52"/>
  <c r="P305" i="52"/>
  <c r="P306" i="52"/>
  <c r="P307" i="52"/>
  <c r="P308" i="52"/>
  <c r="P309" i="52"/>
  <c r="P310" i="52"/>
  <c r="P311" i="52"/>
  <c r="P312" i="52"/>
  <c r="P313" i="52"/>
  <c r="P314" i="52"/>
  <c r="P315" i="52"/>
  <c r="P316" i="52"/>
  <c r="P317" i="52"/>
  <c r="P318" i="52"/>
  <c r="P319" i="52"/>
  <c r="P320" i="52"/>
  <c r="P321" i="52"/>
  <c r="P322" i="52"/>
  <c r="P323" i="52"/>
  <c r="P324" i="52"/>
  <c r="P325" i="52"/>
  <c r="P326" i="52"/>
  <c r="P327" i="52"/>
  <c r="P328" i="52"/>
  <c r="P329" i="52"/>
  <c r="P330" i="52"/>
  <c r="P331" i="52"/>
  <c r="P332" i="52"/>
  <c r="P333" i="52"/>
  <c r="P334" i="52"/>
  <c r="P335" i="52"/>
  <c r="P336" i="52"/>
  <c r="P337" i="52"/>
  <c r="P338" i="52"/>
  <c r="P339" i="52"/>
  <c r="P340" i="52"/>
  <c r="P341" i="52"/>
  <c r="P342" i="52"/>
  <c r="P343" i="52"/>
  <c r="P344" i="52"/>
  <c r="P345" i="52"/>
  <c r="P346" i="52"/>
  <c r="P347" i="52"/>
  <c r="P348" i="52"/>
  <c r="P349" i="52"/>
  <c r="P350" i="52"/>
  <c r="P351" i="52"/>
  <c r="P352" i="52"/>
  <c r="P353" i="52"/>
  <c r="P354" i="52"/>
  <c r="P355" i="52"/>
  <c r="P356" i="52"/>
  <c r="P357" i="52"/>
  <c r="P358" i="52"/>
  <c r="P359" i="52"/>
  <c r="P360" i="52"/>
  <c r="P361" i="52"/>
  <c r="P362" i="52"/>
  <c r="P363" i="52"/>
  <c r="P364" i="52"/>
  <c r="P365" i="52"/>
  <c r="P366" i="52"/>
  <c r="P367" i="52"/>
  <c r="P368" i="52"/>
  <c r="P369" i="52"/>
  <c r="P370" i="52"/>
  <c r="P371" i="52"/>
  <c r="P372" i="52"/>
  <c r="P373" i="52"/>
  <c r="P374" i="52"/>
  <c r="P375" i="52"/>
  <c r="P376" i="52"/>
  <c r="P377" i="52"/>
  <c r="P378" i="52"/>
  <c r="P379" i="52"/>
  <c r="P380" i="52"/>
  <c r="P381" i="52"/>
  <c r="P382" i="52"/>
  <c r="P383" i="52"/>
  <c r="P384" i="52"/>
  <c r="P385" i="52"/>
  <c r="P386" i="52"/>
  <c r="P387" i="52"/>
  <c r="P388" i="52"/>
  <c r="P389" i="52"/>
  <c r="P390" i="52"/>
  <c r="P391" i="52"/>
  <c r="P392" i="52"/>
  <c r="P393" i="52"/>
  <c r="P394" i="52"/>
  <c r="P395" i="52"/>
  <c r="P396" i="52"/>
  <c r="P397" i="52"/>
  <c r="P398" i="52"/>
  <c r="P399" i="52"/>
  <c r="P400" i="52"/>
  <c r="P401" i="52"/>
  <c r="P402" i="52"/>
  <c r="P403" i="52"/>
  <c r="P404" i="52"/>
  <c r="P405" i="52"/>
  <c r="P406" i="52"/>
  <c r="P407" i="52"/>
  <c r="P408" i="52"/>
  <c r="P409" i="52"/>
  <c r="P410" i="52"/>
  <c r="P411" i="52"/>
  <c r="P412" i="52"/>
  <c r="P413" i="52"/>
  <c r="P414" i="52"/>
  <c r="P415" i="52"/>
  <c r="P416" i="52"/>
  <c r="P417" i="52"/>
  <c r="P418" i="52"/>
  <c r="P419" i="52"/>
  <c r="P420" i="52"/>
  <c r="P421" i="52"/>
  <c r="P422" i="52"/>
  <c r="P423" i="52"/>
  <c r="P424" i="52"/>
  <c r="P425" i="52"/>
  <c r="P426" i="52"/>
  <c r="P427" i="52"/>
  <c r="P428" i="52"/>
  <c r="P429" i="52"/>
  <c r="P430" i="52"/>
  <c r="P431" i="52"/>
  <c r="P432" i="52"/>
  <c r="P433" i="52"/>
  <c r="P434" i="52"/>
  <c r="P435" i="52"/>
  <c r="P436" i="52"/>
  <c r="P437" i="52"/>
  <c r="P438" i="52"/>
  <c r="P439" i="52"/>
  <c r="P440" i="52"/>
  <c r="P441" i="52"/>
  <c r="P442" i="52"/>
  <c r="P443" i="52"/>
  <c r="P444" i="52"/>
  <c r="P445" i="52"/>
  <c r="P446" i="52"/>
  <c r="P447" i="52"/>
  <c r="P448" i="52"/>
  <c r="P449" i="52"/>
  <c r="P450" i="52"/>
  <c r="P451" i="52"/>
  <c r="P452" i="52"/>
  <c r="P453" i="52"/>
  <c r="P454" i="52"/>
  <c r="P455" i="52"/>
  <c r="P456" i="52"/>
  <c r="P457" i="52"/>
  <c r="P458" i="52"/>
  <c r="P459" i="52"/>
  <c r="P460" i="52"/>
  <c r="P461" i="52"/>
  <c r="P462" i="52"/>
  <c r="P463" i="52"/>
  <c r="P464" i="52"/>
  <c r="P465" i="52"/>
  <c r="P466" i="52"/>
  <c r="P467" i="52"/>
  <c r="P468" i="52"/>
  <c r="P469" i="52"/>
  <c r="P470" i="52"/>
  <c r="P471" i="52"/>
  <c r="P472" i="52"/>
  <c r="P473" i="52"/>
  <c r="P474" i="52"/>
  <c r="P475" i="52"/>
  <c r="P476" i="52"/>
  <c r="P477" i="52"/>
  <c r="P478" i="52"/>
  <c r="P479" i="52"/>
  <c r="P480" i="52"/>
  <c r="P481" i="52"/>
  <c r="P482" i="52"/>
  <c r="P483" i="52"/>
  <c r="P484" i="52"/>
  <c r="P485" i="52"/>
  <c r="P486" i="52"/>
  <c r="P487" i="52"/>
  <c r="P488" i="52"/>
  <c r="P489" i="52"/>
  <c r="P490" i="52"/>
  <c r="P491" i="52"/>
  <c r="P492" i="52"/>
  <c r="P493" i="52"/>
  <c r="P494" i="52"/>
  <c r="P495" i="52"/>
  <c r="P496" i="52"/>
  <c r="P497" i="52"/>
  <c r="P498" i="52"/>
  <c r="P499" i="52"/>
  <c r="P500" i="52"/>
  <c r="P501" i="52"/>
  <c r="P502" i="52"/>
  <c r="P503" i="52"/>
  <c r="P504" i="52"/>
  <c r="P505" i="52"/>
  <c r="P506" i="52"/>
  <c r="P507" i="52"/>
  <c r="P508" i="52"/>
  <c r="P509" i="52"/>
  <c r="P510" i="52"/>
  <c r="P511" i="52"/>
  <c r="P512" i="52"/>
  <c r="P513" i="52"/>
  <c r="P514" i="52"/>
  <c r="P515" i="52"/>
  <c r="P516" i="52"/>
  <c r="P517" i="52"/>
  <c r="P518" i="52"/>
  <c r="P519" i="52"/>
  <c r="P520" i="52"/>
  <c r="P521" i="52"/>
  <c r="P522" i="52"/>
  <c r="P523" i="52"/>
  <c r="P524" i="52"/>
  <c r="P525" i="52"/>
  <c r="P526" i="52"/>
  <c r="P527" i="52"/>
  <c r="P528" i="52"/>
  <c r="P529" i="52"/>
  <c r="P530" i="52"/>
  <c r="P531" i="52"/>
  <c r="P532" i="52"/>
  <c r="P533" i="52"/>
  <c r="P534" i="52"/>
  <c r="P535" i="52"/>
  <c r="P536" i="52"/>
  <c r="P537" i="52"/>
  <c r="P538" i="52"/>
  <c r="P539" i="52"/>
  <c r="P540" i="52"/>
  <c r="P541" i="52"/>
  <c r="P542" i="52"/>
  <c r="P543" i="52"/>
  <c r="P544" i="52"/>
  <c r="P545" i="52"/>
  <c r="P546" i="52"/>
  <c r="P547" i="52"/>
  <c r="P548" i="52"/>
  <c r="P549" i="52"/>
  <c r="P550" i="52"/>
  <c r="P551" i="52"/>
  <c r="P552" i="52"/>
  <c r="P553" i="52"/>
  <c r="P554" i="52"/>
  <c r="P555" i="52"/>
  <c r="P556" i="52"/>
  <c r="P557" i="52"/>
  <c r="P558" i="52"/>
  <c r="P559" i="52"/>
  <c r="P560" i="52"/>
  <c r="P561" i="52"/>
  <c r="P562" i="52"/>
  <c r="P563" i="52"/>
  <c r="P564" i="52"/>
  <c r="P565" i="52"/>
  <c r="P566" i="52"/>
  <c r="P567" i="52"/>
  <c r="P568" i="52"/>
  <c r="P569" i="52"/>
  <c r="P570" i="52"/>
  <c r="P571" i="52"/>
  <c r="P572" i="52"/>
  <c r="P573" i="52"/>
  <c r="P574" i="52"/>
  <c r="P575" i="52"/>
  <c r="P576" i="52"/>
  <c r="P577" i="52"/>
  <c r="P578" i="52"/>
  <c r="P579" i="52"/>
  <c r="P580" i="52"/>
  <c r="P581" i="52"/>
  <c r="P582" i="52"/>
  <c r="P583" i="52"/>
  <c r="P584" i="52"/>
  <c r="P585" i="52"/>
  <c r="P586" i="52"/>
  <c r="P587" i="52"/>
  <c r="P588" i="52"/>
  <c r="P589" i="52"/>
  <c r="P590" i="52"/>
  <c r="P591" i="52"/>
  <c r="P592" i="52"/>
  <c r="P593" i="52"/>
  <c r="P594" i="52"/>
  <c r="P595" i="52"/>
  <c r="P596" i="52"/>
  <c r="P597" i="52"/>
  <c r="P598" i="52"/>
  <c r="P599" i="52"/>
  <c r="P600" i="52"/>
  <c r="P601" i="52"/>
  <c r="P602" i="52"/>
  <c r="P603" i="52"/>
  <c r="P604" i="52"/>
  <c r="P605" i="52"/>
  <c r="P606" i="52"/>
  <c r="P607" i="52"/>
  <c r="P608" i="52"/>
  <c r="P609" i="52"/>
  <c r="P610" i="52"/>
  <c r="P611" i="52"/>
  <c r="P612" i="52"/>
  <c r="P613" i="52"/>
  <c r="P614" i="52"/>
  <c r="P615" i="52"/>
  <c r="P616" i="52"/>
  <c r="P617" i="52"/>
  <c r="P618" i="52"/>
  <c r="P619" i="52"/>
  <c r="P620" i="52"/>
  <c r="P621" i="52"/>
  <c r="P622" i="52"/>
  <c r="P623" i="52"/>
  <c r="P624" i="52"/>
  <c r="P625" i="52"/>
  <c r="P626" i="52"/>
  <c r="P627" i="52"/>
  <c r="P628" i="52"/>
  <c r="P629" i="52"/>
  <c r="P630" i="52"/>
  <c r="P631" i="52"/>
  <c r="P632" i="52"/>
  <c r="P633" i="52"/>
  <c r="P634" i="52"/>
  <c r="P635" i="52"/>
  <c r="P636" i="52"/>
  <c r="P637" i="52"/>
  <c r="P638" i="52"/>
  <c r="P639" i="52"/>
  <c r="P640" i="52"/>
  <c r="P641" i="52"/>
  <c r="P642" i="52"/>
  <c r="P643" i="52"/>
  <c r="P644" i="52"/>
  <c r="P645" i="52"/>
  <c r="P646" i="52"/>
  <c r="P647" i="52"/>
  <c r="P648" i="52"/>
  <c r="P649" i="52"/>
  <c r="P650" i="52"/>
  <c r="P651" i="52"/>
  <c r="P652" i="52"/>
  <c r="P653" i="52"/>
  <c r="P654" i="52"/>
  <c r="P655" i="52"/>
  <c r="P656" i="52"/>
  <c r="P657" i="52"/>
  <c r="P658" i="52"/>
  <c r="P659" i="52"/>
  <c r="P660" i="52"/>
  <c r="P661" i="52"/>
  <c r="P662" i="52"/>
  <c r="P663" i="52"/>
  <c r="P664" i="52"/>
  <c r="P665" i="52"/>
  <c r="P666" i="52"/>
  <c r="P667" i="52"/>
  <c r="P668" i="52"/>
  <c r="P669" i="52"/>
  <c r="P670" i="52"/>
  <c r="P671" i="52"/>
  <c r="P672" i="52"/>
  <c r="P673" i="52"/>
  <c r="P674" i="52"/>
  <c r="P675" i="52"/>
  <c r="P676" i="52"/>
  <c r="P677" i="52"/>
  <c r="P678" i="52"/>
  <c r="P679" i="52"/>
  <c r="P680" i="52"/>
  <c r="P681" i="52"/>
  <c r="P682" i="52"/>
  <c r="P683" i="52"/>
  <c r="P684" i="52"/>
  <c r="P685" i="52"/>
  <c r="P686" i="52"/>
  <c r="P687" i="52"/>
  <c r="P688" i="52"/>
  <c r="P689" i="52"/>
  <c r="P690" i="52"/>
  <c r="P691" i="52"/>
  <c r="P692" i="52"/>
  <c r="P693" i="52"/>
  <c r="P694" i="52"/>
  <c r="P695" i="52"/>
  <c r="P696" i="52"/>
  <c r="P697" i="52"/>
  <c r="P698" i="52"/>
  <c r="P699" i="52"/>
  <c r="P700" i="52"/>
  <c r="P701" i="52"/>
  <c r="P702" i="52"/>
  <c r="P703" i="52"/>
  <c r="P704" i="52"/>
  <c r="P705" i="52"/>
  <c r="P706" i="52"/>
  <c r="P707" i="52"/>
  <c r="P708" i="52"/>
  <c r="P709" i="52"/>
  <c r="P710" i="52"/>
  <c r="P711" i="52"/>
  <c r="P712" i="52"/>
  <c r="P713" i="52"/>
  <c r="P714" i="52"/>
  <c r="P715" i="52"/>
  <c r="P716" i="52"/>
  <c r="P717" i="52"/>
  <c r="P718" i="52"/>
  <c r="P719" i="52"/>
  <c r="P720" i="52"/>
  <c r="P721" i="52"/>
  <c r="P722" i="52"/>
  <c r="P723" i="52"/>
  <c r="P724" i="52"/>
  <c r="P725" i="52"/>
  <c r="P726" i="52"/>
  <c r="P727" i="52"/>
  <c r="P728" i="52"/>
  <c r="P729" i="52"/>
  <c r="P730" i="52"/>
  <c r="P731" i="52"/>
  <c r="P732" i="52"/>
  <c r="P733" i="52"/>
  <c r="P734" i="52"/>
  <c r="P735" i="52"/>
  <c r="P736" i="52"/>
  <c r="P737" i="52"/>
  <c r="P738" i="52"/>
  <c r="P739" i="52"/>
  <c r="P740" i="52"/>
  <c r="P741" i="52"/>
  <c r="P742" i="52"/>
  <c r="P743" i="52"/>
  <c r="P744" i="52"/>
  <c r="P745" i="52"/>
  <c r="P746" i="52"/>
  <c r="P747" i="52"/>
  <c r="P748" i="52"/>
  <c r="P749" i="52"/>
  <c r="P750" i="52"/>
  <c r="P751" i="52"/>
  <c r="P752" i="52"/>
  <c r="P753" i="52"/>
  <c r="P754" i="52"/>
  <c r="P755" i="52"/>
  <c r="P756" i="52"/>
  <c r="P757" i="52"/>
  <c r="P758" i="52"/>
  <c r="P759" i="52"/>
  <c r="P760" i="52"/>
  <c r="P761" i="52"/>
  <c r="P762" i="52"/>
  <c r="P763" i="52"/>
  <c r="P764" i="52"/>
  <c r="P765" i="52"/>
  <c r="P766" i="52"/>
  <c r="P767" i="52"/>
  <c r="P768" i="52"/>
  <c r="P769" i="52"/>
  <c r="P770" i="52"/>
  <c r="P771" i="52"/>
  <c r="P772" i="52"/>
  <c r="P773" i="52"/>
  <c r="P774" i="52"/>
  <c r="P775" i="52"/>
  <c r="P776" i="52"/>
  <c r="P777" i="52"/>
  <c r="P778" i="52"/>
  <c r="P779" i="52"/>
  <c r="P780" i="52"/>
  <c r="P781" i="52"/>
  <c r="P782" i="52"/>
  <c r="P783" i="52"/>
  <c r="P784" i="52"/>
  <c r="P785" i="52"/>
  <c r="P786" i="52"/>
  <c r="P787" i="52"/>
  <c r="P788" i="52"/>
  <c r="P789" i="52"/>
  <c r="P790" i="52"/>
  <c r="P791" i="52"/>
  <c r="P792" i="52"/>
  <c r="P793" i="52"/>
  <c r="P794" i="52"/>
  <c r="P795" i="52"/>
  <c r="P796" i="52"/>
  <c r="P797" i="52"/>
  <c r="P798" i="52"/>
  <c r="P799" i="52"/>
  <c r="P800" i="52"/>
  <c r="P801" i="52"/>
  <c r="P802" i="52"/>
  <c r="P803" i="52"/>
  <c r="P804" i="52"/>
  <c r="P805" i="52"/>
  <c r="P806" i="52"/>
  <c r="P807" i="52"/>
  <c r="P808" i="52"/>
  <c r="P809" i="52"/>
  <c r="P810" i="52"/>
  <c r="P811" i="52"/>
  <c r="P812" i="52"/>
  <c r="P813" i="52"/>
  <c r="P814" i="52"/>
  <c r="P815" i="52"/>
  <c r="P816" i="52"/>
  <c r="P817" i="52"/>
  <c r="P818" i="52"/>
  <c r="P819" i="52"/>
  <c r="P820" i="52"/>
  <c r="P821" i="52"/>
  <c r="P822" i="52"/>
  <c r="P823" i="52"/>
  <c r="P824" i="52"/>
  <c r="P825" i="52"/>
  <c r="P826" i="52"/>
  <c r="P827" i="52"/>
  <c r="P828" i="52"/>
  <c r="P829" i="52"/>
  <c r="P830" i="52"/>
  <c r="P831" i="52"/>
  <c r="P832" i="52"/>
  <c r="P833" i="52"/>
  <c r="P834" i="52"/>
  <c r="P835" i="52"/>
  <c r="P836" i="52"/>
  <c r="P837" i="52"/>
  <c r="P838" i="52"/>
  <c r="P839" i="52"/>
  <c r="P840" i="52"/>
  <c r="P841" i="52"/>
  <c r="P842" i="52"/>
  <c r="P843" i="52"/>
  <c r="P844" i="52"/>
  <c r="P845" i="52"/>
  <c r="P846" i="52"/>
  <c r="P847" i="52"/>
  <c r="P848" i="52"/>
  <c r="P849" i="52"/>
  <c r="P850" i="52"/>
  <c r="P851" i="52"/>
  <c r="P852" i="52"/>
  <c r="P853" i="52"/>
  <c r="P854" i="52"/>
  <c r="P855" i="52"/>
  <c r="P856" i="52"/>
  <c r="P857" i="52"/>
  <c r="P858" i="52"/>
  <c r="P859" i="52"/>
  <c r="P860" i="52"/>
  <c r="P861" i="52"/>
  <c r="P862" i="52"/>
  <c r="P863" i="52"/>
  <c r="P864" i="52"/>
  <c r="P865" i="52"/>
  <c r="P866" i="52"/>
  <c r="P867" i="52"/>
  <c r="P868" i="52"/>
  <c r="P869" i="52"/>
  <c r="P870" i="52"/>
  <c r="P871" i="52"/>
  <c r="P872" i="52"/>
  <c r="P873" i="52"/>
  <c r="P874" i="52"/>
  <c r="P875" i="52"/>
  <c r="P876" i="52"/>
  <c r="P877" i="52"/>
  <c r="P878" i="52"/>
  <c r="P879" i="52"/>
  <c r="P880" i="52"/>
  <c r="P881" i="52"/>
  <c r="P882" i="52"/>
  <c r="P883" i="52"/>
  <c r="P884" i="52"/>
  <c r="P885" i="52"/>
  <c r="P886" i="52"/>
  <c r="P887" i="52"/>
  <c r="P888" i="52"/>
  <c r="P889" i="52"/>
  <c r="P890" i="52"/>
  <c r="P891" i="52"/>
  <c r="P892" i="52"/>
  <c r="P893" i="52"/>
  <c r="P894" i="52"/>
  <c r="P895" i="52"/>
  <c r="P896" i="52"/>
  <c r="P897" i="52"/>
  <c r="P898" i="52"/>
  <c r="P899" i="52"/>
  <c r="P900" i="52"/>
  <c r="P901" i="52"/>
  <c r="P902" i="52"/>
  <c r="P903" i="52"/>
  <c r="P904" i="52"/>
  <c r="P905" i="52"/>
  <c r="P906" i="52"/>
  <c r="P907" i="52"/>
  <c r="P908" i="52"/>
  <c r="P909" i="52"/>
  <c r="P910" i="52"/>
  <c r="P911" i="52"/>
  <c r="P912" i="52"/>
  <c r="P913" i="52"/>
  <c r="P914" i="52"/>
  <c r="P915" i="52"/>
  <c r="P916" i="52"/>
  <c r="P917" i="52"/>
  <c r="P918" i="52"/>
  <c r="P919" i="52"/>
  <c r="P920" i="52"/>
  <c r="P921" i="52"/>
  <c r="P922" i="52"/>
  <c r="P923" i="52"/>
  <c r="P924" i="52"/>
  <c r="P925" i="52"/>
  <c r="P926" i="52"/>
  <c r="P927" i="52"/>
  <c r="P928" i="52"/>
  <c r="P929" i="52"/>
  <c r="P930" i="52"/>
  <c r="P931" i="52"/>
  <c r="P932" i="52"/>
  <c r="P933" i="52"/>
  <c r="P934" i="52"/>
  <c r="P935" i="52"/>
  <c r="P936" i="52"/>
  <c r="P937" i="52"/>
  <c r="P938" i="52"/>
  <c r="P939" i="52"/>
  <c r="P940" i="52"/>
  <c r="P941" i="52"/>
  <c r="P942" i="52"/>
  <c r="P943" i="52"/>
  <c r="P944" i="52"/>
  <c r="P945" i="52"/>
  <c r="P946" i="52"/>
  <c r="P947" i="52"/>
  <c r="P948" i="52"/>
  <c r="P949" i="52"/>
  <c r="P950" i="52"/>
  <c r="P951" i="52"/>
  <c r="P952" i="52"/>
  <c r="P953" i="52"/>
  <c r="P954" i="52"/>
  <c r="P955" i="52"/>
  <c r="P956" i="52"/>
  <c r="P957" i="52"/>
  <c r="P958" i="52"/>
  <c r="P959" i="52"/>
  <c r="P960" i="52"/>
  <c r="P961" i="52"/>
  <c r="P962" i="52"/>
  <c r="P963" i="52"/>
  <c r="P964" i="52"/>
  <c r="P965" i="52"/>
  <c r="P966" i="52"/>
  <c r="P967" i="52"/>
  <c r="P968" i="52"/>
  <c r="P969" i="52"/>
  <c r="P970" i="52"/>
  <c r="P971" i="52"/>
  <c r="P972" i="52"/>
  <c r="P973" i="52"/>
  <c r="P974" i="52"/>
  <c r="P975" i="52"/>
  <c r="P976" i="52"/>
  <c r="P977" i="52"/>
  <c r="P978" i="52"/>
  <c r="P979" i="52"/>
  <c r="P980" i="52"/>
  <c r="P981" i="52"/>
  <c r="P982" i="52"/>
  <c r="P983" i="52"/>
  <c r="P984" i="52"/>
  <c r="P985" i="52"/>
  <c r="P986" i="52"/>
  <c r="P987" i="52"/>
  <c r="P988" i="52"/>
  <c r="P989" i="52"/>
  <c r="P990" i="52"/>
  <c r="P991" i="52"/>
  <c r="P992" i="52"/>
  <c r="P993" i="52"/>
  <c r="P994" i="52"/>
  <c r="P995" i="52"/>
  <c r="P996" i="52"/>
  <c r="P997" i="52"/>
  <c r="P998" i="52"/>
  <c r="P999" i="52"/>
  <c r="P1000" i="52"/>
  <c r="P1001" i="52"/>
  <c r="P1002" i="52"/>
  <c r="P1003" i="52"/>
  <c r="P1004" i="52"/>
  <c r="P1005" i="52"/>
  <c r="P1006" i="52"/>
  <c r="P1007" i="52"/>
  <c r="P1008" i="52"/>
  <c r="P1009" i="52"/>
  <c r="P1010" i="52"/>
  <c r="P1011" i="52"/>
  <c r="P1012" i="52"/>
  <c r="P1013" i="52"/>
  <c r="P1014" i="52"/>
  <c r="P1015" i="52"/>
  <c r="P1016" i="52"/>
  <c r="P1017" i="52"/>
  <c r="P1018" i="52"/>
  <c r="P1019" i="52"/>
  <c r="P1020" i="52"/>
  <c r="P1021" i="52"/>
  <c r="P1022" i="52"/>
  <c r="P1023" i="52"/>
  <c r="P1024" i="52"/>
  <c r="P1025" i="52"/>
  <c r="P1026" i="52"/>
  <c r="P1027" i="52"/>
  <c r="P1028" i="52"/>
  <c r="P1029" i="52"/>
  <c r="P1030" i="52"/>
  <c r="P1031" i="52"/>
  <c r="P1032" i="52"/>
  <c r="P1033" i="52"/>
  <c r="P1034" i="52"/>
  <c r="P1035" i="52"/>
  <c r="P1036" i="52"/>
  <c r="P1037" i="52"/>
  <c r="P1038" i="52"/>
  <c r="P1039" i="52"/>
  <c r="P1040" i="52"/>
  <c r="P1041" i="52"/>
  <c r="P1042" i="52"/>
  <c r="P1043" i="52"/>
  <c r="P1044" i="52"/>
  <c r="P1045" i="52"/>
  <c r="P1046" i="52"/>
  <c r="P1047" i="52"/>
  <c r="P1048" i="52"/>
  <c r="P1049" i="52"/>
  <c r="P1050" i="52"/>
  <c r="P1051" i="52"/>
  <c r="P1052" i="52"/>
  <c r="P1053" i="52"/>
  <c r="P1054" i="52"/>
  <c r="P1055" i="52"/>
  <c r="P1056" i="52"/>
  <c r="P1057" i="52"/>
  <c r="P1058" i="52"/>
  <c r="P1059" i="52"/>
  <c r="P1060" i="52"/>
  <c r="P1061" i="52"/>
  <c r="P1062" i="52"/>
  <c r="P1063" i="52"/>
  <c r="P1064" i="52"/>
  <c r="P1065" i="52"/>
  <c r="P1066" i="52"/>
  <c r="P1067" i="52"/>
  <c r="P1068" i="52"/>
  <c r="P1069" i="52"/>
  <c r="P1070" i="52"/>
  <c r="P1071" i="52"/>
  <c r="P1072" i="52"/>
  <c r="P1073" i="52"/>
  <c r="P1074" i="52"/>
  <c r="P1075" i="52"/>
  <c r="P1076" i="52"/>
  <c r="P1077" i="52"/>
  <c r="P1078" i="52"/>
  <c r="P1079" i="52"/>
  <c r="P1080" i="52"/>
  <c r="P1081" i="52"/>
  <c r="P1082" i="52"/>
  <c r="P1083" i="52"/>
  <c r="P1084" i="52"/>
  <c r="P1085" i="52"/>
  <c r="P1086" i="52"/>
  <c r="P1087" i="52"/>
  <c r="P1088" i="52"/>
  <c r="P1089" i="52"/>
  <c r="P1090" i="52"/>
  <c r="P1091" i="52"/>
  <c r="P1092" i="52"/>
  <c r="P1093" i="52"/>
  <c r="P1094" i="52"/>
  <c r="P1095" i="52"/>
  <c r="P1096" i="52"/>
  <c r="P1097" i="52"/>
  <c r="P1098" i="52"/>
  <c r="P1099" i="52"/>
  <c r="P1100" i="52"/>
  <c r="P1101" i="52"/>
  <c r="P1102" i="52"/>
  <c r="P1103" i="52"/>
  <c r="P1104" i="52"/>
  <c r="P1105" i="52"/>
  <c r="P1106" i="52"/>
  <c r="P1107" i="52"/>
  <c r="P1108" i="52"/>
  <c r="P1109" i="52"/>
  <c r="P1110" i="52"/>
  <c r="P1111" i="52"/>
  <c r="P1112" i="52"/>
  <c r="P1113" i="52"/>
  <c r="P1114" i="52"/>
  <c r="P1115" i="52"/>
  <c r="P1116" i="52"/>
  <c r="P1117" i="52"/>
  <c r="P1118" i="52"/>
  <c r="P1119" i="52"/>
  <c r="P1120" i="52"/>
  <c r="P1121" i="52"/>
  <c r="P1122" i="52"/>
  <c r="P1123" i="52"/>
  <c r="P1124" i="52"/>
  <c r="P1125" i="52"/>
  <c r="P1126" i="52"/>
  <c r="P1127" i="52"/>
  <c r="P1128" i="52"/>
  <c r="P1129" i="52"/>
  <c r="P1130" i="52"/>
  <c r="P1131" i="52"/>
  <c r="P1132" i="52"/>
  <c r="P1133" i="52"/>
  <c r="P1134" i="52"/>
  <c r="P1135" i="52"/>
  <c r="P1136" i="52"/>
  <c r="P1137" i="52"/>
  <c r="P1138" i="52"/>
  <c r="P1139" i="52"/>
  <c r="P1140" i="52"/>
  <c r="P1141" i="52"/>
  <c r="P1142" i="52"/>
  <c r="P1143" i="52"/>
  <c r="P1144" i="52"/>
  <c r="P1145" i="52"/>
  <c r="P1146" i="52"/>
  <c r="P1147" i="52"/>
  <c r="P1148" i="52"/>
  <c r="P1149" i="52"/>
  <c r="P1150" i="52"/>
  <c r="P1151" i="52"/>
  <c r="P1152" i="52"/>
  <c r="P1153" i="52"/>
  <c r="P1154" i="52"/>
  <c r="P1155" i="52"/>
  <c r="P1156" i="52"/>
  <c r="P1157" i="52"/>
  <c r="P1158" i="52"/>
  <c r="P1159" i="52"/>
  <c r="P1160" i="52"/>
  <c r="P1161" i="52"/>
  <c r="P1162" i="52"/>
  <c r="P1163" i="52"/>
  <c r="P1164" i="52"/>
  <c r="P1165" i="52"/>
  <c r="P1166" i="52"/>
  <c r="P1167" i="52"/>
  <c r="P1168" i="52"/>
  <c r="P1169" i="52"/>
  <c r="P1170" i="52"/>
  <c r="P1171" i="52"/>
  <c r="P1172" i="52"/>
  <c r="P1173" i="52"/>
  <c r="P1174" i="52"/>
  <c r="P1175" i="52"/>
  <c r="P1176" i="52"/>
  <c r="P1177" i="52"/>
  <c r="P1178" i="52"/>
  <c r="P1179" i="52"/>
  <c r="P1180" i="52"/>
  <c r="P1181" i="52"/>
  <c r="P1182" i="52"/>
  <c r="P1183" i="52"/>
  <c r="P1184" i="52"/>
  <c r="P1185" i="52"/>
  <c r="P1186" i="52"/>
  <c r="P1187" i="52"/>
  <c r="P1188" i="52"/>
  <c r="P1189" i="52"/>
  <c r="P1190" i="52"/>
  <c r="P1191" i="52"/>
  <c r="P1192" i="52"/>
  <c r="P1193" i="52"/>
  <c r="P1194" i="52"/>
  <c r="P1195" i="52"/>
  <c r="P1196" i="52"/>
  <c r="P1197" i="52"/>
  <c r="P1198" i="52"/>
  <c r="P1199" i="52"/>
  <c r="P1200" i="52"/>
  <c r="P1201" i="52"/>
  <c r="P1202" i="52"/>
  <c r="P1203" i="52"/>
  <c r="P1204" i="52"/>
  <c r="P1205" i="52"/>
  <c r="P1206" i="52"/>
  <c r="P1207" i="52"/>
  <c r="P1208" i="52"/>
  <c r="P1209" i="52"/>
  <c r="P1210" i="52"/>
  <c r="P1211" i="52"/>
  <c r="P1212" i="52"/>
  <c r="P1213" i="52"/>
  <c r="P1214" i="52"/>
  <c r="P1215" i="52"/>
  <c r="P1216" i="52"/>
  <c r="P1217" i="52"/>
  <c r="P1218" i="52"/>
  <c r="P1219" i="52"/>
  <c r="P1220" i="52"/>
  <c r="P1221" i="52"/>
  <c r="P1222" i="52"/>
  <c r="P1223" i="52"/>
  <c r="P1224" i="52"/>
  <c r="P1225" i="52"/>
  <c r="P1226" i="52"/>
  <c r="P1227" i="52"/>
  <c r="P1228" i="52"/>
  <c r="P1229" i="52"/>
  <c r="P1230" i="52"/>
  <c r="P1231" i="52"/>
  <c r="P1232" i="52"/>
  <c r="P1233" i="52"/>
  <c r="P1234" i="52"/>
  <c r="P1235" i="52"/>
  <c r="P1236" i="52"/>
  <c r="P1237" i="52"/>
  <c r="P1238" i="52"/>
  <c r="P1239" i="52"/>
  <c r="P1240" i="52"/>
  <c r="P1241" i="52"/>
  <c r="P1242" i="52"/>
  <c r="P1243" i="52"/>
  <c r="P1244" i="52"/>
  <c r="P1245" i="52"/>
  <c r="P1246" i="52"/>
  <c r="P1247" i="52"/>
  <c r="P1248" i="52"/>
  <c r="P1249" i="52"/>
  <c r="P1250" i="52"/>
  <c r="P1251" i="52"/>
  <c r="P1252" i="52"/>
  <c r="P1253" i="52"/>
  <c r="P1254" i="52"/>
  <c r="P1255" i="52"/>
  <c r="P1256" i="52"/>
  <c r="P1257" i="52"/>
  <c r="P1258" i="52"/>
  <c r="P1259" i="52"/>
  <c r="P1260" i="52"/>
  <c r="P1261" i="52"/>
  <c r="P1262" i="52"/>
  <c r="P1263" i="52"/>
  <c r="P1264" i="52"/>
  <c r="P1265" i="52"/>
  <c r="P1266" i="52"/>
  <c r="P1267" i="52"/>
  <c r="P1268" i="52"/>
  <c r="P1269" i="52"/>
  <c r="P1270" i="52"/>
  <c r="P1271" i="52"/>
  <c r="P1272" i="52"/>
  <c r="P1273" i="52"/>
  <c r="P1274" i="52"/>
  <c r="P1275" i="52"/>
  <c r="P1276" i="52"/>
  <c r="P1277" i="52"/>
  <c r="P1278" i="52"/>
  <c r="P1279" i="52"/>
  <c r="P1280" i="52"/>
  <c r="P1281" i="52"/>
  <c r="P1282" i="52"/>
  <c r="P1283" i="52"/>
  <c r="P1284" i="52"/>
  <c r="P1285" i="52"/>
  <c r="P1286" i="52"/>
  <c r="P1287" i="52"/>
  <c r="P1288" i="52"/>
  <c r="P1289" i="52"/>
  <c r="P1290" i="52"/>
  <c r="P1291" i="52"/>
  <c r="P1292" i="52"/>
  <c r="P1293" i="52"/>
  <c r="P1294" i="52"/>
  <c r="P1295" i="52"/>
  <c r="P1296" i="52"/>
  <c r="P1297" i="52"/>
  <c r="P1298" i="52"/>
  <c r="P1299" i="52"/>
  <c r="P1300" i="52"/>
  <c r="P1301" i="52"/>
  <c r="P1302" i="52"/>
  <c r="P1303" i="52"/>
  <c r="P1304" i="52"/>
  <c r="P1305" i="52"/>
  <c r="P1306" i="52"/>
  <c r="P1307" i="52"/>
  <c r="P1308" i="52"/>
  <c r="P1309" i="52"/>
  <c r="P1310" i="52"/>
  <c r="P1311" i="52"/>
  <c r="P1312" i="52"/>
  <c r="P1313" i="52"/>
  <c r="P1314" i="52"/>
  <c r="P1315" i="52"/>
  <c r="P1316" i="52"/>
  <c r="P1317" i="52"/>
  <c r="P1318" i="52"/>
  <c r="P1319" i="52"/>
  <c r="P1320" i="52"/>
  <c r="P1321" i="52"/>
  <c r="P1322" i="52"/>
  <c r="P1323" i="52"/>
  <c r="P1324" i="52"/>
  <c r="P1325" i="52"/>
  <c r="P1326" i="52"/>
  <c r="P1327" i="52"/>
  <c r="P1328" i="52"/>
  <c r="P1329" i="52"/>
  <c r="P1330" i="52"/>
  <c r="P1331" i="52"/>
  <c r="P1332" i="52"/>
  <c r="P1333" i="52"/>
  <c r="P1334" i="52"/>
  <c r="P1335" i="52"/>
  <c r="P1336" i="52"/>
  <c r="P1337" i="52"/>
  <c r="P1338" i="52"/>
  <c r="P1339" i="52"/>
  <c r="P1340" i="52"/>
  <c r="P1341" i="52"/>
  <c r="P1342" i="52"/>
  <c r="P1343" i="52"/>
  <c r="P1344" i="52"/>
  <c r="P1345" i="52"/>
  <c r="P1346" i="52"/>
  <c r="P1347" i="52"/>
  <c r="P1348" i="52"/>
  <c r="P1349" i="52"/>
  <c r="P1350" i="52"/>
  <c r="P1351" i="52"/>
  <c r="P1352" i="52"/>
  <c r="P1353" i="52"/>
  <c r="P1354" i="52"/>
  <c r="P1355" i="52"/>
  <c r="P1356" i="52"/>
  <c r="P1357" i="52"/>
  <c r="P1358" i="52"/>
  <c r="P1359" i="52"/>
  <c r="P1360" i="52"/>
  <c r="P1361" i="52"/>
  <c r="P1362" i="52"/>
  <c r="P1363" i="52"/>
  <c r="P1364" i="52"/>
  <c r="P1365" i="52"/>
  <c r="P1366" i="52"/>
  <c r="P1367" i="52"/>
  <c r="P1368" i="52"/>
  <c r="P1369" i="52"/>
  <c r="P1370" i="52"/>
  <c r="P1371" i="52"/>
  <c r="P1372" i="52"/>
  <c r="P1373" i="52"/>
  <c r="P1374" i="52"/>
  <c r="P1375" i="52"/>
  <c r="P1376" i="52"/>
  <c r="P1377" i="52"/>
  <c r="P1378" i="52"/>
  <c r="P1379" i="52"/>
  <c r="P1380" i="52"/>
  <c r="P1381" i="52"/>
  <c r="P1382" i="52"/>
  <c r="P1383" i="52"/>
  <c r="P1384" i="52"/>
  <c r="P1385" i="52"/>
  <c r="P1386" i="52"/>
  <c r="P1387" i="52"/>
  <c r="P1388" i="52"/>
  <c r="P1389" i="52"/>
  <c r="P1390" i="52"/>
  <c r="P1391" i="52"/>
  <c r="P1392" i="52"/>
  <c r="P1393" i="52"/>
  <c r="P1394" i="52"/>
  <c r="P1395" i="52"/>
  <c r="P1396" i="52"/>
  <c r="P1397" i="52"/>
  <c r="P1398" i="52"/>
  <c r="P1399" i="52"/>
  <c r="P1400" i="52"/>
  <c r="P1401" i="52"/>
  <c r="P1402" i="52"/>
  <c r="P1403" i="52"/>
  <c r="P1404" i="52"/>
  <c r="P1405" i="52"/>
  <c r="P1406" i="52"/>
  <c r="P1407" i="52"/>
  <c r="P1408" i="52"/>
  <c r="P1409" i="52"/>
  <c r="P1410" i="52"/>
  <c r="P1411" i="52"/>
  <c r="P1412" i="52"/>
  <c r="P1413" i="52"/>
  <c r="P1414" i="52"/>
  <c r="P1415" i="52"/>
  <c r="P1416" i="52"/>
  <c r="P1417" i="52"/>
  <c r="P1418" i="52"/>
  <c r="P1419" i="52"/>
  <c r="P1420" i="52"/>
  <c r="P1421" i="52"/>
  <c r="P1422" i="52"/>
  <c r="P1423" i="52"/>
  <c r="P1424" i="52"/>
  <c r="P1425" i="52"/>
  <c r="P1426" i="52"/>
  <c r="P1427" i="52"/>
  <c r="P1428" i="52"/>
  <c r="P1429" i="52"/>
  <c r="P1430" i="52"/>
  <c r="P1431" i="52"/>
  <c r="P1432" i="52"/>
  <c r="P1433" i="52"/>
  <c r="P1434" i="52"/>
  <c r="P1435" i="52"/>
  <c r="P1436" i="52"/>
  <c r="P1437" i="52"/>
  <c r="P1438" i="52"/>
  <c r="P1439" i="52"/>
  <c r="P1440" i="52"/>
  <c r="P1441" i="52"/>
  <c r="P1442" i="52"/>
  <c r="P1443" i="52"/>
  <c r="P1444" i="52"/>
  <c r="P1445" i="52"/>
  <c r="P1446" i="52"/>
  <c r="P1447" i="52"/>
  <c r="P1448" i="52"/>
  <c r="P1449" i="52"/>
  <c r="P1450" i="52"/>
  <c r="P1451" i="52"/>
  <c r="P1452" i="52"/>
  <c r="P1453" i="52"/>
  <c r="P1454" i="52"/>
  <c r="P1455" i="52"/>
  <c r="P1456" i="52"/>
  <c r="P1457" i="52"/>
  <c r="P1458" i="52"/>
  <c r="P1459" i="52"/>
  <c r="P1460" i="52"/>
  <c r="P1461" i="52"/>
  <c r="P1462" i="52"/>
  <c r="P1463" i="52"/>
  <c r="P1464" i="52"/>
  <c r="P1465" i="52"/>
  <c r="P1466" i="52"/>
  <c r="P1467" i="52"/>
  <c r="P1468" i="52"/>
  <c r="P1469" i="52"/>
  <c r="P1470" i="52"/>
  <c r="P1471" i="52"/>
  <c r="P1472" i="52"/>
  <c r="P1473" i="52"/>
  <c r="P1474" i="52"/>
  <c r="P1475" i="52"/>
  <c r="P1476" i="52"/>
  <c r="P1477" i="52"/>
  <c r="P1478" i="52"/>
  <c r="P1479" i="52"/>
  <c r="P1480" i="52"/>
  <c r="P1481" i="52"/>
  <c r="P1482" i="52"/>
  <c r="P1483" i="52"/>
  <c r="P1484" i="52"/>
  <c r="P1485" i="52"/>
  <c r="P1486" i="52"/>
  <c r="P1487" i="52"/>
  <c r="P1488" i="52"/>
  <c r="P1489" i="52"/>
  <c r="P1490" i="52"/>
  <c r="P1491" i="52"/>
  <c r="P1492" i="52"/>
  <c r="P1493" i="52"/>
  <c r="P1494" i="52"/>
  <c r="P1495" i="52"/>
  <c r="P1496" i="52"/>
  <c r="P1497" i="52"/>
  <c r="P1498" i="52"/>
  <c r="P1499" i="52"/>
  <c r="P1500" i="52"/>
  <c r="P1501" i="52"/>
  <c r="P1502" i="52"/>
  <c r="P1503" i="52"/>
  <c r="P1504" i="52"/>
  <c r="P1505" i="52"/>
  <c r="P1506" i="52"/>
  <c r="P1507" i="52"/>
  <c r="P1508" i="52"/>
  <c r="P1509" i="52"/>
  <c r="P1510" i="52"/>
  <c r="P1511" i="52"/>
  <c r="P1512" i="52"/>
  <c r="P1513" i="52"/>
  <c r="P1514" i="52"/>
  <c r="P1515" i="52"/>
  <c r="P1516" i="52"/>
  <c r="P1517" i="52"/>
  <c r="P1518" i="52"/>
  <c r="P1519" i="52"/>
  <c r="P1520" i="52"/>
  <c r="P1521" i="52"/>
  <c r="P1522" i="52"/>
  <c r="P1523" i="52"/>
  <c r="P1524" i="52"/>
  <c r="P1525" i="52"/>
  <c r="P1526" i="52"/>
  <c r="P1527" i="52"/>
  <c r="P1528" i="52"/>
  <c r="P1529" i="52"/>
  <c r="P1530" i="52"/>
  <c r="P1531" i="52"/>
  <c r="P1532" i="52"/>
  <c r="P1533" i="52"/>
  <c r="P1534" i="52"/>
  <c r="P1535" i="52"/>
  <c r="P1536" i="52"/>
  <c r="P1537" i="52"/>
  <c r="P1538" i="52"/>
  <c r="P1539" i="52"/>
  <c r="P1540" i="52"/>
  <c r="P1541" i="52"/>
  <c r="P1542" i="52"/>
  <c r="P1543" i="52"/>
  <c r="P1544" i="52"/>
  <c r="P1545" i="52"/>
  <c r="P1546" i="52"/>
  <c r="P1547" i="52"/>
  <c r="P1548" i="52"/>
  <c r="P1549" i="52"/>
  <c r="P1550" i="52"/>
  <c r="P1551" i="52"/>
  <c r="P1552" i="52"/>
  <c r="P1553" i="52"/>
  <c r="P1554" i="52"/>
  <c r="P1555" i="52"/>
  <c r="P1556" i="52"/>
  <c r="P1557" i="52"/>
  <c r="P1558" i="52"/>
  <c r="P1559" i="52"/>
  <c r="P1560" i="52"/>
  <c r="P1561" i="52"/>
  <c r="P1562" i="52"/>
  <c r="P1563" i="52"/>
  <c r="P1564" i="52"/>
  <c r="P1565" i="52"/>
  <c r="P1566" i="52"/>
  <c r="P1567" i="52"/>
  <c r="P1568" i="52"/>
  <c r="P1569" i="52"/>
  <c r="P1570" i="52"/>
  <c r="P1571" i="52"/>
  <c r="P1572" i="52"/>
  <c r="P1573" i="52"/>
  <c r="P1574" i="52"/>
  <c r="P1575" i="52"/>
  <c r="P1576" i="52"/>
  <c r="P1577" i="52"/>
  <c r="P1578" i="52"/>
  <c r="P1579" i="52"/>
  <c r="P1580" i="52"/>
  <c r="P1581" i="52"/>
  <c r="P1582" i="52"/>
  <c r="P1583" i="52"/>
  <c r="P1584" i="52"/>
  <c r="P1585" i="52"/>
  <c r="P1586" i="52"/>
  <c r="P1587" i="52"/>
  <c r="P1588" i="52"/>
  <c r="P1589" i="52"/>
  <c r="P1590" i="52"/>
  <c r="P1591" i="52"/>
  <c r="P1592" i="52"/>
  <c r="P1593" i="52"/>
  <c r="P1594" i="52"/>
  <c r="P1595" i="52"/>
  <c r="P1596" i="52"/>
  <c r="P1597" i="52"/>
  <c r="P1598" i="52"/>
  <c r="P1599" i="52"/>
  <c r="P1600" i="52"/>
  <c r="P1601" i="52"/>
  <c r="P1602" i="52"/>
  <c r="P1603" i="52"/>
  <c r="P1604" i="52"/>
  <c r="P1605" i="52"/>
  <c r="P1606" i="52"/>
  <c r="P1607" i="52"/>
  <c r="P1608" i="52"/>
  <c r="P1609" i="52"/>
  <c r="P1610" i="52"/>
  <c r="P1611" i="52"/>
  <c r="P1612" i="52"/>
  <c r="P1613" i="52"/>
  <c r="P1614" i="52"/>
  <c r="P1615" i="52"/>
  <c r="P1616" i="52"/>
  <c r="P1617" i="52"/>
  <c r="P1618" i="52"/>
  <c r="P1619" i="52"/>
  <c r="P1620" i="52"/>
  <c r="P1621" i="52"/>
  <c r="P1622" i="52"/>
  <c r="P1623" i="52"/>
  <c r="P1624" i="52"/>
  <c r="P1625" i="52"/>
  <c r="P1626" i="52"/>
  <c r="P1627" i="52"/>
  <c r="P1628" i="52"/>
  <c r="P1629" i="52"/>
  <c r="P1630" i="52"/>
  <c r="P1631" i="52"/>
  <c r="P1632" i="52"/>
  <c r="P1633" i="52"/>
  <c r="P1634" i="52"/>
  <c r="P1635" i="52"/>
  <c r="P1636" i="52"/>
  <c r="P1637" i="52"/>
  <c r="P1638" i="52"/>
  <c r="P1639" i="52"/>
  <c r="P1640" i="52"/>
  <c r="P1641" i="52"/>
  <c r="P1642" i="52"/>
  <c r="P1643" i="52"/>
  <c r="P1644" i="52"/>
  <c r="P1645" i="52"/>
  <c r="P1646" i="52"/>
  <c r="P1647" i="52"/>
  <c r="P1648" i="52"/>
  <c r="P1649" i="52"/>
  <c r="P1650" i="52"/>
  <c r="P1651" i="52"/>
  <c r="P1652" i="52"/>
  <c r="P1653" i="52"/>
  <c r="P1654" i="52"/>
  <c r="P1655" i="52"/>
  <c r="P1656" i="52"/>
  <c r="P1657" i="52"/>
  <c r="P1658" i="52"/>
  <c r="P1659" i="52"/>
  <c r="P1660" i="52"/>
  <c r="P1661" i="52"/>
  <c r="P1662" i="52"/>
  <c r="P1663" i="52"/>
  <c r="P1664" i="52"/>
  <c r="P1665" i="52"/>
  <c r="P1666" i="52"/>
  <c r="P1667" i="52"/>
  <c r="P1668" i="52"/>
  <c r="P1669" i="52"/>
  <c r="P1670" i="52"/>
  <c r="P1671" i="52"/>
  <c r="P1672" i="52"/>
  <c r="P1673" i="52"/>
  <c r="P1674" i="52"/>
  <c r="P1675" i="52"/>
  <c r="P1676" i="52"/>
  <c r="P1677" i="52"/>
  <c r="P1678" i="52"/>
  <c r="P1679" i="52"/>
  <c r="P1680" i="52"/>
  <c r="P1681" i="52"/>
  <c r="P1682" i="52"/>
  <c r="P1683" i="52"/>
  <c r="P1684" i="52"/>
  <c r="P1685" i="52"/>
  <c r="P1686" i="52"/>
  <c r="P1687" i="52"/>
  <c r="P1688" i="52"/>
  <c r="P1689" i="52"/>
  <c r="P1690" i="52"/>
  <c r="P1691" i="52"/>
  <c r="P1692" i="52"/>
  <c r="P1693" i="52"/>
  <c r="P1694" i="52"/>
  <c r="P1695" i="52"/>
  <c r="P1696" i="52"/>
  <c r="P1697" i="52"/>
  <c r="P1698" i="52"/>
  <c r="P1699" i="52"/>
  <c r="P1700" i="52"/>
  <c r="P1701" i="52"/>
  <c r="P1702" i="52"/>
  <c r="P1703" i="52"/>
  <c r="P1704" i="52"/>
  <c r="P1705" i="52"/>
  <c r="P1706" i="52"/>
  <c r="P1707" i="52"/>
  <c r="P1708" i="52"/>
  <c r="P1709" i="52"/>
  <c r="P1710" i="52"/>
  <c r="P1711" i="52"/>
  <c r="P1712" i="52"/>
  <c r="P1713" i="52"/>
  <c r="P1714" i="52"/>
  <c r="P1715" i="52"/>
  <c r="P1716" i="52"/>
  <c r="P1717" i="52"/>
  <c r="P1718" i="52"/>
  <c r="P1719" i="52"/>
  <c r="P1720" i="52"/>
  <c r="P1721" i="52"/>
  <c r="P1722" i="52"/>
  <c r="P1723" i="52"/>
  <c r="P1724" i="52"/>
  <c r="P1725" i="52"/>
  <c r="P1726" i="52"/>
  <c r="P1727" i="52"/>
  <c r="P1728" i="52"/>
  <c r="P1729" i="52"/>
  <c r="P1730" i="52"/>
  <c r="P1731" i="52"/>
  <c r="P1732" i="52"/>
  <c r="P1733" i="52"/>
  <c r="P1734" i="52"/>
  <c r="P1735" i="52"/>
  <c r="P1736" i="52"/>
  <c r="P1737" i="52"/>
  <c r="P1738" i="52"/>
  <c r="P1739" i="52"/>
  <c r="P1740" i="52"/>
  <c r="P1741" i="52"/>
  <c r="P1742" i="52"/>
  <c r="P1743" i="52"/>
  <c r="P1744" i="52"/>
  <c r="P1745" i="52"/>
  <c r="P1746" i="52"/>
  <c r="P1747" i="52"/>
  <c r="P1748" i="52"/>
  <c r="P1749" i="52"/>
  <c r="P1750" i="52"/>
  <c r="P1751" i="52"/>
  <c r="P1752" i="52"/>
  <c r="P1753" i="52"/>
  <c r="P1754" i="52"/>
  <c r="P1755" i="52"/>
  <c r="P1756" i="52"/>
  <c r="P1757" i="52"/>
  <c r="P1758" i="52"/>
  <c r="P1759" i="52"/>
  <c r="P1760" i="52"/>
  <c r="P1761" i="52"/>
  <c r="P1762" i="52"/>
  <c r="P1763" i="52"/>
  <c r="P1764" i="52"/>
  <c r="P1765" i="52"/>
  <c r="P1766" i="52"/>
  <c r="P1767" i="52"/>
  <c r="P1768" i="52"/>
  <c r="P1769" i="52"/>
  <c r="P1770" i="52"/>
  <c r="P1771" i="52"/>
  <c r="P1772" i="52"/>
  <c r="P1773" i="52"/>
  <c r="P1774" i="52"/>
  <c r="P1775" i="52"/>
  <c r="P1776" i="52"/>
  <c r="P1777" i="52"/>
  <c r="P1778" i="52"/>
  <c r="P1779" i="52"/>
  <c r="P1780" i="52"/>
  <c r="P1781" i="52"/>
  <c r="P1782" i="52"/>
  <c r="P1783" i="52"/>
  <c r="P1784" i="52"/>
  <c r="P1785" i="52"/>
  <c r="P1786" i="52"/>
  <c r="P1787" i="52"/>
  <c r="P1788" i="52"/>
  <c r="P1789" i="52"/>
  <c r="P1790" i="52"/>
  <c r="P1791" i="52"/>
  <c r="P1792" i="52"/>
  <c r="P1793" i="52"/>
  <c r="P1794" i="52"/>
  <c r="P1795" i="52"/>
  <c r="P1796" i="52"/>
  <c r="P1797" i="52"/>
  <c r="P1798" i="52"/>
  <c r="P1799" i="52"/>
  <c r="P1800" i="52"/>
  <c r="P1801" i="52"/>
  <c r="P1802" i="52"/>
  <c r="P1803" i="52"/>
  <c r="P1804" i="52"/>
  <c r="P1805" i="52"/>
  <c r="P1806" i="52"/>
  <c r="P1807" i="52"/>
  <c r="P1808" i="52"/>
  <c r="P1809" i="52"/>
  <c r="P1810" i="52"/>
  <c r="P1811" i="52"/>
  <c r="P1812" i="52"/>
  <c r="P1813" i="52"/>
  <c r="P1814" i="52"/>
  <c r="P1815" i="52"/>
  <c r="P1816" i="52"/>
  <c r="P1817" i="52"/>
  <c r="P1818" i="52"/>
  <c r="P1819" i="52"/>
  <c r="P1820" i="52"/>
  <c r="P1821" i="52"/>
  <c r="P1822" i="52"/>
  <c r="P1823" i="52"/>
  <c r="P1824" i="52"/>
  <c r="P1825" i="52"/>
  <c r="P1826" i="52"/>
  <c r="P1827" i="52"/>
  <c r="P1828" i="52"/>
  <c r="P1829" i="52"/>
  <c r="P1830" i="52"/>
  <c r="P1831" i="52"/>
  <c r="P1832" i="52"/>
  <c r="P1833" i="52"/>
  <c r="P1834" i="52"/>
  <c r="P1835" i="52"/>
  <c r="P1836" i="52"/>
  <c r="P1837" i="52"/>
  <c r="P1838" i="52"/>
  <c r="P1839" i="52"/>
  <c r="P1840" i="52"/>
  <c r="P1841" i="52"/>
  <c r="P1842" i="52"/>
  <c r="P1843" i="52"/>
  <c r="P1844" i="52"/>
  <c r="P1845" i="52"/>
  <c r="P1846" i="52"/>
  <c r="P1847" i="52"/>
  <c r="P1848" i="52"/>
  <c r="P1849" i="52"/>
  <c r="P1850" i="52"/>
  <c r="P1851" i="52"/>
  <c r="P1852" i="52"/>
  <c r="P1853" i="52"/>
  <c r="P1854" i="52"/>
  <c r="P1855" i="52"/>
  <c r="P1856" i="52"/>
  <c r="P1857" i="52"/>
  <c r="P1858" i="52"/>
  <c r="P1859" i="52"/>
  <c r="P1860" i="52"/>
  <c r="P1861" i="52"/>
  <c r="P1862" i="52"/>
  <c r="P1863" i="52"/>
  <c r="P1864" i="52"/>
  <c r="P1865" i="52"/>
  <c r="P1866" i="52"/>
  <c r="P1867" i="52"/>
  <c r="P1868" i="52"/>
  <c r="P1869" i="52"/>
  <c r="P1870" i="52"/>
  <c r="P1871" i="52"/>
  <c r="P1872" i="52"/>
  <c r="P1873" i="52"/>
  <c r="P1874" i="52"/>
  <c r="P1875" i="52"/>
  <c r="P1876" i="52"/>
  <c r="P1877" i="52"/>
  <c r="P1878" i="52"/>
  <c r="P1879" i="52"/>
  <c r="P1880" i="52"/>
  <c r="P1881" i="52"/>
  <c r="P1882" i="52"/>
  <c r="P1883" i="52"/>
  <c r="P1884" i="52"/>
  <c r="P1885" i="52"/>
  <c r="P1886" i="52"/>
  <c r="P1887" i="52"/>
  <c r="P1888" i="52"/>
  <c r="P1889" i="52"/>
  <c r="P1890" i="52"/>
  <c r="P1891" i="52"/>
  <c r="P1892" i="52"/>
  <c r="P1893" i="52"/>
  <c r="P1894" i="52"/>
  <c r="P1895" i="52"/>
  <c r="P1896" i="52"/>
  <c r="P1897" i="52"/>
  <c r="P1898" i="52"/>
  <c r="P1899" i="52"/>
  <c r="P1900" i="52"/>
  <c r="P1901" i="52"/>
  <c r="P1902" i="52"/>
  <c r="P1903" i="52"/>
  <c r="P1904" i="52"/>
  <c r="P1905" i="52"/>
  <c r="P1906" i="52"/>
  <c r="P1907" i="52"/>
  <c r="P1908" i="52"/>
  <c r="P1909" i="52"/>
  <c r="P1910" i="52"/>
  <c r="P1911" i="52"/>
  <c r="P1912" i="52"/>
  <c r="P1913" i="52"/>
  <c r="P1914" i="52"/>
  <c r="P1915" i="52"/>
  <c r="P1916" i="52"/>
  <c r="P1917" i="52"/>
  <c r="P1918" i="52"/>
  <c r="P1919" i="52"/>
  <c r="P1920" i="52"/>
  <c r="P1921" i="52"/>
  <c r="P1922" i="52"/>
  <c r="P1923" i="52"/>
  <c r="P1924" i="52"/>
  <c r="P1925" i="52"/>
  <c r="P1926" i="52"/>
  <c r="P1927" i="52"/>
  <c r="P1928" i="52"/>
  <c r="P1929" i="52"/>
  <c r="P1930" i="52"/>
  <c r="P1931" i="52"/>
  <c r="P1932" i="52"/>
  <c r="P1933" i="52"/>
  <c r="P1934" i="52"/>
  <c r="P1935" i="52"/>
  <c r="P1936" i="52"/>
  <c r="P1937" i="52"/>
  <c r="P1938" i="52"/>
  <c r="P1939" i="52"/>
  <c r="P1940" i="52"/>
  <c r="P1941" i="52"/>
  <c r="P1942" i="52"/>
  <c r="P1943" i="52"/>
  <c r="P1944" i="52"/>
  <c r="P1945" i="52"/>
  <c r="P1946" i="52"/>
  <c r="P1947" i="52"/>
  <c r="P1948" i="52"/>
  <c r="P1949" i="52"/>
  <c r="P1950" i="52"/>
  <c r="P1951" i="52"/>
  <c r="P1952" i="52"/>
  <c r="P1953" i="52"/>
  <c r="P1954" i="52"/>
  <c r="P1955" i="52"/>
  <c r="P1956" i="52"/>
  <c r="P1957" i="52"/>
  <c r="P1958" i="52"/>
  <c r="P1959" i="52"/>
  <c r="P1960" i="52"/>
  <c r="P1961" i="52"/>
  <c r="P1962" i="52"/>
  <c r="P1963" i="52"/>
  <c r="P1964" i="52"/>
  <c r="P1965" i="52"/>
  <c r="P1966" i="52"/>
  <c r="P1967" i="52"/>
  <c r="P1968" i="52"/>
  <c r="P1969" i="52"/>
  <c r="P1970" i="52"/>
  <c r="P1971" i="52"/>
  <c r="P1972" i="52"/>
  <c r="P1973" i="52"/>
  <c r="P1974" i="52"/>
  <c r="P1975" i="52"/>
  <c r="P1976" i="52"/>
  <c r="P1977" i="52"/>
  <c r="P1978" i="52"/>
  <c r="P1979" i="52"/>
  <c r="P1980" i="52"/>
  <c r="P1981" i="52"/>
  <c r="P1982" i="52"/>
  <c r="P1983" i="52"/>
  <c r="P1984" i="52"/>
  <c r="P1985" i="52"/>
  <c r="P1986" i="52"/>
  <c r="P1987" i="52"/>
  <c r="P1988" i="52"/>
  <c r="P1989" i="52"/>
  <c r="P1990" i="52"/>
  <c r="P1991" i="52"/>
  <c r="P1992" i="52"/>
  <c r="P1993" i="52"/>
  <c r="P1994" i="52"/>
  <c r="P1995" i="52"/>
  <c r="P1996" i="52"/>
  <c r="P1997" i="52"/>
  <c r="P1998" i="52"/>
  <c r="P1999" i="52"/>
  <c r="P2000" i="52"/>
  <c r="P2001" i="52"/>
  <c r="P2002" i="52"/>
  <c r="P2003" i="52"/>
  <c r="P2004" i="52"/>
  <c r="P2005" i="52"/>
  <c r="P2006" i="52"/>
  <c r="P2007" i="52"/>
  <c r="P2008" i="52"/>
  <c r="P2009" i="52"/>
  <c r="P2010" i="52"/>
  <c r="P2011" i="52"/>
  <c r="P2012" i="52"/>
  <c r="P2013" i="52"/>
  <c r="P2014" i="52"/>
  <c r="P2015" i="52"/>
  <c r="P2016" i="52"/>
  <c r="P2017" i="52"/>
  <c r="P2018" i="52"/>
  <c r="P2019" i="52"/>
  <c r="P2020" i="52"/>
  <c r="P2021" i="52"/>
  <c r="P2022" i="52"/>
  <c r="P2023" i="52"/>
  <c r="P2024" i="52"/>
  <c r="P2025" i="52"/>
  <c r="P2026" i="52"/>
  <c r="P2027" i="52"/>
  <c r="P2028" i="52"/>
  <c r="P2029" i="52"/>
  <c r="P2030" i="52"/>
  <c r="P2031" i="52"/>
  <c r="P2032" i="52"/>
  <c r="P2033" i="52"/>
  <c r="P2034" i="52"/>
  <c r="P2035" i="52"/>
  <c r="P2036" i="52"/>
  <c r="P2037" i="52"/>
  <c r="P2038" i="52"/>
  <c r="P2039" i="52"/>
  <c r="P2040" i="52"/>
  <c r="P2041" i="52"/>
  <c r="P2042" i="52"/>
  <c r="P2043" i="52"/>
  <c r="P2044" i="52"/>
  <c r="P2045" i="52"/>
  <c r="P2046" i="52"/>
  <c r="P2047" i="52"/>
  <c r="P2048" i="52"/>
  <c r="P2049" i="52"/>
  <c r="P2050" i="52"/>
  <c r="P2051" i="52"/>
  <c r="P2052" i="52"/>
  <c r="P2053" i="52"/>
  <c r="P2054" i="52"/>
  <c r="P2055" i="52"/>
  <c r="P2056" i="52"/>
  <c r="P2057" i="52"/>
  <c r="P2058" i="52"/>
  <c r="P2059" i="52"/>
  <c r="P2060" i="52"/>
  <c r="P2061" i="52"/>
  <c r="P2062" i="52"/>
  <c r="P2063" i="52"/>
  <c r="P2064" i="52"/>
  <c r="P2065" i="52"/>
  <c r="P2066" i="52"/>
  <c r="P2067" i="52"/>
  <c r="P2068" i="52"/>
  <c r="P2069" i="52"/>
  <c r="P2070" i="52"/>
  <c r="P2071" i="52"/>
  <c r="P2072" i="52"/>
  <c r="P2073" i="52"/>
  <c r="P2074" i="52"/>
  <c r="P2075" i="52"/>
  <c r="P2076" i="52"/>
  <c r="P2077" i="52"/>
  <c r="P2078" i="52"/>
  <c r="P2079" i="52"/>
  <c r="P2080" i="52"/>
  <c r="P2081" i="52"/>
  <c r="P2082" i="52"/>
  <c r="P2083" i="52"/>
  <c r="P2084" i="52"/>
  <c r="P2085" i="52"/>
  <c r="P2086" i="52"/>
  <c r="P2087" i="52"/>
  <c r="P2088" i="52"/>
  <c r="P2089" i="52"/>
  <c r="P2090" i="52"/>
  <c r="P2091" i="52"/>
  <c r="P2092" i="52"/>
  <c r="P2093" i="52"/>
  <c r="P2094" i="52"/>
  <c r="P2095" i="52"/>
  <c r="P2096" i="52"/>
  <c r="P2097" i="52"/>
  <c r="P2098" i="52"/>
  <c r="P2099" i="52"/>
  <c r="P2100" i="52"/>
  <c r="P2101" i="52"/>
  <c r="P2102" i="52"/>
  <c r="P2103" i="52"/>
  <c r="P2104" i="52"/>
  <c r="P2105" i="52"/>
  <c r="P2106" i="52"/>
  <c r="P2107" i="52"/>
  <c r="P2108" i="52"/>
  <c r="P2109" i="52"/>
  <c r="P2110" i="52"/>
  <c r="P2111" i="52"/>
  <c r="P2112" i="52"/>
  <c r="P2113" i="52"/>
  <c r="P2114" i="52"/>
  <c r="P2115" i="52"/>
  <c r="P2116" i="52"/>
  <c r="P2117" i="52"/>
  <c r="P2118" i="52"/>
  <c r="P2119" i="52"/>
  <c r="P2120" i="52"/>
  <c r="P2121" i="52"/>
  <c r="P2122" i="52"/>
  <c r="P2123" i="52"/>
  <c r="P2124" i="52"/>
  <c r="P2125" i="52"/>
  <c r="P2126" i="52"/>
  <c r="P2127" i="52"/>
  <c r="P2128" i="52"/>
  <c r="P2129" i="52"/>
  <c r="P2130" i="52"/>
  <c r="P2131" i="52"/>
  <c r="P2132" i="52"/>
  <c r="P2133" i="52"/>
  <c r="P2134" i="52"/>
  <c r="P2135" i="52"/>
  <c r="P2136" i="52"/>
  <c r="P2137" i="52"/>
  <c r="P2138" i="52"/>
  <c r="P2139" i="52"/>
  <c r="P2140" i="52"/>
  <c r="P2141" i="52"/>
  <c r="P2142" i="52"/>
  <c r="P2143" i="52"/>
  <c r="P2144" i="52"/>
  <c r="P2145" i="52"/>
  <c r="P2146" i="52"/>
  <c r="P2147" i="52"/>
  <c r="P2148" i="52"/>
  <c r="P2149" i="52"/>
  <c r="P2150" i="52"/>
  <c r="P2151" i="52"/>
  <c r="P2152" i="52"/>
  <c r="P2153" i="52"/>
  <c r="P2154" i="52"/>
  <c r="P2155" i="52"/>
  <c r="P2156" i="52"/>
  <c r="P2157" i="52"/>
  <c r="P2158" i="52"/>
  <c r="P2159" i="52"/>
  <c r="P2160" i="52"/>
  <c r="P2161" i="52"/>
  <c r="P2162" i="52"/>
  <c r="P2163" i="52"/>
  <c r="P2164" i="52"/>
  <c r="P2165" i="52"/>
  <c r="P2166" i="52"/>
  <c r="P2167" i="52"/>
  <c r="P2168" i="52"/>
  <c r="P2169" i="52"/>
  <c r="P2170" i="52"/>
  <c r="P2171" i="52"/>
  <c r="P2172" i="52"/>
  <c r="P2173" i="52"/>
  <c r="P2174" i="52"/>
  <c r="P2175" i="52"/>
  <c r="P2176" i="52"/>
  <c r="P2177" i="52"/>
  <c r="P2178" i="52"/>
  <c r="P2179" i="52"/>
  <c r="P2180" i="52"/>
  <c r="P2181" i="52"/>
  <c r="P2182" i="52"/>
  <c r="P2183" i="52"/>
  <c r="P2184" i="52"/>
  <c r="P2185" i="52"/>
  <c r="P2186" i="52"/>
  <c r="P2187" i="52"/>
  <c r="P2188" i="52"/>
  <c r="P2189" i="52"/>
  <c r="P2190" i="52"/>
  <c r="P2191" i="52"/>
  <c r="P2192" i="52"/>
  <c r="P2193" i="52"/>
  <c r="P2194" i="52"/>
  <c r="P2195" i="52"/>
  <c r="P2196" i="52"/>
  <c r="P2197" i="52"/>
  <c r="P2198" i="52"/>
  <c r="P2199" i="52"/>
  <c r="P2200" i="52"/>
  <c r="P2201" i="52"/>
  <c r="P2202" i="52"/>
  <c r="P2203" i="52"/>
  <c r="P2204" i="52"/>
  <c r="P2205" i="52"/>
  <c r="P2206" i="52"/>
  <c r="P2207" i="52"/>
  <c r="P2208" i="52"/>
  <c r="P2209" i="52"/>
  <c r="P2210" i="52"/>
  <c r="P2211" i="52"/>
  <c r="P2212" i="52"/>
  <c r="P2213" i="52"/>
  <c r="P2214" i="52"/>
  <c r="P2215" i="52"/>
  <c r="P2216" i="52"/>
  <c r="P2217" i="52"/>
  <c r="P2218" i="52"/>
  <c r="P2219" i="52"/>
  <c r="P2220" i="52"/>
  <c r="P2221" i="52"/>
  <c r="P2222" i="52"/>
  <c r="P2223" i="52"/>
  <c r="P2224" i="52"/>
  <c r="P2225" i="52"/>
  <c r="P2226" i="52"/>
  <c r="P2227" i="52"/>
  <c r="P2228" i="52"/>
  <c r="P2229" i="52"/>
  <c r="P2230" i="52"/>
  <c r="P2231" i="52"/>
  <c r="P2232" i="52"/>
  <c r="P2233" i="52"/>
  <c r="P2234" i="52"/>
  <c r="P2235" i="52"/>
  <c r="P2236" i="52"/>
  <c r="P2237" i="52"/>
  <c r="P2238" i="52"/>
  <c r="P2239" i="52"/>
  <c r="P2240" i="52"/>
  <c r="P2241" i="52"/>
  <c r="P2242" i="52"/>
  <c r="P2243" i="52"/>
  <c r="P2244" i="52"/>
  <c r="P2245" i="52"/>
  <c r="P2246" i="52"/>
  <c r="P2247" i="52"/>
  <c r="P2248" i="52"/>
  <c r="P2249" i="52"/>
  <c r="P2250" i="52"/>
  <c r="P2251" i="52"/>
  <c r="P2252" i="52"/>
  <c r="P2253" i="52"/>
  <c r="P2254" i="52"/>
  <c r="P2255" i="52"/>
  <c r="P2256" i="52"/>
  <c r="P2257" i="52"/>
  <c r="P2258" i="52"/>
  <c r="P2259" i="52"/>
  <c r="P2260" i="52"/>
  <c r="P2261" i="52"/>
  <c r="P2262" i="52"/>
  <c r="P2263" i="52"/>
  <c r="P2264" i="52"/>
  <c r="P2265" i="52"/>
  <c r="P2266" i="52"/>
  <c r="P2267" i="52"/>
  <c r="P2268" i="52"/>
  <c r="P2269" i="52"/>
  <c r="P2270" i="52"/>
  <c r="P2271" i="52"/>
  <c r="P2272" i="52"/>
  <c r="P2273" i="52"/>
  <c r="P2274" i="52"/>
  <c r="P2275" i="52"/>
  <c r="P2276" i="52"/>
  <c r="P2277" i="52"/>
  <c r="P2278" i="52"/>
  <c r="P2279" i="52"/>
  <c r="P2280" i="52"/>
  <c r="P2281" i="52"/>
  <c r="P2282" i="52"/>
  <c r="P2283" i="52"/>
  <c r="P2284" i="52"/>
  <c r="P2285" i="52"/>
  <c r="P2286" i="52"/>
  <c r="P2287" i="52"/>
  <c r="P2288" i="52"/>
  <c r="P2289" i="52"/>
  <c r="P2290" i="52"/>
  <c r="P2291" i="52"/>
  <c r="P2292" i="52"/>
  <c r="P2293" i="52"/>
  <c r="P2294" i="52"/>
  <c r="P2295" i="52"/>
  <c r="P2296" i="52"/>
  <c r="P2297" i="52"/>
  <c r="P2298" i="52"/>
  <c r="P2299" i="52"/>
  <c r="P2300" i="52"/>
  <c r="P2301" i="52"/>
  <c r="P2302" i="52"/>
  <c r="P2303" i="52"/>
  <c r="P2304" i="52"/>
  <c r="P2305" i="52"/>
  <c r="P2306" i="52"/>
  <c r="P2307" i="52"/>
  <c r="P2308" i="52"/>
  <c r="P2309" i="52"/>
  <c r="P2310" i="52"/>
  <c r="P2311" i="52"/>
  <c r="P2312" i="52"/>
  <c r="P2313" i="52"/>
  <c r="P2314" i="52"/>
  <c r="P2315" i="52"/>
  <c r="P2316" i="52"/>
  <c r="P2317" i="52"/>
  <c r="P2318" i="52"/>
  <c r="P2319" i="52"/>
  <c r="P2320" i="52"/>
  <c r="P2321" i="52"/>
  <c r="P2322" i="52"/>
  <c r="P2323" i="52"/>
  <c r="P2324" i="52"/>
  <c r="P2325" i="52"/>
  <c r="P2326" i="52"/>
  <c r="P2327" i="52"/>
  <c r="P2328" i="52"/>
  <c r="P2329" i="52"/>
  <c r="P2330" i="52"/>
  <c r="P2331" i="52"/>
  <c r="P2332" i="52"/>
  <c r="P2333" i="52"/>
  <c r="P2334" i="52"/>
  <c r="P2335" i="52"/>
  <c r="P2336" i="52"/>
  <c r="P2337" i="52"/>
  <c r="P2338" i="52"/>
  <c r="P2339" i="52"/>
  <c r="P2340" i="52"/>
  <c r="P2341" i="52"/>
  <c r="P2342" i="52"/>
  <c r="P2343" i="52"/>
  <c r="P2344" i="52"/>
  <c r="P2345" i="52"/>
  <c r="P2346" i="52"/>
  <c r="P2347" i="52"/>
  <c r="P2348" i="52"/>
  <c r="P2349" i="52"/>
  <c r="P2350" i="52"/>
  <c r="P2351" i="52"/>
  <c r="P2352" i="52"/>
  <c r="P2353" i="52"/>
  <c r="P2354" i="52"/>
  <c r="P2355" i="52"/>
  <c r="P2356" i="52"/>
  <c r="P2357" i="52"/>
  <c r="P2358" i="52"/>
  <c r="P2359" i="52"/>
  <c r="P2360" i="52"/>
  <c r="P2361" i="52"/>
  <c r="P2362" i="52"/>
  <c r="P2363" i="52"/>
  <c r="P2364" i="52"/>
  <c r="P2365" i="52"/>
  <c r="P2366" i="52"/>
  <c r="P2367" i="52"/>
  <c r="P2368" i="52"/>
  <c r="P2369" i="52"/>
  <c r="P2370" i="52"/>
  <c r="P2371" i="52"/>
  <c r="P2372" i="52"/>
  <c r="P2373" i="52"/>
  <c r="P2374" i="52"/>
  <c r="P2375" i="52"/>
  <c r="P2376" i="52"/>
  <c r="P2377" i="52"/>
  <c r="P2378" i="52"/>
  <c r="P2379" i="52"/>
  <c r="P2380" i="52"/>
  <c r="P2381" i="52"/>
  <c r="P2382" i="52"/>
  <c r="P2383" i="52"/>
  <c r="P2384" i="52"/>
  <c r="P2385" i="52"/>
  <c r="P2386" i="52"/>
  <c r="P2387" i="52"/>
  <c r="P2388" i="52"/>
  <c r="P2389" i="52"/>
  <c r="P2390" i="52"/>
  <c r="P2391" i="52"/>
  <c r="P2392" i="52"/>
  <c r="P2393" i="52"/>
  <c r="P2394" i="52"/>
  <c r="P2395" i="52"/>
  <c r="P2396" i="52"/>
  <c r="P2397" i="52"/>
  <c r="P2398" i="52"/>
  <c r="P2399" i="52"/>
  <c r="P2400" i="52"/>
  <c r="P2401" i="52"/>
  <c r="P2402" i="52"/>
  <c r="P2403" i="52"/>
  <c r="P2404" i="52"/>
  <c r="P2405" i="52"/>
  <c r="P2406" i="52"/>
  <c r="P2407" i="52"/>
  <c r="P2408" i="52"/>
  <c r="P2409" i="52"/>
  <c r="P2410" i="52"/>
  <c r="P2411" i="52"/>
  <c r="P2412" i="52"/>
  <c r="P2413" i="52"/>
  <c r="P2414" i="52"/>
  <c r="P2415" i="52"/>
  <c r="P2416" i="52"/>
  <c r="P2417" i="52"/>
  <c r="P2418" i="52"/>
  <c r="P2419" i="52"/>
  <c r="P2420" i="52"/>
  <c r="P2421" i="52"/>
  <c r="P2422" i="52"/>
  <c r="P2423" i="52"/>
  <c r="P2424" i="52"/>
  <c r="P2425" i="52"/>
  <c r="P2426" i="52"/>
  <c r="P2427" i="52"/>
  <c r="P2428" i="52"/>
  <c r="P2429" i="52"/>
  <c r="P2430" i="52"/>
  <c r="P2431" i="52"/>
  <c r="P2432" i="52"/>
  <c r="P2433" i="52"/>
  <c r="P2434" i="52"/>
  <c r="P2435" i="52"/>
  <c r="P2436" i="52"/>
  <c r="P2437" i="52"/>
  <c r="P2438" i="52"/>
  <c r="P2439" i="52"/>
  <c r="P2440" i="52"/>
  <c r="P2441" i="52"/>
  <c r="P2442" i="52"/>
  <c r="P2443" i="52"/>
  <c r="P2444" i="52"/>
  <c r="P2445" i="52"/>
  <c r="P2446" i="52"/>
  <c r="P2447" i="52"/>
  <c r="P2448" i="52"/>
  <c r="P2449" i="52"/>
  <c r="P2450" i="52"/>
  <c r="P2451" i="52"/>
  <c r="P2452" i="52"/>
  <c r="P2453" i="52"/>
  <c r="P2454" i="52"/>
  <c r="P2455" i="52"/>
  <c r="P2456" i="52"/>
  <c r="P2457" i="52"/>
  <c r="P2458" i="52"/>
  <c r="P2459" i="52"/>
  <c r="P2460" i="52"/>
  <c r="P2461" i="52"/>
  <c r="P2462" i="52"/>
  <c r="P2463" i="52"/>
  <c r="P2464" i="52"/>
  <c r="P2465" i="52"/>
  <c r="P2466" i="52"/>
  <c r="P2467" i="52"/>
  <c r="P2468" i="52"/>
  <c r="P2469" i="52"/>
  <c r="P2470" i="52"/>
  <c r="P2471" i="52"/>
  <c r="P2472" i="52"/>
  <c r="P2473" i="52"/>
  <c r="P2474" i="52"/>
  <c r="P2475" i="52"/>
  <c r="P2476" i="52"/>
  <c r="P2477" i="52"/>
  <c r="P2478" i="52"/>
  <c r="P2479" i="52"/>
  <c r="P2480" i="52"/>
  <c r="P2481" i="52"/>
  <c r="P2482" i="52"/>
  <c r="P2483" i="52"/>
  <c r="P2484" i="52"/>
  <c r="P2485" i="52"/>
  <c r="P2486" i="52"/>
  <c r="P2487" i="52"/>
  <c r="P2488" i="52"/>
  <c r="P2489" i="52"/>
  <c r="P2490" i="52"/>
  <c r="P2491" i="52"/>
  <c r="P2492" i="52"/>
  <c r="P2493" i="52"/>
  <c r="P2494" i="52"/>
  <c r="P2495" i="52"/>
  <c r="P2496" i="52"/>
  <c r="P2497" i="52"/>
  <c r="P2498" i="52"/>
  <c r="P2499" i="52"/>
  <c r="P2500" i="52"/>
  <c r="P2501" i="52"/>
  <c r="P2502" i="52"/>
  <c r="P2503" i="52"/>
  <c r="P2504" i="52"/>
  <c r="P2505" i="52"/>
  <c r="P2506" i="52"/>
  <c r="P2507" i="52"/>
  <c r="P2508" i="52"/>
  <c r="P2509" i="52"/>
  <c r="P2510" i="52"/>
  <c r="P2511" i="52"/>
  <c r="P2512" i="52"/>
  <c r="P2513" i="52"/>
  <c r="P2514" i="52"/>
  <c r="P2515" i="52"/>
  <c r="P2516" i="52"/>
  <c r="P2517" i="52"/>
  <c r="P2518" i="52"/>
  <c r="P2519" i="52"/>
  <c r="P2520" i="52"/>
  <c r="P2521" i="52"/>
  <c r="P2522" i="52"/>
  <c r="P2523" i="52"/>
  <c r="P2524" i="52"/>
  <c r="P2525" i="52"/>
  <c r="P2526" i="52"/>
  <c r="P2527" i="52"/>
  <c r="P2528" i="52"/>
  <c r="P2529" i="52"/>
  <c r="P2530" i="52"/>
  <c r="P2531" i="52"/>
  <c r="P2532" i="52"/>
  <c r="P2533" i="52"/>
  <c r="P2534" i="52"/>
  <c r="P2535" i="52"/>
  <c r="P2536" i="52"/>
  <c r="P2537" i="52"/>
  <c r="P2538" i="52"/>
  <c r="P2539" i="52"/>
  <c r="P2540" i="52"/>
  <c r="P2541" i="52"/>
  <c r="P2542" i="52"/>
  <c r="P2543" i="52"/>
  <c r="P2544" i="52"/>
  <c r="P2545" i="52"/>
  <c r="P2546" i="52"/>
  <c r="P2547" i="52"/>
  <c r="P2548" i="52"/>
  <c r="P2549" i="52"/>
  <c r="P2550" i="52"/>
  <c r="P2551" i="52"/>
  <c r="P2552" i="52"/>
  <c r="P2553" i="52"/>
  <c r="P2554" i="52"/>
  <c r="P2555" i="52"/>
  <c r="P2556" i="52"/>
  <c r="P2557" i="52"/>
  <c r="P2558" i="52"/>
  <c r="P2559" i="52"/>
  <c r="P2560" i="52"/>
  <c r="P2561" i="52"/>
  <c r="P2562" i="52"/>
  <c r="P2563" i="52"/>
  <c r="P2564" i="52"/>
  <c r="P2565" i="52"/>
  <c r="P2566" i="52"/>
  <c r="P2567" i="52"/>
  <c r="P2568" i="52"/>
  <c r="P2569" i="52"/>
  <c r="P2570" i="52"/>
  <c r="P2571" i="52"/>
  <c r="P2572" i="52"/>
  <c r="P2573" i="52"/>
  <c r="P2574" i="52"/>
  <c r="P2575" i="52"/>
  <c r="P2576" i="52"/>
  <c r="P2577" i="52"/>
  <c r="P2578" i="52"/>
  <c r="P2579" i="52"/>
  <c r="P2580" i="52"/>
  <c r="P2581" i="52"/>
  <c r="P2582" i="52"/>
  <c r="P2583" i="52"/>
  <c r="P2584" i="52"/>
  <c r="P2585" i="52"/>
  <c r="P2586" i="52"/>
  <c r="P2587" i="52"/>
  <c r="P2588" i="52"/>
  <c r="P2589" i="52"/>
  <c r="P2590" i="52"/>
  <c r="P2591" i="52"/>
  <c r="P2592" i="52"/>
  <c r="P2593" i="52"/>
  <c r="P2594" i="52"/>
  <c r="P2595" i="52"/>
  <c r="P2596" i="52"/>
  <c r="P2597" i="52"/>
  <c r="P2598" i="52"/>
  <c r="P2599" i="52"/>
  <c r="P2600" i="52"/>
  <c r="P2601" i="52"/>
  <c r="P2602" i="52"/>
  <c r="P2603" i="52"/>
  <c r="P2604" i="52"/>
  <c r="P2605" i="52"/>
  <c r="P2606" i="52"/>
  <c r="P2607" i="52"/>
  <c r="P2608" i="52"/>
  <c r="P2609" i="52"/>
  <c r="P2610" i="52"/>
  <c r="P2611" i="52"/>
  <c r="P2612" i="52"/>
  <c r="P2613" i="52"/>
  <c r="P2614" i="52"/>
  <c r="P2615" i="52"/>
  <c r="P2616" i="52"/>
  <c r="P2617" i="52"/>
  <c r="P2618" i="52"/>
  <c r="P2619" i="52"/>
  <c r="P2620" i="52"/>
  <c r="P2621" i="52"/>
  <c r="P2622" i="52"/>
  <c r="P2623" i="52"/>
  <c r="P2624" i="52"/>
  <c r="P2625" i="52"/>
  <c r="P2626" i="52"/>
  <c r="P2627" i="52"/>
  <c r="P2628" i="52"/>
  <c r="P2629" i="52"/>
  <c r="P2630" i="52"/>
  <c r="P2631" i="52"/>
  <c r="P2632" i="52"/>
  <c r="P2633" i="52"/>
  <c r="P2634" i="52"/>
  <c r="P2635" i="52"/>
  <c r="P2636" i="52"/>
  <c r="P2637" i="52"/>
  <c r="P2638" i="52"/>
  <c r="P2639" i="52"/>
  <c r="P2640" i="52"/>
  <c r="P2641" i="52"/>
  <c r="P2642" i="52"/>
  <c r="P2643" i="52"/>
  <c r="P2644" i="52"/>
  <c r="P2645" i="52"/>
  <c r="P2646" i="52"/>
  <c r="P2647" i="52"/>
  <c r="P2648" i="52"/>
  <c r="P2649" i="52"/>
  <c r="P2650" i="52"/>
  <c r="P2651" i="52"/>
  <c r="P2652" i="52"/>
  <c r="P2653" i="52"/>
  <c r="P2654" i="52"/>
  <c r="P2655" i="52"/>
  <c r="P2656" i="52"/>
  <c r="P2657" i="52"/>
  <c r="P2658" i="52"/>
  <c r="P2659" i="52"/>
  <c r="P2660" i="52"/>
  <c r="P2661" i="52"/>
  <c r="P2662" i="52"/>
  <c r="P2663" i="52"/>
  <c r="P2664" i="52"/>
  <c r="P2665" i="52"/>
  <c r="P2666" i="52"/>
  <c r="P2667" i="52"/>
  <c r="P2668" i="52"/>
  <c r="P2669" i="52"/>
  <c r="P2670" i="52"/>
  <c r="P2671" i="52"/>
  <c r="P2672" i="52"/>
  <c r="P2673" i="52"/>
  <c r="P2674" i="52"/>
  <c r="P2675" i="52"/>
  <c r="P2676" i="52"/>
  <c r="P2677" i="52"/>
  <c r="P2678" i="52"/>
  <c r="P2679" i="52"/>
  <c r="P2680" i="52"/>
  <c r="P2681" i="52"/>
  <c r="P2682" i="52"/>
  <c r="P2683" i="52"/>
  <c r="P2684" i="52"/>
  <c r="P2685" i="52"/>
  <c r="P2686" i="52"/>
  <c r="P2687" i="52"/>
  <c r="P2688" i="52"/>
  <c r="P2689" i="52"/>
  <c r="P2690" i="52"/>
  <c r="P2691" i="52"/>
  <c r="P2692" i="52"/>
  <c r="P2693" i="52"/>
  <c r="P2694" i="52"/>
  <c r="P2695" i="52"/>
  <c r="P2696" i="52"/>
  <c r="P2697" i="52"/>
  <c r="P2698" i="52"/>
  <c r="P2699" i="52"/>
  <c r="P2700" i="52"/>
  <c r="P2701" i="52"/>
  <c r="P2702" i="52"/>
  <c r="P2703" i="52"/>
  <c r="P2704" i="52"/>
  <c r="P2705" i="52"/>
  <c r="P2706" i="52"/>
  <c r="P2707" i="52"/>
  <c r="P2708" i="52"/>
  <c r="P2709" i="52"/>
  <c r="P2710" i="52"/>
  <c r="P2711" i="52"/>
  <c r="P2712" i="52"/>
  <c r="P2713" i="52"/>
  <c r="P2714" i="52"/>
  <c r="P2715" i="52"/>
  <c r="P2716" i="52"/>
  <c r="P2717" i="52"/>
  <c r="P2718" i="52"/>
  <c r="P2719" i="52"/>
  <c r="P2720" i="52"/>
  <c r="P2721" i="52"/>
  <c r="P2722" i="52"/>
  <c r="P2723" i="52"/>
  <c r="P2724" i="52"/>
  <c r="P2725" i="52"/>
  <c r="P2726" i="52"/>
  <c r="P2727" i="52"/>
  <c r="P2728" i="52"/>
  <c r="P2729" i="52"/>
  <c r="P2730" i="52"/>
  <c r="P2731" i="52"/>
  <c r="P2732" i="52"/>
  <c r="P2733" i="52"/>
  <c r="P2734" i="52"/>
  <c r="P2735" i="52"/>
  <c r="P2736" i="52"/>
  <c r="P2737" i="52"/>
  <c r="P2738" i="52"/>
  <c r="P2739" i="52"/>
  <c r="P2740" i="52"/>
  <c r="P2741" i="52"/>
  <c r="P2742" i="52"/>
  <c r="P2743" i="52"/>
  <c r="P2744" i="52"/>
  <c r="P2745" i="52"/>
  <c r="P2746" i="52"/>
  <c r="P2747" i="52"/>
  <c r="P2748" i="52"/>
  <c r="P2749" i="52"/>
  <c r="P2750" i="52"/>
  <c r="P2751" i="52"/>
  <c r="P2752" i="52"/>
  <c r="P2753" i="52"/>
  <c r="P2754" i="52"/>
  <c r="P2755" i="52"/>
  <c r="P2756" i="52"/>
  <c r="P2757" i="52"/>
  <c r="P2758" i="52"/>
  <c r="P2759" i="52"/>
  <c r="P2760" i="52"/>
  <c r="P2761" i="52"/>
  <c r="P2762" i="52"/>
  <c r="P2763" i="52"/>
  <c r="P2764" i="52"/>
  <c r="P2765" i="52"/>
  <c r="P2766" i="52"/>
  <c r="P2767" i="52"/>
  <c r="P2768" i="52"/>
  <c r="P2769" i="52"/>
  <c r="P2770" i="52"/>
  <c r="P2771" i="52"/>
  <c r="P2772" i="52"/>
  <c r="P2773" i="52"/>
  <c r="P2774" i="52"/>
  <c r="P2775" i="52"/>
  <c r="P2776" i="52"/>
  <c r="P2777" i="52"/>
  <c r="P2778" i="52"/>
  <c r="P2779" i="52"/>
  <c r="P2780" i="52"/>
  <c r="P2781" i="52"/>
  <c r="P2782" i="52"/>
  <c r="P2783" i="52"/>
  <c r="P2784" i="52"/>
  <c r="P2785" i="52"/>
  <c r="P2786" i="52"/>
  <c r="P2787" i="52"/>
  <c r="P2788" i="52"/>
  <c r="P2789" i="52"/>
  <c r="P2790" i="52"/>
  <c r="P2791" i="52"/>
  <c r="P2792" i="52"/>
  <c r="P2793" i="52"/>
  <c r="P2794" i="52"/>
  <c r="P2795" i="52"/>
  <c r="P2796" i="52"/>
  <c r="P2797" i="52"/>
  <c r="P2798" i="52"/>
  <c r="P2799" i="52"/>
  <c r="P2800" i="52"/>
  <c r="P2801" i="52"/>
  <c r="P2802" i="52"/>
  <c r="P2803" i="52"/>
  <c r="P2804" i="52"/>
  <c r="P2805" i="52"/>
  <c r="P2806" i="52"/>
  <c r="P2807" i="52"/>
  <c r="P2808" i="52"/>
  <c r="P2809" i="52"/>
  <c r="P2810" i="52"/>
  <c r="P2811" i="52"/>
  <c r="P2812" i="52"/>
  <c r="P2813" i="52"/>
  <c r="P2814" i="52"/>
  <c r="P2815" i="52"/>
  <c r="P2816" i="52"/>
  <c r="P2817" i="52"/>
  <c r="P2818" i="52"/>
  <c r="P2819" i="52"/>
  <c r="P2820" i="52"/>
  <c r="P2821" i="52"/>
  <c r="P2822" i="52"/>
  <c r="P2823" i="52"/>
  <c r="P2824" i="52"/>
  <c r="P2825" i="52"/>
  <c r="P2826" i="52"/>
  <c r="P2827" i="52"/>
  <c r="P2828" i="52"/>
  <c r="P2829" i="52"/>
  <c r="P2830" i="52"/>
  <c r="P2831" i="52"/>
  <c r="P2832" i="52"/>
  <c r="P2833" i="52"/>
  <c r="P2834" i="52"/>
  <c r="P2835" i="52"/>
  <c r="P2836" i="52"/>
  <c r="P2837" i="52"/>
  <c r="P2838" i="52"/>
  <c r="P2839" i="52"/>
  <c r="P2840" i="52"/>
  <c r="P2841" i="52"/>
  <c r="P2842" i="52"/>
  <c r="P2843" i="52"/>
  <c r="P2844" i="52"/>
  <c r="P2845" i="52"/>
  <c r="P2846" i="52"/>
  <c r="P2847" i="52"/>
  <c r="P2848" i="52"/>
  <c r="P2849" i="52"/>
  <c r="P2850" i="52"/>
  <c r="P2851" i="52"/>
  <c r="P2852" i="52"/>
  <c r="P2853" i="52"/>
  <c r="P2854" i="52"/>
  <c r="P2855" i="52"/>
  <c r="P2856" i="52"/>
  <c r="P2857" i="52"/>
  <c r="P2858" i="52"/>
  <c r="P2859" i="52"/>
  <c r="P2860" i="52"/>
  <c r="P2861" i="52"/>
  <c r="P2862" i="52"/>
  <c r="P2863" i="52"/>
  <c r="P2864" i="52"/>
  <c r="P2865" i="52"/>
  <c r="P2866" i="52"/>
  <c r="P2867" i="52"/>
  <c r="P2868" i="52"/>
  <c r="P2869" i="52"/>
  <c r="P2870" i="52"/>
  <c r="P2871" i="52"/>
  <c r="P2872" i="52"/>
  <c r="P2873" i="52"/>
  <c r="P2874" i="52"/>
  <c r="P2875" i="52"/>
  <c r="P2876" i="52"/>
  <c r="P2877" i="52"/>
  <c r="P2878" i="52"/>
  <c r="P2879" i="52"/>
  <c r="P2880" i="52"/>
  <c r="P2881" i="52"/>
  <c r="P2882" i="52"/>
  <c r="P2883" i="52"/>
  <c r="P2884" i="52"/>
  <c r="P2885" i="52"/>
  <c r="P2886" i="52"/>
  <c r="P2887" i="52"/>
  <c r="P2888" i="52"/>
  <c r="P2889" i="52"/>
  <c r="P2890" i="52"/>
  <c r="P2891" i="52"/>
  <c r="P2892" i="52"/>
  <c r="P2893" i="52"/>
  <c r="P2894" i="52"/>
  <c r="P2895" i="52"/>
  <c r="P2896" i="52"/>
  <c r="P2897" i="52"/>
  <c r="P2898" i="52"/>
  <c r="P2899" i="52"/>
  <c r="P2900" i="52"/>
  <c r="P2901" i="52"/>
  <c r="P2902" i="52"/>
  <c r="P2903" i="52"/>
  <c r="P2904" i="52"/>
  <c r="P2905" i="52"/>
  <c r="P2906" i="52"/>
  <c r="P2907" i="52"/>
  <c r="P2908" i="52"/>
  <c r="P2909" i="52"/>
  <c r="P2910" i="52"/>
  <c r="P2911" i="52"/>
  <c r="P2912" i="52"/>
  <c r="P2913" i="52"/>
  <c r="P2914" i="52"/>
  <c r="P2915" i="52"/>
  <c r="P2916" i="52"/>
  <c r="P2917" i="52"/>
  <c r="P2918" i="52"/>
  <c r="P2919" i="52"/>
  <c r="P2920" i="52"/>
  <c r="P2921" i="52"/>
  <c r="P2922" i="52"/>
  <c r="P2923" i="52"/>
  <c r="P2924" i="52"/>
  <c r="P2925" i="52"/>
  <c r="P2926" i="52"/>
  <c r="P2927" i="52"/>
  <c r="P2928" i="52"/>
  <c r="P2929" i="52"/>
  <c r="P2930" i="52"/>
  <c r="P2931" i="52"/>
  <c r="P2932" i="52"/>
  <c r="P2933" i="52"/>
  <c r="P2934" i="52"/>
  <c r="P2935" i="52"/>
  <c r="P2936" i="52"/>
  <c r="P2937" i="52"/>
  <c r="P2938" i="52"/>
  <c r="P2939" i="52"/>
  <c r="P2940" i="52"/>
  <c r="P2941" i="52"/>
  <c r="P2942" i="52"/>
  <c r="P2943" i="52"/>
  <c r="P2944" i="52"/>
  <c r="P2945" i="52"/>
  <c r="P2946" i="52"/>
  <c r="P2947" i="52"/>
  <c r="P2948" i="52"/>
  <c r="P2949" i="52"/>
  <c r="P2950" i="52"/>
  <c r="P2951" i="52"/>
  <c r="P2952" i="52"/>
  <c r="P2953" i="52"/>
  <c r="P2954" i="52"/>
  <c r="P2955" i="52"/>
  <c r="P2956" i="52"/>
  <c r="P2957" i="52"/>
  <c r="P2958" i="52"/>
  <c r="P2959" i="52"/>
  <c r="P2960" i="52"/>
  <c r="P2961" i="52"/>
  <c r="P2962" i="52"/>
  <c r="P2963" i="52"/>
  <c r="P2964" i="52"/>
  <c r="P2965" i="52"/>
  <c r="P2966" i="52"/>
  <c r="P2967" i="52"/>
  <c r="P2968" i="52"/>
  <c r="P2969" i="52"/>
  <c r="P2970" i="52"/>
  <c r="P2971" i="52"/>
  <c r="P2972" i="52"/>
  <c r="P2973" i="52"/>
  <c r="P2974" i="52"/>
  <c r="P2975" i="52"/>
  <c r="P2976" i="52"/>
  <c r="P2977" i="52"/>
  <c r="P2978" i="52"/>
  <c r="P2979" i="52"/>
  <c r="P2980" i="52"/>
  <c r="P2981" i="52"/>
  <c r="P2982" i="52"/>
  <c r="P2983" i="52"/>
  <c r="P2984" i="52"/>
  <c r="P2985" i="52"/>
  <c r="P2986" i="52"/>
  <c r="P2987" i="52"/>
  <c r="P2988" i="52"/>
  <c r="P2989" i="52"/>
  <c r="P2990" i="52"/>
  <c r="P2991" i="52"/>
  <c r="P2992" i="52"/>
  <c r="P2993" i="52"/>
  <c r="P2994" i="52"/>
  <c r="P2995" i="52"/>
  <c r="P2996" i="52"/>
  <c r="P2997" i="52"/>
  <c r="P2998" i="52"/>
  <c r="P2999" i="52"/>
  <c r="P3000" i="52"/>
  <c r="P3001" i="52"/>
  <c r="P3002" i="52"/>
  <c r="P3003" i="52"/>
  <c r="P3004" i="52"/>
  <c r="P3005" i="52"/>
  <c r="P3006" i="52"/>
  <c r="P3007" i="52"/>
  <c r="P3008" i="52"/>
  <c r="P3009" i="52"/>
  <c r="P3010" i="52"/>
  <c r="P3011" i="52"/>
  <c r="P3012" i="52"/>
  <c r="P3013" i="52"/>
  <c r="P3014" i="52"/>
  <c r="P3015" i="52"/>
  <c r="P3016" i="52"/>
  <c r="P3017" i="52"/>
  <c r="P3018" i="52"/>
  <c r="P3019" i="52"/>
  <c r="P3020" i="52"/>
  <c r="P3021" i="52"/>
  <c r="P3022" i="52"/>
  <c r="P3023" i="52"/>
  <c r="P3024" i="52"/>
  <c r="P3025" i="52"/>
  <c r="P3026" i="52"/>
  <c r="P3027" i="52"/>
  <c r="P3028" i="52"/>
  <c r="P3029" i="52"/>
  <c r="P3030" i="52"/>
  <c r="P3031" i="52"/>
  <c r="P3032" i="52"/>
  <c r="P3033" i="52"/>
  <c r="P3034" i="52"/>
  <c r="P3035" i="52"/>
  <c r="P3036" i="52"/>
  <c r="P3037" i="52"/>
  <c r="P3038" i="52"/>
  <c r="P3039" i="52"/>
  <c r="P3040" i="52"/>
  <c r="P3041" i="52"/>
  <c r="P3042" i="52"/>
  <c r="P3043" i="52"/>
  <c r="P3044" i="52"/>
  <c r="P3045" i="52"/>
  <c r="P3046" i="52"/>
  <c r="P3047" i="52"/>
  <c r="P3048" i="52"/>
  <c r="P3049" i="52"/>
  <c r="P3050" i="52"/>
  <c r="P3051" i="52"/>
  <c r="P3052" i="52"/>
  <c r="P3053" i="52"/>
  <c r="P3054" i="52"/>
  <c r="P3055" i="52"/>
  <c r="P3056" i="52"/>
  <c r="P3057" i="52"/>
  <c r="P3058" i="52"/>
  <c r="P3059" i="52"/>
  <c r="P3060" i="52"/>
  <c r="P3061" i="52"/>
  <c r="P3062" i="52"/>
  <c r="P3063" i="52"/>
  <c r="P3064" i="52"/>
  <c r="P3065" i="52"/>
  <c r="P3066" i="52"/>
  <c r="P3067" i="52"/>
  <c r="P3068" i="52"/>
  <c r="P3069" i="52"/>
  <c r="P3070" i="52"/>
  <c r="P3071" i="52"/>
  <c r="P3072" i="52"/>
  <c r="P3073" i="52"/>
  <c r="P3074" i="52"/>
  <c r="P3075" i="52"/>
  <c r="P3076" i="52"/>
  <c r="P3077" i="52"/>
  <c r="P3078" i="52"/>
  <c r="P3079" i="52"/>
  <c r="P3080" i="52"/>
  <c r="P3081" i="52"/>
  <c r="P3082" i="52"/>
  <c r="P3083" i="52"/>
  <c r="P3084" i="52"/>
  <c r="P3085" i="52"/>
  <c r="P3086" i="52"/>
  <c r="P3087" i="52"/>
  <c r="P3088" i="52"/>
  <c r="P3089" i="52"/>
  <c r="P3090" i="52"/>
  <c r="P3091" i="52"/>
  <c r="P3092" i="52"/>
  <c r="P3093" i="52"/>
  <c r="P3094" i="52"/>
  <c r="P3095" i="52"/>
  <c r="P3096" i="52"/>
  <c r="P3097" i="52"/>
  <c r="P3098" i="52"/>
  <c r="P3099" i="52"/>
  <c r="P3100" i="52"/>
  <c r="P3101" i="52"/>
  <c r="P3102" i="52"/>
  <c r="P3103" i="52"/>
  <c r="P3104" i="52"/>
  <c r="P3105" i="52"/>
  <c r="P3106" i="52"/>
  <c r="P3107" i="52"/>
  <c r="P3108" i="52"/>
  <c r="P3109" i="52"/>
  <c r="P3110" i="52"/>
  <c r="P3111" i="52"/>
  <c r="P3112" i="52"/>
  <c r="P3113" i="52"/>
  <c r="P3114" i="52"/>
  <c r="P3115" i="52"/>
  <c r="P3116" i="52"/>
  <c r="P3117" i="52"/>
  <c r="P3118" i="52"/>
  <c r="P3119" i="52"/>
  <c r="P3120" i="52"/>
  <c r="P3121" i="52"/>
  <c r="P3122" i="52"/>
  <c r="P3123" i="52"/>
  <c r="P3124" i="52"/>
  <c r="P3125" i="52"/>
  <c r="P3126" i="52"/>
  <c r="P3127" i="52"/>
  <c r="P3128" i="52"/>
  <c r="P3129" i="52"/>
  <c r="P3130" i="52"/>
  <c r="P3131" i="52"/>
  <c r="P3132" i="52"/>
  <c r="P3133" i="52"/>
  <c r="P3134" i="52"/>
  <c r="P3135" i="52"/>
  <c r="P3136" i="52"/>
  <c r="P3137" i="52"/>
  <c r="P3138" i="52"/>
  <c r="P3139" i="52"/>
  <c r="P3140" i="52"/>
  <c r="P3141" i="52"/>
  <c r="P3142" i="52"/>
  <c r="P3143" i="52"/>
  <c r="P3144" i="52"/>
  <c r="P3145" i="52"/>
  <c r="P3146" i="52"/>
  <c r="P3147" i="52"/>
  <c r="P3148" i="52"/>
  <c r="P3149" i="52"/>
  <c r="P3150" i="52"/>
  <c r="P3151" i="52"/>
  <c r="P3152" i="52"/>
  <c r="P3153" i="52"/>
  <c r="P3154" i="52"/>
  <c r="P3155" i="52"/>
  <c r="P3156" i="52"/>
  <c r="P3157" i="52"/>
  <c r="P3158" i="52"/>
  <c r="P3159" i="52"/>
  <c r="P3160" i="52"/>
  <c r="P3161" i="52"/>
  <c r="P3162" i="52"/>
  <c r="P3163" i="52"/>
  <c r="P3164" i="52"/>
  <c r="P3165" i="52"/>
  <c r="P3166" i="52"/>
  <c r="P3167" i="52"/>
  <c r="P3168" i="52"/>
  <c r="P3169" i="52"/>
  <c r="P3170" i="52"/>
  <c r="P3171" i="52"/>
  <c r="P3172" i="52"/>
  <c r="P3173" i="52"/>
  <c r="P3174" i="52"/>
  <c r="P3175" i="52"/>
  <c r="P3176" i="52"/>
  <c r="P3177" i="52"/>
  <c r="P3178" i="52"/>
  <c r="P3179" i="52"/>
  <c r="P3180" i="52"/>
  <c r="P3181" i="52"/>
  <c r="P3182" i="52"/>
  <c r="P3183" i="52"/>
  <c r="P3184" i="52"/>
  <c r="P3185" i="52"/>
  <c r="P3186" i="52"/>
  <c r="P3187" i="52"/>
  <c r="P3188" i="52"/>
  <c r="P3189" i="52"/>
  <c r="P3190" i="52"/>
  <c r="P3191" i="52"/>
  <c r="P3192" i="52"/>
  <c r="P3193" i="52"/>
  <c r="P3194" i="52"/>
  <c r="P3195" i="52"/>
  <c r="P3196" i="52"/>
  <c r="P3197" i="52"/>
  <c r="P3198" i="52"/>
  <c r="P3199" i="52"/>
  <c r="P3200" i="52"/>
  <c r="P3201" i="52"/>
  <c r="P3202" i="52"/>
  <c r="P3203" i="52"/>
  <c r="P3204" i="52"/>
  <c r="P3205" i="52"/>
  <c r="P3206" i="52"/>
  <c r="P3207" i="52"/>
  <c r="P3208" i="52"/>
  <c r="P3209" i="52"/>
  <c r="P3210" i="52"/>
  <c r="P3211" i="52"/>
  <c r="P3212" i="52"/>
  <c r="P3213" i="52"/>
  <c r="P3214" i="52"/>
  <c r="P3215" i="52"/>
  <c r="P3216" i="52"/>
  <c r="P3217" i="52"/>
  <c r="P3218" i="52"/>
  <c r="P3219" i="52"/>
  <c r="P3220" i="52"/>
  <c r="P3221" i="52"/>
  <c r="P3222" i="52"/>
  <c r="P3223" i="52"/>
  <c r="P3224" i="52"/>
  <c r="P3225" i="52"/>
  <c r="P3226" i="52"/>
  <c r="P3227" i="52"/>
  <c r="P3228" i="52"/>
  <c r="P3229" i="52"/>
  <c r="P3230" i="52"/>
  <c r="P3231" i="52"/>
  <c r="P3232" i="52"/>
  <c r="P3233" i="52"/>
  <c r="P3234" i="52"/>
  <c r="P3235" i="52"/>
  <c r="P3236" i="52"/>
  <c r="P3237" i="52"/>
  <c r="P3238" i="52"/>
  <c r="P3239" i="52"/>
  <c r="P3240" i="52"/>
  <c r="P3241" i="52"/>
  <c r="P3242" i="52"/>
  <c r="P3243" i="52"/>
  <c r="P3244" i="52"/>
  <c r="P3245" i="52"/>
  <c r="P3246" i="52"/>
  <c r="P3247" i="52"/>
  <c r="P3248" i="52"/>
  <c r="P3249" i="52"/>
  <c r="P3250" i="52"/>
  <c r="P3251" i="52"/>
  <c r="P3252" i="52"/>
  <c r="P3253" i="52"/>
  <c r="P3254" i="52"/>
  <c r="P3255" i="52"/>
  <c r="P3256" i="52"/>
  <c r="P3257" i="52"/>
  <c r="P3258" i="52"/>
  <c r="P3259" i="52"/>
  <c r="P3260" i="52"/>
  <c r="P3261" i="52"/>
  <c r="P3262" i="52"/>
  <c r="P3263" i="52"/>
  <c r="P3264" i="52"/>
  <c r="P3265" i="52"/>
  <c r="P3266" i="52"/>
  <c r="P3267" i="52"/>
  <c r="P3268" i="52"/>
  <c r="P3269" i="52"/>
  <c r="P3270" i="52"/>
  <c r="P3271" i="52"/>
  <c r="P3272" i="52"/>
  <c r="P3273" i="52"/>
  <c r="P3274" i="52"/>
  <c r="P3275" i="52"/>
  <c r="P3276" i="52"/>
  <c r="P3277" i="52"/>
  <c r="P3278" i="52"/>
  <c r="P3279" i="52"/>
  <c r="P3280" i="52"/>
  <c r="P3281" i="52"/>
  <c r="P3282" i="52"/>
  <c r="P3283" i="52"/>
  <c r="P3284" i="52"/>
  <c r="P3285" i="52"/>
  <c r="P3286" i="52"/>
  <c r="P3287" i="52"/>
  <c r="P3288" i="52"/>
  <c r="P3289" i="52"/>
  <c r="P3290" i="52"/>
  <c r="P3291" i="52"/>
  <c r="P3292" i="52"/>
  <c r="P3293" i="52"/>
  <c r="P3294" i="52"/>
  <c r="P3295" i="52"/>
  <c r="P3296" i="52"/>
  <c r="P3297" i="52"/>
  <c r="P3298" i="52"/>
  <c r="P3299" i="52"/>
  <c r="P3300" i="52"/>
  <c r="P3301" i="52"/>
  <c r="P3302" i="52"/>
  <c r="P3303" i="52"/>
  <c r="P3304" i="52"/>
  <c r="P3305" i="52"/>
  <c r="P3306" i="52"/>
  <c r="P3307" i="52"/>
  <c r="P3308" i="52"/>
  <c r="P3309" i="52"/>
  <c r="P3310" i="52"/>
  <c r="P3311" i="52"/>
  <c r="P3312" i="52"/>
  <c r="P3313" i="52"/>
  <c r="P3314" i="52"/>
  <c r="P3315" i="52"/>
  <c r="P3316" i="52"/>
  <c r="P3317" i="52"/>
  <c r="P3318" i="52"/>
  <c r="P3319" i="52"/>
  <c r="P3320" i="52"/>
  <c r="P3321" i="52"/>
  <c r="P3322" i="52"/>
  <c r="P3323" i="52"/>
  <c r="P3324" i="52"/>
  <c r="P3325" i="52"/>
  <c r="P3326" i="52"/>
  <c r="P3327" i="52"/>
  <c r="P3328" i="52"/>
  <c r="P3329" i="52"/>
  <c r="P3330" i="52"/>
  <c r="P3331" i="52"/>
  <c r="P3332" i="52"/>
  <c r="P3333" i="52"/>
  <c r="P3334" i="52"/>
  <c r="P3335" i="52"/>
  <c r="P3336" i="52"/>
  <c r="P3337" i="52"/>
  <c r="P3338" i="52"/>
  <c r="P3339" i="52"/>
  <c r="P3340" i="52"/>
  <c r="P3341" i="52"/>
  <c r="P3342" i="52"/>
  <c r="P3343" i="52"/>
  <c r="P3344" i="52"/>
  <c r="P3345" i="52"/>
  <c r="P3346" i="52"/>
  <c r="P3347" i="52"/>
  <c r="P3348" i="52"/>
  <c r="P3349" i="52"/>
  <c r="P3350" i="52"/>
  <c r="P3351" i="52"/>
  <c r="P3352" i="52"/>
  <c r="P3353" i="52"/>
  <c r="P3354" i="52"/>
  <c r="P3355" i="52"/>
  <c r="P3356" i="52"/>
  <c r="P3357" i="52"/>
  <c r="P3358" i="52"/>
  <c r="P3359" i="52"/>
  <c r="P3360" i="52"/>
  <c r="P3361" i="52"/>
  <c r="P3362" i="52"/>
  <c r="P3363" i="52"/>
  <c r="P3364" i="52"/>
  <c r="P3365" i="52"/>
  <c r="P3366" i="52"/>
  <c r="P3367" i="52"/>
  <c r="P3368" i="52"/>
  <c r="P3369" i="52"/>
  <c r="P3370" i="52"/>
  <c r="P3371" i="52"/>
  <c r="P3372" i="52"/>
  <c r="P3373" i="52"/>
  <c r="P3374" i="52"/>
  <c r="P3375" i="52"/>
  <c r="P3376" i="52"/>
  <c r="P3377" i="52"/>
  <c r="P3378" i="52"/>
  <c r="P3379" i="52"/>
  <c r="P3380" i="52"/>
  <c r="P3381" i="52"/>
  <c r="P3382" i="52"/>
  <c r="P3383" i="52"/>
  <c r="P3384" i="52"/>
  <c r="P3385" i="52"/>
  <c r="P3386" i="52"/>
  <c r="P3387" i="52"/>
  <c r="P3388" i="52"/>
  <c r="P3389" i="52"/>
  <c r="P3390" i="52"/>
  <c r="P3391" i="52"/>
  <c r="P3392" i="52"/>
  <c r="P3393" i="52"/>
  <c r="P3394" i="52"/>
  <c r="P3395" i="52"/>
  <c r="P3396" i="52"/>
  <c r="P3397" i="52"/>
  <c r="P3398" i="52"/>
  <c r="P3399" i="52"/>
  <c r="P3400" i="52"/>
  <c r="P3401" i="52"/>
  <c r="P3402" i="52"/>
  <c r="P3403" i="52"/>
  <c r="P3404" i="52"/>
  <c r="P3405" i="52"/>
  <c r="P3406" i="52"/>
  <c r="P3407" i="52"/>
  <c r="P3408" i="52"/>
  <c r="P3409" i="52"/>
  <c r="P3410" i="52"/>
  <c r="P3411" i="52"/>
  <c r="P3412" i="52"/>
  <c r="P3413" i="52"/>
  <c r="P3414" i="52"/>
  <c r="P3415" i="52"/>
  <c r="P3416" i="52"/>
  <c r="P3417" i="52"/>
  <c r="P3418" i="52"/>
  <c r="P3419" i="52"/>
  <c r="P3420" i="52"/>
  <c r="P3421" i="52"/>
  <c r="P3422" i="52"/>
  <c r="P3423" i="52"/>
  <c r="P3424" i="52"/>
  <c r="P3425" i="52"/>
  <c r="P3426" i="52"/>
  <c r="P3427" i="52"/>
  <c r="P3428" i="52"/>
  <c r="P3429" i="52"/>
  <c r="P3430" i="52"/>
  <c r="P3431" i="52"/>
  <c r="P3432" i="52"/>
  <c r="P3433" i="52"/>
  <c r="P3434" i="52"/>
  <c r="P3435" i="52"/>
  <c r="P3436" i="52"/>
  <c r="P3437" i="52"/>
  <c r="P3438" i="52"/>
  <c r="P3439" i="52"/>
  <c r="P3440" i="52"/>
  <c r="P3441" i="52"/>
  <c r="P3442" i="52"/>
  <c r="P3443" i="52"/>
  <c r="P3444" i="52"/>
  <c r="P3445" i="52"/>
  <c r="P3446" i="52"/>
  <c r="P3447" i="52"/>
  <c r="P3448" i="52"/>
  <c r="P3449" i="52"/>
  <c r="P3450" i="52"/>
  <c r="P3451" i="52"/>
  <c r="P3452" i="52"/>
  <c r="P3453" i="52"/>
  <c r="P3454" i="52"/>
  <c r="P3455" i="52"/>
  <c r="P3456" i="52"/>
  <c r="P3457" i="52"/>
  <c r="P3458" i="52"/>
  <c r="P3459" i="52"/>
  <c r="P3460" i="52"/>
  <c r="P3461" i="52"/>
  <c r="P3462" i="52"/>
  <c r="P3463" i="52"/>
  <c r="P3464" i="52"/>
  <c r="P3465" i="52"/>
  <c r="P3466" i="52"/>
  <c r="P3467" i="52"/>
  <c r="P3468" i="52"/>
  <c r="P3469" i="52"/>
  <c r="P3470" i="52"/>
  <c r="P3471" i="52"/>
  <c r="P3472" i="52"/>
  <c r="P3473" i="52"/>
  <c r="P3474" i="52"/>
  <c r="P3475" i="52"/>
  <c r="P3476" i="52"/>
  <c r="P3477" i="52"/>
  <c r="P3478" i="52"/>
  <c r="P3479" i="52"/>
  <c r="P3480" i="52"/>
  <c r="P3481" i="52"/>
  <c r="P3482" i="52"/>
  <c r="P3483" i="52"/>
  <c r="P3484" i="52"/>
  <c r="P3485" i="52"/>
  <c r="P3486" i="52"/>
  <c r="P3487" i="52"/>
  <c r="P3488" i="52"/>
  <c r="P3489" i="52"/>
  <c r="P3490" i="52"/>
  <c r="P3491" i="52"/>
  <c r="P3492" i="52"/>
  <c r="P3493" i="52"/>
  <c r="P3494" i="52"/>
  <c r="P3495" i="52"/>
  <c r="P3496" i="52"/>
  <c r="P3497" i="52"/>
  <c r="P3498" i="52"/>
  <c r="P3499" i="52"/>
  <c r="P3500" i="52"/>
  <c r="P3501" i="52"/>
  <c r="P3502" i="52"/>
  <c r="P3503" i="52"/>
  <c r="P3504" i="52"/>
  <c r="P3505" i="52"/>
  <c r="P3506" i="52"/>
  <c r="P3507" i="52"/>
  <c r="P3508" i="52"/>
  <c r="P3509" i="52"/>
  <c r="P3510" i="52"/>
  <c r="P3511" i="52"/>
  <c r="P3512" i="52"/>
  <c r="P3513" i="52"/>
  <c r="P3514" i="52"/>
  <c r="P3515" i="52"/>
  <c r="P3516" i="52"/>
  <c r="P3517" i="52"/>
  <c r="P3518" i="52"/>
  <c r="P3519" i="52"/>
  <c r="P3520" i="52"/>
  <c r="P3521" i="52"/>
  <c r="P3522" i="52"/>
  <c r="P3523" i="52"/>
  <c r="P3524" i="52"/>
  <c r="P3525" i="52"/>
  <c r="P3526" i="52"/>
  <c r="P3527" i="52"/>
  <c r="P3528" i="52"/>
  <c r="P3529" i="52"/>
  <c r="P3530" i="52"/>
  <c r="P3531" i="52"/>
  <c r="P3532" i="52"/>
  <c r="P3533" i="52"/>
  <c r="P3534" i="52"/>
  <c r="P3535" i="52"/>
  <c r="P3536" i="52"/>
  <c r="P3537" i="52"/>
  <c r="P3538" i="52"/>
  <c r="P3539" i="52"/>
  <c r="P3540" i="52"/>
  <c r="P3541" i="52"/>
  <c r="P3542" i="52"/>
  <c r="P3543" i="52"/>
  <c r="P3544" i="52"/>
  <c r="P3545" i="52"/>
  <c r="P3546" i="52"/>
  <c r="P3547" i="52"/>
  <c r="P3548" i="52"/>
  <c r="P3549" i="52"/>
  <c r="P3550" i="52"/>
  <c r="P3551" i="52"/>
  <c r="P3552" i="52"/>
  <c r="P3553" i="52"/>
  <c r="P3554" i="52"/>
  <c r="P3555" i="52"/>
  <c r="P3556" i="52"/>
  <c r="P3557" i="52"/>
  <c r="P3558" i="52"/>
  <c r="P3559" i="52"/>
  <c r="P3560" i="52"/>
  <c r="P3561" i="52"/>
  <c r="P3562" i="52"/>
  <c r="P3563" i="52"/>
  <c r="P3564" i="52"/>
  <c r="P3565" i="52"/>
  <c r="P3566" i="52"/>
  <c r="P3567" i="52"/>
  <c r="P3568" i="52"/>
  <c r="P3569" i="52"/>
  <c r="P3570" i="52"/>
  <c r="P3571" i="52"/>
  <c r="P3572" i="52"/>
  <c r="P3573" i="52"/>
  <c r="P3574" i="52"/>
  <c r="P3575" i="52"/>
  <c r="P3576" i="52"/>
  <c r="P3577" i="52"/>
  <c r="P3578" i="52"/>
  <c r="P3579" i="52"/>
  <c r="P3580" i="52"/>
  <c r="P3581" i="52"/>
  <c r="P3582" i="52"/>
  <c r="P3583" i="52"/>
  <c r="P3584" i="52"/>
  <c r="P3585" i="52"/>
  <c r="P3586" i="52"/>
  <c r="P3587" i="52"/>
  <c r="P3588" i="52"/>
  <c r="P3589" i="52"/>
  <c r="P3590" i="52"/>
  <c r="P3591" i="52"/>
  <c r="P3592" i="52"/>
  <c r="P3593" i="52"/>
  <c r="P3594" i="52"/>
  <c r="P3595" i="52"/>
  <c r="P3596" i="52"/>
  <c r="P3597" i="52"/>
  <c r="P3598" i="52"/>
  <c r="P3599" i="52"/>
  <c r="P3600" i="52"/>
  <c r="P3601" i="52"/>
  <c r="P3602" i="52"/>
  <c r="P3603" i="52"/>
  <c r="P3604" i="52"/>
  <c r="P3605" i="52"/>
  <c r="P3606" i="52"/>
  <c r="P3607" i="52"/>
  <c r="P3608" i="52"/>
  <c r="P3609" i="52"/>
  <c r="P3610" i="52"/>
  <c r="P3611" i="52"/>
  <c r="P3612" i="52"/>
  <c r="P3613" i="52"/>
  <c r="P3614" i="52"/>
  <c r="P3615" i="52"/>
  <c r="P3616" i="52"/>
  <c r="P3617" i="52"/>
  <c r="P3618" i="52"/>
  <c r="P3619" i="52"/>
  <c r="P3620" i="52"/>
  <c r="P3621" i="52"/>
  <c r="P3622" i="52"/>
  <c r="P3623" i="52"/>
  <c r="P3624" i="52"/>
  <c r="P3625" i="52"/>
  <c r="P3626" i="52"/>
  <c r="P3627" i="52"/>
  <c r="P3628" i="52"/>
  <c r="P3629" i="52"/>
  <c r="P3630" i="52"/>
  <c r="P3631" i="52"/>
  <c r="P3632" i="52"/>
  <c r="P3633" i="52"/>
  <c r="P3634" i="52"/>
  <c r="P3635" i="52"/>
  <c r="P3636" i="52"/>
  <c r="P3637" i="52"/>
  <c r="P3638" i="52"/>
  <c r="P3639" i="52"/>
  <c r="P3640" i="52"/>
  <c r="P3641" i="52"/>
  <c r="P3642" i="52"/>
  <c r="P3643" i="52"/>
  <c r="P3644" i="52"/>
  <c r="P3645" i="52"/>
  <c r="P3646" i="52"/>
  <c r="P3647" i="52"/>
  <c r="P3648" i="52"/>
  <c r="P3649" i="52"/>
  <c r="P3650" i="52"/>
  <c r="P3651" i="52"/>
  <c r="P3652" i="52"/>
  <c r="P3653" i="52"/>
  <c r="P3654" i="52"/>
  <c r="P3655" i="52"/>
  <c r="P3656" i="52"/>
  <c r="P3657" i="52"/>
  <c r="P3658" i="52"/>
  <c r="P3659" i="52"/>
  <c r="P3660" i="52"/>
  <c r="P3661" i="52"/>
  <c r="P3662" i="52"/>
  <c r="P3663" i="52"/>
  <c r="P3664" i="52"/>
  <c r="P3665" i="52"/>
  <c r="P3666" i="52"/>
  <c r="P3667" i="52"/>
  <c r="P3668" i="52"/>
  <c r="P3669" i="52"/>
  <c r="P3670" i="52"/>
  <c r="P3671" i="52"/>
  <c r="P3672" i="52"/>
  <c r="P3673" i="52"/>
  <c r="P3674" i="52"/>
  <c r="P3675" i="52"/>
  <c r="P3676" i="52"/>
  <c r="P3677" i="52"/>
  <c r="P3678" i="52"/>
  <c r="P3679" i="52"/>
  <c r="P3680" i="52"/>
  <c r="P3681" i="52"/>
  <c r="P3682" i="52"/>
  <c r="P3683" i="52"/>
  <c r="P3684" i="52"/>
  <c r="P3685" i="52"/>
  <c r="P3686" i="52"/>
  <c r="P3687" i="52"/>
  <c r="P3688" i="52"/>
  <c r="P3689" i="52"/>
  <c r="P3690" i="52"/>
  <c r="P3691" i="52"/>
  <c r="P3692" i="52"/>
  <c r="P3693" i="52"/>
  <c r="P3694" i="52"/>
  <c r="P3695" i="52"/>
  <c r="P3696" i="52"/>
  <c r="P3697" i="52"/>
  <c r="P3698" i="52"/>
  <c r="P3699" i="52"/>
  <c r="P3700" i="52"/>
  <c r="P3701" i="52"/>
  <c r="P3702" i="52"/>
  <c r="P3703" i="52"/>
  <c r="P3704" i="52"/>
  <c r="P3705" i="52"/>
  <c r="P3706" i="52"/>
  <c r="P3707" i="52"/>
  <c r="P3708" i="52"/>
  <c r="P3709" i="52"/>
  <c r="P3710" i="52"/>
  <c r="P3711" i="52"/>
  <c r="P3712" i="52"/>
  <c r="P3713" i="52"/>
  <c r="P3714" i="52"/>
  <c r="P3715" i="52"/>
  <c r="P3716" i="52"/>
  <c r="P3717" i="52"/>
  <c r="P3718" i="52"/>
  <c r="P3719" i="52"/>
  <c r="P3720" i="52"/>
  <c r="P3721" i="52"/>
  <c r="P3722" i="52"/>
  <c r="P3723" i="52"/>
  <c r="P3724" i="52"/>
  <c r="P3725" i="52"/>
  <c r="P3726" i="52"/>
  <c r="P3727" i="52"/>
  <c r="P3728" i="52"/>
  <c r="P3729" i="52"/>
  <c r="P3730" i="52"/>
  <c r="P3731" i="52"/>
  <c r="P3732" i="52"/>
  <c r="P3733" i="52"/>
  <c r="P3734" i="52"/>
  <c r="P3735" i="52"/>
  <c r="P3736" i="52"/>
  <c r="P3737" i="52"/>
  <c r="P3738" i="52"/>
  <c r="P3739" i="52"/>
  <c r="P3740" i="52"/>
  <c r="P3741" i="52"/>
  <c r="P3742" i="52"/>
  <c r="P3743" i="52"/>
  <c r="P3744" i="52"/>
  <c r="P3745" i="52"/>
  <c r="P3746" i="52"/>
  <c r="P3747" i="52"/>
  <c r="P3748" i="52"/>
  <c r="P3749" i="52"/>
  <c r="P3750" i="52"/>
  <c r="P3751" i="52"/>
  <c r="P3752" i="52"/>
  <c r="P3753" i="52"/>
  <c r="P3754" i="52"/>
  <c r="P3755" i="52"/>
  <c r="P3756" i="52"/>
  <c r="P3757" i="52"/>
  <c r="P3758" i="52"/>
  <c r="P3759" i="52"/>
  <c r="P3760" i="52"/>
  <c r="P3761" i="52"/>
  <c r="P3762" i="52"/>
  <c r="P3763" i="52"/>
  <c r="P3764" i="52"/>
  <c r="P3765" i="52"/>
  <c r="P3766" i="52"/>
  <c r="P3767" i="52"/>
  <c r="P3768" i="52"/>
  <c r="P3769" i="52"/>
  <c r="P3770" i="52"/>
  <c r="P3771" i="52"/>
  <c r="P3772" i="52"/>
  <c r="P3773" i="52"/>
  <c r="P3774" i="52"/>
  <c r="P3775" i="52"/>
  <c r="P3776" i="52"/>
  <c r="P3777" i="52"/>
  <c r="P3778" i="52"/>
  <c r="P3779" i="52"/>
  <c r="P3780" i="52"/>
  <c r="P3781" i="52"/>
  <c r="P3782" i="52"/>
  <c r="P3783" i="52"/>
  <c r="P3784" i="52"/>
  <c r="P3785" i="52"/>
  <c r="P3786" i="52"/>
  <c r="P3787" i="52"/>
  <c r="P3788" i="52"/>
  <c r="P3789" i="52"/>
  <c r="P3790" i="52"/>
  <c r="P3791" i="52"/>
  <c r="P3792" i="52"/>
  <c r="P3793" i="52"/>
  <c r="P3794" i="52"/>
  <c r="P3795" i="52"/>
  <c r="P3796" i="52"/>
  <c r="P3797" i="52"/>
  <c r="P3798" i="52"/>
  <c r="P3799" i="52"/>
  <c r="P3800" i="52"/>
  <c r="P3801" i="52"/>
  <c r="P3802" i="52"/>
  <c r="P3803" i="52"/>
  <c r="P3804" i="52"/>
  <c r="P3805" i="52"/>
  <c r="P3806" i="52"/>
  <c r="P3807" i="52"/>
  <c r="P3808" i="52"/>
  <c r="P3809" i="52"/>
  <c r="P3810" i="52"/>
  <c r="P3811" i="52"/>
  <c r="P3812" i="52"/>
  <c r="P3813" i="52"/>
  <c r="P3814" i="52"/>
  <c r="P3815" i="52"/>
  <c r="P3816" i="52"/>
  <c r="P3817" i="52"/>
  <c r="P3818" i="52"/>
  <c r="P3819" i="52"/>
  <c r="P3820" i="52"/>
  <c r="P3821" i="52"/>
  <c r="P3822" i="52"/>
  <c r="P3823" i="52"/>
  <c r="P3824" i="52"/>
  <c r="P3825" i="52"/>
  <c r="P3826" i="52"/>
  <c r="P3827" i="52"/>
  <c r="P3828" i="52"/>
  <c r="P3829" i="52"/>
  <c r="P3830" i="52"/>
  <c r="P3831" i="52"/>
  <c r="P3832" i="52"/>
  <c r="P3833" i="52"/>
  <c r="P3834" i="52"/>
  <c r="P3835" i="52"/>
  <c r="P3836" i="52"/>
  <c r="P3837" i="52"/>
  <c r="P3838" i="52"/>
  <c r="P3839" i="52"/>
  <c r="P3840" i="52"/>
  <c r="P3841" i="52"/>
  <c r="P3842" i="52"/>
  <c r="P3843" i="52"/>
  <c r="P3844" i="52"/>
  <c r="P3845" i="52"/>
  <c r="P3846" i="52"/>
  <c r="P3847" i="52"/>
  <c r="P3848" i="52"/>
  <c r="P3849" i="52"/>
  <c r="P3850" i="52"/>
  <c r="P3851" i="52"/>
  <c r="P3852" i="52"/>
  <c r="P3853" i="52"/>
  <c r="P3854" i="52"/>
  <c r="P3855" i="52"/>
  <c r="P3856" i="52"/>
  <c r="P3857" i="52"/>
  <c r="P3858" i="52"/>
  <c r="P3859" i="52"/>
  <c r="P3860" i="52"/>
  <c r="P3861" i="52"/>
  <c r="P3862" i="52"/>
  <c r="P3863" i="52"/>
  <c r="P3864" i="52"/>
  <c r="P3865" i="52"/>
  <c r="P3866" i="52"/>
  <c r="P3867" i="52"/>
  <c r="P3868" i="52"/>
  <c r="P3869" i="52"/>
  <c r="P3870" i="52"/>
  <c r="P3871" i="52"/>
  <c r="P3872" i="52"/>
  <c r="P3873" i="52"/>
  <c r="P3874" i="52"/>
  <c r="P3875" i="52"/>
  <c r="P3876" i="52"/>
  <c r="P3877" i="52"/>
  <c r="P3878" i="52"/>
  <c r="P3879" i="52"/>
  <c r="P3880" i="52"/>
  <c r="P3881" i="52"/>
  <c r="P3882" i="52"/>
  <c r="P3883" i="52"/>
  <c r="P3884" i="52"/>
  <c r="P3885" i="52"/>
  <c r="P3886" i="52"/>
  <c r="P3887" i="52"/>
  <c r="P3888" i="52"/>
  <c r="P3889" i="52"/>
  <c r="P3890" i="52"/>
  <c r="P3891" i="52"/>
  <c r="P3892" i="52"/>
  <c r="P3893" i="52"/>
  <c r="P3894" i="52"/>
  <c r="P3895" i="52"/>
  <c r="P3896" i="52"/>
  <c r="P3897" i="52"/>
  <c r="P3898" i="52"/>
  <c r="P3899" i="52"/>
  <c r="P3900" i="52"/>
  <c r="P3901" i="52"/>
  <c r="P3902" i="52"/>
  <c r="P3903" i="52"/>
  <c r="P3904" i="52"/>
  <c r="P3905" i="52"/>
  <c r="P3906" i="52"/>
  <c r="P3907" i="52"/>
  <c r="P3908" i="52"/>
  <c r="P3909" i="52"/>
  <c r="P3910" i="52"/>
  <c r="P3911" i="52"/>
  <c r="P3912" i="52"/>
  <c r="P3913" i="52"/>
  <c r="P3914" i="52"/>
  <c r="P3915" i="52"/>
  <c r="P3916" i="52"/>
  <c r="P3917" i="52"/>
  <c r="P3918" i="52"/>
  <c r="P3919" i="52"/>
  <c r="P3920" i="52"/>
  <c r="P3921" i="52"/>
  <c r="P3922" i="52"/>
  <c r="P3923" i="52"/>
  <c r="P3924" i="52"/>
  <c r="P3925" i="52"/>
  <c r="P3926" i="52"/>
  <c r="P3927" i="52"/>
  <c r="P3928" i="52"/>
  <c r="P3929" i="52"/>
  <c r="P3930" i="52"/>
  <c r="P3931" i="52"/>
  <c r="P3932" i="52"/>
  <c r="P3933" i="52"/>
  <c r="P3934" i="52"/>
  <c r="P3935" i="52"/>
  <c r="P3936" i="52"/>
  <c r="P3937" i="52"/>
  <c r="P3938" i="52"/>
  <c r="P3939" i="52"/>
  <c r="P3940" i="52"/>
  <c r="P3941" i="52"/>
  <c r="P3942" i="52"/>
  <c r="P3943" i="52"/>
  <c r="P3944" i="52"/>
  <c r="P3945" i="52"/>
  <c r="P3946" i="52"/>
  <c r="P3947" i="52"/>
  <c r="P3948" i="52"/>
  <c r="P3949" i="52"/>
  <c r="P3950" i="52"/>
  <c r="P3951" i="52"/>
  <c r="P3952" i="52"/>
  <c r="P3953" i="52"/>
  <c r="P3954" i="52"/>
  <c r="P3955" i="52"/>
  <c r="P3956" i="52"/>
  <c r="P3957" i="52"/>
  <c r="P3958" i="52"/>
  <c r="P3959" i="52"/>
  <c r="P3960" i="52"/>
  <c r="P3961" i="52"/>
  <c r="P3962" i="52"/>
  <c r="P3963" i="52"/>
  <c r="P3964" i="52"/>
  <c r="P3965" i="52"/>
  <c r="P3966" i="52"/>
  <c r="P3967" i="52"/>
  <c r="P3968" i="52"/>
  <c r="P3969" i="52"/>
  <c r="P3970" i="52"/>
  <c r="P3971" i="52"/>
  <c r="P3972" i="52"/>
  <c r="P3973" i="52"/>
  <c r="P3974" i="52"/>
  <c r="P3975" i="52"/>
  <c r="P3976" i="52"/>
  <c r="P3977" i="52"/>
  <c r="P3978" i="52"/>
  <c r="P3979" i="52"/>
  <c r="P3980" i="52"/>
  <c r="P3981" i="52"/>
  <c r="P3982" i="52"/>
  <c r="P3983" i="52"/>
  <c r="P3984" i="52"/>
  <c r="P3985" i="52"/>
  <c r="P3986" i="52"/>
  <c r="P3987" i="52"/>
  <c r="P3988" i="52"/>
  <c r="P3989" i="52"/>
  <c r="P3990" i="52"/>
  <c r="P3991" i="52"/>
  <c r="P3992" i="52"/>
  <c r="P3993" i="52"/>
  <c r="P3994" i="52"/>
  <c r="P3995" i="52"/>
  <c r="P3996" i="52"/>
  <c r="P3997" i="52"/>
  <c r="P3998" i="52"/>
  <c r="P3999" i="52"/>
  <c r="P4000" i="52"/>
  <c r="P4001" i="52"/>
  <c r="P4002" i="52"/>
  <c r="P4003" i="52"/>
  <c r="P4004" i="52"/>
  <c r="P4005" i="52"/>
  <c r="P4006" i="52"/>
  <c r="P4007" i="52"/>
  <c r="P4008" i="52"/>
  <c r="P4009" i="52"/>
  <c r="P4010" i="52"/>
  <c r="P4011" i="52"/>
  <c r="P4012" i="52"/>
  <c r="P4013" i="52"/>
  <c r="P4014" i="52"/>
  <c r="P4015" i="52"/>
  <c r="P4016" i="52"/>
  <c r="P4017" i="52"/>
  <c r="P4018" i="52"/>
  <c r="P4019" i="52"/>
  <c r="P4020" i="52"/>
  <c r="P4021" i="52"/>
  <c r="P4022" i="52"/>
  <c r="P4023" i="52"/>
  <c r="P4024" i="52"/>
  <c r="P4025" i="52"/>
  <c r="P4026" i="52"/>
  <c r="P4027" i="52"/>
  <c r="P4028" i="52"/>
  <c r="P4029" i="52"/>
  <c r="P4030" i="52"/>
  <c r="P4031" i="52"/>
  <c r="P4032" i="52"/>
  <c r="P4033" i="52"/>
  <c r="P4034" i="52"/>
  <c r="P4035" i="52"/>
  <c r="P4036" i="52"/>
  <c r="P4037" i="52"/>
  <c r="P4038" i="52"/>
  <c r="P4039" i="52"/>
  <c r="P4040" i="52"/>
  <c r="P4041" i="52"/>
  <c r="P4042" i="52"/>
  <c r="P4043" i="52"/>
  <c r="P4044" i="52"/>
  <c r="P4045" i="52"/>
  <c r="P4046" i="52"/>
  <c r="P4047" i="52"/>
  <c r="P4048" i="52"/>
  <c r="P4049" i="52"/>
  <c r="P4050" i="52"/>
  <c r="P4051" i="52"/>
  <c r="P4052" i="52"/>
  <c r="P4053" i="52"/>
  <c r="P4054" i="52"/>
  <c r="P4055" i="52"/>
  <c r="P4056" i="52"/>
  <c r="P4057" i="52"/>
  <c r="P4058" i="52"/>
  <c r="P4059" i="52"/>
  <c r="P4060" i="52"/>
  <c r="P4061" i="52"/>
  <c r="P4062" i="52"/>
  <c r="P4063" i="52"/>
  <c r="P4064" i="52"/>
  <c r="P4065" i="52"/>
  <c r="P4066" i="52"/>
  <c r="P4067" i="52"/>
  <c r="P4068" i="52"/>
  <c r="P4069" i="52"/>
  <c r="P4070" i="52"/>
  <c r="P4071" i="52"/>
  <c r="P4072" i="52"/>
  <c r="P4073" i="52"/>
  <c r="P4074" i="52"/>
  <c r="P4075" i="52"/>
  <c r="P4076" i="52"/>
  <c r="P4077" i="52"/>
  <c r="P4078" i="52"/>
  <c r="P4079" i="52"/>
  <c r="P4080" i="52"/>
  <c r="P4081" i="52"/>
  <c r="P4082" i="52"/>
  <c r="P4083" i="52"/>
  <c r="P4084" i="52"/>
  <c r="P4085" i="52"/>
  <c r="P4086" i="52"/>
  <c r="P4087" i="52"/>
  <c r="P4088" i="52"/>
  <c r="P4089" i="52"/>
  <c r="P4090" i="52"/>
  <c r="P4091" i="52"/>
  <c r="P4092" i="52"/>
  <c r="P4093" i="52"/>
  <c r="P4094" i="52"/>
  <c r="P4095" i="52"/>
  <c r="P4096" i="52"/>
  <c r="P4097" i="52"/>
  <c r="P4098" i="52"/>
  <c r="P4099" i="52"/>
  <c r="P4100" i="52"/>
  <c r="P4101" i="52"/>
  <c r="P4102" i="52"/>
  <c r="P4103" i="52"/>
  <c r="P4104" i="52"/>
  <c r="P4105" i="52"/>
  <c r="P4106" i="52"/>
  <c r="P4107" i="52"/>
  <c r="P4108" i="52"/>
  <c r="P4109" i="52"/>
  <c r="P4110" i="52"/>
  <c r="P4111" i="52"/>
  <c r="P4112" i="52"/>
  <c r="P4113" i="52"/>
  <c r="P4114" i="52"/>
  <c r="P4115" i="52"/>
  <c r="P4116" i="52"/>
  <c r="P4117" i="52"/>
  <c r="P4118" i="52"/>
  <c r="P4119" i="52"/>
  <c r="P4120" i="52"/>
  <c r="P4121" i="52"/>
  <c r="P4122" i="52"/>
  <c r="P4123" i="52"/>
  <c r="P4124" i="52"/>
  <c r="P4125" i="52"/>
  <c r="P4126" i="52"/>
  <c r="P4127" i="52"/>
  <c r="P4128" i="52"/>
  <c r="P4129" i="52"/>
  <c r="P4130" i="52"/>
  <c r="P4131" i="52"/>
  <c r="P4132" i="52"/>
  <c r="P4133" i="52"/>
  <c r="P4134" i="52"/>
  <c r="P4135" i="52"/>
  <c r="P4136" i="52"/>
  <c r="P4137" i="52"/>
  <c r="P4138" i="52"/>
  <c r="P4139" i="52"/>
  <c r="P4140" i="52"/>
  <c r="P4141" i="52"/>
  <c r="P4142" i="52"/>
  <c r="P4143" i="52"/>
  <c r="P4144" i="52"/>
  <c r="P4145" i="52"/>
  <c r="P4146" i="52"/>
  <c r="P4147" i="52"/>
  <c r="P4148" i="52"/>
  <c r="P4149" i="52"/>
  <c r="P4150" i="52"/>
  <c r="P4151" i="52"/>
  <c r="P4152" i="52"/>
  <c r="P4153" i="52"/>
  <c r="P4154" i="52"/>
  <c r="P4155" i="52"/>
  <c r="P4156" i="52"/>
  <c r="P4157" i="52"/>
  <c r="P4158" i="52"/>
  <c r="P4159" i="52"/>
  <c r="P4160" i="52"/>
  <c r="P4161" i="52"/>
  <c r="P4162" i="52"/>
  <c r="P4163" i="52"/>
  <c r="P4164" i="52"/>
  <c r="P4165" i="52"/>
  <c r="P4166" i="52"/>
  <c r="P4167" i="52"/>
  <c r="P4168" i="52"/>
  <c r="P4169" i="52"/>
  <c r="P4170" i="52"/>
  <c r="P4171" i="52"/>
  <c r="P4172" i="52"/>
  <c r="P4173" i="52"/>
  <c r="P4174" i="52"/>
  <c r="P4175" i="52"/>
  <c r="P4176" i="52"/>
  <c r="P4177" i="52"/>
  <c r="P4178" i="52"/>
  <c r="P4179" i="52"/>
  <c r="P4180" i="52"/>
  <c r="P4181" i="52"/>
  <c r="P4182" i="52"/>
  <c r="P4183" i="52"/>
  <c r="P4184" i="52"/>
  <c r="P4185" i="52"/>
  <c r="P4186" i="52"/>
  <c r="P4187" i="52"/>
  <c r="P4188" i="52"/>
  <c r="P4189" i="52"/>
  <c r="P4190" i="52"/>
  <c r="P4191" i="52"/>
  <c r="P4192" i="52"/>
  <c r="P4193" i="52"/>
  <c r="P4194" i="52"/>
  <c r="P4195" i="52"/>
  <c r="P4196" i="52"/>
  <c r="P4197" i="52"/>
  <c r="P4198" i="52"/>
  <c r="P4199" i="52"/>
  <c r="P4200" i="52"/>
  <c r="P4201" i="52"/>
  <c r="P4202" i="52"/>
  <c r="P4203" i="52"/>
  <c r="P4204" i="52"/>
  <c r="P4205" i="52"/>
  <c r="P4206" i="52"/>
  <c r="P4207" i="52"/>
  <c r="P4208" i="52"/>
  <c r="P4209" i="52"/>
  <c r="P4210" i="52"/>
  <c r="P4211" i="52"/>
  <c r="P4212" i="52"/>
  <c r="P4213" i="52"/>
  <c r="P4214" i="52"/>
  <c r="P4215" i="52"/>
  <c r="P4216" i="52"/>
  <c r="P4217" i="52"/>
  <c r="P4218" i="52"/>
  <c r="P4219" i="52"/>
  <c r="P4220" i="52"/>
  <c r="P4221" i="52"/>
  <c r="P4222" i="52"/>
  <c r="P4223" i="52"/>
  <c r="P4224" i="52"/>
  <c r="P4225" i="52"/>
  <c r="P4226" i="52"/>
  <c r="P4227" i="52"/>
  <c r="P4228" i="52"/>
  <c r="P4229" i="52"/>
  <c r="P4230" i="52"/>
  <c r="P4231" i="52"/>
  <c r="P4232" i="52"/>
  <c r="P4233" i="52"/>
  <c r="P4234" i="52"/>
  <c r="P4235" i="52"/>
  <c r="P4236" i="52"/>
  <c r="P4237" i="52"/>
  <c r="P4238" i="52"/>
  <c r="P4239" i="52"/>
  <c r="P4240" i="52"/>
  <c r="P4241" i="52"/>
  <c r="P4242" i="52"/>
  <c r="P4243" i="52"/>
  <c r="P4244" i="52"/>
  <c r="P4245" i="52"/>
  <c r="P4246" i="52"/>
  <c r="P4247" i="52"/>
  <c r="P4248" i="52"/>
  <c r="P4249" i="52"/>
  <c r="P4250" i="52"/>
  <c r="P4251" i="52"/>
  <c r="P4252" i="52"/>
  <c r="P4253" i="52"/>
  <c r="P4254" i="52"/>
  <c r="P4255" i="52"/>
  <c r="P4256" i="52"/>
  <c r="P4257" i="52"/>
  <c r="P4258" i="52"/>
  <c r="P4259" i="52"/>
  <c r="P4260" i="52"/>
  <c r="P4261" i="52"/>
  <c r="P4262" i="52"/>
  <c r="P4263" i="52"/>
  <c r="P4264" i="52"/>
  <c r="P4265" i="52"/>
  <c r="P4266" i="52"/>
  <c r="P4267" i="52"/>
  <c r="P4268" i="52"/>
  <c r="P4269" i="52"/>
  <c r="P4270" i="52"/>
  <c r="P4271" i="52"/>
  <c r="P4272" i="52"/>
  <c r="P4273" i="52"/>
  <c r="P4274" i="52"/>
  <c r="P4275" i="52"/>
  <c r="P4276" i="52"/>
  <c r="P4277" i="52"/>
  <c r="P4278" i="52"/>
  <c r="P4279" i="52"/>
  <c r="P4280" i="52"/>
  <c r="P4281" i="52"/>
  <c r="P4282" i="52"/>
  <c r="P4283" i="52"/>
  <c r="P4284" i="52"/>
  <c r="P4285" i="52"/>
  <c r="P4286" i="52"/>
  <c r="P4287" i="52"/>
  <c r="P4288" i="52"/>
  <c r="P4289" i="52"/>
  <c r="P4290" i="52"/>
  <c r="P4291" i="52"/>
  <c r="P4292" i="52"/>
  <c r="P4293" i="52"/>
  <c r="P4294" i="52"/>
  <c r="P4295" i="52"/>
  <c r="P4296" i="52"/>
  <c r="P4297" i="52"/>
  <c r="P4298" i="52"/>
  <c r="P4299" i="52"/>
  <c r="P4300" i="52"/>
  <c r="P4301" i="52"/>
  <c r="P4302" i="52"/>
  <c r="P4303" i="52"/>
  <c r="P4304" i="52"/>
  <c r="P4305" i="52"/>
  <c r="P4306" i="52"/>
  <c r="P4307" i="52"/>
  <c r="P4308" i="52"/>
  <c r="P4309" i="52"/>
  <c r="P4310" i="52"/>
  <c r="P4311" i="52"/>
  <c r="P4312" i="52"/>
  <c r="P4313" i="52"/>
  <c r="P4314" i="52"/>
  <c r="P4315" i="52"/>
  <c r="P4316" i="52"/>
  <c r="P4317" i="52"/>
  <c r="P4318" i="52"/>
  <c r="P4319" i="52"/>
  <c r="P4320" i="52"/>
  <c r="P4321" i="52"/>
  <c r="P4322" i="52"/>
  <c r="P4323" i="52"/>
  <c r="P4324" i="52"/>
  <c r="P4325" i="52"/>
  <c r="P4326" i="52"/>
  <c r="P4327" i="52"/>
  <c r="P4328" i="52"/>
  <c r="P4329" i="52"/>
  <c r="P4330" i="52"/>
  <c r="P4331" i="52"/>
  <c r="P4332" i="52"/>
  <c r="P4333" i="52"/>
  <c r="P4334" i="52"/>
  <c r="P4335" i="52"/>
  <c r="P4336" i="52"/>
  <c r="P4337" i="52"/>
  <c r="P4338" i="52"/>
  <c r="P4339" i="52"/>
  <c r="P4340" i="52"/>
  <c r="P4341" i="52"/>
  <c r="P4342" i="52"/>
  <c r="P4343" i="52"/>
  <c r="P4344" i="52"/>
  <c r="P4345" i="52"/>
  <c r="P4346" i="52"/>
  <c r="P4347" i="52"/>
  <c r="P4348" i="52"/>
  <c r="P4349" i="52"/>
  <c r="P4350" i="52"/>
  <c r="P4351" i="52"/>
  <c r="P4352" i="52"/>
  <c r="P4353" i="52"/>
  <c r="P4354" i="52"/>
  <c r="P4355" i="52"/>
  <c r="P4356" i="52"/>
  <c r="P4357" i="52"/>
  <c r="P4358" i="52"/>
  <c r="P4359" i="52"/>
  <c r="P4360" i="52"/>
  <c r="P4361" i="52"/>
  <c r="P4362" i="52"/>
  <c r="P4363" i="52"/>
  <c r="P4364" i="52"/>
  <c r="P4365" i="52"/>
  <c r="P4366" i="52"/>
  <c r="P4367" i="52"/>
  <c r="P4368" i="52"/>
  <c r="P4369" i="52"/>
  <c r="P4370" i="52"/>
  <c r="P4371" i="52"/>
  <c r="P4372" i="52"/>
  <c r="P4373" i="52"/>
  <c r="P4374" i="52"/>
  <c r="P4375" i="52"/>
  <c r="P4376" i="52"/>
  <c r="P4377" i="52"/>
  <c r="P4378" i="52"/>
  <c r="P4379" i="52"/>
  <c r="P4380" i="52"/>
  <c r="P4381" i="52"/>
  <c r="P4382" i="52"/>
  <c r="P4383" i="52"/>
  <c r="P4384" i="52"/>
  <c r="P4385" i="52"/>
  <c r="P4386" i="52"/>
  <c r="P4387" i="52"/>
  <c r="P4388" i="52"/>
  <c r="P4389" i="52"/>
  <c r="P4390" i="52"/>
  <c r="P4391" i="52"/>
  <c r="P4392" i="52"/>
  <c r="P4393" i="52"/>
  <c r="P4394" i="52"/>
  <c r="P4395" i="52"/>
  <c r="P4396" i="52"/>
  <c r="P4397" i="52"/>
  <c r="P4398" i="52"/>
  <c r="P4399" i="52"/>
  <c r="P4400" i="52"/>
  <c r="P4401" i="52"/>
  <c r="P4402" i="52"/>
  <c r="P4403" i="52"/>
  <c r="P4404" i="52"/>
  <c r="P4405" i="52"/>
  <c r="P4406" i="52"/>
  <c r="P4407" i="52"/>
  <c r="P4408" i="52"/>
  <c r="P4409" i="52"/>
  <c r="P4410" i="52"/>
  <c r="P4411" i="52"/>
  <c r="P4412" i="52"/>
  <c r="P4413" i="52"/>
  <c r="P4414" i="52"/>
  <c r="P4415" i="52"/>
  <c r="P4416" i="52"/>
  <c r="P4417" i="52"/>
  <c r="P4418" i="52"/>
  <c r="P4419" i="52"/>
  <c r="P4420" i="52"/>
  <c r="P4421" i="52"/>
  <c r="P4422" i="52"/>
  <c r="P4423" i="52"/>
  <c r="P4424" i="52"/>
  <c r="P4425" i="52"/>
  <c r="P4426" i="52"/>
  <c r="P4427" i="52"/>
  <c r="P4428" i="52"/>
  <c r="P4429" i="52"/>
  <c r="P4430" i="52"/>
  <c r="P4431" i="52"/>
  <c r="P4432" i="52"/>
  <c r="P4433" i="52"/>
  <c r="P4434" i="52"/>
  <c r="P4435" i="52"/>
  <c r="P4436" i="52"/>
  <c r="P4437" i="52"/>
  <c r="P4438" i="52"/>
  <c r="P4439" i="52"/>
  <c r="P4440" i="52"/>
  <c r="P4441" i="52"/>
  <c r="P4442" i="52"/>
  <c r="P4443" i="52"/>
  <c r="P4444" i="52"/>
  <c r="P4445" i="52"/>
  <c r="P4446" i="52"/>
  <c r="P4447" i="52"/>
  <c r="P4448" i="52"/>
  <c r="P4449" i="52"/>
  <c r="P4450" i="52"/>
  <c r="P4451" i="52"/>
  <c r="P4452" i="52"/>
  <c r="P4453" i="52"/>
  <c r="P4454" i="52"/>
  <c r="P4455" i="52"/>
  <c r="P4456" i="52"/>
  <c r="P4457" i="52"/>
  <c r="P4458" i="52"/>
  <c r="P4459" i="52"/>
  <c r="P4460" i="52"/>
  <c r="P4461" i="52"/>
  <c r="P4462" i="52"/>
  <c r="P4463" i="52"/>
  <c r="P4464" i="52"/>
  <c r="P4465" i="52"/>
  <c r="P4466" i="52"/>
  <c r="P4467" i="52"/>
  <c r="P4468" i="52"/>
  <c r="P4469" i="52"/>
  <c r="P4470" i="52"/>
  <c r="P4471" i="52"/>
  <c r="P4472" i="52"/>
  <c r="P4473" i="52"/>
  <c r="P4474" i="52"/>
  <c r="P4475" i="52"/>
  <c r="P4476" i="52"/>
  <c r="P4477" i="52"/>
  <c r="P4478" i="52"/>
  <c r="P4479" i="52"/>
  <c r="P4480" i="52"/>
  <c r="P4481" i="52"/>
  <c r="P4482" i="52"/>
  <c r="P4483" i="52"/>
  <c r="P4484" i="52"/>
  <c r="P4485" i="52"/>
  <c r="P4486" i="52"/>
  <c r="P4487" i="52"/>
  <c r="P4488" i="52"/>
  <c r="P4489" i="52"/>
  <c r="P4490" i="52"/>
  <c r="P4491" i="52"/>
  <c r="P4492" i="52"/>
  <c r="P4493" i="52"/>
  <c r="P4494" i="52"/>
  <c r="P4495" i="52"/>
  <c r="P4496" i="52"/>
  <c r="P4497" i="52"/>
  <c r="P4498" i="52"/>
  <c r="P4499" i="52"/>
  <c r="P4500" i="52"/>
  <c r="P4501" i="52"/>
  <c r="P4502" i="52"/>
  <c r="P4503" i="52"/>
  <c r="P4504" i="52"/>
  <c r="P4505" i="52"/>
  <c r="P4506" i="52"/>
  <c r="P4507" i="52"/>
  <c r="P4508" i="52"/>
  <c r="P4509" i="52"/>
  <c r="P4510" i="52"/>
  <c r="P4511" i="52"/>
  <c r="P4512" i="52"/>
  <c r="P4513" i="52"/>
  <c r="P4514" i="52"/>
  <c r="P4515" i="52"/>
  <c r="P4516" i="52"/>
  <c r="P4517" i="52"/>
  <c r="P4518" i="52"/>
  <c r="P4519" i="52"/>
  <c r="P4520" i="52"/>
  <c r="P4521" i="52"/>
  <c r="P4522" i="52"/>
  <c r="P4523" i="52"/>
  <c r="P4524" i="52"/>
  <c r="P4525" i="52"/>
  <c r="P4526" i="52"/>
  <c r="P4527" i="52"/>
  <c r="P4528" i="52"/>
  <c r="P4529" i="52"/>
  <c r="P4530" i="52"/>
  <c r="P4531" i="52"/>
  <c r="P4532" i="52"/>
  <c r="P4533" i="52"/>
  <c r="P4534" i="52"/>
  <c r="P4535" i="52"/>
  <c r="P4536" i="52"/>
  <c r="P4537" i="52"/>
  <c r="P4538" i="52"/>
  <c r="P4539" i="52"/>
  <c r="P4540" i="52"/>
  <c r="P4541" i="52"/>
  <c r="P4542" i="52"/>
  <c r="P4543" i="52"/>
  <c r="P4544" i="52"/>
  <c r="P4545" i="52"/>
  <c r="P4546" i="52"/>
  <c r="P4547" i="52"/>
  <c r="P4548" i="52"/>
  <c r="P4549" i="52"/>
  <c r="P4550" i="52"/>
  <c r="P4551" i="52"/>
  <c r="P4552" i="52"/>
  <c r="P4553" i="52"/>
  <c r="P4554" i="52"/>
  <c r="P4555" i="52"/>
  <c r="P4556" i="52"/>
  <c r="P4557" i="52"/>
  <c r="P4558" i="52"/>
  <c r="P4559" i="52"/>
  <c r="P4560" i="52"/>
  <c r="P4561" i="52"/>
  <c r="P4562" i="52"/>
  <c r="P4563" i="52"/>
  <c r="P4564" i="52"/>
  <c r="P4565" i="52"/>
  <c r="P4566" i="52"/>
  <c r="P4567" i="52"/>
  <c r="P4568" i="52"/>
  <c r="P4569" i="52"/>
  <c r="P4570" i="52"/>
  <c r="P4571" i="52"/>
  <c r="P4572" i="52"/>
  <c r="P4573" i="52"/>
  <c r="P4574" i="52"/>
  <c r="P4575" i="52"/>
  <c r="P4576" i="52"/>
  <c r="P4577" i="52"/>
  <c r="P4578" i="52"/>
  <c r="P4579" i="52"/>
  <c r="P4580" i="52"/>
  <c r="P4581" i="52"/>
  <c r="P4582" i="52"/>
  <c r="P4583" i="52"/>
  <c r="P4584" i="52"/>
  <c r="P4585" i="52"/>
  <c r="P4586" i="52"/>
  <c r="P4587" i="52"/>
  <c r="P4588" i="52"/>
  <c r="P4589" i="52"/>
  <c r="P4590" i="52"/>
  <c r="P4591" i="52"/>
  <c r="P4592" i="52"/>
  <c r="P4593" i="52"/>
  <c r="P4594" i="52"/>
  <c r="P4595" i="52"/>
  <c r="P4596" i="52"/>
  <c r="P4597" i="52"/>
  <c r="P4598" i="52"/>
  <c r="P4599" i="52"/>
  <c r="P4600" i="52"/>
  <c r="P4601" i="52"/>
  <c r="P4602" i="52"/>
  <c r="P4603" i="52"/>
  <c r="P4604" i="52"/>
  <c r="P4605" i="52"/>
  <c r="P4606" i="52"/>
  <c r="P4607" i="52"/>
  <c r="P4608" i="52"/>
  <c r="P4609" i="52"/>
  <c r="P4610" i="52"/>
  <c r="P4611" i="52"/>
  <c r="P4612" i="52"/>
  <c r="P4613" i="52"/>
  <c r="P4614" i="52"/>
  <c r="P4615" i="52"/>
  <c r="P4616" i="52"/>
  <c r="P4617" i="52"/>
  <c r="P4618" i="52"/>
  <c r="P4619" i="52"/>
  <c r="P4620" i="52"/>
  <c r="P4621" i="52"/>
  <c r="P4622" i="52"/>
  <c r="P4623" i="52"/>
  <c r="P4624" i="52"/>
  <c r="P4625" i="52"/>
  <c r="P4626" i="52"/>
  <c r="P4627" i="52"/>
  <c r="P4628" i="52"/>
  <c r="P4629" i="52"/>
  <c r="P4630" i="52"/>
  <c r="P4631" i="52"/>
  <c r="P4632" i="52"/>
  <c r="P4633" i="52"/>
  <c r="P4634" i="52"/>
  <c r="P4635" i="52"/>
  <c r="P4636" i="52"/>
  <c r="P4637" i="52"/>
  <c r="P4638" i="52"/>
  <c r="P4639" i="52"/>
  <c r="P4640" i="52"/>
  <c r="P4641" i="52"/>
  <c r="P4642" i="52"/>
  <c r="P4643" i="52"/>
  <c r="P4644" i="52"/>
  <c r="P4645" i="52"/>
  <c r="P4646" i="52"/>
  <c r="P4647" i="52"/>
  <c r="P4648" i="52"/>
  <c r="P4649" i="52"/>
  <c r="P4650" i="52"/>
  <c r="P4651" i="52"/>
  <c r="P4652" i="52"/>
  <c r="P4653" i="52"/>
  <c r="P4654" i="52"/>
  <c r="P4655" i="52"/>
  <c r="P4656" i="52"/>
  <c r="P4657" i="52"/>
  <c r="P4658" i="52"/>
  <c r="P4659" i="52"/>
  <c r="P4660" i="52"/>
  <c r="P4661" i="52"/>
  <c r="P4662" i="52"/>
  <c r="P4663" i="52"/>
  <c r="P4664" i="52"/>
  <c r="P4665" i="52"/>
  <c r="P4666" i="52"/>
  <c r="P4667" i="52"/>
  <c r="P4668" i="52"/>
  <c r="P4669" i="52"/>
  <c r="P4670" i="52"/>
  <c r="P4671" i="52"/>
  <c r="P4672" i="52"/>
  <c r="P4673" i="52"/>
  <c r="P4674" i="52"/>
  <c r="P4675" i="52"/>
  <c r="P4676" i="52"/>
  <c r="P4677" i="52"/>
  <c r="P4678" i="52"/>
  <c r="P4679" i="52"/>
  <c r="P4680" i="52"/>
  <c r="P4681" i="52"/>
  <c r="P4682" i="52"/>
  <c r="P4683" i="52"/>
  <c r="P4684" i="52"/>
  <c r="P4685" i="52"/>
  <c r="P4686" i="52"/>
  <c r="P4687" i="52"/>
  <c r="P4688" i="52"/>
  <c r="P4689" i="52"/>
  <c r="P4690" i="52"/>
  <c r="P4691" i="52"/>
  <c r="P4692" i="52"/>
  <c r="P4693" i="52"/>
  <c r="P4694" i="52"/>
  <c r="P4695" i="52"/>
  <c r="P4696" i="52"/>
  <c r="P4697" i="52"/>
  <c r="P4698" i="52"/>
  <c r="P4699" i="52"/>
  <c r="P4700" i="52"/>
  <c r="P4701" i="52"/>
  <c r="P4702" i="52"/>
  <c r="P4703" i="52"/>
  <c r="P4704" i="52"/>
  <c r="P4705" i="52"/>
  <c r="P4706" i="52"/>
  <c r="P4707" i="52"/>
  <c r="P4708" i="52"/>
  <c r="P4709" i="52"/>
  <c r="P4710" i="52"/>
  <c r="P4711" i="52"/>
  <c r="P4712" i="52"/>
  <c r="P4713" i="52"/>
  <c r="P4714" i="52"/>
  <c r="P4715" i="52"/>
  <c r="P4716" i="52"/>
  <c r="P4717" i="52"/>
  <c r="P4718" i="52"/>
  <c r="P4719" i="52"/>
  <c r="P4720" i="52"/>
  <c r="P4721" i="52"/>
  <c r="P4722" i="52"/>
  <c r="P4723" i="52"/>
  <c r="P4724" i="52"/>
  <c r="P4725" i="52"/>
  <c r="P4726" i="52"/>
  <c r="P4727" i="52"/>
  <c r="P4728" i="52"/>
  <c r="P4729" i="52"/>
  <c r="P4730" i="52"/>
  <c r="P4731" i="52"/>
  <c r="P4732" i="52"/>
  <c r="P4733" i="52"/>
  <c r="P4734" i="52"/>
  <c r="P4735" i="52"/>
  <c r="P4736" i="52"/>
  <c r="P4737" i="52"/>
  <c r="P4738" i="52"/>
  <c r="P4739" i="52"/>
  <c r="P4740" i="52"/>
  <c r="P4741" i="52"/>
  <c r="P4742" i="52"/>
  <c r="P4743" i="52"/>
  <c r="P4744" i="52"/>
  <c r="P4745" i="52"/>
  <c r="P4746" i="52"/>
  <c r="P4747" i="52"/>
  <c r="P4748" i="52"/>
  <c r="P4749" i="52"/>
  <c r="P4750" i="52"/>
  <c r="P4751" i="52"/>
  <c r="P4752" i="52"/>
  <c r="P4753" i="52"/>
  <c r="P4754" i="52"/>
  <c r="P4755" i="52"/>
  <c r="P4756" i="52"/>
  <c r="P4757" i="52"/>
  <c r="P4758" i="52"/>
  <c r="P4759" i="52"/>
  <c r="P4760" i="52"/>
  <c r="P4761" i="52"/>
  <c r="P4762" i="52"/>
  <c r="P4763" i="52"/>
  <c r="P4764" i="52"/>
  <c r="P4765" i="52"/>
  <c r="P4766" i="52"/>
  <c r="P4767" i="52"/>
  <c r="P4768" i="52"/>
  <c r="P4769" i="52"/>
  <c r="P4770" i="52"/>
  <c r="P4771" i="52"/>
  <c r="P4772" i="52"/>
  <c r="P4773" i="52"/>
  <c r="P4774" i="52"/>
  <c r="P4775" i="52"/>
  <c r="P4776" i="52"/>
  <c r="P4777" i="52"/>
  <c r="P4778" i="52"/>
  <c r="P4779" i="52"/>
  <c r="P4780" i="52"/>
  <c r="P4781" i="52"/>
  <c r="P4782" i="52"/>
  <c r="P4783" i="52"/>
  <c r="P4784" i="52"/>
  <c r="P4785" i="52"/>
  <c r="P4786" i="52"/>
  <c r="P4787" i="52"/>
  <c r="P4788" i="52"/>
  <c r="P4789" i="52"/>
  <c r="P4790" i="52"/>
  <c r="P4791" i="52"/>
  <c r="P4792" i="52"/>
  <c r="P4793" i="52"/>
  <c r="P4794" i="52"/>
  <c r="P4795" i="52"/>
  <c r="P4796" i="52"/>
  <c r="P4797" i="52"/>
  <c r="P4798" i="52"/>
  <c r="P4799" i="52"/>
  <c r="P4800" i="52"/>
  <c r="P4801" i="52"/>
  <c r="P4802" i="52"/>
  <c r="P4803" i="52"/>
  <c r="P4804" i="52"/>
  <c r="P4805" i="52"/>
  <c r="P4806" i="52"/>
  <c r="P4807" i="52"/>
  <c r="P4808" i="52"/>
  <c r="P4809" i="52"/>
  <c r="P4810" i="52"/>
  <c r="P4811" i="52"/>
  <c r="P4812" i="52"/>
  <c r="P4813" i="52"/>
  <c r="P4814" i="52"/>
  <c r="P4815" i="52"/>
  <c r="P4816" i="52"/>
  <c r="P4817" i="52"/>
  <c r="P4818" i="52"/>
  <c r="P4819" i="52"/>
  <c r="P4820" i="52"/>
  <c r="P4821" i="52"/>
  <c r="P4822" i="52"/>
  <c r="P4823" i="52"/>
  <c r="P4824" i="52"/>
  <c r="P4825" i="52"/>
  <c r="P4826" i="52"/>
  <c r="P4827" i="52"/>
  <c r="P4828" i="52"/>
  <c r="P4829" i="52"/>
  <c r="P4830" i="52"/>
  <c r="P4831" i="52"/>
  <c r="P4832" i="52"/>
  <c r="P4833" i="52"/>
  <c r="P4834" i="52"/>
  <c r="P4835" i="52"/>
  <c r="P4836" i="52"/>
  <c r="P4837" i="52"/>
  <c r="P4838" i="52"/>
  <c r="P4839" i="52"/>
  <c r="P4840" i="52"/>
  <c r="P4841" i="52"/>
  <c r="P4842" i="52"/>
  <c r="P4843" i="52"/>
  <c r="P4844" i="52"/>
  <c r="P4845" i="52"/>
  <c r="P4846" i="52"/>
  <c r="P4847" i="52"/>
  <c r="P4848" i="52"/>
  <c r="P4849" i="52"/>
  <c r="P4850" i="52"/>
  <c r="P4851" i="52"/>
  <c r="P4852" i="52"/>
  <c r="P4853" i="52"/>
  <c r="P4854" i="52"/>
  <c r="P4855" i="52"/>
  <c r="P4856" i="52"/>
  <c r="P4857" i="52"/>
  <c r="P4858" i="52"/>
  <c r="P4859" i="52"/>
  <c r="P4860" i="52"/>
  <c r="P4861" i="52"/>
  <c r="P4862" i="52"/>
  <c r="P4863" i="52"/>
  <c r="P4864" i="52"/>
  <c r="P4865" i="52"/>
  <c r="P4866" i="52"/>
  <c r="P4867" i="52"/>
  <c r="P4868" i="52"/>
  <c r="P4869" i="52"/>
  <c r="P4870" i="52"/>
  <c r="P4871" i="52"/>
  <c r="P4872" i="52"/>
  <c r="P4873" i="52"/>
  <c r="P4874" i="52"/>
  <c r="P4875" i="52"/>
  <c r="P4876" i="52"/>
  <c r="P4877" i="52"/>
  <c r="P4878" i="52"/>
  <c r="P4879" i="52"/>
  <c r="P4880" i="52"/>
  <c r="P4881" i="52"/>
  <c r="P4882" i="52"/>
  <c r="P4883" i="52"/>
  <c r="P4884" i="52"/>
  <c r="P4885" i="52"/>
  <c r="P4886" i="52"/>
  <c r="P4887" i="52"/>
  <c r="P4888" i="52"/>
  <c r="P4889" i="52"/>
  <c r="P4890" i="52"/>
  <c r="P4891" i="52"/>
  <c r="P4892" i="52"/>
  <c r="P4893" i="52"/>
  <c r="P4894" i="52"/>
  <c r="P4895" i="52"/>
  <c r="P4896" i="52"/>
  <c r="P4897" i="52"/>
  <c r="P4898" i="52"/>
  <c r="P4899" i="52"/>
  <c r="P4900" i="52"/>
  <c r="P4901" i="52"/>
  <c r="P4902" i="52"/>
  <c r="P4903" i="52"/>
  <c r="P4904" i="52"/>
  <c r="P4905" i="52"/>
  <c r="P4906" i="52"/>
  <c r="P4907" i="52"/>
  <c r="P4908" i="52"/>
  <c r="P4909" i="52"/>
  <c r="P4910" i="52"/>
  <c r="P4911" i="52"/>
  <c r="P4912" i="52"/>
  <c r="P4913" i="52"/>
  <c r="P4914" i="52"/>
  <c r="P4915" i="52"/>
  <c r="P4916" i="52"/>
  <c r="P4917" i="52"/>
  <c r="P4918" i="52"/>
  <c r="P4919" i="52"/>
  <c r="P4920" i="52"/>
  <c r="P4921" i="52"/>
  <c r="P4922" i="52"/>
  <c r="P4923" i="52"/>
  <c r="P4924" i="52"/>
  <c r="P4925" i="52"/>
  <c r="P4926" i="52"/>
  <c r="P4927" i="52"/>
  <c r="P4928" i="52"/>
  <c r="P4929" i="52"/>
  <c r="P4930" i="52"/>
  <c r="P4931" i="52"/>
  <c r="P4932" i="52"/>
  <c r="P4933" i="52"/>
  <c r="P4934" i="52"/>
  <c r="P4935" i="52"/>
  <c r="P4936" i="52"/>
  <c r="P4937" i="52"/>
  <c r="P4938" i="52"/>
  <c r="P4939" i="52"/>
  <c r="P4940" i="52"/>
  <c r="P4941" i="52"/>
  <c r="P4942" i="52"/>
  <c r="P4943" i="52"/>
  <c r="P4944" i="52"/>
  <c r="P4945" i="52"/>
  <c r="P4946" i="52"/>
  <c r="P4947" i="52"/>
  <c r="P4948" i="52"/>
  <c r="P4949" i="52"/>
  <c r="P4950" i="52"/>
  <c r="P4951" i="52"/>
  <c r="P4952" i="52"/>
  <c r="P4953" i="52"/>
  <c r="P4954" i="52"/>
  <c r="P4955" i="52"/>
  <c r="P4956" i="52"/>
  <c r="P4957" i="52"/>
  <c r="P4958" i="52"/>
  <c r="P4959" i="52"/>
  <c r="P4960" i="52"/>
  <c r="P4961" i="52"/>
  <c r="P4962" i="52"/>
  <c r="P4963" i="52"/>
  <c r="P4964" i="52"/>
  <c r="P4965" i="52"/>
  <c r="P4966" i="52"/>
  <c r="P4967" i="52"/>
  <c r="P4968" i="52"/>
  <c r="P4969" i="52"/>
  <c r="P4970" i="52"/>
  <c r="P4971" i="52"/>
  <c r="P4972" i="52"/>
  <c r="P4973" i="52"/>
  <c r="P4974" i="52"/>
  <c r="P4975" i="52"/>
  <c r="P4976" i="52"/>
  <c r="P4977" i="52"/>
  <c r="P4978" i="52"/>
  <c r="P4979" i="52"/>
  <c r="P4980" i="52"/>
  <c r="P4981" i="52"/>
  <c r="P4982" i="52"/>
  <c r="P4983" i="52"/>
  <c r="P4984" i="52"/>
  <c r="P4985" i="52"/>
  <c r="P4986" i="52"/>
  <c r="P4987" i="52"/>
  <c r="P4988" i="52"/>
  <c r="P4989" i="52"/>
  <c r="P4990" i="52"/>
  <c r="P4991" i="52"/>
  <c r="P4992" i="52"/>
  <c r="P4993" i="52"/>
  <c r="P4994" i="52"/>
  <c r="P4995" i="52"/>
  <c r="P4996" i="52"/>
  <c r="P4997" i="52"/>
  <c r="P4998" i="52"/>
  <c r="P4999" i="52"/>
  <c r="P5000" i="52"/>
  <c r="P5001" i="52"/>
  <c r="P5002" i="52"/>
  <c r="P5003" i="52"/>
  <c r="P5004" i="52"/>
  <c r="P5005" i="52"/>
  <c r="P5006" i="52"/>
  <c r="P5007" i="52"/>
  <c r="P5008" i="52"/>
  <c r="P5009" i="52"/>
  <c r="P5010" i="52"/>
  <c r="P5011" i="52"/>
  <c r="P5012" i="52"/>
  <c r="P5013" i="52"/>
  <c r="P5014" i="52"/>
  <c r="P5015" i="52"/>
  <c r="P5016" i="52"/>
  <c r="P5017" i="52"/>
  <c r="P5018" i="52"/>
  <c r="P5019" i="52"/>
  <c r="P5020" i="52"/>
  <c r="P5021" i="52"/>
  <c r="P5022" i="52"/>
  <c r="P5023" i="52"/>
  <c r="P5024" i="52"/>
  <c r="P5025" i="52"/>
  <c r="P5026" i="52"/>
  <c r="P5027" i="52"/>
  <c r="P5028" i="52"/>
  <c r="P5029" i="52"/>
  <c r="P5030" i="52"/>
  <c r="P5031" i="52"/>
  <c r="P5032" i="52"/>
  <c r="P5033" i="52"/>
  <c r="P5034" i="52"/>
  <c r="P5035" i="52"/>
  <c r="P5036" i="52"/>
  <c r="P5037" i="52"/>
  <c r="P5038" i="52"/>
  <c r="P5039" i="52"/>
  <c r="P5040" i="52"/>
  <c r="P5041" i="52"/>
  <c r="P5042" i="52"/>
  <c r="P5043" i="52"/>
  <c r="P5044" i="52"/>
  <c r="P5045" i="52"/>
  <c r="P5046" i="52"/>
  <c r="P5047" i="52"/>
  <c r="P5048" i="52"/>
  <c r="P5049" i="52"/>
  <c r="P5050" i="52"/>
  <c r="P5051" i="52"/>
  <c r="P5052" i="52"/>
  <c r="P5053" i="52"/>
  <c r="P5054" i="52"/>
  <c r="P5055" i="52"/>
  <c r="P5056" i="52"/>
  <c r="P5057" i="52"/>
  <c r="P5058" i="52"/>
  <c r="P5059" i="52"/>
  <c r="P5060" i="52"/>
  <c r="P5061" i="52"/>
  <c r="P5062" i="52"/>
  <c r="P5063" i="52"/>
  <c r="P5064" i="52"/>
  <c r="P5065" i="52"/>
  <c r="P5066" i="52"/>
  <c r="P5067" i="52"/>
  <c r="P5068" i="52"/>
  <c r="P5069" i="52"/>
  <c r="P5070" i="52"/>
  <c r="P5071" i="52"/>
  <c r="P5072" i="52"/>
  <c r="P5073" i="52"/>
  <c r="P5074" i="52"/>
  <c r="P5075" i="52"/>
  <c r="P5076" i="52"/>
  <c r="P5077" i="52"/>
  <c r="P5078" i="52"/>
  <c r="P5079" i="52"/>
  <c r="P5080" i="52"/>
  <c r="P5081" i="52"/>
  <c r="P5082" i="52"/>
  <c r="P5083" i="52"/>
  <c r="P5084" i="52"/>
  <c r="P5085" i="52"/>
  <c r="P5086" i="52"/>
  <c r="P5087" i="52"/>
  <c r="P5088" i="52"/>
  <c r="P5089" i="52"/>
  <c r="P5090" i="52"/>
  <c r="P5091" i="52"/>
  <c r="P5092" i="52"/>
  <c r="P5093" i="52"/>
  <c r="P5094" i="52"/>
  <c r="P5095" i="52"/>
  <c r="P5096" i="52"/>
  <c r="P5097" i="52"/>
  <c r="P5098" i="52"/>
  <c r="P5099" i="52"/>
  <c r="P5100" i="52"/>
  <c r="P5101" i="52"/>
  <c r="P5102" i="52"/>
  <c r="P5103" i="52"/>
  <c r="P5104" i="52"/>
  <c r="P5105" i="52"/>
  <c r="P5106" i="52"/>
  <c r="P5107" i="52"/>
  <c r="P5108" i="52"/>
  <c r="P5109" i="52"/>
  <c r="P5110" i="52"/>
  <c r="P5111" i="52"/>
  <c r="P5112" i="52"/>
  <c r="P5113" i="52"/>
  <c r="P5114" i="52"/>
  <c r="P5115" i="52"/>
  <c r="P5116" i="52"/>
  <c r="P5117" i="52"/>
  <c r="P5118" i="52"/>
  <c r="P5119" i="52"/>
  <c r="P5120" i="52"/>
  <c r="P5121" i="52"/>
  <c r="P5122" i="52"/>
  <c r="P5123" i="52"/>
  <c r="P5124" i="52"/>
  <c r="P5125" i="52"/>
  <c r="P5126" i="52"/>
  <c r="P5127" i="52"/>
  <c r="P5128" i="52"/>
  <c r="P5129" i="52"/>
  <c r="P5130" i="52"/>
  <c r="P5131" i="52"/>
  <c r="P5132" i="52"/>
  <c r="P5133" i="52"/>
  <c r="P5134" i="52"/>
  <c r="P5135" i="52"/>
  <c r="P5136" i="52"/>
  <c r="P5137" i="52"/>
  <c r="P5138" i="52"/>
  <c r="P5139" i="52"/>
  <c r="P5140" i="52"/>
  <c r="P5141" i="52"/>
  <c r="P5142" i="52"/>
  <c r="P5143" i="52"/>
  <c r="P5144" i="52"/>
  <c r="P5145" i="52"/>
  <c r="P5146" i="52"/>
  <c r="P5147" i="52"/>
  <c r="P5148" i="52"/>
  <c r="P5149" i="52"/>
  <c r="P5150" i="52"/>
  <c r="P5151" i="52"/>
  <c r="P5152" i="52"/>
  <c r="P5153" i="52"/>
  <c r="P5154" i="52"/>
  <c r="P5155" i="52"/>
  <c r="P5156" i="52"/>
  <c r="P5157" i="52"/>
  <c r="P5158" i="52"/>
  <c r="P5159" i="52"/>
  <c r="P5160" i="52"/>
  <c r="P5161" i="52"/>
  <c r="P5162" i="52"/>
  <c r="P5163" i="52"/>
  <c r="P5164" i="52"/>
  <c r="P5165" i="52"/>
  <c r="P5166" i="52"/>
  <c r="P5167" i="52"/>
  <c r="P5168" i="52"/>
  <c r="P5169" i="52"/>
  <c r="P5170" i="52"/>
  <c r="P5171" i="52"/>
  <c r="P5172" i="52"/>
  <c r="P5173" i="52"/>
  <c r="P5174" i="52"/>
  <c r="P5175" i="52"/>
  <c r="P5176" i="52"/>
  <c r="P5177" i="52"/>
  <c r="P5178" i="52"/>
  <c r="P5179" i="52"/>
  <c r="P5180" i="52"/>
  <c r="P5181" i="52"/>
  <c r="P5182" i="52"/>
  <c r="P5183" i="52"/>
  <c r="P5184" i="52"/>
  <c r="P5185" i="52"/>
  <c r="P5186" i="52"/>
  <c r="P5187" i="52"/>
  <c r="P5188" i="52"/>
  <c r="P5189" i="52"/>
  <c r="P5190" i="52"/>
  <c r="P5191" i="52"/>
  <c r="P5192" i="52"/>
  <c r="P5193" i="52"/>
  <c r="P5194" i="52"/>
  <c r="P5195" i="52"/>
  <c r="P5196" i="52"/>
  <c r="P5197" i="52"/>
  <c r="P5198" i="52"/>
  <c r="P5199" i="52"/>
  <c r="P5200" i="52"/>
  <c r="P5201" i="52"/>
  <c r="P5202" i="52"/>
  <c r="P5203" i="52"/>
  <c r="P5204" i="52"/>
  <c r="P5205" i="52"/>
  <c r="P5206" i="52"/>
  <c r="P5207" i="52"/>
  <c r="P5208" i="52"/>
  <c r="P5209" i="52"/>
  <c r="P5210" i="52"/>
  <c r="P5211" i="52"/>
  <c r="P5212" i="52"/>
  <c r="P5213" i="52"/>
  <c r="P5214" i="52"/>
  <c r="P5215" i="52"/>
  <c r="P5216" i="52"/>
  <c r="P5217" i="52"/>
  <c r="P5218" i="52"/>
  <c r="P5219" i="52"/>
  <c r="P5220" i="52"/>
  <c r="P5221" i="52"/>
  <c r="P5222" i="52"/>
  <c r="P5223" i="52"/>
  <c r="P5224" i="52"/>
  <c r="P5225" i="52"/>
  <c r="P5226" i="52"/>
  <c r="P5227" i="52"/>
  <c r="P5228" i="52"/>
  <c r="P5229" i="52"/>
  <c r="P5230" i="52"/>
  <c r="P5231" i="52"/>
  <c r="P5232" i="52"/>
  <c r="P5233" i="52"/>
  <c r="P5234" i="52"/>
  <c r="P5235" i="52"/>
  <c r="P5236" i="52"/>
  <c r="P5237" i="52"/>
  <c r="P5238" i="52"/>
  <c r="P5239" i="52"/>
  <c r="P5240" i="52"/>
  <c r="P5241" i="52"/>
  <c r="P5242" i="52"/>
  <c r="P5243" i="52"/>
  <c r="P5244" i="52"/>
  <c r="P5245" i="52"/>
  <c r="P5246" i="52"/>
  <c r="P5247" i="52"/>
  <c r="P5248" i="52"/>
  <c r="P5249" i="52"/>
  <c r="P5250" i="52"/>
  <c r="P5251" i="52"/>
  <c r="P5252" i="52"/>
  <c r="P5253" i="52"/>
  <c r="P5254" i="52"/>
  <c r="P5255" i="52"/>
  <c r="P5256" i="52"/>
  <c r="P5257" i="52"/>
  <c r="P5258" i="52"/>
  <c r="P5259" i="52"/>
  <c r="P5260" i="52"/>
  <c r="P5261" i="52"/>
  <c r="P5262" i="52"/>
  <c r="P5263" i="52"/>
  <c r="P5264" i="52"/>
  <c r="P5265" i="52"/>
  <c r="P5266" i="52"/>
  <c r="P5267" i="52"/>
  <c r="P5268" i="52"/>
  <c r="P5269" i="52"/>
  <c r="P5270" i="52"/>
  <c r="P5271" i="52"/>
  <c r="P5272" i="52"/>
  <c r="P5273" i="52"/>
  <c r="P5274" i="52"/>
  <c r="P5275" i="52"/>
  <c r="P5276" i="52"/>
  <c r="P5277" i="52"/>
  <c r="P5278" i="52"/>
  <c r="P5279" i="52"/>
  <c r="P5280" i="52"/>
  <c r="P5281" i="52"/>
  <c r="P5282" i="52"/>
  <c r="P5283" i="52"/>
  <c r="P5284" i="52"/>
  <c r="P5285" i="52"/>
  <c r="P5286" i="52"/>
  <c r="P5287" i="52"/>
  <c r="P5288" i="52"/>
  <c r="P5289" i="52"/>
  <c r="P5290" i="52"/>
  <c r="P5291" i="52"/>
  <c r="P5292" i="52"/>
  <c r="P5293" i="52"/>
  <c r="P5294" i="52"/>
  <c r="P5295" i="52"/>
  <c r="P5296" i="52"/>
  <c r="P5297" i="52"/>
  <c r="P5298" i="52"/>
  <c r="P5299" i="52"/>
  <c r="P5300" i="52"/>
  <c r="P5301" i="52"/>
  <c r="P5302" i="52"/>
  <c r="P5303" i="52"/>
  <c r="P5304" i="52"/>
  <c r="P5305" i="52"/>
  <c r="P5306" i="52"/>
  <c r="P5307" i="52"/>
  <c r="P5308" i="52"/>
  <c r="P5309" i="52"/>
  <c r="P5310" i="52"/>
  <c r="P5311" i="52"/>
  <c r="P5312" i="52"/>
  <c r="P5313" i="52"/>
  <c r="P5314" i="52"/>
  <c r="P5315" i="52"/>
  <c r="P5316" i="52"/>
  <c r="P5317" i="52"/>
  <c r="P5318" i="52"/>
  <c r="P5319" i="52"/>
  <c r="P5320" i="52"/>
  <c r="P5321" i="52"/>
  <c r="P5322" i="52"/>
  <c r="P5323" i="52"/>
  <c r="P5324" i="52"/>
  <c r="P5325" i="52"/>
  <c r="P5326" i="52"/>
  <c r="P5327" i="52"/>
  <c r="P5328" i="52"/>
  <c r="P5329" i="52"/>
  <c r="P5330" i="52"/>
  <c r="P5331" i="52"/>
  <c r="P5332" i="52"/>
  <c r="P5333" i="52"/>
  <c r="P5334" i="52"/>
  <c r="P5335" i="52"/>
  <c r="P5336" i="52"/>
  <c r="P5337" i="52"/>
  <c r="P5338" i="52"/>
  <c r="P5339" i="52"/>
  <c r="P5340" i="52"/>
  <c r="P5341" i="52"/>
  <c r="P5342" i="52"/>
  <c r="P5343" i="52"/>
  <c r="P5344" i="52"/>
  <c r="P5345" i="52"/>
  <c r="P5346" i="52"/>
  <c r="P5347" i="52"/>
  <c r="P5348" i="52"/>
  <c r="P5349" i="52"/>
  <c r="P5350" i="52"/>
  <c r="P5351" i="52"/>
  <c r="P5352" i="52"/>
  <c r="P5353" i="52"/>
  <c r="P5354" i="52"/>
  <c r="P5355" i="52"/>
  <c r="P5356" i="52"/>
  <c r="P5357" i="52"/>
  <c r="P5358" i="52"/>
  <c r="P5359" i="52"/>
  <c r="P5360" i="52"/>
  <c r="P5361" i="52"/>
  <c r="P5362" i="52"/>
  <c r="P5363" i="52"/>
  <c r="P5364" i="52"/>
  <c r="P5365" i="52"/>
  <c r="P5366" i="52"/>
  <c r="P5367" i="52"/>
  <c r="P5368" i="52"/>
  <c r="P5369" i="52"/>
  <c r="P5370" i="52"/>
  <c r="P5371" i="52"/>
  <c r="P5372" i="52"/>
  <c r="P5373" i="52"/>
  <c r="P5374" i="52"/>
  <c r="P5375" i="52"/>
  <c r="P5376" i="52"/>
  <c r="P5377" i="52"/>
  <c r="P5378" i="52"/>
  <c r="P5379" i="52"/>
  <c r="P5380" i="52"/>
  <c r="P5381" i="52"/>
  <c r="P5382" i="52"/>
  <c r="P5383" i="52"/>
  <c r="P5384" i="52"/>
  <c r="P5385" i="52"/>
  <c r="P5386" i="52"/>
  <c r="P5387" i="52"/>
  <c r="P5388" i="52"/>
  <c r="P5389" i="52"/>
  <c r="P5390" i="52"/>
  <c r="P5391" i="52"/>
  <c r="P5392" i="52"/>
  <c r="P5393" i="52"/>
  <c r="P5394" i="52"/>
  <c r="P5395" i="52"/>
  <c r="P5396" i="52"/>
  <c r="P5397" i="52"/>
  <c r="P5398" i="52"/>
  <c r="P5399" i="52"/>
  <c r="P5400" i="52"/>
  <c r="P5401" i="52"/>
  <c r="P5402" i="52"/>
  <c r="P5403" i="52"/>
  <c r="P5404" i="52"/>
  <c r="P5405" i="52"/>
  <c r="P5406" i="52"/>
  <c r="P5407" i="52"/>
  <c r="P5408" i="52"/>
  <c r="P5409" i="52"/>
  <c r="P5410" i="52"/>
  <c r="P5411" i="52"/>
  <c r="P5412" i="52"/>
  <c r="P5413" i="52"/>
  <c r="P5414" i="52"/>
  <c r="P5415" i="52"/>
  <c r="P5416" i="52"/>
  <c r="P5417" i="52"/>
  <c r="P5418" i="52"/>
  <c r="P5419" i="52"/>
  <c r="P5420" i="52"/>
  <c r="P5421" i="52"/>
  <c r="P5422" i="52"/>
  <c r="P5423" i="52"/>
  <c r="P5424" i="52"/>
  <c r="P5425" i="52"/>
  <c r="P5426" i="52"/>
  <c r="P5427" i="52"/>
  <c r="P5428" i="52"/>
  <c r="P5429" i="52"/>
  <c r="P5430" i="52"/>
  <c r="P5431" i="52"/>
  <c r="P5432" i="52"/>
  <c r="P5433" i="52"/>
  <c r="P5434" i="52"/>
  <c r="P5435" i="52"/>
  <c r="P5436" i="52"/>
  <c r="P5437" i="52"/>
  <c r="P5438" i="52"/>
  <c r="P5439" i="52"/>
  <c r="P5440" i="52"/>
  <c r="P5441" i="52"/>
  <c r="P5442" i="52"/>
  <c r="P5443" i="52"/>
  <c r="P5444" i="52"/>
  <c r="P5445" i="52"/>
  <c r="P5446" i="52"/>
  <c r="P5447" i="52"/>
  <c r="P5448" i="52"/>
  <c r="P5449" i="52"/>
  <c r="P5450" i="52"/>
  <c r="P5451" i="52"/>
  <c r="P5452" i="52"/>
  <c r="P5453" i="52"/>
  <c r="P5454" i="52"/>
  <c r="P5455" i="52"/>
  <c r="P5456" i="52"/>
  <c r="P5457" i="52"/>
  <c r="P5458" i="52"/>
  <c r="P5459" i="52"/>
  <c r="P5460" i="52"/>
  <c r="P5461" i="52"/>
  <c r="P5462" i="52"/>
  <c r="P5463" i="52"/>
  <c r="P5464" i="52"/>
  <c r="P5465" i="52"/>
  <c r="P5466" i="52"/>
  <c r="P5467" i="52"/>
  <c r="P5468" i="52"/>
  <c r="P5469" i="52"/>
  <c r="P5470" i="52"/>
  <c r="P5471" i="52"/>
  <c r="P5472" i="52"/>
  <c r="P5473" i="52"/>
  <c r="P5474" i="52"/>
  <c r="P5475" i="52"/>
  <c r="P5476" i="52"/>
  <c r="P5477" i="52"/>
  <c r="P5478" i="52"/>
  <c r="P5479" i="52"/>
  <c r="P5480" i="52"/>
  <c r="P5481" i="52"/>
  <c r="P5482" i="52"/>
  <c r="P5483" i="52"/>
  <c r="P5484" i="52"/>
  <c r="P5485" i="52"/>
  <c r="P5486" i="52"/>
  <c r="P5487" i="52"/>
  <c r="P5488" i="52"/>
  <c r="P5489" i="52"/>
  <c r="P5490" i="52"/>
  <c r="P5491" i="52"/>
  <c r="P5492" i="52"/>
  <c r="P5493" i="52"/>
  <c r="P5494" i="52"/>
  <c r="P5495" i="52"/>
  <c r="P5496" i="52"/>
  <c r="P5497" i="52"/>
  <c r="P5498" i="52"/>
  <c r="P5499" i="52"/>
  <c r="P5500" i="52"/>
  <c r="P5501" i="52"/>
  <c r="P5502" i="52"/>
  <c r="P5503" i="52"/>
  <c r="P5504" i="52"/>
  <c r="P5505" i="52"/>
  <c r="P5506" i="52"/>
  <c r="P5507" i="52"/>
  <c r="P5508" i="52"/>
  <c r="P5509" i="52"/>
  <c r="P5510" i="52"/>
  <c r="P5511" i="52"/>
  <c r="P5512" i="52"/>
  <c r="P5513" i="52"/>
  <c r="P5514" i="52"/>
  <c r="P5515" i="52"/>
  <c r="P5516" i="52"/>
  <c r="P5517" i="52"/>
  <c r="P5518" i="52"/>
  <c r="P5519" i="52"/>
  <c r="P5520" i="52"/>
  <c r="P5521" i="52"/>
  <c r="P5522" i="52"/>
  <c r="P5523" i="52"/>
  <c r="P5524" i="52"/>
  <c r="P5525" i="52"/>
  <c r="P5526" i="52"/>
  <c r="P5527" i="52"/>
  <c r="P5528" i="52"/>
  <c r="P5529" i="52"/>
  <c r="P5530" i="52"/>
  <c r="P5531" i="52"/>
  <c r="P5532" i="52"/>
  <c r="P5533" i="52"/>
  <c r="P5534" i="52"/>
  <c r="P5535" i="52"/>
  <c r="P5536" i="52"/>
  <c r="P5537" i="52"/>
  <c r="P5538" i="52"/>
  <c r="P5539" i="52"/>
  <c r="P5540" i="52"/>
  <c r="P5541" i="52"/>
  <c r="P5542" i="52"/>
  <c r="P5543" i="52"/>
  <c r="P5544" i="52"/>
  <c r="P5545" i="52"/>
  <c r="P5546" i="52"/>
  <c r="P5547" i="52"/>
  <c r="P5548" i="52"/>
  <c r="P5549" i="52"/>
  <c r="P5550" i="52"/>
  <c r="P5551" i="52"/>
  <c r="P5552" i="52"/>
  <c r="P5553" i="52"/>
  <c r="P5554" i="52"/>
  <c r="P5555" i="52"/>
  <c r="P5556" i="52"/>
  <c r="P5557" i="52"/>
  <c r="P5558" i="52"/>
  <c r="P5559" i="52"/>
  <c r="P5560" i="52"/>
  <c r="P5561" i="52"/>
  <c r="P5562" i="52"/>
  <c r="P5563" i="52"/>
  <c r="P5564" i="52"/>
  <c r="P5565" i="52"/>
  <c r="P5566" i="52"/>
  <c r="P5567" i="52"/>
  <c r="P5568" i="52"/>
  <c r="P5569" i="52"/>
  <c r="P5570" i="52"/>
  <c r="P5571" i="52"/>
  <c r="P5572" i="52"/>
  <c r="P5573" i="52"/>
  <c r="P5574" i="52"/>
  <c r="P5575" i="52"/>
  <c r="P5576" i="52"/>
  <c r="P5577" i="52"/>
  <c r="P5578" i="52"/>
  <c r="P5579" i="52"/>
  <c r="P5580" i="52"/>
  <c r="P5581" i="52"/>
  <c r="P5582" i="52"/>
  <c r="P5583" i="52"/>
  <c r="P5584" i="52"/>
  <c r="P5585" i="52"/>
  <c r="P5586" i="52"/>
  <c r="P5587" i="52"/>
  <c r="P5588" i="52"/>
  <c r="P5589" i="52"/>
  <c r="P5590" i="52"/>
  <c r="P5591" i="52"/>
  <c r="P5592" i="52"/>
  <c r="P5593" i="52"/>
  <c r="P5594" i="52"/>
  <c r="P5595" i="52"/>
  <c r="P5596" i="52"/>
  <c r="P5597" i="52"/>
  <c r="P5598" i="52"/>
  <c r="P5599" i="52"/>
  <c r="P5600" i="52"/>
  <c r="P5601" i="52"/>
  <c r="P5602" i="52"/>
  <c r="P5603" i="52"/>
  <c r="P5604" i="52"/>
  <c r="P5605" i="52"/>
  <c r="P5606" i="52"/>
  <c r="P5607" i="52"/>
  <c r="P5608" i="52"/>
  <c r="P5609" i="52"/>
  <c r="P5610" i="52"/>
  <c r="P5611" i="52"/>
  <c r="P5612" i="52"/>
  <c r="P5613" i="52"/>
  <c r="P5614" i="52"/>
  <c r="P5615" i="52"/>
  <c r="P5616" i="52"/>
  <c r="P5617" i="52"/>
  <c r="P5618" i="52"/>
  <c r="P5619" i="52"/>
  <c r="P5620" i="52"/>
  <c r="P5621" i="52"/>
  <c r="P5622" i="52"/>
  <c r="P5623" i="52"/>
  <c r="P5624" i="52"/>
  <c r="P5625" i="52"/>
  <c r="P5626" i="52"/>
  <c r="P5627" i="52"/>
  <c r="P5628" i="52"/>
  <c r="P5629" i="52"/>
  <c r="P5630" i="52"/>
  <c r="P5631" i="52"/>
  <c r="P5632" i="52"/>
  <c r="P5633" i="52"/>
  <c r="P5634" i="52"/>
  <c r="P5635" i="52"/>
  <c r="P5636" i="52"/>
  <c r="P5637" i="52"/>
  <c r="P5638" i="52"/>
  <c r="P5639" i="52"/>
  <c r="P5640" i="52"/>
  <c r="P5641" i="52"/>
  <c r="P5642" i="52"/>
  <c r="P5643" i="52"/>
  <c r="P5644" i="52"/>
  <c r="P5645" i="52"/>
  <c r="P5646" i="52"/>
  <c r="P5647" i="52"/>
  <c r="P5648" i="52"/>
  <c r="P5649" i="52"/>
  <c r="P5650" i="52"/>
  <c r="P5651" i="52"/>
  <c r="P5652" i="52"/>
  <c r="P5653" i="52"/>
  <c r="P5654" i="52"/>
  <c r="P5655" i="52"/>
  <c r="P5656" i="52"/>
  <c r="P5657" i="52"/>
  <c r="P5658" i="52"/>
  <c r="P5659" i="52"/>
  <c r="P5660" i="52"/>
  <c r="P5661" i="52"/>
  <c r="P5662" i="52"/>
  <c r="P5663" i="52"/>
  <c r="P5664" i="52"/>
  <c r="P5665" i="52"/>
  <c r="P5666" i="52"/>
  <c r="P5667" i="52"/>
  <c r="P5668" i="52"/>
  <c r="P5669" i="52"/>
  <c r="P5670" i="52"/>
  <c r="P5671" i="52"/>
  <c r="P5672" i="52"/>
  <c r="P5673" i="52"/>
  <c r="P5674" i="52"/>
  <c r="P5675" i="52"/>
  <c r="P5676" i="52"/>
  <c r="P5677" i="52"/>
  <c r="P5678" i="52"/>
  <c r="P5679" i="52"/>
  <c r="P5680" i="52"/>
  <c r="P5681" i="52"/>
  <c r="P5682" i="52"/>
  <c r="P5683" i="52"/>
  <c r="P5684" i="52"/>
  <c r="P5685" i="52"/>
  <c r="P5686" i="52"/>
  <c r="P5687" i="52"/>
  <c r="P5688" i="52"/>
  <c r="P5689" i="52"/>
  <c r="P5690" i="52"/>
  <c r="P5691" i="52"/>
  <c r="P5692" i="52"/>
  <c r="P5693" i="52"/>
  <c r="P5694" i="52"/>
  <c r="P5695" i="52"/>
  <c r="P5696" i="52"/>
  <c r="P5697" i="52"/>
  <c r="P5698" i="52"/>
  <c r="P5699" i="52"/>
  <c r="P5700" i="52"/>
  <c r="P5701" i="52"/>
  <c r="P5702" i="52"/>
  <c r="P5703" i="52"/>
  <c r="P5704" i="52"/>
  <c r="P5705" i="52"/>
  <c r="P5706" i="52"/>
  <c r="P5707" i="52"/>
  <c r="P5708" i="52"/>
  <c r="P5709" i="52"/>
  <c r="P5710" i="52"/>
  <c r="P5711" i="52"/>
  <c r="P5712" i="52"/>
  <c r="P5713" i="52"/>
  <c r="P5714" i="52"/>
  <c r="P5715" i="52"/>
  <c r="P5716" i="52"/>
  <c r="P5717" i="52"/>
  <c r="P5718" i="52"/>
  <c r="P5719" i="52"/>
  <c r="P5720" i="52"/>
  <c r="P5721" i="52"/>
  <c r="P5722" i="52"/>
  <c r="P5723" i="52"/>
  <c r="P5724" i="52"/>
  <c r="P5725" i="52"/>
  <c r="P5726" i="52"/>
  <c r="P5727" i="52"/>
  <c r="P5728" i="52"/>
  <c r="P5729" i="52"/>
  <c r="P5730" i="52"/>
  <c r="P5731" i="52"/>
  <c r="P5732" i="52"/>
  <c r="P5733" i="52"/>
  <c r="P5734" i="52"/>
  <c r="P5735" i="52"/>
  <c r="P5736" i="52"/>
  <c r="P5737" i="52"/>
  <c r="P5738" i="52"/>
  <c r="P5739" i="52"/>
  <c r="P5740" i="52"/>
  <c r="P5741" i="52"/>
  <c r="P5742" i="52"/>
  <c r="P5743" i="52"/>
  <c r="P5744" i="52"/>
  <c r="P5745" i="52"/>
  <c r="P5746" i="52"/>
  <c r="P5747" i="52"/>
  <c r="P5748" i="52"/>
  <c r="P5749" i="52"/>
  <c r="P5750" i="52"/>
  <c r="P5751" i="52"/>
  <c r="P5752" i="52"/>
  <c r="P5753" i="52"/>
  <c r="P5754" i="52"/>
  <c r="P5755" i="52"/>
  <c r="P5756" i="52"/>
  <c r="P5757" i="52"/>
  <c r="P5758" i="52"/>
  <c r="P5759" i="52"/>
  <c r="P5760" i="52"/>
  <c r="P5761" i="52"/>
  <c r="P5762" i="52"/>
  <c r="P5763" i="52"/>
  <c r="P5764" i="52"/>
  <c r="P5765" i="52"/>
  <c r="P5766" i="52"/>
  <c r="P5767" i="52"/>
  <c r="P5768" i="52"/>
  <c r="P5769" i="52"/>
  <c r="P5770" i="52"/>
  <c r="P5771" i="52"/>
  <c r="P5772" i="52"/>
  <c r="P5773" i="52"/>
  <c r="P5774" i="52"/>
  <c r="P5775" i="52"/>
  <c r="P5776" i="52"/>
  <c r="P5777" i="52"/>
  <c r="P5778" i="52"/>
  <c r="P5779" i="52"/>
  <c r="P5780" i="52"/>
  <c r="P5781" i="52"/>
  <c r="P5782" i="52"/>
  <c r="P5783" i="52"/>
  <c r="P5784" i="52"/>
  <c r="P5785" i="52"/>
  <c r="P5786" i="52"/>
  <c r="P5787" i="52"/>
  <c r="P5788" i="52"/>
  <c r="P5789" i="52"/>
  <c r="P5790" i="52"/>
  <c r="P5791" i="52"/>
  <c r="P5792" i="52"/>
  <c r="P5793" i="52"/>
  <c r="P5794" i="52"/>
  <c r="P5795" i="52"/>
  <c r="P5796" i="52"/>
  <c r="P5797" i="52"/>
  <c r="P5798" i="52"/>
  <c r="P5799" i="52"/>
  <c r="P5800" i="52"/>
  <c r="P5801" i="52"/>
  <c r="P5802" i="52"/>
  <c r="P5803" i="52"/>
  <c r="P5804" i="52"/>
  <c r="P5805" i="52"/>
  <c r="P5806" i="52"/>
  <c r="P5807" i="52"/>
  <c r="P5808" i="52"/>
  <c r="P5809" i="52"/>
  <c r="P5810" i="52"/>
  <c r="P5811" i="52"/>
  <c r="P5812" i="52"/>
  <c r="P5813" i="52"/>
  <c r="P5814" i="52"/>
  <c r="P5815" i="52"/>
  <c r="P5816" i="52"/>
  <c r="P5817" i="52"/>
  <c r="P5818" i="52"/>
  <c r="P5819" i="52"/>
  <c r="P5820" i="52"/>
  <c r="P5821" i="52"/>
  <c r="P5822" i="52"/>
  <c r="P5823" i="52"/>
  <c r="P5824" i="52"/>
  <c r="P5825" i="52"/>
  <c r="P5826" i="52"/>
  <c r="P5827" i="52"/>
  <c r="P5828" i="52"/>
  <c r="P5829" i="52"/>
  <c r="P5830" i="52"/>
  <c r="P5831" i="52"/>
  <c r="P5832" i="52"/>
  <c r="P5833" i="52"/>
  <c r="P5834" i="52"/>
  <c r="P5835" i="52"/>
  <c r="P5836" i="52"/>
  <c r="P5837" i="52"/>
  <c r="P5838" i="52"/>
  <c r="P5839" i="52"/>
  <c r="P5840" i="52"/>
  <c r="P5841" i="52"/>
  <c r="P5842" i="52"/>
  <c r="P5843" i="52"/>
  <c r="P5844" i="52"/>
  <c r="P5845" i="52"/>
  <c r="P5846" i="52"/>
  <c r="P5847" i="52"/>
  <c r="P5848" i="52"/>
  <c r="P5849" i="52"/>
  <c r="P5850" i="52"/>
  <c r="P5851" i="52"/>
  <c r="P5852" i="52"/>
  <c r="P5853" i="52"/>
  <c r="P5854" i="52"/>
  <c r="P5855" i="52"/>
  <c r="P5856" i="52"/>
  <c r="P5857" i="52"/>
  <c r="P5858" i="52"/>
  <c r="P5859" i="52"/>
  <c r="P5860" i="52"/>
  <c r="P5861" i="52"/>
  <c r="P5862" i="52"/>
  <c r="P5863" i="52"/>
  <c r="P5864" i="52"/>
  <c r="P5865" i="52"/>
  <c r="P5866" i="52"/>
  <c r="P5867" i="52"/>
  <c r="P5868" i="52"/>
  <c r="P5869" i="52"/>
  <c r="P5870" i="52"/>
  <c r="P5871" i="52"/>
  <c r="P5872" i="52"/>
  <c r="P5873" i="52"/>
  <c r="P5874" i="52"/>
  <c r="P5875" i="52"/>
  <c r="P5876" i="52"/>
  <c r="P5877" i="52"/>
  <c r="P5878" i="52"/>
  <c r="P5879" i="52"/>
  <c r="P5880" i="52"/>
  <c r="P5881" i="52"/>
  <c r="P5882" i="52"/>
  <c r="P5883" i="52"/>
  <c r="P5884" i="52"/>
  <c r="P5885" i="52"/>
  <c r="P5886" i="52"/>
  <c r="P5887" i="52"/>
  <c r="P5888" i="52"/>
  <c r="P5889" i="52"/>
  <c r="P5890" i="52"/>
  <c r="P5891" i="52"/>
  <c r="P5892" i="52"/>
  <c r="P5893" i="52"/>
  <c r="P5894" i="52"/>
  <c r="P5895" i="52"/>
  <c r="P5896" i="52"/>
  <c r="P5897" i="52"/>
  <c r="P5898" i="52"/>
  <c r="P5899" i="52"/>
  <c r="P5900" i="52"/>
  <c r="P5901" i="52"/>
  <c r="P5902" i="52"/>
  <c r="P5903" i="52"/>
  <c r="P5904" i="52"/>
  <c r="P5905" i="52"/>
  <c r="P5906" i="52"/>
  <c r="P5907" i="52"/>
  <c r="P5908" i="52"/>
  <c r="P5909" i="52"/>
  <c r="P5910" i="52"/>
  <c r="P5911" i="52"/>
  <c r="P5912" i="52"/>
  <c r="P5913" i="52"/>
  <c r="P5914" i="52"/>
  <c r="P5915" i="52"/>
  <c r="P5916" i="52"/>
  <c r="P5917" i="52"/>
  <c r="P5918" i="52"/>
  <c r="P5919" i="52"/>
  <c r="P5920" i="52"/>
  <c r="P5921" i="52"/>
  <c r="P5922" i="52"/>
  <c r="P5923" i="52"/>
  <c r="P5924" i="52"/>
  <c r="P5925" i="52"/>
  <c r="P5926" i="52"/>
  <c r="P5927" i="52"/>
  <c r="P5928" i="52"/>
  <c r="P5929" i="52"/>
  <c r="P5930" i="52"/>
  <c r="P5931" i="52"/>
  <c r="P5932" i="52"/>
  <c r="P5933" i="52"/>
  <c r="P5934" i="52"/>
  <c r="P5935" i="52"/>
  <c r="P5936" i="52"/>
  <c r="P5937" i="52"/>
  <c r="P5938" i="52"/>
  <c r="P5939" i="52"/>
  <c r="P5940" i="52"/>
  <c r="P5941" i="52"/>
  <c r="P5942" i="52"/>
  <c r="P5943" i="52"/>
  <c r="P5944" i="52"/>
  <c r="P5945" i="52"/>
  <c r="P5946" i="52"/>
  <c r="P5947" i="52"/>
  <c r="P5948" i="52"/>
  <c r="P5949" i="52"/>
  <c r="P5950" i="52"/>
  <c r="P5951" i="52"/>
  <c r="P5952" i="52"/>
  <c r="P5953" i="52"/>
  <c r="P5954" i="52"/>
  <c r="P5955" i="52"/>
  <c r="P5956" i="52"/>
  <c r="P5957" i="52"/>
  <c r="P5958" i="52"/>
  <c r="P5959" i="52"/>
  <c r="P5960" i="52"/>
  <c r="P5961" i="52"/>
  <c r="P5962" i="52"/>
  <c r="P5963" i="52"/>
  <c r="P5964" i="52"/>
  <c r="P5965" i="52"/>
  <c r="P5966" i="52"/>
  <c r="P5967" i="52"/>
  <c r="P5968" i="52"/>
  <c r="P5969" i="52"/>
  <c r="P5970" i="52"/>
  <c r="P5971" i="52"/>
  <c r="P5972" i="52"/>
  <c r="P5973" i="52"/>
  <c r="P5974" i="52"/>
  <c r="P5975" i="52"/>
  <c r="P5976" i="52"/>
  <c r="P5977" i="52"/>
  <c r="P5978" i="52"/>
  <c r="P5979" i="52"/>
  <c r="P5980" i="52"/>
  <c r="P5981" i="52"/>
  <c r="P5982" i="52"/>
  <c r="P5983" i="52"/>
  <c r="P5984" i="52"/>
  <c r="P5985" i="52"/>
  <c r="P5986" i="52"/>
  <c r="P5987" i="52"/>
  <c r="P5988" i="52"/>
  <c r="P5989" i="52"/>
  <c r="P5990" i="52"/>
  <c r="P5991" i="52"/>
  <c r="P5992" i="52"/>
  <c r="P5993" i="52"/>
  <c r="P5994" i="52"/>
  <c r="P5995" i="52"/>
  <c r="P5996" i="52"/>
  <c r="P5997" i="52"/>
  <c r="P5998" i="52"/>
  <c r="P5999" i="52"/>
  <c r="P6000" i="52"/>
  <c r="P6001" i="52"/>
  <c r="P6002" i="52"/>
  <c r="P6003" i="52"/>
  <c r="P6004" i="52"/>
  <c r="P6005" i="52"/>
  <c r="P6006" i="52"/>
  <c r="P6007" i="52"/>
  <c r="P6008" i="52"/>
  <c r="P6009" i="52"/>
  <c r="P6010" i="52"/>
  <c r="P6011" i="52"/>
  <c r="P6012" i="52"/>
  <c r="P6013" i="52"/>
  <c r="P6014" i="52"/>
  <c r="P6015" i="52"/>
  <c r="P6016" i="52"/>
  <c r="P6017" i="52"/>
  <c r="P6018" i="52"/>
  <c r="P6019" i="52"/>
  <c r="P6020" i="52"/>
  <c r="P6021" i="52"/>
  <c r="P6022" i="52"/>
  <c r="P6023" i="52"/>
  <c r="P6024" i="52"/>
  <c r="P6025" i="52"/>
  <c r="P6026" i="52"/>
  <c r="P6027" i="52"/>
  <c r="P6028" i="52"/>
  <c r="P6029" i="52"/>
  <c r="P6030" i="52"/>
  <c r="P6031" i="52"/>
  <c r="P6032" i="52"/>
  <c r="P6033" i="52"/>
  <c r="P6034" i="52"/>
  <c r="P6035" i="52"/>
  <c r="P6036" i="52"/>
  <c r="P6037" i="52"/>
  <c r="P6038" i="52"/>
  <c r="P6039" i="52"/>
  <c r="P6040" i="52"/>
  <c r="P6041" i="52"/>
  <c r="P6042" i="52"/>
  <c r="P6043" i="52"/>
  <c r="P6044" i="52"/>
  <c r="P6045" i="52"/>
  <c r="P6046" i="52"/>
  <c r="P6047" i="52"/>
  <c r="P6048" i="52"/>
  <c r="P6049" i="52"/>
  <c r="P6050" i="52"/>
  <c r="P6051" i="52"/>
  <c r="P6052" i="52"/>
  <c r="P6053" i="52"/>
  <c r="P6054" i="52"/>
  <c r="P6055" i="52"/>
  <c r="P6056" i="52"/>
  <c r="P6057" i="52"/>
  <c r="P6058" i="52"/>
  <c r="P6059" i="52"/>
  <c r="P6060" i="52"/>
  <c r="P6061" i="52"/>
  <c r="P6062" i="52"/>
  <c r="P6063" i="52"/>
  <c r="P6064" i="52"/>
  <c r="P6065" i="52"/>
  <c r="P6066" i="52"/>
  <c r="P6067" i="52"/>
  <c r="P6068" i="52"/>
  <c r="P6069" i="52"/>
  <c r="P6070" i="52"/>
  <c r="P6071" i="52"/>
  <c r="P6072" i="52"/>
  <c r="P6073" i="52"/>
  <c r="P6074" i="52"/>
  <c r="P6075" i="52"/>
  <c r="P6076" i="52"/>
  <c r="P6077" i="52"/>
  <c r="P6078" i="52"/>
  <c r="P6079" i="52"/>
  <c r="P6080" i="52"/>
  <c r="P6081" i="52"/>
  <c r="P6082" i="52"/>
  <c r="P6083" i="52"/>
  <c r="P6084" i="52"/>
  <c r="P6085" i="52"/>
  <c r="P6086" i="52"/>
  <c r="P6087" i="52"/>
  <c r="P6088" i="52"/>
  <c r="P6089" i="52"/>
  <c r="P6090" i="52"/>
  <c r="P6091" i="52"/>
  <c r="P6092" i="52"/>
  <c r="P6093" i="52"/>
  <c r="P6094" i="52"/>
  <c r="P6095" i="52"/>
  <c r="P6096" i="52"/>
  <c r="P6097" i="52"/>
  <c r="P6098" i="52"/>
  <c r="P6099" i="52"/>
  <c r="P6100" i="52"/>
  <c r="P6101" i="52"/>
  <c r="P6102" i="52"/>
  <c r="P6103" i="52"/>
  <c r="P6104" i="52"/>
  <c r="P6105" i="52"/>
  <c r="P6106" i="52"/>
  <c r="P6107" i="52"/>
  <c r="P6108" i="52"/>
  <c r="P6109" i="52"/>
  <c r="P6110" i="52"/>
  <c r="P6111" i="52"/>
  <c r="P6112" i="52"/>
  <c r="P6113" i="52"/>
  <c r="P6114" i="52"/>
  <c r="P6115" i="52"/>
  <c r="P6116" i="52"/>
  <c r="P6117" i="52"/>
  <c r="P6118" i="52"/>
  <c r="P6119" i="52"/>
  <c r="P6120" i="52"/>
  <c r="P6121" i="52"/>
  <c r="P6122" i="52"/>
  <c r="P6123" i="52"/>
  <c r="P6124" i="52"/>
  <c r="P6125" i="52"/>
  <c r="P6126" i="52"/>
  <c r="P6127" i="52"/>
  <c r="P6128" i="52"/>
  <c r="P6129" i="52"/>
  <c r="P6130" i="52"/>
  <c r="P6131" i="52"/>
  <c r="P6132" i="52"/>
  <c r="P6133" i="52"/>
  <c r="P6134" i="52"/>
  <c r="P6135" i="52"/>
  <c r="P6136" i="52"/>
  <c r="P6137" i="52"/>
  <c r="P6138" i="52"/>
  <c r="P6139" i="52"/>
  <c r="P6140" i="52"/>
  <c r="P6141" i="52"/>
  <c r="P6142" i="52"/>
  <c r="P6143" i="52"/>
  <c r="P6144" i="52"/>
  <c r="P6145" i="52"/>
  <c r="P6146" i="52"/>
  <c r="P6147" i="52"/>
  <c r="P6148" i="52"/>
  <c r="P6149" i="52"/>
  <c r="P6150" i="52"/>
  <c r="P6151" i="52"/>
  <c r="P6152" i="52"/>
  <c r="P6153" i="52"/>
  <c r="P6154" i="52"/>
  <c r="P6155" i="52"/>
  <c r="P6156" i="52"/>
  <c r="P6157" i="52"/>
  <c r="P6158" i="52"/>
  <c r="P6159" i="52"/>
  <c r="P6160" i="52"/>
  <c r="P6161" i="52"/>
  <c r="P6162" i="52"/>
  <c r="P6163" i="52"/>
  <c r="P6164" i="52"/>
  <c r="P6165" i="52"/>
  <c r="P6166" i="52"/>
  <c r="P6167" i="52"/>
  <c r="P6168" i="52"/>
  <c r="P6169" i="52"/>
  <c r="P6170" i="52"/>
  <c r="P6171" i="52"/>
  <c r="P6172" i="52"/>
  <c r="P6173" i="52"/>
  <c r="P6174" i="52"/>
  <c r="P6175" i="52"/>
  <c r="P6176" i="52"/>
  <c r="P6177" i="52"/>
  <c r="P6178" i="52"/>
  <c r="P6179" i="52"/>
  <c r="P6180" i="52"/>
  <c r="P6181" i="52"/>
  <c r="P6182" i="52"/>
  <c r="P6183" i="52"/>
  <c r="P6184" i="52"/>
  <c r="P6185" i="52"/>
  <c r="P6186" i="52"/>
  <c r="P6187" i="52"/>
  <c r="P6188" i="52"/>
  <c r="P6189" i="52"/>
  <c r="P6190" i="52"/>
  <c r="P6191" i="52"/>
  <c r="P6192" i="52"/>
  <c r="P6193" i="52"/>
  <c r="P6194" i="52"/>
  <c r="P6195" i="52"/>
  <c r="P6196" i="52"/>
  <c r="P6197" i="52"/>
  <c r="P6198" i="52"/>
  <c r="P6199" i="52"/>
  <c r="P6200" i="52"/>
  <c r="P6201" i="52"/>
  <c r="P6202" i="52"/>
  <c r="P6203" i="52"/>
  <c r="P6204" i="52"/>
  <c r="P6205" i="52"/>
  <c r="P6206" i="52"/>
  <c r="P6207" i="52"/>
  <c r="P6208" i="52"/>
  <c r="P6209" i="52"/>
  <c r="P6210" i="52"/>
  <c r="P6211" i="52"/>
  <c r="P6212" i="52"/>
  <c r="P6213" i="52"/>
  <c r="P6214" i="52"/>
  <c r="P6215" i="52"/>
  <c r="P6216" i="52"/>
  <c r="P6217" i="52"/>
  <c r="P6218" i="52"/>
  <c r="P6219" i="52"/>
  <c r="P6220" i="52"/>
  <c r="P6221" i="52"/>
  <c r="P6222" i="52"/>
  <c r="P6223" i="52"/>
  <c r="P6224" i="52"/>
  <c r="P6225" i="52"/>
  <c r="P6226" i="52"/>
  <c r="P6227" i="52"/>
  <c r="P6228" i="52"/>
  <c r="P6229" i="52"/>
  <c r="P6230" i="52"/>
  <c r="P6231" i="52"/>
  <c r="P6232" i="52"/>
  <c r="P6233" i="52"/>
  <c r="P6234" i="52"/>
  <c r="P6235" i="52"/>
  <c r="P6236" i="52"/>
  <c r="P6237" i="52"/>
  <c r="P6238" i="52"/>
  <c r="P6239" i="52"/>
  <c r="P6240" i="52"/>
  <c r="P6241" i="52"/>
  <c r="P6242" i="52"/>
  <c r="P6243" i="52"/>
  <c r="P6244" i="52"/>
  <c r="P6245" i="52"/>
  <c r="P6246" i="52"/>
  <c r="P6247" i="52"/>
  <c r="P6248" i="52"/>
  <c r="P6249" i="52"/>
  <c r="P6250" i="52"/>
  <c r="P6251" i="52"/>
  <c r="P6252" i="52"/>
  <c r="P6253" i="52"/>
  <c r="P6254" i="52"/>
  <c r="P6255" i="52"/>
  <c r="P6256" i="52"/>
  <c r="P6257" i="52"/>
  <c r="P6258" i="52"/>
  <c r="P6259" i="52"/>
  <c r="P6260" i="52"/>
  <c r="P6261" i="52"/>
  <c r="P6262" i="52"/>
  <c r="P6263" i="52"/>
  <c r="P6264" i="52"/>
  <c r="P6265" i="52"/>
  <c r="P6266" i="52"/>
  <c r="P6267" i="52"/>
  <c r="P6268" i="52"/>
  <c r="P6269" i="52"/>
  <c r="P6270" i="52"/>
  <c r="P6271" i="52"/>
  <c r="P6272" i="52"/>
  <c r="P6273" i="52"/>
  <c r="P6274" i="52"/>
  <c r="P6275" i="52"/>
  <c r="P6276" i="52"/>
  <c r="P6277" i="52"/>
  <c r="P6278" i="52"/>
  <c r="P6279" i="52"/>
  <c r="P6280" i="52"/>
  <c r="P6281" i="52"/>
  <c r="P6282" i="52"/>
  <c r="P6283" i="52"/>
  <c r="P6284" i="52"/>
  <c r="P6285" i="52"/>
  <c r="P6286" i="52"/>
  <c r="P6287" i="52"/>
  <c r="P6288" i="52"/>
  <c r="P6289" i="52"/>
  <c r="P6290" i="52"/>
  <c r="P6291" i="52"/>
  <c r="P6292" i="52"/>
  <c r="P6293" i="52"/>
  <c r="P6294" i="52"/>
  <c r="P6295" i="52"/>
  <c r="P6296" i="52"/>
  <c r="P6297" i="52"/>
  <c r="P6298" i="52"/>
  <c r="P6299" i="52"/>
  <c r="P6300" i="52"/>
  <c r="P6301" i="52"/>
  <c r="P6302" i="52"/>
  <c r="P6303" i="52"/>
  <c r="P6304" i="52"/>
  <c r="P6305" i="52"/>
  <c r="P6306" i="52"/>
  <c r="P6307" i="52"/>
  <c r="P6308" i="52"/>
  <c r="P6309" i="52"/>
  <c r="P6310" i="52"/>
  <c r="P6311" i="52"/>
  <c r="P6352" i="52"/>
  <c r="P6353" i="52"/>
  <c r="P6354" i="52"/>
  <c r="P6355" i="52"/>
  <c r="P6356" i="52"/>
  <c r="P6357" i="52"/>
  <c r="P6358" i="52"/>
  <c r="P6359" i="52"/>
  <c r="P6360" i="52"/>
  <c r="P6361" i="52"/>
  <c r="P6362" i="52"/>
  <c r="P6363" i="52"/>
  <c r="P6364" i="52"/>
  <c r="P6365" i="52"/>
  <c r="P6366" i="52"/>
  <c r="P6367" i="52"/>
  <c r="P6368" i="52"/>
  <c r="P6369" i="52"/>
  <c r="P6370" i="52"/>
  <c r="P6371" i="52"/>
  <c r="P6372" i="52"/>
  <c r="P6373" i="52"/>
  <c r="P6374" i="52"/>
  <c r="P6375" i="52"/>
  <c r="P6376" i="52"/>
  <c r="P6377" i="52"/>
  <c r="P6378" i="52"/>
  <c r="P6379" i="52"/>
  <c r="P6380" i="52"/>
  <c r="P6381" i="52"/>
  <c r="P6382" i="52"/>
  <c r="P6383" i="52"/>
  <c r="P6384" i="52"/>
  <c r="P6385" i="52"/>
  <c r="P6386" i="52"/>
  <c r="P6387" i="52"/>
  <c r="P6388" i="52"/>
  <c r="P6389" i="52"/>
  <c r="P6390" i="52"/>
  <c r="P6391" i="52"/>
  <c r="P6392" i="52"/>
  <c r="P6393" i="52"/>
  <c r="P6394" i="52"/>
  <c r="P6395" i="52"/>
  <c r="P6396" i="52"/>
  <c r="P6397" i="52"/>
  <c r="P6398" i="52"/>
  <c r="P6399" i="52"/>
  <c r="P6400" i="52"/>
  <c r="P6401" i="52"/>
  <c r="P6402" i="52"/>
  <c r="P6403" i="52"/>
  <c r="P6404" i="52"/>
  <c r="P6405" i="52"/>
  <c r="P6406" i="52"/>
  <c r="P6407" i="52"/>
  <c r="P6408" i="52"/>
  <c r="P6409" i="52"/>
  <c r="P6410" i="52"/>
  <c r="P6411" i="52"/>
  <c r="P6412" i="52"/>
  <c r="P6413" i="52"/>
  <c r="P6414" i="52"/>
  <c r="P6415" i="52"/>
  <c r="P6416" i="52"/>
  <c r="P6417" i="52"/>
  <c r="P6418" i="52"/>
  <c r="P6419" i="52"/>
  <c r="P6420" i="52"/>
  <c r="P6421" i="52"/>
  <c r="P6422" i="52"/>
  <c r="P6423" i="52"/>
  <c r="P6424" i="52"/>
  <c r="P6425" i="52"/>
  <c r="P6426" i="52"/>
  <c r="P6427" i="52"/>
  <c r="P6428" i="52"/>
  <c r="P6429" i="52"/>
  <c r="P6430" i="52"/>
  <c r="P6431" i="52"/>
  <c r="P6432" i="52"/>
  <c r="P6433" i="52"/>
  <c r="P6434" i="52"/>
  <c r="P6435" i="52"/>
  <c r="P6436" i="52"/>
  <c r="P6437" i="52"/>
  <c r="P6438" i="52"/>
  <c r="P6439" i="52"/>
  <c r="P6440" i="52"/>
  <c r="P6441" i="52"/>
  <c r="P6442" i="52"/>
  <c r="P6443" i="52"/>
  <c r="P6444" i="52"/>
  <c r="P6445" i="52"/>
  <c r="P6446" i="52"/>
  <c r="P6447" i="52"/>
  <c r="P6448" i="52"/>
  <c r="P6449" i="52"/>
  <c r="P6450" i="52"/>
  <c r="P6451" i="52"/>
  <c r="P6452" i="52"/>
  <c r="P6453" i="52"/>
  <c r="P6454" i="52"/>
  <c r="P6455" i="52"/>
  <c r="P6456" i="52"/>
  <c r="P6457" i="52"/>
  <c r="P6458" i="52"/>
  <c r="P6459" i="52"/>
  <c r="P6460" i="52"/>
  <c r="P6461" i="52"/>
  <c r="P6462" i="52"/>
  <c r="P6463" i="52"/>
  <c r="P6464" i="52"/>
  <c r="P6465" i="52"/>
  <c r="P6466" i="52"/>
  <c r="P6467" i="52"/>
  <c r="P6468" i="52"/>
  <c r="P6469" i="52"/>
  <c r="P6470" i="52"/>
  <c r="P6471" i="52"/>
  <c r="P6472" i="52"/>
  <c r="P6473" i="52"/>
  <c r="P6474" i="52"/>
  <c r="P6475" i="52"/>
  <c r="P6476" i="52"/>
  <c r="P6477" i="52"/>
  <c r="P6478" i="52"/>
  <c r="P6479" i="52"/>
  <c r="P6480" i="52"/>
  <c r="P6481" i="52"/>
  <c r="P6482" i="52"/>
  <c r="P6483" i="52"/>
  <c r="P6484" i="52"/>
  <c r="P6485" i="52"/>
  <c r="P6486" i="52"/>
  <c r="P6487" i="52"/>
  <c r="P6488" i="52"/>
  <c r="P6489" i="52"/>
  <c r="P6490" i="52"/>
  <c r="P6491" i="52"/>
  <c r="P6492" i="52"/>
  <c r="P6493" i="52"/>
  <c r="P6494" i="52"/>
  <c r="P6495" i="52"/>
  <c r="P6496" i="52"/>
  <c r="P6497" i="52"/>
  <c r="P6498" i="52"/>
  <c r="P6499" i="52"/>
  <c r="P6500" i="52"/>
  <c r="P6501" i="52"/>
  <c r="P6502" i="52"/>
  <c r="P6503" i="52"/>
  <c r="P6504" i="52"/>
  <c r="P6505" i="52"/>
  <c r="P6506" i="52"/>
  <c r="P6507" i="52"/>
  <c r="P6508" i="52"/>
  <c r="P6509" i="52"/>
  <c r="P6510" i="52"/>
  <c r="P6511" i="52"/>
  <c r="P6512" i="52"/>
  <c r="P6513" i="52"/>
  <c r="P6514" i="52"/>
  <c r="P6515" i="52"/>
  <c r="P6516" i="52"/>
  <c r="P6517" i="52"/>
  <c r="P6518" i="52"/>
  <c r="P6519" i="52"/>
  <c r="P6520" i="52"/>
  <c r="P6521" i="52"/>
  <c r="P6522" i="52"/>
  <c r="P6523" i="52"/>
  <c r="P6524" i="52"/>
  <c r="P6525" i="52"/>
  <c r="P6526" i="52"/>
  <c r="P6527" i="52"/>
  <c r="P6528" i="52"/>
  <c r="P6529" i="52"/>
  <c r="P6530" i="52"/>
  <c r="P6531" i="52"/>
  <c r="P6532" i="52"/>
  <c r="P6533" i="52"/>
  <c r="P6534" i="52"/>
  <c r="P6535" i="52"/>
  <c r="P6536" i="52"/>
  <c r="P6537" i="52"/>
  <c r="P6538" i="52"/>
  <c r="P6539" i="52"/>
  <c r="P6540" i="52"/>
  <c r="P6541" i="52"/>
  <c r="P6542" i="52"/>
  <c r="P6543" i="52"/>
  <c r="P6544" i="52"/>
  <c r="P6545" i="52"/>
  <c r="P6546" i="52"/>
  <c r="P6547" i="52"/>
  <c r="P6548" i="52"/>
  <c r="P6549" i="52"/>
  <c r="P6550" i="52"/>
  <c r="P6551" i="52"/>
  <c r="P6552" i="52"/>
  <c r="P6553" i="52"/>
  <c r="P6554" i="52"/>
  <c r="P6555" i="52"/>
  <c r="P6556" i="52"/>
  <c r="P6557" i="52"/>
  <c r="P6558" i="52"/>
  <c r="P6559" i="52"/>
  <c r="P6560" i="52"/>
  <c r="P6561" i="52"/>
  <c r="P6562" i="52"/>
  <c r="P6563" i="52"/>
  <c r="P6564" i="52"/>
  <c r="P6565" i="52"/>
  <c r="P6566" i="52"/>
  <c r="P6567" i="52"/>
  <c r="P6568" i="52"/>
  <c r="P6569" i="52"/>
  <c r="P6570" i="52"/>
  <c r="P6571" i="52"/>
  <c r="P6572" i="52"/>
  <c r="P6573" i="52"/>
  <c r="P6574" i="52"/>
  <c r="P6575" i="52"/>
  <c r="P6576" i="52"/>
  <c r="P6577" i="52"/>
  <c r="P6578" i="52"/>
  <c r="P6579" i="52"/>
  <c r="P6580" i="52"/>
  <c r="P6581" i="52"/>
  <c r="P6582" i="52"/>
  <c r="P6583" i="52"/>
  <c r="P6584" i="52"/>
  <c r="P6585" i="52"/>
  <c r="P6586" i="52"/>
  <c r="P6587" i="52"/>
  <c r="P6588" i="52"/>
  <c r="P6589" i="52"/>
  <c r="P6590" i="52"/>
  <c r="P6591" i="52"/>
  <c r="P6592" i="52"/>
  <c r="P6593" i="52"/>
  <c r="P6594" i="52"/>
  <c r="P6595" i="52"/>
  <c r="P6596" i="52"/>
  <c r="P6597" i="52"/>
  <c r="P6598" i="52"/>
  <c r="P6599" i="52"/>
  <c r="P6600" i="52"/>
  <c r="P6601" i="52"/>
  <c r="P6602" i="52"/>
  <c r="P6603" i="52"/>
  <c r="P6604" i="52"/>
  <c r="P6605" i="52"/>
  <c r="P6606" i="52"/>
  <c r="P6607" i="52"/>
  <c r="P6608" i="52"/>
  <c r="P6609" i="52"/>
  <c r="P6610" i="52"/>
  <c r="P6611" i="52"/>
  <c r="P6612" i="52"/>
  <c r="P6613" i="52"/>
  <c r="P6614" i="52"/>
  <c r="P6615" i="52"/>
  <c r="P6616" i="52"/>
  <c r="P6617" i="52"/>
  <c r="P6618" i="52"/>
  <c r="P6619" i="52"/>
  <c r="P6620" i="52"/>
  <c r="P6621" i="52"/>
  <c r="P6622" i="52"/>
  <c r="P6623" i="52"/>
  <c r="P6624" i="52"/>
  <c r="P6625" i="52"/>
  <c r="P6626" i="52"/>
  <c r="P6627" i="52"/>
  <c r="P6628" i="52"/>
  <c r="P6629" i="52"/>
  <c r="P6630" i="52"/>
  <c r="P6631" i="52"/>
  <c r="P6632" i="52"/>
  <c r="P6633" i="52"/>
  <c r="P6634" i="52"/>
  <c r="P6635" i="52"/>
  <c r="P6636" i="52"/>
  <c r="P6637" i="52"/>
  <c r="P6638" i="52"/>
  <c r="P6639" i="52"/>
  <c r="P6640" i="52"/>
  <c r="P6641" i="52"/>
  <c r="P6642" i="52"/>
  <c r="P6643" i="52"/>
  <c r="P6644" i="52"/>
  <c r="P6645" i="52"/>
  <c r="P6646" i="52"/>
  <c r="P6647" i="52"/>
  <c r="P6648" i="52"/>
  <c r="P6649" i="52"/>
  <c r="P6650" i="52"/>
  <c r="P6651" i="52"/>
  <c r="P6652" i="52"/>
  <c r="P6653" i="52"/>
  <c r="P6654" i="52"/>
  <c r="P6655" i="52"/>
  <c r="P6656" i="52"/>
  <c r="P6657" i="52"/>
  <c r="P6658" i="52"/>
  <c r="P6659" i="52"/>
  <c r="P6660" i="52"/>
  <c r="P6661" i="52"/>
  <c r="P6662" i="52"/>
  <c r="P6663" i="52"/>
  <c r="P6664" i="52"/>
  <c r="P6665" i="52"/>
  <c r="P6666" i="52"/>
  <c r="P6667" i="52"/>
  <c r="P6668" i="52"/>
  <c r="P6669" i="52"/>
  <c r="P6670" i="52"/>
  <c r="P6671" i="52"/>
  <c r="P6672" i="52"/>
  <c r="P6673" i="52"/>
  <c r="P6674" i="52"/>
  <c r="P6675" i="52"/>
  <c r="P6676" i="52"/>
  <c r="P6677" i="52"/>
  <c r="P6678" i="52"/>
  <c r="P6679" i="52"/>
  <c r="P6680" i="52"/>
  <c r="P6681" i="52"/>
  <c r="P6682" i="52"/>
  <c r="P6683" i="52"/>
  <c r="P6684" i="52"/>
  <c r="P6685" i="52"/>
  <c r="P6686" i="52"/>
  <c r="P6687" i="52"/>
  <c r="P6688" i="52"/>
  <c r="P6689" i="52"/>
  <c r="P6690" i="52"/>
  <c r="P6691" i="52"/>
  <c r="P6692" i="52"/>
  <c r="P6693" i="52"/>
  <c r="P6694" i="52"/>
  <c r="P6695" i="52"/>
  <c r="P6696" i="52"/>
  <c r="P6697" i="52"/>
  <c r="P6698" i="52"/>
  <c r="P6699" i="52"/>
  <c r="P6700" i="52"/>
  <c r="P6701" i="52"/>
  <c r="P6702" i="52"/>
  <c r="P6703" i="52"/>
  <c r="P6704" i="52"/>
  <c r="P6705" i="52"/>
  <c r="P6706" i="52"/>
  <c r="P6707" i="52"/>
  <c r="P6708" i="52"/>
  <c r="P6709" i="52"/>
  <c r="P6710" i="52"/>
  <c r="P6711" i="52"/>
  <c r="P6712" i="52"/>
  <c r="P6713" i="52"/>
  <c r="P6714" i="52"/>
  <c r="P6715" i="52"/>
  <c r="P6716" i="52"/>
  <c r="P6717" i="52"/>
  <c r="P6718" i="52"/>
  <c r="P6719" i="52"/>
  <c r="P6720" i="52"/>
  <c r="P6721" i="52"/>
  <c r="P6722" i="52"/>
  <c r="P6723" i="52"/>
  <c r="P6724" i="52"/>
  <c r="P6725" i="52"/>
  <c r="P6726" i="52"/>
  <c r="P6727" i="52"/>
  <c r="P6728" i="52"/>
  <c r="P6729" i="52"/>
  <c r="P6730" i="52"/>
  <c r="P6731" i="52"/>
  <c r="P6732" i="52"/>
  <c r="P6733" i="52"/>
  <c r="P6734" i="52"/>
  <c r="P6735" i="52"/>
  <c r="P6736" i="52"/>
  <c r="P6737" i="52"/>
  <c r="P6738" i="52"/>
  <c r="P6739" i="52"/>
  <c r="P6740" i="52"/>
  <c r="P6741" i="52"/>
  <c r="P6742" i="52"/>
  <c r="P6743" i="52"/>
  <c r="P6744" i="52"/>
  <c r="P6745" i="52"/>
  <c r="P6746" i="52"/>
  <c r="P6747" i="52"/>
  <c r="P6748" i="52"/>
  <c r="P6749" i="52"/>
  <c r="P6750" i="52"/>
  <c r="P6751" i="52"/>
  <c r="P6752" i="52"/>
  <c r="P6753" i="52"/>
  <c r="P6754" i="52"/>
  <c r="P6755" i="52"/>
  <c r="P6756" i="52"/>
  <c r="P6757" i="52"/>
  <c r="P6758" i="52"/>
  <c r="P6759" i="52"/>
  <c r="P6760" i="52"/>
  <c r="P6761" i="52"/>
  <c r="P6762" i="52"/>
  <c r="P6763" i="52"/>
  <c r="P6764" i="52"/>
  <c r="P6765" i="52"/>
  <c r="P6766" i="52"/>
  <c r="P6767" i="52"/>
  <c r="P6768" i="52"/>
  <c r="P6769" i="52"/>
  <c r="P6770" i="52"/>
  <c r="P6771" i="52"/>
  <c r="P6772" i="52"/>
  <c r="P6773" i="52"/>
  <c r="P6774" i="52"/>
  <c r="P6775" i="52"/>
  <c r="P6776" i="52"/>
  <c r="P6777" i="52"/>
  <c r="P6778" i="52"/>
  <c r="P6779" i="52"/>
  <c r="P6780" i="52"/>
  <c r="P6781" i="52"/>
  <c r="P6782" i="52"/>
  <c r="P6783" i="52"/>
  <c r="P6784" i="52"/>
  <c r="P6785" i="52"/>
  <c r="P6786" i="52"/>
  <c r="P6787" i="52"/>
  <c r="P6788" i="52"/>
  <c r="P6789" i="52"/>
  <c r="P6790" i="52"/>
  <c r="P6791" i="52"/>
  <c r="P6792" i="52"/>
  <c r="P6793" i="52"/>
  <c r="P6794" i="52"/>
  <c r="P6795" i="52"/>
  <c r="P6796" i="52"/>
  <c r="P6797" i="52"/>
  <c r="P6798" i="52"/>
  <c r="T3" i="52"/>
  <c r="T4" i="52"/>
  <c r="T5" i="52"/>
  <c r="T6" i="52"/>
  <c r="T7" i="52"/>
  <c r="T8" i="52"/>
  <c r="T9" i="52"/>
  <c r="T10"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T258" i="52"/>
  <c r="T259" i="52"/>
  <c r="T260" i="52"/>
  <c r="T261" i="52"/>
  <c r="T262" i="52"/>
  <c r="T263" i="52"/>
  <c r="T264" i="52"/>
  <c r="T265" i="52"/>
  <c r="T266" i="52"/>
  <c r="T267" i="52"/>
  <c r="T268" i="52"/>
  <c r="T269" i="52"/>
  <c r="T270" i="52"/>
  <c r="T271" i="52"/>
  <c r="T272" i="52"/>
  <c r="T273" i="52"/>
  <c r="T274" i="52"/>
  <c r="T275" i="52"/>
  <c r="T276" i="52"/>
  <c r="T277" i="52"/>
  <c r="T278" i="52"/>
  <c r="T279" i="52"/>
  <c r="T280" i="52"/>
  <c r="T281" i="52"/>
  <c r="T282" i="52"/>
  <c r="T283" i="52"/>
  <c r="T284" i="52"/>
  <c r="T285" i="52"/>
  <c r="T286" i="52"/>
  <c r="T287" i="52"/>
  <c r="T288" i="52"/>
  <c r="T289" i="52"/>
  <c r="T290" i="52"/>
  <c r="T291" i="52"/>
  <c r="T292" i="52"/>
  <c r="T293" i="52"/>
  <c r="T294" i="52"/>
  <c r="T295" i="52"/>
  <c r="T296" i="52"/>
  <c r="T297" i="52"/>
  <c r="T298" i="52"/>
  <c r="T299" i="52"/>
  <c r="T300" i="52"/>
  <c r="T301" i="52"/>
  <c r="T302" i="52"/>
  <c r="T303" i="52"/>
  <c r="T304" i="52"/>
  <c r="T305" i="52"/>
  <c r="T306" i="52"/>
  <c r="T307" i="52"/>
  <c r="T308" i="52"/>
  <c r="T309" i="52"/>
  <c r="T310" i="52"/>
  <c r="T311" i="52"/>
  <c r="T312" i="52"/>
  <c r="T313" i="52"/>
  <c r="T314" i="52"/>
  <c r="T315" i="52"/>
  <c r="T316" i="52"/>
  <c r="T317" i="52"/>
  <c r="T318" i="52"/>
  <c r="T319" i="52"/>
  <c r="T320" i="52"/>
  <c r="T321" i="52"/>
  <c r="T322" i="52"/>
  <c r="T323" i="52"/>
  <c r="T324" i="52"/>
  <c r="T325" i="52"/>
  <c r="T326" i="52"/>
  <c r="T327" i="52"/>
  <c r="T328" i="52"/>
  <c r="T329" i="52"/>
  <c r="T330" i="52"/>
  <c r="T331" i="52"/>
  <c r="T332" i="52"/>
  <c r="T333" i="52"/>
  <c r="T334" i="52"/>
  <c r="T335" i="52"/>
  <c r="T336" i="52"/>
  <c r="T337" i="52"/>
  <c r="T338" i="52"/>
  <c r="T339" i="52"/>
  <c r="T340" i="52"/>
  <c r="T341" i="52"/>
  <c r="T342" i="52"/>
  <c r="T343" i="52"/>
  <c r="T344" i="52"/>
  <c r="T345" i="52"/>
  <c r="T346" i="52"/>
  <c r="T347" i="52"/>
  <c r="T348" i="52"/>
  <c r="T349" i="52"/>
  <c r="T350" i="52"/>
  <c r="T351" i="52"/>
  <c r="T352" i="52"/>
  <c r="T353" i="52"/>
  <c r="T354" i="52"/>
  <c r="T355" i="52"/>
  <c r="T356" i="52"/>
  <c r="T357" i="52"/>
  <c r="T358" i="52"/>
  <c r="T359" i="52"/>
  <c r="T360" i="52"/>
  <c r="T361" i="52"/>
  <c r="T362" i="52"/>
  <c r="T363" i="52"/>
  <c r="T364" i="52"/>
  <c r="T365" i="52"/>
  <c r="T366" i="52"/>
  <c r="T367" i="52"/>
  <c r="T368" i="52"/>
  <c r="T369" i="52"/>
  <c r="T370" i="52"/>
  <c r="T371" i="52"/>
  <c r="T372" i="52"/>
  <c r="T373" i="52"/>
  <c r="T374" i="52"/>
  <c r="T375" i="52"/>
  <c r="T376" i="52"/>
  <c r="T377" i="52"/>
  <c r="T378" i="52"/>
  <c r="T379" i="52"/>
  <c r="T380" i="52"/>
  <c r="T381" i="52"/>
  <c r="T382" i="52"/>
  <c r="T383" i="52"/>
  <c r="T384" i="52"/>
  <c r="T385" i="52"/>
  <c r="T386" i="52"/>
  <c r="T387" i="52"/>
  <c r="T388" i="52"/>
  <c r="T389" i="52"/>
  <c r="T390" i="52"/>
  <c r="T391" i="52"/>
  <c r="T392" i="52"/>
  <c r="T393" i="52"/>
  <c r="T394" i="52"/>
  <c r="T395" i="52"/>
  <c r="T396" i="52"/>
  <c r="T397" i="52"/>
  <c r="T398" i="52"/>
  <c r="T399" i="52"/>
  <c r="T400" i="52"/>
  <c r="T401" i="52"/>
  <c r="T402" i="52"/>
  <c r="T403" i="52"/>
  <c r="T404" i="52"/>
  <c r="T405" i="52"/>
  <c r="T406" i="52"/>
  <c r="T407" i="52"/>
  <c r="T408" i="52"/>
  <c r="T409" i="52"/>
  <c r="T410" i="52"/>
  <c r="T411" i="52"/>
  <c r="T412" i="52"/>
  <c r="T413" i="52"/>
  <c r="T414" i="52"/>
  <c r="T415" i="52"/>
  <c r="T416" i="52"/>
  <c r="T417" i="52"/>
  <c r="T418" i="52"/>
  <c r="T419" i="52"/>
  <c r="T420" i="52"/>
  <c r="T421" i="52"/>
  <c r="T422" i="52"/>
  <c r="T423" i="52"/>
  <c r="T424" i="52"/>
  <c r="T425" i="52"/>
  <c r="T426" i="52"/>
  <c r="T427" i="52"/>
  <c r="T428" i="52"/>
  <c r="T429" i="52"/>
  <c r="T430" i="52"/>
  <c r="T431" i="52"/>
  <c r="T432" i="52"/>
  <c r="T433" i="52"/>
  <c r="T434" i="52"/>
  <c r="T435" i="52"/>
  <c r="T436" i="52"/>
  <c r="T437" i="52"/>
  <c r="T438" i="52"/>
  <c r="T439" i="52"/>
  <c r="T440" i="52"/>
  <c r="T441" i="52"/>
  <c r="T442" i="52"/>
  <c r="T443" i="52"/>
  <c r="T444" i="52"/>
  <c r="T445" i="52"/>
  <c r="T446" i="52"/>
  <c r="T447" i="52"/>
  <c r="T448" i="52"/>
  <c r="T449" i="52"/>
  <c r="T450" i="52"/>
  <c r="T451" i="52"/>
  <c r="T452" i="52"/>
  <c r="T453" i="52"/>
  <c r="T454" i="52"/>
  <c r="T455" i="52"/>
  <c r="T456" i="52"/>
  <c r="T457" i="52"/>
  <c r="T458" i="52"/>
  <c r="T459" i="52"/>
  <c r="T460" i="52"/>
  <c r="T461" i="52"/>
  <c r="T462" i="52"/>
  <c r="T463" i="52"/>
  <c r="T464" i="52"/>
  <c r="T465" i="52"/>
  <c r="T466" i="52"/>
  <c r="T467" i="52"/>
  <c r="T468" i="52"/>
  <c r="T469" i="52"/>
  <c r="T470" i="52"/>
  <c r="T471" i="52"/>
  <c r="T472" i="52"/>
  <c r="T473" i="52"/>
  <c r="T474" i="52"/>
  <c r="T475" i="52"/>
  <c r="T476" i="52"/>
  <c r="T477" i="52"/>
  <c r="T478" i="52"/>
  <c r="T479" i="52"/>
  <c r="T480" i="52"/>
  <c r="T481" i="52"/>
  <c r="T482" i="52"/>
  <c r="T483" i="52"/>
  <c r="T484" i="52"/>
  <c r="T485" i="52"/>
  <c r="T486" i="52"/>
  <c r="T487" i="52"/>
  <c r="T488" i="52"/>
  <c r="T489" i="52"/>
  <c r="T490" i="52"/>
  <c r="T491" i="52"/>
  <c r="T492" i="52"/>
  <c r="T493" i="52"/>
  <c r="T494" i="52"/>
  <c r="T495" i="52"/>
  <c r="T496" i="52"/>
  <c r="T497" i="52"/>
  <c r="T498" i="52"/>
  <c r="T499" i="52"/>
  <c r="T500" i="52"/>
  <c r="T501" i="52"/>
  <c r="T502" i="52"/>
  <c r="T503" i="52"/>
  <c r="T504" i="52"/>
  <c r="T505" i="52"/>
  <c r="T506" i="52"/>
  <c r="T507" i="52"/>
  <c r="T508" i="52"/>
  <c r="T509" i="52"/>
  <c r="T510" i="52"/>
  <c r="T511" i="52"/>
  <c r="T512" i="52"/>
  <c r="T513" i="52"/>
  <c r="T514" i="52"/>
  <c r="T515" i="52"/>
  <c r="T516" i="52"/>
  <c r="T517" i="52"/>
  <c r="T518" i="52"/>
  <c r="T519" i="52"/>
  <c r="T520" i="52"/>
  <c r="T521" i="52"/>
  <c r="T522" i="52"/>
  <c r="T523" i="52"/>
  <c r="T524" i="52"/>
  <c r="T525" i="52"/>
  <c r="T526" i="52"/>
  <c r="T527" i="52"/>
  <c r="T528" i="52"/>
  <c r="T529" i="52"/>
  <c r="T530" i="52"/>
  <c r="T531" i="52"/>
  <c r="T532" i="52"/>
  <c r="T533" i="52"/>
  <c r="T534" i="52"/>
  <c r="T535" i="52"/>
  <c r="T536" i="52"/>
  <c r="T537" i="52"/>
  <c r="T538" i="52"/>
  <c r="T539" i="52"/>
  <c r="T540" i="52"/>
  <c r="T541" i="52"/>
  <c r="T542" i="52"/>
  <c r="T543" i="52"/>
  <c r="T544" i="52"/>
  <c r="T545" i="52"/>
  <c r="T546" i="52"/>
  <c r="T547" i="52"/>
  <c r="T548" i="52"/>
  <c r="T549" i="52"/>
  <c r="T550" i="52"/>
  <c r="T551" i="52"/>
  <c r="T552" i="52"/>
  <c r="T553" i="52"/>
  <c r="T554" i="52"/>
  <c r="T555" i="52"/>
  <c r="T556" i="52"/>
  <c r="T557" i="52"/>
  <c r="T558" i="52"/>
  <c r="T559" i="52"/>
  <c r="T560" i="52"/>
  <c r="T561" i="52"/>
  <c r="T562" i="52"/>
  <c r="T563" i="52"/>
  <c r="T564" i="52"/>
  <c r="T565" i="52"/>
  <c r="T566" i="52"/>
  <c r="T567" i="52"/>
  <c r="T568" i="52"/>
  <c r="T569" i="52"/>
  <c r="T570" i="52"/>
  <c r="T571" i="52"/>
  <c r="T572" i="52"/>
  <c r="T573" i="52"/>
  <c r="T574" i="52"/>
  <c r="T575" i="52"/>
  <c r="T576" i="52"/>
  <c r="T577" i="52"/>
  <c r="T578" i="52"/>
  <c r="T579" i="52"/>
  <c r="T580" i="52"/>
  <c r="T581" i="52"/>
  <c r="T582" i="52"/>
  <c r="T583" i="52"/>
  <c r="T584" i="52"/>
  <c r="T585" i="52"/>
  <c r="T586" i="52"/>
  <c r="T587" i="52"/>
  <c r="T588" i="52"/>
  <c r="T589" i="52"/>
  <c r="T590" i="52"/>
  <c r="T591" i="52"/>
  <c r="T592" i="52"/>
  <c r="T593" i="52"/>
  <c r="T594" i="52"/>
  <c r="T595" i="52"/>
  <c r="T596" i="52"/>
  <c r="T597" i="52"/>
  <c r="T598" i="52"/>
  <c r="T599" i="52"/>
  <c r="T600" i="52"/>
  <c r="T601" i="52"/>
  <c r="T602" i="52"/>
  <c r="T603" i="52"/>
  <c r="T604" i="52"/>
  <c r="T605" i="52"/>
  <c r="T606" i="52"/>
  <c r="T607" i="52"/>
  <c r="T608" i="52"/>
  <c r="T609" i="52"/>
  <c r="T610" i="52"/>
  <c r="T611" i="52"/>
  <c r="T612" i="52"/>
  <c r="T613" i="52"/>
  <c r="T614" i="52"/>
  <c r="T615" i="52"/>
  <c r="T616" i="52"/>
  <c r="T617" i="52"/>
  <c r="T618" i="52"/>
  <c r="T619" i="52"/>
  <c r="T620" i="52"/>
  <c r="T621" i="52"/>
  <c r="T622" i="52"/>
  <c r="T623" i="52"/>
  <c r="T624" i="52"/>
  <c r="T625" i="52"/>
  <c r="T626" i="52"/>
  <c r="T627" i="52"/>
  <c r="T628" i="52"/>
  <c r="T629" i="52"/>
  <c r="T630" i="52"/>
  <c r="T631" i="52"/>
  <c r="T632" i="52"/>
  <c r="T633" i="52"/>
  <c r="T634" i="52"/>
  <c r="T635" i="52"/>
  <c r="T636" i="52"/>
  <c r="T637" i="52"/>
  <c r="T638" i="52"/>
  <c r="T639" i="52"/>
  <c r="T640" i="52"/>
  <c r="T641" i="52"/>
  <c r="T642" i="52"/>
  <c r="T643" i="52"/>
  <c r="T644" i="52"/>
  <c r="T645" i="52"/>
  <c r="T646" i="52"/>
  <c r="T647" i="52"/>
  <c r="T648" i="52"/>
  <c r="T649" i="52"/>
  <c r="T650" i="52"/>
  <c r="T651" i="52"/>
  <c r="T652" i="52"/>
  <c r="T653" i="52"/>
  <c r="T654" i="52"/>
  <c r="T655" i="52"/>
  <c r="U3" i="52"/>
  <c r="U4" i="52"/>
  <c r="U5" i="52"/>
  <c r="U6" i="52"/>
  <c r="U7" i="52"/>
  <c r="U8" i="52"/>
  <c r="U9" i="52"/>
  <c r="U10" i="52"/>
  <c r="U11" i="52"/>
  <c r="U12" i="52"/>
  <c r="U13" i="52"/>
  <c r="U14" i="52"/>
  <c r="U15" i="52"/>
  <c r="U16" i="52"/>
  <c r="U17" i="52"/>
  <c r="U18" i="52"/>
  <c r="U19" i="52"/>
  <c r="U20" i="52"/>
  <c r="U21" i="52"/>
  <c r="U22" i="52"/>
  <c r="U23" i="52"/>
  <c r="U24" i="52"/>
  <c r="U25" i="52"/>
  <c r="U26" i="52"/>
  <c r="U27" i="52"/>
  <c r="U28" i="52"/>
  <c r="U29" i="52"/>
  <c r="U30" i="52"/>
  <c r="U31" i="52"/>
  <c r="U32" i="52"/>
  <c r="U33" i="52"/>
  <c r="U34" i="52"/>
  <c r="U35" i="52"/>
  <c r="U36" i="52"/>
  <c r="U37" i="52"/>
  <c r="U38" i="52"/>
  <c r="U39" i="52"/>
  <c r="U40" i="52"/>
  <c r="U41" i="52"/>
  <c r="U42" i="52"/>
  <c r="U43" i="52"/>
  <c r="U44" i="52"/>
  <c r="U45" i="52"/>
  <c r="U46" i="52"/>
  <c r="U47" i="52"/>
  <c r="U48" i="52"/>
  <c r="U49" i="52"/>
  <c r="U50" i="52"/>
  <c r="U51" i="52"/>
  <c r="U52" i="52"/>
  <c r="U53" i="52"/>
  <c r="U54" i="52"/>
  <c r="U55" i="52"/>
  <c r="U56" i="52"/>
  <c r="U57" i="52"/>
  <c r="U58" i="52"/>
  <c r="U59" i="52"/>
  <c r="U60" i="52"/>
  <c r="U61" i="52"/>
  <c r="U62" i="52"/>
  <c r="U63" i="52"/>
  <c r="U64" i="52"/>
  <c r="U65" i="52"/>
  <c r="U66" i="52"/>
  <c r="U67" i="52"/>
  <c r="U68" i="52"/>
  <c r="U69" i="52"/>
  <c r="U70" i="52"/>
  <c r="U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111" i="52"/>
  <c r="U112" i="52"/>
  <c r="U113" i="52"/>
  <c r="U114" i="52"/>
  <c r="U115" i="52"/>
  <c r="U116" i="52"/>
  <c r="U117" i="52"/>
  <c r="U118" i="52"/>
  <c r="U119" i="52"/>
  <c r="U120" i="52"/>
  <c r="U121" i="52"/>
  <c r="U122" i="52"/>
  <c r="U123" i="52"/>
  <c r="U124" i="52"/>
  <c r="U125" i="52"/>
  <c r="U126" i="52"/>
  <c r="U127" i="52"/>
  <c r="U128" i="52"/>
  <c r="U129" i="52"/>
  <c r="U130" i="52"/>
  <c r="U131" i="52"/>
  <c r="U132" i="52"/>
  <c r="U133" i="52"/>
  <c r="U134" i="52"/>
  <c r="U135" i="52"/>
  <c r="U136" i="52"/>
  <c r="U137" i="52"/>
  <c r="U138" i="52"/>
  <c r="U139" i="52"/>
  <c r="U140" i="52"/>
  <c r="U141" i="52"/>
  <c r="U142" i="52"/>
  <c r="U143" i="52"/>
  <c r="U144" i="52"/>
  <c r="U145" i="52"/>
  <c r="U146" i="52"/>
  <c r="U147" i="52"/>
  <c r="U148" i="52"/>
  <c r="U149" i="52"/>
  <c r="U150" i="52"/>
  <c r="U151" i="52"/>
  <c r="U152" i="52"/>
  <c r="U153" i="52"/>
  <c r="U154" i="52"/>
  <c r="U155" i="52"/>
  <c r="U156" i="52"/>
  <c r="U157" i="52"/>
  <c r="U158" i="52"/>
  <c r="U159" i="52"/>
  <c r="U160" i="52"/>
  <c r="U161" i="52"/>
  <c r="U162" i="52"/>
  <c r="U163" i="52"/>
  <c r="U164" i="52"/>
  <c r="U165" i="52"/>
  <c r="U166" i="52"/>
  <c r="U167" i="52"/>
  <c r="U168" i="52"/>
  <c r="U169" i="52"/>
  <c r="U170" i="52"/>
  <c r="U171" i="52"/>
  <c r="U172" i="52"/>
  <c r="U173" i="52"/>
  <c r="U174" i="52"/>
  <c r="U175" i="52"/>
  <c r="U176" i="52"/>
  <c r="U177" i="52"/>
  <c r="U178" i="52"/>
  <c r="U179" i="52"/>
  <c r="U180" i="52"/>
  <c r="U181" i="52"/>
  <c r="U182" i="52"/>
  <c r="U183" i="52"/>
  <c r="U184" i="52"/>
  <c r="U185" i="52"/>
  <c r="U186" i="52"/>
  <c r="U187" i="52"/>
  <c r="U188" i="52"/>
  <c r="U189" i="52"/>
  <c r="U190" i="52"/>
  <c r="U191" i="52"/>
  <c r="U192" i="52"/>
  <c r="U193" i="52"/>
  <c r="U194" i="52"/>
  <c r="U195" i="52"/>
  <c r="U196" i="52"/>
  <c r="U197" i="52"/>
  <c r="U198" i="52"/>
  <c r="U199" i="52"/>
  <c r="U200" i="52"/>
  <c r="U201" i="52"/>
  <c r="U202" i="52"/>
  <c r="U203" i="52"/>
  <c r="U204" i="52"/>
  <c r="U205" i="52"/>
  <c r="U206" i="52"/>
  <c r="U207" i="52"/>
  <c r="U208" i="52"/>
  <c r="U209" i="52"/>
  <c r="U210" i="52"/>
  <c r="U211" i="52"/>
  <c r="U212" i="52"/>
  <c r="U213" i="52"/>
  <c r="U214" i="52"/>
  <c r="U215" i="52"/>
  <c r="U216" i="52"/>
  <c r="U217" i="52"/>
  <c r="U218" i="52"/>
  <c r="U219" i="52"/>
  <c r="U220" i="52"/>
  <c r="U221" i="52"/>
  <c r="U222" i="52"/>
  <c r="U223" i="52"/>
  <c r="U224" i="52"/>
  <c r="U225" i="52"/>
  <c r="U226" i="52"/>
  <c r="U227" i="52"/>
  <c r="U228" i="52"/>
  <c r="U229" i="52"/>
  <c r="U230" i="52"/>
  <c r="U231" i="52"/>
  <c r="U232" i="52"/>
  <c r="U233" i="52"/>
  <c r="U234" i="52"/>
  <c r="U235" i="52"/>
  <c r="U236" i="52"/>
  <c r="U237" i="52"/>
  <c r="U238" i="52"/>
  <c r="U239" i="52"/>
  <c r="U240" i="52"/>
  <c r="U241" i="52"/>
  <c r="U242" i="52"/>
  <c r="U243" i="52"/>
  <c r="U244" i="52"/>
  <c r="U245" i="52"/>
  <c r="U246" i="52"/>
  <c r="U247" i="52"/>
  <c r="U248" i="52"/>
  <c r="U249" i="52"/>
  <c r="U250" i="52"/>
  <c r="U251" i="52"/>
  <c r="U252" i="52"/>
  <c r="U253" i="52"/>
  <c r="U254" i="52"/>
  <c r="U255" i="52"/>
  <c r="U256" i="52"/>
  <c r="U257" i="52"/>
  <c r="U258" i="52"/>
  <c r="U259" i="52"/>
  <c r="U260" i="52"/>
  <c r="U261" i="52"/>
  <c r="U262" i="52"/>
  <c r="U263" i="52"/>
  <c r="U264" i="52"/>
  <c r="U265" i="52"/>
  <c r="U266" i="52"/>
  <c r="U267" i="52"/>
  <c r="U268" i="52"/>
  <c r="U269" i="52"/>
  <c r="U270" i="52"/>
  <c r="U271" i="52"/>
  <c r="U272" i="52"/>
  <c r="U273" i="52"/>
  <c r="U274" i="52"/>
  <c r="U275" i="52"/>
  <c r="U276" i="52"/>
  <c r="U277" i="52"/>
  <c r="U278" i="52"/>
  <c r="U279" i="52"/>
  <c r="U280" i="52"/>
  <c r="U281" i="52"/>
  <c r="U282" i="52"/>
  <c r="U283" i="52"/>
  <c r="U284" i="52"/>
  <c r="U285" i="52"/>
  <c r="U286" i="52"/>
  <c r="U287" i="52"/>
  <c r="U288" i="52"/>
  <c r="U289" i="52"/>
  <c r="U290" i="52"/>
  <c r="U291" i="52"/>
  <c r="U292" i="52"/>
  <c r="U293" i="52"/>
  <c r="U294" i="52"/>
  <c r="U295" i="52"/>
  <c r="U296" i="52"/>
  <c r="U297" i="52"/>
  <c r="U298" i="52"/>
  <c r="U299" i="52"/>
  <c r="U300" i="52"/>
  <c r="U301" i="52"/>
  <c r="U302" i="52"/>
  <c r="U303" i="52"/>
  <c r="U304" i="52"/>
  <c r="U305" i="52"/>
  <c r="U306" i="52"/>
  <c r="U307" i="52"/>
  <c r="U308" i="52"/>
  <c r="U309" i="52"/>
  <c r="U310" i="52"/>
  <c r="U311" i="52"/>
  <c r="U312" i="52"/>
  <c r="U313" i="52"/>
  <c r="U314" i="52"/>
  <c r="U315" i="52"/>
  <c r="U316" i="52"/>
  <c r="U317" i="52"/>
  <c r="U318" i="52"/>
  <c r="U319" i="52"/>
  <c r="U320" i="52"/>
  <c r="U321" i="52"/>
  <c r="U322" i="52"/>
  <c r="U323" i="52"/>
  <c r="U324" i="52"/>
  <c r="U325" i="52"/>
  <c r="U326" i="52"/>
  <c r="U327" i="52"/>
  <c r="U328" i="52"/>
  <c r="U329" i="52"/>
  <c r="U330" i="52"/>
  <c r="U331" i="52"/>
  <c r="U332" i="52"/>
  <c r="U333" i="52"/>
  <c r="U334" i="52"/>
  <c r="U335" i="52"/>
  <c r="U336" i="52"/>
  <c r="U337" i="52"/>
  <c r="U338" i="52"/>
  <c r="U339" i="52"/>
  <c r="U340" i="52"/>
  <c r="U341" i="52"/>
  <c r="U342" i="52"/>
  <c r="U343" i="52"/>
  <c r="U344" i="52"/>
  <c r="U345" i="52"/>
  <c r="U346" i="52"/>
  <c r="U347" i="52"/>
  <c r="U348" i="52"/>
  <c r="U349" i="52"/>
  <c r="U350" i="52"/>
  <c r="U351" i="52"/>
  <c r="U352" i="52"/>
  <c r="U353" i="52"/>
  <c r="U354" i="52"/>
  <c r="U355" i="52"/>
  <c r="U356" i="52"/>
  <c r="U357" i="52"/>
  <c r="U358" i="52"/>
  <c r="U359" i="52"/>
  <c r="U360" i="52"/>
  <c r="U361" i="52"/>
  <c r="U362" i="52"/>
  <c r="U363" i="52"/>
  <c r="U364" i="52"/>
  <c r="U365" i="52"/>
  <c r="U366" i="52"/>
  <c r="U367" i="52"/>
  <c r="U368" i="52"/>
  <c r="U369" i="52"/>
  <c r="U370" i="52"/>
  <c r="U371" i="52"/>
  <c r="U372" i="52"/>
  <c r="U373" i="52"/>
  <c r="U374" i="52"/>
  <c r="U375" i="52"/>
  <c r="U376" i="52"/>
  <c r="U377" i="52"/>
  <c r="U378" i="52"/>
  <c r="U379" i="52"/>
  <c r="U380" i="52"/>
  <c r="U381" i="52"/>
  <c r="U382" i="52"/>
  <c r="U383" i="52"/>
  <c r="U384" i="52"/>
  <c r="U385" i="52"/>
  <c r="U386" i="52"/>
  <c r="U387" i="52"/>
  <c r="U388" i="52"/>
  <c r="U389" i="52"/>
  <c r="U390" i="52"/>
  <c r="U391" i="52"/>
  <c r="U392" i="52"/>
  <c r="U393" i="52"/>
  <c r="U394" i="52"/>
  <c r="U395" i="52"/>
  <c r="U396" i="52"/>
  <c r="U397" i="52"/>
  <c r="U398" i="52"/>
  <c r="U399" i="52"/>
  <c r="U400" i="52"/>
  <c r="U401" i="52"/>
  <c r="U402" i="52"/>
  <c r="U403" i="52"/>
  <c r="U404" i="52"/>
  <c r="U405" i="52"/>
  <c r="U406" i="52"/>
  <c r="U407" i="52"/>
  <c r="U408" i="52"/>
  <c r="U409" i="52"/>
  <c r="U410" i="52"/>
  <c r="U411" i="52"/>
  <c r="U412" i="52"/>
  <c r="U413" i="52"/>
  <c r="U414" i="52"/>
  <c r="U415" i="52"/>
  <c r="U416" i="52"/>
  <c r="U417" i="52"/>
  <c r="U418" i="52"/>
  <c r="U419" i="52"/>
  <c r="U420" i="52"/>
  <c r="U421" i="52"/>
  <c r="U422" i="52"/>
  <c r="U423" i="52"/>
  <c r="U424" i="52"/>
  <c r="U425" i="52"/>
  <c r="U426" i="52"/>
  <c r="U427" i="52"/>
  <c r="U428" i="52"/>
  <c r="U429" i="52"/>
  <c r="U430" i="52"/>
  <c r="U431" i="52"/>
  <c r="U432" i="52"/>
  <c r="U433" i="52"/>
  <c r="U434" i="52"/>
  <c r="U435" i="52"/>
  <c r="U436" i="52"/>
  <c r="U437" i="52"/>
  <c r="U438" i="52"/>
  <c r="U439" i="52"/>
  <c r="U440" i="52"/>
  <c r="U441" i="52"/>
  <c r="U442" i="52"/>
  <c r="U443" i="52"/>
  <c r="U444" i="52"/>
  <c r="U445" i="52"/>
  <c r="U446" i="52"/>
  <c r="U447" i="52"/>
  <c r="U448" i="52"/>
  <c r="U449" i="52"/>
  <c r="U450" i="52"/>
  <c r="U451" i="52"/>
  <c r="U452" i="52"/>
  <c r="U453" i="52"/>
  <c r="U454" i="52"/>
  <c r="U455" i="52"/>
  <c r="U456" i="52"/>
  <c r="U457" i="52"/>
  <c r="U458" i="52"/>
  <c r="U459" i="52"/>
  <c r="U460" i="52"/>
  <c r="U461" i="52"/>
  <c r="U462" i="52"/>
  <c r="U463" i="52"/>
  <c r="U464" i="52"/>
  <c r="U465" i="52"/>
  <c r="U466" i="52"/>
  <c r="U467" i="52"/>
  <c r="U468" i="52"/>
  <c r="U469" i="52"/>
  <c r="U470" i="52"/>
  <c r="U471" i="52"/>
  <c r="U472" i="52"/>
  <c r="U473" i="52"/>
  <c r="U474" i="52"/>
  <c r="U475" i="52"/>
  <c r="U476" i="52"/>
  <c r="U477" i="52"/>
  <c r="U478" i="52"/>
  <c r="U479" i="52"/>
  <c r="U480" i="52"/>
  <c r="U481" i="52"/>
  <c r="U482" i="52"/>
  <c r="U483" i="52"/>
  <c r="U484" i="52"/>
  <c r="U485" i="52"/>
  <c r="U486" i="52"/>
  <c r="U487" i="52"/>
  <c r="U488" i="52"/>
  <c r="U489" i="52"/>
  <c r="U490" i="52"/>
  <c r="U491" i="52"/>
  <c r="U492" i="52"/>
  <c r="U493" i="52"/>
  <c r="U494" i="52"/>
  <c r="U495" i="52"/>
  <c r="U496" i="52"/>
  <c r="U497" i="52"/>
  <c r="U498" i="52"/>
  <c r="U499" i="52"/>
  <c r="U500" i="52"/>
  <c r="U501" i="52"/>
  <c r="U502" i="52"/>
  <c r="U503" i="52"/>
  <c r="U504" i="52"/>
  <c r="U505" i="52"/>
  <c r="U506" i="52"/>
  <c r="U507" i="52"/>
  <c r="U508" i="52"/>
  <c r="U509" i="52"/>
  <c r="U510" i="52"/>
  <c r="U511" i="52"/>
  <c r="U512" i="52"/>
  <c r="U513" i="52"/>
  <c r="U514" i="52"/>
  <c r="U515" i="52"/>
  <c r="U516" i="52"/>
  <c r="U517" i="52"/>
  <c r="U518" i="52"/>
  <c r="U519" i="52"/>
  <c r="U520" i="52"/>
  <c r="U521" i="52"/>
  <c r="U522" i="52"/>
  <c r="U523" i="52"/>
  <c r="U524" i="52"/>
  <c r="U525" i="52"/>
  <c r="U526" i="52"/>
  <c r="U527" i="52"/>
  <c r="U528" i="52"/>
  <c r="U529" i="52"/>
  <c r="U530" i="52"/>
  <c r="U531" i="52"/>
  <c r="U532" i="52"/>
  <c r="U533" i="52"/>
  <c r="U534" i="52"/>
  <c r="U535" i="52"/>
  <c r="U536" i="52"/>
  <c r="U537" i="52"/>
  <c r="U538" i="52"/>
  <c r="U539" i="52"/>
  <c r="U540" i="52"/>
  <c r="U541" i="52"/>
  <c r="U542" i="52"/>
  <c r="U543" i="52"/>
  <c r="U544" i="52"/>
  <c r="U545" i="52"/>
  <c r="U546" i="52"/>
  <c r="U547" i="52"/>
  <c r="U548" i="52"/>
  <c r="U549" i="52"/>
  <c r="U550" i="52"/>
  <c r="U551" i="52"/>
  <c r="U552" i="52"/>
  <c r="U553" i="52"/>
  <c r="U554" i="52"/>
  <c r="U555" i="52"/>
  <c r="U556" i="52"/>
  <c r="U557" i="52"/>
  <c r="U558" i="52"/>
  <c r="U559" i="52"/>
  <c r="U560" i="52"/>
  <c r="U561" i="52"/>
  <c r="U562" i="52"/>
  <c r="U563" i="52"/>
  <c r="U564" i="52"/>
  <c r="U565" i="52"/>
  <c r="U566" i="52"/>
  <c r="U567" i="52"/>
  <c r="U568" i="52"/>
  <c r="U569" i="52"/>
  <c r="U570" i="52"/>
  <c r="U571" i="52"/>
  <c r="U572" i="52"/>
  <c r="U573" i="52"/>
  <c r="U574" i="52"/>
  <c r="U575" i="52"/>
  <c r="U576" i="52"/>
  <c r="U577" i="52"/>
  <c r="U578" i="52"/>
  <c r="U579" i="52"/>
  <c r="U580" i="52"/>
  <c r="U581" i="52"/>
  <c r="U582" i="52"/>
  <c r="U583" i="52"/>
  <c r="U584" i="52"/>
  <c r="U585" i="52"/>
  <c r="U586" i="52"/>
  <c r="U587" i="52"/>
  <c r="U588" i="52"/>
  <c r="U589" i="52"/>
  <c r="U590" i="52"/>
  <c r="U591" i="52"/>
  <c r="U592" i="52"/>
  <c r="U593" i="52"/>
  <c r="U594" i="52"/>
  <c r="U595" i="52"/>
  <c r="U596" i="52"/>
  <c r="U597" i="52"/>
  <c r="U598" i="52"/>
  <c r="U599" i="52"/>
  <c r="U600" i="52"/>
  <c r="U601" i="52"/>
  <c r="U602" i="52"/>
  <c r="U603" i="52"/>
  <c r="U604" i="52"/>
  <c r="U605" i="52"/>
  <c r="U606" i="52"/>
  <c r="U607" i="52"/>
  <c r="U608" i="52"/>
  <c r="U609" i="52"/>
  <c r="U610" i="52"/>
  <c r="U611" i="52"/>
  <c r="U612" i="52"/>
  <c r="U613" i="52"/>
  <c r="U614" i="52"/>
  <c r="U615" i="52"/>
  <c r="U616" i="52"/>
  <c r="U617" i="52"/>
  <c r="U618" i="52"/>
  <c r="U619" i="52"/>
  <c r="U620" i="52"/>
  <c r="U621" i="52"/>
  <c r="U622" i="52"/>
  <c r="U623" i="52"/>
  <c r="U624" i="52"/>
  <c r="U625" i="52"/>
  <c r="U626" i="52"/>
  <c r="U627" i="52"/>
  <c r="U628" i="52"/>
  <c r="U629" i="52"/>
  <c r="U630" i="52"/>
  <c r="U631" i="52"/>
  <c r="U632" i="52"/>
  <c r="U633" i="52"/>
  <c r="U634" i="52"/>
  <c r="U635" i="52"/>
  <c r="U636" i="52"/>
  <c r="U637" i="52"/>
  <c r="U638" i="52"/>
  <c r="U639" i="52"/>
  <c r="U640" i="52"/>
  <c r="U641" i="52"/>
  <c r="U642" i="52"/>
  <c r="U643" i="52"/>
  <c r="U644" i="52"/>
  <c r="U645" i="52"/>
  <c r="U646" i="52"/>
  <c r="U647" i="52"/>
  <c r="U648" i="52"/>
  <c r="U649" i="52"/>
  <c r="U650" i="52"/>
  <c r="U651" i="52"/>
  <c r="U652" i="52"/>
  <c r="U653" i="52"/>
  <c r="U654" i="52"/>
  <c r="U655" i="52"/>
  <c r="V3" i="52"/>
  <c r="V4" i="52"/>
  <c r="V5" i="52"/>
  <c r="V6" i="52"/>
  <c r="V7" i="52"/>
  <c r="V8" i="52"/>
  <c r="V9" i="52"/>
  <c r="V10" i="52"/>
  <c r="V11" i="52"/>
  <c r="V12" i="52"/>
  <c r="V13" i="52"/>
  <c r="V14" i="52"/>
  <c r="V15" i="52"/>
  <c r="V16" i="52"/>
  <c r="V17" i="52"/>
  <c r="V18" i="52"/>
  <c r="V19" i="52"/>
  <c r="V20" i="52"/>
  <c r="V21" i="52"/>
  <c r="V22" i="52"/>
  <c r="V23" i="52"/>
  <c r="V24" i="52"/>
  <c r="V25" i="52"/>
  <c r="V26" i="52"/>
  <c r="V27" i="52"/>
  <c r="V28" i="52"/>
  <c r="V29" i="52"/>
  <c r="V30" i="52"/>
  <c r="V31" i="52"/>
  <c r="V32" i="52"/>
  <c r="V33" i="52"/>
  <c r="V34" i="52"/>
  <c r="V35" i="52"/>
  <c r="V36" i="52"/>
  <c r="V37" i="52"/>
  <c r="V38" i="52"/>
  <c r="V39" i="52"/>
  <c r="V40" i="52"/>
  <c r="V41" i="52"/>
  <c r="V42" i="52"/>
  <c r="V43" i="52"/>
  <c r="V44" i="52"/>
  <c r="V45" i="52"/>
  <c r="V46" i="52"/>
  <c r="V47" i="52"/>
  <c r="V48" i="52"/>
  <c r="V49" i="52"/>
  <c r="V50" i="52"/>
  <c r="V51" i="52"/>
  <c r="V52" i="52"/>
  <c r="V53" i="52"/>
  <c r="V54" i="52"/>
  <c r="V55" i="52"/>
  <c r="V56" i="52"/>
  <c r="V57" i="52"/>
  <c r="V58" i="52"/>
  <c r="V59" i="52"/>
  <c r="V60" i="52"/>
  <c r="V61" i="52"/>
  <c r="V62" i="52"/>
  <c r="V63" i="52"/>
  <c r="V64" i="52"/>
  <c r="V65" i="52"/>
  <c r="V66" i="52"/>
  <c r="V67" i="52"/>
  <c r="V68" i="52"/>
  <c r="V69" i="52"/>
  <c r="V70" i="52"/>
  <c r="V71" i="52"/>
  <c r="V72" i="52"/>
  <c r="V73" i="52"/>
  <c r="V74" i="52"/>
  <c r="V75" i="52"/>
  <c r="V76" i="52"/>
  <c r="V77" i="52"/>
  <c r="V78" i="52"/>
  <c r="V79" i="52"/>
  <c r="V80" i="52"/>
  <c r="V81" i="52"/>
  <c r="V82" i="52"/>
  <c r="V83" i="52"/>
  <c r="V84" i="52"/>
  <c r="V85" i="52"/>
  <c r="V86" i="52"/>
  <c r="V87" i="52"/>
  <c r="V88" i="52"/>
  <c r="V89" i="52"/>
  <c r="V90" i="52"/>
  <c r="V91" i="52"/>
  <c r="V92" i="52"/>
  <c r="V93" i="52"/>
  <c r="V94" i="52"/>
  <c r="V95" i="52"/>
  <c r="V96" i="52"/>
  <c r="V97" i="52"/>
  <c r="V98" i="52"/>
  <c r="V99" i="52"/>
  <c r="V100" i="52"/>
  <c r="V101" i="52"/>
  <c r="V102" i="52"/>
  <c r="V103" i="52"/>
  <c r="V104" i="52"/>
  <c r="V105" i="52"/>
  <c r="V106" i="52"/>
  <c r="V107" i="52"/>
  <c r="V108" i="52"/>
  <c r="V109" i="52"/>
  <c r="V110" i="52"/>
  <c r="V111" i="52"/>
  <c r="V112" i="52"/>
  <c r="V113" i="52"/>
  <c r="V114" i="52"/>
  <c r="V115" i="52"/>
  <c r="V116" i="52"/>
  <c r="V117" i="52"/>
  <c r="V118" i="52"/>
  <c r="V119" i="52"/>
  <c r="V120" i="52"/>
  <c r="V121" i="52"/>
  <c r="V122" i="52"/>
  <c r="V123" i="52"/>
  <c r="V124" i="52"/>
  <c r="V125" i="52"/>
  <c r="V126" i="52"/>
  <c r="V127" i="52"/>
  <c r="V128" i="52"/>
  <c r="V129" i="52"/>
  <c r="V130" i="52"/>
  <c r="V131" i="52"/>
  <c r="V132" i="52"/>
  <c r="V133" i="52"/>
  <c r="V134" i="52"/>
  <c r="V135" i="52"/>
  <c r="V136" i="52"/>
  <c r="V137" i="52"/>
  <c r="V138" i="52"/>
  <c r="V139" i="52"/>
  <c r="V140" i="52"/>
  <c r="V141" i="52"/>
  <c r="V142" i="52"/>
  <c r="V143" i="52"/>
  <c r="V144" i="52"/>
  <c r="V145" i="52"/>
  <c r="V146" i="52"/>
  <c r="V147" i="52"/>
  <c r="V148" i="52"/>
  <c r="V149" i="52"/>
  <c r="V150" i="52"/>
  <c r="V151" i="52"/>
  <c r="V152" i="52"/>
  <c r="V153" i="52"/>
  <c r="V154" i="52"/>
  <c r="V155" i="52"/>
  <c r="V156" i="52"/>
  <c r="V157" i="52"/>
  <c r="V158" i="52"/>
  <c r="V159" i="52"/>
  <c r="V160" i="52"/>
  <c r="V161" i="52"/>
  <c r="V162" i="52"/>
  <c r="V163" i="52"/>
  <c r="V164" i="52"/>
  <c r="V165" i="52"/>
  <c r="V166" i="52"/>
  <c r="V167" i="52"/>
  <c r="V168" i="52"/>
  <c r="V169" i="52"/>
  <c r="V170" i="52"/>
  <c r="V171" i="52"/>
  <c r="V172" i="52"/>
  <c r="V173" i="52"/>
  <c r="V174" i="52"/>
  <c r="V175" i="52"/>
  <c r="V176" i="52"/>
  <c r="V177" i="52"/>
  <c r="V178" i="52"/>
  <c r="V179" i="52"/>
  <c r="V180" i="52"/>
  <c r="V181" i="52"/>
  <c r="V182" i="52"/>
  <c r="V183" i="52"/>
  <c r="V184" i="52"/>
  <c r="V185" i="52"/>
  <c r="V186" i="52"/>
  <c r="V187" i="52"/>
  <c r="V188" i="52"/>
  <c r="V189" i="52"/>
  <c r="V190" i="52"/>
  <c r="V191" i="52"/>
  <c r="V192" i="52"/>
  <c r="V193" i="52"/>
  <c r="V194" i="52"/>
  <c r="V195" i="52"/>
  <c r="V196" i="52"/>
  <c r="V197" i="52"/>
  <c r="V198" i="52"/>
  <c r="V199" i="52"/>
  <c r="V200" i="52"/>
  <c r="V201" i="52"/>
  <c r="V202" i="52"/>
  <c r="V203" i="52"/>
  <c r="V204" i="52"/>
  <c r="V205" i="52"/>
  <c r="V206" i="52"/>
  <c r="V207" i="52"/>
  <c r="V208" i="52"/>
  <c r="V209" i="52"/>
  <c r="V210" i="52"/>
  <c r="V211" i="52"/>
  <c r="V212" i="52"/>
  <c r="V213" i="52"/>
  <c r="V214" i="52"/>
  <c r="V215" i="52"/>
  <c r="V216" i="52"/>
  <c r="V217" i="52"/>
  <c r="V218" i="52"/>
  <c r="V219" i="52"/>
  <c r="V220" i="52"/>
  <c r="V221" i="52"/>
  <c r="V222" i="52"/>
  <c r="V223" i="52"/>
  <c r="V224" i="52"/>
  <c r="V225" i="52"/>
  <c r="V226" i="52"/>
  <c r="V227" i="52"/>
  <c r="V228" i="52"/>
  <c r="V229" i="52"/>
  <c r="V230" i="52"/>
  <c r="V231" i="52"/>
  <c r="V232" i="52"/>
  <c r="V233" i="52"/>
  <c r="V234" i="52"/>
  <c r="V235" i="52"/>
  <c r="V236" i="52"/>
  <c r="V237" i="52"/>
  <c r="V238" i="52"/>
  <c r="V239" i="52"/>
  <c r="V240" i="52"/>
  <c r="V241" i="52"/>
  <c r="V242" i="52"/>
  <c r="V243" i="52"/>
  <c r="V244" i="52"/>
  <c r="V245" i="52"/>
  <c r="V246" i="52"/>
  <c r="V247" i="52"/>
  <c r="V248" i="52"/>
  <c r="V249" i="52"/>
  <c r="V250" i="52"/>
  <c r="V251" i="52"/>
  <c r="V252" i="52"/>
  <c r="V253" i="52"/>
  <c r="V254" i="52"/>
  <c r="V255" i="52"/>
  <c r="V256" i="52"/>
  <c r="V257" i="52"/>
  <c r="V258" i="52"/>
  <c r="V259" i="52"/>
  <c r="V260" i="52"/>
  <c r="V261" i="52"/>
  <c r="V262" i="52"/>
  <c r="V263" i="52"/>
  <c r="V264" i="52"/>
  <c r="V265" i="52"/>
  <c r="V266" i="52"/>
  <c r="V267" i="52"/>
  <c r="V268" i="52"/>
  <c r="V269" i="52"/>
  <c r="V270" i="52"/>
  <c r="V271" i="52"/>
  <c r="V272" i="52"/>
  <c r="V273" i="52"/>
  <c r="V274" i="52"/>
  <c r="V275" i="52"/>
  <c r="V276" i="52"/>
  <c r="V277" i="52"/>
  <c r="V278" i="52"/>
  <c r="V279" i="52"/>
  <c r="V280" i="52"/>
  <c r="V281" i="52"/>
  <c r="V282" i="52"/>
  <c r="V283" i="52"/>
  <c r="V284" i="52"/>
  <c r="V285" i="52"/>
  <c r="V286" i="52"/>
  <c r="V287" i="52"/>
  <c r="V288" i="52"/>
  <c r="V289" i="52"/>
  <c r="V290" i="52"/>
  <c r="V291" i="52"/>
  <c r="V292" i="52"/>
  <c r="V293" i="52"/>
  <c r="V294" i="52"/>
  <c r="V295" i="52"/>
  <c r="V296" i="52"/>
  <c r="V297" i="52"/>
  <c r="V298" i="52"/>
  <c r="V299" i="52"/>
  <c r="V300" i="52"/>
  <c r="V301" i="52"/>
  <c r="V302" i="52"/>
  <c r="V303" i="52"/>
  <c r="V304" i="52"/>
  <c r="V305" i="52"/>
  <c r="V306" i="52"/>
  <c r="V307" i="52"/>
  <c r="V308" i="52"/>
  <c r="V309" i="52"/>
  <c r="V310" i="52"/>
  <c r="V311" i="52"/>
  <c r="V312" i="52"/>
  <c r="V313" i="52"/>
  <c r="V314" i="52"/>
  <c r="V315" i="52"/>
  <c r="V316" i="52"/>
  <c r="V317" i="52"/>
  <c r="V318" i="52"/>
  <c r="V319" i="52"/>
  <c r="V320" i="52"/>
  <c r="V321" i="52"/>
  <c r="V322" i="52"/>
  <c r="V323" i="52"/>
  <c r="V324" i="52"/>
  <c r="V325" i="52"/>
  <c r="V326" i="52"/>
  <c r="V327" i="52"/>
  <c r="V328" i="52"/>
  <c r="V329" i="52"/>
  <c r="V330" i="52"/>
  <c r="V331" i="52"/>
  <c r="V332" i="52"/>
  <c r="V333" i="52"/>
  <c r="V334" i="52"/>
  <c r="V335" i="52"/>
  <c r="V336" i="52"/>
  <c r="V337" i="52"/>
  <c r="V338" i="52"/>
  <c r="V339" i="52"/>
  <c r="V340" i="52"/>
  <c r="V341" i="52"/>
  <c r="V342" i="52"/>
  <c r="V343" i="52"/>
  <c r="V344" i="52"/>
  <c r="V345" i="52"/>
  <c r="V346" i="52"/>
  <c r="V347" i="52"/>
  <c r="V348" i="52"/>
  <c r="V349" i="52"/>
  <c r="V350" i="52"/>
  <c r="V351" i="52"/>
  <c r="V352" i="52"/>
  <c r="V353" i="52"/>
  <c r="V354" i="52"/>
  <c r="V355" i="52"/>
  <c r="V356" i="52"/>
  <c r="V357" i="52"/>
  <c r="V358" i="52"/>
  <c r="V359" i="52"/>
  <c r="V360" i="52"/>
  <c r="V361" i="52"/>
  <c r="V362" i="52"/>
  <c r="V363" i="52"/>
  <c r="V364" i="52"/>
  <c r="V365" i="52"/>
  <c r="V366" i="52"/>
  <c r="V367" i="52"/>
  <c r="V368" i="52"/>
  <c r="V369" i="52"/>
  <c r="V370" i="52"/>
  <c r="V371" i="52"/>
  <c r="V372" i="52"/>
  <c r="V373" i="52"/>
  <c r="V374" i="52"/>
  <c r="V375" i="52"/>
  <c r="V376" i="52"/>
  <c r="V377" i="52"/>
  <c r="V378" i="52"/>
  <c r="V379" i="52"/>
  <c r="V380" i="52"/>
  <c r="V381" i="52"/>
  <c r="V382" i="52"/>
  <c r="V383" i="52"/>
  <c r="V384" i="52"/>
  <c r="V385" i="52"/>
  <c r="V386" i="52"/>
  <c r="V387" i="52"/>
  <c r="V388" i="52"/>
  <c r="V389" i="52"/>
  <c r="V390" i="52"/>
  <c r="V391" i="52"/>
  <c r="V392" i="52"/>
  <c r="V393" i="52"/>
  <c r="V394" i="52"/>
  <c r="V395" i="52"/>
  <c r="V396" i="52"/>
  <c r="V397" i="52"/>
  <c r="V398" i="52"/>
  <c r="V399" i="52"/>
  <c r="V400" i="52"/>
  <c r="V401" i="52"/>
  <c r="V402" i="52"/>
  <c r="V403" i="52"/>
  <c r="V404" i="52"/>
  <c r="V405" i="52"/>
  <c r="V406" i="52"/>
  <c r="V407" i="52"/>
  <c r="V408" i="52"/>
  <c r="V409" i="52"/>
  <c r="V410" i="52"/>
  <c r="V411" i="52"/>
  <c r="V412" i="52"/>
  <c r="V413" i="52"/>
  <c r="V414" i="52"/>
  <c r="V415" i="52"/>
  <c r="V416" i="52"/>
  <c r="V417" i="52"/>
  <c r="V418" i="52"/>
  <c r="V419" i="52"/>
  <c r="V420" i="52"/>
  <c r="V421" i="52"/>
  <c r="V422" i="52"/>
  <c r="V423" i="52"/>
  <c r="V424" i="52"/>
  <c r="V425" i="52"/>
  <c r="V426" i="52"/>
  <c r="V427" i="52"/>
  <c r="V428" i="52"/>
  <c r="V429" i="52"/>
  <c r="V430" i="52"/>
  <c r="V431" i="52"/>
  <c r="V432" i="52"/>
  <c r="V433" i="52"/>
  <c r="V434" i="52"/>
  <c r="V435" i="52"/>
  <c r="V436" i="52"/>
  <c r="V437" i="52"/>
  <c r="V438" i="52"/>
  <c r="V439" i="52"/>
  <c r="V440" i="52"/>
  <c r="V441" i="52"/>
  <c r="V442" i="52"/>
  <c r="V443" i="52"/>
  <c r="V444" i="52"/>
  <c r="V445" i="52"/>
  <c r="V446" i="52"/>
  <c r="V447" i="52"/>
  <c r="V448" i="52"/>
  <c r="V449" i="52"/>
  <c r="V450" i="52"/>
  <c r="V451" i="52"/>
  <c r="V452" i="52"/>
  <c r="V453" i="52"/>
  <c r="V454" i="52"/>
  <c r="V455" i="52"/>
  <c r="V456" i="52"/>
  <c r="V457" i="52"/>
  <c r="V458" i="52"/>
  <c r="V459" i="52"/>
  <c r="V460" i="52"/>
  <c r="V461" i="52"/>
  <c r="V462" i="52"/>
  <c r="V463" i="52"/>
  <c r="V464" i="52"/>
  <c r="V465" i="52"/>
  <c r="V466" i="52"/>
  <c r="V467" i="52"/>
  <c r="V468" i="52"/>
  <c r="V469" i="52"/>
  <c r="V470" i="52"/>
  <c r="V471" i="52"/>
  <c r="V472" i="52"/>
  <c r="V473" i="52"/>
  <c r="V474" i="52"/>
  <c r="V475" i="52"/>
  <c r="V476" i="52"/>
  <c r="V477" i="52"/>
  <c r="V478" i="52"/>
  <c r="V479" i="52"/>
  <c r="V480" i="52"/>
  <c r="V481" i="52"/>
  <c r="V482" i="52"/>
  <c r="V483" i="52"/>
  <c r="V484" i="52"/>
  <c r="V485" i="52"/>
  <c r="V486" i="52"/>
  <c r="V487" i="52"/>
  <c r="V488" i="52"/>
  <c r="V489" i="52"/>
  <c r="V490" i="52"/>
  <c r="V491" i="52"/>
  <c r="V492" i="52"/>
  <c r="V493" i="52"/>
  <c r="V494" i="52"/>
  <c r="V495" i="52"/>
  <c r="V496" i="52"/>
  <c r="V497" i="52"/>
  <c r="V498" i="52"/>
  <c r="V499" i="52"/>
  <c r="V500" i="52"/>
  <c r="V501" i="52"/>
  <c r="V502" i="52"/>
  <c r="V503" i="52"/>
  <c r="V504" i="52"/>
  <c r="V505" i="52"/>
  <c r="V506" i="52"/>
  <c r="V507" i="52"/>
  <c r="V508" i="52"/>
  <c r="V509" i="52"/>
  <c r="V510" i="52"/>
  <c r="V511" i="52"/>
  <c r="V512" i="52"/>
  <c r="V513" i="52"/>
  <c r="V514" i="52"/>
  <c r="V515" i="52"/>
  <c r="V516" i="52"/>
  <c r="V517" i="52"/>
  <c r="V518" i="52"/>
  <c r="V519" i="52"/>
  <c r="V520" i="52"/>
  <c r="V521" i="52"/>
  <c r="V522" i="52"/>
  <c r="V523" i="52"/>
  <c r="V524" i="52"/>
  <c r="V525" i="52"/>
  <c r="V526" i="52"/>
  <c r="V527" i="52"/>
  <c r="V528" i="52"/>
  <c r="V529" i="52"/>
  <c r="V530" i="52"/>
  <c r="V531" i="52"/>
  <c r="V532" i="52"/>
  <c r="V533" i="52"/>
  <c r="V534" i="52"/>
  <c r="V535" i="52"/>
  <c r="V536" i="52"/>
  <c r="V537" i="52"/>
  <c r="V538" i="52"/>
  <c r="V539" i="52"/>
  <c r="V540" i="52"/>
  <c r="V541" i="52"/>
  <c r="V542" i="52"/>
  <c r="V543" i="52"/>
  <c r="V544" i="52"/>
  <c r="V545" i="52"/>
  <c r="V546" i="52"/>
  <c r="V547" i="52"/>
  <c r="V548" i="52"/>
  <c r="V549" i="52"/>
  <c r="V550" i="52"/>
  <c r="V551" i="52"/>
  <c r="V552" i="52"/>
  <c r="V553" i="52"/>
  <c r="V554" i="52"/>
  <c r="V555" i="52"/>
  <c r="V556" i="52"/>
  <c r="V557" i="52"/>
  <c r="V558" i="52"/>
  <c r="V559" i="52"/>
  <c r="V560" i="52"/>
  <c r="V561" i="52"/>
  <c r="V562" i="52"/>
  <c r="V563" i="52"/>
  <c r="V564" i="52"/>
  <c r="V565" i="52"/>
  <c r="V566" i="52"/>
  <c r="V567" i="52"/>
  <c r="V568" i="52"/>
  <c r="V569" i="52"/>
  <c r="V570" i="52"/>
  <c r="V571" i="52"/>
  <c r="V572" i="52"/>
  <c r="V573" i="52"/>
  <c r="V574" i="52"/>
  <c r="V575" i="52"/>
  <c r="V576" i="52"/>
  <c r="V577" i="52"/>
  <c r="V578" i="52"/>
  <c r="V579" i="52"/>
  <c r="V580" i="52"/>
  <c r="V581" i="52"/>
  <c r="V582" i="52"/>
  <c r="V583" i="52"/>
  <c r="V584" i="52"/>
  <c r="V585" i="52"/>
  <c r="V586" i="52"/>
  <c r="V587" i="52"/>
  <c r="V588" i="52"/>
  <c r="V589" i="52"/>
  <c r="V590" i="52"/>
  <c r="V591" i="52"/>
  <c r="V592" i="52"/>
  <c r="V593" i="52"/>
  <c r="V594" i="52"/>
  <c r="V595" i="52"/>
  <c r="V596" i="52"/>
  <c r="V597" i="52"/>
  <c r="V598" i="52"/>
  <c r="V599" i="52"/>
  <c r="V600" i="52"/>
  <c r="V601" i="52"/>
  <c r="V602" i="52"/>
  <c r="V603" i="52"/>
  <c r="V604" i="52"/>
  <c r="V605" i="52"/>
  <c r="V606" i="52"/>
  <c r="V607" i="52"/>
  <c r="V608" i="52"/>
  <c r="V609" i="52"/>
  <c r="V610" i="52"/>
  <c r="V611" i="52"/>
  <c r="V612" i="52"/>
  <c r="V613" i="52"/>
  <c r="V614" i="52"/>
  <c r="V615" i="52"/>
  <c r="V616" i="52"/>
  <c r="V617" i="52"/>
  <c r="V618" i="52"/>
  <c r="V619" i="52"/>
  <c r="V620" i="52"/>
  <c r="V621" i="52"/>
  <c r="V622" i="52"/>
  <c r="V623" i="52"/>
  <c r="V624" i="52"/>
  <c r="V625" i="52"/>
  <c r="V626" i="52"/>
  <c r="V627" i="52"/>
  <c r="V628" i="52"/>
  <c r="V629" i="52"/>
  <c r="V630" i="52"/>
  <c r="V631" i="52"/>
  <c r="V632" i="52"/>
  <c r="V633" i="52"/>
  <c r="V634" i="52"/>
  <c r="V635" i="52"/>
  <c r="V636" i="52"/>
  <c r="V637" i="52"/>
  <c r="V638" i="52"/>
  <c r="V639" i="52"/>
  <c r="V640" i="52"/>
  <c r="V641" i="52"/>
  <c r="V642" i="52"/>
  <c r="V643" i="52"/>
  <c r="V644" i="52"/>
  <c r="V645" i="52"/>
  <c r="V646" i="52"/>
  <c r="V647" i="52"/>
  <c r="V648" i="52"/>
  <c r="V649" i="52"/>
  <c r="V650" i="52"/>
  <c r="V651" i="52"/>
  <c r="V652" i="52"/>
  <c r="V653" i="52"/>
  <c r="V654" i="52"/>
  <c r="V655" i="52"/>
  <c r="Q2" i="52" l="1"/>
  <c r="R2" i="52" s="1"/>
  <c r="J73" i="1"/>
  <c r="J74" i="1" s="1"/>
  <c r="J75" i="1" s="1"/>
  <c r="J76" i="1" s="1"/>
  <c r="J77" i="1" s="1"/>
  <c r="J78" i="1" s="1"/>
  <c r="K79" i="1" s="1"/>
  <c r="L73" i="1"/>
  <c r="L74" i="1" s="1"/>
  <c r="L75" i="1" s="1"/>
  <c r="L76" i="1" s="1"/>
  <c r="L77" i="1" s="1"/>
  <c r="L78" i="1" s="1"/>
  <c r="N73" i="1"/>
  <c r="N74" i="1" s="1"/>
  <c r="N75" i="1" s="1"/>
  <c r="N76" i="1" s="1"/>
  <c r="N77" i="1" s="1"/>
  <c r="N78" i="1" s="1"/>
  <c r="P73" i="1"/>
  <c r="P74" i="1" s="1"/>
  <c r="P75" i="1" s="1"/>
  <c r="P76" i="1" s="1"/>
  <c r="P77" i="1" s="1"/>
  <c r="P78" i="1" s="1"/>
  <c r="E21" i="55"/>
  <c r="E19" i="55"/>
  <c r="E17" i="55"/>
  <c r="S2" i="52" l="1"/>
  <c r="I230" i="55"/>
  <c r="A230" i="55"/>
  <c r="I229" i="55"/>
  <c r="A229" i="55"/>
  <c r="I228" i="55"/>
  <c r="A228" i="55"/>
  <c r="I227" i="55"/>
  <c r="A227" i="55"/>
  <c r="I226" i="55"/>
  <c r="A226" i="55"/>
  <c r="I225" i="55"/>
  <c r="B225" i="55"/>
  <c r="A225" i="55"/>
  <c r="I224" i="55"/>
  <c r="B224" i="55"/>
  <c r="A224" i="55"/>
  <c r="I223" i="55"/>
  <c r="B223" i="55"/>
  <c r="A223" i="55"/>
  <c r="I222" i="55"/>
  <c r="B222" i="55"/>
  <c r="A222" i="55"/>
  <c r="I221" i="55"/>
  <c r="B221" i="55"/>
  <c r="A221" i="55"/>
  <c r="I220" i="55"/>
  <c r="B220" i="55"/>
  <c r="A220" i="55"/>
  <c r="I219" i="55"/>
  <c r="B219" i="55"/>
  <c r="A219" i="55"/>
  <c r="I218" i="55"/>
  <c r="B218" i="55"/>
  <c r="A218" i="55"/>
  <c r="I217" i="55"/>
  <c r="B217" i="55"/>
  <c r="A217" i="55"/>
  <c r="I216" i="55"/>
  <c r="B216" i="55"/>
  <c r="A216" i="55"/>
  <c r="I215" i="55"/>
  <c r="B215" i="55"/>
  <c r="A215" i="55"/>
  <c r="I214" i="55"/>
  <c r="B214" i="55"/>
  <c r="A214" i="55"/>
  <c r="I213" i="55"/>
  <c r="B213" i="55"/>
  <c r="A213" i="55"/>
  <c r="I212" i="55"/>
  <c r="B212" i="55"/>
  <c r="A212" i="55"/>
  <c r="I211" i="55"/>
  <c r="B211" i="55"/>
  <c r="A211" i="55"/>
  <c r="I210" i="55"/>
  <c r="B210" i="55"/>
  <c r="A210" i="55"/>
  <c r="I209" i="55"/>
  <c r="B209" i="55"/>
  <c r="A209" i="55"/>
  <c r="I208" i="55"/>
  <c r="B208" i="55"/>
  <c r="A208" i="55"/>
  <c r="I207" i="55"/>
  <c r="B207" i="55"/>
  <c r="A207" i="55"/>
  <c r="I206" i="55"/>
  <c r="B206" i="55"/>
  <c r="A206" i="55"/>
  <c r="I205" i="55"/>
  <c r="B205" i="55"/>
  <c r="A205" i="55"/>
  <c r="I204" i="55"/>
  <c r="B204" i="55"/>
  <c r="A204" i="55"/>
  <c r="I203" i="55"/>
  <c r="B203" i="55"/>
  <c r="A203" i="55"/>
  <c r="I202" i="55"/>
  <c r="B202" i="55"/>
  <c r="A202" i="55"/>
  <c r="I201" i="55"/>
  <c r="B201" i="55"/>
  <c r="A201" i="55"/>
  <c r="I200" i="55"/>
  <c r="B200" i="55"/>
  <c r="A200" i="55"/>
  <c r="I199" i="55"/>
  <c r="B199" i="55"/>
  <c r="A199" i="55"/>
  <c r="I198" i="55"/>
  <c r="B198" i="55"/>
  <c r="A198" i="55"/>
  <c r="I197" i="55"/>
  <c r="B197" i="55"/>
  <c r="A197" i="55"/>
  <c r="I196" i="55"/>
  <c r="B196" i="55"/>
  <c r="A196" i="55"/>
  <c r="I195" i="55"/>
  <c r="B195" i="55"/>
  <c r="A195" i="55"/>
  <c r="I194" i="55"/>
  <c r="B194" i="55"/>
  <c r="A194" i="55"/>
  <c r="I193" i="55"/>
  <c r="B193" i="55"/>
  <c r="A193" i="55"/>
  <c r="I192" i="55"/>
  <c r="B192" i="55"/>
  <c r="A192" i="55"/>
  <c r="I191" i="55"/>
  <c r="B191" i="55"/>
  <c r="A191" i="55"/>
  <c r="I190" i="55"/>
  <c r="B190" i="55"/>
  <c r="A190" i="55"/>
  <c r="I189" i="55"/>
  <c r="B189" i="55"/>
  <c r="A189" i="55"/>
  <c r="I188" i="55"/>
  <c r="B188" i="55"/>
  <c r="A188" i="55"/>
  <c r="I187" i="55"/>
  <c r="B187" i="55"/>
  <c r="A187" i="55"/>
  <c r="I186" i="55"/>
  <c r="B186" i="55"/>
  <c r="A186" i="55"/>
  <c r="I185" i="55"/>
  <c r="B185" i="55"/>
  <c r="A185" i="55"/>
  <c r="I184" i="55"/>
  <c r="B184" i="55"/>
  <c r="A184" i="55"/>
  <c r="I183" i="55"/>
  <c r="B183" i="55"/>
  <c r="A183" i="55"/>
  <c r="I182" i="55"/>
  <c r="B182" i="55"/>
  <c r="A182" i="55"/>
  <c r="I181" i="55"/>
  <c r="B181" i="55"/>
  <c r="A181" i="55"/>
  <c r="I180" i="55"/>
  <c r="B180" i="55"/>
  <c r="A180" i="55"/>
  <c r="I179" i="55"/>
  <c r="B179" i="55"/>
  <c r="A179" i="55"/>
  <c r="I178" i="55"/>
  <c r="B178" i="55"/>
  <c r="A178" i="55"/>
  <c r="I177" i="55"/>
  <c r="B177" i="55"/>
  <c r="A177" i="55"/>
  <c r="I176" i="55"/>
  <c r="B176" i="55"/>
  <c r="A176" i="55"/>
  <c r="I175" i="55"/>
  <c r="B175" i="55"/>
  <c r="A175" i="55"/>
  <c r="I174" i="55"/>
  <c r="B174" i="55"/>
  <c r="A174" i="55"/>
  <c r="I173" i="55"/>
  <c r="B173" i="55"/>
  <c r="A173" i="55"/>
  <c r="I172" i="55"/>
  <c r="B172" i="55"/>
  <c r="A172" i="55"/>
  <c r="I171" i="55"/>
  <c r="B171" i="55"/>
  <c r="A171" i="55"/>
  <c r="G135" i="55"/>
  <c r="G134" i="55"/>
  <c r="G133" i="55"/>
  <c r="G132" i="55"/>
  <c r="G131" i="55"/>
  <c r="G130" i="55"/>
  <c r="G129" i="55"/>
  <c r="G128" i="55"/>
  <c r="G127" i="55"/>
  <c r="G126" i="55"/>
  <c r="G125" i="55"/>
  <c r="G124" i="55"/>
  <c r="G123" i="55"/>
  <c r="G122" i="55"/>
  <c r="G121" i="55"/>
  <c r="G120" i="55"/>
  <c r="G119" i="55"/>
  <c r="G118" i="55"/>
  <c r="G117" i="55"/>
  <c r="G116" i="55"/>
  <c r="G115" i="55"/>
  <c r="G114" i="55"/>
  <c r="G113" i="55"/>
  <c r="G112" i="55"/>
  <c r="G111" i="55"/>
  <c r="G110" i="55"/>
  <c r="G109" i="55"/>
  <c r="G108" i="55"/>
  <c r="G107" i="55"/>
  <c r="G106" i="55"/>
  <c r="G105" i="55"/>
  <c r="G104" i="55"/>
  <c r="G103" i="55"/>
  <c r="G102" i="55"/>
  <c r="G101" i="55"/>
  <c r="G100" i="55"/>
  <c r="G99" i="55"/>
  <c r="M90" i="55"/>
  <c r="M89" i="55"/>
  <c r="HC80" i="55"/>
  <c r="HM76" i="55"/>
  <c r="HC76" i="55"/>
  <c r="HA76" i="55"/>
  <c r="GZ76" i="55"/>
  <c r="GY76" i="55"/>
  <c r="GW76" i="55"/>
  <c r="HT76" i="55" s="1"/>
  <c r="GH76" i="55"/>
  <c r="GG76" i="55"/>
  <c r="EL76" i="55"/>
  <c r="EK76" i="55"/>
  <c r="FX76" i="55" s="1"/>
  <c r="EJ76" i="55"/>
  <c r="GB76" i="55" s="1"/>
  <c r="EI76" i="55"/>
  <c r="EH76" i="55"/>
  <c r="EG76" i="55"/>
  <c r="EF76" i="55"/>
  <c r="EE76" i="55"/>
  <c r="ED76" i="55"/>
  <c r="ER76" i="55" s="1"/>
  <c r="EA76" i="55"/>
  <c r="FU76" i="55" s="1"/>
  <c r="CF76" i="55"/>
  <c r="CN76" i="55" s="1"/>
  <c r="CE76" i="55"/>
  <c r="DS76" i="55" s="1"/>
  <c r="CD76" i="55"/>
  <c r="DV76" i="55" s="1"/>
  <c r="CC76" i="55"/>
  <c r="CB76" i="55"/>
  <c r="CA76" i="55"/>
  <c r="BZ76" i="55"/>
  <c r="BY76" i="55"/>
  <c r="BX76" i="55"/>
  <c r="CL76" i="55" s="1"/>
  <c r="Z76" i="55"/>
  <c r="AH76" i="55" s="1"/>
  <c r="Y76" i="55"/>
  <c r="BL76" i="55" s="1"/>
  <c r="X76" i="55"/>
  <c r="BP76" i="55" s="1"/>
  <c r="W76" i="55"/>
  <c r="V76" i="55"/>
  <c r="U76" i="55"/>
  <c r="T76" i="55"/>
  <c r="S76" i="55"/>
  <c r="R76" i="55"/>
  <c r="AF76" i="55" s="1"/>
  <c r="HM75" i="55"/>
  <c r="HC75" i="55"/>
  <c r="HA75" i="55"/>
  <c r="GZ75" i="55"/>
  <c r="GY75" i="55"/>
  <c r="GW75" i="55"/>
  <c r="GH75" i="55"/>
  <c r="GG75" i="55"/>
  <c r="EL75" i="55"/>
  <c r="ET75" i="55" s="1"/>
  <c r="EK75" i="55"/>
  <c r="EJ75" i="55"/>
  <c r="GB75" i="55" s="1"/>
  <c r="EI75" i="55"/>
  <c r="EH75" i="55"/>
  <c r="EG75" i="55"/>
  <c r="EF75" i="55"/>
  <c r="EE75" i="55"/>
  <c r="ED75" i="55"/>
  <c r="ER75" i="55" s="1"/>
  <c r="EA75" i="55"/>
  <c r="FU75" i="55" s="1"/>
  <c r="CF75" i="55"/>
  <c r="CM75" i="55" s="1"/>
  <c r="CE75" i="55"/>
  <c r="CD75" i="55"/>
  <c r="DV75" i="55" s="1"/>
  <c r="CC75" i="55"/>
  <c r="CB75" i="55"/>
  <c r="CA75" i="55"/>
  <c r="BZ75" i="55"/>
  <c r="BY75" i="55"/>
  <c r="CW75" i="55" s="1"/>
  <c r="BX75" i="55"/>
  <c r="Z75" i="55"/>
  <c r="Y75" i="55"/>
  <c r="BL75" i="55" s="1"/>
  <c r="X75" i="55"/>
  <c r="BP75" i="55" s="1"/>
  <c r="W75" i="55"/>
  <c r="V75" i="55"/>
  <c r="U75" i="55"/>
  <c r="T75" i="55"/>
  <c r="S75" i="55"/>
  <c r="BC75" i="55" s="1"/>
  <c r="R75" i="55"/>
  <c r="HS73" i="55"/>
  <c r="HM73" i="55"/>
  <c r="HL73" i="55"/>
  <c r="EL73" i="55"/>
  <c r="ET73" i="55" s="1"/>
  <c r="EB73" i="55"/>
  <c r="FH73" i="55" s="1"/>
  <c r="CF73" i="55"/>
  <c r="CN73" i="55" s="1"/>
  <c r="BV73" i="55"/>
  <c r="DK73" i="55" s="1"/>
  <c r="Z73" i="55"/>
  <c r="AG73" i="55" s="1"/>
  <c r="P73" i="55"/>
  <c r="AD73" i="55" s="1"/>
  <c r="M73" i="55"/>
  <c r="HA73" i="55" s="1"/>
  <c r="L73" i="55"/>
  <c r="X73" i="55" s="1"/>
  <c r="BP73" i="55" s="1"/>
  <c r="I73" i="55"/>
  <c r="EG73" i="55" s="1"/>
  <c r="H73" i="55"/>
  <c r="G73" i="55"/>
  <c r="F73" i="55"/>
  <c r="ED73" i="55" s="1"/>
  <c r="ER73" i="55" s="1"/>
  <c r="D73" i="55"/>
  <c r="C73" i="55"/>
  <c r="GG73" i="55" s="1"/>
  <c r="D72" i="55"/>
  <c r="GZ73" i="55" s="1"/>
  <c r="D71" i="55"/>
  <c r="GY73" i="55" s="1"/>
  <c r="D70" i="55"/>
  <c r="K73" i="55" s="1"/>
  <c r="EI73" i="55" s="1"/>
  <c r="D69" i="55"/>
  <c r="J73" i="55" s="1"/>
  <c r="HM54" i="55"/>
  <c r="EL54" i="55"/>
  <c r="ET54" i="55" s="1"/>
  <c r="ED54" i="55"/>
  <c r="CF54" i="55"/>
  <c r="CM54" i="55" s="1"/>
  <c r="BX54" i="55"/>
  <c r="CL54" i="55" s="1"/>
  <c r="Z54" i="55"/>
  <c r="AG54" i="55" s="1"/>
  <c r="R54" i="55"/>
  <c r="AF54" i="55" s="1"/>
  <c r="L54" i="55"/>
  <c r="X54" i="55" s="1"/>
  <c r="BP54" i="55" s="1"/>
  <c r="I54" i="55"/>
  <c r="EG54" i="55" s="1"/>
  <c r="E41" i="55"/>
  <c r="D54" i="55" s="1"/>
  <c r="EN76" i="55" l="1"/>
  <c r="FL76" i="55"/>
  <c r="DU75" i="55"/>
  <c r="BD75" i="55"/>
  <c r="GA75" i="55"/>
  <c r="BO76" i="55"/>
  <c r="EZ76" i="55"/>
  <c r="FM75" i="55"/>
  <c r="AC54" i="55"/>
  <c r="CI54" i="55"/>
  <c r="AB75" i="55"/>
  <c r="ES75" i="55"/>
  <c r="EU75" i="55" s="1"/>
  <c r="CH76" i="55"/>
  <c r="FB76" i="55"/>
  <c r="CU54" i="55"/>
  <c r="AI54" i="55"/>
  <c r="BG54" i="55" s="1"/>
  <c r="DG54" i="55"/>
  <c r="BA54" i="55"/>
  <c r="U73" i="55"/>
  <c r="CE73" i="55"/>
  <c r="DR73" i="55" s="1"/>
  <c r="EV73" i="55"/>
  <c r="BO75" i="55"/>
  <c r="CT75" i="55"/>
  <c r="R73" i="55"/>
  <c r="AC73" i="55" s="1"/>
  <c r="AE73" i="55" s="1"/>
  <c r="EO73" i="55"/>
  <c r="FN75" i="55"/>
  <c r="CM76" i="55"/>
  <c r="CO76" i="55" s="1"/>
  <c r="DM76" i="55" s="1"/>
  <c r="AZ75" i="55"/>
  <c r="CN54" i="55"/>
  <c r="AN75" i="55"/>
  <c r="AG76" i="55"/>
  <c r="AI76" i="55" s="1"/>
  <c r="BG76" i="55" s="1"/>
  <c r="Y73" i="55"/>
  <c r="BL73" i="55" s="1"/>
  <c r="CM73" i="55"/>
  <c r="AC76" i="55"/>
  <c r="BA76" i="55"/>
  <c r="DR76" i="55"/>
  <c r="FN76" i="55"/>
  <c r="CA73" i="55"/>
  <c r="EJ73" i="55"/>
  <c r="GB73" i="55" s="1"/>
  <c r="ES73" i="55"/>
  <c r="EU73" i="55" s="1"/>
  <c r="DF75" i="55"/>
  <c r="DI75" i="55"/>
  <c r="DJ75" i="55" s="1"/>
  <c r="EO75" i="55"/>
  <c r="FA75" i="55"/>
  <c r="AO76" i="55"/>
  <c r="CI76" i="55"/>
  <c r="CU76" i="55"/>
  <c r="DG76" i="55"/>
  <c r="GA76" i="55"/>
  <c r="FO76" i="55"/>
  <c r="FP76" i="55" s="1"/>
  <c r="HG76" i="55"/>
  <c r="U54" i="55"/>
  <c r="GY54" i="55"/>
  <c r="G54" i="55"/>
  <c r="GZ54" i="55"/>
  <c r="P54" i="55"/>
  <c r="H54" i="55"/>
  <c r="E34" i="55"/>
  <c r="CD54" i="55"/>
  <c r="DV54" i="55" s="1"/>
  <c r="FA54" i="55"/>
  <c r="FM54" i="55"/>
  <c r="E40" i="55"/>
  <c r="AH54" i="55"/>
  <c r="CA54" i="55"/>
  <c r="ER54" i="55"/>
  <c r="BY73" i="55"/>
  <c r="S73" i="55"/>
  <c r="EE73" i="55"/>
  <c r="CJ73" i="55"/>
  <c r="FX75" i="55"/>
  <c r="FY75" i="55"/>
  <c r="DI76" i="55"/>
  <c r="DJ76" i="55" s="1"/>
  <c r="CW76" i="55"/>
  <c r="CX76" i="55" s="1"/>
  <c r="DF76" i="55"/>
  <c r="EO54" i="55"/>
  <c r="EJ54" i="55"/>
  <c r="GB54" i="55" s="1"/>
  <c r="DN73" i="55"/>
  <c r="DB73" i="55"/>
  <c r="CP73" i="55"/>
  <c r="CY73" i="55"/>
  <c r="AO54" i="55"/>
  <c r="CO54" i="55"/>
  <c r="DM54" i="55" s="1"/>
  <c r="ES54" i="55"/>
  <c r="EH73" i="55"/>
  <c r="GA73" i="55" s="1"/>
  <c r="CB73" i="55"/>
  <c r="HC73" i="55"/>
  <c r="GH73" i="55"/>
  <c r="T73" i="55"/>
  <c r="EF73" i="55"/>
  <c r="BZ73" i="55"/>
  <c r="V73" i="55"/>
  <c r="CD73" i="55"/>
  <c r="DV73" i="55" s="1"/>
  <c r="BA75" i="55"/>
  <c r="AO75" i="55"/>
  <c r="AC75" i="55"/>
  <c r="AF75" i="55"/>
  <c r="AH75" i="55"/>
  <c r="AG75" i="55"/>
  <c r="CT76" i="55"/>
  <c r="BE73" i="55"/>
  <c r="AS73" i="55"/>
  <c r="BH73" i="55"/>
  <c r="AV73" i="55"/>
  <c r="AJ73" i="55"/>
  <c r="AH73" i="55"/>
  <c r="AZ76" i="55"/>
  <c r="FM73" i="55"/>
  <c r="FA73" i="55"/>
  <c r="CC73" i="55"/>
  <c r="W73" i="55"/>
  <c r="FB75" i="55"/>
  <c r="FI75" i="55"/>
  <c r="EZ75" i="55"/>
  <c r="EN75" i="55"/>
  <c r="EW75" i="55"/>
  <c r="AN76" i="55"/>
  <c r="AB76" i="55"/>
  <c r="DU76" i="55"/>
  <c r="FM76" i="55"/>
  <c r="FA76" i="55"/>
  <c r="EO76" i="55"/>
  <c r="ET76" i="55"/>
  <c r="ES76" i="55"/>
  <c r="EU76" i="55" s="1"/>
  <c r="FG76" i="55" s="1"/>
  <c r="BX73" i="55"/>
  <c r="FQ73" i="55"/>
  <c r="FE73" i="55"/>
  <c r="EK73" i="55"/>
  <c r="EP73" i="55"/>
  <c r="FT73" i="55"/>
  <c r="AQ75" i="55"/>
  <c r="AR75" i="55" s="1"/>
  <c r="CX75" i="55"/>
  <c r="DS75" i="55"/>
  <c r="DR75" i="55"/>
  <c r="CN75" i="55"/>
  <c r="FC76" i="55"/>
  <c r="FD76" i="55" s="1"/>
  <c r="GW73" i="55"/>
  <c r="DG75" i="55"/>
  <c r="CU75" i="55"/>
  <c r="CI75" i="55"/>
  <c r="CL75" i="55"/>
  <c r="CO75" i="55" s="1"/>
  <c r="DM75" i="55" s="1"/>
  <c r="FL75" i="55"/>
  <c r="HT75" i="55"/>
  <c r="HG75" i="55"/>
  <c r="BM76" i="55"/>
  <c r="BM75" i="55"/>
  <c r="CH75" i="55"/>
  <c r="FC75" i="55"/>
  <c r="FD75" i="55" s="1"/>
  <c r="FO75" i="55"/>
  <c r="FP75" i="55" s="1"/>
  <c r="AQ76" i="55"/>
  <c r="AR76" i="55" s="1"/>
  <c r="BC76" i="55"/>
  <c r="BD76" i="55" s="1"/>
  <c r="EW76" i="55"/>
  <c r="FI76" i="55"/>
  <c r="FY76" i="55"/>
  <c r="DA76" i="55" l="1"/>
  <c r="FS75" i="55"/>
  <c r="FG75" i="55"/>
  <c r="AF73" i="55"/>
  <c r="AI73" i="55" s="1"/>
  <c r="AU73" i="55" s="1"/>
  <c r="AO73" i="55"/>
  <c r="DS73" i="55"/>
  <c r="AU54" i="55"/>
  <c r="BM73" i="55"/>
  <c r="AU76" i="55"/>
  <c r="BA73" i="55"/>
  <c r="DU73" i="55"/>
  <c r="EQ73" i="55"/>
  <c r="FS73" i="55"/>
  <c r="FG73" i="55"/>
  <c r="DA54" i="55"/>
  <c r="FY73" i="55"/>
  <c r="FX73" i="55"/>
  <c r="BO73" i="55"/>
  <c r="FS76" i="55"/>
  <c r="AI75" i="55"/>
  <c r="EZ73" i="55"/>
  <c r="EN73" i="55"/>
  <c r="EU54" i="55"/>
  <c r="AZ73" i="55"/>
  <c r="AQ73" i="55"/>
  <c r="AR73" i="55" s="1"/>
  <c r="BC73" i="55"/>
  <c r="BD73" i="55" s="1"/>
  <c r="T54" i="55"/>
  <c r="E31" i="55"/>
  <c r="EF54" i="55"/>
  <c r="BZ54" i="55"/>
  <c r="S54" i="55"/>
  <c r="E30" i="55"/>
  <c r="EE54" i="55"/>
  <c r="BY54" i="55"/>
  <c r="DA75" i="55"/>
  <c r="C55" i="55"/>
  <c r="C54" i="55"/>
  <c r="CT73" i="55"/>
  <c r="CH73" i="55"/>
  <c r="FO73" i="55"/>
  <c r="FP73" i="55" s="1"/>
  <c r="FC73" i="55"/>
  <c r="FD73" i="55" s="1"/>
  <c r="FL73" i="55"/>
  <c r="HT73" i="55"/>
  <c r="HG73" i="55"/>
  <c r="CL73" i="55"/>
  <c r="CO73" i="55" s="1"/>
  <c r="DG73" i="55"/>
  <c r="CI73" i="55"/>
  <c r="CK73" i="55" s="1"/>
  <c r="CU73" i="55"/>
  <c r="AN73" i="55"/>
  <c r="AB73" i="55"/>
  <c r="DF73" i="55"/>
  <c r="DI73" i="55"/>
  <c r="DJ73" i="55" s="1"/>
  <c r="CW73" i="55"/>
  <c r="CX73" i="55" s="1"/>
  <c r="BH54" i="55"/>
  <c r="AV54" i="55"/>
  <c r="AJ54" i="55"/>
  <c r="BE54" i="55"/>
  <c r="AD54" i="55"/>
  <c r="AE54" i="55" s="1"/>
  <c r="AS54" i="55"/>
  <c r="E29" i="55"/>
  <c r="BG73" i="55" l="1"/>
  <c r="DI54" i="55"/>
  <c r="DJ54" i="55" s="1"/>
  <c r="CW54" i="55"/>
  <c r="CX54" i="55" s="1"/>
  <c r="DF54" i="55"/>
  <c r="CH54" i="55"/>
  <c r="CT54" i="55"/>
  <c r="FL54" i="55"/>
  <c r="FO54" i="55"/>
  <c r="FP54" i="55" s="1"/>
  <c r="FC54" i="55"/>
  <c r="FD54" i="55" s="1"/>
  <c r="EN54" i="55"/>
  <c r="EZ54" i="55"/>
  <c r="GG54" i="55"/>
  <c r="EA54" i="55"/>
  <c r="GH54" i="55"/>
  <c r="DA73" i="55"/>
  <c r="DM73" i="55"/>
  <c r="AZ54" i="55"/>
  <c r="AQ54" i="55"/>
  <c r="AR54" i="55" s="1"/>
  <c r="BC54" i="55"/>
  <c r="BD54" i="55" s="1"/>
  <c r="AN54" i="55"/>
  <c r="AB54" i="55"/>
  <c r="FS54" i="55"/>
  <c r="FG54" i="55"/>
  <c r="AU75" i="55"/>
  <c r="BG75" i="55"/>
  <c r="H4" i="40"/>
  <c r="H6" i="40"/>
  <c r="H7" i="40"/>
  <c r="H8" i="40"/>
  <c r="H2" i="40"/>
  <c r="A56" i="51"/>
  <c r="A57" i="51"/>
  <c r="FN54" i="55" l="1"/>
  <c r="FU54" i="55"/>
  <c r="FB54" i="55"/>
  <c r="FI54" i="55"/>
  <c r="EW54" i="55"/>
  <c r="A42" i="51"/>
  <c r="A43" i="51"/>
  <c r="A44" i="51"/>
  <c r="A45" i="51"/>
  <c r="A46" i="51"/>
  <c r="A47" i="51"/>
  <c r="A48" i="51"/>
  <c r="A49" i="51"/>
  <c r="A50" i="51"/>
  <c r="A51" i="51"/>
  <c r="A52" i="51"/>
  <c r="A53" i="51"/>
  <c r="A54" i="51"/>
  <c r="A55" i="51"/>
  <c r="D5" i="49" l="1"/>
  <c r="D4" i="49"/>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1" i="51"/>
  <c r="D7" i="49"/>
  <c r="E11" i="49" s="1"/>
  <c r="B5" i="49"/>
  <c r="C21" i="49" l="1"/>
  <c r="C20" i="49"/>
  <c r="C19" i="49"/>
  <c r="C11" i="49"/>
  <c r="D20" i="49" l="1"/>
  <c r="B20" i="49" s="1"/>
  <c r="F20" i="49" s="1"/>
  <c r="D21" i="49"/>
  <c r="B21" i="49" s="1"/>
  <c r="F21" i="49" s="1"/>
  <c r="D19" i="49"/>
  <c r="B19" i="49" s="1"/>
  <c r="F19" i="49" s="1"/>
  <c r="D11" i="49"/>
  <c r="A11" i="49" s="1"/>
  <c r="C13" i="49"/>
  <c r="C17" i="49"/>
  <c r="C18" i="49"/>
  <c r="C16" i="49"/>
  <c r="C14" i="49"/>
  <c r="C15" i="49"/>
  <c r="A21" i="49" l="1"/>
  <c r="A20" i="49"/>
  <c r="A19" i="49"/>
  <c r="D13" i="49"/>
  <c r="A13" i="49" s="1"/>
  <c r="D16" i="49"/>
  <c r="B16" i="49" s="1"/>
  <c r="B11" i="49"/>
  <c r="D18" i="49"/>
  <c r="B18" i="49" s="1"/>
  <c r="F18" i="49" s="1"/>
  <c r="D15" i="49"/>
  <c r="A15" i="49" s="1"/>
  <c r="D17" i="49"/>
  <c r="B17" i="49" s="1"/>
  <c r="F17" i="49" s="1"/>
  <c r="D14" i="49"/>
  <c r="E2" i="48"/>
  <c r="T56" i="1"/>
  <c r="A17" i="49" l="1"/>
  <c r="B15" i="49"/>
  <c r="A18" i="49"/>
  <c r="A16" i="49"/>
  <c r="B13" i="49"/>
  <c r="F13" i="49" s="1"/>
  <c r="B14" i="49"/>
  <c r="F14" i="49" s="1"/>
  <c r="A14" i="49"/>
  <c r="F16" i="49"/>
  <c r="J151" i="1"/>
  <c r="L151" i="1"/>
  <c r="N151" i="1"/>
  <c r="P151" i="1"/>
  <c r="H151" i="1"/>
  <c r="A2" i="48" l="1"/>
  <c r="G320" i="47"/>
  <c r="G321" i="47"/>
  <c r="G322" i="47"/>
  <c r="G323" i="47"/>
  <c r="G324" i="47"/>
  <c r="G325" i="47"/>
  <c r="G326" i="47"/>
  <c r="G327" i="47"/>
  <c r="G328" i="47"/>
  <c r="G329" i="47"/>
  <c r="G330" i="47"/>
  <c r="G331" i="47"/>
  <c r="G332" i="47"/>
  <c r="G333" i="47"/>
  <c r="G334" i="47"/>
  <c r="G335" i="47"/>
  <c r="G336" i="47"/>
  <c r="G337" i="47"/>
  <c r="G338" i="47"/>
  <c r="G339" i="47"/>
  <c r="G340" i="47"/>
  <c r="G341" i="47"/>
  <c r="G342" i="47"/>
  <c r="G343" i="47"/>
  <c r="G344" i="47"/>
  <c r="G345" i="47"/>
  <c r="G346" i="47"/>
  <c r="G347" i="47"/>
  <c r="G348" i="47"/>
  <c r="G349" i="47"/>
  <c r="G350" i="47"/>
  <c r="G351" i="47"/>
  <c r="G352" i="47"/>
  <c r="G353" i="47"/>
  <c r="G354" i="47"/>
  <c r="G355" i="47"/>
  <c r="G356" i="47"/>
  <c r="G357" i="47"/>
  <c r="G358" i="47"/>
  <c r="G359" i="47"/>
  <c r="G360" i="47"/>
  <c r="G361" i="47"/>
  <c r="G362" i="47"/>
  <c r="G363" i="47"/>
  <c r="G364" i="47"/>
  <c r="G365" i="47"/>
  <c r="G366" i="47"/>
  <c r="G367" i="47"/>
  <c r="G368" i="47"/>
  <c r="G369" i="47"/>
  <c r="G370" i="47"/>
  <c r="G371" i="47"/>
  <c r="G372" i="47"/>
  <c r="G373" i="47"/>
  <c r="G374" i="47"/>
  <c r="G375" i="47"/>
  <c r="G376" i="47"/>
  <c r="G377" i="47"/>
  <c r="G378" i="47"/>
  <c r="G379" i="47"/>
  <c r="G380" i="47"/>
  <c r="G381" i="47"/>
  <c r="G382" i="47"/>
  <c r="G383" i="47"/>
  <c r="G384" i="47"/>
  <c r="G385" i="47"/>
  <c r="G386" i="47"/>
  <c r="G387" i="47"/>
  <c r="G388" i="47"/>
  <c r="G389" i="47"/>
  <c r="G390" i="47"/>
  <c r="G391" i="47"/>
  <c r="G392" i="47"/>
  <c r="G393" i="47"/>
  <c r="G394" i="47"/>
  <c r="G395" i="47"/>
  <c r="G396" i="47"/>
  <c r="G397" i="47"/>
  <c r="G398" i="47"/>
  <c r="G399" i="47"/>
  <c r="G400" i="47"/>
  <c r="G401" i="47"/>
  <c r="G402" i="47"/>
  <c r="G403" i="47"/>
  <c r="G404" i="47"/>
  <c r="G405" i="47"/>
  <c r="G406" i="47"/>
  <c r="G407" i="47"/>
  <c r="G408" i="47"/>
  <c r="G409" i="47"/>
  <c r="G410"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C320" i="47"/>
  <c r="C321" i="47"/>
  <c r="C322" i="47"/>
  <c r="C323" i="47"/>
  <c r="C324" i="47"/>
  <c r="C325" i="47"/>
  <c r="C326" i="47"/>
  <c r="C327" i="47"/>
  <c r="C328" i="47"/>
  <c r="C329" i="47"/>
  <c r="C330" i="47"/>
  <c r="C331" i="47"/>
  <c r="C332" i="47"/>
  <c r="C333" i="47"/>
  <c r="C334" i="47"/>
  <c r="C335" i="47"/>
  <c r="C336" i="47"/>
  <c r="C337" i="47"/>
  <c r="C338" i="47"/>
  <c r="C339" i="47"/>
  <c r="C340" i="47"/>
  <c r="C341" i="47"/>
  <c r="C342" i="47"/>
  <c r="C343" i="47"/>
  <c r="C344" i="47"/>
  <c r="C345" i="47"/>
  <c r="C346" i="47"/>
  <c r="C347" i="47"/>
  <c r="C348" i="47"/>
  <c r="C349" i="47"/>
  <c r="C350" i="47"/>
  <c r="C351" i="47"/>
  <c r="C352" i="47"/>
  <c r="C353" i="47"/>
  <c r="C354" i="47"/>
  <c r="C355" i="47"/>
  <c r="C356" i="47"/>
  <c r="C357" i="47"/>
  <c r="C358" i="47"/>
  <c r="C359" i="47"/>
  <c r="C360" i="47"/>
  <c r="C361" i="47"/>
  <c r="C362" i="47"/>
  <c r="C363" i="47"/>
  <c r="C364" i="47"/>
  <c r="C365" i="47"/>
  <c r="C366" i="47"/>
  <c r="C367" i="47"/>
  <c r="C368" i="47"/>
  <c r="C369" i="47"/>
  <c r="C370" i="47"/>
  <c r="C371" i="47"/>
  <c r="C372" i="47"/>
  <c r="C373" i="47"/>
  <c r="C374" i="47"/>
  <c r="C375" i="47"/>
  <c r="C376" i="47"/>
  <c r="C377" i="47"/>
  <c r="C378" i="47"/>
  <c r="C379" i="47"/>
  <c r="C380" i="47"/>
  <c r="C381" i="47"/>
  <c r="C382" i="47"/>
  <c r="C383" i="47"/>
  <c r="C384" i="47"/>
  <c r="C385" i="47"/>
  <c r="C386" i="47"/>
  <c r="C387" i="47"/>
  <c r="C388" i="47"/>
  <c r="C389" i="47"/>
  <c r="C390" i="47"/>
  <c r="C391" i="47"/>
  <c r="C392" i="47"/>
  <c r="C393" i="47"/>
  <c r="C394" i="47"/>
  <c r="C395" i="47"/>
  <c r="C396" i="47"/>
  <c r="C397" i="47"/>
  <c r="C398" i="47"/>
  <c r="C399" i="47"/>
  <c r="C400" i="47"/>
  <c r="C401" i="47"/>
  <c r="C402" i="47"/>
  <c r="C403" i="47"/>
  <c r="C404" i="47"/>
  <c r="C405" i="47"/>
  <c r="C406" i="47"/>
  <c r="C407" i="47"/>
  <c r="C408" i="47"/>
  <c r="C409" i="47"/>
  <c r="C410" i="47"/>
  <c r="G345" i="46" l="1"/>
  <c r="G346" i="46"/>
  <c r="G344" i="46"/>
  <c r="G342" i="46"/>
  <c r="G343" i="46"/>
  <c r="G341" i="46"/>
  <c r="G339" i="46"/>
  <c r="G340" i="46"/>
  <c r="G338" i="46"/>
  <c r="G336" i="46"/>
  <c r="G337" i="46"/>
  <c r="G335" i="46"/>
  <c r="G328" i="46"/>
  <c r="G329" i="46"/>
  <c r="G330" i="46"/>
  <c r="G331" i="46"/>
  <c r="G332" i="46"/>
  <c r="G333" i="46"/>
  <c r="G334" i="46"/>
  <c r="G327" i="46"/>
  <c r="G320" i="46"/>
  <c r="G321" i="46"/>
  <c r="G322" i="46"/>
  <c r="G323" i="46"/>
  <c r="G324" i="46"/>
  <c r="G325" i="46"/>
  <c r="G326" i="46"/>
  <c r="G319" i="46"/>
  <c r="G312" i="46"/>
  <c r="G313" i="46"/>
  <c r="G314" i="46"/>
  <c r="G315" i="46"/>
  <c r="G316" i="46"/>
  <c r="G317" i="46"/>
  <c r="G318" i="46"/>
  <c r="G311" i="46"/>
  <c r="G304" i="46"/>
  <c r="G305" i="46"/>
  <c r="G306" i="46"/>
  <c r="G307" i="46"/>
  <c r="G308" i="46"/>
  <c r="G309" i="46"/>
  <c r="G310" i="46"/>
  <c r="G303" i="46"/>
  <c r="G300" i="46"/>
  <c r="G301" i="46"/>
  <c r="G302" i="46"/>
  <c r="G299" i="46"/>
  <c r="G296" i="46"/>
  <c r="G297" i="46"/>
  <c r="G298" i="46"/>
  <c r="G295" i="46"/>
  <c r="G292" i="46"/>
  <c r="G293" i="46"/>
  <c r="G294" i="46"/>
  <c r="G291" i="46"/>
  <c r="G288" i="46"/>
  <c r="G289" i="46"/>
  <c r="G290" i="46"/>
  <c r="G287" i="46"/>
  <c r="G281" i="46"/>
  <c r="G282" i="46"/>
  <c r="G283" i="46"/>
  <c r="G284" i="46"/>
  <c r="G285" i="46"/>
  <c r="G286" i="46"/>
  <c r="G280" i="46"/>
  <c r="G273" i="46"/>
  <c r="G274" i="46"/>
  <c r="G275" i="46"/>
  <c r="G276" i="46"/>
  <c r="G277" i="46"/>
  <c r="G278" i="46"/>
  <c r="G272" i="46"/>
  <c r="G265" i="46"/>
  <c r="G266" i="46"/>
  <c r="G267" i="46"/>
  <c r="G268" i="46"/>
  <c r="G269" i="46"/>
  <c r="G270" i="46"/>
  <c r="G264" i="46"/>
  <c r="G257" i="46"/>
  <c r="G258" i="46"/>
  <c r="G259" i="46"/>
  <c r="G260" i="46"/>
  <c r="G261" i="46"/>
  <c r="G262" i="46"/>
  <c r="G256" i="46"/>
  <c r="G249" i="46"/>
  <c r="G250" i="46"/>
  <c r="G251" i="46"/>
  <c r="G252" i="46"/>
  <c r="G253" i="46"/>
  <c r="G254" i="46"/>
  <c r="G255" i="46"/>
  <c r="G263" i="46"/>
  <c r="G271" i="46"/>
  <c r="G279" i="46"/>
  <c r="G248" i="46"/>
  <c r="G68" i="46"/>
  <c r="G224" i="46"/>
  <c r="G247" i="46"/>
  <c r="G246" i="46"/>
  <c r="G245" i="46"/>
  <c r="G244" i="46"/>
  <c r="G243" i="46"/>
  <c r="G242" i="46"/>
  <c r="G241" i="46"/>
  <c r="G239" i="46"/>
  <c r="G238" i="46"/>
  <c r="G236" i="46"/>
  <c r="G235" i="46"/>
  <c r="G234" i="46"/>
  <c r="G233" i="46"/>
  <c r="G232" i="46"/>
  <c r="G231" i="46"/>
  <c r="G230" i="46"/>
  <c r="G229" i="46"/>
  <c r="G228" i="46"/>
  <c r="G227" i="46"/>
  <c r="G226" i="46"/>
  <c r="G225" i="46"/>
  <c r="G223" i="46"/>
  <c r="G222" i="46"/>
  <c r="G221" i="46"/>
  <c r="G220" i="46"/>
  <c r="G219" i="46"/>
  <c r="G218" i="46"/>
  <c r="G217" i="46"/>
  <c r="G216" i="46"/>
  <c r="G215" i="46"/>
  <c r="G214" i="46"/>
  <c r="G213" i="46"/>
  <c r="G212" i="46"/>
  <c r="G211" i="46"/>
  <c r="G210" i="46"/>
  <c r="G209" i="46"/>
  <c r="G208" i="46"/>
  <c r="G207" i="46"/>
  <c r="G206" i="46"/>
  <c r="G205" i="46"/>
  <c r="G204" i="46"/>
  <c r="G203" i="46"/>
  <c r="G202" i="46"/>
  <c r="G201" i="46"/>
  <c r="G200" i="46"/>
  <c r="G199" i="46"/>
  <c r="G198" i="46"/>
  <c r="G197" i="46"/>
  <c r="G196" i="46"/>
  <c r="G195" i="46"/>
  <c r="G194" i="46"/>
  <c r="G193" i="46"/>
  <c r="G192" i="46"/>
  <c r="G191" i="46"/>
  <c r="G190" i="46"/>
  <c r="G189" i="46"/>
  <c r="G188" i="46"/>
  <c r="G187" i="46"/>
  <c r="G186" i="46"/>
  <c r="G185" i="46"/>
  <c r="G184" i="46"/>
  <c r="G183" i="46"/>
  <c r="G182" i="46"/>
  <c r="G181" i="46"/>
  <c r="G180" i="46"/>
  <c r="G179" i="46"/>
  <c r="G178" i="46"/>
  <c r="G177" i="46"/>
  <c r="G176" i="46"/>
  <c r="G175" i="46"/>
  <c r="G174" i="46"/>
  <c r="G173" i="46"/>
  <c r="G172" i="46"/>
  <c r="G171" i="46"/>
  <c r="G170" i="46"/>
  <c r="G169" i="46"/>
  <c r="G168" i="46"/>
  <c r="G167" i="46"/>
  <c r="G166" i="46"/>
  <c r="G165" i="46"/>
  <c r="G164" i="46"/>
  <c r="G163" i="46"/>
  <c r="G162" i="46"/>
  <c r="G161" i="46"/>
  <c r="G160" i="46"/>
  <c r="G159" i="46"/>
  <c r="G158" i="46"/>
  <c r="G157" i="46"/>
  <c r="G156" i="46"/>
  <c r="G155" i="46"/>
  <c r="G154" i="46"/>
  <c r="G153" i="46"/>
  <c r="G152" i="46"/>
  <c r="G151" i="46"/>
  <c r="G150" i="46"/>
  <c r="G149" i="46"/>
  <c r="G148" i="46"/>
  <c r="G147" i="46"/>
  <c r="G146" i="46"/>
  <c r="G145" i="46"/>
  <c r="G144" i="46"/>
  <c r="G143" i="46"/>
  <c r="G142" i="46"/>
  <c r="G141" i="46"/>
  <c r="G140" i="46"/>
  <c r="G139" i="46"/>
  <c r="G138" i="46"/>
  <c r="G137" i="46"/>
  <c r="G136" i="46"/>
  <c r="G135" i="46"/>
  <c r="G134" i="46"/>
  <c r="G133" i="46"/>
  <c r="G132" i="46"/>
  <c r="G131" i="46"/>
  <c r="G130" i="46"/>
  <c r="G129" i="46"/>
  <c r="G128" i="46"/>
  <c r="G127" i="46"/>
  <c r="G126" i="46"/>
  <c r="G125" i="46"/>
  <c r="G124" i="46"/>
  <c r="G123" i="46"/>
  <c r="G122" i="46"/>
  <c r="G121" i="46"/>
  <c r="G120" i="46"/>
  <c r="G119" i="46"/>
  <c r="G118" i="46"/>
  <c r="G117" i="46"/>
  <c r="G116" i="46"/>
  <c r="G115" i="46"/>
  <c r="G114" i="46"/>
  <c r="G113" i="46"/>
  <c r="G112" i="46"/>
  <c r="G111" i="46"/>
  <c r="G110" i="46"/>
  <c r="G109" i="46"/>
  <c r="G108" i="46"/>
  <c r="G107" i="46"/>
  <c r="G106" i="46"/>
  <c r="G105" i="46"/>
  <c r="G104" i="46"/>
  <c r="G103" i="46"/>
  <c r="G102" i="46"/>
  <c r="G101" i="46"/>
  <c r="G100" i="46"/>
  <c r="G99" i="46"/>
  <c r="G98" i="46"/>
  <c r="G97" i="46"/>
  <c r="G96" i="46"/>
  <c r="G95" i="46"/>
  <c r="G94" i="46"/>
  <c r="G93" i="46"/>
  <c r="G92" i="46"/>
  <c r="G91" i="46"/>
  <c r="G90" i="46"/>
  <c r="G89" i="46"/>
  <c r="G88" i="46"/>
  <c r="G87" i="46"/>
  <c r="G86" i="46"/>
  <c r="G85" i="46"/>
  <c r="G84" i="46"/>
  <c r="G83" i="46"/>
  <c r="G82" i="46"/>
  <c r="G81" i="46"/>
  <c r="G80" i="46"/>
  <c r="G79" i="46"/>
  <c r="G78" i="46"/>
  <c r="G77" i="46"/>
  <c r="G76" i="46"/>
  <c r="G75" i="46"/>
  <c r="G74" i="46"/>
  <c r="G73" i="46"/>
  <c r="G72" i="46"/>
  <c r="G71" i="46"/>
  <c r="G70" i="46"/>
  <c r="G69" i="46"/>
  <c r="G67" i="46"/>
  <c r="G65" i="46"/>
  <c r="G64" i="46"/>
  <c r="G63" i="46"/>
  <c r="G62" i="46"/>
  <c r="G61" i="46"/>
  <c r="G60" i="46"/>
  <c r="G59" i="46"/>
  <c r="G58" i="46"/>
  <c r="G57" i="46"/>
  <c r="G56" i="46"/>
  <c r="G55" i="46"/>
  <c r="G54" i="46"/>
  <c r="G53" i="46"/>
  <c r="G52" i="46"/>
  <c r="G35" i="46"/>
  <c r="G34" i="46"/>
  <c r="G33" i="46"/>
  <c r="G32" i="46"/>
  <c r="G31" i="46"/>
  <c r="G30" i="46"/>
  <c r="G18" i="46"/>
  <c r="G17" i="46"/>
  <c r="G15" i="46"/>
  <c r="G14" i="46"/>
  <c r="G26" i="46"/>
  <c r="G25" i="46"/>
  <c r="G24" i="46"/>
  <c r="G23" i="46"/>
  <c r="G22" i="46"/>
  <c r="G21" i="46"/>
  <c r="G20" i="46"/>
  <c r="G19" i="46"/>
  <c r="T38" i="1" l="1"/>
  <c r="T39" i="1"/>
  <c r="T40" i="1"/>
  <c r="T37" i="1"/>
  <c r="J108" i="1"/>
  <c r="L108" i="1"/>
  <c r="N108" i="1"/>
  <c r="P108" i="1"/>
  <c r="P87" i="1"/>
  <c r="Q81" i="1"/>
  <c r="Q80" i="1"/>
  <c r="T98" i="1"/>
  <c r="L257" i="1"/>
  <c r="T285" i="1"/>
  <c r="T282" i="1"/>
  <c r="T281" i="1"/>
  <c r="T275" i="1"/>
  <c r="T273" i="1"/>
  <c r="T267" i="1"/>
  <c r="T260" i="1"/>
  <c r="T264" i="1"/>
  <c r="T262" i="1"/>
  <c r="T263" i="1"/>
  <c r="T266" i="1"/>
  <c r="T66" i="1"/>
  <c r="T65" i="1"/>
  <c r="T45" i="1"/>
  <c r="T42" i="1"/>
  <c r="T108" i="1" l="1"/>
  <c r="E20" i="55"/>
  <c r="Q79" i="1"/>
  <c r="P88" i="1"/>
  <c r="P89" i="1" s="1"/>
  <c r="P90" i="1" s="1"/>
  <c r="P91" i="1" s="1"/>
  <c r="P92" i="1" s="1"/>
  <c r="E6" i="46"/>
  <c r="D6" i="46"/>
  <c r="C6" i="46"/>
  <c r="B6" i="46"/>
  <c r="Q93" i="1" l="1"/>
  <c r="H284" i="1"/>
  <c r="T151" i="1" l="1"/>
  <c r="H136" i="1"/>
  <c r="J150" i="1"/>
  <c r="L150" i="1"/>
  <c r="N150" i="1"/>
  <c r="P150" i="1"/>
  <c r="H150" i="1"/>
  <c r="H123" i="1"/>
  <c r="J159" i="1" l="1"/>
  <c r="L159" i="1"/>
  <c r="N159" i="1"/>
  <c r="P159" i="1"/>
  <c r="H159" i="1" l="1"/>
  <c r="P194" i="1"/>
  <c r="P195" i="1"/>
  <c r="P196" i="1"/>
  <c r="P197" i="1"/>
  <c r="P198" i="1"/>
  <c r="P199" i="1"/>
  <c r="P200" i="1"/>
  <c r="P193" i="1"/>
  <c r="H342" i="1" l="1"/>
  <c r="N87" i="1"/>
  <c r="L87" i="1"/>
  <c r="O81" i="1"/>
  <c r="O80" i="1"/>
  <c r="E21" i="39"/>
  <c r="E19" i="39"/>
  <c r="L54" i="39" s="1"/>
  <c r="EJ54" i="39" s="1"/>
  <c r="GB54" i="39" s="1"/>
  <c r="E17" i="39"/>
  <c r="E40" i="39" s="1"/>
  <c r="C55" i="39" s="1"/>
  <c r="I230" i="39"/>
  <c r="A230" i="39"/>
  <c r="I229" i="39"/>
  <c r="A229" i="39"/>
  <c r="I228" i="39"/>
  <c r="A228" i="39"/>
  <c r="I227" i="39"/>
  <c r="A227" i="39"/>
  <c r="I226" i="39"/>
  <c r="A226" i="39"/>
  <c r="I225" i="39"/>
  <c r="B225" i="39"/>
  <c r="A225" i="39"/>
  <c r="I224" i="39"/>
  <c r="B224" i="39"/>
  <c r="A224" i="39"/>
  <c r="I223" i="39"/>
  <c r="B223" i="39"/>
  <c r="A223" i="39"/>
  <c r="I222" i="39"/>
  <c r="B222" i="39"/>
  <c r="A222" i="39"/>
  <c r="I221" i="39"/>
  <c r="B221" i="39"/>
  <c r="A221" i="39"/>
  <c r="I220" i="39"/>
  <c r="B220" i="39"/>
  <c r="A220" i="39"/>
  <c r="I219" i="39"/>
  <c r="B219" i="39"/>
  <c r="A219" i="39"/>
  <c r="I218" i="39"/>
  <c r="B218" i="39"/>
  <c r="A218" i="39"/>
  <c r="I217" i="39"/>
  <c r="B217" i="39"/>
  <c r="A217" i="39"/>
  <c r="I216" i="39"/>
  <c r="B216" i="39"/>
  <c r="A216" i="39"/>
  <c r="I215" i="39"/>
  <c r="B215" i="39"/>
  <c r="A215" i="39"/>
  <c r="I214" i="39"/>
  <c r="B214" i="39"/>
  <c r="A214" i="39"/>
  <c r="I213" i="39"/>
  <c r="B213" i="39"/>
  <c r="A213" i="39"/>
  <c r="I212" i="39"/>
  <c r="B212" i="39"/>
  <c r="A212" i="39"/>
  <c r="I211" i="39"/>
  <c r="B211" i="39"/>
  <c r="A211" i="39"/>
  <c r="I210" i="39"/>
  <c r="B210" i="39"/>
  <c r="A210" i="39"/>
  <c r="I209" i="39"/>
  <c r="B209" i="39"/>
  <c r="A209" i="39"/>
  <c r="I208" i="39"/>
  <c r="B208" i="39"/>
  <c r="A208" i="39"/>
  <c r="I207" i="39"/>
  <c r="B207" i="39"/>
  <c r="A207" i="39"/>
  <c r="I206" i="39"/>
  <c r="B206" i="39"/>
  <c r="A206" i="39"/>
  <c r="I205" i="39"/>
  <c r="B205" i="39"/>
  <c r="A205" i="39"/>
  <c r="I204" i="39"/>
  <c r="B204" i="39"/>
  <c r="A204" i="39"/>
  <c r="I203" i="39"/>
  <c r="B203" i="39"/>
  <c r="A203" i="39"/>
  <c r="I202" i="39"/>
  <c r="B202" i="39"/>
  <c r="A202" i="39"/>
  <c r="I201" i="39"/>
  <c r="B201" i="39"/>
  <c r="A201" i="39"/>
  <c r="I200" i="39"/>
  <c r="B200" i="39"/>
  <c r="A200" i="39"/>
  <c r="I199" i="39"/>
  <c r="B199" i="39"/>
  <c r="A199" i="39"/>
  <c r="I198" i="39"/>
  <c r="B198" i="39"/>
  <c r="A198" i="39"/>
  <c r="I197" i="39"/>
  <c r="B197" i="39"/>
  <c r="A197" i="39"/>
  <c r="I196" i="39"/>
  <c r="B196" i="39"/>
  <c r="A196" i="39"/>
  <c r="I195" i="39"/>
  <c r="B195" i="39"/>
  <c r="A195" i="39"/>
  <c r="I194" i="39"/>
  <c r="B194" i="39"/>
  <c r="A194" i="39"/>
  <c r="I193" i="39"/>
  <c r="B193" i="39"/>
  <c r="A193" i="39"/>
  <c r="I192" i="39"/>
  <c r="B192" i="39"/>
  <c r="A192" i="39"/>
  <c r="I191" i="39"/>
  <c r="B191" i="39"/>
  <c r="A191" i="39"/>
  <c r="I190" i="39"/>
  <c r="B190" i="39"/>
  <c r="A190" i="39"/>
  <c r="I189" i="39"/>
  <c r="B189" i="39"/>
  <c r="A189" i="39"/>
  <c r="I188" i="39"/>
  <c r="B188" i="39"/>
  <c r="A188" i="39"/>
  <c r="I187" i="39"/>
  <c r="B187" i="39"/>
  <c r="A187" i="39"/>
  <c r="I186" i="39"/>
  <c r="B186" i="39"/>
  <c r="A186" i="39"/>
  <c r="I185" i="39"/>
  <c r="B185" i="39"/>
  <c r="A185" i="39"/>
  <c r="I184" i="39"/>
  <c r="B184" i="39"/>
  <c r="A184" i="39"/>
  <c r="I183" i="39"/>
  <c r="B183" i="39"/>
  <c r="A183" i="39"/>
  <c r="I182" i="39"/>
  <c r="B182" i="39"/>
  <c r="A182" i="39"/>
  <c r="I181" i="39"/>
  <c r="B181" i="39"/>
  <c r="A181" i="39"/>
  <c r="I180" i="39"/>
  <c r="B180" i="39"/>
  <c r="A180" i="39"/>
  <c r="I179" i="39"/>
  <c r="B179" i="39"/>
  <c r="A179" i="39"/>
  <c r="I178" i="39"/>
  <c r="B178" i="39"/>
  <c r="A178" i="39"/>
  <c r="I177" i="39"/>
  <c r="B177" i="39"/>
  <c r="A177" i="39"/>
  <c r="I176" i="39"/>
  <c r="B176" i="39"/>
  <c r="A176" i="39"/>
  <c r="I175" i="39"/>
  <c r="B175" i="39"/>
  <c r="A175" i="39"/>
  <c r="I174" i="39"/>
  <c r="B174" i="39"/>
  <c r="A174" i="39"/>
  <c r="I173" i="39"/>
  <c r="B173" i="39"/>
  <c r="A173" i="39"/>
  <c r="I172" i="39"/>
  <c r="B172" i="39"/>
  <c r="A172" i="39"/>
  <c r="I171" i="39"/>
  <c r="B171" i="39"/>
  <c r="A171"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9" i="39"/>
  <c r="G108" i="39"/>
  <c r="G107" i="39"/>
  <c r="G106" i="39"/>
  <c r="G105" i="39"/>
  <c r="G104" i="39"/>
  <c r="G103" i="39"/>
  <c r="G102" i="39"/>
  <c r="G101" i="39"/>
  <c r="G100" i="39"/>
  <c r="G99" i="39"/>
  <c r="M90" i="39"/>
  <c r="M89" i="39"/>
  <c r="HC80" i="39"/>
  <c r="HM76" i="39"/>
  <c r="HC76" i="39"/>
  <c r="HA76" i="39"/>
  <c r="GZ76" i="39"/>
  <c r="GY76" i="39"/>
  <c r="GW76" i="39"/>
  <c r="HT76" i="39" s="1"/>
  <c r="GH76" i="39"/>
  <c r="GG76" i="39"/>
  <c r="EL76" i="39"/>
  <c r="ES76" i="39" s="1"/>
  <c r="EK76" i="39"/>
  <c r="FX76" i="39" s="1"/>
  <c r="EJ76" i="39"/>
  <c r="GB76" i="39" s="1"/>
  <c r="EI76" i="39"/>
  <c r="EH76" i="39"/>
  <c r="EG76" i="39"/>
  <c r="EF76" i="39"/>
  <c r="EE76" i="39"/>
  <c r="ED76" i="39"/>
  <c r="FA76" i="39" s="1"/>
  <c r="EA76" i="39"/>
  <c r="FU76" i="39" s="1"/>
  <c r="CF76" i="39"/>
  <c r="CM76" i="39" s="1"/>
  <c r="CE76" i="39"/>
  <c r="DR76" i="39" s="1"/>
  <c r="CD76" i="39"/>
  <c r="DV76" i="39" s="1"/>
  <c r="CC76" i="39"/>
  <c r="CB76" i="39"/>
  <c r="CA76" i="39"/>
  <c r="BZ76" i="39"/>
  <c r="BY76" i="39"/>
  <c r="CW76" i="39" s="1"/>
  <c r="BX76" i="39"/>
  <c r="CL76" i="39" s="1"/>
  <c r="Z76" i="39"/>
  <c r="Y76" i="39"/>
  <c r="BM76" i="39" s="1"/>
  <c r="X76" i="39"/>
  <c r="BP76" i="39" s="1"/>
  <c r="W76" i="39"/>
  <c r="V76" i="39"/>
  <c r="U76" i="39"/>
  <c r="T76" i="39"/>
  <c r="S76" i="39"/>
  <c r="R76" i="39"/>
  <c r="AF76" i="39" s="1"/>
  <c r="HM75" i="39"/>
  <c r="HC75" i="39"/>
  <c r="HA75" i="39"/>
  <c r="GZ75" i="39"/>
  <c r="GY75" i="39"/>
  <c r="GW75" i="39"/>
  <c r="HT75" i="39" s="1"/>
  <c r="GH75" i="39"/>
  <c r="GG75" i="39"/>
  <c r="EL75" i="39"/>
  <c r="ES75" i="39" s="1"/>
  <c r="EK75" i="39"/>
  <c r="FY75" i="39" s="1"/>
  <c r="EJ75" i="39"/>
  <c r="GB75" i="39" s="1"/>
  <c r="EI75" i="39"/>
  <c r="EH75" i="39"/>
  <c r="EG75" i="39"/>
  <c r="EF75" i="39"/>
  <c r="EE75" i="39"/>
  <c r="FO75" i="39" s="1"/>
  <c r="ED75" i="39"/>
  <c r="ER75" i="39" s="1"/>
  <c r="EA75" i="39"/>
  <c r="FU75" i="39" s="1"/>
  <c r="CF75" i="39"/>
  <c r="CE75" i="39"/>
  <c r="DS75" i="39" s="1"/>
  <c r="CD75" i="39"/>
  <c r="DV75" i="39" s="1"/>
  <c r="CC75" i="39"/>
  <c r="CB75" i="39"/>
  <c r="CA75" i="39"/>
  <c r="BZ75" i="39"/>
  <c r="BY75" i="39"/>
  <c r="DI75" i="39" s="1"/>
  <c r="BX75" i="39"/>
  <c r="CI75" i="39" s="1"/>
  <c r="Z75" i="39"/>
  <c r="AH75" i="39" s="1"/>
  <c r="Y75" i="39"/>
  <c r="X75" i="39"/>
  <c r="BP75" i="39" s="1"/>
  <c r="W75" i="39"/>
  <c r="V75" i="39"/>
  <c r="U75" i="39"/>
  <c r="T75" i="39"/>
  <c r="S75" i="39"/>
  <c r="R75" i="39"/>
  <c r="BA75" i="39" s="1"/>
  <c r="HS73" i="39"/>
  <c r="HM73" i="39"/>
  <c r="HL73" i="39"/>
  <c r="EL73" i="39"/>
  <c r="ET73" i="39" s="1"/>
  <c r="EB73" i="39"/>
  <c r="FQ73" i="39" s="1"/>
  <c r="CF73" i="39"/>
  <c r="CN73" i="39" s="1"/>
  <c r="BV73" i="39"/>
  <c r="CJ73" i="39" s="1"/>
  <c r="Z73" i="39"/>
  <c r="AG73" i="39" s="1"/>
  <c r="P73" i="39"/>
  <c r="AD73" i="39" s="1"/>
  <c r="M73" i="39"/>
  <c r="L73" i="39"/>
  <c r="EJ73" i="39" s="1"/>
  <c r="GB73" i="39" s="1"/>
  <c r="I73" i="39"/>
  <c r="EG73" i="39" s="1"/>
  <c r="H73" i="39"/>
  <c r="EF73" i="39" s="1"/>
  <c r="G73" i="39"/>
  <c r="F73" i="39"/>
  <c r="D73" i="39"/>
  <c r="C73" i="39"/>
  <c r="GH73" i="39" s="1"/>
  <c r="D72" i="39"/>
  <c r="GZ73" i="39" s="1"/>
  <c r="D71" i="39"/>
  <c r="GY73" i="39" s="1"/>
  <c r="D70" i="39"/>
  <c r="K73" i="39" s="1"/>
  <c r="D69" i="39"/>
  <c r="J73" i="39" s="1"/>
  <c r="HM54" i="39"/>
  <c r="EL54" i="39"/>
  <c r="ED54" i="39"/>
  <c r="CF54" i="39"/>
  <c r="CN54" i="39" s="1"/>
  <c r="BX54" i="39"/>
  <c r="DG54" i="39" s="1"/>
  <c r="Z54" i="39"/>
  <c r="AG54" i="39" s="1"/>
  <c r="R54" i="39"/>
  <c r="BA54" i="39" s="1"/>
  <c r="M81" i="1"/>
  <c r="M80" i="1"/>
  <c r="K81" i="1"/>
  <c r="K80" i="1"/>
  <c r="I81" i="1"/>
  <c r="I80" i="1"/>
  <c r="E21" i="38"/>
  <c r="I54" i="38" s="1"/>
  <c r="U54" i="38" s="1"/>
  <c r="E19" i="38"/>
  <c r="L54" i="38" s="1"/>
  <c r="EJ54" i="38" s="1"/>
  <c r="GB54" i="38" s="1"/>
  <c r="E17" i="38"/>
  <c r="E40" i="38" s="1"/>
  <c r="I230" i="38"/>
  <c r="A230" i="38"/>
  <c r="I229" i="38"/>
  <c r="A229" i="38"/>
  <c r="I228" i="38"/>
  <c r="A228" i="38"/>
  <c r="I227" i="38"/>
  <c r="A227" i="38"/>
  <c r="I226" i="38"/>
  <c r="A226" i="38"/>
  <c r="I225" i="38"/>
  <c r="B225" i="38"/>
  <c r="A225" i="38"/>
  <c r="I224" i="38"/>
  <c r="B224" i="38"/>
  <c r="A224" i="38"/>
  <c r="I223" i="38"/>
  <c r="B223" i="38"/>
  <c r="A223" i="38"/>
  <c r="I222" i="38"/>
  <c r="B222" i="38"/>
  <c r="A222" i="38"/>
  <c r="I221" i="38"/>
  <c r="B221" i="38"/>
  <c r="A221" i="38"/>
  <c r="I220" i="38"/>
  <c r="B220" i="38"/>
  <c r="A220" i="38"/>
  <c r="I219" i="38"/>
  <c r="B219" i="38"/>
  <c r="A219" i="38"/>
  <c r="I218" i="38"/>
  <c r="B218" i="38"/>
  <c r="A218" i="38"/>
  <c r="I217" i="38"/>
  <c r="B217" i="38"/>
  <c r="A217" i="38"/>
  <c r="I216" i="38"/>
  <c r="B216" i="38"/>
  <c r="A216" i="38"/>
  <c r="I215" i="38"/>
  <c r="B215" i="38"/>
  <c r="A215" i="38"/>
  <c r="I214" i="38"/>
  <c r="B214" i="38"/>
  <c r="A214" i="38"/>
  <c r="I213" i="38"/>
  <c r="B213" i="38"/>
  <c r="A213" i="38"/>
  <c r="I212" i="38"/>
  <c r="B212" i="38"/>
  <c r="A212" i="38"/>
  <c r="I211" i="38"/>
  <c r="B211" i="38"/>
  <c r="A211" i="38"/>
  <c r="I210" i="38"/>
  <c r="B210" i="38"/>
  <c r="A210" i="38"/>
  <c r="I209" i="38"/>
  <c r="B209" i="38"/>
  <c r="A209" i="38"/>
  <c r="I208" i="38"/>
  <c r="B208" i="38"/>
  <c r="A208" i="38"/>
  <c r="I207" i="38"/>
  <c r="B207" i="38"/>
  <c r="A207" i="38"/>
  <c r="I206" i="38"/>
  <c r="B206" i="38"/>
  <c r="A206" i="38"/>
  <c r="I205" i="38"/>
  <c r="B205" i="38"/>
  <c r="A205" i="38"/>
  <c r="I204" i="38"/>
  <c r="B204" i="38"/>
  <c r="A204" i="38"/>
  <c r="I203" i="38"/>
  <c r="B203" i="38"/>
  <c r="A203" i="38"/>
  <c r="I202" i="38"/>
  <c r="B202" i="38"/>
  <c r="A202" i="38"/>
  <c r="I201" i="38"/>
  <c r="B201" i="38"/>
  <c r="A201" i="38"/>
  <c r="I200" i="38"/>
  <c r="B200" i="38"/>
  <c r="A200" i="38"/>
  <c r="I199" i="38"/>
  <c r="B199" i="38"/>
  <c r="A199" i="38"/>
  <c r="I198" i="38"/>
  <c r="B198" i="38"/>
  <c r="A198" i="38"/>
  <c r="I197" i="38"/>
  <c r="B197" i="38"/>
  <c r="A197" i="38"/>
  <c r="I196" i="38"/>
  <c r="B196" i="38"/>
  <c r="A196" i="38"/>
  <c r="I195" i="38"/>
  <c r="B195" i="38"/>
  <c r="A195" i="38"/>
  <c r="I194" i="38"/>
  <c r="B194" i="38"/>
  <c r="A194" i="38"/>
  <c r="I193" i="38"/>
  <c r="B193" i="38"/>
  <c r="A193" i="38"/>
  <c r="I192" i="38"/>
  <c r="B192" i="38"/>
  <c r="A192" i="38"/>
  <c r="I191" i="38"/>
  <c r="B191" i="38"/>
  <c r="A191" i="38"/>
  <c r="I190" i="38"/>
  <c r="B190" i="38"/>
  <c r="A190" i="38"/>
  <c r="I189" i="38"/>
  <c r="B189" i="38"/>
  <c r="A189" i="38"/>
  <c r="I188" i="38"/>
  <c r="B188" i="38"/>
  <c r="A188" i="38"/>
  <c r="I187" i="38"/>
  <c r="B187" i="38"/>
  <c r="A187" i="38"/>
  <c r="I186" i="38"/>
  <c r="B186" i="38"/>
  <c r="A186" i="38"/>
  <c r="I185" i="38"/>
  <c r="B185" i="38"/>
  <c r="A185" i="38"/>
  <c r="I184" i="38"/>
  <c r="B184" i="38"/>
  <c r="A184" i="38"/>
  <c r="I183" i="38"/>
  <c r="B183" i="38"/>
  <c r="A183" i="38"/>
  <c r="I182" i="38"/>
  <c r="B182" i="38"/>
  <c r="A182" i="38"/>
  <c r="I181" i="38"/>
  <c r="B181" i="38"/>
  <c r="A181" i="38"/>
  <c r="I180" i="38"/>
  <c r="B180" i="38"/>
  <c r="A180" i="38"/>
  <c r="I179" i="38"/>
  <c r="B179" i="38"/>
  <c r="A179" i="38"/>
  <c r="I178" i="38"/>
  <c r="B178" i="38"/>
  <c r="A178" i="38"/>
  <c r="I177" i="38"/>
  <c r="B177" i="38"/>
  <c r="A177" i="38"/>
  <c r="I176" i="38"/>
  <c r="B176" i="38"/>
  <c r="A176" i="38"/>
  <c r="I175" i="38"/>
  <c r="B175" i="38"/>
  <c r="A175" i="38"/>
  <c r="I174" i="38"/>
  <c r="B174" i="38"/>
  <c r="A174" i="38"/>
  <c r="I173" i="38"/>
  <c r="B173" i="38"/>
  <c r="A173" i="38"/>
  <c r="I172" i="38"/>
  <c r="B172" i="38"/>
  <c r="A172" i="38"/>
  <c r="I171" i="38"/>
  <c r="B171" i="38"/>
  <c r="A171" i="38"/>
  <c r="G135" i="38"/>
  <c r="G134" i="38"/>
  <c r="G133" i="38"/>
  <c r="G132" i="38"/>
  <c r="G131" i="38"/>
  <c r="G130" i="38"/>
  <c r="G129" i="38"/>
  <c r="G128" i="38"/>
  <c r="G127" i="38"/>
  <c r="G126" i="38"/>
  <c r="G125" i="38"/>
  <c r="G124" i="38"/>
  <c r="G123" i="38"/>
  <c r="G122" i="38"/>
  <c r="G121" i="38"/>
  <c r="G120" i="38"/>
  <c r="G119" i="38"/>
  <c r="G118" i="38"/>
  <c r="G117" i="38"/>
  <c r="G116" i="38"/>
  <c r="G115" i="38"/>
  <c r="G114" i="38"/>
  <c r="G113" i="38"/>
  <c r="G112" i="38"/>
  <c r="G111" i="38"/>
  <c r="G110" i="38"/>
  <c r="G109" i="38"/>
  <c r="G108" i="38"/>
  <c r="G107" i="38"/>
  <c r="G106" i="38"/>
  <c r="G105" i="38"/>
  <c r="G104" i="38"/>
  <c r="G103" i="38"/>
  <c r="G102" i="38"/>
  <c r="G101" i="38"/>
  <c r="G100" i="38"/>
  <c r="G99" i="38"/>
  <c r="M90" i="38"/>
  <c r="M89" i="38"/>
  <c r="HC80" i="38"/>
  <c r="HM76" i="38"/>
  <c r="HC76" i="38"/>
  <c r="HA76" i="38"/>
  <c r="GZ76" i="38"/>
  <c r="GY76" i="38"/>
  <c r="GW76" i="38"/>
  <c r="GH76" i="38"/>
  <c r="GG76" i="38"/>
  <c r="EL76" i="38"/>
  <c r="ET76" i="38" s="1"/>
  <c r="EK76" i="38"/>
  <c r="FY76" i="38" s="1"/>
  <c r="EJ76" i="38"/>
  <c r="GB76" i="38" s="1"/>
  <c r="EI76" i="38"/>
  <c r="EH76" i="38"/>
  <c r="EG76" i="38"/>
  <c r="EF76" i="38"/>
  <c r="EE76" i="38"/>
  <c r="ED76" i="38"/>
  <c r="EO76" i="38" s="1"/>
  <c r="EA76" i="38"/>
  <c r="FI76" i="38" s="1"/>
  <c r="CF76" i="38"/>
  <c r="CN76" i="38" s="1"/>
  <c r="CE76" i="38"/>
  <c r="DR76" i="38" s="1"/>
  <c r="CD76" i="38"/>
  <c r="DV76" i="38" s="1"/>
  <c r="CC76" i="38"/>
  <c r="CB76" i="38"/>
  <c r="CA76" i="38"/>
  <c r="BZ76" i="38"/>
  <c r="BY76" i="38"/>
  <c r="BX76" i="38"/>
  <c r="CU76" i="38" s="1"/>
  <c r="Z76" i="38"/>
  <c r="AG76" i="38" s="1"/>
  <c r="Y76" i="38"/>
  <c r="X76" i="38"/>
  <c r="BP76" i="38" s="1"/>
  <c r="W76" i="38"/>
  <c r="V76" i="38"/>
  <c r="U76" i="38"/>
  <c r="T76" i="38"/>
  <c r="S76" i="38"/>
  <c r="BC76" i="38" s="1"/>
  <c r="R76" i="38"/>
  <c r="HM75" i="38"/>
  <c r="HC75" i="38"/>
  <c r="HA75" i="38"/>
  <c r="GZ75" i="38"/>
  <c r="GY75" i="38"/>
  <c r="GW75" i="38"/>
  <c r="GH75" i="38"/>
  <c r="GG75" i="38"/>
  <c r="EL75" i="38"/>
  <c r="ES75" i="38" s="1"/>
  <c r="EK75" i="38"/>
  <c r="EJ75" i="38"/>
  <c r="GB75" i="38" s="1"/>
  <c r="EI75" i="38"/>
  <c r="EH75" i="38"/>
  <c r="EG75" i="38"/>
  <c r="EF75" i="38"/>
  <c r="EE75" i="38"/>
  <c r="FO75" i="38" s="1"/>
  <c r="ED75" i="38"/>
  <c r="EA75" i="38"/>
  <c r="FU75" i="38" s="1"/>
  <c r="CF75" i="38"/>
  <c r="CE75" i="38"/>
  <c r="DR75" i="38" s="1"/>
  <c r="CD75" i="38"/>
  <c r="DV75" i="38" s="1"/>
  <c r="CC75" i="38"/>
  <c r="CB75" i="38"/>
  <c r="CA75" i="38"/>
  <c r="BZ75" i="38"/>
  <c r="BY75" i="38"/>
  <c r="DI75" i="38" s="1"/>
  <c r="BX75" i="38"/>
  <c r="Z75" i="38"/>
  <c r="Y75" i="38"/>
  <c r="BM75" i="38" s="1"/>
  <c r="X75" i="38"/>
  <c r="BP75" i="38" s="1"/>
  <c r="W75" i="38"/>
  <c r="V75" i="38"/>
  <c r="U75" i="38"/>
  <c r="T75" i="38"/>
  <c r="S75" i="38"/>
  <c r="BC75" i="38" s="1"/>
  <c r="R75" i="38"/>
  <c r="AC75" i="38" s="1"/>
  <c r="HS73" i="38"/>
  <c r="HM73" i="38"/>
  <c r="HL73" i="38"/>
  <c r="EL73" i="38"/>
  <c r="EB73" i="38"/>
  <c r="CF73" i="38"/>
  <c r="BV73" i="38"/>
  <c r="CJ73" i="38" s="1"/>
  <c r="Z73" i="38"/>
  <c r="AH73" i="38" s="1"/>
  <c r="P73" i="38"/>
  <c r="AD73" i="38" s="1"/>
  <c r="M73" i="38"/>
  <c r="EK73" i="38" s="1"/>
  <c r="L73" i="38"/>
  <c r="EJ73" i="38" s="1"/>
  <c r="GB73" i="38" s="1"/>
  <c r="I73" i="38"/>
  <c r="EG73" i="38" s="1"/>
  <c r="H73" i="38"/>
  <c r="EF73" i="38" s="1"/>
  <c r="G73" i="38"/>
  <c r="EE73" i="38" s="1"/>
  <c r="FO73" i="38" s="1"/>
  <c r="F73" i="38"/>
  <c r="R73" i="38" s="1"/>
  <c r="AO73" i="38" s="1"/>
  <c r="D73" i="38"/>
  <c r="C73" i="38"/>
  <c r="D72" i="38"/>
  <c r="GZ73" i="38" s="1"/>
  <c r="D71" i="38"/>
  <c r="GY73" i="38" s="1"/>
  <c r="D70" i="38"/>
  <c r="K73" i="38" s="1"/>
  <c r="EI73" i="38" s="1"/>
  <c r="D69" i="38"/>
  <c r="J73" i="38" s="1"/>
  <c r="HM54" i="38"/>
  <c r="EL54" i="38"/>
  <c r="ES54" i="38" s="1"/>
  <c r="ED54" i="38"/>
  <c r="FM54" i="38" s="1"/>
  <c r="CF54" i="38"/>
  <c r="CN54" i="38" s="1"/>
  <c r="BX54" i="38"/>
  <c r="CL54" i="38" s="1"/>
  <c r="Z54" i="38"/>
  <c r="AG54" i="38" s="1"/>
  <c r="R54" i="38"/>
  <c r="E21" i="37"/>
  <c r="I54" i="37" s="1"/>
  <c r="U54" i="37" s="1"/>
  <c r="E19" i="37"/>
  <c r="L54" i="37" s="1"/>
  <c r="CD54" i="37" s="1"/>
  <c r="DV54" i="37" s="1"/>
  <c r="E17" i="37"/>
  <c r="E40" i="37" s="1"/>
  <c r="I230" i="37"/>
  <c r="A230" i="37"/>
  <c r="I229" i="37"/>
  <c r="A229" i="37"/>
  <c r="I228" i="37"/>
  <c r="A228" i="37"/>
  <c r="I227" i="37"/>
  <c r="A227" i="37"/>
  <c r="I226" i="37"/>
  <c r="A226" i="37"/>
  <c r="I225" i="37"/>
  <c r="B225" i="37"/>
  <c r="A225" i="37"/>
  <c r="I224" i="37"/>
  <c r="B224" i="37"/>
  <c r="A224" i="37"/>
  <c r="I223" i="37"/>
  <c r="B223" i="37"/>
  <c r="A223" i="37"/>
  <c r="I222" i="37"/>
  <c r="B222" i="37"/>
  <c r="A222" i="37"/>
  <c r="I221" i="37"/>
  <c r="B221" i="37"/>
  <c r="A221" i="37"/>
  <c r="I220" i="37"/>
  <c r="B220" i="37"/>
  <c r="A220" i="37"/>
  <c r="I219" i="37"/>
  <c r="B219" i="37"/>
  <c r="A219" i="37"/>
  <c r="I218" i="37"/>
  <c r="B218" i="37"/>
  <c r="A218" i="37"/>
  <c r="I217" i="37"/>
  <c r="B217" i="37"/>
  <c r="A217" i="37"/>
  <c r="I216" i="37"/>
  <c r="B216" i="37"/>
  <c r="A216" i="37"/>
  <c r="I215" i="37"/>
  <c r="B215" i="37"/>
  <c r="A215" i="37"/>
  <c r="I214" i="37"/>
  <c r="B214" i="37"/>
  <c r="A214" i="37"/>
  <c r="I213" i="37"/>
  <c r="B213" i="37"/>
  <c r="A213" i="37"/>
  <c r="I212" i="37"/>
  <c r="B212" i="37"/>
  <c r="A212" i="37"/>
  <c r="I211" i="37"/>
  <c r="B211" i="37"/>
  <c r="A211" i="37"/>
  <c r="I210" i="37"/>
  <c r="B210" i="37"/>
  <c r="A210" i="37"/>
  <c r="I209" i="37"/>
  <c r="B209" i="37"/>
  <c r="A209" i="37"/>
  <c r="I208" i="37"/>
  <c r="B208" i="37"/>
  <c r="A208" i="37"/>
  <c r="I207" i="37"/>
  <c r="B207" i="37"/>
  <c r="A207" i="37"/>
  <c r="I206" i="37"/>
  <c r="B206" i="37"/>
  <c r="A206" i="37"/>
  <c r="I205" i="37"/>
  <c r="B205" i="37"/>
  <c r="A205" i="37"/>
  <c r="I204" i="37"/>
  <c r="B204" i="37"/>
  <c r="A204" i="37"/>
  <c r="I203" i="37"/>
  <c r="B203" i="37"/>
  <c r="A203" i="37"/>
  <c r="I202" i="37"/>
  <c r="B202" i="37"/>
  <c r="A202" i="37"/>
  <c r="I201" i="37"/>
  <c r="B201" i="37"/>
  <c r="A201" i="37"/>
  <c r="I200" i="37"/>
  <c r="B200" i="37"/>
  <c r="A200" i="37"/>
  <c r="I199" i="37"/>
  <c r="B199" i="37"/>
  <c r="A199" i="37"/>
  <c r="I198" i="37"/>
  <c r="B198" i="37"/>
  <c r="A198" i="37"/>
  <c r="I197" i="37"/>
  <c r="B197" i="37"/>
  <c r="A197" i="37"/>
  <c r="I196" i="37"/>
  <c r="B196" i="37"/>
  <c r="A196" i="37"/>
  <c r="I195" i="37"/>
  <c r="B195" i="37"/>
  <c r="A195" i="37"/>
  <c r="I194" i="37"/>
  <c r="B194" i="37"/>
  <c r="A194" i="37"/>
  <c r="I193" i="37"/>
  <c r="B193" i="37"/>
  <c r="A193" i="37"/>
  <c r="I192" i="37"/>
  <c r="B192" i="37"/>
  <c r="A192" i="37"/>
  <c r="I191" i="37"/>
  <c r="B191" i="37"/>
  <c r="A191" i="37"/>
  <c r="I190" i="37"/>
  <c r="B190" i="37"/>
  <c r="A190" i="37"/>
  <c r="I189" i="37"/>
  <c r="B189" i="37"/>
  <c r="A189" i="37"/>
  <c r="I188" i="37"/>
  <c r="B188" i="37"/>
  <c r="A188" i="37"/>
  <c r="I187" i="37"/>
  <c r="B187" i="37"/>
  <c r="A187" i="37"/>
  <c r="I186" i="37"/>
  <c r="B186" i="37"/>
  <c r="A186" i="37"/>
  <c r="I185" i="37"/>
  <c r="B185" i="37"/>
  <c r="A185" i="37"/>
  <c r="I184" i="37"/>
  <c r="B184" i="37"/>
  <c r="A184" i="37"/>
  <c r="I183" i="37"/>
  <c r="B183" i="37"/>
  <c r="A183" i="37"/>
  <c r="I182" i="37"/>
  <c r="B182" i="37"/>
  <c r="A182" i="37"/>
  <c r="I181" i="37"/>
  <c r="B181" i="37"/>
  <c r="A181" i="37"/>
  <c r="I180" i="37"/>
  <c r="B180" i="37"/>
  <c r="A180" i="37"/>
  <c r="I179" i="37"/>
  <c r="B179" i="37"/>
  <c r="A179" i="37"/>
  <c r="I178" i="37"/>
  <c r="B178" i="37"/>
  <c r="A178" i="37"/>
  <c r="I177" i="37"/>
  <c r="B177" i="37"/>
  <c r="A177" i="37"/>
  <c r="I176" i="37"/>
  <c r="B176" i="37"/>
  <c r="A176" i="37"/>
  <c r="I175" i="37"/>
  <c r="B175" i="37"/>
  <c r="A175" i="37"/>
  <c r="I174" i="37"/>
  <c r="B174" i="37"/>
  <c r="A174" i="37"/>
  <c r="I173" i="37"/>
  <c r="B173" i="37"/>
  <c r="A173" i="37"/>
  <c r="I172" i="37"/>
  <c r="B172" i="37"/>
  <c r="A172" i="37"/>
  <c r="I171" i="37"/>
  <c r="B171" i="37"/>
  <c r="A171" i="37"/>
  <c r="G135" i="37"/>
  <c r="G134" i="37"/>
  <c r="G133" i="37"/>
  <c r="G132" i="37"/>
  <c r="G131" i="37"/>
  <c r="G130" i="37"/>
  <c r="G129" i="37"/>
  <c r="G128" i="37"/>
  <c r="G127" i="37"/>
  <c r="G126" i="37"/>
  <c r="G125" i="37"/>
  <c r="G124" i="37"/>
  <c r="G123" i="37"/>
  <c r="G122" i="37"/>
  <c r="G121" i="37"/>
  <c r="G120" i="37"/>
  <c r="G119" i="37"/>
  <c r="G118" i="37"/>
  <c r="G117" i="37"/>
  <c r="G116" i="37"/>
  <c r="G115" i="37"/>
  <c r="G114" i="37"/>
  <c r="G113" i="37"/>
  <c r="G112" i="37"/>
  <c r="G111" i="37"/>
  <c r="G110" i="37"/>
  <c r="G109" i="37"/>
  <c r="G108" i="37"/>
  <c r="G107" i="37"/>
  <c r="G106" i="37"/>
  <c r="G105" i="37"/>
  <c r="G104" i="37"/>
  <c r="G103" i="37"/>
  <c r="G102" i="37"/>
  <c r="G101" i="37"/>
  <c r="G100" i="37"/>
  <c r="G99" i="37"/>
  <c r="M90" i="37"/>
  <c r="M89" i="37"/>
  <c r="HC80" i="37"/>
  <c r="HM76" i="37"/>
  <c r="HC76" i="37"/>
  <c r="HA76" i="37"/>
  <c r="GZ76" i="37"/>
  <c r="GY76" i="37"/>
  <c r="GW76" i="37"/>
  <c r="HT76" i="37" s="1"/>
  <c r="GH76" i="37"/>
  <c r="GG76" i="37"/>
  <c r="EL76" i="37"/>
  <c r="ET76" i="37" s="1"/>
  <c r="EK76" i="37"/>
  <c r="FX76" i="37" s="1"/>
  <c r="EJ76" i="37"/>
  <c r="GB76" i="37" s="1"/>
  <c r="EI76" i="37"/>
  <c r="EH76" i="37"/>
  <c r="EG76" i="37"/>
  <c r="EF76" i="37"/>
  <c r="EE76" i="37"/>
  <c r="ED76" i="37"/>
  <c r="FA76" i="37" s="1"/>
  <c r="EA76" i="37"/>
  <c r="FI76" i="37" s="1"/>
  <c r="CF76" i="37"/>
  <c r="CN76" i="37" s="1"/>
  <c r="CE76" i="37"/>
  <c r="DR76" i="37" s="1"/>
  <c r="CD76" i="37"/>
  <c r="DV76" i="37" s="1"/>
  <c r="CC76" i="37"/>
  <c r="CB76" i="37"/>
  <c r="CA76" i="37"/>
  <c r="BZ76" i="37"/>
  <c r="BY76" i="37"/>
  <c r="CW76" i="37" s="1"/>
  <c r="BX76" i="37"/>
  <c r="Z76" i="37"/>
  <c r="AG76" i="37" s="1"/>
  <c r="Y76" i="37"/>
  <c r="X76" i="37"/>
  <c r="BP76" i="37" s="1"/>
  <c r="W76" i="37"/>
  <c r="V76" i="37"/>
  <c r="U76" i="37"/>
  <c r="T76" i="37"/>
  <c r="S76" i="37"/>
  <c r="R76" i="37"/>
  <c r="HM75" i="37"/>
  <c r="HC75" i="37"/>
  <c r="HA75" i="37"/>
  <c r="GZ75" i="37"/>
  <c r="GY75" i="37"/>
  <c r="GW75" i="37"/>
  <c r="GH75" i="37"/>
  <c r="GG75" i="37"/>
  <c r="EL75" i="37"/>
  <c r="ES75" i="37" s="1"/>
  <c r="EK75" i="37"/>
  <c r="EJ75" i="37"/>
  <c r="GB75" i="37" s="1"/>
  <c r="EI75" i="37"/>
  <c r="EH75" i="37"/>
  <c r="EG75" i="37"/>
  <c r="EF75" i="37"/>
  <c r="EE75" i="37"/>
  <c r="FO75" i="37" s="1"/>
  <c r="ED75" i="37"/>
  <c r="EA75" i="37"/>
  <c r="CF75" i="37"/>
  <c r="CE75" i="37"/>
  <c r="DS75" i="37" s="1"/>
  <c r="CD75" i="37"/>
  <c r="DV75" i="37" s="1"/>
  <c r="CC75" i="37"/>
  <c r="CB75" i="37"/>
  <c r="CA75" i="37"/>
  <c r="BZ75" i="37"/>
  <c r="BY75" i="37"/>
  <c r="CW75" i="37" s="1"/>
  <c r="BX75" i="37"/>
  <c r="Z75" i="37"/>
  <c r="AH75" i="37" s="1"/>
  <c r="Y75" i="37"/>
  <c r="BL75" i="37" s="1"/>
  <c r="X75" i="37"/>
  <c r="BP75" i="37" s="1"/>
  <c r="W75" i="37"/>
  <c r="V75" i="37"/>
  <c r="U75" i="37"/>
  <c r="T75" i="37"/>
  <c r="S75" i="37"/>
  <c r="R75" i="37"/>
  <c r="BA75" i="37" s="1"/>
  <c r="HS73" i="37"/>
  <c r="HM73" i="37"/>
  <c r="HL73" i="37"/>
  <c r="EL73" i="37"/>
  <c r="ET73" i="37" s="1"/>
  <c r="EB73" i="37"/>
  <c r="FQ73" i="37" s="1"/>
  <c r="CF73" i="37"/>
  <c r="CM73" i="37" s="1"/>
  <c r="BV73" i="37"/>
  <c r="CJ73" i="37" s="1"/>
  <c r="Z73" i="37"/>
  <c r="AG73" i="37" s="1"/>
  <c r="P73" i="37"/>
  <c r="M73" i="37"/>
  <c r="L73" i="37"/>
  <c r="X73" i="37" s="1"/>
  <c r="BP73" i="37" s="1"/>
  <c r="I73" i="37"/>
  <c r="EG73" i="37" s="1"/>
  <c r="H73" i="37"/>
  <c r="EF73" i="37" s="1"/>
  <c r="G73" i="37"/>
  <c r="EE73" i="37" s="1"/>
  <c r="F73" i="37"/>
  <c r="ED73" i="37" s="1"/>
  <c r="D73" i="37"/>
  <c r="C73" i="37"/>
  <c r="GG73" i="37" s="1"/>
  <c r="D72" i="37"/>
  <c r="GZ73" i="37" s="1"/>
  <c r="D71" i="37"/>
  <c r="GY73" i="37" s="1"/>
  <c r="D70" i="37"/>
  <c r="K73" i="37" s="1"/>
  <c r="D69" i="37"/>
  <c r="J73" i="37" s="1"/>
  <c r="HM54" i="37"/>
  <c r="EL54" i="37"/>
  <c r="ET54" i="37" s="1"/>
  <c r="ED54" i="37"/>
  <c r="FM54" i="37" s="1"/>
  <c r="CF54" i="37"/>
  <c r="CM54" i="37" s="1"/>
  <c r="BX54" i="37"/>
  <c r="DG54" i="37" s="1"/>
  <c r="Z54" i="37"/>
  <c r="AH54" i="37" s="1"/>
  <c r="R54" i="37"/>
  <c r="BA54" i="37" s="1"/>
  <c r="E20" i="32"/>
  <c r="E21" i="32"/>
  <c r="E19" i="32"/>
  <c r="E17" i="32"/>
  <c r="I228" i="36"/>
  <c r="A228" i="36"/>
  <c r="I227" i="36"/>
  <c r="A227" i="36"/>
  <c r="I226" i="36"/>
  <c r="A226" i="36"/>
  <c r="I225" i="36"/>
  <c r="A225" i="36"/>
  <c r="I224" i="36"/>
  <c r="A224" i="36"/>
  <c r="I223" i="36"/>
  <c r="B223" i="36"/>
  <c r="A223" i="36"/>
  <c r="I222" i="36"/>
  <c r="B222" i="36"/>
  <c r="A222" i="36"/>
  <c r="I221" i="36"/>
  <c r="B221" i="36"/>
  <c r="A221" i="36"/>
  <c r="I220" i="36"/>
  <c r="B220" i="36"/>
  <c r="A220" i="36"/>
  <c r="I219" i="36"/>
  <c r="B219" i="36"/>
  <c r="A219" i="36"/>
  <c r="I218" i="36"/>
  <c r="B218" i="36"/>
  <c r="A218" i="36"/>
  <c r="I217" i="36"/>
  <c r="B217" i="36"/>
  <c r="A217" i="36"/>
  <c r="I216" i="36"/>
  <c r="B216" i="36"/>
  <c r="A216" i="36"/>
  <c r="I215" i="36"/>
  <c r="B215" i="36"/>
  <c r="A215" i="36"/>
  <c r="I214" i="36"/>
  <c r="B214" i="36"/>
  <c r="A214" i="36"/>
  <c r="I213" i="36"/>
  <c r="B213" i="36"/>
  <c r="A213" i="36"/>
  <c r="I212" i="36"/>
  <c r="B212" i="36"/>
  <c r="A212" i="36"/>
  <c r="I211" i="36"/>
  <c r="B211" i="36"/>
  <c r="A211" i="36"/>
  <c r="I210" i="36"/>
  <c r="B210" i="36"/>
  <c r="A210" i="36"/>
  <c r="I209" i="36"/>
  <c r="B209" i="36"/>
  <c r="A209" i="36"/>
  <c r="I208" i="36"/>
  <c r="B208" i="36"/>
  <c r="A208" i="36"/>
  <c r="I207" i="36"/>
  <c r="B207" i="36"/>
  <c r="A207" i="36"/>
  <c r="I206" i="36"/>
  <c r="B206" i="36"/>
  <c r="A206" i="36"/>
  <c r="I205" i="36"/>
  <c r="B205" i="36"/>
  <c r="A205" i="36"/>
  <c r="I204" i="36"/>
  <c r="B204" i="36"/>
  <c r="A204" i="36"/>
  <c r="I203" i="36"/>
  <c r="B203" i="36"/>
  <c r="A203" i="36"/>
  <c r="I202" i="36"/>
  <c r="B202" i="36"/>
  <c r="A202" i="36"/>
  <c r="I201" i="36"/>
  <c r="B201" i="36"/>
  <c r="A201" i="36"/>
  <c r="I200" i="36"/>
  <c r="B200" i="36"/>
  <c r="A200" i="36"/>
  <c r="I199" i="36"/>
  <c r="B199" i="36"/>
  <c r="A199" i="36"/>
  <c r="I198" i="36"/>
  <c r="B198" i="36"/>
  <c r="A198" i="36"/>
  <c r="I197" i="36"/>
  <c r="B197" i="36"/>
  <c r="A197" i="36"/>
  <c r="I196" i="36"/>
  <c r="B196" i="36"/>
  <c r="A196" i="36"/>
  <c r="I195" i="36"/>
  <c r="B195" i="36"/>
  <c r="A195" i="36"/>
  <c r="I194" i="36"/>
  <c r="B194" i="36"/>
  <c r="A194" i="36"/>
  <c r="I193" i="36"/>
  <c r="B193" i="36"/>
  <c r="A193" i="36"/>
  <c r="I192" i="36"/>
  <c r="B192" i="36"/>
  <c r="A192" i="36"/>
  <c r="I191" i="36"/>
  <c r="B191" i="36"/>
  <c r="A191" i="36"/>
  <c r="I190" i="36"/>
  <c r="B190" i="36"/>
  <c r="A190" i="36"/>
  <c r="I189" i="36"/>
  <c r="B189" i="36"/>
  <c r="A189" i="36"/>
  <c r="I188" i="36"/>
  <c r="B188" i="36"/>
  <c r="A188" i="36"/>
  <c r="I187" i="36"/>
  <c r="B187" i="36"/>
  <c r="A187" i="36"/>
  <c r="I186" i="36"/>
  <c r="B186" i="36"/>
  <c r="A186" i="36"/>
  <c r="I185" i="36"/>
  <c r="B185" i="36"/>
  <c r="A185" i="36"/>
  <c r="I184" i="36"/>
  <c r="B184" i="36"/>
  <c r="A184" i="36"/>
  <c r="I183" i="36"/>
  <c r="B183" i="36"/>
  <c r="A183" i="36"/>
  <c r="I182" i="36"/>
  <c r="B182" i="36"/>
  <c r="A182" i="36"/>
  <c r="I181" i="36"/>
  <c r="B181" i="36"/>
  <c r="A181" i="36"/>
  <c r="I180" i="36"/>
  <c r="B180" i="36"/>
  <c r="A180" i="36"/>
  <c r="I179" i="36"/>
  <c r="B179" i="36"/>
  <c r="A179" i="36"/>
  <c r="I178" i="36"/>
  <c r="B178" i="36"/>
  <c r="A178" i="36"/>
  <c r="I177" i="36"/>
  <c r="B177" i="36"/>
  <c r="A177" i="36"/>
  <c r="I176" i="36"/>
  <c r="B176" i="36"/>
  <c r="A176" i="36"/>
  <c r="I175" i="36"/>
  <c r="B175" i="36"/>
  <c r="A175" i="36"/>
  <c r="I174" i="36"/>
  <c r="B174" i="36"/>
  <c r="A174" i="36"/>
  <c r="I173" i="36"/>
  <c r="B173" i="36"/>
  <c r="A173" i="36"/>
  <c r="I172" i="36"/>
  <c r="B172" i="36"/>
  <c r="A172" i="36"/>
  <c r="I171" i="36"/>
  <c r="B171" i="36"/>
  <c r="A171" i="36"/>
  <c r="I170" i="36"/>
  <c r="B170" i="36"/>
  <c r="A170" i="36"/>
  <c r="I169" i="36"/>
  <c r="B169" i="36"/>
  <c r="A169" i="36"/>
  <c r="G133" i="36"/>
  <c r="G132" i="36"/>
  <c r="G131" i="36"/>
  <c r="G130" i="36"/>
  <c r="G129" i="36"/>
  <c r="G128" i="36"/>
  <c r="G127" i="36"/>
  <c r="G126" i="36"/>
  <c r="G125" i="36"/>
  <c r="G124" i="36"/>
  <c r="G123" i="36"/>
  <c r="G122" i="36"/>
  <c r="G121" i="36"/>
  <c r="G120" i="36"/>
  <c r="G119" i="36"/>
  <c r="G118" i="36"/>
  <c r="G117" i="36"/>
  <c r="G116" i="36"/>
  <c r="G115" i="36"/>
  <c r="G114" i="36"/>
  <c r="G113" i="36"/>
  <c r="G112" i="36"/>
  <c r="G111" i="36"/>
  <c r="G110" i="36"/>
  <c r="G109" i="36"/>
  <c r="G108" i="36"/>
  <c r="G107" i="36"/>
  <c r="G106" i="36"/>
  <c r="G105" i="36"/>
  <c r="G104" i="36"/>
  <c r="G103" i="36"/>
  <c r="G102" i="36"/>
  <c r="G101" i="36"/>
  <c r="G100" i="36"/>
  <c r="G99" i="36"/>
  <c r="G98" i="36"/>
  <c r="G97" i="36"/>
  <c r="M88" i="36"/>
  <c r="M87" i="36"/>
  <c r="HC78" i="36"/>
  <c r="HM74" i="36"/>
  <c r="HC74" i="36"/>
  <c r="HA74" i="36"/>
  <c r="GZ74" i="36"/>
  <c r="GY74" i="36"/>
  <c r="GW74" i="36"/>
  <c r="HT74" i="36" s="1"/>
  <c r="GH74" i="36"/>
  <c r="GG74" i="36"/>
  <c r="EL74" i="36"/>
  <c r="ET74" i="36" s="1"/>
  <c r="EK74" i="36"/>
  <c r="FX74" i="36" s="1"/>
  <c r="EJ74" i="36"/>
  <c r="GB74" i="36" s="1"/>
  <c r="EI74" i="36"/>
  <c r="EH74" i="36"/>
  <c r="EG74" i="36"/>
  <c r="EF74" i="36"/>
  <c r="EE74" i="36"/>
  <c r="ED74" i="36"/>
  <c r="ER74" i="36" s="1"/>
  <c r="EA74" i="36"/>
  <c r="FU74" i="36" s="1"/>
  <c r="CF74" i="36"/>
  <c r="CN74" i="36" s="1"/>
  <c r="CE74" i="36"/>
  <c r="DS74" i="36" s="1"/>
  <c r="CD74" i="36"/>
  <c r="DV74" i="36" s="1"/>
  <c r="CC74" i="36"/>
  <c r="CB74" i="36"/>
  <c r="CA74" i="36"/>
  <c r="BZ74" i="36"/>
  <c r="BY74" i="36"/>
  <c r="BX74" i="36"/>
  <c r="CL74" i="36" s="1"/>
  <c r="Z74" i="36"/>
  <c r="AH74" i="36" s="1"/>
  <c r="Y74" i="36"/>
  <c r="BL74" i="36" s="1"/>
  <c r="X74" i="36"/>
  <c r="BP74" i="36" s="1"/>
  <c r="W74" i="36"/>
  <c r="V74" i="36"/>
  <c r="U74" i="36"/>
  <c r="T74" i="36"/>
  <c r="S74" i="36"/>
  <c r="R74" i="36"/>
  <c r="AO74" i="36" s="1"/>
  <c r="HM73" i="36"/>
  <c r="HC73" i="36"/>
  <c r="HA73" i="36"/>
  <c r="GZ73" i="36"/>
  <c r="GY73" i="36"/>
  <c r="GW73" i="36"/>
  <c r="GH73" i="36"/>
  <c r="GG73" i="36"/>
  <c r="EL73" i="36"/>
  <c r="ES73" i="36" s="1"/>
  <c r="EK73" i="36"/>
  <c r="EJ73" i="36"/>
  <c r="GB73" i="36" s="1"/>
  <c r="EI73" i="36"/>
  <c r="EH73" i="36"/>
  <c r="EG73" i="36"/>
  <c r="EF73" i="36"/>
  <c r="EE73" i="36"/>
  <c r="ED73" i="36"/>
  <c r="FA73" i="36" s="1"/>
  <c r="EA73" i="36"/>
  <c r="CF73" i="36"/>
  <c r="CM73" i="36" s="1"/>
  <c r="CE73" i="36"/>
  <c r="CD73" i="36"/>
  <c r="DV73" i="36" s="1"/>
  <c r="CC73" i="36"/>
  <c r="CB73" i="36"/>
  <c r="CA73" i="36"/>
  <c r="BZ73" i="36"/>
  <c r="BY73" i="36"/>
  <c r="BX73" i="36"/>
  <c r="Z73" i="36"/>
  <c r="Y73" i="36"/>
  <c r="X73" i="36"/>
  <c r="BP73" i="36" s="1"/>
  <c r="W73" i="36"/>
  <c r="V73" i="36"/>
  <c r="U73" i="36"/>
  <c r="T73" i="36"/>
  <c r="S73" i="36"/>
  <c r="BC73" i="36" s="1"/>
  <c r="R73" i="36"/>
  <c r="HS71" i="36"/>
  <c r="HM71" i="36"/>
  <c r="HL71" i="36"/>
  <c r="EL71" i="36"/>
  <c r="ET71" i="36" s="1"/>
  <c r="EB71" i="36"/>
  <c r="FH71" i="36" s="1"/>
  <c r="CF71" i="36"/>
  <c r="CM71" i="36" s="1"/>
  <c r="BV71" i="36"/>
  <c r="DK71" i="36" s="1"/>
  <c r="Z71" i="36"/>
  <c r="AG71" i="36" s="1"/>
  <c r="P71" i="36"/>
  <c r="AD71" i="36" s="1"/>
  <c r="M71" i="36"/>
  <c r="HA71" i="36" s="1"/>
  <c r="L71" i="36"/>
  <c r="X71" i="36" s="1"/>
  <c r="BP71" i="36" s="1"/>
  <c r="I71" i="36"/>
  <c r="EG71" i="36" s="1"/>
  <c r="H71" i="36"/>
  <c r="G71" i="36"/>
  <c r="F71" i="36"/>
  <c r="ED71" i="36" s="1"/>
  <c r="EO71" i="36" s="1"/>
  <c r="D71" i="36"/>
  <c r="C71" i="36"/>
  <c r="D70" i="36"/>
  <c r="GZ71" i="36" s="1"/>
  <c r="D69" i="36"/>
  <c r="GY71" i="36" s="1"/>
  <c r="D68" i="36"/>
  <c r="K71" i="36" s="1"/>
  <c r="EI71" i="36" s="1"/>
  <c r="D67" i="36"/>
  <c r="J71" i="36" s="1"/>
  <c r="HM52" i="36"/>
  <c r="EL52" i="36"/>
  <c r="ET52" i="36" s="1"/>
  <c r="ED52" i="36"/>
  <c r="FM52" i="36" s="1"/>
  <c r="CF52" i="36"/>
  <c r="CN52" i="36" s="1"/>
  <c r="BX52" i="36"/>
  <c r="CI52" i="36" s="1"/>
  <c r="Z52" i="36"/>
  <c r="AG52" i="36" s="1"/>
  <c r="R52" i="36"/>
  <c r="M52" i="36"/>
  <c r="HA52" i="36" s="1"/>
  <c r="L52" i="36"/>
  <c r="X52" i="36" s="1"/>
  <c r="BP52" i="36" s="1"/>
  <c r="I52" i="36"/>
  <c r="EG52" i="36" s="1"/>
  <c r="E48" i="36"/>
  <c r="J50" i="36" s="1"/>
  <c r="E43" i="36"/>
  <c r="E44" i="36" s="1"/>
  <c r="F17" i="36" s="1"/>
  <c r="E42" i="36"/>
  <c r="E39" i="36"/>
  <c r="D52" i="36" s="1"/>
  <c r="E38" i="36"/>
  <c r="E33" i="36"/>
  <c r="E32" i="36"/>
  <c r="J173" i="1"/>
  <c r="L173" i="1"/>
  <c r="N173" i="1"/>
  <c r="H173" i="1"/>
  <c r="E20" i="38" l="1"/>
  <c r="E20" i="37"/>
  <c r="E20" i="39"/>
  <c r="CH75" i="38"/>
  <c r="GA75" i="38"/>
  <c r="DU75" i="37"/>
  <c r="FA54" i="37"/>
  <c r="AG75" i="37"/>
  <c r="FE73" i="39"/>
  <c r="ES71" i="36"/>
  <c r="ET73" i="36"/>
  <c r="AG75" i="39"/>
  <c r="CH75" i="37"/>
  <c r="X73" i="39"/>
  <c r="BP73" i="39" s="1"/>
  <c r="DU75" i="39"/>
  <c r="DU76" i="39"/>
  <c r="CY73" i="39"/>
  <c r="ER71" i="36"/>
  <c r="EN74" i="36"/>
  <c r="EO54" i="37"/>
  <c r="AO75" i="37"/>
  <c r="BO76" i="37"/>
  <c r="BA73" i="38"/>
  <c r="FN75" i="38"/>
  <c r="AH73" i="39"/>
  <c r="GG73" i="39"/>
  <c r="FH73" i="37"/>
  <c r="X73" i="38"/>
  <c r="BP73" i="38" s="1"/>
  <c r="ES73" i="39"/>
  <c r="CM52" i="36"/>
  <c r="FM73" i="36"/>
  <c r="DB73" i="39"/>
  <c r="EO73" i="36"/>
  <c r="BO74" i="36"/>
  <c r="FP75" i="37"/>
  <c r="AC73" i="38"/>
  <c r="AE73" i="38" s="1"/>
  <c r="ER76" i="38"/>
  <c r="CD73" i="39"/>
  <c r="DV73" i="39" s="1"/>
  <c r="DR75" i="39"/>
  <c r="EZ73" i="37"/>
  <c r="CN71" i="36"/>
  <c r="ET76" i="39"/>
  <c r="ER73" i="36"/>
  <c r="EU73" i="36" s="1"/>
  <c r="FS73" i="36" s="1"/>
  <c r="DU74" i="36"/>
  <c r="AF75" i="37"/>
  <c r="CX75" i="37"/>
  <c r="DU76" i="37"/>
  <c r="AG73" i="38"/>
  <c r="DB73" i="38"/>
  <c r="DU76" i="38"/>
  <c r="EN76" i="38"/>
  <c r="FM76" i="38"/>
  <c r="AF75" i="39"/>
  <c r="CX76" i="37"/>
  <c r="FB74" i="36"/>
  <c r="AQ76" i="38"/>
  <c r="AR76" i="38" s="1"/>
  <c r="DS76" i="38"/>
  <c r="CD52" i="36"/>
  <c r="DV52" i="36" s="1"/>
  <c r="BE73" i="38"/>
  <c r="FC75" i="38"/>
  <c r="FD75" i="38" s="1"/>
  <c r="CW75" i="39"/>
  <c r="CX75" i="39" s="1"/>
  <c r="CN76" i="39"/>
  <c r="FB76" i="39"/>
  <c r="CU52" i="36"/>
  <c r="ES52" i="36"/>
  <c r="U73" i="37"/>
  <c r="CA73" i="37"/>
  <c r="EO76" i="37"/>
  <c r="AF75" i="38"/>
  <c r="EZ76" i="38"/>
  <c r="FX76" i="38"/>
  <c r="EJ71" i="36"/>
  <c r="GB71" i="36" s="1"/>
  <c r="EV71" i="36"/>
  <c r="DF73" i="36"/>
  <c r="AF74" i="36"/>
  <c r="CM74" i="36"/>
  <c r="CO74" i="36" s="1"/>
  <c r="FL74" i="36"/>
  <c r="ET75" i="37"/>
  <c r="ER76" i="37"/>
  <c r="EO54" i="38"/>
  <c r="AJ73" i="38"/>
  <c r="CL76" i="38"/>
  <c r="FA76" i="38"/>
  <c r="AC54" i="39"/>
  <c r="CL54" i="39"/>
  <c r="BE73" i="39"/>
  <c r="CM73" i="39"/>
  <c r="AO75" i="39"/>
  <c r="DF75" i="39"/>
  <c r="DG76" i="39"/>
  <c r="EJ52" i="36"/>
  <c r="GB52" i="36" s="1"/>
  <c r="CH74" i="36"/>
  <c r="EZ74" i="36"/>
  <c r="AH73" i="37"/>
  <c r="FT73" i="37"/>
  <c r="BO75" i="37"/>
  <c r="FY76" i="37"/>
  <c r="HG76" i="37"/>
  <c r="CI54" i="38"/>
  <c r="FA54" i="38"/>
  <c r="AV73" i="38"/>
  <c r="BY73" i="38"/>
  <c r="DI73" i="38" s="1"/>
  <c r="BO76" i="38"/>
  <c r="CM76" i="38"/>
  <c r="E41" i="39"/>
  <c r="D54" i="39" s="1"/>
  <c r="H54" i="39" s="1"/>
  <c r="AO54" i="39"/>
  <c r="CU54" i="39"/>
  <c r="AC75" i="39"/>
  <c r="DG75" i="39"/>
  <c r="FB75" i="39"/>
  <c r="BL76" i="39"/>
  <c r="DI76" i="39"/>
  <c r="DJ76" i="39" s="1"/>
  <c r="EO76" i="39"/>
  <c r="R73" i="37"/>
  <c r="BA73" i="37" s="1"/>
  <c r="FU75" i="37"/>
  <c r="FB75" i="37"/>
  <c r="AN76" i="39"/>
  <c r="AZ76" i="39"/>
  <c r="AQ76" i="39"/>
  <c r="AR76" i="39" s="1"/>
  <c r="ER52" i="36"/>
  <c r="Y71" i="36"/>
  <c r="GG71" i="36"/>
  <c r="DI73" i="36"/>
  <c r="DJ73" i="36" s="1"/>
  <c r="CA71" i="36"/>
  <c r="CN73" i="37"/>
  <c r="CN75" i="37"/>
  <c r="CM75" i="37"/>
  <c r="AZ76" i="37"/>
  <c r="AQ76" i="37"/>
  <c r="CL76" i="37"/>
  <c r="CU76" i="37"/>
  <c r="CI76" i="37"/>
  <c r="EW76" i="37"/>
  <c r="FU76" i="37"/>
  <c r="V73" i="38"/>
  <c r="CB73" i="38"/>
  <c r="GH73" i="38"/>
  <c r="AN75" i="38"/>
  <c r="AZ75" i="38"/>
  <c r="ES54" i="39"/>
  <c r="ET54" i="39"/>
  <c r="U73" i="39"/>
  <c r="CA73" i="39"/>
  <c r="CT73" i="36"/>
  <c r="AH52" i="36"/>
  <c r="AQ73" i="36"/>
  <c r="AR73" i="36" s="1"/>
  <c r="AG74" i="36"/>
  <c r="CN54" i="37"/>
  <c r="ES54" i="37"/>
  <c r="T73" i="37"/>
  <c r="BZ73" i="37"/>
  <c r="GW73" i="37"/>
  <c r="HT73" i="37" s="1"/>
  <c r="HA73" i="37"/>
  <c r="Y73" i="37"/>
  <c r="BM73" i="37" s="1"/>
  <c r="CY73" i="37"/>
  <c r="ES73" i="37"/>
  <c r="FL75" i="37"/>
  <c r="FC75" i="37"/>
  <c r="FD75" i="37" s="1"/>
  <c r="CM76" i="37"/>
  <c r="DG76" i="37"/>
  <c r="ET54" i="38"/>
  <c r="T73" i="38"/>
  <c r="AH54" i="39"/>
  <c r="FN75" i="37"/>
  <c r="FA52" i="36"/>
  <c r="R71" i="36"/>
  <c r="AC71" i="36" s="1"/>
  <c r="AE71" i="36" s="1"/>
  <c r="CE71" i="36"/>
  <c r="DR71" i="36" s="1"/>
  <c r="CW73" i="36"/>
  <c r="CX73" i="36" s="1"/>
  <c r="BA74" i="36"/>
  <c r="DR74" i="36"/>
  <c r="CL52" i="36"/>
  <c r="DG52" i="36"/>
  <c r="EO52" i="36"/>
  <c r="U71" i="36"/>
  <c r="BO73" i="36"/>
  <c r="DU73" i="36"/>
  <c r="GA73" i="36"/>
  <c r="AC74" i="36"/>
  <c r="CI74" i="36"/>
  <c r="CU74" i="36"/>
  <c r="DG74" i="36"/>
  <c r="GA74" i="36"/>
  <c r="FN74" i="36"/>
  <c r="HG74" i="36"/>
  <c r="CE73" i="37"/>
  <c r="DR73" i="37" s="1"/>
  <c r="FE73" i="37"/>
  <c r="AC75" i="37"/>
  <c r="BC76" i="37"/>
  <c r="BD76" i="37" s="1"/>
  <c r="DS76" i="37"/>
  <c r="EN76" i="37"/>
  <c r="EZ76" i="37"/>
  <c r="GW73" i="39"/>
  <c r="HT73" i="39" s="1"/>
  <c r="CE73" i="39"/>
  <c r="Y73" i="39"/>
  <c r="BL73" i="39" s="1"/>
  <c r="HA73" i="39"/>
  <c r="CT75" i="39"/>
  <c r="CH75" i="39"/>
  <c r="EN75" i="39"/>
  <c r="FX75" i="39"/>
  <c r="CX76" i="39"/>
  <c r="BL75" i="38"/>
  <c r="HT76" i="38"/>
  <c r="CO76" i="39"/>
  <c r="DA76" i="39" s="1"/>
  <c r="CU76" i="39"/>
  <c r="EZ76" i="39"/>
  <c r="FI76" i="39"/>
  <c r="AN75" i="37"/>
  <c r="DR75" i="37"/>
  <c r="DF76" i="37"/>
  <c r="DI76" i="37"/>
  <c r="DJ76" i="37" s="1"/>
  <c r="ES76" i="37"/>
  <c r="FM76" i="37"/>
  <c r="DG54" i="38"/>
  <c r="ER54" i="38"/>
  <c r="EU54" i="38" s="1"/>
  <c r="AS73" i="38"/>
  <c r="BH73" i="38"/>
  <c r="DN73" i="38"/>
  <c r="BO75" i="38"/>
  <c r="AQ75" i="38"/>
  <c r="AR75" i="38" s="1"/>
  <c r="BA75" i="38"/>
  <c r="DU75" i="38"/>
  <c r="ET75" i="38"/>
  <c r="DG76" i="38"/>
  <c r="ES76" i="38"/>
  <c r="HG76" i="38"/>
  <c r="AF54" i="39"/>
  <c r="AI54" i="39" s="1"/>
  <c r="DK73" i="39"/>
  <c r="FH73" i="39"/>
  <c r="FP75" i="39"/>
  <c r="FN75" i="39"/>
  <c r="HG75" i="39"/>
  <c r="CI76" i="39"/>
  <c r="ER76" i="39"/>
  <c r="EU76" i="39" s="1"/>
  <c r="EW76" i="39"/>
  <c r="FM76" i="39"/>
  <c r="GA75" i="37"/>
  <c r="GA76" i="37"/>
  <c r="S73" i="38"/>
  <c r="BC73" i="38" s="1"/>
  <c r="CP73" i="38"/>
  <c r="BD75" i="38"/>
  <c r="DJ75" i="38"/>
  <c r="FB75" i="38"/>
  <c r="AH76" i="38"/>
  <c r="DF76" i="38"/>
  <c r="CI76" i="38"/>
  <c r="GA76" i="38"/>
  <c r="T73" i="39"/>
  <c r="BZ73" i="39"/>
  <c r="CP73" i="39"/>
  <c r="DN73" i="39"/>
  <c r="FT73" i="39"/>
  <c r="BO75" i="39"/>
  <c r="DJ75" i="39"/>
  <c r="CU75" i="39"/>
  <c r="BO76" i="39"/>
  <c r="GA76" i="39"/>
  <c r="FN76" i="39"/>
  <c r="N88" i="1"/>
  <c r="N89" i="1" s="1"/>
  <c r="N90" i="1" s="1"/>
  <c r="N91" i="1" s="1"/>
  <c r="N92" i="1" s="1"/>
  <c r="L88" i="1"/>
  <c r="L89" i="1" s="1"/>
  <c r="L90" i="1" s="1"/>
  <c r="L91" i="1" s="1"/>
  <c r="L92" i="1" s="1"/>
  <c r="C54" i="39"/>
  <c r="EA54" i="39" s="1"/>
  <c r="AZ75" i="39"/>
  <c r="BM75" i="39"/>
  <c r="BL75" i="39"/>
  <c r="BX73" i="39"/>
  <c r="R73" i="39"/>
  <c r="ED73" i="39"/>
  <c r="CB73" i="39"/>
  <c r="V73" i="39"/>
  <c r="EH73" i="39"/>
  <c r="W73" i="39"/>
  <c r="CC73" i="39"/>
  <c r="BH73" i="39"/>
  <c r="AV73" i="39"/>
  <c r="AJ73" i="39"/>
  <c r="AS73" i="39"/>
  <c r="EI73" i="39"/>
  <c r="AN75" i="39"/>
  <c r="FL75" i="39"/>
  <c r="EZ75" i="39"/>
  <c r="FC75" i="39"/>
  <c r="FD75" i="39" s="1"/>
  <c r="I54" i="39"/>
  <c r="S73" i="39"/>
  <c r="EE73" i="39"/>
  <c r="EZ73" i="39" s="1"/>
  <c r="BY73" i="39"/>
  <c r="CM54" i="39"/>
  <c r="EN76" i="39"/>
  <c r="X54" i="39"/>
  <c r="BP54" i="39" s="1"/>
  <c r="CI54" i="39"/>
  <c r="FM54" i="39"/>
  <c r="FA54" i="39"/>
  <c r="EO54" i="39"/>
  <c r="ER54" i="39"/>
  <c r="EN73" i="39"/>
  <c r="CL75" i="39"/>
  <c r="AB76" i="39"/>
  <c r="DF76" i="39"/>
  <c r="FY76" i="39"/>
  <c r="HG76" i="39"/>
  <c r="CD54" i="39"/>
  <c r="DV54" i="39" s="1"/>
  <c r="AB75" i="39"/>
  <c r="CN75" i="39"/>
  <c r="CM75" i="39"/>
  <c r="FM75" i="39"/>
  <c r="FA75" i="39"/>
  <c r="EO75" i="39"/>
  <c r="GA75" i="39"/>
  <c r="EU75" i="39"/>
  <c r="FG75" i="39" s="1"/>
  <c r="ET75" i="39"/>
  <c r="BA76" i="39"/>
  <c r="AO76" i="39"/>
  <c r="AC76" i="39"/>
  <c r="AG76" i="39"/>
  <c r="AI76" i="39" s="1"/>
  <c r="AU76" i="39" s="1"/>
  <c r="AH76" i="39"/>
  <c r="CT76" i="39"/>
  <c r="CH76" i="39"/>
  <c r="FL76" i="39"/>
  <c r="HC73" i="39"/>
  <c r="BC76" i="39"/>
  <c r="BD76" i="39" s="1"/>
  <c r="FO76" i="39"/>
  <c r="FP76" i="39" s="1"/>
  <c r="FC76" i="39"/>
  <c r="FD76" i="39" s="1"/>
  <c r="E34" i="39"/>
  <c r="EK73" i="39"/>
  <c r="EP73" i="39"/>
  <c r="EV73" i="39"/>
  <c r="BC75" i="39"/>
  <c r="BD75" i="39" s="1"/>
  <c r="AQ75" i="39"/>
  <c r="AR75" i="39" s="1"/>
  <c r="DS76" i="39"/>
  <c r="EW75" i="39"/>
  <c r="FI75" i="39"/>
  <c r="CA54" i="38"/>
  <c r="C55" i="38"/>
  <c r="C54" i="38"/>
  <c r="BA54" i="38"/>
  <c r="AO54" i="38"/>
  <c r="AC54" i="38"/>
  <c r="AF54" i="38"/>
  <c r="AI54" i="38" s="1"/>
  <c r="CM54" i="38"/>
  <c r="CO54" i="38" s="1"/>
  <c r="FY73" i="38"/>
  <c r="FY75" i="38"/>
  <c r="FX75" i="38"/>
  <c r="E41" i="38"/>
  <c r="D54" i="38" s="1"/>
  <c r="AF73" i="38"/>
  <c r="CC73" i="38"/>
  <c r="ED73" i="38"/>
  <c r="CW75" i="38"/>
  <c r="CX75" i="38" s="1"/>
  <c r="X54" i="38"/>
  <c r="BP54" i="38" s="1"/>
  <c r="CD54" i="38"/>
  <c r="DV54" i="38" s="1"/>
  <c r="CU54" i="38"/>
  <c r="FP73" i="38"/>
  <c r="BX73" i="38"/>
  <c r="CN73" i="38"/>
  <c r="CM73" i="38"/>
  <c r="FL73" i="38"/>
  <c r="AH75" i="38"/>
  <c r="AG75" i="38"/>
  <c r="FP75" i="38"/>
  <c r="BM76" i="38"/>
  <c r="BL76" i="38"/>
  <c r="E34" i="38"/>
  <c r="CA73" i="38"/>
  <c r="U73" i="38"/>
  <c r="W73" i="38"/>
  <c r="EP73" i="38"/>
  <c r="FE73" i="38"/>
  <c r="FT73" i="38"/>
  <c r="EV73" i="38"/>
  <c r="FQ73" i="38"/>
  <c r="DG75" i="38"/>
  <c r="CU75" i="38"/>
  <c r="CI75" i="38"/>
  <c r="CL75" i="38"/>
  <c r="CN75" i="38"/>
  <c r="CM75" i="38"/>
  <c r="AH54" i="38"/>
  <c r="EG54" i="38"/>
  <c r="ET73" i="38"/>
  <c r="ES73" i="38"/>
  <c r="FH73" i="38"/>
  <c r="CT75" i="38"/>
  <c r="DF75" i="38"/>
  <c r="HT75" i="38"/>
  <c r="HG75" i="38"/>
  <c r="EZ73" i="38"/>
  <c r="EN73" i="38"/>
  <c r="GW73" i="38"/>
  <c r="CE73" i="38"/>
  <c r="HA73" i="38"/>
  <c r="Y73" i="38"/>
  <c r="EH73" i="38"/>
  <c r="GA73" i="38" s="1"/>
  <c r="FC73" i="38"/>
  <c r="FD73" i="38" s="1"/>
  <c r="FX73" i="38"/>
  <c r="AO75" i="38"/>
  <c r="EZ75" i="38"/>
  <c r="BA76" i="38"/>
  <c r="AO76" i="38"/>
  <c r="AC76" i="38"/>
  <c r="AF76" i="38"/>
  <c r="AI76" i="38" s="1"/>
  <c r="BG76" i="38" s="1"/>
  <c r="BZ73" i="38"/>
  <c r="CD73" i="38"/>
  <c r="DV73" i="38" s="1"/>
  <c r="CY73" i="38"/>
  <c r="DK73" i="38"/>
  <c r="AB75" i="38"/>
  <c r="FM75" i="38"/>
  <c r="FA75" i="38"/>
  <c r="EO75" i="38"/>
  <c r="ER75" i="38"/>
  <c r="EU75" i="38" s="1"/>
  <c r="AZ76" i="38"/>
  <c r="CT76" i="38"/>
  <c r="CH76" i="38"/>
  <c r="FO76" i="38"/>
  <c r="FP76" i="38" s="1"/>
  <c r="FC76" i="38"/>
  <c r="FD76" i="38" s="1"/>
  <c r="FL76" i="38"/>
  <c r="HC73" i="38"/>
  <c r="GG73" i="38"/>
  <c r="FL75" i="38"/>
  <c r="AN76" i="38"/>
  <c r="BD76" i="38"/>
  <c r="FN76" i="38"/>
  <c r="FB76" i="38"/>
  <c r="EW76" i="38"/>
  <c r="FU76" i="38"/>
  <c r="DS75" i="38"/>
  <c r="EN75" i="38"/>
  <c r="AB76" i="38"/>
  <c r="CW76" i="38"/>
  <c r="CX76" i="38" s="1"/>
  <c r="DI76" i="38"/>
  <c r="DJ76" i="38" s="1"/>
  <c r="EW75" i="38"/>
  <c r="FI75" i="38"/>
  <c r="CA54" i="37"/>
  <c r="C55" i="37"/>
  <c r="C54" i="37"/>
  <c r="BE73" i="37"/>
  <c r="AS73" i="37"/>
  <c r="BH73" i="37"/>
  <c r="AV73" i="37"/>
  <c r="AJ73" i="37"/>
  <c r="E41" i="37"/>
  <c r="D54" i="37" s="1"/>
  <c r="EJ54" i="37"/>
  <c r="GB54" i="37" s="1"/>
  <c r="AF54" i="37"/>
  <c r="FM73" i="37"/>
  <c r="ER73" i="37"/>
  <c r="FA73" i="37"/>
  <c r="CC73" i="37"/>
  <c r="W73" i="37"/>
  <c r="EN73" i="37"/>
  <c r="X54" i="37"/>
  <c r="BP54" i="37" s="1"/>
  <c r="AC54" i="37"/>
  <c r="AG54" i="37"/>
  <c r="AO54" i="37"/>
  <c r="CL54" i="37"/>
  <c r="CO54" i="37" s="1"/>
  <c r="BY73" i="37"/>
  <c r="S73" i="37"/>
  <c r="AD73" i="37"/>
  <c r="CD73" i="37"/>
  <c r="DV73" i="37" s="1"/>
  <c r="EI73" i="37"/>
  <c r="EO73" i="37"/>
  <c r="BM75" i="37"/>
  <c r="DI75" i="37"/>
  <c r="DJ75" i="37" s="1"/>
  <c r="DF75" i="37"/>
  <c r="E34" i="37"/>
  <c r="FO73" i="37"/>
  <c r="FP73" i="37" s="1"/>
  <c r="FC73" i="37"/>
  <c r="FD73" i="37" s="1"/>
  <c r="FL73" i="37"/>
  <c r="EG54" i="37"/>
  <c r="DG75" i="37"/>
  <c r="CU75" i="37"/>
  <c r="CI75" i="37"/>
  <c r="CI54" i="37"/>
  <c r="CU54" i="37"/>
  <c r="ER54" i="37"/>
  <c r="EH73" i="37"/>
  <c r="CB73" i="37"/>
  <c r="GH73" i="37"/>
  <c r="V73" i="37"/>
  <c r="DN73" i="37"/>
  <c r="DB73" i="37"/>
  <c r="CP73" i="37"/>
  <c r="DK73" i="37"/>
  <c r="EJ73" i="37"/>
  <c r="GB73" i="37" s="1"/>
  <c r="HC73" i="37"/>
  <c r="AZ75" i="37"/>
  <c r="CT75" i="37"/>
  <c r="CL75" i="37"/>
  <c r="CT76" i="37"/>
  <c r="CH76" i="37"/>
  <c r="BX73" i="37"/>
  <c r="EK73" i="37"/>
  <c r="EP73" i="37"/>
  <c r="EV73" i="37"/>
  <c r="BC75" i="37"/>
  <c r="BD75" i="37" s="1"/>
  <c r="AQ75" i="37"/>
  <c r="AR75" i="37" s="1"/>
  <c r="AB75" i="37"/>
  <c r="EN75" i="37"/>
  <c r="FY75" i="37"/>
  <c r="FX75" i="37"/>
  <c r="HT75" i="37"/>
  <c r="HG75" i="37"/>
  <c r="AR76" i="37"/>
  <c r="AB76" i="37"/>
  <c r="BM76" i="37"/>
  <c r="BL76" i="37"/>
  <c r="AH76" i="37"/>
  <c r="FO76" i="37"/>
  <c r="FP76" i="37" s="1"/>
  <c r="FC76" i="37"/>
  <c r="FD76" i="37" s="1"/>
  <c r="FM75" i="37"/>
  <c r="FA75" i="37"/>
  <c r="EO75" i="37"/>
  <c r="ER75" i="37"/>
  <c r="EU75" i="37" s="1"/>
  <c r="BA76" i="37"/>
  <c r="AO76" i="37"/>
  <c r="AC76" i="37"/>
  <c r="AF76" i="37"/>
  <c r="AI76" i="37" s="1"/>
  <c r="FN76" i="37"/>
  <c r="FB76" i="37"/>
  <c r="FL76" i="37"/>
  <c r="EZ75" i="37"/>
  <c r="AN76" i="37"/>
  <c r="EW75" i="37"/>
  <c r="FI75" i="37"/>
  <c r="U52" i="36"/>
  <c r="CA52" i="36"/>
  <c r="CE52" i="36"/>
  <c r="DR52" i="36" s="1"/>
  <c r="Y52" i="36"/>
  <c r="BM52" i="36" s="1"/>
  <c r="P52" i="36"/>
  <c r="E27" i="36" s="1"/>
  <c r="H52" i="36"/>
  <c r="T52" i="36" s="1"/>
  <c r="GZ52" i="36"/>
  <c r="E49" i="36"/>
  <c r="E41" i="36" s="1"/>
  <c r="K52" i="36" s="1"/>
  <c r="C53" i="36"/>
  <c r="C52" i="36"/>
  <c r="BY71" i="36"/>
  <c r="S71" i="36"/>
  <c r="EE71" i="36"/>
  <c r="CJ71" i="36"/>
  <c r="AN73" i="36"/>
  <c r="AB73" i="36"/>
  <c r="AZ73" i="36"/>
  <c r="BM73" i="36"/>
  <c r="BL73" i="36"/>
  <c r="AN74" i="36"/>
  <c r="AB74" i="36"/>
  <c r="DN71" i="36"/>
  <c r="DB71" i="36"/>
  <c r="CP71" i="36"/>
  <c r="CY71" i="36"/>
  <c r="BA52" i="36"/>
  <c r="AO52" i="36"/>
  <c r="AC52" i="36"/>
  <c r="AF52" i="36"/>
  <c r="AI52" i="36" s="1"/>
  <c r="GY52" i="36"/>
  <c r="G52" i="36"/>
  <c r="EH71" i="36"/>
  <c r="GA71" i="36" s="1"/>
  <c r="CB71" i="36"/>
  <c r="HC71" i="36"/>
  <c r="GH71" i="36"/>
  <c r="T71" i="36"/>
  <c r="EF71" i="36"/>
  <c r="BZ71" i="36"/>
  <c r="V71" i="36"/>
  <c r="CD71" i="36"/>
  <c r="DV71" i="36" s="1"/>
  <c r="BA73" i="36"/>
  <c r="AO73" i="36"/>
  <c r="AC73" i="36"/>
  <c r="AF73" i="36"/>
  <c r="FB73" i="36"/>
  <c r="FI73" i="36"/>
  <c r="FU73" i="36"/>
  <c r="FN73" i="36"/>
  <c r="EZ73" i="36"/>
  <c r="EN73" i="36"/>
  <c r="EW73" i="36"/>
  <c r="AG73" i="36"/>
  <c r="AH73" i="36"/>
  <c r="FX73" i="36"/>
  <c r="FY73" i="36"/>
  <c r="DI74" i="36"/>
  <c r="DJ74" i="36" s="1"/>
  <c r="CW74" i="36"/>
  <c r="CX74" i="36" s="1"/>
  <c r="EK52" i="36"/>
  <c r="GW52" i="36"/>
  <c r="BE71" i="36"/>
  <c r="AS71" i="36"/>
  <c r="BH71" i="36"/>
  <c r="AV71" i="36"/>
  <c r="AJ71" i="36"/>
  <c r="BM71" i="36"/>
  <c r="BL71" i="36"/>
  <c r="AH71" i="36"/>
  <c r="BD73" i="36"/>
  <c r="CT74" i="36"/>
  <c r="FM71" i="36"/>
  <c r="FA71" i="36"/>
  <c r="CC71" i="36"/>
  <c r="W71" i="36"/>
  <c r="AZ74" i="36"/>
  <c r="DF74" i="36"/>
  <c r="BX71" i="36"/>
  <c r="FQ71" i="36"/>
  <c r="FE71" i="36"/>
  <c r="EK71" i="36"/>
  <c r="EP71" i="36"/>
  <c r="EQ71" i="36" s="1"/>
  <c r="FT71" i="36"/>
  <c r="DS73" i="36"/>
  <c r="DR73" i="36"/>
  <c r="CN73" i="36"/>
  <c r="FO74" i="36"/>
  <c r="FP74" i="36" s="1"/>
  <c r="FC74" i="36"/>
  <c r="FD74" i="36" s="1"/>
  <c r="GW71" i="36"/>
  <c r="DG73" i="36"/>
  <c r="CU73" i="36"/>
  <c r="CI73" i="36"/>
  <c r="CL73" i="36"/>
  <c r="CO73" i="36" s="1"/>
  <c r="FL73" i="36"/>
  <c r="HT73" i="36"/>
  <c r="HG73" i="36"/>
  <c r="BM74" i="36"/>
  <c r="CH73" i="36"/>
  <c r="FC73" i="36"/>
  <c r="FD73" i="36" s="1"/>
  <c r="FO73" i="36"/>
  <c r="FP73" i="36" s="1"/>
  <c r="AQ74" i="36"/>
  <c r="AR74" i="36" s="1"/>
  <c r="BC74" i="36"/>
  <c r="BD74" i="36" s="1"/>
  <c r="EO74" i="36"/>
  <c r="ES74" i="36"/>
  <c r="EU74" i="36" s="1"/>
  <c r="FG74" i="36" s="1"/>
  <c r="EW74" i="36"/>
  <c r="FA74" i="36"/>
  <c r="FI74" i="36"/>
  <c r="FM74" i="36"/>
  <c r="FY74" i="36"/>
  <c r="J87" i="1"/>
  <c r="J102" i="1"/>
  <c r="L102" i="1"/>
  <c r="N102" i="1"/>
  <c r="P102" i="1"/>
  <c r="H102" i="1"/>
  <c r="J100" i="1"/>
  <c r="L100" i="1"/>
  <c r="N100" i="1"/>
  <c r="H100" i="1"/>
  <c r="H87" i="1"/>
  <c r="H73" i="1"/>
  <c r="H74" i="1" s="1"/>
  <c r="H75" i="1" s="1"/>
  <c r="H76" i="1" s="1"/>
  <c r="H77" i="1" s="1"/>
  <c r="H78" i="1" s="1"/>
  <c r="EU71" i="36" l="1"/>
  <c r="FS71" i="36" s="1"/>
  <c r="CO52" i="36"/>
  <c r="DM52" i="36" s="1"/>
  <c r="DS73" i="37"/>
  <c r="AB73" i="37"/>
  <c r="I93" i="1"/>
  <c r="I79" i="1"/>
  <c r="AI75" i="37"/>
  <c r="BG75" i="37" s="1"/>
  <c r="K93" i="1"/>
  <c r="BL73" i="37"/>
  <c r="CO76" i="38"/>
  <c r="DM76" i="38" s="1"/>
  <c r="CH73" i="37"/>
  <c r="AI74" i="36"/>
  <c r="BG74" i="36" s="1"/>
  <c r="AO71" i="36"/>
  <c r="AF73" i="37"/>
  <c r="AI73" i="37" s="1"/>
  <c r="AU73" i="37" s="1"/>
  <c r="BA71" i="36"/>
  <c r="AC73" i="37"/>
  <c r="AE73" i="37" s="1"/>
  <c r="EU73" i="37"/>
  <c r="FS73" i="37" s="1"/>
  <c r="EU54" i="39"/>
  <c r="FG54" i="39" s="1"/>
  <c r="HG73" i="37"/>
  <c r="AJ52" i="36"/>
  <c r="AD52" i="36"/>
  <c r="AE52" i="36" s="1"/>
  <c r="AV52" i="36"/>
  <c r="BE52" i="36"/>
  <c r="CH73" i="39"/>
  <c r="BH52" i="36"/>
  <c r="EU76" i="37"/>
  <c r="FS76" i="37" s="1"/>
  <c r="E29" i="36"/>
  <c r="AS52" i="36"/>
  <c r="EU52" i="36"/>
  <c r="FS52" i="36" s="1"/>
  <c r="AI75" i="39"/>
  <c r="AU75" i="39" s="1"/>
  <c r="DM74" i="36"/>
  <c r="DA74" i="36"/>
  <c r="DU73" i="38"/>
  <c r="BM73" i="39"/>
  <c r="AF71" i="36"/>
  <c r="AI71" i="36" s="1"/>
  <c r="AU71" i="36" s="1"/>
  <c r="BZ52" i="36"/>
  <c r="CH52" i="36" s="1"/>
  <c r="DS71" i="36"/>
  <c r="AN73" i="37"/>
  <c r="AB73" i="38"/>
  <c r="AI73" i="38"/>
  <c r="BG73" i="38" s="1"/>
  <c r="BO73" i="39"/>
  <c r="CT73" i="37"/>
  <c r="CO54" i="39"/>
  <c r="DM54" i="39" s="1"/>
  <c r="BO71" i="36"/>
  <c r="CO76" i="37"/>
  <c r="DM76" i="37" s="1"/>
  <c r="EU76" i="38"/>
  <c r="FS76" i="38" s="1"/>
  <c r="FS54" i="38"/>
  <c r="FG54" i="38"/>
  <c r="FS76" i="39"/>
  <c r="FG76" i="39"/>
  <c r="AN73" i="39"/>
  <c r="DU73" i="37"/>
  <c r="HG73" i="39"/>
  <c r="GA73" i="37"/>
  <c r="AO73" i="37"/>
  <c r="BO73" i="38"/>
  <c r="CW73" i="38"/>
  <c r="CX73" i="38" s="1"/>
  <c r="AQ73" i="38"/>
  <c r="AR73" i="38" s="1"/>
  <c r="DM76" i="39"/>
  <c r="BG76" i="39"/>
  <c r="DS52" i="36"/>
  <c r="EU54" i="37"/>
  <c r="FS54" i="37" s="1"/>
  <c r="M79" i="1"/>
  <c r="M93" i="1"/>
  <c r="O93" i="1"/>
  <c r="O79" i="1"/>
  <c r="GY54" i="39"/>
  <c r="GZ54" i="39"/>
  <c r="G54" i="39"/>
  <c r="E30" i="39" s="1"/>
  <c r="P54" i="39"/>
  <c r="AJ54" i="39" s="1"/>
  <c r="AI75" i="38"/>
  <c r="AB73" i="39"/>
  <c r="AB52" i="36"/>
  <c r="CO75" i="37"/>
  <c r="DM75" i="37" s="1"/>
  <c r="FG73" i="36"/>
  <c r="AU54" i="39"/>
  <c r="BG54" i="39"/>
  <c r="DF73" i="38"/>
  <c r="BO73" i="37"/>
  <c r="AZ73" i="38"/>
  <c r="CO75" i="39"/>
  <c r="DA75" i="39" s="1"/>
  <c r="DU71" i="36"/>
  <c r="DS73" i="39"/>
  <c r="DR73" i="39"/>
  <c r="GG54" i="39"/>
  <c r="GH54" i="39"/>
  <c r="DI73" i="39"/>
  <c r="DJ73" i="39" s="1"/>
  <c r="CW73" i="39"/>
  <c r="CX73" i="39" s="1"/>
  <c r="DF73" i="39"/>
  <c r="CT73" i="39"/>
  <c r="DU73" i="39"/>
  <c r="DG73" i="39"/>
  <c r="CL73" i="39"/>
  <c r="CO73" i="39" s="1"/>
  <c r="CU73" i="39"/>
  <c r="CI73" i="39"/>
  <c r="CK73" i="39" s="1"/>
  <c r="FU54" i="39"/>
  <c r="FI54" i="39"/>
  <c r="EW54" i="39"/>
  <c r="FN54" i="39"/>
  <c r="FB54" i="39"/>
  <c r="FS75" i="39"/>
  <c r="FO73" i="39"/>
  <c r="FP73" i="39" s="1"/>
  <c r="FC73" i="39"/>
  <c r="FD73" i="39" s="1"/>
  <c r="FL73" i="39"/>
  <c r="CA54" i="39"/>
  <c r="EG54" i="39"/>
  <c r="U54" i="39"/>
  <c r="FA73" i="39"/>
  <c r="EO73" i="39"/>
  <c r="EQ73" i="39" s="1"/>
  <c r="ER73" i="39"/>
  <c r="EU73" i="39" s="1"/>
  <c r="FS73" i="39" s="1"/>
  <c r="FM73" i="39"/>
  <c r="EF54" i="39"/>
  <c r="E31" i="39"/>
  <c r="T54" i="39"/>
  <c r="BZ54" i="39"/>
  <c r="FY73" i="39"/>
  <c r="FX73" i="39"/>
  <c r="AZ73" i="39"/>
  <c r="BC73" i="39"/>
  <c r="BD73" i="39" s="1"/>
  <c r="AQ73" i="39"/>
  <c r="AR73" i="39" s="1"/>
  <c r="GA73" i="39"/>
  <c r="AF73" i="39"/>
  <c r="AI73" i="39" s="1"/>
  <c r="AU73" i="39" s="1"/>
  <c r="BA73" i="39"/>
  <c r="AC73" i="39"/>
  <c r="AE73" i="39" s="1"/>
  <c r="AO73" i="39"/>
  <c r="AU54" i="38"/>
  <c r="BG54" i="38"/>
  <c r="FG75" i="38"/>
  <c r="FS75" i="38"/>
  <c r="CO75" i="38"/>
  <c r="BL73" i="38"/>
  <c r="BM73" i="38"/>
  <c r="DJ73" i="38"/>
  <c r="CH73" i="38"/>
  <c r="CT73" i="38"/>
  <c r="DS73" i="38"/>
  <c r="DR73" i="38"/>
  <c r="EO73" i="38"/>
  <c r="EQ73" i="38" s="1"/>
  <c r="FM73" i="38"/>
  <c r="ER73" i="38"/>
  <c r="EU73" i="38" s="1"/>
  <c r="FA73" i="38"/>
  <c r="GZ54" i="38"/>
  <c r="GY54" i="38"/>
  <c r="P54" i="38"/>
  <c r="G54" i="38"/>
  <c r="H54" i="38"/>
  <c r="DA54" i="38"/>
  <c r="DM54" i="38"/>
  <c r="GH54" i="38"/>
  <c r="GG54" i="38"/>
  <c r="EA54" i="38"/>
  <c r="AU76" i="38"/>
  <c r="HT73" i="38"/>
  <c r="HG73" i="38"/>
  <c r="AN73" i="38"/>
  <c r="DG73" i="38"/>
  <c r="CU73" i="38"/>
  <c r="CI73" i="38"/>
  <c r="CK73" i="38" s="1"/>
  <c r="CL73" i="38"/>
  <c r="CO73" i="38" s="1"/>
  <c r="BD73" i="38"/>
  <c r="AU76" i="37"/>
  <c r="BG76" i="37"/>
  <c r="FG75" i="37"/>
  <c r="FS75" i="37"/>
  <c r="DM54" i="37"/>
  <c r="DA54" i="37"/>
  <c r="GG54" i="37"/>
  <c r="EA54" i="37"/>
  <c r="GH54" i="37"/>
  <c r="AZ73" i="37"/>
  <c r="BC73" i="37"/>
  <c r="BD73" i="37" s="1"/>
  <c r="AQ73" i="37"/>
  <c r="AR73" i="37" s="1"/>
  <c r="GZ54" i="37"/>
  <c r="P54" i="37"/>
  <c r="G54" i="37"/>
  <c r="H54" i="37"/>
  <c r="GY54" i="37"/>
  <c r="FX73" i="37"/>
  <c r="FY73" i="37"/>
  <c r="DF73" i="37"/>
  <c r="DI73" i="37"/>
  <c r="DJ73" i="37" s="1"/>
  <c r="CW73" i="37"/>
  <c r="CX73" i="37" s="1"/>
  <c r="CL73" i="37"/>
  <c r="CO73" i="37" s="1"/>
  <c r="DM73" i="37" s="1"/>
  <c r="CU73" i="37"/>
  <c r="CI73" i="37"/>
  <c r="CK73" i="37" s="1"/>
  <c r="DG73" i="37"/>
  <c r="EQ73" i="37"/>
  <c r="AI54" i="37"/>
  <c r="BL52" i="36"/>
  <c r="EF52" i="36"/>
  <c r="EN52" i="36" s="1"/>
  <c r="E34" i="36"/>
  <c r="E35" i="36" s="1"/>
  <c r="E40" i="36"/>
  <c r="J52" i="36" s="1"/>
  <c r="V52" i="36" s="1"/>
  <c r="G34" i="36"/>
  <c r="DA73" i="36"/>
  <c r="DM73" i="36"/>
  <c r="AU52" i="36"/>
  <c r="BG52" i="36"/>
  <c r="HT71" i="36"/>
  <c r="HG71" i="36"/>
  <c r="AN71" i="36"/>
  <c r="AB71" i="36"/>
  <c r="CL71" i="36"/>
  <c r="CO71" i="36" s="1"/>
  <c r="DM71" i="36" s="1"/>
  <c r="DG71" i="36"/>
  <c r="CI71" i="36"/>
  <c r="CK71" i="36" s="1"/>
  <c r="CU71" i="36"/>
  <c r="FY71" i="36"/>
  <c r="FX71" i="36"/>
  <c r="FO71" i="36"/>
  <c r="FP71" i="36" s="1"/>
  <c r="FC71" i="36"/>
  <c r="FD71" i="36" s="1"/>
  <c r="FL71" i="36"/>
  <c r="FS74" i="36"/>
  <c r="HT52" i="36"/>
  <c r="HG52" i="36"/>
  <c r="CT71" i="36"/>
  <c r="CH71" i="36"/>
  <c r="AZ71" i="36"/>
  <c r="AQ71" i="36"/>
  <c r="AR71" i="36" s="1"/>
  <c r="BC71" i="36"/>
  <c r="BD71" i="36" s="1"/>
  <c r="GH52" i="36"/>
  <c r="EA52" i="36"/>
  <c r="GG52" i="36"/>
  <c r="CC52" i="36"/>
  <c r="W52" i="36"/>
  <c r="EI52" i="36"/>
  <c r="FG71" i="36"/>
  <c r="FY52" i="36"/>
  <c r="FX52" i="36"/>
  <c r="AI73" i="36"/>
  <c r="EZ71" i="36"/>
  <c r="EN71" i="36"/>
  <c r="BY52" i="36"/>
  <c r="S52" i="36"/>
  <c r="EE52" i="36"/>
  <c r="E28" i="36"/>
  <c r="DF71" i="36"/>
  <c r="DI71" i="36"/>
  <c r="DJ71" i="36" s="1"/>
  <c r="CW71" i="36"/>
  <c r="CX71" i="36" s="1"/>
  <c r="J88" i="1"/>
  <c r="J89" i="1" s="1"/>
  <c r="J90" i="1" s="1"/>
  <c r="J91" i="1" s="1"/>
  <c r="J92" i="1" s="1"/>
  <c r="H88" i="1"/>
  <c r="H89" i="1" s="1"/>
  <c r="H90" i="1" s="1"/>
  <c r="H91" i="1" s="1"/>
  <c r="H92" i="1" s="1"/>
  <c r="BG73" i="37" l="1"/>
  <c r="DA52" i="36"/>
  <c r="AU75" i="37"/>
  <c r="DA76" i="38"/>
  <c r="FG54" i="37"/>
  <c r="FS54" i="39"/>
  <c r="FG73" i="37"/>
  <c r="DA76" i="37"/>
  <c r="AU74" i="36"/>
  <c r="FG52" i="36"/>
  <c r="AU73" i="38"/>
  <c r="CT52" i="36"/>
  <c r="BG71" i="36"/>
  <c r="FG76" i="37"/>
  <c r="BG75" i="39"/>
  <c r="T79" i="1"/>
  <c r="DA54" i="39"/>
  <c r="FG76" i="38"/>
  <c r="DM75" i="39"/>
  <c r="S54" i="39"/>
  <c r="AN54" i="39" s="1"/>
  <c r="T93" i="1"/>
  <c r="BY54" i="39"/>
  <c r="DF54" i="39" s="1"/>
  <c r="EE54" i="39"/>
  <c r="FC54" i="39" s="1"/>
  <c r="FD54" i="39" s="1"/>
  <c r="AV54" i="39"/>
  <c r="BE54" i="39"/>
  <c r="AS54" i="39"/>
  <c r="BH54" i="39"/>
  <c r="AD54" i="39"/>
  <c r="AE54" i="39" s="1"/>
  <c r="E29" i="39"/>
  <c r="DA75" i="37"/>
  <c r="AU75" i="38"/>
  <c r="BG75" i="38"/>
  <c r="DA73" i="37"/>
  <c r="BG73" i="39"/>
  <c r="FG73" i="39"/>
  <c r="AB54" i="39"/>
  <c r="DA73" i="39"/>
  <c r="EN54" i="39"/>
  <c r="DM73" i="39"/>
  <c r="CH54" i="39"/>
  <c r="FS73" i="38"/>
  <c r="FG73" i="38"/>
  <c r="DA73" i="38"/>
  <c r="DM73" i="38"/>
  <c r="DM75" i="38"/>
  <c r="DA75" i="38"/>
  <c r="BY54" i="38"/>
  <c r="EE54" i="38"/>
  <c r="E30" i="38"/>
  <c r="S54" i="38"/>
  <c r="BZ54" i="38"/>
  <c r="EF54" i="38"/>
  <c r="E31" i="38"/>
  <c r="T54" i="38"/>
  <c r="BE54" i="38"/>
  <c r="AS54" i="38"/>
  <c r="AJ54" i="38"/>
  <c r="BH54" i="38"/>
  <c r="AV54" i="38"/>
  <c r="AD54" i="38"/>
  <c r="AE54" i="38" s="1"/>
  <c r="E29" i="38"/>
  <c r="FU54" i="38"/>
  <c r="FN54" i="38"/>
  <c r="FI54" i="38"/>
  <c r="FB54" i="38"/>
  <c r="EW54" i="38"/>
  <c r="BZ54" i="37"/>
  <c r="T54" i="37"/>
  <c r="EF54" i="37"/>
  <c r="E31" i="37"/>
  <c r="FU54" i="37"/>
  <c r="FI54" i="37"/>
  <c r="FN54" i="37"/>
  <c r="FB54" i="37"/>
  <c r="EW54" i="37"/>
  <c r="EE54" i="37"/>
  <c r="E30" i="37"/>
  <c r="S54" i="37"/>
  <c r="BY54" i="37"/>
  <c r="AU54" i="37"/>
  <c r="BG54" i="37"/>
  <c r="AD54" i="37"/>
  <c r="AE54" i="37" s="1"/>
  <c r="BE54" i="37"/>
  <c r="AS54" i="37"/>
  <c r="E29" i="37"/>
  <c r="BH54" i="37"/>
  <c r="AV54" i="37"/>
  <c r="AJ54" i="37"/>
  <c r="EH52" i="36"/>
  <c r="GA52" i="36" s="1"/>
  <c r="HC52" i="36"/>
  <c r="CB52" i="36"/>
  <c r="DU52" i="36" s="1"/>
  <c r="G18" i="36"/>
  <c r="E37" i="36"/>
  <c r="E45" i="36" s="1"/>
  <c r="G45" i="36" s="1"/>
  <c r="FU52" i="36"/>
  <c r="FI52" i="36"/>
  <c r="FB52" i="36"/>
  <c r="EW52" i="36"/>
  <c r="FN52" i="36"/>
  <c r="E36" i="36"/>
  <c r="F18" i="36" s="1"/>
  <c r="AZ52" i="36"/>
  <c r="AQ52" i="36"/>
  <c r="AR52" i="36" s="1"/>
  <c r="BC52" i="36"/>
  <c r="BD52" i="36" s="1"/>
  <c r="AN52" i="36"/>
  <c r="FL52" i="36"/>
  <c r="FC52" i="36"/>
  <c r="FD52" i="36" s="1"/>
  <c r="FO52" i="36"/>
  <c r="FP52" i="36" s="1"/>
  <c r="BG73" i="36"/>
  <c r="AU73" i="36"/>
  <c r="EZ52" i="36"/>
  <c r="DF52" i="36"/>
  <c r="DI52" i="36"/>
  <c r="DJ52" i="36" s="1"/>
  <c r="CW52" i="36"/>
  <c r="CX52" i="36" s="1"/>
  <c r="BO52" i="36"/>
  <c r="DA71" i="36"/>
  <c r="FL54" i="39" l="1"/>
  <c r="AZ54" i="39"/>
  <c r="BC54" i="39"/>
  <c r="BD54" i="39" s="1"/>
  <c r="AQ54" i="39"/>
  <c r="AR54" i="39" s="1"/>
  <c r="CT54" i="39"/>
  <c r="CW54" i="39"/>
  <c r="CX54" i="39" s="1"/>
  <c r="DI54" i="39"/>
  <c r="DJ54" i="39" s="1"/>
  <c r="FO54" i="39"/>
  <c r="FP54" i="39" s="1"/>
  <c r="EZ54" i="39"/>
  <c r="CT54" i="38"/>
  <c r="CH54" i="38"/>
  <c r="FO54" i="38"/>
  <c r="FP54" i="38" s="1"/>
  <c r="FC54" i="38"/>
  <c r="FD54" i="38" s="1"/>
  <c r="FL54" i="38"/>
  <c r="EZ54" i="38"/>
  <c r="EN54" i="38"/>
  <c r="AB54" i="38"/>
  <c r="AN54" i="38"/>
  <c r="DF54" i="38"/>
  <c r="DI54" i="38"/>
  <c r="DJ54" i="38" s="1"/>
  <c r="CW54" i="38"/>
  <c r="CX54" i="38" s="1"/>
  <c r="AZ54" i="38"/>
  <c r="BC54" i="38"/>
  <c r="BD54" i="38" s="1"/>
  <c r="AQ54" i="38"/>
  <c r="AR54" i="38" s="1"/>
  <c r="BC54" i="37"/>
  <c r="BD54" i="37" s="1"/>
  <c r="AZ54" i="37"/>
  <c r="AQ54" i="37"/>
  <c r="AR54" i="37" s="1"/>
  <c r="EZ54" i="37"/>
  <c r="EN54" i="37"/>
  <c r="FL54" i="37"/>
  <c r="FC54" i="37"/>
  <c r="FD54" i="37" s="1"/>
  <c r="FO54" i="37"/>
  <c r="FP54" i="37" s="1"/>
  <c r="AN54" i="37"/>
  <c r="AB54" i="37"/>
  <c r="CW54" i="37"/>
  <c r="CX54" i="37" s="1"/>
  <c r="DF54" i="37"/>
  <c r="DI54" i="37"/>
  <c r="DJ54" i="37" s="1"/>
  <c r="CT54" i="37"/>
  <c r="CH54" i="37"/>
  <c r="F19" i="36"/>
  <c r="A226" i="32" l="1"/>
  <c r="A227" i="32"/>
  <c r="A228" i="32"/>
  <c r="A229" i="32"/>
  <c r="A230" i="32"/>
  <c r="A225" i="32"/>
  <c r="B225" i="32"/>
  <c r="I230" i="32"/>
  <c r="I229" i="32"/>
  <c r="I228" i="32"/>
  <c r="I227" i="32"/>
  <c r="I226" i="32"/>
  <c r="I225" i="32"/>
  <c r="E41" i="32" l="1"/>
  <c r="E40" i="32"/>
  <c r="E34" i="32"/>
  <c r="G111" i="32" l="1"/>
  <c r="G104" i="32"/>
  <c r="G100" i="32"/>
  <c r="I172" i="32" l="1"/>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206" i="32"/>
  <c r="B207" i="32"/>
  <c r="B208" i="32"/>
  <c r="B209" i="32"/>
  <c r="B210" i="32"/>
  <c r="B211" i="32"/>
  <c r="B212" i="32"/>
  <c r="B213" i="32"/>
  <c r="B214" i="32"/>
  <c r="B215" i="32"/>
  <c r="B216" i="32"/>
  <c r="B217" i="32"/>
  <c r="B218" i="32"/>
  <c r="B219" i="32"/>
  <c r="B220" i="32"/>
  <c r="B221" i="32"/>
  <c r="B222" i="32"/>
  <c r="B223" i="32"/>
  <c r="B224" i="32"/>
  <c r="B171" i="32"/>
  <c r="G101" i="32" l="1"/>
  <c r="G102" i="32"/>
  <c r="M89" i="32" l="1"/>
  <c r="M90" i="32"/>
  <c r="L54" i="32" l="1"/>
  <c r="I54" i="32" l="1"/>
  <c r="D54" i="32" l="1"/>
  <c r="P54" i="32" s="1"/>
  <c r="C54" i="32"/>
  <c r="HM54" i="32"/>
  <c r="EL54" i="32"/>
  <c r="ET54" i="32" s="1"/>
  <c r="EJ54" i="32"/>
  <c r="GB54" i="32" s="1"/>
  <c r="EG54" i="32"/>
  <c r="ED54" i="32"/>
  <c r="ER54" i="32" s="1"/>
  <c r="CF54" i="32"/>
  <c r="CM54" i="32" s="1"/>
  <c r="CD54" i="32"/>
  <c r="DV54" i="32" s="1"/>
  <c r="CA54" i="32"/>
  <c r="BX54" i="32"/>
  <c r="DG54" i="32" s="1"/>
  <c r="Z54" i="32"/>
  <c r="AH54" i="32" s="1"/>
  <c r="X54" i="32"/>
  <c r="BP54" i="32" s="1"/>
  <c r="U54" i="32"/>
  <c r="R54" i="32"/>
  <c r="BA54" i="32" s="1"/>
  <c r="GZ54" i="32" l="1"/>
  <c r="GY54" i="32"/>
  <c r="H54" i="32"/>
  <c r="E31" i="32" s="1"/>
  <c r="E29" i="32"/>
  <c r="G54" i="32"/>
  <c r="E30" i="32" s="1"/>
  <c r="FA54" i="32"/>
  <c r="CN54" i="32"/>
  <c r="EO54" i="32"/>
  <c r="FM54" i="32"/>
  <c r="ES54" i="32"/>
  <c r="EU54" i="32" s="1"/>
  <c r="GG54" i="32"/>
  <c r="EA54" i="32"/>
  <c r="EW54" i="32" s="1"/>
  <c r="GH54" i="32"/>
  <c r="C55" i="32"/>
  <c r="AF54" i="32"/>
  <c r="AC54" i="32"/>
  <c r="AG54" i="32"/>
  <c r="AO54" i="32"/>
  <c r="CL54" i="32"/>
  <c r="CO54" i="32" s="1"/>
  <c r="CI54" i="32"/>
  <c r="CU54" i="32"/>
  <c r="AS54" i="32" l="1"/>
  <c r="BH54" i="32"/>
  <c r="AJ54" i="32"/>
  <c r="BE54" i="32"/>
  <c r="AD54" i="32"/>
  <c r="AE54" i="32" s="1"/>
  <c r="AV54" i="32"/>
  <c r="EF54" i="32"/>
  <c r="EN54" i="32" s="1"/>
  <c r="T54" i="32"/>
  <c r="AB54" i="32" s="1"/>
  <c r="BZ54" i="32"/>
  <c r="CH54" i="32" s="1"/>
  <c r="FI54" i="32"/>
  <c r="FG54" i="32"/>
  <c r="FS54" i="32"/>
  <c r="AI54" i="32"/>
  <c r="AU54" i="32" s="1"/>
  <c r="FN54" i="32"/>
  <c r="FB54" i="32"/>
  <c r="FU54" i="32"/>
  <c r="EE54" i="32"/>
  <c r="S54" i="32"/>
  <c r="BY54" i="32"/>
  <c r="DM54" i="32"/>
  <c r="DA54" i="32"/>
  <c r="BG54" i="32" l="1"/>
  <c r="FL54" i="32"/>
  <c r="EZ54" i="32"/>
  <c r="FC54" i="32"/>
  <c r="FO54" i="32"/>
  <c r="DF54" i="32"/>
  <c r="DI54" i="32"/>
  <c r="CT54" i="32"/>
  <c r="CW54" i="32"/>
  <c r="AN54" i="32"/>
  <c r="AQ54" i="32"/>
  <c r="BC54" i="32"/>
  <c r="AZ54" i="32"/>
  <c r="L44" i="33" l="1"/>
  <c r="L45" i="33"/>
  <c r="L46" i="33"/>
  <c r="K49" i="33"/>
  <c r="M49" i="33"/>
  <c r="BU75" i="32" s="1"/>
  <c r="DO75" i="32" s="1"/>
  <c r="P49" i="33"/>
  <c r="K50" i="33"/>
  <c r="O54" i="55" s="1"/>
  <c r="M50" i="33"/>
  <c r="BU54" i="55" s="1"/>
  <c r="P50" i="33"/>
  <c r="GI54" i="55" s="1"/>
  <c r="K51" i="33"/>
  <c r="M51" i="33"/>
  <c r="P51" i="33"/>
  <c r="K52" i="33"/>
  <c r="O73" i="55" s="1"/>
  <c r="M52" i="33"/>
  <c r="BU73" i="55" s="1"/>
  <c r="O52" i="33"/>
  <c r="EA73" i="55" s="1"/>
  <c r="P52" i="33"/>
  <c r="GI73" i="55" s="1"/>
  <c r="E76" i="33"/>
  <c r="E77" i="33"/>
  <c r="F78" i="33"/>
  <c r="G78" i="33"/>
  <c r="H78" i="33"/>
  <c r="D69" i="32"/>
  <c r="J73" i="32" s="1"/>
  <c r="CB73" i="32" s="1"/>
  <c r="D70" i="32"/>
  <c r="K73" i="32" s="1"/>
  <c r="W73" i="32" s="1"/>
  <c r="D71" i="32"/>
  <c r="GY73" i="32" s="1"/>
  <c r="D72" i="32"/>
  <c r="GZ73" i="32" s="1"/>
  <c r="C73" i="32"/>
  <c r="GG73" i="32" s="1"/>
  <c r="D73" i="32"/>
  <c r="F73" i="32"/>
  <c r="R73" i="32" s="1"/>
  <c r="G73" i="32"/>
  <c r="S73" i="32" s="1"/>
  <c r="H73" i="32"/>
  <c r="EF73" i="32" s="1"/>
  <c r="I73" i="32"/>
  <c r="U73" i="32" s="1"/>
  <c r="L73" i="32"/>
  <c r="M73" i="32"/>
  <c r="Y73" i="32" s="1"/>
  <c r="BL73" i="32" s="1"/>
  <c r="P73" i="32"/>
  <c r="AD73" i="32" s="1"/>
  <c r="Z73" i="32"/>
  <c r="BV73" i="32"/>
  <c r="CF73" i="32"/>
  <c r="EB73" i="32"/>
  <c r="FQ73" i="32" s="1"/>
  <c r="EL73" i="32"/>
  <c r="ES73" i="32" s="1"/>
  <c r="HL73" i="32"/>
  <c r="HM73" i="32"/>
  <c r="HS73" i="32"/>
  <c r="R75" i="32"/>
  <c r="AF75" i="32" s="1"/>
  <c r="S75" i="32"/>
  <c r="BC75" i="32" s="1"/>
  <c r="T75" i="32"/>
  <c r="U75" i="32"/>
  <c r="V75" i="32"/>
  <c r="W75" i="32"/>
  <c r="X75" i="32"/>
  <c r="BP75" i="32" s="1"/>
  <c r="Y75" i="32"/>
  <c r="BL75" i="32" s="1"/>
  <c r="Z75" i="32"/>
  <c r="AG75" i="32" s="1"/>
  <c r="BX75" i="32"/>
  <c r="CL75" i="32" s="1"/>
  <c r="BY75" i="32"/>
  <c r="BZ75" i="32"/>
  <c r="CA75" i="32"/>
  <c r="CB75" i="32"/>
  <c r="CC75" i="32"/>
  <c r="CD75" i="32"/>
  <c r="DV75" i="32" s="1"/>
  <c r="CE75" i="32"/>
  <c r="DR75" i="32" s="1"/>
  <c r="CF75" i="32"/>
  <c r="CM75" i="32" s="1"/>
  <c r="EA75" i="32"/>
  <c r="FB75" i="32" s="1"/>
  <c r="ED75" i="32"/>
  <c r="ER75" i="32" s="1"/>
  <c r="EE75" i="32"/>
  <c r="FO75" i="32" s="1"/>
  <c r="EF75" i="32"/>
  <c r="EG75" i="32"/>
  <c r="EH75" i="32"/>
  <c r="EI75" i="32"/>
  <c r="EJ75" i="32"/>
  <c r="GB75" i="32" s="1"/>
  <c r="EK75" i="32"/>
  <c r="FY75" i="32" s="1"/>
  <c r="EL75" i="32"/>
  <c r="GG75" i="32"/>
  <c r="GH75" i="32"/>
  <c r="GW75" i="32"/>
  <c r="GY75" i="32"/>
  <c r="GZ75" i="32"/>
  <c r="HA75" i="32"/>
  <c r="HC75" i="32"/>
  <c r="HM75" i="32"/>
  <c r="R76" i="32"/>
  <c r="AC76" i="32" s="1"/>
  <c r="S76" i="32"/>
  <c r="T76" i="32"/>
  <c r="U76" i="32"/>
  <c r="V76" i="32"/>
  <c r="W76" i="32"/>
  <c r="X76" i="32"/>
  <c r="BP76" i="32" s="1"/>
  <c r="Y76" i="32"/>
  <c r="BL76" i="32" s="1"/>
  <c r="Z76" i="32"/>
  <c r="AH76" i="32" s="1"/>
  <c r="BX76" i="32"/>
  <c r="BY76" i="32"/>
  <c r="CW76" i="32" s="1"/>
  <c r="BZ76" i="32"/>
  <c r="CA76" i="32"/>
  <c r="CB76" i="32"/>
  <c r="CC76" i="32"/>
  <c r="CD76" i="32"/>
  <c r="DV76" i="32" s="1"/>
  <c r="CE76" i="32"/>
  <c r="DS76" i="32" s="1"/>
  <c r="CF76" i="32"/>
  <c r="CM76" i="32" s="1"/>
  <c r="EA76" i="32"/>
  <c r="FU76" i="32" s="1"/>
  <c r="ED76" i="32"/>
  <c r="FM76" i="32" s="1"/>
  <c r="EE76" i="32"/>
  <c r="FO76" i="32" s="1"/>
  <c r="EF76" i="32"/>
  <c r="EG76" i="32"/>
  <c r="EH76" i="32"/>
  <c r="EI76" i="32"/>
  <c r="EJ76" i="32"/>
  <c r="GB76" i="32" s="1"/>
  <c r="EK76" i="32"/>
  <c r="FX76" i="32" s="1"/>
  <c r="EL76" i="32"/>
  <c r="ET76" i="32" s="1"/>
  <c r="GG76" i="32"/>
  <c r="GH76" i="32"/>
  <c r="GW76" i="32"/>
  <c r="GY76" i="32"/>
  <c r="GZ76" i="32"/>
  <c r="HA76" i="32"/>
  <c r="HC76" i="32"/>
  <c r="HM76" i="32"/>
  <c r="HC80" i="32"/>
  <c r="G99" i="32"/>
  <c r="G103" i="32"/>
  <c r="G105" i="32"/>
  <c r="G106" i="32"/>
  <c r="G107" i="32"/>
  <c r="G108" i="32"/>
  <c r="G109" i="32"/>
  <c r="G110"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FC75" i="32" l="1"/>
  <c r="FU73" i="55"/>
  <c r="FV73" i="55" s="1"/>
  <c r="EW73" i="55"/>
  <c r="EX73" i="55" s="1"/>
  <c r="EY73" i="55" s="1"/>
  <c r="FB73" i="55"/>
  <c r="FF73" i="55" s="1"/>
  <c r="FN73" i="55"/>
  <c r="FR73" i="55" s="1"/>
  <c r="FI73" i="55"/>
  <c r="FJ73" i="55" s="1"/>
  <c r="AP54" i="55"/>
  <c r="AW54" i="55"/>
  <c r="AK54" i="55"/>
  <c r="BB54" i="55"/>
  <c r="BI54" i="55"/>
  <c r="EB76" i="55"/>
  <c r="EB75" i="55"/>
  <c r="BV75" i="55"/>
  <c r="P75" i="55"/>
  <c r="HL76" i="55"/>
  <c r="BV76" i="55"/>
  <c r="P76" i="55"/>
  <c r="HS75" i="55"/>
  <c r="HL75" i="55"/>
  <c r="HS76" i="55"/>
  <c r="DC73" i="55"/>
  <c r="DD73" i="55" s="1"/>
  <c r="CQ73" i="55"/>
  <c r="CR73" i="55" s="1"/>
  <c r="CS73" i="55" s="1"/>
  <c r="DH73" i="55"/>
  <c r="DL73" i="55" s="1"/>
  <c r="CV73" i="55"/>
  <c r="CZ73" i="55" s="1"/>
  <c r="DO73" i="55"/>
  <c r="DP73" i="55" s="1"/>
  <c r="GI76" i="55"/>
  <c r="GI75" i="55"/>
  <c r="EB54" i="55"/>
  <c r="BV54" i="55"/>
  <c r="BI73" i="55"/>
  <c r="BJ73" i="55" s="1"/>
  <c r="BB73" i="55"/>
  <c r="BF73" i="55" s="1"/>
  <c r="AP73" i="55"/>
  <c r="AT73" i="55" s="1"/>
  <c r="AW73" i="55"/>
  <c r="AX73" i="55" s="1"/>
  <c r="AK73" i="55"/>
  <c r="AL73" i="55" s="1"/>
  <c r="AM73" i="55" s="1"/>
  <c r="BU76" i="32"/>
  <c r="CV76" i="32" s="1"/>
  <c r="BU76" i="55"/>
  <c r="BU75" i="55"/>
  <c r="DH54" i="55"/>
  <c r="CQ54" i="55"/>
  <c r="DC54" i="55"/>
  <c r="DO54" i="55"/>
  <c r="CV54" i="55"/>
  <c r="O76" i="55"/>
  <c r="O75" i="55"/>
  <c r="GI73" i="39"/>
  <c r="GI73" i="37"/>
  <c r="GI71" i="36"/>
  <c r="GI73" i="38"/>
  <c r="BU54" i="39"/>
  <c r="BU54" i="37"/>
  <c r="BU54" i="38"/>
  <c r="BU52" i="36"/>
  <c r="O76" i="37"/>
  <c r="O75" i="37"/>
  <c r="O76" i="39"/>
  <c r="O75" i="39"/>
  <c r="O73" i="36"/>
  <c r="O75" i="38"/>
  <c r="O76" i="38"/>
  <c r="O74" i="36"/>
  <c r="EA71" i="36"/>
  <c r="EA73" i="38"/>
  <c r="EA73" i="39"/>
  <c r="EA73" i="37"/>
  <c r="O54" i="32"/>
  <c r="BI54" i="32" s="1"/>
  <c r="O54" i="38"/>
  <c r="O52" i="36"/>
  <c r="O54" i="39"/>
  <c r="O54" i="37"/>
  <c r="P76" i="32"/>
  <c r="AS76" i="32" s="1"/>
  <c r="P76" i="37"/>
  <c r="HL75" i="37"/>
  <c r="BV75" i="37"/>
  <c r="EB76" i="39"/>
  <c r="P76" i="39"/>
  <c r="P75" i="39"/>
  <c r="EB76" i="38"/>
  <c r="EB76" i="37"/>
  <c r="EB75" i="37"/>
  <c r="BV75" i="39"/>
  <c r="BV76" i="38"/>
  <c r="P76" i="38"/>
  <c r="BV75" i="38"/>
  <c r="P75" i="38"/>
  <c r="BV76" i="39"/>
  <c r="HS75" i="37"/>
  <c r="BV73" i="36"/>
  <c r="HS75" i="39"/>
  <c r="EB74" i="36"/>
  <c r="EB73" i="36"/>
  <c r="P73" i="36"/>
  <c r="BV76" i="37"/>
  <c r="HL74" i="36"/>
  <c r="EB75" i="38"/>
  <c r="P75" i="37"/>
  <c r="P74" i="36"/>
  <c r="BV74" i="36"/>
  <c r="EB75" i="39"/>
  <c r="HS76" i="39"/>
  <c r="HL75" i="38"/>
  <c r="HL76" i="37"/>
  <c r="HS76" i="37"/>
  <c r="HL76" i="39"/>
  <c r="HS75" i="38"/>
  <c r="HS76" i="38"/>
  <c r="HS73" i="36"/>
  <c r="HS74" i="36"/>
  <c r="HL76" i="38"/>
  <c r="HL75" i="39"/>
  <c r="HL73" i="36"/>
  <c r="BU73" i="39"/>
  <c r="BU71" i="36"/>
  <c r="BU73" i="38"/>
  <c r="BU73" i="37"/>
  <c r="GI75" i="32"/>
  <c r="GI76" i="39"/>
  <c r="GI76" i="37"/>
  <c r="GI75" i="38"/>
  <c r="GI75" i="39"/>
  <c r="GI76" i="38"/>
  <c r="GI73" i="36"/>
  <c r="GI75" i="37"/>
  <c r="GI74" i="36"/>
  <c r="BV52" i="36"/>
  <c r="BV54" i="39"/>
  <c r="EB54" i="39"/>
  <c r="EB52" i="36"/>
  <c r="BV54" i="38"/>
  <c r="EB54" i="37"/>
  <c r="HL52" i="36"/>
  <c r="EB54" i="38"/>
  <c r="BV54" i="37"/>
  <c r="HS52" i="36"/>
  <c r="O73" i="39"/>
  <c r="O73" i="38"/>
  <c r="O73" i="37"/>
  <c r="O71" i="36"/>
  <c r="GI54" i="37"/>
  <c r="GI54" i="39"/>
  <c r="GI52" i="36"/>
  <c r="GI54" i="38"/>
  <c r="BU76" i="39"/>
  <c r="BU76" i="37"/>
  <c r="BU75" i="37"/>
  <c r="BU74" i="36"/>
  <c r="BU76" i="38"/>
  <c r="BU73" i="36"/>
  <c r="BU75" i="39"/>
  <c r="BU75" i="38"/>
  <c r="BU54" i="32"/>
  <c r="DC54" i="32" s="1"/>
  <c r="BV75" i="32"/>
  <c r="DB75" i="32" s="1"/>
  <c r="BV54" i="32"/>
  <c r="EB54" i="32"/>
  <c r="GI54" i="32"/>
  <c r="EB75" i="32"/>
  <c r="EV75" i="32" s="1"/>
  <c r="GI76" i="32"/>
  <c r="EB76" i="32"/>
  <c r="FE76" i="32" s="1"/>
  <c r="P75" i="32"/>
  <c r="AV75" i="32" s="1"/>
  <c r="E78" i="33"/>
  <c r="BV76" i="32"/>
  <c r="DB76" i="32" s="1"/>
  <c r="FC76" i="32"/>
  <c r="AQ75" i="32"/>
  <c r="FI75" i="32"/>
  <c r="EG73" i="32"/>
  <c r="EN73" i="32" s="1"/>
  <c r="EA73" i="32"/>
  <c r="EW73" i="32" s="1"/>
  <c r="GW73" i="32"/>
  <c r="HG73" i="32" s="1"/>
  <c r="EE73" i="32"/>
  <c r="FO73" i="32" s="1"/>
  <c r="CE73" i="32"/>
  <c r="DR73" i="32" s="1"/>
  <c r="AF76" i="32"/>
  <c r="ED73" i="32"/>
  <c r="ER73" i="32" s="1"/>
  <c r="EU73" i="32" s="1"/>
  <c r="CN75" i="32"/>
  <c r="DG75" i="32"/>
  <c r="BX73" i="32"/>
  <c r="DG73" i="32" s="1"/>
  <c r="CU75" i="32"/>
  <c r="FY76" i="32"/>
  <c r="BM76" i="32"/>
  <c r="AO76" i="32"/>
  <c r="AO75" i="32"/>
  <c r="CA73" i="32"/>
  <c r="BE73" i="32"/>
  <c r="AG76" i="32"/>
  <c r="FM75" i="32"/>
  <c r="AC75" i="32"/>
  <c r="EW76" i="32"/>
  <c r="DR76" i="32"/>
  <c r="CH76" i="32"/>
  <c r="BA76" i="32"/>
  <c r="AN76" i="32"/>
  <c r="EZ75" i="32"/>
  <c r="AH75" i="32"/>
  <c r="HA73" i="32"/>
  <c r="ET73" i="32"/>
  <c r="EK73" i="32"/>
  <c r="FY73" i="32" s="1"/>
  <c r="BY73" i="32"/>
  <c r="DF75" i="32"/>
  <c r="BA75" i="32"/>
  <c r="AI75" i="32"/>
  <c r="BG75" i="32" s="1"/>
  <c r="CN76" i="32"/>
  <c r="FX75" i="32"/>
  <c r="EN75" i="32"/>
  <c r="FL75" i="32"/>
  <c r="DS75" i="32"/>
  <c r="CI75" i="32"/>
  <c r="AS73" i="32"/>
  <c r="DF76" i="32"/>
  <c r="AB76" i="32"/>
  <c r="BH73" i="32"/>
  <c r="AJ73" i="32"/>
  <c r="FN76" i="32"/>
  <c r="ES76" i="32"/>
  <c r="AV73" i="32"/>
  <c r="FB76" i="32"/>
  <c r="DO76" i="32"/>
  <c r="FU75" i="32"/>
  <c r="HC73" i="32"/>
  <c r="O76" i="32"/>
  <c r="BB76" i="32" s="1"/>
  <c r="O75" i="32"/>
  <c r="AP75" i="32" s="1"/>
  <c r="HG75" i="32"/>
  <c r="HT75" i="32"/>
  <c r="HL75" i="32"/>
  <c r="HS75" i="32"/>
  <c r="FI76" i="32"/>
  <c r="EW75" i="32"/>
  <c r="HG76" i="32"/>
  <c r="HT76" i="32"/>
  <c r="HL76" i="32"/>
  <c r="HS76" i="32"/>
  <c r="CP73" i="32"/>
  <c r="DB73" i="32"/>
  <c r="DN73" i="32"/>
  <c r="CY73" i="32"/>
  <c r="DK73" i="32"/>
  <c r="CJ73" i="32"/>
  <c r="AQ73" i="32"/>
  <c r="BC73" i="32"/>
  <c r="X73" i="32"/>
  <c r="BP73" i="32" s="1"/>
  <c r="CD73" i="32"/>
  <c r="DV73" i="32" s="1"/>
  <c r="EJ73" i="32"/>
  <c r="GB73" i="32" s="1"/>
  <c r="CI76" i="32"/>
  <c r="CU76" i="32"/>
  <c r="DG76" i="32"/>
  <c r="CL76" i="32"/>
  <c r="CO76" i="32" s="1"/>
  <c r="AZ76" i="32"/>
  <c r="BC76" i="32"/>
  <c r="AQ76" i="32"/>
  <c r="ER76" i="32"/>
  <c r="EO76" i="32"/>
  <c r="FA76" i="32"/>
  <c r="CT76" i="32"/>
  <c r="DI76" i="32"/>
  <c r="CH75" i="32"/>
  <c r="CT75" i="32"/>
  <c r="CV75" i="32"/>
  <c r="DH75" i="32"/>
  <c r="CQ75" i="32"/>
  <c r="DC75" i="32"/>
  <c r="EV73" i="32"/>
  <c r="FH73" i="32"/>
  <c r="FT73" i="32"/>
  <c r="EP73" i="32"/>
  <c r="FE73" i="32"/>
  <c r="EN76" i="32"/>
  <c r="EZ76" i="32"/>
  <c r="FL76" i="32"/>
  <c r="ES75" i="32"/>
  <c r="EU75" i="32" s="1"/>
  <c r="FG75" i="32" s="1"/>
  <c r="ET75" i="32"/>
  <c r="EO75" i="32"/>
  <c r="FA75" i="32"/>
  <c r="CM73" i="32"/>
  <c r="CN73" i="32"/>
  <c r="AC73" i="32"/>
  <c r="AE73" i="32" s="1"/>
  <c r="AO73" i="32"/>
  <c r="BA73" i="32"/>
  <c r="CC73" i="32"/>
  <c r="EI73" i="32"/>
  <c r="BM75" i="32"/>
  <c r="AB75" i="32"/>
  <c r="AN75" i="32"/>
  <c r="AZ75" i="32"/>
  <c r="AF73" i="32"/>
  <c r="AG73" i="32"/>
  <c r="AH73" i="32"/>
  <c r="T73" i="32"/>
  <c r="AZ73" i="32" s="1"/>
  <c r="BZ73" i="32"/>
  <c r="O73" i="32"/>
  <c r="GH73" i="32"/>
  <c r="BU73" i="32"/>
  <c r="GI73" i="32"/>
  <c r="EH73" i="32"/>
  <c r="V73" i="32"/>
  <c r="CO75" i="32"/>
  <c r="CW75" i="32"/>
  <c r="DI75" i="32"/>
  <c r="BM73" i="32"/>
  <c r="FN75" i="32"/>
  <c r="DH76" i="32" l="1"/>
  <c r="DC76" i="32"/>
  <c r="BK73" i="55"/>
  <c r="CQ76" i="32"/>
  <c r="DQ73" i="55"/>
  <c r="BI75" i="55"/>
  <c r="BB75" i="55"/>
  <c r="AP75" i="55"/>
  <c r="AW75" i="55"/>
  <c r="AK75" i="55"/>
  <c r="DC76" i="55"/>
  <c r="CQ76" i="55"/>
  <c r="DO76" i="55"/>
  <c r="DH76" i="55"/>
  <c r="CV76" i="55"/>
  <c r="AY73" i="55"/>
  <c r="FT54" i="55"/>
  <c r="EV54" i="55"/>
  <c r="FQ54" i="55"/>
  <c r="FH54" i="55"/>
  <c r="EP54" i="55"/>
  <c r="EQ54" i="55" s="1"/>
  <c r="FE54" i="55"/>
  <c r="DE73" i="55"/>
  <c r="CJ76" i="55"/>
  <c r="CK76" i="55" s="1"/>
  <c r="CP76" i="55"/>
  <c r="DK76" i="55"/>
  <c r="CY76" i="55"/>
  <c r="DN76" i="55"/>
  <c r="DB76" i="55"/>
  <c r="FQ75" i="55"/>
  <c r="FR75" i="55" s="1"/>
  <c r="FH75" i="55"/>
  <c r="FJ75" i="55" s="1"/>
  <c r="FE75" i="55"/>
  <c r="FF75" i="55" s="1"/>
  <c r="EV75" i="55"/>
  <c r="EX75" i="55" s="1"/>
  <c r="FT75" i="55"/>
  <c r="FV75" i="55" s="1"/>
  <c r="EP75" i="55"/>
  <c r="EQ75" i="55" s="1"/>
  <c r="FW73" i="55"/>
  <c r="BI76" i="55"/>
  <c r="AP76" i="55"/>
  <c r="BB76" i="55"/>
  <c r="AW76" i="55"/>
  <c r="AK76" i="55"/>
  <c r="EP76" i="55"/>
  <c r="EQ76" i="55" s="1"/>
  <c r="EV76" i="55"/>
  <c r="EX76" i="55" s="1"/>
  <c r="FH76" i="55"/>
  <c r="FJ76" i="55" s="1"/>
  <c r="FT76" i="55"/>
  <c r="FV76" i="55" s="1"/>
  <c r="FQ76" i="55"/>
  <c r="FR76" i="55" s="1"/>
  <c r="FE76" i="55"/>
  <c r="FF76" i="55" s="1"/>
  <c r="FK73" i="55"/>
  <c r="AD75" i="55"/>
  <c r="AE75" i="55" s="1"/>
  <c r="AJ75" i="55"/>
  <c r="AV75" i="55"/>
  <c r="BH75" i="55"/>
  <c r="BE75" i="55"/>
  <c r="AS75" i="55"/>
  <c r="DO75" i="55"/>
  <c r="CV75" i="55"/>
  <c r="DH75" i="55"/>
  <c r="CQ75" i="55"/>
  <c r="DC75" i="55"/>
  <c r="DB54" i="55"/>
  <c r="DK54" i="55"/>
  <c r="CY54" i="55"/>
  <c r="CP54" i="55"/>
  <c r="DN54" i="55"/>
  <c r="CJ54" i="55"/>
  <c r="CK54" i="55" s="1"/>
  <c r="AD76" i="55"/>
  <c r="AE76" i="55" s="1"/>
  <c r="AS76" i="55"/>
  <c r="AJ76" i="55"/>
  <c r="BH76" i="55"/>
  <c r="BJ76" i="55" s="1"/>
  <c r="BE76" i="55"/>
  <c r="AV76" i="55"/>
  <c r="CJ75" i="55"/>
  <c r="CK75" i="55" s="1"/>
  <c r="DB75" i="55"/>
  <c r="DK75" i="55"/>
  <c r="CP75" i="55"/>
  <c r="CY75" i="55"/>
  <c r="DN75" i="55"/>
  <c r="CP75" i="32"/>
  <c r="CR75" i="32" s="1"/>
  <c r="CJ75" i="32"/>
  <c r="CK75" i="32" s="1"/>
  <c r="CY75" i="32"/>
  <c r="EO73" i="32"/>
  <c r="EQ73" i="32" s="1"/>
  <c r="BE76" i="32"/>
  <c r="AD76" i="32"/>
  <c r="AE76" i="32" s="1"/>
  <c r="AV76" i="32"/>
  <c r="BH76" i="32"/>
  <c r="BB54" i="32"/>
  <c r="AW54" i="32"/>
  <c r="AP54" i="32"/>
  <c r="DO54" i="32"/>
  <c r="AK54" i="32"/>
  <c r="DN75" i="32"/>
  <c r="AJ76" i="32"/>
  <c r="DK75" i="32"/>
  <c r="DC75" i="39"/>
  <c r="CQ75" i="39"/>
  <c r="DH75" i="39"/>
  <c r="CV75" i="39"/>
  <c r="DO75" i="39"/>
  <c r="CQ75" i="37"/>
  <c r="CV75" i="37"/>
  <c r="DO75" i="37"/>
  <c r="DC75" i="37"/>
  <c r="DH75" i="37"/>
  <c r="BI73" i="37"/>
  <c r="BJ73" i="37" s="1"/>
  <c r="AP73" i="37"/>
  <c r="AT73" i="37" s="1"/>
  <c r="AW73" i="37"/>
  <c r="AX73" i="37" s="1"/>
  <c r="AK73" i="37"/>
  <c r="AL73" i="37" s="1"/>
  <c r="AM73" i="37" s="1"/>
  <c r="BB73" i="37"/>
  <c r="BF73" i="37" s="1"/>
  <c r="DK54" i="37"/>
  <c r="CP54" i="37"/>
  <c r="CY54" i="37"/>
  <c r="CJ54" i="37"/>
  <c r="CK54" i="37" s="1"/>
  <c r="DN54" i="37"/>
  <c r="DB54" i="37"/>
  <c r="DN54" i="38"/>
  <c r="DK54" i="38"/>
  <c r="DB54" i="38"/>
  <c r="CJ54" i="38"/>
  <c r="CK54" i="38" s="1"/>
  <c r="CP54" i="38"/>
  <c r="CY54" i="38"/>
  <c r="CP52" i="36"/>
  <c r="CY52" i="36"/>
  <c r="DK52" i="36"/>
  <c r="DN52" i="36"/>
  <c r="DB52" i="36"/>
  <c r="CJ52" i="36"/>
  <c r="CK52" i="36" s="1"/>
  <c r="DC71" i="36"/>
  <c r="DD71" i="36" s="1"/>
  <c r="DO71" i="36"/>
  <c r="DP71" i="36" s="1"/>
  <c r="CQ71" i="36"/>
  <c r="CR71" i="36" s="1"/>
  <c r="CS71" i="36" s="1"/>
  <c r="DH71" i="36"/>
  <c r="DL71" i="36" s="1"/>
  <c r="CV71" i="36"/>
  <c r="CZ71" i="36" s="1"/>
  <c r="AS74" i="36"/>
  <c r="AD74" i="36"/>
  <c r="AE74" i="36" s="1"/>
  <c r="AJ74" i="36"/>
  <c r="BE74" i="36"/>
  <c r="BH74" i="36"/>
  <c r="AV74" i="36"/>
  <c r="DK76" i="37"/>
  <c r="CJ76" i="37"/>
  <c r="CK76" i="37" s="1"/>
  <c r="CY76" i="37"/>
  <c r="DN76" i="37"/>
  <c r="DB76" i="37"/>
  <c r="CP76" i="37"/>
  <c r="AD75" i="38"/>
  <c r="AE75" i="38" s="1"/>
  <c r="BE75" i="38"/>
  <c r="AS75" i="38"/>
  <c r="BH75" i="38"/>
  <c r="AV75" i="38"/>
  <c r="AJ75" i="38"/>
  <c r="CJ75" i="39"/>
  <c r="CK75" i="39" s="1"/>
  <c r="DN75" i="39"/>
  <c r="DK75" i="39"/>
  <c r="DB75" i="39"/>
  <c r="CY75" i="39"/>
  <c r="CP75" i="39"/>
  <c r="AJ75" i="39"/>
  <c r="BE75" i="39"/>
  <c r="AD75" i="39"/>
  <c r="AE75" i="39" s="1"/>
  <c r="BH75" i="39"/>
  <c r="AS75" i="39"/>
  <c r="AV75" i="39"/>
  <c r="AK54" i="39"/>
  <c r="BB54" i="39"/>
  <c r="AP54" i="39"/>
  <c r="AW54" i="39"/>
  <c r="BI54" i="39"/>
  <c r="FU73" i="37"/>
  <c r="FV73" i="37" s="1"/>
  <c r="FI73" i="37"/>
  <c r="FJ73" i="37" s="1"/>
  <c r="FB73" i="37"/>
  <c r="FF73" i="37" s="1"/>
  <c r="FN73" i="37"/>
  <c r="FR73" i="37" s="1"/>
  <c r="EW73" i="37"/>
  <c r="EX73" i="37" s="1"/>
  <c r="EY73" i="37" s="1"/>
  <c r="AW74" i="36"/>
  <c r="BB74" i="36"/>
  <c r="BI74" i="36"/>
  <c r="AK74" i="36"/>
  <c r="AP74" i="36"/>
  <c r="BI75" i="39"/>
  <c r="AW75" i="39"/>
  <c r="AP75" i="39"/>
  <c r="AK75" i="39"/>
  <c r="BB75" i="39"/>
  <c r="CV52" i="36"/>
  <c r="CQ52" i="36"/>
  <c r="DC52" i="36"/>
  <c r="DH52" i="36"/>
  <c r="DO52" i="36"/>
  <c r="DO73" i="36"/>
  <c r="DH73" i="36"/>
  <c r="CV73" i="36"/>
  <c r="CQ73" i="36"/>
  <c r="DC73" i="36"/>
  <c r="CQ76" i="37"/>
  <c r="DO76" i="37"/>
  <c r="DH76" i="37"/>
  <c r="DC76" i="37"/>
  <c r="CV76" i="37"/>
  <c r="AK73" i="38"/>
  <c r="AL73" i="38" s="1"/>
  <c r="AM73" i="38" s="1"/>
  <c r="BI73" i="38"/>
  <c r="BJ73" i="38" s="1"/>
  <c r="BB73" i="38"/>
  <c r="BF73" i="38" s="1"/>
  <c r="AW73" i="38"/>
  <c r="AX73" i="38" s="1"/>
  <c r="AP73" i="38"/>
  <c r="AT73" i="38" s="1"/>
  <c r="FT54" i="38"/>
  <c r="FE54" i="38"/>
  <c r="FH54" i="38"/>
  <c r="EV54" i="38"/>
  <c r="FQ54" i="38"/>
  <c r="EP54" i="38"/>
  <c r="EQ54" i="38" s="1"/>
  <c r="EP52" i="36"/>
  <c r="EQ52" i="36" s="1"/>
  <c r="EV52" i="36"/>
  <c r="EX52" i="36" s="1"/>
  <c r="FT52" i="36"/>
  <c r="FV52" i="36" s="1"/>
  <c r="FH52" i="36"/>
  <c r="FJ52" i="36" s="1"/>
  <c r="FQ52" i="36"/>
  <c r="FR52" i="36" s="1"/>
  <c r="FE52" i="36"/>
  <c r="FF52" i="36" s="1"/>
  <c r="CQ73" i="39"/>
  <c r="CR73" i="39" s="1"/>
  <c r="CS73" i="39" s="1"/>
  <c r="DH73" i="39"/>
  <c r="DL73" i="39" s="1"/>
  <c r="DC73" i="39"/>
  <c r="DD73" i="39" s="1"/>
  <c r="CV73" i="39"/>
  <c r="CZ73" i="39" s="1"/>
  <c r="DO73" i="39"/>
  <c r="DP73" i="39" s="1"/>
  <c r="AJ75" i="37"/>
  <c r="AD75" i="37"/>
  <c r="AE75" i="37" s="1"/>
  <c r="BE75" i="37"/>
  <c r="AV75" i="37"/>
  <c r="AS75" i="37"/>
  <c r="BH75" i="37"/>
  <c r="AJ73" i="36"/>
  <c r="BH73" i="36"/>
  <c r="BE73" i="36"/>
  <c r="AV73" i="36"/>
  <c r="AS73" i="36"/>
  <c r="AD73" i="36"/>
  <c r="AE73" i="36" s="1"/>
  <c r="CJ73" i="36"/>
  <c r="CK73" i="36" s="1"/>
  <c r="DB73" i="36"/>
  <c r="DK73" i="36"/>
  <c r="CP73" i="36"/>
  <c r="CY73" i="36"/>
  <c r="DN73" i="36"/>
  <c r="CJ75" i="38"/>
  <c r="CK75" i="38" s="1"/>
  <c r="DB75" i="38"/>
  <c r="DN75" i="38"/>
  <c r="CP75" i="38"/>
  <c r="CY75" i="38"/>
  <c r="DK75" i="38"/>
  <c r="EP75" i="37"/>
  <c r="EQ75" i="37" s="1"/>
  <c r="FE75" i="37"/>
  <c r="FF75" i="37" s="1"/>
  <c r="FT75" i="37"/>
  <c r="FV75" i="37" s="1"/>
  <c r="FH75" i="37"/>
  <c r="FJ75" i="37" s="1"/>
  <c r="FQ75" i="37"/>
  <c r="FR75" i="37" s="1"/>
  <c r="EV75" i="37"/>
  <c r="EX75" i="37" s="1"/>
  <c r="AS76" i="39"/>
  <c r="AD76" i="39"/>
  <c r="AE76" i="39" s="1"/>
  <c r="AJ76" i="39"/>
  <c r="BH76" i="39"/>
  <c r="BE76" i="39"/>
  <c r="AV76" i="39"/>
  <c r="AD76" i="37"/>
  <c r="AE76" i="37" s="1"/>
  <c r="BH76" i="37"/>
  <c r="AV76" i="37"/>
  <c r="BE76" i="37"/>
  <c r="AJ76" i="37"/>
  <c r="AS76" i="37"/>
  <c r="BB52" i="36"/>
  <c r="BF52" i="36" s="1"/>
  <c r="BI52" i="36"/>
  <c r="BJ52" i="36" s="1"/>
  <c r="AP52" i="36"/>
  <c r="AT52" i="36" s="1"/>
  <c r="AW52" i="36"/>
  <c r="AX52" i="36" s="1"/>
  <c r="AK52" i="36"/>
  <c r="AL52" i="36" s="1"/>
  <c r="AM52" i="36" s="1"/>
  <c r="FB73" i="39"/>
  <c r="FF73" i="39" s="1"/>
  <c r="EW73" i="39"/>
  <c r="EX73" i="39" s="1"/>
  <c r="EY73" i="39" s="1"/>
  <c r="FU73" i="39"/>
  <c r="FV73" i="39" s="1"/>
  <c r="FN73" i="39"/>
  <c r="FR73" i="39" s="1"/>
  <c r="FI73" i="39"/>
  <c r="FJ73" i="39" s="1"/>
  <c r="BI76" i="38"/>
  <c r="BB76" i="38"/>
  <c r="AP76" i="38"/>
  <c r="AW76" i="38"/>
  <c r="AK76" i="38"/>
  <c r="BI76" i="39"/>
  <c r="AP76" i="39"/>
  <c r="BB76" i="39"/>
  <c r="AK76" i="39"/>
  <c r="AW76" i="39"/>
  <c r="DH54" i="38"/>
  <c r="DC54" i="38"/>
  <c r="CV54" i="38"/>
  <c r="DO54" i="38"/>
  <c r="CQ54" i="38"/>
  <c r="DH76" i="38"/>
  <c r="DC76" i="38"/>
  <c r="CV76" i="38"/>
  <c r="DO76" i="38"/>
  <c r="CQ76" i="38"/>
  <c r="DO76" i="39"/>
  <c r="CQ76" i="39"/>
  <c r="DH76" i="39"/>
  <c r="DC76" i="39"/>
  <c r="CV76" i="39"/>
  <c r="AW73" i="39"/>
  <c r="AX73" i="39" s="1"/>
  <c r="AP73" i="39"/>
  <c r="AT73" i="39" s="1"/>
  <c r="BI73" i="39"/>
  <c r="BJ73" i="39" s="1"/>
  <c r="BB73" i="39"/>
  <c r="BF73" i="39" s="1"/>
  <c r="AK73" i="39"/>
  <c r="AL73" i="39" s="1"/>
  <c r="AM73" i="39" s="1"/>
  <c r="FH54" i="39"/>
  <c r="FQ54" i="39"/>
  <c r="EV54" i="39"/>
  <c r="FE54" i="39"/>
  <c r="EP54" i="39"/>
  <c r="EQ54" i="39" s="1"/>
  <c r="FT54" i="39"/>
  <c r="CQ73" i="37"/>
  <c r="CR73" i="37" s="1"/>
  <c r="CS73" i="37" s="1"/>
  <c r="DH73" i="37"/>
  <c r="DL73" i="37" s="1"/>
  <c r="DO73" i="37"/>
  <c r="DP73" i="37" s="1"/>
  <c r="DC73" i="37"/>
  <c r="DD73" i="37" s="1"/>
  <c r="CV73" i="37"/>
  <c r="CZ73" i="37" s="1"/>
  <c r="FT75" i="39"/>
  <c r="FV75" i="39" s="1"/>
  <c r="EP75" i="39"/>
  <c r="EQ75" i="39" s="1"/>
  <c r="FH75" i="39"/>
  <c r="FJ75" i="39" s="1"/>
  <c r="FE75" i="39"/>
  <c r="FF75" i="39" s="1"/>
  <c r="EV75" i="39"/>
  <c r="EX75" i="39" s="1"/>
  <c r="FQ75" i="39"/>
  <c r="FR75" i="39" s="1"/>
  <c r="FE75" i="38"/>
  <c r="FF75" i="38" s="1"/>
  <c r="EP75" i="38"/>
  <c r="EQ75" i="38" s="1"/>
  <c r="FT75" i="38"/>
  <c r="FV75" i="38" s="1"/>
  <c r="FH75" i="38"/>
  <c r="FJ75" i="38" s="1"/>
  <c r="FQ75" i="38"/>
  <c r="FR75" i="38" s="1"/>
  <c r="EV75" i="38"/>
  <c r="EX75" i="38" s="1"/>
  <c r="EP73" i="36"/>
  <c r="EQ73" i="36" s="1"/>
  <c r="FT73" i="36"/>
  <c r="FV73" i="36" s="1"/>
  <c r="FH73" i="36"/>
  <c r="FJ73" i="36" s="1"/>
  <c r="EV73" i="36"/>
  <c r="EX73" i="36" s="1"/>
  <c r="FQ73" i="36"/>
  <c r="FR73" i="36" s="1"/>
  <c r="FE73" i="36"/>
  <c r="FF73" i="36" s="1"/>
  <c r="BE76" i="38"/>
  <c r="AJ76" i="38"/>
  <c r="AL76" i="38" s="1"/>
  <c r="AS76" i="38"/>
  <c r="AD76" i="38"/>
  <c r="AE76" i="38" s="1"/>
  <c r="BH76" i="38"/>
  <c r="AV76" i="38"/>
  <c r="EP76" i="37"/>
  <c r="EQ76" i="37" s="1"/>
  <c r="FQ76" i="37"/>
  <c r="FR76" i="37" s="1"/>
  <c r="FH76" i="37"/>
  <c r="FJ76" i="37" s="1"/>
  <c r="EV76" i="37"/>
  <c r="EX76" i="37" s="1"/>
  <c r="FE76" i="37"/>
  <c r="FF76" i="37" s="1"/>
  <c r="FT76" i="37"/>
  <c r="FV76" i="37" s="1"/>
  <c r="FQ76" i="39"/>
  <c r="FR76" i="39" s="1"/>
  <c r="EV76" i="39"/>
  <c r="EX76" i="39" s="1"/>
  <c r="EP76" i="39"/>
  <c r="EQ76" i="39" s="1"/>
  <c r="FT76" i="39"/>
  <c r="FV76" i="39" s="1"/>
  <c r="FE76" i="39"/>
  <c r="FF76" i="39" s="1"/>
  <c r="FH76" i="39"/>
  <c r="FJ76" i="39" s="1"/>
  <c r="AP54" i="38"/>
  <c r="BI54" i="38"/>
  <c r="BB54" i="38"/>
  <c r="AW54" i="38"/>
  <c r="AK54" i="38"/>
  <c r="FU73" i="38"/>
  <c r="FV73" i="38" s="1"/>
  <c r="FI73" i="38"/>
  <c r="FJ73" i="38" s="1"/>
  <c r="FN73" i="38"/>
  <c r="FR73" i="38" s="1"/>
  <c r="EW73" i="38"/>
  <c r="EX73" i="38" s="1"/>
  <c r="EY73" i="38" s="1"/>
  <c r="FB73" i="38"/>
  <c r="FF73" i="38" s="1"/>
  <c r="AW75" i="38"/>
  <c r="AK75" i="38"/>
  <c r="BB75" i="38"/>
  <c r="AP75" i="38"/>
  <c r="BI75" i="38"/>
  <c r="BI75" i="37"/>
  <c r="AK75" i="37"/>
  <c r="AP75" i="37"/>
  <c r="AW75" i="37"/>
  <c r="BB75" i="37"/>
  <c r="DC54" i="37"/>
  <c r="CQ54" i="37"/>
  <c r="DO54" i="37"/>
  <c r="CV54" i="37"/>
  <c r="DH54" i="37"/>
  <c r="DO75" i="38"/>
  <c r="DH75" i="38"/>
  <c r="CV75" i="38"/>
  <c r="DC75" i="38"/>
  <c r="CQ75" i="38"/>
  <c r="DC74" i="36"/>
  <c r="CQ74" i="36"/>
  <c r="DH74" i="36"/>
  <c r="DO74" i="36"/>
  <c r="CV74" i="36"/>
  <c r="AP71" i="36"/>
  <c r="AT71" i="36" s="1"/>
  <c r="BI71" i="36"/>
  <c r="BJ71" i="36" s="1"/>
  <c r="BB71" i="36"/>
  <c r="BF71" i="36" s="1"/>
  <c r="AW71" i="36"/>
  <c r="AX71" i="36" s="1"/>
  <c r="AK71" i="36"/>
  <c r="AL71" i="36" s="1"/>
  <c r="AM71" i="36" s="1"/>
  <c r="FQ54" i="37"/>
  <c r="FT54" i="37"/>
  <c r="FH54" i="37"/>
  <c r="FE54" i="37"/>
  <c r="EV54" i="37"/>
  <c r="EP54" i="37"/>
  <c r="EQ54" i="37" s="1"/>
  <c r="CP54" i="39"/>
  <c r="DB54" i="39"/>
  <c r="DK54" i="39"/>
  <c r="CY54" i="39"/>
  <c r="CJ54" i="39"/>
  <c r="CK54" i="39" s="1"/>
  <c r="DN54" i="39"/>
  <c r="DC73" i="38"/>
  <c r="DD73" i="38" s="1"/>
  <c r="DH73" i="38"/>
  <c r="DL73" i="38" s="1"/>
  <c r="CQ73" i="38"/>
  <c r="CR73" i="38" s="1"/>
  <c r="CS73" i="38" s="1"/>
  <c r="CV73" i="38"/>
  <c r="CZ73" i="38" s="1"/>
  <c r="DO73" i="38"/>
  <c r="DP73" i="38" s="1"/>
  <c r="CJ74" i="36"/>
  <c r="CK74" i="36" s="1"/>
  <c r="CP74" i="36"/>
  <c r="DN74" i="36"/>
  <c r="DB74" i="36"/>
  <c r="DK74" i="36"/>
  <c r="CY74" i="36"/>
  <c r="EP74" i="36"/>
  <c r="EQ74" i="36" s="1"/>
  <c r="EV74" i="36"/>
  <c r="EX74" i="36" s="1"/>
  <c r="FH74" i="36"/>
  <c r="FJ74" i="36" s="1"/>
  <c r="FT74" i="36"/>
  <c r="FV74" i="36" s="1"/>
  <c r="FQ74" i="36"/>
  <c r="FR74" i="36" s="1"/>
  <c r="FE74" i="36"/>
  <c r="FF74" i="36" s="1"/>
  <c r="CY76" i="39"/>
  <c r="CJ76" i="39"/>
  <c r="CK76" i="39" s="1"/>
  <c r="DK76" i="39"/>
  <c r="DN76" i="39"/>
  <c r="DB76" i="39"/>
  <c r="CP76" i="39"/>
  <c r="CY76" i="38"/>
  <c r="DK76" i="38"/>
  <c r="CP76" i="38"/>
  <c r="CJ76" i="38"/>
  <c r="CK76" i="38" s="1"/>
  <c r="DN76" i="38"/>
  <c r="DB76" i="38"/>
  <c r="EP76" i="38"/>
  <c r="EQ76" i="38" s="1"/>
  <c r="FT76" i="38"/>
  <c r="FV76" i="38" s="1"/>
  <c r="FH76" i="38"/>
  <c r="FJ76" i="38" s="1"/>
  <c r="EV76" i="38"/>
  <c r="EX76" i="38" s="1"/>
  <c r="FQ76" i="38"/>
  <c r="FR76" i="38" s="1"/>
  <c r="FE76" i="38"/>
  <c r="FF76" i="38" s="1"/>
  <c r="CJ75" i="37"/>
  <c r="CK75" i="37" s="1"/>
  <c r="DB75" i="37"/>
  <c r="CP75" i="37"/>
  <c r="CY75" i="37"/>
  <c r="DN75" i="37"/>
  <c r="DK75" i="37"/>
  <c r="BI54" i="37"/>
  <c r="AW54" i="37"/>
  <c r="AK54" i="37"/>
  <c r="BB54" i="37"/>
  <c r="AP54" i="37"/>
  <c r="EW71" i="36"/>
  <c r="EX71" i="36" s="1"/>
  <c r="EY71" i="36" s="1"/>
  <c r="FN71" i="36"/>
  <c r="FR71" i="36" s="1"/>
  <c r="FU71" i="36"/>
  <c r="FV71" i="36" s="1"/>
  <c r="FB71" i="36"/>
  <c r="FF71" i="36" s="1"/>
  <c r="FI71" i="36"/>
  <c r="FJ71" i="36" s="1"/>
  <c r="BI73" i="36"/>
  <c r="BB73" i="36"/>
  <c r="AP73" i="36"/>
  <c r="AT73" i="36" s="1"/>
  <c r="AK73" i="36"/>
  <c r="AW73" i="36"/>
  <c r="BI76" i="37"/>
  <c r="AP76" i="37"/>
  <c r="BB76" i="37"/>
  <c r="AK76" i="37"/>
  <c r="AW76" i="37"/>
  <c r="CV54" i="39"/>
  <c r="DH54" i="39"/>
  <c r="DC54" i="39"/>
  <c r="CQ54" i="39"/>
  <c r="DO54" i="39"/>
  <c r="CQ54" i="32"/>
  <c r="DH54" i="32"/>
  <c r="CV54" i="32"/>
  <c r="AD75" i="32"/>
  <c r="AE75" i="32" s="1"/>
  <c r="BE75" i="32"/>
  <c r="AJ75" i="32"/>
  <c r="FT75" i="32"/>
  <c r="DK76" i="32"/>
  <c r="FQ75" i="32"/>
  <c r="FT76" i="32"/>
  <c r="FQ76" i="32"/>
  <c r="FH76" i="32"/>
  <c r="EP76" i="32"/>
  <c r="EQ76" i="32" s="1"/>
  <c r="EV76" i="32"/>
  <c r="EP75" i="32"/>
  <c r="EQ75" i="32" s="1"/>
  <c r="FE75" i="32"/>
  <c r="HT73" i="32"/>
  <c r="DN76" i="32"/>
  <c r="FH75" i="32"/>
  <c r="FJ75" i="32" s="1"/>
  <c r="AS75" i="32"/>
  <c r="BH75" i="32"/>
  <c r="DS73" i="32"/>
  <c r="CJ76" i="32"/>
  <c r="CK76" i="32" s="1"/>
  <c r="DK54" i="32"/>
  <c r="DB54" i="32"/>
  <c r="CY54" i="32"/>
  <c r="CP54" i="32"/>
  <c r="DN54" i="32"/>
  <c r="CJ54" i="32"/>
  <c r="CK54" i="32" s="1"/>
  <c r="CP76" i="32"/>
  <c r="FT54" i="32"/>
  <c r="FE54" i="32"/>
  <c r="FH54" i="32"/>
  <c r="EV54" i="32"/>
  <c r="FQ54" i="32"/>
  <c r="EP54" i="32"/>
  <c r="EQ54" i="32" s="1"/>
  <c r="CY76" i="32"/>
  <c r="AP76" i="32"/>
  <c r="AW75" i="32"/>
  <c r="CU73" i="32"/>
  <c r="AU75" i="32"/>
  <c r="FN73" i="32"/>
  <c r="FU73" i="32"/>
  <c r="AW76" i="32"/>
  <c r="BI76" i="32"/>
  <c r="FB73" i="32"/>
  <c r="FI73" i="32"/>
  <c r="FG73" i="32"/>
  <c r="FS73" i="32"/>
  <c r="EX73" i="32"/>
  <c r="FX73" i="32"/>
  <c r="AI76" i="32"/>
  <c r="BG76" i="32" s="1"/>
  <c r="CI73" i="32"/>
  <c r="CK73" i="32" s="1"/>
  <c r="EU76" i="32"/>
  <c r="FG76" i="32" s="1"/>
  <c r="AK76" i="32"/>
  <c r="FA73" i="32"/>
  <c r="CL73" i="32"/>
  <c r="CO73" i="32" s="1"/>
  <c r="FL73" i="32"/>
  <c r="EZ73" i="32"/>
  <c r="FM73" i="32"/>
  <c r="FC73" i="32"/>
  <c r="DI73" i="32"/>
  <c r="CW73" i="32"/>
  <c r="AI73" i="32"/>
  <c r="AU73" i="32" s="1"/>
  <c r="AK75" i="32"/>
  <c r="BI75" i="32"/>
  <c r="BB75" i="32"/>
  <c r="DA76" i="32"/>
  <c r="DD76" i="32" s="1"/>
  <c r="DM76" i="32"/>
  <c r="EX75" i="32"/>
  <c r="FS75" i="32"/>
  <c r="CQ73" i="32"/>
  <c r="DC73" i="32"/>
  <c r="DO73" i="32"/>
  <c r="CV73" i="32"/>
  <c r="DH73" i="32"/>
  <c r="AN73" i="32"/>
  <c r="AB73" i="32"/>
  <c r="AK73" i="32"/>
  <c r="AW73" i="32"/>
  <c r="BI73" i="32"/>
  <c r="AP73" i="32"/>
  <c r="BB73" i="32"/>
  <c r="DA75" i="32"/>
  <c r="DD75" i="32" s="1"/>
  <c r="DM75" i="32"/>
  <c r="CH73" i="32"/>
  <c r="CT73" i="32"/>
  <c r="DF73" i="32"/>
  <c r="DL76" i="37" l="1"/>
  <c r="AL75" i="55"/>
  <c r="CZ76" i="37"/>
  <c r="BF75" i="39"/>
  <c r="CZ52" i="36"/>
  <c r="CR75" i="39"/>
  <c r="AT74" i="36"/>
  <c r="AT76" i="39"/>
  <c r="AL76" i="39"/>
  <c r="AM76" i="39" s="1"/>
  <c r="AX76" i="55"/>
  <c r="DT73" i="55"/>
  <c r="DX73" i="55" s="1"/>
  <c r="GM73" i="55" s="1"/>
  <c r="DP75" i="32"/>
  <c r="BF73" i="36"/>
  <c r="CR76" i="55"/>
  <c r="CS76" i="55" s="1"/>
  <c r="DP75" i="55"/>
  <c r="DD75" i="55"/>
  <c r="BN73" i="55"/>
  <c r="BR73" i="55" s="1"/>
  <c r="GK73" i="55" s="1"/>
  <c r="BJ75" i="55"/>
  <c r="CR76" i="32"/>
  <c r="CS76" i="32" s="1"/>
  <c r="CR75" i="37"/>
  <c r="CS75" i="37" s="1"/>
  <c r="AT75" i="37"/>
  <c r="BF75" i="55"/>
  <c r="CR75" i="55"/>
  <c r="CS75" i="55" s="1"/>
  <c r="EY75" i="55"/>
  <c r="FK75" i="55"/>
  <c r="EY75" i="38"/>
  <c r="AL76" i="55"/>
  <c r="AM76" i="55" s="1"/>
  <c r="CR73" i="36"/>
  <c r="CS73" i="36" s="1"/>
  <c r="DD76" i="55"/>
  <c r="DL75" i="55"/>
  <c r="AX75" i="55"/>
  <c r="DP73" i="36"/>
  <c r="DD73" i="36"/>
  <c r="EY76" i="55"/>
  <c r="FK76" i="55"/>
  <c r="FZ73" i="55"/>
  <c r="GD73" i="55" s="1"/>
  <c r="FW76" i="55"/>
  <c r="BF76" i="55"/>
  <c r="BK76" i="55" s="1"/>
  <c r="CZ76" i="55"/>
  <c r="AT75" i="55"/>
  <c r="AM75" i="55"/>
  <c r="AT76" i="55"/>
  <c r="FW75" i="55"/>
  <c r="DL76" i="55"/>
  <c r="CZ75" i="55"/>
  <c r="DP76" i="55"/>
  <c r="DD76" i="38"/>
  <c r="DP76" i="39"/>
  <c r="BK73" i="37"/>
  <c r="CR76" i="39"/>
  <c r="CS76" i="39" s="1"/>
  <c r="BJ76" i="38"/>
  <c r="DP52" i="36"/>
  <c r="AT76" i="37"/>
  <c r="DL73" i="36"/>
  <c r="DL52" i="36"/>
  <c r="BF74" i="36"/>
  <c r="FW73" i="38"/>
  <c r="FW75" i="39"/>
  <c r="AY73" i="39"/>
  <c r="FW73" i="39"/>
  <c r="DE73" i="39"/>
  <c r="FK52" i="36"/>
  <c r="EY52" i="36"/>
  <c r="AY73" i="38"/>
  <c r="FK73" i="37"/>
  <c r="EY74" i="36"/>
  <c r="EY75" i="37"/>
  <c r="FK76" i="38"/>
  <c r="FW74" i="36"/>
  <c r="AY71" i="36"/>
  <c r="FK76" i="39"/>
  <c r="FW76" i="39"/>
  <c r="FW75" i="38"/>
  <c r="FK75" i="38"/>
  <c r="BF76" i="39"/>
  <c r="DQ73" i="39"/>
  <c r="DT73" i="39" s="1"/>
  <c r="DX73" i="39" s="1"/>
  <c r="GM73" i="39" s="1"/>
  <c r="FW73" i="37"/>
  <c r="FW76" i="38"/>
  <c r="CR76" i="38"/>
  <c r="CS76" i="38" s="1"/>
  <c r="DD76" i="39"/>
  <c r="AT75" i="38"/>
  <c r="FK73" i="38"/>
  <c r="DD75" i="39"/>
  <c r="AY73" i="37"/>
  <c r="DD75" i="37"/>
  <c r="DD74" i="36"/>
  <c r="BF75" i="38"/>
  <c r="DD52" i="36"/>
  <c r="DP75" i="37"/>
  <c r="DP76" i="38"/>
  <c r="CZ75" i="38"/>
  <c r="BF75" i="37"/>
  <c r="EY76" i="39"/>
  <c r="EY76" i="37"/>
  <c r="AX76" i="38"/>
  <c r="BK73" i="38"/>
  <c r="CR52" i="36"/>
  <c r="CS52" i="36" s="1"/>
  <c r="AT75" i="39"/>
  <c r="CS75" i="39"/>
  <c r="DP75" i="39"/>
  <c r="FK71" i="36"/>
  <c r="DP74" i="36"/>
  <c r="FW76" i="37"/>
  <c r="FK73" i="36"/>
  <c r="DL76" i="39"/>
  <c r="AT76" i="38"/>
  <c r="BK52" i="36"/>
  <c r="AX76" i="37"/>
  <c r="AL73" i="36"/>
  <c r="AM73" i="36" s="1"/>
  <c r="CZ73" i="36"/>
  <c r="AX75" i="39"/>
  <c r="AL75" i="38"/>
  <c r="AM75" i="38" s="1"/>
  <c r="DP76" i="37"/>
  <c r="DQ76" i="37" s="1"/>
  <c r="AX74" i="36"/>
  <c r="CZ75" i="39"/>
  <c r="EY76" i="38"/>
  <c r="FK74" i="36"/>
  <c r="DQ73" i="38"/>
  <c r="BK71" i="36"/>
  <c r="DL74" i="36"/>
  <c r="FK76" i="37"/>
  <c r="FW73" i="36"/>
  <c r="EY75" i="39"/>
  <c r="DQ73" i="37"/>
  <c r="CZ76" i="38"/>
  <c r="BF76" i="38"/>
  <c r="BJ76" i="37"/>
  <c r="BJ76" i="39"/>
  <c r="FK75" i="37"/>
  <c r="CR75" i="38"/>
  <c r="CS75" i="38" s="1"/>
  <c r="AX73" i="36"/>
  <c r="AY73" i="36" s="1"/>
  <c r="BJ75" i="37"/>
  <c r="FW52" i="36"/>
  <c r="AL75" i="39"/>
  <c r="AM75" i="39" s="1"/>
  <c r="AX75" i="38"/>
  <c r="BJ74" i="36"/>
  <c r="CZ75" i="37"/>
  <c r="DL75" i="39"/>
  <c r="FW71" i="36"/>
  <c r="DE73" i="38"/>
  <c r="CR74" i="36"/>
  <c r="CS74" i="36" s="1"/>
  <c r="AM76" i="38"/>
  <c r="EY73" i="36"/>
  <c r="FK75" i="39"/>
  <c r="DE73" i="37"/>
  <c r="BK73" i="39"/>
  <c r="CZ76" i="39"/>
  <c r="AY52" i="36"/>
  <c r="AL76" i="37"/>
  <c r="AM76" i="37" s="1"/>
  <c r="FW75" i="37"/>
  <c r="DP75" i="38"/>
  <c r="AL75" i="37"/>
  <c r="AM75" i="37" s="1"/>
  <c r="BJ75" i="39"/>
  <c r="BK75" i="39" s="1"/>
  <c r="BJ75" i="38"/>
  <c r="CR76" i="37"/>
  <c r="CS76" i="37" s="1"/>
  <c r="DE71" i="36"/>
  <c r="DL75" i="37"/>
  <c r="CZ74" i="36"/>
  <c r="DL76" i="38"/>
  <c r="FK73" i="39"/>
  <c r="BF76" i="37"/>
  <c r="AX76" i="39"/>
  <c r="DL75" i="38"/>
  <c r="DD75" i="38"/>
  <c r="BJ73" i="36"/>
  <c r="AX75" i="37"/>
  <c r="DD76" i="37"/>
  <c r="DE76" i="37" s="1"/>
  <c r="AL74" i="36"/>
  <c r="AM74" i="36" s="1"/>
  <c r="DQ71" i="36"/>
  <c r="FV75" i="32"/>
  <c r="DP76" i="32"/>
  <c r="AL75" i="32"/>
  <c r="AM75" i="32" s="1"/>
  <c r="BJ75" i="32"/>
  <c r="FJ76" i="32"/>
  <c r="AX75" i="32"/>
  <c r="CS75" i="32"/>
  <c r="FV73" i="32"/>
  <c r="FJ73" i="32"/>
  <c r="AL76" i="32"/>
  <c r="AM76" i="32" s="1"/>
  <c r="BJ76" i="32"/>
  <c r="AU76" i="32"/>
  <c r="AX76" i="32" s="1"/>
  <c r="EY73" i="32"/>
  <c r="EY75" i="32"/>
  <c r="FS76" i="32"/>
  <c r="FV76" i="32" s="1"/>
  <c r="EX76" i="32"/>
  <c r="EY76" i="32" s="1"/>
  <c r="AL73" i="32"/>
  <c r="AM73" i="32" s="1"/>
  <c r="BG73" i="32"/>
  <c r="BJ73" i="32" s="1"/>
  <c r="AX73" i="32"/>
  <c r="CR73" i="32"/>
  <c r="CS73" i="32" s="1"/>
  <c r="DA73" i="32"/>
  <c r="DD73" i="32" s="1"/>
  <c r="DM73" i="32"/>
  <c r="DP73" i="32" s="1"/>
  <c r="AY76" i="39" l="1"/>
  <c r="DE52" i="36"/>
  <c r="AY74" i="36"/>
  <c r="AY76" i="55"/>
  <c r="BN76" i="55" s="1"/>
  <c r="BR76" i="55" s="1"/>
  <c r="GK76" i="55" s="1"/>
  <c r="BK73" i="36"/>
  <c r="BN73" i="36" s="1"/>
  <c r="BR73" i="36" s="1"/>
  <c r="GK73" i="36" s="1"/>
  <c r="DE75" i="55"/>
  <c r="DQ75" i="55"/>
  <c r="DQ75" i="37"/>
  <c r="DQ76" i="39"/>
  <c r="DE73" i="36"/>
  <c r="BK75" i="55"/>
  <c r="BK74" i="36"/>
  <c r="DQ73" i="36"/>
  <c r="DE76" i="38"/>
  <c r="AY75" i="37"/>
  <c r="FZ75" i="55"/>
  <c r="GD75" i="55" s="1"/>
  <c r="GO75" i="55" s="1"/>
  <c r="AY75" i="55"/>
  <c r="DE76" i="55"/>
  <c r="DQ76" i="55"/>
  <c r="FZ76" i="55"/>
  <c r="GD76" i="55" s="1"/>
  <c r="GO76" i="55" s="1"/>
  <c r="GO73" i="55"/>
  <c r="GR73" i="55" s="1"/>
  <c r="HD73" i="55" s="1"/>
  <c r="GU73" i="55"/>
  <c r="FZ73" i="37"/>
  <c r="GD73" i="37" s="1"/>
  <c r="GO73" i="37" s="1"/>
  <c r="BN73" i="37"/>
  <c r="BR73" i="37" s="1"/>
  <c r="GK73" i="37" s="1"/>
  <c r="BK76" i="38"/>
  <c r="DQ52" i="36"/>
  <c r="DT52" i="36" s="1"/>
  <c r="DX52" i="36" s="1"/>
  <c r="GM52" i="36" s="1"/>
  <c r="DQ74" i="36"/>
  <c r="BN73" i="38"/>
  <c r="BR73" i="38" s="1"/>
  <c r="GK73" i="38" s="1"/>
  <c r="DE75" i="39"/>
  <c r="FZ73" i="38"/>
  <c r="GD73" i="38" s="1"/>
  <c r="GO73" i="38" s="1"/>
  <c r="FZ76" i="39"/>
  <c r="GD76" i="39" s="1"/>
  <c r="GO76" i="39" s="1"/>
  <c r="DE74" i="36"/>
  <c r="AY75" i="39"/>
  <c r="BN75" i="39" s="1"/>
  <c r="BR75" i="39" s="1"/>
  <c r="GK75" i="39" s="1"/>
  <c r="AY75" i="38"/>
  <c r="BK76" i="39"/>
  <c r="BN76" i="39" s="1"/>
  <c r="BR76" i="39" s="1"/>
  <c r="GK76" i="39" s="1"/>
  <c r="AY76" i="37"/>
  <c r="FZ73" i="39"/>
  <c r="GD73" i="39" s="1"/>
  <c r="GO73" i="39" s="1"/>
  <c r="FZ71" i="36"/>
  <c r="GD71" i="36" s="1"/>
  <c r="GO71" i="36" s="1"/>
  <c r="BK75" i="37"/>
  <c r="DE75" i="38"/>
  <c r="FZ75" i="38"/>
  <c r="GD75" i="38" s="1"/>
  <c r="GO75" i="38" s="1"/>
  <c r="DQ75" i="39"/>
  <c r="AY76" i="38"/>
  <c r="BN73" i="39"/>
  <c r="BR73" i="39" s="1"/>
  <c r="GK73" i="39" s="1"/>
  <c r="FZ52" i="36"/>
  <c r="GD52" i="36" s="1"/>
  <c r="GO52" i="36" s="1"/>
  <c r="BN71" i="36"/>
  <c r="BR71" i="36" s="1"/>
  <c r="GK71" i="36" s="1"/>
  <c r="FZ76" i="37"/>
  <c r="GD76" i="37" s="1"/>
  <c r="GO76" i="37" s="1"/>
  <c r="BK76" i="37"/>
  <c r="DT76" i="37"/>
  <c r="DX76" i="37" s="1"/>
  <c r="GM76" i="37" s="1"/>
  <c r="FZ74" i="36"/>
  <c r="GD74" i="36" s="1"/>
  <c r="GO74" i="36" s="1"/>
  <c r="DQ76" i="38"/>
  <c r="DT71" i="36"/>
  <c r="DX71" i="36" s="1"/>
  <c r="GM71" i="36" s="1"/>
  <c r="BK75" i="38"/>
  <c r="FZ76" i="38"/>
  <c r="GD76" i="38" s="1"/>
  <c r="GO76" i="38" s="1"/>
  <c r="FZ75" i="37"/>
  <c r="GD75" i="37" s="1"/>
  <c r="GO75" i="37" s="1"/>
  <c r="DE76" i="39"/>
  <c r="FZ75" i="39"/>
  <c r="GD75" i="39" s="1"/>
  <c r="GO75" i="39" s="1"/>
  <c r="DE75" i="37"/>
  <c r="DQ75" i="38"/>
  <c r="DT73" i="38"/>
  <c r="DX73" i="38" s="1"/>
  <c r="GM73" i="38" s="1"/>
  <c r="FZ73" i="36"/>
  <c r="GD73" i="36" s="1"/>
  <c r="DT73" i="37"/>
  <c r="DX73" i="37" s="1"/>
  <c r="GM73" i="37" s="1"/>
  <c r="BN52" i="36"/>
  <c r="BR52" i="36" s="1"/>
  <c r="GK52" i="36" s="1"/>
  <c r="BN74" i="36" l="1"/>
  <c r="BR74" i="36" s="1"/>
  <c r="GK74" i="36" s="1"/>
  <c r="DT75" i="37"/>
  <c r="DX75" i="37" s="1"/>
  <c r="GM75" i="37" s="1"/>
  <c r="DT75" i="55"/>
  <c r="DX75" i="55" s="1"/>
  <c r="GM75" i="55" s="1"/>
  <c r="DT76" i="39"/>
  <c r="DX76" i="39" s="1"/>
  <c r="GM76" i="39" s="1"/>
  <c r="GR76" i="39" s="1"/>
  <c r="HD76" i="39" s="1"/>
  <c r="DT73" i="36"/>
  <c r="DX73" i="36" s="1"/>
  <c r="GM73" i="36" s="1"/>
  <c r="BN75" i="38"/>
  <c r="BR75" i="38" s="1"/>
  <c r="GK75" i="38" s="1"/>
  <c r="BN75" i="55"/>
  <c r="BR75" i="55" s="1"/>
  <c r="GK75" i="55" s="1"/>
  <c r="DT76" i="38"/>
  <c r="DX76" i="38" s="1"/>
  <c r="GM76" i="38" s="1"/>
  <c r="BN75" i="37"/>
  <c r="BR75" i="37" s="1"/>
  <c r="GK75" i="37" s="1"/>
  <c r="DT76" i="55"/>
  <c r="DX76" i="55" s="1"/>
  <c r="DT75" i="38"/>
  <c r="DX75" i="38" s="1"/>
  <c r="GM75" i="38" s="1"/>
  <c r="BN76" i="37"/>
  <c r="BR76" i="37" s="1"/>
  <c r="GK76" i="37" s="1"/>
  <c r="GR76" i="37" s="1"/>
  <c r="HD76" i="37" s="1"/>
  <c r="BN76" i="38"/>
  <c r="BR76" i="38" s="1"/>
  <c r="GK76" i="38" s="1"/>
  <c r="HJ73" i="55"/>
  <c r="HH73" i="55" s="1"/>
  <c r="HQ73" i="55"/>
  <c r="DT74" i="36"/>
  <c r="DX74" i="36" s="1"/>
  <c r="GM74" i="36" s="1"/>
  <c r="GR73" i="39"/>
  <c r="HD73" i="39" s="1"/>
  <c r="DT75" i="39"/>
  <c r="DX75" i="39" s="1"/>
  <c r="GM75" i="39" s="1"/>
  <c r="GR75" i="39" s="1"/>
  <c r="HD75" i="39" s="1"/>
  <c r="GU73" i="39"/>
  <c r="HJ73" i="39" s="1"/>
  <c r="HH73" i="39" s="1"/>
  <c r="GU71" i="36"/>
  <c r="HJ71" i="36" s="1"/>
  <c r="HH71" i="36" s="1"/>
  <c r="GR71" i="36"/>
  <c r="HD71" i="36" s="1"/>
  <c r="GR73" i="38"/>
  <c r="HD73" i="38" s="1"/>
  <c r="GU73" i="38"/>
  <c r="HJ73" i="38" s="1"/>
  <c r="HH73" i="38" s="1"/>
  <c r="GR52" i="36"/>
  <c r="GU73" i="37"/>
  <c r="GO73" i="36"/>
  <c r="GU52" i="36"/>
  <c r="GR73" i="37"/>
  <c r="HD73" i="37" s="1"/>
  <c r="HD52" i="36" l="1"/>
  <c r="GR74" i="36"/>
  <c r="HD74" i="36" s="1"/>
  <c r="GR75" i="37"/>
  <c r="HD75" i="37" s="1"/>
  <c r="GU73" i="36"/>
  <c r="GR75" i="55"/>
  <c r="HD75" i="55" s="1"/>
  <c r="GU76" i="39"/>
  <c r="HQ76" i="39" s="1"/>
  <c r="HO76" i="39" s="1"/>
  <c r="GR73" i="36"/>
  <c r="HD73" i="36" s="1"/>
  <c r="GR75" i="38"/>
  <c r="HD75" i="38" s="1"/>
  <c r="GU76" i="37"/>
  <c r="HQ76" i="37" s="1"/>
  <c r="HO76" i="37" s="1"/>
  <c r="GR76" i="38"/>
  <c r="HD76" i="38" s="1"/>
  <c r="GU75" i="37"/>
  <c r="HQ75" i="37" s="1"/>
  <c r="HO75" i="37" s="1"/>
  <c r="GU75" i="55"/>
  <c r="HQ75" i="55" s="1"/>
  <c r="GU75" i="38"/>
  <c r="HQ75" i="38" s="1"/>
  <c r="GU74" i="36"/>
  <c r="HQ74" i="36" s="1"/>
  <c r="GM76" i="55"/>
  <c r="GR76" i="55" s="1"/>
  <c r="HD76" i="55" s="1"/>
  <c r="GU76" i="55"/>
  <c r="GU76" i="38"/>
  <c r="HJ76" i="38" s="1"/>
  <c r="HH76" i="38" s="1"/>
  <c r="HQ73" i="39"/>
  <c r="H57" i="39" s="1"/>
  <c r="HQ71" i="36"/>
  <c r="HO71" i="36" s="1"/>
  <c r="G55" i="36" s="1"/>
  <c r="HO73" i="55"/>
  <c r="G57" i="55" s="1"/>
  <c r="H57" i="55"/>
  <c r="HQ73" i="38"/>
  <c r="H57" i="38" s="1"/>
  <c r="GU75" i="39"/>
  <c r="HJ52" i="36"/>
  <c r="HH52" i="36" s="1"/>
  <c r="HQ52" i="36"/>
  <c r="HJ73" i="36"/>
  <c r="HH73" i="36" s="1"/>
  <c r="HQ73" i="36"/>
  <c r="HQ73" i="37"/>
  <c r="HJ73" i="37"/>
  <c r="HH73" i="37" s="1"/>
  <c r="N352" i="1"/>
  <c r="HO73" i="36" l="1"/>
  <c r="HO74" i="36"/>
  <c r="HO75" i="55"/>
  <c r="HJ76" i="39"/>
  <c r="HH76" i="39" s="1"/>
  <c r="HO75" i="38"/>
  <c r="HJ76" i="37"/>
  <c r="HH76" i="37" s="1"/>
  <c r="HJ75" i="37"/>
  <c r="HH75" i="37" s="1"/>
  <c r="HJ75" i="55"/>
  <c r="HH75" i="55" s="1"/>
  <c r="HO73" i="38"/>
  <c r="G57" i="38" s="1"/>
  <c r="HJ75" i="38"/>
  <c r="HH75" i="38" s="1"/>
  <c r="HJ74" i="36"/>
  <c r="HH74" i="36" s="1"/>
  <c r="H55" i="36"/>
  <c r="HQ76" i="38"/>
  <c r="HO76" i="38" s="1"/>
  <c r="HO73" i="39"/>
  <c r="G57" i="39" s="1"/>
  <c r="HQ76" i="55"/>
  <c r="HO76" i="55" s="1"/>
  <c r="HJ76" i="55"/>
  <c r="HH76" i="55" s="1"/>
  <c r="HQ75" i="39"/>
  <c r="HO75" i="39" s="1"/>
  <c r="HJ75" i="39"/>
  <c r="HH75" i="39" s="1"/>
  <c r="HO73" i="37"/>
  <c r="G57" i="37" s="1"/>
  <c r="H57" i="37"/>
  <c r="HO52" i="36"/>
  <c r="E21" i="36" s="1"/>
  <c r="E23" i="36"/>
  <c r="J30" i="36" l="1"/>
  <c r="E30" i="36"/>
  <c r="E24" i="36"/>
  <c r="E47" i="36"/>
  <c r="G46" i="36"/>
  <c r="H46" i="36"/>
  <c r="G47" i="36"/>
  <c r="E46" i="36"/>
  <c r="J33" i="36" l="1"/>
  <c r="E20" i="36"/>
  <c r="E22" i="36" s="1"/>
  <c r="J31" i="36"/>
  <c r="J170" i="1" l="1"/>
  <c r="L170" i="1"/>
  <c r="N170" i="1"/>
  <c r="P170" i="1"/>
  <c r="P173" i="1"/>
  <c r="H170" i="1"/>
  <c r="C20" i="27"/>
  <c r="C22" i="27" s="1"/>
  <c r="C23" i="27" s="1"/>
  <c r="C15" i="27" s="1"/>
  <c r="C17" i="27" l="1"/>
  <c r="C16" i="27"/>
  <c r="P136" i="1" l="1"/>
  <c r="P123" i="1" l="1"/>
  <c r="N123" i="1"/>
  <c r="L123" i="1"/>
  <c r="J123" i="1"/>
  <c r="K188" i="1" l="1"/>
  <c r="B28" i="49" s="1"/>
  <c r="K187" i="1"/>
  <c r="B27" i="49" s="1"/>
  <c r="K186" i="1"/>
  <c r="B26" i="49" s="1"/>
  <c r="K185" i="1"/>
  <c r="B25" i="49" s="1"/>
  <c r="C12" i="5"/>
  <c r="C9" i="5" s="1"/>
  <c r="E9" i="5" l="1"/>
  <c r="H280" i="1"/>
  <c r="H279" i="1"/>
  <c r="R276" i="1"/>
  <c r="N136" i="1" l="1"/>
  <c r="L136" i="1"/>
  <c r="J136" i="1"/>
  <c r="P100" i="1"/>
  <c r="T265" i="1" l="1"/>
  <c r="F15" i="49"/>
  <c r="J135" i="1" l="1"/>
  <c r="L135" i="1"/>
  <c r="L169" i="1" l="1"/>
  <c r="J169" i="1"/>
  <c r="K171" i="1" s="1"/>
  <c r="L137" i="1"/>
  <c r="J137" i="1"/>
  <c r="M171" i="1" l="1"/>
  <c r="L171" i="1"/>
  <c r="J171" i="1"/>
  <c r="P205" i="1" l="1"/>
  <c r="P210" i="1"/>
  <c r="P207" i="1"/>
  <c r="P206" i="1"/>
  <c r="P209" i="1"/>
  <c r="P208" i="1"/>
  <c r="N135" i="1" l="1"/>
  <c r="P211" i="1"/>
  <c r="P135" i="1"/>
  <c r="P212" i="1"/>
  <c r="P137" i="1" l="1"/>
  <c r="P138" i="1" s="1"/>
  <c r="N137" i="1"/>
  <c r="P166" i="1"/>
  <c r="P114" i="1"/>
  <c r="P140" i="1" l="1"/>
  <c r="H101" i="1"/>
  <c r="G33" i="1" s="1"/>
  <c r="P174" i="1" l="1"/>
  <c r="P142" i="1"/>
  <c r="P143" i="1" s="1"/>
  <c r="D2" i="48"/>
  <c r="E102" i="1"/>
  <c r="BD54" i="32" l="1"/>
  <c r="DJ54" i="32"/>
  <c r="AR54" i="32"/>
  <c r="CX54" i="32"/>
  <c r="FD54" i="32"/>
  <c r="FP54" i="32"/>
  <c r="BO75" i="32"/>
  <c r="GA75" i="32"/>
  <c r="DU75" i="32"/>
  <c r="BO76" i="32"/>
  <c r="DU76" i="32"/>
  <c r="GA76" i="32"/>
  <c r="DU73" i="32"/>
  <c r="GA73" i="32"/>
  <c r="BO73" i="32"/>
  <c r="G52" i="33"/>
  <c r="FD75" i="32"/>
  <c r="FF75" i="32" s="1"/>
  <c r="FK75" i="32" s="1"/>
  <c r="CX76" i="32"/>
  <c r="CZ76" i="32" s="1"/>
  <c r="DE76" i="32" s="1"/>
  <c r="FD73" i="32"/>
  <c r="FF73" i="32" s="1"/>
  <c r="FK73" i="32" s="1"/>
  <c r="FP75" i="32"/>
  <c r="FR75" i="32" s="1"/>
  <c r="FW75" i="32" s="1"/>
  <c r="FP76" i="32"/>
  <c r="FR76" i="32" s="1"/>
  <c r="FW76" i="32" s="1"/>
  <c r="FP73" i="32"/>
  <c r="FR73" i="32" s="1"/>
  <c r="FW73" i="32" s="1"/>
  <c r="AR75" i="32"/>
  <c r="AT75" i="32" s="1"/>
  <c r="AY75" i="32" s="1"/>
  <c r="CX73" i="32"/>
  <c r="CZ73" i="32" s="1"/>
  <c r="DE73" i="32" s="1"/>
  <c r="FD76" i="32"/>
  <c r="FF76" i="32" s="1"/>
  <c r="FK76" i="32" s="1"/>
  <c r="AR73" i="32"/>
  <c r="AT73" i="32" s="1"/>
  <c r="AY73" i="32" s="1"/>
  <c r="DJ73" i="32"/>
  <c r="DL73" i="32" s="1"/>
  <c r="DQ73" i="32" s="1"/>
  <c r="BD75" i="32"/>
  <c r="BF75" i="32" s="1"/>
  <c r="BK75" i="32" s="1"/>
  <c r="CX75" i="32"/>
  <c r="CZ75" i="32" s="1"/>
  <c r="DE75" i="32" s="1"/>
  <c r="DJ76" i="32"/>
  <c r="DL76" i="32" s="1"/>
  <c r="DQ76" i="32" s="1"/>
  <c r="DJ75" i="32"/>
  <c r="DL75" i="32" s="1"/>
  <c r="DQ75" i="32" s="1"/>
  <c r="BD73" i="32"/>
  <c r="BF73" i="32" s="1"/>
  <c r="BK73" i="32" s="1"/>
  <c r="BD76" i="32"/>
  <c r="BF76" i="32" s="1"/>
  <c r="BK76" i="32" s="1"/>
  <c r="AR76" i="32"/>
  <c r="AT76" i="32" s="1"/>
  <c r="AY76" i="32" s="1"/>
  <c r="DT73" i="32" l="1"/>
  <c r="DX73" i="32" s="1"/>
  <c r="GM73" i="32" s="1"/>
  <c r="FZ73" i="32"/>
  <c r="GD73" i="32" s="1"/>
  <c r="GO73" i="32" s="1"/>
  <c r="DT75" i="32"/>
  <c r="DX75" i="32" s="1"/>
  <c r="GM75" i="32" s="1"/>
  <c r="BN73" i="32"/>
  <c r="BR73" i="32" s="1"/>
  <c r="GK73" i="32" s="1"/>
  <c r="BN76" i="32"/>
  <c r="BR76" i="32" s="1"/>
  <c r="GK76" i="32" s="1"/>
  <c r="DT76" i="32"/>
  <c r="DX76" i="32" s="1"/>
  <c r="GM76" i="32" s="1"/>
  <c r="FZ75" i="32"/>
  <c r="GD75" i="32" s="1"/>
  <c r="GO75" i="32" s="1"/>
  <c r="BN75" i="32"/>
  <c r="BR75" i="32" s="1"/>
  <c r="GK75" i="32" s="1"/>
  <c r="FZ76" i="32"/>
  <c r="GD76" i="32" s="1"/>
  <c r="GU73" i="32" l="1"/>
  <c r="HQ73" i="32" s="1"/>
  <c r="GR73" i="32"/>
  <c r="HD73" i="32" s="1"/>
  <c r="GU75" i="32"/>
  <c r="HQ75" i="32" s="1"/>
  <c r="GR75" i="32"/>
  <c r="HD75" i="32" s="1"/>
  <c r="GO76" i="32"/>
  <c r="GR76" i="32" s="1"/>
  <c r="HD76" i="32" s="1"/>
  <c r="GU76" i="32"/>
  <c r="HJ73" i="32" l="1"/>
  <c r="HH73" i="32" s="1"/>
  <c r="HJ75" i="32"/>
  <c r="HH75" i="32" s="1"/>
  <c r="H57" i="32"/>
  <c r="HO73" i="32"/>
  <c r="G57" i="32" s="1"/>
  <c r="HQ76" i="32"/>
  <c r="HO76" i="32" s="1"/>
  <c r="HJ76" i="32"/>
  <c r="HH76" i="32" s="1"/>
  <c r="HO75" i="32"/>
  <c r="Q3" i="52" l="1"/>
  <c r="Q4" i="52" s="1"/>
  <c r="R3" i="52" l="1"/>
  <c r="R4" i="52"/>
  <c r="S4" i="52" s="1"/>
  <c r="Q5" i="52"/>
  <c r="S3" i="52" l="1"/>
  <c r="R5" i="52"/>
  <c r="S5" i="52" s="1"/>
  <c r="Q6" i="52"/>
  <c r="R6" i="52" l="1"/>
  <c r="Q7" i="52"/>
  <c r="S6" i="52" l="1"/>
  <c r="R7" i="52"/>
  <c r="Q8" i="52"/>
  <c r="S7" i="52" l="1"/>
  <c r="R8" i="52"/>
  <c r="Q9" i="52"/>
  <c r="S8" i="52" l="1"/>
  <c r="R9" i="52"/>
  <c r="Q10" i="52"/>
  <c r="S9" i="52" l="1"/>
  <c r="R10" i="52"/>
  <c r="Q11" i="52"/>
  <c r="S10" i="52" l="1"/>
  <c r="R11" i="52"/>
  <c r="Q12" i="52"/>
  <c r="S11" i="52" l="1"/>
  <c r="R12" i="52"/>
  <c r="S12" i="52" s="1"/>
  <c r="Q13" i="52"/>
  <c r="R13" i="52" l="1"/>
  <c r="S13" i="52" s="1"/>
  <c r="Q14" i="52"/>
  <c r="R14" i="52" l="1"/>
  <c r="S14" i="52" s="1"/>
  <c r="Q15" i="52"/>
  <c r="R15" i="52" l="1"/>
  <c r="S15" i="52" s="1"/>
  <c r="Q16" i="52"/>
  <c r="R16" i="52" l="1"/>
  <c r="S16" i="52" s="1"/>
  <c r="Q17" i="52"/>
  <c r="R17" i="52" l="1"/>
  <c r="S17" i="52" s="1"/>
  <c r="Q18" i="52"/>
  <c r="R18" i="52" l="1"/>
  <c r="S18" i="52" s="1"/>
  <c r="Q19" i="52"/>
  <c r="R19" i="52" l="1"/>
  <c r="S19" i="52" s="1"/>
  <c r="Q20" i="52"/>
  <c r="R20" i="52" l="1"/>
  <c r="S20" i="52" s="1"/>
  <c r="Q21" i="52"/>
  <c r="R21" i="52" l="1"/>
  <c r="S21" i="52" s="1"/>
  <c r="Q22" i="52"/>
  <c r="R22" i="52" l="1"/>
  <c r="S22" i="52" s="1"/>
  <c r="Q23" i="52"/>
  <c r="R23" i="52" l="1"/>
  <c r="S23" i="52" s="1"/>
  <c r="Q24" i="52"/>
  <c r="R24" i="52" l="1"/>
  <c r="S24" i="52" s="1"/>
  <c r="Q25" i="52"/>
  <c r="R25" i="52" l="1"/>
  <c r="S25" i="52" s="1"/>
  <c r="Q26" i="52"/>
  <c r="R26" i="52" l="1"/>
  <c r="S26" i="52" s="1"/>
  <c r="Q27" i="52"/>
  <c r="R27" i="52" l="1"/>
  <c r="S27" i="52" s="1"/>
  <c r="Q28" i="52"/>
  <c r="R28" i="52" l="1"/>
  <c r="S28" i="52" s="1"/>
  <c r="Q29" i="52"/>
  <c r="R29" i="52" l="1"/>
  <c r="S29" i="52" s="1"/>
  <c r="Q30" i="52"/>
  <c r="R30" i="52" l="1"/>
  <c r="S30" i="52" s="1"/>
  <c r="Q31" i="52"/>
  <c r="R31" i="52" l="1"/>
  <c r="S31" i="52" s="1"/>
  <c r="Q32" i="52"/>
  <c r="R32" i="52" l="1"/>
  <c r="S32" i="52" s="1"/>
  <c r="Q33" i="52"/>
  <c r="R33" i="52" l="1"/>
  <c r="S33" i="52" s="1"/>
  <c r="Q34" i="52"/>
  <c r="R34" i="52" l="1"/>
  <c r="S34" i="52" s="1"/>
  <c r="Q35" i="52"/>
  <c r="R35" i="52" l="1"/>
  <c r="S35" i="52" s="1"/>
  <c r="Q36" i="52"/>
  <c r="R36" i="52" l="1"/>
  <c r="S36" i="52" s="1"/>
  <c r="Q37" i="52"/>
  <c r="R37" i="52" l="1"/>
  <c r="S37" i="52" s="1"/>
  <c r="Q38" i="52"/>
  <c r="R38" i="52" l="1"/>
  <c r="S38" i="52" s="1"/>
  <c r="Q39" i="52"/>
  <c r="R39" i="52" l="1"/>
  <c r="S39" i="52" s="1"/>
  <c r="Q40" i="52"/>
  <c r="R40" i="52" l="1"/>
  <c r="S40" i="52" s="1"/>
  <c r="Q41" i="52"/>
  <c r="R41" i="52" l="1"/>
  <c r="S41" i="52" s="1"/>
  <c r="Q42" i="52"/>
  <c r="R42" i="52" l="1"/>
  <c r="S42" i="52" s="1"/>
  <c r="Q43" i="52"/>
  <c r="R43" i="52" l="1"/>
  <c r="S43" i="52" s="1"/>
  <c r="Q44" i="52"/>
  <c r="R44" i="52" l="1"/>
  <c r="S44" i="52" s="1"/>
  <c r="Q45" i="52"/>
  <c r="R45" i="52" l="1"/>
  <c r="S45" i="52" s="1"/>
  <c r="Q46" i="52"/>
  <c r="R46" i="52" l="1"/>
  <c r="S46" i="52" s="1"/>
  <c r="Q47" i="52"/>
  <c r="R47" i="52" l="1"/>
  <c r="S47" i="52" s="1"/>
  <c r="Q48" i="52"/>
  <c r="R48" i="52" l="1"/>
  <c r="S48" i="52" s="1"/>
  <c r="Q49" i="52"/>
  <c r="R49" i="52" l="1"/>
  <c r="S49" i="52" s="1"/>
  <c r="Q50" i="52"/>
  <c r="R50" i="52" l="1"/>
  <c r="S50" i="52" s="1"/>
  <c r="Q51" i="52"/>
  <c r="R51" i="52" l="1"/>
  <c r="S51" i="52" s="1"/>
  <c r="Q52" i="52"/>
  <c r="R52" i="52" l="1"/>
  <c r="S52" i="52" s="1"/>
  <c r="Q53" i="52"/>
  <c r="R53" i="52" l="1"/>
  <c r="S53" i="52" s="1"/>
  <c r="Q54" i="52"/>
  <c r="R54" i="52" l="1"/>
  <c r="S54" i="52" s="1"/>
  <c r="Q55" i="52"/>
  <c r="R55" i="52" l="1"/>
  <c r="S55" i="52" s="1"/>
  <c r="Q56" i="52"/>
  <c r="R56" i="52" l="1"/>
  <c r="S56" i="52" s="1"/>
  <c r="Q57" i="52"/>
  <c r="R57" i="52" l="1"/>
  <c r="S57" i="52" s="1"/>
  <c r="Q58" i="52"/>
  <c r="R58" i="52" l="1"/>
  <c r="S58" i="52" s="1"/>
  <c r="Q59" i="52"/>
  <c r="R59" i="52" l="1"/>
  <c r="S59" i="52" s="1"/>
  <c r="Q60" i="52"/>
  <c r="R60" i="52" l="1"/>
  <c r="S60" i="52" s="1"/>
  <c r="Q61" i="52"/>
  <c r="R61" i="52" l="1"/>
  <c r="S61" i="52" s="1"/>
  <c r="Q62" i="52"/>
  <c r="R62" i="52" l="1"/>
  <c r="S62" i="52" s="1"/>
  <c r="Q63" i="52"/>
  <c r="R63" i="52" l="1"/>
  <c r="S63" i="52" s="1"/>
  <c r="Q64" i="52"/>
  <c r="R64" i="52" l="1"/>
  <c r="S64" i="52" s="1"/>
  <c r="Q65" i="52"/>
  <c r="R65" i="52" l="1"/>
  <c r="S65" i="52" s="1"/>
  <c r="Q66" i="52"/>
  <c r="R66" i="52" l="1"/>
  <c r="S66" i="52" s="1"/>
  <c r="Q67" i="52"/>
  <c r="R67" i="52" l="1"/>
  <c r="S67" i="52" s="1"/>
  <c r="Q68" i="52"/>
  <c r="R68" i="52" l="1"/>
  <c r="S68" i="52" s="1"/>
  <c r="Q69" i="52"/>
  <c r="R69" i="52" l="1"/>
  <c r="S69" i="52" s="1"/>
  <c r="Q70" i="52"/>
  <c r="R70" i="52" l="1"/>
  <c r="S70" i="52" s="1"/>
  <c r="Q71" i="52"/>
  <c r="R71" i="52" l="1"/>
  <c r="S71" i="52" s="1"/>
  <c r="Q72" i="52"/>
  <c r="R72" i="52" l="1"/>
  <c r="S72" i="52" s="1"/>
  <c r="Q73" i="52"/>
  <c r="R73" i="52" l="1"/>
  <c r="S73" i="52" s="1"/>
  <c r="Q74" i="52"/>
  <c r="R74" i="52" l="1"/>
  <c r="S74" i="52" s="1"/>
  <c r="Q75" i="52"/>
  <c r="R75" i="52" l="1"/>
  <c r="S75" i="52" s="1"/>
  <c r="Q76" i="52"/>
  <c r="R76" i="52" l="1"/>
  <c r="S76" i="52" s="1"/>
  <c r="Q77" i="52"/>
  <c r="R77" i="52" l="1"/>
  <c r="S77" i="52" s="1"/>
  <c r="Q78" i="52"/>
  <c r="R78" i="52" l="1"/>
  <c r="S78" i="52" s="1"/>
  <c r="Q79" i="52"/>
  <c r="R79" i="52" l="1"/>
  <c r="S79" i="52" s="1"/>
  <c r="Q80" i="52"/>
  <c r="R80" i="52" l="1"/>
  <c r="S80" i="52" s="1"/>
  <c r="Q81" i="52"/>
  <c r="R81" i="52" l="1"/>
  <c r="S81" i="52" s="1"/>
  <c r="Q82" i="52"/>
  <c r="R82" i="52" l="1"/>
  <c r="S82" i="52" s="1"/>
  <c r="Q83" i="52"/>
  <c r="R83" i="52" l="1"/>
  <c r="S83" i="52" s="1"/>
  <c r="Q84" i="52"/>
  <c r="R84" i="52" l="1"/>
  <c r="S84" i="52" s="1"/>
  <c r="Q85" i="52"/>
  <c r="R85" i="52" l="1"/>
  <c r="S85" i="52" s="1"/>
  <c r="Q86" i="52"/>
  <c r="R86" i="52" l="1"/>
  <c r="S86" i="52" s="1"/>
  <c r="Q87" i="52"/>
  <c r="R87" i="52" l="1"/>
  <c r="S87" i="52" s="1"/>
  <c r="Q88" i="52"/>
  <c r="R88" i="52" l="1"/>
  <c r="S88" i="52" s="1"/>
  <c r="Q89" i="52"/>
  <c r="R89" i="52" l="1"/>
  <c r="S89" i="52" s="1"/>
  <c r="Q90" i="52"/>
  <c r="R90" i="52" l="1"/>
  <c r="S90" i="52" s="1"/>
  <c r="Q91" i="52"/>
  <c r="R91" i="52" l="1"/>
  <c r="S91" i="52" s="1"/>
  <c r="Q92" i="52"/>
  <c r="R92" i="52" l="1"/>
  <c r="S92" i="52" s="1"/>
  <c r="Q93" i="52"/>
  <c r="R93" i="52" l="1"/>
  <c r="S93" i="52" s="1"/>
  <c r="Q94" i="52"/>
  <c r="R94" i="52" l="1"/>
  <c r="S94" i="52" s="1"/>
  <c r="Q95" i="52"/>
  <c r="R95" i="52" l="1"/>
  <c r="S95" i="52" s="1"/>
  <c r="Q96" i="52"/>
  <c r="R96" i="52" l="1"/>
  <c r="S96" i="52" s="1"/>
  <c r="Q97" i="52"/>
  <c r="R97" i="52" l="1"/>
  <c r="S97" i="52" s="1"/>
  <c r="Q98" i="52"/>
  <c r="R98" i="52" l="1"/>
  <c r="S98" i="52" s="1"/>
  <c r="Q99" i="52"/>
  <c r="R99" i="52" l="1"/>
  <c r="S99" i="52" s="1"/>
  <c r="Q100" i="52"/>
  <c r="R100" i="52" l="1"/>
  <c r="S100" i="52" s="1"/>
  <c r="Q101" i="52"/>
  <c r="R101" i="52" l="1"/>
  <c r="S101" i="52" s="1"/>
  <c r="Q102" i="52"/>
  <c r="R102" i="52" l="1"/>
  <c r="S102" i="52" s="1"/>
  <c r="Q103" i="52"/>
  <c r="R103" i="52" l="1"/>
  <c r="S103" i="52" s="1"/>
  <c r="Q104" i="52"/>
  <c r="R104" i="52" l="1"/>
  <c r="S104" i="52" s="1"/>
  <c r="Q105" i="52"/>
  <c r="R105" i="52" l="1"/>
  <c r="S105" i="52" s="1"/>
  <c r="Q106" i="52"/>
  <c r="R106" i="52" l="1"/>
  <c r="S106" i="52" s="1"/>
  <c r="Q107" i="52"/>
  <c r="R107" i="52" l="1"/>
  <c r="S107" i="52" s="1"/>
  <c r="Q108" i="52"/>
  <c r="R108" i="52" l="1"/>
  <c r="S108" i="52" s="1"/>
  <c r="Q109" i="52"/>
  <c r="R109" i="52" l="1"/>
  <c r="S109" i="52" s="1"/>
  <c r="Q110" i="52"/>
  <c r="R110" i="52" l="1"/>
  <c r="S110" i="52" s="1"/>
  <c r="Q111" i="52"/>
  <c r="R111" i="52" l="1"/>
  <c r="S111" i="52" s="1"/>
  <c r="Q112" i="52"/>
  <c r="R112" i="52" l="1"/>
  <c r="S112" i="52" s="1"/>
  <c r="Q113" i="52"/>
  <c r="R113" i="52" l="1"/>
  <c r="S113" i="52" s="1"/>
  <c r="Q114" i="52"/>
  <c r="R114" i="52" l="1"/>
  <c r="S114" i="52" s="1"/>
  <c r="Q115" i="52"/>
  <c r="R115" i="52" l="1"/>
  <c r="S115" i="52" s="1"/>
  <c r="Q116" i="52"/>
  <c r="R116" i="52" l="1"/>
  <c r="S116" i="52" s="1"/>
  <c r="Q117" i="52"/>
  <c r="R117" i="52" l="1"/>
  <c r="S117" i="52" s="1"/>
  <c r="Q118" i="52"/>
  <c r="R118" i="52" l="1"/>
  <c r="S118" i="52" s="1"/>
  <c r="Q119" i="52"/>
  <c r="R119" i="52" l="1"/>
  <c r="S119" i="52" s="1"/>
  <c r="Q120" i="52"/>
  <c r="R120" i="52" l="1"/>
  <c r="S120" i="52" s="1"/>
  <c r="Q121" i="52"/>
  <c r="R121" i="52" l="1"/>
  <c r="S121" i="52" s="1"/>
  <c r="Q122" i="52"/>
  <c r="R122" i="52" l="1"/>
  <c r="S122" i="52" s="1"/>
  <c r="Q123" i="52"/>
  <c r="R123" i="52" l="1"/>
  <c r="S123" i="52" s="1"/>
  <c r="Q124" i="52"/>
  <c r="R124" i="52" l="1"/>
  <c r="S124" i="52" s="1"/>
  <c r="Q125" i="52"/>
  <c r="R125" i="52" l="1"/>
  <c r="S125" i="52" s="1"/>
  <c r="Q126" i="52"/>
  <c r="R126" i="52" l="1"/>
  <c r="S126" i="52" s="1"/>
  <c r="Q127" i="52"/>
  <c r="R127" i="52" l="1"/>
  <c r="S127" i="52" s="1"/>
  <c r="Q128" i="52"/>
  <c r="R128" i="52" l="1"/>
  <c r="S128" i="52" s="1"/>
  <c r="Q129" i="52"/>
  <c r="R129" i="52" l="1"/>
  <c r="S129" i="52" s="1"/>
  <c r="Q130" i="52"/>
  <c r="R130" i="52" l="1"/>
  <c r="S130" i="52" s="1"/>
  <c r="Q131" i="52"/>
  <c r="R131" i="52" l="1"/>
  <c r="S131" i="52" s="1"/>
  <c r="Q132" i="52"/>
  <c r="R132" i="52" l="1"/>
  <c r="S132" i="52" s="1"/>
  <c r="Q133" i="52"/>
  <c r="R133" i="52" l="1"/>
  <c r="S133" i="52" s="1"/>
  <c r="Q134" i="52"/>
  <c r="R134" i="52" l="1"/>
  <c r="S134" i="52" s="1"/>
  <c r="Q135" i="52"/>
  <c r="R135" i="52" l="1"/>
  <c r="S135" i="52" s="1"/>
  <c r="Q136" i="52"/>
  <c r="R136" i="52" l="1"/>
  <c r="S136" i="52" s="1"/>
  <c r="Q137" i="52"/>
  <c r="R137" i="52" l="1"/>
  <c r="S137" i="52" s="1"/>
  <c r="Q138" i="52"/>
  <c r="R138" i="52" l="1"/>
  <c r="S138" i="52" s="1"/>
  <c r="Q139" i="52"/>
  <c r="R139" i="52" l="1"/>
  <c r="S139" i="52" s="1"/>
  <c r="Q140" i="52"/>
  <c r="R140" i="52" l="1"/>
  <c r="S140" i="52" s="1"/>
  <c r="Q141" i="52"/>
  <c r="R141" i="52" l="1"/>
  <c r="S141" i="52" s="1"/>
  <c r="Q142" i="52"/>
  <c r="R142" i="52" l="1"/>
  <c r="S142" i="52" s="1"/>
  <c r="Q143" i="52"/>
  <c r="R143" i="52" l="1"/>
  <c r="S143" i="52" s="1"/>
  <c r="Q144" i="52"/>
  <c r="R144" i="52" l="1"/>
  <c r="S144" i="52" s="1"/>
  <c r="Q145" i="52"/>
  <c r="R145" i="52" l="1"/>
  <c r="S145" i="52" s="1"/>
  <c r="Q146" i="52"/>
  <c r="R146" i="52" l="1"/>
  <c r="S146" i="52" s="1"/>
  <c r="Q147" i="52"/>
  <c r="R147" i="52" l="1"/>
  <c r="S147" i="52" s="1"/>
  <c r="Q148" i="52"/>
  <c r="R148" i="52" l="1"/>
  <c r="S148" i="52" s="1"/>
  <c r="Q149" i="52"/>
  <c r="R149" i="52" l="1"/>
  <c r="S149" i="52" s="1"/>
  <c r="Q150" i="52"/>
  <c r="R150" i="52" l="1"/>
  <c r="S150" i="52" s="1"/>
  <c r="Q151" i="52"/>
  <c r="R151" i="52" l="1"/>
  <c r="S151" i="52" s="1"/>
  <c r="Q152" i="52"/>
  <c r="R152" i="52" l="1"/>
  <c r="S152" i="52" s="1"/>
  <c r="Q153" i="52"/>
  <c r="R153" i="52" l="1"/>
  <c r="S153" i="52" s="1"/>
  <c r="Q154" i="52"/>
  <c r="R154" i="52" l="1"/>
  <c r="S154" i="52" s="1"/>
  <c r="Q155" i="52"/>
  <c r="R155" i="52" l="1"/>
  <c r="S155" i="52" s="1"/>
  <c r="Q156" i="52"/>
  <c r="R156" i="52" l="1"/>
  <c r="S156" i="52" s="1"/>
  <c r="Q157" i="52"/>
  <c r="R157" i="52" l="1"/>
  <c r="S157" i="52" s="1"/>
  <c r="Q158" i="52"/>
  <c r="R158" i="52" l="1"/>
  <c r="S158" i="52" s="1"/>
  <c r="Q159" i="52"/>
  <c r="R159" i="52" l="1"/>
  <c r="S159" i="52" s="1"/>
  <c r="Q160" i="52"/>
  <c r="R160" i="52" l="1"/>
  <c r="S160" i="52" s="1"/>
  <c r="Q161" i="52"/>
  <c r="R161" i="52" l="1"/>
  <c r="S161" i="52" s="1"/>
  <c r="Q162" i="52"/>
  <c r="R162" i="52" l="1"/>
  <c r="S162" i="52" s="1"/>
  <c r="Q163" i="52"/>
  <c r="R163" i="52" l="1"/>
  <c r="S163" i="52" s="1"/>
  <c r="Q164" i="52"/>
  <c r="R164" i="52" l="1"/>
  <c r="S164" i="52" s="1"/>
  <c r="Q165" i="52"/>
  <c r="R165" i="52" l="1"/>
  <c r="S165" i="52" s="1"/>
  <c r="Q166" i="52"/>
  <c r="R166" i="52" l="1"/>
  <c r="S166" i="52" s="1"/>
  <c r="Q167" i="52"/>
  <c r="R167" i="52" l="1"/>
  <c r="S167" i="52" s="1"/>
  <c r="Q168" i="52"/>
  <c r="R168" i="52" l="1"/>
  <c r="S168" i="52" s="1"/>
  <c r="Q169" i="52"/>
  <c r="R169" i="52" l="1"/>
  <c r="S169" i="52" s="1"/>
  <c r="Q170" i="52"/>
  <c r="R170" i="52" l="1"/>
  <c r="S170" i="52" s="1"/>
  <c r="Q171" i="52"/>
  <c r="R171" i="52" l="1"/>
  <c r="S171" i="52" s="1"/>
  <c r="Q172" i="52"/>
  <c r="R172" i="52" l="1"/>
  <c r="S172" i="52" s="1"/>
  <c r="Q173" i="52"/>
  <c r="R173" i="52" l="1"/>
  <c r="S173" i="52" s="1"/>
  <c r="Q174" i="52"/>
  <c r="R174" i="52" l="1"/>
  <c r="S174" i="52" s="1"/>
  <c r="Q175" i="52"/>
  <c r="R175" i="52" l="1"/>
  <c r="S175" i="52" s="1"/>
  <c r="Q176" i="52"/>
  <c r="R176" i="52" l="1"/>
  <c r="S176" i="52" s="1"/>
  <c r="Q177" i="52"/>
  <c r="R177" i="52" l="1"/>
  <c r="S177" i="52" s="1"/>
  <c r="Q178" i="52"/>
  <c r="R178" i="52" l="1"/>
  <c r="S178" i="52" s="1"/>
  <c r="Q179" i="52"/>
  <c r="R179" i="52" l="1"/>
  <c r="S179" i="52" s="1"/>
  <c r="Q180" i="52"/>
  <c r="R180" i="52" l="1"/>
  <c r="S180" i="52" s="1"/>
  <c r="Q181" i="52"/>
  <c r="R181" i="52" l="1"/>
  <c r="S181" i="52" s="1"/>
  <c r="Q182" i="52"/>
  <c r="R182" i="52" l="1"/>
  <c r="S182" i="52" s="1"/>
  <c r="Q183" i="52"/>
  <c r="R183" i="52" l="1"/>
  <c r="S183" i="52" s="1"/>
  <c r="Q184" i="52"/>
  <c r="R184" i="52" l="1"/>
  <c r="S184" i="52" s="1"/>
  <c r="Q185" i="52"/>
  <c r="R185" i="52" l="1"/>
  <c r="S185" i="52" s="1"/>
  <c r="Q186" i="52"/>
  <c r="R186" i="52" l="1"/>
  <c r="S186" i="52" s="1"/>
  <c r="Q187" i="52"/>
  <c r="R187" i="52" l="1"/>
  <c r="S187" i="52" s="1"/>
  <c r="Q188" i="52"/>
  <c r="R188" i="52" l="1"/>
  <c r="S188" i="52" s="1"/>
  <c r="Q189" i="52"/>
  <c r="R189" i="52" l="1"/>
  <c r="S189" i="52" s="1"/>
  <c r="Q190" i="52"/>
  <c r="R190" i="52" l="1"/>
  <c r="S190" i="52" s="1"/>
  <c r="Q191" i="52"/>
  <c r="R191" i="52" l="1"/>
  <c r="S191" i="52" s="1"/>
  <c r="Q192" i="52"/>
  <c r="R192" i="52" l="1"/>
  <c r="S192" i="52" s="1"/>
  <c r="Q193" i="52"/>
  <c r="R193" i="52" l="1"/>
  <c r="S193" i="52" s="1"/>
  <c r="Q194" i="52"/>
  <c r="R194" i="52" l="1"/>
  <c r="S194" i="52" s="1"/>
  <c r="Q195" i="52"/>
  <c r="R195" i="52" l="1"/>
  <c r="S195" i="52" s="1"/>
  <c r="Q196" i="52"/>
  <c r="R196" i="52" l="1"/>
  <c r="S196" i="52" s="1"/>
  <c r="Q197" i="52"/>
  <c r="R197" i="52" l="1"/>
  <c r="S197" i="52" s="1"/>
  <c r="Q198" i="52"/>
  <c r="R198" i="52" l="1"/>
  <c r="S198" i="52" s="1"/>
  <c r="Q199" i="52"/>
  <c r="R199" i="52" l="1"/>
  <c r="S199" i="52" s="1"/>
  <c r="Q200" i="52"/>
  <c r="R200" i="52" l="1"/>
  <c r="S200" i="52" s="1"/>
  <c r="Q201" i="52"/>
  <c r="R201" i="52" l="1"/>
  <c r="S201" i="52" s="1"/>
  <c r="Q202" i="52"/>
  <c r="R202" i="52" l="1"/>
  <c r="S202" i="52" s="1"/>
  <c r="Q203" i="52"/>
  <c r="R203" i="52" l="1"/>
  <c r="S203" i="52" s="1"/>
  <c r="Q204" i="52"/>
  <c r="R204" i="52" l="1"/>
  <c r="S204" i="52" s="1"/>
  <c r="Q205" i="52"/>
  <c r="R205" i="52" l="1"/>
  <c r="S205" i="52" s="1"/>
  <c r="Q206" i="52"/>
  <c r="R206" i="52" l="1"/>
  <c r="S206" i="52" s="1"/>
  <c r="Q207" i="52"/>
  <c r="R207" i="52" l="1"/>
  <c r="S207" i="52" s="1"/>
  <c r="Q208" i="52"/>
  <c r="R208" i="52" l="1"/>
  <c r="S208" i="52" s="1"/>
  <c r="Q209" i="52"/>
  <c r="R209" i="52" l="1"/>
  <c r="S209" i="52" s="1"/>
  <c r="Q210" i="52"/>
  <c r="R210" i="52" l="1"/>
  <c r="S210" i="52" s="1"/>
  <c r="Q211" i="52"/>
  <c r="R211" i="52" l="1"/>
  <c r="S211" i="52" s="1"/>
  <c r="Q212" i="52"/>
  <c r="R212" i="52" l="1"/>
  <c r="S212" i="52" s="1"/>
  <c r="Q213" i="52"/>
  <c r="R213" i="52" l="1"/>
  <c r="S213" i="52" s="1"/>
  <c r="Q214" i="52"/>
  <c r="R214" i="52" l="1"/>
  <c r="S214" i="52" s="1"/>
  <c r="Q215" i="52"/>
  <c r="R215" i="52" l="1"/>
  <c r="S215" i="52" s="1"/>
  <c r="Q216" i="52"/>
  <c r="R216" i="52" l="1"/>
  <c r="S216" i="52" s="1"/>
  <c r="Q217" i="52"/>
  <c r="R217" i="52" l="1"/>
  <c r="S217" i="52" s="1"/>
  <c r="Q218" i="52"/>
  <c r="R218" i="52" l="1"/>
  <c r="S218" i="52" s="1"/>
  <c r="Q219" i="52"/>
  <c r="R219" i="52" l="1"/>
  <c r="S219" i="52" s="1"/>
  <c r="Q220" i="52"/>
  <c r="R220" i="52" l="1"/>
  <c r="S220" i="52" s="1"/>
  <c r="Q221" i="52"/>
  <c r="R221" i="52" l="1"/>
  <c r="S221" i="52" s="1"/>
  <c r="Q222" i="52"/>
  <c r="R222" i="52" l="1"/>
  <c r="S222" i="52" s="1"/>
  <c r="Q223" i="52"/>
  <c r="R223" i="52" l="1"/>
  <c r="S223" i="52" s="1"/>
  <c r="Q224" i="52"/>
  <c r="R224" i="52" l="1"/>
  <c r="S224" i="52" s="1"/>
  <c r="Q225" i="52"/>
  <c r="R225" i="52" l="1"/>
  <c r="S225" i="52" s="1"/>
  <c r="Q226" i="52"/>
  <c r="R226" i="52" l="1"/>
  <c r="S226" i="52" s="1"/>
  <c r="Q227" i="52"/>
  <c r="R227" i="52" l="1"/>
  <c r="S227" i="52" s="1"/>
  <c r="Q228" i="52"/>
  <c r="R228" i="52" l="1"/>
  <c r="S228" i="52" s="1"/>
  <c r="Q229" i="52"/>
  <c r="R229" i="52" l="1"/>
  <c r="S229" i="52" s="1"/>
  <c r="Q230" i="52"/>
  <c r="R230" i="52" l="1"/>
  <c r="S230" i="52" s="1"/>
  <c r="Q231" i="52"/>
  <c r="R231" i="52" l="1"/>
  <c r="S231" i="52" s="1"/>
  <c r="Q232" i="52"/>
  <c r="R232" i="52" l="1"/>
  <c r="S232" i="52" s="1"/>
  <c r="Q233" i="52"/>
  <c r="R233" i="52" l="1"/>
  <c r="S233" i="52" s="1"/>
  <c r="Q234" i="52"/>
  <c r="R234" i="52" l="1"/>
  <c r="S234" i="52" s="1"/>
  <c r="Q235" i="52"/>
  <c r="R235" i="52" l="1"/>
  <c r="S235" i="52" s="1"/>
  <c r="Q236" i="52"/>
  <c r="R236" i="52" l="1"/>
  <c r="S236" i="52" s="1"/>
  <c r="Q237" i="52"/>
  <c r="R237" i="52" l="1"/>
  <c r="S237" i="52" s="1"/>
  <c r="Q238" i="52"/>
  <c r="R238" i="52" l="1"/>
  <c r="S238" i="52" s="1"/>
  <c r="Q239" i="52"/>
  <c r="R239" i="52" l="1"/>
  <c r="S239" i="52" s="1"/>
  <c r="Q240" i="52"/>
  <c r="R240" i="52" l="1"/>
  <c r="S240" i="52" s="1"/>
  <c r="Q241" i="52"/>
  <c r="R241" i="52" l="1"/>
  <c r="S241" i="52" s="1"/>
  <c r="Q242" i="52"/>
  <c r="R242" i="52" l="1"/>
  <c r="S242" i="52" s="1"/>
  <c r="Q243" i="52"/>
  <c r="R243" i="52" l="1"/>
  <c r="S243" i="52" s="1"/>
  <c r="Q244" i="52"/>
  <c r="R244" i="52" l="1"/>
  <c r="S244" i="52" s="1"/>
  <c r="Q245" i="52"/>
  <c r="R245" i="52" l="1"/>
  <c r="S245" i="52" s="1"/>
  <c r="Q246" i="52"/>
  <c r="R246" i="52" l="1"/>
  <c r="S246" i="52" s="1"/>
  <c r="Q247" i="52"/>
  <c r="R247" i="52" l="1"/>
  <c r="S247" i="52" s="1"/>
  <c r="Q248" i="52"/>
  <c r="R248" i="52" l="1"/>
  <c r="S248" i="52" s="1"/>
  <c r="Q249" i="52"/>
  <c r="R249" i="52" l="1"/>
  <c r="S249" i="52" s="1"/>
  <c r="Q250" i="52"/>
  <c r="R250" i="52" l="1"/>
  <c r="S250" i="52" s="1"/>
  <c r="Q251" i="52"/>
  <c r="R251" i="52" l="1"/>
  <c r="S251" i="52" s="1"/>
  <c r="Q252" i="52"/>
  <c r="R252" i="52" l="1"/>
  <c r="S252" i="52" s="1"/>
  <c r="Q253" i="52"/>
  <c r="R253" i="52" l="1"/>
  <c r="S253" i="52" s="1"/>
  <c r="Q254" i="52"/>
  <c r="R254" i="52" l="1"/>
  <c r="S254" i="52" s="1"/>
  <c r="Q255" i="52"/>
  <c r="R255" i="52" l="1"/>
  <c r="S255" i="52" s="1"/>
  <c r="Q256" i="52"/>
  <c r="R256" i="52" l="1"/>
  <c r="S256" i="52" s="1"/>
  <c r="Q257" i="52"/>
  <c r="R257" i="52" l="1"/>
  <c r="S257" i="52" s="1"/>
  <c r="Q258" i="52"/>
  <c r="R258" i="52" l="1"/>
  <c r="S258" i="52" s="1"/>
  <c r="Q259" i="52"/>
  <c r="R259" i="52" l="1"/>
  <c r="S259" i="52" s="1"/>
  <c r="Q260" i="52"/>
  <c r="R260" i="52" l="1"/>
  <c r="S260" i="52" s="1"/>
  <c r="Q261" i="52"/>
  <c r="R261" i="52" l="1"/>
  <c r="S261" i="52" s="1"/>
  <c r="Q262" i="52"/>
  <c r="R262" i="52" l="1"/>
  <c r="S262" i="52" s="1"/>
  <c r="Q263" i="52"/>
  <c r="R263" i="52" l="1"/>
  <c r="S263" i="52" s="1"/>
  <c r="Q264" i="52"/>
  <c r="R264" i="52" l="1"/>
  <c r="S264" i="52" s="1"/>
  <c r="Q265" i="52"/>
  <c r="R265" i="52" l="1"/>
  <c r="S265" i="52" s="1"/>
  <c r="Q266" i="52"/>
  <c r="R266" i="52" l="1"/>
  <c r="S266" i="52" s="1"/>
  <c r="Q267" i="52"/>
  <c r="R267" i="52" l="1"/>
  <c r="S267" i="52" s="1"/>
  <c r="Q268" i="52"/>
  <c r="R268" i="52" l="1"/>
  <c r="S268" i="52" s="1"/>
  <c r="Q269" i="52"/>
  <c r="R269" i="52" l="1"/>
  <c r="S269" i="52" s="1"/>
  <c r="Q270" i="52"/>
  <c r="R270" i="52" l="1"/>
  <c r="S270" i="52" s="1"/>
  <c r="Q271" i="52"/>
  <c r="R271" i="52" l="1"/>
  <c r="S271" i="52" s="1"/>
  <c r="Q272" i="52"/>
  <c r="R272" i="52" l="1"/>
  <c r="S272" i="52" s="1"/>
  <c r="Q273" i="52"/>
  <c r="R273" i="52" l="1"/>
  <c r="S273" i="52" s="1"/>
  <c r="Q274" i="52"/>
  <c r="R274" i="52" l="1"/>
  <c r="S274" i="52" s="1"/>
  <c r="Q275" i="52"/>
  <c r="R275" i="52" l="1"/>
  <c r="S275" i="52" s="1"/>
  <c r="Q276" i="52"/>
  <c r="R276" i="52" l="1"/>
  <c r="S276" i="52" s="1"/>
  <c r="Q277" i="52"/>
  <c r="R277" i="52" l="1"/>
  <c r="S277" i="52" s="1"/>
  <c r="Q278" i="52"/>
  <c r="R278" i="52" l="1"/>
  <c r="S278" i="52" s="1"/>
  <c r="Q279" i="52"/>
  <c r="R279" i="52" l="1"/>
  <c r="S279" i="52" s="1"/>
  <c r="Q280" i="52"/>
  <c r="R280" i="52" l="1"/>
  <c r="S280" i="52" s="1"/>
  <c r="Q281" i="52"/>
  <c r="R281" i="52" l="1"/>
  <c r="S281" i="52" s="1"/>
  <c r="Q282" i="52"/>
  <c r="R282" i="52" l="1"/>
  <c r="S282" i="52" s="1"/>
  <c r="Q283" i="52"/>
  <c r="R283" i="52" l="1"/>
  <c r="S283" i="52" s="1"/>
  <c r="Q284" i="52"/>
  <c r="R284" i="52" l="1"/>
  <c r="S284" i="52" s="1"/>
  <c r="Q285" i="52"/>
  <c r="R285" i="52" l="1"/>
  <c r="S285" i="52" s="1"/>
  <c r="Q286" i="52"/>
  <c r="R286" i="52" l="1"/>
  <c r="S286" i="52" s="1"/>
  <c r="Q287" i="52"/>
  <c r="R287" i="52" l="1"/>
  <c r="S287" i="52" s="1"/>
  <c r="Q288" i="52"/>
  <c r="R288" i="52" l="1"/>
  <c r="S288" i="52" s="1"/>
  <c r="Q289" i="52"/>
  <c r="R289" i="52" l="1"/>
  <c r="S289" i="52" s="1"/>
  <c r="Q290" i="52"/>
  <c r="R290" i="52" l="1"/>
  <c r="S290" i="52" s="1"/>
  <c r="Q291" i="52"/>
  <c r="R291" i="52" l="1"/>
  <c r="S291" i="52" s="1"/>
  <c r="Q292" i="52"/>
  <c r="R292" i="52" l="1"/>
  <c r="S292" i="52" s="1"/>
  <c r="Q293" i="52"/>
  <c r="R293" i="52" l="1"/>
  <c r="S293" i="52" s="1"/>
  <c r="Q294" i="52"/>
  <c r="R294" i="52" l="1"/>
  <c r="S294" i="52" s="1"/>
  <c r="Q295" i="52"/>
  <c r="R295" i="52" l="1"/>
  <c r="S295" i="52" s="1"/>
  <c r="Q296" i="52"/>
  <c r="R296" i="52" l="1"/>
  <c r="S296" i="52" s="1"/>
  <c r="Q297" i="52"/>
  <c r="R297" i="52" l="1"/>
  <c r="S297" i="52" s="1"/>
  <c r="Q298" i="52"/>
  <c r="R298" i="52" l="1"/>
  <c r="S298" i="52" s="1"/>
  <c r="Q299" i="52"/>
  <c r="R299" i="52" l="1"/>
  <c r="S299" i="52" s="1"/>
  <c r="Q300" i="52"/>
  <c r="R300" i="52" l="1"/>
  <c r="S300" i="52" s="1"/>
  <c r="Q301" i="52"/>
  <c r="R301" i="52" l="1"/>
  <c r="S301" i="52" s="1"/>
  <c r="Q302" i="52"/>
  <c r="R302" i="52" l="1"/>
  <c r="S302" i="52" s="1"/>
  <c r="Q303" i="52"/>
  <c r="R303" i="52" l="1"/>
  <c r="S303" i="52" s="1"/>
  <c r="Q304" i="52"/>
  <c r="R304" i="52" l="1"/>
  <c r="S304" i="52" s="1"/>
  <c r="Q305" i="52"/>
  <c r="R305" i="52" l="1"/>
  <c r="S305" i="52" s="1"/>
  <c r="Q306" i="52"/>
  <c r="R306" i="52" l="1"/>
  <c r="S306" i="52" s="1"/>
  <c r="Q307" i="52"/>
  <c r="R307" i="52" l="1"/>
  <c r="S307" i="52" s="1"/>
  <c r="Q308" i="52"/>
  <c r="R308" i="52" l="1"/>
  <c r="S308" i="52" s="1"/>
  <c r="Q309" i="52"/>
  <c r="R309" i="52" l="1"/>
  <c r="S309" i="52" s="1"/>
  <c r="Q310" i="52"/>
  <c r="R310" i="52" l="1"/>
  <c r="S310" i="52" s="1"/>
  <c r="Q311" i="52"/>
  <c r="R311" i="52" l="1"/>
  <c r="S311" i="52" s="1"/>
  <c r="Q312" i="52"/>
  <c r="R312" i="52" l="1"/>
  <c r="S312" i="52" s="1"/>
  <c r="Q313" i="52"/>
  <c r="R313" i="52" l="1"/>
  <c r="S313" i="52" s="1"/>
  <c r="Q314" i="52"/>
  <c r="R314" i="52" l="1"/>
  <c r="S314" i="52" s="1"/>
  <c r="Q315" i="52"/>
  <c r="R315" i="52" l="1"/>
  <c r="S315" i="52" s="1"/>
  <c r="Q316" i="52"/>
  <c r="R316" i="52" l="1"/>
  <c r="S316" i="52" s="1"/>
  <c r="Q317" i="52"/>
  <c r="R317" i="52" l="1"/>
  <c r="S317" i="52" s="1"/>
  <c r="Q318" i="52"/>
  <c r="R318" i="52" l="1"/>
  <c r="S318" i="52" s="1"/>
  <c r="Q319" i="52"/>
  <c r="R319" i="52" l="1"/>
  <c r="S319" i="52" s="1"/>
  <c r="Q320" i="52"/>
  <c r="R320" i="52" l="1"/>
  <c r="S320" i="52" s="1"/>
  <c r="Q321" i="52"/>
  <c r="R321" i="52" l="1"/>
  <c r="S321" i="52" s="1"/>
  <c r="Q322" i="52"/>
  <c r="R322" i="52" l="1"/>
  <c r="S322" i="52" s="1"/>
  <c r="Q323" i="52"/>
  <c r="R323" i="52" l="1"/>
  <c r="S323" i="52" s="1"/>
  <c r="Q324" i="52"/>
  <c r="R324" i="52" l="1"/>
  <c r="S324" i="52" s="1"/>
  <c r="Q325" i="52"/>
  <c r="R325" i="52" l="1"/>
  <c r="S325" i="52" s="1"/>
  <c r="Q326" i="52"/>
  <c r="R326" i="52" l="1"/>
  <c r="S326" i="52" s="1"/>
  <c r="Q327" i="52"/>
  <c r="R327" i="52" l="1"/>
  <c r="S327" i="52" s="1"/>
  <c r="Q328" i="52"/>
  <c r="R328" i="52" l="1"/>
  <c r="S328" i="52" s="1"/>
  <c r="Q329" i="52"/>
  <c r="R329" i="52" l="1"/>
  <c r="S329" i="52" s="1"/>
  <c r="Q330" i="52"/>
  <c r="R330" i="52" l="1"/>
  <c r="S330" i="52" s="1"/>
  <c r="Q331" i="52"/>
  <c r="R331" i="52" l="1"/>
  <c r="S331" i="52" s="1"/>
  <c r="Q332" i="52"/>
  <c r="R332" i="52" l="1"/>
  <c r="S332" i="52" s="1"/>
  <c r="Q333" i="52"/>
  <c r="R333" i="52" l="1"/>
  <c r="S333" i="52" s="1"/>
  <c r="Q334" i="52"/>
  <c r="R334" i="52" l="1"/>
  <c r="S334" i="52" s="1"/>
  <c r="Q335" i="52"/>
  <c r="R335" i="52" l="1"/>
  <c r="S335" i="52" s="1"/>
  <c r="Q336" i="52"/>
  <c r="R336" i="52" l="1"/>
  <c r="S336" i="52" s="1"/>
  <c r="Q337" i="52"/>
  <c r="R337" i="52" l="1"/>
  <c r="S337" i="52" s="1"/>
  <c r="Q338" i="52"/>
  <c r="R338" i="52" l="1"/>
  <c r="S338" i="52" s="1"/>
  <c r="Q339" i="52"/>
  <c r="R339" i="52" l="1"/>
  <c r="S339" i="52" s="1"/>
  <c r="Q340" i="52"/>
  <c r="R340" i="52" l="1"/>
  <c r="S340" i="52" s="1"/>
  <c r="Q341" i="52"/>
  <c r="R341" i="52" l="1"/>
  <c r="S341" i="52" s="1"/>
  <c r="Q342" i="52"/>
  <c r="R342" i="52" l="1"/>
  <c r="S342" i="52" s="1"/>
  <c r="Q343" i="52"/>
  <c r="R343" i="52" l="1"/>
  <c r="S343" i="52" s="1"/>
  <c r="Q344" i="52"/>
  <c r="R344" i="52" l="1"/>
  <c r="S344" i="52" s="1"/>
  <c r="Q345" i="52"/>
  <c r="R345" i="52" l="1"/>
  <c r="S345" i="52" s="1"/>
  <c r="Q346" i="52"/>
  <c r="R346" i="52" l="1"/>
  <c r="S346" i="52" s="1"/>
  <c r="Q347" i="52"/>
  <c r="R347" i="52" l="1"/>
  <c r="S347" i="52" s="1"/>
  <c r="Q348" i="52"/>
  <c r="R348" i="52" l="1"/>
  <c r="S348" i="52" s="1"/>
  <c r="Q349" i="52"/>
  <c r="R349" i="52" l="1"/>
  <c r="S349" i="52" s="1"/>
  <c r="Q350" i="52"/>
  <c r="R350" i="52" l="1"/>
  <c r="S350" i="52" s="1"/>
  <c r="Q351" i="52"/>
  <c r="R351" i="52" l="1"/>
  <c r="S351" i="52" s="1"/>
  <c r="Q352" i="52"/>
  <c r="R352" i="52" l="1"/>
  <c r="S352" i="52" s="1"/>
  <c r="Q353" i="52"/>
  <c r="R353" i="52" l="1"/>
  <c r="S353" i="52" s="1"/>
  <c r="Q354" i="52"/>
  <c r="R354" i="52" l="1"/>
  <c r="S354" i="52" s="1"/>
  <c r="Q355" i="52"/>
  <c r="R355" i="52" l="1"/>
  <c r="S355" i="52" s="1"/>
  <c r="Q356" i="52"/>
  <c r="R356" i="52" l="1"/>
  <c r="S356" i="52" s="1"/>
  <c r="Q357" i="52"/>
  <c r="R357" i="52" l="1"/>
  <c r="S357" i="52" s="1"/>
  <c r="Q358" i="52"/>
  <c r="R358" i="52" l="1"/>
  <c r="S358" i="52" s="1"/>
  <c r="Q359" i="52"/>
  <c r="R359" i="52" l="1"/>
  <c r="S359" i="52" s="1"/>
  <c r="Q360" i="52"/>
  <c r="R360" i="52" l="1"/>
  <c r="S360" i="52" s="1"/>
  <c r="Q361" i="52"/>
  <c r="R361" i="52" l="1"/>
  <c r="S361" i="52" s="1"/>
  <c r="Q362" i="52"/>
  <c r="R362" i="52" l="1"/>
  <c r="S362" i="52" s="1"/>
  <c r="Q363" i="52"/>
  <c r="R363" i="52" l="1"/>
  <c r="S363" i="52" s="1"/>
  <c r="Q364" i="52"/>
  <c r="R364" i="52" l="1"/>
  <c r="S364" i="52" s="1"/>
  <c r="Q365" i="52"/>
  <c r="R365" i="52" l="1"/>
  <c r="S365" i="52" s="1"/>
  <c r="Q366" i="52"/>
  <c r="R366" i="52" l="1"/>
  <c r="S366" i="52" s="1"/>
  <c r="Q367" i="52"/>
  <c r="R367" i="52" l="1"/>
  <c r="S367" i="52" s="1"/>
  <c r="Q368" i="52"/>
  <c r="R368" i="52" l="1"/>
  <c r="S368" i="52" s="1"/>
  <c r="Q369" i="52"/>
  <c r="R369" i="52" l="1"/>
  <c r="S369" i="52" s="1"/>
  <c r="Q370" i="52"/>
  <c r="R370" i="52" l="1"/>
  <c r="S370" i="52" s="1"/>
  <c r="Q371" i="52"/>
  <c r="R371" i="52" l="1"/>
  <c r="S371" i="52" s="1"/>
  <c r="Q372" i="52"/>
  <c r="R372" i="52" l="1"/>
  <c r="S372" i="52" s="1"/>
  <c r="Q373" i="52"/>
  <c r="R373" i="52" l="1"/>
  <c r="S373" i="52" s="1"/>
  <c r="Q374" i="52"/>
  <c r="R374" i="52" l="1"/>
  <c r="S374" i="52" s="1"/>
  <c r="Q375" i="52"/>
  <c r="R375" i="52" l="1"/>
  <c r="S375" i="52" s="1"/>
  <c r="Q376" i="52"/>
  <c r="R376" i="52" l="1"/>
  <c r="S376" i="52" s="1"/>
  <c r="Q377" i="52"/>
  <c r="R377" i="52" l="1"/>
  <c r="S377" i="52" s="1"/>
  <c r="Q378" i="52"/>
  <c r="R378" i="52" l="1"/>
  <c r="S378" i="52" s="1"/>
  <c r="Q379" i="52"/>
  <c r="R379" i="52" l="1"/>
  <c r="S379" i="52" s="1"/>
  <c r="Q380" i="52"/>
  <c r="R380" i="52" l="1"/>
  <c r="S380" i="52" s="1"/>
  <c r="Q381" i="52"/>
  <c r="R381" i="52" l="1"/>
  <c r="S381" i="52" s="1"/>
  <c r="Q382" i="52"/>
  <c r="R382" i="52" l="1"/>
  <c r="S382" i="52" s="1"/>
  <c r="Q383" i="52"/>
  <c r="R383" i="52" l="1"/>
  <c r="S383" i="52" s="1"/>
  <c r="Q384" i="52"/>
  <c r="R384" i="52" l="1"/>
  <c r="S384" i="52" s="1"/>
  <c r="Q385" i="52"/>
  <c r="R385" i="52" l="1"/>
  <c r="S385" i="52" s="1"/>
  <c r="Q386" i="52"/>
  <c r="R386" i="52" l="1"/>
  <c r="S386" i="52" s="1"/>
  <c r="Q387" i="52"/>
  <c r="R387" i="52" l="1"/>
  <c r="S387" i="52" s="1"/>
  <c r="Q388" i="52"/>
  <c r="R388" i="52" l="1"/>
  <c r="S388" i="52" s="1"/>
  <c r="Q389" i="52"/>
  <c r="R389" i="52" l="1"/>
  <c r="S389" i="52" s="1"/>
  <c r="Q390" i="52"/>
  <c r="R390" i="52" l="1"/>
  <c r="S390" i="52" s="1"/>
  <c r="Q391" i="52"/>
  <c r="R391" i="52" l="1"/>
  <c r="S391" i="52" s="1"/>
  <c r="Q392" i="52"/>
  <c r="R392" i="52" l="1"/>
  <c r="S392" i="52" s="1"/>
  <c r="Q393" i="52"/>
  <c r="R393" i="52" l="1"/>
  <c r="S393" i="52" s="1"/>
  <c r="Q394" i="52"/>
  <c r="R394" i="52" l="1"/>
  <c r="S394" i="52" s="1"/>
  <c r="Q395" i="52"/>
  <c r="R395" i="52" l="1"/>
  <c r="S395" i="52" s="1"/>
  <c r="Q396" i="52"/>
  <c r="R396" i="52" l="1"/>
  <c r="S396" i="52" s="1"/>
  <c r="Q397" i="52"/>
  <c r="R397" i="52" l="1"/>
  <c r="S397" i="52" s="1"/>
  <c r="Q398" i="52"/>
  <c r="R398" i="52" l="1"/>
  <c r="S398" i="52" s="1"/>
  <c r="Q399" i="52"/>
  <c r="R399" i="52" l="1"/>
  <c r="S399" i="52" s="1"/>
  <c r="Q400" i="52"/>
  <c r="R400" i="52" l="1"/>
  <c r="S400" i="52" s="1"/>
  <c r="Q401" i="52"/>
  <c r="R401" i="52" l="1"/>
  <c r="S401" i="52" s="1"/>
  <c r="Q402" i="52"/>
  <c r="R402" i="52" l="1"/>
  <c r="S402" i="52" s="1"/>
  <c r="Q403" i="52"/>
  <c r="R403" i="52" l="1"/>
  <c r="S403" i="52" s="1"/>
  <c r="Q404" i="52"/>
  <c r="R404" i="52" l="1"/>
  <c r="S404" i="52" s="1"/>
  <c r="Q405" i="52"/>
  <c r="R405" i="52" l="1"/>
  <c r="S405" i="52" s="1"/>
  <c r="Q406" i="52"/>
  <c r="R406" i="52" l="1"/>
  <c r="S406" i="52" s="1"/>
  <c r="Q407" i="52"/>
  <c r="R407" i="52" l="1"/>
  <c r="S407" i="52" s="1"/>
  <c r="Q408" i="52"/>
  <c r="R408" i="52" l="1"/>
  <c r="S408" i="52" s="1"/>
  <c r="Q409" i="52"/>
  <c r="R409" i="52" l="1"/>
  <c r="S409" i="52" s="1"/>
  <c r="Q410" i="52"/>
  <c r="R410" i="52" l="1"/>
  <c r="S410" i="52" s="1"/>
  <c r="Q411" i="52"/>
  <c r="R411" i="52" l="1"/>
  <c r="S411" i="52" s="1"/>
  <c r="Q412" i="52"/>
  <c r="R412" i="52" l="1"/>
  <c r="S412" i="52" s="1"/>
  <c r="Q413" i="52"/>
  <c r="R413" i="52" l="1"/>
  <c r="S413" i="52" s="1"/>
  <c r="Q414" i="52"/>
  <c r="R414" i="52" l="1"/>
  <c r="S414" i="52" s="1"/>
  <c r="Q415" i="52"/>
  <c r="R415" i="52" l="1"/>
  <c r="S415" i="52" s="1"/>
  <c r="Q416" i="52"/>
  <c r="R416" i="52" l="1"/>
  <c r="S416" i="52" s="1"/>
  <c r="Q417" i="52"/>
  <c r="R417" i="52" l="1"/>
  <c r="S417" i="52" s="1"/>
  <c r="Q418" i="52"/>
  <c r="R418" i="52" l="1"/>
  <c r="S418" i="52" s="1"/>
  <c r="Q419" i="52"/>
  <c r="R419" i="52" l="1"/>
  <c r="S419" i="52" s="1"/>
  <c r="Q420" i="52"/>
  <c r="R420" i="52" l="1"/>
  <c r="S420" i="52" s="1"/>
  <c r="Q421" i="52"/>
  <c r="R421" i="52" l="1"/>
  <c r="S421" i="52" s="1"/>
  <c r="Q422" i="52"/>
  <c r="R422" i="52" l="1"/>
  <c r="S422" i="52" s="1"/>
  <c r="Q423" i="52"/>
  <c r="R423" i="52" l="1"/>
  <c r="S423" i="52" s="1"/>
  <c r="Q424" i="52"/>
  <c r="R424" i="52" l="1"/>
  <c r="S424" i="52" s="1"/>
  <c r="Q425" i="52"/>
  <c r="R425" i="52" l="1"/>
  <c r="S425" i="52" s="1"/>
  <c r="Q426" i="52"/>
  <c r="R426" i="52" l="1"/>
  <c r="S426" i="52" s="1"/>
  <c r="Q427" i="52"/>
  <c r="R427" i="52" l="1"/>
  <c r="S427" i="52" s="1"/>
  <c r="Q428" i="52"/>
  <c r="R428" i="52" l="1"/>
  <c r="S428" i="52" s="1"/>
  <c r="Q429" i="52"/>
  <c r="R429" i="52" l="1"/>
  <c r="S429" i="52" s="1"/>
  <c r="Q430" i="52"/>
  <c r="R430" i="52" l="1"/>
  <c r="S430" i="52" s="1"/>
  <c r="Q431" i="52"/>
  <c r="R431" i="52" l="1"/>
  <c r="S431" i="52" s="1"/>
  <c r="Q432" i="52"/>
  <c r="R432" i="52" l="1"/>
  <c r="S432" i="52" s="1"/>
  <c r="Q433" i="52"/>
  <c r="R433" i="52" l="1"/>
  <c r="S433" i="52" s="1"/>
  <c r="Q434" i="52"/>
  <c r="R434" i="52" l="1"/>
  <c r="S434" i="52" s="1"/>
  <c r="Q435" i="52"/>
  <c r="R435" i="52" l="1"/>
  <c r="S435" i="52" s="1"/>
  <c r="Q436" i="52"/>
  <c r="R436" i="52" l="1"/>
  <c r="S436" i="52" s="1"/>
  <c r="Q437" i="52"/>
  <c r="R437" i="52" l="1"/>
  <c r="S437" i="52" s="1"/>
  <c r="Q438" i="52"/>
  <c r="R438" i="52" l="1"/>
  <c r="S438" i="52" s="1"/>
  <c r="Q439" i="52"/>
  <c r="R439" i="52" l="1"/>
  <c r="S439" i="52" s="1"/>
  <c r="Q440" i="52"/>
  <c r="R440" i="52" l="1"/>
  <c r="S440" i="52" s="1"/>
  <c r="Q441" i="52"/>
  <c r="R441" i="52" l="1"/>
  <c r="S441" i="52" s="1"/>
  <c r="Q442" i="52"/>
  <c r="R442" i="52" l="1"/>
  <c r="S442" i="52" s="1"/>
  <c r="Q443" i="52"/>
  <c r="R443" i="52" l="1"/>
  <c r="S443" i="52" s="1"/>
  <c r="Q444" i="52"/>
  <c r="R444" i="52" l="1"/>
  <c r="S444" i="52" s="1"/>
  <c r="Q445" i="52"/>
  <c r="R445" i="52" l="1"/>
  <c r="S445" i="52" s="1"/>
  <c r="Q446" i="52"/>
  <c r="R446" i="52" l="1"/>
  <c r="S446" i="52" s="1"/>
  <c r="Q447" i="52"/>
  <c r="R447" i="52" l="1"/>
  <c r="S447" i="52" s="1"/>
  <c r="Q448" i="52" l="1"/>
  <c r="R448" i="52" l="1"/>
  <c r="S448" i="52" s="1"/>
  <c r="Q449" i="52"/>
  <c r="R449" i="52" l="1"/>
  <c r="S449" i="52" s="1"/>
  <c r="Q450" i="52"/>
  <c r="R450" i="52" l="1"/>
  <c r="S450" i="52" s="1"/>
  <c r="Q451" i="52"/>
  <c r="R451" i="52" l="1"/>
  <c r="S451" i="52" s="1"/>
  <c r="Q452" i="52"/>
  <c r="R452" i="52" l="1"/>
  <c r="S452" i="52" s="1"/>
  <c r="Q453" i="52"/>
  <c r="R453" i="52" l="1"/>
  <c r="S453" i="52" s="1"/>
  <c r="Q454" i="52"/>
  <c r="R454" i="52" l="1"/>
  <c r="S454" i="52" s="1"/>
  <c r="Q455" i="52"/>
  <c r="Q456" i="52" s="1"/>
  <c r="R455" i="52" l="1"/>
  <c r="S455" i="52" s="1"/>
  <c r="R456" i="52"/>
  <c r="S456" i="52" s="1"/>
  <c r="Q457" i="52"/>
  <c r="R457" i="52" l="1"/>
  <c r="S457" i="52" s="1"/>
  <c r="Q458" i="52"/>
  <c r="R458" i="52" l="1"/>
  <c r="S458" i="52" s="1"/>
  <c r="Q459" i="52"/>
  <c r="R459" i="52" l="1"/>
  <c r="S459" i="52" s="1"/>
  <c r="Q460" i="52"/>
  <c r="R460" i="52" l="1"/>
  <c r="S460" i="52" s="1"/>
  <c r="Q461" i="52"/>
  <c r="R461" i="52" l="1"/>
  <c r="S461" i="52" s="1"/>
  <c r="Q462" i="52"/>
  <c r="R462" i="52" l="1"/>
  <c r="S462" i="52" s="1"/>
  <c r="Q463" i="52"/>
  <c r="R463" i="52" l="1"/>
  <c r="S463" i="52" s="1"/>
  <c r="Q464" i="52"/>
  <c r="R464" i="52" l="1"/>
  <c r="S464" i="52" s="1"/>
  <c r="Q465" i="52"/>
  <c r="R465" i="52" l="1"/>
  <c r="S465" i="52" s="1"/>
  <c r="Q466" i="52"/>
  <c r="R466" i="52" l="1"/>
  <c r="S466" i="52" s="1"/>
  <c r="Q467" i="52"/>
  <c r="R467" i="52" l="1"/>
  <c r="S467" i="52" s="1"/>
  <c r="Q468" i="52"/>
  <c r="R468" i="52" l="1"/>
  <c r="S468" i="52" s="1"/>
  <c r="Q469" i="52"/>
  <c r="R469" i="52" l="1"/>
  <c r="S469" i="52" s="1"/>
  <c r="Q470" i="52"/>
  <c r="R470" i="52" l="1"/>
  <c r="S470" i="52" s="1"/>
  <c r="Q471" i="52"/>
  <c r="R471" i="52" l="1"/>
  <c r="S471" i="52" s="1"/>
  <c r="Q472" i="52"/>
  <c r="R472" i="52" l="1"/>
  <c r="S472" i="52" s="1"/>
  <c r="Q473" i="52"/>
  <c r="R473" i="52" l="1"/>
  <c r="S473" i="52" s="1"/>
  <c r="Q474" i="52"/>
  <c r="R474" i="52" l="1"/>
  <c r="S474" i="52" s="1"/>
  <c r="Q475" i="52"/>
  <c r="R475" i="52" l="1"/>
  <c r="S475" i="52" s="1"/>
  <c r="Q476" i="52"/>
  <c r="R476" i="52" l="1"/>
  <c r="S476" i="52" s="1"/>
  <c r="Q477" i="52"/>
  <c r="R477" i="52" l="1"/>
  <c r="S477" i="52" s="1"/>
  <c r="Q478" i="52"/>
  <c r="R478" i="52" l="1"/>
  <c r="S478" i="52" s="1"/>
  <c r="Q479" i="52"/>
  <c r="R479" i="52" l="1"/>
  <c r="S479" i="52" s="1"/>
  <c r="Q480" i="52"/>
  <c r="R480" i="52" l="1"/>
  <c r="S480" i="52" s="1"/>
  <c r="Q481" i="52"/>
  <c r="R481" i="52" l="1"/>
  <c r="S481" i="52" s="1"/>
  <c r="Q482" i="52"/>
  <c r="R482" i="52" l="1"/>
  <c r="S482" i="52" s="1"/>
  <c r="Q483" i="52"/>
  <c r="R483" i="52" l="1"/>
  <c r="S483" i="52" s="1"/>
  <c r="Q484" i="52"/>
  <c r="R484" i="52" l="1"/>
  <c r="S484" i="52" s="1"/>
  <c r="Q485" i="52"/>
  <c r="R485" i="52" l="1"/>
  <c r="S485" i="52" s="1"/>
  <c r="Q486" i="52"/>
  <c r="R486" i="52" l="1"/>
  <c r="S486" i="52" s="1"/>
  <c r="Q487" i="52"/>
  <c r="R487" i="52" l="1"/>
  <c r="S487" i="52" s="1"/>
  <c r="Q488" i="52"/>
  <c r="R488" i="52" l="1"/>
  <c r="S488" i="52" s="1"/>
  <c r="Q489" i="52"/>
  <c r="R489" i="52" l="1"/>
  <c r="S489" i="52" s="1"/>
  <c r="Q490" i="52"/>
  <c r="R490" i="52" l="1"/>
  <c r="S490" i="52" s="1"/>
  <c r="Q491" i="52"/>
  <c r="R491" i="52" l="1"/>
  <c r="S491" i="52" s="1"/>
  <c r="Q492" i="52"/>
  <c r="R492" i="52" l="1"/>
  <c r="S492" i="52" s="1"/>
  <c r="Q493" i="52"/>
  <c r="R493" i="52" l="1"/>
  <c r="S493" i="52" s="1"/>
  <c r="Q494" i="52"/>
  <c r="R494" i="52" l="1"/>
  <c r="S494" i="52" s="1"/>
  <c r="Q495" i="52"/>
  <c r="R495" i="52" l="1"/>
  <c r="S495" i="52" s="1"/>
  <c r="Q496" i="52"/>
  <c r="R496" i="52" l="1"/>
  <c r="S496" i="52" s="1"/>
  <c r="Q497" i="52"/>
  <c r="R497" i="52" l="1"/>
  <c r="S497" i="52" s="1"/>
  <c r="Q498" i="52"/>
  <c r="R498" i="52" l="1"/>
  <c r="S498" i="52" s="1"/>
  <c r="Q499" i="52"/>
  <c r="R499" i="52" l="1"/>
  <c r="S499" i="52" s="1"/>
  <c r="Q500" i="52"/>
  <c r="R500" i="52" l="1"/>
  <c r="S500" i="52" s="1"/>
  <c r="Q501" i="52"/>
  <c r="R501" i="52" l="1"/>
  <c r="S501" i="52" s="1"/>
  <c r="Q502" i="52"/>
  <c r="R502" i="52" l="1"/>
  <c r="S502" i="52" s="1"/>
  <c r="Q503" i="52"/>
  <c r="R503" i="52" l="1"/>
  <c r="S503" i="52" s="1"/>
  <c r="Q504" i="52"/>
  <c r="R504" i="52" l="1"/>
  <c r="S504" i="52" s="1"/>
  <c r="Q505" i="52"/>
  <c r="R505" i="52" l="1"/>
  <c r="S505" i="52" s="1"/>
  <c r="Q506" i="52"/>
  <c r="R506" i="52" l="1"/>
  <c r="S506" i="52" s="1"/>
  <c r="Q507" i="52"/>
  <c r="R507" i="52" l="1"/>
  <c r="S507" i="52" s="1"/>
  <c r="Q508" i="52"/>
  <c r="R508" i="52" l="1"/>
  <c r="S508" i="52" s="1"/>
  <c r="Q509" i="52"/>
  <c r="R509" i="52" l="1"/>
  <c r="S509" i="52" s="1"/>
  <c r="Q510" i="52"/>
  <c r="R510" i="52" l="1"/>
  <c r="S510" i="52" s="1"/>
  <c r="Q511" i="52"/>
  <c r="R511" i="52" l="1"/>
  <c r="S511" i="52" s="1"/>
  <c r="Q512" i="52"/>
  <c r="R512" i="52" l="1"/>
  <c r="S512" i="52" s="1"/>
  <c r="Q513" i="52"/>
  <c r="R513" i="52" l="1"/>
  <c r="S513" i="52" s="1"/>
  <c r="Q514" i="52"/>
  <c r="R514" i="52" l="1"/>
  <c r="S514" i="52" s="1"/>
  <c r="Q515" i="52"/>
  <c r="R515" i="52" l="1"/>
  <c r="S515" i="52" s="1"/>
  <c r="Q516" i="52"/>
  <c r="R516" i="52" l="1"/>
  <c r="S516" i="52" s="1"/>
  <c r="Q517" i="52"/>
  <c r="R517" i="52" l="1"/>
  <c r="S517" i="52" s="1"/>
  <c r="Q518" i="52"/>
  <c r="R518" i="52" l="1"/>
  <c r="S518" i="52" s="1"/>
  <c r="Q519" i="52"/>
  <c r="R519" i="52" l="1"/>
  <c r="S519" i="52" s="1"/>
  <c r="Q520" i="52"/>
  <c r="R520" i="52" l="1"/>
  <c r="S520" i="52" s="1"/>
  <c r="Q521" i="52"/>
  <c r="R521" i="52" l="1"/>
  <c r="S521" i="52" s="1"/>
  <c r="Q522" i="52"/>
  <c r="R522" i="52" l="1"/>
  <c r="S522" i="52" s="1"/>
  <c r="Q523" i="52"/>
  <c r="R523" i="52" l="1"/>
  <c r="S523" i="52" s="1"/>
  <c r="Q524" i="52"/>
  <c r="R524" i="52" l="1"/>
  <c r="S524" i="52" s="1"/>
  <c r="Q525" i="52"/>
  <c r="R525" i="52" l="1"/>
  <c r="S525" i="52" s="1"/>
  <c r="Q526" i="52"/>
  <c r="R526" i="52" l="1"/>
  <c r="S526" i="52" s="1"/>
  <c r="Q527" i="52"/>
  <c r="R527" i="52" l="1"/>
  <c r="S527" i="52" s="1"/>
  <c r="Q528" i="52"/>
  <c r="R528" i="52" l="1"/>
  <c r="S528" i="52" s="1"/>
  <c r="Q529" i="52"/>
  <c r="R529" i="52" l="1"/>
  <c r="S529" i="52" s="1"/>
  <c r="Q530" i="52"/>
  <c r="R530" i="52" l="1"/>
  <c r="S530" i="52" s="1"/>
  <c r="Q531" i="52"/>
  <c r="R531" i="52" l="1"/>
  <c r="S531" i="52" s="1"/>
  <c r="Q532" i="52"/>
  <c r="R532" i="52" l="1"/>
  <c r="S532" i="52" s="1"/>
  <c r="Q533" i="52"/>
  <c r="R533" i="52" l="1"/>
  <c r="S533" i="52" s="1"/>
  <c r="Q534" i="52"/>
  <c r="R534" i="52" l="1"/>
  <c r="S534" i="52" s="1"/>
  <c r="Q535" i="52"/>
  <c r="R535" i="52" l="1"/>
  <c r="S535" i="52" s="1"/>
  <c r="Q536" i="52"/>
  <c r="R536" i="52" l="1"/>
  <c r="S536" i="52" s="1"/>
  <c r="Q537" i="52"/>
  <c r="R537" i="52" l="1"/>
  <c r="S537" i="52" s="1"/>
  <c r="Q538" i="52"/>
  <c r="R538" i="52" l="1"/>
  <c r="S538" i="52" s="1"/>
  <c r="Q539" i="52"/>
  <c r="R539" i="52" l="1"/>
  <c r="S539" i="52" s="1"/>
  <c r="Q540" i="52"/>
  <c r="R540" i="52" l="1"/>
  <c r="S540" i="52" s="1"/>
  <c r="Q541" i="52"/>
  <c r="R541" i="52" l="1"/>
  <c r="S541" i="52" s="1"/>
  <c r="Q542" i="52"/>
  <c r="R542" i="52" l="1"/>
  <c r="S542" i="52" s="1"/>
  <c r="Q543" i="52"/>
  <c r="R543" i="52" l="1"/>
  <c r="S543" i="52" s="1"/>
  <c r="Q544" i="52"/>
  <c r="R544" i="52" l="1"/>
  <c r="S544" i="52" s="1"/>
  <c r="Q545" i="52"/>
  <c r="R545" i="52" l="1"/>
  <c r="S545" i="52" s="1"/>
  <c r="Q546" i="52"/>
  <c r="R546" i="52" l="1"/>
  <c r="S546" i="52" s="1"/>
  <c r="Q547" i="52"/>
  <c r="R547" i="52" l="1"/>
  <c r="S547" i="52" s="1"/>
  <c r="Q548" i="52"/>
  <c r="R548" i="52" l="1"/>
  <c r="S548" i="52" s="1"/>
  <c r="Q549" i="52"/>
  <c r="R549" i="52" l="1"/>
  <c r="S549" i="52" s="1"/>
  <c r="Q550" i="52"/>
  <c r="R550" i="52" l="1"/>
  <c r="S550" i="52" s="1"/>
  <c r="Q551" i="52"/>
  <c r="R551" i="52" l="1"/>
  <c r="S551" i="52" s="1"/>
  <c r="Q552" i="52"/>
  <c r="R552" i="52" l="1"/>
  <c r="S552" i="52" s="1"/>
  <c r="Q553" i="52"/>
  <c r="R553" i="52" l="1"/>
  <c r="S553" i="52" s="1"/>
  <c r="Q554" i="52"/>
  <c r="R554" i="52" l="1"/>
  <c r="S554" i="52" s="1"/>
  <c r="Q555" i="52"/>
  <c r="R555" i="52" l="1"/>
  <c r="S555" i="52" s="1"/>
  <c r="Q556" i="52"/>
  <c r="R556" i="52" l="1"/>
  <c r="S556" i="52" s="1"/>
  <c r="Q557" i="52"/>
  <c r="R557" i="52" l="1"/>
  <c r="S557" i="52" s="1"/>
  <c r="Q558" i="52"/>
  <c r="R558" i="52" l="1"/>
  <c r="S558" i="52" s="1"/>
  <c r="Q559" i="52"/>
  <c r="R559" i="52" l="1"/>
  <c r="S559" i="52" s="1"/>
  <c r="Q560" i="52"/>
  <c r="R560" i="52" l="1"/>
  <c r="S560" i="52" s="1"/>
  <c r="Q561" i="52"/>
  <c r="R561" i="52" l="1"/>
  <c r="S561" i="52" s="1"/>
  <c r="Q562" i="52"/>
  <c r="R562" i="52" l="1"/>
  <c r="S562" i="52" s="1"/>
  <c r="Q563" i="52"/>
  <c r="R563" i="52" l="1"/>
  <c r="S563" i="52" s="1"/>
  <c r="Q564" i="52"/>
  <c r="R564" i="52" l="1"/>
  <c r="S564" i="52" s="1"/>
  <c r="Q565" i="52"/>
  <c r="R565" i="52" l="1"/>
  <c r="S565" i="52" s="1"/>
  <c r="Q566" i="52"/>
  <c r="R566" i="52" l="1"/>
  <c r="S566" i="52" s="1"/>
  <c r="Q567" i="52"/>
  <c r="R567" i="52" l="1"/>
  <c r="S567" i="52" s="1"/>
  <c r="Q568" i="52"/>
  <c r="R568" i="52" l="1"/>
  <c r="S568" i="52" s="1"/>
  <c r="Q569" i="52"/>
  <c r="R569" i="52" l="1"/>
  <c r="S569" i="52" s="1"/>
  <c r="Q570" i="52"/>
  <c r="R570" i="52" l="1"/>
  <c r="S570" i="52" s="1"/>
  <c r="Q571" i="52"/>
  <c r="R571" i="52" l="1"/>
  <c r="S571" i="52" s="1"/>
  <c r="Q572" i="52"/>
  <c r="R572" i="52" l="1"/>
  <c r="S572" i="52" s="1"/>
  <c r="Q573" i="52"/>
  <c r="R573" i="52" l="1"/>
  <c r="S573" i="52" s="1"/>
  <c r="Q574" i="52"/>
  <c r="R574" i="52" l="1"/>
  <c r="S574" i="52" s="1"/>
  <c r="Q575" i="52"/>
  <c r="R575" i="52" l="1"/>
  <c r="S575" i="52" s="1"/>
  <c r="Q576" i="52"/>
  <c r="R576" i="52" l="1"/>
  <c r="S576" i="52" s="1"/>
  <c r="Q577" i="52"/>
  <c r="R577" i="52" l="1"/>
  <c r="S577" i="52" s="1"/>
  <c r="Q578" i="52"/>
  <c r="R578" i="52" l="1"/>
  <c r="S578" i="52" s="1"/>
  <c r="Q579" i="52"/>
  <c r="R579" i="52" l="1"/>
  <c r="S579" i="52" s="1"/>
  <c r="Q580" i="52"/>
  <c r="R580" i="52" l="1"/>
  <c r="S580" i="52" s="1"/>
  <c r="Q581" i="52"/>
  <c r="R581" i="52" l="1"/>
  <c r="S581" i="52" s="1"/>
  <c r="Q582" i="52"/>
  <c r="R582" i="52" l="1"/>
  <c r="S582" i="52" s="1"/>
  <c r="Q583" i="52"/>
  <c r="R583" i="52" l="1"/>
  <c r="S583" i="52" s="1"/>
  <c r="Q584" i="52"/>
  <c r="R584" i="52" l="1"/>
  <c r="S584" i="52" s="1"/>
  <c r="Q585" i="52"/>
  <c r="R585" i="52" l="1"/>
  <c r="S585" i="52" s="1"/>
  <c r="Q586" i="52"/>
  <c r="R586" i="52" l="1"/>
  <c r="S586" i="52" s="1"/>
  <c r="Q587" i="52"/>
  <c r="R587" i="52" l="1"/>
  <c r="S587" i="52" s="1"/>
  <c r="Q588" i="52"/>
  <c r="R588" i="52" l="1"/>
  <c r="S588" i="52" s="1"/>
  <c r="Q589" i="52"/>
  <c r="R589" i="52" l="1"/>
  <c r="S589" i="52" s="1"/>
  <c r="Q590" i="52"/>
  <c r="R590" i="52" l="1"/>
  <c r="S590" i="52" s="1"/>
  <c r="Q591" i="52"/>
  <c r="R591" i="52" l="1"/>
  <c r="S591" i="52" s="1"/>
  <c r="Q592" i="52"/>
  <c r="R592" i="52" l="1"/>
  <c r="S592" i="52" s="1"/>
  <c r="Q593" i="52"/>
  <c r="R593" i="52" l="1"/>
  <c r="S593" i="52" s="1"/>
  <c r="Q594" i="52"/>
  <c r="R594" i="52" l="1"/>
  <c r="S594" i="52" s="1"/>
  <c r="Q595" i="52"/>
  <c r="R595" i="52" l="1"/>
  <c r="S595" i="52" s="1"/>
  <c r="Q596" i="52"/>
  <c r="R596" i="52" l="1"/>
  <c r="S596" i="52" s="1"/>
  <c r="Q597" i="52"/>
  <c r="R597" i="52" l="1"/>
  <c r="S597" i="52" s="1"/>
  <c r="Q598" i="52"/>
  <c r="R598" i="52" l="1"/>
  <c r="S598" i="52" s="1"/>
  <c r="Q599" i="52"/>
  <c r="R599" i="52" l="1"/>
  <c r="S599" i="52" s="1"/>
  <c r="Q600" i="52"/>
  <c r="R600" i="52" l="1"/>
  <c r="S600" i="52" s="1"/>
  <c r="Q601" i="52"/>
  <c r="R601" i="52" l="1"/>
  <c r="S601" i="52" s="1"/>
  <c r="Q602" i="52"/>
  <c r="R602" i="52" l="1"/>
  <c r="S602" i="52" s="1"/>
  <c r="Q603" i="52"/>
  <c r="R603" i="52" l="1"/>
  <c r="S603" i="52" s="1"/>
  <c r="Q604" i="52"/>
  <c r="R604" i="52" l="1"/>
  <c r="S604" i="52" s="1"/>
  <c r="Q605" i="52"/>
  <c r="R605" i="52" l="1"/>
  <c r="S605" i="52" s="1"/>
  <c r="Q606" i="52"/>
  <c r="R606" i="52" l="1"/>
  <c r="S606" i="52" s="1"/>
  <c r="Q607" i="52"/>
  <c r="R607" i="52" l="1"/>
  <c r="S607" i="52" s="1"/>
  <c r="Q608" i="52"/>
  <c r="R608" i="52" l="1"/>
  <c r="S608" i="52" s="1"/>
  <c r="Q609" i="52"/>
  <c r="R609" i="52" l="1"/>
  <c r="S609" i="52" s="1"/>
  <c r="Q610" i="52"/>
  <c r="R610" i="52" l="1"/>
  <c r="S610" i="52" s="1"/>
  <c r="Q611" i="52"/>
  <c r="R611" i="52" l="1"/>
  <c r="S611" i="52" s="1"/>
  <c r="Q612" i="52"/>
  <c r="R612" i="52" l="1"/>
  <c r="S612" i="52" s="1"/>
  <c r="Q613" i="52"/>
  <c r="R613" i="52" l="1"/>
  <c r="S613" i="52" s="1"/>
  <c r="Q614" i="52"/>
  <c r="R614" i="52" l="1"/>
  <c r="S614" i="52" s="1"/>
  <c r="Q615" i="52"/>
  <c r="R615" i="52" l="1"/>
  <c r="S615" i="52" s="1"/>
  <c r="Q616" i="52"/>
  <c r="R616" i="52" l="1"/>
  <c r="S616" i="52" s="1"/>
  <c r="Q617" i="52"/>
  <c r="R617" i="52" l="1"/>
  <c r="S617" i="52" s="1"/>
  <c r="Q618" i="52"/>
  <c r="R618" i="52" l="1"/>
  <c r="S618" i="52" s="1"/>
  <c r="Q619" i="52"/>
  <c r="R619" i="52" l="1"/>
  <c r="S619" i="52" s="1"/>
  <c r="Q620" i="52"/>
  <c r="R620" i="52" l="1"/>
  <c r="S620" i="52" s="1"/>
  <c r="Q621" i="52"/>
  <c r="R621" i="52" l="1"/>
  <c r="S621" i="52" s="1"/>
  <c r="Q622" i="52"/>
  <c r="R622" i="52" l="1"/>
  <c r="S622" i="52" s="1"/>
  <c r="Q623" i="52"/>
  <c r="R623" i="52" l="1"/>
  <c r="S623" i="52" s="1"/>
  <c r="Q624" i="52"/>
  <c r="R624" i="52" l="1"/>
  <c r="S624" i="52" s="1"/>
  <c r="Q625" i="52"/>
  <c r="R625" i="52" l="1"/>
  <c r="S625" i="52" s="1"/>
  <c r="Q626" i="52"/>
  <c r="R626" i="52" l="1"/>
  <c r="S626" i="52" s="1"/>
  <c r="Q627" i="52"/>
  <c r="R627" i="52" l="1"/>
  <c r="S627" i="52" s="1"/>
  <c r="Q628" i="52"/>
  <c r="R628" i="52" l="1"/>
  <c r="S628" i="52" s="1"/>
  <c r="Q629" i="52"/>
  <c r="R629" i="52" l="1"/>
  <c r="S629" i="52" s="1"/>
  <c r="Q630" i="52"/>
  <c r="R630" i="52" l="1"/>
  <c r="S630" i="52" s="1"/>
  <c r="Q631" i="52"/>
  <c r="R631" i="52" l="1"/>
  <c r="S631" i="52" s="1"/>
  <c r="Q632" i="52"/>
  <c r="R632" i="52" l="1"/>
  <c r="S632" i="52" s="1"/>
  <c r="Q633" i="52"/>
  <c r="R633" i="52" l="1"/>
  <c r="S633" i="52" s="1"/>
  <c r="Q634" i="52"/>
  <c r="R634" i="52" l="1"/>
  <c r="S634" i="52" s="1"/>
  <c r="Q635" i="52"/>
  <c r="R635" i="52" l="1"/>
  <c r="S635" i="52" s="1"/>
  <c r="Q636" i="52"/>
  <c r="R636" i="52" l="1"/>
  <c r="S636" i="52" s="1"/>
  <c r="Q637" i="52"/>
  <c r="R637" i="52" l="1"/>
  <c r="S637" i="52" s="1"/>
  <c r="Q638" i="52"/>
  <c r="R638" i="52" l="1"/>
  <c r="S638" i="52" s="1"/>
  <c r="Q639" i="52"/>
  <c r="R639" i="52" l="1"/>
  <c r="S639" i="52" s="1"/>
  <c r="Q640" i="52"/>
  <c r="R640" i="52" l="1"/>
  <c r="S640" i="52" s="1"/>
  <c r="Q641" i="52"/>
  <c r="R641" i="52" l="1"/>
  <c r="S641" i="52" s="1"/>
  <c r="Q642" i="52"/>
  <c r="R642" i="52" l="1"/>
  <c r="S642" i="52" s="1"/>
  <c r="Q643" i="52"/>
  <c r="R643" i="52" l="1"/>
  <c r="S643" i="52" s="1"/>
  <c r="Q644" i="52"/>
  <c r="R644" i="52" l="1"/>
  <c r="S644" i="52" s="1"/>
  <c r="Q645" i="52"/>
  <c r="R645" i="52" l="1"/>
  <c r="S645" i="52" s="1"/>
  <c r="Q646" i="52"/>
  <c r="R646" i="52" l="1"/>
  <c r="S646" i="52" s="1"/>
  <c r="Q647" i="52"/>
  <c r="R647" i="52" l="1"/>
  <c r="S647" i="52" s="1"/>
  <c r="Q648" i="52"/>
  <c r="R648" i="52" l="1"/>
  <c r="S648" i="52" s="1"/>
  <c r="Q649" i="52"/>
  <c r="R649" i="52" l="1"/>
  <c r="S649" i="52" s="1"/>
  <c r="Q650" i="52"/>
  <c r="R650" i="52" l="1"/>
  <c r="S650" i="52" s="1"/>
  <c r="Q651" i="52"/>
  <c r="R651" i="52" l="1"/>
  <c r="S651" i="52" s="1"/>
  <c r="Q652" i="52"/>
  <c r="R652" i="52" l="1"/>
  <c r="S652" i="52" s="1"/>
  <c r="Q653" i="52"/>
  <c r="R653" i="52" l="1"/>
  <c r="S653" i="52" s="1"/>
  <c r="Q654" i="52"/>
  <c r="R654" i="52" l="1"/>
  <c r="S654" i="52" s="1"/>
  <c r="Q655" i="52"/>
  <c r="R655" i="52" s="1"/>
  <c r="S655" i="52" s="1"/>
  <c r="Q656" i="52" l="1"/>
  <c r="Q657" i="52" s="1"/>
  <c r="R656" i="52" l="1"/>
  <c r="S656" i="52" s="1"/>
  <c r="R657" i="52"/>
  <c r="S657" i="52" s="1"/>
  <c r="Q658" i="52"/>
  <c r="Q659" i="52" s="1"/>
  <c r="R658" i="52" l="1"/>
  <c r="S658" i="52" s="1"/>
  <c r="R659" i="52"/>
  <c r="S659" i="52" s="1"/>
  <c r="Q660" i="52"/>
  <c r="R660" i="52" s="1"/>
  <c r="S660" i="52" s="1"/>
  <c r="Q661" i="52" l="1"/>
  <c r="R661" i="52" s="1"/>
  <c r="S661" i="52" s="1"/>
  <c r="Q662" i="52" l="1"/>
  <c r="R662" i="52" s="1"/>
  <c r="S662" i="52" s="1"/>
  <c r="Q663" i="52" l="1"/>
  <c r="Q664" i="52" s="1"/>
  <c r="R663" i="52" l="1"/>
  <c r="S663" i="52" s="1"/>
  <c r="R664" i="52"/>
  <c r="S664" i="52" s="1"/>
  <c r="Q665" i="52"/>
  <c r="R665" i="52" l="1"/>
  <c r="S665" i="52" s="1"/>
  <c r="Q666" i="52"/>
  <c r="R666" i="52" s="1"/>
  <c r="S666" i="52" s="1"/>
  <c r="Q667" i="52" l="1"/>
  <c r="R667" i="52" s="1"/>
  <c r="S667" i="52" s="1"/>
  <c r="Q668" i="52" l="1"/>
  <c r="Q669" i="52" s="1"/>
  <c r="R668" i="52" l="1"/>
  <c r="S668" i="52" s="1"/>
  <c r="R669" i="52"/>
  <c r="S669" i="52" s="1"/>
  <c r="Q670" i="52"/>
  <c r="Q671" i="52" s="1"/>
  <c r="Q672" i="52" s="1"/>
  <c r="Q673" i="52" s="1"/>
  <c r="R673" i="52" s="1"/>
  <c r="S673" i="52" s="1"/>
  <c r="R671" i="52" l="1"/>
  <c r="S671" i="52" s="1"/>
  <c r="R670" i="52"/>
  <c r="S670" i="52" s="1"/>
  <c r="R672" i="52"/>
  <c r="S672" i="52" s="1"/>
  <c r="Q674" i="52"/>
  <c r="Q675" i="52" s="1"/>
  <c r="R674" i="52" l="1"/>
  <c r="S674" i="52" s="1"/>
  <c r="R675" i="52"/>
  <c r="S675" i="52" s="1"/>
  <c r="Q676" i="52"/>
  <c r="R676" i="52" s="1"/>
  <c r="S676" i="52" s="1"/>
  <c r="Q677" i="52" l="1"/>
  <c r="R677" i="52" s="1"/>
  <c r="S677" i="52" s="1"/>
  <c r="Q678" i="52" l="1"/>
  <c r="R678" i="52" s="1"/>
  <c r="S678" i="52" s="1"/>
  <c r="Q679" i="52" l="1"/>
  <c r="R679" i="52" s="1"/>
  <c r="S679" i="52" s="1"/>
  <c r="Q680" i="52" l="1"/>
  <c r="R680" i="52" s="1"/>
  <c r="S680" i="52" s="1"/>
  <c r="Q681" i="52" l="1"/>
  <c r="Q682" i="52" s="1"/>
  <c r="R681" i="52" l="1"/>
  <c r="S681" i="52" s="1"/>
  <c r="R682" i="52"/>
  <c r="S682" i="52" s="1"/>
  <c r="Q683" i="52"/>
  <c r="Q684" i="52" s="1"/>
  <c r="R683" i="52" l="1"/>
  <c r="S683" i="52" s="1"/>
  <c r="R684" i="52"/>
  <c r="S684" i="52" s="1"/>
  <c r="Q685" i="52"/>
  <c r="R685" i="52" l="1"/>
  <c r="S685" i="52" s="1"/>
  <c r="Q686" i="52"/>
  <c r="Q687" i="52" s="1"/>
  <c r="R686" i="52" l="1"/>
  <c r="S686" i="52" s="1"/>
  <c r="R687" i="52"/>
  <c r="S687" i="52" s="1"/>
  <c r="Q688" i="52"/>
  <c r="R688" i="52" l="1"/>
  <c r="S688" i="52" s="1"/>
  <c r="Q689" i="52"/>
  <c r="R689" i="52" l="1"/>
  <c r="S689" i="52" s="1"/>
  <c r="Q690" i="52"/>
  <c r="Q691" i="52" s="1"/>
  <c r="R690" i="52" l="1"/>
  <c r="S690" i="52" s="1"/>
  <c r="R691" i="52"/>
  <c r="S691" i="52" s="1"/>
  <c r="Q692" i="52"/>
  <c r="R692" i="52" l="1"/>
  <c r="S692" i="52" s="1"/>
  <c r="Q693" i="52"/>
  <c r="R693" i="52" l="1"/>
  <c r="S693" i="52" s="1"/>
  <c r="Q694" i="52"/>
  <c r="R694" i="52" l="1"/>
  <c r="S694" i="52" s="1"/>
  <c r="Q695" i="52"/>
  <c r="R695" i="52" l="1"/>
  <c r="S695" i="52" s="1"/>
  <c r="Q696" i="52"/>
  <c r="R696" i="52" l="1"/>
  <c r="S696" i="52" s="1"/>
  <c r="Q697" i="52"/>
  <c r="R697" i="52" l="1"/>
  <c r="S697" i="52" s="1"/>
  <c r="Q698" i="52"/>
  <c r="R698" i="52" l="1"/>
  <c r="S698" i="52" s="1"/>
  <c r="Q699" i="52"/>
  <c r="R699" i="52" l="1"/>
  <c r="S699" i="52" s="1"/>
  <c r="Q700" i="52"/>
  <c r="R700" i="52" l="1"/>
  <c r="S700" i="52" s="1"/>
  <c r="Q701" i="52"/>
  <c r="Q702" i="52" s="1"/>
  <c r="R701" i="52" l="1"/>
  <c r="S701" i="52" s="1"/>
  <c r="R702" i="52"/>
  <c r="S702" i="52" s="1"/>
  <c r="Q703" i="52"/>
  <c r="Q704" i="52" s="1"/>
  <c r="R703" i="52" l="1"/>
  <c r="S703" i="52" s="1"/>
  <c r="R704" i="52"/>
  <c r="S704" i="52" s="1"/>
  <c r="Q705" i="52"/>
  <c r="R705" i="52" l="1"/>
  <c r="S705" i="52" s="1"/>
  <c r="Q706" i="52"/>
  <c r="Q707" i="52" s="1"/>
  <c r="R706" i="52" l="1"/>
  <c r="S706" i="52" s="1"/>
  <c r="R707" i="52"/>
  <c r="S707" i="52" s="1"/>
  <c r="Q708" i="52"/>
  <c r="R708" i="52" l="1"/>
  <c r="S708" i="52" s="1"/>
  <c r="Q709" i="52"/>
  <c r="R709" i="52" s="1"/>
  <c r="S709" i="52" s="1"/>
  <c r="Q710" i="52" l="1"/>
  <c r="R710" i="52" s="1"/>
  <c r="S710" i="52" s="1"/>
  <c r="Q711" i="52" l="1"/>
  <c r="R711" i="52" s="1"/>
  <c r="S711" i="52" s="1"/>
  <c r="Q712" i="52" l="1"/>
  <c r="Q713" i="52" s="1"/>
  <c r="R712" i="52" l="1"/>
  <c r="S712" i="52" s="1"/>
  <c r="R713" i="52"/>
  <c r="S713" i="52" s="1"/>
  <c r="Q714" i="52"/>
  <c r="Q715" i="52" s="1"/>
  <c r="R714" i="52" l="1"/>
  <c r="S714" i="52" s="1"/>
  <c r="R715" i="52"/>
  <c r="S715" i="52" s="1"/>
  <c r="Q716" i="52"/>
  <c r="R716" i="52" l="1"/>
  <c r="S716" i="52" s="1"/>
  <c r="Q717" i="52"/>
  <c r="R717" i="52" l="1"/>
  <c r="S717" i="52" s="1"/>
  <c r="Q718" i="52"/>
  <c r="Q719" i="52" s="1"/>
  <c r="R718" i="52" l="1"/>
  <c r="S718" i="52" s="1"/>
  <c r="R719" i="52"/>
  <c r="S719" i="52" s="1"/>
  <c r="Q720" i="52"/>
  <c r="R720" i="52" l="1"/>
  <c r="S720" i="52" s="1"/>
  <c r="Q721" i="52"/>
  <c r="Q722" i="52" s="1"/>
  <c r="R721" i="52" l="1"/>
  <c r="S721" i="52" s="1"/>
  <c r="R722" i="52"/>
  <c r="S722" i="52" s="1"/>
  <c r="Q723" i="52"/>
  <c r="R723" i="52" l="1"/>
  <c r="S723" i="52" s="1"/>
  <c r="Q724" i="52"/>
  <c r="R724" i="52" l="1"/>
  <c r="S724" i="52" s="1"/>
  <c r="Q725" i="52"/>
  <c r="R725" i="52" l="1"/>
  <c r="S725" i="52" s="1"/>
  <c r="Q726" i="52"/>
  <c r="R726" i="52" s="1"/>
  <c r="S726" i="52" s="1"/>
  <c r="Q727" i="52" l="1"/>
  <c r="Q728" i="52" s="1"/>
  <c r="R727" i="52" l="1"/>
  <c r="S727" i="52" s="1"/>
  <c r="R728" i="52"/>
  <c r="S728" i="52" s="1"/>
  <c r="Q729" i="52"/>
  <c r="R729" i="52" l="1"/>
  <c r="S729" i="52" s="1"/>
  <c r="Q730" i="52"/>
  <c r="R730" i="52" l="1"/>
  <c r="S730" i="52" s="1"/>
  <c r="Q731" i="52"/>
  <c r="R731" i="52" s="1"/>
  <c r="S731" i="52" s="1"/>
  <c r="Q732" i="52" l="1"/>
  <c r="R732" i="52" s="1"/>
  <c r="S732" i="52" s="1"/>
  <c r="Q733" i="52" l="1"/>
  <c r="Q734" i="52" s="1"/>
  <c r="R733" i="52" l="1"/>
  <c r="S733" i="52" s="1"/>
  <c r="R734" i="52"/>
  <c r="S734" i="52" s="1"/>
  <c r="Q735" i="52"/>
  <c r="R735" i="52" l="1"/>
  <c r="S735" i="52" s="1"/>
  <c r="Q736" i="52"/>
  <c r="R736" i="52" l="1"/>
  <c r="S736" i="52" s="1"/>
  <c r="Q737" i="52"/>
  <c r="R737" i="52" l="1"/>
  <c r="S737" i="52" s="1"/>
  <c r="Q738" i="52"/>
  <c r="R738" i="52" s="1"/>
  <c r="S738" i="52" s="1"/>
  <c r="Q739" i="52" l="1"/>
  <c r="Q740" i="52" s="1"/>
  <c r="R739" i="52" l="1"/>
  <c r="S739" i="52" s="1"/>
  <c r="R740" i="52"/>
  <c r="S740" i="52" s="1"/>
  <c r="Q741" i="52"/>
  <c r="Q742" i="52" s="1"/>
  <c r="R742" i="52" l="1"/>
  <c r="S742" i="52" s="1"/>
  <c r="Q743" i="52"/>
  <c r="R741" i="52"/>
  <c r="S741" i="52" s="1"/>
  <c r="R743" i="52" l="1"/>
  <c r="S743" i="52" s="1"/>
  <c r="Q744" i="52"/>
  <c r="R744" i="52" l="1"/>
  <c r="S744" i="52" s="1"/>
  <c r="Q745" i="52"/>
  <c r="R745" i="52" l="1"/>
  <c r="S745" i="52" s="1"/>
  <c r="Q746" i="52"/>
  <c r="Q747" i="52" s="1"/>
  <c r="R746" i="52" l="1"/>
  <c r="S746" i="52" s="1"/>
  <c r="R747" i="52"/>
  <c r="S747" i="52" s="1"/>
  <c r="Q748" i="52"/>
  <c r="Q749" i="52" s="1"/>
  <c r="R748" i="52" l="1"/>
  <c r="S748" i="52" s="1"/>
  <c r="R749" i="52"/>
  <c r="S749" i="52" s="1"/>
  <c r="Q750" i="52"/>
  <c r="Q751" i="52" s="1"/>
  <c r="R750" i="52" l="1"/>
  <c r="S750" i="52" s="1"/>
  <c r="R751" i="52"/>
  <c r="S751" i="52" s="1"/>
  <c r="Q752" i="52"/>
  <c r="R752" i="52" s="1"/>
  <c r="S752" i="52" s="1"/>
  <c r="Q753" i="52" l="1"/>
  <c r="Q754" i="52" s="1"/>
  <c r="R753" i="52" l="1"/>
  <c r="S753" i="52" s="1"/>
  <c r="R754" i="52"/>
  <c r="S754" i="52" s="1"/>
  <c r="Q755" i="52"/>
  <c r="Q756" i="52" s="1"/>
  <c r="R755" i="52" l="1"/>
  <c r="S755" i="52" s="1"/>
  <c r="R756" i="52"/>
  <c r="S756" i="52" s="1"/>
  <c r="Q757" i="52"/>
  <c r="Q758" i="52" s="1"/>
  <c r="R757" i="52" l="1"/>
  <c r="S757" i="52" s="1"/>
  <c r="R758" i="52"/>
  <c r="S758" i="52" s="1"/>
  <c r="Q759" i="52"/>
  <c r="Q760" i="52" s="1"/>
  <c r="R759" i="52" l="1"/>
  <c r="S759" i="52" s="1"/>
  <c r="R760" i="52"/>
  <c r="S760" i="52" s="1"/>
  <c r="Q761" i="52"/>
  <c r="Q762" i="52" s="1"/>
  <c r="R761" i="52" l="1"/>
  <c r="S761" i="52" s="1"/>
  <c r="R762" i="52"/>
  <c r="S762" i="52" s="1"/>
  <c r="Q763" i="52"/>
  <c r="Q764" i="52" s="1"/>
  <c r="R764" i="52" l="1"/>
  <c r="S764" i="52" s="1"/>
  <c r="Q765" i="52"/>
  <c r="R765" i="52" s="1"/>
  <c r="S765" i="52" s="1"/>
  <c r="R763" i="52"/>
  <c r="S763" i="52" s="1"/>
  <c r="Q766" i="52" l="1"/>
  <c r="R766" i="52" s="1"/>
  <c r="S766" i="52" s="1"/>
  <c r="Q767" i="52" l="1"/>
  <c r="Q768" i="52" s="1"/>
  <c r="R767" i="52" l="1"/>
  <c r="S767" i="52" s="1"/>
  <c r="R768" i="52"/>
  <c r="S768" i="52" s="1"/>
  <c r="Q769" i="52"/>
  <c r="R769" i="52" s="1"/>
  <c r="S769" i="52" s="1"/>
  <c r="Q770" i="52" l="1"/>
  <c r="Q771" i="52" l="1"/>
  <c r="Q772" i="52" s="1"/>
  <c r="R770" i="52"/>
  <c r="S770" i="52" s="1"/>
  <c r="R771" i="52" l="1"/>
  <c r="S771" i="52" s="1"/>
  <c r="R772" i="52"/>
  <c r="S772" i="52" s="1"/>
  <c r="Q773" i="52"/>
  <c r="R773" i="52" s="1"/>
  <c r="S773" i="52" s="1"/>
  <c r="Q774" i="52" l="1"/>
  <c r="R774" i="52" s="1"/>
  <c r="S774" i="52" s="1"/>
  <c r="Q775" i="52" l="1"/>
  <c r="R775" i="52" s="1"/>
  <c r="S775" i="52" s="1"/>
  <c r="Q776" i="52" l="1"/>
  <c r="R776" i="52" s="1"/>
  <c r="S776" i="52" s="1"/>
  <c r="Q777" i="52" l="1"/>
  <c r="R777" i="52" s="1"/>
  <c r="S777" i="52" s="1"/>
  <c r="Q778" i="52" l="1"/>
  <c r="R778" i="52" s="1"/>
  <c r="S778" i="52" s="1"/>
  <c r="Q779" i="52" l="1"/>
  <c r="Q780" i="52" s="1"/>
  <c r="R779" i="52" l="1"/>
  <c r="S779" i="52" s="1"/>
  <c r="R780" i="52"/>
  <c r="S780" i="52" s="1"/>
  <c r="Q781" i="52"/>
  <c r="Q782" i="52" s="1"/>
  <c r="R781" i="52" l="1"/>
  <c r="S781" i="52" s="1"/>
  <c r="R782" i="52"/>
  <c r="S782" i="52" s="1"/>
  <c r="Q783" i="52"/>
  <c r="Q784" i="52" s="1"/>
  <c r="R783" i="52" l="1"/>
  <c r="S783" i="52" s="1"/>
  <c r="R784" i="52"/>
  <c r="S784" i="52" s="1"/>
  <c r="Q785" i="52"/>
  <c r="Q786" i="52" s="1"/>
  <c r="R785" i="52" l="1"/>
  <c r="S785" i="52" s="1"/>
  <c r="R786" i="52"/>
  <c r="S786" i="52" s="1"/>
  <c r="Q787" i="52"/>
  <c r="Q788" i="52" s="1"/>
  <c r="R787" i="52" l="1"/>
  <c r="S787" i="52" s="1"/>
  <c r="R788" i="52"/>
  <c r="S788" i="52" s="1"/>
  <c r="Q789" i="52"/>
  <c r="Q790" i="52" s="1"/>
  <c r="R789" i="52" l="1"/>
  <c r="S789" i="52" s="1"/>
  <c r="R790" i="52"/>
  <c r="S790" i="52" s="1"/>
  <c r="Q791" i="52"/>
  <c r="Q792" i="52" s="1"/>
  <c r="R791" i="52" l="1"/>
  <c r="S791" i="52" s="1"/>
  <c r="R792" i="52"/>
  <c r="S792" i="52" s="1"/>
  <c r="Q793" i="52"/>
  <c r="Q794" i="52" l="1"/>
  <c r="Q795" i="52" s="1"/>
  <c r="R793" i="52"/>
  <c r="S793" i="52" s="1"/>
  <c r="R794" i="52" l="1"/>
  <c r="S794" i="52" s="1"/>
  <c r="R795" i="52"/>
  <c r="S795" i="52" s="1"/>
  <c r="Q796" i="52"/>
  <c r="R796" i="52" s="1"/>
  <c r="S796" i="52" s="1"/>
  <c r="Q797" i="52" l="1"/>
  <c r="R797" i="52" s="1"/>
  <c r="S797" i="52" s="1"/>
  <c r="Q798" i="52" l="1"/>
  <c r="R798" i="52" s="1"/>
  <c r="S798" i="52" s="1"/>
  <c r="Q799" i="52" l="1"/>
  <c r="R799" i="52" s="1"/>
  <c r="S799" i="52" s="1"/>
  <c r="Q800" i="52" l="1"/>
  <c r="Q801" i="52" l="1"/>
  <c r="Q802" i="52" s="1"/>
  <c r="R800" i="52"/>
  <c r="S800" i="52" s="1"/>
  <c r="R801" i="52" l="1"/>
  <c r="S801" i="52" s="1"/>
  <c r="R802" i="52"/>
  <c r="S802" i="52" s="1"/>
  <c r="Q803" i="52"/>
  <c r="Q804" i="52" s="1"/>
  <c r="R803" i="52" l="1"/>
  <c r="S803" i="52" s="1"/>
  <c r="R804" i="52"/>
  <c r="S804" i="52" s="1"/>
  <c r="Q805" i="52"/>
  <c r="R805" i="52" s="1"/>
  <c r="S805" i="52" s="1"/>
  <c r="Q806" i="52" l="1"/>
  <c r="Q807" i="52" l="1"/>
  <c r="R806" i="52"/>
  <c r="S806" i="52" s="1"/>
  <c r="Q808" i="52" l="1"/>
  <c r="R807" i="52"/>
  <c r="S807" i="52" s="1"/>
  <c r="Q809" i="52" l="1"/>
  <c r="R808" i="52"/>
  <c r="S808" i="52" s="1"/>
  <c r="Q810" i="52" l="1"/>
  <c r="R810" i="52" s="1"/>
  <c r="S810" i="52" s="1"/>
  <c r="R809" i="52"/>
  <c r="S809" i="52" s="1"/>
  <c r="Q811" i="52" l="1"/>
  <c r="Q812" i="52" s="1"/>
  <c r="R812" i="52" l="1"/>
  <c r="S812" i="52" s="1"/>
  <c r="Q813" i="52"/>
  <c r="Q814" i="52" s="1"/>
  <c r="R811" i="52"/>
  <c r="S811" i="52" s="1"/>
  <c r="R813" i="52" l="1"/>
  <c r="S813" i="52" s="1"/>
  <c r="R814" i="52"/>
  <c r="S814" i="52" s="1"/>
  <c r="Q815" i="52"/>
  <c r="Q816" i="52" s="1"/>
  <c r="R815" i="52" l="1"/>
  <c r="S815" i="52" s="1"/>
  <c r="R816" i="52"/>
  <c r="S816" i="52" s="1"/>
  <c r="Q817" i="52"/>
  <c r="Q818" i="52" s="1"/>
  <c r="R817" i="52" l="1"/>
  <c r="S817" i="52" s="1"/>
  <c r="R818" i="52"/>
  <c r="S818" i="52" s="1"/>
  <c r="Q819" i="52"/>
  <c r="R819" i="52" s="1"/>
  <c r="S819" i="52" s="1"/>
  <c r="Q820" i="52" l="1"/>
  <c r="R820" i="52" s="1"/>
  <c r="S820" i="52" s="1"/>
  <c r="Q821" i="52" l="1"/>
  <c r="Q822" i="52" s="1"/>
  <c r="R821" i="52" l="1"/>
  <c r="S821" i="52" s="1"/>
  <c r="R822" i="52"/>
  <c r="S822" i="52" s="1"/>
  <c r="Q823" i="52"/>
  <c r="R823" i="52" s="1"/>
  <c r="S823" i="52" s="1"/>
  <c r="Q824" i="52" l="1"/>
  <c r="Q825" i="52" l="1"/>
  <c r="R825" i="52" s="1"/>
  <c r="S825" i="52" s="1"/>
  <c r="R824" i="52"/>
  <c r="S824" i="52" s="1"/>
  <c r="Q826" i="52" l="1"/>
  <c r="Q827" i="52" s="1"/>
  <c r="R826" i="52" l="1"/>
  <c r="S826" i="52" s="1"/>
  <c r="R827" i="52"/>
  <c r="S827" i="52" s="1"/>
  <c r="Q828" i="52"/>
  <c r="R828" i="52" l="1"/>
  <c r="S828" i="52" s="1"/>
  <c r="Q829" i="52"/>
  <c r="Q830" i="52" s="1"/>
  <c r="R829" i="52" l="1"/>
  <c r="S829" i="52" s="1"/>
  <c r="R830" i="52"/>
  <c r="S830" i="52" s="1"/>
  <c r="Q831" i="52"/>
  <c r="R831" i="52" l="1"/>
  <c r="S831" i="52" s="1"/>
  <c r="Q832" i="52"/>
  <c r="R832" i="52" l="1"/>
  <c r="S832" i="52" s="1"/>
  <c r="Q833" i="52"/>
  <c r="R833" i="52" l="1"/>
  <c r="S833" i="52" s="1"/>
  <c r="Q834" i="52"/>
  <c r="Q835" i="52" l="1"/>
  <c r="R835" i="52" s="1"/>
  <c r="S835" i="52" s="1"/>
  <c r="R834" i="52"/>
  <c r="S834" i="52" s="1"/>
  <c r="Q836" i="52" l="1"/>
  <c r="Q837" i="52" s="1"/>
  <c r="R836" i="52" l="1"/>
  <c r="S836" i="52" s="1"/>
  <c r="R837" i="52"/>
  <c r="S837" i="52" s="1"/>
  <c r="Q838" i="52"/>
  <c r="R838" i="52" l="1"/>
  <c r="S838" i="52" s="1"/>
  <c r="Q839" i="52"/>
  <c r="R839" i="52" l="1"/>
  <c r="S839" i="52" s="1"/>
  <c r="Q840" i="52"/>
  <c r="R840" i="52" l="1"/>
  <c r="S840" i="52" s="1"/>
  <c r="Q841" i="52"/>
  <c r="R841" i="52" l="1"/>
  <c r="S841" i="52" s="1"/>
  <c r="Q842" i="52"/>
  <c r="R842" i="52" l="1"/>
  <c r="S842" i="52" s="1"/>
  <c r="Q843" i="52"/>
  <c r="R843" i="52" s="1"/>
  <c r="S843" i="52" s="1"/>
  <c r="Q844" i="52" l="1"/>
  <c r="R844" i="52" s="1"/>
  <c r="S844" i="52" s="1"/>
  <c r="Q845" i="52" l="1"/>
  <c r="R845" i="52" s="1"/>
  <c r="S845" i="52" s="1"/>
  <c r="Q846" i="52" l="1"/>
  <c r="R846" i="52" s="1"/>
  <c r="S846" i="52" s="1"/>
  <c r="Q847" i="52" l="1"/>
  <c r="Q848" i="52" s="1"/>
  <c r="R847" i="52" l="1"/>
  <c r="S847" i="52" s="1"/>
  <c r="R848" i="52"/>
  <c r="S848" i="52" s="1"/>
  <c r="Q849" i="52"/>
  <c r="R849" i="52" l="1"/>
  <c r="S849" i="52" s="1"/>
  <c r="Q850" i="52"/>
  <c r="R850" i="52" s="1"/>
  <c r="S850" i="52" s="1"/>
  <c r="Q851" i="52" l="1"/>
  <c r="R851" i="52" s="1"/>
  <c r="S851" i="52" s="1"/>
  <c r="Q852" i="52" l="1"/>
  <c r="R852" i="52" s="1"/>
  <c r="S852" i="52" s="1"/>
  <c r="Q853" i="52" l="1"/>
  <c r="Q854" i="52" s="1"/>
  <c r="R853" i="52" l="1"/>
  <c r="S853" i="52" s="1"/>
  <c r="R854" i="52"/>
  <c r="S854" i="52" s="1"/>
  <c r="Q855" i="52"/>
  <c r="R855" i="52" s="1"/>
  <c r="S855" i="52" s="1"/>
  <c r="Q856" i="52" l="1"/>
  <c r="R856" i="52" s="1"/>
  <c r="S856" i="52" s="1"/>
  <c r="Q857" i="52" l="1"/>
  <c r="R857" i="52" s="1"/>
  <c r="S857" i="52" s="1"/>
  <c r="Q858" i="52" l="1"/>
  <c r="R858" i="52" s="1"/>
  <c r="S858" i="52" s="1"/>
  <c r="Q859" i="52" l="1"/>
  <c r="Q860" i="52" s="1"/>
  <c r="R859" i="52" l="1"/>
  <c r="S859" i="52" s="1"/>
  <c r="R860" i="52"/>
  <c r="S860" i="52" s="1"/>
  <c r="Q861" i="52"/>
  <c r="R861" i="52" l="1"/>
  <c r="S861" i="52" s="1"/>
  <c r="Q862" i="52"/>
  <c r="R862" i="52" s="1"/>
  <c r="S862" i="52" s="1"/>
  <c r="Q863" i="52" l="1"/>
  <c r="R863" i="52" s="1"/>
  <c r="S863" i="52" s="1"/>
  <c r="Q864" i="52" l="1"/>
  <c r="R864" i="52" s="1"/>
  <c r="S864" i="52" s="1"/>
  <c r="Q865" i="52" l="1"/>
  <c r="Q866" i="52" l="1"/>
  <c r="Q867" i="52" s="1"/>
  <c r="R865" i="52"/>
  <c r="S865" i="52" s="1"/>
  <c r="R866" i="52" l="1"/>
  <c r="S866" i="52" s="1"/>
  <c r="R867" i="52"/>
  <c r="S867" i="52" s="1"/>
  <c r="Q868" i="52"/>
  <c r="R868" i="52" s="1"/>
  <c r="S868" i="52" s="1"/>
  <c r="Q869" i="52" l="1"/>
  <c r="Q870" i="52" s="1"/>
  <c r="R869" i="52" l="1"/>
  <c r="S869" i="52" s="1"/>
  <c r="R870" i="52"/>
  <c r="S870" i="52" s="1"/>
  <c r="Q871" i="52"/>
  <c r="R871" i="52" s="1"/>
  <c r="S871" i="52" s="1"/>
  <c r="Q872" i="52" l="1"/>
  <c r="Q873" i="52" s="1"/>
  <c r="R872" i="52" l="1"/>
  <c r="S872" i="52" s="1"/>
  <c r="R873" i="52"/>
  <c r="S873" i="52" s="1"/>
  <c r="Q874" i="52"/>
  <c r="R874" i="52" l="1"/>
  <c r="S874" i="52" s="1"/>
  <c r="Q875" i="52"/>
  <c r="Q876" i="52" s="1"/>
  <c r="R875" i="52" l="1"/>
  <c r="S875" i="52" s="1"/>
  <c r="R876" i="52"/>
  <c r="S876" i="52" s="1"/>
  <c r="Q877" i="52"/>
  <c r="R877" i="52" l="1"/>
  <c r="S877" i="52" s="1"/>
  <c r="Q878" i="52"/>
  <c r="Q879" i="52" s="1"/>
  <c r="R878" i="52" l="1"/>
  <c r="S878" i="52" s="1"/>
  <c r="R879" i="52"/>
  <c r="S879" i="52" s="1"/>
  <c r="Q880" i="52"/>
  <c r="R880" i="52" l="1"/>
  <c r="S880" i="52" s="1"/>
  <c r="Q881" i="52"/>
  <c r="R881" i="52" l="1"/>
  <c r="S881" i="52" s="1"/>
  <c r="Q882" i="52"/>
  <c r="R882" i="52" l="1"/>
  <c r="S882" i="52" s="1"/>
  <c r="Q883" i="52"/>
  <c r="R883" i="52" s="1"/>
  <c r="S883" i="52" s="1"/>
  <c r="Q884" i="52" l="1"/>
  <c r="Q885" i="52" s="1"/>
  <c r="R884" i="52" l="1"/>
  <c r="S884" i="52" s="1"/>
  <c r="R885" i="52"/>
  <c r="S885" i="52" s="1"/>
  <c r="Q886" i="52"/>
  <c r="R886" i="52" l="1"/>
  <c r="S886" i="52" s="1"/>
  <c r="Q887" i="52"/>
  <c r="R887" i="52" s="1"/>
  <c r="S887" i="52" s="1"/>
  <c r="Q888" i="52" l="1"/>
  <c r="R888" i="52" s="1"/>
  <c r="S888" i="52" s="1"/>
  <c r="Q889" i="52" l="1"/>
  <c r="Q890" i="52" s="1"/>
  <c r="R889" i="52" l="1"/>
  <c r="S889" i="52" s="1"/>
  <c r="R890" i="52"/>
  <c r="S890" i="52" s="1"/>
  <c r="Q891" i="52"/>
  <c r="R891" i="52" l="1"/>
  <c r="S891" i="52" s="1"/>
  <c r="Q892" i="52"/>
  <c r="R892" i="52" l="1"/>
  <c r="S892" i="52" s="1"/>
  <c r="Q893" i="52"/>
  <c r="R893" i="52" l="1"/>
  <c r="S893" i="52" s="1"/>
  <c r="Q894" i="52"/>
  <c r="R894" i="52" s="1"/>
  <c r="S894" i="52" s="1"/>
  <c r="Q895" i="52" l="1"/>
  <c r="Q896" i="52" s="1"/>
  <c r="R896" i="52" l="1"/>
  <c r="S896" i="52" s="1"/>
  <c r="Q897" i="52"/>
  <c r="R897" i="52" s="1"/>
  <c r="S897" i="52" s="1"/>
  <c r="R895" i="52"/>
  <c r="S895" i="52" s="1"/>
  <c r="Q898" i="52" l="1"/>
  <c r="Q899" i="52" s="1"/>
  <c r="R898" i="52" l="1"/>
  <c r="S898" i="52" s="1"/>
  <c r="R899" i="52"/>
  <c r="S899" i="52" s="1"/>
  <c r="Q900" i="52"/>
  <c r="R900" i="52" l="1"/>
  <c r="S900" i="52" s="1"/>
  <c r="Q901" i="52"/>
  <c r="R901" i="52" l="1"/>
  <c r="S901" i="52" s="1"/>
  <c r="Q902" i="52"/>
  <c r="Q903" i="52" s="1"/>
  <c r="R902" i="52" l="1"/>
  <c r="S902" i="52" s="1"/>
  <c r="R903" i="52"/>
  <c r="S903" i="52" s="1"/>
  <c r="Q904" i="52"/>
  <c r="R904" i="52" l="1"/>
  <c r="S904" i="52" s="1"/>
  <c r="Q905" i="52"/>
  <c r="Q906" i="52" s="1"/>
  <c r="R905" i="52" l="1"/>
  <c r="S905" i="52" s="1"/>
  <c r="R906" i="52"/>
  <c r="S906" i="52" s="1"/>
  <c r="Q907" i="52"/>
  <c r="R907" i="52" l="1"/>
  <c r="S907" i="52" s="1"/>
  <c r="Q908" i="52"/>
  <c r="Q909" i="52" s="1"/>
  <c r="R908" i="52" l="1"/>
  <c r="S908" i="52" s="1"/>
  <c r="R909" i="52"/>
  <c r="S909" i="52" s="1"/>
  <c r="Q910" i="52"/>
  <c r="R910" i="52" l="1"/>
  <c r="S910" i="52" s="1"/>
  <c r="Q911" i="52"/>
  <c r="R911" i="52" l="1"/>
  <c r="S911" i="52" s="1"/>
  <c r="Q912" i="52"/>
  <c r="R912" i="52" l="1"/>
  <c r="S912" i="52" s="1"/>
  <c r="Q913" i="52"/>
  <c r="R913" i="52" l="1"/>
  <c r="S913" i="52" s="1"/>
  <c r="Q914" i="52"/>
  <c r="Q915" i="52" s="1"/>
  <c r="R915" i="52" l="1"/>
  <c r="S915" i="52" s="1"/>
  <c r="Q916" i="52"/>
  <c r="Q917" i="52" s="1"/>
  <c r="R914" i="52"/>
  <c r="S914" i="52" s="1"/>
  <c r="R916" i="52" l="1"/>
  <c r="S916" i="52" s="1"/>
  <c r="R917" i="52"/>
  <c r="S917" i="52" s="1"/>
  <c r="Q918" i="52"/>
  <c r="R918" i="52" l="1"/>
  <c r="S918" i="52" s="1"/>
  <c r="Q919" i="52"/>
  <c r="R919" i="52" l="1"/>
  <c r="S919" i="52" s="1"/>
  <c r="Q920" i="52"/>
  <c r="R920" i="52" l="1"/>
  <c r="S920" i="52" s="1"/>
  <c r="Q921" i="52"/>
  <c r="R921" i="52" l="1"/>
  <c r="S921" i="52" s="1"/>
  <c r="Q922" i="52"/>
  <c r="R922" i="52" l="1"/>
  <c r="S922" i="52" s="1"/>
  <c r="Q923" i="52"/>
  <c r="Q924" i="52" s="1"/>
  <c r="R924" i="52" l="1"/>
  <c r="S924" i="52" s="1"/>
  <c r="Q925" i="52"/>
  <c r="R923" i="52"/>
  <c r="S923" i="52" s="1"/>
  <c r="R925" i="52" l="1"/>
  <c r="S925" i="52" s="1"/>
  <c r="Q926" i="52"/>
  <c r="R926" i="52" l="1"/>
  <c r="S926" i="52" s="1"/>
  <c r="Q927" i="52"/>
  <c r="Q928" i="52" s="1"/>
  <c r="R927" i="52" l="1"/>
  <c r="S927" i="52" s="1"/>
  <c r="R928" i="52"/>
  <c r="S928" i="52" s="1"/>
  <c r="Q929" i="52"/>
  <c r="Q930" i="52" s="1"/>
  <c r="R929" i="52" l="1"/>
  <c r="S929" i="52" s="1"/>
  <c r="R930" i="52"/>
  <c r="S930" i="52" s="1"/>
  <c r="Q931" i="52"/>
  <c r="R931" i="52" l="1"/>
  <c r="S931" i="52" s="1"/>
  <c r="Q932" i="52"/>
  <c r="Q933" i="52" s="1"/>
  <c r="R932" i="52" l="1"/>
  <c r="S932" i="52" s="1"/>
  <c r="R933" i="52"/>
  <c r="S933" i="52" s="1"/>
  <c r="Q934" i="52"/>
  <c r="R934" i="52" l="1"/>
  <c r="S934" i="52" s="1"/>
  <c r="Q935" i="52"/>
  <c r="Q936" i="52" s="1"/>
  <c r="R935" i="52" l="1"/>
  <c r="S935" i="52" s="1"/>
  <c r="R936" i="52"/>
  <c r="S936" i="52" s="1"/>
  <c r="Q937" i="52"/>
  <c r="R937" i="52" l="1"/>
  <c r="S937" i="52" s="1"/>
  <c r="Q938" i="52"/>
  <c r="R938" i="52" l="1"/>
  <c r="S938" i="52" s="1"/>
  <c r="Q939" i="52"/>
  <c r="Q940" i="52" s="1"/>
  <c r="R940" i="52" l="1"/>
  <c r="S940" i="52" s="1"/>
  <c r="Q941" i="52"/>
  <c r="R939" i="52"/>
  <c r="S939" i="52" s="1"/>
  <c r="R941" i="52" l="1"/>
  <c r="S941" i="52" s="1"/>
  <c r="Q942" i="52"/>
  <c r="R942" i="52" l="1"/>
  <c r="S942" i="52" s="1"/>
  <c r="Q943" i="52"/>
  <c r="R943" i="52" l="1"/>
  <c r="S943" i="52" s="1"/>
  <c r="Q944" i="52"/>
  <c r="R944" i="52" l="1"/>
  <c r="S944" i="52" s="1"/>
  <c r="Q945" i="52"/>
  <c r="Q946" i="52" s="1"/>
  <c r="R945" i="52" l="1"/>
  <c r="S945" i="52" s="1"/>
  <c r="R946" i="52"/>
  <c r="S946" i="52" s="1"/>
  <c r="Q947" i="52"/>
  <c r="R947" i="52" l="1"/>
  <c r="S947" i="52" s="1"/>
  <c r="Q948" i="52"/>
  <c r="Q949" i="52" s="1"/>
  <c r="R949" i="52" l="1"/>
  <c r="S949" i="52" s="1"/>
  <c r="Q950" i="52"/>
  <c r="R948" i="52"/>
  <c r="S948" i="52" s="1"/>
  <c r="R950" i="52" l="1"/>
  <c r="S950" i="52" s="1"/>
  <c r="Q951" i="52"/>
  <c r="R951" i="52" l="1"/>
  <c r="S951" i="52" s="1"/>
  <c r="Q952" i="52"/>
  <c r="R952" i="52" l="1"/>
  <c r="S952" i="52" s="1"/>
  <c r="Q953" i="52"/>
  <c r="R953" i="52" l="1"/>
  <c r="S953" i="52" s="1"/>
  <c r="Q954" i="52"/>
  <c r="R954" i="52" l="1"/>
  <c r="S954" i="52" s="1"/>
  <c r="Q955" i="52"/>
  <c r="R955" i="52" l="1"/>
  <c r="S955" i="52" s="1"/>
  <c r="Q956" i="52"/>
  <c r="R956" i="52" l="1"/>
  <c r="S956" i="52" s="1"/>
  <c r="Q957" i="52"/>
  <c r="R957" i="52" l="1"/>
  <c r="S957" i="52" s="1"/>
  <c r="Q958" i="52"/>
  <c r="R958" i="52" s="1"/>
  <c r="S958" i="52" s="1"/>
  <c r="Q959" i="52" l="1"/>
  <c r="R959" i="52" s="1"/>
  <c r="S959" i="52" s="1"/>
  <c r="Q960" i="52" l="1"/>
  <c r="Q961" i="52" s="1"/>
  <c r="R961" i="52" l="1"/>
  <c r="S961" i="52" s="1"/>
  <c r="Q962" i="52"/>
  <c r="R960" i="52"/>
  <c r="S960" i="52" s="1"/>
  <c r="R962" i="52" l="1"/>
  <c r="S962" i="52" s="1"/>
  <c r="Q963" i="52"/>
  <c r="R963" i="52" l="1"/>
  <c r="S963" i="52" s="1"/>
  <c r="Q964" i="52"/>
  <c r="R964" i="52" s="1"/>
  <c r="S964" i="52" s="1"/>
  <c r="Q965" i="52" l="1"/>
  <c r="Q966" i="52" s="1"/>
  <c r="R965" i="52" l="1"/>
  <c r="S965" i="52" s="1"/>
  <c r="R966" i="52"/>
  <c r="S966" i="52" s="1"/>
  <c r="Q967" i="52"/>
  <c r="Q968" i="52" l="1"/>
  <c r="Q969" i="52" s="1"/>
  <c r="R967" i="52"/>
  <c r="S967" i="52" s="1"/>
  <c r="R968" i="52" l="1"/>
  <c r="S968" i="52" s="1"/>
  <c r="R969" i="52"/>
  <c r="S969" i="52" s="1"/>
  <c r="Q970" i="52"/>
  <c r="R970" i="52" s="1"/>
  <c r="S970" i="52" s="1"/>
  <c r="Q971" i="52" l="1"/>
  <c r="R971" i="52" l="1"/>
  <c r="S971" i="52" s="1"/>
  <c r="Q972" i="52"/>
  <c r="Q973" i="52" s="1"/>
  <c r="R972" i="52" l="1"/>
  <c r="S972" i="52" s="1"/>
  <c r="R973" i="52"/>
  <c r="S973" i="52" s="1"/>
  <c r="Q974" i="52"/>
  <c r="R974" i="52" l="1"/>
  <c r="S974" i="52" s="1"/>
  <c r="Q975" i="52"/>
  <c r="R975" i="52" l="1"/>
  <c r="S975" i="52" s="1"/>
  <c r="Q976" i="52"/>
  <c r="R976" i="52" l="1"/>
  <c r="S976" i="52" s="1"/>
  <c r="Q977" i="52"/>
  <c r="Q978" i="52" s="1"/>
  <c r="R977" i="52" l="1"/>
  <c r="S977" i="52" s="1"/>
  <c r="R978" i="52"/>
  <c r="S978" i="52" s="1"/>
  <c r="Q979" i="52"/>
  <c r="R979" i="52" l="1"/>
  <c r="S979" i="52" s="1"/>
  <c r="Q980" i="52"/>
  <c r="R980" i="52" l="1"/>
  <c r="S980" i="52" s="1"/>
  <c r="Q981" i="52"/>
  <c r="R981" i="52" l="1"/>
  <c r="S981" i="52" s="1"/>
  <c r="Q982" i="52"/>
  <c r="R982" i="52" s="1"/>
  <c r="S982" i="52" s="1"/>
  <c r="Q983" i="52" l="1"/>
  <c r="Q984" i="52" s="1"/>
  <c r="R983" i="52" l="1"/>
  <c r="S983" i="52" s="1"/>
  <c r="R984" i="52"/>
  <c r="S984" i="52" s="1"/>
  <c r="Q985" i="52"/>
  <c r="Q986" i="52" s="1"/>
  <c r="R985" i="52" l="1"/>
  <c r="S985" i="52" s="1"/>
  <c r="R986" i="52"/>
  <c r="S986" i="52" s="1"/>
  <c r="Q987" i="52"/>
  <c r="R987" i="52" s="1"/>
  <c r="S987" i="52" s="1"/>
  <c r="Q988" i="52" l="1"/>
  <c r="R988" i="52" s="1"/>
  <c r="S988" i="52" s="1"/>
  <c r="Q989" i="52" l="1"/>
  <c r="R989" i="52" s="1"/>
  <c r="S989" i="52" s="1"/>
  <c r="Q990" i="52" l="1"/>
  <c r="Q991" i="52" s="1"/>
  <c r="R990" i="52" l="1"/>
  <c r="S990" i="52" s="1"/>
  <c r="R991" i="52"/>
  <c r="S991" i="52" s="1"/>
  <c r="Q992" i="52"/>
  <c r="R992" i="52" l="1"/>
  <c r="S992" i="52" s="1"/>
  <c r="Q993" i="52"/>
  <c r="R993" i="52" s="1"/>
  <c r="S993" i="52" s="1"/>
  <c r="Q994" i="52" l="1"/>
  <c r="Q995" i="52" l="1"/>
  <c r="R995" i="52" s="1"/>
  <c r="S995" i="52" s="1"/>
  <c r="R994" i="52"/>
  <c r="S994" i="52" s="1"/>
  <c r="Q996" i="52" l="1"/>
  <c r="R996" i="52" s="1"/>
  <c r="S996" i="52" s="1"/>
  <c r="Q997" i="52" l="1"/>
  <c r="Q998" i="52" s="1"/>
  <c r="R997" i="52" l="1"/>
  <c r="S997" i="52" s="1"/>
  <c r="R998" i="52"/>
  <c r="S998" i="52" s="1"/>
  <c r="Q999" i="52"/>
  <c r="Q1000" i="52" s="1"/>
  <c r="R999" i="52" l="1"/>
  <c r="S999" i="52" s="1"/>
  <c r="R1000" i="52"/>
  <c r="S1000" i="52" s="1"/>
  <c r="Q1001" i="52"/>
  <c r="R1001" i="52" s="1"/>
  <c r="S1001" i="52" s="1"/>
  <c r="Q1002" i="52" l="1"/>
  <c r="Q1003" i="52" l="1"/>
  <c r="R1003" i="52" s="1"/>
  <c r="S1003" i="52" s="1"/>
  <c r="R1002" i="52"/>
  <c r="S1002" i="52" s="1"/>
  <c r="Q1004" i="52" l="1"/>
  <c r="Q1005" i="52" s="1"/>
  <c r="R1004" i="52" l="1"/>
  <c r="S1004" i="52" s="1"/>
  <c r="R1005" i="52"/>
  <c r="S1005" i="52" s="1"/>
  <c r="Q1006" i="52"/>
  <c r="R1006" i="52" l="1"/>
  <c r="S1006" i="52" s="1"/>
  <c r="Q1007" i="52"/>
  <c r="R1007" i="52" l="1"/>
  <c r="S1007" i="52" s="1"/>
  <c r="Q1008" i="52"/>
  <c r="Q1009" i="52" l="1"/>
  <c r="Q1010" i="52" s="1"/>
  <c r="R1008" i="52"/>
  <c r="S1008" i="52" s="1"/>
  <c r="R1010" i="52" l="1"/>
  <c r="S1010" i="52" s="1"/>
  <c r="Q1011" i="52"/>
  <c r="R1011" i="52" s="1"/>
  <c r="S1011" i="52" s="1"/>
  <c r="R1009" i="52"/>
  <c r="S1009" i="52" s="1"/>
  <c r="Q1012" i="52" l="1"/>
  <c r="Q1013" i="52" s="1"/>
  <c r="R1012" i="52" l="1"/>
  <c r="S1012" i="52" s="1"/>
  <c r="R1013" i="52"/>
  <c r="S1013" i="52" s="1"/>
  <c r="Q1014" i="52" l="1"/>
  <c r="R1014" i="52" s="1"/>
  <c r="S1014" i="52" s="1"/>
  <c r="Q1015" i="52" l="1"/>
  <c r="Q1016" i="52" s="1"/>
  <c r="R1015" i="52" l="1"/>
  <c r="S1015" i="52" s="1"/>
  <c r="R1016" i="52"/>
  <c r="S1016" i="52" s="1"/>
  <c r="Q1017" i="52"/>
  <c r="Q1018" i="52" s="1"/>
  <c r="R1017" i="52" l="1"/>
  <c r="S1017" i="52" s="1"/>
  <c r="R1018" i="52"/>
  <c r="S1018" i="52" s="1"/>
  <c r="Q1019" i="52"/>
  <c r="R1019" i="52" s="1"/>
  <c r="S1019" i="52" s="1"/>
  <c r="Q1020" i="52" l="1"/>
  <c r="Q1021" i="52" s="1"/>
  <c r="R1020" i="52" l="1"/>
  <c r="S1020" i="52" s="1"/>
  <c r="R1021" i="52"/>
  <c r="S1021" i="52" s="1"/>
  <c r="Q1022" i="52"/>
  <c r="Q1023" i="52" s="1"/>
  <c r="R1023" i="52" l="1"/>
  <c r="S1023" i="52" s="1"/>
  <c r="Q1024" i="52"/>
  <c r="R1022" i="52"/>
  <c r="S1022" i="52" s="1"/>
  <c r="R1024" i="52" l="1"/>
  <c r="S1024" i="52" s="1"/>
  <c r="Q1025" i="52"/>
  <c r="R1025" i="52" l="1"/>
  <c r="S1025" i="52" s="1"/>
  <c r="Q1026" i="52"/>
  <c r="Q1027" i="52" s="1"/>
  <c r="R1026" i="52" l="1"/>
  <c r="S1026" i="52" s="1"/>
  <c r="R1027" i="52"/>
  <c r="S1027" i="52" s="1"/>
  <c r="Q1028" i="52"/>
  <c r="Q1029" i="52" s="1"/>
  <c r="R1029" i="52" l="1"/>
  <c r="S1029" i="52" s="1"/>
  <c r="R1028" i="52"/>
  <c r="S1028" i="52" s="1"/>
  <c r="Q1030" i="52" l="1"/>
  <c r="Q1031" i="52" s="1"/>
  <c r="R1030" i="52" l="1"/>
  <c r="S1030" i="52" s="1"/>
  <c r="R1031" i="52"/>
  <c r="S1031" i="52" s="1"/>
  <c r="Q1032" i="52"/>
  <c r="Q1033" i="52" s="1"/>
  <c r="R1033" i="52" l="1"/>
  <c r="S1033" i="52" s="1"/>
  <c r="Q1034" i="52"/>
  <c r="Q1035" i="52" s="1"/>
  <c r="R1032" i="52"/>
  <c r="S1032" i="52" s="1"/>
  <c r="R1035" i="52" l="1"/>
  <c r="S1035" i="52" s="1"/>
  <c r="Q1036" i="52"/>
  <c r="R1036" i="52" s="1"/>
  <c r="S1036" i="52" s="1"/>
  <c r="R1034" i="52"/>
  <c r="S1034" i="52" s="1"/>
  <c r="Q1037" i="52" l="1"/>
  <c r="Q1038" i="52" l="1"/>
  <c r="Q1039" i="52" s="1"/>
  <c r="R1037" i="52"/>
  <c r="S1037" i="52" s="1"/>
  <c r="R1038" i="52" l="1"/>
  <c r="S1038" i="52" s="1"/>
  <c r="R1039" i="52"/>
  <c r="S1039" i="52" s="1"/>
  <c r="Q1040" i="52"/>
  <c r="Q1041" i="52" s="1"/>
  <c r="R1040" i="52" l="1"/>
  <c r="S1040" i="52" s="1"/>
  <c r="R1041" i="52"/>
  <c r="S1041" i="52" s="1"/>
  <c r="Q1042" i="52"/>
  <c r="Q1043" i="52" s="1"/>
  <c r="R1042" i="52" l="1"/>
  <c r="S1042" i="52" s="1"/>
  <c r="R1043" i="52"/>
  <c r="S1043" i="52" s="1"/>
  <c r="Q1044" i="52"/>
  <c r="Q1045" i="52" s="1"/>
  <c r="R1044" i="52" l="1"/>
  <c r="S1044" i="52" s="1"/>
  <c r="R1045" i="52"/>
  <c r="S1045" i="52" s="1"/>
  <c r="Q1046" i="52"/>
  <c r="Q1047" i="52" s="1"/>
  <c r="R1046" i="52" l="1"/>
  <c r="S1046" i="52" s="1"/>
  <c r="R1047" i="52"/>
  <c r="S1047" i="52" s="1"/>
  <c r="Q1048" i="52"/>
  <c r="R1048" i="52" s="1"/>
  <c r="S1048" i="52" s="1"/>
  <c r="Q1049" i="52" l="1"/>
  <c r="R1049" i="52" s="1"/>
  <c r="S1049" i="52" s="1"/>
  <c r="Q1050" i="52" l="1"/>
  <c r="Q1051" i="52" s="1"/>
  <c r="R1050" i="52" l="1"/>
  <c r="S1050" i="52" s="1"/>
  <c r="R1051" i="52"/>
  <c r="S1051" i="52" s="1"/>
  <c r="Q1052" i="52"/>
  <c r="Q1053" i="52" s="1"/>
  <c r="R1052" i="52" l="1"/>
  <c r="S1052" i="52" s="1"/>
  <c r="R1053" i="52"/>
  <c r="S1053" i="52" s="1"/>
  <c r="Q1054" i="52"/>
  <c r="R1054" i="52" s="1"/>
  <c r="S1054" i="52" s="1"/>
  <c r="Q1055" i="52" l="1"/>
  <c r="R1055" i="52" s="1"/>
  <c r="S1055" i="52" s="1"/>
  <c r="Q1056" i="52" l="1"/>
  <c r="Q1057" i="52" s="1"/>
  <c r="R1056" i="52" l="1"/>
  <c r="S1056" i="52" s="1"/>
  <c r="R1057" i="52"/>
  <c r="S1057" i="52" s="1"/>
  <c r="Q1058" i="52"/>
  <c r="Q1059" i="52" s="1"/>
  <c r="R1058" i="52" l="1"/>
  <c r="S1058" i="52" s="1"/>
  <c r="R1059" i="52"/>
  <c r="S1059" i="52" s="1"/>
  <c r="Q1060" i="52"/>
  <c r="R1060" i="52" s="1"/>
  <c r="S1060" i="52" s="1"/>
  <c r="Q1061" i="52" l="1"/>
  <c r="R1061" i="52" s="1"/>
  <c r="S1061" i="52" s="1"/>
  <c r="Q1062" i="52" l="1"/>
  <c r="Q1063" i="52" s="1"/>
  <c r="R1062" i="52" l="1"/>
  <c r="S1062" i="52" s="1"/>
  <c r="R1063" i="52"/>
  <c r="S1063" i="52" s="1"/>
  <c r="Q1064" i="52"/>
  <c r="R1064" i="52" s="1"/>
  <c r="S1064" i="52" s="1"/>
  <c r="Q1065" i="52" l="1"/>
  <c r="Q1066" i="52" l="1"/>
  <c r="Q1067" i="52" s="1"/>
  <c r="R1065" i="52"/>
  <c r="S1065" i="52" s="1"/>
  <c r="R1066" i="52" l="1"/>
  <c r="S1066" i="52" s="1"/>
  <c r="R1067" i="52"/>
  <c r="S1067" i="52" s="1"/>
  <c r="Q1068" i="52"/>
  <c r="Q1069" i="52" s="1"/>
  <c r="R1068" i="52" l="1"/>
  <c r="S1068" i="52" s="1"/>
  <c r="R1069" i="52"/>
  <c r="S1069" i="52" s="1"/>
  <c r="Q1070" i="52"/>
  <c r="R1070" i="52" s="1"/>
  <c r="S1070" i="52" s="1"/>
  <c r="Q1071" i="52" l="1"/>
  <c r="Q1072" i="52" l="1"/>
  <c r="R1072" i="52" s="1"/>
  <c r="R1071" i="52"/>
  <c r="S1071" i="52" s="1"/>
  <c r="S1072" i="52" l="1"/>
  <c r="Q1073" i="52"/>
  <c r="R1073" i="52" s="1"/>
  <c r="S1073" i="52" s="1"/>
  <c r="Q1074" i="52" l="1"/>
  <c r="R1074" i="52" s="1"/>
  <c r="S1074" i="52" l="1"/>
  <c r="Q1075" i="52"/>
  <c r="R1075" i="52" s="1"/>
  <c r="S1075" i="52" l="1"/>
  <c r="Q1076" i="52"/>
  <c r="Q1077" i="52" s="1"/>
  <c r="R1077" i="52" l="1"/>
  <c r="S1077" i="52" s="1"/>
  <c r="Q1078" i="52"/>
  <c r="R1076" i="52"/>
  <c r="S1076" i="52" l="1"/>
  <c r="R1078" i="52"/>
  <c r="S1078" i="52" s="1"/>
  <c r="Q1079" i="52"/>
  <c r="Q1080" i="52" s="1"/>
  <c r="R1079" i="52" l="1"/>
  <c r="S1079" i="52" s="1"/>
  <c r="R1080" i="52"/>
  <c r="S1080" i="52" s="1"/>
  <c r="Q1081" i="52"/>
  <c r="R1081" i="52" s="1"/>
  <c r="S1081" i="52" s="1"/>
  <c r="Q1082" i="52" l="1"/>
  <c r="R1082" i="52" s="1"/>
  <c r="S1082" i="52" s="1"/>
  <c r="Q1083" i="52" l="1"/>
  <c r="R1083" i="52" s="1"/>
  <c r="S1083" i="52" s="1"/>
  <c r="Q1084" i="52" l="1"/>
  <c r="R1084" i="52" s="1"/>
  <c r="S1084" i="52" s="1"/>
  <c r="Q1085" i="52" l="1"/>
  <c r="Q1086" i="52" s="1"/>
  <c r="R1086" i="52" l="1"/>
  <c r="S1086" i="52" s="1"/>
  <c r="Q1087" i="52"/>
  <c r="Q1088" i="52" s="1"/>
  <c r="R1085" i="52"/>
  <c r="S1085" i="52" s="1"/>
  <c r="R1087" i="52" l="1"/>
  <c r="S1087" i="52" s="1"/>
  <c r="R1088" i="52"/>
  <c r="S1088" i="52" s="1"/>
  <c r="Q1089" i="52"/>
  <c r="R1089" i="52" l="1"/>
  <c r="S1089" i="52" s="1"/>
  <c r="Q1090" i="52"/>
  <c r="Q1091" i="52" s="1"/>
  <c r="R1091" i="52" l="1"/>
  <c r="S1091" i="52" s="1"/>
  <c r="Q1092" i="52"/>
  <c r="R1090" i="52"/>
  <c r="S1090" i="52" s="1"/>
  <c r="Q1093" i="52" l="1"/>
  <c r="R1093" i="52" s="1"/>
  <c r="S1093" i="52" s="1"/>
  <c r="R1092" i="52"/>
  <c r="S1092" i="52" s="1"/>
  <c r="Q1094" i="52" l="1"/>
  <c r="R1094" i="52" l="1"/>
  <c r="S1094" i="52" s="1"/>
  <c r="Q1095" i="52" l="1"/>
  <c r="R1095" i="52" l="1"/>
  <c r="S1095" i="52" s="1"/>
  <c r="Q1096" i="52"/>
  <c r="R1096" i="52" s="1"/>
  <c r="S1096" i="52" s="1"/>
  <c r="Q1097" i="52" l="1"/>
  <c r="Q1098" i="52" s="1"/>
  <c r="R1098" i="52" l="1"/>
  <c r="S1098" i="52" s="1"/>
  <c r="Q1099" i="52"/>
  <c r="Q1100" i="52" s="1"/>
  <c r="R1097" i="52"/>
  <c r="S1097" i="52" s="1"/>
  <c r="R1100" i="52" l="1"/>
  <c r="S1100" i="52" s="1"/>
  <c r="Q1101" i="52"/>
  <c r="R1099" i="52"/>
  <c r="S1099" i="52" s="1"/>
  <c r="R1101" i="52" l="1"/>
  <c r="S1101" i="52" s="1"/>
  <c r="Q1102" i="52"/>
  <c r="R1102" i="52" l="1"/>
  <c r="S1102" i="52" s="1"/>
  <c r="Q1103" i="52"/>
  <c r="R1103" i="52" l="1"/>
  <c r="S1103" i="52" s="1"/>
  <c r="Q1104" i="52"/>
  <c r="R1104" i="52" l="1"/>
  <c r="S1104" i="52" s="1"/>
  <c r="Q1105" i="52"/>
  <c r="R1105" i="52" l="1"/>
  <c r="S1105" i="52" s="1"/>
  <c r="Q1106" i="52"/>
  <c r="R1106" i="52" l="1"/>
  <c r="S1106" i="52" s="1"/>
  <c r="Q1107" i="52"/>
  <c r="R1107" i="52" l="1"/>
  <c r="S1107" i="52" s="1"/>
  <c r="Q1108" i="52"/>
  <c r="R1108" i="52" l="1"/>
  <c r="S1108" i="52" s="1"/>
  <c r="Q1109" i="52"/>
  <c r="R1109" i="52" l="1"/>
  <c r="S1109" i="52" s="1"/>
  <c r="Q1110" i="52"/>
  <c r="R1110" i="52" l="1"/>
  <c r="S1110" i="52" s="1"/>
  <c r="Q1111" i="52"/>
  <c r="R1111" i="52" l="1"/>
  <c r="S1111" i="52" s="1"/>
  <c r="Q1112" i="52"/>
  <c r="R1112" i="52" l="1"/>
  <c r="S1112" i="52" s="1"/>
  <c r="Q1113" i="52"/>
  <c r="R1113" i="52" l="1"/>
  <c r="S1113" i="52" s="1"/>
  <c r="Q1114" i="52"/>
  <c r="R1114" i="52" l="1"/>
  <c r="S1114" i="52" s="1"/>
  <c r="Q1115" i="52" l="1"/>
  <c r="R1115" i="52" l="1"/>
  <c r="S1115" i="52" s="1"/>
  <c r="Q1116" i="52"/>
  <c r="R1116" i="52" l="1"/>
  <c r="S1116" i="52" s="1"/>
  <c r="Q1117" i="52"/>
  <c r="Q1118" i="52" s="1"/>
  <c r="R1117" i="52" l="1"/>
  <c r="S1117" i="52" s="1"/>
  <c r="R1118" i="52"/>
  <c r="S1118" i="52" s="1"/>
  <c r="Q1119" i="52"/>
  <c r="R1119" i="52" l="1"/>
  <c r="S1119" i="52" s="1"/>
  <c r="Q1120" i="52"/>
  <c r="R1120" i="52" l="1"/>
  <c r="S1120" i="52" s="1"/>
  <c r="Q1121" i="52"/>
  <c r="Q1122" i="52" s="1"/>
  <c r="R1121" i="52" l="1"/>
  <c r="S1121" i="52" s="1"/>
  <c r="R1122" i="52"/>
  <c r="S1122" i="52" s="1"/>
  <c r="Q1123" i="52"/>
  <c r="R1123" i="52" l="1"/>
  <c r="S1123" i="52" s="1"/>
  <c r="Q1124" i="52"/>
  <c r="R1124" i="52" l="1"/>
  <c r="S1124" i="52" s="1"/>
  <c r="Q1125" i="52"/>
  <c r="Q1126" i="52" s="1"/>
  <c r="R1125" i="52" l="1"/>
  <c r="S1125" i="52" s="1"/>
  <c r="R1126" i="52"/>
  <c r="S1126" i="52" s="1"/>
  <c r="Q1127" i="52"/>
  <c r="R1127" i="52" l="1"/>
  <c r="S1127" i="52" s="1"/>
  <c r="Q1128" i="52"/>
  <c r="R1128" i="52" l="1"/>
  <c r="S1128" i="52" s="1"/>
  <c r="Q1129" i="52"/>
  <c r="R1129" i="52" l="1"/>
  <c r="S1129" i="52" s="1"/>
  <c r="Q1130" i="52"/>
  <c r="R1130" i="52" l="1"/>
  <c r="S1130" i="52" s="1"/>
  <c r="Q1131" i="52"/>
  <c r="R1131" i="52" s="1"/>
  <c r="S1131" i="52" s="1"/>
  <c r="Q1132" i="52" l="1"/>
  <c r="Q1133" i="52" s="1"/>
  <c r="R1132" i="52" l="1"/>
  <c r="S1132" i="52" s="1"/>
  <c r="R1133" i="52"/>
  <c r="S1133" i="52" s="1"/>
  <c r="Q1134" i="52"/>
  <c r="R1134" i="52" l="1"/>
  <c r="S1134" i="52" s="1"/>
  <c r="Q1135" i="52"/>
  <c r="R1135" i="52" l="1"/>
  <c r="S1135" i="52" s="1"/>
  <c r="Q1136" i="52"/>
  <c r="R1136" i="52" l="1"/>
  <c r="S1136" i="52" s="1"/>
  <c r="Q1137" i="52"/>
  <c r="R1137" i="52" s="1"/>
  <c r="S1137" i="52" s="1"/>
  <c r="Q1138" i="52" l="1"/>
  <c r="R1138" i="52" s="1"/>
  <c r="S1138" i="52" s="1"/>
  <c r="Q1139" i="52" l="1"/>
  <c r="Q1140" i="52" s="1"/>
  <c r="R1139" i="52" l="1"/>
  <c r="S1139" i="52" s="1"/>
  <c r="R1140" i="52"/>
  <c r="S1140" i="52" s="1"/>
  <c r="Q1141" i="52"/>
  <c r="R1141" i="52" s="1"/>
  <c r="S1141" i="52" s="1"/>
  <c r="Q1142" i="52" l="1"/>
  <c r="R1142" i="52" s="1"/>
  <c r="S1142" i="52" s="1"/>
  <c r="Q1143" i="52" l="1"/>
  <c r="Q1144" i="52" l="1"/>
  <c r="Q1145" i="52" s="1"/>
  <c r="R1143" i="52"/>
  <c r="S1143" i="52" s="1"/>
  <c r="R1144" i="52" l="1"/>
  <c r="S1144" i="52" s="1"/>
  <c r="R1145" i="52"/>
  <c r="S1145" i="52" s="1"/>
  <c r="Q1146" i="52"/>
  <c r="Q1147" i="52" s="1"/>
  <c r="R1146" i="52" l="1"/>
  <c r="S1146" i="52" s="1"/>
  <c r="R1147" i="52"/>
  <c r="S1147" i="52" s="1"/>
  <c r="Q1148" i="52"/>
  <c r="Q1149" i="52" s="1"/>
  <c r="R1148" i="52" l="1"/>
  <c r="S1148" i="52" s="1"/>
  <c r="R1149" i="52"/>
  <c r="S1149" i="52" s="1"/>
  <c r="Q1150" i="52"/>
  <c r="Q1151" i="52" s="1"/>
  <c r="R1151" i="52" l="1"/>
  <c r="S1151" i="52" s="1"/>
  <c r="Q1152" i="52"/>
  <c r="R1152" i="52" s="1"/>
  <c r="S1152" i="52" s="1"/>
  <c r="R1150" i="52"/>
  <c r="S1150" i="52" s="1"/>
  <c r="Q1153" i="52" l="1"/>
  <c r="R1153" i="52" s="1"/>
  <c r="S1153" i="52" s="1"/>
  <c r="Q1154" i="52" l="1"/>
  <c r="R1154" i="52" s="1"/>
  <c r="S1154" i="52" s="1"/>
  <c r="Q1155" i="52" l="1"/>
  <c r="R1155" i="52" s="1"/>
  <c r="S1155" i="52" s="1"/>
  <c r="Q1156" i="52" l="1"/>
  <c r="Q1157" i="52" s="1"/>
  <c r="R1156" i="52" l="1"/>
  <c r="S1156" i="52" s="1"/>
  <c r="R1157" i="52"/>
  <c r="S1157" i="52" s="1"/>
  <c r="Q1158" i="52"/>
  <c r="Q1159" i="52" s="1"/>
  <c r="R1158" i="52" l="1"/>
  <c r="S1158" i="52" s="1"/>
  <c r="R1159" i="52"/>
  <c r="S1159" i="52" s="1"/>
  <c r="Q1160" i="52"/>
  <c r="R1160" i="52" s="1"/>
  <c r="S1160" i="52" s="1"/>
  <c r="Q1161" i="52" l="1"/>
  <c r="R1161" i="52" s="1"/>
  <c r="S1161" i="52" s="1"/>
  <c r="Q1162" i="52" l="1"/>
  <c r="R1162" i="52" l="1"/>
  <c r="S1162" i="52" s="1"/>
  <c r="Q1163" i="52"/>
  <c r="R1163" i="52" s="1"/>
  <c r="S1163" i="52" s="1"/>
  <c r="Q1164" i="52" l="1"/>
  <c r="R1164" i="52" s="1"/>
  <c r="S1164" i="52" s="1"/>
  <c r="Q1165" i="52" l="1"/>
  <c r="Q1166" i="52" s="1"/>
  <c r="R1165" i="52" l="1"/>
  <c r="S1165" i="52" s="1"/>
  <c r="R1166" i="52"/>
  <c r="S1166" i="52" s="1"/>
  <c r="Q1167" i="52"/>
  <c r="Q1168" i="52" s="1"/>
  <c r="R1167" i="52" l="1"/>
  <c r="S1167" i="52" s="1"/>
  <c r="R1168" i="52"/>
  <c r="S1168" i="52" s="1"/>
  <c r="Q1169" i="52"/>
  <c r="Q1170" i="52" s="1"/>
  <c r="R1169" i="52" l="1"/>
  <c r="S1169" i="52" s="1"/>
  <c r="R1170" i="52"/>
  <c r="S1170" i="52" s="1"/>
  <c r="Q1171" i="52"/>
  <c r="Q1172" i="52" s="1"/>
  <c r="R1171" i="52" l="1"/>
  <c r="S1171" i="52" s="1"/>
  <c r="R1172" i="52"/>
  <c r="S1172" i="52" s="1"/>
  <c r="Q1173" i="52"/>
  <c r="Q1174" i="52" s="1"/>
  <c r="R1173" i="52" l="1"/>
  <c r="S1173" i="52" s="1"/>
  <c r="R1174" i="52"/>
  <c r="S1174" i="52" s="1"/>
  <c r="Q1175" i="52"/>
  <c r="Q1176" i="52" l="1"/>
  <c r="R1176" i="52" s="1"/>
  <c r="S1176" i="52" s="1"/>
  <c r="R1175" i="52"/>
  <c r="S1175" i="52" s="1"/>
  <c r="Q1177" i="52" l="1"/>
  <c r="Q1178" i="52" s="1"/>
  <c r="R1177" i="52" l="1"/>
  <c r="S1177" i="52" s="1"/>
  <c r="R1178" i="52"/>
  <c r="S1178" i="52" s="1"/>
  <c r="Q1179" i="52"/>
  <c r="Q1180" i="52" s="1"/>
  <c r="R1179" i="52" l="1"/>
  <c r="S1179" i="52" s="1"/>
  <c r="R1180" i="52"/>
  <c r="S1180" i="52" s="1"/>
  <c r="Q1181" i="52"/>
  <c r="R1181" i="52" l="1"/>
  <c r="S1181" i="52" s="1"/>
  <c r="Q1182" i="52" l="1"/>
  <c r="Q1183" i="52" l="1"/>
  <c r="Q1184" i="52" s="1"/>
  <c r="R1182" i="52"/>
  <c r="S1182" i="52" s="1"/>
  <c r="R1183" i="52" l="1"/>
  <c r="S1183" i="52" s="1"/>
  <c r="R1184" i="52"/>
  <c r="S1184" i="52" s="1"/>
  <c r="Q1185" i="52"/>
  <c r="Q1186" i="52" s="1"/>
  <c r="R1185" i="52" l="1"/>
  <c r="S1185" i="52" s="1"/>
  <c r="R1186" i="52"/>
  <c r="S1186" i="52" s="1"/>
  <c r="Q1187" i="52"/>
  <c r="R1187" i="52" l="1"/>
  <c r="S1187" i="52" s="1"/>
  <c r="Q1188" i="52"/>
  <c r="R1188" i="52" l="1"/>
  <c r="S1188" i="52" s="1"/>
  <c r="Q1189" i="52"/>
  <c r="R1189" i="52" s="1"/>
  <c r="S1189" i="52" s="1"/>
  <c r="Q1190" i="52" l="1"/>
  <c r="Q1191" i="52" l="1"/>
  <c r="Q1192" i="52" s="1"/>
  <c r="R1190" i="52"/>
  <c r="S1190" i="52" s="1"/>
  <c r="R1191" i="52" l="1"/>
  <c r="S1191" i="52" s="1"/>
  <c r="R1192" i="52"/>
  <c r="S1192" i="52" s="1"/>
  <c r="Q1193" i="52"/>
  <c r="R1193" i="52" s="1"/>
  <c r="S1193" i="52" s="1"/>
  <c r="Q1194" i="52" l="1"/>
  <c r="R1194" i="52" l="1"/>
  <c r="S1194" i="52" s="1"/>
  <c r="Q1195" i="52"/>
  <c r="Q1196" i="52" s="1"/>
  <c r="R1195" i="52" l="1"/>
  <c r="S1195" i="52" s="1"/>
  <c r="R1196" i="52"/>
  <c r="S1196" i="52" s="1"/>
  <c r="Q1197" i="52"/>
  <c r="R1197" i="52" s="1"/>
  <c r="S1197" i="52" s="1"/>
  <c r="Q1198" i="52" l="1"/>
  <c r="R1198" i="52" s="1"/>
  <c r="S1198" i="52" s="1"/>
  <c r="Q1199" i="52" l="1"/>
  <c r="R1199" i="52" s="1"/>
  <c r="S1199" i="52" s="1"/>
  <c r="Q1200" i="52" l="1"/>
  <c r="R1200" i="52" s="1"/>
  <c r="S1200" i="52" s="1"/>
  <c r="Q1201" i="52" l="1"/>
  <c r="R1201" i="52" s="1"/>
  <c r="S1201" i="52" s="1"/>
  <c r="Q1202" i="52" l="1"/>
  <c r="Q1203" i="52" l="1"/>
  <c r="Q1204" i="52" s="1"/>
  <c r="R1202" i="52"/>
  <c r="S1202" i="52" s="1"/>
  <c r="R1203" i="52" l="1"/>
  <c r="S1203" i="52" s="1"/>
  <c r="R1204" i="52"/>
  <c r="S1204" i="52" s="1"/>
  <c r="Q1205" i="52"/>
  <c r="R1205" i="52" s="1"/>
  <c r="S1205" i="52" s="1"/>
  <c r="Q1206" i="52" l="1"/>
  <c r="R1206" i="52" s="1"/>
  <c r="S1206" i="52" s="1"/>
  <c r="Q1207" i="52" l="1"/>
  <c r="Q1208" i="52" s="1"/>
  <c r="R1207" i="52" l="1"/>
  <c r="S1207" i="52" s="1"/>
  <c r="R1208" i="52"/>
  <c r="S1208" i="52" s="1"/>
  <c r="Q1209" i="52"/>
  <c r="R1209" i="52" s="1"/>
  <c r="S1209" i="52" s="1"/>
  <c r="Q1210" i="52" l="1"/>
  <c r="R1210" i="52" s="1"/>
  <c r="S1210" i="52" s="1"/>
  <c r="Q1211" i="52" l="1"/>
  <c r="Q1212" i="52" s="1"/>
  <c r="R1211" i="52" l="1"/>
  <c r="S1211" i="52" s="1"/>
  <c r="R1212" i="52"/>
  <c r="S1212" i="52" s="1"/>
  <c r="Q1213" i="52"/>
  <c r="Q1214" i="52" s="1"/>
  <c r="R1213" i="52" l="1"/>
  <c r="S1213" i="52" s="1"/>
  <c r="R1214" i="52"/>
  <c r="S1214" i="52" s="1"/>
  <c r="Q1215" i="52"/>
  <c r="Q1216" i="52" s="1"/>
  <c r="R1216" i="52" l="1"/>
  <c r="S1216" i="52" s="1"/>
  <c r="Q1217" i="52"/>
  <c r="Q1218" i="52" s="1"/>
  <c r="R1215" i="52"/>
  <c r="S1215" i="52" s="1"/>
  <c r="R1217" i="52" l="1"/>
  <c r="S1217" i="52" s="1"/>
  <c r="R1218" i="52"/>
  <c r="S1218" i="52" s="1"/>
  <c r="Q1219" i="52"/>
  <c r="R1219" i="52" s="1"/>
  <c r="S1219" i="52" s="1"/>
  <c r="Q1220" i="52" l="1"/>
  <c r="R1220" i="52" s="1"/>
  <c r="S1220" i="52" s="1"/>
  <c r="Q1221" i="52" l="1"/>
  <c r="R1221" i="52" s="1"/>
  <c r="S1221" i="52" s="1"/>
  <c r="Q1222" i="52" l="1"/>
  <c r="Q1223" i="52" l="1"/>
  <c r="Q1224" i="52" s="1"/>
  <c r="R1222" i="52"/>
  <c r="S1222" i="52" s="1"/>
  <c r="R1223" i="52" l="1"/>
  <c r="S1223" i="52" s="1"/>
  <c r="R1224" i="52"/>
  <c r="S1224" i="52" s="1"/>
  <c r="Q1225" i="52"/>
  <c r="R1225" i="52" s="1"/>
  <c r="S1225" i="52" s="1"/>
  <c r="Q1226" i="52" l="1"/>
  <c r="R1226" i="52" s="1"/>
  <c r="S1226" i="52" s="1"/>
  <c r="Q1227" i="52" l="1"/>
  <c r="Q1228" i="52" s="1"/>
  <c r="R1227" i="52" l="1"/>
  <c r="S1227" i="52" s="1"/>
  <c r="R1228" i="52"/>
  <c r="S1228" i="52" s="1"/>
  <c r="Q1229" i="52"/>
  <c r="R1229" i="52" s="1"/>
  <c r="S1229" i="52" s="1"/>
  <c r="Q1230" i="52" l="1"/>
  <c r="R1230" i="52" s="1"/>
  <c r="S1230" i="52" s="1"/>
  <c r="Q1231" i="52" l="1"/>
  <c r="Q1232" i="52" s="1"/>
  <c r="R1231" i="52" l="1"/>
  <c r="S1231" i="52" s="1"/>
  <c r="R1232" i="52"/>
  <c r="S1232" i="52" s="1"/>
  <c r="Q1233" i="52"/>
  <c r="R1233" i="52" s="1"/>
  <c r="S1233" i="52" s="1"/>
  <c r="Q1234" i="52" l="1"/>
  <c r="Q1235" i="52" l="1"/>
  <c r="Q1236" i="52" s="1"/>
  <c r="R1234" i="52"/>
  <c r="S1234" i="52" s="1"/>
  <c r="R1235" i="52" l="1"/>
  <c r="S1235" i="52" s="1"/>
  <c r="R1236" i="52"/>
  <c r="S1236" i="52" s="1"/>
  <c r="Q1237" i="52"/>
  <c r="R1237" i="52" s="1"/>
  <c r="S1237" i="52" s="1"/>
  <c r="Q1238" i="52" l="1"/>
  <c r="R1238" i="52" s="1"/>
  <c r="S1238" i="52" s="1"/>
  <c r="Q1239" i="52" l="1"/>
  <c r="Q1240" i="52" s="1"/>
  <c r="R1239" i="52" l="1"/>
  <c r="S1239" i="52" s="1"/>
  <c r="R1240" i="52"/>
  <c r="S1240" i="52" s="1"/>
  <c r="Q1241" i="52"/>
  <c r="Q1242" i="52" s="1"/>
  <c r="R1242" i="52" l="1"/>
  <c r="S1242" i="52" s="1"/>
  <c r="Q1243" i="52"/>
  <c r="Q1244" i="52" s="1"/>
  <c r="R1241" i="52"/>
  <c r="S1241" i="52" s="1"/>
  <c r="R1243" i="52" l="1"/>
  <c r="S1243" i="52" s="1"/>
  <c r="R1244" i="52"/>
  <c r="S1244" i="52" s="1"/>
  <c r="Q1245" i="52"/>
  <c r="R1245" i="52" l="1"/>
  <c r="S1245" i="52" s="1"/>
  <c r="Q1246" i="52"/>
  <c r="R1246" i="52" l="1"/>
  <c r="S1246" i="52" s="1"/>
  <c r="Q1247" i="52"/>
  <c r="R1247" i="52" s="1"/>
  <c r="S1247" i="52" s="1"/>
  <c r="Q1248" i="52" l="1"/>
  <c r="Q1249" i="52" s="1"/>
  <c r="R1249" i="52" l="1"/>
  <c r="S1249" i="52" s="1"/>
  <c r="Q1250" i="52"/>
  <c r="R1250" i="52" s="1"/>
  <c r="S1250" i="52" s="1"/>
  <c r="R1248" i="52"/>
  <c r="S1248" i="52" s="1"/>
  <c r="Q1251" i="52" l="1"/>
  <c r="R1251" i="52" s="1"/>
  <c r="S1251" i="52" s="1"/>
  <c r="Q1252" i="52" l="1"/>
  <c r="R1252" i="52" s="1"/>
  <c r="S1252" i="52" s="1"/>
  <c r="Q1253" i="52" l="1"/>
  <c r="Q1254" i="52" s="1"/>
  <c r="R1253" i="52" l="1"/>
  <c r="S1253" i="52" s="1"/>
  <c r="R1254" i="52"/>
  <c r="S1254" i="52" s="1"/>
  <c r="Q1255" i="52"/>
  <c r="Q1256" i="52" s="1"/>
  <c r="R1256" i="52" l="1"/>
  <c r="S1256" i="52" s="1"/>
  <c r="Q1257" i="52"/>
  <c r="R1255" i="52"/>
  <c r="S1255" i="52" s="1"/>
  <c r="R1257" i="52" l="1"/>
  <c r="S1257" i="52" s="1"/>
  <c r="Q1258" i="52"/>
  <c r="R1258" i="52" l="1"/>
  <c r="S1258" i="52" s="1"/>
  <c r="Q1259" i="52"/>
  <c r="Q1260" i="52" s="1"/>
  <c r="R1259" i="52" l="1"/>
  <c r="S1259" i="52" s="1"/>
  <c r="R1260" i="52"/>
  <c r="S1260" i="52" s="1"/>
  <c r="Q1261" i="52"/>
  <c r="R1261" i="52" l="1"/>
  <c r="S1261" i="52" s="1"/>
  <c r="Q1262" i="52"/>
  <c r="R1262" i="52" l="1"/>
  <c r="S1262" i="52" s="1"/>
  <c r="Q1263" i="52"/>
  <c r="R1263" i="52" l="1"/>
  <c r="S1263" i="52" s="1"/>
  <c r="Q1264" i="52"/>
  <c r="R1264" i="52" l="1"/>
  <c r="S1264" i="52" s="1"/>
  <c r="Q1265" i="52"/>
  <c r="R1265" i="52" l="1"/>
  <c r="S1265" i="52" s="1"/>
  <c r="Q1266" i="52"/>
  <c r="R1266" i="52" l="1"/>
  <c r="S1266" i="52" s="1"/>
  <c r="Q1267" i="52"/>
  <c r="R1267" i="52" l="1"/>
  <c r="S1267" i="52" s="1"/>
  <c r="Q1268" i="52"/>
  <c r="R1268" i="52" s="1"/>
  <c r="S1268" i="52" s="1"/>
  <c r="Q1269" i="52" l="1"/>
  <c r="R1269" i="52" s="1"/>
  <c r="S1269" i="52" s="1"/>
  <c r="Q1270" i="52" l="1"/>
  <c r="Q1271" i="52" s="1"/>
  <c r="R1270" i="52" l="1"/>
  <c r="S1270" i="52" s="1"/>
  <c r="R1271" i="52"/>
  <c r="S1271" i="52" s="1"/>
  <c r="Q1272" i="52"/>
  <c r="Q1273" i="52" s="1"/>
  <c r="R1272" i="52" l="1"/>
  <c r="S1272" i="52" s="1"/>
  <c r="R1273" i="52"/>
  <c r="S1273" i="52" s="1"/>
  <c r="Q1274" i="52"/>
  <c r="R1274" i="52" l="1"/>
  <c r="S1274" i="52" s="1"/>
  <c r="Q1275" i="52"/>
  <c r="R1275" i="52" l="1"/>
  <c r="S1275" i="52" s="1"/>
  <c r="Q1276" i="52"/>
  <c r="R1276" i="52" l="1"/>
  <c r="S1276" i="52" s="1"/>
  <c r="Q1277" i="52"/>
  <c r="R1277" i="52" l="1"/>
  <c r="S1277" i="52" s="1"/>
  <c r="Q1278" i="52"/>
  <c r="Q1279" i="52" s="1"/>
  <c r="R1278" i="52" l="1"/>
  <c r="S1278" i="52" s="1"/>
  <c r="R1279" i="52"/>
  <c r="S1279" i="52" s="1"/>
  <c r="Q1280" i="52"/>
  <c r="R1280" i="52" s="1"/>
  <c r="S1280" i="52" s="1"/>
  <c r="Q1281" i="52" l="1"/>
  <c r="R1281" i="52" s="1"/>
  <c r="S1281" i="52" s="1"/>
  <c r="Q1282" i="52" l="1"/>
  <c r="Q1283" i="52" s="1"/>
  <c r="R1282" i="52" l="1"/>
  <c r="S1282" i="52" s="1"/>
  <c r="R1283" i="52"/>
  <c r="S1283" i="52" s="1"/>
  <c r="Q1284" i="52"/>
  <c r="R1284" i="52" l="1"/>
  <c r="S1284" i="52" s="1"/>
  <c r="Q1285" i="52"/>
  <c r="R1285" i="52" l="1"/>
  <c r="S1285" i="52" s="1"/>
  <c r="Q1286" i="52"/>
  <c r="R1286" i="52" l="1"/>
  <c r="S1286" i="52" s="1"/>
  <c r="Q1287" i="52"/>
  <c r="Q1288" i="52" s="1"/>
  <c r="R1287" i="52" l="1"/>
  <c r="S1287" i="52" s="1"/>
  <c r="R1288" i="52"/>
  <c r="S1288" i="52" s="1"/>
  <c r="Q1289" i="52"/>
  <c r="Q1290" i="52" s="1"/>
  <c r="R1289" i="52" l="1"/>
  <c r="S1289" i="52" s="1"/>
  <c r="R1290" i="52"/>
  <c r="S1290" i="52" s="1"/>
  <c r="Q1291" i="52"/>
  <c r="R1291" i="52" l="1"/>
  <c r="S1291" i="52" s="1"/>
  <c r="Q1292" i="52"/>
  <c r="R1292" i="52" l="1"/>
  <c r="S1292" i="52" s="1"/>
  <c r="Q1293" i="52"/>
  <c r="Q1294" i="52" s="1"/>
  <c r="R1293" i="52" l="1"/>
  <c r="S1293" i="52" s="1"/>
  <c r="R1294" i="52"/>
  <c r="S1294" i="52" s="1"/>
  <c r="Q1295" i="52"/>
  <c r="R1295" i="52" s="1"/>
  <c r="S1295" i="52" s="1"/>
  <c r="Q1296" i="52" l="1"/>
  <c r="Q1297" i="52" s="1"/>
  <c r="R1296" i="52" l="1"/>
  <c r="S1296" i="52" s="1"/>
  <c r="R1297" i="52"/>
  <c r="S1297" i="52" s="1"/>
  <c r="Q1298" i="52"/>
  <c r="Q1299" i="52" s="1"/>
  <c r="R1298" i="52" l="1"/>
  <c r="S1298" i="52" s="1"/>
  <c r="R1299" i="52"/>
  <c r="S1299" i="52" s="1"/>
  <c r="Q1300" i="52"/>
  <c r="R1300" i="52" l="1"/>
  <c r="S1300" i="52" s="1"/>
  <c r="Q1301" i="52"/>
  <c r="R1301" i="52" l="1"/>
  <c r="S1301" i="52" s="1"/>
  <c r="Q1302" i="52"/>
  <c r="R1302" i="52" l="1"/>
  <c r="S1302" i="52" s="1"/>
  <c r="Q1303" i="52"/>
  <c r="R1303" i="52" l="1"/>
  <c r="S1303" i="52" s="1"/>
  <c r="Q1304" i="52"/>
  <c r="R1304" i="52" l="1"/>
  <c r="S1304" i="52" s="1"/>
  <c r="Q1305" i="52"/>
  <c r="R1305" i="52" l="1"/>
  <c r="S1305" i="52" s="1"/>
  <c r="Q1306" i="52"/>
  <c r="R1306" i="52" l="1"/>
  <c r="S1306" i="52" s="1"/>
  <c r="Q1307" i="52"/>
  <c r="R1307" i="52" l="1"/>
  <c r="S1307" i="52" s="1"/>
  <c r="Q1308" i="52"/>
  <c r="R1308" i="52" l="1"/>
  <c r="S1308" i="52" s="1"/>
  <c r="Q1309" i="52"/>
  <c r="R1309" i="52" l="1"/>
  <c r="S1309" i="52" s="1"/>
  <c r="Q1310" i="52"/>
  <c r="R1310" i="52" l="1"/>
  <c r="S1310" i="52" s="1"/>
  <c r="Q1311" i="52"/>
  <c r="R1311" i="52" l="1"/>
  <c r="S1311" i="52" s="1"/>
  <c r="Q1312" i="52"/>
  <c r="R1312" i="52" l="1"/>
  <c r="S1312" i="52" s="1"/>
  <c r="Q1313" i="52"/>
  <c r="R1313" i="52" l="1"/>
  <c r="S1313" i="52" s="1"/>
  <c r="Q1314" i="52"/>
  <c r="R1314" i="52" s="1"/>
  <c r="S1314" i="52" s="1"/>
  <c r="Q1315" i="52" l="1"/>
  <c r="Q1316" i="52" s="1"/>
  <c r="R1315" i="52" l="1"/>
  <c r="S1315" i="52" s="1"/>
  <c r="R1316" i="52"/>
  <c r="S1316" i="52" s="1"/>
  <c r="Q1317" i="52"/>
  <c r="Q1318" i="52" s="1"/>
  <c r="R1317" i="52" l="1"/>
  <c r="S1317" i="52" s="1"/>
  <c r="R1318" i="52"/>
  <c r="S1318" i="52" s="1"/>
  <c r="Q1319" i="52"/>
  <c r="Q1320" i="52" s="1"/>
  <c r="R1319" i="52" l="1"/>
  <c r="S1319" i="52" s="1"/>
  <c r="R1320" i="52"/>
  <c r="S1320" i="52" s="1"/>
  <c r="Q1321" i="52"/>
  <c r="Q1322" i="52" s="1"/>
  <c r="R1321" i="52" l="1"/>
  <c r="S1321" i="52" s="1"/>
  <c r="R1322" i="52"/>
  <c r="S1322" i="52" s="1"/>
  <c r="Q1323" i="52"/>
  <c r="R1323" i="52" l="1"/>
  <c r="S1323" i="52" s="1"/>
  <c r="Q1324" i="52"/>
  <c r="R1324" i="52" l="1"/>
  <c r="S1324" i="52" s="1"/>
  <c r="Q1325" i="52"/>
  <c r="R1325" i="52" l="1"/>
  <c r="S1325" i="52" s="1"/>
  <c r="Q1326" i="52"/>
  <c r="R1326" i="52" l="1"/>
  <c r="S1326" i="52" s="1"/>
  <c r="Q1327" i="52"/>
  <c r="R1327" i="52" s="1"/>
  <c r="S1327" i="52" s="1"/>
  <c r="Q1328" i="52" l="1"/>
  <c r="Q1329" i="52" s="1"/>
  <c r="R1328" i="52" l="1"/>
  <c r="S1328" i="52" s="1"/>
  <c r="R1329" i="52"/>
  <c r="S1329" i="52" s="1"/>
  <c r="Q1330" i="52"/>
  <c r="R1330" i="52" l="1"/>
  <c r="S1330" i="52" s="1"/>
  <c r="Q1331" i="52"/>
  <c r="R1331" i="52" l="1"/>
  <c r="S1331" i="52" s="1"/>
  <c r="Q1332" i="52"/>
  <c r="R1332" i="52" s="1"/>
  <c r="S1332" i="52" s="1"/>
  <c r="Q1333" i="52" l="1"/>
  <c r="Q1334" i="52" s="1"/>
  <c r="R1333" i="52" l="1"/>
  <c r="S1333" i="52" s="1"/>
  <c r="R1334" i="52"/>
  <c r="S1334" i="52" s="1"/>
  <c r="Q1335" i="52"/>
  <c r="R1335" i="52" l="1"/>
  <c r="S1335" i="52" s="1"/>
  <c r="Q1336" i="52"/>
  <c r="R1336" i="52" l="1"/>
  <c r="S1336" i="52" s="1"/>
  <c r="Q1337" i="52"/>
  <c r="Q1338" i="52" s="1"/>
  <c r="R1337" i="52" l="1"/>
  <c r="S1337" i="52" s="1"/>
  <c r="R1338" i="52"/>
  <c r="S1338" i="52" s="1"/>
  <c r="Q1339" i="52"/>
  <c r="R1339" i="52" s="1"/>
  <c r="S1339" i="52" s="1"/>
  <c r="Q1340" i="52" l="1"/>
  <c r="Q1341" i="52" s="1"/>
  <c r="R1341" i="52" l="1"/>
  <c r="S1341" i="52" s="1"/>
  <c r="Q1342" i="52"/>
  <c r="R1340" i="52"/>
  <c r="S1340" i="52" s="1"/>
  <c r="R1342" i="52" l="1"/>
  <c r="S1342" i="52" s="1"/>
  <c r="Q1343" i="52"/>
  <c r="Q1344" i="52" s="1"/>
  <c r="R1343" i="52" l="1"/>
  <c r="S1343" i="52" s="1"/>
  <c r="R1344" i="52"/>
  <c r="S1344" i="52" s="1"/>
  <c r="Q1345" i="52"/>
  <c r="R1345" i="52" l="1"/>
  <c r="S1345" i="52" s="1"/>
  <c r="Q1346" i="52"/>
  <c r="R1346" i="52" l="1"/>
  <c r="S1346" i="52" s="1"/>
  <c r="Q1347" i="52"/>
  <c r="Q1348" i="52" s="1"/>
  <c r="R1347" i="52" l="1"/>
  <c r="S1347" i="52" s="1"/>
  <c r="R1348" i="52"/>
  <c r="S1348" i="52" s="1"/>
  <c r="Q1349" i="52"/>
  <c r="R1349" i="52" l="1"/>
  <c r="S1349" i="52" s="1"/>
  <c r="Q1350" i="52"/>
  <c r="R1350" i="52" l="1"/>
  <c r="S1350" i="52" s="1"/>
  <c r="Q1351" i="52"/>
  <c r="R1351" i="52" l="1"/>
  <c r="S1351" i="52" s="1"/>
  <c r="Q1352" i="52"/>
  <c r="R1352" i="52" l="1"/>
  <c r="S1352" i="52" s="1"/>
  <c r="Q1353" i="52"/>
  <c r="R1353" i="52" l="1"/>
  <c r="S1353" i="52" s="1"/>
  <c r="Q1354" i="52"/>
  <c r="Q1355" i="52" s="1"/>
  <c r="R1354" i="52" l="1"/>
  <c r="S1354" i="52" s="1"/>
  <c r="R1355" i="52"/>
  <c r="S1355" i="52" s="1"/>
  <c r="Q1356" i="52"/>
  <c r="R1356" i="52" l="1"/>
  <c r="S1356" i="52" s="1"/>
  <c r="Q1357" i="52"/>
  <c r="R1357" i="52" l="1"/>
  <c r="S1357" i="52" s="1"/>
  <c r="Q1358" i="52"/>
  <c r="Q1359" i="52" s="1"/>
  <c r="R1359" i="52" l="1"/>
  <c r="S1359" i="52" s="1"/>
  <c r="Q1360" i="52"/>
  <c r="R1358" i="52"/>
  <c r="S1358" i="52" s="1"/>
  <c r="R1360" i="52" l="1"/>
  <c r="S1360" i="52" s="1"/>
  <c r="Q1361" i="52"/>
  <c r="R1361" i="52" l="1"/>
  <c r="S1361" i="52" s="1"/>
  <c r="Q1362" i="52"/>
  <c r="R1362" i="52" l="1"/>
  <c r="S1362" i="52" s="1"/>
  <c r="Q1363" i="52"/>
  <c r="R1363" i="52" l="1"/>
  <c r="S1363" i="52" s="1"/>
  <c r="Q1364" i="52"/>
  <c r="R1364" i="52" l="1"/>
  <c r="S1364" i="52" s="1"/>
  <c r="Q1365" i="52"/>
  <c r="R1365" i="52" l="1"/>
  <c r="S1365" i="52" s="1"/>
  <c r="Q1366" i="52"/>
  <c r="Q1367" i="52" s="1"/>
  <c r="R1366" i="52" l="1"/>
  <c r="S1366" i="52" s="1"/>
  <c r="R1367" i="52"/>
  <c r="S1367" i="52" s="1"/>
  <c r="Q1368" i="52"/>
  <c r="R1368" i="52" l="1"/>
  <c r="S1368" i="52" s="1"/>
  <c r="Q1369" i="52"/>
  <c r="R1369" i="52" l="1"/>
  <c r="S1369" i="52" s="1"/>
  <c r="Q1370" i="52"/>
  <c r="R1370" i="52" l="1"/>
  <c r="S1370" i="52" s="1"/>
  <c r="Q1371" i="52"/>
  <c r="Q1372" i="52" s="1"/>
  <c r="R1371" i="52" l="1"/>
  <c r="S1371" i="52" s="1"/>
  <c r="R1372" i="52"/>
  <c r="S1372" i="52" s="1"/>
  <c r="Q1373" i="52"/>
  <c r="Q1374" i="52" s="1"/>
  <c r="R1373" i="52" l="1"/>
  <c r="S1373" i="52" s="1"/>
  <c r="R1374" i="52"/>
  <c r="S1374" i="52" s="1"/>
  <c r="Q1375" i="52"/>
  <c r="Q1376" i="52" s="1"/>
  <c r="R1375" i="52" l="1"/>
  <c r="S1375" i="52" s="1"/>
  <c r="R1376" i="52"/>
  <c r="S1376" i="52" s="1"/>
  <c r="Q1377" i="52"/>
  <c r="R1377" i="52" l="1"/>
  <c r="S1377" i="52" s="1"/>
  <c r="Q1378" i="52"/>
  <c r="R1378" i="52" l="1"/>
  <c r="S1378" i="52" s="1"/>
  <c r="Q1379" i="52"/>
  <c r="R1379" i="52" l="1"/>
  <c r="S1379" i="52" s="1"/>
  <c r="Q1380" i="52"/>
  <c r="R1380" i="52" l="1"/>
  <c r="S1380" i="52" s="1"/>
  <c r="Q1381" i="52"/>
  <c r="Q1382" i="52" s="1"/>
  <c r="R1381" i="52" l="1"/>
  <c r="S1381" i="52" s="1"/>
  <c r="R1382" i="52"/>
  <c r="S1382" i="52" s="1"/>
  <c r="Q1383" i="52"/>
  <c r="R1383" i="52" l="1"/>
  <c r="S1383" i="52" s="1"/>
  <c r="Q1384" i="52"/>
  <c r="R1384" i="52" l="1"/>
  <c r="S1384" i="52" s="1"/>
  <c r="Q1385" i="52"/>
  <c r="R1385" i="52" l="1"/>
  <c r="S1385" i="52" s="1"/>
  <c r="Q1386" i="52"/>
  <c r="R1386" i="52" l="1"/>
  <c r="S1386" i="52" s="1"/>
  <c r="Q1387" i="52"/>
  <c r="R1387" i="52" l="1"/>
  <c r="S1387" i="52" s="1"/>
  <c r="Q1388" i="52"/>
  <c r="R1388" i="52" l="1"/>
  <c r="S1388" i="52" s="1"/>
  <c r="Q1389" i="52"/>
  <c r="R1389" i="52" l="1"/>
  <c r="S1389" i="52" s="1"/>
  <c r="Q1390" i="52"/>
  <c r="Q1391" i="52" s="1"/>
  <c r="R1390" i="52" l="1"/>
  <c r="S1390" i="52" s="1"/>
  <c r="R1391" i="52"/>
  <c r="S1391" i="52" s="1"/>
  <c r="Q1392" i="52"/>
  <c r="R1392" i="52" l="1"/>
  <c r="S1392" i="52" s="1"/>
  <c r="Q1393" i="52"/>
  <c r="R1393" i="52" l="1"/>
  <c r="S1393" i="52" s="1"/>
  <c r="Q1394" i="52"/>
  <c r="Q1395" i="52" s="1"/>
  <c r="R1394" i="52" l="1"/>
  <c r="S1394" i="52" s="1"/>
  <c r="R1395" i="52"/>
  <c r="S1395" i="52" s="1"/>
  <c r="Q1396" i="52"/>
  <c r="Q1397" i="52" s="1"/>
  <c r="R1397" i="52" l="1"/>
  <c r="S1397" i="52" s="1"/>
  <c r="Q1398" i="52"/>
  <c r="R1396" i="52"/>
  <c r="S1396" i="52" s="1"/>
  <c r="R1398" i="52" l="1"/>
  <c r="S1398" i="52" s="1"/>
  <c r="Q1399" i="52"/>
  <c r="Q1400" i="52" s="1"/>
  <c r="R1399" i="52" l="1"/>
  <c r="S1399" i="52" s="1"/>
  <c r="R1400" i="52"/>
  <c r="S1400" i="52" s="1"/>
  <c r="Q1401" i="52"/>
  <c r="R1401" i="52" l="1"/>
  <c r="S1401" i="52" s="1"/>
  <c r="Q1402" i="52"/>
  <c r="R1402" i="52" l="1"/>
  <c r="S1402" i="52" s="1"/>
  <c r="Q1403" i="52"/>
  <c r="Q1404" i="52" s="1"/>
  <c r="R1403" i="52" l="1"/>
  <c r="S1403" i="52" s="1"/>
  <c r="R1404" i="52"/>
  <c r="S1404" i="52" s="1"/>
  <c r="Q1405" i="52"/>
  <c r="R1405" i="52" l="1"/>
  <c r="S1405" i="52" s="1"/>
  <c r="Q1406" i="52"/>
  <c r="R1406" i="52" l="1"/>
  <c r="S1406" i="52" s="1"/>
  <c r="Q1407" i="52"/>
  <c r="R1407" i="52" l="1"/>
  <c r="S1407" i="52" s="1"/>
  <c r="Q1408" i="52"/>
  <c r="R1408" i="52" l="1"/>
  <c r="S1408" i="52" s="1"/>
  <c r="Q1409" i="52"/>
  <c r="R1409" i="52" s="1"/>
  <c r="S1409" i="52" s="1"/>
  <c r="Q1410" i="52" l="1"/>
  <c r="Q1411" i="52" s="1"/>
  <c r="R1410" i="52" l="1"/>
  <c r="S1410" i="52" s="1"/>
  <c r="R1411" i="52"/>
  <c r="S1411" i="52" s="1"/>
  <c r="Q1412" i="52"/>
  <c r="R1412" i="52" l="1"/>
  <c r="S1412" i="52" s="1"/>
  <c r="Q1413" i="52"/>
  <c r="R1413" i="52" l="1"/>
  <c r="S1413" i="52" s="1"/>
  <c r="Q1414" i="52"/>
  <c r="R1414" i="52" l="1"/>
  <c r="S1414" i="52" s="1"/>
  <c r="Q1415" i="52"/>
  <c r="Q1416" i="52" s="1"/>
  <c r="R1415" i="52" l="1"/>
  <c r="S1415" i="52" s="1"/>
  <c r="R1416" i="52"/>
  <c r="S1416" i="52" s="1"/>
  <c r="Q1417" i="52"/>
  <c r="R1417" i="52" l="1"/>
  <c r="S1417" i="52" s="1"/>
  <c r="Q1418" i="52"/>
  <c r="R1418" i="52" l="1"/>
  <c r="S1418" i="52" s="1"/>
  <c r="Q1419" i="52"/>
  <c r="R1419" i="52" l="1"/>
  <c r="S1419" i="52" s="1"/>
  <c r="Q1420" i="52"/>
  <c r="R1420" i="52" l="1"/>
  <c r="S1420" i="52" s="1"/>
  <c r="Q1421" i="52"/>
  <c r="R1421" i="52" l="1"/>
  <c r="S1421" i="52" s="1"/>
  <c r="Q1422" i="52"/>
  <c r="R1422" i="52" s="1"/>
  <c r="S1422" i="52" s="1"/>
  <c r="Q1423" i="52" l="1"/>
  <c r="Q1424" i="52" s="1"/>
  <c r="R1423" i="52" l="1"/>
  <c r="S1423" i="52" s="1"/>
  <c r="R1424" i="52"/>
  <c r="S1424" i="52" s="1"/>
  <c r="Q1425" i="52"/>
  <c r="R1425" i="52" l="1"/>
  <c r="S1425" i="52" s="1"/>
  <c r="Q1426" i="52"/>
  <c r="R1426" i="52" l="1"/>
  <c r="S1426" i="52" s="1"/>
  <c r="Q1427" i="52"/>
  <c r="R1427" i="52" l="1"/>
  <c r="S1427" i="52" s="1"/>
  <c r="Q1428" i="52"/>
  <c r="R1428" i="52" s="1"/>
  <c r="S1428" i="52" s="1"/>
  <c r="Q1429" i="52" l="1"/>
  <c r="Q1430" i="52" s="1"/>
  <c r="R1429" i="52" l="1"/>
  <c r="S1429" i="52" s="1"/>
  <c r="R1430" i="52"/>
  <c r="S1430" i="52" s="1"/>
  <c r="Q1431" i="52"/>
  <c r="Q1432" i="52" s="1"/>
  <c r="R1431" i="52" l="1"/>
  <c r="S1431" i="52" s="1"/>
  <c r="R1432" i="52"/>
  <c r="S1432" i="52" s="1"/>
  <c r="Q1433" i="52"/>
  <c r="R1433" i="52" l="1"/>
  <c r="S1433" i="52" s="1"/>
  <c r="Q1434" i="52"/>
  <c r="R1434" i="52" l="1"/>
  <c r="S1434" i="52" s="1"/>
  <c r="Q1435" i="52"/>
  <c r="R1435" i="52" l="1"/>
  <c r="S1435" i="52" s="1"/>
  <c r="Q1436" i="52"/>
  <c r="R1436" i="52" s="1"/>
  <c r="S1436" i="52" s="1"/>
  <c r="Q1437" i="52" l="1"/>
  <c r="Q1438" i="52" s="1"/>
  <c r="R1437" i="52" l="1"/>
  <c r="S1437" i="52" s="1"/>
  <c r="R1438" i="52"/>
  <c r="S1438" i="52" s="1"/>
  <c r="Q1439" i="52"/>
  <c r="R1439" i="52" l="1"/>
  <c r="S1439" i="52" s="1"/>
  <c r="Q1440" i="52"/>
  <c r="Q1441" i="52" s="1"/>
  <c r="R1440" i="52" l="1"/>
  <c r="S1440" i="52" s="1"/>
  <c r="R1441" i="52"/>
  <c r="S1441" i="52" s="1"/>
  <c r="Q1442" i="52"/>
  <c r="Q1443" i="52" s="1"/>
  <c r="R1442" i="52" l="1"/>
  <c r="S1442" i="52" s="1"/>
  <c r="R1443" i="52"/>
  <c r="S1443" i="52" s="1"/>
  <c r="Q1444" i="52"/>
  <c r="R1444" i="52" l="1"/>
  <c r="S1444" i="52" s="1"/>
  <c r="Q1445" i="52"/>
  <c r="R1445" i="52" l="1"/>
  <c r="S1445" i="52" s="1"/>
  <c r="Q1446" i="52"/>
  <c r="R1446" i="52" s="1"/>
  <c r="S1446" i="52" s="1"/>
  <c r="Q1447" i="52" l="1"/>
  <c r="R1447" i="52" s="1"/>
  <c r="S1447" i="52" s="1"/>
  <c r="Q1448" i="52" l="1"/>
  <c r="Q1449" i="52" s="1"/>
  <c r="R1448" i="52" l="1"/>
  <c r="S1448" i="52" s="1"/>
  <c r="R1449" i="52"/>
  <c r="S1449" i="52" s="1"/>
  <c r="Q1450" i="52"/>
  <c r="Q1451" i="52" s="1"/>
  <c r="R1450" i="52" l="1"/>
  <c r="S1450" i="52" s="1"/>
  <c r="R1451" i="52"/>
  <c r="S1451" i="52" s="1"/>
  <c r="Q1452" i="52"/>
  <c r="R1452" i="52" s="1"/>
  <c r="S1452" i="52" s="1"/>
  <c r="Q1453" i="52" l="1"/>
  <c r="Q1454" i="52" l="1"/>
  <c r="Q1455" i="52" s="1"/>
  <c r="R1453" i="52"/>
  <c r="S1453" i="52" s="1"/>
  <c r="R1454" i="52" l="1"/>
  <c r="S1454" i="52" s="1"/>
  <c r="R1455" i="52"/>
  <c r="S1455" i="52" s="1"/>
  <c r="Q1456" i="52"/>
  <c r="R1456" i="52" l="1"/>
  <c r="S1456" i="52" s="1"/>
  <c r="Q1457" i="52"/>
  <c r="R1457" i="52" s="1"/>
  <c r="S1457" i="52" s="1"/>
  <c r="Q1458" i="52" l="1"/>
  <c r="Q1459" i="52" s="1"/>
  <c r="R1459" i="52" l="1"/>
  <c r="S1459" i="52" s="1"/>
  <c r="Q1460" i="52"/>
  <c r="R1458" i="52"/>
  <c r="S1458" i="52" s="1"/>
  <c r="R1460" i="52" l="1"/>
  <c r="S1460" i="52" s="1"/>
  <c r="Q1461" i="52"/>
  <c r="R1461" i="52" l="1"/>
  <c r="S1461" i="52" s="1"/>
  <c r="Q1462" i="52"/>
  <c r="R1462" i="52" s="1"/>
  <c r="S1462" i="52" s="1"/>
  <c r="Q1463" i="52" l="1"/>
  <c r="Q1464" i="52" s="1"/>
  <c r="R1464" i="52" l="1"/>
  <c r="S1464" i="52" s="1"/>
  <c r="Q1465" i="52"/>
  <c r="R1465" i="52" s="1"/>
  <c r="S1465" i="52" s="1"/>
  <c r="R1463" i="52"/>
  <c r="S1463" i="52" s="1"/>
  <c r="Q1466" i="52" l="1"/>
  <c r="R1466" i="52" s="1"/>
  <c r="S1466" i="52" s="1"/>
  <c r="Q1467" i="52" l="1"/>
  <c r="Q1468" i="52" s="1"/>
  <c r="R1467" i="52" l="1"/>
  <c r="S1467" i="52" s="1"/>
  <c r="R1468" i="52"/>
  <c r="S1468" i="52" s="1"/>
  <c r="Q1469" i="52"/>
  <c r="R1469" i="52" l="1"/>
  <c r="S1469" i="52" s="1"/>
  <c r="Q1470" i="52"/>
  <c r="R1470" i="52" s="1"/>
  <c r="S1470" i="52" s="1"/>
  <c r="Q1471" i="52" l="1"/>
  <c r="R1471" i="52" s="1"/>
  <c r="S1471" i="52" s="1"/>
  <c r="Q1472" i="52" l="1"/>
  <c r="R1472" i="52" s="1"/>
  <c r="S1472" i="52" s="1"/>
  <c r="Q1473" i="52" l="1"/>
  <c r="Q1474" i="52" s="1"/>
  <c r="R1473" i="52" l="1"/>
  <c r="S1473" i="52" s="1"/>
  <c r="R1474" i="52"/>
  <c r="S1474" i="52" s="1"/>
  <c r="Q1475" i="52"/>
  <c r="R1475" i="52" l="1"/>
  <c r="S1475" i="52" s="1"/>
  <c r="Q1476" i="52"/>
  <c r="R1476" i="52" l="1"/>
  <c r="S1476" i="52" s="1"/>
  <c r="Q1477" i="52"/>
  <c r="Q1478" i="52" s="1"/>
  <c r="R1477" i="52" l="1"/>
  <c r="S1477" i="52" s="1"/>
  <c r="R1478" i="52"/>
  <c r="S1478" i="52" s="1"/>
  <c r="Q1479" i="52"/>
  <c r="R1479" i="52" l="1"/>
  <c r="S1479" i="52" s="1"/>
  <c r="Q1480" i="52"/>
  <c r="R1480" i="52" l="1"/>
  <c r="S1480" i="52" s="1"/>
  <c r="Q1481" i="52"/>
  <c r="R1481" i="52" l="1"/>
  <c r="S1481" i="52" s="1"/>
  <c r="Q1482" i="52"/>
  <c r="R1482" i="52" l="1"/>
  <c r="S1482" i="52" s="1"/>
  <c r="Q1483" i="52"/>
  <c r="R1483" i="52" l="1"/>
  <c r="S1483" i="52" s="1"/>
  <c r="Q1484" i="52"/>
  <c r="R1484" i="52" l="1"/>
  <c r="S1484" i="52" s="1"/>
  <c r="Q1485" i="52"/>
  <c r="R1485" i="52" l="1"/>
  <c r="S1485" i="52" s="1"/>
  <c r="Q1486" i="52"/>
  <c r="R1486" i="52" l="1"/>
  <c r="S1486" i="52" s="1"/>
  <c r="Q1487" i="52"/>
  <c r="R1487" i="52" l="1"/>
  <c r="S1487" i="52" s="1"/>
  <c r="Q1488" i="52"/>
  <c r="R1488" i="52" s="1"/>
  <c r="S1488" i="52" s="1"/>
  <c r="Q1489" i="52" l="1"/>
  <c r="Q1490" i="52" s="1"/>
  <c r="R1490" i="52" l="1"/>
  <c r="S1490" i="52" s="1"/>
  <c r="Q1491" i="52"/>
  <c r="R1489" i="52"/>
  <c r="S1489" i="52" s="1"/>
  <c r="R1491" i="52" l="1"/>
  <c r="S1491" i="52" s="1"/>
  <c r="Q1492" i="52"/>
  <c r="R1492" i="52" l="1"/>
  <c r="S1492" i="52" s="1"/>
  <c r="Q1493" i="52"/>
  <c r="R1493" i="52" s="1"/>
  <c r="S1493" i="52" s="1"/>
  <c r="Q1494" i="52" l="1"/>
  <c r="Q1495" i="52" s="1"/>
  <c r="R1495" i="52" l="1"/>
  <c r="S1495" i="52" s="1"/>
  <c r="Q1496" i="52"/>
  <c r="R1494" i="52"/>
  <c r="S1494" i="52" s="1"/>
  <c r="R1496" i="52" l="1"/>
  <c r="S1496" i="52" s="1"/>
  <c r="Q1497" i="52"/>
  <c r="R1497" i="52" l="1"/>
  <c r="S1497" i="52" s="1"/>
  <c r="Q1498" i="52"/>
  <c r="Q1499" i="52" s="1"/>
  <c r="R1498" i="52" l="1"/>
  <c r="S1498" i="52" s="1"/>
  <c r="R1499" i="52"/>
  <c r="S1499" i="52" s="1"/>
  <c r="Q1500" i="52"/>
  <c r="R1500" i="52" l="1"/>
  <c r="S1500" i="52" s="1"/>
  <c r="Q1501" i="52"/>
  <c r="R1501" i="52" l="1"/>
  <c r="S1501" i="52" s="1"/>
  <c r="Q1502" i="52"/>
  <c r="R1502" i="52" l="1"/>
  <c r="S1502" i="52" s="1"/>
  <c r="Q1503" i="52"/>
  <c r="Q1504" i="52" s="1"/>
  <c r="R1503" i="52" l="1"/>
  <c r="S1503" i="52" s="1"/>
  <c r="R1504" i="52"/>
  <c r="S1504" i="52" s="1"/>
  <c r="Q1505" i="52"/>
  <c r="R1505" i="52" l="1"/>
  <c r="S1505" i="52" s="1"/>
  <c r="Q1506" i="52"/>
  <c r="R1506" i="52" l="1"/>
  <c r="S1506" i="52" s="1"/>
  <c r="Q1507" i="52"/>
  <c r="Q1508" i="52" s="1"/>
  <c r="R1508" i="52" l="1"/>
  <c r="S1508" i="52" s="1"/>
  <c r="Q1509" i="52"/>
  <c r="R1507" i="52"/>
  <c r="S1507" i="52" s="1"/>
  <c r="R1509" i="52" l="1"/>
  <c r="S1509" i="52" s="1"/>
  <c r="Q1510" i="52"/>
  <c r="R1510" i="52" l="1"/>
  <c r="S1510" i="52" s="1"/>
  <c r="Q1511" i="52"/>
  <c r="R1511" i="52" l="1"/>
  <c r="S1511" i="52" s="1"/>
  <c r="Q1512" i="52"/>
  <c r="R1512" i="52" l="1"/>
  <c r="S1512" i="52" s="1"/>
  <c r="Q1513" i="52"/>
  <c r="R1513" i="52" s="1"/>
  <c r="S1513" i="52" s="1"/>
  <c r="Q1514" i="52" l="1"/>
  <c r="R1514" i="52" s="1"/>
  <c r="S1514" i="52" s="1"/>
  <c r="Q1515" i="52" l="1"/>
  <c r="R1515" i="52" s="1"/>
  <c r="S1515" i="52" s="1"/>
  <c r="Q1516" i="52" l="1"/>
  <c r="Q1517" i="52" l="1"/>
  <c r="R1517" i="52" s="1"/>
  <c r="S1517" i="52" s="1"/>
  <c r="R1516" i="52"/>
  <c r="S1516" i="52" s="1"/>
  <c r="Q1518" i="52" l="1"/>
  <c r="R1518" i="52" s="1"/>
  <c r="S1518" i="52" s="1"/>
  <c r="Q1519" i="52" l="1"/>
  <c r="R1519" i="52" s="1"/>
  <c r="S1519" i="52" s="1"/>
  <c r="Q1520" i="52" l="1"/>
  <c r="Q1521" i="52" s="1"/>
  <c r="R1520" i="52" l="1"/>
  <c r="S1520" i="52" s="1"/>
  <c r="R1521" i="52"/>
  <c r="S1521" i="52" s="1"/>
  <c r="Q1522" i="52"/>
  <c r="R1522" i="52" l="1"/>
  <c r="S1522" i="52" s="1"/>
  <c r="Q1523" i="52"/>
  <c r="R1523" i="52" l="1"/>
  <c r="S1523" i="52" s="1"/>
  <c r="Q1524" i="52"/>
  <c r="R1524" i="52" l="1"/>
  <c r="S1524" i="52" s="1"/>
  <c r="Q1525" i="52"/>
  <c r="R1525" i="52" l="1"/>
  <c r="S1525" i="52" s="1"/>
  <c r="Q1526" i="52"/>
  <c r="R1526" i="52" l="1"/>
  <c r="S1526" i="52" s="1"/>
  <c r="Q1527" i="52"/>
  <c r="R1527" i="52" l="1"/>
  <c r="S1527" i="52" s="1"/>
  <c r="Q1528" i="52"/>
  <c r="R1528" i="52" s="1"/>
  <c r="S1528" i="52" s="1"/>
  <c r="Q1529" i="52" l="1"/>
  <c r="Q1530" i="52" s="1"/>
  <c r="R1529" i="52" l="1"/>
  <c r="S1529" i="52" s="1"/>
  <c r="R1530" i="52"/>
  <c r="S1530" i="52" s="1"/>
  <c r="Q1531" i="52"/>
  <c r="R1531" i="52" l="1"/>
  <c r="S1531" i="52" s="1"/>
  <c r="Q1532" i="52"/>
  <c r="R1532" i="52" s="1"/>
  <c r="S1532" i="52" s="1"/>
  <c r="Q1533" i="52" l="1"/>
  <c r="Q1534" i="52" s="1"/>
  <c r="R1533" i="52" l="1"/>
  <c r="S1533" i="52" s="1"/>
  <c r="R1534" i="52"/>
  <c r="S1534" i="52" s="1"/>
  <c r="Q1535" i="52"/>
  <c r="R1535" i="52" l="1"/>
  <c r="S1535" i="52" s="1"/>
  <c r="Q1536" i="52"/>
  <c r="R1536" i="52" s="1"/>
  <c r="S1536" i="52" s="1"/>
  <c r="Q1537" i="52" l="1"/>
  <c r="R1537" i="52" s="1"/>
  <c r="S1537" i="52" s="1"/>
  <c r="Q1538" i="52" l="1"/>
  <c r="R1538" i="52" s="1"/>
  <c r="S1538" i="52" s="1"/>
  <c r="Q1539" i="52" l="1"/>
  <c r="Q1540" i="52" l="1"/>
  <c r="Q1541" i="52" s="1"/>
  <c r="R1539" i="52"/>
  <c r="S1539" i="52" s="1"/>
  <c r="R1541" i="52" l="1"/>
  <c r="S1541" i="52" s="1"/>
  <c r="Q1542" i="52"/>
  <c r="R1540" i="52"/>
  <c r="S1540" i="52" s="1"/>
  <c r="R1542" i="52" l="1"/>
  <c r="S1542" i="52" s="1"/>
  <c r="Q1543" i="52"/>
  <c r="R1543" i="52" l="1"/>
  <c r="S1543" i="52" s="1"/>
  <c r="Q1544" i="52"/>
  <c r="R1544" i="52" l="1"/>
  <c r="S1544" i="52" s="1"/>
  <c r="Q1545" i="52"/>
  <c r="R1545" i="52" s="1"/>
  <c r="S1545" i="52" s="1"/>
  <c r="Q1546" i="52" l="1"/>
  <c r="Q1547" i="52" s="1"/>
  <c r="R1547" i="52" l="1"/>
  <c r="S1547" i="52" s="1"/>
  <c r="Q1548" i="52"/>
  <c r="R1546" i="52"/>
  <c r="S1546" i="52" s="1"/>
  <c r="R1548" i="52" l="1"/>
  <c r="S1548" i="52" s="1"/>
  <c r="Q1549" i="52"/>
  <c r="R1549" i="52" l="1"/>
  <c r="S1549" i="52" s="1"/>
  <c r="Q1550" i="52"/>
  <c r="R1550" i="52" s="1"/>
  <c r="S1550" i="52" s="1"/>
  <c r="Q1551" i="52" l="1"/>
  <c r="R1551" i="52" s="1"/>
  <c r="S1551" i="52" s="1"/>
  <c r="Q1552" i="52" l="1"/>
  <c r="R1552" i="52" s="1"/>
  <c r="S1552" i="52" s="1"/>
  <c r="Q1553" i="52" l="1"/>
  <c r="R1553" i="52" s="1"/>
  <c r="S1553" i="52" s="1"/>
  <c r="Q1554" i="52" l="1"/>
  <c r="R1554" i="52" s="1"/>
  <c r="S1554" i="52" s="1"/>
  <c r="Q1555" i="52" l="1"/>
  <c r="R1555" i="52" s="1"/>
  <c r="S1555" i="52" s="1"/>
  <c r="Q1556" i="52" l="1"/>
  <c r="Q1557" i="52" l="1"/>
  <c r="R1556" i="52"/>
  <c r="S1556" i="52" s="1"/>
  <c r="Q1558" i="52" l="1"/>
  <c r="R1557" i="52"/>
  <c r="S1557" i="52" s="1"/>
  <c r="Q1559" i="52" l="1"/>
  <c r="R1558" i="52"/>
  <c r="S1558" i="52" s="1"/>
  <c r="Q1560" i="52" l="1"/>
  <c r="Q1561" i="52" s="1"/>
  <c r="R1559" i="52"/>
  <c r="S1559" i="52" s="1"/>
  <c r="R1560" i="52" l="1"/>
  <c r="S1560" i="52" s="1"/>
  <c r="R1561" i="52"/>
  <c r="S1561" i="52" s="1"/>
  <c r="Q1562" i="52"/>
  <c r="R1562" i="52" l="1"/>
  <c r="S1562" i="52" s="1"/>
  <c r="Q1563" i="52"/>
  <c r="Q1564" i="52" s="1"/>
  <c r="R1563" i="52" l="1"/>
  <c r="S1563" i="52" s="1"/>
  <c r="R1564" i="52"/>
  <c r="S1564" i="52" s="1"/>
  <c r="Q1565" i="52"/>
  <c r="R1565" i="52" l="1"/>
  <c r="S1565" i="52" s="1"/>
  <c r="Q1566" i="52"/>
  <c r="R1566" i="52" s="1"/>
  <c r="S1566" i="52" s="1"/>
  <c r="Q1567" i="52" l="1"/>
  <c r="R1567" i="52" s="1"/>
  <c r="S1567" i="52" s="1"/>
  <c r="Q1568" i="52" l="1"/>
  <c r="Q1569" i="52" s="1"/>
  <c r="R1569" i="52" l="1"/>
  <c r="S1569" i="52" s="1"/>
  <c r="Q1570" i="52"/>
  <c r="Q1571" i="52" s="1"/>
  <c r="R1568" i="52"/>
  <c r="S1568" i="52" s="1"/>
  <c r="R1570" i="52" l="1"/>
  <c r="S1570" i="52" s="1"/>
  <c r="R1571" i="52"/>
  <c r="S1571" i="52" s="1"/>
  <c r="Q1572" i="52"/>
  <c r="R1572" i="52" s="1"/>
  <c r="S1572" i="52" s="1"/>
  <c r="Q1573" i="52" l="1"/>
  <c r="R1573" i="52" s="1"/>
  <c r="S1573" i="52" s="1"/>
  <c r="Q1574" i="52" l="1"/>
  <c r="Q1575" i="52" s="1"/>
  <c r="R1574" i="52" l="1"/>
  <c r="S1574" i="52" s="1"/>
  <c r="R1575" i="52"/>
  <c r="S1575" i="52" s="1"/>
  <c r="Q1576" i="52"/>
  <c r="R1576" i="52" l="1"/>
  <c r="S1576" i="52" s="1"/>
  <c r="Q1577" i="52"/>
  <c r="R1577" i="52" s="1"/>
  <c r="S1577" i="52" s="1"/>
  <c r="Q1578" i="52" l="1"/>
  <c r="R1578" i="52" s="1"/>
  <c r="S1578" i="52" s="1"/>
  <c r="Q1579" i="52" l="1"/>
  <c r="R1579" i="52" s="1"/>
  <c r="S1579" i="52" s="1"/>
  <c r="Q1580" i="52" l="1"/>
  <c r="R1580" i="52" s="1"/>
  <c r="S1580" i="52" s="1"/>
  <c r="Q1581" i="52" l="1"/>
  <c r="R1581" i="52" s="1"/>
  <c r="S1581" i="52" s="1"/>
  <c r="Q1582" i="52" l="1"/>
  <c r="R1582" i="52" s="1"/>
  <c r="S1582" i="52" s="1"/>
  <c r="Q1583" i="52" l="1"/>
  <c r="R1583" i="52" s="1"/>
  <c r="S1583" i="52" s="1"/>
  <c r="Q1584" i="52" l="1"/>
  <c r="Q1585" i="52" l="1"/>
  <c r="Q1586" i="52" s="1"/>
  <c r="R1584" i="52"/>
  <c r="S1584" i="52" s="1"/>
  <c r="R1585" i="52" l="1"/>
  <c r="S1585" i="52" s="1"/>
  <c r="R1586" i="52"/>
  <c r="S1586" i="52" s="1"/>
  <c r="Q1587" i="52"/>
  <c r="R1587" i="52" l="1"/>
  <c r="S1587" i="52" s="1"/>
  <c r="Q1588" i="52"/>
  <c r="R1588" i="52" s="1"/>
  <c r="S1588" i="52" s="1"/>
  <c r="Q1589" i="52" l="1"/>
  <c r="R1589" i="52" s="1"/>
  <c r="S1589" i="52" s="1"/>
  <c r="Q1590" i="52" l="1"/>
  <c r="R1590" i="52" s="1"/>
  <c r="S1590" i="52" s="1"/>
  <c r="Q1591" i="52" l="1"/>
  <c r="R1591" i="52" s="1"/>
  <c r="S1591" i="52" s="1"/>
  <c r="Q1592" i="52" l="1"/>
  <c r="R1592" i="52" s="1"/>
  <c r="S1592" i="52" s="1"/>
  <c r="Q1593" i="52" l="1"/>
  <c r="R1593" i="52" s="1"/>
  <c r="S1593" i="52" s="1"/>
  <c r="Q1594" i="52" l="1"/>
  <c r="Q1595" i="52" s="1"/>
  <c r="R1594" i="52" l="1"/>
  <c r="S1594" i="52" s="1"/>
  <c r="R1595" i="52"/>
  <c r="S1595" i="52" s="1"/>
  <c r="Q1596" i="52"/>
  <c r="R1596" i="52" s="1"/>
  <c r="S1596" i="52" s="1"/>
  <c r="Q1597" i="52" l="1"/>
  <c r="R1597" i="52" s="1"/>
  <c r="S1597" i="52" s="1"/>
  <c r="Q1598" i="52" l="1"/>
  <c r="Q1599" i="52" s="1"/>
  <c r="R1598" i="52" l="1"/>
  <c r="S1598" i="52" s="1"/>
  <c r="R1599" i="52"/>
  <c r="S1599" i="52" s="1"/>
  <c r="Q1600" i="52"/>
  <c r="R1600" i="52" l="1"/>
  <c r="S1600" i="52" s="1"/>
  <c r="Q1601" i="52"/>
  <c r="Q1602" i="52" s="1"/>
  <c r="R1601" i="52" l="1"/>
  <c r="S1601" i="52" s="1"/>
  <c r="R1602" i="52"/>
  <c r="S1602" i="52" s="1"/>
  <c r="Q1603" i="52"/>
  <c r="R1603" i="52" s="1"/>
  <c r="S1603" i="52" s="1"/>
  <c r="Q1604" i="52" l="1"/>
  <c r="R1604" i="52" s="1"/>
  <c r="S1604" i="52" s="1"/>
  <c r="Q1605" i="52" l="1"/>
  <c r="R1605" i="52" s="1"/>
  <c r="S1605" i="52" s="1"/>
  <c r="Q1606" i="52" l="1"/>
  <c r="Q1607" i="52" l="1"/>
  <c r="Q1608" i="52" s="1"/>
  <c r="R1606" i="52"/>
  <c r="S1606" i="52" s="1"/>
  <c r="R1607" i="52" l="1"/>
  <c r="S1607" i="52" s="1"/>
  <c r="R1608" i="52"/>
  <c r="S1608" i="52" s="1"/>
  <c r="Q1609" i="52"/>
  <c r="Q1610" i="52" l="1"/>
  <c r="R1610" i="52" s="1"/>
  <c r="S1610" i="52" s="1"/>
  <c r="R1609" i="52"/>
  <c r="S1609" i="52" s="1"/>
  <c r="Q1611" i="52" l="1"/>
  <c r="R1611" i="52" s="1"/>
  <c r="S1611" i="52" s="1"/>
  <c r="Q1612" i="52" l="1"/>
  <c r="Q1613" i="52" s="1"/>
  <c r="R1612" i="52" l="1"/>
  <c r="S1612" i="52" s="1"/>
  <c r="R1613" i="52"/>
  <c r="S1613" i="52" s="1"/>
  <c r="Q1614" i="52"/>
  <c r="R1614" i="52" l="1"/>
  <c r="S1614" i="52" s="1"/>
  <c r="Q1615" i="52"/>
  <c r="Q1616" i="52" s="1"/>
  <c r="R1616" i="52" l="1"/>
  <c r="S1616" i="52" s="1"/>
  <c r="Q1617" i="52"/>
  <c r="R1617" i="52" s="1"/>
  <c r="S1617" i="52" s="1"/>
  <c r="R1615" i="52"/>
  <c r="S1615" i="52" s="1"/>
  <c r="Q1618" i="52" l="1"/>
  <c r="R1618" i="52" s="1"/>
  <c r="S1618" i="52" s="1"/>
  <c r="Q1619" i="52" l="1"/>
  <c r="R1619" i="52" s="1"/>
  <c r="S1619" i="52" s="1"/>
  <c r="Q1620" i="52" l="1"/>
  <c r="R1620" i="52" s="1"/>
  <c r="S1620" i="52" s="1"/>
  <c r="Q1621" i="52" l="1"/>
  <c r="Q1622" i="52" s="1"/>
  <c r="R1622" i="52" l="1"/>
  <c r="S1622" i="52" s="1"/>
  <c r="Q1623" i="52"/>
  <c r="R1623" i="52" s="1"/>
  <c r="S1623" i="52" s="1"/>
  <c r="R1621" i="52"/>
  <c r="S1621" i="52" s="1"/>
  <c r="Q1624" i="52" l="1"/>
  <c r="R1624" i="52" s="1"/>
  <c r="S1624" i="52" s="1"/>
  <c r="Q1625" i="52" l="1"/>
  <c r="R1625" i="52" s="1"/>
  <c r="S1625" i="52" s="1"/>
  <c r="Q1626" i="52" l="1"/>
  <c r="Q1627" i="52" s="1"/>
  <c r="R1626" i="52" l="1"/>
  <c r="S1626" i="52" s="1"/>
  <c r="R1627" i="52"/>
  <c r="S1627" i="52" s="1"/>
  <c r="Q1628" i="52"/>
  <c r="R1628" i="52" l="1"/>
  <c r="S1628" i="52" s="1"/>
  <c r="Q1629" i="52"/>
  <c r="Q1630" i="52" s="1"/>
  <c r="R1629" i="52" l="1"/>
  <c r="S1629" i="52" s="1"/>
  <c r="R1630" i="52"/>
  <c r="S1630" i="52" s="1"/>
  <c r="Q1631" i="52"/>
  <c r="R1631" i="52" s="1"/>
  <c r="S1631" i="52" s="1"/>
  <c r="Q1632" i="52" l="1"/>
  <c r="R1632" i="52" s="1"/>
  <c r="S1632" i="52" s="1"/>
  <c r="Q1633" i="52" l="1"/>
  <c r="Q1634" i="52" l="1"/>
  <c r="Q1635" i="52" s="1"/>
  <c r="R1633" i="52"/>
  <c r="S1633" i="52" s="1"/>
  <c r="R1634" i="52" l="1"/>
  <c r="S1634" i="52" s="1"/>
  <c r="R1635" i="52"/>
  <c r="S1635" i="52" s="1"/>
  <c r="Q1636" i="52"/>
  <c r="R1636" i="52" l="1"/>
  <c r="S1636" i="52" s="1"/>
  <c r="Q1637" i="52"/>
  <c r="R1637" i="52" s="1"/>
  <c r="S1637" i="52" s="1"/>
  <c r="Q1638" i="52" l="1"/>
  <c r="R1638" i="52" s="1"/>
  <c r="S1638" i="52" s="1"/>
  <c r="Q1639" i="52" l="1"/>
  <c r="R1639" i="52" s="1"/>
  <c r="S1639" i="52" s="1"/>
  <c r="Q1640" i="52" l="1"/>
  <c r="R1640" i="52" s="1"/>
  <c r="S1640" i="52" s="1"/>
  <c r="Q1641" i="52" l="1"/>
  <c r="R1641" i="52" s="1"/>
  <c r="S1641" i="52" s="1"/>
  <c r="Q1642" i="52" l="1"/>
  <c r="R1642" i="52" s="1"/>
  <c r="S1642" i="52" s="1"/>
  <c r="Q1643" i="52" l="1"/>
  <c r="R1643" i="52" s="1"/>
  <c r="S1643" i="52" s="1"/>
  <c r="Q1644" i="52" l="1"/>
  <c r="R1644" i="52" s="1"/>
  <c r="S1644" i="52" s="1"/>
  <c r="Q1645" i="52" l="1"/>
  <c r="R1645" i="52" s="1"/>
  <c r="S1645" i="52" s="1"/>
  <c r="Q1646" i="52" l="1"/>
  <c r="Q1647" i="52" l="1"/>
  <c r="R1647" i="52" s="1"/>
  <c r="S1647" i="52" s="1"/>
  <c r="R1646" i="52"/>
  <c r="S1646" i="52" s="1"/>
  <c r="Q1648" i="52" l="1"/>
  <c r="R1648" i="52" s="1"/>
  <c r="S1648" i="52" s="1"/>
  <c r="Q1649" i="52" l="1"/>
  <c r="Q1650" i="52" s="1"/>
  <c r="R1649" i="52" l="1"/>
  <c r="S1649" i="52" s="1"/>
  <c r="R1650" i="52"/>
  <c r="S1650" i="52" s="1"/>
  <c r="Q1651" i="52"/>
  <c r="Q1652" i="52" s="1"/>
  <c r="R1652" i="52" l="1"/>
  <c r="S1652" i="52" s="1"/>
  <c r="Q1653" i="52"/>
  <c r="Q1654" i="52" s="1"/>
  <c r="R1651" i="52"/>
  <c r="S1651" i="52" s="1"/>
  <c r="R1653" i="52" l="1"/>
  <c r="S1653" i="52" s="1"/>
  <c r="R1654" i="52"/>
  <c r="S1654" i="52" s="1"/>
  <c r="Q1655" i="52"/>
  <c r="R1655" i="52" l="1"/>
  <c r="S1655" i="52" s="1"/>
  <c r="Q1656" i="52"/>
  <c r="R1656" i="52" s="1"/>
  <c r="S1656" i="52" s="1"/>
  <c r="Q1657" i="52" l="1"/>
  <c r="R1657" i="52" s="1"/>
  <c r="S1657" i="52" s="1"/>
  <c r="Q1658" i="52" l="1"/>
  <c r="Q1659" i="52" s="1"/>
  <c r="R1658" i="52" l="1"/>
  <c r="S1658" i="52" s="1"/>
  <c r="R1659" i="52"/>
  <c r="S1659" i="52" s="1"/>
  <c r="Q1660" i="52"/>
  <c r="R1660" i="52" s="1"/>
  <c r="S1660" i="52" s="1"/>
  <c r="Q1661" i="52" l="1"/>
  <c r="Q1662" i="52" s="1"/>
  <c r="R1661" i="52" l="1"/>
  <c r="S1661" i="52" s="1"/>
  <c r="R1662" i="52"/>
  <c r="S1662" i="52" s="1"/>
  <c r="Q1663" i="52"/>
  <c r="R1663" i="52" s="1"/>
  <c r="S1663" i="52" s="1"/>
  <c r="Q1664" i="52" l="1"/>
  <c r="R1664" i="52" s="1"/>
  <c r="S1664" i="52" s="1"/>
  <c r="Q1665" i="52" l="1"/>
  <c r="R1665" i="52" s="1"/>
  <c r="S1665" i="52" s="1"/>
  <c r="Q1666" i="52" l="1"/>
  <c r="Q1667" i="52" l="1"/>
  <c r="Q1668" i="52" s="1"/>
  <c r="R1666" i="52"/>
  <c r="S1666" i="52" s="1"/>
  <c r="R1667" i="52" l="1"/>
  <c r="S1667" i="52" s="1"/>
  <c r="R1668" i="52"/>
  <c r="S1668" i="52" s="1"/>
  <c r="Q1669" i="52"/>
  <c r="R1669" i="52" s="1"/>
  <c r="S1669" i="52" s="1"/>
  <c r="Q1670" i="52" l="1"/>
  <c r="Q1671" i="52" l="1"/>
  <c r="R1671" i="52" s="1"/>
  <c r="S1671" i="52" s="1"/>
  <c r="R1670" i="52"/>
  <c r="S1670" i="52" s="1"/>
  <c r="Q1672" i="52" l="1"/>
  <c r="Q1673" i="52" s="1"/>
  <c r="R1672" i="52" l="1"/>
  <c r="S1672" i="52" s="1"/>
  <c r="R1673" i="52"/>
  <c r="S1673" i="52" s="1"/>
  <c r="Q1674" i="52"/>
  <c r="R1674" i="52" l="1"/>
  <c r="S1674" i="52" s="1"/>
  <c r="Q1675" i="52"/>
  <c r="R1675" i="52" l="1"/>
  <c r="S1675" i="52" s="1"/>
  <c r="Q1676" i="52"/>
  <c r="R1676" i="52" l="1"/>
  <c r="S1676" i="52" s="1"/>
  <c r="Q1677" i="52"/>
  <c r="R1677" i="52" l="1"/>
  <c r="S1677" i="52" s="1"/>
  <c r="Q1678" i="52"/>
  <c r="R1678" i="52" l="1"/>
  <c r="S1678" i="52" s="1"/>
  <c r="Q1679" i="52"/>
  <c r="Q1680" i="52" s="1"/>
  <c r="R1680" i="52" l="1"/>
  <c r="S1680" i="52" s="1"/>
  <c r="Q1681" i="52"/>
  <c r="R1681" i="52" s="1"/>
  <c r="S1681" i="52" s="1"/>
  <c r="R1679" i="52"/>
  <c r="S1679" i="52" s="1"/>
  <c r="Q1682" i="52" l="1"/>
  <c r="R1682" i="52" s="1"/>
  <c r="S1682" i="52" s="1"/>
  <c r="Q1683" i="52" l="1"/>
  <c r="R1683" i="52" s="1"/>
  <c r="S1683" i="52" s="1"/>
  <c r="Q1684" i="52" l="1"/>
  <c r="Q1685" i="52" l="1"/>
  <c r="R1685" i="52" s="1"/>
  <c r="S1685" i="52" s="1"/>
  <c r="R1684" i="52"/>
  <c r="S1684" i="52" s="1"/>
  <c r="Q1686" i="52" l="1"/>
  <c r="Q1687" i="52" l="1"/>
  <c r="R1687" i="52" s="1"/>
  <c r="S1687" i="52" s="1"/>
  <c r="R1686" i="52"/>
  <c r="S1686" i="52" s="1"/>
  <c r="Q1688" i="52" l="1"/>
  <c r="R1688" i="52" s="1"/>
  <c r="S1688" i="52" s="1"/>
  <c r="Q1689" i="52" l="1"/>
  <c r="Q1690" i="52" l="1"/>
  <c r="R1690" i="52" s="1"/>
  <c r="S1690" i="52" s="1"/>
  <c r="R1689" i="52"/>
  <c r="S1689" i="52" s="1"/>
  <c r="Q1691" i="52" l="1"/>
  <c r="Q1692" i="52" l="1"/>
  <c r="R1691" i="52"/>
  <c r="S1691" i="52" s="1"/>
  <c r="Q1693" i="52" l="1"/>
  <c r="R1693" i="52" s="1"/>
  <c r="S1693" i="52" s="1"/>
  <c r="R1692" i="52"/>
  <c r="S1692" i="52" s="1"/>
  <c r="Q1694" i="52" l="1"/>
  <c r="Q1695" i="52" s="1"/>
  <c r="R1694" i="52" l="1"/>
  <c r="S1694" i="52" s="1"/>
  <c r="R1695" i="52"/>
  <c r="S1695" i="52" s="1"/>
  <c r="Q1696" i="52"/>
  <c r="R1696" i="52" l="1"/>
  <c r="S1696" i="52" s="1"/>
  <c r="Q1697" i="52"/>
  <c r="R1697" i="52" l="1"/>
  <c r="S1697" i="52" s="1"/>
  <c r="Q1698" i="52"/>
  <c r="R1698" i="52" s="1"/>
  <c r="S1698" i="52" s="1"/>
  <c r="Q1699" i="52" l="1"/>
  <c r="Q1700" i="52" s="1"/>
  <c r="R1699" i="52" l="1"/>
  <c r="S1699" i="52" s="1"/>
  <c r="R1700" i="52"/>
  <c r="S1700" i="52" s="1"/>
  <c r="Q1701" i="52"/>
  <c r="R1701" i="52" l="1"/>
  <c r="S1701" i="52" s="1"/>
  <c r="Q1702" i="52"/>
  <c r="Q1703" i="52" l="1"/>
  <c r="R1703" i="52" s="1"/>
  <c r="S1703" i="52" s="1"/>
  <c r="R1702" i="52"/>
  <c r="S1702" i="52" s="1"/>
  <c r="Q1704" i="52" l="1"/>
  <c r="Q1705" i="52" l="1"/>
  <c r="R1705" i="52" s="1"/>
  <c r="S1705" i="52" s="1"/>
  <c r="R1704" i="52"/>
  <c r="S1704" i="52" s="1"/>
  <c r="Q1706" i="52" l="1"/>
  <c r="Q1707" i="52" s="1"/>
  <c r="R1706" i="52" l="1"/>
  <c r="S1706" i="52" s="1"/>
  <c r="R1707" i="52"/>
  <c r="S1707" i="52" s="1"/>
  <c r="Q1708" i="52"/>
  <c r="R1708" i="52" s="1"/>
  <c r="S1708" i="52" s="1"/>
  <c r="Q1709" i="52" l="1"/>
  <c r="Q1710" i="52" s="1"/>
  <c r="R1710" i="52" l="1"/>
  <c r="S1710" i="52" s="1"/>
  <c r="Q1711" i="52"/>
  <c r="R1709" i="52"/>
  <c r="S1709" i="52" s="1"/>
  <c r="R1711" i="52" l="1"/>
  <c r="S1711" i="52" s="1"/>
  <c r="Q1712" i="52"/>
  <c r="Q1713" i="52" s="1"/>
  <c r="R1712" i="52" l="1"/>
  <c r="S1712" i="52" s="1"/>
  <c r="R1713" i="52"/>
  <c r="S1713" i="52" s="1"/>
  <c r="Q1714" i="52"/>
  <c r="Q1715" i="52" s="1"/>
  <c r="R1715" i="52" l="1"/>
  <c r="S1715" i="52" s="1"/>
  <c r="Q1716" i="52"/>
  <c r="R1714" i="52"/>
  <c r="S1714" i="52" s="1"/>
  <c r="R1716" i="52" l="1"/>
  <c r="S1716" i="52" s="1"/>
  <c r="Q1717" i="52"/>
  <c r="R1717" i="52" s="1"/>
  <c r="S1717" i="52" s="1"/>
  <c r="Q1718" i="52" l="1"/>
  <c r="Q1719" i="52" l="1"/>
  <c r="R1719" i="52" s="1"/>
  <c r="S1719" i="52" s="1"/>
  <c r="R1718" i="52"/>
  <c r="S1718" i="52" s="1"/>
  <c r="Q1720" i="52" l="1"/>
  <c r="Q1721" i="52" l="1"/>
  <c r="Q1722" i="52" s="1"/>
  <c r="R1720" i="52"/>
  <c r="S1720" i="52" s="1"/>
  <c r="R1721" i="52" l="1"/>
  <c r="S1721" i="52" s="1"/>
  <c r="R1722" i="52"/>
  <c r="S1722" i="52" s="1"/>
  <c r="Q1723" i="52"/>
  <c r="R1723" i="52" l="1"/>
  <c r="S1723" i="52" s="1"/>
  <c r="Q1724" i="52"/>
  <c r="R1724" i="52" l="1"/>
  <c r="S1724" i="52" s="1"/>
  <c r="Q1725" i="52"/>
  <c r="R1725" i="52" l="1"/>
  <c r="S1725" i="52" s="1"/>
  <c r="Q1726" i="52"/>
  <c r="Q1727" i="52" s="1"/>
  <c r="R1726" i="52" l="1"/>
  <c r="S1726" i="52" s="1"/>
  <c r="R1727" i="52"/>
  <c r="S1727" i="52" s="1"/>
  <c r="Q1728" i="52"/>
  <c r="R1728" i="52" l="1"/>
  <c r="S1728" i="52" s="1"/>
  <c r="Q1729" i="52"/>
  <c r="Q1730" i="52" s="1"/>
  <c r="R1729" i="52" l="1"/>
  <c r="S1729" i="52" s="1"/>
  <c r="R1730" i="52"/>
  <c r="S1730" i="52" s="1"/>
  <c r="Q1731" i="52"/>
  <c r="R1731" i="52" s="1"/>
  <c r="S1731" i="52" s="1"/>
  <c r="Q1732" i="52" l="1"/>
  <c r="Q1733" i="52" l="1"/>
  <c r="Q1734" i="52" s="1"/>
  <c r="R1732" i="52"/>
  <c r="S1732" i="52" s="1"/>
  <c r="R1733" i="52" l="1"/>
  <c r="S1733" i="52" s="1"/>
  <c r="R1734" i="52"/>
  <c r="S1734" i="52" s="1"/>
  <c r="Q1735" i="52"/>
  <c r="R1735" i="52" s="1"/>
  <c r="S1735" i="52" s="1"/>
  <c r="Q1736" i="52" l="1"/>
  <c r="R1736" i="52" s="1"/>
  <c r="S1736" i="52" s="1"/>
  <c r="Q1737" i="52" l="1"/>
  <c r="R1737" i="52" s="1"/>
  <c r="S1737" i="52" s="1"/>
  <c r="Q1738" i="52" l="1"/>
  <c r="R1738" i="52" s="1"/>
  <c r="S1738" i="52" s="1"/>
  <c r="Q1739" i="52" l="1"/>
  <c r="R1739" i="52" s="1"/>
  <c r="S1739" i="52" s="1"/>
  <c r="Q1740" i="52" l="1"/>
  <c r="R1740" i="52" s="1"/>
  <c r="S1740" i="52" s="1"/>
  <c r="Q1741" i="52" l="1"/>
  <c r="R1741" i="52" s="1"/>
  <c r="S1741" i="52" s="1"/>
  <c r="Q1742" i="52" l="1"/>
  <c r="Q1743" i="52" s="1"/>
  <c r="R1743" i="52" l="1"/>
  <c r="S1743" i="52" s="1"/>
  <c r="Q1744" i="52"/>
  <c r="R1742" i="52"/>
  <c r="S1742" i="52" s="1"/>
  <c r="R1744" i="52" l="1"/>
  <c r="S1744" i="52" s="1"/>
  <c r="Q1745" i="52"/>
  <c r="R1745" i="52" l="1"/>
  <c r="S1745" i="52" s="1"/>
  <c r="Q1746" i="52"/>
  <c r="R1746" i="52" l="1"/>
  <c r="S1746" i="52" s="1"/>
  <c r="Q1747" i="52"/>
  <c r="R1747" i="52" l="1"/>
  <c r="S1747" i="52" s="1"/>
  <c r="Q1748" i="52"/>
  <c r="Q1749" i="52" l="1"/>
  <c r="Q1750" i="52" s="1"/>
  <c r="R1748" i="52"/>
  <c r="S1748" i="52" s="1"/>
  <c r="R1749" i="52" l="1"/>
  <c r="S1749" i="52" s="1"/>
  <c r="R1750" i="52"/>
  <c r="S1750" i="52" s="1"/>
  <c r="Q1751" i="52"/>
  <c r="R1751" i="52" l="1"/>
  <c r="S1751" i="52" s="1"/>
  <c r="Q1752" i="52"/>
  <c r="R1752" i="52" l="1"/>
  <c r="S1752" i="52" s="1"/>
  <c r="Q1753" i="52"/>
  <c r="R1753" i="52" l="1"/>
  <c r="S1753" i="52" s="1"/>
  <c r="Q1754" i="52"/>
  <c r="R1754" i="52" l="1"/>
  <c r="S1754" i="52" s="1"/>
  <c r="Q1755" i="52"/>
  <c r="R1755" i="52" l="1"/>
  <c r="S1755" i="52" s="1"/>
  <c r="Q1756" i="52"/>
  <c r="R1756" i="52" l="1"/>
  <c r="S1756" i="52" s="1"/>
  <c r="Q1757" i="52"/>
  <c r="R1757" i="52" l="1"/>
  <c r="S1757" i="52" s="1"/>
  <c r="Q1758" i="52"/>
  <c r="R1758" i="52" l="1"/>
  <c r="S1758" i="52" s="1"/>
  <c r="Q1759" i="52"/>
  <c r="R1759" i="52" s="1"/>
  <c r="S1759" i="52" s="1"/>
  <c r="Q1760" i="52" l="1"/>
  <c r="Q1761" i="52" l="1"/>
  <c r="R1761" i="52" s="1"/>
  <c r="S1761" i="52" s="1"/>
  <c r="R1760" i="52"/>
  <c r="S1760" i="52" s="1"/>
  <c r="Q1762" i="52" l="1"/>
  <c r="Q1763" i="52" s="1"/>
  <c r="R1762" i="52" l="1"/>
  <c r="S1762" i="52" s="1"/>
  <c r="R1763" i="52"/>
  <c r="S1763" i="52" s="1"/>
  <c r="Q1764" i="52"/>
  <c r="R1764" i="52" l="1"/>
  <c r="S1764" i="52" s="1"/>
  <c r="Q1765" i="52"/>
  <c r="R1765" i="52" l="1"/>
  <c r="S1765" i="52" s="1"/>
  <c r="Q1766" i="52"/>
  <c r="R1766" i="52" l="1"/>
  <c r="S1766" i="52" s="1"/>
  <c r="Q1767" i="52"/>
  <c r="R1767" i="52" l="1"/>
  <c r="S1767" i="52" s="1"/>
  <c r="Q1768" i="52"/>
  <c r="R1768" i="52" l="1"/>
  <c r="S1768" i="52" s="1"/>
  <c r="Q1769" i="52"/>
  <c r="R1769" i="52" s="1"/>
  <c r="S1769" i="52" s="1"/>
  <c r="Q1770" i="52" l="1"/>
  <c r="R1770" i="52" s="1"/>
  <c r="S1770" i="52" s="1"/>
  <c r="Q1771" i="52" l="1"/>
  <c r="Q1772" i="52" s="1"/>
  <c r="R1771" i="52" l="1"/>
  <c r="S1771" i="52" s="1"/>
  <c r="R1772" i="52"/>
  <c r="S1772" i="52" s="1"/>
  <c r="Q1773" i="52"/>
  <c r="R1773" i="52" l="1"/>
  <c r="S1773" i="52" s="1"/>
  <c r="Q1774" i="52"/>
  <c r="R1774" i="52" l="1"/>
  <c r="S1774" i="52" s="1"/>
  <c r="Q1775" i="52"/>
  <c r="R1775" i="52" l="1"/>
  <c r="S1775" i="52" s="1"/>
  <c r="Q1776" i="52"/>
  <c r="R1776" i="52" l="1"/>
  <c r="S1776" i="52" s="1"/>
  <c r="Q1777" i="52"/>
  <c r="R1777" i="52" l="1"/>
  <c r="S1777" i="52" s="1"/>
  <c r="Q1778" i="52"/>
  <c r="R1778" i="52" s="1"/>
  <c r="S1778" i="52" s="1"/>
  <c r="Q1779" i="52" l="1"/>
  <c r="Q1780" i="52" s="1"/>
  <c r="R1780" i="52" l="1"/>
  <c r="S1780" i="52" s="1"/>
  <c r="Q1781" i="52"/>
  <c r="R1779" i="52"/>
  <c r="S1779" i="52" s="1"/>
  <c r="R1781" i="52" l="1"/>
  <c r="S1781" i="52" s="1"/>
  <c r="Q1782" i="52"/>
  <c r="Q1783" i="52" l="1"/>
  <c r="R1782" i="52"/>
  <c r="S1782" i="52" s="1"/>
  <c r="Q1784" i="52" l="1"/>
  <c r="R1784" i="52" s="1"/>
  <c r="S1784" i="52" s="1"/>
  <c r="R1783" i="52"/>
  <c r="S1783" i="52" s="1"/>
  <c r="Q1785" i="52" l="1"/>
  <c r="Q1786" i="52" s="1"/>
  <c r="R1786" i="52" l="1"/>
  <c r="S1786" i="52" s="1"/>
  <c r="Q1787" i="52"/>
  <c r="R1785" i="52"/>
  <c r="S1785" i="52" s="1"/>
  <c r="R1787" i="52" l="1"/>
  <c r="S1787" i="52" s="1"/>
  <c r="Q1788" i="52"/>
  <c r="R1788" i="52" l="1"/>
  <c r="S1788" i="52" s="1"/>
  <c r="Q1789" i="52"/>
  <c r="R1789" i="52" l="1"/>
  <c r="S1789" i="52" s="1"/>
  <c r="Q1790" i="52"/>
  <c r="Q1791" i="52" l="1"/>
  <c r="Q1792" i="52" s="1"/>
  <c r="R1790" i="52"/>
  <c r="S1790" i="52" s="1"/>
  <c r="R1792" i="52" l="1"/>
  <c r="S1792" i="52" s="1"/>
  <c r="Q1793" i="52"/>
  <c r="R1791" i="52"/>
  <c r="S1791" i="52" s="1"/>
  <c r="R1793" i="52" l="1"/>
  <c r="S1793" i="52" s="1"/>
  <c r="Q1794" i="52"/>
  <c r="R1794" i="52" l="1"/>
  <c r="S1794" i="52" s="1"/>
  <c r="Q1795" i="52"/>
  <c r="R1795" i="52" l="1"/>
  <c r="S1795" i="52" s="1"/>
  <c r="Q1796" i="52"/>
  <c r="R1796" i="52" l="1"/>
  <c r="S1796" i="52" s="1"/>
  <c r="Q1797" i="52"/>
  <c r="R1797" i="52" l="1"/>
  <c r="S1797" i="52" s="1"/>
  <c r="Q1798" i="52"/>
  <c r="R1798" i="52" l="1"/>
  <c r="S1798" i="52" s="1"/>
  <c r="Q1799" i="52"/>
  <c r="R1799" i="52" l="1"/>
  <c r="S1799" i="52" s="1"/>
  <c r="Q1800" i="52"/>
  <c r="Q1801" i="52" s="1"/>
  <c r="R1800" i="52" l="1"/>
  <c r="S1800" i="52" s="1"/>
  <c r="R1801" i="52"/>
  <c r="S1801" i="52" s="1"/>
  <c r="Q1802" i="52"/>
  <c r="R1802" i="52" s="1"/>
  <c r="S1802" i="52" s="1"/>
  <c r="Q1803" i="52" l="1"/>
  <c r="R1803" i="52" s="1"/>
  <c r="S1803" i="52" s="1"/>
  <c r="Q1804" i="52" l="1"/>
  <c r="R1804" i="52" s="1"/>
  <c r="S1804" i="52" s="1"/>
  <c r="Q1805" i="52" l="1"/>
  <c r="Q1806" i="52" l="1"/>
  <c r="Q1807" i="52" s="1"/>
  <c r="R1805" i="52"/>
  <c r="S1805" i="52" s="1"/>
  <c r="R1806" i="52" l="1"/>
  <c r="S1806" i="52" s="1"/>
  <c r="R1807" i="52"/>
  <c r="S1807" i="52" s="1"/>
  <c r="Q1808" i="52"/>
  <c r="R1808" i="52" l="1"/>
  <c r="S1808" i="52" s="1"/>
  <c r="Q1809" i="52"/>
  <c r="Q1810" i="52" s="1"/>
  <c r="R1809" i="52" l="1"/>
  <c r="S1809" i="52" s="1"/>
  <c r="R1810" i="52"/>
  <c r="S1810" i="52" s="1"/>
  <c r="Q1811" i="52"/>
  <c r="R1811" i="52" s="1"/>
  <c r="S1811" i="52" s="1"/>
  <c r="Q1812" i="52" l="1"/>
  <c r="Q1813" i="52" l="1"/>
  <c r="R1813" i="52" s="1"/>
  <c r="S1813" i="52" s="1"/>
  <c r="R1812" i="52"/>
  <c r="S1812" i="52" s="1"/>
  <c r="Q1814" i="52" l="1"/>
  <c r="R1814" i="52" s="1"/>
  <c r="S1814" i="52" s="1"/>
  <c r="Q1815" i="52" l="1"/>
  <c r="R1815" i="52" s="1"/>
  <c r="S1815" i="52" s="1"/>
  <c r="Q1816" i="52" l="1"/>
  <c r="Q1817" i="52" s="1"/>
  <c r="R1816" i="52" l="1"/>
  <c r="S1816" i="52" s="1"/>
  <c r="R1817" i="52"/>
  <c r="S1817" i="52" s="1"/>
  <c r="Q1818" i="52"/>
  <c r="Q1819" i="52" s="1"/>
  <c r="R1818" i="52" l="1"/>
  <c r="S1818" i="52" s="1"/>
  <c r="R1819" i="52"/>
  <c r="S1819" i="52" s="1"/>
  <c r="Q1820" i="52"/>
  <c r="R1820" i="52" s="1"/>
  <c r="S1820" i="52" s="1"/>
  <c r="Q1821" i="52" l="1"/>
  <c r="R1821" i="52" s="1"/>
  <c r="S1821" i="52" s="1"/>
  <c r="Q1822" i="52" l="1"/>
  <c r="Q1823" i="52" s="1"/>
  <c r="R1822" i="52" l="1"/>
  <c r="S1822" i="52" s="1"/>
  <c r="R1823" i="52"/>
  <c r="S1823" i="52" s="1"/>
  <c r="Q1824" i="52"/>
  <c r="R1824" i="52" s="1"/>
  <c r="S1824" i="52" s="1"/>
  <c r="Q1825" i="52" l="1"/>
  <c r="Q1826" i="52" s="1"/>
  <c r="R1825" i="52" l="1"/>
  <c r="S1825" i="52" s="1"/>
  <c r="R1826" i="52"/>
  <c r="S1826" i="52" s="1"/>
  <c r="Q1827" i="52"/>
  <c r="R1827" i="52" l="1"/>
  <c r="S1827" i="52" s="1"/>
  <c r="Q1828" i="52"/>
  <c r="R1828" i="52" l="1"/>
  <c r="S1828" i="52" s="1"/>
  <c r="Q1829" i="52"/>
  <c r="R1829" i="52" l="1"/>
  <c r="S1829" i="52" s="1"/>
  <c r="Q1830" i="52"/>
  <c r="R1830" i="52" s="1"/>
  <c r="S1830" i="52" s="1"/>
  <c r="Q1831" i="52" l="1"/>
  <c r="Q1832" i="52" s="1"/>
  <c r="R1832" i="52" l="1"/>
  <c r="S1832" i="52" s="1"/>
  <c r="Q1833" i="52"/>
  <c r="R1831" i="52"/>
  <c r="S1831" i="52" s="1"/>
  <c r="R1833" i="52" l="1"/>
  <c r="S1833" i="52" s="1"/>
  <c r="Q1834" i="52"/>
  <c r="R1834" i="52" l="1"/>
  <c r="S1834" i="52" s="1"/>
  <c r="Q1835" i="52"/>
  <c r="R1835" i="52" l="1"/>
  <c r="S1835" i="52" s="1"/>
  <c r="Q1836" i="52"/>
  <c r="R1836" i="52" l="1"/>
  <c r="S1836" i="52" s="1"/>
  <c r="Q1837" i="52"/>
  <c r="R1837" i="52" l="1"/>
  <c r="S1837" i="52" s="1"/>
  <c r="Q1838" i="52"/>
  <c r="R1838" i="52" l="1"/>
  <c r="S1838" i="52" s="1"/>
  <c r="Q1839" i="52"/>
  <c r="R1839" i="52" l="1"/>
  <c r="S1839" i="52" s="1"/>
  <c r="Q1840" i="52"/>
  <c r="R1840" i="52" l="1"/>
  <c r="S1840" i="52" s="1"/>
  <c r="Q1841" i="52"/>
  <c r="R1841" i="52" l="1"/>
  <c r="S1841" i="52" s="1"/>
  <c r="Q1842" i="52"/>
  <c r="R1842" i="52" l="1"/>
  <c r="S1842" i="52" s="1"/>
  <c r="Q1843" i="52"/>
  <c r="R1843" i="52" l="1"/>
  <c r="S1843" i="52" s="1"/>
  <c r="Q1844" i="52"/>
  <c r="Q1845" i="52" s="1"/>
  <c r="R1845" i="52" l="1"/>
  <c r="S1845" i="52" s="1"/>
  <c r="Q1846" i="52"/>
  <c r="R1844" i="52"/>
  <c r="S1844" i="52" s="1"/>
  <c r="R1846" i="52" l="1"/>
  <c r="S1846" i="52" s="1"/>
  <c r="Q1847" i="52"/>
  <c r="R1847" i="52" l="1"/>
  <c r="S1847" i="52" s="1"/>
  <c r="Q1848" i="52"/>
  <c r="R1848" i="52" s="1"/>
  <c r="S1848" i="52" s="1"/>
  <c r="Q1849" i="52" l="1"/>
  <c r="Q1850" i="52" s="1"/>
  <c r="R1850" i="52" l="1"/>
  <c r="S1850" i="52" s="1"/>
  <c r="Q1851" i="52"/>
  <c r="R1849" i="52"/>
  <c r="S1849" i="52" s="1"/>
  <c r="R1851" i="52" l="1"/>
  <c r="S1851" i="52" s="1"/>
  <c r="Q1852" i="52"/>
  <c r="R1852" i="52" l="1"/>
  <c r="S1852" i="52" s="1"/>
  <c r="Q1853" i="52"/>
  <c r="R1853" i="52" l="1"/>
  <c r="S1853" i="52" s="1"/>
  <c r="Q1854" i="52"/>
  <c r="Q1855" i="52" s="1"/>
  <c r="R1854" i="52" l="1"/>
  <c r="S1854" i="52" s="1"/>
  <c r="R1855" i="52"/>
  <c r="S1855" i="52" s="1"/>
  <c r="Q1856" i="52"/>
  <c r="R1856" i="52" l="1"/>
  <c r="S1856" i="52" s="1"/>
  <c r="Q1857" i="52"/>
  <c r="R1857" i="52" s="1"/>
  <c r="S1857" i="52" s="1"/>
  <c r="Q1858" i="52" l="1"/>
  <c r="Q1859" i="52" s="1"/>
  <c r="R1859" i="52" l="1"/>
  <c r="S1859" i="52" s="1"/>
  <c r="Q1860" i="52"/>
  <c r="R1858" i="52"/>
  <c r="S1858" i="52" s="1"/>
  <c r="R1860" i="52" l="1"/>
  <c r="S1860" i="52" s="1"/>
  <c r="Q1861" i="52"/>
  <c r="R1861" i="52" l="1"/>
  <c r="S1861" i="52" s="1"/>
  <c r="Q1862" i="52"/>
  <c r="R1862" i="52" l="1"/>
  <c r="S1862" i="52" s="1"/>
  <c r="Q1863" i="52"/>
  <c r="R1863" i="52" l="1"/>
  <c r="S1863" i="52" s="1"/>
  <c r="Q1864" i="52"/>
  <c r="R1864" i="52" l="1"/>
  <c r="S1864" i="52" s="1"/>
  <c r="Q1865" i="52"/>
  <c r="R1865" i="52" l="1"/>
  <c r="S1865" i="52" s="1"/>
  <c r="Q1866" i="52"/>
  <c r="Q1867" i="52" l="1"/>
  <c r="Q1868" i="52" s="1"/>
  <c r="R1866" i="52"/>
  <c r="S1866" i="52" s="1"/>
  <c r="R1867" i="52" l="1"/>
  <c r="S1867" i="52" s="1"/>
  <c r="R1868" i="52"/>
  <c r="S1868" i="52" s="1"/>
  <c r="Q1869" i="52"/>
  <c r="Q1870" i="52" s="1"/>
  <c r="R1869" i="52" l="1"/>
  <c r="S1869" i="52" s="1"/>
  <c r="R1870" i="52"/>
  <c r="S1870" i="52" s="1"/>
  <c r="Q1871" i="52"/>
  <c r="Q1872" i="52" s="1"/>
  <c r="R1872" i="52" l="1"/>
  <c r="S1872" i="52" s="1"/>
  <c r="Q1873" i="52"/>
  <c r="R1871" i="52"/>
  <c r="S1871" i="52" s="1"/>
  <c r="R1873" i="52" l="1"/>
  <c r="S1873" i="52" s="1"/>
  <c r="Q1874" i="52"/>
  <c r="R1874" i="52" l="1"/>
  <c r="S1874" i="52" s="1"/>
  <c r="Q1875" i="52"/>
  <c r="R1875" i="52" l="1"/>
  <c r="S1875" i="52" s="1"/>
  <c r="Q1876" i="52"/>
  <c r="R1876" i="52" l="1"/>
  <c r="S1876" i="52" s="1"/>
  <c r="Q1877" i="52"/>
  <c r="R1877" i="52" l="1"/>
  <c r="S1877" i="52" s="1"/>
  <c r="Q1878" i="52"/>
  <c r="R1878" i="52" l="1"/>
  <c r="S1878" i="52" s="1"/>
  <c r="Q1879" i="52"/>
  <c r="R1879" i="52" l="1"/>
  <c r="S1879" i="52" s="1"/>
  <c r="Q1880" i="52"/>
  <c r="R1880" i="52" l="1"/>
  <c r="S1880" i="52" s="1"/>
  <c r="Q1881" i="52"/>
  <c r="R1881" i="52" l="1"/>
  <c r="S1881" i="52" s="1"/>
  <c r="Q1882" i="52"/>
  <c r="R1882" i="52" l="1"/>
  <c r="S1882" i="52" s="1"/>
  <c r="Q1883" i="52"/>
  <c r="R1883" i="52" l="1"/>
  <c r="S1883" i="52" s="1"/>
  <c r="Q1884" i="52"/>
  <c r="R1884" i="52" l="1"/>
  <c r="S1884" i="52" s="1"/>
  <c r="Q1885" i="52"/>
  <c r="R1885" i="52" l="1"/>
  <c r="S1885" i="52" s="1"/>
  <c r="Q1886" i="52"/>
  <c r="R1886" i="52" l="1"/>
  <c r="S1886" i="52" s="1"/>
  <c r="Q1887" i="52"/>
  <c r="R1887" i="52" l="1"/>
  <c r="S1887" i="52" s="1"/>
  <c r="Q1888" i="52"/>
  <c r="R1888" i="52" l="1"/>
  <c r="S1888" i="52" s="1"/>
  <c r="Q1889" i="52"/>
  <c r="Q1890" i="52" s="1"/>
  <c r="R1889" i="52" l="1"/>
  <c r="S1889" i="52" s="1"/>
  <c r="R1890" i="52"/>
  <c r="S1890" i="52" s="1"/>
  <c r="Q1891" i="52"/>
  <c r="R1891" i="52" l="1"/>
  <c r="S1891" i="52" s="1"/>
  <c r="Q1892" i="52"/>
  <c r="Q1893" i="52" s="1"/>
  <c r="R1892" i="52" l="1"/>
  <c r="S1892" i="52" s="1"/>
  <c r="R1893" i="52"/>
  <c r="S1893" i="52" s="1"/>
  <c r="Q1894" i="52"/>
  <c r="R1894" i="52" l="1"/>
  <c r="S1894" i="52" s="1"/>
  <c r="Q1895" i="52"/>
  <c r="R1895" i="52" l="1"/>
  <c r="S1895" i="52" s="1"/>
  <c r="Q1896" i="52"/>
  <c r="R1896" i="52" l="1"/>
  <c r="S1896" i="52" s="1"/>
  <c r="Q1897" i="52"/>
  <c r="R1897" i="52" l="1"/>
  <c r="S1897" i="52" s="1"/>
  <c r="Q1898" i="52"/>
  <c r="R1898" i="52" l="1"/>
  <c r="S1898" i="52" s="1"/>
  <c r="Q1899" i="52"/>
  <c r="R1899" i="52" l="1"/>
  <c r="S1899" i="52" s="1"/>
  <c r="Q1900" i="52"/>
  <c r="R1900" i="52" l="1"/>
  <c r="S1900" i="52" s="1"/>
  <c r="Q1901" i="52"/>
  <c r="R1901" i="52" l="1"/>
  <c r="S1901" i="52" s="1"/>
  <c r="Q1902" i="52"/>
  <c r="Q1903" i="52" l="1"/>
  <c r="Q1904" i="52" s="1"/>
  <c r="R1902" i="52"/>
  <c r="S1902" i="52" s="1"/>
  <c r="R1903" i="52" l="1"/>
  <c r="S1903" i="52" s="1"/>
  <c r="R1904" i="52"/>
  <c r="S1904" i="52" s="1"/>
  <c r="Q1905" i="52"/>
  <c r="Q1906" i="52" s="1"/>
  <c r="R1905" i="52" l="1"/>
  <c r="S1905" i="52" s="1"/>
  <c r="R1906" i="52"/>
  <c r="S1906" i="52" s="1"/>
  <c r="Q1907" i="52"/>
  <c r="R1907" i="52" l="1"/>
  <c r="S1907" i="52" s="1"/>
  <c r="Q1908" i="52"/>
  <c r="Q1909" i="52" s="1"/>
  <c r="R1908" i="52" l="1"/>
  <c r="S1908" i="52" s="1"/>
  <c r="R1909" i="52"/>
  <c r="S1909" i="52" s="1"/>
  <c r="Q1910" i="52"/>
  <c r="R1910" i="52" l="1"/>
  <c r="S1910" i="52" s="1"/>
  <c r="Q1911" i="52"/>
  <c r="R1911" i="52" l="1"/>
  <c r="S1911" i="52" s="1"/>
  <c r="Q1912" i="52"/>
  <c r="R1912" i="52" l="1"/>
  <c r="S1912" i="52" s="1"/>
  <c r="Q1913" i="52"/>
  <c r="R1913" i="52" l="1"/>
  <c r="S1913" i="52" s="1"/>
  <c r="Q1914" i="52"/>
  <c r="Q1915" i="52" s="1"/>
  <c r="R1914" i="52" l="1"/>
  <c r="S1914" i="52" s="1"/>
  <c r="R1915" i="52"/>
  <c r="S1915" i="52" s="1"/>
  <c r="Q1916" i="52"/>
  <c r="R1916" i="52" l="1"/>
  <c r="S1916" i="52" s="1"/>
  <c r="Q1917" i="52"/>
  <c r="R1917" i="52" l="1"/>
  <c r="S1917" i="52" s="1"/>
  <c r="Q1918" i="52"/>
  <c r="R1918" i="52" l="1"/>
  <c r="S1918" i="52" s="1"/>
  <c r="Q1919" i="52"/>
  <c r="R1919" i="52" l="1"/>
  <c r="S1919" i="52" s="1"/>
  <c r="Q1920" i="52"/>
  <c r="R1920" i="52" l="1"/>
  <c r="S1920" i="52" s="1"/>
  <c r="Q1921" i="52"/>
  <c r="R1921" i="52" l="1"/>
  <c r="S1921" i="52" s="1"/>
  <c r="Q1922" i="52"/>
  <c r="R1922" i="52" l="1"/>
  <c r="S1922" i="52" s="1"/>
  <c r="Q1923" i="52"/>
  <c r="R1923" i="52" l="1"/>
  <c r="S1923" i="52" s="1"/>
  <c r="Q1924" i="52"/>
  <c r="R1924" i="52" l="1"/>
  <c r="S1924" i="52" s="1"/>
  <c r="Q1925" i="52"/>
  <c r="R1925" i="52" l="1"/>
  <c r="S1925" i="52" s="1"/>
  <c r="Q1926" i="52"/>
  <c r="R1926" i="52" l="1"/>
  <c r="S1926" i="52" s="1"/>
  <c r="Q1927" i="52"/>
  <c r="Q1928" i="52" s="1"/>
  <c r="R1927" i="52" l="1"/>
  <c r="S1927" i="52" s="1"/>
  <c r="R1928" i="52"/>
  <c r="S1928" i="52" s="1"/>
  <c r="Q1929" i="52"/>
  <c r="R1929" i="52" l="1"/>
  <c r="S1929" i="52" s="1"/>
  <c r="Q1930" i="52"/>
  <c r="R1930" i="52" l="1"/>
  <c r="S1930" i="52" s="1"/>
  <c r="Q1931" i="52"/>
  <c r="R1931" i="52" s="1"/>
  <c r="S1931" i="52" s="1"/>
  <c r="Q1932" i="52" l="1"/>
  <c r="Q1933" i="52" l="1"/>
  <c r="Q1934" i="52" s="1"/>
  <c r="R1932" i="52"/>
  <c r="S1932" i="52" s="1"/>
  <c r="R1933" i="52" l="1"/>
  <c r="S1933" i="52" s="1"/>
  <c r="R1934" i="52"/>
  <c r="S1934" i="52" s="1"/>
  <c r="Q1935" i="52"/>
  <c r="R1935" i="52" l="1"/>
  <c r="S1935" i="52" s="1"/>
  <c r="Q1936" i="52"/>
  <c r="R1936" i="52" l="1"/>
  <c r="S1936" i="52" s="1"/>
  <c r="Q1937" i="52"/>
  <c r="R1937" i="52" l="1"/>
  <c r="S1937" i="52" s="1"/>
  <c r="Q1938" i="52"/>
  <c r="R1938" i="52" l="1"/>
  <c r="S1938" i="52" s="1"/>
  <c r="Q1939" i="52"/>
  <c r="R1939" i="52" s="1"/>
  <c r="S1939" i="52" s="1"/>
  <c r="Q1940" i="52" l="1"/>
  <c r="Q1941" i="52" s="1"/>
  <c r="R1941" i="52" l="1"/>
  <c r="S1941" i="52" s="1"/>
  <c r="Q1942" i="52"/>
  <c r="R1940" i="52"/>
  <c r="S1940" i="52" s="1"/>
  <c r="R1942" i="52" l="1"/>
  <c r="S1942" i="52" s="1"/>
  <c r="Q1943" i="52"/>
  <c r="Q1944" i="52" l="1"/>
  <c r="Q1945" i="52" s="1"/>
  <c r="R1943" i="52"/>
  <c r="S1943" i="52" s="1"/>
  <c r="R1944" i="52" l="1"/>
  <c r="S1944" i="52" s="1"/>
  <c r="R1945" i="52"/>
  <c r="S1945" i="52" s="1"/>
  <c r="Q1946" i="52"/>
  <c r="Q1947" i="52" s="1"/>
  <c r="R1946" i="52" l="1"/>
  <c r="S1946" i="52" s="1"/>
  <c r="R1947" i="52"/>
  <c r="S1947" i="52" s="1"/>
  <c r="Q1948" i="52"/>
  <c r="R1948" i="52" l="1"/>
  <c r="S1948" i="52" s="1"/>
  <c r="Q1949" i="52"/>
  <c r="Q1950" i="52" s="1"/>
  <c r="R1949" i="52" l="1"/>
  <c r="S1949" i="52" s="1"/>
  <c r="R1950" i="52"/>
  <c r="S1950" i="52" s="1"/>
  <c r="Q1951" i="52"/>
  <c r="R1951" i="52" l="1"/>
  <c r="S1951" i="52" s="1"/>
  <c r="Q1952" i="52"/>
  <c r="R1952" i="52" l="1"/>
  <c r="S1952" i="52" s="1"/>
  <c r="Q1953" i="52"/>
  <c r="R1953" i="52" l="1"/>
  <c r="S1953" i="52" s="1"/>
  <c r="Q1954" i="52"/>
  <c r="R1954" i="52" l="1"/>
  <c r="S1954" i="52" s="1"/>
  <c r="Q1955" i="52"/>
  <c r="Q1956" i="52" l="1"/>
  <c r="R1956" i="52" s="1"/>
  <c r="S1956" i="52" s="1"/>
  <c r="R1955" i="52"/>
  <c r="S1955" i="52" s="1"/>
  <c r="Q1957" i="52" l="1"/>
  <c r="Q1958" i="52" l="1"/>
  <c r="R1957" i="52"/>
  <c r="S1957" i="52" s="1"/>
  <c r="Q1959" i="52" l="1"/>
  <c r="Q1960" i="52" s="1"/>
  <c r="R1958" i="52"/>
  <c r="S1958" i="52" s="1"/>
  <c r="R1959" i="52" l="1"/>
  <c r="S1959" i="52" s="1"/>
  <c r="R1960" i="52"/>
  <c r="S1960" i="52" s="1"/>
  <c r="Q1961" i="52"/>
  <c r="Q1962" i="52" s="1"/>
  <c r="R1962" i="52" l="1"/>
  <c r="S1962" i="52" s="1"/>
  <c r="Q1963" i="52"/>
  <c r="R1963" i="52" s="1"/>
  <c r="S1963" i="52" s="1"/>
  <c r="R1961" i="52"/>
  <c r="S1961" i="52" s="1"/>
  <c r="Q1964" i="52" l="1"/>
  <c r="Q1965" i="52" s="1"/>
  <c r="R1965" i="52" l="1"/>
  <c r="S1965" i="52" s="1"/>
  <c r="Q1966" i="52"/>
  <c r="R1964" i="52"/>
  <c r="S1964" i="52" s="1"/>
  <c r="R1966" i="52" l="1"/>
  <c r="S1966" i="52" s="1"/>
  <c r="Q1967" i="52"/>
  <c r="R1967" i="52" l="1"/>
  <c r="S1967" i="52" s="1"/>
  <c r="Q1968" i="52"/>
  <c r="R1968" i="52" l="1"/>
  <c r="S1968" i="52" s="1"/>
  <c r="Q1969" i="52"/>
  <c r="R1969" i="52" l="1"/>
  <c r="S1969" i="52" s="1"/>
  <c r="Q1970" i="52"/>
  <c r="R1970" i="52" l="1"/>
  <c r="S1970" i="52" s="1"/>
  <c r="Q1971" i="52"/>
  <c r="Q1972" i="52" s="1"/>
  <c r="R1972" i="52" l="1"/>
  <c r="S1972" i="52" s="1"/>
  <c r="Q1973" i="52"/>
  <c r="R1971" i="52"/>
  <c r="S1971" i="52" s="1"/>
  <c r="R1973" i="52" l="1"/>
  <c r="S1973" i="52" s="1"/>
  <c r="Q1974" i="52"/>
  <c r="Q1975" i="52" s="1"/>
  <c r="R1974" i="52" l="1"/>
  <c r="S1974" i="52" s="1"/>
  <c r="R1975" i="52"/>
  <c r="S1975" i="52" s="1"/>
  <c r="Q1976" i="52"/>
  <c r="R1976" i="52" l="1"/>
  <c r="S1976" i="52" s="1"/>
  <c r="Q1977" i="52"/>
  <c r="R1977" i="52" l="1"/>
  <c r="S1977" i="52" s="1"/>
  <c r="Q1978" i="52"/>
  <c r="R1978" i="52" l="1"/>
  <c r="S1978" i="52" s="1"/>
  <c r="Q1979" i="52"/>
  <c r="R1979" i="52" s="1"/>
  <c r="S1979" i="52" s="1"/>
  <c r="Q1980" i="52" l="1"/>
  <c r="Q1981" i="52" s="1"/>
  <c r="R1980" i="52" l="1"/>
  <c r="S1980" i="52" s="1"/>
  <c r="R1981" i="52"/>
  <c r="S1981" i="52" s="1"/>
  <c r="Q1982" i="52"/>
  <c r="R1982" i="52" l="1"/>
  <c r="S1982" i="52" s="1"/>
  <c r="Q1983" i="52"/>
  <c r="Q1984" i="52" s="1"/>
  <c r="R1984" i="52" l="1"/>
  <c r="S1984" i="52" s="1"/>
  <c r="Q1985" i="52"/>
  <c r="Q1986" i="52" s="1"/>
  <c r="R1983" i="52"/>
  <c r="S1983" i="52" s="1"/>
  <c r="R1985" i="52" l="1"/>
  <c r="S1985" i="52" s="1"/>
  <c r="R1986" i="52"/>
  <c r="S1986" i="52" s="1"/>
  <c r="Q1987" i="52"/>
  <c r="R1987" i="52" l="1"/>
  <c r="S1987" i="52" s="1"/>
  <c r="Q1988" i="52"/>
  <c r="R1988" i="52" l="1"/>
  <c r="S1988" i="52" s="1"/>
  <c r="Q1989" i="52"/>
  <c r="Q1990" i="52" s="1"/>
  <c r="R1989" i="52" l="1"/>
  <c r="S1989" i="52" s="1"/>
  <c r="R1990" i="52"/>
  <c r="S1990" i="52" s="1"/>
  <c r="Q1991" i="52"/>
  <c r="Q1992" i="52" s="1"/>
  <c r="R1991" i="52" l="1"/>
  <c r="S1991" i="52" s="1"/>
  <c r="R1992" i="52"/>
  <c r="S1992" i="52" s="1"/>
  <c r="Q1993" i="52"/>
  <c r="R1993" i="52" l="1"/>
  <c r="S1993" i="52" s="1"/>
  <c r="Q1994" i="52"/>
  <c r="R1994" i="52" l="1"/>
  <c r="S1994" i="52" s="1"/>
  <c r="Q1995" i="52"/>
  <c r="R1995" i="52" l="1"/>
  <c r="S1995" i="52" s="1"/>
  <c r="Q1996" i="52"/>
  <c r="R1996" i="52" l="1"/>
  <c r="S1996" i="52" s="1"/>
  <c r="Q1997" i="52"/>
  <c r="R1997" i="52" l="1"/>
  <c r="S1997" i="52" s="1"/>
  <c r="Q1998" i="52"/>
  <c r="R1998" i="52" l="1"/>
  <c r="S1998" i="52" s="1"/>
  <c r="Q1999" i="52"/>
  <c r="Q2000" i="52" s="1"/>
  <c r="R2000" i="52" l="1"/>
  <c r="S2000" i="52" s="1"/>
  <c r="Q2001" i="52"/>
  <c r="R1999" i="52"/>
  <c r="S1999" i="52" s="1"/>
  <c r="R2001" i="52" l="1"/>
  <c r="S2001" i="52" s="1"/>
  <c r="Q2002" i="52"/>
  <c r="R2002" i="52" l="1"/>
  <c r="S2002" i="52" s="1"/>
  <c r="Q2003" i="52"/>
  <c r="Q2004" i="52" s="1"/>
  <c r="R2003" i="52" l="1"/>
  <c r="S2003" i="52" s="1"/>
  <c r="R2004" i="52"/>
  <c r="S2004" i="52" s="1"/>
  <c r="Q2005" i="52"/>
  <c r="R2005" i="52" l="1"/>
  <c r="S2005" i="52" s="1"/>
  <c r="Q2006" i="52"/>
  <c r="R2006" i="52" l="1"/>
  <c r="S2006" i="52" s="1"/>
  <c r="Q2007" i="52"/>
  <c r="R2007" i="52" l="1"/>
  <c r="S2007" i="52" s="1"/>
  <c r="Q2008" i="52"/>
  <c r="R2008" i="52" s="1"/>
  <c r="S2008" i="52" s="1"/>
  <c r="Q2009" i="52" l="1"/>
  <c r="Q2010" i="52" s="1"/>
  <c r="R2009" i="52" l="1"/>
  <c r="S2009" i="52" s="1"/>
  <c r="R2010" i="52"/>
  <c r="S2010" i="52" s="1"/>
  <c r="Q2011" i="52"/>
  <c r="Q2012" i="52" s="1"/>
  <c r="R2012" i="52" l="1"/>
  <c r="S2012" i="52" s="1"/>
  <c r="Q2013" i="52"/>
  <c r="R2011" i="52"/>
  <c r="S2011" i="52" s="1"/>
  <c r="R2013" i="52" l="1"/>
  <c r="S2013" i="52" s="1"/>
  <c r="Q2014" i="52"/>
  <c r="R2014" i="52" l="1"/>
  <c r="S2014" i="52" s="1"/>
  <c r="Q2015" i="52"/>
  <c r="R2015" i="52" l="1"/>
  <c r="S2015" i="52" s="1"/>
  <c r="Q2016" i="52"/>
  <c r="Q2017" i="52" s="1"/>
  <c r="R2017" i="52" l="1"/>
  <c r="S2017" i="52" s="1"/>
  <c r="Q2018" i="52"/>
  <c r="R2016" i="52"/>
  <c r="S2016" i="52" s="1"/>
  <c r="R2018" i="52" l="1"/>
  <c r="S2018" i="52" s="1"/>
  <c r="Q2019" i="52"/>
  <c r="Q2020" i="52" s="1"/>
  <c r="R2019" i="52" l="1"/>
  <c r="S2019" i="52" s="1"/>
  <c r="R2020" i="52"/>
  <c r="S2020" i="52" s="1"/>
  <c r="Q2021" i="52"/>
  <c r="Q2022" i="52" s="1"/>
  <c r="R2021" i="52" l="1"/>
  <c r="S2021" i="52" s="1"/>
  <c r="R2022" i="52"/>
  <c r="S2022" i="52" s="1"/>
  <c r="Q2023" i="52"/>
  <c r="R2023" i="52" l="1"/>
  <c r="S2023" i="52" s="1"/>
  <c r="Q2024" i="52"/>
  <c r="R2024" i="52" l="1"/>
  <c r="S2024" i="52" s="1"/>
  <c r="Q2025" i="52"/>
  <c r="R2025" i="52" l="1"/>
  <c r="S2025" i="52" s="1"/>
  <c r="Q2026" i="52"/>
  <c r="R2026" i="52" l="1"/>
  <c r="S2026" i="52" s="1"/>
  <c r="Q2027" i="52"/>
  <c r="Q2028" i="52" s="1"/>
  <c r="R2027" i="52" l="1"/>
  <c r="S2027" i="52" s="1"/>
  <c r="R2028" i="52"/>
  <c r="S2028" i="52" s="1"/>
  <c r="Q2029" i="52"/>
  <c r="Q2030" i="52" s="1"/>
  <c r="R2029" i="52" l="1"/>
  <c r="S2029" i="52" s="1"/>
  <c r="R2030" i="52"/>
  <c r="S2030" i="52" s="1"/>
  <c r="Q2031" i="52"/>
  <c r="Q2032" i="52" s="1"/>
  <c r="R2031" i="52" l="1"/>
  <c r="S2031" i="52" s="1"/>
  <c r="R2032" i="52"/>
  <c r="S2032" i="52" s="1"/>
  <c r="Q2033" i="52"/>
  <c r="R2033" i="52" l="1"/>
  <c r="S2033" i="52" s="1"/>
  <c r="Q2034" i="52"/>
  <c r="Q2035" i="52" s="1"/>
  <c r="R2034" i="52" l="1"/>
  <c r="S2034" i="52" s="1"/>
  <c r="R2035" i="52"/>
  <c r="S2035" i="52" s="1"/>
  <c r="Q2036" i="52"/>
  <c r="R2036" i="52" s="1"/>
  <c r="S2036" i="52" s="1"/>
  <c r="Q2037" i="52" l="1"/>
  <c r="R2037" i="52" s="1"/>
  <c r="S2037" i="52" s="1"/>
  <c r="Q2038" i="52" l="1"/>
  <c r="R2038" i="52" s="1"/>
  <c r="S2038" i="52" s="1"/>
  <c r="Q2039" i="52" l="1"/>
  <c r="R2039" i="52" s="1"/>
  <c r="S2039" i="52" s="1"/>
  <c r="Q2040" i="52" l="1"/>
  <c r="R2040" i="52" s="1"/>
  <c r="S2040" i="52" s="1"/>
  <c r="Q2041" i="52" l="1"/>
  <c r="R2041" i="52" s="1"/>
  <c r="S2041" i="52" s="1"/>
  <c r="Q2042" i="52" l="1"/>
  <c r="Q2043" i="52" s="1"/>
  <c r="R2042" i="52" l="1"/>
  <c r="S2042" i="52" s="1"/>
  <c r="R2043" i="52"/>
  <c r="S2043" i="52" s="1"/>
  <c r="Q2044" i="52"/>
  <c r="R2044" i="52" s="1"/>
  <c r="S2044" i="52" s="1"/>
  <c r="Q2045" i="52" l="1"/>
  <c r="R2045" i="52" s="1"/>
  <c r="S2045" i="52" s="1"/>
  <c r="Q2046" i="52" l="1"/>
  <c r="R2046" i="52" s="1"/>
  <c r="S2046" i="52" s="1"/>
  <c r="Q2047" i="52" l="1"/>
  <c r="R2047" i="52" s="1"/>
  <c r="S2047" i="52" s="1"/>
  <c r="Q2048" i="52" l="1"/>
  <c r="Q2049" i="52" s="1"/>
  <c r="R2048" i="52" l="1"/>
  <c r="S2048" i="52" s="1"/>
  <c r="R2049" i="52"/>
  <c r="S2049" i="52" s="1"/>
  <c r="Q2050" i="52"/>
  <c r="R2050" i="52" s="1"/>
  <c r="S2050" i="52" s="1"/>
  <c r="Q2051" i="52" l="1"/>
  <c r="R2051" i="52" s="1"/>
  <c r="S2051" i="52" s="1"/>
  <c r="Q2052" i="52" l="1"/>
  <c r="R2052" i="52" s="1"/>
  <c r="S2052" i="52" s="1"/>
  <c r="Q2053" i="52" l="1"/>
  <c r="Q2054" i="52" l="1"/>
  <c r="R2054" i="52" s="1"/>
  <c r="S2054" i="52" s="1"/>
  <c r="R2053" i="52"/>
  <c r="S2053" i="52" s="1"/>
  <c r="Q2055" i="52" l="1"/>
  <c r="R2055" i="52" s="1"/>
  <c r="S2055" i="52" s="1"/>
  <c r="Q2056" i="52" l="1"/>
  <c r="R2056" i="52" s="1"/>
  <c r="S2056" i="52" s="1"/>
  <c r="Q2057" i="52" l="1"/>
  <c r="R2057" i="52" s="1"/>
  <c r="S2057" i="52" s="1"/>
  <c r="Q2058" i="52" l="1"/>
  <c r="Q2059" i="52" s="1"/>
  <c r="R2058" i="52" l="1"/>
  <c r="S2058" i="52" s="1"/>
  <c r="R2059" i="52"/>
  <c r="S2059" i="52" s="1"/>
  <c r="Q2060" i="52"/>
  <c r="R2060" i="52" l="1"/>
  <c r="S2060" i="52" s="1"/>
  <c r="Q2061" i="52"/>
  <c r="Q2062" i="52" s="1"/>
  <c r="R2061" i="52" l="1"/>
  <c r="S2061" i="52" s="1"/>
  <c r="R2062" i="52"/>
  <c r="S2062" i="52" s="1"/>
  <c r="Q2063" i="52"/>
  <c r="R2063" i="52" l="1"/>
  <c r="S2063" i="52" s="1"/>
  <c r="Q2064" i="52"/>
  <c r="R2064" i="52" s="1"/>
  <c r="S2064" i="52" s="1"/>
  <c r="Q2065" i="52" l="1"/>
  <c r="R2065" i="52" s="1"/>
  <c r="S2065" i="52" s="1"/>
  <c r="Q2066" i="52" l="1"/>
  <c r="Q2067" i="52" l="1"/>
  <c r="R2066" i="52"/>
  <c r="S2066" i="52" s="1"/>
  <c r="Q2068" i="52" l="1"/>
  <c r="Q2069" i="52" s="1"/>
  <c r="R2067" i="52"/>
  <c r="S2067" i="52" s="1"/>
  <c r="R2068" i="52" l="1"/>
  <c r="S2068" i="52" s="1"/>
  <c r="R2069" i="52"/>
  <c r="S2069" i="52" s="1"/>
  <c r="Q2070" i="52"/>
  <c r="R2070" i="52" s="1"/>
  <c r="S2070" i="52" s="1"/>
  <c r="Q2071" i="52" l="1"/>
  <c r="R2071" i="52" s="1"/>
  <c r="S2071" i="52" s="1"/>
  <c r="Q2072" i="52" l="1"/>
  <c r="Q2073" i="52" s="1"/>
  <c r="R2072" i="52" l="1"/>
  <c r="S2072" i="52" s="1"/>
  <c r="R2073" i="52"/>
  <c r="S2073" i="52" s="1"/>
  <c r="Q2074" i="52"/>
  <c r="R2074" i="52" s="1"/>
  <c r="S2074" i="52" s="1"/>
  <c r="Q2075" i="52" l="1"/>
  <c r="R2075" i="52" s="1"/>
  <c r="S2075" i="52" s="1"/>
  <c r="Q2076" i="52" l="1"/>
  <c r="R2076" i="52" s="1"/>
  <c r="S2076" i="52" s="1"/>
  <c r="Q2077" i="52" l="1"/>
  <c r="R2077" i="52" s="1"/>
  <c r="S2077" i="52" s="1"/>
  <c r="Q2078" i="52" l="1"/>
  <c r="R2078" i="52" s="1"/>
  <c r="S2078" i="52" s="1"/>
  <c r="Q2079" i="52" l="1"/>
  <c r="Q2080" i="52" s="1"/>
  <c r="R2079" i="52" l="1"/>
  <c r="S2079" i="52" s="1"/>
  <c r="R2080" i="52"/>
  <c r="S2080" i="52" s="1"/>
  <c r="Q2081" i="52"/>
  <c r="R2081" i="52" s="1"/>
  <c r="S2081" i="52" s="1"/>
  <c r="Q2082" i="52" l="1"/>
  <c r="R2082" i="52" s="1"/>
  <c r="S2082" i="52" s="1"/>
  <c r="Q2083" i="52" l="1"/>
  <c r="R2083" i="52" s="1"/>
  <c r="S2083" i="52" s="1"/>
  <c r="Q2084" i="52" l="1"/>
  <c r="R2084" i="52" s="1"/>
  <c r="S2084" i="52" s="1"/>
  <c r="Q2085" i="52" l="1"/>
  <c r="Q2086" i="52" l="1"/>
  <c r="R2086" i="52" s="1"/>
  <c r="S2086" i="52" s="1"/>
  <c r="R2085" i="52"/>
  <c r="S2085" i="52" s="1"/>
  <c r="Q2087" i="52" l="1"/>
  <c r="Q2088" i="52" s="1"/>
  <c r="R2088" i="52" l="1"/>
  <c r="S2088" i="52" s="1"/>
  <c r="Q2089" i="52"/>
  <c r="R2087" i="52"/>
  <c r="S2087" i="52" s="1"/>
  <c r="R2089" i="52" l="1"/>
  <c r="S2089" i="52" s="1"/>
  <c r="Q2090" i="52"/>
  <c r="R2090" i="52" s="1"/>
  <c r="S2090" i="52" s="1"/>
  <c r="Q2091" i="52" l="1"/>
  <c r="Q2092" i="52" l="1"/>
  <c r="R2092" i="52" s="1"/>
  <c r="S2092" i="52" s="1"/>
  <c r="R2091" i="52"/>
  <c r="S2091" i="52" s="1"/>
  <c r="Q2093" i="52" l="1"/>
  <c r="R2093" i="52" s="1"/>
  <c r="S2093" i="52" s="1"/>
  <c r="Q2094" i="52" l="1"/>
  <c r="R2094" i="52" s="1"/>
  <c r="S2094" i="52" s="1"/>
  <c r="Q2095" i="52" l="1"/>
  <c r="Q2096" i="52" l="1"/>
  <c r="R2096" i="52" s="1"/>
  <c r="S2096" i="52" s="1"/>
  <c r="R2095" i="52"/>
  <c r="S2095" i="52" s="1"/>
  <c r="Q2097" i="52" l="1"/>
  <c r="R2097" i="52" s="1"/>
  <c r="S2097" i="52" s="1"/>
  <c r="Q2098" i="52" l="1"/>
  <c r="Q2099" i="52" s="1"/>
  <c r="R2098" i="52" l="1"/>
  <c r="S2098" i="52" s="1"/>
  <c r="R2099" i="52"/>
  <c r="S2099" i="52" s="1"/>
  <c r="Q2100" i="52"/>
  <c r="R2100" i="52" l="1"/>
  <c r="S2100" i="52" s="1"/>
  <c r="Q2101" i="52"/>
  <c r="R2101" i="52" s="1"/>
  <c r="S2101" i="52" s="1"/>
  <c r="Q2102" i="52" l="1"/>
  <c r="Q2103" i="52" l="1"/>
  <c r="Q2104" i="52" s="1"/>
  <c r="R2102" i="52"/>
  <c r="S2102" i="52" s="1"/>
  <c r="R2103" i="52" l="1"/>
  <c r="S2103" i="52" s="1"/>
  <c r="R2104" i="52"/>
  <c r="S2104" i="52" s="1"/>
  <c r="Q2105" i="52"/>
  <c r="R2105" i="52" s="1"/>
  <c r="S2105" i="52" s="1"/>
  <c r="Q2106" i="52" l="1"/>
  <c r="Q2107" i="52" l="1"/>
  <c r="R2107" i="52" s="1"/>
  <c r="S2107" i="52" s="1"/>
  <c r="R2106" i="52"/>
  <c r="S2106" i="52" s="1"/>
  <c r="Q2108" i="52" l="1"/>
  <c r="Q2109" i="52" l="1"/>
  <c r="R2109" i="52" s="1"/>
  <c r="S2109" i="52" s="1"/>
  <c r="R2108" i="52"/>
  <c r="S2108" i="52" s="1"/>
  <c r="Q2110" i="52" l="1"/>
  <c r="R2110" i="52" s="1"/>
  <c r="S2110" i="52" s="1"/>
  <c r="Q2111" i="52" l="1"/>
  <c r="R2111" i="52" s="1"/>
  <c r="S2111" i="52" s="1"/>
  <c r="Q2112" i="52" l="1"/>
  <c r="Q2113" i="52" l="1"/>
  <c r="R2113" i="52" s="1"/>
  <c r="S2113" i="52" s="1"/>
  <c r="R2112" i="52"/>
  <c r="S2112" i="52" s="1"/>
  <c r="Q2114" i="52" l="1"/>
  <c r="R2114" i="52" s="1"/>
  <c r="S2114" i="52" s="1"/>
  <c r="Q2115" i="52" l="1"/>
  <c r="Q2116" i="52" l="1"/>
  <c r="R2115" i="52"/>
  <c r="S2115" i="52" s="1"/>
  <c r="Q2117" i="52" l="1"/>
  <c r="R2117" i="52" s="1"/>
  <c r="S2117" i="52" s="1"/>
  <c r="R2116" i="52"/>
  <c r="S2116" i="52" s="1"/>
  <c r="Q2118" i="52" l="1"/>
  <c r="R2118" i="52" s="1"/>
  <c r="S2118" i="52" s="1"/>
  <c r="Q2119" i="52" l="1"/>
  <c r="Q2120" i="52" s="1"/>
  <c r="R2119" i="52" l="1"/>
  <c r="S2119" i="52" s="1"/>
  <c r="R2120" i="52"/>
  <c r="S2120" i="52" s="1"/>
  <c r="Q2121" i="52"/>
  <c r="R2121" i="52" s="1"/>
  <c r="S2121" i="52" s="1"/>
  <c r="Q2122" i="52" l="1"/>
  <c r="R2122" i="52" s="1"/>
  <c r="S2122" i="52" s="1"/>
  <c r="Q2123" i="52" l="1"/>
  <c r="R2123" i="52" s="1"/>
  <c r="S2123" i="52" s="1"/>
  <c r="Q2124" i="52" l="1"/>
  <c r="Q2125" i="52" l="1"/>
  <c r="R2125" i="52" s="1"/>
  <c r="S2125" i="52" s="1"/>
  <c r="R2124" i="52"/>
  <c r="S2124" i="52" s="1"/>
  <c r="Q2126" i="52" l="1"/>
  <c r="Q2127" i="52" s="1"/>
  <c r="R2126" i="52" l="1"/>
  <c r="S2126" i="52" s="1"/>
  <c r="R2127" i="52"/>
  <c r="S2127" i="52" s="1"/>
  <c r="Q2128" i="52"/>
  <c r="R2128" i="52" s="1"/>
  <c r="S2128" i="52" s="1"/>
  <c r="Q2129" i="52" l="1"/>
  <c r="Q2130" i="52" l="1"/>
  <c r="R2129" i="52"/>
  <c r="S2129" i="52" s="1"/>
  <c r="Q2131" i="52" l="1"/>
  <c r="R2131" i="52" s="1"/>
  <c r="S2131" i="52" s="1"/>
  <c r="R2130" i="52"/>
  <c r="S2130" i="52" s="1"/>
  <c r="Q2132" i="52" l="1"/>
  <c r="R2132" i="52" s="1"/>
  <c r="S2132" i="52" s="1"/>
  <c r="Q2133" i="52" l="1"/>
  <c r="Q2134" i="52" l="1"/>
  <c r="R2134" i="52" s="1"/>
  <c r="S2134" i="52" s="1"/>
  <c r="R2133" i="52"/>
  <c r="S2133" i="52" s="1"/>
  <c r="Q2135" i="52" l="1"/>
  <c r="R2135" i="52" s="1"/>
  <c r="S2135" i="52" s="1"/>
  <c r="Q2136" i="52" l="1"/>
  <c r="Q2137" i="52" l="1"/>
  <c r="R2137" i="52" s="1"/>
  <c r="S2137" i="52" s="1"/>
  <c r="R2136" i="52"/>
  <c r="S2136" i="52" s="1"/>
  <c r="Q2138" i="52" l="1"/>
  <c r="R2138" i="52" s="1"/>
  <c r="S2138" i="52" s="1"/>
  <c r="Q2139" i="52" l="1"/>
  <c r="R2139" i="52" s="1"/>
  <c r="S2139" i="52" s="1"/>
  <c r="Q2140" i="52" l="1"/>
  <c r="Q2141" i="52" s="1"/>
  <c r="R2140" i="52" l="1"/>
  <c r="S2140" i="52" s="1"/>
  <c r="R2141" i="52"/>
  <c r="S2141" i="52" s="1"/>
  <c r="Q2142" i="52"/>
  <c r="Q2143" i="52" s="1"/>
  <c r="R2143" i="52" l="1"/>
  <c r="S2143" i="52" s="1"/>
  <c r="Q2144" i="52"/>
  <c r="R2142" i="52"/>
  <c r="S2142" i="52" s="1"/>
  <c r="Q2145" i="52" l="1"/>
  <c r="R2145" i="52" s="1"/>
  <c r="S2145" i="52" s="1"/>
  <c r="R2144" i="52"/>
  <c r="S2144" i="52" s="1"/>
  <c r="Q2146" i="52" l="1"/>
  <c r="Q2147" i="52" l="1"/>
  <c r="R2147" i="52" s="1"/>
  <c r="S2147" i="52" s="1"/>
  <c r="R2146" i="52"/>
  <c r="S2146" i="52" s="1"/>
  <c r="Q2148" i="52" l="1"/>
  <c r="R2148" i="52" s="1"/>
  <c r="S2148" i="52" s="1"/>
  <c r="Q2149" i="52" l="1"/>
  <c r="R2149" i="52" s="1"/>
  <c r="S2149" i="52" s="1"/>
  <c r="Q2150" i="52" l="1"/>
  <c r="R2150" i="52" s="1"/>
  <c r="S2150" i="52" s="1"/>
  <c r="Q2151" i="52" l="1"/>
  <c r="Q2152" i="52" l="1"/>
  <c r="R2152" i="52" s="1"/>
  <c r="S2152" i="52" s="1"/>
  <c r="R2151" i="52"/>
  <c r="S2151" i="52" s="1"/>
  <c r="Q2153" i="52" l="1"/>
  <c r="Q2154" i="52" l="1"/>
  <c r="R2154" i="52" s="1"/>
  <c r="S2154" i="52" s="1"/>
  <c r="R2153" i="52"/>
  <c r="S2153" i="52" s="1"/>
  <c r="Q2155" i="52" l="1"/>
  <c r="R2155" i="52" s="1"/>
  <c r="S2155" i="52" s="1"/>
  <c r="Q2156" i="52" l="1"/>
  <c r="R2156" i="52" s="1"/>
  <c r="S2156" i="52" s="1"/>
  <c r="Q2157" i="52" l="1"/>
  <c r="R2157" i="52" s="1"/>
  <c r="S2157" i="52" s="1"/>
  <c r="Q2158" i="52" l="1"/>
  <c r="R2158" i="52" s="1"/>
  <c r="S2158" i="52" s="1"/>
  <c r="Q2159" i="52" l="1"/>
  <c r="R2159" i="52" s="1"/>
  <c r="S2159" i="52" s="1"/>
  <c r="Q2160" i="52" l="1"/>
  <c r="R2160" i="52" s="1"/>
  <c r="S2160" i="52" s="1"/>
  <c r="Q2161" i="52" l="1"/>
  <c r="R2161" i="52" s="1"/>
  <c r="S2161" i="52" s="1"/>
  <c r="Q2162" i="52" l="1"/>
  <c r="R2162" i="52" s="1"/>
  <c r="S2162" i="52" s="1"/>
  <c r="Q2163" i="52" l="1"/>
  <c r="Q2164" i="52" s="1"/>
  <c r="R2163" i="52" l="1"/>
  <c r="S2163" i="52" s="1"/>
  <c r="R2164" i="52"/>
  <c r="S2164" i="52" s="1"/>
  <c r="Q2165" i="52"/>
  <c r="R2165" i="52" s="1"/>
  <c r="S2165" i="52" s="1"/>
  <c r="Q2166" i="52" l="1"/>
  <c r="R2166" i="52" s="1"/>
  <c r="S2166" i="52" s="1"/>
  <c r="Q2167" i="52" l="1"/>
  <c r="R2167" i="52" s="1"/>
  <c r="S2167" i="52" s="1"/>
  <c r="Q2168" i="52" l="1"/>
  <c r="R2168" i="52" s="1"/>
  <c r="S2168" i="52" s="1"/>
  <c r="Q2169" i="52" l="1"/>
  <c r="R2169" i="52" s="1"/>
  <c r="S2169" i="52" s="1"/>
  <c r="Q2170" i="52" l="1"/>
  <c r="R2170" i="52" s="1"/>
  <c r="S2170" i="52" s="1"/>
  <c r="Q2171" i="52" l="1"/>
  <c r="R2171" i="52" s="1"/>
  <c r="S2171" i="52" s="1"/>
  <c r="Q2172" i="52" l="1"/>
  <c r="R2172" i="52" s="1"/>
  <c r="S2172" i="52" s="1"/>
  <c r="Q2173" i="52" l="1"/>
  <c r="Q2174" i="52" l="1"/>
  <c r="R2174" i="52" s="1"/>
  <c r="S2174" i="52" s="1"/>
  <c r="R2173" i="52"/>
  <c r="S2173" i="52" s="1"/>
  <c r="Q2175" i="52" l="1"/>
  <c r="R2175" i="52" s="1"/>
  <c r="S2175" i="52" s="1"/>
  <c r="Q2176" i="52" l="1"/>
  <c r="Q2177" i="52" l="1"/>
  <c r="R2176" i="52"/>
  <c r="S2176" i="52" s="1"/>
  <c r="Q2178" i="52" l="1"/>
  <c r="Q2179" i="52" s="1"/>
  <c r="R2177" i="52"/>
  <c r="S2177" i="52" s="1"/>
  <c r="R2178" i="52" l="1"/>
  <c r="S2178" i="52" s="1"/>
  <c r="R2179" i="52"/>
  <c r="S2179" i="52" s="1"/>
  <c r="Q2180" i="52"/>
  <c r="R2180" i="52" s="1"/>
  <c r="S2180" i="52" s="1"/>
  <c r="Q2181" i="52" l="1"/>
  <c r="Q2182" i="52" l="1"/>
  <c r="R2182" i="52" s="1"/>
  <c r="S2182" i="52" s="1"/>
  <c r="R2181" i="52"/>
  <c r="S2181" i="52" s="1"/>
  <c r="Q2183" i="52" l="1"/>
  <c r="Q2184" i="52" l="1"/>
  <c r="R2184" i="52" s="1"/>
  <c r="S2184" i="52" s="1"/>
  <c r="R2183" i="52"/>
  <c r="S2183" i="52" s="1"/>
  <c r="Q2185" i="52" l="1"/>
  <c r="R2185" i="52" s="1"/>
  <c r="S2185" i="52" s="1"/>
  <c r="Q2186" i="52" l="1"/>
  <c r="Q2187" i="52" s="1"/>
  <c r="R2187" i="52" l="1"/>
  <c r="S2187" i="52" s="1"/>
  <c r="Q2188" i="52"/>
  <c r="R2188" i="52" s="1"/>
  <c r="S2188" i="52" s="1"/>
  <c r="R2186" i="52"/>
  <c r="S2186" i="52" s="1"/>
  <c r="Q2189" i="52" l="1"/>
  <c r="Q2190" i="52" s="1"/>
  <c r="R2189" i="52" l="1"/>
  <c r="S2189" i="52" s="1"/>
  <c r="R2190" i="52"/>
  <c r="S2190" i="52" s="1"/>
  <c r="Q2191" i="52"/>
  <c r="R2191" i="52" l="1"/>
  <c r="S2191" i="52" s="1"/>
  <c r="Q2192" i="52"/>
  <c r="R2192" i="52" l="1"/>
  <c r="S2192" i="52" s="1"/>
  <c r="Q2193" i="52"/>
  <c r="R2193" i="52" l="1"/>
  <c r="S2193" i="52" s="1"/>
  <c r="Q2194" i="52"/>
  <c r="Q2195" i="52" s="1"/>
  <c r="R2194" i="52" l="1"/>
  <c r="S2194" i="52" s="1"/>
  <c r="R2195" i="52"/>
  <c r="S2195" i="52" s="1"/>
  <c r="Q2196" i="52"/>
  <c r="Q2197" i="52" s="1"/>
  <c r="R2196" i="52" l="1"/>
  <c r="S2196" i="52" s="1"/>
  <c r="R2197" i="52"/>
  <c r="S2197" i="52" s="1"/>
  <c r="Q2198" i="52"/>
  <c r="R2198" i="52" l="1"/>
  <c r="S2198" i="52" s="1"/>
  <c r="Q2199" i="52"/>
  <c r="R2199" i="52" l="1"/>
  <c r="S2199" i="52" s="1"/>
  <c r="Q2200" i="52"/>
  <c r="R2200" i="52" l="1"/>
  <c r="S2200" i="52" s="1"/>
  <c r="Q2201" i="52"/>
  <c r="R2201" i="52" l="1"/>
  <c r="S2201" i="52" s="1"/>
  <c r="Q2202" i="52"/>
  <c r="R2202" i="52" s="1"/>
  <c r="S2202" i="52" s="1"/>
  <c r="Q2203" i="52" l="1"/>
  <c r="R2203" i="52" s="1"/>
  <c r="S2203" i="52" s="1"/>
  <c r="Q2204" i="52" l="1"/>
  <c r="Q2205" i="52" l="1"/>
  <c r="Q2206" i="52" s="1"/>
  <c r="R2204" i="52"/>
  <c r="S2204" i="52" s="1"/>
  <c r="R2205" i="52" l="1"/>
  <c r="S2205" i="52" s="1"/>
  <c r="R2206" i="52"/>
  <c r="S2206" i="52" s="1"/>
  <c r="Q2207" i="52"/>
  <c r="R2207" i="52" l="1"/>
  <c r="S2207" i="52" s="1"/>
  <c r="Q2208" i="52"/>
  <c r="R2208" i="52" l="1"/>
  <c r="S2208" i="52" s="1"/>
  <c r="Q2209" i="52"/>
  <c r="Q2210" i="52" s="1"/>
  <c r="R2209" i="52" l="1"/>
  <c r="S2209" i="52" s="1"/>
  <c r="R2210" i="52"/>
  <c r="S2210" i="52" s="1"/>
  <c r="Q2211" i="52"/>
  <c r="R2211" i="52" s="1"/>
  <c r="S2211" i="52" s="1"/>
  <c r="Q2212" i="52" l="1"/>
  <c r="R2212" i="52" s="1"/>
  <c r="S2212" i="52" s="1"/>
  <c r="Q2213" i="52" l="1"/>
  <c r="Q2214" i="52" s="1"/>
  <c r="R2213" i="52" l="1"/>
  <c r="S2213" i="52" s="1"/>
  <c r="R2214" i="52"/>
  <c r="S2214" i="52" s="1"/>
  <c r="Q2215" i="52"/>
  <c r="R2215" i="52" s="1"/>
  <c r="S2215" i="52" s="1"/>
  <c r="Q2216" i="52" l="1"/>
  <c r="Q2217" i="52" s="1"/>
  <c r="R2216" i="52" l="1"/>
  <c r="S2216" i="52" s="1"/>
  <c r="R2217" i="52"/>
  <c r="S2217" i="52" s="1"/>
  <c r="Q2218" i="52"/>
  <c r="Q2219" i="52" l="1"/>
  <c r="R2219" i="52" s="1"/>
  <c r="S2219" i="52" s="1"/>
  <c r="R2218" i="52"/>
  <c r="S2218" i="52" s="1"/>
  <c r="Q2220" i="52" l="1"/>
  <c r="R2220" i="52" s="1"/>
  <c r="S2220" i="52" s="1"/>
  <c r="Q2221" i="52" l="1"/>
  <c r="Q2222" i="52" s="1"/>
  <c r="R2221" i="52" l="1"/>
  <c r="S2221" i="52" s="1"/>
  <c r="R2222" i="52"/>
  <c r="S2222" i="52" s="1"/>
  <c r="Q2223" i="52"/>
  <c r="R2223" i="52" s="1"/>
  <c r="S2223" i="52" s="1"/>
  <c r="Q2224" i="52" l="1"/>
  <c r="R2224" i="52" s="1"/>
  <c r="S2224" i="52" s="1"/>
  <c r="Q2225" i="52" l="1"/>
  <c r="Q2226" i="52" s="1"/>
  <c r="R2226" i="52" l="1"/>
  <c r="S2226" i="52" s="1"/>
  <c r="Q2227" i="52"/>
  <c r="Q2228" i="52" s="1"/>
  <c r="R2225" i="52"/>
  <c r="S2225" i="52" s="1"/>
  <c r="R2227" i="52" l="1"/>
  <c r="S2227" i="52" s="1"/>
  <c r="R2228" i="52"/>
  <c r="S2228" i="52" s="1"/>
  <c r="Q2229" i="52"/>
  <c r="R2229" i="52" l="1"/>
  <c r="S2229" i="52" s="1"/>
  <c r="Q2230" i="52"/>
  <c r="R2230" i="52" l="1"/>
  <c r="S2230" i="52" s="1"/>
  <c r="Q2231" i="52"/>
  <c r="R2231" i="52" l="1"/>
  <c r="S2231" i="52" s="1"/>
  <c r="Q2232" i="52"/>
  <c r="R2232" i="52" l="1"/>
  <c r="S2232" i="52" s="1"/>
  <c r="Q2233" i="52"/>
  <c r="Q2234" i="52" s="1"/>
  <c r="R2233" i="52" l="1"/>
  <c r="S2233" i="52" s="1"/>
  <c r="R2234" i="52"/>
  <c r="S2234" i="52" s="1"/>
  <c r="Q2235" i="52"/>
  <c r="R2235" i="52" s="1"/>
  <c r="S2235" i="52" s="1"/>
  <c r="Q2236" i="52" l="1"/>
  <c r="R2236" i="52" s="1"/>
  <c r="S2236" i="52" s="1"/>
  <c r="Q2237" i="52" l="1"/>
  <c r="R2237" i="52" s="1"/>
  <c r="S2237" i="52" s="1"/>
  <c r="Q2238" i="52" l="1"/>
  <c r="R2238" i="52" s="1"/>
  <c r="S2238" i="52" s="1"/>
  <c r="Q2239" i="52" l="1"/>
  <c r="R2239" i="52" s="1"/>
  <c r="S2239" i="52" s="1"/>
  <c r="Q2240" i="52" l="1"/>
  <c r="Q2241" i="52" l="1"/>
  <c r="R2241" i="52" s="1"/>
  <c r="S2241" i="52" s="1"/>
  <c r="R2240" i="52"/>
  <c r="S2240" i="52" s="1"/>
  <c r="Q2242" i="52" l="1"/>
  <c r="Q2243" i="52" s="1"/>
  <c r="R2243" i="52" l="1"/>
  <c r="S2243" i="52" s="1"/>
  <c r="Q2244" i="52"/>
  <c r="R2242" i="52"/>
  <c r="S2242" i="52" s="1"/>
  <c r="R2244" i="52" l="1"/>
  <c r="S2244" i="52" s="1"/>
  <c r="Q2245" i="52"/>
  <c r="R2245" i="52" s="1"/>
  <c r="S2245" i="52" s="1"/>
  <c r="Q2246" i="52" l="1"/>
  <c r="Q2247" i="52" s="1"/>
  <c r="R2246" i="52" l="1"/>
  <c r="S2246" i="52" s="1"/>
  <c r="R2247" i="52"/>
  <c r="S2247" i="52" s="1"/>
  <c r="Q2248" i="52"/>
  <c r="R2248" i="52" l="1"/>
  <c r="S2248" i="52" s="1"/>
  <c r="Q2249" i="52"/>
  <c r="R2249" i="52" l="1"/>
  <c r="S2249" i="52" s="1"/>
  <c r="Q2250" i="52"/>
  <c r="R2250" i="52" s="1"/>
  <c r="S2250" i="52" s="1"/>
  <c r="Q2251" i="52" l="1"/>
  <c r="Q2252" i="52" s="1"/>
  <c r="R2251" i="52" l="1"/>
  <c r="S2251" i="52" s="1"/>
  <c r="R2252" i="52"/>
  <c r="S2252" i="52" s="1"/>
  <c r="Q2253" i="52"/>
  <c r="R2253" i="52" s="1"/>
  <c r="S2253" i="52" s="1"/>
  <c r="Q2254" i="52" l="1"/>
  <c r="Q2255" i="52" s="1"/>
  <c r="R2255" i="52" l="1"/>
  <c r="S2255" i="52" s="1"/>
  <c r="Q2256" i="52"/>
  <c r="R2254" i="52"/>
  <c r="S2254" i="52" s="1"/>
  <c r="R2256" i="52" l="1"/>
  <c r="S2256" i="52" s="1"/>
  <c r="Q2257" i="52"/>
  <c r="R2257" i="52" s="1"/>
  <c r="S2257" i="52" s="1"/>
  <c r="Q2258" i="52" l="1"/>
  <c r="Q2259" i="52" s="1"/>
  <c r="R2258" i="52" l="1"/>
  <c r="S2258" i="52" s="1"/>
  <c r="R2259" i="52"/>
  <c r="S2259" i="52" s="1"/>
  <c r="Q2260" i="52"/>
  <c r="R2260" i="52" l="1"/>
  <c r="S2260" i="52" s="1"/>
  <c r="Q2261" i="52"/>
  <c r="R2261" i="52" s="1"/>
  <c r="S2261" i="52" s="1"/>
  <c r="Q2262" i="52" l="1"/>
  <c r="Q2263" i="52" s="1"/>
  <c r="R2262" i="52" l="1"/>
  <c r="S2262" i="52" s="1"/>
  <c r="R2263" i="52"/>
  <c r="S2263" i="52" s="1"/>
  <c r="Q2264" i="52"/>
  <c r="R2264" i="52" l="1"/>
  <c r="S2264" i="52" s="1"/>
  <c r="Q2265" i="52"/>
  <c r="R2265" i="52" l="1"/>
  <c r="S2265" i="52" s="1"/>
  <c r="Q2266" i="52"/>
  <c r="R2266" i="52" l="1"/>
  <c r="S2266" i="52" s="1"/>
  <c r="Q2267" i="52"/>
  <c r="R2267" i="52" l="1"/>
  <c r="S2267" i="52" s="1"/>
  <c r="Q2268" i="52"/>
  <c r="Q2269" i="52" s="1"/>
  <c r="R2268" i="52" l="1"/>
  <c r="S2268" i="52" s="1"/>
  <c r="R2269" i="52"/>
  <c r="S2269" i="52" s="1"/>
  <c r="Q2270" i="52"/>
  <c r="Q2271" i="52" s="1"/>
  <c r="R2270" i="52" l="1"/>
  <c r="S2270" i="52" s="1"/>
  <c r="R2271" i="52"/>
  <c r="S2271" i="52" s="1"/>
  <c r="Q2272" i="52"/>
  <c r="R2272" i="52" l="1"/>
  <c r="S2272" i="52" s="1"/>
  <c r="Q2273" i="52"/>
  <c r="R2273" i="52" l="1"/>
  <c r="S2273" i="52" s="1"/>
  <c r="Q2274" i="52"/>
  <c r="R2274" i="52" l="1"/>
  <c r="S2274" i="52" s="1"/>
  <c r="Q2275" i="52"/>
  <c r="Q2276" i="52" s="1"/>
  <c r="R2275" i="52" l="1"/>
  <c r="S2275" i="52" s="1"/>
  <c r="R2276" i="52"/>
  <c r="S2276" i="52" s="1"/>
  <c r="Q2277" i="52"/>
  <c r="R2277" i="52" l="1"/>
  <c r="S2277" i="52" s="1"/>
  <c r="Q2278" i="52"/>
  <c r="R2278" i="52" s="1"/>
  <c r="S2278" i="52" s="1"/>
  <c r="Q2279" i="52" l="1"/>
  <c r="Q2280" i="52" s="1"/>
  <c r="R2279" i="52" l="1"/>
  <c r="S2279" i="52" s="1"/>
  <c r="R2280" i="52"/>
  <c r="S2280" i="52" s="1"/>
  <c r="Q2281" i="52"/>
  <c r="R2281" i="52" l="1"/>
  <c r="S2281" i="52" s="1"/>
  <c r="Q2282" i="52"/>
  <c r="R2282" i="52" s="1"/>
  <c r="S2282" i="52" s="1"/>
  <c r="Q2283" i="52" l="1"/>
  <c r="Q2284" i="52" s="1"/>
  <c r="R2283" i="52" l="1"/>
  <c r="S2283" i="52" s="1"/>
  <c r="R2284" i="52"/>
  <c r="S2284" i="52" s="1"/>
  <c r="Q2285" i="52"/>
  <c r="R2285" i="52" l="1"/>
  <c r="S2285" i="52" s="1"/>
  <c r="Q2286" i="52"/>
  <c r="R2286" i="52" l="1"/>
  <c r="S2286" i="52" s="1"/>
  <c r="Q2287" i="52"/>
  <c r="R2287" i="52" l="1"/>
  <c r="S2287" i="52" s="1"/>
  <c r="Q2288" i="52"/>
  <c r="R2288" i="52" l="1"/>
  <c r="S2288" i="52" s="1"/>
  <c r="Q2289" i="52"/>
  <c r="R2289" i="52" l="1"/>
  <c r="S2289" i="52" s="1"/>
  <c r="Q2290" i="52"/>
  <c r="R2290" i="52" l="1"/>
  <c r="S2290" i="52" s="1"/>
  <c r="Q2291" i="52"/>
  <c r="R2291" i="52" l="1"/>
  <c r="S2291" i="52" s="1"/>
  <c r="Q2292" i="52"/>
  <c r="R2292" i="52" l="1"/>
  <c r="S2292" i="52" s="1"/>
  <c r="Q2293" i="52"/>
  <c r="R2293" i="52" l="1"/>
  <c r="S2293" i="52" s="1"/>
  <c r="Q2294" i="52"/>
  <c r="R2294" i="52" l="1"/>
  <c r="S2294" i="52" s="1"/>
  <c r="Q2295" i="52"/>
  <c r="Q2296" i="52" s="1"/>
  <c r="R2295" i="52" l="1"/>
  <c r="S2295" i="52" s="1"/>
  <c r="R2296" i="52"/>
  <c r="S2296" i="52" s="1"/>
  <c r="Q2297" i="52"/>
  <c r="R2297" i="52" l="1"/>
  <c r="S2297" i="52" s="1"/>
  <c r="Q2298" i="52"/>
  <c r="R2298" i="52" l="1"/>
  <c r="S2298" i="52" s="1"/>
  <c r="Q2299" i="52"/>
  <c r="R2299" i="52" l="1"/>
  <c r="S2299" i="52" s="1"/>
  <c r="Q2300" i="52"/>
  <c r="Q2301" i="52" s="1"/>
  <c r="R2301" i="52" l="1"/>
  <c r="S2301" i="52" s="1"/>
  <c r="Q2302" i="52"/>
  <c r="R2300" i="52"/>
  <c r="S2300" i="52" s="1"/>
  <c r="R2302" i="52" l="1"/>
  <c r="S2302" i="52" s="1"/>
  <c r="Q2303" i="52"/>
  <c r="R2303" i="52" l="1"/>
  <c r="S2303" i="52" s="1"/>
  <c r="Q2304" i="52"/>
  <c r="Q2305" i="52" s="1"/>
  <c r="R2304" i="52" l="1"/>
  <c r="S2304" i="52" s="1"/>
  <c r="R2305" i="52"/>
  <c r="S2305" i="52" s="1"/>
  <c r="Q2306" i="52"/>
  <c r="Q2307" i="52" s="1"/>
  <c r="R2306" i="52" l="1"/>
  <c r="S2306" i="52" s="1"/>
  <c r="R2307" i="52"/>
  <c r="S2307" i="52" s="1"/>
  <c r="Q2308" i="52"/>
  <c r="R2308" i="52" s="1"/>
  <c r="S2308" i="52" s="1"/>
  <c r="Q2309" i="52" l="1"/>
  <c r="Q2310" i="52" s="1"/>
  <c r="R2310" i="52" l="1"/>
  <c r="S2310" i="52" s="1"/>
  <c r="Q2311" i="52"/>
  <c r="R2309" i="52"/>
  <c r="S2309" i="52" s="1"/>
  <c r="R2311" i="52" l="1"/>
  <c r="S2311" i="52" s="1"/>
  <c r="Q2312" i="52"/>
  <c r="R2312" i="52" l="1"/>
  <c r="S2312" i="52" s="1"/>
  <c r="Q2313" i="52"/>
  <c r="R2313" i="52" l="1"/>
  <c r="S2313" i="52" s="1"/>
  <c r="Q2314" i="52"/>
  <c r="R2314" i="52" s="1"/>
  <c r="S2314" i="52" s="1"/>
  <c r="Q2315" i="52" l="1"/>
  <c r="Q2316" i="52" l="1"/>
  <c r="Q2317" i="52" s="1"/>
  <c r="R2315" i="52"/>
  <c r="S2315" i="52" s="1"/>
  <c r="R2316" i="52" l="1"/>
  <c r="S2316" i="52" s="1"/>
  <c r="R2317" i="52"/>
  <c r="S2317" i="52" s="1"/>
  <c r="Q2318" i="52"/>
  <c r="R2318" i="52" l="1"/>
  <c r="S2318" i="52" s="1"/>
  <c r="Q2319" i="52"/>
  <c r="R2319" i="52" l="1"/>
  <c r="S2319" i="52" s="1"/>
  <c r="Q2320" i="52"/>
  <c r="R2320" i="52" l="1"/>
  <c r="S2320" i="52" s="1"/>
  <c r="Q2321" i="52"/>
  <c r="Q2322" i="52" s="1"/>
  <c r="R2321" i="52" l="1"/>
  <c r="S2321" i="52" s="1"/>
  <c r="R2322" i="52"/>
  <c r="S2322" i="52" s="1"/>
  <c r="Q2323" i="52"/>
  <c r="R2323" i="52" l="1"/>
  <c r="S2323" i="52" s="1"/>
  <c r="Q2324" i="52"/>
  <c r="R2324" i="52" l="1"/>
  <c r="S2324" i="52" s="1"/>
  <c r="Q2325" i="52"/>
  <c r="R2325" i="52" l="1"/>
  <c r="S2325" i="52" s="1"/>
  <c r="Q2326" i="52"/>
  <c r="Q2327" i="52" s="1"/>
  <c r="R2326" i="52" l="1"/>
  <c r="S2326" i="52" s="1"/>
  <c r="R2327" i="52"/>
  <c r="S2327" i="52" s="1"/>
  <c r="Q2328" i="52"/>
  <c r="R2328" i="52" l="1"/>
  <c r="S2328" i="52" s="1"/>
  <c r="Q2329" i="52"/>
  <c r="R2329" i="52" l="1"/>
  <c r="S2329" i="52" s="1"/>
  <c r="Q2330" i="52"/>
  <c r="R2330" i="52" l="1"/>
  <c r="S2330" i="52" s="1"/>
  <c r="Q2331" i="52"/>
  <c r="R2331" i="52" l="1"/>
  <c r="S2331" i="52" s="1"/>
  <c r="Q2332" i="52"/>
  <c r="R2332" i="52" l="1"/>
  <c r="S2332" i="52" s="1"/>
  <c r="Q2333" i="52"/>
  <c r="R2333" i="52" s="1"/>
  <c r="S2333" i="52" s="1"/>
  <c r="Q2334" i="52" l="1"/>
  <c r="Q2335" i="52" s="1"/>
  <c r="R2334" i="52" l="1"/>
  <c r="S2334" i="52" s="1"/>
  <c r="R2335" i="52"/>
  <c r="S2335" i="52" s="1"/>
  <c r="Q2336" i="52"/>
  <c r="R2336" i="52" s="1"/>
  <c r="S2336" i="52" s="1"/>
  <c r="Q2337" i="52" l="1"/>
  <c r="Q2338" i="52" s="1"/>
  <c r="R2338" i="52" l="1"/>
  <c r="S2338" i="52" s="1"/>
  <c r="Q2339" i="52"/>
  <c r="R2339" i="52" s="1"/>
  <c r="S2339" i="52" s="1"/>
  <c r="R2337" i="52"/>
  <c r="S2337" i="52" s="1"/>
  <c r="Q2340" i="52" l="1"/>
  <c r="Q2341" i="52" s="1"/>
  <c r="R2340" i="52" l="1"/>
  <c r="S2340" i="52" s="1"/>
  <c r="R2341" i="52"/>
  <c r="S2341" i="52" s="1"/>
  <c r="Q2342" i="52"/>
  <c r="R2342" i="52" s="1"/>
  <c r="S2342" i="52" s="1"/>
  <c r="Q2343" i="52" l="1"/>
  <c r="Q2344" i="52" s="1"/>
  <c r="R2343" i="52" l="1"/>
  <c r="S2343" i="52" s="1"/>
  <c r="R2344" i="52"/>
  <c r="S2344" i="52" s="1"/>
  <c r="Q2345" i="52"/>
  <c r="Q2346" i="52" l="1"/>
  <c r="R2346" i="52" s="1"/>
  <c r="S2346" i="52" s="1"/>
  <c r="R2345" i="52"/>
  <c r="S2345" i="52" s="1"/>
  <c r="Q2347" i="52" l="1"/>
  <c r="Q2348" i="52" s="1"/>
  <c r="R2347" i="52" l="1"/>
  <c r="S2347" i="52" s="1"/>
  <c r="R2348" i="52"/>
  <c r="S2348" i="52" s="1"/>
  <c r="Q2349" i="52"/>
  <c r="R2349" i="52" s="1"/>
  <c r="S2349" i="52" s="1"/>
  <c r="Q2350" i="52" l="1"/>
  <c r="R2350" i="52" s="1"/>
  <c r="S2350" i="52" s="1"/>
  <c r="Q2351" i="52" l="1"/>
  <c r="Q2352" i="52" l="1"/>
  <c r="Q2353" i="52" s="1"/>
  <c r="R2351" i="52"/>
  <c r="S2351" i="52" s="1"/>
  <c r="R2352" i="52" l="1"/>
  <c r="S2352" i="52" s="1"/>
  <c r="R2353" i="52"/>
  <c r="S2353" i="52" s="1"/>
  <c r="Q2354" i="52"/>
  <c r="R2354" i="52" l="1"/>
  <c r="S2354" i="52" s="1"/>
  <c r="Q2355" i="52"/>
  <c r="Q2356" i="52" s="1"/>
  <c r="R2356" i="52" l="1"/>
  <c r="S2356" i="52" s="1"/>
  <c r="Q2357" i="52"/>
  <c r="R2355" i="52"/>
  <c r="S2355" i="52" s="1"/>
  <c r="R2357" i="52" l="1"/>
  <c r="S2357" i="52" s="1"/>
  <c r="Q2358" i="52"/>
  <c r="R2358" i="52" l="1"/>
  <c r="S2358" i="52" s="1"/>
  <c r="Q2359" i="52"/>
  <c r="Q2360" i="52" s="1"/>
  <c r="R2359" i="52" l="1"/>
  <c r="S2359" i="52" s="1"/>
  <c r="R2360" i="52"/>
  <c r="S2360" i="52" s="1"/>
  <c r="Q2361" i="52"/>
  <c r="R2361" i="52" l="1"/>
  <c r="S2361" i="52" s="1"/>
  <c r="Q2362" i="52"/>
  <c r="R2362" i="52" l="1"/>
  <c r="S2362" i="52" s="1"/>
  <c r="Q2363" i="52"/>
  <c r="R2363" i="52" l="1"/>
  <c r="S2363" i="52" s="1"/>
  <c r="Q2364" i="52"/>
  <c r="R2364" i="52" l="1"/>
  <c r="S2364" i="52" s="1"/>
  <c r="Q2365" i="52"/>
  <c r="R2365" i="52" l="1"/>
  <c r="S2365" i="52" s="1"/>
  <c r="Q2366" i="52"/>
  <c r="Q2367" i="52" s="1"/>
  <c r="R2366" i="52" l="1"/>
  <c r="S2366" i="52" s="1"/>
  <c r="R2367" i="52"/>
  <c r="S2367" i="52" s="1"/>
  <c r="Q2368" i="52"/>
  <c r="Q2369" i="52" s="1"/>
  <c r="R2368" i="52" l="1"/>
  <c r="S2368" i="52" s="1"/>
  <c r="R2369" i="52"/>
  <c r="S2369" i="52" s="1"/>
  <c r="Q2370" i="52"/>
  <c r="R2370" i="52" l="1"/>
  <c r="S2370" i="52" s="1"/>
  <c r="Q2371" i="52"/>
  <c r="R2371" i="52" l="1"/>
  <c r="S2371" i="52" s="1"/>
  <c r="Q2372" i="52"/>
  <c r="R2372" i="52" l="1"/>
  <c r="S2372" i="52" s="1"/>
  <c r="Q2373" i="52"/>
  <c r="Q2374" i="52" s="1"/>
  <c r="R2373" i="52" l="1"/>
  <c r="S2373" i="52" s="1"/>
  <c r="R2374" i="52"/>
  <c r="S2374" i="52" s="1"/>
  <c r="Q2375" i="52"/>
  <c r="R2375" i="52" l="1"/>
  <c r="S2375" i="52" s="1"/>
  <c r="Q2376" i="52"/>
  <c r="R2376" i="52" l="1"/>
  <c r="S2376" i="52" s="1"/>
  <c r="Q2377" i="52"/>
  <c r="R2377" i="52" l="1"/>
  <c r="S2377" i="52" s="1"/>
  <c r="Q2378" i="52"/>
  <c r="R2378" i="52" l="1"/>
  <c r="S2378" i="52" s="1"/>
  <c r="Q2379" i="52"/>
  <c r="R2379" i="52" l="1"/>
  <c r="S2379" i="52" s="1"/>
  <c r="Q2380" i="52"/>
  <c r="R2380" i="52" l="1"/>
  <c r="S2380" i="52" s="1"/>
  <c r="Q2381" i="52"/>
  <c r="R2381" i="52" l="1"/>
  <c r="S2381" i="52" s="1"/>
  <c r="Q2382" i="52"/>
  <c r="R2382" i="52" l="1"/>
  <c r="S2382" i="52" s="1"/>
  <c r="Q2383" i="52"/>
  <c r="R2383" i="52" l="1"/>
  <c r="S2383" i="52" s="1"/>
  <c r="Q2384" i="52"/>
  <c r="R2384" i="52" l="1"/>
  <c r="S2384" i="52" s="1"/>
  <c r="Q2385" i="52"/>
  <c r="R2385" i="52" l="1"/>
  <c r="S2385" i="52" s="1"/>
  <c r="Q2386" i="52"/>
  <c r="Q2387" i="52" s="1"/>
  <c r="R2386" i="52" l="1"/>
  <c r="S2386" i="52" s="1"/>
  <c r="R2387" i="52"/>
  <c r="S2387" i="52" s="1"/>
  <c r="Q2388" i="52"/>
  <c r="Q2389" i="52" l="1"/>
  <c r="Q2390" i="52" s="1"/>
  <c r="R2388" i="52"/>
  <c r="S2388" i="52" s="1"/>
  <c r="R2389" i="52" l="1"/>
  <c r="S2389" i="52" s="1"/>
  <c r="R2390" i="52"/>
  <c r="S2390" i="52" s="1"/>
  <c r="Q2391" i="52"/>
  <c r="Q2392" i="52" s="1"/>
  <c r="R2391" i="52" l="1"/>
  <c r="S2391" i="52" s="1"/>
  <c r="R2392" i="52"/>
  <c r="S2392" i="52" s="1"/>
  <c r="Q2393" i="52"/>
  <c r="R2393" i="52" l="1"/>
  <c r="S2393" i="52" s="1"/>
  <c r="Q2394" i="52"/>
  <c r="R2394" i="52" l="1"/>
  <c r="S2394" i="52" s="1"/>
  <c r="Q2395" i="52"/>
  <c r="R2395" i="52" l="1"/>
  <c r="S2395" i="52" s="1"/>
  <c r="Q2396" i="52"/>
  <c r="R2396" i="52" l="1"/>
  <c r="S2396" i="52" s="1"/>
  <c r="Q2397" i="52"/>
  <c r="R2397" i="52" l="1"/>
  <c r="S2397" i="52" s="1"/>
  <c r="Q2398" i="52"/>
  <c r="R2398" i="52" l="1"/>
  <c r="S2398" i="52" s="1"/>
  <c r="Q2399" i="52"/>
  <c r="R2399" i="52" l="1"/>
  <c r="S2399" i="52" s="1"/>
  <c r="Q2400" i="52"/>
  <c r="R2400" i="52" l="1"/>
  <c r="S2400" i="52" s="1"/>
  <c r="Q2401" i="52"/>
  <c r="Q2402" i="52" s="1"/>
  <c r="R2401" i="52" l="1"/>
  <c r="S2401" i="52" s="1"/>
  <c r="R2402" i="52"/>
  <c r="S2402" i="52" s="1"/>
  <c r="Q2403" i="52"/>
  <c r="R2403" i="52" l="1"/>
  <c r="S2403" i="52" s="1"/>
  <c r="Q2404" i="52"/>
  <c r="R2404" i="52" s="1"/>
  <c r="S2404" i="52" s="1"/>
  <c r="Q2405" i="52" l="1"/>
  <c r="Q2406" i="52" s="1"/>
  <c r="R2405" i="52" l="1"/>
  <c r="S2405" i="52" s="1"/>
  <c r="R2406" i="52"/>
  <c r="S2406" i="52" s="1"/>
  <c r="Q2407" i="52"/>
  <c r="Q2408" i="52" s="1"/>
  <c r="R2407" i="52" l="1"/>
  <c r="S2407" i="52" s="1"/>
  <c r="R2408" i="52"/>
  <c r="S2408" i="52" s="1"/>
  <c r="Q2409" i="52"/>
  <c r="Q2410" i="52" s="1"/>
  <c r="R2409" i="52" l="1"/>
  <c r="S2409" i="52" s="1"/>
  <c r="R2410" i="52"/>
  <c r="S2410" i="52" s="1"/>
  <c r="Q2411" i="52"/>
  <c r="R2411" i="52" s="1"/>
  <c r="S2411" i="52" s="1"/>
  <c r="Q2412" i="52" l="1"/>
  <c r="Q2413" i="52" s="1"/>
  <c r="R2412" i="52" l="1"/>
  <c r="S2412" i="52" s="1"/>
  <c r="R2413" i="52"/>
  <c r="S2413" i="52" s="1"/>
  <c r="Q2414" i="52"/>
  <c r="R2414" i="52" s="1"/>
  <c r="S2414" i="52" s="1"/>
  <c r="Q2415" i="52" l="1"/>
  <c r="Q2416" i="52" s="1"/>
  <c r="R2415" i="52" l="1"/>
  <c r="S2415" i="52" s="1"/>
  <c r="R2416" i="52"/>
  <c r="S2416" i="52" s="1"/>
  <c r="Q2417" i="52"/>
  <c r="R2417" i="52" s="1"/>
  <c r="S2417" i="52" s="1"/>
  <c r="Q2418" i="52" l="1"/>
  <c r="Q2419" i="52" s="1"/>
  <c r="R2418" i="52" l="1"/>
  <c r="S2418" i="52" s="1"/>
  <c r="R2419" i="52"/>
  <c r="S2419" i="52" s="1"/>
  <c r="Q2420" i="52"/>
  <c r="R2420" i="52" l="1"/>
  <c r="S2420" i="52" s="1"/>
  <c r="Q2421" i="52"/>
  <c r="R2421" i="52" l="1"/>
  <c r="S2421" i="52" s="1"/>
  <c r="Q2422" i="52"/>
  <c r="R2422" i="52" l="1"/>
  <c r="S2422" i="52" s="1"/>
  <c r="Q2423" i="52"/>
  <c r="R2423" i="52" s="1"/>
  <c r="S2423" i="52" s="1"/>
  <c r="Q2424" i="52" l="1"/>
  <c r="Q2425" i="52" s="1"/>
  <c r="R2424" i="52" l="1"/>
  <c r="S2424" i="52" s="1"/>
  <c r="R2425" i="52"/>
  <c r="S2425" i="52" s="1"/>
  <c r="Q2426" i="52"/>
  <c r="R2426" i="52" l="1"/>
  <c r="S2426" i="52" s="1"/>
  <c r="Q2427" i="52"/>
  <c r="R2427" i="52" l="1"/>
  <c r="S2427" i="52" s="1"/>
  <c r="Q2428" i="52"/>
  <c r="R2428" i="52" l="1"/>
  <c r="S2428" i="52" s="1"/>
  <c r="Q2429" i="52"/>
  <c r="R2429" i="52" l="1"/>
  <c r="S2429" i="52" s="1"/>
  <c r="Q2430" i="52"/>
  <c r="Q2431" i="52" s="1"/>
  <c r="R2430" i="52" l="1"/>
  <c r="S2430" i="52" s="1"/>
  <c r="R2431" i="52"/>
  <c r="S2431" i="52" s="1"/>
  <c r="Q2432" i="52"/>
  <c r="R2432" i="52" s="1"/>
  <c r="S2432" i="52" s="1"/>
  <c r="Q2433" i="52" l="1"/>
  <c r="Q2434" i="52" s="1"/>
  <c r="R2433" i="52" l="1"/>
  <c r="S2433" i="52" s="1"/>
  <c r="R2434" i="52"/>
  <c r="S2434" i="52" s="1"/>
  <c r="Q2435" i="52"/>
  <c r="R2435" i="52" l="1"/>
  <c r="S2435" i="52" s="1"/>
  <c r="Q2436" i="52"/>
  <c r="R2436" i="52" s="1"/>
  <c r="S2436" i="52" s="1"/>
  <c r="Q2437" i="52" l="1"/>
  <c r="Q2438" i="52" s="1"/>
  <c r="R2437" i="52" l="1"/>
  <c r="S2437" i="52" s="1"/>
  <c r="R2438" i="52"/>
  <c r="S2438" i="52" s="1"/>
  <c r="Q2439" i="52"/>
  <c r="Q2440" i="52" s="1"/>
  <c r="R2439" i="52" l="1"/>
  <c r="S2439" i="52" s="1"/>
  <c r="R2440" i="52"/>
  <c r="S2440" i="52" s="1"/>
  <c r="Q2441" i="52"/>
  <c r="R2441" i="52" l="1"/>
  <c r="S2441" i="52" s="1"/>
  <c r="Q2442" i="52"/>
  <c r="R2442" i="52" s="1"/>
  <c r="S2442" i="52" s="1"/>
  <c r="Q2443" i="52" l="1"/>
  <c r="Q2444" i="52" s="1"/>
  <c r="R2443" i="52" l="1"/>
  <c r="S2443" i="52" s="1"/>
  <c r="R2444" i="52"/>
  <c r="S2444" i="52" s="1"/>
  <c r="Q2445" i="52"/>
  <c r="R2445" i="52" l="1"/>
  <c r="S2445" i="52" s="1"/>
  <c r="Q2446" i="52"/>
  <c r="R2446" i="52" l="1"/>
  <c r="S2446" i="52" s="1"/>
  <c r="Q2447" i="52"/>
  <c r="R2447" i="52" l="1"/>
  <c r="S2447" i="52" s="1"/>
  <c r="Q2448" i="52"/>
  <c r="R2448" i="52" s="1"/>
  <c r="S2448" i="52" s="1"/>
  <c r="Q2449" i="52" l="1"/>
  <c r="Q2450" i="52" s="1"/>
  <c r="R2450" i="52" l="1"/>
  <c r="S2450" i="52" s="1"/>
  <c r="Q2451" i="52"/>
  <c r="R2449" i="52"/>
  <c r="S2449" i="52" s="1"/>
  <c r="R2451" i="52" l="1"/>
  <c r="S2451" i="52" s="1"/>
  <c r="Q2452" i="52"/>
  <c r="R2452" i="52" l="1"/>
  <c r="S2452" i="52" s="1"/>
  <c r="Q2453" i="52"/>
  <c r="R2453" i="52" l="1"/>
  <c r="S2453" i="52" s="1"/>
  <c r="Q2454" i="52"/>
  <c r="R2454" i="52" l="1"/>
  <c r="S2454" i="52" s="1"/>
  <c r="Q2455" i="52"/>
  <c r="R2455" i="52" l="1"/>
  <c r="S2455" i="52" s="1"/>
  <c r="Q2456" i="52"/>
  <c r="R2456" i="52" l="1"/>
  <c r="S2456" i="52" s="1"/>
  <c r="Q2457" i="52"/>
  <c r="R2457" i="52" l="1"/>
  <c r="S2457" i="52" s="1"/>
  <c r="Q2458" i="52"/>
  <c r="R2458" i="52" l="1"/>
  <c r="S2458" i="52" s="1"/>
  <c r="Q2459" i="52"/>
  <c r="R2459" i="52" l="1"/>
  <c r="S2459" i="52" s="1"/>
  <c r="Q2460" i="52"/>
  <c r="R2460" i="52" l="1"/>
  <c r="S2460" i="52" s="1"/>
  <c r="Q2461" i="52"/>
  <c r="Q2462" i="52" s="1"/>
  <c r="R2461" i="52" l="1"/>
  <c r="S2461" i="52" s="1"/>
  <c r="R2462" i="52"/>
  <c r="S2462" i="52" s="1"/>
  <c r="Q2463" i="52"/>
  <c r="R2463" i="52" l="1"/>
  <c r="S2463" i="52" s="1"/>
  <c r="Q2464" i="52"/>
  <c r="R2464" i="52" l="1"/>
  <c r="S2464" i="52" s="1"/>
  <c r="Q2465" i="52"/>
  <c r="R2465" i="52" l="1"/>
  <c r="S2465" i="52" s="1"/>
  <c r="Q2466" i="52"/>
  <c r="Q2467" i="52" s="1"/>
  <c r="R2466" i="52" l="1"/>
  <c r="S2466" i="52" s="1"/>
  <c r="R2467" i="52"/>
  <c r="S2467" i="52" s="1"/>
  <c r="Q2468" i="52"/>
  <c r="Q2469" i="52" s="1"/>
  <c r="R2468" i="52" l="1"/>
  <c r="S2468" i="52" s="1"/>
  <c r="R2469" i="52"/>
  <c r="S2469" i="52" s="1"/>
  <c r="Q2470" i="52"/>
  <c r="R2470" i="52" l="1"/>
  <c r="S2470" i="52" s="1"/>
  <c r="Q2471" i="52"/>
  <c r="R2471" i="52" l="1"/>
  <c r="S2471" i="52" s="1"/>
  <c r="Q2472" i="52"/>
  <c r="R2472" i="52" l="1"/>
  <c r="S2472" i="52" s="1"/>
  <c r="Q2473" i="52"/>
  <c r="R2473" i="52" s="1"/>
  <c r="S2473" i="52" s="1"/>
  <c r="Q2474" i="52" l="1"/>
  <c r="R2474" i="52" s="1"/>
  <c r="S2474" i="52" s="1"/>
  <c r="Q2475" i="52" l="1"/>
  <c r="R2475" i="52" s="1"/>
  <c r="S2475" i="52" s="1"/>
  <c r="Q2476" i="52" l="1"/>
  <c r="Q2477" i="52" s="1"/>
  <c r="R2476" i="52" l="1"/>
  <c r="S2476" i="52" s="1"/>
  <c r="R2477" i="52"/>
  <c r="S2477" i="52" s="1"/>
  <c r="Q2478" i="52"/>
  <c r="Q2479" i="52" s="1"/>
  <c r="R2478" i="52" l="1"/>
  <c r="S2478" i="52" s="1"/>
  <c r="R2479" i="52"/>
  <c r="S2479" i="52" s="1"/>
  <c r="Q2480" i="52"/>
  <c r="R2480" i="52" s="1"/>
  <c r="S2480" i="52" s="1"/>
  <c r="Q2481" i="52" l="1"/>
  <c r="R2481" i="52" s="1"/>
  <c r="S2481" i="52" s="1"/>
  <c r="Q2482" i="52" l="1"/>
  <c r="Q2483" i="52" s="1"/>
  <c r="R2483" i="52" l="1"/>
  <c r="S2483" i="52" s="1"/>
  <c r="Q2484" i="52"/>
  <c r="Q2485" i="52" s="1"/>
  <c r="R2482" i="52"/>
  <c r="S2482" i="52" s="1"/>
  <c r="R2484" i="52" l="1"/>
  <c r="S2484" i="52" s="1"/>
  <c r="R2485" i="52"/>
  <c r="S2485" i="52" s="1"/>
  <c r="Q2486" i="52"/>
  <c r="Q2487" i="52" s="1"/>
  <c r="R2486" i="52" l="1"/>
  <c r="S2486" i="52" s="1"/>
  <c r="R2487" i="52"/>
  <c r="S2487" i="52" s="1"/>
  <c r="Q2488" i="52"/>
  <c r="R2488" i="52" s="1"/>
  <c r="S2488" i="52" s="1"/>
  <c r="Q2489" i="52" l="1"/>
  <c r="Q2490" i="52" l="1"/>
  <c r="R2490" i="52" s="1"/>
  <c r="S2490" i="52" s="1"/>
  <c r="R2489" i="52"/>
  <c r="S2489" i="52" s="1"/>
  <c r="Q2491" i="52" l="1"/>
  <c r="Q2492" i="52" l="1"/>
  <c r="Q2493" i="52" s="1"/>
  <c r="R2491" i="52"/>
  <c r="S2491" i="52" s="1"/>
  <c r="R2493" i="52" l="1"/>
  <c r="S2493" i="52" s="1"/>
  <c r="Q2494" i="52"/>
  <c r="Q2495" i="52" s="1"/>
  <c r="R2492" i="52"/>
  <c r="S2492" i="52" s="1"/>
  <c r="R2494" i="52" l="1"/>
  <c r="S2494" i="52" s="1"/>
  <c r="R2495" i="52"/>
  <c r="S2495" i="52" s="1"/>
  <c r="Q2496" i="52"/>
  <c r="Q2497" i="52" s="1"/>
  <c r="R2496" i="52" l="1"/>
  <c r="S2496" i="52" s="1"/>
  <c r="R2497" i="52"/>
  <c r="S2497" i="52" s="1"/>
  <c r="Q2498" i="52"/>
  <c r="R2498" i="52" s="1"/>
  <c r="S2498" i="52" s="1"/>
  <c r="Q2499" i="52" l="1"/>
  <c r="R2499" i="52" s="1"/>
  <c r="S2499" i="52" s="1"/>
  <c r="Q2500" i="52" l="1"/>
  <c r="Q2501" i="52" s="1"/>
  <c r="R2500" i="52" l="1"/>
  <c r="S2500" i="52" s="1"/>
  <c r="R2501" i="52"/>
  <c r="S2501" i="52" s="1"/>
  <c r="Q2502" i="52"/>
  <c r="R2502" i="52" s="1"/>
  <c r="S2502" i="52" s="1"/>
  <c r="Q2503" i="52" l="1"/>
  <c r="R2503" i="52" s="1"/>
  <c r="S2503" i="52" s="1"/>
  <c r="Q2504" i="52" l="1"/>
  <c r="Q2505" i="52" s="1"/>
  <c r="R2504" i="52" l="1"/>
  <c r="S2504" i="52" s="1"/>
  <c r="R2505" i="52"/>
  <c r="S2505" i="52" s="1"/>
  <c r="Q2506" i="52"/>
  <c r="Q2507" i="52" s="1"/>
  <c r="R2506" i="52" l="1"/>
  <c r="S2506" i="52" s="1"/>
  <c r="R2507" i="52"/>
  <c r="S2507" i="52" s="1"/>
  <c r="Q2508" i="52"/>
  <c r="Q2509" i="52" s="1"/>
  <c r="R2509" i="52" l="1"/>
  <c r="S2509" i="52" s="1"/>
  <c r="Q2510" i="52"/>
  <c r="Q2511" i="52" s="1"/>
  <c r="R2508" i="52"/>
  <c r="S2508" i="52" s="1"/>
  <c r="R2510" i="52" l="1"/>
  <c r="S2510" i="52" s="1"/>
  <c r="R2511" i="52"/>
  <c r="S2511" i="52" s="1"/>
  <c r="Q2512" i="52"/>
  <c r="Q2513" i="52" s="1"/>
  <c r="R2512" i="52" l="1"/>
  <c r="S2512" i="52" s="1"/>
  <c r="R2513" i="52"/>
  <c r="S2513" i="52" s="1"/>
  <c r="Q2514" i="52"/>
  <c r="Q2515" i="52" s="1"/>
  <c r="R2514" i="52" l="1"/>
  <c r="S2514" i="52" s="1"/>
  <c r="R2515" i="52"/>
  <c r="S2515" i="52" s="1"/>
  <c r="Q2516" i="52"/>
  <c r="R2516" i="52" s="1"/>
  <c r="S2516" i="52" s="1"/>
  <c r="Q2517" i="52" l="1"/>
  <c r="R2517" i="52" s="1"/>
  <c r="S2517" i="52" s="1"/>
  <c r="Q2518" i="52" l="1"/>
  <c r="Q2519" i="52" s="1"/>
  <c r="R2518" i="52" l="1"/>
  <c r="S2518" i="52" s="1"/>
  <c r="R2519" i="52"/>
  <c r="S2519" i="52" s="1"/>
  <c r="Q2520" i="52"/>
  <c r="Q2521" i="52" s="1"/>
  <c r="R2521" i="52" l="1"/>
  <c r="S2521" i="52" s="1"/>
  <c r="Q2522" i="52"/>
  <c r="Q2523" i="52" s="1"/>
  <c r="R2520" i="52"/>
  <c r="S2520" i="52" s="1"/>
  <c r="R2522" i="52" l="1"/>
  <c r="S2522" i="52" s="1"/>
  <c r="R2523" i="52"/>
  <c r="S2523" i="52" s="1"/>
  <c r="Q2524" i="52"/>
  <c r="R2524" i="52" s="1"/>
  <c r="S2524" i="52" s="1"/>
  <c r="Q2525" i="52" l="1"/>
  <c r="R2525" i="52" s="1"/>
  <c r="S2525" i="52" s="1"/>
  <c r="Q2526" i="52" l="1"/>
  <c r="Q2527" i="52" s="1"/>
  <c r="R2526" i="52" l="1"/>
  <c r="S2526" i="52" s="1"/>
  <c r="R2527" i="52"/>
  <c r="S2527" i="52" s="1"/>
  <c r="Q2528" i="52"/>
  <c r="R2528" i="52" s="1"/>
  <c r="S2528" i="52" s="1"/>
  <c r="Q2529" i="52" l="1"/>
  <c r="R2529" i="52" s="1"/>
  <c r="S2529" i="52" s="1"/>
  <c r="Q2530" i="52" l="1"/>
  <c r="Q2531" i="52" l="1"/>
  <c r="R2530" i="52"/>
  <c r="S2530" i="52" s="1"/>
  <c r="Q2532" i="52" l="1"/>
  <c r="Q2533" i="52" s="1"/>
  <c r="R2531" i="52"/>
  <c r="S2531" i="52" s="1"/>
  <c r="R2532" i="52" l="1"/>
  <c r="S2532" i="52" s="1"/>
  <c r="R2533" i="52"/>
  <c r="S2533" i="52" s="1"/>
  <c r="Q2534" i="52"/>
  <c r="Q2535" i="52" s="1"/>
  <c r="R2534" i="52" l="1"/>
  <c r="S2534" i="52" s="1"/>
  <c r="R2535" i="52"/>
  <c r="S2535" i="52" s="1"/>
  <c r="Q2536" i="52"/>
  <c r="R2536" i="52" l="1"/>
  <c r="S2536" i="52" s="1"/>
  <c r="Q2537" i="52"/>
  <c r="R2537" i="52" l="1"/>
  <c r="S2537" i="52" s="1"/>
  <c r="Q2538" i="52"/>
  <c r="R2538" i="52" s="1"/>
  <c r="S2538" i="52" s="1"/>
  <c r="Q2539" i="52" l="1"/>
  <c r="R2539" i="52" s="1"/>
  <c r="S2539" i="52" s="1"/>
  <c r="Q2540" i="52" l="1"/>
  <c r="R2540" i="52" s="1"/>
  <c r="S2540" i="52" s="1"/>
  <c r="Q2541" i="52" l="1"/>
  <c r="R2541" i="52" s="1"/>
  <c r="S2541" i="52" s="1"/>
  <c r="Q2542" i="52" l="1"/>
  <c r="R2542" i="52" s="1"/>
  <c r="S2542" i="52" s="1"/>
  <c r="Q2543" i="52" l="1"/>
  <c r="R2543" i="52" s="1"/>
  <c r="S2543" i="52" s="1"/>
  <c r="Q2544" i="52" l="1"/>
  <c r="Q2545" i="52" s="1"/>
  <c r="R2545" i="52" l="1"/>
  <c r="S2545" i="52" s="1"/>
  <c r="Q2546" i="52"/>
  <c r="R2546" i="52" s="1"/>
  <c r="S2546" i="52" s="1"/>
  <c r="R2544" i="52"/>
  <c r="S2544" i="52" s="1"/>
  <c r="Q2547" i="52" l="1"/>
  <c r="R2547" i="52" s="1"/>
  <c r="S2547" i="52" s="1"/>
  <c r="Q2548" i="52" l="1"/>
  <c r="Q2549" i="52" s="1"/>
  <c r="R2548" i="52" l="1"/>
  <c r="S2548" i="52" s="1"/>
  <c r="R2549" i="52"/>
  <c r="S2549" i="52" s="1"/>
  <c r="Q2550" i="52"/>
  <c r="Q2551" i="52" s="1"/>
  <c r="R2551" i="52" l="1"/>
  <c r="S2551" i="52" s="1"/>
  <c r="Q2552" i="52"/>
  <c r="Q2553" i="52" s="1"/>
  <c r="R2550" i="52"/>
  <c r="S2550" i="52" s="1"/>
  <c r="R2552" i="52" l="1"/>
  <c r="S2552" i="52" s="1"/>
  <c r="R2553" i="52"/>
  <c r="S2553" i="52" s="1"/>
  <c r="Q2554" i="52"/>
  <c r="Q2555" i="52" s="1"/>
  <c r="R2554" i="52" l="1"/>
  <c r="S2554" i="52" s="1"/>
  <c r="R2555" i="52"/>
  <c r="S2555" i="52" s="1"/>
  <c r="Q2556" i="52"/>
  <c r="Q2557" i="52" s="1"/>
  <c r="R2556" i="52" l="1"/>
  <c r="S2556" i="52" s="1"/>
  <c r="R2557" i="52"/>
  <c r="S2557" i="52" s="1"/>
  <c r="Q2558" i="52"/>
  <c r="Q2559" i="52" s="1"/>
  <c r="R2558" i="52" l="1"/>
  <c r="S2558" i="52" s="1"/>
  <c r="R2559" i="52"/>
  <c r="S2559" i="52" s="1"/>
  <c r="Q2560" i="52"/>
  <c r="Q2561" i="52" s="1"/>
  <c r="R2560" i="52" l="1"/>
  <c r="S2560" i="52" s="1"/>
  <c r="R2561" i="52"/>
  <c r="S2561" i="52" s="1"/>
  <c r="Q2562" i="52"/>
  <c r="Q2563" i="52" s="1"/>
  <c r="R2562" i="52" l="1"/>
  <c r="S2562" i="52" s="1"/>
  <c r="R2563" i="52"/>
  <c r="S2563" i="52" s="1"/>
  <c r="Q2564" i="52"/>
  <c r="R2564" i="52" s="1"/>
  <c r="S2564" i="52" s="1"/>
  <c r="Q2565" i="52" l="1"/>
  <c r="R2565" i="52" s="1"/>
  <c r="S2565" i="52" s="1"/>
  <c r="Q2566" i="52" l="1"/>
  <c r="R2566" i="52" s="1"/>
  <c r="S2566" i="52" s="1"/>
  <c r="Q2567" i="52" l="1"/>
  <c r="R2567" i="52" s="1"/>
  <c r="S2567" i="52" s="1"/>
  <c r="Q2568" i="52" l="1"/>
  <c r="Q2569" i="52" s="1"/>
  <c r="R2568" i="52" l="1"/>
  <c r="S2568" i="52" s="1"/>
  <c r="R2569" i="52"/>
  <c r="S2569" i="52" s="1"/>
  <c r="Q2570" i="52"/>
  <c r="Q2571" i="52" l="1"/>
  <c r="R2571" i="52" s="1"/>
  <c r="S2571" i="52" s="1"/>
  <c r="R2570" i="52"/>
  <c r="S2570" i="52" s="1"/>
  <c r="Q2572" i="52" l="1"/>
  <c r="Q2573" i="52" s="1"/>
  <c r="R2572" i="52" l="1"/>
  <c r="S2572" i="52" s="1"/>
  <c r="R2573" i="52"/>
  <c r="S2573" i="52" s="1"/>
  <c r="Q2574" i="52"/>
  <c r="Q2575" i="52" l="1"/>
  <c r="R2575" i="52" s="1"/>
  <c r="S2575" i="52" s="1"/>
  <c r="R2574" i="52"/>
  <c r="S2574" i="52" s="1"/>
  <c r="Q2576" i="52" l="1"/>
  <c r="Q2577" i="52" s="1"/>
  <c r="R2576" i="52" l="1"/>
  <c r="S2576" i="52" s="1"/>
  <c r="R2577" i="52"/>
  <c r="S2577" i="52" s="1"/>
  <c r="Q2578" i="52"/>
  <c r="R2578" i="52" s="1"/>
  <c r="S2578" i="52" s="1"/>
  <c r="Q2579" i="52" l="1"/>
  <c r="Q2580" i="52" l="1"/>
  <c r="Q2581" i="52" s="1"/>
  <c r="R2579" i="52"/>
  <c r="S2579" i="52" s="1"/>
  <c r="R2580" i="52" l="1"/>
  <c r="S2580" i="52" s="1"/>
  <c r="R2581" i="52"/>
  <c r="S2581" i="52" s="1"/>
  <c r="Q2582" i="52"/>
  <c r="Q2583" i="52" l="1"/>
  <c r="R2583" i="52" s="1"/>
  <c r="S2583" i="52" s="1"/>
  <c r="R2582" i="52"/>
  <c r="S2582" i="52" s="1"/>
  <c r="Q2584" i="52" l="1"/>
  <c r="Q2585" i="52" s="1"/>
  <c r="R2584" i="52" l="1"/>
  <c r="S2584" i="52" s="1"/>
  <c r="R2585" i="52"/>
  <c r="S2585" i="52" s="1"/>
  <c r="Q2586" i="52"/>
  <c r="R2586" i="52" s="1"/>
  <c r="S2586" i="52" s="1"/>
  <c r="Q2587" i="52" l="1"/>
  <c r="Q2588" i="52" l="1"/>
  <c r="R2588" i="52" s="1"/>
  <c r="S2588" i="52" s="1"/>
  <c r="R2587" i="52"/>
  <c r="S2587" i="52" s="1"/>
  <c r="Q2589" i="52" l="1"/>
  <c r="R2589" i="52" s="1"/>
  <c r="S2589" i="52" s="1"/>
  <c r="Q2590" i="52" l="1"/>
  <c r="Q2591" i="52" s="1"/>
  <c r="R2591" i="52" l="1"/>
  <c r="S2591" i="52" s="1"/>
  <c r="Q2592" i="52"/>
  <c r="Q2593" i="52" s="1"/>
  <c r="R2590" i="52"/>
  <c r="S2590" i="52" s="1"/>
  <c r="R2592" i="52" l="1"/>
  <c r="S2592" i="52" s="1"/>
  <c r="R2593" i="52"/>
  <c r="S2593" i="52" s="1"/>
  <c r="Q2594" i="52"/>
  <c r="R2594" i="52" s="1"/>
  <c r="S2594" i="52" s="1"/>
  <c r="Q2595" i="52" l="1"/>
  <c r="Q2596" i="52" l="1"/>
  <c r="Q2597" i="52" s="1"/>
  <c r="R2595" i="52"/>
  <c r="S2595" i="52" s="1"/>
  <c r="R2597" i="52" l="1"/>
  <c r="S2597" i="52" s="1"/>
  <c r="Q2598" i="52"/>
  <c r="R2598" i="52" s="1"/>
  <c r="S2598" i="52" s="1"/>
  <c r="R2596" i="52"/>
  <c r="S2596" i="52" s="1"/>
  <c r="Q2599" i="52" l="1"/>
  <c r="R2599" i="52" s="1"/>
  <c r="S2599" i="52" s="1"/>
  <c r="Q2600" i="52" l="1"/>
  <c r="Q2601" i="52" s="1"/>
  <c r="R2600" i="52" l="1"/>
  <c r="S2600" i="52" s="1"/>
  <c r="R2601" i="52"/>
  <c r="S2601" i="52" s="1"/>
  <c r="Q2602" i="52"/>
  <c r="Q2603" i="52" s="1"/>
  <c r="R2602" i="52" l="1"/>
  <c r="S2602" i="52" s="1"/>
  <c r="R2603" i="52"/>
  <c r="S2603" i="52" s="1"/>
  <c r="Q2604" i="52"/>
  <c r="Q2605" i="52" s="1"/>
  <c r="R2605" i="52" l="1"/>
  <c r="S2605" i="52" s="1"/>
  <c r="Q2606" i="52"/>
  <c r="R2604" i="52"/>
  <c r="S2604" i="52" s="1"/>
  <c r="Q2607" i="52" l="1"/>
  <c r="R2607" i="52" s="1"/>
  <c r="S2607" i="52" s="1"/>
  <c r="R2606" i="52"/>
  <c r="S2606" i="52" s="1"/>
  <c r="Q2608" i="52" l="1"/>
  <c r="R2608" i="52" s="1"/>
  <c r="S2608" i="52" s="1"/>
  <c r="Q2609" i="52" l="1"/>
  <c r="R2609" i="52" s="1"/>
  <c r="S2609" i="52" s="1"/>
  <c r="Q2610" i="52" l="1"/>
  <c r="Q2611" i="52" l="1"/>
  <c r="R2611" i="52" s="1"/>
  <c r="S2611" i="52" s="1"/>
  <c r="R2610" i="52"/>
  <c r="S2610" i="52" s="1"/>
  <c r="Q2612" i="52" l="1"/>
  <c r="Q2613" i="52" s="1"/>
  <c r="R2612" i="52" l="1"/>
  <c r="S2612" i="52" s="1"/>
  <c r="R2613" i="52"/>
  <c r="S2613" i="52" s="1"/>
  <c r="Q2614" i="52"/>
  <c r="Q2615" i="52" l="1"/>
  <c r="R2615" i="52" s="1"/>
  <c r="S2615" i="52" s="1"/>
  <c r="R2614" i="52"/>
  <c r="S2614" i="52" s="1"/>
  <c r="Q2616" i="52" l="1"/>
  <c r="Q2617" i="52" s="1"/>
  <c r="R2616" i="52" l="1"/>
  <c r="S2616" i="52" s="1"/>
  <c r="R2617" i="52"/>
  <c r="S2617" i="52" s="1"/>
  <c r="Q2618" i="52"/>
  <c r="Q2619" i="52" s="1"/>
  <c r="R2618" i="52" l="1"/>
  <c r="S2618" i="52" s="1"/>
  <c r="R2619" i="52"/>
  <c r="S2619" i="52" s="1"/>
  <c r="Q2620" i="52"/>
  <c r="R2620" i="52" s="1"/>
  <c r="S2620" i="52" s="1"/>
  <c r="Q2621" i="52" l="1"/>
  <c r="R2621" i="52" s="1"/>
  <c r="S2621" i="52" s="1"/>
  <c r="Q2622" i="52" l="1"/>
  <c r="Q2623" i="52" s="1"/>
  <c r="R2623" i="52" l="1"/>
  <c r="S2623" i="52" s="1"/>
  <c r="Q2624" i="52"/>
  <c r="R2624" i="52" s="1"/>
  <c r="S2624" i="52" s="1"/>
  <c r="R2622" i="52"/>
  <c r="S2622" i="52" s="1"/>
  <c r="Q2625" i="52" l="1"/>
  <c r="R2625" i="52" s="1"/>
  <c r="S2625" i="52" s="1"/>
  <c r="Q2626" i="52" l="1"/>
  <c r="Q2627" i="52" s="1"/>
  <c r="R2626" i="52" l="1"/>
  <c r="S2626" i="52" s="1"/>
  <c r="R2627" i="52"/>
  <c r="S2627" i="52" s="1"/>
  <c r="Q2628" i="52"/>
  <c r="Q2629" i="52" s="1"/>
  <c r="R2628" i="52" l="1"/>
  <c r="S2628" i="52" s="1"/>
  <c r="R2629" i="52"/>
  <c r="S2629" i="52" s="1"/>
  <c r="Q2630" i="52"/>
  <c r="Q2631" i="52" s="1"/>
  <c r="R2630" i="52" l="1"/>
  <c r="S2630" i="52" s="1"/>
  <c r="R2631" i="52"/>
  <c r="S2631" i="52" s="1"/>
  <c r="Q2632" i="52"/>
  <c r="R2632" i="52" s="1"/>
  <c r="S2632" i="52" s="1"/>
  <c r="Q2633" i="52" l="1"/>
  <c r="Q2634" i="52" l="1"/>
  <c r="Q2635" i="52" s="1"/>
  <c r="R2633" i="52"/>
  <c r="S2633" i="52" s="1"/>
  <c r="R2634" i="52" l="1"/>
  <c r="S2634" i="52" s="1"/>
  <c r="R2635" i="52"/>
  <c r="S2635" i="52" s="1"/>
  <c r="Q2636" i="52"/>
  <c r="R2636" i="52" s="1"/>
  <c r="S2636" i="52" s="1"/>
  <c r="Q2637" i="52" l="1"/>
  <c r="Q2638" i="52" l="1"/>
  <c r="Q2639" i="52" s="1"/>
  <c r="R2637" i="52"/>
  <c r="S2637" i="52" s="1"/>
  <c r="R2638" i="52" l="1"/>
  <c r="S2638" i="52" s="1"/>
  <c r="R2639" i="52"/>
  <c r="S2639" i="52" s="1"/>
  <c r="Q2640" i="52"/>
  <c r="Q2641" i="52" l="1"/>
  <c r="R2641" i="52" s="1"/>
  <c r="S2641" i="52" s="1"/>
  <c r="R2640" i="52"/>
  <c r="S2640" i="52" s="1"/>
  <c r="Q2642" i="52" l="1"/>
  <c r="Q2643" i="52" s="1"/>
  <c r="R2643" i="52" l="1"/>
  <c r="S2643" i="52" s="1"/>
  <c r="Q2644" i="52"/>
  <c r="R2644" i="52" s="1"/>
  <c r="S2644" i="52" s="1"/>
  <c r="R2642" i="52"/>
  <c r="S2642" i="52" s="1"/>
  <c r="Q2645" i="52" l="1"/>
  <c r="Q2646" i="52" l="1"/>
  <c r="Q2647" i="52" s="1"/>
  <c r="R2645" i="52"/>
  <c r="S2645" i="52" s="1"/>
  <c r="R2646" i="52" l="1"/>
  <c r="S2646" i="52" s="1"/>
  <c r="R2647" i="52"/>
  <c r="S2647" i="52" s="1"/>
  <c r="Q2648" i="52"/>
  <c r="Q2649" i="52" l="1"/>
  <c r="R2648" i="52"/>
  <c r="S2648" i="52" s="1"/>
  <c r="Q2650" i="52" l="1"/>
  <c r="Q2651" i="52" s="1"/>
  <c r="R2649" i="52"/>
  <c r="S2649" i="52" s="1"/>
  <c r="R2650" i="52" l="1"/>
  <c r="S2650" i="52" s="1"/>
  <c r="R2651" i="52"/>
  <c r="S2651" i="52" s="1"/>
  <c r="Q2652" i="52"/>
  <c r="Q2653" i="52" l="1"/>
  <c r="R2653" i="52" s="1"/>
  <c r="S2653" i="52" s="1"/>
  <c r="R2652" i="52"/>
  <c r="S2652" i="52" s="1"/>
  <c r="Q2654" i="52" l="1"/>
  <c r="Q2655" i="52" s="1"/>
  <c r="R2654" i="52" l="1"/>
  <c r="S2654" i="52" s="1"/>
  <c r="R2655" i="52"/>
  <c r="S2655" i="52" s="1"/>
  <c r="Q2656" i="52"/>
  <c r="Q2657" i="52" s="1"/>
  <c r="R2656" i="52" l="1"/>
  <c r="S2656" i="52" s="1"/>
  <c r="R2657" i="52"/>
  <c r="S2657" i="52" s="1"/>
  <c r="Q2658" i="52"/>
  <c r="R2658" i="52" s="1"/>
  <c r="S2658" i="52" s="1"/>
  <c r="Q2659" i="52" l="1"/>
  <c r="Q2660" i="52" l="1"/>
  <c r="Q2661" i="52" s="1"/>
  <c r="R2659" i="52"/>
  <c r="S2659" i="52" s="1"/>
  <c r="R2660" i="52" l="1"/>
  <c r="S2660" i="52" s="1"/>
  <c r="R2661" i="52"/>
  <c r="S2661" i="52" s="1"/>
  <c r="Q2662" i="52"/>
  <c r="R2662" i="52" s="1"/>
  <c r="S2662" i="52" s="1"/>
  <c r="Q2663" i="52" l="1"/>
  <c r="Q2664" i="52" l="1"/>
  <c r="Q2665" i="52" s="1"/>
  <c r="R2663" i="52"/>
  <c r="S2663" i="52" s="1"/>
  <c r="R2664" i="52" l="1"/>
  <c r="S2664" i="52" s="1"/>
  <c r="R2665" i="52"/>
  <c r="S2665" i="52" s="1"/>
  <c r="Q2666" i="52"/>
  <c r="Q2667" i="52" s="1"/>
  <c r="R2667" i="52" l="1"/>
  <c r="S2667" i="52" s="1"/>
  <c r="Q2668" i="52"/>
  <c r="Q2669" i="52" s="1"/>
  <c r="R2666" i="52"/>
  <c r="S2666" i="52" s="1"/>
  <c r="R2668" i="52" l="1"/>
  <c r="S2668" i="52" s="1"/>
  <c r="R2669" i="52"/>
  <c r="S2669" i="52" s="1"/>
  <c r="Q2670" i="52"/>
  <c r="R2670" i="52" s="1"/>
  <c r="S2670" i="52" s="1"/>
  <c r="Q2671" i="52" l="1"/>
  <c r="R2671" i="52" s="1"/>
  <c r="S2671" i="52" s="1"/>
  <c r="Q2672" i="52" l="1"/>
  <c r="R2672" i="52" s="1"/>
  <c r="S2672" i="52" s="1"/>
  <c r="Q2673" i="52" l="1"/>
  <c r="R2673" i="52" s="1"/>
  <c r="S2673" i="52" s="1"/>
  <c r="Q2674" i="52" l="1"/>
  <c r="R2674" i="52" s="1"/>
  <c r="S2674" i="52" s="1"/>
  <c r="Q2675" i="52" l="1"/>
  <c r="R2675" i="52" s="1"/>
  <c r="S2675" i="52" s="1"/>
  <c r="Q2676" i="52" l="1"/>
  <c r="Q2677" i="52" s="1"/>
  <c r="R2677" i="52" l="1"/>
  <c r="S2677" i="52" s="1"/>
  <c r="Q2678" i="52"/>
  <c r="Q2679" i="52" s="1"/>
  <c r="R2676" i="52"/>
  <c r="S2676" i="52" s="1"/>
  <c r="R2678" i="52" l="1"/>
  <c r="S2678" i="52" s="1"/>
  <c r="R2679" i="52"/>
  <c r="S2679" i="52" s="1"/>
  <c r="Q2680" i="52"/>
  <c r="Q2681" i="52" s="1"/>
  <c r="R2680" i="52" l="1"/>
  <c r="S2680" i="52" s="1"/>
  <c r="R2681" i="52"/>
  <c r="S2681" i="52" s="1"/>
  <c r="Q2682" i="52"/>
  <c r="Q2683" i="52" s="1"/>
  <c r="R2682" i="52" l="1"/>
  <c r="S2682" i="52" s="1"/>
  <c r="R2683" i="52"/>
  <c r="S2683" i="52" s="1"/>
  <c r="Q2684" i="52"/>
  <c r="R2684" i="52" s="1"/>
  <c r="S2684" i="52" s="1"/>
  <c r="Q2685" i="52" l="1"/>
  <c r="R2685" i="52" s="1"/>
  <c r="S2685" i="52" s="1"/>
  <c r="Q2686" i="52" l="1"/>
  <c r="Q2687" i="52" s="1"/>
  <c r="R2686" i="52" l="1"/>
  <c r="S2686" i="52" s="1"/>
  <c r="R2687" i="52"/>
  <c r="S2687" i="52" s="1"/>
  <c r="Q2688" i="52"/>
  <c r="R2688" i="52" s="1"/>
  <c r="S2688" i="52" s="1"/>
  <c r="Q2689" i="52" l="1"/>
  <c r="R2689" i="52" s="1"/>
  <c r="S2689" i="52" s="1"/>
  <c r="Q2690" i="52" l="1"/>
  <c r="Q2691" i="52" s="1"/>
  <c r="R2690" i="52" l="1"/>
  <c r="S2690" i="52" s="1"/>
  <c r="R2691" i="52"/>
  <c r="S2691" i="52" s="1"/>
  <c r="Q2692" i="52"/>
  <c r="Q2693" i="52" s="1"/>
  <c r="R2692" i="52" l="1"/>
  <c r="S2692" i="52" s="1"/>
  <c r="R2693" i="52"/>
  <c r="S2693" i="52" s="1"/>
  <c r="Q2694" i="52"/>
  <c r="Q2695" i="52" s="1"/>
  <c r="R2695" i="52" l="1"/>
  <c r="S2695" i="52" s="1"/>
  <c r="Q2696" i="52"/>
  <c r="R2696" i="52" s="1"/>
  <c r="S2696" i="52" s="1"/>
  <c r="R2694" i="52"/>
  <c r="S2694" i="52" s="1"/>
  <c r="Q2697" i="52" l="1"/>
  <c r="R2697" i="52" s="1"/>
  <c r="S2697" i="52" s="1"/>
  <c r="Q2698" i="52" l="1"/>
  <c r="Q2699" i="52" s="1"/>
  <c r="R2698" i="52" l="1"/>
  <c r="S2698" i="52" s="1"/>
  <c r="R2699" i="52"/>
  <c r="S2699" i="52" s="1"/>
  <c r="Q2700" i="52"/>
  <c r="R2700" i="52" s="1"/>
  <c r="S2700" i="52" s="1"/>
  <c r="Q2701" i="52" l="1"/>
  <c r="Q2702" i="52" l="1"/>
  <c r="R2702" i="52" s="1"/>
  <c r="S2702" i="52" s="1"/>
  <c r="R2701" i="52"/>
  <c r="S2701" i="52" s="1"/>
  <c r="Q2703" i="52" l="1"/>
  <c r="R2703" i="52" s="1"/>
  <c r="S2703" i="52" s="1"/>
  <c r="Q2704" i="52" l="1"/>
  <c r="Q2705" i="52" s="1"/>
  <c r="R2705" i="52" l="1"/>
  <c r="S2705" i="52" s="1"/>
  <c r="Q2706" i="52"/>
  <c r="R2706" i="52" s="1"/>
  <c r="S2706" i="52" s="1"/>
  <c r="R2704" i="52"/>
  <c r="S2704" i="52" s="1"/>
  <c r="Q2707" i="52" l="1"/>
  <c r="R2707" i="52" s="1"/>
  <c r="S2707" i="52" s="1"/>
  <c r="Q2708" i="52" l="1"/>
  <c r="Q2709" i="52" s="1"/>
  <c r="R2708" i="52" l="1"/>
  <c r="S2708" i="52" s="1"/>
  <c r="R2709" i="52"/>
  <c r="S2709" i="52" s="1"/>
  <c r="Q2710" i="52"/>
  <c r="R2710" i="52" s="1"/>
  <c r="S2710" i="52" s="1"/>
  <c r="Q2711" i="52" l="1"/>
  <c r="R2711" i="52" s="1"/>
  <c r="S2711" i="52" s="1"/>
  <c r="Q2712" i="52" l="1"/>
  <c r="Q2713" i="52" s="1"/>
  <c r="R2712" i="52" l="1"/>
  <c r="S2712" i="52" s="1"/>
  <c r="R2713" i="52"/>
  <c r="S2713" i="52" s="1"/>
  <c r="Q2714" i="52"/>
  <c r="Q2715" i="52" l="1"/>
  <c r="R2715" i="52" s="1"/>
  <c r="S2715" i="52" s="1"/>
  <c r="R2714" i="52"/>
  <c r="S2714" i="52" s="1"/>
  <c r="Q2716" i="52" l="1"/>
  <c r="Q2717" i="52" s="1"/>
  <c r="R2717" i="52" l="1"/>
  <c r="S2717" i="52" s="1"/>
  <c r="Q2718" i="52"/>
  <c r="R2718" i="52" s="1"/>
  <c r="S2718" i="52" s="1"/>
  <c r="R2716" i="52"/>
  <c r="S2716" i="52" s="1"/>
  <c r="Q2719" i="52" l="1"/>
  <c r="R2719" i="52" s="1"/>
  <c r="S2719" i="52" s="1"/>
  <c r="Q2720" i="52" l="1"/>
  <c r="Q2721" i="52" s="1"/>
  <c r="R2720" i="52" l="1"/>
  <c r="S2720" i="52" s="1"/>
  <c r="R2721" i="52"/>
  <c r="S2721" i="52" s="1"/>
  <c r="Q2722" i="52"/>
  <c r="Q2723" i="52" s="1"/>
  <c r="R2723" i="52" l="1"/>
  <c r="S2723" i="52" s="1"/>
  <c r="Q2724" i="52"/>
  <c r="Q2725" i="52" s="1"/>
  <c r="R2722" i="52"/>
  <c r="S2722" i="52" s="1"/>
  <c r="R2725" i="52" l="1"/>
  <c r="S2725" i="52" s="1"/>
  <c r="Q2726" i="52"/>
  <c r="R2724" i="52"/>
  <c r="S2724" i="52" s="1"/>
  <c r="Q2727" i="52" l="1"/>
  <c r="R2727" i="52" s="1"/>
  <c r="S2727" i="52" s="1"/>
  <c r="R2726" i="52"/>
  <c r="S2726" i="52" s="1"/>
  <c r="Q2728" i="52" l="1"/>
  <c r="Q2729" i="52" s="1"/>
  <c r="R2729" i="52" l="1"/>
  <c r="S2729" i="52" s="1"/>
  <c r="Q2730" i="52"/>
  <c r="Q2731" i="52" s="1"/>
  <c r="R2728" i="52"/>
  <c r="S2728" i="52" s="1"/>
  <c r="R2731" i="52" l="1"/>
  <c r="S2731" i="52" s="1"/>
  <c r="Q2732" i="52"/>
  <c r="R2732" i="52" s="1"/>
  <c r="S2732" i="52" s="1"/>
  <c r="R2730" i="52"/>
  <c r="S2730" i="52" s="1"/>
  <c r="Q2733" i="52" l="1"/>
  <c r="R2733" i="52" s="1"/>
  <c r="S2733" i="52" s="1"/>
  <c r="Q2734" i="52" l="1"/>
  <c r="Q2735" i="52" s="1"/>
  <c r="R2734" i="52" l="1"/>
  <c r="S2734" i="52" s="1"/>
  <c r="R2735" i="52"/>
  <c r="S2735" i="52" s="1"/>
  <c r="Q2736" i="52"/>
  <c r="R2736" i="52" s="1"/>
  <c r="S2736" i="52" s="1"/>
  <c r="Q2737" i="52" l="1"/>
  <c r="R2737" i="52" s="1"/>
  <c r="S2737" i="52" s="1"/>
  <c r="Q2738" i="52" l="1"/>
  <c r="Q2739" i="52" s="1"/>
  <c r="R2738" i="52" l="1"/>
  <c r="S2738" i="52" s="1"/>
  <c r="R2739" i="52"/>
  <c r="S2739" i="52" s="1"/>
  <c r="Q2740" i="52"/>
  <c r="Q2741" i="52" s="1"/>
  <c r="R2741" i="52" l="1"/>
  <c r="S2741" i="52" s="1"/>
  <c r="Q2742" i="52"/>
  <c r="R2742" i="52" s="1"/>
  <c r="S2742" i="52" s="1"/>
  <c r="R2740" i="52"/>
  <c r="S2740" i="52" s="1"/>
  <c r="Q2743" i="52" l="1"/>
  <c r="R2743" i="52" s="1"/>
  <c r="S2743" i="52" s="1"/>
  <c r="Q2744" i="52" l="1"/>
  <c r="Q2745" i="52" s="1"/>
  <c r="R2744" i="52" l="1"/>
  <c r="S2744" i="52" s="1"/>
  <c r="R2745" i="52"/>
  <c r="S2745" i="52" s="1"/>
  <c r="Q2746" i="52"/>
  <c r="Q2747" i="52" s="1"/>
  <c r="R2746" i="52" l="1"/>
  <c r="S2746" i="52" s="1"/>
  <c r="R2747" i="52"/>
  <c r="S2747" i="52" s="1"/>
  <c r="Q2748" i="52"/>
  <c r="Q2749" i="52" s="1"/>
  <c r="R2748" i="52" l="1"/>
  <c r="S2748" i="52" s="1"/>
  <c r="R2749" i="52"/>
  <c r="S2749" i="52" s="1"/>
  <c r="Q2750" i="52"/>
  <c r="Q2751" i="52" l="1"/>
  <c r="R2751" i="52" s="1"/>
  <c r="S2751" i="52" s="1"/>
  <c r="R2750" i="52"/>
  <c r="S2750" i="52" s="1"/>
  <c r="Q2752" i="52" l="1"/>
  <c r="Q2753" i="52" s="1"/>
  <c r="R2752" i="52" l="1"/>
  <c r="S2752" i="52" s="1"/>
  <c r="R2753" i="52"/>
  <c r="S2753" i="52" s="1"/>
  <c r="Q2754" i="52"/>
  <c r="R2754" i="52" s="1"/>
  <c r="S2754" i="52" s="1"/>
  <c r="Q2755" i="52" l="1"/>
  <c r="R2755" i="52" s="1"/>
  <c r="S2755" i="52" s="1"/>
  <c r="Q2756" i="52" l="1"/>
  <c r="Q2757" i="52" s="1"/>
  <c r="R2756" i="52" l="1"/>
  <c r="S2756" i="52" s="1"/>
  <c r="R2757" i="52"/>
  <c r="S2757" i="52" s="1"/>
  <c r="Q2758" i="52"/>
  <c r="R2758" i="52" s="1"/>
  <c r="S2758" i="52" s="1"/>
  <c r="Q2759" i="52" l="1"/>
  <c r="R2759" i="52" s="1"/>
  <c r="S2759" i="52" s="1"/>
  <c r="Q2760" i="52" l="1"/>
  <c r="Q2761" i="52" s="1"/>
  <c r="R2761" i="52" l="1"/>
  <c r="S2761" i="52" s="1"/>
  <c r="Q2762" i="52"/>
  <c r="R2762" i="52" s="1"/>
  <c r="S2762" i="52" s="1"/>
  <c r="R2760" i="52"/>
  <c r="S2760" i="52" s="1"/>
  <c r="Q2763" i="52" l="1"/>
  <c r="R2763" i="52" s="1"/>
  <c r="S2763" i="52" s="1"/>
  <c r="Q2764" i="52" l="1"/>
  <c r="Q2765" i="52" s="1"/>
  <c r="R2765" i="52" l="1"/>
  <c r="S2765" i="52" s="1"/>
  <c r="Q2766" i="52"/>
  <c r="R2766" i="52" s="1"/>
  <c r="S2766" i="52" s="1"/>
  <c r="R2764" i="52"/>
  <c r="S2764" i="52" s="1"/>
  <c r="Q2767" i="52" l="1"/>
  <c r="R2767" i="52" s="1"/>
  <c r="S2767" i="52" s="1"/>
  <c r="Q2768" i="52" l="1"/>
  <c r="Q2769" i="52" s="1"/>
  <c r="R2768" i="52" l="1"/>
  <c r="S2768" i="52" s="1"/>
  <c r="R2769" i="52"/>
  <c r="S2769" i="52" s="1"/>
  <c r="Q2770" i="52"/>
  <c r="R2770" i="52" s="1"/>
  <c r="S2770" i="52" s="1"/>
  <c r="Q2771" i="52" l="1"/>
  <c r="R2771" i="52" s="1"/>
  <c r="S2771" i="52" s="1"/>
  <c r="Q2772" i="52" l="1"/>
  <c r="Q2773" i="52" s="1"/>
  <c r="R2772" i="52" l="1"/>
  <c r="S2772" i="52" s="1"/>
  <c r="R2773" i="52"/>
  <c r="S2773" i="52" s="1"/>
  <c r="Q2774" i="52"/>
  <c r="R2774" i="52" s="1"/>
  <c r="S2774" i="52" s="1"/>
  <c r="Q2775" i="52" l="1"/>
  <c r="R2775" i="52" s="1"/>
  <c r="S2775" i="52" s="1"/>
  <c r="Q2776" i="52" l="1"/>
  <c r="Q2777" i="52" s="1"/>
  <c r="R2776" i="52" l="1"/>
  <c r="S2776" i="52" s="1"/>
  <c r="R2777" i="52"/>
  <c r="S2777" i="52" s="1"/>
  <c r="Q2778" i="52"/>
  <c r="Q2779" i="52" s="1"/>
  <c r="R2778" i="52" l="1"/>
  <c r="S2778" i="52" s="1"/>
  <c r="R2779" i="52"/>
  <c r="S2779" i="52" s="1"/>
  <c r="Q2780" i="52"/>
  <c r="Q2781" i="52" s="1"/>
  <c r="R2780" i="52" l="1"/>
  <c r="S2780" i="52" s="1"/>
  <c r="R2781" i="52"/>
  <c r="S2781" i="52" s="1"/>
  <c r="Q2782" i="52"/>
  <c r="R2782" i="52" s="1"/>
  <c r="S2782" i="52" s="1"/>
  <c r="Q2783" i="52" l="1"/>
  <c r="Q2784" i="52" l="1"/>
  <c r="Q2785" i="52" s="1"/>
  <c r="R2783" i="52"/>
  <c r="S2783" i="52" s="1"/>
  <c r="R2785" i="52" l="1"/>
  <c r="S2785" i="52" s="1"/>
  <c r="Q2786" i="52"/>
  <c r="Q2787" i="52" s="1"/>
  <c r="R2784" i="52"/>
  <c r="S2784" i="52" s="1"/>
  <c r="R2786" i="52" l="1"/>
  <c r="S2786" i="52" s="1"/>
  <c r="R2787" i="52"/>
  <c r="S2787" i="52" s="1"/>
  <c r="Q2788" i="52"/>
  <c r="Q2789" i="52" s="1"/>
  <c r="R2789" i="52" l="1"/>
  <c r="S2789" i="52" s="1"/>
  <c r="Q2790" i="52"/>
  <c r="R2790" i="52" s="1"/>
  <c r="S2790" i="52" s="1"/>
  <c r="R2788" i="52"/>
  <c r="S2788" i="52" s="1"/>
  <c r="Q2791" i="52" l="1"/>
  <c r="R2791" i="52" s="1"/>
  <c r="S2791" i="52" s="1"/>
  <c r="Q2792" i="52" l="1"/>
  <c r="Q2793" i="52" s="1"/>
  <c r="R2792" i="52" l="1"/>
  <c r="S2792" i="52" s="1"/>
  <c r="R2793" i="52"/>
  <c r="S2793" i="52" s="1"/>
  <c r="Q2794" i="52"/>
  <c r="R2794" i="52" s="1"/>
  <c r="S2794" i="52" s="1"/>
  <c r="Q2795" i="52" l="1"/>
  <c r="R2795" i="52" s="1"/>
  <c r="S2795" i="52" s="1"/>
  <c r="Q2796" i="52" l="1"/>
  <c r="Q2797" i="52" s="1"/>
  <c r="R2796" i="52" l="1"/>
  <c r="S2796" i="52" s="1"/>
  <c r="R2797" i="52"/>
  <c r="S2797" i="52" s="1"/>
  <c r="Q2798" i="52"/>
  <c r="Q2799" i="52" s="1"/>
  <c r="R2798" i="52" l="1"/>
  <c r="S2798" i="52" s="1"/>
  <c r="R2799" i="52"/>
  <c r="S2799" i="52" s="1"/>
  <c r="Q2800" i="52"/>
  <c r="Q2801" i="52" s="1"/>
  <c r="R2800" i="52" l="1"/>
  <c r="S2800" i="52" s="1"/>
  <c r="R2801" i="52"/>
  <c r="S2801" i="52" s="1"/>
  <c r="Q2802" i="52"/>
  <c r="Q2803" i="52" l="1"/>
  <c r="R2803" i="52" s="1"/>
  <c r="S2803" i="52" s="1"/>
  <c r="R2802" i="52"/>
  <c r="S2802" i="52" s="1"/>
  <c r="Q2804" i="52" l="1"/>
  <c r="Q2805" i="52" s="1"/>
  <c r="R2805" i="52" l="1"/>
  <c r="S2805" i="52" s="1"/>
  <c r="Q2806" i="52"/>
  <c r="Q2807" i="52" s="1"/>
  <c r="R2804" i="52"/>
  <c r="S2804" i="52" s="1"/>
  <c r="R2806" i="52" l="1"/>
  <c r="S2806" i="52" s="1"/>
  <c r="R2807" i="52"/>
  <c r="S2807" i="52" s="1"/>
  <c r="Q2808" i="52"/>
  <c r="Q2809" i="52" s="1"/>
  <c r="R2808" i="52" l="1"/>
  <c r="S2808" i="52" s="1"/>
  <c r="R2809" i="52"/>
  <c r="S2809" i="52" s="1"/>
  <c r="Q2810" i="52"/>
  <c r="Q2811" i="52" l="1"/>
  <c r="R2811" i="52" s="1"/>
  <c r="S2811" i="52" s="1"/>
  <c r="R2810" i="52"/>
  <c r="S2810" i="52" s="1"/>
  <c r="Q2812" i="52" l="1"/>
  <c r="Q2813" i="52" s="1"/>
  <c r="R2812" i="52" l="1"/>
  <c r="S2812" i="52" s="1"/>
  <c r="R2813" i="52"/>
  <c r="S2813" i="52" s="1"/>
  <c r="Q2814" i="52"/>
  <c r="Q2815" i="52" s="1"/>
  <c r="R2814" i="52" l="1"/>
  <c r="S2814" i="52" s="1"/>
  <c r="R2815" i="52"/>
  <c r="S2815" i="52" s="1"/>
  <c r="Q2816" i="52"/>
  <c r="R2816" i="52" l="1"/>
  <c r="S2816" i="52" s="1"/>
  <c r="Q2817" i="52"/>
  <c r="R2817" i="52" l="1"/>
  <c r="S2817" i="52" s="1"/>
  <c r="Q2818" i="52"/>
  <c r="R2818" i="52" s="1"/>
  <c r="S2818" i="52" s="1"/>
  <c r="Q2819" i="52" l="1"/>
  <c r="Q2820" i="52" s="1"/>
  <c r="R2819" i="52" l="1"/>
  <c r="S2819" i="52" s="1"/>
  <c r="R2820" i="52"/>
  <c r="S2820" i="52" s="1"/>
  <c r="Q2821" i="52"/>
  <c r="Q2822" i="52" s="1"/>
  <c r="R2822" i="52" l="1"/>
  <c r="S2822" i="52" s="1"/>
  <c r="Q2823" i="52"/>
  <c r="Q2824" i="52" s="1"/>
  <c r="R2821" i="52"/>
  <c r="S2821" i="52" s="1"/>
  <c r="R2823" i="52" l="1"/>
  <c r="S2823" i="52" s="1"/>
  <c r="R2824" i="52"/>
  <c r="S2824" i="52" s="1"/>
  <c r="Q2825" i="52"/>
  <c r="Q2826" i="52" l="1"/>
  <c r="R2826" i="52" s="1"/>
  <c r="S2826" i="52" s="1"/>
  <c r="R2825" i="52"/>
  <c r="S2825" i="52" s="1"/>
  <c r="Q2827" i="52" l="1"/>
  <c r="Q2828" i="52" s="1"/>
  <c r="R2827" i="52" l="1"/>
  <c r="S2827" i="52" s="1"/>
  <c r="R2828" i="52"/>
  <c r="S2828" i="52" s="1"/>
  <c r="Q2829" i="52"/>
  <c r="R2829" i="52" s="1"/>
  <c r="S2829" i="52" s="1"/>
  <c r="Q2830" i="52" l="1"/>
  <c r="Q2831" i="52" l="1"/>
  <c r="Q2832" i="52" s="1"/>
  <c r="R2830" i="52"/>
  <c r="S2830" i="52" s="1"/>
  <c r="R2832" i="52" l="1"/>
  <c r="S2832" i="52" s="1"/>
  <c r="Q2833" i="52"/>
  <c r="Q2834" i="52" s="1"/>
  <c r="R2831" i="52"/>
  <c r="S2831" i="52" s="1"/>
  <c r="R2834" i="52" l="1"/>
  <c r="S2834" i="52" s="1"/>
  <c r="Q2835" i="52"/>
  <c r="Q2836" i="52" s="1"/>
  <c r="R2833" i="52"/>
  <c r="S2833" i="52" s="1"/>
  <c r="R2835" i="52" l="1"/>
  <c r="S2835" i="52" s="1"/>
  <c r="R2836" i="52"/>
  <c r="S2836" i="52" s="1"/>
  <c r="Q2837" i="52"/>
  <c r="Q2838" i="52" s="1"/>
  <c r="R2837" i="52" l="1"/>
  <c r="S2837" i="52" s="1"/>
  <c r="R2838" i="52"/>
  <c r="S2838" i="52" s="1"/>
  <c r="Q2839" i="52"/>
  <c r="Q2840" i="52" s="1"/>
  <c r="R2840" i="52" l="1"/>
  <c r="S2840" i="52" s="1"/>
  <c r="Q2841" i="52"/>
  <c r="Q2842" i="52" s="1"/>
  <c r="R2839" i="52"/>
  <c r="S2839" i="52" s="1"/>
  <c r="R2841" i="52" l="1"/>
  <c r="S2841" i="52" s="1"/>
  <c r="R2842" i="52"/>
  <c r="S2842" i="52" s="1"/>
  <c r="Q2843" i="52"/>
  <c r="Q2844" i="52" s="1"/>
  <c r="R2844" i="52" l="1"/>
  <c r="S2844" i="52" s="1"/>
  <c r="Q2845" i="52"/>
  <c r="Q2846" i="52" s="1"/>
  <c r="R2843" i="52"/>
  <c r="S2843" i="52" s="1"/>
  <c r="R2845" i="52" l="1"/>
  <c r="S2845" i="52" s="1"/>
  <c r="R2846" i="52"/>
  <c r="S2846" i="52" s="1"/>
  <c r="Q2847" i="52"/>
  <c r="Q2848" i="52" s="1"/>
  <c r="R2848" i="52" l="1"/>
  <c r="S2848" i="52" s="1"/>
  <c r="Q2849" i="52"/>
  <c r="Q2850" i="52" s="1"/>
  <c r="R2847" i="52"/>
  <c r="S2847" i="52" s="1"/>
  <c r="R2849" i="52" l="1"/>
  <c r="S2849" i="52" s="1"/>
  <c r="R2850" i="52"/>
  <c r="S2850" i="52" s="1"/>
  <c r="Q2851" i="52"/>
  <c r="Q2852" i="52" s="1"/>
  <c r="R2851" i="52" l="1"/>
  <c r="S2851" i="52" s="1"/>
  <c r="R2852" i="52"/>
  <c r="S2852" i="52" s="1"/>
  <c r="Q2853" i="52"/>
  <c r="R2853" i="52" s="1"/>
  <c r="S2853" i="52" s="1"/>
  <c r="Q2854" i="52" l="1"/>
  <c r="R2854" i="52" s="1"/>
  <c r="S2854" i="52" s="1"/>
  <c r="Q2855" i="52" l="1"/>
  <c r="Q2856" i="52" s="1"/>
  <c r="R2856" i="52" l="1"/>
  <c r="S2856" i="52" s="1"/>
  <c r="Q2857" i="52"/>
  <c r="Q2858" i="52" s="1"/>
  <c r="R2855" i="52"/>
  <c r="S2855" i="52" s="1"/>
  <c r="R2857" i="52" l="1"/>
  <c r="S2857" i="52" s="1"/>
  <c r="R2858" i="52"/>
  <c r="S2858" i="52" s="1"/>
  <c r="Q2859" i="52"/>
  <c r="Q2860" i="52" s="1"/>
  <c r="R2859" i="52" l="1"/>
  <c r="S2859" i="52" s="1"/>
  <c r="R2860" i="52"/>
  <c r="S2860" i="52" s="1"/>
  <c r="Q2861" i="52"/>
  <c r="Q2862" i="52" l="1"/>
  <c r="R2862" i="52" s="1"/>
  <c r="S2862" i="52" s="1"/>
  <c r="R2861" i="52"/>
  <c r="S2861" i="52" s="1"/>
  <c r="Q2863" i="52" l="1"/>
  <c r="Q2864" i="52" s="1"/>
  <c r="R2864" i="52" l="1"/>
  <c r="S2864" i="52" s="1"/>
  <c r="Q2865" i="52"/>
  <c r="Q2866" i="52" s="1"/>
  <c r="R2863" i="52"/>
  <c r="S2863" i="52" s="1"/>
  <c r="R2865" i="52" l="1"/>
  <c r="S2865" i="52" s="1"/>
  <c r="R2866" i="52"/>
  <c r="S2866" i="52" s="1"/>
  <c r="Q2867" i="52"/>
  <c r="Q2868" i="52" s="1"/>
  <c r="R2867" i="52" l="1"/>
  <c r="S2867" i="52" s="1"/>
  <c r="R2868" i="52"/>
  <c r="S2868" i="52" s="1"/>
  <c r="Q2869" i="52"/>
  <c r="R2869" i="52" s="1"/>
  <c r="S2869" i="52" s="1"/>
  <c r="Q2870" i="52" l="1"/>
  <c r="Q2871" i="52" l="1"/>
  <c r="Q2872" i="52" s="1"/>
  <c r="R2870" i="52"/>
  <c r="S2870" i="52" s="1"/>
  <c r="R2872" i="52" l="1"/>
  <c r="S2872" i="52" s="1"/>
  <c r="Q2873" i="52"/>
  <c r="R2873" i="52" s="1"/>
  <c r="S2873" i="52" s="1"/>
  <c r="R2871" i="52"/>
  <c r="S2871" i="52" s="1"/>
  <c r="Q2874" i="52" l="1"/>
  <c r="Q2875" i="52" l="1"/>
  <c r="R2875" i="52" s="1"/>
  <c r="S2875" i="52" s="1"/>
  <c r="R2874" i="52"/>
  <c r="S2874" i="52" s="1"/>
  <c r="Q2876" i="52" l="1"/>
  <c r="R2876" i="52" s="1"/>
  <c r="S2876" i="52" s="1"/>
  <c r="Q2877" i="52" l="1"/>
  <c r="Q2878" i="52" s="1"/>
  <c r="R2877" i="52" l="1"/>
  <c r="S2877" i="52" s="1"/>
  <c r="R2878" i="52"/>
  <c r="S2878" i="52" s="1"/>
  <c r="Q2879" i="52"/>
  <c r="R2879" i="52" s="1"/>
  <c r="S2879" i="52" s="1"/>
  <c r="Q2880" i="52" l="1"/>
  <c r="R2880" i="52" s="1"/>
  <c r="S2880" i="52" s="1"/>
  <c r="Q2881" i="52" l="1"/>
  <c r="Q2882" i="52" s="1"/>
  <c r="R2882" i="52" l="1"/>
  <c r="S2882" i="52" s="1"/>
  <c r="Q2883" i="52"/>
  <c r="R2883" i="52" s="1"/>
  <c r="S2883" i="52" s="1"/>
  <c r="R2881" i="52"/>
  <c r="S2881" i="52" s="1"/>
  <c r="Q2884" i="52" l="1"/>
  <c r="R2884" i="52" s="1"/>
  <c r="S2884" i="52" s="1"/>
  <c r="Q2885" i="52" l="1"/>
  <c r="Q2886" i="52" s="1"/>
  <c r="R2885" i="52" l="1"/>
  <c r="S2885" i="52" s="1"/>
  <c r="R2886" i="52"/>
  <c r="S2886" i="52" s="1"/>
  <c r="Q2887" i="52"/>
  <c r="Q2888" i="52" s="1"/>
  <c r="R2888" i="52" l="1"/>
  <c r="S2888" i="52" s="1"/>
  <c r="Q2889" i="52"/>
  <c r="R2889" i="52" s="1"/>
  <c r="S2889" i="52" s="1"/>
  <c r="R2887" i="52"/>
  <c r="S2887" i="52" s="1"/>
  <c r="Q2890" i="52" l="1"/>
  <c r="R2890" i="52" s="1"/>
  <c r="S2890" i="52" s="1"/>
  <c r="Q2891" i="52" l="1"/>
  <c r="R2891" i="52" s="1"/>
  <c r="S2891" i="52" s="1"/>
  <c r="Q2892" i="52" l="1"/>
  <c r="R2892" i="52" s="1"/>
  <c r="S2892" i="52" s="1"/>
  <c r="Q2893" i="52" l="1"/>
  <c r="R2893" i="52" s="1"/>
  <c r="S2893" i="52" s="1"/>
  <c r="Q2894" i="52" l="1"/>
  <c r="R2894" i="52" s="1"/>
  <c r="S2894" i="52" s="1"/>
  <c r="Q2895" i="52" l="1"/>
  <c r="Q2896" i="52" s="1"/>
  <c r="R2895" i="52" l="1"/>
  <c r="S2895" i="52" s="1"/>
  <c r="R2896" i="52"/>
  <c r="S2896" i="52" s="1"/>
  <c r="Q2897" i="52"/>
  <c r="R2897" i="52" s="1"/>
  <c r="S2897" i="52" s="1"/>
  <c r="Q2898" i="52" l="1"/>
  <c r="R2898" i="52" s="1"/>
  <c r="S2898" i="52" s="1"/>
  <c r="Q2899" i="52" l="1"/>
  <c r="Q2900" i="52" s="1"/>
  <c r="R2899" i="52" l="1"/>
  <c r="S2899" i="52" s="1"/>
  <c r="R2900" i="52"/>
  <c r="S2900" i="52" s="1"/>
  <c r="Q2901" i="52"/>
  <c r="Q2902" i="52" s="1"/>
  <c r="R2901" i="52" l="1"/>
  <c r="S2901" i="52" s="1"/>
  <c r="R2902" i="52"/>
  <c r="S2902" i="52" s="1"/>
  <c r="Q2903" i="52"/>
  <c r="Q2904" i="52" s="1"/>
  <c r="R2903" i="52" l="1"/>
  <c r="S2903" i="52" s="1"/>
  <c r="R2904" i="52"/>
  <c r="S2904" i="52" s="1"/>
  <c r="Q2905" i="52"/>
  <c r="Q2906" i="52" s="1"/>
  <c r="R2906" i="52" l="1"/>
  <c r="S2906" i="52" s="1"/>
  <c r="Q2907" i="52"/>
  <c r="Q2908" i="52" s="1"/>
  <c r="R2905" i="52"/>
  <c r="S2905" i="52" s="1"/>
  <c r="R2907" i="52" l="1"/>
  <c r="S2907" i="52" s="1"/>
  <c r="R2908" i="52"/>
  <c r="S2908" i="52" s="1"/>
  <c r="Q2909" i="52"/>
  <c r="R2909" i="52" s="1"/>
  <c r="S2909" i="52" s="1"/>
  <c r="Q2910" i="52" l="1"/>
  <c r="R2910" i="52" s="1"/>
  <c r="S2910" i="52" s="1"/>
  <c r="Q2911" i="52" l="1"/>
  <c r="Q2912" i="52" s="1"/>
  <c r="R2911" i="52" l="1"/>
  <c r="S2911" i="52" s="1"/>
  <c r="R2912" i="52"/>
  <c r="S2912" i="52" s="1"/>
  <c r="Q2913" i="52"/>
  <c r="Q2914" i="52" l="1"/>
  <c r="R2914" i="52" s="1"/>
  <c r="S2914" i="52" s="1"/>
  <c r="R2913" i="52"/>
  <c r="S2913" i="52" s="1"/>
  <c r="Q2915" i="52" l="1"/>
  <c r="Q2916" i="52" s="1"/>
  <c r="R2915" i="52" l="1"/>
  <c r="S2915" i="52" s="1"/>
  <c r="R2916" i="52"/>
  <c r="S2916" i="52" s="1"/>
  <c r="Q2917" i="52"/>
  <c r="Q2918" i="52" s="1"/>
  <c r="R2918" i="52" l="1"/>
  <c r="S2918" i="52" s="1"/>
  <c r="Q2919" i="52"/>
  <c r="R2917" i="52"/>
  <c r="S2917" i="52" s="1"/>
  <c r="Q2920" i="52" l="1"/>
  <c r="R2920" i="52" s="1"/>
  <c r="S2920" i="52" s="1"/>
  <c r="R2919" i="52"/>
  <c r="S2919" i="52" s="1"/>
  <c r="Q2921" i="52" l="1"/>
  <c r="Q2922" i="52" s="1"/>
  <c r="R2922" i="52" l="1"/>
  <c r="S2922" i="52" s="1"/>
  <c r="Q2923" i="52"/>
  <c r="R2921" i="52"/>
  <c r="S2921" i="52" s="1"/>
  <c r="Q2924" i="52" l="1"/>
  <c r="R2924" i="52" s="1"/>
  <c r="S2924" i="52" s="1"/>
  <c r="R2923" i="52"/>
  <c r="S2923" i="52" s="1"/>
  <c r="Q2925" i="52" l="1"/>
  <c r="Q2926" i="52" l="1"/>
  <c r="R2926" i="52" s="1"/>
  <c r="S2926" i="52" s="1"/>
  <c r="R2925" i="52"/>
  <c r="S2925" i="52" s="1"/>
  <c r="Q2927" i="52" l="1"/>
  <c r="Q2928" i="52" s="1"/>
  <c r="R2928" i="52" l="1"/>
  <c r="S2928" i="52" s="1"/>
  <c r="Q2929" i="52"/>
  <c r="Q2930" i="52" s="1"/>
  <c r="R2927" i="52"/>
  <c r="S2927" i="52" s="1"/>
  <c r="R2929" i="52" l="1"/>
  <c r="S2929" i="52" s="1"/>
  <c r="R2930" i="52"/>
  <c r="S2930" i="52" s="1"/>
  <c r="Q2931" i="52"/>
  <c r="Q2932" i="52" s="1"/>
  <c r="R2931" i="52" l="1"/>
  <c r="S2931" i="52" s="1"/>
  <c r="R2932" i="52"/>
  <c r="S2932" i="52" s="1"/>
  <c r="Q2933" i="52"/>
  <c r="R2933" i="52" s="1"/>
  <c r="S2933" i="52" s="1"/>
  <c r="Q2934" i="52" l="1"/>
  <c r="R2934" i="52" s="1"/>
  <c r="S2934" i="52" s="1"/>
  <c r="Q2935" i="52" l="1"/>
  <c r="Q2936" i="52" s="1"/>
  <c r="R2936" i="52" l="1"/>
  <c r="S2936" i="52" s="1"/>
  <c r="Q2937" i="52"/>
  <c r="R2937" i="52" s="1"/>
  <c r="S2937" i="52" s="1"/>
  <c r="R2935" i="52"/>
  <c r="S2935" i="52" s="1"/>
  <c r="Q2938" i="52" l="1"/>
  <c r="R2938" i="52" s="1"/>
  <c r="S2938" i="52" s="1"/>
  <c r="Q2939" i="52" l="1"/>
  <c r="Q2940" i="52" s="1"/>
  <c r="R2939" i="52" l="1"/>
  <c r="S2939" i="52" s="1"/>
  <c r="R2940" i="52"/>
  <c r="S2940" i="52" s="1"/>
  <c r="Q2941" i="52"/>
  <c r="Q2942" i="52" l="1"/>
  <c r="R2942" i="52" s="1"/>
  <c r="S2942" i="52" s="1"/>
  <c r="R2941" i="52"/>
  <c r="S2941" i="52" s="1"/>
  <c r="Q2943" i="52" l="1"/>
  <c r="Q2944" i="52" s="1"/>
  <c r="R2944" i="52" l="1"/>
  <c r="S2944" i="52" s="1"/>
  <c r="Q2945" i="52"/>
  <c r="R2945" i="52" s="1"/>
  <c r="S2945" i="52" s="1"/>
  <c r="R2943" i="52"/>
  <c r="S2943" i="52" s="1"/>
  <c r="Q2946" i="52" l="1"/>
  <c r="Q2947" i="52" l="1"/>
  <c r="R2947" i="52" s="1"/>
  <c r="S2947" i="52" s="1"/>
  <c r="R2946" i="52"/>
  <c r="S2946" i="52" s="1"/>
  <c r="Q2948" i="52" l="1"/>
  <c r="Q2949" i="52" l="1"/>
  <c r="Q2950" i="52" s="1"/>
  <c r="R2948" i="52"/>
  <c r="S2948" i="52" s="1"/>
  <c r="R2950" i="52" l="1"/>
  <c r="S2950" i="52" s="1"/>
  <c r="Q2951" i="52"/>
  <c r="R2951" i="52" s="1"/>
  <c r="S2951" i="52" s="1"/>
  <c r="R2949" i="52"/>
  <c r="S2949" i="52" s="1"/>
  <c r="Q2952" i="52" l="1"/>
  <c r="R2952" i="52" s="1"/>
  <c r="S2952" i="52" s="1"/>
  <c r="Q2953" i="52" l="1"/>
  <c r="Q2954" i="52" s="1"/>
  <c r="R2953" i="52" l="1"/>
  <c r="S2953" i="52" s="1"/>
  <c r="R2954" i="52"/>
  <c r="S2954" i="52" s="1"/>
  <c r="Q2955" i="52"/>
  <c r="Q2956" i="52" s="1"/>
  <c r="R2955" i="52" l="1"/>
  <c r="S2955" i="52" s="1"/>
  <c r="R2956" i="52"/>
  <c r="S2956" i="52" s="1"/>
  <c r="Q2957" i="52"/>
  <c r="R2957" i="52" s="1"/>
  <c r="S2957" i="52" s="1"/>
  <c r="Q2958" i="52" l="1"/>
  <c r="R2958" i="52" s="1"/>
  <c r="S2958" i="52" s="1"/>
  <c r="Q2959" i="52" l="1"/>
  <c r="Q2960" i="52" s="1"/>
  <c r="R2959" i="52" l="1"/>
  <c r="S2959" i="52" s="1"/>
  <c r="R2960" i="52"/>
  <c r="S2960" i="52" s="1"/>
  <c r="Q2961" i="52"/>
  <c r="Q2962" i="52" s="1"/>
  <c r="R2961" i="52" l="1"/>
  <c r="S2961" i="52" s="1"/>
  <c r="R2962" i="52"/>
  <c r="S2962" i="52" s="1"/>
  <c r="Q2963" i="52"/>
  <c r="Q2964" i="52" l="1"/>
  <c r="R2964" i="52" s="1"/>
  <c r="S2964" i="52" s="1"/>
  <c r="R2963" i="52"/>
  <c r="S2963" i="52" s="1"/>
  <c r="Q2965" i="52" l="1"/>
  <c r="R2965" i="52" s="1"/>
  <c r="S2965" i="52" s="1"/>
  <c r="Q2966" i="52" l="1"/>
  <c r="R2966" i="52" s="1"/>
  <c r="S2966" i="52" s="1"/>
  <c r="Q2967" i="52" l="1"/>
  <c r="Q2968" i="52" s="1"/>
  <c r="R2967" i="52" l="1"/>
  <c r="S2967" i="52" s="1"/>
  <c r="R2968" i="52"/>
  <c r="S2968" i="52" s="1"/>
  <c r="Q2969" i="52"/>
  <c r="Q2970" i="52" l="1"/>
  <c r="R2970" i="52" s="1"/>
  <c r="S2970" i="52" s="1"/>
  <c r="R2969" i="52"/>
  <c r="S2969" i="52" s="1"/>
  <c r="Q2971" i="52" l="1"/>
  <c r="Q2972" i="52" s="1"/>
  <c r="R2971" i="52" l="1"/>
  <c r="S2971" i="52" s="1"/>
  <c r="R2972" i="52"/>
  <c r="S2972" i="52" s="1"/>
  <c r="Q2973" i="52"/>
  <c r="R2973" i="52" s="1"/>
  <c r="S2973" i="52" s="1"/>
  <c r="Q2974" i="52" l="1"/>
  <c r="R2974" i="52" s="1"/>
  <c r="S2974" i="52" s="1"/>
  <c r="Q2975" i="52" l="1"/>
  <c r="Q2976" i="52" s="1"/>
  <c r="R2975" i="52" l="1"/>
  <c r="S2975" i="52" s="1"/>
  <c r="R2976" i="52"/>
  <c r="S2976" i="52" s="1"/>
  <c r="Q2977" i="52"/>
  <c r="R2977" i="52" s="1"/>
  <c r="S2977" i="52" s="1"/>
  <c r="Q2978" i="52" l="1"/>
  <c r="R2978" i="52" s="1"/>
  <c r="S2978" i="52" s="1"/>
  <c r="Q2979" i="52" l="1"/>
  <c r="Q2980" i="52" s="1"/>
  <c r="R2979" i="52" l="1"/>
  <c r="S2979" i="52" s="1"/>
  <c r="R2980" i="52"/>
  <c r="S2980" i="52" s="1"/>
  <c r="Q2981" i="52"/>
  <c r="R2981" i="52" s="1"/>
  <c r="S2981" i="52" s="1"/>
  <c r="Q2982" i="52" l="1"/>
  <c r="R2982" i="52" s="1"/>
  <c r="S2982" i="52" s="1"/>
  <c r="Q2983" i="52" l="1"/>
  <c r="Q2984" i="52" s="1"/>
  <c r="R2983" i="52" l="1"/>
  <c r="S2983" i="52" s="1"/>
  <c r="R2984" i="52"/>
  <c r="S2984" i="52" s="1"/>
  <c r="Q2985" i="52"/>
  <c r="Q2986" i="52" s="1"/>
  <c r="R2985" i="52" l="1"/>
  <c r="S2985" i="52" s="1"/>
  <c r="R2986" i="52"/>
  <c r="S2986" i="52" s="1"/>
  <c r="Q2987" i="52"/>
  <c r="Q2988" i="52" s="1"/>
  <c r="R2987" i="52" l="1"/>
  <c r="S2987" i="52" s="1"/>
  <c r="R2988" i="52"/>
  <c r="S2988" i="52" s="1"/>
  <c r="Q2989" i="52"/>
  <c r="R2989" i="52" s="1"/>
  <c r="S2989" i="52" s="1"/>
  <c r="Q2990" i="52" l="1"/>
  <c r="Q2991" i="52" l="1"/>
  <c r="Q2992" i="52" s="1"/>
  <c r="R2990" i="52"/>
  <c r="S2990" i="52" s="1"/>
  <c r="R2991" i="52" l="1"/>
  <c r="S2991" i="52" s="1"/>
  <c r="R2992" i="52"/>
  <c r="S2992" i="52" s="1"/>
  <c r="Q2993" i="52"/>
  <c r="R2993" i="52" s="1"/>
  <c r="S2993" i="52" s="1"/>
  <c r="Q2994" i="52" l="1"/>
  <c r="Q2995" i="52" l="1"/>
  <c r="Q2996" i="52" s="1"/>
  <c r="R2994" i="52"/>
  <c r="S2994" i="52" s="1"/>
  <c r="R2996" i="52" l="1"/>
  <c r="S2996" i="52" s="1"/>
  <c r="Q2997" i="52"/>
  <c r="R2997" i="52" s="1"/>
  <c r="S2997" i="52" s="1"/>
  <c r="R2995" i="52"/>
  <c r="S2995" i="52" s="1"/>
  <c r="Q2998" i="52" l="1"/>
  <c r="R2998" i="52" s="1"/>
  <c r="S2998" i="52" s="1"/>
  <c r="Q2999" i="52" l="1"/>
  <c r="R2999" i="52" s="1"/>
  <c r="S2999" i="52" s="1"/>
  <c r="Q3000" i="52" l="1"/>
  <c r="R3000" i="52" s="1"/>
  <c r="S3000" i="52" s="1"/>
  <c r="Q3001" i="52" l="1"/>
  <c r="Q3002" i="52" s="1"/>
  <c r="R3002" i="52" l="1"/>
  <c r="S3002" i="52" s="1"/>
  <c r="Q3003" i="52"/>
  <c r="R3003" i="52" s="1"/>
  <c r="S3003" i="52" s="1"/>
  <c r="R3001" i="52"/>
  <c r="S3001" i="52" s="1"/>
  <c r="Q3004" i="52" l="1"/>
  <c r="R3004" i="52" s="1"/>
  <c r="S3004" i="52" s="1"/>
  <c r="Q3005" i="52" l="1"/>
  <c r="Q3006" i="52" l="1"/>
  <c r="R3006" i="52" s="1"/>
  <c r="S3006" i="52" s="1"/>
  <c r="R3005" i="52"/>
  <c r="S3005" i="52" s="1"/>
  <c r="Q3007" i="52" l="1"/>
  <c r="Q3008" i="52" l="1"/>
  <c r="R3008" i="52" s="1"/>
  <c r="S3008" i="52" s="1"/>
  <c r="R3007" i="52"/>
  <c r="S3007" i="52" s="1"/>
  <c r="Q3009" i="52" l="1"/>
  <c r="Q3010" i="52" s="1"/>
  <c r="R3009" i="52" l="1"/>
  <c r="S3009" i="52" s="1"/>
  <c r="R3010" i="52"/>
  <c r="S3010" i="52" s="1"/>
  <c r="Q3011" i="52"/>
  <c r="Q3012" i="52" l="1"/>
  <c r="R3012" i="52" s="1"/>
  <c r="S3012" i="52" s="1"/>
  <c r="R3011" i="52"/>
  <c r="S3011" i="52" s="1"/>
  <c r="Q3013" i="52" l="1"/>
  <c r="R3013" i="52" s="1"/>
  <c r="S3013" i="52" s="1"/>
  <c r="Q3014" i="52" l="1"/>
  <c r="R3014" i="52" s="1"/>
  <c r="S3014" i="52" s="1"/>
  <c r="Q3015" i="52" l="1"/>
  <c r="Q3016" i="52" l="1"/>
  <c r="R3016" i="52" s="1"/>
  <c r="S3016" i="52" s="1"/>
  <c r="R3015" i="52"/>
  <c r="S3015" i="52" s="1"/>
  <c r="Q3017" i="52" l="1"/>
  <c r="Q3018" i="52" s="1"/>
  <c r="R3017" i="52" l="1"/>
  <c r="S3017" i="52" s="1"/>
  <c r="R3018" i="52"/>
  <c r="S3018" i="52" s="1"/>
  <c r="Q3019" i="52"/>
  <c r="Q3020" i="52" s="1"/>
  <c r="R3019" i="52" l="1"/>
  <c r="S3019" i="52" s="1"/>
  <c r="R3020" i="52"/>
  <c r="S3020" i="52" s="1"/>
  <c r="Q3021" i="52"/>
  <c r="Q3022" i="52" s="1"/>
  <c r="R3021" i="52" l="1"/>
  <c r="S3021" i="52" s="1"/>
  <c r="R3022" i="52"/>
  <c r="S3022" i="52" s="1"/>
  <c r="Q3023" i="52"/>
  <c r="Q3024" i="52" s="1"/>
  <c r="R3024" i="52" l="1"/>
  <c r="S3024" i="52" s="1"/>
  <c r="Q3025" i="52"/>
  <c r="Q3026" i="52" s="1"/>
  <c r="R3023" i="52"/>
  <c r="S3023" i="52" s="1"/>
  <c r="R3025" i="52" l="1"/>
  <c r="S3025" i="52" s="1"/>
  <c r="R3026" i="52"/>
  <c r="S3026" i="52" s="1"/>
  <c r="Q3027" i="52"/>
  <c r="Q3028" i="52" s="1"/>
  <c r="R3027" i="52" l="1"/>
  <c r="S3027" i="52" s="1"/>
  <c r="R3028" i="52"/>
  <c r="S3028" i="52" s="1"/>
  <c r="Q3029" i="52"/>
  <c r="Q3030" i="52" s="1"/>
  <c r="R3029" i="52" l="1"/>
  <c r="S3029" i="52" s="1"/>
  <c r="R3030" i="52"/>
  <c r="S3030" i="52" s="1"/>
  <c r="Q3031" i="52"/>
  <c r="Q3032" i="52" s="1"/>
  <c r="R3031" i="52" l="1"/>
  <c r="S3031" i="52" s="1"/>
  <c r="R3032" i="52"/>
  <c r="S3032" i="52" s="1"/>
  <c r="Q3033" i="52"/>
  <c r="Q3034" i="52" s="1"/>
  <c r="R3033" i="52" l="1"/>
  <c r="S3033" i="52" s="1"/>
  <c r="R3034" i="52"/>
  <c r="S3034" i="52" s="1"/>
  <c r="Q3035" i="52"/>
  <c r="Q3036" i="52" s="1"/>
  <c r="R3035" i="52" l="1"/>
  <c r="S3035" i="52" s="1"/>
  <c r="R3036" i="52"/>
  <c r="S3036" i="52" s="1"/>
  <c r="Q3037" i="52"/>
  <c r="Q3038" i="52" s="1"/>
  <c r="R3037" i="52" l="1"/>
  <c r="S3037" i="52" s="1"/>
  <c r="R3038" i="52"/>
  <c r="S3038" i="52" s="1"/>
  <c r="Q3039" i="52"/>
  <c r="R3039" i="52" s="1"/>
  <c r="S3039" i="52" s="1"/>
  <c r="Q3040" i="52" l="1"/>
  <c r="Q3041" i="52" l="1"/>
  <c r="R3041" i="52" s="1"/>
  <c r="S3041" i="52" s="1"/>
  <c r="R3040" i="52"/>
  <c r="S3040" i="52" s="1"/>
  <c r="Q3042" i="52" l="1"/>
  <c r="Q3043" i="52" l="1"/>
  <c r="R3043" i="52" s="1"/>
  <c r="S3043" i="52" s="1"/>
  <c r="R3042" i="52"/>
  <c r="S3042" i="52" s="1"/>
  <c r="Q3044" i="52" l="1"/>
  <c r="Q3045" i="52" l="1"/>
  <c r="Q3046" i="52" s="1"/>
  <c r="R3044" i="52"/>
  <c r="S3044" i="52" s="1"/>
  <c r="R3046" i="52" l="1"/>
  <c r="S3046" i="52" s="1"/>
  <c r="Q3047" i="52"/>
  <c r="R3047" i="52" s="1"/>
  <c r="S3047" i="52" s="1"/>
  <c r="R3045" i="52"/>
  <c r="S3045" i="52" s="1"/>
  <c r="Q3048" i="52" l="1"/>
  <c r="Q3049" i="52" l="1"/>
  <c r="Q3050" i="52" s="1"/>
  <c r="R3048" i="52"/>
  <c r="S3048" i="52" s="1"/>
  <c r="R3049" i="52" l="1"/>
  <c r="S3049" i="52" s="1"/>
  <c r="R3050" i="52"/>
  <c r="S3050" i="52" s="1"/>
  <c r="Q3051" i="52"/>
  <c r="Q3052" i="52" l="1"/>
  <c r="R3052" i="52" s="1"/>
  <c r="S3052" i="52" s="1"/>
  <c r="R3051" i="52"/>
  <c r="S3051" i="52" s="1"/>
  <c r="Q3053" i="52" l="1"/>
  <c r="Q3054" i="52" s="1"/>
  <c r="R3053" i="52" l="1"/>
  <c r="S3053" i="52" s="1"/>
  <c r="R3054" i="52"/>
  <c r="S3054" i="52" s="1"/>
  <c r="Q3055" i="52"/>
  <c r="R3055" i="52" s="1"/>
  <c r="S3055" i="52" s="1"/>
  <c r="Q3056" i="52" l="1"/>
  <c r="R3056" i="52" s="1"/>
  <c r="S3056" i="52" s="1"/>
  <c r="Q3057" i="52" l="1"/>
  <c r="Q3058" i="52" s="1"/>
  <c r="R3057" i="52" l="1"/>
  <c r="S3057" i="52" s="1"/>
  <c r="R3058" i="52"/>
  <c r="S3058" i="52" s="1"/>
  <c r="Q3059" i="52"/>
  <c r="R3059" i="52" s="1"/>
  <c r="S3059" i="52" s="1"/>
  <c r="Q3060" i="52" l="1"/>
  <c r="R3060" i="52" s="1"/>
  <c r="S3060" i="52" s="1"/>
  <c r="Q3061" i="52" l="1"/>
  <c r="Q3062" i="52" l="1"/>
  <c r="R3062" i="52" s="1"/>
  <c r="S3062" i="52" s="1"/>
  <c r="R3061" i="52"/>
  <c r="S3061" i="52" s="1"/>
  <c r="Q3063" i="52" l="1"/>
  <c r="Q3064" i="52" s="1"/>
  <c r="R3063" i="52" l="1"/>
  <c r="S3063" i="52" s="1"/>
  <c r="R3064" i="52"/>
  <c r="S3064" i="52" s="1"/>
  <c r="Q3065" i="52"/>
  <c r="Q3066" i="52" s="1"/>
  <c r="R3065" i="52" l="1"/>
  <c r="S3065" i="52" s="1"/>
  <c r="R3066" i="52"/>
  <c r="S3066" i="52" s="1"/>
  <c r="Q3067" i="52"/>
  <c r="Q3068" i="52" s="1"/>
  <c r="R3068" i="52" l="1"/>
  <c r="S3068" i="52" s="1"/>
  <c r="Q3069" i="52"/>
  <c r="R3069" i="52" s="1"/>
  <c r="S3069" i="52" s="1"/>
  <c r="R3067" i="52"/>
  <c r="S3067" i="52" s="1"/>
  <c r="Q3070" i="52" l="1"/>
  <c r="R3070" i="52" s="1"/>
  <c r="S3070" i="52" s="1"/>
  <c r="Q3071" i="52" l="1"/>
  <c r="R3071" i="52" s="1"/>
  <c r="S3071" i="52" s="1"/>
  <c r="Q3072" i="52" l="1"/>
  <c r="R3072" i="52" s="1"/>
  <c r="S3072" i="52" s="1"/>
  <c r="Q3073" i="52" l="1"/>
  <c r="Q3074" i="52" s="1"/>
  <c r="R3074" i="52" l="1"/>
  <c r="S3074" i="52" s="1"/>
  <c r="Q3075" i="52"/>
  <c r="R3075" i="52" s="1"/>
  <c r="S3075" i="52" s="1"/>
  <c r="R3073" i="52"/>
  <c r="S3073" i="52" s="1"/>
  <c r="Q3076" i="52" l="1"/>
  <c r="R3076" i="52" s="1"/>
  <c r="S3076" i="52" s="1"/>
  <c r="Q3077" i="52" l="1"/>
  <c r="Q3078" i="52" s="1"/>
  <c r="R3077" i="52" l="1"/>
  <c r="S3077" i="52" s="1"/>
  <c r="R3078" i="52"/>
  <c r="S3078" i="52" s="1"/>
  <c r="Q3079" i="52"/>
  <c r="Q3080" i="52" s="1"/>
  <c r="R3079" i="52" l="1"/>
  <c r="S3079" i="52" s="1"/>
  <c r="R3080" i="52"/>
  <c r="S3080" i="52" s="1"/>
  <c r="Q3081" i="52"/>
  <c r="Q3082" i="52" s="1"/>
  <c r="R3082" i="52" l="1"/>
  <c r="S3082" i="52" s="1"/>
  <c r="Q3083" i="52"/>
  <c r="R3083" i="52" s="1"/>
  <c r="S3083" i="52" s="1"/>
  <c r="R3081" i="52"/>
  <c r="S3081" i="52" s="1"/>
  <c r="Q3084" i="52" l="1"/>
  <c r="R3084" i="52" s="1"/>
  <c r="S3084" i="52" s="1"/>
  <c r="Q3085" i="52" l="1"/>
  <c r="Q3086" i="52" l="1"/>
  <c r="R3086" i="52" s="1"/>
  <c r="S3086" i="52" s="1"/>
  <c r="R3085" i="52"/>
  <c r="S3085" i="52" s="1"/>
  <c r="Q3087" i="52" l="1"/>
  <c r="Q3088" i="52" s="1"/>
  <c r="R3087" i="52" l="1"/>
  <c r="S3087" i="52" s="1"/>
  <c r="R3088" i="52"/>
  <c r="S3088" i="52" s="1"/>
  <c r="Q3089" i="52"/>
  <c r="R3089" i="52" s="1"/>
  <c r="S3089" i="52" s="1"/>
  <c r="Q3090" i="52" l="1"/>
  <c r="R3090" i="52" s="1"/>
  <c r="S3090" i="52" s="1"/>
  <c r="Q3091" i="52" l="1"/>
  <c r="Q3092" i="52" s="1"/>
  <c r="R3091" i="52" l="1"/>
  <c r="S3091" i="52" s="1"/>
  <c r="R3092" i="52"/>
  <c r="S3092" i="52" s="1"/>
  <c r="Q3093" i="52"/>
  <c r="Q3094" i="52" s="1"/>
  <c r="R3093" i="52" l="1"/>
  <c r="S3093" i="52" s="1"/>
  <c r="R3094" i="52"/>
  <c r="S3094" i="52" s="1"/>
  <c r="Q3095" i="52"/>
  <c r="Q3096" i="52" s="1"/>
  <c r="R3095" i="52" l="1"/>
  <c r="S3095" i="52" s="1"/>
  <c r="R3096" i="52"/>
  <c r="S3096" i="52" s="1"/>
  <c r="Q3097" i="52"/>
  <c r="R3097" i="52" s="1"/>
  <c r="S3097" i="52" s="1"/>
  <c r="Q3098" i="52" l="1"/>
  <c r="Q3099" i="52" l="1"/>
  <c r="Q3100" i="52" s="1"/>
  <c r="R3098" i="52"/>
  <c r="S3098" i="52" s="1"/>
  <c r="R3099" i="52" l="1"/>
  <c r="S3099" i="52" s="1"/>
  <c r="R3100" i="52"/>
  <c r="S3100" i="52" s="1"/>
  <c r="Q3101" i="52"/>
  <c r="R3101" i="52" s="1"/>
  <c r="S3101" i="52" s="1"/>
  <c r="Q3102" i="52" l="1"/>
  <c r="R3102" i="52" s="1"/>
  <c r="S3102" i="52" s="1"/>
  <c r="Q3103" i="52" l="1"/>
  <c r="Q3104" i="52" s="1"/>
  <c r="R3103" i="52" l="1"/>
  <c r="S3103" i="52" s="1"/>
  <c r="R3104" i="52"/>
  <c r="S3104" i="52" s="1"/>
  <c r="Q3105" i="52"/>
  <c r="R3105" i="52" s="1"/>
  <c r="S3105" i="52" s="1"/>
  <c r="Q3106" i="52" l="1"/>
  <c r="R3106" i="52" s="1"/>
  <c r="S3106" i="52" s="1"/>
  <c r="Q3107" i="52" l="1"/>
  <c r="Q3108" i="52" s="1"/>
  <c r="R3107" i="52" l="1"/>
  <c r="S3107" i="52" s="1"/>
  <c r="R3108" i="52"/>
  <c r="S3108" i="52" s="1"/>
  <c r="Q3109" i="52"/>
  <c r="R3109" i="52" s="1"/>
  <c r="S3109" i="52" s="1"/>
  <c r="Q3110" i="52" l="1"/>
  <c r="R3110" i="52" s="1"/>
  <c r="S3110" i="52" s="1"/>
  <c r="Q3111" i="52" l="1"/>
  <c r="Q3112" i="52" s="1"/>
  <c r="R3111" i="52" l="1"/>
  <c r="S3111" i="52" s="1"/>
  <c r="R3112" i="52"/>
  <c r="S3112" i="52" s="1"/>
  <c r="Q3113" i="52"/>
  <c r="Q3114" i="52" l="1"/>
  <c r="R3114" i="52" s="1"/>
  <c r="S3114" i="52" s="1"/>
  <c r="R3113" i="52"/>
  <c r="S3113" i="52" s="1"/>
  <c r="Q3115" i="52" l="1"/>
  <c r="Q3116" i="52" l="1"/>
  <c r="R3116" i="52" s="1"/>
  <c r="S3116" i="52" s="1"/>
  <c r="R3115" i="52"/>
  <c r="S3115" i="52" s="1"/>
  <c r="Q3117" i="52" l="1"/>
  <c r="Q3118" i="52" s="1"/>
  <c r="R3118" i="52" l="1"/>
  <c r="S3118" i="52" s="1"/>
  <c r="Q3119" i="52"/>
  <c r="Q3120" i="52" s="1"/>
  <c r="R3117" i="52"/>
  <c r="S3117" i="52" s="1"/>
  <c r="R3119" i="52" l="1"/>
  <c r="S3119" i="52" s="1"/>
  <c r="R3120" i="52"/>
  <c r="S3120" i="52" s="1"/>
  <c r="Q3121" i="52"/>
  <c r="Q3122" i="52" s="1"/>
  <c r="R3121" i="52" l="1"/>
  <c r="S3121" i="52" s="1"/>
  <c r="R3122" i="52"/>
  <c r="S3122" i="52" s="1"/>
  <c r="Q3123" i="52"/>
  <c r="Q3124" i="52" s="1"/>
  <c r="R3123" i="52" l="1"/>
  <c r="S3123" i="52" s="1"/>
  <c r="R3124" i="52"/>
  <c r="S3124" i="52" s="1"/>
  <c r="Q3125" i="52"/>
  <c r="R3125" i="52" s="1"/>
  <c r="S3125" i="52" s="1"/>
  <c r="Q3126" i="52" l="1"/>
  <c r="R3126" i="52" s="1"/>
  <c r="S3126" i="52" s="1"/>
  <c r="Q3127" i="52" l="1"/>
  <c r="Q3128" i="52" s="1"/>
  <c r="R3127" i="52" l="1"/>
  <c r="S3127" i="52" s="1"/>
  <c r="R3128" i="52"/>
  <c r="S3128" i="52" s="1"/>
  <c r="Q3129" i="52"/>
  <c r="Q3130" i="52" s="1"/>
  <c r="R3130" i="52" l="1"/>
  <c r="S3130" i="52" s="1"/>
  <c r="Q3131" i="52"/>
  <c r="Q3132" i="52" s="1"/>
  <c r="R3129" i="52"/>
  <c r="S3129" i="52" s="1"/>
  <c r="R3131" i="52" l="1"/>
  <c r="S3131" i="52" s="1"/>
  <c r="R3132" i="52"/>
  <c r="S3132" i="52" s="1"/>
  <c r="Q3133" i="52"/>
  <c r="Q3134" i="52" s="1"/>
  <c r="R3134" i="52" l="1"/>
  <c r="S3134" i="52" s="1"/>
  <c r="Q3135" i="52"/>
  <c r="R3135" i="52" s="1"/>
  <c r="S3135" i="52" s="1"/>
  <c r="R3133" i="52"/>
  <c r="S3133" i="52" s="1"/>
  <c r="Q3136" i="52" l="1"/>
  <c r="R3136" i="52" s="1"/>
  <c r="S3136" i="52" s="1"/>
  <c r="Q3137" i="52" l="1"/>
  <c r="Q3138" i="52" s="1"/>
  <c r="R3138" i="52" l="1"/>
  <c r="S3138" i="52" s="1"/>
  <c r="Q3139" i="52"/>
  <c r="Q3140" i="52" s="1"/>
  <c r="R3137" i="52"/>
  <c r="S3137" i="52" s="1"/>
  <c r="R3139" i="52" l="1"/>
  <c r="S3139" i="52" s="1"/>
  <c r="R3140" i="52"/>
  <c r="S3140" i="52" s="1"/>
  <c r="Q3141" i="52"/>
  <c r="Q3142" i="52" s="1"/>
  <c r="R3141" i="52" l="1"/>
  <c r="S3141" i="52" s="1"/>
  <c r="R3142" i="52"/>
  <c r="S3142" i="52" s="1"/>
  <c r="Q3143" i="52"/>
  <c r="Q3144" i="52" s="1"/>
  <c r="R3144" i="52" l="1"/>
  <c r="S3144" i="52" s="1"/>
  <c r="Q3145" i="52"/>
  <c r="Q3146" i="52" s="1"/>
  <c r="R3143" i="52"/>
  <c r="S3143" i="52" s="1"/>
  <c r="R3145" i="52" l="1"/>
  <c r="S3145" i="52" s="1"/>
  <c r="R3146" i="52"/>
  <c r="S3146" i="52" s="1"/>
  <c r="Q3147" i="52"/>
  <c r="Q3148" i="52" s="1"/>
  <c r="R3147" i="52" l="1"/>
  <c r="S3147" i="52" s="1"/>
  <c r="R3148" i="52"/>
  <c r="S3148" i="52" s="1"/>
  <c r="Q3149" i="52"/>
  <c r="R3149" i="52" s="1"/>
  <c r="S3149" i="52" s="1"/>
  <c r="Q3150" i="52" l="1"/>
  <c r="R3150" i="52" s="1"/>
  <c r="S3150" i="52" s="1"/>
  <c r="Q3151" i="52" l="1"/>
  <c r="Q3152" i="52" s="1"/>
  <c r="R3151" i="52" l="1"/>
  <c r="S3151" i="52" s="1"/>
  <c r="R3152" i="52"/>
  <c r="S3152" i="52" s="1"/>
  <c r="Q3153" i="52"/>
  <c r="R3153" i="52" s="1"/>
  <c r="S3153" i="52" s="1"/>
  <c r="Q3154" i="52" l="1"/>
  <c r="R3154" i="52" s="1"/>
  <c r="S3154" i="52" s="1"/>
  <c r="Q3155" i="52" l="1"/>
  <c r="Q3156" i="52" s="1"/>
  <c r="R3155" i="52" l="1"/>
  <c r="S3155" i="52" s="1"/>
  <c r="R3156" i="52"/>
  <c r="S3156" i="52" s="1"/>
  <c r="Q3157" i="52"/>
  <c r="R3157" i="52" s="1"/>
  <c r="S3157" i="52" s="1"/>
  <c r="Q3158" i="52" l="1"/>
  <c r="Q3159" i="52" l="1"/>
  <c r="R3159" i="52" s="1"/>
  <c r="S3159" i="52" s="1"/>
  <c r="R3158" i="52"/>
  <c r="S3158" i="52" s="1"/>
  <c r="Q3160" i="52" l="1"/>
  <c r="Q3161" i="52" l="1"/>
  <c r="Q3162" i="52" s="1"/>
  <c r="R3160" i="52"/>
  <c r="S3160" i="52" s="1"/>
  <c r="R3161" i="52" l="1"/>
  <c r="S3161" i="52" s="1"/>
  <c r="R3162" i="52"/>
  <c r="S3162" i="52" s="1"/>
  <c r="Q3163" i="52"/>
  <c r="R3163" i="52" s="1"/>
  <c r="S3163" i="52" s="1"/>
  <c r="Q3164" i="52" l="1"/>
  <c r="R3164" i="52" s="1"/>
  <c r="S3164" i="52" s="1"/>
  <c r="Q3165" i="52" l="1"/>
  <c r="Q3166" i="52" s="1"/>
  <c r="R3165" i="52" l="1"/>
  <c r="S3165" i="52" s="1"/>
  <c r="R3166" i="52"/>
  <c r="S3166" i="52" s="1"/>
  <c r="Q3167" i="52"/>
  <c r="R3167" i="52" s="1"/>
  <c r="S3167" i="52" s="1"/>
  <c r="Q3168" i="52" l="1"/>
  <c r="R3168" i="52" s="1"/>
  <c r="S3168" i="52" s="1"/>
  <c r="Q3169" i="52" l="1"/>
  <c r="Q3170" i="52" s="1"/>
  <c r="R3169" i="52" l="1"/>
  <c r="S3169" i="52" s="1"/>
  <c r="R3170" i="52"/>
  <c r="S3170" i="52" s="1"/>
  <c r="Q3171" i="52"/>
  <c r="Q3172" i="52" l="1"/>
  <c r="R3172" i="52" s="1"/>
  <c r="S3172" i="52" s="1"/>
  <c r="R3171" i="52"/>
  <c r="S3171" i="52" s="1"/>
  <c r="Q3173" i="52" l="1"/>
  <c r="R3173" i="52" s="1"/>
  <c r="S3173" i="52" s="1"/>
  <c r="Q3174" i="52" l="1"/>
  <c r="R3174" i="52" s="1"/>
  <c r="S3174" i="52" s="1"/>
  <c r="Q3175" i="52" l="1"/>
  <c r="Q3176" i="52" s="1"/>
  <c r="R3175" i="52" l="1"/>
  <c r="S3175" i="52" s="1"/>
  <c r="R3176" i="52"/>
  <c r="S3176" i="52" s="1"/>
  <c r="Q3177" i="52"/>
  <c r="Q3178" i="52" s="1"/>
  <c r="R3178" i="52" l="1"/>
  <c r="S3178" i="52" s="1"/>
  <c r="Q3179" i="52"/>
  <c r="Q3180" i="52" s="1"/>
  <c r="R3177" i="52"/>
  <c r="S3177" i="52" s="1"/>
  <c r="R3180" i="52" l="1"/>
  <c r="S3180" i="52" s="1"/>
  <c r="Q3181" i="52"/>
  <c r="Q3182" i="52" s="1"/>
  <c r="R3179" i="52"/>
  <c r="S3179" i="52" s="1"/>
  <c r="R3181" i="52" l="1"/>
  <c r="S3181" i="52" s="1"/>
  <c r="R3182" i="52"/>
  <c r="S3182" i="52" s="1"/>
  <c r="Q3183" i="52"/>
  <c r="R3183" i="52" s="1"/>
  <c r="S3183" i="52" s="1"/>
  <c r="Q3184" i="52" l="1"/>
  <c r="R3184" i="52" s="1"/>
  <c r="S3184" i="52" s="1"/>
  <c r="Q3185" i="52" l="1"/>
  <c r="Q3186" i="52" s="1"/>
  <c r="R3185" i="52" l="1"/>
  <c r="S3185" i="52" s="1"/>
  <c r="R3186" i="52"/>
  <c r="S3186" i="52" s="1"/>
  <c r="Q3187" i="52"/>
  <c r="R3187" i="52" s="1"/>
  <c r="S3187" i="52" s="1"/>
  <c r="Q3188" i="52" l="1"/>
  <c r="Q3189" i="52" l="1"/>
  <c r="Q3190" i="52" s="1"/>
  <c r="R3188" i="52"/>
  <c r="S3188" i="52" s="1"/>
  <c r="R3189" i="52" l="1"/>
  <c r="S3189" i="52" s="1"/>
  <c r="R3190" i="52"/>
  <c r="S3190" i="52" s="1"/>
  <c r="Q3191" i="52"/>
  <c r="Q3192" i="52" s="1"/>
  <c r="R3191" i="52" l="1"/>
  <c r="S3191" i="52" s="1"/>
  <c r="R3192" i="52"/>
  <c r="S3192" i="52" s="1"/>
  <c r="Q3193" i="52"/>
  <c r="R3193" i="52" s="1"/>
  <c r="S3193" i="52" s="1"/>
  <c r="Q3194" i="52" l="1"/>
  <c r="R3194" i="52" s="1"/>
  <c r="S3194" i="52" s="1"/>
  <c r="Q3195" i="52" l="1"/>
  <c r="Q3196" i="52" s="1"/>
  <c r="R3195" i="52" l="1"/>
  <c r="S3195" i="52" s="1"/>
  <c r="R3196" i="52"/>
  <c r="S3196" i="52" s="1"/>
  <c r="Q3197" i="52"/>
  <c r="Q3198" i="52" s="1"/>
  <c r="R3197" i="52" l="1"/>
  <c r="S3197" i="52" s="1"/>
  <c r="R3198" i="52"/>
  <c r="S3198" i="52" s="1"/>
  <c r="Q3199" i="52"/>
  <c r="R3199" i="52" s="1"/>
  <c r="S3199" i="52" s="1"/>
  <c r="Q3200" i="52" l="1"/>
  <c r="R3200" i="52" s="1"/>
  <c r="S3200" i="52" s="1"/>
  <c r="Q3201" i="52" l="1"/>
  <c r="Q3202" i="52" s="1"/>
  <c r="R3201" i="52" l="1"/>
  <c r="S3201" i="52" s="1"/>
  <c r="R3202" i="52"/>
  <c r="S3202" i="52" s="1"/>
  <c r="Q3203" i="52"/>
  <c r="Q3204" i="52" s="1"/>
  <c r="R3203" i="52" l="1"/>
  <c r="S3203" i="52" s="1"/>
  <c r="R3204" i="52"/>
  <c r="S3204" i="52" s="1"/>
  <c r="Q3205" i="52"/>
  <c r="Q3206" i="52" s="1"/>
  <c r="R3205" i="52" l="1"/>
  <c r="S3205" i="52" s="1"/>
  <c r="R3206" i="52"/>
  <c r="S3206" i="52" s="1"/>
  <c r="Q3207" i="52"/>
  <c r="R3207" i="52" s="1"/>
  <c r="S3207" i="52" s="1"/>
  <c r="Q3208" i="52" l="1"/>
  <c r="R3208" i="52" s="1"/>
  <c r="S3208" i="52" s="1"/>
  <c r="Q3209" i="52" l="1"/>
  <c r="Q3210" i="52" s="1"/>
  <c r="R3210" i="52" l="1"/>
  <c r="S3210" i="52" s="1"/>
  <c r="Q3211" i="52"/>
  <c r="R3211" i="52" s="1"/>
  <c r="S3211" i="52" s="1"/>
  <c r="R3209" i="52"/>
  <c r="S3209" i="52" s="1"/>
  <c r="Q3212" i="52" l="1"/>
  <c r="R3212" i="52" s="1"/>
  <c r="S3212" i="52" s="1"/>
  <c r="Q3213" i="52" l="1"/>
  <c r="Q3214" i="52" s="1"/>
  <c r="R3213" i="52" l="1"/>
  <c r="S3213" i="52" s="1"/>
  <c r="R3214" i="52"/>
  <c r="S3214" i="52" s="1"/>
  <c r="Q3215" i="52"/>
  <c r="R3215" i="52" s="1"/>
  <c r="S3215" i="52" s="1"/>
  <c r="Q3216" i="52" l="1"/>
  <c r="Q3217" i="52" l="1"/>
  <c r="Q3218" i="52" s="1"/>
  <c r="R3216" i="52"/>
  <c r="S3216" i="52" s="1"/>
  <c r="R3217" i="52" l="1"/>
  <c r="S3217" i="52" s="1"/>
  <c r="R3218" i="52"/>
  <c r="S3218" i="52" s="1"/>
  <c r="Q3219" i="52"/>
  <c r="R3219" i="52" s="1"/>
  <c r="S3219" i="52" s="1"/>
  <c r="Q3220" i="52" l="1"/>
  <c r="R3220" i="52" s="1"/>
  <c r="S3220" i="52" s="1"/>
  <c r="Q3221" i="52" l="1"/>
  <c r="Q3222" i="52" s="1"/>
  <c r="R3221" i="52" l="1"/>
  <c r="S3221" i="52" s="1"/>
  <c r="R3222" i="52"/>
  <c r="S3222" i="52" s="1"/>
  <c r="Q3223" i="52"/>
  <c r="Q3224" i="52" s="1"/>
  <c r="R3223" i="52" l="1"/>
  <c r="S3223" i="52" s="1"/>
  <c r="R3224" i="52"/>
  <c r="S3224" i="52" s="1"/>
  <c r="Q3225" i="52"/>
  <c r="Q3226" i="52" s="1"/>
  <c r="R3225" i="52" l="1"/>
  <c r="S3225" i="52" s="1"/>
  <c r="R3226" i="52"/>
  <c r="S3226" i="52" s="1"/>
  <c r="Q3227" i="52"/>
  <c r="Q3228" i="52" s="1"/>
  <c r="R3227" i="52" l="1"/>
  <c r="S3227" i="52" s="1"/>
  <c r="R3228" i="52"/>
  <c r="S3228" i="52" s="1"/>
  <c r="Q3229" i="52"/>
  <c r="Q3230" i="52" s="1"/>
  <c r="R3229" i="52" l="1"/>
  <c r="S3229" i="52" s="1"/>
  <c r="R3230" i="52"/>
  <c r="S3230" i="52" s="1"/>
  <c r="Q3231" i="52"/>
  <c r="Q3232" i="52" s="1"/>
  <c r="R3231" i="52" l="1"/>
  <c r="S3231" i="52" s="1"/>
  <c r="R3232" i="52"/>
  <c r="S3232" i="52" s="1"/>
  <c r="Q3233" i="52"/>
  <c r="R3233" i="52" s="1"/>
  <c r="S3233" i="52" s="1"/>
  <c r="Q3234" i="52" l="1"/>
  <c r="R3234" i="52" s="1"/>
  <c r="S3234" i="52" s="1"/>
  <c r="Q3235" i="52" l="1"/>
  <c r="Q3236" i="52" s="1"/>
  <c r="R3236" i="52" l="1"/>
  <c r="S3236" i="52" s="1"/>
  <c r="Q3237" i="52"/>
  <c r="R3237" i="52" s="1"/>
  <c r="S3237" i="52" s="1"/>
  <c r="R3235" i="52"/>
  <c r="S3235" i="52" s="1"/>
  <c r="Q3238" i="52" l="1"/>
  <c r="Q3239" i="52" l="1"/>
  <c r="R3238" i="52"/>
  <c r="S3238" i="52" s="1"/>
  <c r="Q3240" i="52" l="1"/>
  <c r="R3240" i="52" s="1"/>
  <c r="S3240" i="52" s="1"/>
  <c r="R3239" i="52"/>
  <c r="S3239" i="52" s="1"/>
  <c r="Q3241" i="52" l="1"/>
  <c r="R3241" i="52" s="1"/>
  <c r="S3241" i="52" s="1"/>
  <c r="Q3242" i="52" l="1"/>
  <c r="R3242" i="52" s="1"/>
  <c r="S3242" i="52" s="1"/>
  <c r="Q3243" i="52" l="1"/>
  <c r="Q3244" i="52" s="1"/>
  <c r="R3243" i="52" l="1"/>
  <c r="S3243" i="52" s="1"/>
  <c r="R3244" i="52"/>
  <c r="S3244" i="52" s="1"/>
  <c r="Q3245" i="52"/>
  <c r="R3245" i="52" s="1"/>
  <c r="S3245" i="52" s="1"/>
  <c r="Q3246" i="52" l="1"/>
  <c r="Q3247" i="52" l="1"/>
  <c r="Q3248" i="52" s="1"/>
  <c r="R3246" i="52"/>
  <c r="S3246" i="52" s="1"/>
  <c r="R3248" i="52" l="1"/>
  <c r="S3248" i="52" s="1"/>
  <c r="Q3249" i="52"/>
  <c r="R3247" i="52"/>
  <c r="S3247" i="52" s="1"/>
  <c r="Q3250" i="52" l="1"/>
  <c r="R3249" i="52"/>
  <c r="S3249" i="52" s="1"/>
  <c r="Q3251" i="52" l="1"/>
  <c r="Q3252" i="52" s="1"/>
  <c r="R3250" i="52"/>
  <c r="S3250" i="52" s="1"/>
  <c r="R3251" i="52" l="1"/>
  <c r="S3251" i="52" s="1"/>
  <c r="R3252" i="52"/>
  <c r="S3252" i="52" s="1"/>
  <c r="Q3253" i="52"/>
  <c r="R3253" i="52" s="1"/>
  <c r="S3253" i="52" s="1"/>
  <c r="Q3254" i="52" l="1"/>
  <c r="R3254" i="52" s="1"/>
  <c r="S3254" i="52" s="1"/>
  <c r="Q3255" i="52" l="1"/>
  <c r="R3255" i="52" s="1"/>
  <c r="S3255" i="52" s="1"/>
  <c r="Q3256" i="52" l="1"/>
  <c r="Q3257" i="52" l="1"/>
  <c r="R3256" i="52"/>
  <c r="S3256" i="52" s="1"/>
  <c r="Q3258" i="52" l="1"/>
  <c r="R3258" i="52" s="1"/>
  <c r="S3258" i="52" s="1"/>
  <c r="R3257" i="52"/>
  <c r="S3257" i="52" s="1"/>
  <c r="Q3259" i="52" l="1"/>
  <c r="R3259" i="52" s="1"/>
  <c r="S3259" i="52" s="1"/>
  <c r="Q3260" i="52" l="1"/>
  <c r="R3260" i="52" s="1"/>
  <c r="S3260" i="52" s="1"/>
  <c r="Q3261" i="52" l="1"/>
  <c r="R3261" i="52" s="1"/>
  <c r="S3261" i="52" s="1"/>
  <c r="Q3262" i="52" l="1"/>
  <c r="R3262" i="52" s="1"/>
  <c r="S3262" i="52" s="1"/>
  <c r="Q3263" i="52" l="1"/>
  <c r="Q3264" i="52" s="1"/>
  <c r="R3263" i="52" l="1"/>
  <c r="S3263" i="52" s="1"/>
  <c r="R3264" i="52"/>
  <c r="S3264" i="52" s="1"/>
  <c r="Q3265" i="52"/>
  <c r="R3265" i="52" s="1"/>
  <c r="S3265" i="52" s="1"/>
  <c r="Q3266" i="52" l="1"/>
  <c r="Q3267" i="52" l="1"/>
  <c r="Q3268" i="52" s="1"/>
  <c r="R3266" i="52"/>
  <c r="S3266" i="52" s="1"/>
  <c r="R3268" i="52" l="1"/>
  <c r="S3268" i="52" s="1"/>
  <c r="Q3269" i="52"/>
  <c r="R3269" i="52" s="1"/>
  <c r="S3269" i="52" s="1"/>
  <c r="R3267" i="52"/>
  <c r="S3267" i="52" s="1"/>
  <c r="Q3270" i="52" l="1"/>
  <c r="R3270" i="52" s="1"/>
  <c r="S3270" i="52" s="1"/>
  <c r="Q3271" i="52" l="1"/>
  <c r="Q3272" i="52" s="1"/>
  <c r="R3272" i="52" l="1"/>
  <c r="S3272" i="52" s="1"/>
  <c r="Q3273" i="52"/>
  <c r="R3271" i="52"/>
  <c r="S3271" i="52" s="1"/>
  <c r="Q3274" i="52" l="1"/>
  <c r="R3273" i="52"/>
  <c r="S3273" i="52" s="1"/>
  <c r="Q3275" i="52" l="1"/>
  <c r="Q3276" i="52" s="1"/>
  <c r="R3274" i="52"/>
  <c r="S3274" i="52" s="1"/>
  <c r="R3276" i="52" l="1"/>
  <c r="S3276" i="52" s="1"/>
  <c r="Q3277" i="52"/>
  <c r="R3277" i="52" s="1"/>
  <c r="S3277" i="52" s="1"/>
  <c r="R3275" i="52"/>
  <c r="S3275" i="52" s="1"/>
  <c r="Q3278" i="52" l="1"/>
  <c r="R3278" i="52" s="1"/>
  <c r="S3278" i="52" s="1"/>
  <c r="Q3279" i="52" l="1"/>
  <c r="Q3280" i="52" s="1"/>
  <c r="R3279" i="52" l="1"/>
  <c r="S3279" i="52" s="1"/>
  <c r="R3280" i="52"/>
  <c r="S3280" i="52" s="1"/>
  <c r="Q3281" i="52"/>
  <c r="R3281" i="52" s="1"/>
  <c r="S3281" i="52" s="1"/>
  <c r="Q3282" i="52" l="1"/>
  <c r="R3282" i="52" s="1"/>
  <c r="S3282" i="52" s="1"/>
  <c r="Q3283" i="52" l="1"/>
  <c r="R3283" i="52" s="1"/>
  <c r="S3283" i="52" s="1"/>
  <c r="Q3284" i="52" l="1"/>
  <c r="R3284" i="52" s="1"/>
  <c r="S3284" i="52" s="1"/>
  <c r="Q3285" i="52" l="1"/>
  <c r="R3285" i="52" s="1"/>
  <c r="S3285" i="52" s="1"/>
  <c r="Q3286" i="52" l="1"/>
  <c r="R3286" i="52" s="1"/>
  <c r="S3286" i="52" s="1"/>
  <c r="Q3287" i="52" l="1"/>
  <c r="R3287" i="52" s="1"/>
  <c r="S3287" i="52" s="1"/>
  <c r="Q3288" i="52" l="1"/>
  <c r="R3288" i="52" s="1"/>
  <c r="S3288" i="52" s="1"/>
  <c r="Q3289" i="52" l="1"/>
  <c r="R3289" i="52" s="1"/>
  <c r="S3289" i="52" s="1"/>
  <c r="Q3290" i="52" l="1"/>
  <c r="R3290" i="52" s="1"/>
  <c r="S3290" i="52" s="1"/>
  <c r="Q3291" i="52" l="1"/>
  <c r="R3291" i="52" s="1"/>
  <c r="S3291" i="52" s="1"/>
  <c r="Q3292" i="52" l="1"/>
  <c r="R3292" i="52" s="1"/>
  <c r="S3292" i="52" s="1"/>
  <c r="Q3293" i="52" l="1"/>
  <c r="R3293" i="52" s="1"/>
  <c r="S3293" i="52" s="1"/>
  <c r="Q3294" i="52" l="1"/>
  <c r="Q3295" i="52" l="1"/>
  <c r="R3295" i="52" s="1"/>
  <c r="S3295" i="52" s="1"/>
  <c r="R3294" i="52"/>
  <c r="S3294" i="52" s="1"/>
  <c r="Q3296" i="52" l="1"/>
  <c r="R3296" i="52" s="1"/>
  <c r="S3296" i="52" s="1"/>
  <c r="Q3297" i="52" l="1"/>
  <c r="Q3298" i="52" l="1"/>
  <c r="R3298" i="52" s="1"/>
  <c r="S3298" i="52" s="1"/>
  <c r="R3297" i="52"/>
  <c r="S3297" i="52" s="1"/>
  <c r="Q3299" i="52" l="1"/>
  <c r="R3299" i="52" s="1"/>
  <c r="S3299" i="52" s="1"/>
  <c r="Q3300" i="52" l="1"/>
  <c r="Q3301" i="52" l="1"/>
  <c r="R3300" i="52"/>
  <c r="S3300" i="52" s="1"/>
  <c r="Q3302" i="52" l="1"/>
  <c r="R3302" i="52" s="1"/>
  <c r="S3302" i="52" s="1"/>
  <c r="R3301" i="52"/>
  <c r="S3301" i="52" s="1"/>
  <c r="Q3303" i="52" l="1"/>
  <c r="Q3304" i="52" l="1"/>
  <c r="R3304" i="52" s="1"/>
  <c r="S3304" i="52" s="1"/>
  <c r="R3303" i="52"/>
  <c r="S3303" i="52" s="1"/>
  <c r="Q3305" i="52" l="1"/>
  <c r="R3305" i="52" s="1"/>
  <c r="S3305" i="52" s="1"/>
  <c r="Q3306" i="52" l="1"/>
  <c r="R3306" i="52" s="1"/>
  <c r="S3306" i="52" s="1"/>
  <c r="Q3307" i="52" l="1"/>
  <c r="Q3308" i="52" s="1"/>
  <c r="R3307" i="52" l="1"/>
  <c r="S3307" i="52" s="1"/>
  <c r="R3308" i="52"/>
  <c r="S3308" i="52" s="1"/>
  <c r="Q3309" i="52"/>
  <c r="Q3310" i="52" s="1"/>
  <c r="R3309" i="52" l="1"/>
  <c r="S3309" i="52" s="1"/>
  <c r="R3310" i="52"/>
  <c r="S3310" i="52" s="1"/>
  <c r="Q3311" i="52"/>
  <c r="R3311" i="52" s="1"/>
  <c r="S3311" i="52" s="1"/>
  <c r="Q3312" i="52" l="1"/>
  <c r="R3312" i="52" s="1"/>
  <c r="S3312" i="52" s="1"/>
  <c r="Q3313" i="52" l="1"/>
  <c r="Q3314" i="52" s="1"/>
  <c r="R3313" i="52" l="1"/>
  <c r="S3313" i="52" s="1"/>
  <c r="R3314" i="52"/>
  <c r="S3314" i="52" s="1"/>
  <c r="Q3315" i="52"/>
  <c r="R3315" i="52" s="1"/>
  <c r="S3315" i="52" s="1"/>
  <c r="Q3316" i="52" l="1"/>
  <c r="Q3317" i="52" l="1"/>
  <c r="Q3318" i="52" s="1"/>
  <c r="R3316" i="52"/>
  <c r="S3316" i="52" s="1"/>
  <c r="R3318" i="52" l="1"/>
  <c r="S3318" i="52" s="1"/>
  <c r="Q3319" i="52"/>
  <c r="R3319" i="52" s="1"/>
  <c r="S3319" i="52" s="1"/>
  <c r="R3317" i="52"/>
  <c r="S3317" i="52" s="1"/>
  <c r="Q3320" i="52" l="1"/>
  <c r="R3320" i="52" s="1"/>
  <c r="S3320" i="52" s="1"/>
  <c r="Q3321" i="52" l="1"/>
  <c r="Q3322" i="52" s="1"/>
  <c r="R3321" i="52" l="1"/>
  <c r="S3321" i="52" s="1"/>
  <c r="R3322" i="52"/>
  <c r="S3322" i="52" s="1"/>
  <c r="Q3323" i="52"/>
  <c r="R3323" i="52" s="1"/>
  <c r="S3323" i="52" s="1"/>
  <c r="Q3324" i="52" l="1"/>
  <c r="R3324" i="52" s="1"/>
  <c r="S3324" i="52" s="1"/>
  <c r="Q3325" i="52" l="1"/>
  <c r="R3325" i="52" s="1"/>
  <c r="S3325" i="52" s="1"/>
  <c r="Q3326" i="52" l="1"/>
  <c r="R3326" i="52" s="1"/>
  <c r="S3326" i="52" s="1"/>
  <c r="Q3327" i="52" l="1"/>
  <c r="Q3328" i="52" s="1"/>
  <c r="R3327" i="52" l="1"/>
  <c r="S3327" i="52" s="1"/>
  <c r="R3328" i="52"/>
  <c r="S3328" i="52" s="1"/>
  <c r="Q3329" i="52"/>
  <c r="Q3330" i="52" s="1"/>
  <c r="R3329" i="52" l="1"/>
  <c r="S3329" i="52" s="1"/>
  <c r="R3330" i="52"/>
  <c r="S3330" i="52" s="1"/>
  <c r="Q3331" i="52"/>
  <c r="Q3332" i="52" s="1"/>
  <c r="R3332" i="52" l="1"/>
  <c r="S3332" i="52" s="1"/>
  <c r="Q3333" i="52"/>
  <c r="Q3334" i="52" s="1"/>
  <c r="R3331" i="52"/>
  <c r="S3331" i="52" s="1"/>
  <c r="R3333" i="52" l="1"/>
  <c r="S3333" i="52" s="1"/>
  <c r="R3334" i="52"/>
  <c r="S3334" i="52" s="1"/>
  <c r="Q3335" i="52"/>
  <c r="Q3336" i="52" s="1"/>
  <c r="R3335" i="52" l="1"/>
  <c r="S3335" i="52" s="1"/>
  <c r="R3336" i="52"/>
  <c r="S3336" i="52" s="1"/>
  <c r="Q3337" i="52"/>
  <c r="Q3338" i="52" l="1"/>
  <c r="R3338" i="52" s="1"/>
  <c r="S3338" i="52" s="1"/>
  <c r="R3337" i="52"/>
  <c r="S3337" i="52" s="1"/>
  <c r="Q3339" i="52" l="1"/>
  <c r="Q3340" i="52" s="1"/>
  <c r="R3340" i="52" l="1"/>
  <c r="S3340" i="52" s="1"/>
  <c r="Q3341" i="52"/>
  <c r="R3341" i="52" s="1"/>
  <c r="S3341" i="52" s="1"/>
  <c r="R3339" i="52"/>
  <c r="S3339" i="52" s="1"/>
  <c r="Q3342" i="52" l="1"/>
  <c r="R3342" i="52" s="1"/>
  <c r="S3342" i="52" s="1"/>
  <c r="Q3343" i="52" l="1"/>
  <c r="Q3344" i="52" s="1"/>
  <c r="R3344" i="52" l="1"/>
  <c r="S3344" i="52" s="1"/>
  <c r="Q3345" i="52"/>
  <c r="R3345" i="52" s="1"/>
  <c r="S3345" i="52" s="1"/>
  <c r="R3343" i="52"/>
  <c r="S3343" i="52" s="1"/>
  <c r="Q3346" i="52" l="1"/>
  <c r="R3346" i="52" s="1"/>
  <c r="S3346" i="52" s="1"/>
  <c r="Q3347" i="52" l="1"/>
  <c r="Q3348" i="52" s="1"/>
  <c r="R3348" i="52" l="1"/>
  <c r="S3348" i="52" s="1"/>
  <c r="Q3349" i="52"/>
  <c r="Q3350" i="52" s="1"/>
  <c r="R3347" i="52"/>
  <c r="S3347" i="52" s="1"/>
  <c r="R3349" i="52" l="1"/>
  <c r="S3349" i="52" s="1"/>
  <c r="R3350" i="52"/>
  <c r="S3350" i="52" s="1"/>
  <c r="Q3351" i="52"/>
  <c r="Q3352" i="52" s="1"/>
  <c r="R3351" i="52" l="1"/>
  <c r="S3351" i="52" s="1"/>
  <c r="R3352" i="52"/>
  <c r="S3352" i="52" s="1"/>
  <c r="Q3353" i="52"/>
  <c r="R3353" i="52" s="1"/>
  <c r="S3353" i="52" s="1"/>
  <c r="Q3354" i="52" l="1"/>
  <c r="R3354" i="52" s="1"/>
  <c r="S3354" i="52" s="1"/>
  <c r="Q3355" i="52" l="1"/>
  <c r="Q3356" i="52" s="1"/>
  <c r="R3355" i="52" l="1"/>
  <c r="S3355" i="52" s="1"/>
  <c r="R3356" i="52"/>
  <c r="S3356" i="52" s="1"/>
  <c r="Q3357" i="52"/>
  <c r="Q3358" i="52" s="1"/>
  <c r="R3357" i="52" l="1"/>
  <c r="S3357" i="52" s="1"/>
  <c r="R3358" i="52"/>
  <c r="S3358" i="52" s="1"/>
  <c r="Q3359" i="52"/>
  <c r="Q3360" i="52" s="1"/>
  <c r="R3359" i="52" l="1"/>
  <c r="S3359" i="52" s="1"/>
  <c r="R3360" i="52"/>
  <c r="S3360" i="52" s="1"/>
  <c r="Q3361" i="52"/>
  <c r="Q3362" i="52" s="1"/>
  <c r="R3362" i="52" l="1"/>
  <c r="S3362" i="52" s="1"/>
  <c r="Q3363" i="52"/>
  <c r="R3363" i="52" s="1"/>
  <c r="S3363" i="52" s="1"/>
  <c r="R3361" i="52"/>
  <c r="S3361" i="52" s="1"/>
  <c r="Q3364" i="52" l="1"/>
  <c r="Q3365" i="52" l="1"/>
  <c r="Q3366" i="52" s="1"/>
  <c r="R3364" i="52"/>
  <c r="S3364" i="52" s="1"/>
  <c r="R3365" i="52" l="1"/>
  <c r="S3365" i="52" s="1"/>
  <c r="R3366" i="52"/>
  <c r="S3366" i="52" s="1"/>
  <c r="Q3367" i="52"/>
  <c r="Q3368" i="52" s="1"/>
  <c r="R3368" i="52" l="1"/>
  <c r="S3368" i="52" s="1"/>
  <c r="Q3369" i="52"/>
  <c r="R3369" i="52" s="1"/>
  <c r="S3369" i="52" s="1"/>
  <c r="R3367" i="52"/>
  <c r="S3367" i="52" s="1"/>
  <c r="Q3370" i="52" l="1"/>
  <c r="Q3371" i="52" l="1"/>
  <c r="Q3372" i="52" s="1"/>
  <c r="R3370" i="52"/>
  <c r="S3370" i="52" s="1"/>
  <c r="R3371" i="52" l="1"/>
  <c r="S3371" i="52" s="1"/>
  <c r="R3372" i="52"/>
  <c r="S3372" i="52" s="1"/>
  <c r="Q3373" i="52"/>
  <c r="R3373" i="52" s="1"/>
  <c r="S3373" i="52" s="1"/>
  <c r="Q3374" i="52" l="1"/>
  <c r="R3374" i="52" s="1"/>
  <c r="S3374" i="52" s="1"/>
  <c r="Q3375" i="52" l="1"/>
  <c r="R3375" i="52" s="1"/>
  <c r="S3375" i="52" s="1"/>
  <c r="Q3376" i="52" l="1"/>
  <c r="R3376" i="52" s="1"/>
  <c r="S3376" i="52" s="1"/>
  <c r="Q3377" i="52" l="1"/>
  <c r="Q3378" i="52" s="1"/>
  <c r="R3378" i="52" l="1"/>
  <c r="S3378" i="52" s="1"/>
  <c r="Q3379" i="52"/>
  <c r="Q3380" i="52" s="1"/>
  <c r="R3377" i="52"/>
  <c r="S3377" i="52" s="1"/>
  <c r="R3380" i="52" l="1"/>
  <c r="S3380" i="52" s="1"/>
  <c r="Q3381" i="52"/>
  <c r="R3381" i="52" s="1"/>
  <c r="S3381" i="52" s="1"/>
  <c r="R3379" i="52"/>
  <c r="S3379" i="52" s="1"/>
  <c r="Q3382" i="52" l="1"/>
  <c r="R3382" i="52" s="1"/>
  <c r="S3382" i="52" s="1"/>
  <c r="Q3383" i="52" l="1"/>
  <c r="Q3384" i="52" s="1"/>
  <c r="R3383" i="52" l="1"/>
  <c r="S3383" i="52" s="1"/>
  <c r="R3384" i="52"/>
  <c r="S3384" i="52" s="1"/>
  <c r="Q3385" i="52"/>
  <c r="R3385" i="52" s="1"/>
  <c r="S3385" i="52" s="1"/>
  <c r="Q3386" i="52" l="1"/>
  <c r="Q3387" i="52" l="1"/>
  <c r="Q3388" i="52" s="1"/>
  <c r="R3386" i="52"/>
  <c r="S3386" i="52" s="1"/>
  <c r="R3388" i="52" l="1"/>
  <c r="S3388" i="52" s="1"/>
  <c r="Q3389" i="52"/>
  <c r="R3389" i="52" s="1"/>
  <c r="S3389" i="52" s="1"/>
  <c r="R3387" i="52"/>
  <c r="S3387" i="52" s="1"/>
  <c r="Q3390" i="52" l="1"/>
  <c r="R3390" i="52" s="1"/>
  <c r="S3390" i="52" s="1"/>
  <c r="Q3391" i="52" l="1"/>
  <c r="Q3392" i="52" s="1"/>
  <c r="R3391" i="52" l="1"/>
  <c r="S3391" i="52" s="1"/>
  <c r="R3392" i="52"/>
  <c r="S3392" i="52" s="1"/>
  <c r="Q3393" i="52"/>
  <c r="R3393" i="52" s="1"/>
  <c r="S3393" i="52" s="1"/>
  <c r="Q3394" i="52" l="1"/>
  <c r="Q3395" i="52" l="1"/>
  <c r="Q3396" i="52" s="1"/>
  <c r="R3394" i="52"/>
  <c r="S3394" i="52" s="1"/>
  <c r="R3395" i="52" l="1"/>
  <c r="S3395" i="52" s="1"/>
  <c r="R3396" i="52"/>
  <c r="S3396" i="52" s="1"/>
  <c r="Q3397" i="52"/>
  <c r="R3397" i="52" s="1"/>
  <c r="S3397" i="52" s="1"/>
  <c r="Q3398" i="52" l="1"/>
  <c r="R3398" i="52" s="1"/>
  <c r="S3398" i="52" s="1"/>
  <c r="Q3399" i="52" l="1"/>
  <c r="Q3400" i="52" s="1"/>
  <c r="R3400" i="52" l="1"/>
  <c r="S3400" i="52" s="1"/>
  <c r="Q3401" i="52"/>
  <c r="Q3402" i="52" s="1"/>
  <c r="R3399" i="52"/>
  <c r="S3399" i="52" s="1"/>
  <c r="R3401" i="52" l="1"/>
  <c r="S3401" i="52" s="1"/>
  <c r="R3402" i="52"/>
  <c r="S3402" i="52" s="1"/>
  <c r="Q3403" i="52"/>
  <c r="Q3404" i="52" s="1"/>
  <c r="R3403" i="52" l="1"/>
  <c r="S3403" i="52" s="1"/>
  <c r="R3404" i="52"/>
  <c r="S3404" i="52" s="1"/>
  <c r="Q3405" i="52"/>
  <c r="R3405" i="52" s="1"/>
  <c r="S3405" i="52" s="1"/>
  <c r="Q3406" i="52" l="1"/>
  <c r="R3406" i="52" s="1"/>
  <c r="S3406" i="52" s="1"/>
  <c r="Q3407" i="52" l="1"/>
  <c r="Q3408" i="52" s="1"/>
  <c r="R3407" i="52" l="1"/>
  <c r="S3407" i="52" s="1"/>
  <c r="R3408" i="52"/>
  <c r="S3408" i="52" s="1"/>
  <c r="Q3409" i="52"/>
  <c r="Q3410" i="52" s="1"/>
  <c r="R3410" i="52" l="1"/>
  <c r="S3410" i="52" s="1"/>
  <c r="Q3411" i="52"/>
  <c r="R3411" i="52" s="1"/>
  <c r="S3411" i="52" s="1"/>
  <c r="R3409" i="52"/>
  <c r="S3409" i="52" s="1"/>
  <c r="Q3412" i="52" l="1"/>
  <c r="Q3413" i="52" l="1"/>
  <c r="Q3414" i="52" s="1"/>
  <c r="R3412" i="52"/>
  <c r="S3412" i="52" s="1"/>
  <c r="R3413" i="52" l="1"/>
  <c r="S3413" i="52" s="1"/>
  <c r="R3414" i="52"/>
  <c r="S3414" i="52" s="1"/>
  <c r="Q3415" i="52"/>
  <c r="Q3416" i="52" s="1"/>
  <c r="R3416" i="52" l="1"/>
  <c r="S3416" i="52" s="1"/>
  <c r="Q3417" i="52"/>
  <c r="R3417" i="52" s="1"/>
  <c r="S3417" i="52" s="1"/>
  <c r="R3415" i="52"/>
  <c r="S3415" i="52" s="1"/>
  <c r="Q3418" i="52" l="1"/>
  <c r="R3418" i="52" s="1"/>
  <c r="S3418" i="52" s="1"/>
  <c r="Q3419" i="52" l="1"/>
  <c r="Q3420" i="52" s="1"/>
  <c r="R3419" i="52" l="1"/>
  <c r="S3419" i="52" s="1"/>
  <c r="R3420" i="52"/>
  <c r="S3420" i="52" s="1"/>
  <c r="Q3421" i="52"/>
  <c r="Q3422" i="52" l="1"/>
  <c r="R3422" i="52" s="1"/>
  <c r="S3422" i="52" s="1"/>
  <c r="R3421" i="52"/>
  <c r="S3421" i="52" s="1"/>
  <c r="Q3423" i="52" l="1"/>
  <c r="Q3424" i="52" l="1"/>
  <c r="R3423" i="52"/>
  <c r="S3423" i="52" s="1"/>
  <c r="Q3425" i="52" l="1"/>
  <c r="Q3426" i="52" s="1"/>
  <c r="R3424" i="52"/>
  <c r="S3424" i="52" s="1"/>
  <c r="R3426" i="52" l="1"/>
  <c r="S3426" i="52" s="1"/>
  <c r="Q3427" i="52"/>
  <c r="R3427" i="52" s="1"/>
  <c r="S3427" i="52" s="1"/>
  <c r="R3425" i="52"/>
  <c r="S3425" i="52" s="1"/>
  <c r="Q3428" i="52" l="1"/>
  <c r="R3428" i="52" s="1"/>
  <c r="S3428" i="52" s="1"/>
  <c r="Q3429" i="52" l="1"/>
  <c r="Q3430" i="52" s="1"/>
  <c r="R3429" i="52" l="1"/>
  <c r="S3429" i="52" s="1"/>
  <c r="R3430" i="52"/>
  <c r="S3430" i="52" s="1"/>
  <c r="Q3431" i="52"/>
  <c r="Q3432" i="52" s="1"/>
  <c r="R3431" i="52" l="1"/>
  <c r="S3431" i="52" s="1"/>
  <c r="R3432" i="52"/>
  <c r="S3432" i="52" s="1"/>
  <c r="Q3433" i="52"/>
  <c r="Q3434" i="52" s="1"/>
  <c r="R3434" i="52" l="1"/>
  <c r="S3434" i="52" s="1"/>
  <c r="Q3435" i="52"/>
  <c r="Q3436" i="52" s="1"/>
  <c r="R3433" i="52"/>
  <c r="S3433" i="52" s="1"/>
  <c r="R3435" i="52" l="1"/>
  <c r="S3435" i="52" s="1"/>
  <c r="R3436" i="52"/>
  <c r="S3436" i="52" s="1"/>
  <c r="Q3437" i="52"/>
  <c r="Q3438" i="52" s="1"/>
  <c r="R3437" i="52" l="1"/>
  <c r="S3437" i="52" s="1"/>
  <c r="R3438" i="52"/>
  <c r="S3438" i="52" s="1"/>
  <c r="Q3439" i="52"/>
  <c r="Q3440" i="52" s="1"/>
  <c r="R3439" i="52" l="1"/>
  <c r="S3439" i="52" s="1"/>
  <c r="R3440" i="52"/>
  <c r="S3440" i="52" s="1"/>
  <c r="Q3441" i="52"/>
  <c r="Q3442" i="52" s="1"/>
  <c r="R3441" i="52" l="1"/>
  <c r="S3441" i="52" s="1"/>
  <c r="R3442" i="52"/>
  <c r="S3442" i="52" s="1"/>
  <c r="Q3443" i="52"/>
  <c r="Q3444" i="52" s="1"/>
  <c r="R3444" i="52" l="1"/>
  <c r="S3444" i="52" s="1"/>
  <c r="Q3445" i="52"/>
  <c r="R3445" i="52" s="1"/>
  <c r="S3445" i="52" s="1"/>
  <c r="R3443" i="52"/>
  <c r="S3443" i="52" s="1"/>
  <c r="Q3446" i="52" l="1"/>
  <c r="R3446" i="52" s="1"/>
  <c r="S3446" i="52" s="1"/>
  <c r="Q3447" i="52" l="1"/>
  <c r="Q3448" i="52" s="1"/>
  <c r="R3447" i="52" l="1"/>
  <c r="S3447" i="52" s="1"/>
  <c r="R3448" i="52"/>
  <c r="S3448" i="52" s="1"/>
  <c r="Q3449" i="52"/>
  <c r="Q3450" i="52" l="1"/>
  <c r="Q3451" i="52" s="1"/>
  <c r="R3449" i="52"/>
  <c r="S3449" i="52" s="1"/>
  <c r="R3450" i="52" l="1"/>
  <c r="S3450" i="52" s="1"/>
  <c r="R3451" i="52"/>
  <c r="S3451" i="52" s="1"/>
  <c r="Q3452" i="52"/>
  <c r="R3452" i="52" l="1"/>
  <c r="S3452" i="52" s="1"/>
  <c r="Q3453" i="52"/>
  <c r="Q3454" i="52" s="1"/>
  <c r="R3453" i="52" l="1"/>
  <c r="S3453" i="52" s="1"/>
  <c r="R3454" i="52"/>
  <c r="S3454" i="52" s="1"/>
  <c r="Q3455" i="52"/>
  <c r="R3455" i="52" s="1"/>
  <c r="S3455" i="52" s="1"/>
  <c r="Q3456" i="52" l="1"/>
  <c r="R3456" i="52" s="1"/>
  <c r="S3456" i="52" s="1"/>
  <c r="Q3457" i="52" l="1"/>
  <c r="R3457" i="52" s="1"/>
  <c r="S3457" i="52" s="1"/>
  <c r="Q3458" i="52" l="1"/>
  <c r="R3458" i="52" s="1"/>
  <c r="S3458" i="52" s="1"/>
  <c r="Q3459" i="52" l="1"/>
  <c r="Q3460" i="52" s="1"/>
  <c r="R3459" i="52" l="1"/>
  <c r="S3459" i="52" s="1"/>
  <c r="R3460" i="52"/>
  <c r="S3460" i="52" s="1"/>
  <c r="Q3461" i="52"/>
  <c r="Q3462" i="52" s="1"/>
  <c r="R3461" i="52" l="1"/>
  <c r="S3461" i="52" s="1"/>
  <c r="R3462" i="52"/>
  <c r="S3462" i="52" s="1"/>
  <c r="Q3463" i="52"/>
  <c r="Q3464" i="52" s="1"/>
  <c r="R3464" i="52" l="1"/>
  <c r="S3464" i="52" s="1"/>
  <c r="Q3465" i="52"/>
  <c r="R3465" i="52" s="1"/>
  <c r="S3465" i="52" s="1"/>
  <c r="R3463" i="52"/>
  <c r="S3463" i="52" s="1"/>
  <c r="Q3466" i="52" l="1"/>
  <c r="R3466" i="52" s="1"/>
  <c r="S3466" i="52" s="1"/>
  <c r="Q3467" i="52" l="1"/>
  <c r="Q3468" i="52" s="1"/>
  <c r="R3468" i="52" l="1"/>
  <c r="S3468" i="52" s="1"/>
  <c r="Q3469" i="52"/>
  <c r="Q3470" i="52" s="1"/>
  <c r="R3467" i="52"/>
  <c r="S3467" i="52" s="1"/>
  <c r="R3470" i="52" l="1"/>
  <c r="S3470" i="52" s="1"/>
  <c r="Q3471" i="52"/>
  <c r="Q3472" i="52" s="1"/>
  <c r="R3469" i="52"/>
  <c r="S3469" i="52" s="1"/>
  <c r="R3472" i="52" l="1"/>
  <c r="S3472" i="52" s="1"/>
  <c r="Q3473" i="52"/>
  <c r="Q3474" i="52" s="1"/>
  <c r="R3471" i="52"/>
  <c r="S3471" i="52" s="1"/>
  <c r="R3474" i="52" l="1"/>
  <c r="S3474" i="52" s="1"/>
  <c r="Q3475" i="52"/>
  <c r="R3475" i="52" s="1"/>
  <c r="S3475" i="52" s="1"/>
  <c r="R3473" i="52"/>
  <c r="S3473" i="52" s="1"/>
  <c r="Q3476" i="52" l="1"/>
  <c r="Q3477" i="52" l="1"/>
  <c r="R3476" i="52"/>
  <c r="S3476" i="52" s="1"/>
  <c r="Q3478" i="52" l="1"/>
  <c r="R3478" i="52" s="1"/>
  <c r="S3478" i="52" s="1"/>
  <c r="R3477" i="52"/>
  <c r="S3477" i="52" s="1"/>
  <c r="Q3479" i="52" l="1"/>
  <c r="Q3480" i="52" s="1"/>
  <c r="R3479" i="52" l="1"/>
  <c r="S3479" i="52" s="1"/>
  <c r="R3480" i="52"/>
  <c r="S3480" i="52" s="1"/>
  <c r="Q3481" i="52"/>
  <c r="Q3482" i="52" l="1"/>
  <c r="R3482" i="52" s="1"/>
  <c r="S3482" i="52" s="1"/>
  <c r="R3481" i="52"/>
  <c r="S3481" i="52" s="1"/>
  <c r="Q3483" i="52" l="1"/>
  <c r="R3483" i="52" s="1"/>
  <c r="S3483" i="52" s="1"/>
  <c r="Q3484" i="52" l="1"/>
  <c r="R3484" i="52" s="1"/>
  <c r="S3484" i="52" s="1"/>
  <c r="Q3485" i="52" l="1"/>
  <c r="Q3486" i="52" s="1"/>
  <c r="R3485" i="52" l="1"/>
  <c r="S3485" i="52" s="1"/>
  <c r="R3486" i="52"/>
  <c r="S3486" i="52" s="1"/>
  <c r="Q3487" i="52"/>
  <c r="Q3488" i="52" l="1"/>
  <c r="R3488" i="52" s="1"/>
  <c r="S3488" i="52" s="1"/>
  <c r="R3487" i="52"/>
  <c r="S3487" i="52" s="1"/>
  <c r="Q3489" i="52" l="1"/>
  <c r="Q3490" i="52" s="1"/>
  <c r="R3489" i="52" l="1"/>
  <c r="S3489" i="52" s="1"/>
  <c r="R3490" i="52"/>
  <c r="S3490" i="52" s="1"/>
  <c r="Q3491" i="52"/>
  <c r="R3491" i="52" s="1"/>
  <c r="S3491" i="52" s="1"/>
  <c r="Q3492" i="52" l="1"/>
  <c r="Q3493" i="52" l="1"/>
  <c r="Q3494" i="52" s="1"/>
  <c r="R3492" i="52"/>
  <c r="S3492" i="52" s="1"/>
  <c r="R3493" i="52" l="1"/>
  <c r="S3493" i="52" s="1"/>
  <c r="R3494" i="52"/>
  <c r="S3494" i="52" s="1"/>
  <c r="Q3495" i="52"/>
  <c r="R3495" i="52" s="1"/>
  <c r="S3495" i="52" s="1"/>
  <c r="Q3496" i="52" l="1"/>
  <c r="R3496" i="52" s="1"/>
  <c r="S3496" i="52" s="1"/>
  <c r="Q3497" i="52" l="1"/>
  <c r="Q3498" i="52" s="1"/>
  <c r="R3498" i="52" l="1"/>
  <c r="S3498" i="52" s="1"/>
  <c r="Q3499" i="52"/>
  <c r="R3499" i="52" s="1"/>
  <c r="S3499" i="52" s="1"/>
  <c r="R3497" i="52"/>
  <c r="S3497" i="52" s="1"/>
  <c r="Q3500" i="52" l="1"/>
  <c r="R3500" i="52" s="1"/>
  <c r="S3500" i="52" s="1"/>
  <c r="Q3501" i="52" l="1"/>
  <c r="Q3502" i="52" s="1"/>
  <c r="R3501" i="52" l="1"/>
  <c r="S3501" i="52" s="1"/>
  <c r="R3502" i="52"/>
  <c r="S3502" i="52" s="1"/>
  <c r="Q3503" i="52"/>
  <c r="R3503" i="52" s="1"/>
  <c r="S3503" i="52" s="1"/>
  <c r="Q3504" i="52" l="1"/>
  <c r="Q3505" i="52" l="1"/>
  <c r="Q3506" i="52" s="1"/>
  <c r="R3504" i="52"/>
  <c r="S3504" i="52" s="1"/>
  <c r="R3505" i="52" l="1"/>
  <c r="S3505" i="52" s="1"/>
  <c r="R3506" i="52"/>
  <c r="S3506" i="52" s="1"/>
  <c r="Q3507" i="52"/>
  <c r="R3507" i="52" l="1"/>
  <c r="S3507" i="52" s="1"/>
  <c r="Q3508" i="52"/>
  <c r="Q3509" i="52" l="1"/>
  <c r="Q3510" i="52" s="1"/>
  <c r="R3508" i="52"/>
  <c r="S3508" i="52" s="1"/>
  <c r="R3510" i="52" l="1"/>
  <c r="S3510" i="52" s="1"/>
  <c r="Q3511" i="52"/>
  <c r="R3511" i="52" s="1"/>
  <c r="S3511" i="52" s="1"/>
  <c r="R3509" i="52"/>
  <c r="S3509" i="52" s="1"/>
  <c r="Q3512" i="52" l="1"/>
  <c r="R3512" i="52" s="1"/>
  <c r="S3512" i="52" s="1"/>
  <c r="Q3513" i="52" l="1"/>
  <c r="Q3514" i="52" s="1"/>
  <c r="R3513" i="52" l="1"/>
  <c r="S3513" i="52" s="1"/>
  <c r="R3514" i="52"/>
  <c r="S3514" i="52" s="1"/>
  <c r="Q3515" i="52"/>
  <c r="Q3516" i="52" s="1"/>
  <c r="R3515" i="52" l="1"/>
  <c r="S3515" i="52" s="1"/>
  <c r="R3516" i="52"/>
  <c r="S3516" i="52" s="1"/>
  <c r="Q3517" i="52"/>
  <c r="R3517" i="52" s="1"/>
  <c r="S3517" i="52" s="1"/>
  <c r="Q3518" i="52" l="1"/>
  <c r="R3518" i="52" s="1"/>
  <c r="S3518" i="52" s="1"/>
  <c r="Q3519" i="52" l="1"/>
  <c r="R3519" i="52" s="1"/>
  <c r="S3519" i="52" s="1"/>
  <c r="Q3520" i="52" l="1"/>
  <c r="Q3521" i="52" l="1"/>
  <c r="Q3522" i="52" s="1"/>
  <c r="R3520" i="52"/>
  <c r="S3520" i="52" s="1"/>
  <c r="R3521" i="52" l="1"/>
  <c r="S3521" i="52" s="1"/>
  <c r="R3522" i="52"/>
  <c r="S3522" i="52" s="1"/>
  <c r="Q3523" i="52"/>
  <c r="Q3524" i="52" s="1"/>
  <c r="R3523" i="52" l="1"/>
  <c r="S3523" i="52" s="1"/>
  <c r="R3524" i="52"/>
  <c r="S3524" i="52" s="1"/>
  <c r="Q3525" i="52"/>
  <c r="R3525" i="52" s="1"/>
  <c r="S3525" i="52" s="1"/>
  <c r="Q3526" i="52" l="1"/>
  <c r="Q3527" i="52" l="1"/>
  <c r="R3527" i="52" s="1"/>
  <c r="S3527" i="52" s="1"/>
  <c r="R3526" i="52"/>
  <c r="S3526" i="52" s="1"/>
  <c r="Q3528" i="52" l="1"/>
  <c r="Q3529" i="52" l="1"/>
  <c r="Q3530" i="52" s="1"/>
  <c r="R3528" i="52"/>
  <c r="S3528" i="52" s="1"/>
  <c r="R3529" i="52" l="1"/>
  <c r="S3529" i="52" s="1"/>
  <c r="R3530" i="52"/>
  <c r="S3530" i="52" s="1"/>
  <c r="Q3531" i="52"/>
  <c r="Q3532" i="52" l="1"/>
  <c r="R3532" i="52" s="1"/>
  <c r="S3532" i="52" s="1"/>
  <c r="R3531" i="52"/>
  <c r="S3531" i="52" s="1"/>
  <c r="Q3533" i="52" l="1"/>
  <c r="Q3534" i="52" s="1"/>
  <c r="R3533" i="52" l="1"/>
  <c r="S3533" i="52" s="1"/>
  <c r="R3534" i="52"/>
  <c r="S3534" i="52" s="1"/>
  <c r="Q3535" i="52"/>
  <c r="R3535" i="52" s="1"/>
  <c r="S3535" i="52" s="1"/>
  <c r="Q3536" i="52" l="1"/>
  <c r="Q3537" i="52" l="1"/>
  <c r="R3536" i="52"/>
  <c r="S3536" i="52" s="1"/>
  <c r="Q3538" i="52" l="1"/>
  <c r="R3537" i="52"/>
  <c r="S3537" i="52" s="1"/>
  <c r="Q3539" i="52" l="1"/>
  <c r="R3538" i="52"/>
  <c r="S3538" i="52" s="1"/>
  <c r="Q3540" i="52" l="1"/>
  <c r="R3539" i="52"/>
  <c r="S3539" i="52" s="1"/>
  <c r="Q3541" i="52" l="1"/>
  <c r="R3541" i="52" s="1"/>
  <c r="S3541" i="52" s="1"/>
  <c r="R3540" i="52"/>
  <c r="S3540" i="52" s="1"/>
  <c r="Q3542" i="52" l="1"/>
  <c r="Q3543" i="52" l="1"/>
  <c r="R3543" i="52" s="1"/>
  <c r="S3543" i="52" s="1"/>
  <c r="R3542" i="52"/>
  <c r="S3542" i="52" s="1"/>
  <c r="Q3544" i="52" l="1"/>
  <c r="R3544" i="52" s="1"/>
  <c r="S3544" i="52" s="1"/>
  <c r="Q3545" i="52" l="1"/>
  <c r="Q3546" i="52" s="1"/>
  <c r="R3545" i="52" l="1"/>
  <c r="S3545" i="52" s="1"/>
  <c r="R3546" i="52"/>
  <c r="S3546" i="52" s="1"/>
  <c r="Q3547" i="52"/>
  <c r="Q3548" i="52" s="1"/>
  <c r="R3548" i="52" l="1"/>
  <c r="S3548" i="52" s="1"/>
  <c r="Q3549" i="52"/>
  <c r="Q3550" i="52" s="1"/>
  <c r="R3547" i="52"/>
  <c r="S3547" i="52" s="1"/>
  <c r="R3549" i="52" l="1"/>
  <c r="S3549" i="52" s="1"/>
  <c r="R3550" i="52"/>
  <c r="S3550" i="52" s="1"/>
  <c r="Q3551" i="52"/>
  <c r="Q3552" i="52" l="1"/>
  <c r="R3552" i="52" s="1"/>
  <c r="S3552" i="52" s="1"/>
  <c r="R3551" i="52"/>
  <c r="S3551" i="52" s="1"/>
  <c r="Q3553" i="52" l="1"/>
  <c r="Q3554" i="52" s="1"/>
  <c r="R3553" i="52" l="1"/>
  <c r="S3553" i="52" s="1"/>
  <c r="R3554" i="52"/>
  <c r="S3554" i="52" s="1"/>
  <c r="Q3555" i="52"/>
  <c r="Q3556" i="52" s="1"/>
  <c r="R3555" i="52" l="1"/>
  <c r="S3555" i="52" s="1"/>
  <c r="R3556" i="52"/>
  <c r="S3556" i="52" s="1"/>
  <c r="Q3557" i="52"/>
  <c r="R3557" i="52" s="1"/>
  <c r="S3557" i="52" s="1"/>
  <c r="Q3558" i="52" l="1"/>
  <c r="Q3559" i="52" l="1"/>
  <c r="R3559" i="52" s="1"/>
  <c r="S3559" i="52" s="1"/>
  <c r="R3558" i="52"/>
  <c r="S3558" i="52" s="1"/>
  <c r="Q3560" i="52" l="1"/>
  <c r="R3560" i="52" s="1"/>
  <c r="S3560" i="52" s="1"/>
  <c r="Q3561" i="52" l="1"/>
  <c r="Q3562" i="52" s="1"/>
  <c r="R3561" i="52" l="1"/>
  <c r="S3561" i="52" s="1"/>
  <c r="R3562" i="52"/>
  <c r="S3562" i="52" s="1"/>
  <c r="Q3563" i="52"/>
  <c r="Q3564" i="52" l="1"/>
  <c r="R3564" i="52" s="1"/>
  <c r="S3564" i="52" s="1"/>
  <c r="R3563" i="52"/>
  <c r="S3563" i="52" s="1"/>
  <c r="Q3565" i="52" l="1"/>
  <c r="Q3566" i="52" s="1"/>
  <c r="R3566" i="52" l="1"/>
  <c r="S3566" i="52" s="1"/>
  <c r="Q3567" i="52"/>
  <c r="R3567" i="52" s="1"/>
  <c r="S3567" i="52" s="1"/>
  <c r="R3565" i="52"/>
  <c r="S3565" i="52" s="1"/>
  <c r="Q3568" i="52" l="1"/>
  <c r="R3568" i="52" s="1"/>
  <c r="S3568" i="52" s="1"/>
  <c r="Q3569" i="52" l="1"/>
  <c r="Q3570" i="52" s="1"/>
  <c r="R3570" i="52" l="1"/>
  <c r="S3570" i="52" s="1"/>
  <c r="Q3571" i="52"/>
  <c r="R3571" i="52" s="1"/>
  <c r="S3571" i="52" s="1"/>
  <c r="R3569" i="52"/>
  <c r="S3569" i="52" s="1"/>
  <c r="Q3572" i="52" l="1"/>
  <c r="Q3573" i="52" l="1"/>
  <c r="Q3574" i="52" s="1"/>
  <c r="R3572" i="52"/>
  <c r="S3572" i="52" s="1"/>
  <c r="R3573" i="52" l="1"/>
  <c r="S3573" i="52" s="1"/>
  <c r="R3574" i="52"/>
  <c r="S3574" i="52" s="1"/>
  <c r="Q3575" i="52"/>
  <c r="Q3576" i="52" l="1"/>
  <c r="R3575" i="52"/>
  <c r="S3575" i="52" s="1"/>
  <c r="Q3577" i="52" l="1"/>
  <c r="Q3578" i="52" s="1"/>
  <c r="R3576" i="52"/>
  <c r="S3576" i="52" s="1"/>
  <c r="R3578" i="52" l="1"/>
  <c r="S3578" i="52" s="1"/>
  <c r="Q3579" i="52"/>
  <c r="R3579" i="52" s="1"/>
  <c r="S3579" i="52" s="1"/>
  <c r="R3577" i="52"/>
  <c r="S3577" i="52" s="1"/>
  <c r="Q3580" i="52" l="1"/>
  <c r="Q3581" i="52" l="1"/>
  <c r="Q3582" i="52" s="1"/>
  <c r="R3580" i="52"/>
  <c r="S3580" i="52" s="1"/>
  <c r="R3581" i="52" l="1"/>
  <c r="S3581" i="52" s="1"/>
  <c r="R3582" i="52"/>
  <c r="S3582" i="52" s="1"/>
  <c r="Q3583" i="52"/>
  <c r="R3583" i="52" s="1"/>
  <c r="S3583" i="52" s="1"/>
  <c r="Q3584" i="52" l="1"/>
  <c r="R3584" i="52" s="1"/>
  <c r="S3584" i="52" s="1"/>
  <c r="Q3585" i="52" l="1"/>
  <c r="Q3586" i="52" s="1"/>
  <c r="R3585" i="52" l="1"/>
  <c r="S3585" i="52" s="1"/>
  <c r="R3586" i="52"/>
  <c r="S3586" i="52" s="1"/>
  <c r="Q3587" i="52"/>
  <c r="R3587" i="52" l="1"/>
  <c r="S3587" i="52" s="1"/>
  <c r="Q3588" i="52"/>
  <c r="R3588" i="52" s="1"/>
  <c r="S3588" i="52" s="1"/>
  <c r="Q3589" i="52" l="1"/>
  <c r="Q3590" i="52" l="1"/>
  <c r="Q3591" i="52" s="1"/>
  <c r="R3589" i="52"/>
  <c r="S3589" i="52" s="1"/>
  <c r="R3590" i="52" l="1"/>
  <c r="S3590" i="52" s="1"/>
  <c r="R3591" i="52"/>
  <c r="S3591" i="52" s="1"/>
  <c r="Q3592" i="52"/>
  <c r="R3592" i="52" s="1"/>
  <c r="S3592" i="52" s="1"/>
  <c r="Q3593" i="52" l="1"/>
  <c r="Q3594" i="52" l="1"/>
  <c r="Q3595" i="52" s="1"/>
  <c r="R3593" i="52"/>
  <c r="S3593" i="52" s="1"/>
  <c r="R3594" i="52" l="1"/>
  <c r="S3594" i="52" s="1"/>
  <c r="R3595" i="52"/>
  <c r="S3595" i="52" s="1"/>
  <c r="Q3596" i="52"/>
  <c r="R3596" i="52" s="1"/>
  <c r="S3596" i="52" s="1"/>
  <c r="Q3597" i="52" l="1"/>
  <c r="Q3598" i="52" l="1"/>
  <c r="R3598" i="52" s="1"/>
  <c r="S3598" i="52" s="1"/>
  <c r="R3597" i="52"/>
  <c r="S3597" i="52" s="1"/>
  <c r="Q3599" i="52" l="1"/>
  <c r="R3599" i="52" s="1"/>
  <c r="S3599" i="52" s="1"/>
  <c r="Q3600" i="52" l="1"/>
  <c r="Q3601" i="52" s="1"/>
  <c r="R3600" i="52" l="1"/>
  <c r="S3600" i="52" s="1"/>
  <c r="R3601" i="52"/>
  <c r="S3601" i="52" s="1"/>
  <c r="Q3602" i="52"/>
  <c r="R3602" i="52" s="1"/>
  <c r="S3602" i="52" s="1"/>
  <c r="Q3603" i="52" l="1"/>
  <c r="R3603" i="52" s="1"/>
  <c r="S3603" i="52" s="1"/>
  <c r="Q3604" i="52" l="1"/>
  <c r="Q3605" i="52" l="1"/>
  <c r="R3605" i="52" s="1"/>
  <c r="S3605" i="52" s="1"/>
  <c r="R3604" i="52"/>
  <c r="S3604" i="52" s="1"/>
  <c r="Q3606" i="52" l="1"/>
  <c r="Q3607" i="52" s="1"/>
  <c r="R3607" i="52" l="1"/>
  <c r="S3607" i="52" s="1"/>
  <c r="Q3608" i="52"/>
  <c r="Q3609" i="52" s="1"/>
  <c r="R3606" i="52"/>
  <c r="S3606" i="52" s="1"/>
  <c r="R3608" i="52" l="1"/>
  <c r="S3608" i="52" s="1"/>
  <c r="R3609" i="52"/>
  <c r="S3609" i="52" s="1"/>
  <c r="Q3610" i="52"/>
  <c r="Q3611" i="52" s="1"/>
  <c r="R3610" i="52" l="1"/>
  <c r="S3610" i="52" s="1"/>
  <c r="R3611" i="52"/>
  <c r="S3611" i="52" s="1"/>
  <c r="Q3612" i="52"/>
  <c r="R3612" i="52" s="1"/>
  <c r="S3612" i="52" s="1"/>
  <c r="Q3613" i="52" l="1"/>
  <c r="R3613" i="52" s="1"/>
  <c r="S3613" i="52" s="1"/>
  <c r="Q3614" i="52" l="1"/>
  <c r="Q3615" i="52" s="1"/>
  <c r="R3614" i="52" l="1"/>
  <c r="S3614" i="52" s="1"/>
  <c r="R3615" i="52"/>
  <c r="S3615" i="52" s="1"/>
  <c r="Q3616" i="52"/>
  <c r="R3616" i="52" s="1"/>
  <c r="S3616" i="52" s="1"/>
  <c r="Q3617" i="52" l="1"/>
  <c r="R3617" i="52" s="1"/>
  <c r="S3617" i="52" s="1"/>
  <c r="Q3618" i="52" l="1"/>
  <c r="R3618" i="52" s="1"/>
  <c r="S3618" i="52" s="1"/>
  <c r="Q3619" i="52" l="1"/>
  <c r="Q3620" i="52" l="1"/>
  <c r="Q3621" i="52" s="1"/>
  <c r="R3619" i="52"/>
  <c r="S3619" i="52" s="1"/>
  <c r="R3620" i="52" l="1"/>
  <c r="S3620" i="52" s="1"/>
  <c r="R3621" i="52"/>
  <c r="S3621" i="52" s="1"/>
  <c r="Q3622" i="52"/>
  <c r="R3622" i="52" s="1"/>
  <c r="S3622" i="52" s="1"/>
  <c r="Q3623" i="52" l="1"/>
  <c r="R3623" i="52" s="1"/>
  <c r="S3623" i="52" s="1"/>
  <c r="Q3624" i="52" l="1"/>
  <c r="Q3625" i="52" s="1"/>
  <c r="R3624" i="52" l="1"/>
  <c r="S3624" i="52" s="1"/>
  <c r="R3625" i="52"/>
  <c r="S3625" i="52" s="1"/>
  <c r="Q3626" i="52"/>
  <c r="R3626" i="52" s="1"/>
  <c r="S3626" i="52" s="1"/>
  <c r="Q3627" i="52" l="1"/>
  <c r="R3627" i="52" s="1"/>
  <c r="S3627" i="52" s="1"/>
  <c r="Q3628" i="52" l="1"/>
  <c r="R3628" i="52" s="1"/>
  <c r="S3628" i="52" s="1"/>
  <c r="Q3629" i="52" l="1"/>
  <c r="Q3630" i="52" l="1"/>
  <c r="R3630" i="52" s="1"/>
  <c r="S3630" i="52" s="1"/>
  <c r="R3629" i="52"/>
  <c r="S3629" i="52" s="1"/>
  <c r="Q3631" i="52" l="1"/>
  <c r="R3631" i="52" s="1"/>
  <c r="S3631" i="52" s="1"/>
  <c r="Q3632" i="52" l="1"/>
  <c r="R3632" i="52" s="1"/>
  <c r="S3632" i="52" s="1"/>
  <c r="Q3633" i="52" l="1"/>
  <c r="R3633" i="52" s="1"/>
  <c r="S3633" i="52" s="1"/>
  <c r="Q3634" i="52" l="1"/>
  <c r="R3634" i="52" s="1"/>
  <c r="S3634" i="52" s="1"/>
  <c r="Q3635" i="52" l="1"/>
  <c r="R3635" i="52" s="1"/>
  <c r="S3635" i="52" s="1"/>
  <c r="Q3636" i="52" l="1"/>
  <c r="Q3637" i="52" s="1"/>
  <c r="R3636" i="52" l="1"/>
  <c r="S3636" i="52" s="1"/>
  <c r="R3637" i="52"/>
  <c r="S3637" i="52" s="1"/>
  <c r="Q3638" i="52"/>
  <c r="Q3639" i="52" s="1"/>
  <c r="R3639" i="52" l="1"/>
  <c r="S3639" i="52" s="1"/>
  <c r="Q3640" i="52"/>
  <c r="R3640" i="52" s="1"/>
  <c r="S3640" i="52" s="1"/>
  <c r="R3638" i="52"/>
  <c r="S3638" i="52" s="1"/>
  <c r="Q3641" i="52" l="1"/>
  <c r="R3641" i="52" s="1"/>
  <c r="S3641" i="52" s="1"/>
  <c r="Q3642" i="52" l="1"/>
  <c r="Q3643" i="52" s="1"/>
  <c r="R3642" i="52" l="1"/>
  <c r="S3642" i="52" s="1"/>
  <c r="R3643" i="52"/>
  <c r="S3643" i="52" s="1"/>
  <c r="Q3644" i="52"/>
  <c r="R3644" i="52" s="1"/>
  <c r="S3644" i="52" s="1"/>
  <c r="Q3645" i="52" l="1"/>
  <c r="R3645" i="52" s="1"/>
  <c r="S3645" i="52" s="1"/>
  <c r="Q3646" i="52" l="1"/>
  <c r="Q3647" i="52" s="1"/>
  <c r="R3646" i="52" l="1"/>
  <c r="S3646" i="52" s="1"/>
  <c r="R3647" i="52"/>
  <c r="S3647" i="52" s="1"/>
  <c r="Q3648" i="52"/>
  <c r="Q3649" i="52" s="1"/>
  <c r="R3648" i="52" l="1"/>
  <c r="S3648" i="52" s="1"/>
  <c r="R3649" i="52"/>
  <c r="S3649" i="52" s="1"/>
  <c r="Q3650" i="52"/>
  <c r="Q3651" i="52" l="1"/>
  <c r="R3650" i="52"/>
  <c r="S3650" i="52" s="1"/>
  <c r="Q3652" i="52" l="1"/>
  <c r="Q3653" i="52" s="1"/>
  <c r="R3651" i="52"/>
  <c r="S3651" i="52" s="1"/>
  <c r="R3652" i="52" l="1"/>
  <c r="S3652" i="52" s="1"/>
  <c r="R3653" i="52"/>
  <c r="S3653" i="52" s="1"/>
  <c r="Q3654" i="52"/>
  <c r="R3654" i="52" s="1"/>
  <c r="S3654" i="52" s="1"/>
  <c r="Q3655" i="52" l="1"/>
  <c r="R3655" i="52" s="1"/>
  <c r="S3655" i="52" s="1"/>
  <c r="Q3656" i="52" l="1"/>
  <c r="R3656" i="52" s="1"/>
  <c r="S3656" i="52" s="1"/>
  <c r="Q3657" i="52" l="1"/>
  <c r="R3657" i="52" s="1"/>
  <c r="S3657" i="52" s="1"/>
  <c r="Q3658" i="52" l="1"/>
  <c r="Q3659" i="52" s="1"/>
  <c r="R3658" i="52" l="1"/>
  <c r="S3658" i="52" s="1"/>
  <c r="R3659" i="52"/>
  <c r="S3659" i="52" s="1"/>
  <c r="Q3660" i="52"/>
  <c r="Q3661" i="52" l="1"/>
  <c r="R3660" i="52"/>
  <c r="S3660" i="52" s="1"/>
  <c r="Q3662" i="52" l="1"/>
  <c r="Q3663" i="52" s="1"/>
  <c r="R3661" i="52"/>
  <c r="S3661" i="52" s="1"/>
  <c r="R3663" i="52" l="1"/>
  <c r="S3663" i="52" s="1"/>
  <c r="Q3664" i="52"/>
  <c r="Q3665" i="52" s="1"/>
  <c r="R3662" i="52"/>
  <c r="S3662" i="52" s="1"/>
  <c r="R3664" i="52" l="1"/>
  <c r="S3664" i="52" s="1"/>
  <c r="R3665" i="52"/>
  <c r="S3665" i="52" s="1"/>
  <c r="Q3666" i="52"/>
  <c r="Q3667" i="52" s="1"/>
  <c r="R3666" i="52" l="1"/>
  <c r="S3666" i="52" s="1"/>
  <c r="R3667" i="52"/>
  <c r="S3667" i="52" s="1"/>
  <c r="Q3668" i="52"/>
  <c r="R3668" i="52" s="1"/>
  <c r="S3668" i="52" s="1"/>
  <c r="Q3669" i="52" l="1"/>
  <c r="R3669" i="52" s="1"/>
  <c r="S3669" i="52" s="1"/>
  <c r="Q3670" i="52" l="1"/>
  <c r="Q3671" i="52" s="1"/>
  <c r="R3671" i="52" l="1"/>
  <c r="S3671" i="52" s="1"/>
  <c r="Q3672" i="52"/>
  <c r="R3672" i="52" s="1"/>
  <c r="S3672" i="52" s="1"/>
  <c r="R3670" i="52"/>
  <c r="S3670" i="52" s="1"/>
  <c r="Q3673" i="52" l="1"/>
  <c r="R3673" i="52" s="1"/>
  <c r="S3673" i="52" s="1"/>
  <c r="Q3674" i="52" l="1"/>
  <c r="Q3675" i="52" s="1"/>
  <c r="R3674" i="52" l="1"/>
  <c r="S3674" i="52" s="1"/>
  <c r="R3675" i="52"/>
  <c r="S3675" i="52" s="1"/>
  <c r="Q3676" i="52"/>
  <c r="Q3677" i="52" s="1"/>
  <c r="R3676" i="52" l="1"/>
  <c r="S3676" i="52" s="1"/>
  <c r="R3677" i="52"/>
  <c r="S3677" i="52" s="1"/>
  <c r="Q3678" i="52"/>
  <c r="Q3679" i="52" s="1"/>
  <c r="R3679" i="52" l="1"/>
  <c r="S3679" i="52" s="1"/>
  <c r="Q3680" i="52"/>
  <c r="R3678" i="52"/>
  <c r="S3678" i="52" s="1"/>
  <c r="Q3681" i="52" l="1"/>
  <c r="R3680" i="52"/>
  <c r="S3680" i="52" s="1"/>
  <c r="Q3682" i="52" l="1"/>
  <c r="Q3683" i="52" s="1"/>
  <c r="R3681" i="52"/>
  <c r="S3681" i="52" s="1"/>
  <c r="R3682" i="52" l="1"/>
  <c r="S3682" i="52" s="1"/>
  <c r="R3683" i="52"/>
  <c r="S3683" i="52" s="1"/>
  <c r="Q3684" i="52"/>
  <c r="Q3685" i="52" s="1"/>
  <c r="R3684" i="52" l="1"/>
  <c r="S3684" i="52" s="1"/>
  <c r="R3685" i="52"/>
  <c r="S3685" i="52" s="1"/>
  <c r="Q3686" i="52"/>
  <c r="R3686" i="52" s="1"/>
  <c r="S3686" i="52" s="1"/>
  <c r="Q3687" i="52" l="1"/>
  <c r="R3687" i="52" s="1"/>
  <c r="S3687" i="52" s="1"/>
  <c r="Q3688" i="52" l="1"/>
  <c r="Q3689" i="52" s="1"/>
  <c r="R3688" i="52" l="1"/>
  <c r="S3688" i="52" s="1"/>
  <c r="R3689" i="52"/>
  <c r="S3689" i="52" s="1"/>
  <c r="Q3690" i="52"/>
  <c r="R3690" i="52" s="1"/>
  <c r="S3690" i="52" s="1"/>
  <c r="Q3691" i="52" l="1"/>
  <c r="R3691" i="52" s="1"/>
  <c r="S3691" i="52" s="1"/>
  <c r="Q3692" i="52" l="1"/>
  <c r="Q3693" i="52" s="1"/>
  <c r="R3692" i="52" l="1"/>
  <c r="S3692" i="52" s="1"/>
  <c r="R3693" i="52"/>
  <c r="S3693" i="52" s="1"/>
  <c r="Q3694" i="52"/>
  <c r="R3694" i="52" s="1"/>
  <c r="S3694" i="52" s="1"/>
  <c r="Q3695" i="52" l="1"/>
  <c r="Q3696" i="52" l="1"/>
  <c r="Q3697" i="52" s="1"/>
  <c r="R3695" i="52"/>
  <c r="S3695" i="52" s="1"/>
  <c r="R3696" i="52" l="1"/>
  <c r="S3696" i="52" s="1"/>
  <c r="R3697" i="52"/>
  <c r="S3697" i="52" s="1"/>
  <c r="Q3698" i="52"/>
  <c r="Q3699" i="52" s="1"/>
  <c r="R3699" i="52" l="1"/>
  <c r="S3699" i="52" s="1"/>
  <c r="Q3700" i="52"/>
  <c r="Q3701" i="52" s="1"/>
  <c r="R3698" i="52"/>
  <c r="S3698" i="52" s="1"/>
  <c r="R3700" i="52" l="1"/>
  <c r="S3700" i="52" s="1"/>
  <c r="R3701" i="52"/>
  <c r="S3701" i="52" s="1"/>
  <c r="Q3702" i="52"/>
  <c r="R3702" i="52" s="1"/>
  <c r="S3702" i="52" s="1"/>
  <c r="Q3703" i="52" l="1"/>
  <c r="Q3704" i="52" l="1"/>
  <c r="Q3705" i="52" s="1"/>
  <c r="R3703" i="52"/>
  <c r="S3703" i="52" s="1"/>
  <c r="R3705" i="52" l="1"/>
  <c r="S3705" i="52" s="1"/>
  <c r="Q3706" i="52"/>
  <c r="R3706" i="52" s="1"/>
  <c r="S3706" i="52" s="1"/>
  <c r="R3704" i="52"/>
  <c r="S3704" i="52" s="1"/>
  <c r="Q3707" i="52" l="1"/>
  <c r="R3707" i="52" s="1"/>
  <c r="S3707" i="52" s="1"/>
  <c r="Q3708" i="52" l="1"/>
  <c r="Q3709" i="52" l="1"/>
  <c r="R3709" i="52" s="1"/>
  <c r="S3709" i="52" s="1"/>
  <c r="R3708" i="52"/>
  <c r="S3708" i="52" s="1"/>
  <c r="Q3710" i="52" l="1"/>
  <c r="Q3711" i="52" s="1"/>
  <c r="R3711" i="52" l="1"/>
  <c r="S3711" i="52" s="1"/>
  <c r="Q3712" i="52"/>
  <c r="Q3713" i="52" s="1"/>
  <c r="R3710" i="52"/>
  <c r="S3710" i="52" s="1"/>
  <c r="R3712" i="52" l="1"/>
  <c r="S3712" i="52" s="1"/>
  <c r="R3713" i="52"/>
  <c r="S3713" i="52" s="1"/>
  <c r="Q3714" i="52"/>
  <c r="Q3715" i="52" s="1"/>
  <c r="R3714" i="52" l="1"/>
  <c r="S3714" i="52" s="1"/>
  <c r="R3715" i="52"/>
  <c r="S3715" i="52" s="1"/>
  <c r="Q3716" i="52"/>
  <c r="Q3717" i="52" s="1"/>
  <c r="R3716" i="52" l="1"/>
  <c r="S3716" i="52" s="1"/>
  <c r="R3717" i="52"/>
  <c r="S3717" i="52" s="1"/>
  <c r="Q3718" i="52"/>
  <c r="R3718" i="52" s="1"/>
  <c r="S3718" i="52" s="1"/>
  <c r="Q3719" i="52" l="1"/>
  <c r="Q3720" i="52" l="1"/>
  <c r="Q3721" i="52" s="1"/>
  <c r="R3719" i="52"/>
  <c r="S3719" i="52" s="1"/>
  <c r="R3721" i="52" l="1"/>
  <c r="S3721" i="52" s="1"/>
  <c r="Q3722" i="52"/>
  <c r="Q3723" i="52" s="1"/>
  <c r="R3720" i="52"/>
  <c r="S3720" i="52" s="1"/>
  <c r="R3722" i="52" l="1"/>
  <c r="S3722" i="52" s="1"/>
  <c r="R3723" i="52"/>
  <c r="S3723" i="52" s="1"/>
  <c r="Q3724" i="52"/>
  <c r="Q3725" i="52" s="1"/>
  <c r="R3724" i="52" l="1"/>
  <c r="S3724" i="52" s="1"/>
  <c r="R3725" i="52"/>
  <c r="S3725" i="52" s="1"/>
  <c r="Q3726" i="52"/>
  <c r="Q3727" i="52" s="1"/>
  <c r="R3726" i="52" l="1"/>
  <c r="S3726" i="52" s="1"/>
  <c r="R3727" i="52"/>
  <c r="S3727" i="52" s="1"/>
  <c r="Q3728" i="52"/>
  <c r="R3728" i="52" s="1"/>
  <c r="S3728" i="52" s="1"/>
  <c r="Q3729" i="52" l="1"/>
  <c r="Q3730" i="52" l="1"/>
  <c r="Q3731" i="52" s="1"/>
  <c r="R3729" i="52"/>
  <c r="S3729" i="52" s="1"/>
  <c r="R3730" i="52" l="1"/>
  <c r="S3730" i="52" s="1"/>
  <c r="R3731" i="52"/>
  <c r="S3731" i="52" s="1"/>
  <c r="Q3732" i="52"/>
  <c r="R3732" i="52" s="1"/>
  <c r="S3732" i="52" s="1"/>
  <c r="Q3733" i="52" l="1"/>
  <c r="R3733" i="52" s="1"/>
  <c r="S3733" i="52" s="1"/>
  <c r="Q3734" i="52" l="1"/>
  <c r="R3734" i="52" s="1"/>
  <c r="S3734" i="52" s="1"/>
  <c r="Q3735" i="52" l="1"/>
  <c r="R3735" i="52" s="1"/>
  <c r="S3735" i="52" s="1"/>
  <c r="Q3736" i="52" l="1"/>
  <c r="Q3737" i="52" s="1"/>
  <c r="R3736" i="52" l="1"/>
  <c r="S3736" i="52" s="1"/>
  <c r="R3737" i="52"/>
  <c r="S3737" i="52" s="1"/>
  <c r="Q3738" i="52"/>
  <c r="Q3739" i="52" s="1"/>
  <c r="R3738" i="52" l="1"/>
  <c r="S3738" i="52" s="1"/>
  <c r="R3739" i="52"/>
  <c r="S3739" i="52" s="1"/>
  <c r="Q3740" i="52"/>
  <c r="R3740" i="52" s="1"/>
  <c r="S3740" i="52" s="1"/>
  <c r="Q3741" i="52" l="1"/>
  <c r="Q3742" i="52" l="1"/>
  <c r="Q3743" i="52" s="1"/>
  <c r="R3741" i="52"/>
  <c r="S3741" i="52" s="1"/>
  <c r="R3742" i="52" l="1"/>
  <c r="S3742" i="52" s="1"/>
  <c r="R3743" i="52"/>
  <c r="S3743" i="52" s="1"/>
  <c r="Q3744" i="52"/>
  <c r="Q3745" i="52" s="1"/>
  <c r="R3745" i="52" l="1"/>
  <c r="S3745" i="52" s="1"/>
  <c r="Q3746" i="52"/>
  <c r="R3746" i="52" s="1"/>
  <c r="S3746" i="52" s="1"/>
  <c r="R3744" i="52"/>
  <c r="S3744" i="52" s="1"/>
  <c r="Q3747" i="52" l="1"/>
  <c r="R3747" i="52" s="1"/>
  <c r="S3747" i="52" s="1"/>
  <c r="Q3748" i="52" l="1"/>
  <c r="Q3749" i="52" s="1"/>
  <c r="R3748" i="52" l="1"/>
  <c r="S3748" i="52" s="1"/>
  <c r="R3749" i="52"/>
  <c r="S3749" i="52" s="1"/>
  <c r="Q3750" i="52"/>
  <c r="Q3751" i="52" l="1"/>
  <c r="R3751" i="52" s="1"/>
  <c r="S3751" i="52" s="1"/>
  <c r="R3750" i="52"/>
  <c r="S3750" i="52" s="1"/>
  <c r="Q3752" i="52" l="1"/>
  <c r="Q3753" i="52" s="1"/>
  <c r="R3753" i="52" l="1"/>
  <c r="S3753" i="52" s="1"/>
  <c r="Q3754" i="52"/>
  <c r="R3754" i="52" s="1"/>
  <c r="S3754" i="52" s="1"/>
  <c r="R3752" i="52"/>
  <c r="S3752" i="52" s="1"/>
  <c r="Q3755" i="52" l="1"/>
  <c r="R3755" i="52" s="1"/>
  <c r="S3755" i="52" s="1"/>
  <c r="Q3756" i="52" l="1"/>
  <c r="Q3757" i="52" s="1"/>
  <c r="R3756" i="52" l="1"/>
  <c r="S3756" i="52" s="1"/>
  <c r="R3757" i="52"/>
  <c r="S3757" i="52" s="1"/>
  <c r="Q3758" i="52"/>
  <c r="R3758" i="52" s="1"/>
  <c r="S3758" i="52" s="1"/>
  <c r="Q3759" i="52" l="1"/>
  <c r="R3759" i="52" s="1"/>
  <c r="S3759" i="52" s="1"/>
  <c r="Q3760" i="52" l="1"/>
  <c r="R3760" i="52" s="1"/>
  <c r="S3760" i="52" s="1"/>
  <c r="Q3761" i="52" l="1"/>
  <c r="R3761" i="52" s="1"/>
  <c r="S3761" i="52" s="1"/>
  <c r="Q3762" i="52" l="1"/>
  <c r="Q3763" i="52" s="1"/>
  <c r="R3763" i="52" l="1"/>
  <c r="S3763" i="52" s="1"/>
  <c r="Q3764" i="52"/>
  <c r="R3764" i="52" s="1"/>
  <c r="S3764" i="52" s="1"/>
  <c r="R3762" i="52"/>
  <c r="S3762" i="52" s="1"/>
  <c r="Q3765" i="52" l="1"/>
  <c r="Q3766" i="52" l="1"/>
  <c r="Q3767" i="52" s="1"/>
  <c r="R3765" i="52"/>
  <c r="S3765" i="52" s="1"/>
  <c r="R3767" i="52" l="1"/>
  <c r="S3767" i="52" s="1"/>
  <c r="Q3768" i="52"/>
  <c r="Q3769" i="52" s="1"/>
  <c r="R3766" i="52"/>
  <c r="S3766" i="52" s="1"/>
  <c r="R3768" i="52" l="1"/>
  <c r="S3768" i="52" s="1"/>
  <c r="R3769" i="52"/>
  <c r="S3769" i="52" s="1"/>
  <c r="Q3770" i="52"/>
  <c r="Q3771" i="52" s="1"/>
  <c r="R3771" i="52" l="1"/>
  <c r="S3771" i="52" s="1"/>
  <c r="Q3772" i="52"/>
  <c r="R3772" i="52" s="1"/>
  <c r="S3772" i="52" s="1"/>
  <c r="R3770" i="52"/>
  <c r="S3770" i="52" s="1"/>
  <c r="Q3773" i="52" l="1"/>
  <c r="R3773" i="52" s="1"/>
  <c r="S3773" i="52" s="1"/>
  <c r="Q3774" i="52" l="1"/>
  <c r="Q3775" i="52" s="1"/>
  <c r="R3774" i="52" l="1"/>
  <c r="S3774" i="52" s="1"/>
  <c r="R3775" i="52"/>
  <c r="S3775" i="52" s="1"/>
  <c r="Q3776" i="52"/>
  <c r="R3776" i="52" s="1"/>
  <c r="S3776" i="52" s="1"/>
  <c r="Q3777" i="52" l="1"/>
  <c r="R3777" i="52" s="1"/>
  <c r="S3777" i="52" s="1"/>
  <c r="Q3778" i="52" l="1"/>
  <c r="Q3779" i="52" s="1"/>
  <c r="R3778" i="52" l="1"/>
  <c r="S3778" i="52" s="1"/>
  <c r="R3779" i="52"/>
  <c r="S3779" i="52" s="1"/>
  <c r="Q3780" i="52"/>
  <c r="R3780" i="52" s="1"/>
  <c r="S3780" i="52" s="1"/>
  <c r="Q3781" i="52" l="1"/>
  <c r="Q3782" i="52" l="1"/>
  <c r="Q3783" i="52" s="1"/>
  <c r="R3781" i="52"/>
  <c r="S3781" i="52" s="1"/>
  <c r="R3782" i="52" l="1"/>
  <c r="S3782" i="52" s="1"/>
  <c r="R3783" i="52"/>
  <c r="S3783" i="52" s="1"/>
  <c r="Q3784" i="52"/>
  <c r="R3784" i="52" s="1"/>
  <c r="S3784" i="52" s="1"/>
  <c r="Q3785" i="52" l="1"/>
  <c r="R3785" i="52" s="1"/>
  <c r="S3785" i="52" s="1"/>
  <c r="Q3786" i="52" l="1"/>
  <c r="Q3787" i="52" s="1"/>
  <c r="R3786" i="52" l="1"/>
  <c r="S3786" i="52" s="1"/>
  <c r="R3787" i="52"/>
  <c r="S3787" i="52" s="1"/>
  <c r="Q3788" i="52"/>
  <c r="R3788" i="52" s="1"/>
  <c r="S3788" i="52" s="1"/>
  <c r="Q3789" i="52" l="1"/>
  <c r="Q3790" i="52" l="1"/>
  <c r="R3790" i="52" s="1"/>
  <c r="S3790" i="52" s="1"/>
  <c r="R3789" i="52"/>
  <c r="S3789" i="52" s="1"/>
  <c r="Q3791" i="52" l="1"/>
  <c r="Q3792" i="52" l="1"/>
  <c r="Q3793" i="52" s="1"/>
  <c r="R3791" i="52"/>
  <c r="S3791" i="52" s="1"/>
  <c r="R3793" i="52" l="1"/>
  <c r="S3793" i="52" s="1"/>
  <c r="Q3794" i="52"/>
  <c r="Q3795" i="52" s="1"/>
  <c r="R3792" i="52"/>
  <c r="S3792" i="52" s="1"/>
  <c r="R3794" i="52" l="1"/>
  <c r="S3794" i="52" s="1"/>
  <c r="R3795" i="52"/>
  <c r="S3795" i="52" s="1"/>
  <c r="Q3796" i="52"/>
  <c r="R3796" i="52" s="1"/>
  <c r="S3796" i="52" s="1"/>
  <c r="Q3797" i="52" l="1"/>
  <c r="Q3798" i="52" l="1"/>
  <c r="Q3799" i="52" s="1"/>
  <c r="R3797" i="52"/>
  <c r="S3797" i="52" s="1"/>
  <c r="R3799" i="52" l="1"/>
  <c r="S3799" i="52" s="1"/>
  <c r="Q3800" i="52"/>
  <c r="Q3801" i="52" s="1"/>
  <c r="R3798" i="52"/>
  <c r="S3798" i="52" s="1"/>
  <c r="R3800" i="52" l="1"/>
  <c r="S3800" i="52" s="1"/>
  <c r="R3801" i="52"/>
  <c r="S3801" i="52" s="1"/>
  <c r="Q3802" i="52"/>
  <c r="Q3803" i="52" s="1"/>
  <c r="R3802" i="52" l="1"/>
  <c r="S3802" i="52" s="1"/>
  <c r="R3803" i="52"/>
  <c r="S3803" i="52" s="1"/>
  <c r="Q3804" i="52"/>
  <c r="Q3805" i="52" l="1"/>
  <c r="R3805" i="52" s="1"/>
  <c r="S3805" i="52" s="1"/>
  <c r="R3804" i="52"/>
  <c r="S3804" i="52" s="1"/>
  <c r="Q3806" i="52" l="1"/>
  <c r="Q3807" i="52" s="1"/>
  <c r="R3806" i="52" l="1"/>
  <c r="S3806" i="52" s="1"/>
  <c r="R3807" i="52"/>
  <c r="S3807" i="52" s="1"/>
  <c r="Q3808" i="52"/>
  <c r="Q3809" i="52" s="1"/>
  <c r="R3808" i="52" l="1"/>
  <c r="S3808" i="52" s="1"/>
  <c r="R3809" i="52"/>
  <c r="S3809" i="52" s="1"/>
  <c r="Q3810" i="52"/>
  <c r="Q3811" i="52" l="1"/>
  <c r="R3810" i="52"/>
  <c r="S3810" i="52" s="1"/>
  <c r="Q3812" i="52" l="1"/>
  <c r="Q3813" i="52" s="1"/>
  <c r="R3811" i="52"/>
  <c r="S3811" i="52" s="1"/>
  <c r="R3812" i="52" l="1"/>
  <c r="S3812" i="52" s="1"/>
  <c r="R3813" i="52"/>
  <c r="S3813" i="52" s="1"/>
  <c r="Q3814" i="52"/>
  <c r="R3814" i="52" s="1"/>
  <c r="S3814" i="52" s="1"/>
  <c r="Q3815" i="52" l="1"/>
  <c r="R3815" i="52" s="1"/>
  <c r="S3815" i="52" s="1"/>
  <c r="Q3816" i="52" l="1"/>
  <c r="Q3817" i="52" s="1"/>
  <c r="R3816" i="52" l="1"/>
  <c r="S3816" i="52" s="1"/>
  <c r="R3817" i="52"/>
  <c r="S3817" i="52" s="1"/>
  <c r="Q3818" i="52"/>
  <c r="R3818" i="52" s="1"/>
  <c r="S3818" i="52" s="1"/>
  <c r="Q3819" i="52" l="1"/>
  <c r="Q3820" i="52" l="1"/>
  <c r="R3820" i="52" s="1"/>
  <c r="S3820" i="52" s="1"/>
  <c r="R3819" i="52"/>
  <c r="S3819" i="52" s="1"/>
  <c r="Q3821" i="52" l="1"/>
  <c r="R3821" i="52" s="1"/>
  <c r="S3821" i="52" s="1"/>
  <c r="Q3822" i="52" l="1"/>
  <c r="Q3823" i="52" s="1"/>
  <c r="R3822" i="52" l="1"/>
  <c r="S3822" i="52" s="1"/>
  <c r="R3823" i="52"/>
  <c r="S3823" i="52" s="1"/>
  <c r="Q3824" i="52"/>
  <c r="Q3825" i="52" s="1"/>
  <c r="R3824" i="52" l="1"/>
  <c r="S3824" i="52" s="1"/>
  <c r="R3825" i="52"/>
  <c r="S3825" i="52" s="1"/>
  <c r="Q3826" i="52"/>
  <c r="R3826" i="52" s="1"/>
  <c r="S3826" i="52" s="1"/>
  <c r="Q3827" i="52" l="1"/>
  <c r="Q3828" i="52" l="1"/>
  <c r="R3827" i="52"/>
  <c r="S3827" i="52" s="1"/>
  <c r="Q3829" i="52" l="1"/>
  <c r="R3828" i="52"/>
  <c r="S3828" i="52" s="1"/>
  <c r="Q3830" i="52" l="1"/>
  <c r="Q3831" i="52" s="1"/>
  <c r="R3829" i="52"/>
  <c r="S3829" i="52" s="1"/>
  <c r="R3830" i="52" l="1"/>
  <c r="S3830" i="52" s="1"/>
  <c r="R3831" i="52"/>
  <c r="S3831" i="52" s="1"/>
  <c r="Q3832" i="52"/>
  <c r="Q3833" i="52" l="1"/>
  <c r="R3832" i="52"/>
  <c r="S3832" i="52" s="1"/>
  <c r="Q3834" i="52" l="1"/>
  <c r="R3833" i="52"/>
  <c r="S3833" i="52" s="1"/>
  <c r="Q3835" i="52" l="1"/>
  <c r="R3835" i="52" s="1"/>
  <c r="S3835" i="52" s="1"/>
  <c r="R3834" i="52"/>
  <c r="S3834" i="52" s="1"/>
  <c r="Q3836" i="52" l="1"/>
  <c r="Q3837" i="52" s="1"/>
  <c r="R3836" i="52" l="1"/>
  <c r="S3836" i="52" s="1"/>
  <c r="R3837" i="52"/>
  <c r="S3837" i="52" s="1"/>
  <c r="Q3838" i="52"/>
  <c r="Q3839" i="52" s="1"/>
  <c r="R3838" i="52" l="1"/>
  <c r="S3838" i="52" s="1"/>
  <c r="R3839" i="52"/>
  <c r="S3839" i="52" s="1"/>
  <c r="Q3840" i="52"/>
  <c r="R3840" i="52" s="1"/>
  <c r="S3840" i="52" s="1"/>
  <c r="Q3841" i="52" l="1"/>
  <c r="Q3842" i="52" l="1"/>
  <c r="R3842" i="52" s="1"/>
  <c r="S3842" i="52" s="1"/>
  <c r="R3841" i="52"/>
  <c r="S3841" i="52" s="1"/>
  <c r="Q3843" i="52" l="1"/>
  <c r="Q3844" i="52" l="1"/>
  <c r="Q3845" i="52" s="1"/>
  <c r="R3843" i="52"/>
  <c r="S3843" i="52" s="1"/>
  <c r="R3844" i="52" l="1"/>
  <c r="S3844" i="52" s="1"/>
  <c r="R3845" i="52"/>
  <c r="S3845" i="52" s="1"/>
  <c r="Q3846" i="52"/>
  <c r="R3846" i="52" s="1"/>
  <c r="S3846" i="52" s="1"/>
  <c r="Q3847" i="52" l="1"/>
  <c r="Q3848" i="52" l="1"/>
  <c r="Q3849" i="52" s="1"/>
  <c r="R3847" i="52"/>
  <c r="S3847" i="52" s="1"/>
  <c r="R3849" i="52" l="1"/>
  <c r="S3849" i="52" s="1"/>
  <c r="Q3850" i="52"/>
  <c r="Q3851" i="52" s="1"/>
  <c r="R3848" i="52"/>
  <c r="S3848" i="52" s="1"/>
  <c r="R3850" i="52" l="1"/>
  <c r="S3850" i="52" s="1"/>
  <c r="R3851" i="52"/>
  <c r="S3851" i="52" s="1"/>
  <c r="Q3852" i="52"/>
  <c r="Q3853" i="52" s="1"/>
  <c r="R3852" i="52" l="1"/>
  <c r="S3852" i="52" s="1"/>
  <c r="R3853" i="52"/>
  <c r="S3853" i="52" s="1"/>
  <c r="Q3854" i="52"/>
  <c r="Q3855" i="52" s="1"/>
  <c r="R3855" i="52" l="1"/>
  <c r="S3855" i="52" s="1"/>
  <c r="Q3856" i="52"/>
  <c r="Q3857" i="52" s="1"/>
  <c r="R3854" i="52"/>
  <c r="S3854" i="52" s="1"/>
  <c r="R3856" i="52" l="1"/>
  <c r="S3856" i="52" s="1"/>
  <c r="R3857" i="52"/>
  <c r="S3857" i="52" s="1"/>
  <c r="Q3858" i="52"/>
  <c r="Q3859" i="52" l="1"/>
  <c r="R3859" i="52" s="1"/>
  <c r="S3859" i="52" s="1"/>
  <c r="R3858" i="52"/>
  <c r="S3858" i="52" s="1"/>
  <c r="Q3860" i="52" l="1"/>
  <c r="R3860" i="52" s="1"/>
  <c r="S3860" i="52" s="1"/>
  <c r="Q3861" i="52" l="1"/>
  <c r="R3861" i="52" s="1"/>
  <c r="S3861" i="52" s="1"/>
  <c r="Q3862" i="52" l="1"/>
  <c r="Q3863" i="52" l="1"/>
  <c r="R3862" i="52"/>
  <c r="S3862" i="52" s="1"/>
  <c r="Q3864" i="52" l="1"/>
  <c r="R3864" i="52" s="1"/>
  <c r="S3864" i="52" s="1"/>
  <c r="R3863" i="52"/>
  <c r="S3863" i="52" s="1"/>
  <c r="Q3865" i="52" l="1"/>
  <c r="Q3866" i="52" l="1"/>
  <c r="R3866" i="52" s="1"/>
  <c r="S3866" i="52" s="1"/>
  <c r="R3865" i="52"/>
  <c r="S3865" i="52" s="1"/>
  <c r="Q3867" i="52" l="1"/>
  <c r="Q3868" i="52" l="1"/>
  <c r="Q3869" i="52" s="1"/>
  <c r="R3867" i="52"/>
  <c r="S3867" i="52" s="1"/>
  <c r="R3869" i="52" l="1"/>
  <c r="S3869" i="52" s="1"/>
  <c r="Q3870" i="52"/>
  <c r="Q3871" i="52" s="1"/>
  <c r="R3868" i="52"/>
  <c r="S3868" i="52" s="1"/>
  <c r="R3870" i="52" l="1"/>
  <c r="S3870" i="52" s="1"/>
  <c r="R3871" i="52"/>
  <c r="S3871" i="52" s="1"/>
  <c r="Q3872" i="52"/>
  <c r="R3872" i="52" s="1"/>
  <c r="S3872" i="52" s="1"/>
  <c r="Q3873" i="52" l="1"/>
  <c r="R3873" i="52" s="1"/>
  <c r="S3873" i="52" s="1"/>
  <c r="Q3874" i="52" l="1"/>
  <c r="Q3875" i="52" s="1"/>
  <c r="R3875" i="52" l="1"/>
  <c r="S3875" i="52" s="1"/>
  <c r="Q3876" i="52"/>
  <c r="Q3877" i="52" s="1"/>
  <c r="R3874" i="52"/>
  <c r="S3874" i="52" s="1"/>
  <c r="R3876" i="52" l="1"/>
  <c r="S3876" i="52" s="1"/>
  <c r="R3877" i="52"/>
  <c r="S3877" i="52" s="1"/>
  <c r="Q3878" i="52"/>
  <c r="R3878" i="52" s="1"/>
  <c r="S3878" i="52" s="1"/>
  <c r="Q3879" i="52" l="1"/>
  <c r="R3879" i="52" s="1"/>
  <c r="S3879" i="52" s="1"/>
  <c r="Q3880" i="52" l="1"/>
  <c r="Q3881" i="52" s="1"/>
  <c r="R3880" i="52" l="1"/>
  <c r="S3880" i="52" s="1"/>
  <c r="R3881" i="52"/>
  <c r="S3881" i="52" s="1"/>
  <c r="Q3882" i="52"/>
  <c r="Q3883" i="52" s="1"/>
  <c r="R3882" i="52" l="1"/>
  <c r="S3882" i="52" s="1"/>
  <c r="R3883" i="52"/>
  <c r="S3883" i="52" s="1"/>
  <c r="Q3884" i="52"/>
  <c r="Q3885" i="52" s="1"/>
  <c r="R3884" i="52" l="1"/>
  <c r="S3884" i="52" s="1"/>
  <c r="R3885" i="52"/>
  <c r="S3885" i="52" s="1"/>
  <c r="Q3886" i="52"/>
  <c r="Q3887" i="52" l="1"/>
  <c r="R3887" i="52" s="1"/>
  <c r="S3887" i="52" s="1"/>
  <c r="R3886" i="52"/>
  <c r="S3886" i="52" s="1"/>
  <c r="Q3888" i="52" l="1"/>
  <c r="Q3889" i="52" s="1"/>
  <c r="R3888" i="52" l="1"/>
  <c r="S3888" i="52" s="1"/>
  <c r="R3889" i="52"/>
  <c r="S3889" i="52" s="1"/>
  <c r="Q3890" i="52"/>
  <c r="Q3891" i="52" l="1"/>
  <c r="R3890" i="52"/>
  <c r="S3890" i="52" s="1"/>
  <c r="Q3892" i="52" l="1"/>
  <c r="R3892" i="52" s="1"/>
  <c r="S3892" i="52" s="1"/>
  <c r="R3891" i="52"/>
  <c r="S3891" i="52" s="1"/>
  <c r="Q3893" i="52" l="1"/>
  <c r="R3893" i="52" s="1"/>
  <c r="S3893" i="52" s="1"/>
  <c r="Q3894" i="52" l="1"/>
  <c r="Q3895" i="52" s="1"/>
  <c r="R3895" i="52" l="1"/>
  <c r="S3895" i="52" s="1"/>
  <c r="Q3896" i="52"/>
  <c r="Q3897" i="52" s="1"/>
  <c r="R3894" i="52"/>
  <c r="S3894" i="52" s="1"/>
  <c r="R3896" i="52" l="1"/>
  <c r="S3896" i="52" s="1"/>
  <c r="R3897" i="52"/>
  <c r="S3897" i="52" s="1"/>
  <c r="Q3898" i="52"/>
  <c r="Q3899" i="52" s="1"/>
  <c r="R3898" i="52" l="1"/>
  <c r="S3898" i="52" s="1"/>
  <c r="R3899" i="52"/>
  <c r="S3899" i="52" s="1"/>
  <c r="Q3900" i="52"/>
  <c r="Q3901" i="52" s="1"/>
  <c r="R3900" i="52" l="1"/>
  <c r="S3900" i="52" s="1"/>
  <c r="R3901" i="52"/>
  <c r="S3901" i="52" s="1"/>
  <c r="Q3902" i="52"/>
  <c r="R3902" i="52" s="1"/>
  <c r="S3902" i="52" s="1"/>
  <c r="Q3903" i="52" l="1"/>
  <c r="Q3904" i="52" l="1"/>
  <c r="R3904" i="52" s="1"/>
  <c r="S3904" i="52" s="1"/>
  <c r="R3903" i="52"/>
  <c r="S3903" i="52" s="1"/>
  <c r="Q3905" i="52" l="1"/>
  <c r="R3905" i="52" s="1"/>
  <c r="S3905" i="52" s="1"/>
  <c r="Q3906" i="52" l="1"/>
  <c r="Q3907" i="52" s="1"/>
  <c r="R3906" i="52" l="1"/>
  <c r="S3906" i="52" s="1"/>
  <c r="R3907" i="52"/>
  <c r="S3907" i="52" s="1"/>
  <c r="Q3908" i="52"/>
  <c r="R3908" i="52" s="1"/>
  <c r="S3908" i="52" s="1"/>
  <c r="Q3909" i="52" l="1"/>
  <c r="R3909" i="52" s="1"/>
  <c r="S3909" i="52" s="1"/>
  <c r="Q3910" i="52" l="1"/>
  <c r="Q3911" i="52" s="1"/>
  <c r="R3911" i="52" l="1"/>
  <c r="S3911" i="52" s="1"/>
  <c r="Q3912" i="52"/>
  <c r="R3912" i="52" s="1"/>
  <c r="S3912" i="52" s="1"/>
  <c r="R3910" i="52"/>
  <c r="S3910" i="52" s="1"/>
  <c r="Q3913" i="52" l="1"/>
  <c r="R3913" i="52" s="1"/>
  <c r="S3913" i="52" s="1"/>
  <c r="Q3914" i="52" l="1"/>
  <c r="Q3915" i="52" s="1"/>
  <c r="R3914" i="52" l="1"/>
  <c r="S3914" i="52" s="1"/>
  <c r="R3915" i="52"/>
  <c r="S3915" i="52" s="1"/>
  <c r="Q3916" i="52"/>
  <c r="Q3917" i="52" l="1"/>
  <c r="R3917" i="52" s="1"/>
  <c r="S3917" i="52" s="1"/>
  <c r="R3916" i="52"/>
  <c r="S3916" i="52" s="1"/>
  <c r="Q3918" i="52" l="1"/>
  <c r="R3918" i="52" s="1"/>
  <c r="S3918" i="52" s="1"/>
  <c r="Q3919" i="52" l="1"/>
  <c r="Q3920" i="52" s="1"/>
  <c r="R3919" i="52" l="1"/>
  <c r="S3919" i="52" s="1"/>
  <c r="R3920" i="52"/>
  <c r="S3920" i="52" s="1"/>
  <c r="Q3921" i="52"/>
  <c r="R3921" i="52" l="1"/>
  <c r="S3921" i="52" s="1"/>
  <c r="Q3922" i="52"/>
  <c r="R3922" i="52" s="1"/>
  <c r="S3922" i="52" s="1"/>
  <c r="Q3923" i="52" l="1"/>
  <c r="R3923" i="52" s="1"/>
  <c r="S3923" i="52" s="1"/>
  <c r="Q3924" i="52" l="1"/>
  <c r="Q3925" i="52" s="1"/>
  <c r="R3925" i="52" l="1"/>
  <c r="S3925" i="52" s="1"/>
  <c r="Q3926" i="52"/>
  <c r="R3926" i="52" s="1"/>
  <c r="S3926" i="52" s="1"/>
  <c r="R3924" i="52"/>
  <c r="S3924" i="52" s="1"/>
  <c r="Q3927" i="52" l="1"/>
  <c r="R3927" i="52" s="1"/>
  <c r="S3927" i="52" s="1"/>
  <c r="Q3928" i="52" l="1"/>
  <c r="R3928" i="52" s="1"/>
  <c r="S3928" i="52" s="1"/>
  <c r="Q3929" i="52" l="1"/>
  <c r="R3929" i="52" s="1"/>
  <c r="S3929" i="52" s="1"/>
  <c r="Q3930" i="52" l="1"/>
  <c r="R3930" i="52" s="1"/>
  <c r="S3930" i="52" s="1"/>
  <c r="Q3931" i="52" l="1"/>
  <c r="Q3932" i="52" l="1"/>
  <c r="R3931" i="52"/>
  <c r="S3931" i="52" s="1"/>
  <c r="Q3933" i="52" l="1"/>
  <c r="R3933" i="52" s="1"/>
  <c r="S3933" i="52" s="1"/>
  <c r="R3932" i="52"/>
  <c r="S3932" i="52" s="1"/>
  <c r="Q3934" i="52" l="1"/>
  <c r="Q3935" i="52" l="1"/>
  <c r="R3935" i="52" s="1"/>
  <c r="S3935" i="52" s="1"/>
  <c r="R3934" i="52"/>
  <c r="S3934" i="52" s="1"/>
  <c r="Q3936" i="52" l="1"/>
  <c r="Q3937" i="52" s="1"/>
  <c r="R3937" i="52" l="1"/>
  <c r="S3937" i="52" s="1"/>
  <c r="Q3938" i="52"/>
  <c r="Q3939" i="52" s="1"/>
  <c r="R3936" i="52"/>
  <c r="S3936" i="52" s="1"/>
  <c r="R3938" i="52" l="1"/>
  <c r="S3938" i="52" s="1"/>
  <c r="R3939" i="52"/>
  <c r="S3939" i="52" s="1"/>
  <c r="Q3940" i="52"/>
  <c r="Q3941" i="52" l="1"/>
  <c r="R3941" i="52" s="1"/>
  <c r="S3941" i="52" s="1"/>
  <c r="R3940" i="52"/>
  <c r="S3940" i="52" s="1"/>
  <c r="Q3942" i="52" l="1"/>
  <c r="Q3943" i="52" l="1"/>
  <c r="R3943" i="52" s="1"/>
  <c r="S3943" i="52" s="1"/>
  <c r="R3942" i="52"/>
  <c r="S3942" i="52" s="1"/>
  <c r="Q3944" i="52" l="1"/>
  <c r="Q3945" i="52" l="1"/>
  <c r="R3945" i="52" s="1"/>
  <c r="S3945" i="52" s="1"/>
  <c r="R3944" i="52"/>
  <c r="S3944" i="52" s="1"/>
  <c r="Q3946" i="52" l="1"/>
  <c r="Q3947" i="52" s="1"/>
  <c r="R3946" i="52" l="1"/>
  <c r="S3946" i="52" s="1"/>
  <c r="R3947" i="52"/>
  <c r="S3947" i="52" s="1"/>
  <c r="Q3948" i="52"/>
  <c r="R3948" i="52" l="1"/>
  <c r="S3948" i="52" s="1"/>
  <c r="Q3949" i="52"/>
  <c r="R3949" i="52" l="1"/>
  <c r="S3949" i="52" s="1"/>
  <c r="Q3950" i="52"/>
  <c r="R3950" i="52" s="1"/>
  <c r="S3950" i="52" s="1"/>
  <c r="Q3951" i="52" l="1"/>
  <c r="R3951" i="52" s="1"/>
  <c r="S3951" i="52" s="1"/>
  <c r="Q3952" i="52" l="1"/>
  <c r="Q3953" i="52" s="1"/>
  <c r="R3952" i="52" l="1"/>
  <c r="S3952" i="52" s="1"/>
  <c r="R3953" i="52"/>
  <c r="S3953" i="52" s="1"/>
  <c r="Q3954" i="52"/>
  <c r="Q3955" i="52" l="1"/>
  <c r="R3955" i="52" s="1"/>
  <c r="S3955" i="52" s="1"/>
  <c r="R3954" i="52"/>
  <c r="S3954" i="52" s="1"/>
  <c r="Q3956" i="52" l="1"/>
  <c r="Q3957" i="52" s="1"/>
  <c r="R3957" i="52" l="1"/>
  <c r="S3957" i="52" s="1"/>
  <c r="Q3958" i="52"/>
  <c r="R3958" i="52" s="1"/>
  <c r="S3958" i="52" s="1"/>
  <c r="R3956" i="52"/>
  <c r="S3956" i="52" s="1"/>
  <c r="Q3959" i="52" l="1"/>
  <c r="R3959" i="52" s="1"/>
  <c r="S3959" i="52" s="1"/>
  <c r="Q3960" i="52" l="1"/>
  <c r="Q3961" i="52" l="1"/>
  <c r="R3961" i="52" s="1"/>
  <c r="S3961" i="52" s="1"/>
  <c r="R3960" i="52"/>
  <c r="S3960" i="52" s="1"/>
  <c r="Q3962" i="52" l="1"/>
  <c r="Q3963" i="52" s="1"/>
  <c r="R3962" i="52" l="1"/>
  <c r="S3962" i="52" s="1"/>
  <c r="R3963" i="52"/>
  <c r="S3963" i="52" s="1"/>
  <c r="Q3964" i="52"/>
  <c r="R3964" i="52" s="1"/>
  <c r="S3964" i="52" s="1"/>
  <c r="Q3965" i="52" l="1"/>
  <c r="R3965" i="52" s="1"/>
  <c r="S3965" i="52" s="1"/>
  <c r="Q3966" i="52" l="1"/>
  <c r="Q3967" i="52" s="1"/>
  <c r="R3967" i="52" l="1"/>
  <c r="S3967" i="52" s="1"/>
  <c r="Q3968" i="52"/>
  <c r="R3968" i="52" s="1"/>
  <c r="S3968" i="52" s="1"/>
  <c r="R3966" i="52"/>
  <c r="S3966" i="52" s="1"/>
  <c r="Q3969" i="52" l="1"/>
  <c r="R3969" i="52" s="1"/>
  <c r="S3969" i="52" s="1"/>
  <c r="Q3970" i="52" l="1"/>
  <c r="Q3971" i="52" l="1"/>
  <c r="R3971" i="52" s="1"/>
  <c r="S3971" i="52" s="1"/>
  <c r="R3970" i="52"/>
  <c r="S3970" i="52" s="1"/>
  <c r="Q3972" i="52" l="1"/>
  <c r="Q3973" i="52" s="1"/>
  <c r="R3973" i="52" l="1"/>
  <c r="S3973" i="52" s="1"/>
  <c r="Q3974" i="52"/>
  <c r="R3974" i="52" s="1"/>
  <c r="S3974" i="52" s="1"/>
  <c r="R3972" i="52"/>
  <c r="S3972" i="52" s="1"/>
  <c r="Q3975" i="52" l="1"/>
  <c r="Q3976" i="52" s="1"/>
  <c r="R3975" i="52" l="1"/>
  <c r="S3975" i="52" s="1"/>
  <c r="R3976" i="52"/>
  <c r="S3976" i="52" s="1"/>
  <c r="Q3977" i="52"/>
  <c r="R3977" i="52" s="1"/>
  <c r="S3977" i="52" s="1"/>
  <c r="Q3978" i="52" l="1"/>
  <c r="R3978" i="52" s="1"/>
  <c r="S3978" i="52" s="1"/>
  <c r="Q3979" i="52" l="1"/>
  <c r="Q3980" i="52" l="1"/>
  <c r="R3979" i="52"/>
  <c r="S3979" i="52" s="1"/>
  <c r="Q3981" i="52" l="1"/>
  <c r="R3981" i="52" s="1"/>
  <c r="S3981" i="52" s="1"/>
  <c r="R3980" i="52"/>
  <c r="S3980" i="52" s="1"/>
  <c r="Q3982" i="52" l="1"/>
  <c r="Q3983" i="52" l="1"/>
  <c r="R3983" i="52" s="1"/>
  <c r="S3983" i="52" s="1"/>
  <c r="R3982" i="52"/>
  <c r="S3982" i="52" s="1"/>
  <c r="Q3984" i="52" l="1"/>
  <c r="Q3985" i="52" s="1"/>
  <c r="R3985" i="52" l="1"/>
  <c r="S3985" i="52" s="1"/>
  <c r="Q3986" i="52"/>
  <c r="R3984" i="52"/>
  <c r="S3984" i="52" s="1"/>
  <c r="Q3987" i="52" l="1"/>
  <c r="R3986" i="52"/>
  <c r="S3986" i="52" s="1"/>
  <c r="Q3988" i="52" l="1"/>
  <c r="Q3989" i="52" s="1"/>
  <c r="R3987" i="52"/>
  <c r="S3987" i="52" s="1"/>
  <c r="R3989" i="52" l="1"/>
  <c r="S3989" i="52" s="1"/>
  <c r="Q3990" i="52"/>
  <c r="Q3991" i="52" s="1"/>
  <c r="R3988" i="52"/>
  <c r="S3988" i="52" s="1"/>
  <c r="R3990" i="52" l="1"/>
  <c r="S3990" i="52" s="1"/>
  <c r="R3991" i="52"/>
  <c r="S3991" i="52" s="1"/>
  <c r="Q3992" i="52"/>
  <c r="R3992" i="52" l="1"/>
  <c r="S3992" i="52" s="1"/>
  <c r="Q3993" i="52"/>
  <c r="R3993" i="52" s="1"/>
  <c r="S3993" i="52" s="1"/>
  <c r="Q3994" i="52" l="1"/>
  <c r="Q3995" i="52" s="1"/>
  <c r="R3995" i="52" l="1"/>
  <c r="S3995" i="52" s="1"/>
  <c r="Q3996" i="52"/>
  <c r="R3994" i="52"/>
  <c r="S3994" i="52" s="1"/>
  <c r="Q3997" i="52" l="1"/>
  <c r="R3996" i="52"/>
  <c r="S3996" i="52" s="1"/>
  <c r="Q3998" i="52" l="1"/>
  <c r="R3998" i="52" s="1"/>
  <c r="S3998" i="52" s="1"/>
  <c r="R3997" i="52"/>
  <c r="S3997" i="52" s="1"/>
  <c r="Q3999" i="52" l="1"/>
  <c r="Q4000" i="52" l="1"/>
  <c r="Q4001" i="52" s="1"/>
  <c r="R3999" i="52"/>
  <c r="S3999" i="52" s="1"/>
  <c r="R4000" i="52" l="1"/>
  <c r="S4000" i="52" s="1"/>
  <c r="R4001" i="52"/>
  <c r="S4001" i="52" s="1"/>
  <c r="Q4002" i="52"/>
  <c r="Q4003" i="52" l="1"/>
  <c r="Q4004" i="52" s="1"/>
  <c r="R4002" i="52"/>
  <c r="S4002" i="52" s="1"/>
  <c r="R4003" i="52" l="1"/>
  <c r="S4003" i="52" s="1"/>
  <c r="R4004" i="52"/>
  <c r="S4004" i="52" s="1"/>
  <c r="Q4005" i="52"/>
  <c r="Q4006" i="52" l="1"/>
  <c r="R4006" i="52" s="1"/>
  <c r="S4006" i="52" s="1"/>
  <c r="R4005" i="52"/>
  <c r="S4005" i="52" s="1"/>
  <c r="Q4007" i="52" l="1"/>
  <c r="Q4008" i="52" l="1"/>
  <c r="Q4009" i="52" s="1"/>
  <c r="R4007" i="52"/>
  <c r="S4007" i="52" s="1"/>
  <c r="R4008" i="52" l="1"/>
  <c r="S4008" i="52" s="1"/>
  <c r="R4009" i="52"/>
  <c r="S4009" i="52" s="1"/>
  <c r="Q4010" i="52"/>
  <c r="Q4011" i="52" s="1"/>
  <c r="R4011" i="52" l="1"/>
  <c r="S4011" i="52" s="1"/>
  <c r="Q4012" i="52"/>
  <c r="R4012" i="52" s="1"/>
  <c r="S4012" i="52" s="1"/>
  <c r="R4010" i="52"/>
  <c r="S4010" i="52" s="1"/>
  <c r="Q4013" i="52" l="1"/>
  <c r="Q4014" i="52" s="1"/>
  <c r="R4013" i="52" l="1"/>
  <c r="S4013" i="52" s="1"/>
  <c r="R4014" i="52"/>
  <c r="S4014" i="52" s="1"/>
  <c r="Q4015" i="52"/>
  <c r="Q4016" i="52" l="1"/>
  <c r="R4016" i="52" s="1"/>
  <c r="S4016" i="52" s="1"/>
  <c r="R4015" i="52"/>
  <c r="S4015" i="52" s="1"/>
  <c r="Q4017" i="52" l="1"/>
  <c r="Q4018" i="52" l="1"/>
  <c r="R4018" i="52" s="1"/>
  <c r="S4018" i="52" s="1"/>
  <c r="R4017" i="52"/>
  <c r="S4017" i="52" s="1"/>
  <c r="Q4019" i="52" l="1"/>
  <c r="R4019" i="52" s="1"/>
  <c r="S4019" i="52" s="1"/>
  <c r="Q4020" i="52" l="1"/>
  <c r="Q4021" i="52" l="1"/>
  <c r="R4021" i="52" s="1"/>
  <c r="S4021" i="52" s="1"/>
  <c r="R4020" i="52"/>
  <c r="S4020" i="52" s="1"/>
  <c r="Q4022" i="52" l="1"/>
  <c r="R4022" i="52" s="1"/>
  <c r="S4022" i="52" s="1"/>
  <c r="Q4023" i="52" l="1"/>
  <c r="R4023" i="52" s="1"/>
  <c r="S4023" i="52" s="1"/>
  <c r="Q4024" i="52" l="1"/>
  <c r="Q4025" i="52" s="1"/>
  <c r="R4025" i="52" l="1"/>
  <c r="S4025" i="52" s="1"/>
  <c r="Q4026" i="52"/>
  <c r="Q4027" i="52" s="1"/>
  <c r="R4024" i="52"/>
  <c r="S4024" i="52" s="1"/>
  <c r="R4026" i="52" l="1"/>
  <c r="S4026" i="52" s="1"/>
  <c r="R4027" i="52"/>
  <c r="S4027" i="52" s="1"/>
  <c r="Q4028" i="52"/>
  <c r="Q4029" i="52" s="1"/>
  <c r="R4029" i="52" l="1"/>
  <c r="S4029" i="52" s="1"/>
  <c r="Q4030" i="52"/>
  <c r="R4030" i="52" s="1"/>
  <c r="S4030" i="52" s="1"/>
  <c r="R4028" i="52"/>
  <c r="S4028" i="52" s="1"/>
  <c r="Q4031" i="52" l="1"/>
  <c r="R4031" i="52" s="1"/>
  <c r="S4031" i="52" s="1"/>
  <c r="Q4032" i="52" l="1"/>
  <c r="Q4033" i="52" s="1"/>
  <c r="R4032" i="52" l="1"/>
  <c r="S4032" i="52" s="1"/>
  <c r="R4033" i="52"/>
  <c r="S4033" i="52" s="1"/>
  <c r="Q4034" i="52"/>
  <c r="R4034" i="52" s="1"/>
  <c r="S4034" i="52" s="1"/>
  <c r="Q4035" i="52" l="1"/>
  <c r="R4035" i="52" s="1"/>
  <c r="S4035" i="52" s="1"/>
  <c r="Q4036" i="52" l="1"/>
  <c r="Q4037" i="52" l="1"/>
  <c r="R4037" i="52" s="1"/>
  <c r="S4037" i="52" s="1"/>
  <c r="R4036" i="52"/>
  <c r="S4036" i="52" s="1"/>
  <c r="Q4038" i="52" l="1"/>
  <c r="R4038" i="52" s="1"/>
  <c r="S4038" i="52" s="1"/>
  <c r="Q4039" i="52" l="1"/>
  <c r="R4039" i="52" s="1"/>
  <c r="S4039" i="52" s="1"/>
  <c r="Q4040" i="52" l="1"/>
  <c r="R4040" i="52" s="1"/>
  <c r="S4040" i="52" s="1"/>
  <c r="Q4041" i="52" l="1"/>
  <c r="R4041" i="52" s="1"/>
  <c r="S4041" i="52" s="1"/>
  <c r="Q4042" i="52" l="1"/>
  <c r="R4042" i="52" s="1"/>
  <c r="S4042" i="52" s="1"/>
  <c r="Q4043" i="52" l="1"/>
  <c r="R4043" i="52" s="1"/>
  <c r="S4043" i="52" s="1"/>
  <c r="Q4044" i="52" l="1"/>
  <c r="R4044" i="52" s="1"/>
  <c r="S4044" i="52" s="1"/>
  <c r="Q4045" i="52" l="1"/>
  <c r="R4045" i="52" s="1"/>
  <c r="S4045" i="52" s="1"/>
  <c r="Q4046" i="52" l="1"/>
  <c r="R4046" i="52" s="1"/>
  <c r="S4046" i="52" s="1"/>
  <c r="Q4047" i="52" l="1"/>
  <c r="R4047" i="52" s="1"/>
  <c r="S4047" i="52" s="1"/>
  <c r="Q4048" i="52" l="1"/>
  <c r="R4048" i="52" s="1"/>
  <c r="S4048" i="52" s="1"/>
  <c r="Q4049" i="52" l="1"/>
  <c r="R4049" i="52" s="1"/>
  <c r="S4049" i="52" s="1"/>
  <c r="Q4050" i="52" l="1"/>
  <c r="Q4051" i="52" l="1"/>
  <c r="R4051" i="52" s="1"/>
  <c r="S4051" i="52" s="1"/>
  <c r="R4050" i="52"/>
  <c r="S4050" i="52" s="1"/>
  <c r="Q4052" i="52" l="1"/>
  <c r="Q4053" i="52" s="1"/>
  <c r="R4053" i="52" l="1"/>
  <c r="S4053" i="52" s="1"/>
  <c r="Q4054" i="52"/>
  <c r="Q4055" i="52" s="1"/>
  <c r="R4052" i="52"/>
  <c r="S4052" i="52" s="1"/>
  <c r="R4054" i="52" l="1"/>
  <c r="S4054" i="52" s="1"/>
  <c r="R4055" i="52"/>
  <c r="S4055" i="52" s="1"/>
  <c r="Q4056" i="52"/>
  <c r="R4056" i="52" s="1"/>
  <c r="S4056" i="52" s="1"/>
  <c r="Q4057" i="52" l="1"/>
  <c r="Q4058" i="52" l="1"/>
  <c r="R4058" i="52" s="1"/>
  <c r="S4058" i="52" s="1"/>
  <c r="R4057" i="52"/>
  <c r="S4057" i="52" s="1"/>
  <c r="Q4059" i="52" l="1"/>
  <c r="R4059" i="52" s="1"/>
  <c r="S4059" i="52" s="1"/>
  <c r="Q4060" i="52" l="1"/>
  <c r="Q4061" i="52" l="1"/>
  <c r="R4061" i="52" s="1"/>
  <c r="S4061" i="52" s="1"/>
  <c r="R4060" i="52"/>
  <c r="S4060" i="52" s="1"/>
  <c r="Q4062" i="52" l="1"/>
  <c r="R4062" i="52" s="1"/>
  <c r="S4062" i="52" s="1"/>
  <c r="Q4063" i="52" l="1"/>
  <c r="R4063" i="52" s="1"/>
  <c r="S4063" i="52" s="1"/>
  <c r="Q4064" i="52" l="1"/>
  <c r="Q4065" i="52" s="1"/>
  <c r="R4064" i="52" l="1"/>
  <c r="S4064" i="52" s="1"/>
  <c r="R4065" i="52"/>
  <c r="S4065" i="52" s="1"/>
  <c r="Q4066" i="52"/>
  <c r="R4066" i="52" s="1"/>
  <c r="S4066" i="52" s="1"/>
  <c r="Q4067" i="52" l="1"/>
  <c r="R4067" i="52" s="1"/>
  <c r="S4067" i="52" s="1"/>
  <c r="Q4068" i="52" l="1"/>
  <c r="R4068" i="52" s="1"/>
  <c r="S4068" i="52" s="1"/>
  <c r="Q4069" i="52" l="1"/>
  <c r="Q4070" i="52" l="1"/>
  <c r="R4070" i="52" s="1"/>
  <c r="S4070" i="52" s="1"/>
  <c r="R4069" i="52"/>
  <c r="S4069" i="52" s="1"/>
  <c r="Q4071" i="52" l="1"/>
  <c r="R4071" i="52" s="1"/>
  <c r="S4071" i="52" s="1"/>
  <c r="Q4072" i="52" l="1"/>
  <c r="Q4073" i="52" l="1"/>
  <c r="R4073" i="52" s="1"/>
  <c r="S4073" i="52" s="1"/>
  <c r="R4072" i="52"/>
  <c r="S4072" i="52" s="1"/>
  <c r="Q4074" i="52" l="1"/>
  <c r="Q4075" i="52" s="1"/>
  <c r="R4075" i="52" l="1"/>
  <c r="S4075" i="52" s="1"/>
  <c r="Q4076" i="52"/>
  <c r="R4076" i="52" s="1"/>
  <c r="S4076" i="52" s="1"/>
  <c r="R4074" i="52"/>
  <c r="S4074" i="52" s="1"/>
  <c r="Q4077" i="52" l="1"/>
  <c r="R4077" i="52" s="1"/>
  <c r="S4077" i="52" s="1"/>
  <c r="Q4078" i="52" l="1"/>
  <c r="R4078" i="52" s="1"/>
  <c r="S4078" i="52" s="1"/>
  <c r="Q4079" i="52" l="1"/>
  <c r="Q4080" i="52" l="1"/>
  <c r="Q4081" i="52" s="1"/>
  <c r="R4079" i="52"/>
  <c r="S4079" i="52" s="1"/>
  <c r="R4080" i="52" l="1"/>
  <c r="S4080" i="52" s="1"/>
  <c r="R4081" i="52"/>
  <c r="S4081" i="52" s="1"/>
  <c r="Q4082" i="52"/>
  <c r="R4082" i="52" s="1"/>
  <c r="S4082" i="52" s="1"/>
  <c r="Q4083" i="52" l="1"/>
  <c r="R4083" i="52" s="1"/>
  <c r="S4083" i="52" s="1"/>
  <c r="Q4084" i="52" l="1"/>
  <c r="Q4085" i="52" s="1"/>
  <c r="R4084" i="52" l="1"/>
  <c r="S4084" i="52" s="1"/>
  <c r="R4085" i="52"/>
  <c r="S4085" i="52" s="1"/>
  <c r="Q4086" i="52"/>
  <c r="R4086" i="52" s="1"/>
  <c r="S4086" i="52" s="1"/>
  <c r="Q4087" i="52" l="1"/>
  <c r="R4087" i="52" s="1"/>
  <c r="S4087" i="52" s="1"/>
  <c r="Q4088" i="52" l="1"/>
  <c r="Q4089" i="52" s="1"/>
  <c r="R4088" i="52" l="1"/>
  <c r="S4088" i="52" s="1"/>
  <c r="R4089" i="52"/>
  <c r="S4089" i="52" s="1"/>
  <c r="Q4090" i="52"/>
  <c r="R4090" i="52" s="1"/>
  <c r="S4090" i="52" s="1"/>
  <c r="Q4091" i="52" l="1"/>
  <c r="Q4092" i="52" l="1"/>
  <c r="Q4093" i="52" s="1"/>
  <c r="R4091" i="52"/>
  <c r="S4091" i="52" s="1"/>
  <c r="R4092" i="52" l="1"/>
  <c r="S4092" i="52" s="1"/>
  <c r="R4093" i="52"/>
  <c r="S4093" i="52" s="1"/>
  <c r="Q4094" i="52"/>
  <c r="R4094" i="52" s="1"/>
  <c r="S4094" i="52" s="1"/>
  <c r="Q4095" i="52" l="1"/>
  <c r="R4095" i="52" s="1"/>
  <c r="S4095" i="52" s="1"/>
  <c r="Q4096" i="52" l="1"/>
  <c r="R4096" i="52" s="1"/>
  <c r="S4096" i="52" s="1"/>
  <c r="Q4097" i="52" l="1"/>
  <c r="R4097" i="52" s="1"/>
  <c r="S4097" i="52" s="1"/>
  <c r="Q4098" i="52" l="1"/>
  <c r="R4098" i="52" s="1"/>
  <c r="S4098" i="52" s="1"/>
  <c r="Q4099" i="52" l="1"/>
  <c r="Q4100" i="52" s="1"/>
  <c r="R4099" i="52" l="1"/>
  <c r="S4099" i="52" s="1"/>
  <c r="R4100" i="52"/>
  <c r="S4100" i="52" s="1"/>
  <c r="Q4101" i="52"/>
  <c r="R4101" i="52" s="1"/>
  <c r="S4101" i="52" s="1"/>
  <c r="Q4102" i="52" l="1"/>
  <c r="Q4103" i="52" s="1"/>
  <c r="R4102" i="52" l="1"/>
  <c r="S4102" i="52" s="1"/>
  <c r="R4103" i="52"/>
  <c r="S4103" i="52" s="1"/>
  <c r="Q4104" i="52"/>
  <c r="Q4105" i="52" s="1"/>
  <c r="R4105" i="52" l="1"/>
  <c r="S4105" i="52" s="1"/>
  <c r="Q4106" i="52"/>
  <c r="Q4107" i="52" s="1"/>
  <c r="R4104" i="52"/>
  <c r="S4104" i="52" s="1"/>
  <c r="R4106" i="52" l="1"/>
  <c r="S4106" i="52" s="1"/>
  <c r="R4107" i="52"/>
  <c r="S4107" i="52" s="1"/>
  <c r="Q4108" i="52"/>
  <c r="R4108" i="52" s="1"/>
  <c r="S4108" i="52" s="1"/>
  <c r="Q4109" i="52" l="1"/>
  <c r="R4109" i="52" s="1"/>
  <c r="S4109" i="52" s="1"/>
  <c r="Q4110" i="52" l="1"/>
  <c r="R4110" i="52" s="1"/>
  <c r="S4110" i="52" s="1"/>
  <c r="Q4111" i="52" l="1"/>
  <c r="R4111" i="52" s="1"/>
  <c r="S4111" i="52" s="1"/>
  <c r="Q4112" i="52" l="1"/>
  <c r="R4112" i="52" s="1"/>
  <c r="S4112" i="52" s="1"/>
  <c r="Q4113" i="52" l="1"/>
  <c r="Q4114" i="52" l="1"/>
  <c r="Q4115" i="52" s="1"/>
  <c r="R4113" i="52"/>
  <c r="S4113" i="52" s="1"/>
  <c r="R4114" i="52" l="1"/>
  <c r="S4114" i="52" s="1"/>
  <c r="R4115" i="52"/>
  <c r="S4115" i="52" s="1"/>
  <c r="Q4116" i="52"/>
  <c r="R4116" i="52" s="1"/>
  <c r="S4116" i="52" s="1"/>
  <c r="Q4117" i="52" l="1"/>
  <c r="R4117" i="52" s="1"/>
  <c r="S4117" i="52" s="1"/>
  <c r="Q4118" i="52" l="1"/>
  <c r="Q4119" i="52" s="1"/>
  <c r="R4119" i="52" l="1"/>
  <c r="S4119" i="52" s="1"/>
  <c r="Q4120" i="52"/>
  <c r="R4120" i="52" s="1"/>
  <c r="S4120" i="52" s="1"/>
  <c r="R4118" i="52"/>
  <c r="S4118" i="52" s="1"/>
  <c r="Q4121" i="52" l="1"/>
  <c r="R4121" i="52" s="1"/>
  <c r="S4121" i="52" s="1"/>
  <c r="Q4122" i="52" l="1"/>
  <c r="Q4123" i="52" s="1"/>
  <c r="R4123" i="52" l="1"/>
  <c r="S4123" i="52" s="1"/>
  <c r="Q4124" i="52"/>
  <c r="R4124" i="52" s="1"/>
  <c r="S4124" i="52" s="1"/>
  <c r="R4122" i="52"/>
  <c r="S4122" i="52" s="1"/>
  <c r="Q4125" i="52" l="1"/>
  <c r="Q4126" i="52" l="1"/>
  <c r="Q4127" i="52" s="1"/>
  <c r="R4125" i="52"/>
  <c r="S4125" i="52" s="1"/>
  <c r="R4127" i="52" l="1"/>
  <c r="S4127" i="52" s="1"/>
  <c r="Q4128" i="52"/>
  <c r="R4128" i="52" s="1"/>
  <c r="S4128" i="52" s="1"/>
  <c r="R4126" i="52"/>
  <c r="S4126" i="52" s="1"/>
  <c r="Q4129" i="52" l="1"/>
  <c r="R4129" i="52" s="1"/>
  <c r="S4129" i="52" s="1"/>
  <c r="Q4130" i="52" l="1"/>
  <c r="R4130" i="52" s="1"/>
  <c r="S4130" i="52" s="1"/>
  <c r="Q4131" i="52" l="1"/>
  <c r="R4131" i="52" s="1"/>
  <c r="S4131" i="52" s="1"/>
  <c r="Q4132" i="52" l="1"/>
  <c r="Q4133" i="52" l="1"/>
  <c r="R4133" i="52" s="1"/>
  <c r="S4133" i="52" s="1"/>
  <c r="R4132" i="52"/>
  <c r="S4132" i="52" s="1"/>
  <c r="Q4134" i="52" l="1"/>
  <c r="R4134" i="52" s="1"/>
  <c r="S4134" i="52" s="1"/>
  <c r="Q4135" i="52" l="1"/>
  <c r="R4135" i="52" s="1"/>
  <c r="S4135" i="52" s="1"/>
  <c r="Q4136" i="52" l="1"/>
  <c r="Q4137" i="52" s="1"/>
  <c r="R4137" i="52" l="1"/>
  <c r="S4137" i="52" s="1"/>
  <c r="Q4138" i="52"/>
  <c r="R4136" i="52"/>
  <c r="S4136" i="52" s="1"/>
  <c r="R4138" i="52" l="1"/>
  <c r="S4138" i="52" s="1"/>
  <c r="Q4139" i="52"/>
  <c r="R4139" i="52" l="1"/>
  <c r="S4139" i="52" s="1"/>
  <c r="Q4140" i="52"/>
  <c r="R4140" i="52" s="1"/>
  <c r="S4140" i="52" s="1"/>
  <c r="Q4141" i="52" l="1"/>
  <c r="Q4142" i="52" l="1"/>
  <c r="Q4143" i="52" s="1"/>
  <c r="R4141" i="52"/>
  <c r="S4141" i="52" s="1"/>
  <c r="R4142" i="52" l="1"/>
  <c r="S4142" i="52" s="1"/>
  <c r="R4143" i="52"/>
  <c r="S4143" i="52" s="1"/>
  <c r="Q4144" i="52"/>
  <c r="Q4145" i="52" l="1"/>
  <c r="R4145" i="52" s="1"/>
  <c r="S4145" i="52" s="1"/>
  <c r="R4144" i="52"/>
  <c r="S4144" i="52" s="1"/>
  <c r="Q4146" i="52" l="1"/>
  <c r="R4146" i="52" s="1"/>
  <c r="S4146" i="52" s="1"/>
  <c r="Q4147" i="52" l="1"/>
  <c r="Q4148" i="52" s="1"/>
  <c r="R4147" i="52" l="1"/>
  <c r="S4147" i="52" s="1"/>
  <c r="R4148" i="52"/>
  <c r="S4148" i="52" s="1"/>
  <c r="Q4149" i="52"/>
  <c r="R4149" i="52" l="1"/>
  <c r="S4149" i="52" s="1"/>
  <c r="Q4150" i="52"/>
  <c r="R4150" i="52" s="1"/>
  <c r="S4150" i="52" s="1"/>
  <c r="Q4151" i="52" l="1"/>
  <c r="R4151" i="52" s="1"/>
  <c r="S4151" i="52" s="1"/>
  <c r="Q4152" i="52" l="1"/>
  <c r="Q4153" i="52" s="1"/>
  <c r="R4152" i="52" l="1"/>
  <c r="S4152" i="52" s="1"/>
  <c r="R4153" i="52"/>
  <c r="S4153" i="52" s="1"/>
  <c r="Q4154" i="52"/>
  <c r="Q4155" i="52" l="1"/>
  <c r="R4154" i="52"/>
  <c r="S4154" i="52" s="1"/>
  <c r="Q4156" i="52" l="1"/>
  <c r="Q4157" i="52" s="1"/>
  <c r="R4155" i="52"/>
  <c r="S4155" i="52" s="1"/>
  <c r="R4157" i="52" l="1"/>
  <c r="S4157" i="52" s="1"/>
  <c r="Q4158" i="52"/>
  <c r="R4158" i="52" s="1"/>
  <c r="S4158" i="52" s="1"/>
  <c r="R4156" i="52"/>
  <c r="S4156" i="52" s="1"/>
  <c r="Q4159" i="52" l="1"/>
  <c r="R4159" i="52" s="1"/>
  <c r="S4159" i="52" s="1"/>
  <c r="Q4160" i="52" l="1"/>
  <c r="R4160" i="52" s="1"/>
  <c r="S4160" i="52" s="1"/>
  <c r="Q4161" i="52" l="1"/>
  <c r="R4161" i="52" s="1"/>
  <c r="S4161" i="52" s="1"/>
  <c r="Q4162" i="52" l="1"/>
  <c r="Q4163" i="52" l="1"/>
  <c r="R4163" i="52" s="1"/>
  <c r="S4163" i="52" s="1"/>
  <c r="R4162" i="52"/>
  <c r="S4162" i="52" s="1"/>
  <c r="Q4164" i="52" l="1"/>
  <c r="R4164" i="52" s="1"/>
  <c r="S4164" i="52" s="1"/>
  <c r="Q4165" i="52" l="1"/>
  <c r="R4165" i="52" s="1"/>
  <c r="S4165" i="52" s="1"/>
  <c r="Q4166" i="52" l="1"/>
  <c r="Q4167" i="52" s="1"/>
  <c r="R4167" i="52" l="1"/>
  <c r="S4167" i="52" s="1"/>
  <c r="Q4168" i="52"/>
  <c r="Q4169" i="52" s="1"/>
  <c r="R4166" i="52"/>
  <c r="S4166" i="52" s="1"/>
  <c r="R4168" i="52" l="1"/>
  <c r="S4168" i="52" s="1"/>
  <c r="R4169" i="52"/>
  <c r="S4169" i="52" s="1"/>
  <c r="Q4170" i="52"/>
  <c r="Q4171" i="52" l="1"/>
  <c r="R4171" i="52" s="1"/>
  <c r="S4171" i="52" s="1"/>
  <c r="R4170" i="52"/>
  <c r="S4170" i="52" s="1"/>
  <c r="Q4172" i="52" l="1"/>
  <c r="Q4173" i="52" s="1"/>
  <c r="R4173" i="52" l="1"/>
  <c r="S4173" i="52" s="1"/>
  <c r="Q4174" i="52"/>
  <c r="R4172" i="52"/>
  <c r="S4172" i="52" s="1"/>
  <c r="Q4175" i="52" l="1"/>
  <c r="R4174" i="52"/>
  <c r="S4174" i="52" s="1"/>
  <c r="Q4176" i="52" l="1"/>
  <c r="R4175" i="52"/>
  <c r="S4175" i="52" s="1"/>
  <c r="Q4177" i="52" l="1"/>
  <c r="R4177" i="52" s="1"/>
  <c r="S4177" i="52" s="1"/>
  <c r="R4176" i="52"/>
  <c r="S4176" i="52" s="1"/>
  <c r="Q4178" i="52" l="1"/>
  <c r="Q4179" i="52" s="1"/>
  <c r="R4178" i="52" l="1"/>
  <c r="S4178" i="52" s="1"/>
  <c r="R4179" i="52"/>
  <c r="S4179" i="52" s="1"/>
  <c r="Q4180" i="52"/>
  <c r="R4180" i="52" s="1"/>
  <c r="S4180" i="52" s="1"/>
  <c r="Q4181" i="52" l="1"/>
  <c r="Q4182" i="52" l="1"/>
  <c r="R4182" i="52" s="1"/>
  <c r="S4182" i="52" s="1"/>
  <c r="R4181" i="52"/>
  <c r="S4181" i="52" s="1"/>
  <c r="Q4183" i="52" l="1"/>
  <c r="R4183" i="52" s="1"/>
  <c r="S4183" i="52" s="1"/>
  <c r="Q4184" i="52" l="1"/>
  <c r="Q4185" i="52" s="1"/>
  <c r="R4184" i="52" l="1"/>
  <c r="S4184" i="52" s="1"/>
  <c r="R4185" i="52"/>
  <c r="S4185" i="52" s="1"/>
  <c r="Q4186" i="52"/>
  <c r="R4186" i="52" l="1"/>
  <c r="S4186" i="52" s="1"/>
  <c r="Q4187" i="52"/>
  <c r="R4187" i="52" s="1"/>
  <c r="S4187" i="52" s="1"/>
  <c r="Q4188" i="52" l="1"/>
  <c r="Q4189" i="52" s="1"/>
  <c r="R4189" i="52" l="1"/>
  <c r="S4189" i="52" s="1"/>
  <c r="Q4190" i="52"/>
  <c r="Q4191" i="52" s="1"/>
  <c r="R4188" i="52"/>
  <c r="S4188" i="52" s="1"/>
  <c r="R4190" i="52" l="1"/>
  <c r="S4190" i="52" s="1"/>
  <c r="R4191" i="52"/>
  <c r="S4191" i="52" s="1"/>
  <c r="Q4192" i="52"/>
  <c r="Q4193" i="52" s="1"/>
  <c r="R4192" i="52" l="1"/>
  <c r="S4192" i="52" s="1"/>
  <c r="R4193" i="52"/>
  <c r="S4193" i="52" s="1"/>
  <c r="Q4194" i="52"/>
  <c r="Q4195" i="52" s="1"/>
  <c r="R4194" i="52" l="1"/>
  <c r="S4194" i="52" s="1"/>
  <c r="R4195" i="52"/>
  <c r="S4195" i="52" s="1"/>
  <c r="Q4196" i="52"/>
  <c r="R4196" i="52" s="1"/>
  <c r="S4196" i="52" s="1"/>
  <c r="Q4197" i="52" l="1"/>
  <c r="R4197" i="52" s="1"/>
  <c r="S4197" i="52" s="1"/>
  <c r="Q4198" i="52" l="1"/>
  <c r="R4198" i="52" s="1"/>
  <c r="S4198" i="52" s="1"/>
  <c r="Q4199" i="52" l="1"/>
  <c r="Q4200" i="52" l="1"/>
  <c r="R4199" i="52"/>
  <c r="S4199" i="52" s="1"/>
  <c r="Q4201" i="52" l="1"/>
  <c r="R4201" i="52" s="1"/>
  <c r="S4201" i="52" s="1"/>
  <c r="R4200" i="52"/>
  <c r="S4200" i="52" s="1"/>
  <c r="Q4202" i="52" l="1"/>
  <c r="R4202" i="52" s="1"/>
  <c r="S4202" i="52" s="1"/>
  <c r="Q4203" i="52" l="1"/>
  <c r="R4203" i="52" s="1"/>
  <c r="S4203" i="52" s="1"/>
  <c r="Q4204" i="52" l="1"/>
  <c r="Q4205" i="52" s="1"/>
  <c r="R4204" i="52" l="1"/>
  <c r="S4204" i="52" s="1"/>
  <c r="R4205" i="52"/>
  <c r="S4205" i="52" s="1"/>
  <c r="Q4206" i="52"/>
  <c r="Q4207" i="52" l="1"/>
  <c r="R4207" i="52" s="1"/>
  <c r="S4207" i="52" s="1"/>
  <c r="R4206" i="52"/>
  <c r="S4206" i="52" s="1"/>
  <c r="Q4208" i="52" l="1"/>
  <c r="R4208" i="52" s="1"/>
  <c r="S4208" i="52" s="1"/>
  <c r="Q4209" i="52" l="1"/>
  <c r="Q4210" i="52" l="1"/>
  <c r="Q4211" i="52" s="1"/>
  <c r="R4209" i="52"/>
  <c r="S4209" i="52" s="1"/>
  <c r="R4210" i="52" l="1"/>
  <c r="S4210" i="52" s="1"/>
  <c r="R4211" i="52"/>
  <c r="S4211" i="52" s="1"/>
  <c r="Q4212" i="52"/>
  <c r="R4212" i="52" s="1"/>
  <c r="S4212" i="52" s="1"/>
  <c r="Q4213" i="52" l="1"/>
  <c r="Q4214" i="52" s="1"/>
  <c r="R4213" i="52" l="1"/>
  <c r="S4213" i="52" s="1"/>
  <c r="R4214" i="52"/>
  <c r="S4214" i="52" s="1"/>
  <c r="Q4215" i="52"/>
  <c r="R4215" i="52" s="1"/>
  <c r="S4215" i="52" s="1"/>
  <c r="Q4216" i="52" l="1"/>
  <c r="Q4217" i="52" s="1"/>
  <c r="R4217" i="52" l="1"/>
  <c r="S4217" i="52" s="1"/>
  <c r="Q4218" i="52"/>
  <c r="Q4219" i="52" s="1"/>
  <c r="R4216" i="52"/>
  <c r="S4216" i="52" s="1"/>
  <c r="R4218" i="52" l="1"/>
  <c r="S4218" i="52" s="1"/>
  <c r="R4219" i="52"/>
  <c r="S4219" i="52" s="1"/>
  <c r="Q4220" i="52"/>
  <c r="Q4221" i="52" l="1"/>
  <c r="R4221" i="52" s="1"/>
  <c r="S4221" i="52" s="1"/>
  <c r="R4220" i="52"/>
  <c r="S4220" i="52" s="1"/>
  <c r="Q4222" i="52" l="1"/>
  <c r="Q4223" i="52" s="1"/>
  <c r="R4222" i="52" l="1"/>
  <c r="S4222" i="52" s="1"/>
  <c r="R4223" i="52"/>
  <c r="S4223" i="52" s="1"/>
  <c r="Q4224" i="52"/>
  <c r="R4224" i="52" s="1"/>
  <c r="S4224" i="52" s="1"/>
  <c r="Q4225" i="52" l="1"/>
  <c r="R4225" i="52" s="1"/>
  <c r="S4225" i="52" s="1"/>
  <c r="Q4226" i="52" l="1"/>
  <c r="Q4227" i="52" l="1"/>
  <c r="R4227" i="52" s="1"/>
  <c r="S4227" i="52" s="1"/>
  <c r="R4226" i="52"/>
  <c r="S4226" i="52" s="1"/>
  <c r="Q4228" i="52" l="1"/>
  <c r="Q4229" i="52" s="1"/>
  <c r="R4228" i="52" l="1"/>
  <c r="S4228" i="52" s="1"/>
  <c r="R4229" i="52"/>
  <c r="S4229" i="52" s="1"/>
  <c r="Q4230" i="52"/>
  <c r="R4230" i="52" l="1"/>
  <c r="S4230" i="52" s="1"/>
  <c r="Q4231" i="52"/>
  <c r="Q4232" i="52" l="1"/>
  <c r="Q4233" i="52" s="1"/>
  <c r="R4231" i="52"/>
  <c r="S4231" i="52" s="1"/>
  <c r="R4232" i="52" l="1"/>
  <c r="S4232" i="52" s="1"/>
  <c r="R4233" i="52"/>
  <c r="S4233" i="52" s="1"/>
  <c r="Q4234" i="52"/>
  <c r="R4234" i="52" s="1"/>
  <c r="S4234" i="52" s="1"/>
  <c r="Q4235" i="52" l="1"/>
  <c r="R4235" i="52" s="1"/>
  <c r="S4235" i="52" s="1"/>
  <c r="Q4236" i="52" l="1"/>
  <c r="Q4237" i="52" s="1"/>
  <c r="R4236" i="52" l="1"/>
  <c r="S4236" i="52" s="1"/>
  <c r="R4237" i="52"/>
  <c r="S4237" i="52" s="1"/>
  <c r="Q4238" i="52"/>
  <c r="Q4239" i="52" s="1"/>
  <c r="R4239" i="52" l="1"/>
  <c r="S4239" i="52" s="1"/>
  <c r="Q4240" i="52"/>
  <c r="R4240" i="52" s="1"/>
  <c r="S4240" i="52" s="1"/>
  <c r="R4238" i="52"/>
  <c r="S4238" i="52" s="1"/>
  <c r="Q4241" i="52" l="1"/>
  <c r="R4241" i="52" s="1"/>
  <c r="S4241" i="52" s="1"/>
  <c r="Q4242" i="52" l="1"/>
  <c r="R4242" i="52" s="1"/>
  <c r="S4242" i="52" s="1"/>
  <c r="Q4243" i="52" l="1"/>
  <c r="R4243" i="52" s="1"/>
  <c r="S4243" i="52" s="1"/>
  <c r="Q4244" i="52" l="1"/>
  <c r="Q4245" i="52" s="1"/>
  <c r="R4245" i="52" l="1"/>
  <c r="S4245" i="52" s="1"/>
  <c r="Q4246" i="52"/>
  <c r="R4246" i="52" s="1"/>
  <c r="S4246" i="52" s="1"/>
  <c r="R4244" i="52"/>
  <c r="S4244" i="52" s="1"/>
  <c r="Q4247" i="52" l="1"/>
  <c r="R4247" i="52" s="1"/>
  <c r="S4247" i="52" s="1"/>
  <c r="Q4248" i="52" l="1"/>
  <c r="Q4249" i="52" s="1"/>
  <c r="R4249" i="52" l="1"/>
  <c r="S4249" i="52" s="1"/>
  <c r="Q4250" i="52"/>
  <c r="R4250" i="52" s="1"/>
  <c r="S4250" i="52" s="1"/>
  <c r="R4248" i="52"/>
  <c r="S4248" i="52" s="1"/>
  <c r="Q4251" i="52" l="1"/>
  <c r="R4251" i="52" s="1"/>
  <c r="S4251" i="52" s="1"/>
  <c r="Q4252" i="52" l="1"/>
  <c r="R4252" i="52" s="1"/>
  <c r="S4252" i="52" s="1"/>
  <c r="Q4253" i="52" l="1"/>
  <c r="R4253" i="52" s="1"/>
  <c r="S4253" i="52" s="1"/>
  <c r="Q4254" i="52" l="1"/>
  <c r="Q4255" i="52" s="1"/>
  <c r="R4255" i="52" l="1"/>
  <c r="S4255" i="52" s="1"/>
  <c r="Q4256" i="52"/>
  <c r="R4256" i="52" s="1"/>
  <c r="S4256" i="52" s="1"/>
  <c r="R4254" i="52"/>
  <c r="S4254" i="52" s="1"/>
  <c r="Q4257" i="52" l="1"/>
  <c r="R4257" i="52" s="1"/>
  <c r="S4257" i="52" s="1"/>
  <c r="Q4258" i="52" l="1"/>
  <c r="Q4259" i="52" s="1"/>
  <c r="R4258" i="52" l="1"/>
  <c r="S4258" i="52" s="1"/>
  <c r="R4259" i="52"/>
  <c r="S4259" i="52" s="1"/>
  <c r="Q4260" i="52"/>
  <c r="R4260" i="52" s="1"/>
  <c r="S4260" i="52" s="1"/>
  <c r="Q4261" i="52" l="1"/>
  <c r="R4261" i="52" s="1"/>
  <c r="S4261" i="52" s="1"/>
  <c r="Q4262" i="52" l="1"/>
  <c r="Q4263" i="52" s="1"/>
  <c r="R4262" i="52" l="1"/>
  <c r="S4262" i="52" s="1"/>
  <c r="R4263" i="52"/>
  <c r="S4263" i="52" s="1"/>
  <c r="Q4264" i="52"/>
  <c r="R4264" i="52" s="1"/>
  <c r="S4264" i="52" s="1"/>
  <c r="Q4265" i="52" l="1"/>
  <c r="R4265" i="52" s="1"/>
  <c r="S4265" i="52" s="1"/>
  <c r="Q4266" i="52" l="1"/>
  <c r="Q4267" i="52" s="1"/>
  <c r="R4266" i="52" l="1"/>
  <c r="S4266" i="52" s="1"/>
  <c r="R4267" i="52"/>
  <c r="S4267" i="52" s="1"/>
  <c r="Q4268" i="52"/>
  <c r="Q4269" i="52" s="1"/>
  <c r="R4268" i="52" l="1"/>
  <c r="S4268" i="52" s="1"/>
  <c r="R4269" i="52"/>
  <c r="S4269" i="52" s="1"/>
  <c r="Q4270" i="52"/>
  <c r="Q4271" i="52" s="1"/>
  <c r="R4271" i="52" l="1"/>
  <c r="S4271" i="52" s="1"/>
  <c r="Q4272" i="52"/>
  <c r="R4272" i="52" s="1"/>
  <c r="S4272" i="52" s="1"/>
  <c r="R4270" i="52"/>
  <c r="S4270" i="52" s="1"/>
  <c r="Q4273" i="52" l="1"/>
  <c r="R4273" i="52" s="1"/>
  <c r="S4273" i="52" s="1"/>
  <c r="Q4274" i="52" l="1"/>
  <c r="Q4275" i="52" s="1"/>
  <c r="R4274" i="52" l="1"/>
  <c r="S4274" i="52" s="1"/>
  <c r="R4275" i="52"/>
  <c r="S4275" i="52" s="1"/>
  <c r="Q4276" i="52"/>
  <c r="Q4277" i="52" s="1"/>
  <c r="R4276" i="52" l="1"/>
  <c r="S4276" i="52" s="1"/>
  <c r="R4277" i="52"/>
  <c r="S4277" i="52" s="1"/>
  <c r="Q4278" i="52"/>
  <c r="Q4279" i="52" l="1"/>
  <c r="R4279" i="52" s="1"/>
  <c r="S4279" i="52" s="1"/>
  <c r="R4278" i="52"/>
  <c r="S4278" i="52" s="1"/>
  <c r="Q4280" i="52" l="1"/>
  <c r="Q4281" i="52" s="1"/>
  <c r="R4280" i="52" l="1"/>
  <c r="S4280" i="52" s="1"/>
  <c r="R4281" i="52"/>
  <c r="S4281" i="52" s="1"/>
  <c r="Q4282" i="52"/>
  <c r="R4282" i="52" s="1"/>
  <c r="S4282" i="52" s="1"/>
  <c r="Q4283" i="52" l="1"/>
  <c r="Q4284" i="52" l="1"/>
  <c r="Q4285" i="52" s="1"/>
  <c r="R4283" i="52"/>
  <c r="S4283" i="52" s="1"/>
  <c r="R4284" i="52" l="1"/>
  <c r="S4284" i="52" s="1"/>
  <c r="R4285" i="52"/>
  <c r="S4285" i="52" s="1"/>
  <c r="Q4286" i="52"/>
  <c r="Q4287" i="52" s="1"/>
  <c r="R4286" i="52" l="1"/>
  <c r="S4286" i="52" s="1"/>
  <c r="R4287" i="52"/>
  <c r="S4287" i="52" s="1"/>
  <c r="Q4288" i="52"/>
  <c r="Q4289" i="52" s="1"/>
  <c r="R4288" i="52" l="1"/>
  <c r="S4288" i="52" s="1"/>
  <c r="R4289" i="52"/>
  <c r="S4289" i="52" s="1"/>
  <c r="Q4290" i="52"/>
  <c r="Q4291" i="52" s="1"/>
  <c r="R4290" i="52" l="1"/>
  <c r="S4290" i="52" s="1"/>
  <c r="R4291" i="52"/>
  <c r="S4291" i="52" s="1"/>
  <c r="Q4292" i="52"/>
  <c r="Q4293" i="52" s="1"/>
  <c r="R4292" i="52" l="1"/>
  <c r="S4292" i="52" s="1"/>
  <c r="R4293" i="52"/>
  <c r="S4293" i="52" s="1"/>
  <c r="Q4294" i="52"/>
  <c r="R4294" i="52" s="1"/>
  <c r="S4294" i="52" s="1"/>
  <c r="Q4295" i="52" l="1"/>
  <c r="R4295" i="52" s="1"/>
  <c r="S4295" i="52" s="1"/>
  <c r="Q4296" i="52" l="1"/>
  <c r="Q4297" i="52" s="1"/>
  <c r="R4297" i="52" l="1"/>
  <c r="S4297" i="52" s="1"/>
  <c r="Q4298" i="52"/>
  <c r="Q4299" i="52" s="1"/>
  <c r="R4296" i="52"/>
  <c r="S4296" i="52" s="1"/>
  <c r="R4298" i="52" l="1"/>
  <c r="S4298" i="52" s="1"/>
  <c r="R4299" i="52"/>
  <c r="S4299" i="52" s="1"/>
  <c r="Q4300" i="52"/>
  <c r="R4300" i="52" s="1"/>
  <c r="S4300" i="52" s="1"/>
  <c r="Q4301" i="52" l="1"/>
  <c r="R4301" i="52" s="1"/>
  <c r="S4301" i="52" s="1"/>
  <c r="Q4302" i="52" l="1"/>
  <c r="Q4303" i="52" s="1"/>
  <c r="R4302" i="52" l="1"/>
  <c r="S4302" i="52" s="1"/>
  <c r="R4303" i="52"/>
  <c r="S4303" i="52" s="1"/>
  <c r="Q4304" i="52"/>
  <c r="R4304" i="52" s="1"/>
  <c r="S4304" i="52" s="1"/>
  <c r="Q4305" i="52" l="1"/>
  <c r="Q4306" i="52" l="1"/>
  <c r="Q4307" i="52" s="1"/>
  <c r="R4305" i="52"/>
  <c r="S4305" i="52" s="1"/>
  <c r="R4306" i="52" l="1"/>
  <c r="S4306" i="52" s="1"/>
  <c r="R4307" i="52"/>
  <c r="S4307" i="52" s="1"/>
  <c r="Q4308" i="52"/>
  <c r="Q4309" i="52" l="1"/>
  <c r="R4309" i="52" s="1"/>
  <c r="S4309" i="52" s="1"/>
  <c r="R4308" i="52"/>
  <c r="S4308" i="52" s="1"/>
  <c r="Q4310" i="52" l="1"/>
  <c r="Q4311" i="52" s="1"/>
  <c r="R4310" i="52" l="1"/>
  <c r="S4310" i="52" s="1"/>
  <c r="R4311" i="52"/>
  <c r="S4311" i="52" s="1"/>
  <c r="Q4312" i="52"/>
  <c r="R4312" i="52" s="1"/>
  <c r="S4312" i="52" s="1"/>
  <c r="Q4313" i="52" l="1"/>
  <c r="R4313" i="52" s="1"/>
  <c r="S4313" i="52" s="1"/>
  <c r="Q4314" i="52" l="1"/>
  <c r="Q4315" i="52" s="1"/>
  <c r="R4314" i="52" l="1"/>
  <c r="S4314" i="52" s="1"/>
  <c r="R4315" i="52"/>
  <c r="S4315" i="52" s="1"/>
  <c r="Q4316" i="52"/>
  <c r="Q4317" i="52" l="1"/>
  <c r="R4316" i="52"/>
  <c r="S4316" i="52" s="1"/>
  <c r="Q4318" i="52" l="1"/>
  <c r="R4317" i="52"/>
  <c r="S4317" i="52" s="1"/>
  <c r="Q4319" i="52" l="1"/>
  <c r="R4318" i="52"/>
  <c r="S4318" i="52" s="1"/>
  <c r="Q4320" i="52" l="1"/>
  <c r="Q4321" i="52" s="1"/>
  <c r="R4319" i="52"/>
  <c r="S4319" i="52" s="1"/>
  <c r="R4321" i="52" l="1"/>
  <c r="S4321" i="52" s="1"/>
  <c r="Q4322" i="52"/>
  <c r="Q4323" i="52" s="1"/>
  <c r="R4320" i="52"/>
  <c r="S4320" i="52" s="1"/>
  <c r="R4322" i="52" l="1"/>
  <c r="S4322" i="52" s="1"/>
  <c r="R4323" i="52"/>
  <c r="S4323" i="52" s="1"/>
  <c r="Q4324" i="52"/>
  <c r="Q4325" i="52" s="1"/>
  <c r="R4324" i="52" l="1"/>
  <c r="S4324" i="52" s="1"/>
  <c r="R4325" i="52"/>
  <c r="S4325" i="52" s="1"/>
  <c r="Q4326" i="52"/>
  <c r="R4326" i="52" s="1"/>
  <c r="S4326" i="52" s="1"/>
  <c r="Q4327" i="52" l="1"/>
  <c r="R4327" i="52" s="1"/>
  <c r="S4327" i="52" s="1"/>
  <c r="Q4328" i="52" l="1"/>
  <c r="Q4329" i="52" s="1"/>
  <c r="R4328" i="52" l="1"/>
  <c r="S4328" i="52" s="1"/>
  <c r="R4329" i="52"/>
  <c r="S4329" i="52" s="1"/>
  <c r="Q4330" i="52"/>
  <c r="R4330" i="52" s="1"/>
  <c r="S4330" i="52" s="1"/>
  <c r="Q4331" i="52" l="1"/>
  <c r="R4331" i="52" s="1"/>
  <c r="S4331" i="52" s="1"/>
  <c r="Q4332" i="52" l="1"/>
  <c r="Q4333" i="52" s="1"/>
  <c r="R4332" i="52" l="1"/>
  <c r="S4332" i="52" s="1"/>
  <c r="R4333" i="52"/>
  <c r="S4333" i="52" s="1"/>
  <c r="Q4334" i="52"/>
  <c r="Q4335" i="52" s="1"/>
  <c r="R4334" i="52" l="1"/>
  <c r="S4334" i="52" s="1"/>
  <c r="R4335" i="52"/>
  <c r="S4335" i="52" s="1"/>
  <c r="Q4336" i="52"/>
  <c r="Q4337" i="52" l="1"/>
  <c r="R4337" i="52" s="1"/>
  <c r="S4337" i="52" s="1"/>
  <c r="R4336" i="52"/>
  <c r="S4336" i="52" s="1"/>
  <c r="Q4338" i="52" l="1"/>
  <c r="Q4339" i="52" s="1"/>
  <c r="R4338" i="52" l="1"/>
  <c r="S4338" i="52" s="1"/>
  <c r="R4339" i="52"/>
  <c r="S4339" i="52" s="1"/>
  <c r="Q4340" i="52"/>
  <c r="R4340" i="52" s="1"/>
  <c r="S4340" i="52" s="1"/>
  <c r="Q4341" i="52" l="1"/>
  <c r="R4341" i="52" s="1"/>
  <c r="S4341" i="52" s="1"/>
  <c r="Q4342" i="52" l="1"/>
  <c r="Q4343" i="52" s="1"/>
  <c r="R4342" i="52" l="1"/>
  <c r="S4342" i="52" s="1"/>
  <c r="R4343" i="52"/>
  <c r="S4343" i="52" s="1"/>
  <c r="Q4344" i="52"/>
  <c r="Q4345" i="52" s="1"/>
  <c r="R4344" i="52" l="1"/>
  <c r="S4344" i="52" s="1"/>
  <c r="R4345" i="52"/>
  <c r="S4345" i="52" s="1"/>
  <c r="Q4346" i="52"/>
  <c r="Q4347" i="52" s="1"/>
  <c r="R4346" i="52" l="1"/>
  <c r="S4346" i="52" s="1"/>
  <c r="R4347" i="52"/>
  <c r="S4347" i="52" s="1"/>
  <c r="Q4348" i="52"/>
  <c r="Q4349" i="52" s="1"/>
  <c r="R4348" i="52" l="1"/>
  <c r="S4348" i="52" s="1"/>
  <c r="R4349" i="52"/>
  <c r="S4349" i="52" s="1"/>
  <c r="Q4350" i="52"/>
  <c r="Q4351" i="52" s="1"/>
  <c r="R4350" i="52" l="1"/>
  <c r="S4350" i="52" s="1"/>
  <c r="R4351" i="52"/>
  <c r="S4351" i="52" s="1"/>
  <c r="Q4352" i="52"/>
  <c r="Q4353" i="52" s="1"/>
  <c r="R4352" i="52" l="1"/>
  <c r="S4352" i="52" s="1"/>
  <c r="R4353" i="52"/>
  <c r="S4353" i="52" s="1"/>
  <c r="Q4354" i="52"/>
  <c r="R4354" i="52" s="1"/>
  <c r="S4354" i="52" s="1"/>
  <c r="Q4355" i="52" l="1"/>
  <c r="R4355" i="52" s="1"/>
  <c r="S4355" i="52" s="1"/>
  <c r="Q4356" i="52" l="1"/>
  <c r="Q4357" i="52" s="1"/>
  <c r="R4356" i="52" l="1"/>
  <c r="S4356" i="52" s="1"/>
  <c r="R4357" i="52"/>
  <c r="S4357" i="52" s="1"/>
  <c r="Q4358" i="52"/>
  <c r="R4358" i="52" s="1"/>
  <c r="S4358" i="52" s="1"/>
  <c r="Q4359" i="52" l="1"/>
  <c r="R4359" i="52" s="1"/>
  <c r="S4359" i="52" s="1"/>
  <c r="Q4360" i="52" l="1"/>
  <c r="Q4361" i="52" s="1"/>
  <c r="R4360" i="52" l="1"/>
  <c r="S4360" i="52" s="1"/>
  <c r="R4361" i="52"/>
  <c r="S4361" i="52" s="1"/>
  <c r="Q4362" i="52"/>
  <c r="Q4363" i="52" s="1"/>
  <c r="R4362" i="52" l="1"/>
  <c r="S4362" i="52" s="1"/>
  <c r="R4363" i="52"/>
  <c r="S4363" i="52" s="1"/>
  <c r="Q4364" i="52"/>
  <c r="Q4365" i="52" s="1"/>
  <c r="R4365" i="52" l="1"/>
  <c r="S4365" i="52" s="1"/>
  <c r="Q4366" i="52"/>
  <c r="Q4367" i="52" s="1"/>
  <c r="R4364" i="52"/>
  <c r="S4364" i="52" s="1"/>
  <c r="R4366" i="52" l="1"/>
  <c r="S4366" i="52" s="1"/>
  <c r="R4367" i="52"/>
  <c r="S4367" i="52" s="1"/>
  <c r="Q4368" i="52"/>
  <c r="Q4369" i="52" s="1"/>
  <c r="R4368" i="52" l="1"/>
  <c r="S4368" i="52" s="1"/>
  <c r="R4369" i="52"/>
  <c r="S4369" i="52" s="1"/>
  <c r="Q4370" i="52"/>
  <c r="R4370" i="52" s="1"/>
  <c r="S4370" i="52" s="1"/>
  <c r="Q4371" i="52" l="1"/>
  <c r="Q4372" i="52" l="1"/>
  <c r="Q4373" i="52" s="1"/>
  <c r="R4371" i="52"/>
  <c r="S4371" i="52" s="1"/>
  <c r="R4372" i="52" l="1"/>
  <c r="S4372" i="52" s="1"/>
  <c r="R4373" i="52"/>
  <c r="S4373" i="52" s="1"/>
  <c r="Q4374" i="52"/>
  <c r="R4374" i="52" s="1"/>
  <c r="S4374" i="52" s="1"/>
  <c r="Q4375" i="52" l="1"/>
  <c r="R4375" i="52" s="1"/>
  <c r="S4375" i="52" s="1"/>
  <c r="Q4376" i="52" l="1"/>
  <c r="Q4377" i="52" s="1"/>
  <c r="R4376" i="52" l="1"/>
  <c r="S4376" i="52" s="1"/>
  <c r="R4377" i="52"/>
  <c r="S4377" i="52" s="1"/>
  <c r="Q4378" i="52"/>
  <c r="Q4379" i="52" s="1"/>
  <c r="R4378" i="52" l="1"/>
  <c r="S4378" i="52" s="1"/>
  <c r="R4379" i="52"/>
  <c r="S4379" i="52" s="1"/>
  <c r="Q4380" i="52"/>
  <c r="Q4381" i="52" l="1"/>
  <c r="R4381" i="52" s="1"/>
  <c r="S4381" i="52" s="1"/>
  <c r="R4380" i="52"/>
  <c r="S4380" i="52" s="1"/>
  <c r="Q4382" i="52" l="1"/>
  <c r="Q4383" i="52" s="1"/>
  <c r="R4383" i="52" l="1"/>
  <c r="S4383" i="52" s="1"/>
  <c r="Q4384" i="52"/>
  <c r="Q4385" i="52" s="1"/>
  <c r="R4382" i="52"/>
  <c r="S4382" i="52" s="1"/>
  <c r="R4385" i="52" l="1"/>
  <c r="S4385" i="52" s="1"/>
  <c r="Q4386" i="52"/>
  <c r="Q4387" i="52" s="1"/>
  <c r="R4384" i="52"/>
  <c r="S4384" i="52" s="1"/>
  <c r="R4386" i="52" l="1"/>
  <c r="S4386" i="52" s="1"/>
  <c r="R4387" i="52"/>
  <c r="S4387" i="52" s="1"/>
  <c r="Q4388" i="52"/>
  <c r="Q4389" i="52" s="1"/>
  <c r="R4388" i="52" l="1"/>
  <c r="S4388" i="52" s="1"/>
  <c r="R4389" i="52"/>
  <c r="S4389" i="52" s="1"/>
  <c r="Q4390" i="52"/>
  <c r="Q4391" i="52" s="1"/>
  <c r="R4390" i="52" l="1"/>
  <c r="S4390" i="52" s="1"/>
  <c r="R4391" i="52"/>
  <c r="S4391" i="52" s="1"/>
  <c r="Q4392" i="52"/>
  <c r="Q4393" i="52" s="1"/>
  <c r="R4393" i="52" l="1"/>
  <c r="S4393" i="52" s="1"/>
  <c r="Q4394" i="52"/>
  <c r="R4394" i="52" s="1"/>
  <c r="S4394" i="52" s="1"/>
  <c r="R4392" i="52"/>
  <c r="S4392" i="52" s="1"/>
  <c r="Q4395" i="52" l="1"/>
  <c r="R4395" i="52" s="1"/>
  <c r="S4395" i="52" s="1"/>
  <c r="Q4396" i="52" l="1"/>
  <c r="Q4397" i="52" s="1"/>
  <c r="R4396" i="52" l="1"/>
  <c r="S4396" i="52" s="1"/>
  <c r="R4397" i="52"/>
  <c r="S4397" i="52" s="1"/>
  <c r="Q4398" i="52"/>
  <c r="Q4399" i="52" s="1"/>
  <c r="R4399" i="52" l="1"/>
  <c r="S4399" i="52" s="1"/>
  <c r="Q4400" i="52"/>
  <c r="R4400" i="52" s="1"/>
  <c r="S4400" i="52" s="1"/>
  <c r="R4398" i="52"/>
  <c r="S4398" i="52" s="1"/>
  <c r="Q4401" i="52" l="1"/>
  <c r="Q4402" i="52" l="1"/>
  <c r="Q4403" i="52" s="1"/>
  <c r="R4401" i="52"/>
  <c r="S4401" i="52" s="1"/>
  <c r="R4403" i="52" l="1"/>
  <c r="S4403" i="52" s="1"/>
  <c r="Q4404" i="52"/>
  <c r="Q4405" i="52" s="1"/>
  <c r="R4402" i="52"/>
  <c r="S4402" i="52" s="1"/>
  <c r="R4405" i="52" l="1"/>
  <c r="S4405" i="52" s="1"/>
  <c r="Q4406" i="52"/>
  <c r="Q4407" i="52" s="1"/>
  <c r="R4404" i="52"/>
  <c r="S4404" i="52" s="1"/>
  <c r="R4406" i="52" l="1"/>
  <c r="S4406" i="52" s="1"/>
  <c r="R4407" i="52"/>
  <c r="S4407" i="52" s="1"/>
  <c r="Q4408" i="52"/>
  <c r="Q4409" i="52" s="1"/>
  <c r="R4408" i="52" l="1"/>
  <c r="S4408" i="52" s="1"/>
  <c r="R4409" i="52"/>
  <c r="S4409" i="52" s="1"/>
  <c r="Q4410" i="52"/>
  <c r="Q4411" i="52" s="1"/>
  <c r="R4410" i="52" l="1"/>
  <c r="S4410" i="52" s="1"/>
  <c r="R4411" i="52"/>
  <c r="S4411" i="52" s="1"/>
  <c r="Q4412" i="52"/>
  <c r="Q4413" i="52" s="1"/>
  <c r="R4412" i="52" l="1"/>
  <c r="S4412" i="52" s="1"/>
  <c r="R4413" i="52"/>
  <c r="S4413" i="52" s="1"/>
  <c r="Q4414" i="52"/>
  <c r="R4414" i="52" s="1"/>
  <c r="S4414" i="52" s="1"/>
  <c r="Q4415" i="52" l="1"/>
  <c r="R4415" i="52" s="1"/>
  <c r="S4415" i="52" s="1"/>
  <c r="Q4416" i="52" l="1"/>
  <c r="Q4417" i="52" s="1"/>
  <c r="R4416" i="52" l="1"/>
  <c r="S4416" i="52" s="1"/>
  <c r="R4417" i="52"/>
  <c r="S4417" i="52" s="1"/>
  <c r="Q4418" i="52"/>
  <c r="Q4419" i="52" s="1"/>
  <c r="R4419" i="52" l="1"/>
  <c r="S4419" i="52" s="1"/>
  <c r="Q4420" i="52"/>
  <c r="Q4421" i="52" s="1"/>
  <c r="R4418" i="52"/>
  <c r="S4418" i="52" s="1"/>
  <c r="R4421" i="52" l="1"/>
  <c r="S4421" i="52" s="1"/>
  <c r="Q4422" i="52"/>
  <c r="R4422" i="52" s="1"/>
  <c r="S4422" i="52" s="1"/>
  <c r="R4420" i="52"/>
  <c r="S4420" i="52" s="1"/>
  <c r="Q4423" i="52" l="1"/>
  <c r="R4423" i="52" s="1"/>
  <c r="S4423" i="52" s="1"/>
  <c r="Q4424" i="52" l="1"/>
  <c r="Q4425" i="52" s="1"/>
  <c r="R4424" i="52" l="1"/>
  <c r="S4424" i="52" s="1"/>
  <c r="R4425" i="52"/>
  <c r="S4425" i="52" s="1"/>
  <c r="Q4426" i="52"/>
  <c r="R4426" i="52" s="1"/>
  <c r="S4426" i="52" s="1"/>
  <c r="Q4427" i="52" l="1"/>
  <c r="R4427" i="52" s="1"/>
  <c r="S4427" i="52" s="1"/>
  <c r="Q4428" i="52" l="1"/>
  <c r="Q4429" i="52" s="1"/>
  <c r="R4428" i="52" l="1"/>
  <c r="S4428" i="52" s="1"/>
  <c r="R4429" i="52"/>
  <c r="S4429" i="52" s="1"/>
  <c r="Q4430" i="52"/>
  <c r="Q4431" i="52" s="1"/>
  <c r="R4430" i="52" l="1"/>
  <c r="S4430" i="52" s="1"/>
  <c r="R4431" i="52"/>
  <c r="S4431" i="52" s="1"/>
  <c r="Q4432" i="52"/>
  <c r="R4432" i="52" s="1"/>
  <c r="S4432" i="52" s="1"/>
  <c r="Q4433" i="52" l="1"/>
  <c r="R4433" i="52" s="1"/>
  <c r="S4433" i="52" s="1"/>
  <c r="Q4434" i="52" l="1"/>
  <c r="R4434" i="52" s="1"/>
  <c r="S4434" i="52" s="1"/>
  <c r="Q4435" i="52" l="1"/>
  <c r="R4435" i="52" s="1"/>
  <c r="S4435" i="52" s="1"/>
  <c r="Q4436" i="52" l="1"/>
  <c r="Q4437" i="52" s="1"/>
  <c r="R4437" i="52" l="1"/>
  <c r="S4437" i="52" s="1"/>
  <c r="Q4438" i="52"/>
  <c r="R4438" i="52" s="1"/>
  <c r="S4438" i="52" s="1"/>
  <c r="R4436" i="52"/>
  <c r="S4436" i="52" s="1"/>
  <c r="Q4439" i="52" l="1"/>
  <c r="R4439" i="52" s="1"/>
  <c r="S4439" i="52" s="1"/>
  <c r="Q4440" i="52" l="1"/>
  <c r="R4440" i="52" s="1"/>
  <c r="S4440" i="52" s="1"/>
  <c r="Q4441" i="52" l="1"/>
  <c r="R4441" i="52" s="1"/>
  <c r="S4441" i="52" s="1"/>
  <c r="Q4442" i="52" l="1"/>
  <c r="R4442" i="52" s="1"/>
  <c r="S4442" i="52" s="1"/>
  <c r="Q4443" i="52" l="1"/>
  <c r="R4443" i="52" s="1"/>
  <c r="S4443" i="52" s="1"/>
  <c r="Q4444" i="52" l="1"/>
  <c r="Q4445" i="52" s="1"/>
  <c r="R4444" i="52" l="1"/>
  <c r="S4444" i="52" s="1"/>
  <c r="R4445" i="52"/>
  <c r="S4445" i="52" s="1"/>
  <c r="Q4446" i="52"/>
  <c r="Q4447" i="52" l="1"/>
  <c r="R4447" i="52" s="1"/>
  <c r="S4447" i="52" s="1"/>
  <c r="R4446" i="52"/>
  <c r="S4446" i="52" s="1"/>
  <c r="Q4448" i="52" l="1"/>
  <c r="Q4449" i="52" s="1"/>
  <c r="R4448" i="52" l="1"/>
  <c r="S4448" i="52" s="1"/>
  <c r="R4449" i="52"/>
  <c r="S4449" i="52" s="1"/>
  <c r="Q4450" i="52"/>
  <c r="Q4451" i="52" s="1"/>
  <c r="R4450" i="52" l="1"/>
  <c r="S4450" i="52" s="1"/>
  <c r="R4451" i="52"/>
  <c r="S4451" i="52" s="1"/>
  <c r="Q4452" i="52"/>
  <c r="Q4453" i="52" s="1"/>
  <c r="R4453" i="52" l="1"/>
  <c r="S4453" i="52" s="1"/>
  <c r="Q4454" i="52"/>
  <c r="Q4455" i="52" s="1"/>
  <c r="R4452" i="52"/>
  <c r="S4452" i="52" s="1"/>
  <c r="R4454" i="52" l="1"/>
  <c r="S4454" i="52" s="1"/>
  <c r="R4455" i="52"/>
  <c r="S4455" i="52" s="1"/>
  <c r="Q4456" i="52"/>
  <c r="Q4457" i="52" s="1"/>
  <c r="R4457" i="52" l="1"/>
  <c r="S4457" i="52" s="1"/>
  <c r="Q4458" i="52"/>
  <c r="Q4459" i="52" s="1"/>
  <c r="R4456" i="52"/>
  <c r="S4456" i="52" s="1"/>
  <c r="R4458" i="52" l="1"/>
  <c r="S4458" i="52" s="1"/>
  <c r="R4459" i="52"/>
  <c r="S4459" i="52" s="1"/>
  <c r="Q4460" i="52"/>
  <c r="Q4461" i="52" s="1"/>
  <c r="R4460" i="52" l="1"/>
  <c r="S4460" i="52" s="1"/>
  <c r="R4461" i="52"/>
  <c r="S4461" i="52" s="1"/>
  <c r="Q4462" i="52"/>
  <c r="R4462" i="52" s="1"/>
  <c r="S4462" i="52" s="1"/>
  <c r="Q4463" i="52" l="1"/>
  <c r="Q4464" i="52" l="1"/>
  <c r="R4464" i="52" s="1"/>
  <c r="S4464" i="52" s="1"/>
  <c r="R4463" i="52"/>
  <c r="S4463" i="52" s="1"/>
  <c r="Q4465" i="52" l="1"/>
  <c r="R4465" i="52" s="1"/>
  <c r="S4465" i="52" s="1"/>
  <c r="Q4466" i="52" l="1"/>
  <c r="Q4467" i="52" s="1"/>
  <c r="R4466" i="52" l="1"/>
  <c r="S4466" i="52" s="1"/>
  <c r="R4467" i="52"/>
  <c r="S4467" i="52" s="1"/>
  <c r="Q4468" i="52"/>
  <c r="R4468" i="52" s="1"/>
  <c r="S4468" i="52" s="1"/>
  <c r="Q4469" i="52" l="1"/>
  <c r="R4469" i="52" s="1"/>
  <c r="S4469" i="52" s="1"/>
  <c r="Q4470" i="52" l="1"/>
  <c r="Q4471" i="52" s="1"/>
  <c r="R4470" i="52" l="1"/>
  <c r="S4470" i="52" s="1"/>
  <c r="R4471" i="52"/>
  <c r="S4471" i="52" s="1"/>
  <c r="Q4472" i="52"/>
  <c r="R4472" i="52" s="1"/>
  <c r="S4472" i="52" s="1"/>
  <c r="Q4473" i="52" l="1"/>
  <c r="Q4474" i="52" l="1"/>
  <c r="Q4475" i="52" s="1"/>
  <c r="R4473" i="52"/>
  <c r="S4473" i="52" s="1"/>
  <c r="R4474" i="52" l="1"/>
  <c r="S4474" i="52" s="1"/>
  <c r="R4475" i="52"/>
  <c r="S4475" i="52" s="1"/>
  <c r="Q4476" i="52"/>
  <c r="R4476" i="52" s="1"/>
  <c r="S4476" i="52" s="1"/>
  <c r="Q4477" i="52" l="1"/>
  <c r="R4477" i="52" s="1"/>
  <c r="S4477" i="52" s="1"/>
  <c r="Q4478" i="52" l="1"/>
  <c r="R4478" i="52" s="1"/>
  <c r="S4478" i="52" s="1"/>
  <c r="Q4479" i="52" l="1"/>
  <c r="R4479" i="52" s="1"/>
  <c r="S4479" i="52" s="1"/>
  <c r="Q4480" i="52" l="1"/>
  <c r="Q4481" i="52" s="1"/>
  <c r="R4480" i="52" l="1"/>
  <c r="S4480" i="52" s="1"/>
  <c r="R4481" i="52"/>
  <c r="S4481" i="52" s="1"/>
  <c r="Q4482" i="52"/>
  <c r="Q4483" i="52" s="1"/>
  <c r="R4483" i="52" l="1"/>
  <c r="S4483" i="52" s="1"/>
  <c r="Q4484" i="52"/>
  <c r="R4484" i="52" s="1"/>
  <c r="S4484" i="52" s="1"/>
  <c r="R4482" i="52"/>
  <c r="S4482" i="52" s="1"/>
  <c r="Q4485" i="52" l="1"/>
  <c r="Q4486" i="52" l="1"/>
  <c r="Q4487" i="52" s="1"/>
  <c r="R4485" i="52"/>
  <c r="S4485" i="52" s="1"/>
  <c r="R4486" i="52" l="1"/>
  <c r="S4486" i="52" s="1"/>
  <c r="R4487" i="52"/>
  <c r="S4487" i="52" s="1"/>
  <c r="Q4488" i="52"/>
  <c r="Q4489" i="52" s="1"/>
  <c r="R4488" i="52" l="1"/>
  <c r="S4488" i="52" s="1"/>
  <c r="R4489" i="52"/>
  <c r="S4489" i="52" s="1"/>
  <c r="Q4490" i="52"/>
  <c r="Q4491" i="52" l="1"/>
  <c r="R4491" i="52" s="1"/>
  <c r="S4491" i="52" s="1"/>
  <c r="R4490" i="52"/>
  <c r="S4490" i="52" s="1"/>
  <c r="Q4492" i="52" l="1"/>
  <c r="Q4493" i="52" s="1"/>
  <c r="R4492" i="52" l="1"/>
  <c r="S4492" i="52" s="1"/>
  <c r="R4493" i="52"/>
  <c r="S4493" i="52" s="1"/>
  <c r="Q4494" i="52"/>
  <c r="R4494" i="52" s="1"/>
  <c r="S4494" i="52" s="1"/>
  <c r="Q4495" i="52" l="1"/>
  <c r="R4495" i="52" s="1"/>
  <c r="S4495" i="52" s="1"/>
  <c r="Q4496" i="52" l="1"/>
  <c r="Q4497" i="52" l="1"/>
  <c r="R4497" i="52" s="1"/>
  <c r="S4497" i="52" s="1"/>
  <c r="R4496" i="52"/>
  <c r="S4496" i="52" s="1"/>
  <c r="Q4498" i="52" l="1"/>
  <c r="Q4499" i="52" s="1"/>
  <c r="R4498" i="52" l="1"/>
  <c r="S4498" i="52" s="1"/>
  <c r="R4499" i="52"/>
  <c r="S4499" i="52" s="1"/>
  <c r="Q4500" i="52"/>
  <c r="R4500" i="52" s="1"/>
  <c r="S4500" i="52" s="1"/>
  <c r="Q4501" i="52" l="1"/>
  <c r="R4501" i="52" s="1"/>
  <c r="S4501" i="52" s="1"/>
  <c r="Q4502" i="52" l="1"/>
  <c r="Q4503" i="52" s="1"/>
  <c r="R4502" i="52" l="1"/>
  <c r="S4502" i="52" s="1"/>
  <c r="R4503" i="52"/>
  <c r="S4503" i="52" s="1"/>
  <c r="Q4504" i="52"/>
  <c r="R4504" i="52" s="1"/>
  <c r="S4504" i="52" s="1"/>
  <c r="Q4505" i="52" l="1"/>
  <c r="Q4506" i="52" l="1"/>
  <c r="Q4507" i="52" s="1"/>
  <c r="R4505" i="52"/>
  <c r="S4505" i="52" s="1"/>
  <c r="R4506" i="52" l="1"/>
  <c r="S4506" i="52" s="1"/>
  <c r="R4507" i="52"/>
  <c r="S4507" i="52" s="1"/>
  <c r="Q4508" i="52" l="1"/>
  <c r="R4508" i="52" l="1"/>
  <c r="S4508" i="52" s="1"/>
  <c r="Q4509" i="52"/>
  <c r="Q4510" i="52" s="1"/>
  <c r="R4509" i="52" l="1"/>
  <c r="S4509" i="52" s="1"/>
  <c r="R4510" i="52"/>
  <c r="S4510" i="52" s="1"/>
  <c r="Q4511" i="52"/>
  <c r="Q4512" i="52" s="1"/>
  <c r="R4511" i="52" l="1"/>
  <c r="S4511" i="52" s="1"/>
  <c r="R4512" i="52"/>
  <c r="S4512" i="52" s="1"/>
  <c r="Q4513" i="52"/>
  <c r="Q4514" i="52" s="1"/>
  <c r="R4514" i="52" l="1"/>
  <c r="S4514" i="52" s="1"/>
  <c r="Q4515" i="52"/>
  <c r="Q4516" i="52" s="1"/>
  <c r="R4513" i="52"/>
  <c r="S4513" i="52" s="1"/>
  <c r="R4516" i="52" l="1"/>
  <c r="S4516" i="52" s="1"/>
  <c r="Q4517" i="52"/>
  <c r="Q4518" i="52" s="1"/>
  <c r="R4515" i="52"/>
  <c r="S4515" i="52" s="1"/>
  <c r="R4517" i="52" l="1"/>
  <c r="S4517" i="52" s="1"/>
  <c r="R4518" i="52"/>
  <c r="S4518" i="52" s="1"/>
  <c r="Q4519" i="52"/>
  <c r="R4519" i="52" s="1"/>
  <c r="S4519" i="52" s="1"/>
  <c r="Q4520" i="52" l="1"/>
  <c r="R4520" i="52" s="1"/>
  <c r="S4520" i="52" s="1"/>
  <c r="Q4521" i="52" l="1"/>
  <c r="Q4522" i="52" s="1"/>
  <c r="R4521" i="52" l="1"/>
  <c r="S4521" i="52" s="1"/>
  <c r="R4522" i="52"/>
  <c r="S4522" i="52" s="1"/>
  <c r="Q4523" i="52"/>
  <c r="R4523" i="52" s="1"/>
  <c r="S4523" i="52" s="1"/>
  <c r="Q4524" i="52" l="1"/>
  <c r="Q4525" i="52" l="1"/>
  <c r="Q4526" i="52" s="1"/>
  <c r="R4524" i="52"/>
  <c r="S4524" i="52" s="1"/>
  <c r="R4525" i="52" l="1"/>
  <c r="S4525" i="52" s="1"/>
  <c r="R4526" i="52"/>
  <c r="S4526" i="52" s="1"/>
  <c r="Q4527" i="52"/>
  <c r="R4527" i="52" s="1"/>
  <c r="S4527" i="52" s="1"/>
  <c r="Q4528" i="52" l="1"/>
  <c r="R4528" i="52" s="1"/>
  <c r="S4528" i="52" s="1"/>
  <c r="Q4529" i="52" l="1"/>
  <c r="Q4530" i="52" s="1"/>
  <c r="R4529" i="52" l="1"/>
  <c r="S4529" i="52" s="1"/>
  <c r="R4530" i="52"/>
  <c r="S4530" i="52" s="1"/>
  <c r="Q4531" i="52"/>
  <c r="R4531" i="52" s="1"/>
  <c r="S4531" i="52" s="1"/>
  <c r="Q4532" i="52" l="1"/>
  <c r="Q4533" i="52" l="1"/>
  <c r="Q4534" i="52" s="1"/>
  <c r="R4532" i="52"/>
  <c r="S4532" i="52" s="1"/>
  <c r="R4533" i="52" l="1"/>
  <c r="S4533" i="52" s="1"/>
  <c r="R4534" i="52"/>
  <c r="S4534" i="52" s="1"/>
  <c r="Q4535" i="52"/>
  <c r="R4535" i="52" s="1"/>
  <c r="S4535" i="52" s="1"/>
  <c r="Q4536" i="52" l="1"/>
  <c r="Q4537" i="52" l="1"/>
  <c r="Q4538" i="52" s="1"/>
  <c r="R4536" i="52"/>
  <c r="S4536" i="52" s="1"/>
  <c r="R4538" i="52" l="1"/>
  <c r="S4538" i="52" s="1"/>
  <c r="Q4539" i="52"/>
  <c r="Q4540" i="52" s="1"/>
  <c r="R4537" i="52"/>
  <c r="S4537" i="52" s="1"/>
  <c r="R4539" i="52" l="1"/>
  <c r="S4539" i="52" s="1"/>
  <c r="R4540" i="52"/>
  <c r="S4540" i="52" s="1"/>
  <c r="Q4541" i="52"/>
  <c r="R4541" i="52" s="1"/>
  <c r="S4541" i="52" s="1"/>
  <c r="Q4542" i="52" l="1"/>
  <c r="R4542" i="52" s="1"/>
  <c r="S4542" i="52" s="1"/>
  <c r="Q4543" i="52" l="1"/>
  <c r="Q4544" i="52" s="1"/>
  <c r="R4543" i="52" l="1"/>
  <c r="S4543" i="52" s="1"/>
  <c r="R4544" i="52"/>
  <c r="S4544" i="52" s="1"/>
  <c r="Q4545" i="52"/>
  <c r="R4545" i="52" s="1"/>
  <c r="S4545" i="52" s="1"/>
  <c r="Q4546" i="52" l="1"/>
  <c r="Q4547" i="52" l="1"/>
  <c r="Q4548" i="52" s="1"/>
  <c r="R4546" i="52"/>
  <c r="S4546" i="52" s="1"/>
  <c r="R4548" i="52" l="1"/>
  <c r="S4548" i="52" s="1"/>
  <c r="Q4549" i="52"/>
  <c r="Q4550" i="52" s="1"/>
  <c r="R4547" i="52"/>
  <c r="S4547" i="52" s="1"/>
  <c r="R4549" i="52" l="1"/>
  <c r="S4549" i="52" s="1"/>
  <c r="R4550" i="52"/>
  <c r="S4550" i="52" s="1"/>
  <c r="Q4551" i="52"/>
  <c r="R4551" i="52" s="1"/>
  <c r="S4551" i="52" s="1"/>
  <c r="Q4552" i="52" l="1"/>
  <c r="Q4553" i="52" l="1"/>
  <c r="Q4554" i="52" s="1"/>
  <c r="R4552" i="52"/>
  <c r="S4552" i="52" s="1"/>
  <c r="R4554" i="52" l="1"/>
  <c r="S4554" i="52" s="1"/>
  <c r="Q4555" i="52"/>
  <c r="Q4556" i="52" s="1"/>
  <c r="R4553" i="52"/>
  <c r="S4553" i="52" s="1"/>
  <c r="R4555" i="52" l="1"/>
  <c r="S4555" i="52" s="1"/>
  <c r="R4556" i="52"/>
  <c r="S4556" i="52" s="1"/>
  <c r="Q4557" i="52"/>
  <c r="R4557" i="52" s="1"/>
  <c r="S4557" i="52" s="1"/>
  <c r="Q4558" i="52" l="1"/>
  <c r="R4558" i="52" s="1"/>
  <c r="S4558" i="52" s="1"/>
  <c r="Q4559" i="52" l="1"/>
  <c r="Q4560" i="52" s="1"/>
  <c r="R4559" i="52" l="1"/>
  <c r="S4559" i="52" s="1"/>
  <c r="R4560" i="52"/>
  <c r="S4560" i="52" s="1"/>
  <c r="Q4561" i="52"/>
  <c r="R4561" i="52" s="1"/>
  <c r="S4561" i="52" s="1"/>
  <c r="Q4562" i="52" l="1"/>
  <c r="Q4563" i="52" l="1"/>
  <c r="Q4564" i="52" s="1"/>
  <c r="R4562" i="52"/>
  <c r="S4562" i="52" s="1"/>
  <c r="R4563" i="52" l="1"/>
  <c r="S4563" i="52" s="1"/>
  <c r="R4564" i="52"/>
  <c r="S4564" i="52" s="1"/>
  <c r="Q4565" i="52"/>
  <c r="Q4566" i="52" s="1"/>
  <c r="R4565" i="52" l="1"/>
  <c r="S4565" i="52" s="1"/>
  <c r="R4566" i="52"/>
  <c r="S4566" i="52" s="1"/>
  <c r="Q4567" i="52"/>
  <c r="Q4568" i="52" s="1"/>
  <c r="R4567" i="52" l="1"/>
  <c r="S4567" i="52" s="1"/>
  <c r="R4568" i="52"/>
  <c r="S4568" i="52" s="1"/>
  <c r="Q4569" i="52"/>
  <c r="Q4570" i="52" s="1"/>
  <c r="R4569" i="52" l="1"/>
  <c r="S4569" i="52" s="1"/>
  <c r="R4570" i="52"/>
  <c r="S4570" i="52" s="1"/>
  <c r="Q4571" i="52"/>
  <c r="Q4572" i="52" s="1"/>
  <c r="R4572" i="52" l="1"/>
  <c r="S4572" i="52" s="1"/>
  <c r="Q4573" i="52"/>
  <c r="Q4574" i="52" s="1"/>
  <c r="R4571" i="52"/>
  <c r="S4571" i="52" s="1"/>
  <c r="R4573" i="52" l="1"/>
  <c r="S4573" i="52" s="1"/>
  <c r="R4574" i="52"/>
  <c r="S4574" i="52" s="1"/>
  <c r="Q4575" i="52"/>
  <c r="Q4576" i="52" l="1"/>
  <c r="R4576" i="52" s="1"/>
  <c r="S4576" i="52" s="1"/>
  <c r="R4575" i="52"/>
  <c r="S4575" i="52" s="1"/>
  <c r="Q4577" i="52" l="1"/>
  <c r="Q4578" i="52" s="1"/>
  <c r="R4577" i="52" l="1"/>
  <c r="S4577" i="52" s="1"/>
  <c r="R4578" i="52"/>
  <c r="S4578" i="52" s="1"/>
  <c r="Q4579" i="52"/>
  <c r="R4579" i="52" s="1"/>
  <c r="S4579" i="52" s="1"/>
  <c r="Q4580" i="52" l="1"/>
  <c r="R4580" i="52" s="1"/>
  <c r="S4580" i="52" s="1"/>
  <c r="Q4581" i="52" l="1"/>
  <c r="R4581" i="52" s="1"/>
  <c r="S4581" i="52" s="1"/>
  <c r="Q4582" i="52" l="1"/>
  <c r="R4582" i="52" s="1"/>
  <c r="S4582" i="52" s="1"/>
  <c r="Q4583" i="52" l="1"/>
  <c r="Q4584" i="52" s="1"/>
  <c r="R4583" i="52" l="1"/>
  <c r="S4583" i="52" s="1"/>
  <c r="R4584" i="52"/>
  <c r="S4584" i="52" s="1"/>
  <c r="Q4585" i="52"/>
  <c r="R4585" i="52" s="1"/>
  <c r="S4585" i="52" s="1"/>
  <c r="Q4586" i="52" l="1"/>
  <c r="R4586" i="52" s="1"/>
  <c r="S4586" i="52" s="1"/>
  <c r="Q4587" i="52" l="1"/>
  <c r="R4587" i="52" s="1"/>
  <c r="S4587" i="52" s="1"/>
  <c r="Q4588" i="52" l="1"/>
  <c r="R4588" i="52" s="1"/>
  <c r="S4588" i="52" s="1"/>
  <c r="Q4589" i="52" l="1"/>
  <c r="Q4590" i="52" s="1"/>
  <c r="R4589" i="52" l="1"/>
  <c r="S4589" i="52" s="1"/>
  <c r="R4590" i="52"/>
  <c r="S4590" i="52" s="1"/>
  <c r="Q4591" i="52"/>
  <c r="Q4592" i="52" s="1"/>
  <c r="R4591" i="52" l="1"/>
  <c r="S4591" i="52" s="1"/>
  <c r="R4592" i="52"/>
  <c r="S4592" i="52" s="1"/>
  <c r="Q4593" i="52"/>
  <c r="R4593" i="52" s="1"/>
  <c r="S4593" i="52" s="1"/>
  <c r="Q4594" i="52" l="1"/>
  <c r="R4594" i="52" s="1"/>
  <c r="S4594" i="52" s="1"/>
  <c r="Q4595" i="52" l="1"/>
  <c r="Q4596" i="52" s="1"/>
  <c r="R4595" i="52" l="1"/>
  <c r="S4595" i="52" s="1"/>
  <c r="R4596" i="52"/>
  <c r="S4596" i="52" s="1"/>
  <c r="Q4597" i="52"/>
  <c r="Q4598" i="52" s="1"/>
  <c r="R4598" i="52" l="1"/>
  <c r="S4598" i="52" s="1"/>
  <c r="Q4599" i="52"/>
  <c r="R4599" i="52" s="1"/>
  <c r="S4599" i="52" s="1"/>
  <c r="R4597" i="52"/>
  <c r="S4597" i="52" s="1"/>
  <c r="Q4600" i="52" l="1"/>
  <c r="R4600" i="52" s="1"/>
  <c r="S4600" i="52" s="1"/>
  <c r="Q4601" i="52" l="1"/>
  <c r="Q4602" i="52" s="1"/>
  <c r="R4602" i="52" l="1"/>
  <c r="S4602" i="52" s="1"/>
  <c r="Q4603" i="52"/>
  <c r="Q4604" i="52" s="1"/>
  <c r="R4601" i="52"/>
  <c r="S4601" i="52" s="1"/>
  <c r="R4603" i="52" l="1"/>
  <c r="S4603" i="52" s="1"/>
  <c r="R4604" i="52"/>
  <c r="S4604" i="52" s="1"/>
  <c r="Q4605" i="52"/>
  <c r="Q4606" i="52" s="1"/>
  <c r="R4605" i="52" l="1"/>
  <c r="S4605" i="52" s="1"/>
  <c r="R4606" i="52"/>
  <c r="S4606" i="52" s="1"/>
  <c r="Q4607" i="52"/>
  <c r="Q4608" i="52" s="1"/>
  <c r="R4607" i="52" l="1"/>
  <c r="S4607" i="52" s="1"/>
  <c r="R4608" i="52"/>
  <c r="S4608" i="52" s="1"/>
  <c r="Q4609" i="52"/>
  <c r="R4609" i="52" s="1"/>
  <c r="S4609" i="52" s="1"/>
  <c r="Q4610" i="52" l="1"/>
  <c r="R4610" i="52" s="1"/>
  <c r="S4610" i="52" s="1"/>
  <c r="Q4611" i="52" l="1"/>
  <c r="Q4612" i="52" s="1"/>
  <c r="R4611" i="52" l="1"/>
  <c r="S4611" i="52" s="1"/>
  <c r="R4612" i="52"/>
  <c r="S4612" i="52" s="1"/>
  <c r="Q4613" i="52"/>
  <c r="R4613" i="52" s="1"/>
  <c r="S4613" i="52" s="1"/>
  <c r="Q4614" i="52" l="1"/>
  <c r="R4614" i="52" s="1"/>
  <c r="S4614" i="52" s="1"/>
  <c r="Q4615" i="52" l="1"/>
  <c r="Q4616" i="52" s="1"/>
  <c r="R4615" i="52" l="1"/>
  <c r="S4615" i="52" s="1"/>
  <c r="R4616" i="52"/>
  <c r="S4616" i="52" s="1"/>
  <c r="Q4617" i="52"/>
  <c r="R4617" i="52" s="1"/>
  <c r="S4617" i="52" s="1"/>
  <c r="Q4618" i="52" l="1"/>
  <c r="R4618" i="52" s="1"/>
  <c r="S4618" i="52" s="1"/>
  <c r="Q4619" i="52" l="1"/>
  <c r="Q4620" i="52" s="1"/>
  <c r="R4619" i="52" l="1"/>
  <c r="S4619" i="52" s="1"/>
  <c r="R4620" i="52"/>
  <c r="S4620" i="52" s="1"/>
  <c r="Q4621" i="52"/>
  <c r="Q4622" i="52" s="1"/>
  <c r="R4621" i="52" l="1"/>
  <c r="S4621" i="52" s="1"/>
  <c r="R4622" i="52"/>
  <c r="S4622" i="52" s="1"/>
  <c r="Q4623" i="52"/>
  <c r="Q4624" i="52" s="1"/>
  <c r="R4624" i="52" l="1"/>
  <c r="S4624" i="52" s="1"/>
  <c r="Q4625" i="52"/>
  <c r="R4625" i="52" s="1"/>
  <c r="S4625" i="52" s="1"/>
  <c r="R4623" i="52"/>
  <c r="S4623" i="52" s="1"/>
  <c r="Q4626" i="52" l="1"/>
  <c r="R4626" i="52" s="1"/>
  <c r="S4626" i="52" s="1"/>
  <c r="Q4627" i="52" l="1"/>
  <c r="Q4628" i="52" s="1"/>
  <c r="R4627" i="52" l="1"/>
  <c r="S4627" i="52" s="1"/>
  <c r="R4628" i="52"/>
  <c r="S4628" i="52" s="1"/>
  <c r="Q4629" i="52"/>
  <c r="R4629" i="52" s="1"/>
  <c r="S4629" i="52" s="1"/>
  <c r="Q4630" i="52" l="1"/>
  <c r="R4630" i="52" s="1"/>
  <c r="S4630" i="52" s="1"/>
  <c r="Q4631" i="52" l="1"/>
  <c r="Q4632" i="52" s="1"/>
  <c r="R4631" i="52" l="1"/>
  <c r="S4631" i="52" s="1"/>
  <c r="R4632" i="52"/>
  <c r="S4632" i="52" s="1"/>
  <c r="Q4633" i="52"/>
  <c r="Q4634" i="52" s="1"/>
  <c r="R4633" i="52" l="1"/>
  <c r="S4633" i="52" s="1"/>
  <c r="R4634" i="52"/>
  <c r="S4634" i="52" s="1"/>
  <c r="Q4635" i="52"/>
  <c r="Q4636" i="52" s="1"/>
  <c r="R4635" i="52" l="1"/>
  <c r="S4635" i="52" s="1"/>
  <c r="R4636" i="52"/>
  <c r="S4636" i="52" s="1"/>
  <c r="Q4637" i="52"/>
  <c r="Q4638" i="52" s="1"/>
  <c r="R4637" i="52" l="1"/>
  <c r="S4637" i="52" s="1"/>
  <c r="R4638" i="52"/>
  <c r="S4638" i="52" s="1"/>
  <c r="Q4639" i="52"/>
  <c r="Q4640" i="52" s="1"/>
  <c r="R4639" i="52" l="1"/>
  <c r="S4639" i="52" s="1"/>
  <c r="R4640" i="52"/>
  <c r="S4640" i="52" s="1"/>
  <c r="Q4641" i="52"/>
  <c r="R4641" i="52" s="1"/>
  <c r="S4641" i="52" s="1"/>
  <c r="Q4642" i="52" l="1"/>
  <c r="Q4643" i="52" l="1"/>
  <c r="R4642" i="52"/>
  <c r="S4642" i="52" s="1"/>
  <c r="Q4644" i="52" l="1"/>
  <c r="R4644" i="52" s="1"/>
  <c r="S4644" i="52" s="1"/>
  <c r="R4643" i="52"/>
  <c r="S4643" i="52" s="1"/>
  <c r="Q4645" i="52" l="1"/>
  <c r="Q4646" i="52" s="1"/>
  <c r="R4645" i="52" l="1"/>
  <c r="S4645" i="52" s="1"/>
  <c r="R4646" i="52"/>
  <c r="S4646" i="52" s="1"/>
  <c r="Q4647" i="52"/>
  <c r="Q4648" i="52" s="1"/>
  <c r="R4647" i="52" l="1"/>
  <c r="S4647" i="52" s="1"/>
  <c r="R4648" i="52"/>
  <c r="S4648" i="52" s="1"/>
  <c r="Q4649" i="52"/>
  <c r="Q4650" i="52" s="1"/>
  <c r="R4649" i="52" l="1"/>
  <c r="S4649" i="52" s="1"/>
  <c r="R4650" i="52"/>
  <c r="S4650" i="52" s="1"/>
  <c r="Q4651" i="52"/>
  <c r="Q4652" i="52" l="1"/>
  <c r="R4651" i="52"/>
  <c r="S4651" i="52" s="1"/>
  <c r="Q4653" i="52" l="1"/>
  <c r="R4653" i="52" s="1"/>
  <c r="S4653" i="52" s="1"/>
  <c r="R4652" i="52"/>
  <c r="S4652" i="52" s="1"/>
  <c r="Q4654" i="52" l="1"/>
  <c r="Q4655" i="52" l="1"/>
  <c r="Q4656" i="52" s="1"/>
  <c r="R4654" i="52"/>
  <c r="S4654" i="52" s="1"/>
  <c r="R4655" i="52" l="1"/>
  <c r="S4655" i="52" s="1"/>
  <c r="R4656" i="52"/>
  <c r="S4656" i="52" s="1"/>
  <c r="Q4657" i="52"/>
  <c r="R4657" i="52" s="1"/>
  <c r="S4657" i="52" s="1"/>
  <c r="Q4658" i="52" l="1"/>
  <c r="Q4659" i="52" l="1"/>
  <c r="R4658" i="52"/>
  <c r="S4658" i="52" s="1"/>
  <c r="Q4660" i="52" l="1"/>
  <c r="R4659" i="52"/>
  <c r="S4659" i="52" s="1"/>
  <c r="Q4661" i="52" l="1"/>
  <c r="Q4662" i="52" s="1"/>
  <c r="R4660" i="52"/>
  <c r="S4660" i="52" s="1"/>
  <c r="R4661" i="52" l="1"/>
  <c r="S4661" i="52" s="1"/>
  <c r="R4662" i="52"/>
  <c r="S4662" i="52" s="1"/>
  <c r="Q4663" i="52"/>
  <c r="R4663" i="52" s="1"/>
  <c r="S4663" i="52" s="1"/>
  <c r="Q4664" i="52" l="1"/>
  <c r="R4664" i="52" s="1"/>
  <c r="S4664" i="52" s="1"/>
  <c r="Q4665" i="52" l="1"/>
  <c r="Q4666" i="52" s="1"/>
  <c r="R4665" i="52" l="1"/>
  <c r="S4665" i="52" s="1"/>
  <c r="R4666" i="52"/>
  <c r="S4666" i="52" s="1"/>
  <c r="Q4667" i="52"/>
  <c r="R4667" i="52" l="1"/>
  <c r="S4667" i="52" s="1"/>
  <c r="Q4668" i="52"/>
  <c r="R4668" i="52" l="1"/>
  <c r="S4668" i="52" s="1"/>
  <c r="Q4669" i="52"/>
  <c r="R4669" i="52" l="1"/>
  <c r="S4669" i="52" s="1"/>
  <c r="Q4670" i="52"/>
  <c r="R4670" i="52" l="1"/>
  <c r="S4670" i="52" s="1"/>
  <c r="Q4671" i="52"/>
  <c r="Q4672" i="52" s="1"/>
  <c r="R4671" i="52" l="1"/>
  <c r="S4671" i="52" s="1"/>
  <c r="R4672" i="52"/>
  <c r="S4672" i="52" s="1"/>
  <c r="Q4673" i="52"/>
  <c r="Q4674" i="52" s="1"/>
  <c r="R4674" i="52" l="1"/>
  <c r="S4674" i="52" s="1"/>
  <c r="Q4675" i="52"/>
  <c r="R4673" i="52"/>
  <c r="S4673" i="52" s="1"/>
  <c r="R4675" i="52" l="1"/>
  <c r="S4675" i="52" s="1"/>
  <c r="Q4676" i="52"/>
  <c r="R4676" i="52" l="1"/>
  <c r="S4676" i="52" s="1"/>
  <c r="Q4677" i="52"/>
  <c r="Q4678" i="52" s="1"/>
  <c r="R4677" i="52" l="1"/>
  <c r="S4677" i="52" s="1"/>
  <c r="R4678" i="52"/>
  <c r="S4678" i="52" s="1"/>
  <c r="Q4679" i="52"/>
  <c r="R4679" i="52" l="1"/>
  <c r="S4679" i="52" s="1"/>
  <c r="Q4680" i="52"/>
  <c r="R4680" i="52" l="1"/>
  <c r="S4680" i="52" s="1"/>
  <c r="Q4681" i="52"/>
  <c r="R4681" i="52" l="1"/>
  <c r="S4681" i="52" s="1"/>
  <c r="Q4682" i="52"/>
  <c r="R4682" i="52" l="1"/>
  <c r="S4682" i="52" s="1"/>
  <c r="Q4683" i="52"/>
  <c r="R4683" i="52" l="1"/>
  <c r="S4683" i="52" s="1"/>
  <c r="Q4684" i="52"/>
  <c r="R4684" i="52" l="1"/>
  <c r="S4684" i="52" s="1"/>
  <c r="Q4685" i="52"/>
  <c r="R4685" i="52" l="1"/>
  <c r="S4685" i="52" s="1"/>
  <c r="Q4686" i="52"/>
  <c r="R4686" i="52" l="1"/>
  <c r="S4686" i="52" s="1"/>
  <c r="Q4687" i="52"/>
  <c r="Q4688" i="52" s="1"/>
  <c r="R4687" i="52" l="1"/>
  <c r="S4687" i="52" s="1"/>
  <c r="R4688" i="52"/>
  <c r="S4688" i="52" s="1"/>
  <c r="Q4689" i="52"/>
  <c r="R4689" i="52" l="1"/>
  <c r="S4689" i="52" s="1"/>
  <c r="Q4690" i="52"/>
  <c r="R4690" i="52" l="1"/>
  <c r="S4690" i="52" s="1"/>
  <c r="Q4691" i="52"/>
  <c r="R4691" i="52" l="1"/>
  <c r="S4691" i="52" s="1"/>
  <c r="Q4692" i="52"/>
  <c r="R4692" i="52" l="1"/>
  <c r="S4692" i="52" s="1"/>
  <c r="Q4693" i="52"/>
  <c r="R4693" i="52" l="1"/>
  <c r="S4693" i="52" s="1"/>
  <c r="Q4694" i="52"/>
  <c r="R4694" i="52" l="1"/>
  <c r="S4694" i="52" s="1"/>
  <c r="Q4695" i="52"/>
  <c r="R4695" i="52" l="1"/>
  <c r="S4695" i="52" s="1"/>
  <c r="Q4696" i="52"/>
  <c r="R4696" i="52" l="1"/>
  <c r="S4696" i="52" s="1"/>
  <c r="Q4697" i="52"/>
  <c r="R4697" i="52" l="1"/>
  <c r="S4697" i="52" s="1"/>
  <c r="Q4698" i="52"/>
  <c r="R4698" i="52" l="1"/>
  <c r="S4698" i="52" s="1"/>
  <c r="Q4699" i="52"/>
  <c r="R4699" i="52" l="1"/>
  <c r="S4699" i="52" s="1"/>
  <c r="Q4700" i="52"/>
  <c r="R4700" i="52" l="1"/>
  <c r="S4700" i="52" s="1"/>
  <c r="Q4701" i="52"/>
  <c r="R4701" i="52" l="1"/>
  <c r="S4701" i="52" s="1"/>
  <c r="Q4702" i="52"/>
  <c r="R4702" i="52" l="1"/>
  <c r="S4702" i="52" s="1"/>
  <c r="Q4703" i="52"/>
  <c r="R4703" i="52" l="1"/>
  <c r="S4703" i="52" s="1"/>
  <c r="Q4704" i="52"/>
  <c r="R4704" i="52" l="1"/>
  <c r="S4704" i="52" s="1"/>
  <c r="Q4705" i="52"/>
  <c r="R4705" i="52" s="1"/>
  <c r="S4705" i="52" s="1"/>
  <c r="Q4706" i="52" l="1"/>
  <c r="R4706" i="52" s="1"/>
  <c r="S4706" i="52" s="1"/>
  <c r="Q4707" i="52" l="1"/>
  <c r="Q4708" i="52" s="1"/>
  <c r="R4707" i="52" l="1"/>
  <c r="S4707" i="52" s="1"/>
  <c r="R4708" i="52"/>
  <c r="S4708" i="52" s="1"/>
  <c r="Q4709" i="52"/>
  <c r="R4709" i="52" l="1"/>
  <c r="S4709" i="52" s="1"/>
  <c r="Q4710" i="52"/>
  <c r="R4710" i="52" l="1"/>
  <c r="S4710" i="52" s="1"/>
  <c r="Q4711" i="52"/>
  <c r="R4711" i="52" l="1"/>
  <c r="S4711" i="52" s="1"/>
  <c r="Q4712" i="52"/>
  <c r="R4712" i="52" l="1"/>
  <c r="S4712" i="52" s="1"/>
  <c r="Q4713" i="52"/>
  <c r="Q4714" i="52" s="1"/>
  <c r="R4714" i="52" l="1"/>
  <c r="S4714" i="52" s="1"/>
  <c r="Q4715" i="52"/>
  <c r="R4713" i="52"/>
  <c r="S4713" i="52" s="1"/>
  <c r="R4715" i="52" l="1"/>
  <c r="S4715" i="52" s="1"/>
  <c r="Q4716" i="52"/>
  <c r="R4716" i="52" l="1"/>
  <c r="S4716" i="52" s="1"/>
  <c r="Q4717" i="52"/>
  <c r="R4717" i="52" l="1"/>
  <c r="S4717" i="52" s="1"/>
  <c r="Q4718" i="52"/>
  <c r="R4718" i="52" l="1"/>
  <c r="S4718" i="52" s="1"/>
  <c r="Q4719" i="52"/>
  <c r="R4719" i="52" l="1"/>
  <c r="S4719" i="52" s="1"/>
  <c r="Q4720" i="52"/>
  <c r="R4720" i="52" l="1"/>
  <c r="S4720" i="52" s="1"/>
  <c r="Q4721" i="52"/>
  <c r="R4721" i="52" l="1"/>
  <c r="S4721" i="52" s="1"/>
  <c r="Q4722" i="52"/>
  <c r="R4722" i="52" s="1"/>
  <c r="S4722" i="52" s="1"/>
  <c r="Q4723" i="52" l="1"/>
  <c r="Q4724" i="52" s="1"/>
  <c r="R4724" i="52" l="1"/>
  <c r="S4724" i="52" s="1"/>
  <c r="Q4725" i="52"/>
  <c r="Q4726" i="52" s="1"/>
  <c r="R4723" i="52"/>
  <c r="S4723" i="52" s="1"/>
  <c r="R4725" i="52" l="1"/>
  <c r="S4725" i="52" s="1"/>
  <c r="R4726" i="52"/>
  <c r="S4726" i="52" s="1"/>
  <c r="Q4727" i="52"/>
  <c r="R4727" i="52" l="1"/>
  <c r="S4727" i="52" s="1"/>
  <c r="Q4728" i="52"/>
  <c r="R4728" i="52" l="1"/>
  <c r="S4728" i="52" s="1"/>
  <c r="Q4729" i="52"/>
  <c r="Q4730" i="52" l="1"/>
  <c r="Q4731" i="52" s="1"/>
  <c r="R4729" i="52"/>
  <c r="S4729" i="52" s="1"/>
  <c r="R4730" i="52" l="1"/>
  <c r="S4730" i="52" s="1"/>
  <c r="R4731" i="52"/>
  <c r="S4731" i="52" s="1"/>
  <c r="Q4732" i="52"/>
  <c r="R4732" i="52" l="1"/>
  <c r="S4732" i="52" s="1"/>
  <c r="Q4733" i="52"/>
  <c r="R4733" i="52" l="1"/>
  <c r="S4733" i="52" s="1"/>
  <c r="Q4734" i="52"/>
  <c r="R4734" i="52" l="1"/>
  <c r="S4734" i="52" s="1"/>
  <c r="Q4735" i="52"/>
  <c r="R4735" i="52" l="1"/>
  <c r="S4735" i="52" s="1"/>
  <c r="Q4736" i="52"/>
  <c r="R4736" i="52" l="1"/>
  <c r="S4736" i="52" s="1"/>
  <c r="Q4737" i="52"/>
  <c r="R4737" i="52" l="1"/>
  <c r="S4737" i="52" s="1"/>
  <c r="Q4738" i="52"/>
  <c r="R4738" i="52" s="1"/>
  <c r="S4738" i="52" s="1"/>
  <c r="Q4739" i="52" l="1"/>
  <c r="Q4740" i="52" l="1"/>
  <c r="Q4741" i="52" s="1"/>
  <c r="R4739" i="52"/>
  <c r="S4739" i="52" s="1"/>
  <c r="R4740" i="52" l="1"/>
  <c r="S4740" i="52" s="1"/>
  <c r="R4741" i="52"/>
  <c r="S4741" i="52" s="1"/>
  <c r="Q4742" i="52"/>
  <c r="R4742" i="52" l="1"/>
  <c r="S4742" i="52" s="1"/>
  <c r="Q4743" i="52"/>
  <c r="R4743" i="52" l="1"/>
  <c r="S4743" i="52" s="1"/>
  <c r="Q4744" i="52"/>
  <c r="R4744" i="52" l="1"/>
  <c r="S4744" i="52" s="1"/>
  <c r="Q4745" i="52"/>
  <c r="R4745" i="52" l="1"/>
  <c r="S4745" i="52" s="1"/>
  <c r="Q4746" i="52"/>
  <c r="R4746" i="52" s="1"/>
  <c r="S4746" i="52" s="1"/>
  <c r="Q4747" i="52" l="1"/>
  <c r="Q4748" i="52" s="1"/>
  <c r="R4747" i="52" l="1"/>
  <c r="S4747" i="52" s="1"/>
  <c r="R4748" i="52"/>
  <c r="S4748" i="52" s="1"/>
  <c r="Q4749" i="52"/>
  <c r="R4749" i="52" l="1"/>
  <c r="S4749" i="52" s="1"/>
  <c r="Q4750" i="52"/>
  <c r="R4750" i="52" l="1"/>
  <c r="S4750" i="52" s="1"/>
  <c r="Q4751" i="52"/>
  <c r="R4751" i="52" l="1"/>
  <c r="S4751" i="52" s="1"/>
  <c r="Q4752" i="52"/>
  <c r="R4752" i="52" l="1"/>
  <c r="S4752" i="52" s="1"/>
  <c r="Q4753" i="52"/>
  <c r="R4753" i="52" l="1"/>
  <c r="S4753" i="52" s="1"/>
  <c r="Q4754" i="52"/>
  <c r="Q4755" i="52" s="1"/>
  <c r="R4754" i="52" l="1"/>
  <c r="S4754" i="52" s="1"/>
  <c r="R4755" i="52"/>
  <c r="S4755" i="52" s="1"/>
  <c r="Q4756" i="52"/>
  <c r="R4756" i="52" l="1"/>
  <c r="S4756" i="52" s="1"/>
  <c r="Q4757" i="52"/>
  <c r="R4757" i="52" l="1"/>
  <c r="S4757" i="52" s="1"/>
  <c r="Q4758" i="52"/>
  <c r="R4758" i="52" l="1"/>
  <c r="S4758" i="52" s="1"/>
  <c r="Q4759" i="52"/>
  <c r="Q4760" i="52" s="1"/>
  <c r="R4759" i="52" l="1"/>
  <c r="S4759" i="52" s="1"/>
  <c r="R4760" i="52"/>
  <c r="S4760" i="52" s="1"/>
  <c r="Q4761" i="52"/>
  <c r="R4761" i="52" l="1"/>
  <c r="S4761" i="52" s="1"/>
  <c r="Q4762" i="52"/>
  <c r="R4762" i="52" l="1"/>
  <c r="S4762" i="52" s="1"/>
  <c r="Q4763" i="52"/>
  <c r="R4763" i="52" l="1"/>
  <c r="S4763" i="52" s="1"/>
  <c r="Q4764" i="52"/>
  <c r="R4764" i="52" l="1"/>
  <c r="S4764" i="52" s="1"/>
  <c r="Q4765" i="52"/>
  <c r="R4765" i="52" l="1"/>
  <c r="S4765" i="52" s="1"/>
  <c r="Q4766" i="52"/>
  <c r="R4766" i="52" l="1"/>
  <c r="S4766" i="52" s="1"/>
  <c r="Q4767" i="52"/>
  <c r="Q4768" i="52" l="1"/>
  <c r="R4768" i="52" s="1"/>
  <c r="S4768" i="52" s="1"/>
  <c r="R4767" i="52"/>
  <c r="S4767" i="52" s="1"/>
  <c r="Q4769" i="52" l="1"/>
  <c r="Q4770" i="52" s="1"/>
  <c r="R4769" i="52" l="1"/>
  <c r="S4769" i="52" s="1"/>
  <c r="R4770" i="52"/>
  <c r="S4770" i="52" s="1"/>
  <c r="Q4771" i="52"/>
  <c r="Q4772" i="52" s="1"/>
  <c r="R4772" i="52" l="1"/>
  <c r="S4772" i="52" s="1"/>
  <c r="Q4773" i="52"/>
  <c r="R4771" i="52"/>
  <c r="S4771" i="52" s="1"/>
  <c r="R4773" i="52" l="1"/>
  <c r="S4773" i="52" s="1"/>
  <c r="Q4774" i="52"/>
  <c r="R4774" i="52" l="1"/>
  <c r="S4774" i="52" s="1"/>
  <c r="Q4775" i="52"/>
  <c r="R4775" i="52" l="1"/>
  <c r="S4775" i="52" s="1"/>
  <c r="Q4776" i="52"/>
  <c r="Q4777" i="52" s="1"/>
  <c r="R4777" i="52" l="1"/>
  <c r="S4777" i="52" s="1"/>
  <c r="Q4778" i="52"/>
  <c r="R4776" i="52"/>
  <c r="S4776" i="52" s="1"/>
  <c r="R4778" i="52" l="1"/>
  <c r="S4778" i="52" s="1"/>
  <c r="Q4779" i="52"/>
  <c r="R4779" i="52" l="1"/>
  <c r="S4779" i="52" s="1"/>
  <c r="Q4780" i="52"/>
  <c r="R4780" i="52" l="1"/>
  <c r="S4780" i="52" s="1"/>
  <c r="Q4781" i="52"/>
  <c r="R4781" i="52" l="1"/>
  <c r="S4781" i="52" s="1"/>
  <c r="Q4782" i="52"/>
  <c r="R4782" i="52" l="1"/>
  <c r="S4782" i="52" s="1"/>
  <c r="Q4783" i="52"/>
  <c r="R4783" i="52" l="1"/>
  <c r="S4783" i="52" s="1"/>
  <c r="Q4784" i="52"/>
  <c r="R4784" i="52" s="1"/>
  <c r="S4784" i="52" s="1"/>
  <c r="Q4785" i="52" l="1"/>
  <c r="R4785" i="52" s="1"/>
  <c r="S4785" i="52" s="1"/>
  <c r="Q4786" i="52" l="1"/>
  <c r="Q4787" i="52" s="1"/>
  <c r="R4786" i="52" l="1"/>
  <c r="S4786" i="52" s="1"/>
  <c r="R4787" i="52"/>
  <c r="S4787" i="52" s="1"/>
  <c r="Q4788" i="52"/>
  <c r="R4788" i="52" l="1"/>
  <c r="S4788" i="52" s="1"/>
  <c r="Q4789" i="52"/>
  <c r="R4789" i="52" l="1"/>
  <c r="S4789" i="52" s="1"/>
  <c r="Q4790" i="52"/>
  <c r="R4790" i="52" l="1"/>
  <c r="S4790" i="52" s="1"/>
  <c r="Q4791" i="52"/>
  <c r="R4791" i="52" l="1"/>
  <c r="S4791" i="52" s="1"/>
  <c r="Q4792" i="52"/>
  <c r="Q4793" i="52" s="1"/>
  <c r="R4792" i="52" l="1"/>
  <c r="S4792" i="52" s="1"/>
  <c r="R4793" i="52"/>
  <c r="S4793" i="52" s="1"/>
  <c r="Q4794" i="52"/>
  <c r="R4794" i="52" l="1"/>
  <c r="S4794" i="52" s="1"/>
  <c r="Q4795" i="52"/>
  <c r="R4795" i="52" l="1"/>
  <c r="S4795" i="52" s="1"/>
  <c r="Q4796" i="52"/>
  <c r="R4796" i="52" l="1"/>
  <c r="S4796" i="52" s="1"/>
  <c r="Q4797" i="52"/>
  <c r="R4797" i="52" s="1"/>
  <c r="S4797" i="52" s="1"/>
  <c r="Q4798" i="52" l="1"/>
  <c r="Q4799" i="52" s="1"/>
  <c r="R4798" i="52" l="1"/>
  <c r="S4798" i="52" s="1"/>
  <c r="R4799" i="52"/>
  <c r="S4799" i="52" s="1"/>
  <c r="Q4800" i="52"/>
  <c r="R4800" i="52" l="1"/>
  <c r="S4800" i="52" s="1"/>
  <c r="Q4801" i="52"/>
  <c r="R4801" i="52" l="1"/>
  <c r="S4801" i="52" s="1"/>
  <c r="Q4802" i="52"/>
  <c r="R4802" i="52" l="1"/>
  <c r="S4802" i="52" s="1"/>
  <c r="Q4803" i="52"/>
  <c r="R4803" i="52" l="1"/>
  <c r="S4803" i="52" s="1"/>
  <c r="Q4804" i="52"/>
  <c r="R4804" i="52" l="1"/>
  <c r="S4804" i="52" s="1"/>
  <c r="Q4805" i="52"/>
  <c r="R4805" i="52" l="1"/>
  <c r="S4805" i="52" s="1"/>
  <c r="Q4806" i="52"/>
  <c r="Q4807" i="52" s="1"/>
  <c r="R4806" i="52" l="1"/>
  <c r="S4806" i="52" s="1"/>
  <c r="R4807" i="52"/>
  <c r="S4807" i="52" s="1"/>
  <c r="Q4808" i="52"/>
  <c r="Q4809" i="52" s="1"/>
  <c r="R4808" i="52" l="1"/>
  <c r="S4808" i="52" s="1"/>
  <c r="R4809" i="52"/>
  <c r="S4809" i="52" s="1"/>
  <c r="Q4810" i="52"/>
  <c r="R4810" i="52" l="1"/>
  <c r="S4810" i="52" s="1"/>
  <c r="Q4811" i="52"/>
  <c r="R4811" i="52" l="1"/>
  <c r="S4811" i="52" s="1"/>
  <c r="Q4812" i="52"/>
  <c r="Q4813" i="52" s="1"/>
  <c r="R4812" i="52" l="1"/>
  <c r="S4812" i="52" s="1"/>
  <c r="R4813" i="52"/>
  <c r="S4813" i="52" s="1"/>
  <c r="Q4814" i="52"/>
  <c r="Q4815" i="52" s="1"/>
  <c r="R4815" i="52" l="1"/>
  <c r="S4815" i="52" s="1"/>
  <c r="Q4816" i="52"/>
  <c r="R4814" i="52"/>
  <c r="S4814" i="52" s="1"/>
  <c r="R4816" i="52" l="1"/>
  <c r="S4816" i="52" s="1"/>
  <c r="Q4817" i="52"/>
  <c r="R4817" i="52" l="1"/>
  <c r="S4817" i="52" s="1"/>
  <c r="Q4818" i="52"/>
  <c r="R4818" i="52" l="1"/>
  <c r="S4818" i="52" s="1"/>
  <c r="Q4819" i="52"/>
  <c r="Q4820" i="52" s="1"/>
  <c r="R4819" i="52" l="1"/>
  <c r="S4819" i="52" s="1"/>
  <c r="R4820" i="52"/>
  <c r="S4820" i="52" s="1"/>
  <c r="Q4821" i="52"/>
  <c r="R4821" i="52" s="1"/>
  <c r="S4821" i="52" s="1"/>
  <c r="Q4822" i="52" l="1"/>
  <c r="Q4823" i="52" s="1"/>
  <c r="R4823" i="52" l="1"/>
  <c r="S4823" i="52" s="1"/>
  <c r="Q4824" i="52"/>
  <c r="R4822" i="52"/>
  <c r="S4822" i="52" s="1"/>
  <c r="R4824" i="52" l="1"/>
  <c r="S4824" i="52" s="1"/>
  <c r="Q4825" i="52"/>
  <c r="Q4826" i="52" s="1"/>
  <c r="R4825" i="52" l="1"/>
  <c r="S4825" i="52" s="1"/>
  <c r="R4826" i="52"/>
  <c r="S4826" i="52" s="1"/>
  <c r="Q4827" i="52"/>
  <c r="Q4828" i="52" s="1"/>
  <c r="R4827" i="52" l="1"/>
  <c r="S4827" i="52" s="1"/>
  <c r="R4828" i="52"/>
  <c r="S4828" i="52" s="1"/>
  <c r="Q4829" i="52"/>
  <c r="R4829" i="52" l="1"/>
  <c r="S4829" i="52" s="1"/>
  <c r="Q4830" i="52"/>
  <c r="R4830" i="52" l="1"/>
  <c r="S4830" i="52" s="1"/>
  <c r="Q4831" i="52"/>
  <c r="R4831" i="52" l="1"/>
  <c r="S4831" i="52" s="1"/>
  <c r="Q4832" i="52"/>
  <c r="R4832" i="52" l="1"/>
  <c r="S4832" i="52" s="1"/>
  <c r="Q4833" i="52"/>
  <c r="R4833" i="52" l="1"/>
  <c r="S4833" i="52" s="1"/>
  <c r="Q4834" i="52"/>
  <c r="R4834" i="52" l="1"/>
  <c r="S4834" i="52" s="1"/>
  <c r="Q4835" i="52"/>
  <c r="R4835" i="52" l="1"/>
  <c r="S4835" i="52" s="1"/>
  <c r="Q4836" i="52"/>
  <c r="R4836" i="52" l="1"/>
  <c r="S4836" i="52" s="1"/>
  <c r="Q4837" i="52"/>
  <c r="R4837" i="52" l="1"/>
  <c r="S4837" i="52" s="1"/>
  <c r="Q4838" i="52"/>
  <c r="Q4839" i="52" s="1"/>
  <c r="R4838" i="52" l="1"/>
  <c r="S4838" i="52" s="1"/>
  <c r="R4839" i="52"/>
  <c r="S4839" i="52" s="1"/>
  <c r="Q4840" i="52"/>
  <c r="R4840" i="52" l="1"/>
  <c r="S4840" i="52" s="1"/>
  <c r="Q4841" i="52"/>
  <c r="R4841" i="52" l="1"/>
  <c r="S4841" i="52" s="1"/>
  <c r="Q4842" i="52"/>
  <c r="Q4843" i="52" s="1"/>
  <c r="R4842" i="52" l="1"/>
  <c r="S4842" i="52" s="1"/>
  <c r="R4843" i="52"/>
  <c r="S4843" i="52" s="1"/>
  <c r="Q4844" i="52"/>
  <c r="R4844" i="52" l="1"/>
  <c r="S4844" i="52" s="1"/>
  <c r="Q4845" i="52"/>
  <c r="R4845" i="52" l="1"/>
  <c r="S4845" i="52" s="1"/>
  <c r="Q4846" i="52"/>
  <c r="R4846" i="52" l="1"/>
  <c r="S4846" i="52" s="1"/>
  <c r="Q4847" i="52"/>
  <c r="R4847" i="52" l="1"/>
  <c r="S4847" i="52" s="1"/>
  <c r="Q4848" i="52"/>
  <c r="R4848" i="52" l="1"/>
  <c r="S4848" i="52" s="1"/>
  <c r="Q4849" i="52"/>
  <c r="R4849" i="52" l="1"/>
  <c r="S4849" i="52" s="1"/>
  <c r="Q4850" i="52"/>
  <c r="Q4851" i="52" s="1"/>
  <c r="R4850" i="52" l="1"/>
  <c r="S4850" i="52" s="1"/>
  <c r="R4851" i="52"/>
  <c r="S4851" i="52" s="1"/>
  <c r="Q4852" i="52"/>
  <c r="R4852" i="52" l="1"/>
  <c r="S4852" i="52" s="1"/>
  <c r="Q4853" i="52"/>
  <c r="Q4854" i="52" s="1"/>
  <c r="R4853" i="52" l="1"/>
  <c r="S4853" i="52" s="1"/>
  <c r="R4854" i="52"/>
  <c r="S4854" i="52" s="1"/>
  <c r="Q4855" i="52"/>
  <c r="R4855" i="52" l="1"/>
  <c r="S4855" i="52" s="1"/>
  <c r="Q4856" i="52"/>
  <c r="R4856" i="52" l="1"/>
  <c r="S4856" i="52" s="1"/>
  <c r="Q4857" i="52"/>
  <c r="R4857" i="52" l="1"/>
  <c r="S4857" i="52" s="1"/>
  <c r="Q4858" i="52"/>
  <c r="R4858" i="52" l="1"/>
  <c r="S4858" i="52" s="1"/>
  <c r="Q4859" i="52"/>
  <c r="R4859" i="52" l="1"/>
  <c r="S4859" i="52" s="1"/>
  <c r="Q4860" i="52"/>
  <c r="R4860" i="52" s="1"/>
  <c r="S4860" i="52" s="1"/>
  <c r="Q4861" i="52" l="1"/>
  <c r="Q4862" i="52" l="1"/>
  <c r="Q4863" i="52" s="1"/>
  <c r="R4861" i="52"/>
  <c r="S4861" i="52" s="1"/>
  <c r="R4862" i="52" l="1"/>
  <c r="S4862" i="52" s="1"/>
  <c r="R4863" i="52"/>
  <c r="S4863" i="52" s="1"/>
  <c r="Q4864" i="52"/>
  <c r="Q4865" i="52" s="1"/>
  <c r="R4864" i="52" l="1"/>
  <c r="S4864" i="52" s="1"/>
  <c r="R4865" i="52"/>
  <c r="S4865" i="52" s="1"/>
  <c r="Q4866" i="52"/>
  <c r="Q4867" i="52" s="1"/>
  <c r="R4866" i="52" l="1"/>
  <c r="S4866" i="52" s="1"/>
  <c r="R4867" i="52"/>
  <c r="S4867" i="52" s="1"/>
  <c r="Q4868" i="52"/>
  <c r="R4868" i="52" l="1"/>
  <c r="S4868" i="52" s="1"/>
  <c r="Q4869" i="52"/>
  <c r="Q4870" i="52" l="1"/>
  <c r="Q4871" i="52" s="1"/>
  <c r="R4869" i="52"/>
  <c r="S4869" i="52" s="1"/>
  <c r="R4870" i="52" l="1"/>
  <c r="S4870" i="52" s="1"/>
  <c r="R4871" i="52"/>
  <c r="S4871" i="52" s="1"/>
  <c r="Q4872" i="52"/>
  <c r="R4872" i="52" l="1"/>
  <c r="S4872" i="52" s="1"/>
  <c r="Q4873" i="52"/>
  <c r="R4873" i="52" l="1"/>
  <c r="S4873" i="52" s="1"/>
  <c r="Q4874" i="52"/>
  <c r="R4874" i="52" s="1"/>
  <c r="S4874" i="52" s="1"/>
  <c r="Q4875" i="52" l="1"/>
  <c r="Q4876" i="52" s="1"/>
  <c r="R4875" i="52" l="1"/>
  <c r="S4875" i="52" s="1"/>
  <c r="R4876" i="52"/>
  <c r="S4876" i="52" s="1"/>
  <c r="Q4877" i="52"/>
  <c r="R4877" i="52" l="1"/>
  <c r="S4877" i="52" s="1"/>
  <c r="Q4878" i="52"/>
  <c r="R4878" i="52" l="1"/>
  <c r="S4878" i="52" s="1"/>
  <c r="Q4879" i="52"/>
  <c r="R4879" i="52" l="1"/>
  <c r="S4879" i="52" s="1"/>
  <c r="Q4880" i="52"/>
  <c r="R4880" i="52" l="1"/>
  <c r="S4880" i="52" s="1"/>
  <c r="Q4881" i="52"/>
  <c r="R4881" i="52" l="1"/>
  <c r="S4881" i="52" s="1"/>
  <c r="Q4882" i="52"/>
  <c r="R4882" i="52" l="1"/>
  <c r="S4882" i="52" s="1"/>
  <c r="Q4883" i="52"/>
  <c r="R4883" i="52" l="1"/>
  <c r="S4883" i="52" s="1"/>
  <c r="Q4884" i="52"/>
  <c r="Q4885" i="52" s="1"/>
  <c r="R4885" i="52" l="1"/>
  <c r="S4885" i="52" s="1"/>
  <c r="Q4886" i="52"/>
  <c r="R4886" i="52" s="1"/>
  <c r="S4886" i="52" s="1"/>
  <c r="R4884" i="52"/>
  <c r="S4884" i="52" s="1"/>
  <c r="Q4887" i="52" l="1"/>
  <c r="R4887" i="52" s="1"/>
  <c r="S4887" i="52" s="1"/>
  <c r="Q4888" i="52" l="1"/>
  <c r="Q4889" i="52" s="1"/>
  <c r="R4888" i="52" l="1"/>
  <c r="S4888" i="52" s="1"/>
  <c r="R4889" i="52"/>
  <c r="S4889" i="52" s="1"/>
  <c r="Q4890" i="52"/>
  <c r="R4890" i="52" l="1"/>
  <c r="S4890" i="52" s="1"/>
  <c r="Q4891" i="52"/>
  <c r="R4891" i="52" l="1"/>
  <c r="S4891" i="52" s="1"/>
  <c r="Q4892" i="52"/>
  <c r="R4892" i="52" l="1"/>
  <c r="S4892" i="52" s="1"/>
  <c r="Q4893" i="52"/>
  <c r="R4893" i="52" s="1"/>
  <c r="S4893" i="52" s="1"/>
  <c r="Q4894" i="52" l="1"/>
  <c r="Q4895" i="52" l="1"/>
  <c r="Q4896" i="52" s="1"/>
  <c r="R4894" i="52"/>
  <c r="S4894" i="52" s="1"/>
  <c r="R4896" i="52" l="1"/>
  <c r="S4896" i="52" s="1"/>
  <c r="Q4897" i="52"/>
  <c r="R4895" i="52"/>
  <c r="S4895" i="52" s="1"/>
  <c r="R4897" i="52" l="1"/>
  <c r="S4897" i="52" s="1"/>
  <c r="Q4898" i="52"/>
  <c r="R4898" i="52" l="1"/>
  <c r="S4898" i="52" s="1"/>
  <c r="Q4899" i="52"/>
  <c r="R4899" i="52" l="1"/>
  <c r="S4899" i="52" s="1"/>
  <c r="Q4900" i="52"/>
  <c r="R4900" i="52" l="1"/>
  <c r="S4900" i="52" s="1"/>
  <c r="Q4901" i="52"/>
  <c r="R4901" i="52" l="1"/>
  <c r="S4901" i="52" s="1"/>
  <c r="Q4902" i="52"/>
  <c r="R4902" i="52" l="1"/>
  <c r="S4902" i="52" s="1"/>
  <c r="Q4903" i="52"/>
  <c r="R4903" i="52" l="1"/>
  <c r="S4903" i="52" s="1"/>
  <c r="Q4904" i="52"/>
  <c r="R4904" i="52" l="1"/>
  <c r="S4904" i="52" s="1"/>
  <c r="Q4905" i="52"/>
  <c r="R4905" i="52" l="1"/>
  <c r="S4905" i="52" s="1"/>
  <c r="Q4906" i="52"/>
  <c r="Q4907" i="52" s="1"/>
  <c r="R4907" i="52" l="1"/>
  <c r="S4907" i="52" s="1"/>
  <c r="Q4908" i="52"/>
  <c r="R4906" i="52"/>
  <c r="S4906" i="52" s="1"/>
  <c r="R4908" i="52" l="1"/>
  <c r="S4908" i="52" s="1"/>
  <c r="Q4909" i="52"/>
  <c r="R4909" i="52" l="1"/>
  <c r="S4909" i="52" s="1"/>
  <c r="Q4910" i="52"/>
  <c r="R4910" i="52" l="1"/>
  <c r="S4910" i="52" s="1"/>
  <c r="Q4911" i="52"/>
  <c r="R4911" i="52" l="1"/>
  <c r="S4911" i="52" s="1"/>
  <c r="Q4912" i="52"/>
  <c r="R4912" i="52" l="1"/>
  <c r="S4912" i="52" s="1"/>
  <c r="Q4913" i="52"/>
  <c r="R4913" i="52" l="1"/>
  <c r="S4913" i="52" s="1"/>
  <c r="Q4914" i="52"/>
  <c r="Q4915" i="52" s="1"/>
  <c r="R4914" i="52" l="1"/>
  <c r="S4914" i="52" s="1"/>
  <c r="R4915" i="52"/>
  <c r="S4915" i="52" s="1"/>
  <c r="Q4916" i="52"/>
  <c r="Q4917" i="52" s="1"/>
  <c r="R4916" i="52" l="1"/>
  <c r="S4916" i="52" s="1"/>
  <c r="R4917" i="52"/>
  <c r="S4917" i="52" s="1"/>
  <c r="Q4918" i="52"/>
  <c r="R4918" i="52" l="1"/>
  <c r="S4918" i="52" s="1"/>
  <c r="Q4919" i="52"/>
  <c r="R4919" i="52" l="1"/>
  <c r="S4919" i="52" s="1"/>
  <c r="Q4920" i="52"/>
  <c r="R4920" i="52" l="1"/>
  <c r="S4920" i="52" s="1"/>
  <c r="Q4921" i="52"/>
  <c r="R4921" i="52" l="1"/>
  <c r="S4921" i="52" s="1"/>
  <c r="Q4922" i="52"/>
  <c r="R4922" i="52" l="1"/>
  <c r="S4922" i="52" s="1"/>
  <c r="Q4923" i="52"/>
  <c r="R4923" i="52" l="1"/>
  <c r="S4923" i="52" s="1"/>
  <c r="Q4924" i="52"/>
  <c r="R4924" i="52" l="1"/>
  <c r="S4924" i="52" s="1"/>
  <c r="Q4925" i="52"/>
  <c r="R4925" i="52" l="1"/>
  <c r="S4925" i="52" s="1"/>
  <c r="Q4926" i="52"/>
  <c r="R4926" i="52" l="1"/>
  <c r="S4926" i="52" s="1"/>
  <c r="Q4927" i="52"/>
  <c r="Q4928" i="52" s="1"/>
  <c r="R4927" i="52" l="1"/>
  <c r="S4927" i="52" s="1"/>
  <c r="R4928" i="52"/>
  <c r="S4928" i="52" s="1"/>
  <c r="Q4929" i="52"/>
  <c r="Q4930" i="52" s="1"/>
  <c r="R4930" i="52" l="1"/>
  <c r="S4930" i="52" s="1"/>
  <c r="Q4931" i="52"/>
  <c r="R4929" i="52"/>
  <c r="S4929" i="52" s="1"/>
  <c r="R4931" i="52" l="1"/>
  <c r="S4931" i="52" s="1"/>
  <c r="Q4932" i="52"/>
  <c r="Q4933" i="52" s="1"/>
  <c r="R4932" i="52" l="1"/>
  <c r="S4932" i="52" s="1"/>
  <c r="R4933" i="52"/>
  <c r="S4933" i="52" s="1"/>
  <c r="Q4934" i="52"/>
  <c r="R4934" i="52" l="1"/>
  <c r="S4934" i="52" s="1"/>
  <c r="Q4935" i="52"/>
  <c r="Q4936" i="52" s="1"/>
  <c r="R4935" i="52" l="1"/>
  <c r="S4935" i="52" s="1"/>
  <c r="R4936" i="52"/>
  <c r="S4936" i="52" s="1"/>
  <c r="Q4937" i="52"/>
  <c r="Q4938" i="52" s="1"/>
  <c r="R4938" i="52" l="1"/>
  <c r="S4938" i="52" s="1"/>
  <c r="Q4939" i="52"/>
  <c r="R4937" i="52"/>
  <c r="S4937" i="52" s="1"/>
  <c r="R4939" i="52" l="1"/>
  <c r="S4939" i="52" s="1"/>
  <c r="Q4940" i="52"/>
  <c r="R4940" i="52" l="1"/>
  <c r="S4940" i="52" s="1"/>
  <c r="Q4941" i="52"/>
  <c r="R4941" i="52" l="1"/>
  <c r="S4941" i="52" s="1"/>
  <c r="Q4942" i="52"/>
  <c r="R4942" i="52" s="1"/>
  <c r="S4942" i="52" s="1"/>
  <c r="Q4943" i="52" l="1"/>
  <c r="R4943" i="52" s="1"/>
  <c r="S4943" i="52" s="1"/>
  <c r="Q4944" i="52" l="1"/>
  <c r="R4944" i="52" s="1"/>
  <c r="S4944" i="52" s="1"/>
  <c r="Q4945" i="52" l="1"/>
  <c r="Q4946" i="52" s="1"/>
  <c r="R4945" i="52" l="1"/>
  <c r="S4945" i="52" s="1"/>
  <c r="R4946" i="52"/>
  <c r="S4946" i="52" s="1"/>
  <c r="Q4947" i="52"/>
  <c r="R4947" i="52" l="1"/>
  <c r="S4947" i="52" s="1"/>
  <c r="Q4948" i="52"/>
  <c r="Q4949" i="52" s="1"/>
  <c r="R4948" i="52" l="1"/>
  <c r="S4948" i="52" s="1"/>
  <c r="R4949" i="52"/>
  <c r="S4949" i="52" s="1"/>
  <c r="Q4950" i="52"/>
  <c r="R4950" i="52" l="1"/>
  <c r="S4950" i="52" s="1"/>
  <c r="Q4951" i="52"/>
  <c r="R4951" i="52" s="1"/>
  <c r="S4951" i="52" s="1"/>
  <c r="Q4952" i="52" l="1"/>
  <c r="Q4953" i="52" s="1"/>
  <c r="R4952" i="52" l="1"/>
  <c r="S4952" i="52" s="1"/>
  <c r="R4953" i="52"/>
  <c r="S4953" i="52" s="1"/>
  <c r="Q4954" i="52"/>
  <c r="R4954" i="52" l="1"/>
  <c r="S4954" i="52" s="1"/>
  <c r="Q4955" i="52"/>
  <c r="Q4956" i="52" s="1"/>
  <c r="R4955" i="52" l="1"/>
  <c r="S4955" i="52" s="1"/>
  <c r="R4956" i="52"/>
  <c r="S4956" i="52" s="1"/>
  <c r="Q4957" i="52"/>
  <c r="R4957" i="52" l="1"/>
  <c r="S4957" i="52" s="1"/>
  <c r="Q4958" i="52"/>
  <c r="R4958" i="52" l="1"/>
  <c r="S4958" i="52" s="1"/>
  <c r="Q4959" i="52"/>
  <c r="R4959" i="52" l="1"/>
  <c r="S4959" i="52" s="1"/>
  <c r="Q4960" i="52"/>
  <c r="R4960" i="52" l="1"/>
  <c r="S4960" i="52" s="1"/>
  <c r="Q4961" i="52"/>
  <c r="R4961" i="52" l="1"/>
  <c r="S4961" i="52" s="1"/>
  <c r="Q4962" i="52"/>
  <c r="R4962" i="52" l="1"/>
  <c r="S4962" i="52" s="1"/>
  <c r="Q4963" i="52"/>
  <c r="R4963" i="52" l="1"/>
  <c r="S4963" i="52" s="1"/>
  <c r="Q4964" i="52"/>
  <c r="R4964" i="52" l="1"/>
  <c r="S4964" i="52" s="1"/>
  <c r="Q4965" i="52"/>
  <c r="Q4966" i="52" s="1"/>
  <c r="R4966" i="52" l="1"/>
  <c r="S4966" i="52" s="1"/>
  <c r="Q4967" i="52"/>
  <c r="Q4968" i="52" s="1"/>
  <c r="R4965" i="52"/>
  <c r="S4965" i="52" s="1"/>
  <c r="R4967" i="52" l="1"/>
  <c r="S4967" i="52" s="1"/>
  <c r="R4968" i="52"/>
  <c r="S4968" i="52" s="1"/>
  <c r="Q4969" i="52"/>
  <c r="Q4970" i="52" s="1"/>
  <c r="R4969" i="52" l="1"/>
  <c r="S4969" i="52" s="1"/>
  <c r="R4970" i="52"/>
  <c r="S4970" i="52" s="1"/>
  <c r="Q4971" i="52"/>
  <c r="R4971" i="52" l="1"/>
  <c r="S4971" i="52" s="1"/>
  <c r="Q4972" i="52"/>
  <c r="R4972" i="52" l="1"/>
  <c r="S4972" i="52" s="1"/>
  <c r="Q4973" i="52"/>
  <c r="Q4974" i="52" s="1"/>
  <c r="R4973" i="52" l="1"/>
  <c r="S4973" i="52" s="1"/>
  <c r="R4974" i="52"/>
  <c r="S4974" i="52" s="1"/>
  <c r="Q4975" i="52"/>
  <c r="R4975" i="52" l="1"/>
  <c r="S4975" i="52" s="1"/>
  <c r="Q4976" i="52"/>
  <c r="R4976" i="52" l="1"/>
  <c r="S4976" i="52" s="1"/>
  <c r="Q4977" i="52"/>
  <c r="R4977" i="52" l="1"/>
  <c r="S4977" i="52" s="1"/>
  <c r="Q4978" i="52"/>
  <c r="R4978" i="52" l="1"/>
  <c r="S4978" i="52" s="1"/>
  <c r="Q4979" i="52"/>
  <c r="R4979" i="52" l="1"/>
  <c r="S4979" i="52" s="1"/>
  <c r="Q4980" i="52"/>
  <c r="R4980" i="52" l="1"/>
  <c r="S4980" i="52" s="1"/>
  <c r="Q4981" i="52"/>
  <c r="R4981" i="52" l="1"/>
  <c r="S4981" i="52" s="1"/>
  <c r="Q4982" i="52"/>
  <c r="R4982" i="52" l="1"/>
  <c r="S4982" i="52" s="1"/>
  <c r="Q4983" i="52"/>
  <c r="R4983" i="52" l="1"/>
  <c r="S4983" i="52" s="1"/>
  <c r="Q4984" i="52"/>
  <c r="R4984" i="52" s="1"/>
  <c r="S4984" i="52" s="1"/>
  <c r="Q4985" i="52" l="1"/>
  <c r="Q4986" i="52" s="1"/>
  <c r="R4985" i="52" l="1"/>
  <c r="S4985" i="52" s="1"/>
  <c r="R4986" i="52"/>
  <c r="S4986" i="52" s="1"/>
  <c r="Q4987" i="52"/>
  <c r="R4987" i="52" l="1"/>
  <c r="S4987" i="52" s="1"/>
  <c r="Q4988" i="52"/>
  <c r="R4988" i="52" l="1"/>
  <c r="S4988" i="52" s="1"/>
  <c r="Q4989" i="52"/>
  <c r="R4989" i="52" l="1"/>
  <c r="S4989" i="52" s="1"/>
  <c r="Q4990" i="52"/>
  <c r="R4990" i="52" l="1"/>
  <c r="S4990" i="52" s="1"/>
  <c r="Q4991" i="52"/>
  <c r="R4991" i="52" l="1"/>
  <c r="S4991" i="52" s="1"/>
  <c r="Q4992" i="52"/>
  <c r="R4992" i="52" l="1"/>
  <c r="S4992" i="52" s="1"/>
  <c r="Q4993" i="52"/>
  <c r="R4993" i="52" l="1"/>
  <c r="S4993" i="52" s="1"/>
  <c r="Q4994" i="52"/>
  <c r="Q4995" i="52" s="1"/>
  <c r="R4995" i="52" l="1"/>
  <c r="S4995" i="52" s="1"/>
  <c r="Q4996" i="52"/>
  <c r="R4994" i="52"/>
  <c r="S4994" i="52" s="1"/>
  <c r="R4996" i="52" l="1"/>
  <c r="S4996" i="52" s="1"/>
  <c r="Q4997" i="52"/>
  <c r="R4997" i="52" l="1"/>
  <c r="S4997" i="52" s="1"/>
  <c r="Q4998" i="52"/>
  <c r="R4998" i="52" l="1"/>
  <c r="S4998" i="52" s="1"/>
  <c r="Q4999" i="52"/>
  <c r="R4999" i="52" l="1"/>
  <c r="S4999" i="52" s="1"/>
  <c r="Q5000" i="52"/>
  <c r="R5000" i="52" l="1"/>
  <c r="S5000" i="52" s="1"/>
  <c r="Q5001" i="52"/>
  <c r="R5001" i="52" l="1"/>
  <c r="S5001" i="52" s="1"/>
  <c r="Q5002" i="52"/>
  <c r="R5002" i="52" l="1"/>
  <c r="S5002" i="52" s="1"/>
  <c r="Q5003" i="52"/>
  <c r="R5003" i="52" l="1"/>
  <c r="S5003" i="52" s="1"/>
  <c r="Q5004" i="52"/>
  <c r="R5004" i="52" l="1"/>
  <c r="S5004" i="52" s="1"/>
  <c r="Q5005" i="52"/>
  <c r="R5005" i="52" l="1"/>
  <c r="S5005" i="52" s="1"/>
  <c r="Q5006" i="52"/>
  <c r="R5006" i="52" l="1"/>
  <c r="S5006" i="52" s="1"/>
  <c r="Q5007" i="52"/>
  <c r="R5007" i="52" l="1"/>
  <c r="S5007" i="52" s="1"/>
  <c r="Q5008" i="52"/>
  <c r="R5008" i="52" l="1"/>
  <c r="S5008" i="52" s="1"/>
  <c r="Q5009" i="52"/>
  <c r="Q5010" i="52" s="1"/>
  <c r="R5009" i="52" l="1"/>
  <c r="S5009" i="52" s="1"/>
  <c r="R5010" i="52"/>
  <c r="S5010" i="52" s="1"/>
  <c r="Q5011" i="52"/>
  <c r="R5011" i="52" l="1"/>
  <c r="S5011" i="52" s="1"/>
  <c r="Q5012" i="52"/>
  <c r="R5012" i="52" l="1"/>
  <c r="S5012" i="52" s="1"/>
  <c r="Q5013" i="52"/>
  <c r="R5013" i="52" l="1"/>
  <c r="S5013" i="52" s="1"/>
  <c r="Q5014" i="52"/>
  <c r="R5014" i="52" l="1"/>
  <c r="S5014" i="52" s="1"/>
  <c r="Q5015" i="52"/>
  <c r="Q5016" i="52" s="1"/>
  <c r="R5015" i="52" l="1"/>
  <c r="S5015" i="52" s="1"/>
  <c r="R5016" i="52"/>
  <c r="S5016" i="52" s="1"/>
  <c r="Q5017" i="52"/>
  <c r="R5017" i="52" l="1"/>
  <c r="S5017" i="52" s="1"/>
  <c r="Q5018" i="52"/>
  <c r="R5018" i="52" l="1"/>
  <c r="S5018" i="52" s="1"/>
  <c r="Q5019" i="52"/>
  <c r="R5019" i="52" l="1"/>
  <c r="S5019" i="52" s="1"/>
  <c r="Q5020" i="52"/>
  <c r="R5020" i="52" l="1"/>
  <c r="S5020" i="52" s="1"/>
  <c r="Q5021" i="52"/>
  <c r="R5021" i="52" s="1"/>
  <c r="S5021" i="52" s="1"/>
  <c r="Q5022" i="52" l="1"/>
  <c r="R5022" i="52" s="1"/>
  <c r="S5022" i="52" s="1"/>
  <c r="Q5023" i="52" l="1"/>
  <c r="Q5024" i="52" l="1"/>
  <c r="Q5025" i="52" s="1"/>
  <c r="R5023" i="52"/>
  <c r="S5023" i="52" s="1"/>
  <c r="R5024" i="52" l="1"/>
  <c r="S5024" i="52" s="1"/>
  <c r="R5025" i="52"/>
  <c r="S5025" i="52" s="1"/>
  <c r="Q5026" i="52"/>
  <c r="R5026" i="52" l="1"/>
  <c r="S5026" i="52" s="1"/>
  <c r="Q5027" i="52"/>
  <c r="R5027" i="52" l="1"/>
  <c r="S5027" i="52" s="1"/>
  <c r="Q5028" i="52"/>
  <c r="R5028" i="52" s="1"/>
  <c r="S5028" i="52" s="1"/>
  <c r="Q5029" i="52" l="1"/>
  <c r="R5029" i="52" s="1"/>
  <c r="S5029" i="52" s="1"/>
  <c r="Q5030" i="52" l="1"/>
  <c r="Q5031" i="52" s="1"/>
  <c r="R5030" i="52" l="1"/>
  <c r="S5030" i="52" s="1"/>
  <c r="R5031" i="52"/>
  <c r="S5031" i="52" s="1"/>
  <c r="Q5032" i="52"/>
  <c r="R5032" i="52" l="1"/>
  <c r="S5032" i="52" s="1"/>
  <c r="Q5033" i="52"/>
  <c r="Q5034" i="52" s="1"/>
  <c r="R5034" i="52" l="1"/>
  <c r="S5034" i="52" s="1"/>
  <c r="Q5035" i="52"/>
  <c r="R5033" i="52"/>
  <c r="S5033" i="52" s="1"/>
  <c r="R5035" i="52" l="1"/>
  <c r="S5035" i="52" s="1"/>
  <c r="Q5036" i="52"/>
  <c r="R5036" i="52" l="1"/>
  <c r="S5036" i="52" s="1"/>
  <c r="Q5037" i="52"/>
  <c r="R5037" i="52" l="1"/>
  <c r="S5037" i="52" s="1"/>
  <c r="Q5038" i="52"/>
  <c r="Q5039" i="52" s="1"/>
  <c r="R5038" i="52" l="1"/>
  <c r="S5038" i="52" s="1"/>
  <c r="R5039" i="52"/>
  <c r="S5039" i="52" s="1"/>
  <c r="Q5040" i="52"/>
  <c r="R5040" i="52" l="1"/>
  <c r="S5040" i="52" s="1"/>
  <c r="Q5041" i="52"/>
  <c r="R5041" i="52" l="1"/>
  <c r="S5041" i="52" s="1"/>
  <c r="Q5042" i="52"/>
  <c r="R5042" i="52" l="1"/>
  <c r="S5042" i="52" s="1"/>
  <c r="Q5043" i="52"/>
  <c r="R5043" i="52" l="1"/>
  <c r="S5043" i="52" s="1"/>
  <c r="Q5044" i="52"/>
  <c r="R5044" i="52" l="1"/>
  <c r="S5044" i="52" s="1"/>
  <c r="Q5045" i="52"/>
  <c r="R5045" i="52" l="1"/>
  <c r="S5045" i="52" s="1"/>
  <c r="Q5046" i="52"/>
  <c r="R5046" i="52" l="1"/>
  <c r="S5046" i="52" s="1"/>
  <c r="Q5047" i="52"/>
  <c r="R5047" i="52" l="1"/>
  <c r="S5047" i="52" s="1"/>
  <c r="Q5048" i="52"/>
  <c r="R5048" i="52" l="1"/>
  <c r="S5048" i="52" s="1"/>
  <c r="Q5049" i="52"/>
  <c r="R5049" i="52" l="1"/>
  <c r="S5049" i="52" s="1"/>
  <c r="Q5050" i="52"/>
  <c r="R5050" i="52" l="1"/>
  <c r="S5050" i="52" s="1"/>
  <c r="Q5051" i="52"/>
  <c r="R5051" i="52" l="1"/>
  <c r="S5051" i="52" s="1"/>
  <c r="Q5052" i="52"/>
  <c r="R5052" i="52" l="1"/>
  <c r="S5052" i="52" s="1"/>
  <c r="Q5053" i="52"/>
  <c r="R5053" i="52" s="1"/>
  <c r="S5053" i="52" s="1"/>
  <c r="Q5054" i="52" l="1"/>
  <c r="Q5055" i="52" s="1"/>
  <c r="R5054" i="52" l="1"/>
  <c r="S5054" i="52" s="1"/>
  <c r="R5055" i="52"/>
  <c r="S5055" i="52" s="1"/>
  <c r="Q5056" i="52"/>
  <c r="R5056" i="52" l="1"/>
  <c r="S5056" i="52" s="1"/>
  <c r="Q5057" i="52"/>
  <c r="R5057" i="52" s="1"/>
  <c r="S5057" i="52" s="1"/>
  <c r="Q5058" i="52" l="1"/>
  <c r="Q5059" i="52" l="1"/>
  <c r="Q5060" i="52" s="1"/>
  <c r="R5058" i="52"/>
  <c r="S5058" i="52" s="1"/>
  <c r="R5060" i="52" l="1"/>
  <c r="S5060" i="52" s="1"/>
  <c r="Q5061" i="52"/>
  <c r="R5059" i="52"/>
  <c r="S5059" i="52" s="1"/>
  <c r="R5061" i="52" l="1"/>
  <c r="S5061" i="52" s="1"/>
  <c r="Q5062" i="52"/>
  <c r="R5062" i="52" l="1"/>
  <c r="S5062" i="52" s="1"/>
  <c r="Q5063" i="52"/>
  <c r="R5063" i="52" l="1"/>
  <c r="S5063" i="52" s="1"/>
  <c r="Q5064" i="52"/>
  <c r="R5064" i="52" s="1"/>
  <c r="S5064" i="52" s="1"/>
  <c r="Q5065" i="52" l="1"/>
  <c r="R5065" i="52" s="1"/>
  <c r="S5065" i="52" s="1"/>
  <c r="Q5066" i="52" l="1"/>
  <c r="Q5067" i="52" s="1"/>
  <c r="R5066" i="52" l="1"/>
  <c r="S5066" i="52" s="1"/>
  <c r="R5067" i="52"/>
  <c r="S5067" i="52" s="1"/>
  <c r="Q5068" i="52"/>
  <c r="R5068" i="52" l="1"/>
  <c r="S5068" i="52" s="1"/>
  <c r="Q5069" i="52"/>
  <c r="R5069" i="52" l="1"/>
  <c r="S5069" i="52" s="1"/>
  <c r="Q5070" i="52"/>
  <c r="R5070" i="52" l="1"/>
  <c r="S5070" i="52" s="1"/>
  <c r="Q5071" i="52"/>
  <c r="R5071" i="52" l="1"/>
  <c r="S5071" i="52" s="1"/>
  <c r="Q5072" i="52"/>
  <c r="R5072" i="52" l="1"/>
  <c r="S5072" i="52" s="1"/>
  <c r="Q5073" i="52"/>
  <c r="R5073" i="52" l="1"/>
  <c r="S5073" i="52" s="1"/>
  <c r="Q5074" i="52"/>
  <c r="R5074" i="52" l="1"/>
  <c r="S5074" i="52" s="1"/>
  <c r="Q5075" i="52"/>
  <c r="Q5076" i="52" s="1"/>
  <c r="R5076" i="52" l="1"/>
  <c r="S5076" i="52" s="1"/>
  <c r="Q5077" i="52"/>
  <c r="R5075" i="52"/>
  <c r="S5075" i="52" s="1"/>
  <c r="R5077" i="52" l="1"/>
  <c r="S5077" i="52" s="1"/>
  <c r="Q5078" i="52"/>
  <c r="R5078" i="52" l="1"/>
  <c r="S5078" i="52" s="1"/>
  <c r="Q5079" i="52"/>
  <c r="R5079" i="52" s="1"/>
  <c r="S5079" i="52" s="1"/>
  <c r="Q5080" i="52" l="1"/>
  <c r="Q5081" i="52" s="1"/>
  <c r="R5080" i="52" l="1"/>
  <c r="S5080" i="52" s="1"/>
  <c r="R5081" i="52"/>
  <c r="S5081" i="52" s="1"/>
  <c r="Q5082" i="52"/>
  <c r="R5082" i="52" l="1"/>
  <c r="S5082" i="52" s="1"/>
  <c r="Q5083" i="52"/>
  <c r="Q5084" i="52" s="1"/>
  <c r="R5083" i="52" l="1"/>
  <c r="S5083" i="52" s="1"/>
  <c r="R5084" i="52"/>
  <c r="S5084" i="52" s="1"/>
  <c r="Q5085" i="52"/>
  <c r="R5085" i="52" l="1"/>
  <c r="S5085" i="52" s="1"/>
  <c r="Q5086" i="52"/>
  <c r="R5086" i="52" l="1"/>
  <c r="S5086" i="52" s="1"/>
  <c r="Q5087" i="52"/>
  <c r="Q5088" i="52" s="1"/>
  <c r="R5087" i="52" l="1"/>
  <c r="S5087" i="52" s="1"/>
  <c r="R5088" i="52"/>
  <c r="S5088" i="52" s="1"/>
  <c r="Q5089" i="52"/>
  <c r="Q5090" i="52" l="1"/>
  <c r="Q5091" i="52" s="1"/>
  <c r="R5089" i="52"/>
  <c r="S5089" i="52" s="1"/>
  <c r="R5091" i="52" l="1"/>
  <c r="S5091" i="52" s="1"/>
  <c r="Q5092" i="52"/>
  <c r="R5090" i="52"/>
  <c r="S5090" i="52" s="1"/>
  <c r="R5092" i="52" l="1"/>
  <c r="S5092" i="52" s="1"/>
  <c r="Q5093" i="52"/>
  <c r="R5093" i="52" l="1"/>
  <c r="S5093" i="52" s="1"/>
  <c r="Q5094" i="52"/>
  <c r="Q5095" i="52" s="1"/>
  <c r="R5094" i="52" l="1"/>
  <c r="S5094" i="52" s="1"/>
  <c r="R5095" i="52"/>
  <c r="S5095" i="52" s="1"/>
  <c r="Q5096" i="52"/>
  <c r="Q5097" i="52" s="1"/>
  <c r="R5096" i="52" l="1"/>
  <c r="S5096" i="52" s="1"/>
  <c r="R5097" i="52"/>
  <c r="S5097" i="52" s="1"/>
  <c r="Q5098" i="52"/>
  <c r="R5098" i="52" l="1"/>
  <c r="S5098" i="52" s="1"/>
  <c r="Q5099" i="52"/>
  <c r="R5099" i="52" l="1"/>
  <c r="S5099" i="52" s="1"/>
  <c r="Q5100" i="52"/>
  <c r="R5100" i="52" l="1"/>
  <c r="S5100" i="52" s="1"/>
  <c r="Q5101" i="52"/>
  <c r="R5101" i="52" s="1"/>
  <c r="S5101" i="52" s="1"/>
  <c r="Q5102" i="52" l="1"/>
  <c r="Q5103" i="52" l="1"/>
  <c r="R5103" i="52" s="1"/>
  <c r="S5103" i="52" s="1"/>
  <c r="R5102" i="52"/>
  <c r="S5102" i="52" s="1"/>
  <c r="Q5104" i="52" l="1"/>
  <c r="Q5105" i="52" l="1"/>
  <c r="Q5106" i="52" s="1"/>
  <c r="R5104" i="52"/>
  <c r="S5104" i="52" s="1"/>
  <c r="R5105" i="52" l="1"/>
  <c r="S5105" i="52" s="1"/>
  <c r="R5106" i="52"/>
  <c r="S5106" i="52" s="1"/>
  <c r="Q5107" i="52"/>
  <c r="Q5108" i="52" s="1"/>
  <c r="R5108" i="52" l="1"/>
  <c r="S5108" i="52" s="1"/>
  <c r="Q5109" i="52"/>
  <c r="R5107" i="52"/>
  <c r="S5107" i="52" s="1"/>
  <c r="R5109" i="52" l="1"/>
  <c r="S5109" i="52" s="1"/>
  <c r="Q5110" i="52"/>
  <c r="R5110" i="52" l="1"/>
  <c r="S5110" i="52" s="1"/>
  <c r="Q5111" i="52"/>
  <c r="R5111" i="52" l="1"/>
  <c r="S5111" i="52" s="1"/>
  <c r="Q5112" i="52"/>
  <c r="R5112" i="52" l="1"/>
  <c r="S5112" i="52" s="1"/>
  <c r="Q5113" i="52"/>
  <c r="R5113" i="52" l="1"/>
  <c r="S5113" i="52" s="1"/>
  <c r="Q5114" i="52"/>
  <c r="R5114" i="52" s="1"/>
  <c r="S5114" i="52" s="1"/>
  <c r="Q5115" i="52" l="1"/>
  <c r="R5115" i="52" s="1"/>
  <c r="S5115" i="52" s="1"/>
  <c r="Q5116" i="52" l="1"/>
  <c r="R5116" i="52" s="1"/>
  <c r="S5116" i="52" s="1"/>
  <c r="Q5117" i="52" l="1"/>
  <c r="Q5118" i="52" s="1"/>
  <c r="R5117" i="52" l="1"/>
  <c r="S5117" i="52" s="1"/>
  <c r="R5118" i="52"/>
  <c r="S5118" i="52" s="1"/>
  <c r="Q5119" i="52"/>
  <c r="R5119" i="52" l="1"/>
  <c r="S5119" i="52" s="1"/>
  <c r="Q5120" i="52"/>
  <c r="R5120" i="52" s="1"/>
  <c r="S5120" i="52" s="1"/>
  <c r="Q5121" i="52" l="1"/>
  <c r="Q5122" i="52" l="1"/>
  <c r="R5121" i="52"/>
  <c r="S5121" i="52" s="1"/>
  <c r="Q5123" i="52" l="1"/>
  <c r="Q5124" i="52" s="1"/>
  <c r="R5122" i="52"/>
  <c r="S5122" i="52" s="1"/>
  <c r="R5123" i="52" l="1"/>
  <c r="S5123" i="52" s="1"/>
  <c r="R5124" i="52"/>
  <c r="S5124" i="52" s="1"/>
  <c r="Q5125" i="52"/>
  <c r="R5125" i="52" l="1"/>
  <c r="S5125" i="52" s="1"/>
  <c r="Q5126" i="52"/>
  <c r="Q5127" i="52" s="1"/>
  <c r="R5126" i="52" l="1"/>
  <c r="S5126" i="52" s="1"/>
  <c r="R5127" i="52"/>
  <c r="S5127" i="52" s="1"/>
  <c r="Q5128" i="52"/>
  <c r="R5128" i="52" l="1"/>
  <c r="S5128" i="52" s="1"/>
  <c r="Q5129" i="52"/>
  <c r="Q5130" i="52" s="1"/>
  <c r="R5129" i="52" l="1"/>
  <c r="S5129" i="52" s="1"/>
  <c r="R5130" i="52"/>
  <c r="S5130" i="52" s="1"/>
  <c r="Q5131" i="52"/>
  <c r="R5131" i="52" l="1"/>
  <c r="S5131" i="52" s="1"/>
  <c r="Q5132" i="52"/>
  <c r="R5132" i="52" s="1"/>
  <c r="S5132" i="52" s="1"/>
  <c r="Q5133" i="52" l="1"/>
  <c r="R5133" i="52" s="1"/>
  <c r="S5133" i="52" s="1"/>
  <c r="Q5134" i="52" l="1"/>
  <c r="Q5135" i="52" s="1"/>
  <c r="R5134" i="52" l="1"/>
  <c r="S5134" i="52" s="1"/>
  <c r="R5135" i="52"/>
  <c r="S5135" i="52" s="1"/>
  <c r="Q5136" i="52"/>
  <c r="R5136" i="52" l="1"/>
  <c r="S5136" i="52" s="1"/>
  <c r="Q5137" i="52"/>
  <c r="R5137" i="52" l="1"/>
  <c r="S5137" i="52" s="1"/>
  <c r="Q5138" i="52"/>
  <c r="R5138" i="52" l="1"/>
  <c r="S5138" i="52" s="1"/>
  <c r="Q5139" i="52"/>
  <c r="R5139" i="52" l="1"/>
  <c r="S5139" i="52" s="1"/>
  <c r="Q5140" i="52"/>
  <c r="R5140" i="52" l="1"/>
  <c r="S5140" i="52" s="1"/>
  <c r="Q5141" i="52"/>
  <c r="R5141" i="52" l="1"/>
  <c r="S5141" i="52" s="1"/>
  <c r="Q5142" i="52"/>
  <c r="R5142" i="52" l="1"/>
  <c r="S5142" i="52" s="1"/>
  <c r="Q5143" i="52"/>
  <c r="R5143" i="52" l="1"/>
  <c r="S5143" i="52" s="1"/>
  <c r="Q5144" i="52"/>
  <c r="Q5145" i="52" s="1"/>
  <c r="R5144" i="52" l="1"/>
  <c r="S5144" i="52" s="1"/>
  <c r="R5145" i="52"/>
  <c r="S5145" i="52" s="1"/>
  <c r="Q5146" i="52"/>
  <c r="R5146" i="52" l="1"/>
  <c r="S5146" i="52" s="1"/>
  <c r="Q5147" i="52"/>
  <c r="R5147" i="52" l="1"/>
  <c r="S5147" i="52" s="1"/>
  <c r="Q5148" i="52"/>
  <c r="R5148" i="52" l="1"/>
  <c r="S5148" i="52" s="1"/>
  <c r="Q5149" i="52"/>
  <c r="Q5150" i="52" l="1"/>
  <c r="R5149" i="52"/>
  <c r="S5149" i="52" s="1"/>
  <c r="Q5151" i="52" l="1"/>
  <c r="Q5152" i="52" s="1"/>
  <c r="R5150" i="52"/>
  <c r="S5150" i="52" s="1"/>
  <c r="R5151" i="52" l="1"/>
  <c r="S5151" i="52" s="1"/>
  <c r="R5152" i="52"/>
  <c r="S5152" i="52" s="1"/>
  <c r="Q5153" i="52"/>
  <c r="R5153" i="52" l="1"/>
  <c r="S5153" i="52" s="1"/>
  <c r="Q5154" i="52"/>
  <c r="R5154" i="52" l="1"/>
  <c r="S5154" i="52" s="1"/>
  <c r="Q5155" i="52"/>
  <c r="Q5156" i="52" s="1"/>
  <c r="R5155" i="52" l="1"/>
  <c r="S5155" i="52" s="1"/>
  <c r="R5156" i="52"/>
  <c r="S5156" i="52" s="1"/>
  <c r="Q5157" i="52"/>
  <c r="Q5158" i="52" l="1"/>
  <c r="R5158" i="52" s="1"/>
  <c r="S5158" i="52" s="1"/>
  <c r="R5157" i="52"/>
  <c r="S5157" i="52" s="1"/>
  <c r="Q5159" i="52" l="1"/>
  <c r="R5159" i="52" s="1"/>
  <c r="S5159" i="52" s="1"/>
  <c r="Q5160" i="52" l="1"/>
  <c r="R5160" i="52" s="1"/>
  <c r="S5160" i="52" s="1"/>
  <c r="Q5161" i="52" l="1"/>
  <c r="R5161" i="52" s="1"/>
  <c r="S5161" i="52" s="1"/>
  <c r="Q5162" i="52" l="1"/>
  <c r="R5162" i="52" s="1"/>
  <c r="S5162" i="52" s="1"/>
  <c r="Q5163" i="52" l="1"/>
  <c r="Q5164" i="52" l="1"/>
  <c r="Q5165" i="52" s="1"/>
  <c r="R5163" i="52"/>
  <c r="S5163" i="52" s="1"/>
  <c r="R5165" i="52" l="1"/>
  <c r="S5165" i="52" s="1"/>
  <c r="Q5166" i="52"/>
  <c r="R5164" i="52"/>
  <c r="S5164" i="52" s="1"/>
  <c r="R5166" i="52" l="1"/>
  <c r="S5166" i="52" s="1"/>
  <c r="Q5167" i="52"/>
  <c r="R5167" i="52" s="1"/>
  <c r="S5167" i="52" s="1"/>
  <c r="Q5168" i="52" l="1"/>
  <c r="Q5169" i="52" s="1"/>
  <c r="R5168" i="52" l="1"/>
  <c r="S5168" i="52" s="1"/>
  <c r="R5169" i="52"/>
  <c r="S5169" i="52" s="1"/>
  <c r="Q5170" i="52"/>
  <c r="R5170" i="52" l="1"/>
  <c r="S5170" i="52" s="1"/>
  <c r="Q5171" i="52"/>
  <c r="R5171" i="52" l="1"/>
  <c r="S5171" i="52" s="1"/>
  <c r="Q5172" i="52"/>
  <c r="Q5173" i="52" s="1"/>
  <c r="R5172" i="52" l="1"/>
  <c r="S5172" i="52" s="1"/>
  <c r="R5173" i="52"/>
  <c r="S5173" i="52" s="1"/>
  <c r="Q5174" i="52"/>
  <c r="R5174" i="52" l="1"/>
  <c r="S5174" i="52" s="1"/>
  <c r="Q5175" i="52"/>
  <c r="R5175" i="52" l="1"/>
  <c r="S5175" i="52" s="1"/>
  <c r="Q5176" i="52"/>
  <c r="R5176" i="52" l="1"/>
  <c r="S5176" i="52" s="1"/>
  <c r="Q5177" i="52"/>
  <c r="R5177" i="52" l="1"/>
  <c r="S5177" i="52" s="1"/>
  <c r="Q5178" i="52"/>
  <c r="R5178" i="52" l="1"/>
  <c r="S5178" i="52" s="1"/>
  <c r="Q5179" i="52"/>
  <c r="Q5180" i="52" s="1"/>
  <c r="R5179" i="52" l="1"/>
  <c r="S5179" i="52" s="1"/>
  <c r="R5180" i="52"/>
  <c r="S5180" i="52" s="1"/>
  <c r="Q5181" i="52"/>
  <c r="R5181" i="52" l="1"/>
  <c r="S5181" i="52" s="1"/>
  <c r="Q5182" i="52"/>
  <c r="R5182" i="52" l="1"/>
  <c r="S5182" i="52" s="1"/>
  <c r="Q5183" i="52"/>
  <c r="Q5184" i="52" s="1"/>
  <c r="R5184" i="52" l="1"/>
  <c r="S5184" i="52" s="1"/>
  <c r="Q5185" i="52"/>
  <c r="R5183" i="52"/>
  <c r="S5183" i="52" s="1"/>
  <c r="R5185" i="52" l="1"/>
  <c r="S5185" i="52" s="1"/>
  <c r="Q5186" i="52"/>
  <c r="R5186" i="52" l="1"/>
  <c r="S5186" i="52" s="1"/>
  <c r="Q5187" i="52"/>
  <c r="R5187" i="52" l="1"/>
  <c r="S5187" i="52" s="1"/>
  <c r="Q5188" i="52"/>
  <c r="R5188" i="52" l="1"/>
  <c r="S5188" i="52" s="1"/>
  <c r="Q5189" i="52"/>
  <c r="R5189" i="52" l="1"/>
  <c r="S5189" i="52" s="1"/>
  <c r="Q5190" i="52"/>
  <c r="R5190" i="52" l="1"/>
  <c r="S5190" i="52" s="1"/>
  <c r="Q5191" i="52"/>
  <c r="R5191" i="52" l="1"/>
  <c r="S5191" i="52" s="1"/>
  <c r="Q5192" i="52"/>
  <c r="R5192" i="52" l="1"/>
  <c r="S5192" i="52" s="1"/>
  <c r="Q5193" i="52"/>
  <c r="R5193" i="52" l="1"/>
  <c r="S5193" i="52" s="1"/>
  <c r="Q5194" i="52"/>
  <c r="R5194" i="52" l="1"/>
  <c r="S5194" i="52" s="1"/>
  <c r="Q5195" i="52"/>
  <c r="R5195" i="52" l="1"/>
  <c r="S5195" i="52" s="1"/>
  <c r="Q5196" i="52"/>
  <c r="R5196" i="52" l="1"/>
  <c r="S5196" i="52" s="1"/>
  <c r="Q5197" i="52"/>
  <c r="R5197" i="52" l="1"/>
  <c r="S5197" i="52" s="1"/>
  <c r="Q5198" i="52"/>
  <c r="Q5199" i="52" l="1"/>
  <c r="Q5200" i="52" s="1"/>
  <c r="R5198" i="52"/>
  <c r="S5198" i="52" s="1"/>
  <c r="R5199" i="52" l="1"/>
  <c r="S5199" i="52" s="1"/>
  <c r="R5200" i="52"/>
  <c r="S5200" i="52" s="1"/>
  <c r="Q5201" i="52"/>
  <c r="R5201" i="52" l="1"/>
  <c r="S5201" i="52" s="1"/>
  <c r="Q5202" i="52"/>
  <c r="R5202" i="52" l="1"/>
  <c r="S5202" i="52" s="1"/>
  <c r="Q5203" i="52"/>
  <c r="R5203" i="52" l="1"/>
  <c r="S5203" i="52" s="1"/>
  <c r="Q5204" i="52"/>
  <c r="R5204" i="52" l="1"/>
  <c r="S5204" i="52" s="1"/>
  <c r="Q5205" i="52"/>
  <c r="Q5206" i="52" s="1"/>
  <c r="R5206" i="52" l="1"/>
  <c r="S5206" i="52" s="1"/>
  <c r="Q5207" i="52"/>
  <c r="R5207" i="52" s="1"/>
  <c r="S5207" i="52" s="1"/>
  <c r="R5205" i="52"/>
  <c r="S5205" i="52" s="1"/>
  <c r="Q5208" i="52" l="1"/>
  <c r="Q5209" i="52" s="1"/>
  <c r="R5208" i="52" l="1"/>
  <c r="S5208" i="52" s="1"/>
  <c r="R5209" i="52"/>
  <c r="S5209" i="52" s="1"/>
  <c r="Q5210" i="52"/>
  <c r="R5210" i="52" l="1"/>
  <c r="S5210" i="52" s="1"/>
  <c r="Q5211" i="52"/>
  <c r="R5211" i="52" l="1"/>
  <c r="S5211" i="52" s="1"/>
  <c r="Q5212" i="52"/>
  <c r="R5212" i="52" l="1"/>
  <c r="S5212" i="52" s="1"/>
  <c r="Q5213" i="52"/>
  <c r="Q5214" i="52" s="1"/>
  <c r="R5213" i="52" l="1"/>
  <c r="S5213" i="52" s="1"/>
  <c r="R5214" i="52"/>
  <c r="S5214" i="52" s="1"/>
  <c r="Q5215" i="52"/>
  <c r="R5215" i="52" l="1"/>
  <c r="S5215" i="52" s="1"/>
  <c r="Q5216" i="52"/>
  <c r="R5216" i="52" l="1"/>
  <c r="S5216" i="52" s="1"/>
  <c r="Q5217" i="52"/>
  <c r="R5217" i="52" l="1"/>
  <c r="S5217" i="52" s="1"/>
  <c r="Q5218" i="52"/>
  <c r="R5218" i="52" l="1"/>
  <c r="S5218" i="52" s="1"/>
  <c r="Q5219" i="52"/>
  <c r="R5219" i="52" s="1"/>
  <c r="S5219" i="52" s="1"/>
  <c r="Q5220" i="52" l="1"/>
  <c r="R5220" i="52" s="1"/>
  <c r="S5220" i="52" s="1"/>
  <c r="Q5221" i="52" l="1"/>
  <c r="R5221" i="52" s="1"/>
  <c r="S5221" i="52" s="1"/>
  <c r="Q5222" i="52" l="1"/>
  <c r="R5222" i="52" s="1"/>
  <c r="S5222" i="52" s="1"/>
  <c r="Q5223" i="52" l="1"/>
  <c r="Q5224" i="52" l="1"/>
  <c r="Q5225" i="52" s="1"/>
  <c r="R5223" i="52"/>
  <c r="S5223" i="52" s="1"/>
  <c r="R5224" i="52" l="1"/>
  <c r="S5224" i="52" s="1"/>
  <c r="R5225" i="52"/>
  <c r="S5225" i="52" s="1"/>
  <c r="Q5226" i="52"/>
  <c r="R5226" i="52" l="1"/>
  <c r="S5226" i="52" s="1"/>
  <c r="Q5227" i="52"/>
  <c r="R5227" i="52" l="1"/>
  <c r="S5227" i="52" s="1"/>
  <c r="Q5228" i="52"/>
  <c r="Q5229" i="52" s="1"/>
  <c r="R5229" i="52" l="1"/>
  <c r="S5229" i="52" s="1"/>
  <c r="Q5230" i="52"/>
  <c r="R5228" i="52"/>
  <c r="S5228" i="52" s="1"/>
  <c r="R5230" i="52" l="1"/>
  <c r="S5230" i="52" s="1"/>
  <c r="Q5231" i="52"/>
  <c r="R5231" i="52" l="1"/>
  <c r="S5231" i="52" s="1"/>
  <c r="Q5232" i="52"/>
  <c r="R5232" i="52" l="1"/>
  <c r="S5232" i="52" s="1"/>
  <c r="Q5233" i="52"/>
  <c r="R5233" i="52" l="1"/>
  <c r="S5233" i="52" s="1"/>
  <c r="Q5234" i="52"/>
  <c r="R5234" i="52" l="1"/>
  <c r="S5234" i="52" s="1"/>
  <c r="Q5235" i="52"/>
  <c r="R5235" i="52" l="1"/>
  <c r="S5235" i="52" s="1"/>
  <c r="Q5236" i="52"/>
  <c r="Q5237" i="52" s="1"/>
  <c r="R5236" i="52" l="1"/>
  <c r="S5236" i="52" s="1"/>
  <c r="R5237" i="52"/>
  <c r="S5237" i="52" s="1"/>
  <c r="Q5238" i="52"/>
  <c r="Q5239" i="52" s="1"/>
  <c r="R5239" i="52" l="1"/>
  <c r="S5239" i="52" s="1"/>
  <c r="Q5240" i="52"/>
  <c r="Q5241" i="52" s="1"/>
  <c r="R5238" i="52"/>
  <c r="S5238" i="52" s="1"/>
  <c r="R5240" i="52" l="1"/>
  <c r="S5240" i="52" s="1"/>
  <c r="R5241" i="52"/>
  <c r="S5241" i="52" s="1"/>
  <c r="Q5242" i="52"/>
  <c r="Q5243" i="52" s="1"/>
  <c r="R5243" i="52" l="1"/>
  <c r="S5243" i="52" s="1"/>
  <c r="Q5244" i="52"/>
  <c r="Q5245" i="52" s="1"/>
  <c r="R5242" i="52"/>
  <c r="S5242" i="52" s="1"/>
  <c r="R5245" i="52" l="1"/>
  <c r="S5245" i="52" s="1"/>
  <c r="Q5246" i="52"/>
  <c r="Q5247" i="52" s="1"/>
  <c r="R5244" i="52"/>
  <c r="S5244" i="52" s="1"/>
  <c r="R5247" i="52" l="1"/>
  <c r="S5247" i="52" s="1"/>
  <c r="Q5248" i="52"/>
  <c r="R5248" i="52" s="1"/>
  <c r="S5248" i="52" s="1"/>
  <c r="R5246" i="52"/>
  <c r="S5246" i="52" s="1"/>
  <c r="Q5249" i="52" l="1"/>
  <c r="R5249" i="52" s="1"/>
  <c r="S5249" i="52" s="1"/>
  <c r="Q5250" i="52" l="1"/>
  <c r="Q5251" i="52" s="1"/>
  <c r="R5250" i="52" l="1"/>
  <c r="S5250" i="52" s="1"/>
  <c r="R5251" i="52"/>
  <c r="S5251" i="52" s="1"/>
  <c r="Q5252" i="52"/>
  <c r="Q5253" i="52" s="1"/>
  <c r="R5252" i="52" l="1"/>
  <c r="S5252" i="52" s="1"/>
  <c r="R5253" i="52"/>
  <c r="S5253" i="52" s="1"/>
  <c r="Q5254" i="52"/>
  <c r="Q5255" i="52" s="1"/>
  <c r="R5254" i="52" l="1"/>
  <c r="S5254" i="52" s="1"/>
  <c r="R5255" i="52"/>
  <c r="S5255" i="52" s="1"/>
  <c r="Q5256" i="52"/>
  <c r="Q5257" i="52" l="1"/>
  <c r="R5256" i="52"/>
  <c r="S5256" i="52" s="1"/>
  <c r="Q5258" i="52" l="1"/>
  <c r="Q5259" i="52" s="1"/>
  <c r="R5257" i="52"/>
  <c r="S5257" i="52" s="1"/>
  <c r="R5258" i="52" l="1"/>
  <c r="S5258" i="52" s="1"/>
  <c r="R5259" i="52"/>
  <c r="S5259" i="52" s="1"/>
  <c r="Q5260" i="52"/>
  <c r="Q5261" i="52" s="1"/>
  <c r="R5260" i="52" l="1"/>
  <c r="S5260" i="52" s="1"/>
  <c r="R5261" i="52"/>
  <c r="S5261" i="52" s="1"/>
  <c r="Q5262" i="52"/>
  <c r="Q5263" i="52" s="1"/>
  <c r="R5262" i="52" l="1"/>
  <c r="S5262" i="52" s="1"/>
  <c r="R5263" i="52"/>
  <c r="S5263" i="52" s="1"/>
  <c r="Q5264" i="52"/>
  <c r="Q5265" i="52" s="1"/>
  <c r="R5264" i="52" l="1"/>
  <c r="S5264" i="52" s="1"/>
  <c r="R5265" i="52"/>
  <c r="S5265" i="52" s="1"/>
  <c r="Q5266" i="52"/>
  <c r="R5266" i="52" s="1"/>
  <c r="S5266" i="52" s="1"/>
  <c r="Q5267" i="52" l="1"/>
  <c r="R5267" i="52" s="1"/>
  <c r="S5267" i="52" s="1"/>
  <c r="Q5268" i="52" l="1"/>
  <c r="R5268" i="52" s="1"/>
  <c r="S5268" i="52" s="1"/>
  <c r="Q5269" i="52" l="1"/>
  <c r="Q5270" i="52" l="1"/>
  <c r="R5270" i="52" s="1"/>
  <c r="S5270" i="52" s="1"/>
  <c r="R5269" i="52"/>
  <c r="S5269" i="52" s="1"/>
  <c r="Q5271" i="52" l="1"/>
  <c r="R5271" i="52" s="1"/>
  <c r="S5271" i="52" s="1"/>
  <c r="Q5272" i="52" l="1"/>
  <c r="Q5273" i="52" s="1"/>
  <c r="R5272" i="52" l="1"/>
  <c r="S5272" i="52" s="1"/>
  <c r="R5273" i="52"/>
  <c r="S5273" i="52" s="1"/>
  <c r="Q5274" i="52"/>
  <c r="R5274" i="52" s="1"/>
  <c r="S5274" i="52" s="1"/>
  <c r="Q5275" i="52" l="1"/>
  <c r="R5275" i="52" s="1"/>
  <c r="S5275" i="52" s="1"/>
  <c r="Q5276" i="52" l="1"/>
  <c r="Q5277" i="52" s="1"/>
  <c r="R5276" i="52" l="1"/>
  <c r="S5276" i="52" s="1"/>
  <c r="R5277" i="52"/>
  <c r="S5277" i="52" s="1"/>
  <c r="Q5278" i="52"/>
  <c r="Q5279" i="52" s="1"/>
  <c r="R5279" i="52" l="1"/>
  <c r="S5279" i="52" s="1"/>
  <c r="Q5280" i="52"/>
  <c r="Q5281" i="52" s="1"/>
  <c r="R5278" i="52"/>
  <c r="S5278" i="52" s="1"/>
  <c r="R5281" i="52" l="1"/>
  <c r="S5281" i="52" s="1"/>
  <c r="Q5282" i="52"/>
  <c r="R5282" i="52" s="1"/>
  <c r="S5282" i="52" s="1"/>
  <c r="R5280" i="52"/>
  <c r="S5280" i="52" s="1"/>
  <c r="Q5283" i="52" l="1"/>
  <c r="R5283" i="52" s="1"/>
  <c r="S5283" i="52" s="1"/>
  <c r="Q5284" i="52" l="1"/>
  <c r="Q5285" i="52" s="1"/>
  <c r="R5284" i="52" l="1"/>
  <c r="S5284" i="52" s="1"/>
  <c r="R5285" i="52"/>
  <c r="S5285" i="52" s="1"/>
  <c r="Q5286" i="52"/>
  <c r="Q5287" i="52" l="1"/>
  <c r="R5287" i="52" s="1"/>
  <c r="S5287" i="52" s="1"/>
  <c r="R5286" i="52"/>
  <c r="S5286" i="52" s="1"/>
  <c r="Q5288" i="52" l="1"/>
  <c r="Q5289" i="52" s="1"/>
  <c r="R5288" i="52" l="1"/>
  <c r="S5288" i="52" s="1"/>
  <c r="R5289" i="52"/>
  <c r="S5289" i="52" s="1"/>
  <c r="Q5290" i="52"/>
  <c r="Q5291" i="52" s="1"/>
  <c r="R5290" i="52" l="1"/>
  <c r="S5290" i="52" s="1"/>
  <c r="R5291" i="52"/>
  <c r="S5291" i="52" s="1"/>
  <c r="Q5292" i="52"/>
  <c r="Q5293" i="52" s="1"/>
  <c r="R5292" i="52" l="1"/>
  <c r="S5292" i="52" s="1"/>
  <c r="R5293" i="52"/>
  <c r="S5293" i="52" s="1"/>
  <c r="Q5294" i="52"/>
  <c r="Q5295" i="52" s="1"/>
  <c r="R5295" i="52" l="1"/>
  <c r="S5295" i="52" s="1"/>
  <c r="Q5296" i="52"/>
  <c r="Q5297" i="52" s="1"/>
  <c r="R5294" i="52"/>
  <c r="S5294" i="52" s="1"/>
  <c r="R5296" i="52" l="1"/>
  <c r="S5296" i="52" s="1"/>
  <c r="R5297" i="52"/>
  <c r="S5297" i="52" s="1"/>
  <c r="Q5298" i="52"/>
  <c r="Q5299" i="52" s="1"/>
  <c r="R5298" i="52" l="1"/>
  <c r="S5298" i="52" s="1"/>
  <c r="R5299" i="52"/>
  <c r="S5299" i="52" s="1"/>
  <c r="Q5300" i="52"/>
  <c r="Q5301" i="52" s="1"/>
  <c r="R5301" i="52" l="1"/>
  <c r="S5301" i="52" s="1"/>
  <c r="Q5302" i="52"/>
  <c r="R5300" i="52"/>
  <c r="S5300" i="52" s="1"/>
  <c r="R5302" i="52" l="1"/>
  <c r="S5302" i="52" s="1"/>
  <c r="Q5303" i="52"/>
  <c r="R5303" i="52" l="1"/>
  <c r="S5303" i="52" s="1"/>
  <c r="Q5304" i="52"/>
  <c r="R5304" i="52" s="1"/>
  <c r="S5304" i="52" s="1"/>
  <c r="Q5305" i="52" l="1"/>
  <c r="Q5306" i="52" s="1"/>
  <c r="R5305" i="52" l="1"/>
  <c r="S5305" i="52" s="1"/>
  <c r="R5306" i="52"/>
  <c r="S5306" i="52" s="1"/>
  <c r="Q5307" i="52"/>
  <c r="R5307" i="52" l="1"/>
  <c r="S5307" i="52" s="1"/>
  <c r="Q5308" i="52"/>
  <c r="R5308" i="52" s="1"/>
  <c r="S5308" i="52" s="1"/>
  <c r="Q5309" i="52" l="1"/>
  <c r="Q5310" i="52" l="1"/>
  <c r="Q5311" i="52" s="1"/>
  <c r="R5309" i="52"/>
  <c r="S5309" i="52" s="1"/>
  <c r="R5310" i="52" l="1"/>
  <c r="S5310" i="52" s="1"/>
  <c r="R5311" i="52"/>
  <c r="S5311" i="52" s="1"/>
  <c r="Q5312" i="52"/>
  <c r="Q5313" i="52" l="1"/>
  <c r="Q5314" i="52" s="1"/>
  <c r="R5312" i="52"/>
  <c r="S5312" i="52" s="1"/>
  <c r="R5314" i="52" l="1"/>
  <c r="S5314" i="52" s="1"/>
  <c r="Q5315" i="52"/>
  <c r="R5313" i="52"/>
  <c r="S5313" i="52" s="1"/>
  <c r="R5315" i="52" l="1"/>
  <c r="S5315" i="52" s="1"/>
  <c r="Q5316" i="52"/>
  <c r="Q5317" i="52" s="1"/>
  <c r="R5316" i="52" l="1"/>
  <c r="S5316" i="52" s="1"/>
  <c r="R5317" i="52"/>
  <c r="S5317" i="52" s="1"/>
  <c r="Q5318" i="52"/>
  <c r="R5318" i="52" l="1"/>
  <c r="S5318" i="52" s="1"/>
  <c r="Q5319" i="52"/>
  <c r="R5319" i="52" l="1"/>
  <c r="S5319" i="52" s="1"/>
  <c r="Q5320" i="52"/>
  <c r="Q5321" i="52" l="1"/>
  <c r="Q5322" i="52" s="1"/>
  <c r="R5320" i="52"/>
  <c r="S5320" i="52" s="1"/>
  <c r="R5321" i="52" l="1"/>
  <c r="S5321" i="52" s="1"/>
  <c r="R5322" i="52"/>
  <c r="S5322" i="52" s="1"/>
  <c r="Q5323" i="52"/>
  <c r="R5323" i="52" l="1"/>
  <c r="S5323" i="52" s="1"/>
  <c r="Q5324" i="52"/>
  <c r="R5324" i="52" s="1"/>
  <c r="S5324" i="52" s="1"/>
  <c r="Q5325" i="52" l="1"/>
  <c r="Q5326" i="52" s="1"/>
  <c r="R5325" i="52" l="1"/>
  <c r="S5325" i="52" s="1"/>
  <c r="R5326" i="52"/>
  <c r="S5326" i="52" s="1"/>
  <c r="Q5327" i="52"/>
  <c r="Q5328" i="52" l="1"/>
  <c r="Q5329" i="52" s="1"/>
  <c r="R5327" i="52"/>
  <c r="S5327" i="52" s="1"/>
  <c r="R5329" i="52" l="1"/>
  <c r="S5329" i="52" s="1"/>
  <c r="Q5330" i="52"/>
  <c r="Q5331" i="52" s="1"/>
  <c r="R5328" i="52"/>
  <c r="S5328" i="52" s="1"/>
  <c r="R5330" i="52" l="1"/>
  <c r="S5330" i="52" s="1"/>
  <c r="R5331" i="52"/>
  <c r="S5331" i="52" s="1"/>
  <c r="Q5332" i="52"/>
  <c r="Q5333" i="52" s="1"/>
  <c r="R5332" i="52" l="1"/>
  <c r="S5332" i="52" s="1"/>
  <c r="R5333" i="52"/>
  <c r="S5333" i="52" s="1"/>
  <c r="Q5334" i="52"/>
  <c r="R5334" i="52" s="1"/>
  <c r="S5334" i="52" s="1"/>
  <c r="Q5335" i="52" l="1"/>
  <c r="R5335" i="52" s="1"/>
  <c r="S5335" i="52" s="1"/>
  <c r="Q5336" i="52" l="1"/>
  <c r="Q5337" i="52" s="1"/>
  <c r="R5336" i="52" l="1"/>
  <c r="S5336" i="52" s="1"/>
  <c r="R5337" i="52"/>
  <c r="S5337" i="52" s="1"/>
  <c r="Q5338" i="52"/>
  <c r="R5338" i="52" l="1"/>
  <c r="S5338" i="52" s="1"/>
  <c r="Q5339" i="52"/>
  <c r="R5339" i="52" l="1"/>
  <c r="S5339" i="52" s="1"/>
  <c r="Q5340" i="52"/>
  <c r="Q5341" i="52" s="1"/>
  <c r="R5340" i="52" l="1"/>
  <c r="S5340" i="52" s="1"/>
  <c r="R5341" i="52"/>
  <c r="S5341" i="52" s="1"/>
  <c r="Q5342" i="52"/>
  <c r="Q5343" i="52" l="1"/>
  <c r="R5343" i="52" s="1"/>
  <c r="S5343" i="52" s="1"/>
  <c r="R5342" i="52"/>
  <c r="S5342" i="52" s="1"/>
  <c r="Q5344" i="52" l="1"/>
  <c r="Q5345" i="52" s="1"/>
  <c r="R5344" i="52" l="1"/>
  <c r="S5344" i="52" s="1"/>
  <c r="R5345" i="52"/>
  <c r="S5345" i="52" s="1"/>
  <c r="Q5346" i="52"/>
  <c r="Q5347" i="52" l="1"/>
  <c r="R5346" i="52"/>
  <c r="S5346" i="52" s="1"/>
  <c r="Q5348" i="52" l="1"/>
  <c r="Q5349" i="52" s="1"/>
  <c r="R5347" i="52"/>
  <c r="S5347" i="52" s="1"/>
  <c r="R5348" i="52" l="1"/>
  <c r="S5348" i="52" s="1"/>
  <c r="R5349" i="52"/>
  <c r="S5349" i="52" s="1"/>
  <c r="Q5350" i="52"/>
  <c r="R5350" i="52" s="1"/>
  <c r="S5350" i="52" s="1"/>
  <c r="Q5351" i="52" l="1"/>
  <c r="R5351" i="52" s="1"/>
  <c r="S5351" i="52" s="1"/>
  <c r="Q5352" i="52" l="1"/>
  <c r="Q5353" i="52" s="1"/>
  <c r="R5353" i="52" l="1"/>
  <c r="S5353" i="52" s="1"/>
  <c r="Q5354" i="52"/>
  <c r="Q5355" i="52" s="1"/>
  <c r="R5352" i="52"/>
  <c r="S5352" i="52" s="1"/>
  <c r="R5354" i="52" l="1"/>
  <c r="S5354" i="52" s="1"/>
  <c r="R5355" i="52"/>
  <c r="S5355" i="52" s="1"/>
  <c r="Q5356" i="52"/>
  <c r="R5356" i="52" s="1"/>
  <c r="S5356" i="52" s="1"/>
  <c r="Q5357" i="52" l="1"/>
  <c r="Q5358" i="52" l="1"/>
  <c r="Q5359" i="52" s="1"/>
  <c r="R5357" i="52"/>
  <c r="S5357" i="52" s="1"/>
  <c r="R5359" i="52" l="1"/>
  <c r="S5359" i="52" s="1"/>
  <c r="Q5360" i="52"/>
  <c r="R5360" i="52" s="1"/>
  <c r="S5360" i="52" s="1"/>
  <c r="R5358" i="52"/>
  <c r="S5358" i="52" s="1"/>
  <c r="Q5361" i="52" l="1"/>
  <c r="Q5362" i="52" l="1"/>
  <c r="Q5363" i="52" s="1"/>
  <c r="R5361" i="52"/>
  <c r="S5361" i="52" s="1"/>
  <c r="R5363" i="52" l="1"/>
  <c r="S5363" i="52" s="1"/>
  <c r="Q5364" i="52"/>
  <c r="Q5365" i="52" s="1"/>
  <c r="R5362" i="52"/>
  <c r="S5362" i="52" s="1"/>
  <c r="R5364" i="52" l="1"/>
  <c r="S5364" i="52" s="1"/>
  <c r="R5365" i="52"/>
  <c r="S5365" i="52" s="1"/>
  <c r="Q5366" i="52"/>
  <c r="R5366" i="52" s="1"/>
  <c r="S5366" i="52" s="1"/>
  <c r="Q5367" i="52" l="1"/>
  <c r="R5367" i="52" s="1"/>
  <c r="S5367" i="52" s="1"/>
  <c r="Q5368" i="52" l="1"/>
  <c r="Q5369" i="52" s="1"/>
  <c r="R5368" i="52" l="1"/>
  <c r="S5368" i="52" s="1"/>
  <c r="R5369" i="52"/>
  <c r="S5369" i="52" s="1"/>
  <c r="Q5370" i="52"/>
  <c r="R5370" i="52" s="1"/>
  <c r="S5370" i="52" s="1"/>
  <c r="Q5371" i="52" l="1"/>
  <c r="R5371" i="52" s="1"/>
  <c r="S5371" i="52" s="1"/>
  <c r="Q5372" i="52" l="1"/>
  <c r="Q5373" i="52" s="1"/>
  <c r="R5372" i="52" l="1"/>
  <c r="S5372" i="52" s="1"/>
  <c r="R5373" i="52"/>
  <c r="S5373" i="52" s="1"/>
  <c r="Q5374" i="52"/>
  <c r="R5374" i="52" s="1"/>
  <c r="S5374" i="52" s="1"/>
  <c r="Q5375" i="52" l="1"/>
  <c r="R5375" i="52" s="1"/>
  <c r="S5375" i="52" s="1"/>
  <c r="Q5376" i="52" l="1"/>
  <c r="R5376" i="52" s="1"/>
  <c r="S5376" i="52" s="1"/>
  <c r="Q5377" i="52" l="1"/>
  <c r="R5377" i="52" s="1"/>
  <c r="S5377" i="52" s="1"/>
  <c r="Q5378" i="52" l="1"/>
  <c r="Q5379" i="52" s="1"/>
  <c r="R5379" i="52" l="1"/>
  <c r="S5379" i="52" s="1"/>
  <c r="Q5380" i="52"/>
  <c r="Q5381" i="52" s="1"/>
  <c r="R5378" i="52"/>
  <c r="S5378" i="52" s="1"/>
  <c r="R5380" i="52" l="1"/>
  <c r="S5380" i="52" s="1"/>
  <c r="R5381" i="52"/>
  <c r="S5381" i="52" s="1"/>
  <c r="Q5382" i="52"/>
  <c r="Q5383" i="52" l="1"/>
  <c r="R5383" i="52" s="1"/>
  <c r="S5383" i="52" s="1"/>
  <c r="R5382" i="52"/>
  <c r="S5382" i="52" s="1"/>
  <c r="Q5384" i="52" l="1"/>
  <c r="Q5385" i="52" s="1"/>
  <c r="R5384" i="52" l="1"/>
  <c r="S5384" i="52" s="1"/>
  <c r="R5385" i="52"/>
  <c r="S5385" i="52" s="1"/>
  <c r="Q5386" i="52"/>
  <c r="Q5387" i="52" s="1"/>
  <c r="R5387" i="52" l="1"/>
  <c r="S5387" i="52" s="1"/>
  <c r="Q5388" i="52"/>
  <c r="R5388" i="52" s="1"/>
  <c r="S5388" i="52" s="1"/>
  <c r="R5386" i="52"/>
  <c r="S5386" i="52" s="1"/>
  <c r="Q5389" i="52" l="1"/>
  <c r="R5389" i="52" s="1"/>
  <c r="S5389" i="52" s="1"/>
  <c r="Q5390" i="52" l="1"/>
  <c r="Q5391" i="52" s="1"/>
  <c r="R5390" i="52" l="1"/>
  <c r="S5390" i="52" s="1"/>
  <c r="R5391" i="52"/>
  <c r="S5391" i="52" s="1"/>
  <c r="Q5392" i="52"/>
  <c r="Q5393" i="52" s="1"/>
  <c r="R5392" i="52" l="1"/>
  <c r="S5392" i="52" s="1"/>
  <c r="R5393" i="52"/>
  <c r="S5393" i="52" s="1"/>
  <c r="Q5394" i="52"/>
  <c r="Q5395" i="52" s="1"/>
  <c r="R5394" i="52" l="1"/>
  <c r="S5394" i="52" s="1"/>
  <c r="R5395" i="52"/>
  <c r="S5395" i="52" s="1"/>
  <c r="Q5396" i="52"/>
  <c r="Q5397" i="52" s="1"/>
  <c r="R5396" i="52" l="1"/>
  <c r="S5396" i="52" s="1"/>
  <c r="R5397" i="52"/>
  <c r="S5397" i="52" s="1"/>
  <c r="Q5398" i="52"/>
  <c r="Q5399" i="52" s="1"/>
  <c r="R5398" i="52" l="1"/>
  <c r="S5398" i="52" s="1"/>
  <c r="R5399" i="52"/>
  <c r="S5399" i="52" s="1"/>
  <c r="Q5400" i="52"/>
  <c r="R5400" i="52" s="1"/>
  <c r="S5400" i="52" s="1"/>
  <c r="Q5401" i="52" l="1"/>
  <c r="R5401" i="52" s="1"/>
  <c r="S5401" i="52" s="1"/>
  <c r="Q5402" i="52" l="1"/>
  <c r="R5402" i="52" s="1"/>
  <c r="S5402" i="52" s="1"/>
  <c r="Q5403" i="52" l="1"/>
  <c r="Q5404" i="52" l="1"/>
  <c r="Q5405" i="52" s="1"/>
  <c r="R5403" i="52"/>
  <c r="S5403" i="52" s="1"/>
  <c r="R5404" i="52" l="1"/>
  <c r="S5404" i="52" s="1"/>
  <c r="R5405" i="52"/>
  <c r="S5405" i="52" s="1"/>
  <c r="Q5406" i="52"/>
  <c r="R5406" i="52" s="1"/>
  <c r="S5406" i="52" s="1"/>
  <c r="Q5407" i="52" l="1"/>
  <c r="Q5408" i="52" l="1"/>
  <c r="Q5409" i="52" s="1"/>
  <c r="R5407" i="52"/>
  <c r="S5407" i="52" s="1"/>
  <c r="R5408" i="52" l="1"/>
  <c r="S5408" i="52" s="1"/>
  <c r="R5409" i="52"/>
  <c r="S5409" i="52" s="1"/>
  <c r="Q5410" i="52"/>
  <c r="Q5411" i="52" s="1"/>
  <c r="R5411" i="52" l="1"/>
  <c r="S5411" i="52" s="1"/>
  <c r="Q5412" i="52"/>
  <c r="R5412" i="52" s="1"/>
  <c r="S5412" i="52" s="1"/>
  <c r="R5410" i="52"/>
  <c r="S5410" i="52" s="1"/>
  <c r="Q5413" i="52" l="1"/>
  <c r="Q5414" i="52" l="1"/>
  <c r="Q5415" i="52" s="1"/>
  <c r="R5413" i="52"/>
  <c r="S5413" i="52" s="1"/>
  <c r="R5415" i="52" l="1"/>
  <c r="S5415" i="52" s="1"/>
  <c r="Q5416" i="52"/>
  <c r="Q5417" i="52" s="1"/>
  <c r="R5414" i="52"/>
  <c r="S5414" i="52" s="1"/>
  <c r="R5416" i="52" l="1"/>
  <c r="S5416" i="52" s="1"/>
  <c r="R5417" i="52"/>
  <c r="S5417" i="52" s="1"/>
  <c r="Q5418" i="52"/>
  <c r="Q5419" i="52" s="1"/>
  <c r="R5418" i="52" l="1"/>
  <c r="S5418" i="52" s="1"/>
  <c r="R5419" i="52"/>
  <c r="S5419" i="52" s="1"/>
  <c r="Q5420" i="52"/>
  <c r="Q5421" i="52" l="1"/>
  <c r="R5421" i="52" s="1"/>
  <c r="S5421" i="52" s="1"/>
  <c r="R5420" i="52"/>
  <c r="S5420" i="52" s="1"/>
  <c r="Q5422" i="52" l="1"/>
  <c r="Q5423" i="52" s="1"/>
  <c r="R5423" i="52" l="1"/>
  <c r="S5423" i="52" s="1"/>
  <c r="Q5424" i="52"/>
  <c r="R5424" i="52" s="1"/>
  <c r="S5424" i="52" s="1"/>
  <c r="R5422" i="52"/>
  <c r="S5422" i="52" s="1"/>
  <c r="Q5425" i="52" l="1"/>
  <c r="Q5426" i="52" l="1"/>
  <c r="Q5427" i="52" s="1"/>
  <c r="R5425" i="52"/>
  <c r="S5425" i="52" s="1"/>
  <c r="R5426" i="52" l="1"/>
  <c r="S5426" i="52" s="1"/>
  <c r="R5427" i="52"/>
  <c r="S5427" i="52" s="1"/>
  <c r="Q5428" i="52"/>
  <c r="R5428" i="52" s="1"/>
  <c r="S5428" i="52" s="1"/>
  <c r="Q5429" i="52" l="1"/>
  <c r="R5429" i="52" s="1"/>
  <c r="S5429" i="52" s="1"/>
  <c r="Q5430" i="52" l="1"/>
  <c r="Q5431" i="52" s="1"/>
  <c r="R5430" i="52" l="1"/>
  <c r="S5430" i="52" s="1"/>
  <c r="R5431" i="52"/>
  <c r="S5431" i="52" s="1"/>
  <c r="Q5432" i="52"/>
  <c r="R5432" i="52" s="1"/>
  <c r="S5432" i="52" s="1"/>
  <c r="Q5433" i="52" l="1"/>
  <c r="Q5434" i="52" l="1"/>
  <c r="Q5435" i="52" s="1"/>
  <c r="R5433" i="52"/>
  <c r="S5433" i="52" s="1"/>
  <c r="R5434" i="52" l="1"/>
  <c r="S5434" i="52" s="1"/>
  <c r="R5435" i="52"/>
  <c r="S5435" i="52" s="1"/>
  <c r="Q5436" i="52"/>
  <c r="Q5437" i="52" s="1"/>
  <c r="R5436" i="52" l="1"/>
  <c r="S5436" i="52" s="1"/>
  <c r="R5437" i="52"/>
  <c r="S5437" i="52" s="1"/>
  <c r="Q5438" i="52"/>
  <c r="Q5439" i="52" s="1"/>
  <c r="R5438" i="52" l="1"/>
  <c r="S5438" i="52" s="1"/>
  <c r="R5439" i="52"/>
  <c r="S5439" i="52" s="1"/>
  <c r="Q5440" i="52"/>
  <c r="Q5441" i="52" s="1"/>
  <c r="R5441" i="52" l="1"/>
  <c r="S5441" i="52" s="1"/>
  <c r="Q5442" i="52"/>
  <c r="Q5443" i="52" s="1"/>
  <c r="R5440" i="52"/>
  <c r="S5440" i="52" s="1"/>
  <c r="R5442" i="52" l="1"/>
  <c r="S5442" i="52" s="1"/>
  <c r="R5443" i="52"/>
  <c r="S5443" i="52" s="1"/>
  <c r="Q5444" i="52"/>
  <c r="Q5445" i="52" s="1"/>
  <c r="R5444" i="52" l="1"/>
  <c r="S5444" i="52" s="1"/>
  <c r="R5445" i="52"/>
  <c r="S5445" i="52" s="1"/>
  <c r="Q5446" i="52"/>
  <c r="Q5447" i="52" l="1"/>
  <c r="R5447" i="52" s="1"/>
  <c r="S5447" i="52" s="1"/>
  <c r="R5446" i="52"/>
  <c r="S5446" i="52" s="1"/>
  <c r="Q5448" i="52" l="1"/>
  <c r="Q5449" i="52" s="1"/>
  <c r="R5448" i="52" l="1"/>
  <c r="S5448" i="52" s="1"/>
  <c r="R5449" i="52"/>
  <c r="S5449" i="52" s="1"/>
  <c r="Q5450" i="52"/>
  <c r="Q5451" i="52" s="1"/>
  <c r="R5451" i="52" l="1"/>
  <c r="S5451" i="52" s="1"/>
  <c r="Q5452" i="52"/>
  <c r="Q5453" i="52" s="1"/>
  <c r="R5450" i="52"/>
  <c r="S5450" i="52" s="1"/>
  <c r="R5452" i="52" l="1"/>
  <c r="S5452" i="52" s="1"/>
  <c r="R5453" i="52"/>
  <c r="S5453" i="52" s="1"/>
  <c r="Q5454" i="52"/>
  <c r="Q5455" i="52" l="1"/>
  <c r="R5455" i="52" s="1"/>
  <c r="S5455" i="52" s="1"/>
  <c r="R5454" i="52"/>
  <c r="S5454" i="52" s="1"/>
  <c r="Q5456" i="52" l="1"/>
  <c r="Q5457" i="52" l="1"/>
  <c r="R5457" i="52" s="1"/>
  <c r="S5457" i="52" s="1"/>
  <c r="R5456" i="52"/>
  <c r="S5456" i="52" s="1"/>
  <c r="Q5458" i="52" l="1"/>
  <c r="Q5459" i="52" s="1"/>
  <c r="R5458" i="52" l="1"/>
  <c r="S5458" i="52" s="1"/>
  <c r="R5459" i="52"/>
  <c r="S5459" i="52" s="1"/>
  <c r="Q5460" i="52"/>
  <c r="R5460" i="52" s="1"/>
  <c r="S5460" i="52" s="1"/>
  <c r="Q5461" i="52" l="1"/>
  <c r="R5461" i="52" s="1"/>
  <c r="S5461" i="52" s="1"/>
  <c r="Q5462" i="52" l="1"/>
  <c r="Q5463" i="52" s="1"/>
  <c r="R5462" i="52" l="1"/>
  <c r="S5462" i="52" s="1"/>
  <c r="R5463" i="52"/>
  <c r="S5463" i="52" s="1"/>
  <c r="Q5464" i="52"/>
  <c r="Q5465" i="52" s="1"/>
  <c r="R5464" i="52" l="1"/>
  <c r="S5464" i="52" s="1"/>
  <c r="R5465" i="52"/>
  <c r="S5465" i="52" s="1"/>
  <c r="Q5466" i="52"/>
  <c r="Q5467" i="52" l="1"/>
  <c r="R5467" i="52" s="1"/>
  <c r="S5467" i="52" s="1"/>
  <c r="R5466" i="52"/>
  <c r="S5466" i="52" s="1"/>
  <c r="Q5468" i="52" l="1"/>
  <c r="Q5469" i="52" s="1"/>
  <c r="R5468" i="52" l="1"/>
  <c r="S5468" i="52" s="1"/>
  <c r="R5469" i="52"/>
  <c r="S5469" i="52" s="1"/>
  <c r="Q5470" i="52"/>
  <c r="Q5471" i="52" s="1"/>
  <c r="R5470" i="52" l="1"/>
  <c r="S5470" i="52" s="1"/>
  <c r="R5471" i="52"/>
  <c r="S5471" i="52" s="1"/>
  <c r="Q5472" i="52"/>
  <c r="Q5473" i="52" s="1"/>
  <c r="R5472" i="52" l="1"/>
  <c r="S5472" i="52" s="1"/>
  <c r="R5473" i="52"/>
  <c r="S5473" i="52" s="1"/>
  <c r="Q5474" i="52"/>
  <c r="Q5475" i="52" s="1"/>
  <c r="R5475" i="52" l="1"/>
  <c r="S5475" i="52" s="1"/>
  <c r="Q5476" i="52"/>
  <c r="Q5477" i="52" s="1"/>
  <c r="R5474" i="52"/>
  <c r="S5474" i="52" s="1"/>
  <c r="R5476" i="52" l="1"/>
  <c r="S5476" i="52" s="1"/>
  <c r="R5477" i="52"/>
  <c r="S5477" i="52" s="1"/>
  <c r="Q5478" i="52"/>
  <c r="R5478" i="52" s="1"/>
  <c r="S5478" i="52" s="1"/>
  <c r="Q5479" i="52" l="1"/>
  <c r="R5479" i="52" s="1"/>
  <c r="S5479" i="52" s="1"/>
  <c r="Q5480" i="52" l="1"/>
  <c r="Q5481" i="52" s="1"/>
  <c r="R5480" i="52" l="1"/>
  <c r="S5480" i="52" s="1"/>
  <c r="R5481" i="52"/>
  <c r="S5481" i="52" s="1"/>
  <c r="Q5482" i="52"/>
  <c r="R5482" i="52" s="1"/>
  <c r="S5482" i="52" s="1"/>
  <c r="Q5483" i="52" l="1"/>
  <c r="R5483" i="52" s="1"/>
  <c r="S5483" i="52" s="1"/>
  <c r="Q5484" i="52" l="1"/>
  <c r="Q5485" i="52" s="1"/>
  <c r="R5484" i="52" l="1"/>
  <c r="S5484" i="52" s="1"/>
  <c r="R5485" i="52"/>
  <c r="S5485" i="52" s="1"/>
  <c r="Q5486" i="52"/>
  <c r="R5486" i="52" s="1"/>
  <c r="S5486" i="52" s="1"/>
  <c r="Q5487" i="52" l="1"/>
  <c r="R5487" i="52" s="1"/>
  <c r="S5487" i="52" s="1"/>
  <c r="Q5488" i="52" l="1"/>
  <c r="R5488" i="52" s="1"/>
  <c r="S5488" i="52" s="1"/>
  <c r="Q5489" i="52" l="1"/>
  <c r="Q5490" i="52" l="1"/>
  <c r="Q5491" i="52" s="1"/>
  <c r="R5489" i="52"/>
  <c r="S5489" i="52" s="1"/>
  <c r="R5490" i="52" l="1"/>
  <c r="S5490" i="52" s="1"/>
  <c r="R5491" i="52"/>
  <c r="S5491" i="52" s="1"/>
  <c r="Q5492" i="52"/>
  <c r="Q5493" i="52" s="1"/>
  <c r="R5493" i="52" l="1"/>
  <c r="S5493" i="52" s="1"/>
  <c r="Q5494" i="52"/>
  <c r="R5494" i="52" s="1"/>
  <c r="S5494" i="52" s="1"/>
  <c r="R5492" i="52"/>
  <c r="S5492" i="52" s="1"/>
  <c r="Q5495" i="52" l="1"/>
  <c r="R5495" i="52" s="1"/>
  <c r="S5495" i="52" s="1"/>
  <c r="Q5496" i="52" l="1"/>
  <c r="Q5497" i="52" s="1"/>
  <c r="R5496" i="52" l="1"/>
  <c r="S5496" i="52" s="1"/>
  <c r="R5497" i="52"/>
  <c r="S5497" i="52" s="1"/>
  <c r="Q5498" i="52"/>
  <c r="Q5499" i="52" l="1"/>
  <c r="R5498" i="52"/>
  <c r="S5498" i="52" s="1"/>
  <c r="Q5500" i="52" l="1"/>
  <c r="Q5501" i="52" s="1"/>
  <c r="R5499" i="52"/>
  <c r="S5499" i="52" s="1"/>
  <c r="R5500" i="52" l="1"/>
  <c r="S5500" i="52" s="1"/>
  <c r="R5501" i="52"/>
  <c r="S5501" i="52" s="1"/>
  <c r="Q5502" i="52"/>
  <c r="Q5503" i="52" l="1"/>
  <c r="R5503" i="52" s="1"/>
  <c r="S5503" i="52" s="1"/>
  <c r="R5502" i="52"/>
  <c r="S5502" i="52" s="1"/>
  <c r="Q5504" i="52" l="1"/>
  <c r="Q5505" i="52" s="1"/>
  <c r="R5505" i="52" l="1"/>
  <c r="S5505" i="52" s="1"/>
  <c r="Q5506" i="52"/>
  <c r="R5506" i="52" s="1"/>
  <c r="S5506" i="52" s="1"/>
  <c r="R5504" i="52"/>
  <c r="S5504" i="52" s="1"/>
  <c r="Q5507" i="52" l="1"/>
  <c r="R5507" i="52" s="1"/>
  <c r="S5507" i="52" s="1"/>
  <c r="Q5508" i="52" l="1"/>
  <c r="Q5509" i="52" s="1"/>
  <c r="R5508" i="52" l="1"/>
  <c r="S5508" i="52" s="1"/>
  <c r="R5509" i="52"/>
  <c r="S5509" i="52" s="1"/>
  <c r="Q5510" i="52"/>
  <c r="R5510" i="52" s="1"/>
  <c r="S5510" i="52" s="1"/>
  <c r="Q5511" i="52" l="1"/>
  <c r="R5511" i="52" s="1"/>
  <c r="S5511" i="52" s="1"/>
  <c r="Q5512" i="52" l="1"/>
  <c r="R5512" i="52" s="1"/>
  <c r="S5512" i="52" s="1"/>
  <c r="Q5513" i="52" l="1"/>
  <c r="Q5514" i="52" s="1"/>
  <c r="R5513" i="52" l="1"/>
  <c r="S5513" i="52" s="1"/>
  <c r="R5514" i="52"/>
  <c r="S5514" i="52" s="1"/>
  <c r="Q5515" i="52"/>
  <c r="R5515" i="52" l="1"/>
  <c r="S5515" i="52" s="1"/>
  <c r="Q5516" i="52"/>
  <c r="Q5517" i="52" s="1"/>
  <c r="R5516" i="52" l="1"/>
  <c r="S5516" i="52" s="1"/>
  <c r="R5517" i="52"/>
  <c r="S5517" i="52" s="1"/>
  <c r="Q5518" i="52"/>
  <c r="Q5519" i="52" l="1"/>
  <c r="R5519" i="52" s="1"/>
  <c r="S5519" i="52" s="1"/>
  <c r="R5518" i="52"/>
  <c r="S5518" i="52" s="1"/>
  <c r="Q5520" i="52" l="1"/>
  <c r="Q5521" i="52" s="1"/>
  <c r="R5520" i="52" l="1"/>
  <c r="S5520" i="52" s="1"/>
  <c r="R5521" i="52"/>
  <c r="S5521" i="52" s="1"/>
  <c r="Q5522" i="52"/>
  <c r="Q5523" i="52" s="1"/>
  <c r="R5522" i="52" l="1"/>
  <c r="S5522" i="52" s="1"/>
  <c r="R5523" i="52"/>
  <c r="S5523" i="52" s="1"/>
  <c r="Q5524" i="52"/>
  <c r="Q5525" i="52" s="1"/>
  <c r="R5524" i="52" l="1"/>
  <c r="S5524" i="52" s="1"/>
  <c r="R5525" i="52"/>
  <c r="S5525" i="52" s="1"/>
  <c r="Q5526" i="52"/>
  <c r="Q5527" i="52" s="1"/>
  <c r="R5526" i="52" l="1"/>
  <c r="S5526" i="52" s="1"/>
  <c r="R5527" i="52"/>
  <c r="S5527" i="52" s="1"/>
  <c r="Q5528" i="52"/>
  <c r="Q5529" i="52" s="1"/>
  <c r="R5528" i="52" l="1"/>
  <c r="S5528" i="52" s="1"/>
  <c r="R5529" i="52"/>
  <c r="S5529" i="52" s="1"/>
  <c r="Q5530" i="52"/>
  <c r="Q5531" i="52" s="1"/>
  <c r="R5531" i="52" l="1"/>
  <c r="S5531" i="52" s="1"/>
  <c r="Q5532" i="52"/>
  <c r="Q5533" i="52" s="1"/>
  <c r="R5530" i="52"/>
  <c r="S5530" i="52" s="1"/>
  <c r="R5532" i="52" l="1"/>
  <c r="S5532" i="52" s="1"/>
  <c r="R5533" i="52"/>
  <c r="S5533" i="52" s="1"/>
  <c r="Q5534" i="52"/>
  <c r="R5534" i="52" s="1"/>
  <c r="S5534" i="52" s="1"/>
  <c r="Q5535" i="52" l="1"/>
  <c r="Q5536" i="52" l="1"/>
  <c r="Q5537" i="52" s="1"/>
  <c r="R5535" i="52"/>
  <c r="S5535" i="52" s="1"/>
  <c r="R5536" i="52" l="1"/>
  <c r="S5536" i="52" s="1"/>
  <c r="R5537" i="52"/>
  <c r="S5537" i="52" s="1"/>
  <c r="Q5538" i="52"/>
  <c r="R5538" i="52" s="1"/>
  <c r="S5538" i="52" s="1"/>
  <c r="Q5539" i="52" l="1"/>
  <c r="Q5540" i="52" l="1"/>
  <c r="R5540" i="52" s="1"/>
  <c r="S5540" i="52" s="1"/>
  <c r="R5539" i="52"/>
  <c r="S5539" i="52" s="1"/>
  <c r="Q5541" i="52" l="1"/>
  <c r="Q5542" i="52" l="1"/>
  <c r="R5542" i="52" s="1"/>
  <c r="S5542" i="52" s="1"/>
  <c r="R5541" i="52"/>
  <c r="S5541" i="52" s="1"/>
  <c r="Q5543" i="52" l="1"/>
  <c r="R5543" i="52" s="1"/>
  <c r="S5543" i="52" s="1"/>
  <c r="Q5544" i="52" l="1"/>
  <c r="Q5545" i="52" s="1"/>
  <c r="R5544" i="52" l="1"/>
  <c r="S5544" i="52" s="1"/>
  <c r="R5545" i="52"/>
  <c r="S5545" i="52" s="1"/>
  <c r="Q5546" i="52"/>
  <c r="Q5547" i="52" l="1"/>
  <c r="R5546" i="52"/>
  <c r="S5546" i="52" s="1"/>
  <c r="Q5548" i="52" l="1"/>
  <c r="Q5549" i="52" s="1"/>
  <c r="R5547" i="52"/>
  <c r="S5547" i="52" s="1"/>
  <c r="R5548" i="52" l="1"/>
  <c r="S5548" i="52" s="1"/>
  <c r="R5549" i="52"/>
  <c r="S5549" i="52" s="1"/>
  <c r="Q5550" i="52"/>
  <c r="R5550" i="52" s="1"/>
  <c r="S5550" i="52" s="1"/>
  <c r="Q5551" i="52" l="1"/>
  <c r="R5551" i="52" s="1"/>
  <c r="S5551" i="52" s="1"/>
  <c r="Q5552" i="52" l="1"/>
  <c r="Q5553" i="52" s="1"/>
  <c r="R5552" i="52" l="1"/>
  <c r="S5552" i="52" s="1"/>
  <c r="R5553" i="52"/>
  <c r="S5553" i="52" s="1"/>
  <c r="Q5554" i="52"/>
  <c r="Q5555" i="52" s="1"/>
  <c r="R5554" i="52" l="1"/>
  <c r="S5554" i="52" s="1"/>
  <c r="R5555" i="52"/>
  <c r="S5555" i="52" s="1"/>
  <c r="Q5556" i="52"/>
  <c r="Q5557" i="52" s="1"/>
  <c r="R5556" i="52" l="1"/>
  <c r="S5556" i="52" s="1"/>
  <c r="R5557" i="52"/>
  <c r="S5557" i="52" s="1"/>
  <c r="Q5558" i="52"/>
  <c r="R5558" i="52" s="1"/>
  <c r="S5558" i="52" s="1"/>
  <c r="Q5559" i="52" l="1"/>
  <c r="R5559" i="52" s="1"/>
  <c r="S5559" i="52" s="1"/>
  <c r="Q5560" i="52" l="1"/>
  <c r="Q5561" i="52" s="1"/>
  <c r="R5560" i="52" l="1"/>
  <c r="S5560" i="52" s="1"/>
  <c r="R5561" i="52"/>
  <c r="S5561" i="52" s="1"/>
  <c r="Q5562" i="52"/>
  <c r="Q5563" i="52" l="1"/>
  <c r="R5563" i="52" s="1"/>
  <c r="S5563" i="52" s="1"/>
  <c r="R5562" i="52"/>
  <c r="S5562" i="52" s="1"/>
  <c r="Q5564" i="52" l="1"/>
  <c r="R5564" i="52" s="1"/>
  <c r="S5564" i="52" s="1"/>
  <c r="Q5565" i="52" l="1"/>
  <c r="R5565" i="52" s="1"/>
  <c r="S5565" i="52" s="1"/>
  <c r="Q5566" i="52" l="1"/>
  <c r="R5566" i="52" s="1"/>
  <c r="S5566" i="52" s="1"/>
  <c r="Q5567" i="52" l="1"/>
  <c r="R5567" i="52" s="1"/>
  <c r="S5567" i="52" s="1"/>
  <c r="Q5568" i="52" l="1"/>
  <c r="R5568" i="52" s="1"/>
  <c r="S5568" i="52" s="1"/>
  <c r="Q5569" i="52" l="1"/>
  <c r="Q5570" i="52" l="1"/>
  <c r="R5570" i="52" s="1"/>
  <c r="S5570" i="52" s="1"/>
  <c r="R5569" i="52"/>
  <c r="S5569" i="52" s="1"/>
  <c r="Q5571" i="52" l="1"/>
  <c r="Q5572" i="52" l="1"/>
  <c r="Q5573" i="52" s="1"/>
  <c r="R5571" i="52"/>
  <c r="S5571" i="52" s="1"/>
  <c r="R5572" i="52" l="1"/>
  <c r="S5572" i="52" s="1"/>
  <c r="R5573" i="52"/>
  <c r="S5573" i="52" s="1"/>
  <c r="Q5574" i="52"/>
  <c r="Q5575" i="52" s="1"/>
  <c r="R5574" i="52" l="1"/>
  <c r="S5574" i="52" s="1"/>
  <c r="R5575" i="52"/>
  <c r="S5575" i="52" s="1"/>
  <c r="Q5576" i="52"/>
  <c r="Q5577" i="52" l="1"/>
  <c r="R5577" i="52" s="1"/>
  <c r="S5577" i="52" s="1"/>
  <c r="R5576" i="52"/>
  <c r="S5576" i="52" s="1"/>
  <c r="Q5578" i="52" l="1"/>
  <c r="Q5579" i="52" s="1"/>
  <c r="R5578" i="52" l="1"/>
  <c r="S5578" i="52" s="1"/>
  <c r="R5579" i="52"/>
  <c r="S5579" i="52" s="1"/>
  <c r="Q5580" i="52"/>
  <c r="Q5581" i="52" s="1"/>
  <c r="R5580" i="52" l="1"/>
  <c r="S5580" i="52" s="1"/>
  <c r="R5581" i="52"/>
  <c r="S5581" i="52" s="1"/>
  <c r="Q5582" i="52"/>
  <c r="Q5583" i="52" l="1"/>
  <c r="R5583" i="52" s="1"/>
  <c r="S5583" i="52" s="1"/>
  <c r="R5582" i="52"/>
  <c r="S5582" i="52" s="1"/>
  <c r="Q5584" i="52" l="1"/>
  <c r="Q5585" i="52" s="1"/>
  <c r="R5584" i="52" l="1"/>
  <c r="S5584" i="52" s="1"/>
  <c r="R5585" i="52"/>
  <c r="S5585" i="52" s="1"/>
  <c r="Q5586" i="52"/>
  <c r="R5586" i="52" s="1"/>
  <c r="S5586" i="52" s="1"/>
  <c r="Q5587" i="52" l="1"/>
  <c r="R5587" i="52" s="1"/>
  <c r="S5587" i="52" s="1"/>
  <c r="Q5588" i="52" l="1"/>
  <c r="Q5589" i="52" s="1"/>
  <c r="R5589" i="52" l="1"/>
  <c r="S5589" i="52" s="1"/>
  <c r="Q5590" i="52"/>
  <c r="R5590" i="52" s="1"/>
  <c r="S5590" i="52" s="1"/>
  <c r="R5588" i="52"/>
  <c r="S5588" i="52" s="1"/>
  <c r="Q5591" i="52" l="1"/>
  <c r="Q5592" i="52" l="1"/>
  <c r="Q5593" i="52" s="1"/>
  <c r="R5591" i="52"/>
  <c r="S5591" i="52" s="1"/>
  <c r="R5592" i="52" l="1"/>
  <c r="S5592" i="52" s="1"/>
  <c r="R5593" i="52"/>
  <c r="S5593" i="52" s="1"/>
  <c r="Q5594" i="52"/>
  <c r="R5594" i="52" s="1"/>
  <c r="S5594" i="52" s="1"/>
  <c r="Q5595" i="52" l="1"/>
  <c r="Q5596" i="52" l="1"/>
  <c r="Q5597" i="52" s="1"/>
  <c r="R5595" i="52"/>
  <c r="S5595" i="52" s="1"/>
  <c r="R5597" i="52" l="1"/>
  <c r="S5597" i="52" s="1"/>
  <c r="Q5598" i="52"/>
  <c r="R5598" i="52" s="1"/>
  <c r="S5598" i="52" s="1"/>
  <c r="R5596" i="52"/>
  <c r="S5596" i="52" s="1"/>
  <c r="Q5599" i="52" l="1"/>
  <c r="Q5600" i="52" l="1"/>
  <c r="Q5601" i="52" s="1"/>
  <c r="R5599" i="52"/>
  <c r="S5599" i="52" s="1"/>
  <c r="R5601" i="52" l="1"/>
  <c r="S5601" i="52" s="1"/>
  <c r="Q5602" i="52"/>
  <c r="Q5603" i="52" s="1"/>
  <c r="R5600" i="52"/>
  <c r="S5600" i="52" s="1"/>
  <c r="R5602" i="52" l="1"/>
  <c r="S5602" i="52" s="1"/>
  <c r="R5603" i="52"/>
  <c r="S5603" i="52" s="1"/>
  <c r="Q5604" i="52"/>
  <c r="Q5605" i="52" s="1"/>
  <c r="R5604" i="52" l="1"/>
  <c r="S5604" i="52" s="1"/>
  <c r="R5605" i="52"/>
  <c r="S5605" i="52" s="1"/>
  <c r="Q5606" i="52"/>
  <c r="R5606" i="52" l="1"/>
  <c r="S5606" i="52" s="1"/>
  <c r="Q5607" i="52"/>
  <c r="R5607" i="52" l="1"/>
  <c r="S5607" i="52" s="1"/>
  <c r="Q5608" i="52"/>
  <c r="Q5609" i="52" s="1"/>
  <c r="R5609" i="52" l="1"/>
  <c r="S5609" i="52" s="1"/>
  <c r="Q5610" i="52"/>
  <c r="Q5611" i="52" s="1"/>
  <c r="R5608" i="52"/>
  <c r="S5608" i="52" s="1"/>
  <c r="R5610" i="52" l="1"/>
  <c r="S5610" i="52" s="1"/>
  <c r="R5611" i="52"/>
  <c r="S5611" i="52" s="1"/>
  <c r="Q5612" i="52"/>
  <c r="Q5613" i="52" s="1"/>
  <c r="R5612" i="52" l="1"/>
  <c r="S5612" i="52" s="1"/>
  <c r="R5613" i="52"/>
  <c r="S5613" i="52" s="1"/>
  <c r="Q5614" i="52"/>
  <c r="Q5615" i="52" s="1"/>
  <c r="R5615" i="52" l="1"/>
  <c r="S5615" i="52" s="1"/>
  <c r="Q5616" i="52"/>
  <c r="Q5617" i="52" s="1"/>
  <c r="R5614" i="52"/>
  <c r="S5614" i="52" s="1"/>
  <c r="R5617" i="52" l="1"/>
  <c r="S5617" i="52" s="1"/>
  <c r="Q5618" i="52"/>
  <c r="R5618" i="52" s="1"/>
  <c r="S5618" i="52" s="1"/>
  <c r="R5616" i="52"/>
  <c r="S5616" i="52" s="1"/>
  <c r="Q5619" i="52" l="1"/>
  <c r="R5619" i="52" s="1"/>
  <c r="S5619" i="52" s="1"/>
  <c r="Q5620" i="52" l="1"/>
  <c r="Q5621" i="52" s="1"/>
  <c r="R5620" i="52" l="1"/>
  <c r="S5620" i="52" s="1"/>
  <c r="R5621" i="52"/>
  <c r="S5621" i="52" s="1"/>
  <c r="Q5622" i="52"/>
  <c r="Q5623" i="52" s="1"/>
  <c r="R5622" i="52" l="1"/>
  <c r="S5622" i="52" s="1"/>
  <c r="R5623" i="52"/>
  <c r="S5623" i="52" s="1"/>
  <c r="Q5624" i="52"/>
  <c r="Q5625" i="52" s="1"/>
  <c r="R5625" i="52" l="1"/>
  <c r="S5625" i="52" s="1"/>
  <c r="Q5626" i="52"/>
  <c r="Q5627" i="52" s="1"/>
  <c r="R5624" i="52"/>
  <c r="S5624" i="52" s="1"/>
  <c r="R5626" i="52" l="1"/>
  <c r="S5626" i="52" s="1"/>
  <c r="R5627" i="52"/>
  <c r="S5627" i="52" s="1"/>
  <c r="Q5628" i="52"/>
  <c r="Q5629" i="52" s="1"/>
  <c r="R5629" i="52" l="1"/>
  <c r="S5629" i="52" s="1"/>
  <c r="Q5630" i="52"/>
  <c r="R5630" i="52" s="1"/>
  <c r="S5630" i="52" s="1"/>
  <c r="R5628" i="52"/>
  <c r="S5628" i="52" s="1"/>
  <c r="Q5631" i="52" l="1"/>
  <c r="R5631" i="52" s="1"/>
  <c r="S5631" i="52" s="1"/>
  <c r="Q5632" i="52" l="1"/>
  <c r="Q5633" i="52" s="1"/>
  <c r="R5632" i="52" l="1"/>
  <c r="S5632" i="52" s="1"/>
  <c r="R5633" i="52"/>
  <c r="S5633" i="52" s="1"/>
  <c r="Q5634" i="52"/>
  <c r="Q5635" i="52" s="1"/>
  <c r="R5635" i="52" l="1"/>
  <c r="S5635" i="52" s="1"/>
  <c r="Q5636" i="52"/>
  <c r="Q5637" i="52" s="1"/>
  <c r="R5634" i="52"/>
  <c r="S5634" i="52" s="1"/>
  <c r="R5636" i="52" l="1"/>
  <c r="S5636" i="52" s="1"/>
  <c r="R5637" i="52"/>
  <c r="S5637" i="52" s="1"/>
  <c r="Q5638" i="52"/>
  <c r="Q5639" i="52" s="1"/>
  <c r="R5638" i="52" l="1"/>
  <c r="S5638" i="52" s="1"/>
  <c r="R5639" i="52"/>
  <c r="S5639" i="52" s="1"/>
  <c r="Q5640" i="52"/>
  <c r="R5640" i="52" s="1"/>
  <c r="S5640" i="52" s="1"/>
  <c r="Q5641" i="52" l="1"/>
  <c r="R5641" i="52" s="1"/>
  <c r="S5641" i="52" s="1"/>
  <c r="Q5642" i="52" l="1"/>
  <c r="R5642" i="52" s="1"/>
  <c r="S5642" i="52" s="1"/>
  <c r="Q5643" i="52" l="1"/>
  <c r="R5643" i="52" s="1"/>
  <c r="S5643" i="52" s="1"/>
  <c r="Q5644" i="52" l="1"/>
  <c r="Q5645" i="52" s="1"/>
  <c r="R5644" i="52" l="1"/>
  <c r="S5644" i="52" s="1"/>
  <c r="R5645" i="52"/>
  <c r="S5645" i="52" s="1"/>
  <c r="Q5646" i="52"/>
  <c r="R5646" i="52" s="1"/>
  <c r="S5646" i="52" s="1"/>
  <c r="Q5647" i="52" l="1"/>
  <c r="R5647" i="52" s="1"/>
  <c r="S5647" i="52" s="1"/>
  <c r="Q5648" i="52" l="1"/>
  <c r="R5648" i="52" s="1"/>
  <c r="S5648" i="52" s="1"/>
  <c r="Q5649" i="52" l="1"/>
  <c r="Q5650" i="52" l="1"/>
  <c r="Q5651" i="52" s="1"/>
  <c r="R5649" i="52"/>
  <c r="S5649" i="52" s="1"/>
  <c r="R5650" i="52" l="1"/>
  <c r="S5650" i="52" s="1"/>
  <c r="R5651" i="52"/>
  <c r="S5651" i="52" s="1"/>
  <c r="Q5652" i="52"/>
  <c r="Q5653" i="52" s="1"/>
  <c r="R5652" i="52" l="1"/>
  <c r="S5652" i="52" s="1"/>
  <c r="R5653" i="52"/>
  <c r="S5653" i="52" s="1"/>
  <c r="Q5654" i="52"/>
  <c r="Q5655" i="52" s="1"/>
  <c r="R5654" i="52" l="1"/>
  <c r="S5654" i="52" s="1"/>
  <c r="R5655" i="52"/>
  <c r="S5655" i="52" s="1"/>
  <c r="Q5656" i="52"/>
  <c r="Q5657" i="52" s="1"/>
  <c r="R5656" i="52" l="1"/>
  <c r="S5656" i="52" s="1"/>
  <c r="R5657" i="52"/>
  <c r="S5657" i="52" s="1"/>
  <c r="Q5658" i="52"/>
  <c r="Q5659" i="52" s="1"/>
  <c r="R5658" i="52" l="1"/>
  <c r="S5658" i="52" s="1"/>
  <c r="R5659" i="52"/>
  <c r="S5659" i="52" s="1"/>
  <c r="Q5660" i="52"/>
  <c r="Q5661" i="52" s="1"/>
  <c r="R5660" i="52" l="1"/>
  <c r="S5660" i="52" s="1"/>
  <c r="R5661" i="52"/>
  <c r="S5661" i="52" s="1"/>
  <c r="Q5662" i="52"/>
  <c r="Q5663" i="52" s="1"/>
  <c r="R5662" i="52" l="1"/>
  <c r="S5662" i="52" s="1"/>
  <c r="R5663" i="52"/>
  <c r="S5663" i="52" s="1"/>
  <c r="Q5664" i="52"/>
  <c r="Q5665" i="52" s="1"/>
  <c r="R5664" i="52" l="1"/>
  <c r="S5664" i="52" s="1"/>
  <c r="R5665" i="52"/>
  <c r="S5665" i="52" s="1"/>
  <c r="Q5666" i="52"/>
  <c r="R5666" i="52" s="1"/>
  <c r="S5666" i="52" s="1"/>
  <c r="Q5667" i="52" l="1"/>
  <c r="R5667" i="52" s="1"/>
  <c r="S5667" i="52" s="1"/>
  <c r="Q5668" i="52" l="1"/>
  <c r="Q5669" i="52" s="1"/>
  <c r="R5668" i="52" l="1"/>
  <c r="S5668" i="52" s="1"/>
  <c r="R5669" i="52"/>
  <c r="S5669" i="52" s="1"/>
  <c r="Q5670" i="52"/>
  <c r="Q5671" i="52" s="1"/>
  <c r="R5671" i="52" l="1"/>
  <c r="S5671" i="52" s="1"/>
  <c r="Q5672" i="52"/>
  <c r="R5672" i="52" s="1"/>
  <c r="S5672" i="52" s="1"/>
  <c r="R5670" i="52"/>
  <c r="S5670" i="52" s="1"/>
  <c r="Q5673" i="52" l="1"/>
  <c r="R5673" i="52" s="1"/>
  <c r="S5673" i="52" s="1"/>
  <c r="Q5674" i="52" l="1"/>
  <c r="R5674" i="52" s="1"/>
  <c r="S5674" i="52" s="1"/>
  <c r="Q5675" i="52" l="1"/>
  <c r="R5675" i="52" s="1"/>
  <c r="S5675" i="52" s="1"/>
  <c r="Q5676" i="52" l="1"/>
  <c r="Q5677" i="52" s="1"/>
  <c r="R5676" i="52" l="1"/>
  <c r="S5676" i="52" s="1"/>
  <c r="R5677" i="52"/>
  <c r="S5677" i="52" s="1"/>
  <c r="Q5678" i="52"/>
  <c r="Q5679" i="52" s="1"/>
  <c r="R5678" i="52" l="1"/>
  <c r="S5678" i="52" s="1"/>
  <c r="R5679" i="52"/>
  <c r="S5679" i="52" s="1"/>
  <c r="Q5680" i="52"/>
  <c r="Q5681" i="52" s="1"/>
  <c r="R5680" i="52" l="1"/>
  <c r="S5680" i="52" s="1"/>
  <c r="R5681" i="52"/>
  <c r="S5681" i="52" s="1"/>
  <c r="Q5682" i="52"/>
  <c r="Q5683" i="52" s="1"/>
  <c r="R5682" i="52" l="1"/>
  <c r="S5682" i="52" s="1"/>
  <c r="R5683" i="52"/>
  <c r="S5683" i="52" s="1"/>
  <c r="Q5684" i="52"/>
  <c r="Q5685" i="52" s="1"/>
  <c r="R5684" i="52" l="1"/>
  <c r="S5684" i="52" s="1"/>
  <c r="R5685" i="52"/>
  <c r="S5685" i="52" s="1"/>
  <c r="Q5686" i="52"/>
  <c r="R5686" i="52" s="1"/>
  <c r="S5686" i="52" s="1"/>
  <c r="Q5687" i="52" l="1"/>
  <c r="R5687" i="52" s="1"/>
  <c r="S5687" i="52" s="1"/>
  <c r="Q5688" i="52" l="1"/>
  <c r="Q5689" i="52" s="1"/>
  <c r="R5688" i="52" l="1"/>
  <c r="S5688" i="52" s="1"/>
  <c r="R5689" i="52"/>
  <c r="S5689" i="52" s="1"/>
  <c r="Q5690" i="52"/>
  <c r="R5690" i="52" s="1"/>
  <c r="S5690" i="52" s="1"/>
  <c r="Q5691" i="52" l="1"/>
  <c r="R5691" i="52" s="1"/>
  <c r="S5691" i="52" s="1"/>
  <c r="Q5692" i="52" l="1"/>
  <c r="Q5693" i="52" s="1"/>
  <c r="R5693" i="52" l="1"/>
  <c r="S5693" i="52" s="1"/>
  <c r="Q5694" i="52"/>
  <c r="Q5695" i="52" s="1"/>
  <c r="R5692" i="52"/>
  <c r="S5692" i="52" s="1"/>
  <c r="R5694" i="52" l="1"/>
  <c r="S5694" i="52" s="1"/>
  <c r="R5695" i="52"/>
  <c r="S5695" i="52" s="1"/>
  <c r="Q5696" i="52"/>
  <c r="R5696" i="52" s="1"/>
  <c r="S5696" i="52" s="1"/>
  <c r="Q5697" i="52" l="1"/>
  <c r="R5697" i="52" s="1"/>
  <c r="S5697" i="52" s="1"/>
  <c r="Q5698" i="52" l="1"/>
  <c r="Q5699" i="52" l="1"/>
  <c r="R5699" i="52" s="1"/>
  <c r="S5699" i="52" s="1"/>
  <c r="R5698" i="52"/>
  <c r="S5698" i="52" s="1"/>
  <c r="Q5700" i="52" l="1"/>
  <c r="R5700" i="52" s="1"/>
  <c r="S5700" i="52" s="1"/>
  <c r="Q5701" i="52" l="1"/>
  <c r="R5701" i="52" s="1"/>
  <c r="S5701" i="52" s="1"/>
  <c r="Q5702" i="52" l="1"/>
  <c r="Q5703" i="52" l="1"/>
  <c r="R5703" i="52" s="1"/>
  <c r="S5703" i="52" s="1"/>
  <c r="R5702" i="52"/>
  <c r="S5702" i="52" s="1"/>
  <c r="Q5704" i="52" l="1"/>
  <c r="Q5705" i="52" s="1"/>
  <c r="R5705" i="52" l="1"/>
  <c r="S5705" i="52" s="1"/>
  <c r="Q5706" i="52"/>
  <c r="Q5707" i="52" s="1"/>
  <c r="R5704" i="52"/>
  <c r="S5704" i="52" s="1"/>
  <c r="R5706" i="52" l="1"/>
  <c r="S5706" i="52" s="1"/>
  <c r="R5707" i="52"/>
  <c r="S5707" i="52" s="1"/>
  <c r="Q5708" i="52"/>
  <c r="Q5709" i="52" s="1"/>
  <c r="R5708" i="52" l="1"/>
  <c r="S5708" i="52" s="1"/>
  <c r="R5709" i="52"/>
  <c r="S5709" i="52" s="1"/>
  <c r="Q5710" i="52"/>
  <c r="Q5711" i="52" s="1"/>
  <c r="R5711" i="52" l="1"/>
  <c r="S5711" i="52" s="1"/>
  <c r="Q5712" i="52"/>
  <c r="Q5713" i="52" s="1"/>
  <c r="R5710" i="52"/>
  <c r="S5710" i="52" s="1"/>
  <c r="R5712" i="52" l="1"/>
  <c r="S5712" i="52" s="1"/>
  <c r="R5713" i="52"/>
  <c r="S5713" i="52" s="1"/>
  <c r="Q5714" i="52"/>
  <c r="Q5715" i="52" s="1"/>
  <c r="R5715" i="52" l="1"/>
  <c r="S5715" i="52" s="1"/>
  <c r="Q5716" i="52"/>
  <c r="R5716" i="52" s="1"/>
  <c r="S5716" i="52" s="1"/>
  <c r="R5714" i="52"/>
  <c r="S5714" i="52" s="1"/>
  <c r="Q5717" i="52" l="1"/>
  <c r="R5717" i="52" s="1"/>
  <c r="S5717" i="52" s="1"/>
  <c r="Q5718" i="52" l="1"/>
  <c r="Q5719" i="52" s="1"/>
  <c r="R5718" i="52" l="1"/>
  <c r="S5718" i="52" s="1"/>
  <c r="R5719" i="52"/>
  <c r="S5719" i="52" s="1"/>
  <c r="Q5720" i="52"/>
  <c r="Q5721" i="52" s="1"/>
  <c r="R5721" i="52" l="1"/>
  <c r="S5721" i="52" s="1"/>
  <c r="Q5722" i="52"/>
  <c r="Q5723" i="52" s="1"/>
  <c r="R5720" i="52"/>
  <c r="S5720" i="52" s="1"/>
  <c r="R5722" i="52" l="1"/>
  <c r="S5722" i="52" s="1"/>
  <c r="R5723" i="52"/>
  <c r="S5723" i="52" s="1"/>
  <c r="Q5724" i="52"/>
  <c r="Q5725" i="52" s="1"/>
  <c r="R5724" i="52" l="1"/>
  <c r="S5724" i="52" s="1"/>
  <c r="R5725" i="52"/>
  <c r="S5725" i="52" s="1"/>
  <c r="Q5726" i="52"/>
  <c r="R5726" i="52" s="1"/>
  <c r="S5726" i="52" s="1"/>
  <c r="Q5727" i="52" l="1"/>
  <c r="Q5728" i="52" l="1"/>
  <c r="Q5729" i="52" s="1"/>
  <c r="R5727" i="52"/>
  <c r="S5727" i="52" s="1"/>
  <c r="R5729" i="52" l="1"/>
  <c r="S5729" i="52" s="1"/>
  <c r="Q5730" i="52"/>
  <c r="Q5731" i="52" s="1"/>
  <c r="R5728" i="52"/>
  <c r="S5728" i="52" s="1"/>
  <c r="R5730" i="52" l="1"/>
  <c r="S5730" i="52" s="1"/>
  <c r="R5731" i="52"/>
  <c r="S5731" i="52" s="1"/>
  <c r="Q5732" i="52"/>
  <c r="Q5733" i="52" s="1"/>
  <c r="R5732" i="52" l="1"/>
  <c r="S5732" i="52" s="1"/>
  <c r="R5733" i="52"/>
  <c r="S5733" i="52" s="1"/>
  <c r="Q5734" i="52"/>
  <c r="Q5735" i="52" s="1"/>
  <c r="R5735" i="52" l="1"/>
  <c r="S5735" i="52" s="1"/>
  <c r="Q5736" i="52"/>
  <c r="R5736" i="52" s="1"/>
  <c r="S5736" i="52" s="1"/>
  <c r="R5734" i="52"/>
  <c r="S5734" i="52" s="1"/>
  <c r="Q5737" i="52" l="1"/>
  <c r="R5737" i="52" s="1"/>
  <c r="S5737" i="52" s="1"/>
  <c r="Q5738" i="52" l="1"/>
  <c r="Q5739" i="52" s="1"/>
  <c r="R5738" i="52" l="1"/>
  <c r="S5738" i="52" s="1"/>
  <c r="R5739" i="52"/>
  <c r="S5739" i="52" s="1"/>
  <c r="Q5740" i="52"/>
  <c r="R5740" i="52" s="1"/>
  <c r="S5740" i="52" s="1"/>
  <c r="Q5741" i="52" l="1"/>
  <c r="R5741" i="52" s="1"/>
  <c r="S5741" i="52" s="1"/>
  <c r="Q5742" i="52" l="1"/>
  <c r="Q5743" i="52" s="1"/>
  <c r="R5742" i="52" l="1"/>
  <c r="S5742" i="52" s="1"/>
  <c r="R5743" i="52"/>
  <c r="S5743" i="52" s="1"/>
  <c r="Q5744" i="52"/>
  <c r="R5744" i="52" s="1"/>
  <c r="S5744" i="52" s="1"/>
  <c r="Q5745" i="52" l="1"/>
  <c r="R5745" i="52" s="1"/>
  <c r="S5745" i="52" s="1"/>
  <c r="Q5746" i="52" l="1"/>
  <c r="R5746" i="52" s="1"/>
  <c r="S5746" i="52" s="1"/>
  <c r="Q5747" i="52" l="1"/>
  <c r="R5747" i="52" s="1"/>
  <c r="S5747" i="52" s="1"/>
  <c r="Q5748" i="52" l="1"/>
  <c r="R5748" i="52" s="1"/>
  <c r="S5748" i="52" s="1"/>
  <c r="Q5749" i="52" l="1"/>
  <c r="R5749" i="52" s="1"/>
  <c r="S5749" i="52" s="1"/>
  <c r="Q5750" i="52" l="1"/>
  <c r="Q5751" i="52" s="1"/>
  <c r="R5751" i="52" l="1"/>
  <c r="S5751" i="52" s="1"/>
  <c r="Q5752" i="52"/>
  <c r="Q5753" i="52" s="1"/>
  <c r="R5750" i="52"/>
  <c r="S5750" i="52" s="1"/>
  <c r="R5752" i="52" l="1"/>
  <c r="S5752" i="52" s="1"/>
  <c r="R5753" i="52"/>
  <c r="S5753" i="52" s="1"/>
  <c r="Q5754" i="52"/>
  <c r="R5754" i="52" s="1"/>
  <c r="S5754" i="52" s="1"/>
  <c r="Q5755" i="52" l="1"/>
  <c r="Q5756" i="52" l="1"/>
  <c r="Q5757" i="52" s="1"/>
  <c r="R5755" i="52"/>
  <c r="S5755" i="52" s="1"/>
  <c r="R5757" i="52" l="1"/>
  <c r="S5757" i="52" s="1"/>
  <c r="Q5758" i="52"/>
  <c r="Q5759" i="52" s="1"/>
  <c r="R5756" i="52"/>
  <c r="S5756" i="52" s="1"/>
  <c r="R5758" i="52" l="1"/>
  <c r="S5758" i="52" s="1"/>
  <c r="R5759" i="52"/>
  <c r="S5759" i="52" s="1"/>
  <c r="Q5760" i="52"/>
  <c r="Q5761" i="52" s="1"/>
  <c r="R5760" i="52" l="1"/>
  <c r="S5760" i="52" s="1"/>
  <c r="R5761" i="52"/>
  <c r="S5761" i="52" s="1"/>
  <c r="Q5762" i="52"/>
  <c r="Q5763" i="52" l="1"/>
  <c r="R5763" i="52" s="1"/>
  <c r="S5763" i="52" s="1"/>
  <c r="R5762" i="52"/>
  <c r="S5762" i="52" s="1"/>
  <c r="Q5764" i="52" l="1"/>
  <c r="Q5765" i="52" s="1"/>
  <c r="R5764" i="52" l="1"/>
  <c r="S5764" i="52" s="1"/>
  <c r="R5765" i="52"/>
  <c r="S5765" i="52" s="1"/>
  <c r="Q5766" i="52"/>
  <c r="Q5767" i="52" l="1"/>
  <c r="R5767" i="52" s="1"/>
  <c r="S5767" i="52" s="1"/>
  <c r="R5766" i="52"/>
  <c r="S5766" i="52" s="1"/>
  <c r="Q5768" i="52" l="1"/>
  <c r="Q5769" i="52" s="1"/>
  <c r="R5769" i="52" l="1"/>
  <c r="S5769" i="52" s="1"/>
  <c r="Q5770" i="52"/>
  <c r="R5770" i="52" s="1"/>
  <c r="S5770" i="52" s="1"/>
  <c r="R5768" i="52"/>
  <c r="S5768" i="52" s="1"/>
  <c r="Q5771" i="52" l="1"/>
  <c r="R5771" i="52" s="1"/>
  <c r="S5771" i="52" s="1"/>
  <c r="Q5772" i="52" l="1"/>
  <c r="Q5773" i="52" s="1"/>
  <c r="R5772" i="52" l="1"/>
  <c r="S5772" i="52" s="1"/>
  <c r="R5773" i="52"/>
  <c r="S5773" i="52" s="1"/>
  <c r="Q5774" i="52"/>
  <c r="R5774" i="52" s="1"/>
  <c r="S5774" i="52" s="1"/>
  <c r="Q5775" i="52" l="1"/>
  <c r="R5775" i="52" s="1"/>
  <c r="S5775" i="52" s="1"/>
  <c r="Q5776" i="52" l="1"/>
  <c r="Q5777" i="52" s="1"/>
  <c r="R5776" i="52" l="1"/>
  <c r="S5776" i="52" s="1"/>
  <c r="R5777" i="52"/>
  <c r="S5777" i="52" s="1"/>
  <c r="Q5778" i="52"/>
  <c r="Q5779" i="52" s="1"/>
  <c r="R5779" i="52" l="1"/>
  <c r="S5779" i="52" s="1"/>
  <c r="Q5780" i="52"/>
  <c r="Q5781" i="52" s="1"/>
  <c r="R5778" i="52"/>
  <c r="S5778" i="52" s="1"/>
  <c r="R5780" i="52" l="1"/>
  <c r="S5780" i="52" s="1"/>
  <c r="R5781" i="52"/>
  <c r="S5781" i="52" s="1"/>
  <c r="Q5782" i="52"/>
  <c r="R5782" i="52" s="1"/>
  <c r="S5782" i="52" s="1"/>
  <c r="Q5783" i="52" l="1"/>
  <c r="R5783" i="52" s="1"/>
  <c r="S5783" i="52" s="1"/>
  <c r="Q5784" i="52" l="1"/>
  <c r="R5784" i="52" s="1"/>
  <c r="S5784" i="52" s="1"/>
  <c r="Q5785" i="52" l="1"/>
  <c r="R5785" i="52" s="1"/>
  <c r="S5785" i="52" s="1"/>
  <c r="Q5786" i="52" l="1"/>
  <c r="Q5787" i="52" s="1"/>
  <c r="R5786" i="52" l="1"/>
  <c r="S5786" i="52" s="1"/>
  <c r="R5787" i="52"/>
  <c r="S5787" i="52" s="1"/>
  <c r="Q5788" i="52"/>
  <c r="Q5789" i="52" s="1"/>
  <c r="R5788" i="52" l="1"/>
  <c r="S5788" i="52" s="1"/>
  <c r="R5789" i="52"/>
  <c r="S5789" i="52" s="1"/>
  <c r="Q5790" i="52"/>
  <c r="Q5791" i="52" s="1"/>
  <c r="R5790" i="52" l="1"/>
  <c r="S5790" i="52" s="1"/>
  <c r="R5791" i="52"/>
  <c r="S5791" i="52" s="1"/>
  <c r="Q5792" i="52"/>
  <c r="Q5793" i="52" s="1"/>
  <c r="R5792" i="52" l="1"/>
  <c r="S5792" i="52" s="1"/>
  <c r="R5793" i="52"/>
  <c r="S5793" i="52" s="1"/>
  <c r="Q5794" i="52"/>
  <c r="Q5795" i="52" s="1"/>
  <c r="R5795" i="52" l="1"/>
  <c r="S5795" i="52" s="1"/>
  <c r="Q5796" i="52"/>
  <c r="Q5797" i="52" s="1"/>
  <c r="R5794" i="52"/>
  <c r="S5794" i="52" s="1"/>
  <c r="R5796" i="52" l="1"/>
  <c r="S5796" i="52" s="1"/>
  <c r="R5797" i="52"/>
  <c r="S5797" i="52" s="1"/>
  <c r="Q5798" i="52"/>
  <c r="R5798" i="52" s="1"/>
  <c r="S5798" i="52" s="1"/>
  <c r="Q5799" i="52" l="1"/>
  <c r="R5799" i="52" s="1"/>
  <c r="S5799" i="52" s="1"/>
  <c r="Q5800" i="52" l="1"/>
  <c r="Q5801" i="52" s="1"/>
  <c r="R5801" i="52" l="1"/>
  <c r="S5801" i="52" s="1"/>
  <c r="Q5802" i="52"/>
  <c r="R5802" i="52" s="1"/>
  <c r="S5802" i="52" s="1"/>
  <c r="R5800" i="52"/>
  <c r="S5800" i="52" s="1"/>
  <c r="Q5803" i="52" l="1"/>
  <c r="R5803" i="52" s="1"/>
  <c r="S5803" i="52" s="1"/>
  <c r="Q5804" i="52" l="1"/>
  <c r="Q5805" i="52" s="1"/>
  <c r="R5804" i="52" l="1"/>
  <c r="S5804" i="52" s="1"/>
  <c r="R5805" i="52"/>
  <c r="S5805" i="52" s="1"/>
  <c r="Q5806" i="52"/>
  <c r="R5806" i="52" s="1"/>
  <c r="S5806" i="52" s="1"/>
  <c r="Q5807" i="52" l="1"/>
  <c r="Q5808" i="52" l="1"/>
  <c r="Q5809" i="52" s="1"/>
  <c r="R5807" i="52"/>
  <c r="S5807" i="52" s="1"/>
  <c r="R5808" i="52" l="1"/>
  <c r="S5808" i="52" s="1"/>
  <c r="R5809" i="52"/>
  <c r="S5809" i="52" s="1"/>
  <c r="Q5810" i="52"/>
  <c r="Q5811" i="52" s="1"/>
  <c r="R5811" i="52" l="1"/>
  <c r="S5811" i="52" s="1"/>
  <c r="Q5812" i="52"/>
  <c r="R5812" i="52" s="1"/>
  <c r="S5812" i="52" s="1"/>
  <c r="R5810" i="52"/>
  <c r="S5810" i="52" s="1"/>
  <c r="Q5813" i="52" l="1"/>
  <c r="R5813" i="52" s="1"/>
  <c r="S5813" i="52" s="1"/>
  <c r="Q5814" i="52" l="1"/>
  <c r="Q5815" i="52" s="1"/>
  <c r="R5814" i="52" l="1"/>
  <c r="S5814" i="52" s="1"/>
  <c r="R5815" i="52"/>
  <c r="S5815" i="52" s="1"/>
  <c r="Q5816" i="52"/>
  <c r="Q5817" i="52" s="1"/>
  <c r="R5816" i="52" l="1"/>
  <c r="S5816" i="52" s="1"/>
  <c r="R5817" i="52"/>
  <c r="S5817" i="52" s="1"/>
  <c r="Q5818" i="52"/>
  <c r="Q5819" i="52" l="1"/>
  <c r="R5819" i="52" s="1"/>
  <c r="S5819" i="52" s="1"/>
  <c r="R5818" i="52"/>
  <c r="S5818" i="52" s="1"/>
  <c r="Q5820" i="52" l="1"/>
  <c r="Q5821" i="52" s="1"/>
  <c r="R5820" i="52" l="1"/>
  <c r="S5820" i="52" s="1"/>
  <c r="R5821" i="52"/>
  <c r="S5821" i="52" s="1"/>
  <c r="Q5822" i="52"/>
  <c r="Q5823" i="52" s="1"/>
  <c r="R5823" i="52" l="1"/>
  <c r="S5823" i="52" s="1"/>
  <c r="Q5824" i="52"/>
  <c r="Q5825" i="52" s="1"/>
  <c r="R5822" i="52"/>
  <c r="S5822" i="52" s="1"/>
  <c r="R5824" i="52" l="1"/>
  <c r="S5824" i="52" s="1"/>
  <c r="R5825" i="52"/>
  <c r="S5825" i="52" s="1"/>
  <c r="Q5826" i="52"/>
  <c r="R5826" i="52" s="1"/>
  <c r="S5826" i="52" s="1"/>
  <c r="Q5827" i="52" l="1"/>
  <c r="R5827" i="52" s="1"/>
  <c r="S5827" i="52" s="1"/>
  <c r="Q5828" i="52" l="1"/>
  <c r="Q5829" i="52" s="1"/>
  <c r="R5828" i="52" l="1"/>
  <c r="S5828" i="52" s="1"/>
  <c r="R5829" i="52"/>
  <c r="S5829" i="52" s="1"/>
  <c r="Q5830" i="52"/>
  <c r="R5830" i="52" s="1"/>
  <c r="S5830" i="52" s="1"/>
  <c r="Q5831" i="52" l="1"/>
  <c r="Q5832" i="52" l="1"/>
  <c r="Q5833" i="52" s="1"/>
  <c r="R5831" i="52"/>
  <c r="S5831" i="52" s="1"/>
  <c r="R5832" i="52" l="1"/>
  <c r="S5832" i="52" s="1"/>
  <c r="R5833" i="52"/>
  <c r="S5833" i="52" s="1"/>
  <c r="Q5834" i="52"/>
  <c r="R5834" i="52" s="1"/>
  <c r="S5834" i="52" s="1"/>
  <c r="Q5835" i="52" l="1"/>
  <c r="Q5836" i="52" l="1"/>
  <c r="R5836" i="52" s="1"/>
  <c r="S5836" i="52" s="1"/>
  <c r="R5835" i="52"/>
  <c r="S5835" i="52" s="1"/>
  <c r="Q5837" i="52" l="1"/>
  <c r="R5837" i="52" s="1"/>
  <c r="S5837" i="52" s="1"/>
  <c r="Q5838" i="52" l="1"/>
  <c r="Q5839" i="52" s="1"/>
  <c r="R5838" i="52" l="1"/>
  <c r="S5838" i="52" s="1"/>
  <c r="R5839" i="52"/>
  <c r="S5839" i="52" s="1"/>
  <c r="Q5840" i="52"/>
  <c r="Q5841" i="52" s="1"/>
  <c r="R5841" i="52" l="1"/>
  <c r="S5841" i="52" s="1"/>
  <c r="Q5842" i="52"/>
  <c r="R5842" i="52" s="1"/>
  <c r="S5842" i="52" s="1"/>
  <c r="R5840" i="52"/>
  <c r="S5840" i="52" s="1"/>
  <c r="Q5843" i="52" l="1"/>
  <c r="Q5844" i="52" l="1"/>
  <c r="R5844" i="52" s="1"/>
  <c r="S5844" i="52" s="1"/>
  <c r="R5843" i="52"/>
  <c r="S5843" i="52" s="1"/>
  <c r="Q5845" i="52" l="1"/>
  <c r="R5845" i="52" s="1"/>
  <c r="S5845" i="52" s="1"/>
  <c r="Q5846" i="52" l="1"/>
  <c r="Q5847" i="52" s="1"/>
  <c r="R5846" i="52" l="1"/>
  <c r="S5846" i="52" s="1"/>
  <c r="R5847" i="52"/>
  <c r="S5847" i="52" s="1"/>
  <c r="Q5848" i="52"/>
  <c r="R5848" i="52" s="1"/>
  <c r="S5848" i="52" s="1"/>
  <c r="Q5849" i="52" l="1"/>
  <c r="Q5850" i="52" l="1"/>
  <c r="Q5851" i="52" s="1"/>
  <c r="R5849" i="52"/>
  <c r="S5849" i="52" s="1"/>
  <c r="R5850" i="52" l="1"/>
  <c r="S5850" i="52" s="1"/>
  <c r="R5851" i="52"/>
  <c r="S5851" i="52" s="1"/>
  <c r="Q5852" i="52"/>
  <c r="Q5853" i="52" s="1"/>
  <c r="R5852" i="52" l="1"/>
  <c r="S5852" i="52" s="1"/>
  <c r="R5853" i="52"/>
  <c r="S5853" i="52" s="1"/>
  <c r="Q5854" i="52"/>
  <c r="Q5855" i="52" s="1"/>
  <c r="R5854" i="52" l="1"/>
  <c r="S5854" i="52" s="1"/>
  <c r="R5855" i="52"/>
  <c r="S5855" i="52" s="1"/>
  <c r="Q5856" i="52"/>
  <c r="Q5857" i="52" s="1"/>
  <c r="R5856" i="52" l="1"/>
  <c r="S5856" i="52" s="1"/>
  <c r="R5857" i="52"/>
  <c r="S5857" i="52" s="1"/>
  <c r="Q5858" i="52"/>
  <c r="R5858" i="52" s="1"/>
  <c r="S5858" i="52" s="1"/>
  <c r="Q5859" i="52" l="1"/>
  <c r="R5859" i="52" s="1"/>
  <c r="S5859" i="52" s="1"/>
  <c r="Q5860" i="52" l="1"/>
  <c r="Q5861" i="52" s="1"/>
  <c r="R5860" i="52" l="1"/>
  <c r="S5860" i="52" s="1"/>
  <c r="R5861" i="52"/>
  <c r="S5861" i="52" s="1"/>
  <c r="Q5862" i="52"/>
  <c r="R5862" i="52" s="1"/>
  <c r="S5862" i="52" s="1"/>
  <c r="Q5863" i="52" l="1"/>
  <c r="R5863" i="52" s="1"/>
  <c r="S5863" i="52" s="1"/>
  <c r="Q5864" i="52" l="1"/>
  <c r="Q5865" i="52" s="1"/>
  <c r="R5865" i="52" l="1"/>
  <c r="S5865" i="52" s="1"/>
  <c r="Q5866" i="52"/>
  <c r="R5866" i="52" s="1"/>
  <c r="S5866" i="52" s="1"/>
  <c r="R5864" i="52"/>
  <c r="S5864" i="52" s="1"/>
  <c r="Q5867" i="52" l="1"/>
  <c r="R5867" i="52" s="1"/>
  <c r="S5867" i="52" s="1"/>
  <c r="Q5868" i="52" l="1"/>
  <c r="Q5869" i="52" s="1"/>
  <c r="R5868" i="52" l="1"/>
  <c r="S5868" i="52" s="1"/>
  <c r="R5869" i="52"/>
  <c r="S5869" i="52" s="1"/>
  <c r="Q5870" i="52"/>
  <c r="Q5871" i="52" s="1"/>
  <c r="R5871" i="52" l="1"/>
  <c r="S5871" i="52" s="1"/>
  <c r="Q5872" i="52"/>
  <c r="R5872" i="52" s="1"/>
  <c r="S5872" i="52" s="1"/>
  <c r="R5870" i="52"/>
  <c r="S5870" i="52" s="1"/>
  <c r="Q5873" i="52" l="1"/>
  <c r="Q5874" i="52" l="1"/>
  <c r="R5874" i="52" s="1"/>
  <c r="S5874" i="52" s="1"/>
  <c r="R5873" i="52"/>
  <c r="S5873" i="52" s="1"/>
  <c r="Q5875" i="52" l="1"/>
  <c r="Q5876" i="52" l="1"/>
  <c r="Q5877" i="52" s="1"/>
  <c r="R5875" i="52"/>
  <c r="S5875" i="52" s="1"/>
  <c r="R5876" i="52" l="1"/>
  <c r="S5876" i="52" s="1"/>
  <c r="R5877" i="52"/>
  <c r="S5877" i="52" s="1"/>
  <c r="Q5878" i="52"/>
  <c r="R5878" i="52" s="1"/>
  <c r="S5878" i="52" s="1"/>
  <c r="Q5879" i="52" l="1"/>
  <c r="R5879" i="52" s="1"/>
  <c r="S5879" i="52" s="1"/>
  <c r="Q5880" i="52" l="1"/>
  <c r="Q5881" i="52" s="1"/>
  <c r="R5881" i="52" l="1"/>
  <c r="S5881" i="52" s="1"/>
  <c r="Q5882" i="52"/>
  <c r="R5882" i="52" s="1"/>
  <c r="S5882" i="52" s="1"/>
  <c r="R5880" i="52"/>
  <c r="S5880" i="52" s="1"/>
  <c r="Q5883" i="52" l="1"/>
  <c r="R5883" i="52" s="1"/>
  <c r="S5883" i="52" s="1"/>
  <c r="Q5884" i="52" l="1"/>
  <c r="R5884" i="52" s="1"/>
  <c r="S5884" i="52" s="1"/>
  <c r="Q5885" i="52" l="1"/>
  <c r="R5885" i="52" s="1"/>
  <c r="S5885" i="52" s="1"/>
  <c r="Q5886" i="52" l="1"/>
  <c r="Q5887" i="52" s="1"/>
  <c r="R5886" i="52" l="1"/>
  <c r="S5886" i="52" s="1"/>
  <c r="R5887" i="52"/>
  <c r="S5887" i="52" s="1"/>
  <c r="Q5888" i="52"/>
  <c r="R5888" i="52" s="1"/>
  <c r="S5888" i="52" s="1"/>
  <c r="Q5889" i="52" l="1"/>
  <c r="Q5890" i="52" l="1"/>
  <c r="Q5891" i="52" s="1"/>
  <c r="R5889" i="52"/>
  <c r="S5889" i="52" s="1"/>
  <c r="R5890" i="52" l="1"/>
  <c r="S5890" i="52" s="1"/>
  <c r="R5891" i="52"/>
  <c r="S5891" i="52" s="1"/>
  <c r="Q5892" i="52"/>
  <c r="Q5893" i="52" l="1"/>
  <c r="R5893" i="52" s="1"/>
  <c r="S5893" i="52" s="1"/>
  <c r="R5892" i="52"/>
  <c r="S5892" i="52" s="1"/>
  <c r="Q5894" i="52" l="1"/>
  <c r="Q5895" i="52" s="1"/>
  <c r="R5895" i="52" l="1"/>
  <c r="S5895" i="52" s="1"/>
  <c r="Q5896" i="52"/>
  <c r="Q5897" i="52" s="1"/>
  <c r="R5894" i="52"/>
  <c r="S5894" i="52" s="1"/>
  <c r="R5896" i="52" l="1"/>
  <c r="S5896" i="52" s="1"/>
  <c r="R5897" i="52"/>
  <c r="S5897" i="52" s="1"/>
  <c r="Q5898" i="52"/>
  <c r="R5898" i="52" s="1"/>
  <c r="S5898" i="52" s="1"/>
  <c r="Q5899" i="52" l="1"/>
  <c r="Q5900" i="52" l="1"/>
  <c r="Q5901" i="52" s="1"/>
  <c r="R5899" i="52"/>
  <c r="S5899" i="52" s="1"/>
  <c r="R5900" i="52" l="1"/>
  <c r="S5900" i="52" s="1"/>
  <c r="R5901" i="52"/>
  <c r="S5901" i="52" s="1"/>
  <c r="Q5902" i="52"/>
  <c r="R5902" i="52" s="1"/>
  <c r="S5902" i="52" s="1"/>
  <c r="Q5903" i="52" l="1"/>
  <c r="Q5904" i="52" l="1"/>
  <c r="Q5905" i="52" s="1"/>
  <c r="R5903" i="52"/>
  <c r="S5903" i="52" s="1"/>
  <c r="R5904" i="52" l="1"/>
  <c r="S5904" i="52" s="1"/>
  <c r="R5905" i="52"/>
  <c r="S5905" i="52" s="1"/>
  <c r="Q5906" i="52"/>
  <c r="Q5907" i="52" s="1"/>
  <c r="R5906" i="52" l="1"/>
  <c r="S5906" i="52" s="1"/>
  <c r="R5907" i="52"/>
  <c r="S5907" i="52" s="1"/>
  <c r="Q5908" i="52"/>
  <c r="Q5909" i="52" l="1"/>
  <c r="R5909" i="52" s="1"/>
  <c r="S5909" i="52" s="1"/>
  <c r="R5908" i="52"/>
  <c r="S5908" i="52" s="1"/>
  <c r="Q5910" i="52" l="1"/>
  <c r="Q5911" i="52" s="1"/>
  <c r="R5910" i="52" l="1"/>
  <c r="S5910" i="52" s="1"/>
  <c r="R5911" i="52"/>
  <c r="S5911" i="52" s="1"/>
  <c r="Q5912" i="52"/>
  <c r="Q5913" i="52" s="1"/>
  <c r="R5912" i="52" l="1"/>
  <c r="S5912" i="52" s="1"/>
  <c r="R5913" i="52"/>
  <c r="S5913" i="52" s="1"/>
  <c r="Q5914" i="52"/>
  <c r="R5914" i="52" s="1"/>
  <c r="S5914" i="52" s="1"/>
  <c r="Q5915" i="52" l="1"/>
  <c r="R5915" i="52" s="1"/>
  <c r="S5915" i="52" s="1"/>
  <c r="Q5916" i="52" l="1"/>
  <c r="Q5917" i="52" s="1"/>
  <c r="R5916" i="52" l="1"/>
  <c r="S5916" i="52" s="1"/>
  <c r="R5917" i="52"/>
  <c r="S5917" i="52" s="1"/>
  <c r="Q5918" i="52"/>
  <c r="R5918" i="52" s="1"/>
  <c r="S5918" i="52" s="1"/>
  <c r="Q5919" i="52" l="1"/>
  <c r="R5919" i="52" s="1"/>
  <c r="S5919" i="52" s="1"/>
  <c r="Q5920" i="52" l="1"/>
  <c r="Q5921" i="52" s="1"/>
  <c r="R5921" i="52" l="1"/>
  <c r="S5921" i="52" s="1"/>
  <c r="Q5922" i="52"/>
  <c r="R5922" i="52" s="1"/>
  <c r="S5922" i="52" s="1"/>
  <c r="R5920" i="52"/>
  <c r="S5920" i="52" s="1"/>
  <c r="Q5923" i="52" l="1"/>
  <c r="R5923" i="52" s="1"/>
  <c r="S5923" i="52" s="1"/>
  <c r="Q5924" i="52" l="1"/>
  <c r="Q5925" i="52" s="1"/>
  <c r="R5924" i="52" l="1"/>
  <c r="S5924" i="52" s="1"/>
  <c r="R5925" i="52"/>
  <c r="S5925" i="52" s="1"/>
  <c r="Q5926" i="52"/>
  <c r="R5926" i="52" s="1"/>
  <c r="S5926" i="52" s="1"/>
  <c r="Q5927" i="52" l="1"/>
  <c r="R5927" i="52" s="1"/>
  <c r="S5927" i="52" s="1"/>
  <c r="Q5928" i="52" l="1"/>
  <c r="R5928" i="52" s="1"/>
  <c r="S5928" i="52" s="1"/>
  <c r="Q5929" i="52" l="1"/>
  <c r="Q5930" i="52" l="1"/>
  <c r="R5930" i="52" s="1"/>
  <c r="S5930" i="52" s="1"/>
  <c r="R5929" i="52"/>
  <c r="S5929" i="52" s="1"/>
  <c r="Q5931" i="52" l="1"/>
  <c r="Q5932" i="52" s="1"/>
  <c r="R5932" i="52" l="1"/>
  <c r="S5932" i="52" s="1"/>
  <c r="Q5933" i="52"/>
  <c r="R5931" i="52"/>
  <c r="S5931" i="52" s="1"/>
  <c r="R5933" i="52" l="1"/>
  <c r="S5933" i="52" s="1"/>
  <c r="Q5934" i="52"/>
  <c r="Q5935" i="52" s="1"/>
  <c r="R5934" i="52" l="1"/>
  <c r="S5934" i="52" s="1"/>
  <c r="R5935" i="52"/>
  <c r="S5935" i="52" s="1"/>
  <c r="Q5936" i="52"/>
  <c r="R5936" i="52" s="1"/>
  <c r="S5936" i="52" s="1"/>
  <c r="Q5937" i="52" l="1"/>
  <c r="R5937" i="52" s="1"/>
  <c r="S5937" i="52" s="1"/>
  <c r="Q5938" i="52" l="1"/>
  <c r="Q5939" i="52" s="1"/>
  <c r="R5938" i="52" l="1"/>
  <c r="S5938" i="52" s="1"/>
  <c r="R5939" i="52"/>
  <c r="S5939" i="52" s="1"/>
  <c r="Q5940" i="52"/>
  <c r="Q5941" i="52" s="1"/>
  <c r="R5941" i="52" l="1"/>
  <c r="S5941" i="52" s="1"/>
  <c r="Q5942" i="52"/>
  <c r="R5942" i="52" s="1"/>
  <c r="S5942" i="52" s="1"/>
  <c r="R5940" i="52"/>
  <c r="S5940" i="52" s="1"/>
  <c r="Q5943" i="52" l="1"/>
  <c r="Q5944" i="52" l="1"/>
  <c r="Q5945" i="52" s="1"/>
  <c r="R5943" i="52"/>
  <c r="S5943" i="52" s="1"/>
  <c r="R5944" i="52" l="1"/>
  <c r="S5944" i="52" s="1"/>
  <c r="R5945" i="52"/>
  <c r="S5945" i="52" s="1"/>
  <c r="Q5946" i="52"/>
  <c r="R5946" i="52" s="1"/>
  <c r="S5946" i="52" s="1"/>
  <c r="Q5947" i="52" l="1"/>
  <c r="R5947" i="52" s="1"/>
  <c r="S5947" i="52" s="1"/>
  <c r="Q5948" i="52" l="1"/>
  <c r="Q5949" i="52" s="1"/>
  <c r="R5948" i="52" l="1"/>
  <c r="S5948" i="52" s="1"/>
  <c r="R5949" i="52"/>
  <c r="S5949" i="52" s="1"/>
  <c r="Q5950" i="52"/>
  <c r="R5950" i="52" s="1"/>
  <c r="S5950" i="52" s="1"/>
  <c r="Q5951" i="52" l="1"/>
  <c r="R5951" i="52" s="1"/>
  <c r="S5951" i="52" s="1"/>
  <c r="Q5952" i="52" l="1"/>
  <c r="Q5953" i="52" s="1"/>
  <c r="R5952" i="52" l="1"/>
  <c r="S5952" i="52" s="1"/>
  <c r="R5953" i="52"/>
  <c r="S5953" i="52" s="1"/>
  <c r="Q5954" i="52"/>
  <c r="Q5955" i="52" s="1"/>
  <c r="R5955" i="52" l="1"/>
  <c r="S5955" i="52" s="1"/>
  <c r="Q5956" i="52"/>
  <c r="Q5957" i="52" s="1"/>
  <c r="R5954" i="52"/>
  <c r="S5954" i="52" s="1"/>
  <c r="R5956" i="52" l="1"/>
  <c r="S5956" i="52" s="1"/>
  <c r="R5957" i="52"/>
  <c r="S5957" i="52" s="1"/>
  <c r="Q5958" i="52"/>
  <c r="R5958" i="52" s="1"/>
  <c r="S5958" i="52" s="1"/>
  <c r="Q5959" i="52" l="1"/>
  <c r="R5959" i="52" s="1"/>
  <c r="S5959" i="52" s="1"/>
  <c r="Q5960" i="52" l="1"/>
  <c r="Q5961" i="52" s="1"/>
  <c r="R5961" i="52" l="1"/>
  <c r="S5961" i="52" s="1"/>
  <c r="Q5962" i="52"/>
  <c r="Q5963" i="52" s="1"/>
  <c r="R5960" i="52"/>
  <c r="S5960" i="52" s="1"/>
  <c r="R5962" i="52" l="1"/>
  <c r="S5962" i="52" s="1"/>
  <c r="R5963" i="52"/>
  <c r="S5963" i="52" s="1"/>
  <c r="Q5964" i="52"/>
  <c r="R5964" i="52" s="1"/>
  <c r="S5964" i="52" s="1"/>
  <c r="Q5965" i="52" l="1"/>
  <c r="R5965" i="52" s="1"/>
  <c r="S5965" i="52" s="1"/>
  <c r="Q5966" i="52" l="1"/>
  <c r="Q5967" i="52" s="1"/>
  <c r="R5966" i="52" l="1"/>
  <c r="S5966" i="52" s="1"/>
  <c r="R5967" i="52"/>
  <c r="S5967" i="52" s="1"/>
  <c r="Q5968" i="52"/>
  <c r="Q5969" i="52" l="1"/>
  <c r="R5969" i="52" s="1"/>
  <c r="S5969" i="52" s="1"/>
  <c r="R5968" i="52"/>
  <c r="S5968" i="52" s="1"/>
  <c r="Q5970" i="52" l="1"/>
  <c r="Q5971" i="52" s="1"/>
  <c r="R5970" i="52" l="1"/>
  <c r="S5970" i="52" s="1"/>
  <c r="R5971" i="52"/>
  <c r="S5971" i="52" s="1"/>
  <c r="Q5972" i="52"/>
  <c r="R5972" i="52" s="1"/>
  <c r="S5972" i="52" s="1"/>
  <c r="Q5973" i="52" l="1"/>
  <c r="Q5974" i="52" l="1"/>
  <c r="Q5975" i="52" s="1"/>
  <c r="R5973" i="52"/>
  <c r="S5973" i="52" s="1"/>
  <c r="R5974" i="52" l="1"/>
  <c r="S5974" i="52" s="1"/>
  <c r="R5975" i="52"/>
  <c r="S5975" i="52" s="1"/>
  <c r="Q5976" i="52"/>
  <c r="Q5977" i="52" l="1"/>
  <c r="R5977" i="52" s="1"/>
  <c r="S5977" i="52" s="1"/>
  <c r="R5976" i="52"/>
  <c r="S5976" i="52" s="1"/>
  <c r="Q5978" i="52" l="1"/>
  <c r="R5978" i="52" s="1"/>
  <c r="S5978" i="52" s="1"/>
  <c r="Q5979" i="52" l="1"/>
  <c r="R5979" i="52" s="1"/>
  <c r="S5979" i="52" s="1"/>
  <c r="Q5980" i="52" l="1"/>
  <c r="Q5981" i="52" l="1"/>
  <c r="R5981" i="52" s="1"/>
  <c r="S5981" i="52" s="1"/>
  <c r="R5980" i="52"/>
  <c r="S5980" i="52" s="1"/>
  <c r="Q5982" i="52" l="1"/>
  <c r="Q5983" i="52" l="1"/>
  <c r="R5983" i="52" s="1"/>
  <c r="S5983" i="52" s="1"/>
  <c r="R5982" i="52"/>
  <c r="S5982" i="52" s="1"/>
  <c r="Q5984" i="52" l="1"/>
  <c r="R5984" i="52" s="1"/>
  <c r="S5984" i="52" s="1"/>
  <c r="Q5985" i="52" l="1"/>
  <c r="R5985" i="52" s="1"/>
  <c r="S5985" i="52" s="1"/>
  <c r="Q5986" i="52" l="1"/>
  <c r="R5986" i="52" s="1"/>
  <c r="S5986" i="52" s="1"/>
  <c r="Q5987" i="52" l="1"/>
  <c r="R5987" i="52" s="1"/>
  <c r="S5987" i="52" s="1"/>
  <c r="Q5988" i="52" l="1"/>
  <c r="R5988" i="52" s="1"/>
  <c r="S5988" i="52" s="1"/>
  <c r="Q5989" i="52" l="1"/>
  <c r="Q5990" i="52" l="1"/>
  <c r="Q5991" i="52" s="1"/>
  <c r="R5989" i="52"/>
  <c r="S5989" i="52" s="1"/>
  <c r="R5990" i="52" l="1"/>
  <c r="S5990" i="52" s="1"/>
  <c r="R5991" i="52"/>
  <c r="S5991" i="52" s="1"/>
  <c r="Q5992" i="52"/>
  <c r="R5992" i="52" l="1"/>
  <c r="S5992" i="52" s="1"/>
  <c r="Q5993" i="52"/>
  <c r="R5993" i="52" l="1"/>
  <c r="S5993" i="52" s="1"/>
  <c r="Q5994" i="52"/>
  <c r="Q5995" i="52" s="1"/>
  <c r="R5994" i="52" l="1"/>
  <c r="S5994" i="52" s="1"/>
  <c r="R5995" i="52"/>
  <c r="S5995" i="52" s="1"/>
  <c r="Q5996" i="52"/>
  <c r="R5996" i="52" l="1"/>
  <c r="S5996" i="52" s="1"/>
  <c r="Q5997" i="52"/>
  <c r="Q5998" i="52" s="1"/>
  <c r="R5997" i="52" l="1"/>
  <c r="S5997" i="52" s="1"/>
  <c r="R5998" i="52"/>
  <c r="S5998" i="52" s="1"/>
  <c r="Q5999" i="52"/>
  <c r="R5999" i="52" l="1"/>
  <c r="S5999" i="52" s="1"/>
  <c r="Q6000" i="52"/>
  <c r="R6000" i="52" l="1"/>
  <c r="S6000" i="52" s="1"/>
  <c r="Q6001" i="52"/>
  <c r="Q6002" i="52" s="1"/>
  <c r="R6001" i="52" l="1"/>
  <c r="S6001" i="52" s="1"/>
  <c r="R6002" i="52"/>
  <c r="S6002" i="52" s="1"/>
  <c r="Q6003" i="52"/>
  <c r="R6003" i="52" l="1"/>
  <c r="S6003" i="52" s="1"/>
  <c r="Q6004" i="52"/>
  <c r="R6004" i="52" l="1"/>
  <c r="S6004" i="52" s="1"/>
  <c r="Q6005" i="52"/>
  <c r="R6005" i="52" l="1"/>
  <c r="S6005" i="52" s="1"/>
  <c r="Q6006" i="52"/>
  <c r="Q6007" i="52" s="1"/>
  <c r="R6006" i="52" l="1"/>
  <c r="S6006" i="52" s="1"/>
  <c r="R6007" i="52"/>
  <c r="S6007" i="52" s="1"/>
  <c r="Q6008" i="52"/>
  <c r="R6008" i="52" l="1"/>
  <c r="S6008" i="52" s="1"/>
  <c r="Q6009" i="52"/>
  <c r="R6009" i="52" l="1"/>
  <c r="S6009" i="52" s="1"/>
  <c r="Q6010" i="52"/>
  <c r="R6010" i="52" l="1"/>
  <c r="S6010" i="52" s="1"/>
  <c r="Q6011" i="52"/>
  <c r="Q6012" i="52" l="1"/>
  <c r="Q6013" i="52" s="1"/>
  <c r="R6011" i="52"/>
  <c r="S6011" i="52" s="1"/>
  <c r="R6012" i="52" l="1"/>
  <c r="S6012" i="52" s="1"/>
  <c r="R6013" i="52"/>
  <c r="S6013" i="52" s="1"/>
  <c r="Q6014" i="52"/>
  <c r="R6014" i="52" l="1"/>
  <c r="S6014" i="52" s="1"/>
  <c r="Q6015" i="52"/>
  <c r="R6015" i="52" l="1"/>
  <c r="S6015" i="52" s="1"/>
  <c r="Q6016" i="52"/>
  <c r="R6016" i="52" l="1"/>
  <c r="S6016" i="52" s="1"/>
  <c r="Q6017" i="52"/>
  <c r="Q6018" i="52" s="1"/>
  <c r="R6017" i="52" l="1"/>
  <c r="S6017" i="52" s="1"/>
  <c r="R6018" i="52"/>
  <c r="S6018" i="52" s="1"/>
  <c r="Q6019" i="52"/>
  <c r="R6019" i="52" l="1"/>
  <c r="S6019" i="52" s="1"/>
  <c r="Q6020" i="52"/>
  <c r="R6020" i="52" l="1"/>
  <c r="S6020" i="52" s="1"/>
  <c r="Q6021" i="52"/>
  <c r="R6021" i="52" l="1"/>
  <c r="S6021" i="52" s="1"/>
  <c r="Q6022" i="52"/>
  <c r="Q6023" i="52" s="1"/>
  <c r="R6022" i="52" l="1"/>
  <c r="S6022" i="52" s="1"/>
  <c r="R6023" i="52"/>
  <c r="S6023" i="52" s="1"/>
  <c r="Q6024" i="52"/>
  <c r="R6024" i="52" l="1"/>
  <c r="S6024" i="52" s="1"/>
  <c r="Q6025" i="52"/>
  <c r="R6025" i="52" l="1"/>
  <c r="S6025" i="52" s="1"/>
  <c r="Q6026" i="52"/>
  <c r="Q6027" i="52" s="1"/>
  <c r="R6027" i="52" l="1"/>
  <c r="S6027" i="52" s="1"/>
  <c r="Q6028" i="52"/>
  <c r="R6026" i="52"/>
  <c r="S6026" i="52" s="1"/>
  <c r="R6028" i="52" l="1"/>
  <c r="S6028" i="52" s="1"/>
  <c r="Q6029" i="52"/>
  <c r="Q6030" i="52" s="1"/>
  <c r="R6029" i="52" l="1"/>
  <c r="S6029" i="52" s="1"/>
  <c r="R6030" i="52"/>
  <c r="S6030" i="52" s="1"/>
  <c r="Q6031" i="52"/>
  <c r="R6031" i="52" l="1"/>
  <c r="S6031" i="52" s="1"/>
  <c r="Q6032" i="52"/>
  <c r="Q6033" i="52" s="1"/>
  <c r="R6032" i="52" l="1"/>
  <c r="S6032" i="52" s="1"/>
  <c r="R6033" i="52"/>
  <c r="S6033" i="52" s="1"/>
  <c r="Q6034" i="52"/>
  <c r="R6034" i="52" l="1"/>
  <c r="S6034" i="52" s="1"/>
  <c r="Q6035" i="52"/>
  <c r="R6035" i="52" s="1"/>
  <c r="S6035" i="52" s="1"/>
  <c r="Q6036" i="52" l="1"/>
  <c r="Q6037" i="52" s="1"/>
  <c r="R6037" i="52" l="1"/>
  <c r="S6037" i="52" s="1"/>
  <c r="Q6038" i="52"/>
  <c r="R6036" i="52"/>
  <c r="S6036" i="52" s="1"/>
  <c r="R6038" i="52" l="1"/>
  <c r="S6038" i="52" s="1"/>
  <c r="Q6039" i="52"/>
  <c r="R6039" i="52" l="1"/>
  <c r="S6039" i="52" s="1"/>
  <c r="Q6040" i="52"/>
  <c r="R6040" i="52" l="1"/>
  <c r="S6040" i="52" s="1"/>
  <c r="Q6041" i="52"/>
  <c r="R6041" i="52" l="1"/>
  <c r="S6041" i="52" s="1"/>
  <c r="Q6042" i="52"/>
  <c r="R6042" i="52" l="1"/>
  <c r="S6042" i="52" s="1"/>
  <c r="Q6043" i="52"/>
  <c r="Q6044" i="52" s="1"/>
  <c r="R6043" i="52" l="1"/>
  <c r="S6043" i="52" s="1"/>
  <c r="R6044" i="52"/>
  <c r="S6044" i="52" s="1"/>
  <c r="Q6045" i="52"/>
  <c r="R6045" i="52" l="1"/>
  <c r="S6045" i="52" s="1"/>
  <c r="Q6046" i="52"/>
  <c r="R6046" i="52" l="1"/>
  <c r="S6046" i="52" s="1"/>
  <c r="Q6047" i="52"/>
  <c r="R6047" i="52" l="1"/>
  <c r="S6047" i="52" s="1"/>
  <c r="Q6048" i="52"/>
  <c r="R6048" i="52" l="1"/>
  <c r="S6048" i="52" s="1"/>
  <c r="Q6049" i="52"/>
  <c r="R6049" i="52" l="1"/>
  <c r="S6049" i="52" s="1"/>
  <c r="Q6050" i="52"/>
  <c r="Q6051" i="52" s="1"/>
  <c r="R6051" i="52" l="1"/>
  <c r="S6051" i="52" s="1"/>
  <c r="Q6052" i="52"/>
  <c r="R6050" i="52"/>
  <c r="S6050" i="52" s="1"/>
  <c r="R6052" i="52" l="1"/>
  <c r="S6052" i="52" s="1"/>
  <c r="Q6053" i="52"/>
  <c r="R6053" i="52" l="1"/>
  <c r="S6053" i="52" s="1"/>
  <c r="Q6054" i="52"/>
  <c r="R6054" i="52" l="1"/>
  <c r="S6054" i="52" s="1"/>
  <c r="Q6055" i="52"/>
  <c r="Q6056" i="52" s="1"/>
  <c r="R6055" i="52" l="1"/>
  <c r="S6055" i="52" s="1"/>
  <c r="R6056" i="52"/>
  <c r="S6056" i="52" s="1"/>
  <c r="Q6057" i="52"/>
  <c r="Q6058" i="52" s="1"/>
  <c r="R6057" i="52" l="1"/>
  <c r="S6057" i="52" s="1"/>
  <c r="R6058" i="52"/>
  <c r="S6058" i="52" s="1"/>
  <c r="Q6059" i="52"/>
  <c r="R6059" i="52" l="1"/>
  <c r="S6059" i="52" s="1"/>
  <c r="Q6060" i="52"/>
  <c r="R6060" i="52" l="1"/>
  <c r="S6060" i="52" s="1"/>
  <c r="Q6061" i="52"/>
  <c r="R6061" i="52" l="1"/>
  <c r="S6061" i="52" s="1"/>
  <c r="Q6062" i="52"/>
  <c r="R6062" i="52" s="1"/>
  <c r="S6062" i="52" s="1"/>
  <c r="Q6063" i="52" l="1"/>
  <c r="R6063" i="52" s="1"/>
  <c r="S6063" i="52" s="1"/>
  <c r="Q6064" i="52" l="1"/>
  <c r="R6064" i="52" s="1"/>
  <c r="S6064" i="52" s="1"/>
  <c r="Q6065" i="52" l="1"/>
  <c r="Q6066" i="52" s="1"/>
  <c r="R6065" i="52" l="1"/>
  <c r="S6065" i="52" s="1"/>
  <c r="R6066" i="52"/>
  <c r="S6066" i="52" s="1"/>
  <c r="Q6067" i="52"/>
  <c r="R6067" i="52" l="1"/>
  <c r="S6067" i="52" s="1"/>
  <c r="Q6068" i="52"/>
  <c r="R6068" i="52" l="1"/>
  <c r="S6068" i="52" s="1"/>
  <c r="Q6069" i="52"/>
  <c r="R6069" i="52" l="1"/>
  <c r="S6069" i="52" s="1"/>
  <c r="Q6070" i="52"/>
  <c r="Q6071" i="52" s="1"/>
  <c r="R6070" i="52" l="1"/>
  <c r="S6070" i="52" s="1"/>
  <c r="R6071" i="52"/>
  <c r="S6071" i="52" s="1"/>
  <c r="Q6072" i="52"/>
  <c r="Q6073" i="52" s="1"/>
  <c r="R6072" i="52" l="1"/>
  <c r="S6072" i="52" s="1"/>
  <c r="R6073" i="52"/>
  <c r="S6073" i="52" s="1"/>
  <c r="Q6074" i="52"/>
  <c r="Q6075" i="52" s="1"/>
  <c r="R6074" i="52" l="1"/>
  <c r="S6074" i="52" s="1"/>
  <c r="R6075" i="52"/>
  <c r="S6075" i="52" s="1"/>
  <c r="Q6076" i="52"/>
  <c r="R6076" i="52" l="1"/>
  <c r="S6076" i="52" s="1"/>
  <c r="Q6077" i="52"/>
  <c r="R6077" i="52" l="1"/>
  <c r="S6077" i="52" s="1"/>
  <c r="Q6078" i="52"/>
  <c r="Q6079" i="52" s="1"/>
  <c r="R6079" i="52" l="1"/>
  <c r="S6079" i="52" s="1"/>
  <c r="Q6080" i="52"/>
  <c r="Q6081" i="52" s="1"/>
  <c r="R6078" i="52"/>
  <c r="S6078" i="52" s="1"/>
  <c r="R6080" i="52" l="1"/>
  <c r="S6080" i="52" s="1"/>
  <c r="R6081" i="52"/>
  <c r="S6081" i="52" s="1"/>
  <c r="Q6082" i="52"/>
  <c r="R6082" i="52" l="1"/>
  <c r="S6082" i="52" s="1"/>
  <c r="Q6083" i="52"/>
  <c r="R6083" i="52" l="1"/>
  <c r="S6083" i="52" s="1"/>
  <c r="Q6084" i="52"/>
  <c r="R6084" i="52" l="1"/>
  <c r="S6084" i="52" s="1"/>
  <c r="Q6085" i="52"/>
  <c r="R6085" i="52" l="1"/>
  <c r="S6085" i="52" s="1"/>
  <c r="Q6086" i="52"/>
  <c r="R6086" i="52" l="1"/>
  <c r="S6086" i="52" s="1"/>
  <c r="Q6087" i="52"/>
  <c r="R6087" i="52" l="1"/>
  <c r="S6087" i="52" s="1"/>
  <c r="Q6088" i="52"/>
  <c r="R6088" i="52" l="1"/>
  <c r="S6088" i="52" s="1"/>
  <c r="Q6089" i="52"/>
  <c r="Q6090" i="52" s="1"/>
  <c r="R6089" i="52" l="1"/>
  <c r="S6089" i="52" s="1"/>
  <c r="R6090" i="52"/>
  <c r="S6090" i="52" s="1"/>
  <c r="Q6091" i="52"/>
  <c r="R6091" i="52" l="1"/>
  <c r="S6091" i="52" s="1"/>
  <c r="Q6092" i="52"/>
  <c r="Q6093" i="52" s="1"/>
  <c r="R6092" i="52" l="1"/>
  <c r="S6092" i="52" s="1"/>
  <c r="R6093" i="52"/>
  <c r="S6093" i="52" s="1"/>
  <c r="Q6094" i="52"/>
  <c r="Q6095" i="52" s="1"/>
  <c r="R6095" i="52" l="1"/>
  <c r="S6095" i="52" s="1"/>
  <c r="Q6096" i="52"/>
  <c r="R6094" i="52"/>
  <c r="S6094" i="52" s="1"/>
  <c r="R6096" i="52" l="1"/>
  <c r="S6096" i="52" s="1"/>
  <c r="Q6097" i="52"/>
  <c r="R6097" i="52" s="1"/>
  <c r="S6097" i="52" s="1"/>
  <c r="Q6098" i="52" l="1"/>
  <c r="Q6099" i="52" s="1"/>
  <c r="R6098" i="52" l="1"/>
  <c r="S6098" i="52" s="1"/>
  <c r="R6099" i="52"/>
  <c r="S6099" i="52" s="1"/>
  <c r="Q6100" i="52"/>
  <c r="R6100" i="52" l="1"/>
  <c r="S6100" i="52" s="1"/>
  <c r="Q6101" i="52"/>
  <c r="R6101" i="52" l="1"/>
  <c r="S6101" i="52" s="1"/>
  <c r="Q6102" i="52"/>
  <c r="R6102" i="52" l="1"/>
  <c r="S6102" i="52" s="1"/>
  <c r="Q6103" i="52"/>
  <c r="R6103" i="52" l="1"/>
  <c r="S6103" i="52" s="1"/>
  <c r="Q6104" i="52"/>
  <c r="R6104" i="52" l="1"/>
  <c r="S6104" i="52" s="1"/>
  <c r="Q6105" i="52"/>
  <c r="R6105" i="52" l="1"/>
  <c r="S6105" i="52" s="1"/>
  <c r="Q6106" i="52"/>
  <c r="R6106" i="52" l="1"/>
  <c r="S6106" i="52" s="1"/>
  <c r="Q6107" i="52"/>
  <c r="R6107" i="52" l="1"/>
  <c r="S6107" i="52" s="1"/>
  <c r="Q6108" i="52"/>
  <c r="R6108" i="52" l="1"/>
  <c r="S6108" i="52" s="1"/>
  <c r="Q6109" i="52"/>
  <c r="R6109" i="52" l="1"/>
  <c r="S6109" i="52" s="1"/>
  <c r="Q6110" i="52"/>
  <c r="R6110" i="52" l="1"/>
  <c r="S6110" i="52" s="1"/>
  <c r="Q6111" i="52"/>
  <c r="Q6112" i="52" s="1"/>
  <c r="R6111" i="52" l="1"/>
  <c r="S6111" i="52" s="1"/>
  <c r="R6112" i="52"/>
  <c r="S6112" i="52" s="1"/>
  <c r="Q6113" i="52"/>
  <c r="R6113" i="52" l="1"/>
  <c r="S6113" i="52" s="1"/>
  <c r="Q6114" i="52"/>
  <c r="Q6115" i="52" s="1"/>
  <c r="R6114" i="52" l="1"/>
  <c r="S6114" i="52" s="1"/>
  <c r="R6115" i="52"/>
  <c r="S6115" i="52" s="1"/>
  <c r="Q6116" i="52"/>
  <c r="R6116" i="52" l="1"/>
  <c r="S6116" i="52" s="1"/>
  <c r="Q6117" i="52"/>
  <c r="Q6118" i="52" s="1"/>
  <c r="R6118" i="52" l="1"/>
  <c r="S6118" i="52" s="1"/>
  <c r="Q6119" i="52"/>
  <c r="R6117" i="52"/>
  <c r="S6117" i="52" s="1"/>
  <c r="R6119" i="52" l="1"/>
  <c r="S6119" i="52" s="1"/>
  <c r="Q6120" i="52"/>
  <c r="Q6121" i="52" s="1"/>
  <c r="R6121" i="52" l="1"/>
  <c r="S6121" i="52" s="1"/>
  <c r="Q6122" i="52"/>
  <c r="R6120" i="52"/>
  <c r="S6120" i="52" s="1"/>
  <c r="R6122" i="52" l="1"/>
  <c r="S6122" i="52" s="1"/>
  <c r="Q6123" i="52"/>
  <c r="R6123" i="52" l="1"/>
  <c r="S6123" i="52" s="1"/>
  <c r="Q6124" i="52"/>
  <c r="R6124" i="52" l="1"/>
  <c r="S6124" i="52" s="1"/>
  <c r="Q6125" i="52"/>
  <c r="R6125" i="52" s="1"/>
  <c r="S6125" i="52" s="1"/>
  <c r="Q6126" i="52" l="1"/>
  <c r="Q6127" i="52" s="1"/>
  <c r="R6127" i="52" l="1"/>
  <c r="S6127" i="52" s="1"/>
  <c r="Q6128" i="52"/>
  <c r="R6126" i="52"/>
  <c r="S6126" i="52" s="1"/>
  <c r="R6128" i="52" l="1"/>
  <c r="S6128" i="52" s="1"/>
  <c r="Q6129" i="52"/>
  <c r="Q6130" i="52" s="1"/>
  <c r="R6129" i="52" l="1"/>
  <c r="S6129" i="52" s="1"/>
  <c r="R6130" i="52"/>
  <c r="S6130" i="52" s="1"/>
  <c r="Q6131" i="52"/>
  <c r="R6131" i="52" l="1"/>
  <c r="S6131" i="52" s="1"/>
  <c r="Q6132" i="52"/>
  <c r="R6132" i="52" l="1"/>
  <c r="S6132" i="52" s="1"/>
  <c r="Q6133" i="52"/>
  <c r="R6133" i="52" l="1"/>
  <c r="S6133" i="52" s="1"/>
  <c r="Q6134" i="52"/>
  <c r="R6134" i="52" l="1"/>
  <c r="S6134" i="52" s="1"/>
  <c r="Q6135" i="52"/>
  <c r="R6135" i="52" l="1"/>
  <c r="S6135" i="52" s="1"/>
  <c r="Q6136" i="52"/>
  <c r="R6136" i="52" l="1"/>
  <c r="S6136" i="52" s="1"/>
  <c r="Q6137" i="52"/>
  <c r="R6137" i="52" l="1"/>
  <c r="S6137" i="52" s="1"/>
  <c r="Q6138" i="52"/>
  <c r="R6138" i="52" s="1"/>
  <c r="S6138" i="52" s="1"/>
  <c r="Q6139" i="52" l="1"/>
  <c r="Q6140" i="52" s="1"/>
  <c r="R6140" i="52" l="1"/>
  <c r="S6140" i="52" s="1"/>
  <c r="Q6141" i="52"/>
  <c r="R6139" i="52"/>
  <c r="S6139" i="52" s="1"/>
  <c r="R6141" i="52" l="1"/>
  <c r="S6141" i="52" s="1"/>
  <c r="Q6142" i="52"/>
  <c r="R6142" i="52" l="1"/>
  <c r="S6142" i="52" s="1"/>
  <c r="Q6143" i="52"/>
  <c r="R6143" i="52" s="1"/>
  <c r="S6143" i="52" s="1"/>
  <c r="Q6144" i="52" l="1"/>
  <c r="Q6145" i="52" s="1"/>
  <c r="R6144" i="52" l="1"/>
  <c r="S6144" i="52" s="1"/>
  <c r="R6145" i="52"/>
  <c r="S6145" i="52" s="1"/>
  <c r="Q6146" i="52"/>
  <c r="R6146" i="52" l="1"/>
  <c r="S6146" i="52" s="1"/>
  <c r="Q6147" i="52"/>
  <c r="R6147" i="52" l="1"/>
  <c r="S6147" i="52" s="1"/>
  <c r="Q6148" i="52"/>
  <c r="R6148" i="52" l="1"/>
  <c r="S6148" i="52" s="1"/>
  <c r="Q6149" i="52"/>
  <c r="R6149" i="52" l="1"/>
  <c r="S6149" i="52" s="1"/>
  <c r="Q6150" i="52"/>
  <c r="R6150" i="52" l="1"/>
  <c r="S6150" i="52" s="1"/>
  <c r="Q6151" i="52"/>
  <c r="R6151" i="52" l="1"/>
  <c r="S6151" i="52" s="1"/>
  <c r="Q6152" i="52"/>
  <c r="R6152" i="52" l="1"/>
  <c r="S6152" i="52" s="1"/>
  <c r="Q6153" i="52"/>
  <c r="R6153" i="52" l="1"/>
  <c r="S6153" i="52" s="1"/>
  <c r="Q6154" i="52"/>
  <c r="R6154" i="52" l="1"/>
  <c r="S6154" i="52" s="1"/>
  <c r="Q6155" i="52"/>
  <c r="Q6156" i="52" s="1"/>
  <c r="R6156" i="52" l="1"/>
  <c r="S6156" i="52" s="1"/>
  <c r="Q6157" i="52"/>
  <c r="R6157" i="52" s="1"/>
  <c r="S6157" i="52" s="1"/>
  <c r="R6155" i="52"/>
  <c r="S6155" i="52" s="1"/>
  <c r="Q6158" i="52" l="1"/>
  <c r="Q6159" i="52" s="1"/>
  <c r="R6159" i="52" l="1"/>
  <c r="S6159" i="52" s="1"/>
  <c r="Q6160" i="52"/>
  <c r="R6158" i="52"/>
  <c r="S6158" i="52" s="1"/>
  <c r="R6160" i="52" l="1"/>
  <c r="S6160" i="52" s="1"/>
  <c r="Q6161" i="52"/>
  <c r="R6161" i="52" l="1"/>
  <c r="S6161" i="52" s="1"/>
  <c r="Q6162" i="52"/>
  <c r="Q6163" i="52" l="1"/>
  <c r="R6163" i="52" s="1"/>
  <c r="S6163" i="52" s="1"/>
  <c r="R6162" i="52"/>
  <c r="S6162" i="52" s="1"/>
  <c r="Q6164" i="52" l="1"/>
  <c r="Q6165" i="52" s="1"/>
  <c r="R6164" i="52" l="1"/>
  <c r="S6164" i="52" s="1"/>
  <c r="R6165" i="52"/>
  <c r="S6165" i="52" s="1"/>
  <c r="Q6166" i="52"/>
  <c r="R6166" i="52" l="1"/>
  <c r="S6166" i="52" s="1"/>
  <c r="Q6167" i="52"/>
  <c r="R6167" i="52" l="1"/>
  <c r="S6167" i="52" s="1"/>
  <c r="Q6168" i="52"/>
  <c r="R6168" i="52" l="1"/>
  <c r="S6168" i="52" s="1"/>
  <c r="Q6169" i="52"/>
  <c r="Q6170" i="52" s="1"/>
  <c r="R6169" i="52" l="1"/>
  <c r="S6169" i="52" s="1"/>
  <c r="R6170" i="52"/>
  <c r="S6170" i="52" s="1"/>
  <c r="Q6171" i="52"/>
  <c r="R6171" i="52" l="1"/>
  <c r="S6171" i="52" s="1"/>
  <c r="Q6172" i="52"/>
  <c r="R6172" i="52" l="1"/>
  <c r="S6172" i="52" s="1"/>
  <c r="Q6173" i="52"/>
  <c r="R6173" i="52" l="1"/>
  <c r="S6173" i="52" s="1"/>
  <c r="Q6174" i="52"/>
  <c r="R6174" i="52" l="1"/>
  <c r="S6174" i="52" s="1"/>
  <c r="Q6175" i="52"/>
  <c r="Q6176" i="52" s="1"/>
  <c r="R6175" i="52" l="1"/>
  <c r="S6175" i="52" s="1"/>
  <c r="R6176" i="52"/>
  <c r="S6176" i="52" s="1"/>
  <c r="Q6177" i="52"/>
  <c r="R6177" i="52" s="1"/>
  <c r="S6177" i="52" s="1"/>
  <c r="Q6178" i="52" l="1"/>
  <c r="Q6179" i="52" s="1"/>
  <c r="R6178" i="52" l="1"/>
  <c r="S6178" i="52" s="1"/>
  <c r="R6179" i="52"/>
  <c r="S6179" i="52" s="1"/>
  <c r="Q6180" i="52"/>
  <c r="R6180" i="52" l="1"/>
  <c r="S6180" i="52" s="1"/>
  <c r="Q6181" i="52"/>
  <c r="R6181" i="52" s="1"/>
  <c r="S6181" i="52" s="1"/>
  <c r="Q6182" i="52" l="1"/>
  <c r="R6182" i="52" s="1"/>
  <c r="S6182" i="52" s="1"/>
  <c r="Q6183" i="52" l="1"/>
  <c r="Q6184" i="52" s="1"/>
  <c r="R6183" i="52" l="1"/>
  <c r="S6183" i="52" s="1"/>
  <c r="R6184" i="52"/>
  <c r="S6184" i="52" s="1"/>
  <c r="Q6185" i="52"/>
  <c r="R6185" i="52" l="1"/>
  <c r="S6185" i="52" s="1"/>
  <c r="Q6186" i="52"/>
  <c r="R6186" i="52" l="1"/>
  <c r="S6186" i="52" s="1"/>
  <c r="Q6187" i="52"/>
  <c r="R6187" i="52" l="1"/>
  <c r="S6187" i="52" s="1"/>
  <c r="Q6188" i="52"/>
  <c r="R6188" i="52" l="1"/>
  <c r="S6188" i="52" s="1"/>
  <c r="Q6189" i="52"/>
  <c r="R6189" i="52" l="1"/>
  <c r="S6189" i="52" s="1"/>
  <c r="Q6190" i="52"/>
  <c r="R6190" i="52" l="1"/>
  <c r="S6190" i="52" s="1"/>
  <c r="Q6191" i="52"/>
  <c r="R6191" i="52" l="1"/>
  <c r="S6191" i="52" s="1"/>
  <c r="Q6192" i="52"/>
  <c r="R6192" i="52" s="1"/>
  <c r="S6192" i="52" s="1"/>
  <c r="Q6193" i="52" l="1"/>
  <c r="Q6194" i="52" s="1"/>
  <c r="R6193" i="52" l="1"/>
  <c r="S6193" i="52" s="1"/>
  <c r="R6194" i="52"/>
  <c r="S6194" i="52" s="1"/>
  <c r="Q6195" i="52"/>
  <c r="Q6196" i="52" s="1"/>
  <c r="R6196" i="52" l="1"/>
  <c r="S6196" i="52" s="1"/>
  <c r="Q6197" i="52"/>
  <c r="R6195" i="52"/>
  <c r="S6195" i="52" s="1"/>
  <c r="R6197" i="52" l="1"/>
  <c r="S6197" i="52" s="1"/>
  <c r="Q6198" i="52"/>
  <c r="R6198" i="52" l="1"/>
  <c r="S6198" i="52" s="1"/>
  <c r="Q6199" i="52"/>
  <c r="Q6200" i="52" s="1"/>
  <c r="R6199" i="52" l="1"/>
  <c r="S6199" i="52" s="1"/>
  <c r="R6200" i="52"/>
  <c r="S6200" i="52" s="1"/>
  <c r="Q6201" i="52"/>
  <c r="R6201" i="52" l="1"/>
  <c r="S6201" i="52" s="1"/>
  <c r="Q6202" i="52"/>
  <c r="R6202" i="52" l="1"/>
  <c r="S6202" i="52" s="1"/>
  <c r="Q6203" i="52"/>
  <c r="R6203" i="52" s="1"/>
  <c r="S6203" i="52" s="1"/>
  <c r="Q6204" i="52" l="1"/>
  <c r="Q6205" i="52" l="1"/>
  <c r="Q6206" i="52" s="1"/>
  <c r="R6204" i="52"/>
  <c r="S6204" i="52" s="1"/>
  <c r="R6205" i="52" l="1"/>
  <c r="S6205" i="52" s="1"/>
  <c r="R6206" i="52"/>
  <c r="S6206" i="52" s="1"/>
  <c r="Q6207" i="52"/>
  <c r="R6207" i="52" l="1"/>
  <c r="S6207" i="52" s="1"/>
  <c r="Q6208" i="52"/>
  <c r="Q6209" i="52" s="1"/>
  <c r="R6208" i="52" l="1"/>
  <c r="S6208" i="52" s="1"/>
  <c r="R6209" i="52"/>
  <c r="S6209" i="52" s="1"/>
  <c r="Q6210" i="52"/>
  <c r="R6210" i="52" l="1"/>
  <c r="S6210" i="52" s="1"/>
  <c r="Q6211" i="52"/>
  <c r="R6211" i="52" l="1"/>
  <c r="S6211" i="52" s="1"/>
  <c r="Q6212" i="52"/>
  <c r="R6212" i="52" l="1"/>
  <c r="S6212" i="52" s="1"/>
  <c r="Q6213" i="52"/>
  <c r="R6213" i="52" l="1"/>
  <c r="S6213" i="52" s="1"/>
  <c r="Q6214" i="52"/>
  <c r="Q6215" i="52" s="1"/>
  <c r="R6214" i="52" l="1"/>
  <c r="S6214" i="52" s="1"/>
  <c r="R6215" i="52"/>
  <c r="S6215" i="52" s="1"/>
  <c r="Q6216" i="52"/>
  <c r="R6216" i="52" l="1"/>
  <c r="S6216" i="52" s="1"/>
  <c r="Q6217" i="52"/>
  <c r="R6217" i="52" l="1"/>
  <c r="S6217" i="52" s="1"/>
  <c r="Q6218" i="52"/>
  <c r="R6218" i="52" l="1"/>
  <c r="S6218" i="52" s="1"/>
  <c r="Q6219" i="52"/>
  <c r="R6219" i="52" l="1"/>
  <c r="S6219" i="52" s="1"/>
  <c r="Q6220" i="52"/>
  <c r="Q6221" i="52" s="1"/>
  <c r="R6220" i="52" l="1"/>
  <c r="S6220" i="52" s="1"/>
  <c r="R6221" i="52"/>
  <c r="S6221" i="52" s="1"/>
  <c r="Q6222" i="52"/>
  <c r="R6222" i="52" l="1"/>
  <c r="S6222" i="52" s="1"/>
  <c r="Q6223" i="52"/>
  <c r="R6223" i="52" l="1"/>
  <c r="S6223" i="52" s="1"/>
  <c r="Q6224" i="52"/>
  <c r="R6224" i="52" l="1"/>
  <c r="S6224" i="52" s="1"/>
  <c r="Q6225" i="52"/>
  <c r="R6225" i="52" l="1"/>
  <c r="S6225" i="52" s="1"/>
  <c r="Q6226" i="52"/>
  <c r="R6226" i="52" l="1"/>
  <c r="S6226" i="52" s="1"/>
  <c r="Q6227" i="52"/>
  <c r="R6227" i="52" l="1"/>
  <c r="S6227" i="52" s="1"/>
  <c r="Q6228" i="52"/>
  <c r="R6228" i="52" l="1"/>
  <c r="S6228" i="52" s="1"/>
  <c r="Q6229" i="52"/>
  <c r="R6229" i="52" l="1"/>
  <c r="S6229" i="52" s="1"/>
  <c r="Q6230" i="52"/>
  <c r="R6230" i="52" l="1"/>
  <c r="S6230" i="52" s="1"/>
  <c r="Q6231" i="52"/>
  <c r="R6231" i="52" l="1"/>
  <c r="S6231" i="52" s="1"/>
  <c r="Q6232" i="52"/>
  <c r="R6232" i="52" l="1"/>
  <c r="S6232" i="52" s="1"/>
  <c r="Q6233" i="52"/>
  <c r="R6233" i="52" l="1"/>
  <c r="S6233" i="52" s="1"/>
  <c r="Q6234" i="52"/>
  <c r="R6234" i="52" l="1"/>
  <c r="S6234" i="52" s="1"/>
  <c r="Q6235" i="52"/>
  <c r="R6235" i="52" l="1"/>
  <c r="S6235" i="52" s="1"/>
  <c r="Q6236" i="52"/>
  <c r="R6236" i="52" s="1"/>
  <c r="S6236" i="52" s="1"/>
  <c r="Q6237" i="52" l="1"/>
  <c r="Q6238" i="52" s="1"/>
  <c r="R6238" i="52" l="1"/>
  <c r="S6238" i="52" s="1"/>
  <c r="Q6239" i="52"/>
  <c r="R6237" i="52"/>
  <c r="S6237" i="52" s="1"/>
  <c r="R6239" i="52" l="1"/>
  <c r="S6239" i="52" s="1"/>
  <c r="Q6240" i="52"/>
  <c r="Q6241" i="52" s="1"/>
  <c r="R6240" i="52" l="1"/>
  <c r="S6240" i="52" s="1"/>
  <c r="R6241" i="52"/>
  <c r="S6241" i="52" s="1"/>
  <c r="Q6242" i="52"/>
  <c r="R6242" i="52" l="1"/>
  <c r="S6242" i="52" s="1"/>
  <c r="Q6243" i="52"/>
  <c r="R6243" i="52" l="1"/>
  <c r="S6243" i="52" s="1"/>
  <c r="Q6244" i="52"/>
  <c r="R6244" i="52" l="1"/>
  <c r="S6244" i="52" s="1"/>
  <c r="Q6245" i="52"/>
  <c r="R6245" i="52" l="1"/>
  <c r="S6245" i="52" s="1"/>
  <c r="Q6246" i="52"/>
  <c r="R6246" i="52" l="1"/>
  <c r="S6246" i="52" s="1"/>
  <c r="Q6247" i="52"/>
  <c r="R6247" i="52" s="1"/>
  <c r="S6247" i="52" s="1"/>
  <c r="Q6248" i="52" l="1"/>
  <c r="Q6249" i="52" s="1"/>
  <c r="R6248" i="52" l="1"/>
  <c r="S6248" i="52" s="1"/>
  <c r="R6249" i="52"/>
  <c r="S6249" i="52" s="1"/>
  <c r="Q6250" i="52"/>
  <c r="R6250" i="52" l="1"/>
  <c r="S6250" i="52" s="1"/>
  <c r="Q6251" i="52"/>
  <c r="R6251" i="52" l="1"/>
  <c r="S6251" i="52" s="1"/>
  <c r="Q6252" i="52"/>
  <c r="R6252" i="52" l="1"/>
  <c r="S6252" i="52" s="1"/>
  <c r="Q6253" i="52"/>
  <c r="R6253" i="52" l="1"/>
  <c r="S6253" i="52" s="1"/>
  <c r="Q6254" i="52"/>
  <c r="R6254" i="52" l="1"/>
  <c r="S6254" i="52" s="1"/>
  <c r="Q6255" i="52"/>
  <c r="R6255" i="52" l="1"/>
  <c r="S6255" i="52" s="1"/>
  <c r="Q6256" i="52"/>
  <c r="R6256" i="52" l="1"/>
  <c r="S6256" i="52" s="1"/>
  <c r="Q6257" i="52"/>
  <c r="R6257" i="52" l="1"/>
  <c r="S6257" i="52" s="1"/>
  <c r="Q6258" i="52"/>
  <c r="Q6259" i="52" s="1"/>
  <c r="R6258" i="52" l="1"/>
  <c r="S6258" i="52" s="1"/>
  <c r="R6259" i="52"/>
  <c r="S6259" i="52" s="1"/>
  <c r="Q6260" i="52"/>
  <c r="R6260" i="52" l="1"/>
  <c r="S6260" i="52" s="1"/>
  <c r="Q6261" i="52"/>
  <c r="R6261" i="52" l="1"/>
  <c r="S6261" i="52" s="1"/>
  <c r="Q6262" i="52"/>
  <c r="R6262" i="52" l="1"/>
  <c r="S6262" i="52" s="1"/>
  <c r="Q6263" i="52"/>
  <c r="R6263" i="52" s="1"/>
  <c r="S6263" i="52" s="1"/>
  <c r="Q6264" i="52" l="1"/>
  <c r="Q6265" i="52" l="1"/>
  <c r="Q6266" i="52" s="1"/>
  <c r="R6264" i="52"/>
  <c r="S6264" i="52" s="1"/>
  <c r="R6265" i="52" l="1"/>
  <c r="S6265" i="52" s="1"/>
  <c r="R6266" i="52"/>
  <c r="S6266" i="52" s="1"/>
  <c r="Q6267" i="52"/>
  <c r="R6267" i="52" l="1"/>
  <c r="S6267" i="52" s="1"/>
  <c r="Q6268" i="52"/>
  <c r="R6268" i="52" l="1"/>
  <c r="S6268" i="52" s="1"/>
  <c r="Q6269" i="52"/>
  <c r="R6269" i="52" l="1"/>
  <c r="S6269" i="52" s="1"/>
  <c r="Q6270" i="52"/>
  <c r="R6270" i="52" l="1"/>
  <c r="S6270" i="52" s="1"/>
  <c r="Q6271" i="52"/>
  <c r="R6271" i="52" l="1"/>
  <c r="S6271" i="52" s="1"/>
  <c r="Q6272" i="52"/>
  <c r="R6272" i="52" l="1"/>
  <c r="S6272" i="52" s="1"/>
  <c r="Q6273" i="52"/>
  <c r="R6273" i="52" l="1"/>
  <c r="S6273" i="52" s="1"/>
  <c r="Q6274" i="52"/>
  <c r="Q6275" i="52" s="1"/>
  <c r="R6274" i="52" l="1"/>
  <c r="S6274" i="52" s="1"/>
  <c r="R6275" i="52"/>
  <c r="S6275" i="52" s="1"/>
  <c r="Q6276" i="52"/>
  <c r="Q6277" i="52" s="1"/>
  <c r="R6276" i="52" l="1"/>
  <c r="S6276" i="52" s="1"/>
  <c r="R6277" i="52"/>
  <c r="S6277" i="52" s="1"/>
  <c r="Q6278" i="52"/>
  <c r="Q6279" i="52" s="1"/>
  <c r="R6278" i="52" l="1"/>
  <c r="S6278" i="52" s="1"/>
  <c r="R6279" i="52"/>
  <c r="S6279" i="52" s="1"/>
  <c r="Q6280" i="52"/>
  <c r="R6280" i="52" l="1"/>
  <c r="S6280" i="52" s="1"/>
  <c r="Q6281" i="52"/>
  <c r="R6281" i="52" l="1"/>
  <c r="S6281" i="52" s="1"/>
  <c r="Q6282" i="52"/>
  <c r="Q6283" i="52" s="1"/>
  <c r="R6282" i="52" l="1"/>
  <c r="S6282" i="52" s="1"/>
  <c r="R6283" i="52"/>
  <c r="S6283" i="52" s="1"/>
  <c r="Q6284" i="52"/>
  <c r="Q6285" i="52" s="1"/>
  <c r="R6284" i="52" l="1"/>
  <c r="S6284" i="52" s="1"/>
  <c r="R6285" i="52"/>
  <c r="S6285" i="52" s="1"/>
  <c r="Q6286" i="52"/>
  <c r="Q6287" i="52" s="1"/>
  <c r="R6286" i="52" l="1"/>
  <c r="S6286" i="52" s="1"/>
  <c r="R6287" i="52"/>
  <c r="S6287" i="52" s="1"/>
  <c r="Q6288" i="52"/>
  <c r="Q6289" i="52" s="1"/>
  <c r="R6288" i="52" l="1"/>
  <c r="S6288" i="52" s="1"/>
  <c r="R6289" i="52"/>
  <c r="S6289" i="52" s="1"/>
  <c r="Q6290" i="52"/>
  <c r="R6290" i="52" l="1"/>
  <c r="S6290" i="52" s="1"/>
  <c r="Q6291" i="52"/>
  <c r="Q6292" i="52" s="1"/>
  <c r="R6291" i="52" l="1"/>
  <c r="S6291" i="52" s="1"/>
  <c r="R6292" i="52"/>
  <c r="S6292" i="52" s="1"/>
  <c r="Q6293" i="52"/>
  <c r="R6293" i="52" l="1"/>
  <c r="S6293" i="52" s="1"/>
  <c r="Q6294" i="52"/>
  <c r="R6294" i="52" l="1"/>
  <c r="S6294" i="52" s="1"/>
  <c r="Q6295" i="52"/>
  <c r="R6295" i="52" l="1"/>
  <c r="S6295" i="52" s="1"/>
  <c r="Q6296" i="52"/>
  <c r="R6296" i="52" l="1"/>
  <c r="S6296" i="52" s="1"/>
  <c r="Q6297" i="52"/>
  <c r="R6297" i="52" l="1"/>
  <c r="S6297" i="52" s="1"/>
  <c r="Q6298" i="52"/>
  <c r="Q6299" i="52" s="1"/>
  <c r="R6298" i="52" l="1"/>
  <c r="S6298" i="52" s="1"/>
  <c r="R6299" i="52"/>
  <c r="S6299" i="52" s="1"/>
  <c r="Q6300" i="52"/>
  <c r="R6300" i="52" l="1"/>
  <c r="S6300" i="52" s="1"/>
  <c r="Q6301" i="52"/>
  <c r="R6301" i="52" l="1"/>
  <c r="S6301" i="52" s="1"/>
  <c r="Q6302" i="52"/>
  <c r="R6302" i="52" l="1"/>
  <c r="S6302" i="52" s="1"/>
  <c r="Q6303" i="52"/>
  <c r="R6303" i="52" l="1"/>
  <c r="S6303" i="52" s="1"/>
  <c r="Q6304" i="52"/>
  <c r="R6304" i="52" l="1"/>
  <c r="S6304" i="52" s="1"/>
  <c r="Q6305" i="52"/>
  <c r="R6305" i="52" l="1"/>
  <c r="S6305" i="52" s="1"/>
  <c r="Q6306" i="52"/>
  <c r="Q6307" i="52" s="1"/>
  <c r="R6306" i="52" l="1"/>
  <c r="S6306" i="52" s="1"/>
  <c r="R6307" i="52"/>
  <c r="S6307" i="52" s="1"/>
  <c r="Q6308" i="52" l="1"/>
  <c r="Q6309" i="52" l="1"/>
  <c r="Q6310" i="52" s="1"/>
  <c r="R6308" i="52"/>
  <c r="S6308" i="52" s="1"/>
  <c r="R6309" i="52" l="1"/>
  <c r="S6309" i="52" s="1"/>
  <c r="R6310" i="52"/>
  <c r="S6310" i="52" s="1"/>
  <c r="Q6311" i="52"/>
  <c r="Q6312" i="52" l="1"/>
  <c r="R6311" i="52"/>
  <c r="S6311" i="52" s="1"/>
  <c r="Q6352" i="52"/>
  <c r="Q6313" i="52" l="1"/>
  <c r="R6312" i="52"/>
  <c r="S6312" i="52" s="1"/>
  <c r="R6352" i="52"/>
  <c r="S6352" i="52" s="1"/>
  <c r="Q6353" i="52"/>
  <c r="Q6314" i="52" l="1"/>
  <c r="R6313" i="52"/>
  <c r="S6313" i="52" s="1"/>
  <c r="R6353" i="52"/>
  <c r="S6353" i="52" s="1"/>
  <c r="Q6354" i="52"/>
  <c r="Q6315" i="52" l="1"/>
  <c r="R6314" i="52"/>
  <c r="S6314" i="52" s="1"/>
  <c r="R6354" i="52"/>
  <c r="S6354" i="52" s="1"/>
  <c r="Q6355" i="52"/>
  <c r="Q6316" i="52" l="1"/>
  <c r="R6315" i="52"/>
  <c r="S6315" i="52" s="1"/>
  <c r="R6355" i="52"/>
  <c r="S6355" i="52" s="1"/>
  <c r="Q6356" i="52"/>
  <c r="Q6317" i="52" l="1"/>
  <c r="R6316" i="52"/>
  <c r="S6316" i="52" s="1"/>
  <c r="R6356" i="52"/>
  <c r="S6356" i="52" s="1"/>
  <c r="Q6357" i="52"/>
  <c r="R6357" i="52" s="1"/>
  <c r="S6357" i="52" s="1"/>
  <c r="Q6318" i="52" l="1"/>
  <c r="R6317" i="52"/>
  <c r="S6317" i="52" s="1"/>
  <c r="Q6358" i="52"/>
  <c r="Q6319" i="52" l="1"/>
  <c r="R6318" i="52"/>
  <c r="S6318" i="52" s="1"/>
  <c r="Q6359" i="52"/>
  <c r="R6359" i="52" s="1"/>
  <c r="S6359" i="52" s="1"/>
  <c r="R6358" i="52"/>
  <c r="S6358" i="52" s="1"/>
  <c r="Q6320" i="52" l="1"/>
  <c r="R6319" i="52"/>
  <c r="S6319" i="52" s="1"/>
  <c r="Q6360" i="52"/>
  <c r="Q6361" i="52" s="1"/>
  <c r="Q6321" i="52" l="1"/>
  <c r="R6320" i="52"/>
  <c r="S6320" i="52" s="1"/>
  <c r="R6360" i="52"/>
  <c r="S6360" i="52" s="1"/>
  <c r="R6361" i="52"/>
  <c r="S6361" i="52" s="1"/>
  <c r="Q6362" i="52"/>
  <c r="Q6322" i="52" l="1"/>
  <c r="R6321" i="52"/>
  <c r="S6321" i="52" s="1"/>
  <c r="R6362" i="52"/>
  <c r="S6362" i="52" s="1"/>
  <c r="Q6363" i="52"/>
  <c r="Q6323" i="52" l="1"/>
  <c r="R6322" i="52"/>
  <c r="S6322" i="52" s="1"/>
  <c r="R6363" i="52"/>
  <c r="S6363" i="52" s="1"/>
  <c r="Q6364" i="52"/>
  <c r="Q6324" i="52" l="1"/>
  <c r="R6323" i="52"/>
  <c r="S6323" i="52" s="1"/>
  <c r="R6364" i="52"/>
  <c r="S6364" i="52" s="1"/>
  <c r="Q6365" i="52"/>
  <c r="Q6325" i="52" l="1"/>
  <c r="R6324" i="52"/>
  <c r="S6324" i="52" s="1"/>
  <c r="R6365" i="52"/>
  <c r="S6365" i="52" s="1"/>
  <c r="Q6366" i="52"/>
  <c r="Q6326" i="52" l="1"/>
  <c r="R6325" i="52"/>
  <c r="S6325" i="52" s="1"/>
  <c r="R6366" i="52"/>
  <c r="S6366" i="52" s="1"/>
  <c r="Q6367" i="52"/>
  <c r="Q6327" i="52" l="1"/>
  <c r="R6326" i="52"/>
  <c r="S6326" i="52" s="1"/>
  <c r="R6367" i="52"/>
  <c r="S6367" i="52" s="1"/>
  <c r="Q6368" i="52"/>
  <c r="Q6328" i="52" l="1"/>
  <c r="R6327" i="52"/>
  <c r="S6327" i="52" s="1"/>
  <c r="R6368" i="52"/>
  <c r="S6368" i="52" s="1"/>
  <c r="Q6369" i="52"/>
  <c r="Q6329" i="52" l="1"/>
  <c r="R6328" i="52"/>
  <c r="S6328" i="52" s="1"/>
  <c r="Q6370" i="52"/>
  <c r="Q6371" i="52" s="1"/>
  <c r="R6369" i="52"/>
  <c r="S6369" i="52" s="1"/>
  <c r="Q6330" i="52" l="1"/>
  <c r="R6329" i="52"/>
  <c r="S6329" i="52" s="1"/>
  <c r="R6370" i="52"/>
  <c r="S6370" i="52" s="1"/>
  <c r="R6371" i="52"/>
  <c r="S6371" i="52" s="1"/>
  <c r="Q6372" i="52"/>
  <c r="Q6331" i="52" l="1"/>
  <c r="R6330" i="52"/>
  <c r="S6330" i="52" s="1"/>
  <c r="R6372" i="52"/>
  <c r="S6372" i="52" s="1"/>
  <c r="Q6373" i="52"/>
  <c r="Q6332" i="52" l="1"/>
  <c r="R6331" i="52"/>
  <c r="S6331" i="52" s="1"/>
  <c r="R6373" i="52"/>
  <c r="S6373" i="52" s="1"/>
  <c r="Q6374" i="52"/>
  <c r="Q6333" i="52" l="1"/>
  <c r="R6332" i="52"/>
  <c r="S6332" i="52" s="1"/>
  <c r="R6374" i="52"/>
  <c r="S6374" i="52" s="1"/>
  <c r="Q6375" i="52"/>
  <c r="Q6334" i="52" l="1"/>
  <c r="R6333" i="52"/>
  <c r="S6333" i="52" s="1"/>
  <c r="R6375" i="52"/>
  <c r="S6375" i="52" s="1"/>
  <c r="Q6376" i="52"/>
  <c r="Q6335" i="52" l="1"/>
  <c r="R6334" i="52"/>
  <c r="S6334" i="52" s="1"/>
  <c r="R6376" i="52"/>
  <c r="S6376" i="52" s="1"/>
  <c r="Q6377" i="52"/>
  <c r="Q6336" i="52" l="1"/>
  <c r="R6335" i="52"/>
  <c r="S6335" i="52" s="1"/>
  <c r="R6377" i="52"/>
  <c r="S6377" i="52" s="1"/>
  <c r="Q6378" i="52"/>
  <c r="R6378" i="52" s="1"/>
  <c r="S6378" i="52" s="1"/>
  <c r="Q6337" i="52" l="1"/>
  <c r="R6336" i="52"/>
  <c r="S6336" i="52" s="1"/>
  <c r="Q6379" i="52"/>
  <c r="Q6338" i="52" l="1"/>
  <c r="R6337" i="52"/>
  <c r="S6337" i="52" s="1"/>
  <c r="Q6380" i="52"/>
  <c r="Q6381" i="52" s="1"/>
  <c r="R6379" i="52"/>
  <c r="S6379" i="52" s="1"/>
  <c r="Q6339" i="52" l="1"/>
  <c r="R6338" i="52"/>
  <c r="S6338" i="52" s="1"/>
  <c r="R6380" i="52"/>
  <c r="S6380" i="52" s="1"/>
  <c r="R6381" i="52"/>
  <c r="S6381" i="52" s="1"/>
  <c r="Q6382" i="52"/>
  <c r="Q6383" i="52" s="1"/>
  <c r="Q6340" i="52" l="1"/>
  <c r="R6339" i="52"/>
  <c r="S6339" i="52" s="1"/>
  <c r="R6382" i="52"/>
  <c r="S6382" i="52" s="1"/>
  <c r="R6383" i="52"/>
  <c r="S6383" i="52" s="1"/>
  <c r="Q6384" i="52"/>
  <c r="Q6385" i="52" s="1"/>
  <c r="Q6341" i="52" l="1"/>
  <c r="R6340" i="52"/>
  <c r="S6340" i="52" s="1"/>
  <c r="R6384" i="52"/>
  <c r="S6384" i="52" s="1"/>
  <c r="R6385" i="52"/>
  <c r="S6385" i="52" s="1"/>
  <c r="Q6386" i="52"/>
  <c r="Q6342" i="52" l="1"/>
  <c r="R6341" i="52"/>
  <c r="S6341" i="52" s="1"/>
  <c r="R6386" i="52"/>
  <c r="S6386" i="52" s="1"/>
  <c r="Q6387" i="52"/>
  <c r="Q6388" i="52" s="1"/>
  <c r="Q6343" i="52" l="1"/>
  <c r="R6342" i="52"/>
  <c r="S6342" i="52" s="1"/>
  <c r="R6387" i="52"/>
  <c r="S6387" i="52" s="1"/>
  <c r="R6388" i="52"/>
  <c r="S6388" i="52" s="1"/>
  <c r="Q6389" i="52"/>
  <c r="Q6344" i="52" l="1"/>
  <c r="R6343" i="52"/>
  <c r="S6343" i="52" s="1"/>
  <c r="R6389" i="52"/>
  <c r="S6389" i="52" s="1"/>
  <c r="Q6390" i="52"/>
  <c r="R6390" i="52" s="1"/>
  <c r="S6390" i="52" s="1"/>
  <c r="Q6345" i="52" l="1"/>
  <c r="R6344" i="52"/>
  <c r="S6344" i="52" s="1"/>
  <c r="Q6391" i="52"/>
  <c r="Q6346" i="52" l="1"/>
  <c r="R6345" i="52"/>
  <c r="S6345" i="52" s="1"/>
  <c r="Q6392" i="52"/>
  <c r="Q6393" i="52" s="1"/>
  <c r="R6391" i="52"/>
  <c r="S6391" i="52" s="1"/>
  <c r="Q6347" i="52" l="1"/>
  <c r="R6346" i="52"/>
  <c r="S6346" i="52" s="1"/>
  <c r="R6392" i="52"/>
  <c r="S6392" i="52" s="1"/>
  <c r="R6393" i="52"/>
  <c r="S6393" i="52" s="1"/>
  <c r="Q6394" i="52"/>
  <c r="Q6395" i="52" s="1"/>
  <c r="Q6348" i="52" l="1"/>
  <c r="R6347" i="52"/>
  <c r="S6347" i="52" s="1"/>
  <c r="R6394" i="52"/>
  <c r="S6394" i="52" s="1"/>
  <c r="R6395" i="52"/>
  <c r="S6395" i="52" s="1"/>
  <c r="Q6396" i="52"/>
  <c r="Q6349" i="52" l="1"/>
  <c r="R6348" i="52"/>
  <c r="S6348" i="52" s="1"/>
  <c r="R6396" i="52"/>
  <c r="S6396" i="52" s="1"/>
  <c r="Q6397" i="52"/>
  <c r="Q6350" i="52" l="1"/>
  <c r="R6349" i="52"/>
  <c r="S6349" i="52" s="1"/>
  <c r="R6397" i="52"/>
  <c r="S6397" i="52" s="1"/>
  <c r="Q6398" i="52"/>
  <c r="Q6351" i="52" l="1"/>
  <c r="R6351" i="52" s="1"/>
  <c r="S6351" i="52" s="1"/>
  <c r="R6350" i="52"/>
  <c r="S6350" i="52" s="1"/>
  <c r="R6398" i="52"/>
  <c r="S6398" i="52" s="1"/>
  <c r="Q6399" i="52"/>
  <c r="R6399" i="52" l="1"/>
  <c r="S6399" i="52" s="1"/>
  <c r="Q6400" i="52"/>
  <c r="R6400" i="52" l="1"/>
  <c r="S6400" i="52" s="1"/>
  <c r="Q6401" i="52"/>
  <c r="R6401" i="52" l="1"/>
  <c r="S6401" i="52" s="1"/>
  <c r="Q6402" i="52"/>
  <c r="R6402" i="52" l="1"/>
  <c r="S6402" i="52" s="1"/>
  <c r="Q6403" i="52"/>
  <c r="R6403" i="52" l="1"/>
  <c r="S6403" i="52" s="1"/>
  <c r="Q6404" i="52"/>
  <c r="R6404" i="52" l="1"/>
  <c r="S6404" i="52" s="1"/>
  <c r="Q6405" i="52"/>
  <c r="R6405" i="52" l="1"/>
  <c r="S6405" i="52" s="1"/>
  <c r="Q6406" i="52"/>
  <c r="Q6407" i="52" s="1"/>
  <c r="R6406" i="52" l="1"/>
  <c r="S6406" i="52" s="1"/>
  <c r="R6407" i="52"/>
  <c r="S6407" i="52" s="1"/>
  <c r="Q6408" i="52"/>
  <c r="R6408" i="52" l="1"/>
  <c r="S6408" i="52" s="1"/>
  <c r="Q6409" i="52"/>
  <c r="R6409" i="52" l="1"/>
  <c r="S6409" i="52" s="1"/>
  <c r="Q6410" i="52"/>
  <c r="Q6411" i="52" s="1"/>
  <c r="R6410" i="52" l="1"/>
  <c r="S6410" i="52" s="1"/>
  <c r="R6411" i="52"/>
  <c r="S6411" i="52" s="1"/>
  <c r="Q6412" i="52"/>
  <c r="R6412" i="52" l="1"/>
  <c r="S6412" i="52" s="1"/>
  <c r="Q6413" i="52"/>
  <c r="R6413" i="52" l="1"/>
  <c r="S6413" i="52" s="1"/>
  <c r="Q6414" i="52"/>
  <c r="R6414" i="52" l="1"/>
  <c r="S6414" i="52" s="1"/>
  <c r="Q6415" i="52"/>
  <c r="R6415" i="52" l="1"/>
  <c r="S6415" i="52" s="1"/>
  <c r="Q6416" i="52"/>
  <c r="R6416" i="52" l="1"/>
  <c r="S6416" i="52" s="1"/>
  <c r="Q6417" i="52"/>
  <c r="R6417" i="52" l="1"/>
  <c r="S6417" i="52" s="1"/>
  <c r="Q6418" i="52"/>
  <c r="R6418" i="52" l="1"/>
  <c r="S6418" i="52" s="1"/>
  <c r="Q6419" i="52"/>
  <c r="R6419" i="52" l="1"/>
  <c r="S6419" i="52" s="1"/>
  <c r="Q6420" i="52"/>
  <c r="R6420" i="52" l="1"/>
  <c r="S6420" i="52" s="1"/>
  <c r="Q6421" i="52"/>
  <c r="R6421" i="52" l="1"/>
  <c r="S6421" i="52" s="1"/>
  <c r="Q6422" i="52"/>
  <c r="R6422" i="52" s="1"/>
  <c r="S6422" i="52" s="1"/>
  <c r="Q6423" i="52" l="1"/>
  <c r="Q6424" i="52" s="1"/>
  <c r="R6424" i="52" l="1"/>
  <c r="S6424" i="52" s="1"/>
  <c r="Q6425" i="52"/>
  <c r="R6423" i="52"/>
  <c r="S6423" i="52" s="1"/>
  <c r="Q6426" i="52" l="1"/>
  <c r="R6425" i="52"/>
  <c r="S6425" i="52" s="1"/>
  <c r="Q6427" i="52" l="1"/>
  <c r="Q6428" i="52" s="1"/>
  <c r="R6426" i="52"/>
  <c r="S6426" i="52" s="1"/>
  <c r="R6427" i="52" l="1"/>
  <c r="S6427" i="52" s="1"/>
  <c r="R6428" i="52"/>
  <c r="S6428" i="52" s="1"/>
  <c r="Q6429" i="52"/>
  <c r="R6429" i="52" l="1"/>
  <c r="S6429" i="52" s="1"/>
  <c r="Q6430" i="52"/>
  <c r="R6430" i="52" l="1"/>
  <c r="S6430" i="52" s="1"/>
  <c r="Q6431" i="52"/>
  <c r="Q6432" i="52" s="1"/>
  <c r="R6431" i="52" l="1"/>
  <c r="S6431" i="52" s="1"/>
  <c r="R6432" i="52"/>
  <c r="S6432" i="52" s="1"/>
  <c r="Q6433" i="52"/>
  <c r="R6433" i="52" l="1"/>
  <c r="S6433" i="52" s="1"/>
  <c r="Q6434" i="52"/>
  <c r="Q6435" i="52" s="1"/>
  <c r="R6434" i="52" l="1"/>
  <c r="S6434" i="52" s="1"/>
  <c r="R6435" i="52"/>
  <c r="S6435" i="52" s="1"/>
  <c r="Q6436" i="52"/>
  <c r="R6436" i="52" l="1"/>
  <c r="S6436" i="52" s="1"/>
  <c r="Q6437" i="52"/>
  <c r="Q6438" i="52" s="1"/>
  <c r="R6437" i="52" l="1"/>
  <c r="S6437" i="52" s="1"/>
  <c r="R6438" i="52"/>
  <c r="S6438" i="52" s="1"/>
  <c r="Q6439" i="52"/>
  <c r="Q6440" i="52" s="1"/>
  <c r="R6439" i="52" l="1"/>
  <c r="S6439" i="52" s="1"/>
  <c r="R6440" i="52"/>
  <c r="S6440" i="52" s="1"/>
  <c r="Q6441" i="52"/>
  <c r="R6441" i="52" l="1"/>
  <c r="S6441" i="52" s="1"/>
  <c r="Q6442" i="52"/>
  <c r="R6442" i="52" l="1"/>
  <c r="S6442" i="52" s="1"/>
  <c r="Q6443" i="52"/>
  <c r="Q6444" i="52" s="1"/>
  <c r="R6444" i="52" l="1"/>
  <c r="S6444" i="52" s="1"/>
  <c r="Q6445" i="52"/>
  <c r="Q6446" i="52" s="1"/>
  <c r="R6443" i="52"/>
  <c r="S6443" i="52" s="1"/>
  <c r="R6446" i="52" l="1"/>
  <c r="S6446" i="52" s="1"/>
  <c r="Q6447" i="52"/>
  <c r="R6445" i="52"/>
  <c r="S6445" i="52" s="1"/>
  <c r="R6447" i="52" l="1"/>
  <c r="S6447" i="52" s="1"/>
  <c r="Q6448" i="52"/>
  <c r="R6448" i="52" s="1"/>
  <c r="S6448" i="52" s="1"/>
  <c r="Q6449" i="52" l="1"/>
  <c r="Q6450" i="52" l="1"/>
  <c r="R6449" i="52"/>
  <c r="S6449" i="52" s="1"/>
  <c r="Q6451" i="52" l="1"/>
  <c r="R6450" i="52"/>
  <c r="S6450" i="52" s="1"/>
  <c r="Q6452" i="52" l="1"/>
  <c r="Q6453" i="52" s="1"/>
  <c r="R6451" i="52"/>
  <c r="S6451" i="52" s="1"/>
  <c r="R6452" i="52" l="1"/>
  <c r="S6452" i="52" s="1"/>
  <c r="R6453" i="52"/>
  <c r="S6453" i="52" s="1"/>
  <c r="Q6454" i="52"/>
  <c r="Q6455" i="52" s="1"/>
  <c r="R6454" i="52" l="1"/>
  <c r="S6454" i="52" s="1"/>
  <c r="R6455" i="52"/>
  <c r="S6455" i="52" s="1"/>
  <c r="Q6456" i="52"/>
  <c r="R6456" i="52" l="1"/>
  <c r="S6456" i="52" s="1"/>
  <c r="Q6457" i="52"/>
  <c r="R6457" i="52" l="1"/>
  <c r="S6457" i="52" s="1"/>
  <c r="Q6458" i="52"/>
  <c r="Q6459" i="52" s="1"/>
  <c r="R6459" i="52" l="1"/>
  <c r="S6459" i="52" s="1"/>
  <c r="Q6460" i="52"/>
  <c r="R6458" i="52"/>
  <c r="S6458" i="52" s="1"/>
  <c r="R6460" i="52" l="1"/>
  <c r="S6460" i="52" s="1"/>
  <c r="Q6461" i="52"/>
  <c r="Q6462" i="52" s="1"/>
  <c r="R6461" i="52" l="1"/>
  <c r="S6461" i="52" s="1"/>
  <c r="R6462" i="52"/>
  <c r="S6462" i="52" s="1"/>
  <c r="Q6463" i="52"/>
  <c r="Q6464" i="52" s="1"/>
  <c r="R6463" i="52" l="1"/>
  <c r="S6463" i="52" s="1"/>
  <c r="R6464" i="52"/>
  <c r="S6464" i="52" s="1"/>
  <c r="Q6465" i="52"/>
  <c r="Q6466" i="52" s="1"/>
  <c r="R6465" i="52" l="1"/>
  <c r="S6465" i="52" s="1"/>
  <c r="R6466" i="52"/>
  <c r="S6466" i="52" s="1"/>
  <c r="Q6467" i="52"/>
  <c r="R6467" i="52" l="1"/>
  <c r="S6467" i="52" s="1"/>
  <c r="Q6468" i="52"/>
  <c r="R6468" i="52" l="1"/>
  <c r="S6468" i="52" s="1"/>
  <c r="Q6469" i="52"/>
  <c r="Q6470" i="52" s="1"/>
  <c r="R6469" i="52" l="1"/>
  <c r="S6469" i="52" s="1"/>
  <c r="R6470" i="52"/>
  <c r="S6470" i="52" s="1"/>
  <c r="Q6471" i="52"/>
  <c r="R6471" i="52" l="1"/>
  <c r="S6471" i="52" s="1"/>
  <c r="Q6472" i="52"/>
  <c r="R6472" i="52" l="1"/>
  <c r="S6472" i="52" s="1"/>
  <c r="Q6473" i="52"/>
  <c r="R6473" i="52" l="1"/>
  <c r="S6473" i="52" s="1"/>
  <c r="Q6474" i="52"/>
  <c r="R6474" i="52" l="1"/>
  <c r="S6474" i="52" s="1"/>
  <c r="Q6475" i="52"/>
  <c r="R6475" i="52" l="1"/>
  <c r="S6475" i="52" s="1"/>
  <c r="Q6476" i="52"/>
  <c r="Q6477" i="52" s="1"/>
  <c r="R6477" i="52" l="1"/>
  <c r="S6477" i="52" s="1"/>
  <c r="Q6478" i="52"/>
  <c r="R6476" i="52"/>
  <c r="S6476" i="52" s="1"/>
  <c r="R6478" i="52" l="1"/>
  <c r="S6478" i="52" s="1"/>
  <c r="Q6479" i="52"/>
  <c r="R6479" i="52" l="1"/>
  <c r="S6479" i="52" s="1"/>
  <c r="Q6480" i="52"/>
  <c r="Q6481" i="52" s="1"/>
  <c r="R6480" i="52" l="1"/>
  <c r="S6480" i="52" s="1"/>
  <c r="R6481" i="52"/>
  <c r="S6481" i="52" s="1"/>
  <c r="Q6482" i="52"/>
  <c r="Q6483" i="52" l="1"/>
  <c r="Q6484" i="52" s="1"/>
  <c r="R6482" i="52"/>
  <c r="S6482" i="52" s="1"/>
  <c r="R6484" i="52" l="1"/>
  <c r="S6484" i="52" s="1"/>
  <c r="Q6485" i="52"/>
  <c r="Q6486" i="52" s="1"/>
  <c r="R6483" i="52"/>
  <c r="S6483" i="52" s="1"/>
  <c r="R6486" i="52" l="1"/>
  <c r="S6486" i="52" s="1"/>
  <c r="Q6487" i="52"/>
  <c r="R6485" i="52"/>
  <c r="S6485" i="52" s="1"/>
  <c r="R6487" i="52" l="1"/>
  <c r="S6487" i="52" s="1"/>
  <c r="Q6488" i="52"/>
  <c r="R6488" i="52" l="1"/>
  <c r="S6488" i="52" s="1"/>
  <c r="Q6489" i="52"/>
  <c r="R6489" i="52" l="1"/>
  <c r="S6489" i="52" s="1"/>
  <c r="Q6490" i="52"/>
  <c r="R6490" i="52" l="1"/>
  <c r="S6490" i="52" s="1"/>
  <c r="Q6491" i="52"/>
  <c r="R6491" i="52" l="1"/>
  <c r="S6491" i="52" s="1"/>
  <c r="Q6492" i="52"/>
  <c r="R6492" i="52" l="1"/>
  <c r="S6492" i="52" s="1"/>
  <c r="Q6493" i="52"/>
  <c r="Q6494" i="52" s="1"/>
  <c r="R6494" i="52" l="1"/>
  <c r="S6494" i="52" s="1"/>
  <c r="Q6495" i="52"/>
  <c r="R6493" i="52"/>
  <c r="S6493" i="52" s="1"/>
  <c r="R6495" i="52" l="1"/>
  <c r="S6495" i="52" s="1"/>
  <c r="Q6496" i="52"/>
  <c r="R6496" i="52" l="1"/>
  <c r="S6496" i="52" s="1"/>
  <c r="Q6497" i="52"/>
  <c r="R6497" i="52" l="1"/>
  <c r="S6497" i="52" s="1"/>
  <c r="Q6498" i="52"/>
  <c r="Q6499" i="52" s="1"/>
  <c r="R6498" i="52" l="1"/>
  <c r="S6498" i="52" s="1"/>
  <c r="R6499" i="52"/>
  <c r="S6499" i="52" s="1"/>
  <c r="Q6500" i="52"/>
  <c r="R6500" i="52" l="1"/>
  <c r="S6500" i="52" s="1"/>
  <c r="Q6501" i="52"/>
  <c r="R6501" i="52" l="1"/>
  <c r="S6501" i="52" s="1"/>
  <c r="Q6502" i="52"/>
  <c r="Q6503" i="52" s="1"/>
  <c r="R6503" i="52" l="1"/>
  <c r="S6503" i="52" s="1"/>
  <c r="Q6504" i="52"/>
  <c r="R6502" i="52"/>
  <c r="S6502" i="52" s="1"/>
  <c r="R6504" i="52" l="1"/>
  <c r="S6504" i="52" s="1"/>
  <c r="Q6505" i="52"/>
  <c r="R6505" i="52" l="1"/>
  <c r="S6505" i="52" s="1"/>
  <c r="Q6506" i="52"/>
  <c r="R6506" i="52" l="1"/>
  <c r="S6506" i="52" s="1"/>
  <c r="Q6507" i="52"/>
  <c r="R6507" i="52" l="1"/>
  <c r="S6507" i="52" s="1"/>
  <c r="Q6508" i="52"/>
  <c r="R6508" i="52" l="1"/>
  <c r="S6508" i="52" s="1"/>
  <c r="Q6509" i="52"/>
  <c r="R6509" i="52" l="1"/>
  <c r="S6509" i="52" s="1"/>
  <c r="Q6510" i="52"/>
  <c r="Q6511" i="52" s="1"/>
  <c r="R6510" i="52" l="1"/>
  <c r="S6510" i="52" s="1"/>
  <c r="R6511" i="52"/>
  <c r="S6511" i="52" s="1"/>
  <c r="Q6512" i="52"/>
  <c r="Q6513" i="52" s="1"/>
  <c r="R6512" i="52" l="1"/>
  <c r="S6512" i="52" s="1"/>
  <c r="R6513" i="52"/>
  <c r="S6513" i="52" s="1"/>
  <c r="Q6514" i="52"/>
  <c r="R6514" i="52" l="1"/>
  <c r="S6514" i="52" s="1"/>
  <c r="Q6515" i="52"/>
  <c r="R6515" i="52" l="1"/>
  <c r="S6515" i="52" s="1"/>
  <c r="Q6516" i="52"/>
  <c r="Q6517" i="52" s="1"/>
  <c r="R6516" i="52" l="1"/>
  <c r="S6516" i="52" s="1"/>
  <c r="R6517" i="52"/>
  <c r="S6517" i="52" s="1"/>
  <c r="Q6518" i="52"/>
  <c r="R6518" i="52" l="1"/>
  <c r="S6518" i="52" s="1"/>
  <c r="Q6519" i="52"/>
  <c r="R6519" i="52" l="1"/>
  <c r="S6519" i="52" s="1"/>
  <c r="Q6520" i="52"/>
  <c r="Q6521" i="52" s="1"/>
  <c r="R6520" i="52" l="1"/>
  <c r="S6520" i="52" s="1"/>
  <c r="R6521" i="52"/>
  <c r="S6521" i="52" s="1"/>
  <c r="Q6522" i="52"/>
  <c r="R6522" i="52" l="1"/>
  <c r="S6522" i="52" s="1"/>
  <c r="Q6523" i="52"/>
  <c r="R6523" i="52" l="1"/>
  <c r="S6523" i="52" s="1"/>
  <c r="Q6524" i="52"/>
  <c r="Q6525" i="52" s="1"/>
  <c r="R6525" i="52" l="1"/>
  <c r="S6525" i="52" s="1"/>
  <c r="Q6526" i="52"/>
  <c r="R6524" i="52"/>
  <c r="S6524" i="52" s="1"/>
  <c r="R6526" i="52" l="1"/>
  <c r="S6526" i="52" s="1"/>
  <c r="Q6527" i="52"/>
  <c r="R6527" i="52" l="1"/>
  <c r="S6527" i="52" s="1"/>
  <c r="Q6528" i="52"/>
  <c r="R6528" i="52" l="1"/>
  <c r="S6528" i="52" s="1"/>
  <c r="Q6529" i="52"/>
  <c r="Q6530" i="52" s="1"/>
  <c r="R6529" i="52" l="1"/>
  <c r="S6529" i="52" s="1"/>
  <c r="R6530" i="52"/>
  <c r="S6530" i="52" s="1"/>
  <c r="Q6531" i="52"/>
  <c r="Q6532" i="52" s="1"/>
  <c r="R6531" i="52" l="1"/>
  <c r="S6531" i="52" s="1"/>
  <c r="R6532" i="52"/>
  <c r="S6532" i="52" s="1"/>
  <c r="Q6533" i="52"/>
  <c r="R6533" i="52" l="1"/>
  <c r="S6533" i="52" s="1"/>
  <c r="Q6534" i="52"/>
  <c r="R6534" i="52" l="1"/>
  <c r="S6534" i="52" s="1"/>
  <c r="Q6535" i="52"/>
  <c r="R6535" i="52" l="1"/>
  <c r="S6535" i="52" s="1"/>
  <c r="Q6536" i="52"/>
  <c r="R6536" i="52" l="1"/>
  <c r="S6536" i="52" s="1"/>
  <c r="Q6537" i="52"/>
  <c r="Q6538" i="52" s="1"/>
  <c r="R6538" i="52" l="1"/>
  <c r="S6538" i="52" s="1"/>
  <c r="Q6539" i="52"/>
  <c r="R6537" i="52"/>
  <c r="S6537" i="52" s="1"/>
  <c r="R6539" i="52" l="1"/>
  <c r="S6539" i="52" s="1"/>
  <c r="Q6540" i="52"/>
  <c r="Q6541" i="52" s="1"/>
  <c r="R6540" i="52" l="1"/>
  <c r="S6540" i="52" s="1"/>
  <c r="R6541" i="52"/>
  <c r="S6541" i="52" s="1"/>
  <c r="Q6542" i="52"/>
  <c r="R6542" i="52" l="1"/>
  <c r="S6542" i="52" s="1"/>
  <c r="Q6543" i="52"/>
  <c r="R6543" i="52" l="1"/>
  <c r="S6543" i="52" s="1"/>
  <c r="Q6544" i="52"/>
  <c r="R6544" i="52" l="1"/>
  <c r="S6544" i="52" s="1"/>
  <c r="Q6545" i="52"/>
  <c r="R6545" i="52" l="1"/>
  <c r="S6545" i="52" s="1"/>
  <c r="Q6546" i="52"/>
  <c r="R6546" i="52" l="1"/>
  <c r="S6546" i="52" s="1"/>
  <c r="Q6547" i="52"/>
  <c r="R6547" i="52" l="1"/>
  <c r="S6547" i="52" s="1"/>
  <c r="Q6548" i="52"/>
  <c r="R6548" i="52" l="1"/>
  <c r="S6548" i="52" s="1"/>
  <c r="Q6549" i="52"/>
  <c r="R6549" i="52" l="1"/>
  <c r="S6549" i="52" s="1"/>
  <c r="Q6550" i="52"/>
  <c r="Q6551" i="52" s="1"/>
  <c r="R6551" i="52" l="1"/>
  <c r="S6551" i="52" s="1"/>
  <c r="Q6552" i="52"/>
  <c r="Q6553" i="52" s="1"/>
  <c r="R6550" i="52"/>
  <c r="S6550" i="52" s="1"/>
  <c r="R6553" i="52" l="1"/>
  <c r="S6553" i="52" s="1"/>
  <c r="Q6554" i="52"/>
  <c r="R6552" i="52"/>
  <c r="S6552" i="52" s="1"/>
  <c r="R6554" i="52" l="1"/>
  <c r="S6554" i="52" s="1"/>
  <c r="Q6555" i="52"/>
  <c r="R6555" i="52" l="1"/>
  <c r="S6555" i="52" s="1"/>
  <c r="Q6556" i="52"/>
  <c r="Q6557" i="52" s="1"/>
  <c r="R6556" i="52" l="1"/>
  <c r="S6556" i="52" s="1"/>
  <c r="R6557" i="52"/>
  <c r="S6557" i="52" s="1"/>
  <c r="Q6558" i="52"/>
  <c r="Q6559" i="52" s="1"/>
  <c r="R6559" i="52" l="1"/>
  <c r="S6559" i="52" s="1"/>
  <c r="Q6560" i="52"/>
  <c r="R6558" i="52"/>
  <c r="S6558" i="52" s="1"/>
  <c r="R6560" i="52" l="1"/>
  <c r="S6560" i="52" s="1"/>
  <c r="Q6561" i="52"/>
  <c r="R6561" i="52" l="1"/>
  <c r="S6561" i="52" s="1"/>
  <c r="Q6562" i="52"/>
  <c r="R6562" i="52" l="1"/>
  <c r="S6562" i="52" s="1"/>
  <c r="Q6563" i="52"/>
  <c r="R6563" i="52" s="1"/>
  <c r="S6563" i="52" s="1"/>
  <c r="Q6564" i="52" l="1"/>
  <c r="Q6565" i="52" l="1"/>
  <c r="Q6566" i="52" s="1"/>
  <c r="R6564" i="52"/>
  <c r="S6564" i="52" s="1"/>
  <c r="R6565" i="52" l="1"/>
  <c r="S6565" i="52" s="1"/>
  <c r="R6566" i="52"/>
  <c r="S6566" i="52" s="1"/>
  <c r="Q6567" i="52"/>
  <c r="R6567" i="52" l="1"/>
  <c r="S6567" i="52" s="1"/>
  <c r="Q6568" i="52"/>
  <c r="R6568" i="52" l="1"/>
  <c r="S6568" i="52" s="1"/>
  <c r="Q6569" i="52"/>
  <c r="Q6570" i="52" s="1"/>
  <c r="R6570" i="52" l="1"/>
  <c r="S6570" i="52" s="1"/>
  <c r="Q6571" i="52"/>
  <c r="R6569" i="52"/>
  <c r="S6569" i="52" s="1"/>
  <c r="R6571" i="52" l="1"/>
  <c r="S6571" i="52" s="1"/>
  <c r="Q6572" i="52"/>
  <c r="R6572" i="52" l="1"/>
  <c r="S6572" i="52" s="1"/>
  <c r="Q6573" i="52"/>
  <c r="R6573" i="52" l="1"/>
  <c r="S6573" i="52" s="1"/>
  <c r="Q6574" i="52"/>
  <c r="R6574" i="52" s="1"/>
  <c r="S6574" i="52" s="1"/>
  <c r="Q6575" i="52" l="1"/>
  <c r="Q6576" i="52" s="1"/>
  <c r="R6575" i="52" l="1"/>
  <c r="S6575" i="52" s="1"/>
  <c r="R6576" i="52"/>
  <c r="S6576" i="52" s="1"/>
  <c r="Q6577" i="52"/>
  <c r="R6577" i="52" l="1"/>
  <c r="S6577" i="52" s="1"/>
  <c r="Q6578" i="52"/>
  <c r="R6578" i="52" l="1"/>
  <c r="S6578" i="52" s="1"/>
  <c r="Q6579" i="52"/>
  <c r="R6579" i="52" l="1"/>
  <c r="S6579" i="52" s="1"/>
  <c r="Q6580" i="52"/>
  <c r="R6580" i="52" l="1"/>
  <c r="S6580" i="52" s="1"/>
  <c r="Q6581" i="52"/>
  <c r="Q6582" i="52" s="1"/>
  <c r="R6581" i="52" l="1"/>
  <c r="S6581" i="52" s="1"/>
  <c r="R6582" i="52"/>
  <c r="S6582" i="52" s="1"/>
  <c r="Q6583" i="52"/>
  <c r="R6583" i="52" l="1"/>
  <c r="S6583" i="52" s="1"/>
  <c r="Q6584" i="52"/>
  <c r="R6584" i="52" l="1"/>
  <c r="S6584" i="52" s="1"/>
  <c r="Q6585" i="52"/>
  <c r="R6585" i="52" l="1"/>
  <c r="S6585" i="52" s="1"/>
  <c r="Q6586" i="52"/>
  <c r="Q6587" i="52" l="1"/>
  <c r="Q6588" i="52" s="1"/>
  <c r="R6586" i="52"/>
  <c r="S6586" i="52" s="1"/>
  <c r="R6587" i="52" l="1"/>
  <c r="S6587" i="52" s="1"/>
  <c r="R6588" i="52"/>
  <c r="S6588" i="52" s="1"/>
  <c r="Q6589" i="52"/>
  <c r="R6589" i="52" l="1"/>
  <c r="S6589" i="52" s="1"/>
  <c r="Q6590" i="52"/>
  <c r="Q6591" i="52" s="1"/>
  <c r="R6591" i="52" l="1"/>
  <c r="S6591" i="52" s="1"/>
  <c r="Q6592" i="52"/>
  <c r="Q6593" i="52" s="1"/>
  <c r="R6590" i="52"/>
  <c r="S6590" i="52" s="1"/>
  <c r="R6592" i="52" l="1"/>
  <c r="S6592" i="52" s="1"/>
  <c r="R6593" i="52"/>
  <c r="S6593" i="52" s="1"/>
  <c r="Q6594" i="52"/>
  <c r="R6594" i="52" l="1"/>
  <c r="S6594" i="52" s="1"/>
  <c r="Q6595" i="52"/>
  <c r="Q6596" i="52" s="1"/>
  <c r="R6596" i="52" l="1"/>
  <c r="S6596" i="52" s="1"/>
  <c r="Q6597" i="52"/>
  <c r="R6595" i="52"/>
  <c r="S6595" i="52" s="1"/>
  <c r="R6597" i="52" l="1"/>
  <c r="S6597" i="52" s="1"/>
  <c r="Q6598" i="52"/>
  <c r="Q6599" i="52" s="1"/>
  <c r="R6598" i="52" l="1"/>
  <c r="S6598" i="52" s="1"/>
  <c r="R6599" i="52"/>
  <c r="S6599" i="52" s="1"/>
  <c r="Q6600" i="52"/>
  <c r="Q6601" i="52" s="1"/>
  <c r="R6601" i="52" l="1"/>
  <c r="S6601" i="52" s="1"/>
  <c r="Q6602" i="52"/>
  <c r="R6600" i="52"/>
  <c r="S6600" i="52" s="1"/>
  <c r="R6602" i="52" l="1"/>
  <c r="S6602" i="52" s="1"/>
  <c r="Q6603" i="52"/>
  <c r="Q6604" i="52" s="1"/>
  <c r="R6603" i="52" l="1"/>
  <c r="S6603" i="52" s="1"/>
  <c r="R6604" i="52"/>
  <c r="S6604" i="52" s="1"/>
  <c r="Q6605" i="52"/>
  <c r="Q6606" i="52" s="1"/>
  <c r="R6606" i="52" l="1"/>
  <c r="S6606" i="52" s="1"/>
  <c r="Q6607" i="52"/>
  <c r="Q6608" i="52" s="1"/>
  <c r="R6605" i="52"/>
  <c r="S6605" i="52" s="1"/>
  <c r="R6608" i="52" l="1"/>
  <c r="S6608" i="52" s="1"/>
  <c r="Q6609" i="52"/>
  <c r="R6607" i="52"/>
  <c r="S6607" i="52" s="1"/>
  <c r="R6609" i="52" l="1"/>
  <c r="S6609" i="52" s="1"/>
  <c r="Q6610" i="52"/>
  <c r="Q6611" i="52" s="1"/>
  <c r="R6610" i="52" l="1"/>
  <c r="S6610" i="52" s="1"/>
  <c r="R6611" i="52"/>
  <c r="S6611" i="52" s="1"/>
  <c r="Q6612" i="52"/>
  <c r="R6612" i="52" l="1"/>
  <c r="S6612" i="52" s="1"/>
  <c r="Q6613" i="52"/>
  <c r="R6613" i="52" l="1"/>
  <c r="S6613" i="52" s="1"/>
  <c r="Q6614" i="52"/>
  <c r="R6614" i="52" l="1"/>
  <c r="S6614" i="52" s="1"/>
  <c r="Q6615" i="52"/>
  <c r="Q6616" i="52" s="1"/>
  <c r="R6616" i="52" l="1"/>
  <c r="S6616" i="52" s="1"/>
  <c r="Q6617" i="52"/>
  <c r="R6615" i="52"/>
  <c r="S6615" i="52" s="1"/>
  <c r="R6617" i="52" l="1"/>
  <c r="S6617" i="52" s="1"/>
  <c r="Q6618" i="52"/>
  <c r="R6618" i="52" l="1"/>
  <c r="S6618" i="52" s="1"/>
  <c r="Q6619" i="52"/>
  <c r="Q6620" i="52" s="1"/>
  <c r="R6620" i="52" l="1"/>
  <c r="S6620" i="52" s="1"/>
  <c r="Q6621" i="52"/>
  <c r="R6619" i="52"/>
  <c r="S6619" i="52" s="1"/>
  <c r="R6621" i="52" l="1"/>
  <c r="S6621" i="52" s="1"/>
  <c r="Q6622" i="52"/>
  <c r="R6622" i="52" l="1"/>
  <c r="S6622" i="52" s="1"/>
  <c r="Q6623" i="52"/>
  <c r="R6623" i="52" l="1"/>
  <c r="S6623" i="52" s="1"/>
  <c r="Q6624" i="52"/>
  <c r="R6624" i="52" s="1"/>
  <c r="S6624" i="52" s="1"/>
  <c r="Q6625" i="52" l="1"/>
  <c r="Q6626" i="52" l="1"/>
  <c r="Q6627" i="52" s="1"/>
  <c r="R6625" i="52"/>
  <c r="S6625" i="52" s="1"/>
  <c r="R6626" i="52" l="1"/>
  <c r="S6626" i="52" s="1"/>
  <c r="R6627" i="52"/>
  <c r="S6627" i="52" s="1"/>
  <c r="Q6628" i="52"/>
  <c r="Q6629" i="52" s="1"/>
  <c r="R6629" i="52" l="1"/>
  <c r="S6629" i="52" s="1"/>
  <c r="Q6630" i="52"/>
  <c r="R6628" i="52"/>
  <c r="S6628" i="52" s="1"/>
  <c r="Q6631" i="52" l="1"/>
  <c r="Q6632" i="52" s="1"/>
  <c r="R6630" i="52"/>
  <c r="S6630" i="52" s="1"/>
  <c r="R6631" i="52" l="1"/>
  <c r="S6631" i="52" s="1"/>
  <c r="R6632" i="52"/>
  <c r="S6632" i="52" s="1"/>
  <c r="Q6633" i="52"/>
  <c r="R6633" i="52" l="1"/>
  <c r="S6633" i="52" s="1"/>
  <c r="Q6634" i="52"/>
  <c r="R6634" i="52" l="1"/>
  <c r="S6634" i="52" s="1"/>
  <c r="Q6635" i="52"/>
  <c r="R6635" i="52" l="1"/>
  <c r="S6635" i="52" s="1"/>
  <c r="Q6636" i="52"/>
  <c r="Q6637" i="52" s="1"/>
  <c r="R6636" i="52" l="1"/>
  <c r="S6636" i="52" s="1"/>
  <c r="R6637" i="52"/>
  <c r="S6637" i="52" s="1"/>
  <c r="Q6638" i="52"/>
  <c r="Q6639" i="52" s="1"/>
  <c r="R6639" i="52" l="1"/>
  <c r="S6639" i="52" s="1"/>
  <c r="Q6640" i="52"/>
  <c r="Q6641" i="52" s="1"/>
  <c r="R6638" i="52"/>
  <c r="S6638" i="52" s="1"/>
  <c r="R6641" i="52" l="1"/>
  <c r="S6641" i="52" s="1"/>
  <c r="Q6642" i="52"/>
  <c r="Q6643" i="52" s="1"/>
  <c r="R6640" i="52"/>
  <c r="S6640" i="52" s="1"/>
  <c r="R6643" i="52" l="1"/>
  <c r="S6643" i="52" s="1"/>
  <c r="Q6644" i="52"/>
  <c r="R6642" i="52"/>
  <c r="S6642" i="52" s="1"/>
  <c r="R6644" i="52" l="1"/>
  <c r="S6644" i="52" s="1"/>
  <c r="Q6645" i="52"/>
  <c r="R6645" i="52" l="1"/>
  <c r="S6645" i="52" s="1"/>
  <c r="Q6646" i="52"/>
  <c r="R6646" i="52" s="1"/>
  <c r="S6646" i="52" s="1"/>
  <c r="Q6647" i="52" l="1"/>
  <c r="Q6648" i="52" s="1"/>
  <c r="R6647" i="52" l="1"/>
  <c r="S6647" i="52" s="1"/>
  <c r="R6648" i="52"/>
  <c r="S6648" i="52" s="1"/>
  <c r="Q6649" i="52"/>
  <c r="R6649" i="52" l="1"/>
  <c r="S6649" i="52" s="1"/>
  <c r="Q6650" i="52"/>
  <c r="Q6651" i="52" s="1"/>
  <c r="R6650" i="52" l="1"/>
  <c r="S6650" i="52" s="1"/>
  <c r="R6651" i="52"/>
  <c r="S6651" i="52" s="1"/>
  <c r="Q6652" i="52"/>
  <c r="R6652" i="52" l="1"/>
  <c r="S6652" i="52" s="1"/>
  <c r="Q6653" i="52"/>
  <c r="R6653" i="52" l="1"/>
  <c r="S6653" i="52" s="1"/>
  <c r="Q6654" i="52"/>
  <c r="R6654" i="52" s="1"/>
  <c r="S6654" i="52" s="1"/>
  <c r="Q6655" i="52" l="1"/>
  <c r="R6655" i="52" s="1"/>
  <c r="S6655" i="52" s="1"/>
  <c r="Q6656" i="52" l="1"/>
  <c r="Q6657" i="52" s="1"/>
  <c r="R6656" i="52" l="1"/>
  <c r="S6656" i="52" s="1"/>
  <c r="R6657" i="52"/>
  <c r="S6657" i="52" s="1"/>
  <c r="Q6658" i="52"/>
  <c r="R6658" i="52" l="1"/>
  <c r="S6658" i="52" s="1"/>
  <c r="Q6659" i="52"/>
  <c r="R6659" i="52" l="1"/>
  <c r="S6659" i="52" s="1"/>
  <c r="Q6660" i="52"/>
  <c r="Q6661" i="52" s="1"/>
  <c r="R6661" i="52" l="1"/>
  <c r="S6661" i="52" s="1"/>
  <c r="Q6662" i="52"/>
  <c r="Q6663" i="52" s="1"/>
  <c r="R6660" i="52"/>
  <c r="S6660" i="52" s="1"/>
  <c r="R6663" i="52" l="1"/>
  <c r="S6663" i="52" s="1"/>
  <c r="Q6664" i="52"/>
  <c r="Q6665" i="52" s="1"/>
  <c r="R6662" i="52"/>
  <c r="S6662" i="52" s="1"/>
  <c r="R6664" i="52" l="1"/>
  <c r="S6664" i="52" s="1"/>
  <c r="R6665" i="52"/>
  <c r="S6665" i="52" s="1"/>
  <c r="Q6666" i="52"/>
  <c r="Q6667" i="52" s="1"/>
  <c r="R6667" i="52" l="1"/>
  <c r="S6667" i="52" s="1"/>
  <c r="Q6668" i="52"/>
  <c r="Q6669" i="52" s="1"/>
  <c r="R6666" i="52"/>
  <c r="S6666" i="52" s="1"/>
  <c r="R6668" i="52" l="1"/>
  <c r="S6668" i="52" s="1"/>
  <c r="R6669" i="52"/>
  <c r="S6669" i="52" s="1"/>
  <c r="Q6670" i="52"/>
  <c r="Q6671" i="52" s="1"/>
  <c r="R6671" i="52" l="1"/>
  <c r="S6671" i="52" s="1"/>
  <c r="Q6672" i="52"/>
  <c r="R6670" i="52"/>
  <c r="S6670" i="52" s="1"/>
  <c r="R6672" i="52" l="1"/>
  <c r="S6672" i="52" s="1"/>
  <c r="Q6673" i="52"/>
  <c r="R6673" i="52" l="1"/>
  <c r="S6673" i="52" s="1"/>
  <c r="Q6674" i="52"/>
  <c r="R6674" i="52" s="1"/>
  <c r="S6674" i="52" s="1"/>
  <c r="Q6675" i="52" l="1"/>
  <c r="Q6676" i="52" l="1"/>
  <c r="Q6677" i="52" s="1"/>
  <c r="R6675" i="52"/>
  <c r="S6675" i="52" s="1"/>
  <c r="R6676" i="52" l="1"/>
  <c r="S6676" i="52" s="1"/>
  <c r="R6677" i="52"/>
  <c r="S6677" i="52" s="1"/>
  <c r="Q6678" i="52"/>
  <c r="R6678" i="52" s="1"/>
  <c r="S6678" i="52" s="1"/>
  <c r="Q6679" i="52" l="1"/>
  <c r="Q6680" i="52" s="1"/>
  <c r="R6680" i="52" l="1"/>
  <c r="S6680" i="52" s="1"/>
  <c r="Q6681" i="52"/>
  <c r="R6679" i="52"/>
  <c r="S6679" i="52" s="1"/>
  <c r="R6681" i="52" l="1"/>
  <c r="S6681" i="52" s="1"/>
  <c r="Q6682" i="52"/>
  <c r="R6682" i="52" l="1"/>
  <c r="S6682" i="52" s="1"/>
  <c r="Q6683" i="52"/>
  <c r="R6683" i="52" l="1"/>
  <c r="S6683" i="52" s="1"/>
  <c r="Q6684" i="52"/>
  <c r="Q6685" i="52" s="1"/>
  <c r="R6685" i="52" l="1"/>
  <c r="S6685" i="52" s="1"/>
  <c r="Q6686" i="52"/>
  <c r="R6686" i="52" s="1"/>
  <c r="S6686" i="52" s="1"/>
  <c r="R6684" i="52"/>
  <c r="S6684" i="52" s="1"/>
  <c r="Q6687" i="52" l="1"/>
  <c r="Q6688" i="52" s="1"/>
  <c r="R6688" i="52" l="1"/>
  <c r="S6688" i="52" s="1"/>
  <c r="Q6689" i="52"/>
  <c r="Q6690" i="52" s="1"/>
  <c r="R6687" i="52"/>
  <c r="S6687" i="52" s="1"/>
  <c r="R6689" i="52" l="1"/>
  <c r="S6689" i="52" s="1"/>
  <c r="R6690" i="52"/>
  <c r="S6690" i="52" s="1"/>
  <c r="Q6691" i="52"/>
  <c r="Q6692" i="52" s="1"/>
  <c r="R6691" i="52" l="1"/>
  <c r="S6691" i="52" s="1"/>
  <c r="R6692" i="52"/>
  <c r="S6692" i="52" s="1"/>
  <c r="Q6693" i="52"/>
  <c r="R6693" i="52" l="1"/>
  <c r="S6693" i="52" s="1"/>
  <c r="Q6694" i="52"/>
  <c r="R6694" i="52" l="1"/>
  <c r="S6694" i="52" s="1"/>
  <c r="Q6695" i="52"/>
  <c r="R6695" i="52" l="1"/>
  <c r="S6695" i="52" s="1"/>
  <c r="Q6696" i="52"/>
  <c r="Q6697" i="52" s="1"/>
  <c r="R6696" i="52" l="1"/>
  <c r="S6696" i="52" s="1"/>
  <c r="R6697" i="52"/>
  <c r="S6697" i="52" s="1"/>
  <c r="Q6698" i="52"/>
  <c r="Q6699" i="52" s="1"/>
  <c r="R6698" i="52" l="1"/>
  <c r="S6698" i="52" s="1"/>
  <c r="R6699" i="52"/>
  <c r="S6699" i="52" s="1"/>
  <c r="Q6700" i="52"/>
  <c r="R6700" i="52" l="1"/>
  <c r="S6700" i="52" s="1"/>
  <c r="Q6701" i="52"/>
  <c r="Q6702" i="52" l="1"/>
  <c r="R6702" i="52" s="1"/>
  <c r="S6702" i="52" s="1"/>
  <c r="R6701" i="52"/>
  <c r="S6701" i="52" s="1"/>
  <c r="Q6703" i="52" l="1"/>
  <c r="R6703" i="52" s="1"/>
  <c r="S6703" i="52" s="1"/>
  <c r="Q6704" i="52" l="1"/>
  <c r="R6704" i="52" s="1"/>
  <c r="S6704" i="52" s="1"/>
  <c r="Q6705" i="52" l="1"/>
  <c r="R6705" i="52" s="1"/>
  <c r="S6705" i="52" s="1"/>
  <c r="Q6706" i="52" l="1"/>
  <c r="R6706" i="52" s="1"/>
  <c r="S6706" i="52" s="1"/>
  <c r="Q6707" i="52" l="1"/>
  <c r="Q6708" i="52" l="1"/>
  <c r="R6708" i="52" s="1"/>
  <c r="S6708" i="52" s="1"/>
  <c r="R6707" i="52"/>
  <c r="S6707" i="52" s="1"/>
  <c r="Q6709" i="52" l="1"/>
  <c r="R6709" i="52" s="1"/>
  <c r="S6709" i="52" s="1"/>
  <c r="Q6710" i="52" l="1"/>
  <c r="R6710" i="52" s="1"/>
  <c r="S6710" i="52" s="1"/>
  <c r="Q6711" i="52" l="1"/>
  <c r="R6711" i="52" s="1"/>
  <c r="S6711" i="52" s="1"/>
  <c r="Q6712" i="52" l="1"/>
  <c r="R6712" i="52" s="1"/>
  <c r="S6712" i="52" s="1"/>
  <c r="Q6713" i="52" l="1"/>
  <c r="R6713" i="52" s="1"/>
  <c r="S6713" i="52" s="1"/>
  <c r="Q6714" i="52" l="1"/>
  <c r="R6714" i="52" s="1"/>
  <c r="S6714" i="52" s="1"/>
  <c r="Q6715" i="52" l="1"/>
  <c r="Q6716" i="52" l="1"/>
  <c r="R6716" i="52" s="1"/>
  <c r="S6716" i="52" s="1"/>
  <c r="R6715" i="52"/>
  <c r="S6715" i="52" s="1"/>
  <c r="Q6717" i="52" l="1"/>
  <c r="Q6718" i="52" l="1"/>
  <c r="R6718" i="52" s="1"/>
  <c r="S6718" i="52" s="1"/>
  <c r="R6717" i="52"/>
  <c r="S6717" i="52" s="1"/>
  <c r="Q6719" i="52" l="1"/>
  <c r="Q6720" i="52" l="1"/>
  <c r="R6720" i="52" s="1"/>
  <c r="S6720" i="52" s="1"/>
  <c r="R6719" i="52"/>
  <c r="S6719" i="52" s="1"/>
  <c r="Q6721" i="52" l="1"/>
  <c r="R6721" i="52" s="1"/>
  <c r="S6721" i="52" s="1"/>
  <c r="Q6722" i="52" l="1"/>
  <c r="R6722" i="52" s="1"/>
  <c r="S6722" i="52" s="1"/>
  <c r="Q6723" i="52" l="1"/>
  <c r="R6723" i="52" s="1"/>
  <c r="S6723" i="52" s="1"/>
  <c r="Q6724" i="52" l="1"/>
  <c r="Q6725" i="52" l="1"/>
  <c r="R6725" i="52" s="1"/>
  <c r="S6725" i="52" s="1"/>
  <c r="R6724" i="52"/>
  <c r="S6724" i="52" s="1"/>
  <c r="Q6726" i="52" l="1"/>
  <c r="R6726" i="52" s="1"/>
  <c r="S6726" i="52" s="1"/>
  <c r="Q6727" i="52" l="1"/>
  <c r="R6727" i="52" s="1"/>
  <c r="S6727" i="52" s="1"/>
  <c r="Q6728" i="52" l="1"/>
  <c r="R6728" i="52" s="1"/>
  <c r="S6728" i="52" s="1"/>
  <c r="Q6729" i="52" l="1"/>
  <c r="R6729" i="52" s="1"/>
  <c r="S6729" i="52" s="1"/>
  <c r="Q6730" i="52" l="1"/>
  <c r="R6730" i="52" s="1"/>
  <c r="S6730" i="52" s="1"/>
  <c r="Q6731" i="52" l="1"/>
  <c r="R6731" i="52" s="1"/>
  <c r="S6731" i="52" s="1"/>
  <c r="Q6732" i="52" l="1"/>
  <c r="R6732" i="52" s="1"/>
  <c r="S6732" i="52" s="1"/>
  <c r="Q6733" i="52" l="1"/>
  <c r="Q6734" i="52" l="1"/>
  <c r="R6733" i="52"/>
  <c r="S6733" i="52" s="1"/>
  <c r="Q6735" i="52" l="1"/>
  <c r="R6734" i="52"/>
  <c r="S6734" i="52" s="1"/>
  <c r="Q6736" i="52" l="1"/>
  <c r="R6736" i="52" s="1"/>
  <c r="S6736" i="52" s="1"/>
  <c r="R6735" i="52"/>
  <c r="S6735" i="52" s="1"/>
  <c r="Q6737" i="52" l="1"/>
  <c r="R6737" i="52" s="1"/>
  <c r="S6737" i="52" s="1"/>
  <c r="Q6738" i="52" l="1"/>
  <c r="Q6739" i="52" l="1"/>
  <c r="R6738" i="52"/>
  <c r="S6738" i="52" s="1"/>
  <c r="Q6740" i="52" l="1"/>
  <c r="R6740" i="52" s="1"/>
  <c r="S6740" i="52" s="1"/>
  <c r="R6739" i="52"/>
  <c r="S6739" i="52" s="1"/>
  <c r="Q6741" i="52" l="1"/>
  <c r="R6741" i="52" s="1"/>
  <c r="S6741" i="52" s="1"/>
  <c r="Q6742" i="52" l="1"/>
  <c r="R6742" i="52" s="1"/>
  <c r="S6742" i="52" s="1"/>
  <c r="Q6743" i="52" l="1"/>
  <c r="Q6744" i="52" l="1"/>
  <c r="R6744" i="52" s="1"/>
  <c r="S6744" i="52" s="1"/>
  <c r="R6743" i="52"/>
  <c r="S6743" i="52" s="1"/>
  <c r="Q6745" i="52" l="1"/>
  <c r="Q6746" i="52" l="1"/>
  <c r="R6746" i="52" s="1"/>
  <c r="S6746" i="52" s="1"/>
  <c r="R6745" i="52"/>
  <c r="S6745" i="52" s="1"/>
  <c r="Q6747" i="52" l="1"/>
  <c r="Q6748" i="52" l="1"/>
  <c r="R6748" i="52" s="1"/>
  <c r="S6748" i="52" s="1"/>
  <c r="R6747" i="52"/>
  <c r="S6747" i="52" s="1"/>
  <c r="Q6749" i="52" l="1"/>
  <c r="R6749" i="52" s="1"/>
  <c r="S6749" i="52" s="1"/>
  <c r="Q6750" i="52" l="1"/>
  <c r="Q6751" i="52" l="1"/>
  <c r="R6751" i="52" s="1"/>
  <c r="S6751" i="52" s="1"/>
  <c r="R6750" i="52"/>
  <c r="S6750" i="52" s="1"/>
  <c r="Q6752" i="52" l="1"/>
  <c r="R6752" i="52" s="1"/>
  <c r="S6752" i="52" s="1"/>
  <c r="Q6753" i="52" l="1"/>
  <c r="R6753" i="52" s="1"/>
  <c r="S6753" i="52" s="1"/>
  <c r="Q6754" i="52" l="1"/>
  <c r="R6754" i="52" s="1"/>
  <c r="S6754" i="52" s="1"/>
  <c r="Q6755" i="52" l="1"/>
  <c r="Q6756" i="52" l="1"/>
  <c r="R6756" i="52" s="1"/>
  <c r="S6756" i="52" s="1"/>
  <c r="R6755" i="52"/>
  <c r="S6755" i="52" s="1"/>
  <c r="Q6757" i="52" l="1"/>
  <c r="Q6758" i="52" l="1"/>
  <c r="R6758" i="52" s="1"/>
  <c r="S6758" i="52" s="1"/>
  <c r="R6757" i="52"/>
  <c r="S6757" i="52" s="1"/>
  <c r="Q6759" i="52" l="1"/>
  <c r="Q6760" i="52" l="1"/>
  <c r="R6760" i="52" s="1"/>
  <c r="S6760" i="52" s="1"/>
  <c r="R6759" i="52"/>
  <c r="S6759" i="52" s="1"/>
  <c r="Q6761" i="52" l="1"/>
  <c r="R6761" i="52" s="1"/>
  <c r="S6761" i="52" s="1"/>
  <c r="Q6762" i="52" l="1"/>
  <c r="R6762" i="52" s="1"/>
  <c r="S6762" i="52" s="1"/>
  <c r="Q6763" i="52" l="1"/>
  <c r="R6763" i="52" s="1"/>
  <c r="S6763" i="52" s="1"/>
  <c r="Q6764" i="52" l="1"/>
  <c r="R6764" i="52" s="1"/>
  <c r="S6764" i="52" s="1"/>
  <c r="Q6765" i="52" l="1"/>
  <c r="Q6766" i="52" l="1"/>
  <c r="R6766" i="52" s="1"/>
  <c r="S6766" i="52" s="1"/>
  <c r="R6765" i="52"/>
  <c r="S6765" i="52" s="1"/>
  <c r="Q6767" i="52" l="1"/>
  <c r="R6767" i="52" s="1"/>
  <c r="S6767" i="52" s="1"/>
  <c r="Q6768" i="52" l="1"/>
  <c r="R6768" i="52" s="1"/>
  <c r="S6768" i="52" s="1"/>
  <c r="Q6769" i="52" l="1"/>
  <c r="R6769" i="52" s="1"/>
  <c r="S6769" i="52" s="1"/>
  <c r="Q6770" i="52" l="1"/>
  <c r="Q6771" i="52" l="1"/>
  <c r="R6771" i="52" s="1"/>
  <c r="S6771" i="52" s="1"/>
  <c r="R6770" i="52"/>
  <c r="S6770" i="52" s="1"/>
  <c r="Q6772" i="52" l="1"/>
  <c r="R6772" i="52" s="1"/>
  <c r="S6772" i="52" s="1"/>
  <c r="Q6773" i="52" l="1"/>
  <c r="R6773" i="52" s="1"/>
  <c r="S6773" i="52" s="1"/>
  <c r="Q6774" i="52" l="1"/>
  <c r="R6774" i="52" s="1"/>
  <c r="S6774" i="52" s="1"/>
  <c r="Q6775" i="52" l="1"/>
  <c r="Q6776" i="52" l="1"/>
  <c r="R6776" i="52" s="1"/>
  <c r="S6776" i="52" s="1"/>
  <c r="R6775" i="52"/>
  <c r="S6775" i="52" s="1"/>
  <c r="Q6777" i="52" l="1"/>
  <c r="Q6778" i="52" l="1"/>
  <c r="R6778" i="52" s="1"/>
  <c r="S6778" i="52" s="1"/>
  <c r="R6777" i="52"/>
  <c r="S6777" i="52" s="1"/>
  <c r="Q6779" i="52" l="1"/>
  <c r="Q6780" i="52" l="1"/>
  <c r="R6779" i="52"/>
  <c r="S6779" i="52" s="1"/>
  <c r="Q6781" i="52" l="1"/>
  <c r="R6781" i="52" s="1"/>
  <c r="S6781" i="52" s="1"/>
  <c r="R6780" i="52"/>
  <c r="S6780" i="52" s="1"/>
  <c r="Q6782" i="52" l="1"/>
  <c r="R6782" i="52" s="1"/>
  <c r="S6782" i="52" s="1"/>
  <c r="Q6783" i="52" l="1"/>
  <c r="R6783" i="52" s="1"/>
  <c r="S6783" i="52" s="1"/>
  <c r="Q6784" i="52" l="1"/>
  <c r="R6784" i="52" s="1"/>
  <c r="S6784" i="52" s="1"/>
  <c r="Q6785" i="52" l="1"/>
  <c r="Q6786" i="52" l="1"/>
  <c r="R6786" i="52" s="1"/>
  <c r="S6786" i="52" s="1"/>
  <c r="R6785" i="52"/>
  <c r="S6785" i="52" s="1"/>
  <c r="Q6787" i="52" l="1"/>
  <c r="Q6788" i="52" l="1"/>
  <c r="R6788" i="52" s="1"/>
  <c r="S6788" i="52" s="1"/>
  <c r="R6787" i="52"/>
  <c r="S6787" i="52" s="1"/>
  <c r="Q6789" i="52" l="1"/>
  <c r="R6789" i="52" s="1"/>
  <c r="S6789" i="52" s="1"/>
  <c r="Q6790" i="52" l="1"/>
  <c r="R6790" i="52" s="1"/>
  <c r="S6790" i="52" s="1"/>
  <c r="Q6791" i="52" l="1"/>
  <c r="Q6792" i="52" l="1"/>
  <c r="R6792" i="52" s="1"/>
  <c r="S6792" i="52" s="1"/>
  <c r="R6791" i="52"/>
  <c r="S6791" i="52" s="1"/>
  <c r="Q6793" i="52" l="1"/>
  <c r="R6793" i="52" s="1"/>
  <c r="S6793" i="52" s="1"/>
  <c r="Q6794" i="52" l="1"/>
  <c r="R6794" i="52" s="1"/>
  <c r="S6794" i="52" s="1"/>
  <c r="Q6795" i="52" l="1"/>
  <c r="R6795" i="52" s="1"/>
  <c r="S6795" i="52" s="1"/>
  <c r="Q6796" i="52" l="1"/>
  <c r="R6796" i="52" s="1"/>
  <c r="S6796" i="52" s="1"/>
  <c r="Q6797" i="52" l="1"/>
  <c r="Q6798" i="52" s="1"/>
  <c r="R6798" i="52" l="1"/>
  <c r="S6798" i="52" s="1"/>
  <c r="Q6799" i="52"/>
  <c r="R6797" i="52"/>
  <c r="S6797" i="52" s="1"/>
  <c r="Q6800" i="52" l="1"/>
  <c r="R6799" i="52"/>
  <c r="S6799" i="52" l="1"/>
  <c r="Q6801" i="52"/>
  <c r="R6800" i="52"/>
  <c r="Q6802" i="52" l="1"/>
  <c r="R6802" i="52" s="1"/>
  <c r="S6800" i="52"/>
  <c r="R6801" i="52"/>
  <c r="S6802" i="52" l="1"/>
  <c r="S6801" i="52"/>
  <c r="Q6803" i="52"/>
  <c r="Q6804" i="52" s="1"/>
  <c r="R6803" i="52" l="1"/>
  <c r="R6804" i="52"/>
  <c r="S6804" i="52" s="1"/>
  <c r="Q6805" i="52"/>
  <c r="R6805" i="52" s="1"/>
  <c r="S6805" i="52" s="1"/>
  <c r="Q6806" i="52" l="1"/>
  <c r="R6806" i="52" s="1"/>
  <c r="S6803" i="52"/>
  <c r="S6806" i="52" l="1"/>
  <c r="Q6807" i="52"/>
  <c r="R6807" i="52" s="1"/>
  <c r="S6807" i="52" s="1"/>
  <c r="Q6808" i="52" l="1"/>
  <c r="R6808" i="52" s="1"/>
  <c r="S6808" i="52" l="1"/>
  <c r="Q6809" i="52"/>
  <c r="Q6810" i="52" l="1"/>
  <c r="R6810" i="52" s="1"/>
  <c r="S6810" i="52" s="1"/>
  <c r="R6809" i="52"/>
  <c r="S6809" i="52" s="1"/>
  <c r="Q6811" i="52" l="1"/>
  <c r="R6811" i="52" s="1"/>
  <c r="S6811" i="52" s="1"/>
  <c r="Q6812" i="52" l="1"/>
  <c r="Q6813" i="52" l="1"/>
  <c r="R6813" i="52" s="1"/>
  <c r="S6813" i="52" s="1"/>
  <c r="R6812" i="52"/>
  <c r="S6812" i="52" s="1"/>
  <c r="Q6814" i="52" l="1"/>
  <c r="R6814" i="52" s="1"/>
  <c r="S6814" i="52" s="1"/>
  <c r="Q6815" i="52" l="1"/>
  <c r="Q6816" i="52" s="1"/>
  <c r="R6816" i="52" l="1"/>
  <c r="S6816" i="52" s="1"/>
  <c r="Q6817" i="52"/>
  <c r="R6815" i="52"/>
  <c r="S6815" i="52" s="1"/>
  <c r="R6817" i="52" l="1"/>
  <c r="S6817" i="52" s="1"/>
  <c r="Q6818" i="52"/>
  <c r="R6818" i="52" s="1"/>
  <c r="S6818" i="52" s="1"/>
  <c r="Q6819" i="52" l="1"/>
  <c r="Q6820" i="52" s="1"/>
  <c r="R6819" i="52" l="1"/>
  <c r="S6819" i="52" s="1"/>
  <c r="R6820" i="52"/>
  <c r="S6820" i="52" s="1"/>
  <c r="Q6821" i="52"/>
  <c r="R6821" i="52" l="1"/>
  <c r="S6821" i="52" s="1"/>
  <c r="Q6822" i="52"/>
  <c r="R6822" i="52" s="1"/>
  <c r="S6822" i="52" s="1"/>
  <c r="Q6823" i="52" l="1"/>
  <c r="Q6824" i="52" s="1"/>
  <c r="R6823" i="52" l="1"/>
  <c r="S6823" i="52" s="1"/>
  <c r="R6824" i="52"/>
  <c r="S6824" i="52" s="1"/>
  <c r="Q6825" i="52"/>
  <c r="R6825" i="52" l="1"/>
  <c r="S6825" i="52" s="1"/>
  <c r="Q6826" i="52"/>
  <c r="R6826" i="52" s="1"/>
  <c r="S6826" i="52" s="1"/>
  <c r="Q6827" i="52" l="1"/>
  <c r="Q6828" i="52" s="1"/>
  <c r="R6827" i="52" l="1"/>
  <c r="S6827" i="52" s="1"/>
  <c r="R6828" i="52"/>
  <c r="S6828" i="52" s="1"/>
  <c r="Q6829" i="52"/>
  <c r="R6829" i="52" l="1"/>
  <c r="S6829" i="52" s="1"/>
  <c r="Q6830" i="52"/>
  <c r="R6830" i="52" s="1"/>
  <c r="S6830" i="52" s="1"/>
  <c r="Q6831" i="52" l="1"/>
  <c r="Q6832" i="52" s="1"/>
  <c r="R6831" i="52" l="1"/>
  <c r="S6831" i="52" s="1"/>
  <c r="R6832" i="52"/>
  <c r="S6832" i="52" s="1"/>
  <c r="Q6833" i="52"/>
  <c r="R6833" i="52" l="1"/>
  <c r="S6833" i="52" s="1"/>
  <c r="Q6834" i="52"/>
  <c r="R6834" i="52" s="1"/>
  <c r="S6834" i="52" s="1"/>
  <c r="Q6835" i="52" l="1"/>
  <c r="R6835" i="52" s="1"/>
  <c r="S6835" i="52" s="1"/>
  <c r="Q6836" i="52" l="1"/>
  <c r="Q6837" i="52" s="1"/>
  <c r="R6836" i="52" l="1"/>
  <c r="S6836" i="52" s="1"/>
  <c r="R6837" i="52"/>
  <c r="S6837" i="52" s="1"/>
  <c r="Q6838" i="52"/>
  <c r="R6838" i="52" s="1"/>
  <c r="S6838" i="52" s="1"/>
  <c r="Q6839" i="52" l="1"/>
  <c r="Q6840" i="52" s="1"/>
  <c r="R6839" i="52" l="1"/>
  <c r="S6839" i="52" s="1"/>
  <c r="R6840" i="52"/>
  <c r="S6840" i="52" s="1"/>
  <c r="Q6841" i="52"/>
  <c r="R6841" i="52" l="1"/>
  <c r="S6841" i="52" s="1"/>
  <c r="Q6842" i="52"/>
  <c r="R6842" i="52" s="1"/>
  <c r="S6842" i="52" s="1"/>
  <c r="Q6843" i="52" l="1"/>
  <c r="R6843" i="52" s="1"/>
  <c r="S6843" i="52" s="1"/>
  <c r="Q6844" i="52" l="1"/>
  <c r="Q6845" i="52" s="1"/>
  <c r="R6844" i="52" l="1"/>
  <c r="S6844" i="52" s="1"/>
  <c r="R6845" i="52"/>
  <c r="S6845" i="52" s="1"/>
  <c r="Q6846" i="52"/>
  <c r="R6846" i="52" s="1"/>
  <c r="S6846" i="52" s="1"/>
  <c r="Q6847" i="52" l="1"/>
  <c r="R6847" i="52" s="1"/>
  <c r="S6847" i="52" s="1"/>
  <c r="Q6848" i="52" l="1"/>
  <c r="Q6849" i="52" s="1"/>
  <c r="R6848" i="52" l="1"/>
  <c r="S6848" i="52" s="1"/>
  <c r="R6849" i="52"/>
  <c r="S6849" i="52" s="1"/>
  <c r="Q6850" i="52"/>
  <c r="R6850" i="52" s="1"/>
  <c r="S6850" i="52" s="1"/>
  <c r="Q6851" i="52" l="1"/>
  <c r="Q6852" i="52" s="1"/>
  <c r="R6851" i="52" l="1"/>
  <c r="S6851" i="52" s="1"/>
  <c r="R6852" i="52"/>
  <c r="S6852" i="52" s="1"/>
  <c r="Q6853" i="52"/>
  <c r="Q6854" i="52" s="1"/>
  <c r="R6853" i="52" l="1"/>
  <c r="S6853" i="52" s="1"/>
  <c r="R6854" i="52"/>
  <c r="S6854" i="52" s="1"/>
  <c r="Q6855" i="52"/>
  <c r="Q6856" i="52" s="1"/>
  <c r="R6855" i="52" l="1"/>
  <c r="S6855" i="52" s="1"/>
  <c r="R6856" i="52"/>
  <c r="S6856" i="52" s="1"/>
  <c r="Q6857" i="52"/>
  <c r="R6857" i="52" l="1"/>
  <c r="S6857" i="52" s="1"/>
  <c r="Q6858" i="52"/>
  <c r="R6858" i="52" s="1"/>
  <c r="S6858" i="52" s="1"/>
  <c r="Q6859" i="52" l="1"/>
  <c r="Q6860" i="52" s="1"/>
  <c r="R6859" i="52" l="1"/>
  <c r="S6859" i="52" s="1"/>
  <c r="R6860" i="52"/>
  <c r="S6860" i="52" s="1"/>
  <c r="Q6861" i="52"/>
  <c r="R6861" i="52" l="1"/>
  <c r="S6861" i="52" s="1"/>
  <c r="Q6862" i="52"/>
  <c r="R6862" i="52" s="1"/>
  <c r="S6862" i="52" s="1"/>
  <c r="Q6863" i="52" l="1"/>
  <c r="Q6864" i="52" s="1"/>
  <c r="R6863" i="52" l="1"/>
  <c r="S6863" i="52" s="1"/>
  <c r="R6864" i="52"/>
  <c r="S6864" i="52" s="1"/>
  <c r="Q6865" i="52"/>
  <c r="R6865" i="52" l="1"/>
  <c r="S6865" i="52" s="1"/>
  <c r="Q6866" i="52"/>
  <c r="R6866" i="52" s="1"/>
  <c r="S6866" i="52" s="1"/>
  <c r="Q6867" i="52" l="1"/>
  <c r="Q6868" i="52" s="1"/>
  <c r="R6867" i="52" l="1"/>
  <c r="S6867" i="52" s="1"/>
  <c r="R6868" i="52"/>
  <c r="S6868" i="52" s="1"/>
  <c r="Q6869" i="52"/>
  <c r="R6869" i="52" l="1"/>
  <c r="S6869" i="52" s="1"/>
  <c r="Q6870" i="52"/>
  <c r="R6870" i="52" s="1"/>
  <c r="S6870" i="52" s="1"/>
  <c r="Q6871" i="52" l="1"/>
  <c r="Q6872" i="52" s="1"/>
  <c r="R6871" i="52" l="1"/>
  <c r="S6871" i="52" s="1"/>
  <c r="R6872" i="52"/>
  <c r="S6872" i="52" s="1"/>
  <c r="Q6873" i="52"/>
  <c r="Q6874" i="52" l="1"/>
  <c r="R6874" i="52" s="1"/>
  <c r="S6874" i="52" s="1"/>
  <c r="R6873" i="52"/>
  <c r="S6873" i="52" s="1"/>
  <c r="Q6875" i="52" l="1"/>
  <c r="Q6876" i="52" s="1"/>
  <c r="R6875" i="52" l="1"/>
  <c r="S6875" i="52" s="1"/>
  <c r="R6876" i="52"/>
  <c r="S6876" i="52" s="1"/>
  <c r="Q6877" i="52"/>
  <c r="Q6878" i="52" l="1"/>
  <c r="R6878" i="52" s="1"/>
  <c r="S6878" i="52" s="1"/>
  <c r="R6877" i="52"/>
  <c r="S6877" i="52" s="1"/>
  <c r="Q6879" i="52" l="1"/>
  <c r="Q6880" i="52" s="1"/>
  <c r="R6879" i="52" l="1"/>
  <c r="S6879" i="52" s="1"/>
  <c r="R6880" i="52"/>
  <c r="S6880" i="52" s="1"/>
  <c r="Q6881" i="52"/>
  <c r="R6881" i="52" l="1"/>
  <c r="S6881" i="52" s="1"/>
  <c r="Q6882" i="52"/>
  <c r="R6882" i="52" s="1"/>
  <c r="S6882" i="52" s="1"/>
  <c r="Q6883" i="52" l="1"/>
  <c r="R6883" i="52" s="1"/>
  <c r="S6883" i="52" s="1"/>
  <c r="Q6884" i="52" l="1"/>
  <c r="R6884" i="52" s="1"/>
  <c r="S6884" i="52" s="1"/>
  <c r="Q6885" i="52" l="1"/>
  <c r="R6885" i="52" s="1"/>
  <c r="S6885" i="52" s="1"/>
  <c r="Q6886" i="52" l="1"/>
  <c r="R6886" i="52" s="1"/>
  <c r="S6886" i="52" s="1"/>
  <c r="Q6887" i="52" l="1"/>
  <c r="Q6888" i="52" s="1"/>
  <c r="R6887" i="52" l="1"/>
  <c r="S6887" i="52" s="1"/>
  <c r="R6888" i="52"/>
  <c r="S6888" i="52" s="1"/>
  <c r="Q6889" i="52"/>
  <c r="R6889" i="52" s="1"/>
  <c r="S6889" i="52" s="1"/>
  <c r="Q6890" i="52" l="1"/>
  <c r="R6890" i="52" s="1"/>
  <c r="S6890" i="52" s="1"/>
  <c r="Q6891" i="52" l="1"/>
  <c r="R6891" i="52" s="1"/>
  <c r="S6891" i="52" s="1"/>
  <c r="Q6892" i="52" l="1"/>
  <c r="Q6893" i="52" s="1"/>
  <c r="R6892" i="52" l="1"/>
  <c r="S6892" i="52" s="1"/>
  <c r="R6893" i="52"/>
  <c r="S6893" i="52" s="1"/>
  <c r="Q6894" i="52"/>
  <c r="R6894" i="52" s="1"/>
  <c r="S6894" i="52" s="1"/>
  <c r="Q6895" i="52" l="1"/>
  <c r="R6895" i="52" s="1"/>
  <c r="S6895" i="52" s="1"/>
  <c r="Q6896" i="52" l="1"/>
  <c r="R6896" i="52" s="1"/>
  <c r="S6896" i="52" s="1"/>
  <c r="Q6897" i="52" l="1"/>
  <c r="R6897" i="52" s="1"/>
  <c r="S6897" i="52" s="1"/>
  <c r="Q6898" i="52" l="1"/>
  <c r="R6898" i="52" s="1"/>
  <c r="S6898" i="52" s="1"/>
  <c r="Q6899" i="52" l="1"/>
  <c r="Q6900" i="52" s="1"/>
  <c r="R6899" i="52" l="1"/>
  <c r="S6899" i="52" s="1"/>
  <c r="R6900" i="52"/>
  <c r="S6900" i="52" s="1"/>
  <c r="Q6901" i="52"/>
  <c r="R6901" i="52" s="1"/>
  <c r="S6901" i="52" s="1"/>
  <c r="Q6902" i="52" l="1"/>
  <c r="R6902" i="52" s="1"/>
  <c r="S6902" i="52" s="1"/>
  <c r="Q6903" i="52" l="1"/>
  <c r="Q6904" i="52" s="1"/>
  <c r="R6903" i="52" l="1"/>
  <c r="S6903" i="52" s="1"/>
  <c r="R6904" i="52"/>
  <c r="S6904" i="52" s="1"/>
  <c r="Q6905" i="52"/>
  <c r="R6905" i="52" s="1"/>
  <c r="S6905" i="52" s="1"/>
  <c r="Q6906" i="52" l="1"/>
  <c r="R6906" i="52" s="1"/>
  <c r="S6906" i="52" s="1"/>
  <c r="Q6907" i="52" l="1"/>
  <c r="R6907" i="52" s="1"/>
  <c r="S6907" i="52" s="1"/>
  <c r="Q6908" i="52" l="1"/>
  <c r="R6908" i="52" s="1"/>
  <c r="S6908" i="52" s="1"/>
  <c r="Q6909" i="52" l="1"/>
  <c r="R6909" i="52" s="1"/>
  <c r="S6909" i="52" s="1"/>
  <c r="Q6910" i="52" l="1"/>
  <c r="R6910" i="52" s="1"/>
  <c r="S6910" i="52" s="1"/>
  <c r="Q6911" i="52" l="1"/>
  <c r="Q6912" i="52" s="1"/>
  <c r="R6911" i="52" l="1"/>
  <c r="S6911" i="52" s="1"/>
  <c r="R6912" i="52"/>
  <c r="S6912" i="52" s="1"/>
  <c r="Q6913" i="52"/>
  <c r="R6913" i="52" s="1"/>
  <c r="S6913" i="52" s="1"/>
  <c r="Q6914" i="52" l="1"/>
  <c r="R6914" i="52" s="1"/>
  <c r="S6914" i="52" s="1"/>
  <c r="Q6915" i="52" l="1"/>
  <c r="Q6916" i="52" s="1"/>
  <c r="R6915" i="52" l="1"/>
  <c r="S6915" i="52" s="1"/>
  <c r="R6916" i="52"/>
  <c r="S6916" i="52" s="1"/>
  <c r="Q6917" i="52"/>
  <c r="Q6918" i="52" s="1"/>
  <c r="R6918" i="52" l="1"/>
  <c r="S6918" i="52" s="1"/>
  <c r="Q6919" i="52"/>
  <c r="Q6920" i="52" s="1"/>
  <c r="R6917" i="52"/>
  <c r="S6917" i="52" s="1"/>
  <c r="R6919" i="52" l="1"/>
  <c r="S6919" i="52" s="1"/>
  <c r="R6920" i="52"/>
  <c r="S6920" i="52" s="1"/>
  <c r="Q6921" i="52"/>
  <c r="R6921" i="52" l="1"/>
  <c r="S6921" i="52" s="1"/>
  <c r="Q6922" i="52"/>
  <c r="R6922" i="52" s="1"/>
  <c r="S6922" i="52" s="1"/>
  <c r="Q6923" i="52" l="1"/>
  <c r="R6923" i="52" s="1"/>
  <c r="S6923" i="52" s="1"/>
  <c r="Q6924" i="52" l="1"/>
  <c r="R6924" i="52" s="1"/>
  <c r="S6924" i="52" s="1"/>
  <c r="Q6925" i="52" l="1"/>
  <c r="Q6926" i="52" l="1"/>
  <c r="R6926" i="52" s="1"/>
  <c r="S6926" i="52" s="1"/>
  <c r="R6925" i="52"/>
  <c r="S6925" i="52" s="1"/>
  <c r="Q6927" i="52" l="1"/>
  <c r="R6927" i="52" s="1"/>
  <c r="S6927" i="52" s="1"/>
  <c r="Q6928" i="52" l="1"/>
  <c r="R6928" i="52" s="1"/>
  <c r="S6928" i="52" s="1"/>
  <c r="Q6929" i="52" l="1"/>
  <c r="R6929" i="52" s="1"/>
  <c r="S6929" i="52" s="1"/>
  <c r="Q6930" i="52" l="1"/>
  <c r="R6930" i="52" s="1"/>
  <c r="S6930" i="52" s="1"/>
  <c r="Q6931" i="52" l="1"/>
  <c r="R6931" i="52" s="1"/>
  <c r="S6931" i="52" s="1"/>
  <c r="Q6932" i="52" l="1"/>
  <c r="R6932" i="52" s="1"/>
  <c r="S6932" i="52" s="1"/>
  <c r="Q6933" i="52" l="1"/>
  <c r="R6933" i="52" s="1"/>
  <c r="S6933" i="52" s="1"/>
  <c r="Q6934" i="52" l="1"/>
  <c r="R6934" i="52" s="1"/>
  <c r="S6934" i="52" s="1"/>
  <c r="Q6935" i="52" l="1"/>
  <c r="Q6936" i="52" s="1"/>
  <c r="R6935" i="52" l="1"/>
  <c r="S6935" i="52" s="1"/>
  <c r="R6936" i="52"/>
  <c r="S6936" i="52" s="1"/>
  <c r="Q6937" i="52"/>
  <c r="R6937" i="52" l="1"/>
  <c r="S6937" i="52" s="1"/>
  <c r="Q6938" i="52"/>
  <c r="R6938" i="52" s="1"/>
  <c r="S6938" i="52" s="1"/>
  <c r="Q6939" i="52" l="1"/>
  <c r="R6939" i="52" s="1"/>
  <c r="S6939" i="52" s="1"/>
  <c r="Q6940" i="52" l="1"/>
  <c r="Q6941" i="52" s="1"/>
  <c r="R6940" i="52" l="1"/>
  <c r="S6940" i="52" s="1"/>
  <c r="R6941" i="52"/>
  <c r="S6941" i="52" s="1"/>
  <c r="Q6942" i="52"/>
  <c r="R6942" i="52" s="1"/>
  <c r="S6942" i="52" s="1"/>
  <c r="Q6943" i="52" l="1"/>
  <c r="R6943" i="52" s="1"/>
  <c r="S6943" i="52" s="1"/>
  <c r="Q6944" i="52" l="1"/>
  <c r="Q6945" i="52" s="1"/>
  <c r="R6944" i="52" l="1"/>
  <c r="S6944" i="52" s="1"/>
  <c r="R6945" i="52"/>
  <c r="S6945" i="52" s="1"/>
  <c r="Q6946" i="52"/>
  <c r="R6946" i="52" s="1"/>
  <c r="S6946" i="52" s="1"/>
  <c r="Q6947" i="52" l="1"/>
  <c r="Q6948" i="52" s="1"/>
  <c r="R6947" i="52" l="1"/>
  <c r="S6947" i="52" s="1"/>
  <c r="R6948" i="52"/>
  <c r="S6948" i="52" s="1"/>
  <c r="Q6949" i="52"/>
  <c r="R6949" i="52" l="1"/>
  <c r="S6949" i="52" s="1"/>
  <c r="Q6950" i="52"/>
  <c r="R6950" i="52" s="1"/>
  <c r="S6950" i="52" s="1"/>
  <c r="Q6951" i="52" l="1"/>
  <c r="Q6952" i="52" s="1"/>
  <c r="R6951" i="52" l="1"/>
  <c r="S6951" i="52" s="1"/>
  <c r="R6952" i="52"/>
  <c r="S6952" i="52" s="1"/>
  <c r="Q6953" i="52"/>
  <c r="Q6954" i="52" l="1"/>
  <c r="R6954" i="52" s="1"/>
  <c r="S6954" i="52" s="1"/>
  <c r="R6953" i="52"/>
  <c r="S6953" i="52" s="1"/>
  <c r="Q6955" i="52" l="1"/>
  <c r="R6955" i="52" s="1"/>
  <c r="S6955" i="52" s="1"/>
  <c r="Q6956" i="52" l="1"/>
  <c r="Q6957" i="52" s="1"/>
  <c r="R6956" i="52" l="1"/>
  <c r="S6956" i="52" s="1"/>
  <c r="R6957" i="52"/>
  <c r="S6957" i="52" s="1"/>
  <c r="Q6958" i="52"/>
  <c r="R6958" i="52" s="1"/>
  <c r="S6958" i="52" s="1"/>
  <c r="Q6959" i="52" l="1"/>
  <c r="R6959" i="52" s="1"/>
  <c r="S6959" i="52" s="1"/>
  <c r="Q6960" i="52" l="1"/>
  <c r="Q6961" i="52" s="1"/>
  <c r="R6960" i="52" l="1"/>
  <c r="S6960" i="52" s="1"/>
  <c r="R6961" i="52"/>
  <c r="S6961" i="52" s="1"/>
  <c r="Q6962" i="52"/>
  <c r="R6962" i="52" s="1"/>
  <c r="S6962" i="52" s="1"/>
  <c r="Q6963" i="52" l="1"/>
  <c r="R6963" i="52" s="1"/>
  <c r="S6963" i="52" s="1"/>
  <c r="Q6964" i="52" l="1"/>
  <c r="Q6965" i="52" s="1"/>
  <c r="R6964" i="52" l="1"/>
  <c r="S6964" i="52" s="1"/>
  <c r="R6965" i="52"/>
  <c r="S6965" i="52" s="1"/>
  <c r="Q6966" i="52"/>
  <c r="R6966" i="52" s="1"/>
  <c r="S6966" i="52" s="1"/>
  <c r="Q6967" i="52" l="1"/>
  <c r="Q6968" i="52" s="1"/>
  <c r="R6967" i="52" l="1"/>
  <c r="S6967" i="52" s="1"/>
  <c r="R6968" i="52"/>
  <c r="S6968" i="52" s="1"/>
  <c r="Q6969" i="52"/>
  <c r="R6969" i="52" s="1"/>
  <c r="S6969" i="52" s="1"/>
  <c r="Q6970" i="52" l="1"/>
  <c r="R6970" i="52" s="1"/>
  <c r="S6970" i="52" s="1"/>
  <c r="Q6971" i="52" l="1"/>
  <c r="R6971" i="52" s="1"/>
  <c r="S6971" i="52" s="1"/>
  <c r="Q6972" i="52" l="1"/>
  <c r="R6972" i="52" s="1"/>
  <c r="S6972" i="52" s="1"/>
  <c r="Q6973" i="52" l="1"/>
  <c r="R6973" i="52" s="1"/>
  <c r="S6973" i="52" s="1"/>
  <c r="Q6974" i="52" l="1"/>
  <c r="R6974" i="52" s="1"/>
  <c r="S6974" i="52" s="1"/>
  <c r="Q6975" i="52" l="1"/>
  <c r="R6975" i="52" s="1"/>
  <c r="S6975" i="52" s="1"/>
  <c r="Q6976" i="52" l="1"/>
  <c r="R6976" i="52" s="1"/>
  <c r="S6976" i="52" s="1"/>
  <c r="Q6977" i="52" l="1"/>
  <c r="R6977" i="52" s="1"/>
  <c r="S6977" i="52" s="1"/>
  <c r="Q6978" i="52" l="1"/>
  <c r="R6978" i="52" s="1"/>
  <c r="S6978" i="52" s="1"/>
  <c r="Q6979" i="52" l="1"/>
  <c r="Q6980" i="52" s="1"/>
  <c r="R6979" i="52" l="1"/>
  <c r="S6979" i="52" s="1"/>
  <c r="R6980" i="52"/>
  <c r="S6980" i="52" s="1"/>
  <c r="Q6981" i="52"/>
  <c r="R6981" i="52" s="1"/>
  <c r="S6981" i="52" s="1"/>
  <c r="Q6982" i="52" l="1"/>
  <c r="R6982" i="52" s="1"/>
  <c r="S6982" i="52" s="1"/>
  <c r="Q6983" i="52" l="1"/>
  <c r="Q6984" i="52" s="1"/>
  <c r="R6983" i="52" l="1"/>
  <c r="S6983" i="52" s="1"/>
  <c r="R6984" i="52"/>
  <c r="S6984" i="52" s="1"/>
  <c r="Q6985" i="52"/>
  <c r="R6985" i="52" l="1"/>
  <c r="S6985" i="52" s="1"/>
  <c r="Q6986" i="52"/>
  <c r="R6986" i="52" s="1"/>
  <c r="S6986" i="52" s="1"/>
  <c r="Q6987" i="52" l="1"/>
  <c r="R6987" i="52" s="1"/>
  <c r="S6987" i="52" s="1"/>
  <c r="Q6988" i="52" l="1"/>
  <c r="R6988" i="52" s="1"/>
  <c r="S6988" i="52" s="1"/>
  <c r="Q6989" i="52" l="1"/>
  <c r="R6989" i="52" s="1"/>
  <c r="S6989" i="52" s="1"/>
  <c r="Q6990" i="52" l="1"/>
  <c r="R6990" i="52" s="1"/>
  <c r="S6990" i="52" s="1"/>
  <c r="Q6991" i="52" l="1"/>
  <c r="R6991" i="52" s="1"/>
  <c r="S6991" i="52" s="1"/>
  <c r="Q6992" i="52" l="1"/>
  <c r="R6992" i="52" s="1"/>
  <c r="S6992" i="52" s="1"/>
  <c r="Q6993" i="52" l="1"/>
  <c r="R6993" i="52" s="1"/>
  <c r="S6993" i="52" s="1"/>
  <c r="Q6994" i="52" l="1"/>
  <c r="R6994" i="52" s="1"/>
  <c r="S6994" i="52" s="1"/>
  <c r="Q6995" i="52" l="1"/>
  <c r="Q6996" i="52" s="1"/>
  <c r="R6995" i="52" l="1"/>
  <c r="S6995" i="52" s="1"/>
  <c r="R6996" i="52"/>
  <c r="S6996" i="52" s="1"/>
  <c r="Q6997" i="52"/>
  <c r="R6997" i="52" l="1"/>
  <c r="S6997" i="52" s="1"/>
  <c r="Q6998" i="52"/>
  <c r="R6998" i="52" s="1"/>
  <c r="S6998" i="52" s="1"/>
  <c r="Q6999" i="52" l="1"/>
  <c r="R6999" i="52" s="1"/>
  <c r="S6999" i="52" s="1"/>
  <c r="Q7000" i="52" l="1"/>
  <c r="R7000" i="52" s="1"/>
  <c r="S7000" i="52" s="1"/>
  <c r="Q7001" i="52" l="1"/>
  <c r="R7001" i="52" s="1"/>
  <c r="S7001" i="52" s="1"/>
  <c r="Q7002" i="52" l="1"/>
  <c r="R7002" i="52" s="1"/>
  <c r="S7002" i="52" s="1"/>
  <c r="Q7003" i="52" l="1"/>
  <c r="R7003" i="52" s="1"/>
  <c r="S7003" i="52" s="1"/>
  <c r="Q7004" i="52" l="1"/>
  <c r="R7004" i="52" s="1"/>
  <c r="S7004" i="52" s="1"/>
  <c r="Q7005" i="52" l="1"/>
  <c r="R7005" i="52" s="1"/>
  <c r="S7005" i="52" s="1"/>
  <c r="Q7006" i="52" l="1"/>
  <c r="R7006" i="52" s="1"/>
  <c r="S7006" i="52" s="1"/>
  <c r="Q7007" i="52" l="1"/>
  <c r="R7007" i="52" s="1"/>
  <c r="S7007" i="52" s="1"/>
  <c r="Q7008" i="52" l="1"/>
  <c r="Q7009" i="52" s="1"/>
  <c r="R7008" i="52" l="1"/>
  <c r="S7008" i="52" s="1"/>
  <c r="R7009" i="52"/>
  <c r="S7009" i="52" s="1"/>
  <c r="Q7010" i="52"/>
  <c r="R7010" i="52" s="1"/>
  <c r="S7010" i="52" s="1"/>
  <c r="Q7011" i="52" l="1"/>
  <c r="R7011" i="52" s="1"/>
  <c r="S7011" i="52" s="1"/>
  <c r="Q7012" i="52" l="1"/>
  <c r="Q7013" i="52" l="1"/>
  <c r="Q7014" i="52" s="1"/>
  <c r="R7012" i="52"/>
  <c r="S7012" i="52" s="1"/>
  <c r="R7013" i="52" l="1"/>
  <c r="S7013" i="52" s="1"/>
  <c r="R7014" i="52"/>
  <c r="S7014" i="52" s="1"/>
  <c r="Q7015" i="52"/>
  <c r="R7015" i="52" s="1"/>
  <c r="S7015" i="52" s="1"/>
  <c r="Q7016" i="52" l="1"/>
  <c r="Q7017" i="52" s="1"/>
  <c r="R7016" i="52" l="1"/>
  <c r="S7016" i="52" s="1"/>
  <c r="R7017" i="52"/>
  <c r="S7017" i="52" s="1"/>
  <c r="Q7018" i="52"/>
  <c r="R7018" i="52" s="1"/>
  <c r="S7018" i="52" s="1"/>
  <c r="Q7019" i="52" l="1"/>
  <c r="R7019" i="52" s="1"/>
  <c r="S7019" i="52" s="1"/>
  <c r="Q7020" i="52" l="1"/>
  <c r="Q7021" i="52" s="1"/>
  <c r="R7020" i="52" l="1"/>
  <c r="S7020" i="52" s="1"/>
  <c r="R7021" i="52"/>
  <c r="S7021" i="52" s="1"/>
  <c r="Q7022" i="52"/>
  <c r="R7022" i="52" s="1"/>
  <c r="S7022" i="52" s="1"/>
  <c r="Q7023" i="52" l="1"/>
  <c r="R7023" i="52" s="1"/>
  <c r="S7023" i="52" s="1"/>
  <c r="Q7024" i="52" l="1"/>
  <c r="Q7025" i="52" s="1"/>
  <c r="R7024" i="52" l="1"/>
  <c r="S7024" i="52" s="1"/>
  <c r="R7025" i="52"/>
  <c r="S7025" i="52" s="1"/>
  <c r="Q7026" i="52"/>
  <c r="R7026" i="52" l="1"/>
  <c r="S7026" i="52" s="1"/>
  <c r="Q7027" i="52"/>
  <c r="Q7028" i="52" l="1"/>
  <c r="Q7029" i="52" s="1"/>
  <c r="R7027" i="52"/>
  <c r="S7027" i="52" s="1"/>
  <c r="R7028" i="52" l="1"/>
  <c r="S7028" i="52" s="1"/>
  <c r="R7029" i="52"/>
  <c r="S7029" i="52" s="1"/>
  <c r="Q7030" i="52"/>
  <c r="R7030" i="52" s="1"/>
  <c r="S7030" i="52" s="1"/>
  <c r="Q7031" i="52" l="1"/>
  <c r="Q7032" i="52" l="1"/>
  <c r="Q7033" i="52" s="1"/>
  <c r="R7031" i="52"/>
  <c r="S7031" i="52" s="1"/>
  <c r="R7033" i="52" l="1"/>
  <c r="S7033" i="52" s="1"/>
  <c r="Q7034" i="52"/>
  <c r="R7032" i="52"/>
  <c r="S7032" i="52" s="1"/>
  <c r="Q7035" i="52" l="1"/>
  <c r="R7034" i="52"/>
  <c r="S7034" i="52" s="1"/>
  <c r="Q7036" i="52" l="1"/>
  <c r="R7036" i="52" s="1"/>
  <c r="S7036" i="52" s="1"/>
  <c r="R7035" i="52"/>
  <c r="S7035" i="52" s="1"/>
  <c r="Q7037" i="52" l="1"/>
  <c r="R7037" i="52" s="1"/>
  <c r="S7037" i="52" s="1"/>
  <c r="Q7038" i="52" l="1"/>
  <c r="R7038" i="52" s="1"/>
  <c r="S7038" i="52" s="1"/>
  <c r="Q7039" i="52" l="1"/>
  <c r="Q7040" i="52" s="1"/>
  <c r="R7039" i="52" l="1"/>
  <c r="S7039" i="52" s="1"/>
  <c r="R7040" i="52"/>
  <c r="S7040" i="52" s="1"/>
  <c r="Q7041" i="52"/>
  <c r="R7041" i="52" l="1"/>
  <c r="S7041" i="52" s="1"/>
  <c r="Q7042" i="52"/>
  <c r="R7042" i="52" s="1"/>
  <c r="S7042" i="52" s="1"/>
  <c r="Q7043" i="52" l="1"/>
  <c r="Q7044" i="52" l="1"/>
  <c r="Q7045" i="52" s="1"/>
  <c r="R7043" i="52"/>
  <c r="S7043" i="52" s="1"/>
  <c r="R7044" i="52" l="1"/>
  <c r="S7044" i="52" s="1"/>
  <c r="R7045" i="52"/>
  <c r="S7045" i="52" s="1"/>
  <c r="Q7046" i="52"/>
  <c r="R7046" i="52" s="1"/>
  <c r="S7046" i="52" s="1"/>
  <c r="Q7047" i="52" l="1"/>
  <c r="R7047" i="52" s="1"/>
  <c r="S7047" i="52" s="1"/>
  <c r="Q7048" i="52" l="1"/>
  <c r="Q7049" i="52" s="1"/>
  <c r="R7048" i="52" l="1"/>
  <c r="S7048" i="52" s="1"/>
  <c r="R7049" i="52"/>
  <c r="S7049" i="52" s="1"/>
  <c r="Q7050" i="52"/>
  <c r="R7050" i="52" s="1"/>
  <c r="S7050" i="52" s="1"/>
  <c r="Q7051" i="52" l="1"/>
  <c r="Q7052" i="52" s="1"/>
  <c r="R7051" i="52" l="1"/>
  <c r="S7051" i="52" s="1"/>
  <c r="R7052" i="52"/>
  <c r="S7052" i="52" s="1"/>
  <c r="Q7053" i="52"/>
  <c r="R7053" i="52" l="1"/>
  <c r="S7053" i="52" s="1"/>
  <c r="Q7054" i="52"/>
  <c r="R7054" i="52" s="1"/>
  <c r="S7054" i="52" s="1"/>
  <c r="Q7055" i="52" l="1"/>
  <c r="Q7056" i="52" s="1"/>
  <c r="R7055" i="52" l="1"/>
  <c r="S7055" i="52" s="1"/>
  <c r="R7056" i="52"/>
  <c r="S7056" i="52" s="1"/>
  <c r="Q7057" i="52"/>
  <c r="R7057" i="52" l="1"/>
  <c r="S7057" i="52" s="1"/>
  <c r="Q7058" i="52"/>
  <c r="R7058" i="52" s="1"/>
  <c r="S7058" i="52" s="1"/>
  <c r="Q7059" i="52" l="1"/>
  <c r="R7059" i="52" s="1"/>
  <c r="S7059" i="52" s="1"/>
  <c r="Q7060" i="52" l="1"/>
  <c r="Q7061" i="52" s="1"/>
  <c r="R7060" i="52" l="1"/>
  <c r="S7060" i="52" s="1"/>
  <c r="R7061" i="52"/>
  <c r="S7061" i="52" s="1"/>
  <c r="Q7062" i="52"/>
  <c r="R7062" i="52" s="1"/>
  <c r="S7062" i="52" s="1"/>
  <c r="Q7063" i="52" l="1"/>
  <c r="Q7064" i="52" s="1"/>
  <c r="R7063" i="52" l="1"/>
  <c r="S7063" i="52" s="1"/>
  <c r="R7064" i="52"/>
  <c r="S7064" i="52" s="1"/>
  <c r="Q7065" i="52"/>
  <c r="R7065" i="52" l="1"/>
  <c r="S7065" i="52" s="1"/>
  <c r="Q7066" i="52"/>
  <c r="R7066" i="52" s="1"/>
  <c r="S7066" i="52" s="1"/>
  <c r="Q7067" i="52" l="1"/>
  <c r="Q7068" i="52" s="1"/>
  <c r="R7067" i="52" l="1"/>
  <c r="S7067" i="52" s="1"/>
  <c r="R7068" i="52"/>
  <c r="S7068" i="52" s="1"/>
  <c r="Q7069" i="52"/>
  <c r="R7069" i="52" l="1"/>
  <c r="S7069" i="52" s="1"/>
  <c r="Q7070" i="52"/>
  <c r="R7070" i="52" s="1"/>
  <c r="S7070" i="52" s="1"/>
  <c r="Q7071" i="52" l="1"/>
  <c r="Q7072" i="52" s="1"/>
  <c r="R7071" i="52" l="1"/>
  <c r="S7071" i="52" s="1"/>
  <c r="R7072" i="52"/>
  <c r="S7072" i="52" s="1"/>
  <c r="Q7073" i="52"/>
  <c r="R7073" i="52" s="1"/>
  <c r="S7073" i="52" s="1"/>
  <c r="Q7074" i="52" l="1"/>
  <c r="R7074" i="52" s="1"/>
  <c r="S7074" i="52" s="1"/>
  <c r="Q7075" i="52" l="1"/>
  <c r="R7075" i="52" s="1"/>
  <c r="S7075" i="52" s="1"/>
  <c r="Q7076" i="52" l="1"/>
  <c r="R7076" i="52" s="1"/>
  <c r="S7076" i="52" s="1"/>
  <c r="Q7077" i="52" l="1"/>
  <c r="R7077" i="52" s="1"/>
  <c r="S7077" i="52" s="1"/>
  <c r="Q7078" i="52" l="1"/>
  <c r="R7078" i="52" s="1"/>
  <c r="S7078" i="52" s="1"/>
  <c r="Q7079" i="52" l="1"/>
  <c r="Q7080" i="52" s="1"/>
  <c r="R7079" i="52" l="1"/>
  <c r="S7079" i="52" s="1"/>
  <c r="R7080" i="52"/>
  <c r="S7080" i="52" s="1"/>
  <c r="Q7081" i="52"/>
  <c r="R7081" i="52" l="1"/>
  <c r="S7081" i="52" s="1"/>
  <c r="Q7082" i="52"/>
  <c r="R7082" i="52" s="1"/>
  <c r="S7082" i="52" s="1"/>
  <c r="Q7083" i="52" l="1"/>
  <c r="Q7084" i="52" s="1"/>
  <c r="R7083" i="52" l="1"/>
  <c r="S7083" i="52" s="1"/>
  <c r="R7084" i="52"/>
  <c r="S7084" i="52" s="1"/>
  <c r="Q7085" i="52"/>
  <c r="R7085" i="52" l="1"/>
  <c r="S7085" i="52" s="1"/>
  <c r="Q7086" i="52"/>
  <c r="R7086" i="52" s="1"/>
  <c r="S7086" i="52" s="1"/>
  <c r="Q7087" i="52" l="1"/>
  <c r="Q7088" i="52" s="1"/>
  <c r="R7087" i="52" l="1"/>
  <c r="S7087" i="52" s="1"/>
  <c r="R7088" i="52"/>
  <c r="S7088" i="52" s="1"/>
  <c r="Q7089" i="52"/>
  <c r="R7089" i="52" l="1"/>
  <c r="S7089" i="52" s="1"/>
  <c r="Q7090" i="52"/>
  <c r="R7090" i="52" s="1"/>
  <c r="S7090" i="52" s="1"/>
  <c r="Q7091" i="52" l="1"/>
  <c r="R7091" i="52" s="1"/>
  <c r="S7091" i="52" s="1"/>
  <c r="Q7092" i="52" l="1"/>
  <c r="R7092" i="52" s="1"/>
  <c r="S7092" i="52" s="1"/>
  <c r="Q7093" i="52" l="1"/>
  <c r="R7093" i="52" s="1"/>
  <c r="S7093" i="52" s="1"/>
  <c r="Q7094" i="52" l="1"/>
  <c r="R7094" i="52" s="1"/>
  <c r="S7094" i="52" s="1"/>
  <c r="Q7095" i="52" l="1"/>
  <c r="Q7096" i="52" s="1"/>
  <c r="R7095" i="52" l="1"/>
  <c r="S7095" i="52" s="1"/>
  <c r="R7096" i="52"/>
  <c r="S7096" i="52" s="1"/>
  <c r="Q7097" i="52"/>
  <c r="R7097" i="52" l="1"/>
  <c r="S7097" i="52" s="1"/>
  <c r="Q7098" i="52"/>
  <c r="R7098" i="52" s="1"/>
  <c r="S7098" i="52" s="1"/>
  <c r="Q7099" i="52" l="1"/>
  <c r="R7099" i="52" s="1"/>
  <c r="S7099" i="52" s="1"/>
  <c r="Q7100" i="52" l="1"/>
  <c r="Q7101" i="52" s="1"/>
  <c r="R7100" i="52" l="1"/>
  <c r="S7100" i="52" s="1"/>
  <c r="R7101" i="52"/>
  <c r="S7101" i="52" s="1"/>
  <c r="Q7102" i="52"/>
  <c r="R7102" i="52" s="1"/>
  <c r="S7102" i="52" s="1"/>
  <c r="Q7103" i="52" l="1"/>
  <c r="Q7104" i="52" s="1"/>
  <c r="R7103" i="52" l="1"/>
  <c r="S7103" i="52" s="1"/>
  <c r="R7104" i="52"/>
  <c r="S7104" i="52" s="1"/>
  <c r="Q7105" i="52"/>
  <c r="R7105" i="52" s="1"/>
  <c r="S7105" i="52" s="1"/>
  <c r="Q7106" i="52" l="1"/>
  <c r="R7106" i="52" s="1"/>
  <c r="S7106" i="52" s="1"/>
  <c r="Q7107" i="52" l="1"/>
  <c r="R7107" i="52" s="1"/>
  <c r="S7107" i="52" s="1"/>
  <c r="Q7108" i="52" l="1"/>
  <c r="R7108" i="52" s="1"/>
  <c r="S7108" i="52" s="1"/>
  <c r="Q7109" i="52" l="1"/>
  <c r="R7109" i="52" s="1"/>
  <c r="S7109" i="52" s="1"/>
  <c r="Q7110" i="52" l="1"/>
  <c r="R7110" i="52" s="1"/>
  <c r="S7110" i="52" s="1"/>
  <c r="Q7111" i="52" l="1"/>
  <c r="Q7112" i="52" s="1"/>
  <c r="R7111" i="52" l="1"/>
  <c r="S7111" i="52" s="1"/>
  <c r="R7112" i="52"/>
  <c r="S7112" i="52" s="1"/>
  <c r="Q7113" i="52"/>
  <c r="R7113" i="52" s="1"/>
  <c r="S7113" i="52" s="1"/>
  <c r="Q7114" i="52" l="1"/>
  <c r="R7114" i="52" s="1"/>
  <c r="S7114" i="52" s="1"/>
  <c r="Q7115" i="52" l="1"/>
  <c r="Q7116" i="52" s="1"/>
  <c r="R7115" i="52" l="1"/>
  <c r="S7115" i="52" s="1"/>
  <c r="R7116" i="52"/>
  <c r="S7116" i="52" s="1"/>
  <c r="Q7117" i="52"/>
  <c r="Q7118" i="52" l="1"/>
  <c r="R7118" i="52" s="1"/>
  <c r="S7118" i="52" s="1"/>
  <c r="R7117" i="52"/>
  <c r="S7117" i="52" s="1"/>
  <c r="Q7119" i="52" l="1"/>
  <c r="R7119" i="52" s="1"/>
  <c r="S7119" i="52" s="1"/>
  <c r="Q7120" i="52" l="1"/>
  <c r="Q7121" i="52" s="1"/>
  <c r="R7120" i="52" l="1"/>
  <c r="S7120" i="52" s="1"/>
  <c r="R7121" i="52"/>
  <c r="S7121" i="52" s="1"/>
  <c r="Q7122" i="52"/>
  <c r="R7122" i="52" s="1"/>
  <c r="S7122" i="52" s="1"/>
  <c r="Q7123" i="52" l="1"/>
  <c r="Q7124" i="52" s="1"/>
  <c r="R7123" i="52" l="1"/>
  <c r="S7123" i="52" s="1"/>
  <c r="R7124" i="52"/>
  <c r="S7124" i="52" s="1"/>
  <c r="Q7125" i="52"/>
  <c r="R7125" i="52" l="1"/>
  <c r="S7125" i="52" s="1"/>
  <c r="Q7126" i="52"/>
  <c r="R7126" i="52" s="1"/>
  <c r="S7126" i="52" s="1"/>
  <c r="Q7127" i="52" l="1"/>
  <c r="R7127" i="52" s="1"/>
  <c r="S7127" i="52" s="1"/>
  <c r="Q7128" i="52" l="1"/>
  <c r="Q7129" i="52" s="1"/>
  <c r="R7128" i="52" l="1"/>
  <c r="S7128" i="52" s="1"/>
  <c r="R7129" i="52"/>
  <c r="S7129" i="52" s="1"/>
  <c r="Q7130" i="52"/>
  <c r="R7130" i="52" s="1"/>
  <c r="S7130" i="52" s="1"/>
  <c r="Q7131" i="52" l="1"/>
  <c r="Q7132" i="52" s="1"/>
  <c r="R7131" i="52" l="1"/>
  <c r="S7131" i="52" s="1"/>
  <c r="R7132" i="52"/>
  <c r="S7132" i="52" s="1"/>
  <c r="Q7133" i="52"/>
  <c r="R7133" i="52" l="1"/>
  <c r="S7133" i="52" s="1"/>
  <c r="Q7134" i="52"/>
  <c r="R7134" i="52" s="1"/>
  <c r="S7134" i="52" s="1"/>
  <c r="Q7135" i="52" l="1"/>
  <c r="Q7136" i="52" s="1"/>
  <c r="R7135" i="52" l="1"/>
  <c r="S7135" i="52" s="1"/>
  <c r="R7136" i="52"/>
  <c r="S7136" i="52" s="1"/>
  <c r="Q7137" i="52"/>
  <c r="R7137" i="52" s="1"/>
  <c r="S7137" i="52" s="1"/>
  <c r="Q7138" i="52" l="1"/>
  <c r="R7138" i="52" s="1"/>
  <c r="S7138" i="52" s="1"/>
  <c r="Q7139" i="52" l="1"/>
  <c r="Q7140" i="52" s="1"/>
  <c r="R7139" i="52" l="1"/>
  <c r="S7139" i="52" s="1"/>
  <c r="R7140" i="52"/>
  <c r="S7140" i="52" s="1"/>
  <c r="Q7141" i="52"/>
  <c r="R7141" i="52" s="1"/>
  <c r="S7141" i="52" s="1"/>
  <c r="Q7142" i="52" l="1"/>
  <c r="R7142" i="52" s="1"/>
  <c r="S7142" i="52" s="1"/>
  <c r="Q7143" i="52" l="1"/>
  <c r="Q7144" i="52" s="1"/>
  <c r="R7143" i="52" l="1"/>
  <c r="S7143" i="52" s="1"/>
  <c r="R7144" i="52"/>
  <c r="S7144" i="52" s="1"/>
  <c r="Q7145" i="52"/>
  <c r="R7145" i="52" l="1"/>
  <c r="S7145" i="52" s="1"/>
  <c r="Q7146" i="52"/>
  <c r="R7146" i="52" l="1"/>
  <c r="S7146" i="52" s="1"/>
  <c r="Q7147" i="52"/>
  <c r="Q7148" i="52" s="1"/>
  <c r="R7147" i="52" l="1"/>
  <c r="S7147" i="52" s="1"/>
  <c r="R7148" i="52"/>
  <c r="S7148" i="52" s="1"/>
  <c r="Q7149" i="52"/>
  <c r="R7149" i="52" l="1"/>
  <c r="S7149" i="52" s="1"/>
  <c r="Q7150" i="52"/>
  <c r="R7150" i="52" s="1"/>
  <c r="S7150" i="52" s="1"/>
  <c r="Q7151" i="52" l="1"/>
  <c r="R7151" i="52" s="1"/>
  <c r="S7151" i="52" s="1"/>
  <c r="Q7152" i="52" l="1"/>
  <c r="R7152" i="52" s="1"/>
  <c r="S7152" i="52" s="1"/>
  <c r="Q7153" i="52" l="1"/>
  <c r="Q7154" i="52" s="1"/>
  <c r="R7153" i="52" l="1"/>
  <c r="S7153" i="52" s="1"/>
  <c r="R7154" i="52"/>
  <c r="S7154" i="52" s="1"/>
  <c r="Q7155" i="52"/>
  <c r="Q7156" i="52" s="1"/>
  <c r="R7155" i="52" l="1"/>
  <c r="S7155" i="52" s="1"/>
  <c r="R7156" i="52"/>
  <c r="S7156" i="52" s="1"/>
  <c r="Q7157" i="52"/>
  <c r="R7157" i="52" s="1"/>
  <c r="S7157" i="52" s="1"/>
  <c r="Q7158" i="52" l="1"/>
  <c r="R7158" i="52" s="1"/>
  <c r="S7158" i="52" s="1"/>
  <c r="Q7159" i="52" l="1"/>
  <c r="Q7160" i="52" s="1"/>
  <c r="R7159" i="52" l="1"/>
  <c r="S7159" i="52" s="1"/>
  <c r="R7160" i="52"/>
  <c r="S7160" i="52" s="1"/>
  <c r="Q7161" i="52"/>
  <c r="R7161" i="52" l="1"/>
  <c r="S7161" i="52" s="1"/>
  <c r="Q7162" i="52"/>
  <c r="R7162" i="52" l="1"/>
  <c r="S7162" i="52" s="1"/>
  <c r="Q7163" i="52"/>
  <c r="Q7164" i="52" s="1"/>
  <c r="R7163" i="52" l="1"/>
  <c r="S7163" i="52" s="1"/>
  <c r="R7164" i="52"/>
  <c r="S7164" i="52" s="1"/>
  <c r="Q7165" i="52"/>
  <c r="R7165" i="52" l="1"/>
  <c r="S7165" i="52" s="1"/>
  <c r="Q7166" i="52"/>
  <c r="R7166" i="52" l="1"/>
  <c r="S7166" i="52" s="1"/>
  <c r="Q7167" i="52"/>
  <c r="R7167" i="52" s="1"/>
  <c r="S7167" i="52" s="1"/>
  <c r="Q7168" i="52" l="1"/>
  <c r="R7168" i="52" s="1"/>
  <c r="S7168" i="52" s="1"/>
  <c r="Q7169" i="52" l="1"/>
  <c r="Q7170" i="52" s="1"/>
  <c r="R7169" i="52" l="1"/>
  <c r="S7169" i="52" s="1"/>
  <c r="R7170" i="52"/>
  <c r="S7170" i="52" s="1"/>
  <c r="Q7171" i="52"/>
  <c r="R7171" i="52" s="1"/>
  <c r="S7171" i="52" s="1"/>
  <c r="Q7172" i="52" l="1"/>
  <c r="R7172" i="52" s="1"/>
  <c r="S7172" i="52" s="1"/>
  <c r="Q7173" i="52" l="1"/>
  <c r="Q7174" i="52" s="1"/>
  <c r="R7173" i="52" l="1"/>
  <c r="S7173" i="52" s="1"/>
  <c r="R7174" i="52"/>
  <c r="S7174" i="52" s="1"/>
  <c r="Q7175" i="52"/>
  <c r="Q7176" i="52" s="1"/>
  <c r="R7175" i="52" l="1"/>
  <c r="S7175" i="52" s="1"/>
  <c r="R7176" i="52"/>
  <c r="S7176" i="52" s="1"/>
  <c r="Q7177" i="52"/>
  <c r="R7177" i="52" l="1"/>
  <c r="S7177" i="52" s="1"/>
  <c r="Q7178" i="52"/>
  <c r="R7178" i="52" s="1"/>
  <c r="S7178" i="52" s="1"/>
  <c r="Q7179" i="52" l="1"/>
  <c r="Q7180" i="52" s="1"/>
  <c r="R7179" i="52" l="1"/>
  <c r="S7179" i="52" s="1"/>
  <c r="R7180" i="52"/>
  <c r="S7180" i="52" s="1"/>
  <c r="Q7181" i="52"/>
  <c r="R7181" i="52" s="1"/>
  <c r="S7181" i="52" s="1"/>
  <c r="Q7182" i="52" l="1"/>
  <c r="R7182" i="52" s="1"/>
  <c r="S7182" i="52" s="1"/>
  <c r="Q7183" i="52" l="1"/>
  <c r="R7183" i="52" s="1"/>
  <c r="S7183" i="52" s="1"/>
  <c r="Q7184" i="52" l="1"/>
  <c r="Q7185" i="52" s="1"/>
  <c r="R7184" i="52" l="1"/>
  <c r="S7184" i="52" s="1"/>
  <c r="R7185" i="52"/>
  <c r="S7185" i="52" s="1"/>
  <c r="Q7186" i="52"/>
  <c r="R7186" i="52" l="1"/>
  <c r="S7186" i="52" s="1"/>
  <c r="Q7187" i="52"/>
  <c r="Q7188" i="52" s="1"/>
  <c r="R7187" i="52" l="1"/>
  <c r="S7187" i="52" s="1"/>
  <c r="R7188" i="52"/>
  <c r="S7188" i="52" s="1"/>
  <c r="Q7189" i="52"/>
  <c r="Q7190" i="52" s="1"/>
  <c r="R7189" i="52" l="1"/>
  <c r="S7189" i="52" s="1"/>
  <c r="R7190" i="52"/>
  <c r="S7190" i="52" s="1"/>
  <c r="Q7191" i="52"/>
  <c r="Q7192" i="52" s="1"/>
  <c r="R7192" i="52" l="1"/>
  <c r="S7192" i="52" s="1"/>
  <c r="Q7193" i="52"/>
  <c r="R7191" i="52"/>
  <c r="S7191" i="52" s="1"/>
  <c r="R7193" i="52" l="1"/>
  <c r="S7193" i="52" s="1"/>
  <c r="Q7194" i="52"/>
  <c r="R7194" i="52" l="1"/>
  <c r="S7194" i="52" s="1"/>
  <c r="Q7195" i="52"/>
  <c r="Q7196" i="52" s="1"/>
  <c r="R7195" i="52" l="1"/>
  <c r="S7195" i="52" s="1"/>
  <c r="R7196" i="52"/>
  <c r="S7196" i="52" s="1"/>
  <c r="Q7197" i="52"/>
  <c r="R7197" i="52" l="1"/>
  <c r="S7197" i="52" s="1"/>
  <c r="Q7198" i="52"/>
  <c r="R7198" i="52" s="1"/>
  <c r="S7198" i="52" s="1"/>
  <c r="Q7199" i="52" l="1"/>
  <c r="R7199" i="52" s="1"/>
  <c r="S7199" i="52" s="1"/>
  <c r="Q7200" i="52" l="1"/>
  <c r="Q7201" i="52" s="1"/>
  <c r="R7200" i="52" l="1"/>
  <c r="S7200" i="52" s="1"/>
  <c r="R7201" i="52"/>
  <c r="S7201" i="52" s="1"/>
  <c r="Q7202" i="52"/>
  <c r="R7202" i="52" s="1"/>
  <c r="S7202" i="52" s="1"/>
  <c r="Q7203" i="52" l="1"/>
  <c r="R7203" i="52" s="1"/>
  <c r="S7203" i="52" s="1"/>
  <c r="Q7204" i="52" l="1"/>
  <c r="R7204" i="52" s="1"/>
  <c r="S7204" i="52" s="1"/>
  <c r="Q7205" i="52" l="1"/>
  <c r="Q7206" i="52" s="1"/>
  <c r="R7205" i="52" l="1"/>
  <c r="S7205" i="52" s="1"/>
  <c r="R7206" i="52"/>
  <c r="S7206" i="52" s="1"/>
  <c r="Q7207" i="52"/>
  <c r="Q7208" i="52" s="1"/>
  <c r="R7207" i="52" l="1"/>
  <c r="S7207" i="52" s="1"/>
  <c r="R7208" i="52"/>
  <c r="S7208" i="52" s="1"/>
  <c r="Q7209" i="52"/>
  <c r="Q7210" i="52" s="1"/>
  <c r="R7210" i="52" l="1"/>
  <c r="S7210" i="52" s="1"/>
  <c r="Q7211" i="52"/>
  <c r="Q7212" i="52" s="1"/>
  <c r="R7209" i="52"/>
  <c r="S7209" i="52" s="1"/>
  <c r="R7211" i="52" l="1"/>
  <c r="S7211" i="52" s="1"/>
  <c r="R7212" i="52"/>
  <c r="S7212" i="52" s="1"/>
  <c r="Q7213" i="52"/>
  <c r="R7213" i="52" s="1"/>
  <c r="S7213" i="52" s="1"/>
  <c r="Q7214" i="52" l="1"/>
  <c r="R7214" i="52" s="1"/>
  <c r="S7214" i="52" s="1"/>
  <c r="Q7215" i="52" l="1"/>
  <c r="R7215" i="52" s="1"/>
  <c r="S7215" i="52" s="1"/>
  <c r="Q7216" i="52" l="1"/>
  <c r="Q7217" i="52" s="1"/>
  <c r="R7216" i="52" l="1"/>
  <c r="S7216" i="52" s="1"/>
  <c r="R7217" i="52"/>
  <c r="S7217" i="52" s="1"/>
  <c r="Q7218" i="52"/>
  <c r="R7218" i="52" s="1"/>
  <c r="S7218" i="52" s="1"/>
  <c r="Q7219" i="52" l="1"/>
  <c r="Q7220" i="52" s="1"/>
  <c r="R7219" i="52" l="1"/>
  <c r="S7219" i="52" s="1"/>
  <c r="R7220" i="52"/>
  <c r="S7220" i="52" s="1"/>
  <c r="Q7221" i="52"/>
  <c r="Q7222" i="52" s="1"/>
  <c r="R7222" i="52" l="1"/>
  <c r="S7222" i="52" s="1"/>
  <c r="Q7223" i="52"/>
  <c r="Q7224" i="52" s="1"/>
  <c r="R7221" i="52"/>
  <c r="S7221" i="52" s="1"/>
  <c r="R7223" i="52" l="1"/>
  <c r="S7223" i="52" s="1"/>
  <c r="R7224" i="52"/>
  <c r="S7224" i="52" s="1"/>
  <c r="Q7225" i="52"/>
  <c r="R7225" i="52" l="1"/>
  <c r="S7225" i="52" s="1"/>
  <c r="Q7226" i="52"/>
  <c r="R7226" i="52" l="1"/>
  <c r="S7226" i="52" s="1"/>
  <c r="Q7227" i="52"/>
  <c r="Q7228" i="52" s="1"/>
  <c r="R7227" i="52" l="1"/>
  <c r="S7227" i="52" s="1"/>
  <c r="R7228" i="52"/>
  <c r="S7228" i="52" s="1"/>
  <c r="Q7229" i="52"/>
  <c r="Q7230" i="52" l="1"/>
  <c r="R7230" i="52" s="1"/>
  <c r="S7230" i="52" s="1"/>
  <c r="R7229" i="52"/>
  <c r="S7229" i="52" s="1"/>
  <c r="Q7231" i="52" l="1"/>
  <c r="R7231" i="52" s="1"/>
  <c r="S7231" i="52" s="1"/>
  <c r="Q7232" i="52" l="1"/>
  <c r="R7232" i="52" s="1"/>
  <c r="S7232" i="52" s="1"/>
  <c r="Q7233" i="52" l="1"/>
  <c r="R7233" i="52" s="1"/>
  <c r="S7233" i="52" s="1"/>
  <c r="Q7234" i="52" l="1"/>
  <c r="R7234" i="52" s="1"/>
  <c r="S7234" i="52" s="1"/>
  <c r="Q7235" i="52" l="1"/>
  <c r="R7235" i="52" s="1"/>
  <c r="S7235" i="52" s="1"/>
  <c r="Q7236" i="52" l="1"/>
  <c r="R7236" i="52" s="1"/>
  <c r="S7236" i="52" s="1"/>
  <c r="Q7237" i="52" l="1"/>
  <c r="R7237" i="52" s="1"/>
  <c r="S7237" i="52" s="1"/>
  <c r="Q7238" i="52" l="1"/>
  <c r="R7238" i="52" s="1"/>
  <c r="S7238" i="52" s="1"/>
  <c r="Q7239" i="52" l="1"/>
  <c r="R7239" i="52" s="1"/>
  <c r="S7239" i="52" s="1"/>
  <c r="Q7240" i="52" l="1"/>
  <c r="R7240" i="52" s="1"/>
  <c r="S7240" i="52" s="1"/>
  <c r="Q7241" i="52" l="1"/>
  <c r="R7241" i="52" s="1"/>
  <c r="S7241" i="52" s="1"/>
  <c r="Q7242" i="52" l="1"/>
  <c r="R7242" i="52" s="1"/>
  <c r="S7242" i="52" s="1"/>
  <c r="Q7243" i="52" l="1"/>
  <c r="R7243" i="52" s="1"/>
  <c r="S7243" i="52" s="1"/>
  <c r="Q7244" i="52" l="1"/>
  <c r="Q7245" i="52" s="1"/>
  <c r="R7245" i="52" l="1"/>
  <c r="S7245" i="52" s="1"/>
  <c r="Q7246" i="52"/>
  <c r="R7246" i="52" s="1"/>
  <c r="S7246" i="52" s="1"/>
  <c r="R7244" i="52"/>
  <c r="S7244" i="52" s="1"/>
  <c r="Q7247" i="52" l="1"/>
  <c r="R7247" i="52" s="1"/>
  <c r="S7247" i="52" s="1"/>
  <c r="Q7248" i="52" l="1"/>
  <c r="R7248" i="52" s="1"/>
  <c r="S7248" i="52" s="1"/>
  <c r="Q7249" i="52" l="1"/>
  <c r="R7249" i="52" s="1"/>
  <c r="S7249" i="52" s="1"/>
  <c r="Q7250" i="52" l="1"/>
  <c r="R7250" i="52" s="1"/>
  <c r="S7250" i="52" s="1"/>
  <c r="Q7251" i="52" l="1"/>
  <c r="Q7252" i="52" s="1"/>
  <c r="R7251" i="52" l="1"/>
  <c r="S7251" i="52" s="1"/>
  <c r="R7252" i="52"/>
  <c r="S7252" i="52" s="1"/>
  <c r="Q7253" i="52"/>
  <c r="Q7254" i="52" l="1"/>
  <c r="R7253" i="52"/>
  <c r="S7253" i="52" s="1"/>
  <c r="Q7255" i="52" l="1"/>
  <c r="Q7256" i="52" s="1"/>
  <c r="R7254" i="52"/>
  <c r="S7254" i="52" s="1"/>
  <c r="A49" i="54"/>
  <c r="A20" i="54"/>
  <c r="A66" i="54"/>
  <c r="A72" i="54"/>
  <c r="A68" i="54"/>
  <c r="A31" i="54"/>
  <c r="A71" i="54"/>
  <c r="A29" i="54"/>
  <c r="A55" i="54"/>
  <c r="A54" i="54"/>
  <c r="A52" i="54"/>
  <c r="A67" i="54"/>
  <c r="A69" i="54"/>
  <c r="A30" i="54"/>
  <c r="A62" i="54"/>
  <c r="A51" i="54"/>
  <c r="A56" i="54"/>
  <c r="A28" i="54"/>
  <c r="A24" i="54"/>
  <c r="A32" i="54"/>
  <c r="A23" i="54"/>
  <c r="A22" i="54"/>
  <c r="A9" i="54"/>
  <c r="A21" i="54"/>
  <c r="A7" i="54"/>
  <c r="A61" i="54"/>
  <c r="A53" i="54"/>
  <c r="A26" i="54"/>
  <c r="A70" i="54"/>
  <c r="A65" i="54"/>
  <c r="A60" i="54"/>
  <c r="A25" i="54"/>
  <c r="A27" i="54"/>
  <c r="A33" i="54"/>
  <c r="A59" i="54"/>
  <c r="A34" i="54"/>
  <c r="A8" i="54"/>
  <c r="A50" i="54"/>
  <c r="C70" i="54"/>
  <c r="D70" i="54"/>
  <c r="B70" i="54"/>
  <c r="R7256" i="52" l="1"/>
  <c r="S7256" i="52" s="1"/>
  <c r="R7255" i="52"/>
  <c r="A10" i="54"/>
  <c r="C25" i="54"/>
  <c r="B9" i="54"/>
  <c r="C28" i="54"/>
  <c r="C10" i="54"/>
  <c r="C20" i="54"/>
  <c r="B67" i="54"/>
  <c r="B22" i="54"/>
  <c r="D67" i="54"/>
  <c r="C27" i="54"/>
  <c r="C26" i="54"/>
  <c r="C50" i="54"/>
  <c r="C53" i="54"/>
  <c r="D68" i="54"/>
  <c r="C32" i="54"/>
  <c r="C9" i="54"/>
  <c r="B7" i="54"/>
  <c r="C30" i="54"/>
  <c r="C62" i="54"/>
  <c r="C72" i="54"/>
  <c r="B71" i="54"/>
  <c r="D53" i="54"/>
  <c r="D49" i="54"/>
  <c r="B66" i="54"/>
  <c r="C22" i="54"/>
  <c r="C31" i="54"/>
  <c r="B55" i="54"/>
  <c r="B8" i="54"/>
  <c r="B52" i="54"/>
  <c r="C33" i="54"/>
  <c r="C7" i="54"/>
  <c r="C65" i="54"/>
  <c r="B49" i="54"/>
  <c r="C49" i="54"/>
  <c r="D62" i="54"/>
  <c r="D52" i="54"/>
  <c r="B51" i="54"/>
  <c r="B20" i="54"/>
  <c r="D51" i="54"/>
  <c r="D60" i="54"/>
  <c r="D34" i="54"/>
  <c r="C56" i="54"/>
  <c r="C60" i="54"/>
  <c r="B68" i="54"/>
  <c r="D20" i="54"/>
  <c r="C51" i="54"/>
  <c r="D8" i="54"/>
  <c r="B10" i="54"/>
  <c r="D66" i="54"/>
  <c r="D10" i="54"/>
  <c r="D54" i="54"/>
  <c r="C71" i="54"/>
  <c r="D23" i="54"/>
  <c r="D72" i="54"/>
  <c r="D9" i="54"/>
  <c r="B27" i="54"/>
  <c r="D32" i="54"/>
  <c r="C68" i="54"/>
  <c r="D29" i="54"/>
  <c r="D28" i="54"/>
  <c r="B53" i="54"/>
  <c r="D31" i="54"/>
  <c r="B24" i="54"/>
  <c r="B61" i="54"/>
  <c r="B31" i="54"/>
  <c r="B50" i="54"/>
  <c r="D30" i="54"/>
  <c r="D59" i="54"/>
  <c r="B32" i="54"/>
  <c r="D61" i="54"/>
  <c r="B21" i="54"/>
  <c r="B56" i="54"/>
  <c r="C67" i="54"/>
  <c r="D22" i="54"/>
  <c r="B30" i="54"/>
  <c r="D7" i="54"/>
  <c r="D25" i="54"/>
  <c r="D21" i="54"/>
  <c r="D56" i="54"/>
  <c r="B29" i="54"/>
  <c r="C61" i="54"/>
  <c r="D26" i="54"/>
  <c r="B34" i="54"/>
  <c r="C59" i="54"/>
  <c r="B62" i="54"/>
  <c r="B65" i="54"/>
  <c r="B33" i="54"/>
  <c r="B23" i="54"/>
  <c r="D65" i="54"/>
  <c r="C23" i="54"/>
  <c r="B72" i="54"/>
  <c r="D71" i="54"/>
  <c r="D55" i="54"/>
  <c r="C54" i="54"/>
  <c r="B59" i="54"/>
  <c r="D24" i="54"/>
  <c r="B25" i="54"/>
  <c r="D50" i="54"/>
  <c r="C34" i="54"/>
  <c r="B60" i="54"/>
  <c r="C21" i="54"/>
  <c r="C29" i="54"/>
  <c r="D33" i="54"/>
  <c r="C55" i="54"/>
  <c r="C52" i="54"/>
  <c r="C66" i="54"/>
  <c r="D27" i="54"/>
  <c r="C8" i="54"/>
  <c r="C24" i="54"/>
  <c r="D69" i="54"/>
  <c r="B26" i="54"/>
  <c r="B69" i="54"/>
  <c r="B54" i="54"/>
  <c r="B28" i="54"/>
  <c r="C69" i="54"/>
  <c r="B73" i="54"/>
  <c r="D73" i="54"/>
  <c r="S7255" i="52" l="1"/>
  <c r="A73" i="54" s="1"/>
  <c r="Q7257" i="52"/>
  <c r="N114" i="1"/>
  <c r="P188" i="1" s="1"/>
  <c r="N166" i="1"/>
  <c r="L114" i="1"/>
  <c r="P187" i="1" s="1"/>
  <c r="L166" i="1"/>
  <c r="J114" i="1"/>
  <c r="J166" i="1"/>
  <c r="R7257" i="52" l="1"/>
  <c r="N142" i="1"/>
  <c r="E8" i="57"/>
  <c r="D28" i="49"/>
  <c r="E3" i="46"/>
  <c r="L142" i="1"/>
  <c r="D8" i="57"/>
  <c r="D27" i="49"/>
  <c r="D3" i="46"/>
  <c r="J142" i="1"/>
  <c r="S7257" i="52" l="1"/>
  <c r="H188" i="1"/>
  <c r="N143" i="1"/>
  <c r="H187" i="1"/>
  <c r="L143" i="1"/>
  <c r="J143" i="1"/>
  <c r="C28" i="49" l="1"/>
  <c r="L188" i="1"/>
  <c r="E9" i="57" s="1"/>
  <c r="E36" i="57" s="1"/>
  <c r="E4" i="46"/>
  <c r="C27" i="49"/>
  <c r="L187" i="1"/>
  <c r="D9" i="57" s="1"/>
  <c r="D36" i="57" s="1"/>
  <c r="D4" i="46"/>
  <c r="BE49" i="46" l="1"/>
  <c r="BF49" i="46" s="1"/>
  <c r="BE50" i="46"/>
  <c r="BF50" i="46" s="1"/>
  <c r="BE42" i="46"/>
  <c r="BF42" i="46" s="1"/>
  <c r="BE48" i="46"/>
  <c r="BF48" i="46" s="1"/>
  <c r="BE47" i="46"/>
  <c r="BF47" i="46" s="1"/>
  <c r="BE46" i="46"/>
  <c r="BF46" i="46" s="1"/>
  <c r="BE45" i="46"/>
  <c r="BF45" i="46" s="1"/>
  <c r="BE37" i="46"/>
  <c r="BF37" i="46" s="1"/>
  <c r="BE38" i="46"/>
  <c r="BF38" i="46" s="1"/>
  <c r="BE36" i="46"/>
  <c r="BF36" i="46" s="1"/>
  <c r="BE28" i="46"/>
  <c r="BF28" i="46" s="1"/>
  <c r="BE29" i="46"/>
  <c r="BF29" i="46" s="1"/>
  <c r="BE27" i="46"/>
  <c r="BF27" i="46" s="1"/>
  <c r="Q7258" i="52"/>
  <c r="BZ13" i="46"/>
  <c r="BE17" i="46"/>
  <c r="BE21" i="46"/>
  <c r="BE25" i="46"/>
  <c r="BE32" i="46"/>
  <c r="BE39" i="46"/>
  <c r="BE44" i="46"/>
  <c r="BE54" i="46"/>
  <c r="BE58" i="46"/>
  <c r="BE62" i="46"/>
  <c r="BE66" i="46"/>
  <c r="BE70" i="46"/>
  <c r="BE74" i="46"/>
  <c r="BE78" i="46"/>
  <c r="BE82" i="46"/>
  <c r="BE86" i="46"/>
  <c r="BE90" i="46"/>
  <c r="BE94" i="46"/>
  <c r="BE98" i="46"/>
  <c r="BE102" i="46"/>
  <c r="BE106" i="46"/>
  <c r="BE110" i="46"/>
  <c r="BE114" i="46"/>
  <c r="BE118" i="46"/>
  <c r="BE122" i="46"/>
  <c r="BE126" i="46"/>
  <c r="BE130" i="46"/>
  <c r="BE134" i="46"/>
  <c r="BE138" i="46"/>
  <c r="BE142" i="46"/>
  <c r="BE146" i="46"/>
  <c r="BE150" i="46"/>
  <c r="BE154" i="46"/>
  <c r="BE158" i="46"/>
  <c r="BE162" i="46"/>
  <c r="BE166" i="46"/>
  <c r="BE170" i="46"/>
  <c r="BE174" i="46"/>
  <c r="BE178" i="46"/>
  <c r="BE182" i="46"/>
  <c r="BE186" i="46"/>
  <c r="BE190" i="46"/>
  <c r="BE194" i="46"/>
  <c r="BE198" i="46"/>
  <c r="BE202" i="46"/>
  <c r="BE206" i="46"/>
  <c r="BE210" i="46"/>
  <c r="BE214" i="46"/>
  <c r="BE218" i="46"/>
  <c r="BE222" i="46"/>
  <c r="BE226" i="46"/>
  <c r="BE230" i="46"/>
  <c r="BE234" i="46"/>
  <c r="BE238" i="46"/>
  <c r="BE242" i="46"/>
  <c r="BE246" i="46"/>
  <c r="BE250" i="46"/>
  <c r="BE254" i="46"/>
  <c r="BE258" i="46"/>
  <c r="BE262" i="46"/>
  <c r="BE266" i="46"/>
  <c r="BE270" i="46"/>
  <c r="BE274" i="46"/>
  <c r="BE278" i="46"/>
  <c r="BE282" i="46"/>
  <c r="BE286" i="46"/>
  <c r="BE290" i="46"/>
  <c r="BE294" i="46"/>
  <c r="BE298" i="46"/>
  <c r="BE302" i="46"/>
  <c r="BE306" i="46"/>
  <c r="BE310" i="46"/>
  <c r="BE314" i="46"/>
  <c r="BE318" i="46"/>
  <c r="BE322" i="46"/>
  <c r="BE326" i="46"/>
  <c r="BE330" i="46"/>
  <c r="BE334" i="46"/>
  <c r="BE338" i="46"/>
  <c r="BE342" i="46"/>
  <c r="BE346" i="46"/>
  <c r="BE335" i="46"/>
  <c r="BE343" i="46"/>
  <c r="BE24" i="46"/>
  <c r="BE35" i="46"/>
  <c r="BE14" i="46"/>
  <c r="BE18" i="46"/>
  <c r="BE22" i="46"/>
  <c r="BE26" i="46"/>
  <c r="BE33" i="46"/>
  <c r="BE40" i="46"/>
  <c r="BE51" i="46"/>
  <c r="BE55" i="46"/>
  <c r="BE59" i="46"/>
  <c r="BE63" i="46"/>
  <c r="BE67" i="46"/>
  <c r="BE71" i="46"/>
  <c r="BE75" i="46"/>
  <c r="BE79" i="46"/>
  <c r="BE83" i="46"/>
  <c r="BE87" i="46"/>
  <c r="BE91" i="46"/>
  <c r="BE95" i="46"/>
  <c r="BE99" i="46"/>
  <c r="BE103" i="46"/>
  <c r="BE107" i="46"/>
  <c r="BE111" i="46"/>
  <c r="BE115" i="46"/>
  <c r="BE119" i="46"/>
  <c r="BE123" i="46"/>
  <c r="BE127" i="46"/>
  <c r="BE131" i="46"/>
  <c r="BE135" i="46"/>
  <c r="BE139" i="46"/>
  <c r="BE143" i="46"/>
  <c r="BE147" i="46"/>
  <c r="BE151" i="46"/>
  <c r="BE155" i="46"/>
  <c r="BE159" i="46"/>
  <c r="BE163" i="46"/>
  <c r="BE167" i="46"/>
  <c r="BE171" i="46"/>
  <c r="BE175" i="46"/>
  <c r="BE179" i="46"/>
  <c r="BE183" i="46"/>
  <c r="BE187" i="46"/>
  <c r="BE191" i="46"/>
  <c r="BE195" i="46"/>
  <c r="BE199" i="46"/>
  <c r="BE203" i="46"/>
  <c r="BE207" i="46"/>
  <c r="BE211" i="46"/>
  <c r="BE215" i="46"/>
  <c r="BE219" i="46"/>
  <c r="BE223" i="46"/>
  <c r="BE227" i="46"/>
  <c r="BE231" i="46"/>
  <c r="BE235" i="46"/>
  <c r="BE239" i="46"/>
  <c r="BE243" i="46"/>
  <c r="BE247" i="46"/>
  <c r="BE251" i="46"/>
  <c r="BE255" i="46"/>
  <c r="BE259" i="46"/>
  <c r="BE263" i="46"/>
  <c r="BE267" i="46"/>
  <c r="BE271" i="46"/>
  <c r="BE275" i="46"/>
  <c r="BE279" i="46"/>
  <c r="BE283" i="46"/>
  <c r="BE287" i="46"/>
  <c r="BE291" i="46"/>
  <c r="BE295" i="46"/>
  <c r="BE299" i="46"/>
  <c r="BE303" i="46"/>
  <c r="BE307" i="46"/>
  <c r="BE311" i="46"/>
  <c r="BE315" i="46"/>
  <c r="BE319" i="46"/>
  <c r="BE323" i="46"/>
  <c r="BE327" i="46"/>
  <c r="BE331" i="46"/>
  <c r="BE339" i="46"/>
  <c r="BE347" i="46"/>
  <c r="BE31" i="46"/>
  <c r="BE43" i="46"/>
  <c r="BE15" i="46"/>
  <c r="BE19" i="46"/>
  <c r="BE23" i="46"/>
  <c r="BE30" i="46"/>
  <c r="BE34" i="46"/>
  <c r="BE41" i="46"/>
  <c r="BE52" i="46"/>
  <c r="BE56" i="46"/>
  <c r="BE60" i="46"/>
  <c r="BE64" i="46"/>
  <c r="BE68" i="46"/>
  <c r="BE72" i="46"/>
  <c r="BE76" i="46"/>
  <c r="BE80" i="46"/>
  <c r="BE84" i="46"/>
  <c r="BE88" i="46"/>
  <c r="BE92" i="46"/>
  <c r="BE96" i="46"/>
  <c r="BE100" i="46"/>
  <c r="BE104" i="46"/>
  <c r="BE108" i="46"/>
  <c r="BE112" i="46"/>
  <c r="BE116" i="46"/>
  <c r="BE120" i="46"/>
  <c r="BE124" i="46"/>
  <c r="BE128" i="46"/>
  <c r="BE132" i="46"/>
  <c r="BE136" i="46"/>
  <c r="BE140" i="46"/>
  <c r="BE144" i="46"/>
  <c r="BE148" i="46"/>
  <c r="BE152" i="46"/>
  <c r="BE156" i="46"/>
  <c r="BE160" i="46"/>
  <c r="BE164" i="46"/>
  <c r="BE168" i="46"/>
  <c r="BE172" i="46"/>
  <c r="BE176" i="46"/>
  <c r="BE180" i="46"/>
  <c r="BE184" i="46"/>
  <c r="BE188" i="46"/>
  <c r="BE192" i="46"/>
  <c r="BE196" i="46"/>
  <c r="BE200" i="46"/>
  <c r="BE204" i="46"/>
  <c r="BE208" i="46"/>
  <c r="BE212" i="46"/>
  <c r="BE216" i="46"/>
  <c r="BE220" i="46"/>
  <c r="BE224" i="46"/>
  <c r="BE228" i="46"/>
  <c r="BE232" i="46"/>
  <c r="BE236" i="46"/>
  <c r="BE240" i="46"/>
  <c r="BE244" i="46"/>
  <c r="BE248" i="46"/>
  <c r="BE252" i="46"/>
  <c r="BE256" i="46"/>
  <c r="BE260" i="46"/>
  <c r="BE264" i="46"/>
  <c r="BE268" i="46"/>
  <c r="BE272" i="46"/>
  <c r="BE276" i="46"/>
  <c r="BE280" i="46"/>
  <c r="BE284" i="46"/>
  <c r="BE288" i="46"/>
  <c r="BE292" i="46"/>
  <c r="BE296" i="46"/>
  <c r="BE300" i="46"/>
  <c r="BE304" i="46"/>
  <c r="BE308" i="46"/>
  <c r="BE312" i="46"/>
  <c r="BE316" i="46"/>
  <c r="BE320" i="46"/>
  <c r="BE324" i="46"/>
  <c r="BE328" i="46"/>
  <c r="BE332" i="46"/>
  <c r="BE336" i="46"/>
  <c r="BE340" i="46"/>
  <c r="BE344" i="46"/>
  <c r="BE13" i="46"/>
  <c r="BE16" i="46"/>
  <c r="BE20" i="46"/>
  <c r="BE53" i="46"/>
  <c r="BE69" i="46"/>
  <c r="BE85" i="46"/>
  <c r="BE101" i="46"/>
  <c r="BE117" i="46"/>
  <c r="BE133" i="46"/>
  <c r="BE149" i="46"/>
  <c r="BE165" i="46"/>
  <c r="BE181" i="46"/>
  <c r="BE197" i="46"/>
  <c r="BE213" i="46"/>
  <c r="BE229" i="46"/>
  <c r="BE245" i="46"/>
  <c r="BE261" i="46"/>
  <c r="BE277" i="46"/>
  <c r="BE293" i="46"/>
  <c r="BE309" i="46"/>
  <c r="BE325" i="46"/>
  <c r="BE341" i="46"/>
  <c r="BE61" i="46"/>
  <c r="BE109" i="46"/>
  <c r="BE141" i="46"/>
  <c r="BE173" i="46"/>
  <c r="BE205" i="46"/>
  <c r="BE237" i="46"/>
  <c r="BE269" i="46"/>
  <c r="BE301" i="46"/>
  <c r="BE333" i="46"/>
  <c r="BE65" i="46"/>
  <c r="BE81" i="46"/>
  <c r="BE113" i="46"/>
  <c r="BE145" i="46"/>
  <c r="BE177" i="46"/>
  <c r="BE225" i="46"/>
  <c r="BE257" i="46"/>
  <c r="BE289" i="46"/>
  <c r="BE321" i="46"/>
  <c r="BE57" i="46"/>
  <c r="BE73" i="46"/>
  <c r="BE89" i="46"/>
  <c r="BE105" i="46"/>
  <c r="BE121" i="46"/>
  <c r="BE137" i="46"/>
  <c r="BE153" i="46"/>
  <c r="BE169" i="46"/>
  <c r="BE185" i="46"/>
  <c r="BE201" i="46"/>
  <c r="BE217" i="46"/>
  <c r="BE233" i="46"/>
  <c r="BE249" i="46"/>
  <c r="BE265" i="46"/>
  <c r="BE281" i="46"/>
  <c r="BE297" i="46"/>
  <c r="BE313" i="46"/>
  <c r="BE329" i="46"/>
  <c r="BE345" i="46"/>
  <c r="BE77" i="46"/>
  <c r="BE93" i="46"/>
  <c r="BE125" i="46"/>
  <c r="BE157" i="46"/>
  <c r="BE189" i="46"/>
  <c r="BE221" i="46"/>
  <c r="BE253" i="46"/>
  <c r="BE285" i="46"/>
  <c r="BE317" i="46"/>
  <c r="BE97" i="46"/>
  <c r="BE129" i="46"/>
  <c r="BE161" i="46"/>
  <c r="BE193" i="46"/>
  <c r="BE209" i="46"/>
  <c r="BE241" i="46"/>
  <c r="BE273" i="46"/>
  <c r="BE305" i="46"/>
  <c r="BE337" i="46"/>
  <c r="E37" i="57"/>
  <c r="E38" i="57" s="1"/>
  <c r="E39" i="57"/>
  <c r="D37" i="57"/>
  <c r="D38" i="57" s="1"/>
  <c r="D39" i="57"/>
  <c r="R7258" i="52" l="1"/>
  <c r="E41" i="57"/>
  <c r="E44" i="57" s="1"/>
  <c r="D41" i="57"/>
  <c r="D44" i="57" s="1"/>
  <c r="CA13" i="46"/>
  <c r="BF152" i="46"/>
  <c r="BF217" i="46"/>
  <c r="BF194" i="46"/>
  <c r="BF206" i="46"/>
  <c r="BF282" i="46"/>
  <c r="BF173" i="46"/>
  <c r="BF89" i="46"/>
  <c r="BF178" i="46"/>
  <c r="BF190" i="46"/>
  <c r="BF250" i="46"/>
  <c r="BF235" i="46"/>
  <c r="BF241" i="46"/>
  <c r="BF260" i="46"/>
  <c r="BF221" i="46"/>
  <c r="BF344" i="46"/>
  <c r="BF336" i="46"/>
  <c r="BF287" i="46"/>
  <c r="BF299" i="46"/>
  <c r="BF234" i="46"/>
  <c r="BF279" i="46"/>
  <c r="BF275" i="46"/>
  <c r="BF184" i="46"/>
  <c r="BF111" i="46"/>
  <c r="BF135" i="46"/>
  <c r="BF13" i="46"/>
  <c r="BF318" i="46"/>
  <c r="BF120" i="46"/>
  <c r="BF79" i="46"/>
  <c r="BF103" i="46"/>
  <c r="BF316" i="46"/>
  <c r="BF323" i="46"/>
  <c r="BF243" i="46"/>
  <c r="BF116" i="46"/>
  <c r="BF128" i="46"/>
  <c r="BF58" i="46"/>
  <c r="BF151" i="46"/>
  <c r="BF146" i="46"/>
  <c r="BF158" i="46"/>
  <c r="BF191" i="46"/>
  <c r="BF108" i="46"/>
  <c r="BF119" i="46"/>
  <c r="BF131" i="46"/>
  <c r="BF317" i="46"/>
  <c r="BF329" i="46"/>
  <c r="BF225" i="46"/>
  <c r="BF134" i="46"/>
  <c r="BF205" i="46"/>
  <c r="BF301" i="46"/>
  <c r="BF313" i="46"/>
  <c r="BF193" i="46"/>
  <c r="BF72" i="46"/>
  <c r="BF44" i="46"/>
  <c r="BF52" i="46"/>
  <c r="BF64" i="46"/>
  <c r="BF321" i="46"/>
  <c r="BF150" i="46"/>
  <c r="BF82" i="46"/>
  <c r="BF94" i="46"/>
  <c r="BF63" i="46"/>
  <c r="BF26" i="46"/>
  <c r="BF182" i="46"/>
  <c r="BF55" i="46"/>
  <c r="BF34" i="46"/>
  <c r="BF73" i="46"/>
  <c r="BF179" i="46"/>
  <c r="BF61" i="46"/>
  <c r="BF289" i="46"/>
  <c r="BF330" i="46"/>
  <c r="BF17" i="46"/>
  <c r="BF25" i="46"/>
  <c r="BF338" i="46"/>
  <c r="BF227" i="46"/>
  <c r="BF244" i="46"/>
  <c r="BF251" i="46"/>
  <c r="BF186" i="46"/>
  <c r="BF101" i="46"/>
  <c r="BF269" i="46"/>
  <c r="BF281" i="46"/>
  <c r="BF129" i="46"/>
  <c r="BF236" i="46"/>
  <c r="BF276" i="46"/>
  <c r="BF213" i="46"/>
  <c r="BF271" i="46"/>
  <c r="BF283" i="46"/>
  <c r="BF218" i="46"/>
  <c r="BF153" i="46"/>
  <c r="BF53" i="46"/>
  <c r="BF255" i="46"/>
  <c r="BF267" i="46"/>
  <c r="BF202" i="46"/>
  <c r="BF56" i="46"/>
  <c r="BF32" i="46"/>
  <c r="BF71" i="46"/>
  <c r="BF284" i="46"/>
  <c r="BF181" i="46"/>
  <c r="BF187" i="46"/>
  <c r="BF18" i="46"/>
  <c r="BF33" i="46"/>
  <c r="BF311" i="46"/>
  <c r="BF327" i="46"/>
  <c r="BF257" i="46"/>
  <c r="BF337" i="46"/>
  <c r="BF130" i="46"/>
  <c r="BF142" i="46"/>
  <c r="BF159" i="46"/>
  <c r="BF339" i="46"/>
  <c r="BF273" i="46"/>
  <c r="BF114" i="46"/>
  <c r="BF126" i="46"/>
  <c r="BF127" i="46"/>
  <c r="BF306" i="46"/>
  <c r="BF113" i="46"/>
  <c r="BF137" i="46"/>
  <c r="BF133" i="46"/>
  <c r="BF245" i="46"/>
  <c r="BF77" i="46"/>
  <c r="BF228" i="46"/>
  <c r="BF240" i="46"/>
  <c r="BF170" i="46"/>
  <c r="BF220" i="46"/>
  <c r="BF254" i="46"/>
  <c r="BF86" i="46"/>
  <c r="BF66" i="46"/>
  <c r="BF78" i="46"/>
  <c r="BF341" i="46"/>
  <c r="BF280" i="46"/>
  <c r="BF19" i="46"/>
  <c r="BF35" i="46"/>
  <c r="BF62" i="46"/>
  <c r="BF325" i="46"/>
  <c r="BF230" i="46"/>
  <c r="BF298" i="46"/>
  <c r="BF322" i="46"/>
  <c r="BF342" i="46"/>
  <c r="BF215" i="46"/>
  <c r="BF320" i="46"/>
  <c r="BF164" i="46"/>
  <c r="BF176" i="46"/>
  <c r="BF106" i="46"/>
  <c r="BF156" i="46"/>
  <c r="BF99" i="46"/>
  <c r="BF147" i="46"/>
  <c r="BF253" i="46"/>
  <c r="BF265" i="46"/>
  <c r="BF97" i="46"/>
  <c r="BF185" i="46"/>
  <c r="BF326" i="46"/>
  <c r="BF242" i="46"/>
  <c r="BF249" i="46"/>
  <c r="BF65" i="46"/>
  <c r="BF109" i="46"/>
  <c r="BF51" i="46"/>
  <c r="BF75" i="46"/>
  <c r="BF149" i="46"/>
  <c r="BF139" i="46"/>
  <c r="BF232" i="46"/>
  <c r="BF15" i="46"/>
  <c r="BF30" i="46"/>
  <c r="BF293" i="46"/>
  <c r="BF343" i="46"/>
  <c r="BF288" i="46"/>
  <c r="BF195" i="46"/>
  <c r="BF123" i="46"/>
  <c r="BF171" i="46"/>
  <c r="BF14" i="46"/>
  <c r="BF294" i="46"/>
  <c r="BF237" i="46"/>
  <c r="BF83" i="46"/>
  <c r="BF107" i="46"/>
  <c r="BF272" i="46"/>
  <c r="BF88" i="46"/>
  <c r="BF214" i="46"/>
  <c r="BF98" i="46"/>
  <c r="BF110" i="46"/>
  <c r="BF95" i="46"/>
  <c r="BF166" i="46"/>
  <c r="BF266" i="46"/>
  <c r="BF290" i="46"/>
  <c r="BF278" i="46"/>
  <c r="BF60" i="46"/>
  <c r="BF76" i="46"/>
  <c r="BF87" i="46"/>
  <c r="BF248" i="46"/>
  <c r="BF212" i="46"/>
  <c r="BF224" i="46"/>
  <c r="BF154" i="46"/>
  <c r="BF305" i="46"/>
  <c r="BF189" i="46"/>
  <c r="BF196" i="46"/>
  <c r="BF208" i="46"/>
  <c r="BF138" i="46"/>
  <c r="BF69" i="46"/>
  <c r="BF285" i="46"/>
  <c r="BF297" i="46"/>
  <c r="BF161" i="46"/>
  <c r="BF165" i="46"/>
  <c r="BF332" i="46"/>
  <c r="BF21" i="46"/>
  <c r="BF286" i="46"/>
  <c r="BF247" i="46"/>
  <c r="BF263" i="46"/>
  <c r="BF118" i="46"/>
  <c r="BF197" i="46"/>
  <c r="BF148" i="46"/>
  <c r="BF160" i="46"/>
  <c r="BF90" i="46"/>
  <c r="BF54" i="46"/>
  <c r="BF85" i="46"/>
  <c r="BF132" i="46"/>
  <c r="BF144" i="46"/>
  <c r="BF74" i="46"/>
  <c r="BF203" i="46"/>
  <c r="BF226" i="46"/>
  <c r="BF238" i="46"/>
  <c r="BF346" i="46"/>
  <c r="BF59" i="46"/>
  <c r="BF209" i="46"/>
  <c r="BF233" i="46"/>
  <c r="BF157" i="46"/>
  <c r="BF188" i="46"/>
  <c r="BF204" i="46"/>
  <c r="BF270" i="46"/>
  <c r="BF168" i="46"/>
  <c r="BF335" i="46"/>
  <c r="BF347" i="46"/>
  <c r="BF277" i="46"/>
  <c r="BF328" i="46"/>
  <c r="BF104" i="46"/>
  <c r="BF319" i="46"/>
  <c r="BF331" i="46"/>
  <c r="BF261" i="46"/>
  <c r="BF307" i="46"/>
  <c r="BF175" i="46"/>
  <c r="BF199" i="46"/>
  <c r="BF91" i="46"/>
  <c r="BF259" i="46"/>
  <c r="BF115" i="46"/>
  <c r="BF100" i="46"/>
  <c r="BF112" i="46"/>
  <c r="BF24" i="46"/>
  <c r="BF92" i="46"/>
  <c r="BF39" i="46"/>
  <c r="BF102" i="46"/>
  <c r="BF239" i="46"/>
  <c r="BF258" i="46"/>
  <c r="BF219" i="46"/>
  <c r="BF304" i="46"/>
  <c r="BF20" i="46"/>
  <c r="BF207" i="46"/>
  <c r="BF231" i="46"/>
  <c r="BF155" i="46"/>
  <c r="BF246" i="46"/>
  <c r="BF125" i="46"/>
  <c r="BF180" i="46"/>
  <c r="BF192" i="46"/>
  <c r="BF122" i="46"/>
  <c r="BF340" i="46"/>
  <c r="BF210" i="46"/>
  <c r="BF222" i="46"/>
  <c r="BF314" i="46"/>
  <c r="BF172" i="46"/>
  <c r="BF70" i="46"/>
  <c r="BF211" i="46"/>
  <c r="BF300" i="46"/>
  <c r="BF324" i="46"/>
  <c r="BF163" i="46"/>
  <c r="BF308" i="46"/>
  <c r="BF264" i="46"/>
  <c r="BF268" i="46"/>
  <c r="BF292" i="46"/>
  <c r="BF312" i="46"/>
  <c r="BF141" i="46"/>
  <c r="BF291" i="46"/>
  <c r="BF16" i="46"/>
  <c r="BF31" i="46"/>
  <c r="BF309" i="46"/>
  <c r="BF40" i="46"/>
  <c r="BF143" i="46"/>
  <c r="BF167" i="46"/>
  <c r="BF67" i="46"/>
  <c r="BF23" i="46"/>
  <c r="BF229" i="46"/>
  <c r="BF41" i="46"/>
  <c r="BF177" i="46"/>
  <c r="BF201" i="46"/>
  <c r="BF93" i="46"/>
  <c r="BF57" i="46"/>
  <c r="BF121" i="46"/>
  <c r="BF145" i="46"/>
  <c r="BF169" i="46"/>
  <c r="BF256" i="46"/>
  <c r="BF262" i="46"/>
  <c r="BF22" i="46"/>
  <c r="BF303" i="46"/>
  <c r="BF315" i="46"/>
  <c r="BF43" i="46"/>
  <c r="BF117" i="46"/>
  <c r="BF333" i="46"/>
  <c r="BF345" i="46"/>
  <c r="BF252" i="46"/>
  <c r="BF295" i="46"/>
  <c r="BF216" i="46"/>
  <c r="BF200" i="46"/>
  <c r="BF296" i="46"/>
  <c r="BF84" i="46"/>
  <c r="BF96" i="46"/>
  <c r="BF334" i="46"/>
  <c r="BF136" i="46"/>
  <c r="BF310" i="46"/>
  <c r="BF68" i="46"/>
  <c r="BF80" i="46"/>
  <c r="BF198" i="46"/>
  <c r="BF274" i="46"/>
  <c r="BF162" i="46"/>
  <c r="BF174" i="46"/>
  <c r="BF223" i="46"/>
  <c r="BF183" i="46"/>
  <c r="BF81" i="46"/>
  <c r="BF105" i="46"/>
  <c r="BF302" i="46"/>
  <c r="BF124" i="46"/>
  <c r="BF140" i="46"/>
  <c r="S7258" i="52" l="1"/>
  <c r="Q7259" i="52" l="1"/>
  <c r="R7259" i="52" l="1"/>
  <c r="S7259" i="52" s="1"/>
  <c r="Q7260" i="52" l="1"/>
  <c r="R7260" i="52" l="1"/>
  <c r="S7260" i="52" s="1"/>
  <c r="Q7261" i="52" l="1"/>
  <c r="R7261" i="52" s="1"/>
  <c r="S7261" i="52" s="1"/>
  <c r="Q7262" i="52" l="1"/>
  <c r="R7262" i="52" l="1"/>
  <c r="S7262" i="52" s="1"/>
  <c r="Q7263" i="52" l="1"/>
  <c r="R7263" i="52" l="1"/>
  <c r="S7263" i="52" s="1"/>
  <c r="Q7264" i="52" l="1"/>
  <c r="R7264" i="52" l="1"/>
  <c r="S7264" i="52" s="1"/>
  <c r="Q7265" i="52" l="1"/>
  <c r="R7265" i="52" l="1"/>
  <c r="S7265" i="52" s="1"/>
  <c r="Q7266" i="52" l="1"/>
  <c r="R7266" i="52" l="1"/>
  <c r="S7266" i="52" s="1"/>
  <c r="Q7267" i="52" l="1"/>
  <c r="R7267" i="52" l="1"/>
  <c r="S7267" i="52" s="1"/>
  <c r="Q7268" i="52" l="1"/>
  <c r="R7268" i="52" l="1"/>
  <c r="S7268" i="52" s="1"/>
  <c r="Q7269" i="52" l="1"/>
  <c r="R7269" i="52" l="1"/>
  <c r="S7269" i="52" s="1"/>
  <c r="Q7270" i="52" l="1"/>
  <c r="R7270" i="52" l="1"/>
  <c r="S7270" i="52" s="1"/>
  <c r="Q7271" i="52" l="1"/>
  <c r="R7271" i="52" l="1"/>
  <c r="S7271" i="52" s="1"/>
  <c r="Q7272" i="52" l="1"/>
  <c r="R7272" i="52" l="1"/>
  <c r="S7272" i="52" s="1"/>
  <c r="Q7273" i="52" l="1"/>
  <c r="R7273" i="52" l="1"/>
  <c r="S7273" i="52" s="1"/>
  <c r="Q7274" i="52" l="1"/>
  <c r="R7274" i="52" s="1"/>
  <c r="S7274" i="52" s="1"/>
  <c r="Q7275" i="52" l="1"/>
  <c r="R7275" i="52" s="1"/>
  <c r="S7275" i="52" s="1"/>
  <c r="Q7276" i="52" l="1"/>
  <c r="R7276" i="52" s="1"/>
  <c r="S7276" i="52" s="1"/>
  <c r="Q7277" i="52" l="1"/>
  <c r="R7277" i="52" s="1"/>
  <c r="S7277" i="52" s="1"/>
  <c r="Q7278" i="52" l="1"/>
  <c r="R7278" i="52" s="1"/>
  <c r="S7278" i="52" s="1"/>
  <c r="Q7279" i="52" l="1"/>
  <c r="R7279" i="52" s="1"/>
  <c r="S7279" i="52" s="1"/>
  <c r="Q7280" i="52" l="1"/>
  <c r="R7280" i="52" l="1"/>
  <c r="S7280" i="52" s="1"/>
  <c r="Q7281" i="52" l="1"/>
  <c r="R7281" i="52" s="1"/>
  <c r="S7281" i="52" s="1"/>
  <c r="Q7282" i="52" l="1"/>
  <c r="R7282" i="52" l="1"/>
  <c r="S7282" i="52" s="1"/>
  <c r="Q7283" i="52" l="1"/>
  <c r="R7283" i="52" s="1"/>
  <c r="S7283" i="52" s="1"/>
  <c r="Q7284" i="52" l="1"/>
  <c r="R7284" i="52" s="1"/>
  <c r="S7284" i="52" s="1"/>
  <c r="Q7285" i="52" l="1"/>
  <c r="R7285" i="52" l="1"/>
  <c r="S7285" i="52" s="1"/>
  <c r="Q7286" i="52" l="1"/>
  <c r="R7286" i="52" l="1"/>
  <c r="S7286" i="52" s="1"/>
  <c r="Q7287" i="52" l="1"/>
  <c r="R7287" i="52" s="1"/>
  <c r="S7287" i="52" s="1"/>
  <c r="Q7288" i="52" l="1"/>
  <c r="R7288" i="52" s="1"/>
  <c r="S7288" i="52" s="1"/>
  <c r="Q7289" i="52" l="1"/>
  <c r="R7289" i="52" l="1"/>
  <c r="S7289" i="52" s="1"/>
  <c r="Q7290" i="52" l="1"/>
  <c r="R7290" i="52" s="1"/>
  <c r="S7290" i="52" s="1"/>
  <c r="Q7291" i="52" l="1"/>
  <c r="R7291" i="52" l="1"/>
  <c r="S7291" i="52" s="1"/>
  <c r="Q7292" i="52" l="1"/>
  <c r="R7292" i="52" l="1"/>
  <c r="S7292" i="52" s="1"/>
  <c r="Q7293" i="52" l="1"/>
  <c r="R7293" i="52" l="1"/>
  <c r="S7293" i="52" s="1"/>
  <c r="Q7294" i="52" l="1"/>
  <c r="R7294" i="52" s="1"/>
  <c r="S7294" i="52" s="1"/>
  <c r="Q7295" i="52" l="1"/>
  <c r="R7295" i="52" l="1"/>
  <c r="S7295" i="52" s="1"/>
  <c r="Q7296" i="52" l="1"/>
  <c r="R7296" i="52" l="1"/>
  <c r="S7296" i="52" s="1"/>
  <c r="Q7297" i="52" l="1"/>
  <c r="R7297" i="52" l="1"/>
  <c r="S7297" i="52" s="1"/>
  <c r="Q7298" i="52" l="1"/>
  <c r="R7298" i="52" l="1"/>
  <c r="S7298" i="52" s="1"/>
  <c r="Q7299" i="52" l="1"/>
  <c r="R7299" i="52" l="1"/>
  <c r="S7299" i="52" s="1"/>
  <c r="Q7300" i="52" l="1"/>
  <c r="R7300" i="52" l="1"/>
  <c r="S7300" i="52" s="1"/>
  <c r="Q7301" i="52" l="1"/>
  <c r="R7301" i="52" l="1"/>
  <c r="S7301" i="52" s="1"/>
  <c r="Q7302" i="52" l="1"/>
  <c r="R7302" i="52" l="1"/>
  <c r="S7302" i="52" s="1"/>
  <c r="Q7303" i="52" l="1"/>
  <c r="R7303" i="52" l="1"/>
  <c r="S7303" i="52" s="1"/>
  <c r="Q7304" i="52" l="1"/>
  <c r="R7304" i="52" l="1"/>
  <c r="S7304" i="52" s="1"/>
  <c r="Q7305" i="52" l="1"/>
  <c r="R7305" i="52" s="1"/>
  <c r="S7305" i="52" s="1"/>
  <c r="Q7306" i="52" l="1"/>
  <c r="R7306" i="52" l="1"/>
  <c r="S7306" i="52" s="1"/>
  <c r="Q7307" i="52" l="1"/>
  <c r="R7307" i="52" l="1"/>
  <c r="S7307" i="52" s="1"/>
  <c r="Q7308" i="52" l="1"/>
  <c r="R7308" i="52" l="1"/>
  <c r="S7308" i="52" s="1"/>
  <c r="Q7309" i="52" l="1"/>
  <c r="R7309" i="52" l="1"/>
  <c r="S7309" i="52" s="1"/>
  <c r="Q7310" i="52" l="1"/>
  <c r="R7310" i="52" l="1"/>
  <c r="S7310" i="52" s="1"/>
  <c r="Q7311" i="52" l="1"/>
  <c r="R7311" i="52" l="1"/>
  <c r="S7311" i="52" s="1"/>
  <c r="Q7312" i="52" l="1"/>
  <c r="R7312" i="52" l="1"/>
  <c r="S7312" i="52" s="1"/>
  <c r="Q7313" i="52" l="1"/>
  <c r="R7313" i="52" l="1"/>
  <c r="S7313" i="52" s="1"/>
  <c r="Q7314" i="52" l="1"/>
  <c r="R7314" i="52" l="1"/>
  <c r="S7314" i="52" s="1"/>
  <c r="Q7315" i="52" l="1"/>
  <c r="Q7316" i="52" l="1"/>
  <c r="R7316" i="52" s="1"/>
  <c r="R7315" i="52"/>
  <c r="S7315" i="52" s="1"/>
  <c r="S7316" i="52" l="1"/>
  <c r="Q7317" i="52"/>
  <c r="R7317" i="52" s="1"/>
  <c r="S7317" i="52" s="1"/>
  <c r="Q7318" i="52" l="1"/>
  <c r="Q7319" i="52" s="1"/>
  <c r="R7319" i="52" l="1"/>
  <c r="S7319" i="52" s="1"/>
  <c r="Q7320" i="52"/>
  <c r="R7318" i="52"/>
  <c r="S7318" i="52" l="1"/>
  <c r="Q7321" i="52"/>
  <c r="R7320" i="52"/>
  <c r="S7320" i="52" s="1"/>
  <c r="P186" i="1"/>
  <c r="Q7322" i="52" l="1"/>
  <c r="Q7323" i="52" s="1"/>
  <c r="R7321" i="52"/>
  <c r="C8" i="57"/>
  <c r="C3" i="46"/>
  <c r="D26" i="49"/>
  <c r="S7321" i="52" l="1"/>
  <c r="R7323" i="52"/>
  <c r="S7323" i="52" s="1"/>
  <c r="Q7324" i="52"/>
  <c r="R7324" i="52" s="1"/>
  <c r="S7324" i="52" s="1"/>
  <c r="R7322" i="52"/>
  <c r="S7322" i="52" l="1"/>
  <c r="Q7325" i="52"/>
  <c r="R7325" i="52" s="1"/>
  <c r="S7325" i="52" l="1"/>
  <c r="Q7326" i="52"/>
  <c r="R7326" i="52" s="1"/>
  <c r="H186" i="1"/>
  <c r="S7326" i="52" l="1"/>
  <c r="Q7327" i="52"/>
  <c r="R7327" i="52" s="1"/>
  <c r="L186" i="1"/>
  <c r="C9" i="57" s="1"/>
  <c r="C36" i="57" s="1"/>
  <c r="C26" i="49"/>
  <c r="C4" i="46"/>
  <c r="S7327" i="52" l="1"/>
  <c r="Q7328" i="52"/>
  <c r="Q7329" i="52" s="1"/>
  <c r="AJ13" i="46"/>
  <c r="AK13" i="46" s="1"/>
  <c r="C37" i="57"/>
  <c r="C38" i="57" s="1"/>
  <c r="C39" i="57"/>
  <c r="R7328" i="52" l="1"/>
  <c r="R7329" i="52"/>
  <c r="Q7330" i="52"/>
  <c r="R7330" i="52" s="1"/>
  <c r="S7330" i="52" s="1"/>
  <c r="C41" i="57"/>
  <c r="C44" i="57" s="1"/>
  <c r="S7328" i="52" l="1"/>
  <c r="Q7331" i="52"/>
  <c r="R7331" i="52" s="1"/>
  <c r="S7331" i="52" s="1"/>
  <c r="S7329" i="52"/>
  <c r="Q7332" i="52" l="1"/>
  <c r="R7332" i="52" s="1"/>
  <c r="S7332" i="52" l="1"/>
  <c r="Q7333" i="52"/>
  <c r="R7333" i="52" s="1"/>
  <c r="S7333" i="52" l="1"/>
  <c r="Q7334" i="52"/>
  <c r="R7334" i="52" s="1"/>
  <c r="S7334" i="52" l="1"/>
  <c r="Q7335" i="52"/>
  <c r="R7335" i="52" s="1"/>
  <c r="S7335" i="52" l="1"/>
  <c r="Q7336" i="52"/>
  <c r="Q7337" i="52" l="1"/>
  <c r="R7337" i="52" s="1"/>
  <c r="S7337" i="52" s="1"/>
  <c r="R7336" i="52"/>
  <c r="S7336" i="52" l="1"/>
  <c r="Q7338" i="52"/>
  <c r="R7338" i="52" s="1"/>
  <c r="S7338" i="52" s="1"/>
  <c r="Q7339" i="52" l="1"/>
  <c r="R7339" i="52" s="1"/>
  <c r="S7339" i="52" l="1"/>
  <c r="Q7340" i="52"/>
  <c r="Q7341" i="52" s="1"/>
  <c r="R7340" i="52" l="1"/>
  <c r="S7340" i="52" s="1"/>
  <c r="R7341" i="52"/>
  <c r="S7341" i="52" s="1"/>
  <c r="Q7342" i="52"/>
  <c r="Q7343" i="52" l="1"/>
  <c r="R7342" i="52"/>
  <c r="S7342" i="52" l="1"/>
  <c r="Q7344" i="52"/>
  <c r="R7344" i="52" s="1"/>
  <c r="S7344" i="52" s="1"/>
  <c r="R7343" i="52"/>
  <c r="S7343" i="52" s="1"/>
  <c r="Q7345" i="52" l="1"/>
  <c r="Q7346" i="52" l="1"/>
  <c r="R7345" i="52"/>
  <c r="S7345" i="52" l="1"/>
  <c r="Q7347" i="52"/>
  <c r="R7346" i="52"/>
  <c r="S7346" i="52" s="1"/>
  <c r="Q7348" i="52" l="1"/>
  <c r="R7347" i="52"/>
  <c r="Q7349" i="52" l="1"/>
  <c r="R7348" i="52"/>
  <c r="S7347" i="52"/>
  <c r="S7348" i="52" l="1"/>
  <c r="Q7350" i="52"/>
  <c r="R7349" i="52"/>
  <c r="S7349" i="52" l="1"/>
  <c r="Q7351" i="52"/>
  <c r="R7351" i="52" s="1"/>
  <c r="S7351" i="52" s="1"/>
  <c r="R7350" i="52"/>
  <c r="S7350" i="52" s="1"/>
  <c r="Q7352" i="52" l="1"/>
  <c r="Q7353" i="52" l="1"/>
  <c r="R7353" i="52" s="1"/>
  <c r="S7353" i="52" s="1"/>
  <c r="R7352" i="52"/>
  <c r="S7352" i="52" s="1"/>
  <c r="Q7354" i="52" l="1"/>
  <c r="R7354" i="52" s="1"/>
  <c r="S7354" i="52" s="1"/>
  <c r="Q7355" i="52" l="1"/>
  <c r="R7355" i="52" s="1"/>
  <c r="S7355" i="52" s="1"/>
  <c r="Q7356" i="52" l="1"/>
  <c r="R7356" i="52" s="1"/>
  <c r="S7356" i="52" s="1"/>
  <c r="Q7357" i="52" l="1"/>
  <c r="R7357" i="52" s="1"/>
  <c r="S7357" i="52" s="1"/>
  <c r="Q7358" i="52" l="1"/>
  <c r="R7358" i="52" s="1"/>
  <c r="S7358" i="52" s="1"/>
  <c r="Q7359" i="52" l="1"/>
  <c r="R7359" i="52" s="1"/>
  <c r="S7359" i="52" s="1"/>
  <c r="Q7360" i="52" l="1"/>
  <c r="R7360" i="52" s="1"/>
  <c r="S7360" i="52" s="1"/>
  <c r="Q7361" i="52" l="1"/>
  <c r="R7361" i="52" s="1"/>
  <c r="S7361" i="52" s="1"/>
  <c r="Q7362" i="52" l="1"/>
  <c r="R7362" i="52" s="1"/>
  <c r="S7362" i="52" s="1"/>
  <c r="Q7363" i="52" l="1"/>
  <c r="R7363" i="52" s="1"/>
  <c r="S7363" i="52" s="1"/>
  <c r="Q7364" i="52" l="1"/>
  <c r="R7364" i="52" s="1"/>
  <c r="S7364" i="52" s="1"/>
  <c r="Q7365" i="52" l="1"/>
  <c r="R7365" i="52" s="1"/>
  <c r="S7365" i="52" s="1"/>
  <c r="Q7366" i="52" l="1"/>
  <c r="R7366" i="52" s="1"/>
  <c r="S7366" i="52" s="1"/>
  <c r="Q7367" i="52" l="1"/>
  <c r="R7367" i="52" s="1"/>
  <c r="S7367" i="52" s="1"/>
  <c r="Q7368" i="52" l="1"/>
  <c r="R7368" i="52" s="1"/>
  <c r="S7368" i="52" s="1"/>
  <c r="Q7369" i="52" l="1"/>
  <c r="R7369" i="52" s="1"/>
  <c r="S7369" i="52" s="1"/>
  <c r="Q7370" i="52" l="1"/>
  <c r="R7370" i="52" s="1"/>
  <c r="S7370" i="52" s="1"/>
  <c r="Q7371" i="52" l="1"/>
  <c r="R7371" i="52" s="1"/>
  <c r="S7371" i="52" s="1"/>
  <c r="Q7372" i="52" l="1"/>
  <c r="R7372" i="52" s="1"/>
  <c r="S7372" i="52" s="1"/>
  <c r="Q7373" i="52" l="1"/>
  <c r="Q7374" i="52" s="1"/>
  <c r="R7373" i="52" l="1"/>
  <c r="S7373" i="52" s="1"/>
  <c r="R7374" i="52"/>
  <c r="S7374" i="52" s="1"/>
  <c r="Q7375" i="52"/>
  <c r="R7375" i="52" l="1"/>
  <c r="S7375" i="52" s="1"/>
  <c r="Q7376" i="52"/>
  <c r="R7376" i="52" s="1"/>
  <c r="S7376" i="52" s="1"/>
  <c r="Q7377" i="52" l="1"/>
  <c r="Q7378" i="52" s="1"/>
  <c r="R7377" i="52" l="1"/>
  <c r="S7377" i="52" s="1"/>
  <c r="R7378" i="52"/>
  <c r="S7378" i="52" s="1"/>
  <c r="Q7379" i="52"/>
  <c r="Q7380" i="52" s="1"/>
  <c r="R7380" i="52" l="1"/>
  <c r="S7380" i="52" s="1"/>
  <c r="Q7381" i="52"/>
  <c r="R7379" i="52"/>
  <c r="S7379" i="52" s="1"/>
  <c r="R7381" i="52" l="1"/>
  <c r="S7381" i="52" s="1"/>
  <c r="Q7382" i="52"/>
  <c r="Q7383" i="52" s="1"/>
  <c r="R7382" i="52" l="1"/>
  <c r="S7382" i="52" s="1"/>
  <c r="R7383" i="52"/>
  <c r="S7383" i="52" s="1"/>
  <c r="Q7384" i="52"/>
  <c r="Q7385" i="52" l="1"/>
  <c r="R7385" i="52" s="1"/>
  <c r="S7385" i="52" s="1"/>
  <c r="R7384" i="52"/>
  <c r="S7384" i="52" s="1"/>
  <c r="Q7386" i="52" l="1"/>
  <c r="Q7387" i="52" s="1"/>
  <c r="R7386" i="52" l="1"/>
  <c r="S7386" i="52" s="1"/>
  <c r="R7387" i="52"/>
  <c r="S7387" i="52" s="1"/>
  <c r="Q7388" i="52"/>
  <c r="R7388" i="52" s="1"/>
  <c r="S7388" i="52" s="1"/>
  <c r="Q7389" i="52" l="1"/>
  <c r="R7389" i="52" s="1"/>
  <c r="S7389" i="52" s="1"/>
  <c r="Q7390" i="52" l="1"/>
  <c r="R7390" i="52" s="1"/>
  <c r="S7390" i="52" s="1"/>
  <c r="Q7391" i="52" l="1"/>
  <c r="R7391" i="52" s="1"/>
  <c r="S7391" i="52" s="1"/>
  <c r="Q7392" i="52" l="1"/>
  <c r="R7392" i="52" s="1"/>
  <c r="S7392" i="52" s="1"/>
  <c r="Q7393" i="52" l="1"/>
  <c r="R7393" i="52" s="1"/>
  <c r="S7393" i="52" s="1"/>
  <c r="Q7394" i="52" l="1"/>
  <c r="Q7395" i="52" s="1"/>
  <c r="R7394" i="52" l="1"/>
  <c r="S7394" i="52" s="1"/>
  <c r="R7395" i="52"/>
  <c r="S7395" i="52" s="1"/>
  <c r="Q7396" i="52"/>
  <c r="R7396" i="52" s="1"/>
  <c r="S7396" i="52" s="1"/>
  <c r="Q7397" i="52" l="1"/>
  <c r="R7397" i="52" s="1"/>
  <c r="S7397" i="52" s="1"/>
  <c r="Q7398" i="52" l="1"/>
  <c r="R7398" i="52" s="1"/>
  <c r="S7398" i="52" s="1"/>
  <c r="Q7399" i="52" l="1"/>
  <c r="R7399" i="52" s="1"/>
  <c r="S7399" i="52" s="1"/>
  <c r="Q7400" i="52" l="1"/>
  <c r="R7400" i="52" s="1"/>
  <c r="S7400" i="52" s="1"/>
  <c r="Q7401" i="52" l="1"/>
  <c r="R7401" i="52" s="1"/>
  <c r="S7401" i="52" s="1"/>
  <c r="Q7402" i="52" l="1"/>
  <c r="R7402" i="52" s="1"/>
  <c r="S7402" i="52" s="1"/>
  <c r="Q7403" i="52" l="1"/>
  <c r="R7403" i="52" s="1"/>
  <c r="S7403" i="52" s="1"/>
  <c r="Q7404" i="52" l="1"/>
  <c r="R7404" i="52" s="1"/>
  <c r="S7404" i="52" s="1"/>
  <c r="Q7405" i="52" l="1"/>
  <c r="R7405" i="52" s="1"/>
  <c r="S7405" i="52" s="1"/>
  <c r="Q7406" i="52" l="1"/>
  <c r="R7406" i="52" s="1"/>
  <c r="S7406" i="52" s="1"/>
  <c r="Q7407" i="52" l="1"/>
  <c r="R7407" i="52" s="1"/>
  <c r="S7407" i="52" s="1"/>
  <c r="Q7408" i="52" l="1"/>
  <c r="R7408" i="52" s="1"/>
  <c r="S7408" i="52" s="1"/>
  <c r="Q7409" i="52" l="1"/>
  <c r="R7409" i="52" s="1"/>
  <c r="S7409" i="52" s="1"/>
  <c r="Q7410" i="52" l="1"/>
  <c r="Q7411" i="52" s="1"/>
  <c r="R7410" i="52" l="1"/>
  <c r="S7410" i="52" s="1"/>
  <c r="R7411" i="52"/>
  <c r="S7411" i="52" s="1"/>
  <c r="Q7412" i="52"/>
  <c r="R7412" i="52" s="1"/>
  <c r="S7412" i="52" s="1"/>
  <c r="Q7413" i="52" l="1"/>
  <c r="R7413" i="52" s="1"/>
  <c r="S7413" i="52" s="1"/>
  <c r="Q7414" i="52" l="1"/>
  <c r="R7414" i="52" s="1"/>
  <c r="S7414" i="52" s="1"/>
  <c r="Q7415" i="52" l="1"/>
  <c r="R7415" i="52" s="1"/>
  <c r="S7415" i="52" s="1"/>
  <c r="Q7416" i="52" l="1"/>
  <c r="R7416" i="52" l="1"/>
  <c r="S7416" i="52" s="1"/>
  <c r="Q7417" i="52"/>
  <c r="Q7418" i="52" s="1"/>
  <c r="Q7419" i="52" s="1"/>
  <c r="Q7420" i="52" s="1"/>
  <c r="Q7421" i="52" s="1"/>
  <c r="Q7422" i="52" l="1"/>
  <c r="R7417" i="52"/>
  <c r="S7417" i="52" s="1"/>
  <c r="R7418" i="52"/>
  <c r="S7418" i="52" s="1"/>
  <c r="R7419" i="52"/>
  <c r="S7419" i="52" s="1"/>
  <c r="Q7423" i="52" l="1"/>
  <c r="R7423" i="52" s="1"/>
  <c r="S7423" i="52" s="1"/>
  <c r="R7422" i="52"/>
  <c r="S7422" i="52" s="1"/>
  <c r="R7420" i="52"/>
  <c r="S7420" i="52" s="1"/>
  <c r="Q7424" i="52" l="1"/>
  <c r="R7421" i="52"/>
  <c r="S7421" i="52" s="1"/>
  <c r="C63" i="54"/>
  <c r="Q7425" i="52" l="1"/>
  <c r="R7425" i="52" s="1"/>
  <c r="S7425" i="52" s="1"/>
  <c r="R7424" i="52"/>
  <c r="S7424" i="52" s="1"/>
  <c r="B63" i="54"/>
  <c r="Q7426" i="52" l="1"/>
  <c r="R7426" i="52" s="1"/>
  <c r="S7426" i="52" s="1"/>
  <c r="C73" i="54"/>
  <c r="D63" i="54"/>
  <c r="Q7427" i="52" l="1"/>
  <c r="R7427" i="52" s="1"/>
  <c r="S7427" i="52" l="1"/>
  <c r="Q7428" i="52"/>
  <c r="R7428" i="52" s="1"/>
  <c r="S7428" i="52" l="1"/>
  <c r="Q7429" i="52"/>
  <c r="Q7430" i="52" s="1"/>
  <c r="R7429" i="52" l="1"/>
  <c r="S7429" i="52" s="1"/>
  <c r="R7430" i="52"/>
  <c r="Q7431" i="52"/>
  <c r="R7431" i="52" s="1"/>
  <c r="S7431" i="52" l="1"/>
  <c r="Q7432" i="52"/>
  <c r="R7432" i="52" s="1"/>
  <c r="S7432" i="52" s="1"/>
  <c r="S7430" i="52"/>
  <c r="Q7433" i="52" l="1"/>
  <c r="R7433" i="52" s="1"/>
  <c r="S7433" i="52" l="1"/>
  <c r="Q7434" i="52"/>
  <c r="Q7435" i="52" s="1"/>
  <c r="R7434" i="52" l="1"/>
  <c r="R7435" i="52"/>
  <c r="S7435" i="52" s="1"/>
  <c r="Q7436" i="52"/>
  <c r="R7436" i="52" s="1"/>
  <c r="S7436" i="52" s="1"/>
  <c r="Q7437" i="52" l="1"/>
  <c r="R7437" i="52" s="1"/>
  <c r="S7434" i="52"/>
  <c r="S7437" i="52" l="1"/>
  <c r="Q7438" i="52"/>
  <c r="Q7439" i="52" s="1"/>
  <c r="R7438" i="52" l="1"/>
  <c r="S7438" i="52" s="1"/>
  <c r="R7439" i="52"/>
  <c r="S7439" i="52" s="1"/>
  <c r="Q7440" i="52"/>
  <c r="Q7441" i="52" s="1"/>
  <c r="R7440" i="52" l="1"/>
  <c r="S7440" i="52" s="1"/>
  <c r="R7441" i="52"/>
  <c r="S7441" i="52" s="1"/>
  <c r="Q7442" i="52"/>
  <c r="R7442" i="52" s="1"/>
  <c r="S7442" i="52" s="1"/>
  <c r="Q7443" i="52" l="1"/>
  <c r="Q7444" i="52" s="1"/>
  <c r="R7443" i="52" l="1"/>
  <c r="S7443" i="52" s="1"/>
  <c r="R7444" i="52"/>
  <c r="S7444" i="52" s="1"/>
  <c r="Q7445" i="52"/>
  <c r="R7445" i="52" l="1"/>
  <c r="S7445" i="52" s="1"/>
  <c r="Q7446" i="52"/>
  <c r="R7446" i="52" s="1"/>
  <c r="S7446" i="52" s="1"/>
  <c r="Q7447" i="52" l="1"/>
  <c r="R7447" i="52" s="1"/>
  <c r="S7447" i="52" s="1"/>
  <c r="Q7448" i="52" l="1"/>
  <c r="Q7449" i="52" s="1"/>
  <c r="R7448" i="52" l="1"/>
  <c r="S7448" i="52" s="1"/>
  <c r="R7449" i="52"/>
  <c r="S7449" i="52" s="1"/>
  <c r="Q7450" i="52"/>
  <c r="R7450" i="52" l="1"/>
  <c r="S7450" i="52" s="1"/>
  <c r="Q7451" i="52"/>
  <c r="Q7452" i="52" s="1"/>
  <c r="R7452" i="52" l="1"/>
  <c r="S7452" i="52" s="1"/>
  <c r="Q7453" i="52"/>
  <c r="R7453" i="52" s="1"/>
  <c r="S7453" i="52" s="1"/>
  <c r="R7451" i="52"/>
  <c r="S7451" i="52" s="1"/>
  <c r="Q7454" i="52" l="1"/>
  <c r="R7454" i="52" s="1"/>
  <c r="S7454" i="52" s="1"/>
  <c r="Q7455" i="52" l="1"/>
  <c r="R7455" i="52" s="1"/>
  <c r="S7455" i="52" s="1"/>
  <c r="Q7456" i="52" l="1"/>
  <c r="R7456" i="52" s="1"/>
  <c r="S7456" i="52" s="1"/>
  <c r="Q7457" i="52" l="1"/>
  <c r="R7457" i="52" s="1"/>
  <c r="S7457" i="52" s="1"/>
  <c r="Q7458" i="52" l="1"/>
  <c r="R7458" i="52" s="1"/>
  <c r="S7458" i="52" s="1"/>
  <c r="Q7459" i="52" l="1"/>
  <c r="R7459" i="52" s="1"/>
  <c r="S7459" i="52" s="1"/>
  <c r="Q7460" i="52" l="1"/>
  <c r="Q7461" i="52" s="1"/>
  <c r="R7460" i="52" l="1"/>
  <c r="S7460" i="52" s="1"/>
  <c r="R7461" i="52"/>
  <c r="S7461" i="52" s="1"/>
  <c r="Q7462" i="52"/>
  <c r="R7462" i="52" s="1"/>
  <c r="S7462" i="52" s="1"/>
  <c r="Q7463" i="52" l="1"/>
  <c r="R7463" i="52" s="1"/>
  <c r="S7463" i="52" s="1"/>
  <c r="Q7464" i="52" l="1"/>
  <c r="R7464" i="52" s="1"/>
  <c r="S7464" i="52" s="1"/>
  <c r="Q7465" i="52" l="1"/>
  <c r="R7465" i="52" s="1"/>
  <c r="S7465" i="52" s="1"/>
  <c r="Q7466" i="52" l="1"/>
  <c r="Q7467" i="52" s="1"/>
  <c r="R7466" i="52" l="1"/>
  <c r="S7466" i="52" s="1"/>
  <c r="R7467" i="52"/>
  <c r="S7467" i="52" s="1"/>
  <c r="Q7468" i="52"/>
  <c r="R7468" i="52" s="1"/>
  <c r="S7468" i="52" s="1"/>
  <c r="Q7469" i="52" l="1"/>
  <c r="R7469" i="52" s="1"/>
  <c r="S7469" i="52" s="1"/>
  <c r="Q7470" i="52" l="1"/>
  <c r="R7470" i="52" s="1"/>
  <c r="S7470" i="52" s="1"/>
  <c r="Q7471" i="52" l="1"/>
  <c r="Q7472" i="52" s="1"/>
  <c r="R7471" i="52" l="1"/>
  <c r="S7471" i="52" s="1"/>
  <c r="R7472" i="52"/>
  <c r="S7472" i="52" s="1"/>
  <c r="Q7473" i="52"/>
  <c r="R7473" i="52" s="1"/>
  <c r="S7473" i="52" s="1"/>
  <c r="Q7474" i="52" l="1"/>
  <c r="Q7475" i="52" l="1"/>
  <c r="Q7476" i="52" s="1"/>
  <c r="R7474" i="52"/>
  <c r="S7474" i="52" s="1"/>
  <c r="R7475" i="52" l="1"/>
  <c r="S7475" i="52" s="1"/>
  <c r="R7476" i="52"/>
  <c r="S7476" i="52" s="1"/>
  <c r="Q7477" i="52"/>
  <c r="R7477" i="52" s="1"/>
  <c r="S7477" i="52" s="1"/>
  <c r="Q7478" i="52" l="1"/>
  <c r="R7478" i="52" s="1"/>
  <c r="S7478" i="52" s="1"/>
  <c r="Q7479" i="52" l="1"/>
  <c r="Q7480" i="52" l="1"/>
  <c r="R7479" i="52"/>
  <c r="S7479" i="52" s="1"/>
  <c r="D57" i="54"/>
  <c r="B57" i="54"/>
  <c r="C64" i="54"/>
  <c r="B64" i="54"/>
  <c r="C57" i="54"/>
  <c r="D64" i="54"/>
  <c r="Q7481" i="52" l="1"/>
  <c r="R7480" i="52"/>
  <c r="S7480" i="52" s="1"/>
  <c r="Q7482" i="52" l="1"/>
  <c r="Q7483" i="52" s="1"/>
  <c r="R7481" i="52"/>
  <c r="S7481" i="52" s="1"/>
  <c r="R7482" i="52" l="1"/>
  <c r="S7482" i="52" s="1"/>
  <c r="R7483" i="52"/>
  <c r="S7483" i="52" s="1"/>
  <c r="Q7484" i="52"/>
  <c r="Q7485" i="52" l="1"/>
  <c r="Q7486" i="52" s="1"/>
  <c r="Q7489" i="52"/>
  <c r="Q7490" i="52" s="1"/>
  <c r="R7484" i="52"/>
  <c r="S7484" i="52" s="1"/>
  <c r="R7485" i="52" l="1"/>
  <c r="S7485" i="52" s="1"/>
  <c r="R7486" i="52"/>
  <c r="S7486" i="52" s="1"/>
  <c r="Q7487" i="52"/>
  <c r="R7490" i="52"/>
  <c r="S7490" i="52" s="1"/>
  <c r="Q7491" i="52"/>
  <c r="R7489" i="52"/>
  <c r="S7489" i="52" s="1"/>
  <c r="R7487" i="52" l="1"/>
  <c r="S7487" i="52" s="1"/>
  <c r="Q7488" i="52"/>
  <c r="R7488" i="52" s="1"/>
  <c r="S7488" i="52" s="1"/>
  <c r="Q7492" i="52"/>
  <c r="R7491" i="52"/>
  <c r="S7491" i="52" s="1"/>
  <c r="Q7493" i="52" l="1"/>
  <c r="R7492" i="52"/>
  <c r="S7492" i="52" s="1"/>
  <c r="Q7494" i="52" l="1"/>
  <c r="R7493" i="52"/>
  <c r="S7493" i="52" s="1"/>
  <c r="Q7495" i="52" l="1"/>
  <c r="R7494" i="52"/>
  <c r="S7494" i="52" s="1"/>
  <c r="Q7496" i="52" l="1"/>
  <c r="R7496" i="52" s="1"/>
  <c r="S7496" i="52" s="1"/>
  <c r="Q7497" i="52"/>
  <c r="R7497" i="52" s="1"/>
  <c r="S7497" i="52" s="1"/>
  <c r="A58" i="54"/>
  <c r="A63" i="54"/>
  <c r="A64" i="54"/>
  <c r="A57" i="54"/>
  <c r="R7495" i="52"/>
  <c r="S7495" i="52" s="1"/>
  <c r="Q7498" i="52" l="1"/>
  <c r="Q7499" i="52" s="1"/>
  <c r="D58" i="54"/>
  <c r="B58" i="54"/>
  <c r="C58" i="54"/>
  <c r="R7498" i="52" l="1"/>
  <c r="S7498" i="52" s="1"/>
  <c r="R7499" i="52"/>
  <c r="Q7500" i="52"/>
  <c r="Q7501" i="52" l="1"/>
  <c r="R7501" i="52" s="1"/>
  <c r="S7501" i="52" s="1"/>
  <c r="Q7502" i="52"/>
  <c r="R7502" i="52" s="1"/>
  <c r="S7502" i="52" s="1"/>
  <c r="S7499" i="52"/>
  <c r="R7500" i="52"/>
  <c r="S7500" i="52" s="1"/>
  <c r="Q7503" i="52" l="1"/>
  <c r="R7503" i="52" s="1"/>
  <c r="S7503" i="52" l="1"/>
  <c r="Q7504" i="52"/>
  <c r="R7504" i="52" s="1"/>
  <c r="S7504" i="52" l="1"/>
  <c r="Q7505" i="52"/>
  <c r="R7505" i="52" s="1"/>
  <c r="S7505" i="52" l="1"/>
  <c r="Q7506" i="52"/>
  <c r="Q7507" i="52" l="1"/>
  <c r="R7507" i="52" s="1"/>
  <c r="S7507" i="52" s="1"/>
  <c r="R7506" i="52"/>
  <c r="Q7508" i="52" l="1"/>
  <c r="R7508" i="52" s="1"/>
  <c r="S7506" i="52"/>
  <c r="S7508" i="52" l="1"/>
  <c r="Q7509" i="52"/>
  <c r="Q7510" i="52" s="1"/>
  <c r="Q7511" i="52" l="1"/>
  <c r="R7510" i="52"/>
  <c r="S7510" i="52" s="1"/>
  <c r="R7509" i="52"/>
  <c r="S7509" i="52" s="1"/>
  <c r="Q7512" i="52" l="1"/>
  <c r="R7512" i="52" s="1"/>
  <c r="R7511" i="52"/>
  <c r="S7511" i="52" s="1"/>
  <c r="A16" i="54" s="1"/>
  <c r="D16" i="54"/>
  <c r="C16" i="54"/>
  <c r="B16" i="54"/>
  <c r="Q7513" i="52" l="1"/>
  <c r="R7513" i="52" s="1"/>
  <c r="Q7514" i="52" l="1"/>
  <c r="Q7515" i="52" s="1"/>
  <c r="R7515" i="52" l="1"/>
  <c r="S7515" i="52" s="1"/>
  <c r="Q7516" i="52"/>
  <c r="Q7517" i="52" s="1"/>
  <c r="R7517" i="52" s="1"/>
  <c r="S7517" i="52" s="1"/>
  <c r="R7514" i="52"/>
  <c r="S7514" i="52" s="1"/>
  <c r="Q7518" i="52"/>
  <c r="R7518" i="52" s="1"/>
  <c r="S7518" i="52" s="1"/>
  <c r="S7512" i="52"/>
  <c r="S7513" i="52"/>
  <c r="R7516" i="52" l="1"/>
  <c r="S7516" i="52" s="1"/>
  <c r="Q7519" i="52"/>
  <c r="R7519" i="52" s="1"/>
  <c r="S7519" i="52" s="1"/>
  <c r="H114" i="1"/>
  <c r="Q7520" i="52" l="1"/>
  <c r="R7520" i="52" s="1"/>
  <c r="S7520" i="52" s="1"/>
  <c r="H115" i="1"/>
  <c r="P185" i="1"/>
  <c r="H169" i="1"/>
  <c r="H142" i="1"/>
  <c r="Q7521" i="52" l="1"/>
  <c r="R7521" i="52" s="1"/>
  <c r="S7521" i="52" s="1"/>
  <c r="H171" i="1"/>
  <c r="I171" i="1"/>
  <c r="B8" i="57"/>
  <c r="D25" i="49"/>
  <c r="B3" i="46"/>
  <c r="H144" i="1"/>
  <c r="H143" i="1"/>
  <c r="H145" i="1" s="1"/>
  <c r="H185" i="1"/>
  <c r="Q7522" i="52" l="1"/>
  <c r="R7522" i="52" s="1"/>
  <c r="S7522" i="52" s="1"/>
  <c r="B17" i="54"/>
  <c r="C17" i="54"/>
  <c r="D17" i="54"/>
  <c r="A17" i="54"/>
  <c r="C25" i="49"/>
  <c r="L185" i="1"/>
  <c r="B9" i="57" s="1"/>
  <c r="B36" i="57" s="1"/>
  <c r="B4" i="46"/>
  <c r="Q7523" i="52" l="1"/>
  <c r="R7523" i="52" s="1"/>
  <c r="S7523" i="52" s="1"/>
  <c r="B37" i="57"/>
  <c r="B38" i="57" s="1"/>
  <c r="B39" i="57"/>
  <c r="Q7524" i="52" l="1"/>
  <c r="R7524" i="52" s="1"/>
  <c r="S7524" i="52" s="1"/>
  <c r="B41" i="57"/>
  <c r="B44" i="57" s="1"/>
  <c r="Q7525" i="52" l="1"/>
  <c r="Q7526" i="52" l="1"/>
  <c r="R7526" i="52" s="1"/>
  <c r="S7526" i="52" s="1"/>
  <c r="R7525" i="52"/>
  <c r="S7525" i="52" s="1"/>
  <c r="Q7527" i="52" l="1"/>
  <c r="R7527" i="52" s="1"/>
  <c r="S7527" i="52" s="1"/>
  <c r="Q7528" i="52" l="1"/>
  <c r="Q7529" i="52" s="1"/>
  <c r="R7528" i="52" l="1"/>
  <c r="R7529" i="52"/>
  <c r="S7529" i="52" s="1"/>
  <c r="Q7530" i="52"/>
  <c r="Q7531" i="52" s="1"/>
  <c r="S7528" i="52" l="1"/>
  <c r="R7531" i="52"/>
  <c r="S7531" i="52" s="1"/>
  <c r="Q7532" i="52"/>
  <c r="R7530" i="52"/>
  <c r="R7532" i="52" l="1"/>
  <c r="S7532" i="52" s="1"/>
  <c r="Q7533" i="52"/>
  <c r="R7533" i="52" s="1"/>
  <c r="S7530" i="52"/>
  <c r="S7533" i="52" l="1"/>
  <c r="A18" i="54"/>
  <c r="Q7534" i="52"/>
  <c r="Q7535" i="52" s="1"/>
  <c r="R7534" i="52" l="1"/>
  <c r="S7534" i="52" s="1"/>
  <c r="R7535" i="52"/>
  <c r="S7535" i="52" s="1"/>
  <c r="Q7536" i="52"/>
  <c r="Q7537" i="52" l="1"/>
  <c r="R7536" i="52"/>
  <c r="S7536" i="52" s="1"/>
  <c r="Q7538" i="52" l="1"/>
  <c r="R7538" i="52" s="1"/>
  <c r="S7538" i="52" s="1"/>
  <c r="R7537" i="52"/>
  <c r="S7537" i="52" s="1"/>
  <c r="Q7539" i="52" l="1"/>
  <c r="R7539" i="52" s="1"/>
  <c r="S7539" i="52" s="1"/>
  <c r="Q7540" i="52" l="1"/>
  <c r="R7540" i="52" s="1"/>
  <c r="S7540" i="52" s="1"/>
  <c r="Q7541" i="52" l="1"/>
  <c r="Q7542" i="52" s="1"/>
  <c r="R7541" i="52" l="1"/>
  <c r="S7541" i="52" s="1"/>
  <c r="R7542" i="52"/>
  <c r="S7542" i="52" s="1"/>
  <c r="Q7543" i="52"/>
  <c r="Q7544" i="52" s="1"/>
  <c r="B18" i="54"/>
  <c r="D18" i="54"/>
  <c r="C18" i="54"/>
  <c r="R7543" i="52" l="1"/>
  <c r="R7544" i="52"/>
  <c r="S7544" i="52" s="1"/>
  <c r="Q7545" i="52"/>
  <c r="S7543" i="52" l="1"/>
  <c r="R7545" i="52"/>
  <c r="Q7546" i="52"/>
  <c r="Q7547" i="52" s="1"/>
  <c r="R7546" i="52" l="1"/>
  <c r="S7546" i="52" s="1"/>
  <c r="S7545" i="52"/>
  <c r="R7547" i="52"/>
  <c r="S7547" i="52" s="1"/>
  <c r="Q7548" i="52"/>
  <c r="Q7549" i="52" s="1"/>
  <c r="R7548" i="52" l="1"/>
  <c r="R7549" i="52"/>
  <c r="S7549" i="52" s="1"/>
  <c r="Q7550" i="52"/>
  <c r="R7550" i="52" s="1"/>
  <c r="S7550" i="52" l="1"/>
  <c r="S7548" i="52"/>
  <c r="Q7551" i="52"/>
  <c r="Q7552" i="52" s="1"/>
  <c r="R7552" i="52" l="1"/>
  <c r="S7552" i="52" s="1"/>
  <c r="Q7553" i="52"/>
  <c r="R7551" i="52"/>
  <c r="S7551" i="52" s="1"/>
  <c r="Q7554" i="52" l="1"/>
  <c r="R7553" i="52"/>
  <c r="S7553" i="52" s="1"/>
  <c r="C3" i="54"/>
  <c r="A3" i="54"/>
  <c r="D3" i="54"/>
  <c r="B3" i="54"/>
  <c r="Q7555" i="52" l="1"/>
  <c r="R7555" i="52" s="1"/>
  <c r="S7555" i="52" s="1"/>
  <c r="R7554" i="52"/>
  <c r="S7554" i="52" s="1"/>
  <c r="Q7556" i="52" l="1"/>
  <c r="Q7557" i="52" l="1"/>
  <c r="R7556" i="52"/>
  <c r="S7556" i="52" l="1"/>
  <c r="Q7558" i="52"/>
  <c r="R7558" i="52" s="1"/>
  <c r="S7558" i="52" s="1"/>
  <c r="R7557" i="52"/>
  <c r="S7557" i="52" s="1"/>
  <c r="Q7559" i="52" l="1"/>
  <c r="Q7560" i="52" l="1"/>
  <c r="R7560" i="52" s="1"/>
  <c r="S7560" i="52" s="1"/>
  <c r="R7559" i="52"/>
  <c r="S7559" i="52" l="1"/>
  <c r="C4" i="54"/>
  <c r="B4" i="54"/>
  <c r="D4" i="54"/>
  <c r="A4" i="54"/>
  <c r="Q7561" i="52"/>
  <c r="Q7562" i="52" l="1"/>
  <c r="R7562" i="52" s="1"/>
  <c r="S7562" i="52" s="1"/>
  <c r="R7561" i="52"/>
  <c r="S7561" i="52" l="1"/>
  <c r="Q7563" i="52"/>
  <c r="R7563" i="52" s="1"/>
  <c r="S7563" i="52" l="1"/>
  <c r="Q7564" i="52"/>
  <c r="R7564" i="52" s="1"/>
  <c r="S7564" i="52" l="1"/>
  <c r="Q7565" i="52"/>
  <c r="R7565" i="52" s="1"/>
  <c r="S7565" i="52" s="1"/>
  <c r="Q7566" i="52" l="1"/>
  <c r="Q7567" i="52" s="1"/>
  <c r="R7566" i="52" l="1"/>
  <c r="S7566" i="52" s="1"/>
  <c r="R7567" i="52"/>
  <c r="S7567" i="52" s="1"/>
  <c r="Q7568" i="52"/>
  <c r="R7568" i="52" l="1"/>
  <c r="Q7569" i="52"/>
  <c r="R7569" i="52" s="1"/>
  <c r="S7569" i="52" s="1"/>
  <c r="S7568" i="52" l="1"/>
  <c r="Q7570" i="52"/>
  <c r="R7570" i="52" s="1"/>
  <c r="S7570" i="52" s="1"/>
  <c r="Q7571" i="52" l="1"/>
  <c r="R7571" i="52" s="1"/>
  <c r="S7571" i="52" s="1"/>
  <c r="Q7572" i="52" l="1"/>
  <c r="R7572" i="52" s="1"/>
  <c r="S7572" i="52" s="1"/>
  <c r="Q7573" i="52" l="1"/>
  <c r="R7573" i="52" s="1"/>
  <c r="S7573" i="52" l="1"/>
  <c r="Q7574" i="52"/>
  <c r="R7574" i="52" s="1"/>
  <c r="S7574" i="52" s="1"/>
  <c r="Q7575" i="52" l="1"/>
  <c r="Q7576" i="52" l="1"/>
  <c r="R7576" i="52" s="1"/>
  <c r="S7576" i="52" s="1"/>
  <c r="R7575" i="52"/>
  <c r="S7575" i="52" s="1"/>
  <c r="Q7577" i="52" l="1"/>
  <c r="Q7578" i="52" l="1"/>
  <c r="R7577" i="52"/>
  <c r="S7577" i="52" s="1"/>
  <c r="Q7579" i="52" l="1"/>
  <c r="R7578" i="52"/>
  <c r="S7578" i="52" s="1"/>
  <c r="D36" i="54" l="1"/>
  <c r="B44" i="54"/>
  <c r="D44" i="54"/>
  <c r="A44" i="54"/>
  <c r="B36" i="54"/>
  <c r="C36" i="54"/>
  <c r="A36" i="54"/>
  <c r="C44" i="54"/>
  <c r="Q7580" i="52"/>
  <c r="R7579" i="52"/>
  <c r="S7579" i="52" s="1"/>
  <c r="Q7581" i="52" l="1"/>
  <c r="Q7582" i="52" s="1"/>
  <c r="R7580" i="52"/>
  <c r="S7580" i="52" l="1"/>
  <c r="R7582" i="52"/>
  <c r="S7582" i="52" s="1"/>
  <c r="Q7583" i="52"/>
  <c r="R7581" i="52"/>
  <c r="S7581" i="52" l="1"/>
  <c r="Q7584" i="52"/>
  <c r="R7584" i="52" s="1"/>
  <c r="S7584" i="52" s="1"/>
  <c r="R7583" i="52"/>
  <c r="S7583" i="52" l="1"/>
  <c r="Q7585" i="52"/>
  <c r="Q7586" i="52" l="1"/>
  <c r="R7585" i="52"/>
  <c r="S7585" i="52" l="1"/>
  <c r="Q7587" i="52"/>
  <c r="R7586" i="52"/>
  <c r="S7586" i="52" s="1"/>
  <c r="Q7588" i="52" l="1"/>
  <c r="R7587" i="52"/>
  <c r="S7587" i="52" s="1"/>
  <c r="Q7589" i="52" l="1"/>
  <c r="R7588" i="52"/>
  <c r="S7588" i="52" s="1"/>
  <c r="Q7590" i="52" l="1"/>
  <c r="R7589" i="52"/>
  <c r="S7589" i="52" s="1"/>
  <c r="Q7591" i="52" l="1"/>
  <c r="R7590" i="52"/>
  <c r="S7590" i="52" s="1"/>
  <c r="Q7592" i="52" l="1"/>
  <c r="R7592" i="52" s="1"/>
  <c r="S7592" i="52" s="1"/>
  <c r="R7591" i="52"/>
  <c r="S7591" i="52" s="1"/>
  <c r="Q7593" i="52" l="1"/>
  <c r="R7593" i="52" s="1"/>
  <c r="S7593" i="52" s="1"/>
  <c r="Q7594" i="52" l="1"/>
  <c r="R7594" i="52" s="1"/>
  <c r="S7594" i="52" s="1"/>
  <c r="Q7595" i="52" l="1"/>
  <c r="R7595" i="52" s="1"/>
  <c r="S7595" i="52" s="1"/>
  <c r="Q7596" i="52" l="1"/>
  <c r="R7596" i="52" s="1"/>
  <c r="S7596" i="52" s="1"/>
  <c r="Q7597" i="52" l="1"/>
  <c r="R7597" i="52" s="1"/>
  <c r="S7597" i="52" s="1"/>
  <c r="Q7598" i="52" l="1"/>
  <c r="R7598" i="52" s="1"/>
  <c r="S7598" i="52" s="1"/>
  <c r="Q7599" i="52" l="1"/>
  <c r="R7599" i="52" s="1"/>
  <c r="S7599" i="52" s="1"/>
  <c r="Q7600" i="52" l="1"/>
  <c r="R7600" i="52" s="1"/>
  <c r="S7600" i="52" s="1"/>
  <c r="Q7601" i="52" l="1"/>
  <c r="R7601" i="52" s="1"/>
  <c r="S7601" i="52" s="1"/>
  <c r="Q7602" i="52" l="1"/>
  <c r="R7602" i="52" s="1"/>
  <c r="S7602" i="52" s="1"/>
  <c r="Q7603" i="52" l="1"/>
  <c r="R7603" i="52" s="1"/>
  <c r="S7603" i="52" s="1"/>
  <c r="Q7604" i="52" l="1"/>
  <c r="Q7605" i="52" s="1"/>
  <c r="R7604" i="52" l="1"/>
  <c r="S7604" i="52" s="1"/>
  <c r="R7605" i="52"/>
  <c r="S7605" i="52" s="1"/>
  <c r="Q7606" i="52"/>
  <c r="Q7607" i="52" s="1"/>
  <c r="R7606" i="52" l="1"/>
  <c r="S7606" i="52" s="1"/>
  <c r="R7607" i="52"/>
  <c r="S7607" i="52" s="1"/>
  <c r="Q7608" i="52"/>
  <c r="R7608" i="52" s="1"/>
  <c r="S7608" i="52" s="1"/>
  <c r="Q7609" i="52" l="1"/>
  <c r="R7609" i="52" s="1"/>
  <c r="S7609" i="52" s="1"/>
  <c r="Q7610" i="52" l="1"/>
  <c r="Q7611" i="52" s="1"/>
  <c r="R7610" i="52" l="1"/>
  <c r="S7610" i="52" s="1"/>
  <c r="R7611" i="52"/>
  <c r="S7611" i="52" s="1"/>
  <c r="Q7612" i="52"/>
  <c r="R7612" i="52" l="1"/>
  <c r="S7612" i="52" s="1"/>
  <c r="Q7613" i="52"/>
  <c r="R7613" i="52" l="1"/>
  <c r="S7613" i="52" s="1"/>
  <c r="Q7614" i="52"/>
  <c r="Q7615" i="52" s="1"/>
  <c r="R7614" i="52" l="1"/>
  <c r="S7614" i="52" s="1"/>
  <c r="R7615" i="52"/>
  <c r="S7615" i="52" s="1"/>
  <c r="Q7616" i="52"/>
  <c r="Q7617" i="52" s="1"/>
  <c r="R7616" i="52" l="1"/>
  <c r="S7616" i="52" s="1"/>
  <c r="R7617" i="52"/>
  <c r="S7617" i="52" s="1"/>
  <c r="Q7618" i="52"/>
  <c r="R7618" i="52" s="1"/>
  <c r="S7618" i="52" s="1"/>
  <c r="Q7619" i="52" l="1"/>
  <c r="R7619" i="52"/>
  <c r="S7619" i="52" s="1"/>
  <c r="Q7620" i="52" l="1"/>
  <c r="R7620" i="52" s="1"/>
  <c r="S7620" i="52" s="1"/>
  <c r="Q7621" i="52" l="1"/>
  <c r="Q7622" i="52" s="1"/>
  <c r="R7621" i="52" l="1"/>
  <c r="S7621" i="52" s="1"/>
  <c r="R7622" i="52"/>
  <c r="S7622" i="52" s="1"/>
  <c r="Q7623" i="52"/>
  <c r="R7623" i="52" l="1"/>
  <c r="S7623" i="52" s="1"/>
  <c r="Q7624" i="52"/>
  <c r="D40" i="54"/>
  <c r="A38" i="54"/>
  <c r="B37" i="54"/>
  <c r="C38" i="54"/>
  <c r="A37" i="54"/>
  <c r="B40" i="54"/>
  <c r="C37" i="54"/>
  <c r="D38" i="54"/>
  <c r="C35" i="54"/>
  <c r="D35" i="54"/>
  <c r="C40" i="54"/>
  <c r="D37" i="54"/>
  <c r="C39" i="54"/>
  <c r="A35" i="54"/>
  <c r="A39" i="54"/>
  <c r="A40" i="54"/>
  <c r="B35" i="54"/>
  <c r="B38" i="54"/>
  <c r="B39" i="54"/>
  <c r="D39" i="54"/>
  <c r="R7624" i="52" l="1"/>
  <c r="S7624" i="52" s="1"/>
  <c r="Q7625" i="52"/>
  <c r="R7625" i="52" s="1"/>
  <c r="S7625" i="52" s="1"/>
  <c r="Q7626" i="52" l="1"/>
  <c r="R7626" i="52" s="1"/>
  <c r="S7626" i="52" l="1"/>
  <c r="Q7627" i="52"/>
  <c r="R7627" i="52" s="1"/>
  <c r="S7627" i="52" l="1"/>
  <c r="Q7628" i="52"/>
  <c r="R7628" i="52" s="1"/>
  <c r="S7628" i="52" l="1"/>
  <c r="Q7629" i="52"/>
  <c r="R7629" i="52" s="1"/>
  <c r="S7629" i="52" l="1"/>
  <c r="Q7630" i="52"/>
  <c r="R7630" i="52" s="1"/>
  <c r="S7630" i="52" l="1"/>
  <c r="Q7631" i="52"/>
  <c r="R7631" i="52" s="1"/>
  <c r="S7631" i="52" s="1"/>
  <c r="Q7632" i="52" l="1"/>
  <c r="R7632" i="52" s="1"/>
  <c r="S7632" i="52" s="1"/>
  <c r="Q7633" i="52" l="1"/>
  <c r="R7633" i="52" s="1"/>
  <c r="S7633" i="52" s="1"/>
  <c r="Q7634" i="52" l="1"/>
  <c r="Q7635" i="52" s="1"/>
  <c r="R7634" i="52"/>
  <c r="S7634" i="52" s="1"/>
  <c r="R7635" i="52" l="1"/>
  <c r="S7635" i="52" s="1"/>
  <c r="Q7636" i="52"/>
  <c r="R7636" i="52" s="1"/>
  <c r="S7636" i="52" s="1"/>
  <c r="Q7637" i="52" l="1"/>
  <c r="R7637" i="52" s="1"/>
  <c r="S7637" i="52" s="1"/>
  <c r="Q7638" i="52" l="1"/>
  <c r="Q7639" i="52" s="1"/>
  <c r="R7638" i="52"/>
  <c r="S7638" i="52" s="1"/>
  <c r="R7639" i="52" l="1"/>
  <c r="S7639" i="52" s="1"/>
  <c r="Q7640" i="52"/>
  <c r="Q7641" i="52" s="1"/>
  <c r="R7640" i="52" l="1"/>
  <c r="S7640" i="52" s="1"/>
  <c r="R7641" i="52"/>
  <c r="S7641" i="52" s="1"/>
  <c r="Q7642" i="52"/>
  <c r="R7642" i="52" s="1"/>
  <c r="S7642" i="52" s="1"/>
  <c r="Q7643" i="52" l="1"/>
  <c r="Q7644" i="52" s="1"/>
  <c r="R7643" i="52" l="1"/>
  <c r="S7643" i="52" s="1"/>
  <c r="R7644" i="52"/>
  <c r="S7644" i="52" s="1"/>
  <c r="Q7645" i="52"/>
  <c r="Q7646" i="52" s="1"/>
  <c r="R7645" i="52" l="1"/>
  <c r="S7645" i="52" s="1"/>
  <c r="R7646" i="52"/>
  <c r="S7646" i="52" s="1"/>
  <c r="Q7647" i="52"/>
  <c r="Q7648" i="52" s="1"/>
  <c r="R7647" i="52" l="1"/>
  <c r="S7647" i="52" s="1"/>
  <c r="R7648" i="52"/>
  <c r="S7648" i="52" s="1"/>
  <c r="Q7649" i="52"/>
  <c r="R7649" i="52" l="1"/>
  <c r="S7649" i="52" s="1"/>
  <c r="Q7650" i="52"/>
  <c r="R7650" i="52" l="1"/>
  <c r="S7650" i="52" s="1"/>
  <c r="Q7651" i="52"/>
  <c r="R7651" i="52" s="1"/>
  <c r="S7651" i="52" s="1"/>
  <c r="C11" i="54"/>
  <c r="B11" i="54"/>
  <c r="B12" i="54"/>
  <c r="D12" i="54"/>
  <c r="A12" i="54"/>
  <c r="A11" i="54"/>
  <c r="C12" i="54"/>
  <c r="D11" i="54"/>
  <c r="Q7652" i="52" l="1"/>
  <c r="R7652" i="52" s="1"/>
  <c r="D41" i="54"/>
  <c r="B41" i="54"/>
  <c r="C41" i="54"/>
  <c r="A41" i="54"/>
  <c r="S7652" i="52" l="1"/>
  <c r="Q7653" i="52"/>
  <c r="R7653" i="52" s="1"/>
  <c r="S7653" i="52" s="1"/>
  <c r="Q7654" i="52" l="1"/>
  <c r="R7654" i="52" s="1"/>
  <c r="S7654" i="52" l="1"/>
  <c r="Q7655" i="52"/>
  <c r="R7655" i="52"/>
  <c r="S7655" i="52" s="1"/>
  <c r="Q7656" i="52" l="1"/>
  <c r="Q7657" i="52" s="1"/>
  <c r="R7656" i="52" l="1"/>
  <c r="R7657" i="52"/>
  <c r="S7657" i="52" s="1"/>
  <c r="Q7658" i="52"/>
  <c r="R7658" i="52" s="1"/>
  <c r="S7658" i="52" s="1"/>
  <c r="S7656" i="52" l="1"/>
  <c r="A42" i="54"/>
  <c r="C42" i="54"/>
  <c r="B42" i="54"/>
  <c r="D42" i="54"/>
  <c r="Q7659" i="52"/>
  <c r="R7659" i="52" s="1"/>
  <c r="S7659" i="52" s="1"/>
  <c r="Q7660" i="52" l="1"/>
  <c r="Q7661" i="52" s="1"/>
  <c r="R7660" i="52" l="1"/>
  <c r="S7660" i="52" s="1"/>
  <c r="R7661" i="52"/>
  <c r="S7661" i="52" s="1"/>
  <c r="Q7662" i="52"/>
  <c r="R7662" i="52" l="1"/>
  <c r="S7662" i="52" s="1"/>
  <c r="Q7663" i="52"/>
  <c r="Q7664" i="52" s="1"/>
  <c r="R7663" i="52" l="1"/>
  <c r="S7663" i="52" s="1"/>
  <c r="R7664" i="52"/>
  <c r="S7664" i="52" s="1"/>
  <c r="Q7665" i="52"/>
  <c r="R7665" i="52" l="1"/>
  <c r="S7665" i="52" s="1"/>
  <c r="Q7666" i="52"/>
  <c r="Q7667" i="52" s="1"/>
  <c r="R7666" i="52" l="1"/>
  <c r="S7666" i="52" s="1"/>
  <c r="R7667" i="52"/>
  <c r="S7667" i="52" s="1"/>
  <c r="Q7668" i="52"/>
  <c r="R7668" i="52" s="1"/>
  <c r="S7668" i="52" s="1"/>
  <c r="Q7669" i="52" l="1"/>
  <c r="R7669" i="52" s="1"/>
  <c r="S7669" i="52" s="1"/>
  <c r="Q7670" i="52" l="1"/>
  <c r="R7670" i="52" s="1"/>
  <c r="S7670" i="52" s="1"/>
  <c r="Q7671" i="52" l="1"/>
  <c r="R7671" i="52"/>
  <c r="S7671" i="52" s="1"/>
  <c r="Q7672" i="52" l="1"/>
  <c r="R7672" i="52" s="1"/>
  <c r="S7672" i="52" s="1"/>
  <c r="Q7673" i="52" l="1"/>
  <c r="R7673" i="52"/>
  <c r="S7673" i="52" s="1"/>
  <c r="Q7674" i="52" l="1"/>
  <c r="R7674" i="52"/>
  <c r="S7674" i="52" s="1"/>
  <c r="Q7675" i="52" l="1"/>
  <c r="R7675" i="52" s="1"/>
  <c r="S7675" i="52" s="1"/>
  <c r="Q7676" i="52" l="1"/>
  <c r="Q7677" i="52" s="1"/>
  <c r="R7676" i="52" l="1"/>
  <c r="S7676" i="52" s="1"/>
  <c r="R7677" i="52"/>
  <c r="S7677" i="52" s="1"/>
  <c r="Q7678" i="52"/>
  <c r="R7678" i="52" l="1"/>
  <c r="S7678" i="52" s="1"/>
  <c r="Q7679" i="52"/>
  <c r="R7679" i="52" l="1"/>
  <c r="S7679" i="52" s="1"/>
  <c r="Q7680" i="52"/>
  <c r="R7680" i="52" l="1"/>
  <c r="S7680" i="52" s="1"/>
  <c r="Q7681" i="52"/>
  <c r="R7681" i="52" s="1"/>
  <c r="S7681" i="52" s="1"/>
  <c r="Q7682" i="52" l="1"/>
  <c r="Q7683" i="52" s="1"/>
  <c r="R7682" i="52" l="1"/>
  <c r="S7682" i="52" s="1"/>
  <c r="R7683" i="52"/>
  <c r="S7683" i="52" s="1"/>
  <c r="Q7684" i="52"/>
  <c r="R7684" i="52" l="1"/>
  <c r="S7684" i="52" s="1"/>
  <c r="Q7685" i="52"/>
  <c r="Q7686" i="52" s="1"/>
  <c r="R7685" i="52" l="1"/>
  <c r="S7685" i="52" s="1"/>
  <c r="R7686" i="52"/>
  <c r="S7686" i="52" s="1"/>
  <c r="Q7687" i="52"/>
  <c r="R7687" i="52" s="1"/>
  <c r="S7687" i="52" s="1"/>
  <c r="Q7688" i="52" l="1"/>
  <c r="R7688" i="52" s="1"/>
  <c r="S7688" i="52" s="1"/>
  <c r="Q7689" i="52" l="1"/>
  <c r="R7689" i="52" s="1"/>
  <c r="S7689" i="52" s="1"/>
  <c r="Q7690" i="52" l="1"/>
  <c r="R7690" i="52" s="1"/>
  <c r="S7690" i="52" s="1"/>
  <c r="Q7691" i="52" l="1"/>
  <c r="R7691" i="52" s="1"/>
  <c r="S7691" i="52" s="1"/>
  <c r="A13" i="54" s="1"/>
  <c r="Q7692" i="52" l="1"/>
  <c r="R7692" i="52" s="1"/>
  <c r="S7692" i="52" s="1"/>
  <c r="Q7693" i="52" l="1"/>
  <c r="R7693" i="52" s="1"/>
  <c r="S7693" i="52" s="1"/>
  <c r="Q7694" i="52" l="1"/>
  <c r="R7694" i="52" s="1"/>
  <c r="S7694" i="52" s="1"/>
  <c r="Q7695" i="52" l="1"/>
  <c r="R7695" i="52" s="1"/>
  <c r="S7695" i="52" s="1"/>
  <c r="Q7696" i="52" l="1"/>
  <c r="Q7697" i="52" s="1"/>
  <c r="R7696" i="52" l="1"/>
  <c r="S7696" i="52" s="1"/>
  <c r="R7697" i="52"/>
  <c r="S7697" i="52" s="1"/>
  <c r="Q7698" i="52"/>
  <c r="R7698" i="52" s="1"/>
  <c r="S7698" i="52" s="1"/>
  <c r="A14" i="54" s="1"/>
  <c r="Q7699" i="52" l="1"/>
  <c r="R7699" i="52" s="1"/>
  <c r="S7699" i="52" s="1"/>
  <c r="Q7700" i="52" l="1"/>
  <c r="R7700" i="52"/>
  <c r="S7700" i="52" s="1"/>
  <c r="Q7701" i="52" l="1"/>
  <c r="Q7702" i="52" s="1"/>
  <c r="R7701" i="52" l="1"/>
  <c r="S7701" i="52" s="1"/>
  <c r="R7702" i="52"/>
  <c r="S7702" i="52" s="1"/>
  <c r="Q7703" i="52"/>
  <c r="R7703" i="52" s="1"/>
  <c r="S7703" i="52" s="1"/>
  <c r="Q7704" i="52" l="1"/>
  <c r="R7704" i="52" s="1"/>
  <c r="S7704" i="52" s="1"/>
  <c r="Q7705" i="52" l="1"/>
  <c r="R7705" i="52" s="1"/>
  <c r="S7705" i="52" s="1"/>
  <c r="Q7706" i="52" l="1"/>
  <c r="R7706" i="52" s="1"/>
  <c r="S7706" i="52" s="1"/>
  <c r="Q7707" i="52" l="1"/>
  <c r="R7707" i="52" s="1"/>
  <c r="S7707" i="52" s="1"/>
  <c r="Q7708" i="52" l="1"/>
  <c r="R7708" i="52" s="1"/>
  <c r="S7708" i="52" s="1"/>
  <c r="Q7709" i="52" l="1"/>
  <c r="R7709" i="52" s="1"/>
  <c r="S7709" i="52" s="1"/>
  <c r="Q7710" i="52" l="1"/>
  <c r="R7710" i="52"/>
  <c r="S7710" i="52" s="1"/>
  <c r="Q7711" i="52" l="1"/>
  <c r="R7711" i="52"/>
  <c r="S7711" i="52" s="1"/>
  <c r="Q7712" i="52" l="1"/>
  <c r="R7712" i="52"/>
  <c r="S7712" i="52" s="1"/>
  <c r="Q7713" i="52" l="1"/>
  <c r="Q7714" i="52" s="1"/>
  <c r="R7714" i="52" l="1"/>
  <c r="S7714" i="52" s="1"/>
  <c r="Q7715" i="52"/>
  <c r="R7715" i="52" s="1"/>
  <c r="S7715" i="52" s="1"/>
  <c r="R7713" i="52"/>
  <c r="S7713" i="52" s="1"/>
  <c r="A15" i="54" s="1"/>
  <c r="Q7716" i="52" l="1"/>
  <c r="R7716" i="52" s="1"/>
  <c r="S7716" i="52" s="1"/>
  <c r="A43" i="54"/>
  <c r="C43" i="54"/>
  <c r="B43" i="54"/>
  <c r="D43" i="54"/>
  <c r="Q7717" i="52" l="1"/>
  <c r="R7717" i="52"/>
  <c r="S7717" i="52" s="1"/>
  <c r="Q7718" i="52" l="1"/>
  <c r="Q7719" i="52" s="1"/>
  <c r="R7718" i="52"/>
  <c r="S7718" i="52" s="1"/>
  <c r="R7719" i="52" l="1"/>
  <c r="S7719" i="52" s="1"/>
  <c r="Q7720" i="52"/>
  <c r="Q7721" i="52" s="1"/>
  <c r="R7720" i="52" l="1"/>
  <c r="S7720" i="52" s="1"/>
  <c r="R7721" i="52"/>
  <c r="S7721" i="52" s="1"/>
  <c r="Q7722" i="52"/>
  <c r="R7722" i="52" l="1"/>
  <c r="S7722" i="52" s="1"/>
  <c r="Q7723" i="52"/>
  <c r="R7723" i="52" s="1"/>
  <c r="S7723" i="52" s="1"/>
  <c r="Q7724" i="52" l="1"/>
  <c r="Q7725" i="52" s="1"/>
  <c r="R7724" i="52"/>
  <c r="S7724" i="52" s="1"/>
  <c r="R7725" i="52" l="1"/>
  <c r="S7725" i="52" s="1"/>
  <c r="Q7726" i="52"/>
  <c r="R7726" i="52" s="1"/>
  <c r="S7726" i="52" s="1"/>
  <c r="Q7727" i="52" l="1"/>
  <c r="R7727" i="52"/>
  <c r="S7727" i="52" s="1"/>
  <c r="Q7728" i="52" l="1"/>
  <c r="R7728" i="52"/>
  <c r="S7728" i="52" s="1"/>
  <c r="Q7729" i="52" l="1"/>
  <c r="R7729" i="52"/>
  <c r="S7729" i="52" s="1"/>
  <c r="Q7730" i="52" l="1"/>
  <c r="R7730" i="52"/>
  <c r="S7730" i="52" s="1"/>
  <c r="Q7731" i="52" l="1"/>
  <c r="Q7732" i="52" s="1"/>
  <c r="R7731" i="52"/>
  <c r="S7731" i="52" s="1"/>
  <c r="R7732" i="52" l="1"/>
  <c r="S7732" i="52" s="1"/>
  <c r="Q7733" i="52"/>
  <c r="R7733" i="52" s="1"/>
  <c r="S7733" i="52" s="1"/>
  <c r="Q7734" i="52" l="1"/>
  <c r="R7734" i="52"/>
  <c r="S7734" i="52" s="1"/>
  <c r="Q7735" i="52" l="1"/>
  <c r="R7735" i="52"/>
  <c r="S7735" i="52" s="1"/>
  <c r="Q7736" i="52" l="1"/>
  <c r="R7736" i="52"/>
  <c r="S7736" i="52" s="1"/>
  <c r="Q7737" i="52" l="1"/>
  <c r="R7737" i="52"/>
  <c r="S7737" i="52" s="1"/>
  <c r="Q7738" i="52" l="1"/>
  <c r="R7738" i="52" s="1"/>
  <c r="S7738" i="52" s="1"/>
  <c r="Q7739" i="52" l="1"/>
  <c r="Q7740" i="52" s="1"/>
  <c r="R7739" i="52"/>
  <c r="S7739" i="52" s="1"/>
  <c r="R7740" i="52" l="1"/>
  <c r="S7740" i="52" s="1"/>
  <c r="Q7741" i="52"/>
  <c r="R7741" i="52" l="1"/>
  <c r="S7741" i="52" s="1"/>
  <c r="Q7742" i="52"/>
  <c r="R7742" i="52"/>
  <c r="S7742" i="52" s="1"/>
  <c r="Q7743" i="52" l="1"/>
  <c r="R7743" i="52" s="1"/>
  <c r="S7743" i="52" s="1"/>
  <c r="Q7744" i="52" l="1"/>
  <c r="R7744" i="52"/>
  <c r="S7744" i="52" s="1"/>
  <c r="Q7745" i="52" l="1"/>
  <c r="Q7746" i="52" s="1"/>
  <c r="R7745" i="52"/>
  <c r="S7745" i="52" s="1"/>
  <c r="R7746" i="52" l="1"/>
  <c r="S7746" i="52" s="1"/>
  <c r="Q7747" i="52"/>
  <c r="R7747" i="52" l="1"/>
  <c r="S7747" i="52" s="1"/>
  <c r="Q7748" i="52"/>
  <c r="R7748" i="52"/>
  <c r="S7748" i="52" s="1"/>
  <c r="Q7749" i="52" l="1"/>
  <c r="R7749" i="52"/>
  <c r="S7749" i="52" s="1"/>
  <c r="Q7750" i="52" l="1"/>
  <c r="R7750" i="52"/>
  <c r="S7750" i="52" s="1"/>
  <c r="Q7751" i="52" l="1"/>
  <c r="Q7752" i="52" s="1"/>
  <c r="R7751" i="52"/>
  <c r="S7751" i="52" s="1"/>
  <c r="R7752" i="52" l="1"/>
  <c r="S7752" i="52" s="1"/>
  <c r="Q7753" i="52"/>
  <c r="R7753" i="52" l="1"/>
  <c r="S7753" i="52" s="1"/>
  <c r="Q7754" i="52"/>
  <c r="R7754" i="52" l="1"/>
  <c r="S7754" i="52" s="1"/>
  <c r="Q7755" i="52"/>
  <c r="R7755" i="52" l="1"/>
  <c r="S7755" i="52" s="1"/>
  <c r="Q7756" i="52"/>
  <c r="Q7757" i="52" s="1"/>
  <c r="R7756" i="52" l="1"/>
  <c r="S7756" i="52" s="1"/>
  <c r="R7757" i="52"/>
  <c r="S7757" i="52" s="1"/>
  <c r="Q7758" i="52"/>
  <c r="Q7759" i="52" s="1"/>
  <c r="R7758" i="52" l="1"/>
  <c r="S7758" i="52" s="1"/>
  <c r="R7759" i="52"/>
  <c r="S7759" i="52" s="1"/>
  <c r="Q7760" i="52"/>
  <c r="R7760" i="52" l="1"/>
  <c r="S7760" i="52" s="1"/>
  <c r="Q7761" i="52"/>
  <c r="R7761" i="52"/>
  <c r="S7761" i="52" s="1"/>
  <c r="Q7762" i="52" l="1"/>
  <c r="R7762" i="52" s="1"/>
  <c r="S7762" i="52" s="1"/>
  <c r="Q7763" i="52" l="1"/>
  <c r="R7763" i="52" s="1"/>
  <c r="S7763" i="52" s="1"/>
  <c r="Q7764" i="52" l="1"/>
  <c r="R7764" i="52"/>
  <c r="S7764" i="52" s="1"/>
  <c r="Q7765" i="52" l="1"/>
  <c r="R7765" i="52" s="1"/>
  <c r="S7765" i="52" s="1"/>
  <c r="Q7766" i="52" l="1"/>
  <c r="R7766" i="52" s="1"/>
  <c r="S7766" i="52" s="1"/>
  <c r="Q7767" i="52" l="1"/>
  <c r="R7767" i="52" s="1"/>
  <c r="S7767" i="52" s="1"/>
  <c r="Q7768" i="52" l="1"/>
  <c r="R7768" i="52"/>
  <c r="S7768" i="52" s="1"/>
  <c r="Q7769" i="52" l="1"/>
  <c r="R7769" i="52"/>
  <c r="S7769" i="52" s="1"/>
  <c r="Q7770" i="52" l="1"/>
  <c r="R7770" i="52" s="1"/>
  <c r="S7770" i="52" s="1"/>
  <c r="Q7771" i="52" l="1"/>
  <c r="R7771" i="52"/>
  <c r="S7771" i="52" s="1"/>
  <c r="Q7772" i="52" l="1"/>
  <c r="Q7773" i="52" l="1"/>
  <c r="R7773" i="52" s="1"/>
  <c r="S7773" i="52" s="1"/>
  <c r="R7772" i="52"/>
  <c r="S7772" i="52" s="1"/>
  <c r="Q7774" i="52" l="1"/>
  <c r="R7774" i="52" s="1"/>
  <c r="S7774" i="52" s="1"/>
  <c r="B45" i="54"/>
  <c r="D48" i="54"/>
  <c r="C45" i="54"/>
  <c r="B48" i="54"/>
  <c r="A48" i="54"/>
  <c r="B46" i="54"/>
  <c r="A46" i="54"/>
  <c r="C46" i="54"/>
  <c r="D45" i="54"/>
  <c r="C48" i="54"/>
  <c r="D46" i="54"/>
  <c r="A45" i="54"/>
  <c r="Q7775" i="52" l="1"/>
  <c r="R7775" i="52" s="1"/>
  <c r="S7775" i="52" s="1"/>
  <c r="Q7776" i="52" l="1"/>
  <c r="R7776" i="52"/>
  <c r="S7776" i="52" s="1"/>
  <c r="Q7777" i="52" l="1"/>
  <c r="R7777" i="52"/>
  <c r="S7777" i="52" s="1"/>
  <c r="Q7778" i="52" l="1"/>
  <c r="R7778" i="52"/>
  <c r="S7778" i="52" s="1"/>
  <c r="Q7779" i="52" l="1"/>
  <c r="R7779" i="52"/>
  <c r="S7779" i="52" s="1"/>
  <c r="Q7780" i="52" l="1"/>
  <c r="R7780" i="52"/>
  <c r="S7780" i="52" s="1"/>
  <c r="Q7781" i="52" l="1"/>
  <c r="R7781" i="52"/>
  <c r="S7781" i="52" s="1"/>
  <c r="Q7782" i="52" l="1"/>
  <c r="R7782" i="52"/>
  <c r="S7782" i="52" s="1"/>
  <c r="Q7783" i="52" l="1"/>
  <c r="R7783" i="52" s="1"/>
  <c r="S7783" i="52" s="1"/>
  <c r="Q7784" i="52" l="1"/>
  <c r="R7784" i="52"/>
  <c r="S7784" i="52" s="1"/>
  <c r="Q7785" i="52" l="1"/>
  <c r="Q7786" i="52" s="1"/>
  <c r="R7785" i="52" l="1"/>
  <c r="S7785" i="52" s="1"/>
  <c r="R7786" i="52"/>
  <c r="S7786" i="52" s="1"/>
  <c r="Q7787" i="52"/>
  <c r="R7787" i="52" s="1"/>
  <c r="S7787" i="52" s="1"/>
  <c r="Q7788" i="52" l="1"/>
  <c r="Q7789" i="52" s="1"/>
  <c r="R7788" i="52"/>
  <c r="S7788" i="52" s="1"/>
  <c r="R7789" i="52" l="1"/>
  <c r="S7789" i="52" s="1"/>
  <c r="Q7790" i="52"/>
  <c r="R7790" i="52" l="1"/>
  <c r="S7790" i="52" s="1"/>
  <c r="Q7791" i="52"/>
  <c r="R7791" i="52" s="1"/>
  <c r="S7791" i="52" s="1"/>
  <c r="Q7792" i="52" l="1"/>
  <c r="Q7793" i="52" s="1"/>
  <c r="R7792" i="52" l="1"/>
  <c r="S7792" i="52" s="1"/>
  <c r="R7793" i="52"/>
  <c r="S7793" i="52" s="1"/>
  <c r="Q7794" i="52"/>
  <c r="Q7795" i="52" l="1"/>
  <c r="R7794" i="52"/>
  <c r="S7794" i="52" s="1"/>
  <c r="D47" i="54"/>
  <c r="C47" i="54"/>
  <c r="A47" i="54"/>
  <c r="B47" i="54"/>
  <c r="Q7796" i="52" l="1"/>
  <c r="R7795" i="52"/>
  <c r="S7795" i="52" s="1"/>
  <c r="Q7797" i="52" l="1"/>
  <c r="R7796" i="52"/>
  <c r="D6" i="54"/>
  <c r="D15" i="54"/>
  <c r="B13" i="54"/>
  <c r="A5" i="54"/>
  <c r="D13" i="54"/>
  <c r="C14" i="54"/>
  <c r="C5" i="54"/>
  <c r="B15" i="54"/>
  <c r="D5" i="54"/>
  <c r="D14" i="54"/>
  <c r="B5" i="54"/>
  <c r="B6" i="54"/>
  <c r="C6" i="54"/>
  <c r="C15" i="54"/>
  <c r="A6" i="54"/>
  <c r="B14" i="54"/>
  <c r="C13" i="54"/>
  <c r="S7796" i="52" l="1"/>
  <c r="Q7798" i="52"/>
  <c r="R7797" i="52"/>
  <c r="S7797" i="52" s="1"/>
  <c r="Q7799" i="52" l="1"/>
  <c r="R7799" i="52"/>
  <c r="S7799" i="52" s="1"/>
  <c r="R7798" i="52"/>
  <c r="S7798" i="52" l="1"/>
  <c r="Q7800" i="52"/>
  <c r="R7800" i="52" s="1"/>
  <c r="S7800" i="52" l="1"/>
  <c r="Q7801" i="52"/>
  <c r="Q7802" i="52" l="1"/>
  <c r="R7802" i="52"/>
  <c r="S7802" i="52" s="1"/>
  <c r="R7801" i="52"/>
  <c r="S7801" i="52" l="1"/>
  <c r="C19" i="54"/>
  <c r="A19" i="54"/>
  <c r="D19" i="54"/>
  <c r="B19" i="54"/>
  <c r="Q7803" i="52"/>
  <c r="R7803" i="52" s="1"/>
  <c r="S7803" i="52" l="1"/>
  <c r="D74" i="54" s="1"/>
  <c r="B74" i="54"/>
  <c r="A74" i="54"/>
  <c r="N58" i="1" s="1"/>
  <c r="C74" i="54"/>
  <c r="H64" i="1"/>
  <c r="H191" i="1" s="1"/>
  <c r="P64" i="1"/>
  <c r="L57" i="1"/>
  <c r="L58" i="1"/>
  <c r="N57" i="1"/>
  <c r="P57" i="1"/>
  <c r="H57" i="1"/>
  <c r="J57" i="1"/>
  <c r="H58" i="1"/>
  <c r="P58" i="1"/>
  <c r="J58" i="1"/>
  <c r="N60" i="1" l="1"/>
  <c r="N59" i="1"/>
  <c r="H67" i="1"/>
  <c r="E18" i="32"/>
  <c r="E18" i="39"/>
  <c r="N67" i="1"/>
  <c r="E18" i="38"/>
  <c r="L67" i="1"/>
  <c r="H60" i="1"/>
  <c r="H59" i="1"/>
  <c r="H199" i="1"/>
  <c r="H194" i="1"/>
  <c r="H193" i="1"/>
  <c r="H196" i="1"/>
  <c r="H195" i="1"/>
  <c r="H200" i="1"/>
  <c r="H172" i="1"/>
  <c r="H176" i="1" s="1"/>
  <c r="H177" i="1" s="1"/>
  <c r="H197" i="1"/>
  <c r="H198" i="1"/>
  <c r="P67" i="1"/>
  <c r="E18" i="55"/>
  <c r="L64" i="1"/>
  <c r="L191" i="1" s="1"/>
  <c r="N64" i="1"/>
  <c r="N191" i="1" s="1"/>
  <c r="L59" i="1"/>
  <c r="L60" i="1"/>
  <c r="J64" i="1"/>
  <c r="J191" i="1" s="1"/>
  <c r="J60" i="1"/>
  <c r="J59" i="1"/>
  <c r="E18" i="37"/>
  <c r="J67" i="1"/>
  <c r="P59" i="1"/>
  <c r="P60" i="1"/>
  <c r="H212" i="1" l="1"/>
  <c r="H224" i="1" s="1"/>
  <c r="H207" i="1"/>
  <c r="H219" i="1" s="1"/>
  <c r="N199" i="1"/>
  <c r="N211" i="1" s="1"/>
  <c r="N223" i="1" s="1"/>
  <c r="N196" i="1"/>
  <c r="N208" i="1" s="1"/>
  <c r="N220" i="1" s="1"/>
  <c r="N193" i="1"/>
  <c r="N205" i="1" s="1"/>
  <c r="N217" i="1" s="1"/>
  <c r="N195" i="1"/>
  <c r="N207" i="1" s="1"/>
  <c r="N219" i="1" s="1"/>
  <c r="N194" i="1"/>
  <c r="N206" i="1" s="1"/>
  <c r="N218" i="1" s="1"/>
  <c r="N198" i="1"/>
  <c r="N210" i="1" s="1"/>
  <c r="N222" i="1" s="1"/>
  <c r="N200" i="1"/>
  <c r="N212" i="1" s="1"/>
  <c r="N224" i="1" s="1"/>
  <c r="N138" i="1"/>
  <c r="N140" i="1" s="1"/>
  <c r="N174" i="1" s="1"/>
  <c r="N197" i="1"/>
  <c r="N209" i="1" s="1"/>
  <c r="N221" i="1" s="1"/>
  <c r="E50" i="38"/>
  <c r="E35" i="38"/>
  <c r="E44" i="38"/>
  <c r="M54" i="38"/>
  <c r="E45" i="38"/>
  <c r="E46" i="38" s="1"/>
  <c r="F19" i="38" s="1"/>
  <c r="L193" i="1"/>
  <c r="L205" i="1" s="1"/>
  <c r="L217" i="1" s="1"/>
  <c r="L198" i="1"/>
  <c r="L210" i="1" s="1"/>
  <c r="L222" i="1" s="1"/>
  <c r="L197" i="1"/>
  <c r="L209" i="1" s="1"/>
  <c r="L221" i="1" s="1"/>
  <c r="L194" i="1"/>
  <c r="L206" i="1" s="1"/>
  <c r="L218" i="1" s="1"/>
  <c r="L199" i="1"/>
  <c r="L211" i="1" s="1"/>
  <c r="L223" i="1" s="1"/>
  <c r="L200" i="1"/>
  <c r="L212" i="1" s="1"/>
  <c r="L224" i="1" s="1"/>
  <c r="L195" i="1"/>
  <c r="L207" i="1" s="1"/>
  <c r="L219" i="1" s="1"/>
  <c r="L172" i="1"/>
  <c r="L176" i="1" s="1"/>
  <c r="L177" i="1" s="1"/>
  <c r="L138" i="1"/>
  <c r="L140" i="1" s="1"/>
  <c r="L174" i="1" s="1"/>
  <c r="L196" i="1"/>
  <c r="L208" i="1" s="1"/>
  <c r="L220" i="1" s="1"/>
  <c r="R199" i="1"/>
  <c r="H211" i="1"/>
  <c r="H223" i="1" s="1"/>
  <c r="P223" i="1" s="1"/>
  <c r="J196" i="1"/>
  <c r="J208" i="1" s="1"/>
  <c r="J220" i="1" s="1"/>
  <c r="J200" i="1"/>
  <c r="J212" i="1" s="1"/>
  <c r="J224" i="1" s="1"/>
  <c r="J194" i="1"/>
  <c r="J206" i="1" s="1"/>
  <c r="J218" i="1" s="1"/>
  <c r="J198" i="1"/>
  <c r="J210" i="1" s="1"/>
  <c r="J222" i="1" s="1"/>
  <c r="J195" i="1"/>
  <c r="J207" i="1" s="1"/>
  <c r="J219" i="1" s="1"/>
  <c r="J197" i="1"/>
  <c r="J209" i="1" s="1"/>
  <c r="J221" i="1" s="1"/>
  <c r="J172" i="1"/>
  <c r="J176" i="1" s="1"/>
  <c r="J177" i="1" s="1"/>
  <c r="J193" i="1"/>
  <c r="J205" i="1" s="1"/>
  <c r="J217" i="1" s="1"/>
  <c r="J199" i="1"/>
  <c r="J211" i="1" s="1"/>
  <c r="J223" i="1" s="1"/>
  <c r="J138" i="1"/>
  <c r="J140" i="1" s="1"/>
  <c r="J174" i="1" s="1"/>
  <c r="E44" i="55"/>
  <c r="M54" i="55"/>
  <c r="E45" i="55"/>
  <c r="E46" i="55" s="1"/>
  <c r="F19" i="55" s="1"/>
  <c r="E50" i="55"/>
  <c r="E35" i="55"/>
  <c r="E35" i="39"/>
  <c r="E44" i="39"/>
  <c r="M54" i="39"/>
  <c r="E50" i="39"/>
  <c r="E45" i="39"/>
  <c r="E46" i="39" s="1"/>
  <c r="F19" i="39" s="1"/>
  <c r="M54" i="32"/>
  <c r="E45" i="32"/>
  <c r="E46" i="32" s="1"/>
  <c r="F19" i="32" s="1"/>
  <c r="E35" i="32"/>
  <c r="E44" i="32"/>
  <c r="E50" i="32"/>
  <c r="H208" i="1"/>
  <c r="H220" i="1" s="1"/>
  <c r="M54" i="37"/>
  <c r="E45" i="37"/>
  <c r="E46" i="37" s="1"/>
  <c r="F19" i="37" s="1"/>
  <c r="E35" i="37"/>
  <c r="E50" i="37"/>
  <c r="E44" i="37"/>
  <c r="H205" i="1"/>
  <c r="H217" i="1" s="1"/>
  <c r="R193" i="1"/>
  <c r="H210" i="1"/>
  <c r="H222" i="1" s="1"/>
  <c r="T67" i="1"/>
  <c r="H206" i="1"/>
  <c r="H218" i="1" s="1"/>
  <c r="H209" i="1"/>
  <c r="H221" i="1" s="1"/>
  <c r="CF14" i="46" l="1"/>
  <c r="CF30" i="46"/>
  <c r="CF46" i="46"/>
  <c r="CF62" i="46"/>
  <c r="CF78" i="46"/>
  <c r="CF94" i="46"/>
  <c r="CF110" i="46"/>
  <c r="CF126" i="46"/>
  <c r="CF142" i="46"/>
  <c r="CF158" i="46"/>
  <c r="BY158" i="46" s="1"/>
  <c r="CF174" i="46"/>
  <c r="BY174" i="46" s="1"/>
  <c r="CF190" i="46"/>
  <c r="BY190" i="46" s="1"/>
  <c r="CF206" i="46"/>
  <c r="BY206" i="46" s="1"/>
  <c r="CF222" i="46"/>
  <c r="CF238" i="46"/>
  <c r="BY238" i="46" s="1"/>
  <c r="CF254" i="46"/>
  <c r="BY254" i="46" s="1"/>
  <c r="CF270" i="46"/>
  <c r="CF286" i="46"/>
  <c r="CF302" i="46"/>
  <c r="CF318" i="46"/>
  <c r="CF334" i="46"/>
  <c r="CF15" i="46"/>
  <c r="CF31" i="46"/>
  <c r="CF47" i="46"/>
  <c r="CF63" i="46"/>
  <c r="BY63" i="46" s="1"/>
  <c r="CF79" i="46"/>
  <c r="BY79" i="46" s="1"/>
  <c r="CF95" i="46"/>
  <c r="BY95" i="46" s="1"/>
  <c r="CF111" i="46"/>
  <c r="BY111" i="46" s="1"/>
  <c r="CF127" i="46"/>
  <c r="BY127" i="46" s="1"/>
  <c r="CF143" i="46"/>
  <c r="BY143" i="46" s="1"/>
  <c r="CF159" i="46"/>
  <c r="BY159" i="46" s="1"/>
  <c r="CF175" i="46"/>
  <c r="BY175" i="46" s="1"/>
  <c r="CF191" i="46"/>
  <c r="CF207" i="46"/>
  <c r="CF223" i="46"/>
  <c r="CF239" i="46"/>
  <c r="CF255" i="46"/>
  <c r="CF271" i="46"/>
  <c r="CF287" i="46"/>
  <c r="CF303" i="46"/>
  <c r="CF319" i="46"/>
  <c r="CF335" i="46"/>
  <c r="BY335" i="46" s="1"/>
  <c r="CF16" i="46"/>
  <c r="BY16" i="46" s="1"/>
  <c r="CF32" i="46"/>
  <c r="BY32" i="46" s="1"/>
  <c r="CF48" i="46"/>
  <c r="BY48" i="46" s="1"/>
  <c r="CF64" i="46"/>
  <c r="BY64" i="46" s="1"/>
  <c r="CF80" i="46"/>
  <c r="BY80" i="46" s="1"/>
  <c r="CF96" i="46"/>
  <c r="BY96" i="46" s="1"/>
  <c r="CF112" i="46"/>
  <c r="CF128" i="46"/>
  <c r="CF144" i="46"/>
  <c r="CF160" i="46"/>
  <c r="CF176" i="46"/>
  <c r="CF192" i="46"/>
  <c r="CF208" i="46"/>
  <c r="CF224" i="46"/>
  <c r="CF240" i="46"/>
  <c r="CF256" i="46"/>
  <c r="BY256" i="46" s="1"/>
  <c r="CF272" i="46"/>
  <c r="BY272" i="46" s="1"/>
  <c r="CF288" i="46"/>
  <c r="BY288" i="46" s="1"/>
  <c r="CF304" i="46"/>
  <c r="CF320" i="46"/>
  <c r="BY320" i="46" s="1"/>
  <c r="CF336" i="46"/>
  <c r="BY336" i="46" s="1"/>
  <c r="CF17" i="46"/>
  <c r="BY17" i="46" s="1"/>
  <c r="CF33" i="46"/>
  <c r="CF49" i="46"/>
  <c r="CF65" i="46"/>
  <c r="CF81" i="46"/>
  <c r="CF97" i="46"/>
  <c r="CF113" i="46"/>
  <c r="CF129" i="46"/>
  <c r="CF145" i="46"/>
  <c r="BY145" i="46" s="1"/>
  <c r="CF161" i="46"/>
  <c r="BY161" i="46" s="1"/>
  <c r="CF177" i="46"/>
  <c r="BY177" i="46" s="1"/>
  <c r="CF193" i="46"/>
  <c r="BY193" i="46" s="1"/>
  <c r="CF209" i="46"/>
  <c r="BY209" i="46" s="1"/>
  <c r="CF225" i="46"/>
  <c r="BY225" i="46" s="1"/>
  <c r="CF241" i="46"/>
  <c r="BY241" i="46" s="1"/>
  <c r="CF257" i="46"/>
  <c r="BY257" i="46" s="1"/>
  <c r="CF273" i="46"/>
  <c r="CF289" i="46"/>
  <c r="CF305" i="46"/>
  <c r="CF321" i="46"/>
  <c r="CF337" i="46"/>
  <c r="CF18" i="46"/>
  <c r="CF20" i="46"/>
  <c r="CF36" i="46"/>
  <c r="CF52" i="46"/>
  <c r="BY52" i="46" s="1"/>
  <c r="CF68" i="46"/>
  <c r="BY68" i="46" s="1"/>
  <c r="CF84" i="46"/>
  <c r="BY84" i="46" s="1"/>
  <c r="CF100" i="46"/>
  <c r="BY100" i="46" s="1"/>
  <c r="CF116" i="46"/>
  <c r="CF132" i="46"/>
  <c r="CF148" i="46"/>
  <c r="BY148" i="46" s="1"/>
  <c r="CF164" i="46"/>
  <c r="BY164" i="46" s="1"/>
  <c r="CF180" i="46"/>
  <c r="BY180" i="46" s="1"/>
  <c r="CF196" i="46"/>
  <c r="CF212" i="46"/>
  <c r="CF228" i="46"/>
  <c r="CF244" i="46"/>
  <c r="CF260" i="46"/>
  <c r="CF276" i="46"/>
  <c r="CF292" i="46"/>
  <c r="CF308" i="46"/>
  <c r="CF324" i="46"/>
  <c r="BY324" i="46" s="1"/>
  <c r="CF340" i="46"/>
  <c r="CF21" i="46"/>
  <c r="BY21" i="46" s="1"/>
  <c r="CF37" i="46"/>
  <c r="BY37" i="46" s="1"/>
  <c r="CF53" i="46"/>
  <c r="BY53" i="46" s="1"/>
  <c r="CF69" i="46"/>
  <c r="BY69" i="46" s="1"/>
  <c r="CF85" i="46"/>
  <c r="BY85" i="46" s="1"/>
  <c r="CF101" i="46"/>
  <c r="BY101" i="46" s="1"/>
  <c r="CF117" i="46"/>
  <c r="CF133" i="46"/>
  <c r="CF149" i="46"/>
  <c r="CF165" i="46"/>
  <c r="CF181" i="46"/>
  <c r="CF197" i="46"/>
  <c r="CF213" i="46"/>
  <c r="CF229" i="46"/>
  <c r="CF245" i="46"/>
  <c r="BY245" i="46" s="1"/>
  <c r="CF261" i="46"/>
  <c r="CF277" i="46"/>
  <c r="BY277" i="46" s="1"/>
  <c r="CF293" i="46"/>
  <c r="BY293" i="46" s="1"/>
  <c r="CF309" i="46"/>
  <c r="BY309" i="46" s="1"/>
  <c r="CF325" i="46"/>
  <c r="BY325" i="46" s="1"/>
  <c r="CF341" i="46"/>
  <c r="CF22" i="46"/>
  <c r="BY22" i="46" s="1"/>
  <c r="CF38" i="46"/>
  <c r="CF54" i="46"/>
  <c r="CF70" i="46"/>
  <c r="CF86" i="46"/>
  <c r="CF102" i="46"/>
  <c r="CF118" i="46"/>
  <c r="CF134" i="46"/>
  <c r="CF150" i="46"/>
  <c r="BY150" i="46" s="1"/>
  <c r="CF166" i="46"/>
  <c r="BY166" i="46" s="1"/>
  <c r="CF182" i="46"/>
  <c r="BY182" i="46" s="1"/>
  <c r="CF198" i="46"/>
  <c r="BY198" i="46" s="1"/>
  <c r="CF214" i="46"/>
  <c r="CF230" i="46"/>
  <c r="CF246" i="46"/>
  <c r="BY246" i="46" s="1"/>
  <c r="CF262" i="46"/>
  <c r="BY262" i="46" s="1"/>
  <c r="CF278" i="46"/>
  <c r="CF294" i="46"/>
  <c r="CF310" i="46"/>
  <c r="CF326" i="46"/>
  <c r="CF342" i="46"/>
  <c r="CF23" i="46"/>
  <c r="CF39" i="46"/>
  <c r="CF55" i="46"/>
  <c r="CF71" i="46"/>
  <c r="CF87" i="46"/>
  <c r="CF103" i="46"/>
  <c r="BY103" i="46" s="1"/>
  <c r="CF119" i="46"/>
  <c r="BY119" i="46" s="1"/>
  <c r="CF135" i="46"/>
  <c r="BY135" i="46" s="1"/>
  <c r="CF151" i="46"/>
  <c r="BY151" i="46" s="1"/>
  <c r="CF167" i="46"/>
  <c r="BY167" i="46" s="1"/>
  <c r="CF183" i="46"/>
  <c r="BY183" i="46" s="1"/>
  <c r="CF199" i="46"/>
  <c r="CF19" i="46"/>
  <c r="CF51" i="46"/>
  <c r="CF83" i="46"/>
  <c r="CF115" i="46"/>
  <c r="CF147" i="46"/>
  <c r="CF179" i="46"/>
  <c r="CF211" i="46"/>
  <c r="CF237" i="46"/>
  <c r="CF267" i="46"/>
  <c r="BY267" i="46" s="1"/>
  <c r="CF297" i="46"/>
  <c r="BY297" i="46" s="1"/>
  <c r="CF327" i="46"/>
  <c r="CF56" i="46"/>
  <c r="BY56" i="46" s="1"/>
  <c r="CF88" i="46"/>
  <c r="BY88" i="46" s="1"/>
  <c r="CF152" i="46"/>
  <c r="BY152" i="46" s="1"/>
  <c r="CF184" i="46"/>
  <c r="BY184" i="46" s="1"/>
  <c r="CF215" i="46"/>
  <c r="BY215" i="46" s="1"/>
  <c r="CF242" i="46"/>
  <c r="CF298" i="46"/>
  <c r="CF328" i="46"/>
  <c r="CF25" i="46"/>
  <c r="CF89" i="46"/>
  <c r="CF153" i="46"/>
  <c r="CF216" i="46"/>
  <c r="CF269" i="46"/>
  <c r="CF329" i="46"/>
  <c r="BY329" i="46" s="1"/>
  <c r="CF58" i="46"/>
  <c r="CF122" i="46"/>
  <c r="BY122" i="46" s="1"/>
  <c r="CF186" i="46"/>
  <c r="BY186" i="46" s="1"/>
  <c r="CF247" i="46"/>
  <c r="BY247" i="46" s="1"/>
  <c r="CF300" i="46"/>
  <c r="BY300" i="46" s="1"/>
  <c r="CF27" i="46"/>
  <c r="BY27" i="46" s="1"/>
  <c r="CF155" i="46"/>
  <c r="BY155" i="46" s="1"/>
  <c r="CF301" i="46"/>
  <c r="CF28" i="46"/>
  <c r="CF92" i="46"/>
  <c r="CF156" i="46"/>
  <c r="CF219" i="46"/>
  <c r="CF279" i="46"/>
  <c r="CF332" i="46"/>
  <c r="CF231" i="46"/>
  <c r="CF314" i="46"/>
  <c r="CF74" i="46"/>
  <c r="BY74" i="46" s="1"/>
  <c r="CF170" i="46"/>
  <c r="BY170" i="46" s="1"/>
  <c r="CF259" i="46"/>
  <c r="BY259" i="46" s="1"/>
  <c r="CF285" i="46"/>
  <c r="BY285" i="46" s="1"/>
  <c r="CF43" i="46"/>
  <c r="BY43" i="46" s="1"/>
  <c r="CF139" i="46"/>
  <c r="BY139" i="46" s="1"/>
  <c r="CF233" i="46"/>
  <c r="BY233" i="46" s="1"/>
  <c r="CF316" i="46"/>
  <c r="CF76" i="46"/>
  <c r="CF172" i="46"/>
  <c r="CF264" i="46"/>
  <c r="CF347" i="46"/>
  <c r="CF77" i="46"/>
  <c r="CF173" i="46"/>
  <c r="CF295" i="46"/>
  <c r="CF114" i="46"/>
  <c r="BY114" i="46" s="1"/>
  <c r="CF178" i="46"/>
  <c r="CF266" i="46"/>
  <c r="BY266" i="46" s="1"/>
  <c r="CF323" i="46"/>
  <c r="BY323" i="46" s="1"/>
  <c r="CF24" i="46"/>
  <c r="BY24" i="46" s="1"/>
  <c r="CF120" i="46"/>
  <c r="BY120" i="46" s="1"/>
  <c r="CF268" i="46"/>
  <c r="BY268" i="46" s="1"/>
  <c r="CF57" i="46"/>
  <c r="CF121" i="46"/>
  <c r="CF185" i="46"/>
  <c r="CF243" i="46"/>
  <c r="CF299" i="46"/>
  <c r="CF26" i="46"/>
  <c r="CF90" i="46"/>
  <c r="CF154" i="46"/>
  <c r="CF217" i="46"/>
  <c r="CF274" i="46"/>
  <c r="BY274" i="46" s="1"/>
  <c r="CF330" i="46"/>
  <c r="BY330" i="46" s="1"/>
  <c r="CF59" i="46"/>
  <c r="BY59" i="46" s="1"/>
  <c r="CF91" i="46"/>
  <c r="BY91" i="46" s="1"/>
  <c r="CF123" i="46"/>
  <c r="BY123" i="46" s="1"/>
  <c r="CF187" i="46"/>
  <c r="BY187" i="46" s="1"/>
  <c r="CF218" i="46"/>
  <c r="BY218" i="46" s="1"/>
  <c r="CF248" i="46"/>
  <c r="BY248" i="46" s="1"/>
  <c r="CF275" i="46"/>
  <c r="CF331" i="46"/>
  <c r="CF60" i="46"/>
  <c r="CF124" i="46"/>
  <c r="CF188" i="46"/>
  <c r="CF249" i="46"/>
  <c r="CF306" i="46"/>
  <c r="CF201" i="46"/>
  <c r="CF284" i="46"/>
  <c r="CF42" i="46"/>
  <c r="BY42" i="46" s="1"/>
  <c r="CF232" i="46"/>
  <c r="BY232" i="46" s="1"/>
  <c r="CF345" i="46"/>
  <c r="BY345" i="46" s="1"/>
  <c r="CF107" i="46"/>
  <c r="BY107" i="46" s="1"/>
  <c r="CF171" i="46"/>
  <c r="BY171" i="46" s="1"/>
  <c r="CF263" i="46"/>
  <c r="BY263" i="46" s="1"/>
  <c r="CF346" i="46"/>
  <c r="BY346" i="46" s="1"/>
  <c r="CF108" i="46"/>
  <c r="CF140" i="46"/>
  <c r="CF234" i="46"/>
  <c r="CF291" i="46"/>
  <c r="CF45" i="46"/>
  <c r="BY45" i="46" s="1"/>
  <c r="CF141" i="46"/>
  <c r="CF235" i="46"/>
  <c r="CF50" i="46"/>
  <c r="BY50" i="46" s="1"/>
  <c r="CF146" i="46"/>
  <c r="BY146" i="46" s="1"/>
  <c r="CF210" i="46"/>
  <c r="CF296" i="46"/>
  <c r="BY296" i="46" s="1"/>
  <c r="CF29" i="46"/>
  <c r="BY29" i="46" s="1"/>
  <c r="CF61" i="46"/>
  <c r="BY61" i="46" s="1"/>
  <c r="CF93" i="46"/>
  <c r="BY93" i="46" s="1"/>
  <c r="CF125" i="46"/>
  <c r="BY125" i="46" s="1"/>
  <c r="CF157" i="46"/>
  <c r="BY157" i="46" s="1"/>
  <c r="CF189" i="46"/>
  <c r="CF220" i="46"/>
  <c r="CF250" i="46"/>
  <c r="CF280" i="46"/>
  <c r="CF307" i="46"/>
  <c r="CF333" i="46"/>
  <c r="CF34" i="46"/>
  <c r="CF66" i="46"/>
  <c r="CF98" i="46"/>
  <c r="CF130" i="46"/>
  <c r="BY130" i="46" s="1"/>
  <c r="CF162" i="46"/>
  <c r="BY162" i="46" s="1"/>
  <c r="CF194" i="46"/>
  <c r="BY194" i="46" s="1"/>
  <c r="CF221" i="46"/>
  <c r="BY221" i="46" s="1"/>
  <c r="CF251" i="46"/>
  <c r="CF281" i="46"/>
  <c r="BY281" i="46" s="1"/>
  <c r="CF311" i="46"/>
  <c r="BY311" i="46" s="1"/>
  <c r="CF338" i="46"/>
  <c r="CF35" i="46"/>
  <c r="CF67" i="46"/>
  <c r="CF99" i="46"/>
  <c r="CF131" i="46"/>
  <c r="CF163" i="46"/>
  <c r="CF195" i="46"/>
  <c r="CF226" i="46"/>
  <c r="CF252" i="46"/>
  <c r="CF282" i="46"/>
  <c r="BY282" i="46" s="1"/>
  <c r="CF312" i="46"/>
  <c r="BY312" i="46" s="1"/>
  <c r="CF339" i="46"/>
  <c r="BY339" i="46" s="1"/>
  <c r="CF40" i="46"/>
  <c r="BY40" i="46" s="1"/>
  <c r="CF72" i="46"/>
  <c r="BY72" i="46" s="1"/>
  <c r="CF104" i="46"/>
  <c r="BY104" i="46" s="1"/>
  <c r="CF136" i="46"/>
  <c r="BY136" i="46" s="1"/>
  <c r="CF168" i="46"/>
  <c r="CF200" i="46"/>
  <c r="CF227" i="46"/>
  <c r="CF253" i="46"/>
  <c r="CF283" i="46"/>
  <c r="CF313" i="46"/>
  <c r="CF343" i="46"/>
  <c r="CF41" i="46"/>
  <c r="CF73" i="46"/>
  <c r="BY73" i="46" s="1"/>
  <c r="CF105" i="46"/>
  <c r="BY105" i="46" s="1"/>
  <c r="CF137" i="46"/>
  <c r="BY137" i="46" s="1"/>
  <c r="CF169" i="46"/>
  <c r="BY169" i="46" s="1"/>
  <c r="CF258" i="46"/>
  <c r="BY258" i="46" s="1"/>
  <c r="CF344" i="46"/>
  <c r="BY344" i="46" s="1"/>
  <c r="CF106" i="46"/>
  <c r="BY106" i="46" s="1"/>
  <c r="CF138" i="46"/>
  <c r="CF202" i="46"/>
  <c r="CF315" i="46"/>
  <c r="CF75" i="46"/>
  <c r="CF203" i="46"/>
  <c r="CF290" i="46"/>
  <c r="CF44" i="46"/>
  <c r="CF204" i="46"/>
  <c r="CF317" i="46"/>
  <c r="CF109" i="46"/>
  <c r="BY109" i="46" s="1"/>
  <c r="CF205" i="46"/>
  <c r="BY205" i="46" s="1"/>
  <c r="CF265" i="46"/>
  <c r="BY265" i="46" s="1"/>
  <c r="CF322" i="46"/>
  <c r="BY322" i="46" s="1"/>
  <c r="CF82" i="46"/>
  <c r="BY82" i="46" s="1"/>
  <c r="CF236" i="46"/>
  <c r="BY236" i="46" s="1"/>
  <c r="BX17" i="46"/>
  <c r="BX33" i="46"/>
  <c r="BX49" i="46"/>
  <c r="BX65" i="46"/>
  <c r="BX81" i="46"/>
  <c r="BX97" i="46"/>
  <c r="BX113" i="46"/>
  <c r="BX129" i="46"/>
  <c r="BX145" i="46"/>
  <c r="BX161" i="46"/>
  <c r="BX177" i="46"/>
  <c r="BX193" i="46"/>
  <c r="BX209" i="46"/>
  <c r="BX225" i="46"/>
  <c r="BX241" i="46"/>
  <c r="BX257" i="46"/>
  <c r="BX273" i="46"/>
  <c r="BX289" i="46"/>
  <c r="BX305" i="46"/>
  <c r="BX321" i="46"/>
  <c r="BX337" i="46"/>
  <c r="BX130" i="46"/>
  <c r="BX226" i="46"/>
  <c r="BX290" i="46"/>
  <c r="BX19" i="46"/>
  <c r="BX99" i="46"/>
  <c r="BX147" i="46"/>
  <c r="BX179" i="46"/>
  <c r="BX211" i="46"/>
  <c r="BX243" i="46"/>
  <c r="BX275" i="46"/>
  <c r="BX307" i="46"/>
  <c r="BX36" i="46"/>
  <c r="BX52" i="46"/>
  <c r="BX84" i="46"/>
  <c r="BX100" i="46"/>
  <c r="BX132" i="46"/>
  <c r="BX164" i="46"/>
  <c r="BX196" i="46"/>
  <c r="BX228" i="46"/>
  <c r="BX260" i="46"/>
  <c r="BX292" i="46"/>
  <c r="BX324" i="46"/>
  <c r="BX21" i="46"/>
  <c r="BX69" i="46"/>
  <c r="BX101" i="46"/>
  <c r="BX133" i="46"/>
  <c r="BX165" i="46"/>
  <c r="BX181" i="46"/>
  <c r="BX213" i="46"/>
  <c r="BX229" i="46"/>
  <c r="BX261" i="46"/>
  <c r="BX293" i="46"/>
  <c r="BX325" i="46"/>
  <c r="BX22" i="46"/>
  <c r="BX54" i="46"/>
  <c r="BX70" i="46"/>
  <c r="BX86" i="46"/>
  <c r="BX118" i="46"/>
  <c r="BX150" i="46"/>
  <c r="BX182" i="46"/>
  <c r="BX214" i="46"/>
  <c r="BX246" i="46"/>
  <c r="BX278" i="46"/>
  <c r="BX310" i="46"/>
  <c r="BX342" i="46"/>
  <c r="BX39" i="46"/>
  <c r="BX71" i="46"/>
  <c r="BX103" i="46"/>
  <c r="BX135" i="46"/>
  <c r="BX167" i="46"/>
  <c r="BX199" i="46"/>
  <c r="BX231" i="46"/>
  <c r="BX263" i="46"/>
  <c r="BX295" i="46"/>
  <c r="BX327" i="46"/>
  <c r="BX24" i="46"/>
  <c r="BX72" i="46"/>
  <c r="BX88" i="46"/>
  <c r="BX120" i="46"/>
  <c r="BX136" i="46"/>
  <c r="BX168" i="46"/>
  <c r="BX200" i="46"/>
  <c r="BX232" i="46"/>
  <c r="BX264" i="46"/>
  <c r="BX18" i="46"/>
  <c r="BX34" i="46"/>
  <c r="BX50" i="46"/>
  <c r="BX66" i="46"/>
  <c r="BX82" i="46"/>
  <c r="BX98" i="46"/>
  <c r="BX114" i="46"/>
  <c r="BX146" i="46"/>
  <c r="BX162" i="46"/>
  <c r="BX178" i="46"/>
  <c r="BX194" i="46"/>
  <c r="BX210" i="46"/>
  <c r="BX242" i="46"/>
  <c r="BX258" i="46"/>
  <c r="BX274" i="46"/>
  <c r="BX306" i="46"/>
  <c r="BX322" i="46"/>
  <c r="BX338" i="46"/>
  <c r="BX35" i="46"/>
  <c r="BX51" i="46"/>
  <c r="BX67" i="46"/>
  <c r="BX83" i="46"/>
  <c r="BX115" i="46"/>
  <c r="BX131" i="46"/>
  <c r="BX163" i="46"/>
  <c r="BX195" i="46"/>
  <c r="BX227" i="46"/>
  <c r="BX259" i="46"/>
  <c r="BX291" i="46"/>
  <c r="BX323" i="46"/>
  <c r="BX339" i="46"/>
  <c r="BX20" i="46"/>
  <c r="BX68" i="46"/>
  <c r="BX116" i="46"/>
  <c r="BX148" i="46"/>
  <c r="BX180" i="46"/>
  <c r="BX212" i="46"/>
  <c r="BX244" i="46"/>
  <c r="BX276" i="46"/>
  <c r="BX308" i="46"/>
  <c r="BX340" i="46"/>
  <c r="BX37" i="46"/>
  <c r="BX53" i="46"/>
  <c r="BX85" i="46"/>
  <c r="BX117" i="46"/>
  <c r="BX149" i="46"/>
  <c r="BX197" i="46"/>
  <c r="BX245" i="46"/>
  <c r="BX277" i="46"/>
  <c r="BX309" i="46"/>
  <c r="BX341" i="46"/>
  <c r="BX38" i="46"/>
  <c r="BX102" i="46"/>
  <c r="BX134" i="46"/>
  <c r="BX166" i="46"/>
  <c r="BX198" i="46"/>
  <c r="BX230" i="46"/>
  <c r="BX262" i="46"/>
  <c r="BX294" i="46"/>
  <c r="BX326" i="46"/>
  <c r="BX23" i="46"/>
  <c r="BX55" i="46"/>
  <c r="BX87" i="46"/>
  <c r="BX119" i="46"/>
  <c r="BX151" i="46"/>
  <c r="BX183" i="46"/>
  <c r="BX215" i="46"/>
  <c r="BX247" i="46"/>
  <c r="BX279" i="46"/>
  <c r="BX311" i="46"/>
  <c r="BX343" i="46"/>
  <c r="BX40" i="46"/>
  <c r="BX56" i="46"/>
  <c r="BX104" i="46"/>
  <c r="BX152" i="46"/>
  <c r="BX184" i="46"/>
  <c r="BX216" i="46"/>
  <c r="BX248" i="46"/>
  <c r="BX280" i="46"/>
  <c r="BX312" i="46"/>
  <c r="BX328" i="46"/>
  <c r="BX344" i="46"/>
  <c r="BX14" i="46"/>
  <c r="BX46" i="46"/>
  <c r="BX78" i="46"/>
  <c r="BX110" i="46"/>
  <c r="BX142" i="46"/>
  <c r="BX174" i="46"/>
  <c r="BX206" i="46"/>
  <c r="BX238" i="46"/>
  <c r="BX270" i="46"/>
  <c r="BX301" i="46"/>
  <c r="BX333" i="46"/>
  <c r="BX15" i="46"/>
  <c r="BX47" i="46"/>
  <c r="BX79" i="46"/>
  <c r="BX111" i="46"/>
  <c r="BX143" i="46"/>
  <c r="BX175" i="46"/>
  <c r="BX207" i="46"/>
  <c r="BX239" i="46"/>
  <c r="BX271" i="46"/>
  <c r="BX302" i="46"/>
  <c r="BX334" i="46"/>
  <c r="BX16" i="46"/>
  <c r="BX48" i="46"/>
  <c r="BX80" i="46"/>
  <c r="BX112" i="46"/>
  <c r="BX144" i="46"/>
  <c r="BX176" i="46"/>
  <c r="BX208" i="46"/>
  <c r="BX240" i="46"/>
  <c r="BX272" i="46"/>
  <c r="BX303" i="46"/>
  <c r="BX335" i="46"/>
  <c r="BX92" i="46"/>
  <c r="BX315" i="46"/>
  <c r="BX93" i="46"/>
  <c r="BX189" i="46"/>
  <c r="BX316" i="46"/>
  <c r="BX222" i="46"/>
  <c r="BX317" i="46"/>
  <c r="BX95" i="46"/>
  <c r="BX223" i="46"/>
  <c r="BX64" i="46"/>
  <c r="BX192" i="46"/>
  <c r="BX319" i="46"/>
  <c r="BX105" i="46"/>
  <c r="BX201" i="46"/>
  <c r="BX320" i="46"/>
  <c r="BX106" i="46"/>
  <c r="BX202" i="46"/>
  <c r="BX329" i="46"/>
  <c r="BX107" i="46"/>
  <c r="BX203" i="46"/>
  <c r="BX330" i="46"/>
  <c r="BX108" i="46"/>
  <c r="BX140" i="46"/>
  <c r="BX236" i="46"/>
  <c r="BX268" i="46"/>
  <c r="BX45" i="46"/>
  <c r="BX269" i="46"/>
  <c r="BX25" i="46"/>
  <c r="BX57" i="46"/>
  <c r="BX89" i="46"/>
  <c r="BX121" i="46"/>
  <c r="BX153" i="46"/>
  <c r="BX185" i="46"/>
  <c r="BX217" i="46"/>
  <c r="BX249" i="46"/>
  <c r="BX281" i="46"/>
  <c r="BX304" i="46"/>
  <c r="BX336" i="46"/>
  <c r="BX90" i="46"/>
  <c r="BX186" i="46"/>
  <c r="BX282" i="46"/>
  <c r="BX345" i="46"/>
  <c r="BX27" i="46"/>
  <c r="BX91" i="46"/>
  <c r="BX155" i="46"/>
  <c r="BX219" i="46"/>
  <c r="BX283" i="46"/>
  <c r="BX346" i="46"/>
  <c r="BX28" i="46"/>
  <c r="BX156" i="46"/>
  <c r="BX220" i="46"/>
  <c r="BX252" i="46"/>
  <c r="BX29" i="46"/>
  <c r="BX125" i="46"/>
  <c r="BX253" i="46"/>
  <c r="BX30" i="46"/>
  <c r="BX126" i="46"/>
  <c r="BX190" i="46"/>
  <c r="BX286" i="46"/>
  <c r="BX31" i="46"/>
  <c r="BX159" i="46"/>
  <c r="BX255" i="46"/>
  <c r="BX318" i="46"/>
  <c r="BX96" i="46"/>
  <c r="BX160" i="46"/>
  <c r="BX224" i="46"/>
  <c r="BX288" i="46"/>
  <c r="BX41" i="46"/>
  <c r="BX137" i="46"/>
  <c r="BX233" i="46"/>
  <c r="BX296" i="46"/>
  <c r="BX74" i="46"/>
  <c r="BX170" i="46"/>
  <c r="BX266" i="46"/>
  <c r="BX43" i="46"/>
  <c r="BX139" i="46"/>
  <c r="BX235" i="46"/>
  <c r="BX298" i="46"/>
  <c r="BX76" i="46"/>
  <c r="BX172" i="46"/>
  <c r="BX299" i="46"/>
  <c r="BX77" i="46"/>
  <c r="BX141" i="46"/>
  <c r="BX237" i="46"/>
  <c r="BX332" i="46"/>
  <c r="BX26" i="46"/>
  <c r="BX58" i="46"/>
  <c r="BX122" i="46"/>
  <c r="BX154" i="46"/>
  <c r="BX218" i="46"/>
  <c r="BX250" i="46"/>
  <c r="BX313" i="46"/>
  <c r="BX59" i="46"/>
  <c r="BX123" i="46"/>
  <c r="BX187" i="46"/>
  <c r="BX251" i="46"/>
  <c r="BX314" i="46"/>
  <c r="BX60" i="46"/>
  <c r="BX124" i="46"/>
  <c r="BX188" i="46"/>
  <c r="BX284" i="46"/>
  <c r="BX347" i="46"/>
  <c r="BX61" i="46"/>
  <c r="BX157" i="46"/>
  <c r="BX221" i="46"/>
  <c r="BX285" i="46"/>
  <c r="BX62" i="46"/>
  <c r="BX94" i="46"/>
  <c r="BX158" i="46"/>
  <c r="BX254" i="46"/>
  <c r="BX63" i="46"/>
  <c r="BX127" i="46"/>
  <c r="BX191" i="46"/>
  <c r="BX287" i="46"/>
  <c r="BX32" i="46"/>
  <c r="BX128" i="46"/>
  <c r="BX256" i="46"/>
  <c r="BX73" i="46"/>
  <c r="BX169" i="46"/>
  <c r="BX265" i="46"/>
  <c r="BX42" i="46"/>
  <c r="BX138" i="46"/>
  <c r="BX234" i="46"/>
  <c r="BX297" i="46"/>
  <c r="BX75" i="46"/>
  <c r="BX171" i="46"/>
  <c r="BX267" i="46"/>
  <c r="BX44" i="46"/>
  <c r="BX204" i="46"/>
  <c r="BX331" i="46"/>
  <c r="BX109" i="46"/>
  <c r="BX173" i="46"/>
  <c r="BX205" i="46"/>
  <c r="BX300" i="46"/>
  <c r="BK20" i="46"/>
  <c r="BK36" i="46"/>
  <c r="BD36" i="46" s="1"/>
  <c r="BK52" i="46"/>
  <c r="BD52" i="46" s="1"/>
  <c r="BK68" i="46"/>
  <c r="BD68" i="46" s="1"/>
  <c r="BK84" i="46"/>
  <c r="BK100" i="46"/>
  <c r="BK116" i="46"/>
  <c r="BK132" i="46"/>
  <c r="BK148" i="46"/>
  <c r="BK164" i="46"/>
  <c r="BK180" i="46"/>
  <c r="BK196" i="46"/>
  <c r="BD196" i="46" s="1"/>
  <c r="BK212" i="46"/>
  <c r="BK228" i="46"/>
  <c r="BK244" i="46"/>
  <c r="BD244" i="46" s="1"/>
  <c r="BK260" i="46"/>
  <c r="BD260" i="46" s="1"/>
  <c r="BK276" i="46"/>
  <c r="BD276" i="46" s="1"/>
  <c r="BK292" i="46"/>
  <c r="BD292" i="46" s="1"/>
  <c r="BK308" i="46"/>
  <c r="BD308" i="46" s="1"/>
  <c r="BK324" i="46"/>
  <c r="BD324" i="46" s="1"/>
  <c r="BK340" i="46"/>
  <c r="BK21" i="46"/>
  <c r="BK37" i="46"/>
  <c r="BK53" i="46"/>
  <c r="BK69" i="46"/>
  <c r="BK85" i="46"/>
  <c r="BK101" i="46"/>
  <c r="BK117" i="46"/>
  <c r="BD117" i="46" s="1"/>
  <c r="BK133" i="46"/>
  <c r="BK149" i="46"/>
  <c r="BK165" i="46"/>
  <c r="BK181" i="46"/>
  <c r="BK197" i="46"/>
  <c r="BD197" i="46" s="1"/>
  <c r="BK213" i="46"/>
  <c r="BD213" i="46" s="1"/>
  <c r="BK229" i="46"/>
  <c r="BK245" i="46"/>
  <c r="BD245" i="46" s="1"/>
  <c r="BK261" i="46"/>
  <c r="BK277" i="46"/>
  <c r="BK293" i="46"/>
  <c r="BK309" i="46"/>
  <c r="BK325" i="46"/>
  <c r="BK341" i="46"/>
  <c r="BK22" i="46"/>
  <c r="BK38" i="46"/>
  <c r="BK54" i="46"/>
  <c r="BD54" i="46" s="1"/>
  <c r="BK70" i="46"/>
  <c r="BK86" i="46"/>
  <c r="BD86" i="46" s="1"/>
  <c r="BK102" i="46"/>
  <c r="BD102" i="46" s="1"/>
  <c r="BK118" i="46"/>
  <c r="BK134" i="46"/>
  <c r="BD134" i="46" s="1"/>
  <c r="BK150" i="46"/>
  <c r="BD150" i="46" s="1"/>
  <c r="BK166" i="46"/>
  <c r="BD166" i="46" s="1"/>
  <c r="BK182" i="46"/>
  <c r="BK198" i="46"/>
  <c r="BK214" i="46"/>
  <c r="BK230" i="46"/>
  <c r="BK246" i="46"/>
  <c r="BK262" i="46"/>
  <c r="BD262" i="46" s="1"/>
  <c r="BK278" i="46"/>
  <c r="BK294" i="46"/>
  <c r="BD294" i="46" s="1"/>
  <c r="BK310" i="46"/>
  <c r="BD310" i="46" s="1"/>
  <c r="BK326" i="46"/>
  <c r="BK342" i="46"/>
  <c r="BD342" i="46" s="1"/>
  <c r="BK23" i="46"/>
  <c r="BD23" i="46" s="1"/>
  <c r="BK39" i="46"/>
  <c r="BD39" i="46" s="1"/>
  <c r="BK55" i="46"/>
  <c r="BK71" i="46"/>
  <c r="BK87" i="46"/>
  <c r="BK103" i="46"/>
  <c r="BK119" i="46"/>
  <c r="BK135" i="46"/>
  <c r="BK151" i="46"/>
  <c r="BK167" i="46"/>
  <c r="BK183" i="46"/>
  <c r="BK199" i="46"/>
  <c r="BK215" i="46"/>
  <c r="BD215" i="46" s="1"/>
  <c r="BK231" i="46"/>
  <c r="BD231" i="46" s="1"/>
  <c r="BK247" i="46"/>
  <c r="BK263" i="46"/>
  <c r="BD263" i="46" s="1"/>
  <c r="BK279" i="46"/>
  <c r="BK295" i="46"/>
  <c r="BK311" i="46"/>
  <c r="BD311" i="46" s="1"/>
  <c r="BK327" i="46"/>
  <c r="BK343" i="46"/>
  <c r="BD343" i="46" s="1"/>
  <c r="BK24" i="46"/>
  <c r="BK14" i="46"/>
  <c r="BK35" i="46"/>
  <c r="BK59" i="46"/>
  <c r="BK79" i="46"/>
  <c r="BK99" i="46"/>
  <c r="BK123" i="46"/>
  <c r="BK143" i="46"/>
  <c r="BD143" i="46" s="1"/>
  <c r="BK163" i="46"/>
  <c r="BD163" i="46" s="1"/>
  <c r="BK187" i="46"/>
  <c r="BK207" i="46"/>
  <c r="BD207" i="46" s="1"/>
  <c r="BK227" i="46"/>
  <c r="BK251" i="46"/>
  <c r="BK271" i="46"/>
  <c r="BD271" i="46" s="1"/>
  <c r="BK291" i="46"/>
  <c r="BD291" i="46" s="1"/>
  <c r="BK315" i="46"/>
  <c r="BD315" i="46" s="1"/>
  <c r="BK335" i="46"/>
  <c r="BK40" i="46"/>
  <c r="BK60" i="46"/>
  <c r="BK80" i="46"/>
  <c r="BK104" i="46"/>
  <c r="BK124" i="46"/>
  <c r="BK144" i="46"/>
  <c r="BK168" i="46"/>
  <c r="BD168" i="46" s="1"/>
  <c r="BK188" i="46"/>
  <c r="BD188" i="46" s="1"/>
  <c r="BK208" i="46"/>
  <c r="BD208" i="46" s="1"/>
  <c r="BK232" i="46"/>
  <c r="BD232" i="46" s="1"/>
  <c r="BK252" i="46"/>
  <c r="BD252" i="46" s="1"/>
  <c r="BK272" i="46"/>
  <c r="BD272" i="46" s="1"/>
  <c r="BK296" i="46"/>
  <c r="BD296" i="46" s="1"/>
  <c r="BK316" i="46"/>
  <c r="BD316" i="46" s="1"/>
  <c r="BK16" i="46"/>
  <c r="BK41" i="46"/>
  <c r="BK61" i="46"/>
  <c r="BK81" i="46"/>
  <c r="BK105" i="46"/>
  <c r="BK125" i="46"/>
  <c r="BK169" i="46"/>
  <c r="BK209" i="46"/>
  <c r="BK253" i="46"/>
  <c r="BD253" i="46" s="1"/>
  <c r="BK317" i="46"/>
  <c r="BK42" i="46"/>
  <c r="BD42" i="46" s="1"/>
  <c r="BK82" i="46"/>
  <c r="BD82" i="46" s="1"/>
  <c r="BK126" i="46"/>
  <c r="BD126" i="46" s="1"/>
  <c r="BK170" i="46"/>
  <c r="BD170" i="46" s="1"/>
  <c r="BK210" i="46"/>
  <c r="BD210" i="46" s="1"/>
  <c r="BK234" i="46"/>
  <c r="BD234" i="46" s="1"/>
  <c r="BK274" i="46"/>
  <c r="BK318" i="46"/>
  <c r="BK18" i="46"/>
  <c r="BK63" i="46"/>
  <c r="BK107" i="46"/>
  <c r="BK147" i="46"/>
  <c r="BK191" i="46"/>
  <c r="BD191" i="46" s="1"/>
  <c r="BK235" i="46"/>
  <c r="BK275" i="46"/>
  <c r="BK319" i="46"/>
  <c r="BD319" i="46" s="1"/>
  <c r="BK19" i="46"/>
  <c r="BD19" i="46" s="1"/>
  <c r="BK88" i="46"/>
  <c r="BD88" i="46" s="1"/>
  <c r="BK128" i="46"/>
  <c r="BK172" i="46"/>
  <c r="BD172" i="46" s="1"/>
  <c r="BK216" i="46"/>
  <c r="BK256" i="46"/>
  <c r="BD256" i="46" s="1"/>
  <c r="BK280" i="46"/>
  <c r="BK320" i="46"/>
  <c r="BK25" i="46"/>
  <c r="BK65" i="46"/>
  <c r="BK109" i="46"/>
  <c r="BK153" i="46"/>
  <c r="BK193" i="46"/>
  <c r="BK237" i="46"/>
  <c r="BD237" i="46" s="1"/>
  <c r="BK281" i="46"/>
  <c r="BD281" i="46" s="1"/>
  <c r="BK321" i="46"/>
  <c r="BD321" i="46" s="1"/>
  <c r="BK26" i="46"/>
  <c r="BD26" i="46" s="1"/>
  <c r="BK66" i="46"/>
  <c r="BD66" i="46" s="1"/>
  <c r="BK110" i="46"/>
  <c r="BD110" i="46" s="1"/>
  <c r="BK154" i="46"/>
  <c r="BD154" i="46" s="1"/>
  <c r="BK194" i="46"/>
  <c r="BK238" i="46"/>
  <c r="BD238" i="46" s="1"/>
  <c r="BK282" i="46"/>
  <c r="BK322" i="46"/>
  <c r="BK27" i="46"/>
  <c r="BK91" i="46"/>
  <c r="BK131" i="46"/>
  <c r="BK175" i="46"/>
  <c r="BK219" i="46"/>
  <c r="BD219" i="46" s="1"/>
  <c r="BK15" i="46"/>
  <c r="BD15" i="46" s="1"/>
  <c r="BK336" i="46"/>
  <c r="BK145" i="46"/>
  <c r="BD145" i="46" s="1"/>
  <c r="BK189" i="46"/>
  <c r="BK233" i="46"/>
  <c r="BD233" i="46" s="1"/>
  <c r="BK273" i="46"/>
  <c r="BD273" i="46" s="1"/>
  <c r="BK297" i="46"/>
  <c r="BK337" i="46"/>
  <c r="BD337" i="46" s="1"/>
  <c r="BK17" i="46"/>
  <c r="BK62" i="46"/>
  <c r="BK106" i="46"/>
  <c r="BK146" i="46"/>
  <c r="BK190" i="46"/>
  <c r="BK254" i="46"/>
  <c r="BK298" i="46"/>
  <c r="BK338" i="46"/>
  <c r="BK43" i="46"/>
  <c r="BD43" i="46" s="1"/>
  <c r="BK83" i="46"/>
  <c r="BD83" i="46" s="1"/>
  <c r="BK127" i="46"/>
  <c r="BD127" i="46" s="1"/>
  <c r="BK171" i="46"/>
  <c r="BK211" i="46"/>
  <c r="BK255" i="46"/>
  <c r="BK299" i="46"/>
  <c r="BD299" i="46" s="1"/>
  <c r="BK339" i="46"/>
  <c r="BD339" i="46" s="1"/>
  <c r="BK44" i="46"/>
  <c r="BK64" i="46"/>
  <c r="BD64" i="46" s="1"/>
  <c r="BK108" i="46"/>
  <c r="BK152" i="46"/>
  <c r="BK192" i="46"/>
  <c r="BK236" i="46"/>
  <c r="BK300" i="46"/>
  <c r="BK344" i="46"/>
  <c r="BK45" i="46"/>
  <c r="BK89" i="46"/>
  <c r="BD89" i="46" s="1"/>
  <c r="BK129" i="46"/>
  <c r="BD129" i="46" s="1"/>
  <c r="BK173" i="46"/>
  <c r="BK217" i="46"/>
  <c r="BK257" i="46"/>
  <c r="BD257" i="46" s="1"/>
  <c r="BK301" i="46"/>
  <c r="BK345" i="46"/>
  <c r="BD345" i="46" s="1"/>
  <c r="BK46" i="46"/>
  <c r="BD46" i="46" s="1"/>
  <c r="BK90" i="46"/>
  <c r="BD90" i="46" s="1"/>
  <c r="BK130" i="46"/>
  <c r="BK174" i="46"/>
  <c r="BK218" i="46"/>
  <c r="BK258" i="46"/>
  <c r="BK302" i="46"/>
  <c r="BK346" i="46"/>
  <c r="BK47" i="46"/>
  <c r="BK67" i="46"/>
  <c r="BK111" i="46"/>
  <c r="BD111" i="46" s="1"/>
  <c r="BK155" i="46"/>
  <c r="BK195" i="46"/>
  <c r="BD195" i="46" s="1"/>
  <c r="BK239" i="46"/>
  <c r="BD239" i="46" s="1"/>
  <c r="BK285" i="46"/>
  <c r="BD285" i="46" s="1"/>
  <c r="BK49" i="46"/>
  <c r="BK141" i="46"/>
  <c r="BK286" i="46"/>
  <c r="BK96" i="46"/>
  <c r="BK201" i="46"/>
  <c r="BK287" i="46"/>
  <c r="BK51" i="46"/>
  <c r="BK156" i="46"/>
  <c r="BK248" i="46"/>
  <c r="BK332" i="46"/>
  <c r="BD332" i="46" s="1"/>
  <c r="BK98" i="46"/>
  <c r="BD98" i="46" s="1"/>
  <c r="BK203" i="46"/>
  <c r="BD203" i="46" s="1"/>
  <c r="BK289" i="46"/>
  <c r="BK333" i="46"/>
  <c r="BK112" i="46"/>
  <c r="BK204" i="46"/>
  <c r="BD204" i="46" s="1"/>
  <c r="BK334" i="46"/>
  <c r="BK113" i="46"/>
  <c r="BD113" i="46" s="1"/>
  <c r="BK205" i="46"/>
  <c r="BD205" i="46" s="1"/>
  <c r="BK303" i="46"/>
  <c r="BK72" i="46"/>
  <c r="BK206" i="46"/>
  <c r="BK73" i="46"/>
  <c r="BK115" i="46"/>
  <c r="BK161" i="46"/>
  <c r="BK220" i="46"/>
  <c r="BD220" i="46" s="1"/>
  <c r="BK265" i="46"/>
  <c r="BD265" i="46" s="1"/>
  <c r="BK305" i="46"/>
  <c r="BD305" i="46" s="1"/>
  <c r="BK28" i="46"/>
  <c r="BD28" i="46" s="1"/>
  <c r="BK74" i="46"/>
  <c r="BD74" i="46" s="1"/>
  <c r="BK120" i="46"/>
  <c r="BD120" i="46" s="1"/>
  <c r="BK162" i="46"/>
  <c r="BD162" i="46" s="1"/>
  <c r="BK221" i="46"/>
  <c r="BD221" i="46" s="1"/>
  <c r="BK266" i="46"/>
  <c r="BK306" i="46"/>
  <c r="BK29" i="46"/>
  <c r="BK75" i="46"/>
  <c r="BK121" i="46"/>
  <c r="BK176" i="46"/>
  <c r="BK222" i="46"/>
  <c r="BK267" i="46"/>
  <c r="BK307" i="46"/>
  <c r="BD307" i="46" s="1"/>
  <c r="BK30" i="46"/>
  <c r="BK76" i="46"/>
  <c r="BK122" i="46"/>
  <c r="BK177" i="46"/>
  <c r="BK223" i="46"/>
  <c r="BD223" i="46" s="1"/>
  <c r="BK268" i="46"/>
  <c r="BK312" i="46"/>
  <c r="BD312" i="46" s="1"/>
  <c r="BK31" i="46"/>
  <c r="BD31" i="46" s="1"/>
  <c r="BK77" i="46"/>
  <c r="BD77" i="46" s="1"/>
  <c r="BK136" i="46"/>
  <c r="BK178" i="46"/>
  <c r="BK224" i="46"/>
  <c r="BK269" i="46"/>
  <c r="BK313" i="46"/>
  <c r="BK32" i="46"/>
  <c r="BK78" i="46"/>
  <c r="BD78" i="46" s="1"/>
  <c r="BK137" i="46"/>
  <c r="BD137" i="46" s="1"/>
  <c r="BK179" i="46"/>
  <c r="BD179" i="46" s="1"/>
  <c r="BK225" i="46"/>
  <c r="BD225" i="46" s="1"/>
  <c r="BK270" i="46"/>
  <c r="BD270" i="46" s="1"/>
  <c r="BK314" i="46"/>
  <c r="BK33" i="46"/>
  <c r="BD33" i="46" s="1"/>
  <c r="BK92" i="46"/>
  <c r="BD92" i="46" s="1"/>
  <c r="BK138" i="46"/>
  <c r="BD138" i="46" s="1"/>
  <c r="BK184" i="46"/>
  <c r="BD184" i="46" s="1"/>
  <c r="BK226" i="46"/>
  <c r="BK283" i="46"/>
  <c r="BK323" i="46"/>
  <c r="BK34" i="46"/>
  <c r="BK93" i="46"/>
  <c r="BK139" i="46"/>
  <c r="BK185" i="46"/>
  <c r="BD185" i="46" s="1"/>
  <c r="BK240" i="46"/>
  <c r="BD240" i="46" s="1"/>
  <c r="BK284" i="46"/>
  <c r="BD284" i="46" s="1"/>
  <c r="BK328" i="46"/>
  <c r="BD328" i="46" s="1"/>
  <c r="BK48" i="46"/>
  <c r="BD48" i="46" s="1"/>
  <c r="BK94" i="46"/>
  <c r="BD94" i="46" s="1"/>
  <c r="BK140" i="46"/>
  <c r="BK186" i="46"/>
  <c r="BK241" i="46"/>
  <c r="BD241" i="46" s="1"/>
  <c r="BK329" i="46"/>
  <c r="BD329" i="46" s="1"/>
  <c r="BK95" i="46"/>
  <c r="BK200" i="46"/>
  <c r="BK242" i="46"/>
  <c r="BK330" i="46"/>
  <c r="BK50" i="46"/>
  <c r="BK142" i="46"/>
  <c r="BK243" i="46"/>
  <c r="BK331" i="46"/>
  <c r="BK97" i="46"/>
  <c r="BD97" i="46" s="1"/>
  <c r="BK202" i="46"/>
  <c r="BK288" i="46"/>
  <c r="BK56" i="46"/>
  <c r="BD56" i="46" s="1"/>
  <c r="BK157" i="46"/>
  <c r="BD157" i="46" s="1"/>
  <c r="BK249" i="46"/>
  <c r="BK57" i="46"/>
  <c r="BK158" i="46"/>
  <c r="BD158" i="46" s="1"/>
  <c r="BK250" i="46"/>
  <c r="BK290" i="46"/>
  <c r="BK58" i="46"/>
  <c r="BK159" i="46"/>
  <c r="BK259" i="46"/>
  <c r="BK347" i="46"/>
  <c r="BK114" i="46"/>
  <c r="BK160" i="46"/>
  <c r="BK264" i="46"/>
  <c r="BK304" i="46"/>
  <c r="BC14" i="46"/>
  <c r="BC30" i="46"/>
  <c r="BC46" i="46"/>
  <c r="BC62" i="46"/>
  <c r="BC78" i="46"/>
  <c r="BC94" i="46"/>
  <c r="BC110" i="46"/>
  <c r="BC126" i="46"/>
  <c r="BC142" i="46"/>
  <c r="BC158" i="46"/>
  <c r="BC174" i="46"/>
  <c r="BC190" i="46"/>
  <c r="BC206" i="46"/>
  <c r="BC222" i="46"/>
  <c r="BC238" i="46"/>
  <c r="BC254" i="46"/>
  <c r="BC270" i="46"/>
  <c r="BC286" i="46"/>
  <c r="BC302" i="46"/>
  <c r="BC318" i="46"/>
  <c r="BC334" i="46"/>
  <c r="BC15" i="46"/>
  <c r="BC31" i="46"/>
  <c r="BC47" i="46"/>
  <c r="BC63" i="46"/>
  <c r="BC79" i="46"/>
  <c r="BC95" i="46"/>
  <c r="BC111" i="46"/>
  <c r="BC127" i="46"/>
  <c r="BC143" i="46"/>
  <c r="BC159" i="46"/>
  <c r="BC175" i="46"/>
  <c r="BC191" i="46"/>
  <c r="BC207" i="46"/>
  <c r="BC223" i="46"/>
  <c r="BC239" i="46"/>
  <c r="BC255" i="46"/>
  <c r="BC271" i="46"/>
  <c r="BC287" i="46"/>
  <c r="BC303" i="46"/>
  <c r="BC319" i="46"/>
  <c r="BC335" i="46"/>
  <c r="BC16" i="46"/>
  <c r="BC32" i="46"/>
  <c r="BC48" i="46"/>
  <c r="BC20" i="46"/>
  <c r="BC36" i="46"/>
  <c r="BC52" i="46"/>
  <c r="BC68" i="46"/>
  <c r="BC84" i="46"/>
  <c r="BC100" i="46"/>
  <c r="BC116" i="46"/>
  <c r="BC132" i="46"/>
  <c r="BC148" i="46"/>
  <c r="BC164" i="46"/>
  <c r="BC180" i="46"/>
  <c r="BC196" i="46"/>
  <c r="BC212" i="46"/>
  <c r="BC228" i="46"/>
  <c r="BC244" i="46"/>
  <c r="BC260" i="46"/>
  <c r="BC276" i="46"/>
  <c r="BC292" i="46"/>
  <c r="BC308" i="46"/>
  <c r="BC324" i="46"/>
  <c r="BC340" i="46"/>
  <c r="BC21" i="46"/>
  <c r="BC37" i="46"/>
  <c r="BC53" i="46"/>
  <c r="BC69" i="46"/>
  <c r="BC85" i="46"/>
  <c r="BC101" i="46"/>
  <c r="BC117" i="46"/>
  <c r="BC133" i="46"/>
  <c r="BC149" i="46"/>
  <c r="BC165" i="46"/>
  <c r="BC181" i="46"/>
  <c r="BC197" i="46"/>
  <c r="BC213" i="46"/>
  <c r="BC229" i="46"/>
  <c r="BC245" i="46"/>
  <c r="BC261" i="46"/>
  <c r="BC277" i="46"/>
  <c r="BC293" i="46"/>
  <c r="BC309" i="46"/>
  <c r="BC325" i="46"/>
  <c r="BC341" i="46"/>
  <c r="BC22" i="46"/>
  <c r="BC38" i="46"/>
  <c r="BC54" i="46"/>
  <c r="BC70" i="46"/>
  <c r="BC86" i="46"/>
  <c r="BC102" i="46"/>
  <c r="BC118" i="46"/>
  <c r="BC134" i="46"/>
  <c r="BC150" i="46"/>
  <c r="BC166" i="46"/>
  <c r="BC182" i="46"/>
  <c r="BC198" i="46"/>
  <c r="BC214" i="46"/>
  <c r="BC230" i="46"/>
  <c r="BC246" i="46"/>
  <c r="BC262" i="46"/>
  <c r="BC278" i="46"/>
  <c r="BC294" i="46"/>
  <c r="BC310" i="46"/>
  <c r="BC326" i="46"/>
  <c r="BC342" i="46"/>
  <c r="BC23" i="46"/>
  <c r="BC39" i="46"/>
  <c r="BC55" i="46"/>
  <c r="BC71" i="46"/>
  <c r="BC87" i="46"/>
  <c r="BC103" i="46"/>
  <c r="BC119" i="46"/>
  <c r="BC135" i="46"/>
  <c r="BC151" i="46"/>
  <c r="BC167" i="46"/>
  <c r="BC183" i="46"/>
  <c r="BC199" i="46"/>
  <c r="BC215" i="46"/>
  <c r="BC231" i="46"/>
  <c r="BC247" i="46"/>
  <c r="BC263" i="46"/>
  <c r="BC279" i="46"/>
  <c r="BC295" i="46"/>
  <c r="BC311" i="46"/>
  <c r="BC327" i="46"/>
  <c r="BC343" i="46"/>
  <c r="BC24" i="46"/>
  <c r="BC17" i="46"/>
  <c r="BC45" i="46"/>
  <c r="BC74" i="46"/>
  <c r="BC98" i="46"/>
  <c r="BC124" i="46"/>
  <c r="BC152" i="46"/>
  <c r="BC176" i="46"/>
  <c r="BC202" i="46"/>
  <c r="BC226" i="46"/>
  <c r="BC252" i="46"/>
  <c r="BC280" i="46"/>
  <c r="BC304" i="46"/>
  <c r="BC330" i="46"/>
  <c r="BC75" i="46"/>
  <c r="BC125" i="46"/>
  <c r="BC177" i="46"/>
  <c r="BC227" i="46"/>
  <c r="BC253" i="46"/>
  <c r="BC281" i="46"/>
  <c r="BC331" i="46"/>
  <c r="BC19" i="46"/>
  <c r="BC204" i="46"/>
  <c r="BC306" i="46"/>
  <c r="BC51" i="46"/>
  <c r="BC77" i="46"/>
  <c r="BC105" i="46"/>
  <c r="BC155" i="46"/>
  <c r="BC205" i="46"/>
  <c r="BC257" i="46"/>
  <c r="BC307" i="46"/>
  <c r="BC80" i="46"/>
  <c r="BC184" i="46"/>
  <c r="BC284" i="46"/>
  <c r="BC57" i="46"/>
  <c r="BC131" i="46"/>
  <c r="BC235" i="46"/>
  <c r="BC337" i="46"/>
  <c r="BC82" i="46"/>
  <c r="BC210" i="46"/>
  <c r="BC314" i="46"/>
  <c r="BC83" i="46"/>
  <c r="BC211" i="46"/>
  <c r="BC315" i="46"/>
  <c r="BC88" i="46"/>
  <c r="BC112" i="46"/>
  <c r="BC188" i="46"/>
  <c r="BC266" i="46"/>
  <c r="BC61" i="46"/>
  <c r="BC139" i="46"/>
  <c r="BC217" i="46"/>
  <c r="BC317" i="46"/>
  <c r="BC90" i="46"/>
  <c r="BC140" i="46"/>
  <c r="BC218" i="46"/>
  <c r="BC296" i="46"/>
  <c r="BC346" i="46"/>
  <c r="BC65" i="46"/>
  <c r="BC169" i="46"/>
  <c r="BC243" i="46"/>
  <c r="BC321" i="46"/>
  <c r="BC41" i="46"/>
  <c r="BC144" i="46"/>
  <c r="BC220" i="46"/>
  <c r="BC298" i="46"/>
  <c r="BC67" i="46"/>
  <c r="BC145" i="46"/>
  <c r="BC221" i="46"/>
  <c r="BC299" i="46"/>
  <c r="BC96" i="46"/>
  <c r="BC122" i="46"/>
  <c r="BC224" i="46"/>
  <c r="BC328" i="46"/>
  <c r="BC97" i="46"/>
  <c r="BC123" i="46"/>
  <c r="BC201" i="46"/>
  <c r="BC301" i="46"/>
  <c r="BC18" i="46"/>
  <c r="BC49" i="46"/>
  <c r="BC99" i="46"/>
  <c r="BC153" i="46"/>
  <c r="BC203" i="46"/>
  <c r="BC305" i="46"/>
  <c r="BC50" i="46"/>
  <c r="BC76" i="46"/>
  <c r="BC104" i="46"/>
  <c r="BC128" i="46"/>
  <c r="BC154" i="46"/>
  <c r="BC178" i="46"/>
  <c r="BC232" i="46"/>
  <c r="BC256" i="46"/>
  <c r="BC332" i="46"/>
  <c r="BC25" i="46"/>
  <c r="BC129" i="46"/>
  <c r="BC179" i="46"/>
  <c r="BC233" i="46"/>
  <c r="BC283" i="46"/>
  <c r="BC56" i="46"/>
  <c r="BC106" i="46"/>
  <c r="BC156" i="46"/>
  <c r="BC234" i="46"/>
  <c r="BC312" i="46"/>
  <c r="BC27" i="46"/>
  <c r="BC107" i="46"/>
  <c r="BC185" i="46"/>
  <c r="BC259" i="46"/>
  <c r="BC313" i="46"/>
  <c r="BC58" i="46"/>
  <c r="BC160" i="46"/>
  <c r="BC264" i="46"/>
  <c r="BC59" i="46"/>
  <c r="BC109" i="46"/>
  <c r="BC161" i="46"/>
  <c r="BC265" i="46"/>
  <c r="BC60" i="46"/>
  <c r="BC162" i="46"/>
  <c r="BC240" i="46"/>
  <c r="BC290" i="46"/>
  <c r="BC344" i="46"/>
  <c r="BC89" i="46"/>
  <c r="BC163" i="46"/>
  <c r="BC241" i="46"/>
  <c r="BC64" i="46"/>
  <c r="BC114" i="46"/>
  <c r="BC192" i="46"/>
  <c r="BC268" i="46"/>
  <c r="BC320" i="46"/>
  <c r="BC40" i="46"/>
  <c r="BC193" i="46"/>
  <c r="BC297" i="46"/>
  <c r="BC92" i="46"/>
  <c r="BC170" i="46"/>
  <c r="BC248" i="46"/>
  <c r="BC322" i="46"/>
  <c r="BC93" i="46"/>
  <c r="BC121" i="46"/>
  <c r="BC195" i="46"/>
  <c r="BC249" i="46"/>
  <c r="BC323" i="46"/>
  <c r="BC72" i="46"/>
  <c r="BC172" i="46"/>
  <c r="BC250" i="46"/>
  <c r="BC300" i="46"/>
  <c r="BC73" i="46"/>
  <c r="BC147" i="46"/>
  <c r="BC225" i="46"/>
  <c r="BC275" i="46"/>
  <c r="BC282" i="46"/>
  <c r="BC333" i="46"/>
  <c r="BC26" i="46"/>
  <c r="BC130" i="46"/>
  <c r="BC208" i="46"/>
  <c r="BC258" i="46"/>
  <c r="BC336" i="46"/>
  <c r="BC81" i="46"/>
  <c r="BC157" i="46"/>
  <c r="BC209" i="46"/>
  <c r="BC285" i="46"/>
  <c r="BC28" i="46"/>
  <c r="BC108" i="46"/>
  <c r="BC136" i="46"/>
  <c r="BC186" i="46"/>
  <c r="BC236" i="46"/>
  <c r="BC288" i="46"/>
  <c r="BC338" i="46"/>
  <c r="BC29" i="46"/>
  <c r="BC137" i="46"/>
  <c r="BC187" i="46"/>
  <c r="BC237" i="46"/>
  <c r="BC289" i="46"/>
  <c r="BC339" i="46"/>
  <c r="BC33" i="46"/>
  <c r="BC138" i="46"/>
  <c r="BC216" i="46"/>
  <c r="BC316" i="46"/>
  <c r="BC34" i="46"/>
  <c r="BC113" i="46"/>
  <c r="BC189" i="46"/>
  <c r="BC267" i="46"/>
  <c r="BC291" i="46"/>
  <c r="BC345" i="46"/>
  <c r="BC35" i="46"/>
  <c r="BC168" i="46"/>
  <c r="BC242" i="46"/>
  <c r="BC91" i="46"/>
  <c r="BC115" i="46"/>
  <c r="BC141" i="46"/>
  <c r="BC219" i="46"/>
  <c r="BC269" i="46"/>
  <c r="BC347" i="46"/>
  <c r="BC66" i="46"/>
  <c r="BC120" i="46"/>
  <c r="BC194" i="46"/>
  <c r="BC272" i="46"/>
  <c r="BC42" i="46"/>
  <c r="BC171" i="46"/>
  <c r="BC273" i="46"/>
  <c r="BC43" i="46"/>
  <c r="BC146" i="46"/>
  <c r="BC200" i="46"/>
  <c r="BC274" i="46"/>
  <c r="BC44" i="46"/>
  <c r="BC173" i="46"/>
  <c r="BC251" i="46"/>
  <c r="BC329" i="46"/>
  <c r="AP14" i="46"/>
  <c r="AI14" i="46" s="1"/>
  <c r="AP30" i="46"/>
  <c r="AI30" i="46" s="1"/>
  <c r="AP46" i="46"/>
  <c r="AI46" i="46" s="1"/>
  <c r="AP62" i="46"/>
  <c r="AI62" i="46" s="1"/>
  <c r="AP78" i="46"/>
  <c r="AI78" i="46" s="1"/>
  <c r="AP94" i="46"/>
  <c r="AI94" i="46" s="1"/>
  <c r="AP110" i="46"/>
  <c r="AP126" i="46"/>
  <c r="AI126" i="46" s="1"/>
  <c r="AP142" i="46"/>
  <c r="AP158" i="46"/>
  <c r="AI158" i="46" s="1"/>
  <c r="AP174" i="46"/>
  <c r="AI174" i="46" s="1"/>
  <c r="AP190" i="46"/>
  <c r="AI190" i="46" s="1"/>
  <c r="AP206" i="46"/>
  <c r="AI206" i="46" s="1"/>
  <c r="AP222" i="46"/>
  <c r="AI222" i="46" s="1"/>
  <c r="AP238" i="46"/>
  <c r="AI238" i="46" s="1"/>
  <c r="AP254" i="46"/>
  <c r="AI254" i="46" s="1"/>
  <c r="AP270" i="46"/>
  <c r="AI270" i="46" s="1"/>
  <c r="AP286" i="46"/>
  <c r="AI286" i="46" s="1"/>
  <c r="AP302" i="46"/>
  <c r="AI302" i="46" s="1"/>
  <c r="AP318" i="46"/>
  <c r="AI318" i="46" s="1"/>
  <c r="AP334" i="46"/>
  <c r="AP131" i="46"/>
  <c r="AI131" i="46" s="1"/>
  <c r="AP259" i="46"/>
  <c r="AI259" i="46" s="1"/>
  <c r="AP307" i="46"/>
  <c r="AI307" i="46" s="1"/>
  <c r="AP15" i="46"/>
  <c r="AP31" i="46"/>
  <c r="AP47" i="46"/>
  <c r="AI47" i="46" s="1"/>
  <c r="AP63" i="46"/>
  <c r="AI63" i="46" s="1"/>
  <c r="AP79" i="46"/>
  <c r="AI79" i="46" s="1"/>
  <c r="AP95" i="46"/>
  <c r="AI95" i="46" s="1"/>
  <c r="AP111" i="46"/>
  <c r="AI111" i="46" s="1"/>
  <c r="AP127" i="46"/>
  <c r="AI127" i="46" s="1"/>
  <c r="AP143" i="46"/>
  <c r="AI143" i="46" s="1"/>
  <c r="AP159" i="46"/>
  <c r="AI159" i="46" s="1"/>
  <c r="AP175" i="46"/>
  <c r="AI175" i="46" s="1"/>
  <c r="AP191" i="46"/>
  <c r="AI191" i="46" s="1"/>
  <c r="AP207" i="46"/>
  <c r="AP223" i="46"/>
  <c r="AI223" i="46" s="1"/>
  <c r="AP239" i="46"/>
  <c r="AI239" i="46" s="1"/>
  <c r="AP255" i="46"/>
  <c r="AP271" i="46"/>
  <c r="AP287" i="46"/>
  <c r="AP303" i="46"/>
  <c r="AP319" i="46"/>
  <c r="AI319" i="46" s="1"/>
  <c r="AP335" i="46"/>
  <c r="AI335" i="46" s="1"/>
  <c r="AP16" i="46"/>
  <c r="AI16" i="46" s="1"/>
  <c r="AP48" i="46"/>
  <c r="AI48" i="46" s="1"/>
  <c r="AP64" i="46"/>
  <c r="AI64" i="46" s="1"/>
  <c r="AP80" i="46"/>
  <c r="AI80" i="46" s="1"/>
  <c r="AP96" i="46"/>
  <c r="AP112" i="46"/>
  <c r="AP128" i="46"/>
  <c r="AI128" i="46" s="1"/>
  <c r="AP144" i="46"/>
  <c r="AI144" i="46" s="1"/>
  <c r="AP160" i="46"/>
  <c r="AI160" i="46" s="1"/>
  <c r="AP176" i="46"/>
  <c r="AI176" i="46" s="1"/>
  <c r="AP192" i="46"/>
  <c r="AP208" i="46"/>
  <c r="AP224" i="46"/>
  <c r="AI224" i="46" s="1"/>
  <c r="AP240" i="46"/>
  <c r="AI240" i="46" s="1"/>
  <c r="AP256" i="46"/>
  <c r="AI256" i="46" s="1"/>
  <c r="AP272" i="46"/>
  <c r="AI272" i="46" s="1"/>
  <c r="AP288" i="46"/>
  <c r="AI288" i="46" s="1"/>
  <c r="AP304" i="46"/>
  <c r="AI304" i="46" s="1"/>
  <c r="AP320" i="46"/>
  <c r="AI320" i="46" s="1"/>
  <c r="AP336" i="46"/>
  <c r="AI336" i="46" s="1"/>
  <c r="AP17" i="46"/>
  <c r="AI17" i="46" s="1"/>
  <c r="AP33" i="46"/>
  <c r="AI33" i="46" s="1"/>
  <c r="AP49" i="46"/>
  <c r="AI49" i="46" s="1"/>
  <c r="AP65" i="46"/>
  <c r="AP81" i="46"/>
  <c r="AP97" i="46"/>
  <c r="AP113" i="46"/>
  <c r="AI113" i="46" s="1"/>
  <c r="AP129" i="46"/>
  <c r="AP145" i="46"/>
  <c r="AP161" i="46"/>
  <c r="AI161" i="46" s="1"/>
  <c r="AP177" i="46"/>
  <c r="AI177" i="46" s="1"/>
  <c r="AP193" i="46"/>
  <c r="AI193" i="46" s="1"/>
  <c r="AP209" i="46"/>
  <c r="AI209" i="46" s="1"/>
  <c r="AP225" i="46"/>
  <c r="AI225" i="46" s="1"/>
  <c r="AP241" i="46"/>
  <c r="AI241" i="46" s="1"/>
  <c r="AP257" i="46"/>
  <c r="AI257" i="46" s="1"/>
  <c r="AP273" i="46"/>
  <c r="AI273" i="46" s="1"/>
  <c r="AP289" i="46"/>
  <c r="AP305" i="46"/>
  <c r="AI305" i="46" s="1"/>
  <c r="AP321" i="46"/>
  <c r="AI321" i="46" s="1"/>
  <c r="AP337" i="46"/>
  <c r="AI337" i="46" s="1"/>
  <c r="AP18" i="46"/>
  <c r="AI18" i="46" s="1"/>
  <c r="AP66" i="46"/>
  <c r="AI66" i="46" s="1"/>
  <c r="AP98" i="46"/>
  <c r="AP130" i="46"/>
  <c r="AP162" i="46"/>
  <c r="AP178" i="46"/>
  <c r="AI178" i="46" s="1"/>
  <c r="AP210" i="46"/>
  <c r="AI210" i="46" s="1"/>
  <c r="AP226" i="46"/>
  <c r="AI226" i="46" s="1"/>
  <c r="AP242" i="46"/>
  <c r="AI242" i="46" s="1"/>
  <c r="AP258" i="46"/>
  <c r="AI258" i="46" s="1"/>
  <c r="AP290" i="46"/>
  <c r="AP306" i="46"/>
  <c r="AI306" i="46" s="1"/>
  <c r="AP322" i="46"/>
  <c r="AI322" i="46" s="1"/>
  <c r="AP338" i="46"/>
  <c r="AI338" i="46" s="1"/>
  <c r="AP19" i="46"/>
  <c r="AI19" i="46" s="1"/>
  <c r="AP51" i="46"/>
  <c r="AI51" i="46" s="1"/>
  <c r="AP67" i="46"/>
  <c r="AI67" i="46" s="1"/>
  <c r="AP83" i="46"/>
  <c r="AI83" i="46" s="1"/>
  <c r="AP115" i="46"/>
  <c r="AP147" i="46"/>
  <c r="AI147" i="46" s="1"/>
  <c r="AP179" i="46"/>
  <c r="AI179" i="46" s="1"/>
  <c r="AP211" i="46"/>
  <c r="AI211" i="46" s="1"/>
  <c r="AP243" i="46"/>
  <c r="AI243" i="46" s="1"/>
  <c r="AP32" i="46"/>
  <c r="AI32" i="46" s="1"/>
  <c r="AP34" i="46"/>
  <c r="AI34" i="46" s="1"/>
  <c r="AP50" i="46"/>
  <c r="AI50" i="46" s="1"/>
  <c r="AP82" i="46"/>
  <c r="AI82" i="46" s="1"/>
  <c r="AP114" i="46"/>
  <c r="AI114" i="46" s="1"/>
  <c r="AP146" i="46"/>
  <c r="AI146" i="46" s="1"/>
  <c r="AP194" i="46"/>
  <c r="AI194" i="46" s="1"/>
  <c r="AP274" i="46"/>
  <c r="AI274" i="46" s="1"/>
  <c r="AP35" i="46"/>
  <c r="AI35" i="46" s="1"/>
  <c r="AP99" i="46"/>
  <c r="AI99" i="46" s="1"/>
  <c r="AP163" i="46"/>
  <c r="AI163" i="46" s="1"/>
  <c r="AP195" i="46"/>
  <c r="AP227" i="46"/>
  <c r="AI227" i="46" s="1"/>
  <c r="AP291" i="46"/>
  <c r="AP20" i="46"/>
  <c r="AP42" i="46"/>
  <c r="AP70" i="46"/>
  <c r="AI70" i="46" s="1"/>
  <c r="AP92" i="46"/>
  <c r="AI92" i="46" s="1"/>
  <c r="AP120" i="46"/>
  <c r="AI120" i="46" s="1"/>
  <c r="AP148" i="46"/>
  <c r="AI148" i="46" s="1"/>
  <c r="AP170" i="46"/>
  <c r="AI170" i="46" s="1"/>
  <c r="AP198" i="46"/>
  <c r="AI198" i="46" s="1"/>
  <c r="AP220" i="46"/>
  <c r="AI220" i="46" s="1"/>
  <c r="AP248" i="46"/>
  <c r="AI248" i="46" s="1"/>
  <c r="AP275" i="46"/>
  <c r="AI275" i="46" s="1"/>
  <c r="AP297" i="46"/>
  <c r="AI297" i="46" s="1"/>
  <c r="AP324" i="46"/>
  <c r="AI324" i="46" s="1"/>
  <c r="AP345" i="46"/>
  <c r="AP21" i="46"/>
  <c r="AI21" i="46" s="1"/>
  <c r="AP43" i="46"/>
  <c r="AI43" i="46" s="1"/>
  <c r="AP71" i="46"/>
  <c r="AI71" i="46" s="1"/>
  <c r="AP93" i="46"/>
  <c r="AI93" i="46" s="1"/>
  <c r="AP121" i="46"/>
  <c r="AI121" i="46" s="1"/>
  <c r="AP149" i="46"/>
  <c r="AI149" i="46" s="1"/>
  <c r="AP171" i="46"/>
  <c r="AI171" i="46" s="1"/>
  <c r="AP199" i="46"/>
  <c r="AI199" i="46" s="1"/>
  <c r="AP221" i="46"/>
  <c r="AP249" i="46"/>
  <c r="AI249" i="46" s="1"/>
  <c r="AP276" i="46"/>
  <c r="AI276" i="46" s="1"/>
  <c r="AP298" i="46"/>
  <c r="AI298" i="46" s="1"/>
  <c r="AP325" i="46"/>
  <c r="AI325" i="46" s="1"/>
  <c r="AP346" i="46"/>
  <c r="AI346" i="46" s="1"/>
  <c r="AP22" i="46"/>
  <c r="AI22" i="46" s="1"/>
  <c r="AP44" i="46"/>
  <c r="AP72" i="46"/>
  <c r="AI72" i="46" s="1"/>
  <c r="AP100" i="46"/>
  <c r="AI100" i="46" s="1"/>
  <c r="AP122" i="46"/>
  <c r="AI122" i="46" s="1"/>
  <c r="AP150" i="46"/>
  <c r="AI150" i="46" s="1"/>
  <c r="AP172" i="46"/>
  <c r="AI172" i="46" s="1"/>
  <c r="AP200" i="46"/>
  <c r="AI200" i="46" s="1"/>
  <c r="AP228" i="46"/>
  <c r="AI228" i="46" s="1"/>
  <c r="AP250" i="46"/>
  <c r="AI250" i="46" s="1"/>
  <c r="AP277" i="46"/>
  <c r="AP299" i="46"/>
  <c r="AP326" i="46"/>
  <c r="AI326" i="46" s="1"/>
  <c r="AP347" i="46"/>
  <c r="AI347" i="46" s="1"/>
  <c r="AP23" i="46"/>
  <c r="AI23" i="46" s="1"/>
  <c r="AP45" i="46"/>
  <c r="AI45" i="46" s="1"/>
  <c r="AP73" i="46"/>
  <c r="AI73" i="46" s="1"/>
  <c r="AP123" i="46"/>
  <c r="AP151" i="46"/>
  <c r="AP173" i="46"/>
  <c r="AP201" i="46"/>
  <c r="AI201" i="46" s="1"/>
  <c r="AP229" i="46"/>
  <c r="AI229" i="46" s="1"/>
  <c r="AP278" i="46"/>
  <c r="AI278" i="46" s="1"/>
  <c r="AP300" i="46"/>
  <c r="AP327" i="46"/>
  <c r="AI327" i="46" s="1"/>
  <c r="AP52" i="46"/>
  <c r="AI52" i="46" s="1"/>
  <c r="AP102" i="46"/>
  <c r="AI102" i="46" s="1"/>
  <c r="AP152" i="46"/>
  <c r="AI152" i="46" s="1"/>
  <c r="AP202" i="46"/>
  <c r="AI202" i="46" s="1"/>
  <c r="AP252" i="46"/>
  <c r="AI252" i="46" s="1"/>
  <c r="AP301" i="46"/>
  <c r="AI301" i="46" s="1"/>
  <c r="AP25" i="46"/>
  <c r="AI25" i="46" s="1"/>
  <c r="AP75" i="46"/>
  <c r="AI75" i="46" s="1"/>
  <c r="AP103" i="46"/>
  <c r="AP153" i="46"/>
  <c r="AP203" i="46"/>
  <c r="AI203" i="46" s="1"/>
  <c r="AP253" i="46"/>
  <c r="AI253" i="46" s="1"/>
  <c r="AP308" i="46"/>
  <c r="AI308" i="46" s="1"/>
  <c r="AP26" i="46"/>
  <c r="AP104" i="46"/>
  <c r="AI104" i="46" s="1"/>
  <c r="AP154" i="46"/>
  <c r="AI154" i="46" s="1"/>
  <c r="AP182" i="46"/>
  <c r="AI182" i="46" s="1"/>
  <c r="AP232" i="46"/>
  <c r="AI232" i="46" s="1"/>
  <c r="AP281" i="46"/>
  <c r="AI281" i="46" s="1"/>
  <c r="AP27" i="46"/>
  <c r="AI27" i="46" s="1"/>
  <c r="AP77" i="46"/>
  <c r="AP133" i="46"/>
  <c r="AI133" i="46" s="1"/>
  <c r="AP183" i="46"/>
  <c r="AI183" i="46" s="1"/>
  <c r="AP205" i="46"/>
  <c r="AI205" i="46" s="1"/>
  <c r="AP261" i="46"/>
  <c r="AP310" i="46"/>
  <c r="AP28" i="46"/>
  <c r="AI28" i="46" s="1"/>
  <c r="AP84" i="46"/>
  <c r="AI84" i="46" s="1"/>
  <c r="AP134" i="46"/>
  <c r="AP184" i="46"/>
  <c r="AP234" i="46"/>
  <c r="AI234" i="46" s="1"/>
  <c r="AP283" i="46"/>
  <c r="AI283" i="46" s="1"/>
  <c r="AP101" i="46"/>
  <c r="AI101" i="46" s="1"/>
  <c r="AP251" i="46"/>
  <c r="AP24" i="46"/>
  <c r="AI24" i="46" s="1"/>
  <c r="AP74" i="46"/>
  <c r="AP124" i="46"/>
  <c r="AI124" i="46" s="1"/>
  <c r="AP180" i="46"/>
  <c r="AI180" i="46" s="1"/>
  <c r="AP230" i="46"/>
  <c r="AI230" i="46" s="1"/>
  <c r="AP279" i="46"/>
  <c r="AI279" i="46" s="1"/>
  <c r="AP328" i="46"/>
  <c r="AP53" i="46"/>
  <c r="AI53" i="46" s="1"/>
  <c r="AP125" i="46"/>
  <c r="AI125" i="46" s="1"/>
  <c r="AP181" i="46"/>
  <c r="AI181" i="46" s="1"/>
  <c r="AP231" i="46"/>
  <c r="AI231" i="46" s="1"/>
  <c r="AP280" i="46"/>
  <c r="AI280" i="46" s="1"/>
  <c r="AP329" i="46"/>
  <c r="AI329" i="46" s="1"/>
  <c r="AP54" i="46"/>
  <c r="AI54" i="46" s="1"/>
  <c r="AP76" i="46"/>
  <c r="AI76" i="46" s="1"/>
  <c r="AP132" i="46"/>
  <c r="AI132" i="46" s="1"/>
  <c r="AP204" i="46"/>
  <c r="AI204" i="46" s="1"/>
  <c r="AP260" i="46"/>
  <c r="AI260" i="46" s="1"/>
  <c r="AP309" i="46"/>
  <c r="AP330" i="46"/>
  <c r="AI330" i="46" s="1"/>
  <c r="AP55" i="46"/>
  <c r="AI55" i="46" s="1"/>
  <c r="AP105" i="46"/>
  <c r="AI105" i="46" s="1"/>
  <c r="AP155" i="46"/>
  <c r="AP233" i="46"/>
  <c r="AP282" i="46"/>
  <c r="AI282" i="46" s="1"/>
  <c r="AP331" i="46"/>
  <c r="AI331" i="46" s="1"/>
  <c r="AP56" i="46"/>
  <c r="AI56" i="46" s="1"/>
  <c r="AP106" i="46"/>
  <c r="AI106" i="46" s="1"/>
  <c r="AP156" i="46"/>
  <c r="AI156" i="46" s="1"/>
  <c r="AP212" i="46"/>
  <c r="AI212" i="46" s="1"/>
  <c r="AP262" i="46"/>
  <c r="AI262" i="46" s="1"/>
  <c r="AP311" i="46"/>
  <c r="AI311" i="46" s="1"/>
  <c r="AP29" i="46"/>
  <c r="AI29" i="46" s="1"/>
  <c r="AP87" i="46"/>
  <c r="AI87" i="46" s="1"/>
  <c r="AP139" i="46"/>
  <c r="AI139" i="46" s="1"/>
  <c r="AP197" i="46"/>
  <c r="AI197" i="46" s="1"/>
  <c r="AP264" i="46"/>
  <c r="AI264" i="46" s="1"/>
  <c r="AP315" i="46"/>
  <c r="AI315" i="46" s="1"/>
  <c r="AP36" i="46"/>
  <c r="AP88" i="46"/>
  <c r="AI88" i="46" s="1"/>
  <c r="AP140" i="46"/>
  <c r="AI140" i="46" s="1"/>
  <c r="AP213" i="46"/>
  <c r="AI213" i="46" s="1"/>
  <c r="AP265" i="46"/>
  <c r="AI265" i="46" s="1"/>
  <c r="AP316" i="46"/>
  <c r="AI316" i="46" s="1"/>
  <c r="AP37" i="46"/>
  <c r="AI37" i="46" s="1"/>
  <c r="AP89" i="46"/>
  <c r="AI89" i="46" s="1"/>
  <c r="AP141" i="46"/>
  <c r="AI141" i="46" s="1"/>
  <c r="AP214" i="46"/>
  <c r="AI214" i="46" s="1"/>
  <c r="AP266" i="46"/>
  <c r="AI266" i="46" s="1"/>
  <c r="AP317" i="46"/>
  <c r="AI317" i="46" s="1"/>
  <c r="AP38" i="46"/>
  <c r="AI38" i="46" s="1"/>
  <c r="AP90" i="46"/>
  <c r="AI90" i="46" s="1"/>
  <c r="AP157" i="46"/>
  <c r="AI157" i="46" s="1"/>
  <c r="AP215" i="46"/>
  <c r="AI215" i="46" s="1"/>
  <c r="AP267" i="46"/>
  <c r="AP323" i="46"/>
  <c r="AI323" i="46" s="1"/>
  <c r="AP39" i="46"/>
  <c r="AI39" i="46" s="1"/>
  <c r="AP91" i="46"/>
  <c r="AI91" i="46" s="1"/>
  <c r="AP164" i="46"/>
  <c r="AI164" i="46" s="1"/>
  <c r="AP216" i="46"/>
  <c r="AI216" i="46" s="1"/>
  <c r="AP268" i="46"/>
  <c r="AI268" i="46" s="1"/>
  <c r="AP332" i="46"/>
  <c r="AI332" i="46" s="1"/>
  <c r="AP40" i="46"/>
  <c r="AI40" i="46" s="1"/>
  <c r="AP107" i="46"/>
  <c r="AI107" i="46" s="1"/>
  <c r="AP165" i="46"/>
  <c r="AI165" i="46" s="1"/>
  <c r="AP217" i="46"/>
  <c r="AI217" i="46" s="1"/>
  <c r="AP269" i="46"/>
  <c r="AI269" i="46" s="1"/>
  <c r="AP333" i="46"/>
  <c r="AI333" i="46" s="1"/>
  <c r="AP41" i="46"/>
  <c r="AI41" i="46" s="1"/>
  <c r="AP108" i="46"/>
  <c r="AI108" i="46" s="1"/>
  <c r="AP166" i="46"/>
  <c r="AP218" i="46"/>
  <c r="AP284" i="46"/>
  <c r="AI284" i="46" s="1"/>
  <c r="AP339" i="46"/>
  <c r="AI339" i="46" s="1"/>
  <c r="AP57" i="46"/>
  <c r="AI57" i="46" s="1"/>
  <c r="AP109" i="46"/>
  <c r="AI109" i="46" s="1"/>
  <c r="AP167" i="46"/>
  <c r="AI167" i="46" s="1"/>
  <c r="AP219" i="46"/>
  <c r="AI219" i="46" s="1"/>
  <c r="AP285" i="46"/>
  <c r="AI285" i="46" s="1"/>
  <c r="AP340" i="46"/>
  <c r="AI340" i="46" s="1"/>
  <c r="AP58" i="46"/>
  <c r="AI58" i="46" s="1"/>
  <c r="AP116" i="46"/>
  <c r="AI116" i="46" s="1"/>
  <c r="AP168" i="46"/>
  <c r="AI168" i="46" s="1"/>
  <c r="AP235" i="46"/>
  <c r="AI235" i="46" s="1"/>
  <c r="AP292" i="46"/>
  <c r="AI292" i="46" s="1"/>
  <c r="AP59" i="46"/>
  <c r="AI59" i="46" s="1"/>
  <c r="AP169" i="46"/>
  <c r="AP236" i="46"/>
  <c r="AP293" i="46"/>
  <c r="AP60" i="46"/>
  <c r="AP185" i="46"/>
  <c r="AP294" i="46"/>
  <c r="AI294" i="46" s="1"/>
  <c r="AP343" i="46"/>
  <c r="AI343" i="46" s="1"/>
  <c r="AP244" i="46"/>
  <c r="AI244" i="46" s="1"/>
  <c r="AP344" i="46"/>
  <c r="AI344" i="46" s="1"/>
  <c r="AP68" i="46"/>
  <c r="AI68" i="46" s="1"/>
  <c r="AP187" i="46"/>
  <c r="AP296" i="46"/>
  <c r="AI296" i="46" s="1"/>
  <c r="AP136" i="46"/>
  <c r="AI136" i="46" s="1"/>
  <c r="AP246" i="46"/>
  <c r="AI246" i="46" s="1"/>
  <c r="AP85" i="46"/>
  <c r="AI85" i="46" s="1"/>
  <c r="AP189" i="46"/>
  <c r="AI189" i="46" s="1"/>
  <c r="AP313" i="46"/>
  <c r="AP138" i="46"/>
  <c r="AP263" i="46"/>
  <c r="AI263" i="46" s="1"/>
  <c r="AP341" i="46"/>
  <c r="AI341" i="46" s="1"/>
  <c r="AP117" i="46"/>
  <c r="AI117" i="46" s="1"/>
  <c r="AP342" i="46"/>
  <c r="AI342" i="46" s="1"/>
  <c r="AP118" i="46"/>
  <c r="AI118" i="46" s="1"/>
  <c r="AP237" i="46"/>
  <c r="AP61" i="46"/>
  <c r="AI61" i="46" s="1"/>
  <c r="AP119" i="46"/>
  <c r="AI119" i="46" s="1"/>
  <c r="AP186" i="46"/>
  <c r="AI186" i="46" s="1"/>
  <c r="AP295" i="46"/>
  <c r="AI295" i="46" s="1"/>
  <c r="AP135" i="46"/>
  <c r="AI135" i="46" s="1"/>
  <c r="AP245" i="46"/>
  <c r="AP69" i="46"/>
  <c r="AI69" i="46" s="1"/>
  <c r="AP188" i="46"/>
  <c r="AI188" i="46" s="1"/>
  <c r="AP312" i="46"/>
  <c r="AP137" i="46"/>
  <c r="AP247" i="46"/>
  <c r="AI247" i="46" s="1"/>
  <c r="AP86" i="46"/>
  <c r="AP196" i="46"/>
  <c r="AI196" i="46" s="1"/>
  <c r="AP314" i="46"/>
  <c r="AI314" i="46" s="1"/>
  <c r="AH14" i="46"/>
  <c r="AH30" i="46"/>
  <c r="AH46" i="46"/>
  <c r="AH62" i="46"/>
  <c r="AH78" i="46"/>
  <c r="AH94" i="46"/>
  <c r="AH110" i="46"/>
  <c r="AH126" i="46"/>
  <c r="AH142" i="46"/>
  <c r="AH158" i="46"/>
  <c r="AH174" i="46"/>
  <c r="AH190" i="46"/>
  <c r="AH206" i="46"/>
  <c r="AH222" i="46"/>
  <c r="AH238" i="46"/>
  <c r="AH254" i="46"/>
  <c r="AH270" i="46"/>
  <c r="AH286" i="46"/>
  <c r="AH302" i="46"/>
  <c r="AH318" i="46"/>
  <c r="AH334" i="46"/>
  <c r="AH31" i="46"/>
  <c r="AH95" i="46"/>
  <c r="AH127" i="46"/>
  <c r="AH143" i="46"/>
  <c r="AH175" i="46"/>
  <c r="AH191" i="46"/>
  <c r="AH223" i="46"/>
  <c r="AH239" i="46"/>
  <c r="AH255" i="46"/>
  <c r="AH287" i="46"/>
  <c r="AH303" i="46"/>
  <c r="AH335" i="46"/>
  <c r="AH16" i="46"/>
  <c r="AH176" i="46"/>
  <c r="AH240" i="46"/>
  <c r="AH272" i="46"/>
  <c r="AH304" i="46"/>
  <c r="AH320" i="46"/>
  <c r="AH17" i="46"/>
  <c r="AH49" i="46"/>
  <c r="AH81" i="46"/>
  <c r="AH113" i="46"/>
  <c r="AH145" i="46"/>
  <c r="AH177" i="46"/>
  <c r="AH193" i="46"/>
  <c r="AH225" i="46"/>
  <c r="AH257" i="46"/>
  <c r="AH289" i="46"/>
  <c r="AH321" i="46"/>
  <c r="AH18" i="46"/>
  <c r="AH66" i="46"/>
  <c r="AH98" i="46"/>
  <c r="AH130" i="46"/>
  <c r="AH162" i="46"/>
  <c r="AH194" i="46"/>
  <c r="AH15" i="46"/>
  <c r="AH47" i="46"/>
  <c r="AH63" i="46"/>
  <c r="AH79" i="46"/>
  <c r="AH111" i="46"/>
  <c r="AH159" i="46"/>
  <c r="AH207" i="46"/>
  <c r="AH271" i="46"/>
  <c r="AH319" i="46"/>
  <c r="AH32" i="46"/>
  <c r="AH48" i="46"/>
  <c r="AH64" i="46"/>
  <c r="AH80" i="46"/>
  <c r="AH96" i="46"/>
  <c r="AH112" i="46"/>
  <c r="AH128" i="46"/>
  <c r="AH144" i="46"/>
  <c r="AH160" i="46"/>
  <c r="AH192" i="46"/>
  <c r="AH208" i="46"/>
  <c r="AH224" i="46"/>
  <c r="AH256" i="46"/>
  <c r="AH288" i="46"/>
  <c r="AH336" i="46"/>
  <c r="AH33" i="46"/>
  <c r="AH65" i="46"/>
  <c r="AH97" i="46"/>
  <c r="AH129" i="46"/>
  <c r="AH161" i="46"/>
  <c r="AH209" i="46"/>
  <c r="AH241" i="46"/>
  <c r="AH273" i="46"/>
  <c r="AH305" i="46"/>
  <c r="AH337" i="46"/>
  <c r="AH34" i="46"/>
  <c r="AH50" i="46"/>
  <c r="AH82" i="46"/>
  <c r="AH114" i="46"/>
  <c r="AH146" i="46"/>
  <c r="AH178" i="46"/>
  <c r="AH210" i="46"/>
  <c r="AH226" i="46"/>
  <c r="AH242" i="46"/>
  <c r="AH274" i="46"/>
  <c r="AH20" i="46"/>
  <c r="AH36" i="46"/>
  <c r="AH52" i="46"/>
  <c r="AH68" i="46"/>
  <c r="AH84" i="46"/>
  <c r="AH100" i="46"/>
  <c r="AH116" i="46"/>
  <c r="AH132" i="46"/>
  <c r="AH148" i="46"/>
  <c r="AH164" i="46"/>
  <c r="AH180" i="46"/>
  <c r="AH196" i="46"/>
  <c r="AH212" i="46"/>
  <c r="AH228" i="46"/>
  <c r="AH244" i="46"/>
  <c r="AH260" i="46"/>
  <c r="AH276" i="46"/>
  <c r="AH292" i="46"/>
  <c r="AH308" i="46"/>
  <c r="AH324" i="46"/>
  <c r="AH340" i="46"/>
  <c r="AH21" i="46"/>
  <c r="AH37" i="46"/>
  <c r="AH53" i="46"/>
  <c r="AH69" i="46"/>
  <c r="AH85" i="46"/>
  <c r="AH101" i="46"/>
  <c r="AH117" i="46"/>
  <c r="AH133" i="46"/>
  <c r="AH149" i="46"/>
  <c r="AH165" i="46"/>
  <c r="AH181" i="46"/>
  <c r="AH197" i="46"/>
  <c r="AH213" i="46"/>
  <c r="AH229" i="46"/>
  <c r="AH245" i="46"/>
  <c r="AH261" i="46"/>
  <c r="AH277" i="46"/>
  <c r="AH293" i="46"/>
  <c r="AH309" i="46"/>
  <c r="AH325" i="46"/>
  <c r="AH341" i="46"/>
  <c r="AH22" i="46"/>
  <c r="AH38" i="46"/>
  <c r="AH54" i="46"/>
  <c r="AH70" i="46"/>
  <c r="AH86" i="46"/>
  <c r="AH102" i="46"/>
  <c r="AH118" i="46"/>
  <c r="AH134" i="46"/>
  <c r="AH150" i="46"/>
  <c r="AH166" i="46"/>
  <c r="AH182" i="46"/>
  <c r="AH198" i="46"/>
  <c r="AH214" i="46"/>
  <c r="AH230" i="46"/>
  <c r="AH246" i="46"/>
  <c r="AH262" i="46"/>
  <c r="AH278" i="46"/>
  <c r="AH294" i="46"/>
  <c r="AH310" i="46"/>
  <c r="AH326" i="46"/>
  <c r="AH342" i="46"/>
  <c r="AH23" i="46"/>
  <c r="AH39" i="46"/>
  <c r="AH55" i="46"/>
  <c r="AH71" i="46"/>
  <c r="AH87" i="46"/>
  <c r="AH103" i="46"/>
  <c r="AH119" i="46"/>
  <c r="AH135" i="46"/>
  <c r="AH151" i="46"/>
  <c r="AH167" i="46"/>
  <c r="AH183" i="46"/>
  <c r="AH199" i="46"/>
  <c r="AH215" i="46"/>
  <c r="AH231" i="46"/>
  <c r="AH247" i="46"/>
  <c r="AH263" i="46"/>
  <c r="AH279" i="46"/>
  <c r="AH295" i="46"/>
  <c r="AH311" i="46"/>
  <c r="AH327" i="46"/>
  <c r="AH343" i="46"/>
  <c r="AH24" i="46"/>
  <c r="AH19" i="46"/>
  <c r="AH58" i="46"/>
  <c r="AH92" i="46"/>
  <c r="AH131" i="46"/>
  <c r="AH169" i="46"/>
  <c r="AH203" i="46"/>
  <c r="AH237" i="46"/>
  <c r="AH275" i="46"/>
  <c r="AH307" i="46"/>
  <c r="AH339" i="46"/>
  <c r="AH25" i="46"/>
  <c r="AH59" i="46"/>
  <c r="AH93" i="46"/>
  <c r="AH136" i="46"/>
  <c r="AH170" i="46"/>
  <c r="AH204" i="46"/>
  <c r="AH243" i="46"/>
  <c r="AH280" i="46"/>
  <c r="AH312" i="46"/>
  <c r="AH344" i="46"/>
  <c r="AH26" i="46"/>
  <c r="AH60" i="46"/>
  <c r="AH99" i="46"/>
  <c r="AH137" i="46"/>
  <c r="AH171" i="46"/>
  <c r="AH205" i="46"/>
  <c r="AH248" i="46"/>
  <c r="AH281" i="46"/>
  <c r="AH313" i="46"/>
  <c r="AH345" i="46"/>
  <c r="AH27" i="46"/>
  <c r="AH61" i="46"/>
  <c r="AH104" i="46"/>
  <c r="AH138" i="46"/>
  <c r="AH172" i="46"/>
  <c r="AH211" i="46"/>
  <c r="AH249" i="46"/>
  <c r="AH282" i="46"/>
  <c r="AH314" i="46"/>
  <c r="AH28" i="46"/>
  <c r="AH105" i="46"/>
  <c r="AH139" i="46"/>
  <c r="AH216" i="46"/>
  <c r="AH283" i="46"/>
  <c r="AH347" i="46"/>
  <c r="AH72" i="46"/>
  <c r="AH179" i="46"/>
  <c r="AH251" i="46"/>
  <c r="AH316" i="46"/>
  <c r="AH227" i="46"/>
  <c r="AH329" i="46"/>
  <c r="AH83" i="46"/>
  <c r="AH232" i="46"/>
  <c r="AH45" i="46"/>
  <c r="AH233" i="46"/>
  <c r="AH51" i="46"/>
  <c r="AH157" i="46"/>
  <c r="AH267" i="46"/>
  <c r="AH332" i="46"/>
  <c r="AH124" i="46"/>
  <c r="AH163" i="46"/>
  <c r="AH268" i="46"/>
  <c r="AH333" i="46"/>
  <c r="AH125" i="46"/>
  <c r="AH202" i="46"/>
  <c r="AH306" i="46"/>
  <c r="AH346" i="46"/>
  <c r="AH67" i="46"/>
  <c r="AH173" i="46"/>
  <c r="AH250" i="46"/>
  <c r="AH315" i="46"/>
  <c r="AH29" i="46"/>
  <c r="AH106" i="46"/>
  <c r="AH140" i="46"/>
  <c r="AH217" i="46"/>
  <c r="AH284" i="46"/>
  <c r="AH154" i="46"/>
  <c r="AH297" i="46"/>
  <c r="AH121" i="46"/>
  <c r="AH189" i="46"/>
  <c r="AH265" i="46"/>
  <c r="AH330" i="46"/>
  <c r="AH122" i="46"/>
  <c r="AH195" i="46"/>
  <c r="AH331" i="46"/>
  <c r="AH200" i="46"/>
  <c r="AH300" i="46"/>
  <c r="AH56" i="46"/>
  <c r="AH235" i="46"/>
  <c r="AH91" i="46"/>
  <c r="AH236" i="46"/>
  <c r="AH338" i="46"/>
  <c r="AH35" i="46"/>
  <c r="AH73" i="46"/>
  <c r="AH107" i="46"/>
  <c r="AH141" i="46"/>
  <c r="AH184" i="46"/>
  <c r="AH218" i="46"/>
  <c r="AH252" i="46"/>
  <c r="AH285" i="46"/>
  <c r="AH317" i="46"/>
  <c r="AH40" i="46"/>
  <c r="AH74" i="46"/>
  <c r="AH108" i="46"/>
  <c r="AH147" i="46"/>
  <c r="AH185" i="46"/>
  <c r="AH219" i="46"/>
  <c r="AH253" i="46"/>
  <c r="AH290" i="46"/>
  <c r="AH322" i="46"/>
  <c r="AH41" i="46"/>
  <c r="AH75" i="46"/>
  <c r="AH109" i="46"/>
  <c r="AH152" i="46"/>
  <c r="AH186" i="46"/>
  <c r="AH220" i="46"/>
  <c r="AH258" i="46"/>
  <c r="AH291" i="46"/>
  <c r="AH323" i="46"/>
  <c r="AH42" i="46"/>
  <c r="AH76" i="46"/>
  <c r="AH115" i="46"/>
  <c r="AH153" i="46"/>
  <c r="AH187" i="46"/>
  <c r="AH221" i="46"/>
  <c r="AH259" i="46"/>
  <c r="AH296" i="46"/>
  <c r="AH328" i="46"/>
  <c r="AH43" i="46"/>
  <c r="AH77" i="46"/>
  <c r="AH120" i="46"/>
  <c r="AH188" i="46"/>
  <c r="AH264" i="46"/>
  <c r="AH44" i="46"/>
  <c r="AH155" i="46"/>
  <c r="AH298" i="46"/>
  <c r="AH88" i="46"/>
  <c r="AH156" i="46"/>
  <c r="AH266" i="46"/>
  <c r="AH299" i="46"/>
  <c r="AH89" i="46"/>
  <c r="AH123" i="46"/>
  <c r="AH234" i="46"/>
  <c r="AH90" i="46"/>
  <c r="AH201" i="46"/>
  <c r="AH301" i="46"/>
  <c r="AH57" i="46"/>
  <c r="AH168" i="46"/>
  <c r="AH269" i="46"/>
  <c r="U14" i="46"/>
  <c r="N14" i="46" s="1"/>
  <c r="U30" i="46"/>
  <c r="N30" i="46" s="1"/>
  <c r="U46" i="46"/>
  <c r="N46" i="46" s="1"/>
  <c r="U62" i="46"/>
  <c r="N62" i="46" s="1"/>
  <c r="U78" i="46"/>
  <c r="N78" i="46" s="1"/>
  <c r="U94" i="46"/>
  <c r="N94" i="46" s="1"/>
  <c r="U110" i="46"/>
  <c r="N110" i="46" s="1"/>
  <c r="U126" i="46"/>
  <c r="N126" i="46" s="1"/>
  <c r="U142" i="46"/>
  <c r="N142" i="46" s="1"/>
  <c r="U158" i="46"/>
  <c r="N158" i="46" s="1"/>
  <c r="U174" i="46"/>
  <c r="N174" i="46" s="1"/>
  <c r="U190" i="46"/>
  <c r="N190" i="46" s="1"/>
  <c r="U206" i="46"/>
  <c r="U222" i="46"/>
  <c r="N222" i="46" s="1"/>
  <c r="U238" i="46"/>
  <c r="N238" i="46" s="1"/>
  <c r="U254" i="46"/>
  <c r="N254" i="46" s="1"/>
  <c r="U270" i="46"/>
  <c r="N270" i="46" s="1"/>
  <c r="U286" i="46"/>
  <c r="N286" i="46" s="1"/>
  <c r="U302" i="46"/>
  <c r="N302" i="46" s="1"/>
  <c r="U318" i="46"/>
  <c r="N318" i="46" s="1"/>
  <c r="U334" i="46"/>
  <c r="N334" i="46" s="1"/>
  <c r="U15" i="46"/>
  <c r="N15" i="46" s="1"/>
  <c r="U31" i="46"/>
  <c r="N31" i="46" s="1"/>
  <c r="U47" i="46"/>
  <c r="N47" i="46" s="1"/>
  <c r="U63" i="46"/>
  <c r="N63" i="46" s="1"/>
  <c r="U79" i="46"/>
  <c r="N79" i="46" s="1"/>
  <c r="U95" i="46"/>
  <c r="U111" i="46"/>
  <c r="N111" i="46" s="1"/>
  <c r="U127" i="46"/>
  <c r="N127" i="46" s="1"/>
  <c r="U143" i="46"/>
  <c r="N143" i="46" s="1"/>
  <c r="U159" i="46"/>
  <c r="U175" i="46"/>
  <c r="N175" i="46" s="1"/>
  <c r="U191" i="46"/>
  <c r="U207" i="46"/>
  <c r="N207" i="46" s="1"/>
  <c r="U223" i="46"/>
  <c r="N223" i="46" s="1"/>
  <c r="U239" i="46"/>
  <c r="N239" i="46" s="1"/>
  <c r="U255" i="46"/>
  <c r="N255" i="46" s="1"/>
  <c r="U271" i="46"/>
  <c r="N271" i="46" s="1"/>
  <c r="U287" i="46"/>
  <c r="N287" i="46" s="1"/>
  <c r="U303" i="46"/>
  <c r="N303" i="46" s="1"/>
  <c r="U319" i="46"/>
  <c r="N319" i="46" s="1"/>
  <c r="U335" i="46"/>
  <c r="N335" i="46" s="1"/>
  <c r="U16" i="46"/>
  <c r="N16" i="46" s="1"/>
  <c r="U32" i="46"/>
  <c r="N32" i="46" s="1"/>
  <c r="U48" i="46"/>
  <c r="N48" i="46" s="1"/>
  <c r="U64" i="46"/>
  <c r="N64" i="46" s="1"/>
  <c r="U80" i="46"/>
  <c r="N80" i="46" s="1"/>
  <c r="U96" i="46"/>
  <c r="N96" i="46" s="1"/>
  <c r="U112" i="46"/>
  <c r="N112" i="46" s="1"/>
  <c r="U128" i="46"/>
  <c r="U144" i="46"/>
  <c r="N144" i="46" s="1"/>
  <c r="U160" i="46"/>
  <c r="N160" i="46" s="1"/>
  <c r="U176" i="46"/>
  <c r="N176" i="46" s="1"/>
  <c r="U192" i="46"/>
  <c r="N192" i="46" s="1"/>
  <c r="U208" i="46"/>
  <c r="N208" i="46" s="1"/>
  <c r="U224" i="46"/>
  <c r="N224" i="46" s="1"/>
  <c r="U240" i="46"/>
  <c r="N240" i="46" s="1"/>
  <c r="U256" i="46"/>
  <c r="N256" i="46" s="1"/>
  <c r="U272" i="46"/>
  <c r="N272" i="46" s="1"/>
  <c r="U288" i="46"/>
  <c r="N288" i="46" s="1"/>
  <c r="U304" i="46"/>
  <c r="U320" i="46"/>
  <c r="N320" i="46" s="1"/>
  <c r="U336" i="46"/>
  <c r="N336" i="46" s="1"/>
  <c r="U17" i="46"/>
  <c r="N17" i="46" s="1"/>
  <c r="U33" i="46"/>
  <c r="N33" i="46" s="1"/>
  <c r="U49" i="46"/>
  <c r="U65" i="46"/>
  <c r="N65" i="46" s="1"/>
  <c r="U81" i="46"/>
  <c r="N81" i="46" s="1"/>
  <c r="U97" i="46"/>
  <c r="N97" i="46" s="1"/>
  <c r="U113" i="46"/>
  <c r="N113" i="46" s="1"/>
  <c r="U129" i="46"/>
  <c r="N129" i="46" s="1"/>
  <c r="U145" i="46"/>
  <c r="N145" i="46" s="1"/>
  <c r="U161" i="46"/>
  <c r="N161" i="46" s="1"/>
  <c r="U177" i="46"/>
  <c r="N177" i="46" s="1"/>
  <c r="U193" i="46"/>
  <c r="N193" i="46" s="1"/>
  <c r="U209" i="46"/>
  <c r="N209" i="46" s="1"/>
  <c r="U225" i="46"/>
  <c r="N225" i="46" s="1"/>
  <c r="U241" i="46"/>
  <c r="N241" i="46" s="1"/>
  <c r="U257" i="46"/>
  <c r="N257" i="46" s="1"/>
  <c r="U273" i="46"/>
  <c r="N273" i="46" s="1"/>
  <c r="U289" i="46"/>
  <c r="U305" i="46"/>
  <c r="N305" i="46" s="1"/>
  <c r="U321" i="46"/>
  <c r="N321" i="46" s="1"/>
  <c r="U337" i="46"/>
  <c r="N337" i="46" s="1"/>
  <c r="U18" i="46"/>
  <c r="N18" i="46" s="1"/>
  <c r="U21" i="46"/>
  <c r="N21" i="46" s="1"/>
  <c r="U41" i="46"/>
  <c r="N41" i="46" s="1"/>
  <c r="U61" i="46"/>
  <c r="N61" i="46" s="1"/>
  <c r="U85" i="46"/>
  <c r="N85" i="46" s="1"/>
  <c r="U105" i="46"/>
  <c r="N105" i="46" s="1"/>
  <c r="U125" i="46"/>
  <c r="U149" i="46"/>
  <c r="N149" i="46" s="1"/>
  <c r="U169" i="46"/>
  <c r="N169" i="46" s="1"/>
  <c r="U189" i="46"/>
  <c r="N189" i="46" s="1"/>
  <c r="U213" i="46"/>
  <c r="N213" i="46" s="1"/>
  <c r="U233" i="46"/>
  <c r="N233" i="46" s="1"/>
  <c r="U253" i="46"/>
  <c r="U277" i="46"/>
  <c r="N277" i="46" s="1"/>
  <c r="U297" i="46"/>
  <c r="N297" i="46" s="1"/>
  <c r="U317" i="46"/>
  <c r="N317" i="46" s="1"/>
  <c r="U341" i="46"/>
  <c r="N341" i="46" s="1"/>
  <c r="U22" i="46"/>
  <c r="N22" i="46" s="1"/>
  <c r="U42" i="46"/>
  <c r="N42" i="46" s="1"/>
  <c r="U66" i="46"/>
  <c r="N66" i="46" s="1"/>
  <c r="U86" i="46"/>
  <c r="N86" i="46" s="1"/>
  <c r="U106" i="46"/>
  <c r="N106" i="46" s="1"/>
  <c r="U130" i="46"/>
  <c r="N130" i="46" s="1"/>
  <c r="U150" i="46"/>
  <c r="N150" i="46" s="1"/>
  <c r="U170" i="46"/>
  <c r="N170" i="46" s="1"/>
  <c r="U194" i="46"/>
  <c r="N194" i="46" s="1"/>
  <c r="U214" i="46"/>
  <c r="N214" i="46" s="1"/>
  <c r="U234" i="46"/>
  <c r="N234" i="46" s="1"/>
  <c r="U258" i="46"/>
  <c r="N258" i="46" s="1"/>
  <c r="U278" i="46"/>
  <c r="N278" i="46" s="1"/>
  <c r="U298" i="46"/>
  <c r="N298" i="46" s="1"/>
  <c r="U322" i="46"/>
  <c r="N322" i="46" s="1"/>
  <c r="U342" i="46"/>
  <c r="N342" i="46" s="1"/>
  <c r="U23" i="46"/>
  <c r="N23" i="46" s="1"/>
  <c r="U43" i="46"/>
  <c r="N43" i="46" s="1"/>
  <c r="U67" i="46"/>
  <c r="N67" i="46" s="1"/>
  <c r="U87" i="46"/>
  <c r="N87" i="46" s="1"/>
  <c r="U107" i="46"/>
  <c r="N107" i="46" s="1"/>
  <c r="U131" i="46"/>
  <c r="N131" i="46" s="1"/>
  <c r="U151" i="46"/>
  <c r="U171" i="46"/>
  <c r="U195" i="46"/>
  <c r="N195" i="46" s="1"/>
  <c r="U215" i="46"/>
  <c r="N215" i="46" s="1"/>
  <c r="U235" i="46"/>
  <c r="N235" i="46" s="1"/>
  <c r="U259" i="46"/>
  <c r="N259" i="46" s="1"/>
  <c r="U279" i="46"/>
  <c r="N279" i="46" s="1"/>
  <c r="U299" i="46"/>
  <c r="N299" i="46" s="1"/>
  <c r="U323" i="46"/>
  <c r="N323" i="46" s="1"/>
  <c r="U343" i="46"/>
  <c r="N343" i="46" s="1"/>
  <c r="U24" i="46"/>
  <c r="N24" i="46" s="1"/>
  <c r="U44" i="46"/>
  <c r="N44" i="46" s="1"/>
  <c r="U68" i="46"/>
  <c r="N68" i="46" s="1"/>
  <c r="U88" i="46"/>
  <c r="N88" i="46" s="1"/>
  <c r="U108" i="46"/>
  <c r="N108" i="46" s="1"/>
  <c r="U132" i="46"/>
  <c r="N132" i="46" s="1"/>
  <c r="U152" i="46"/>
  <c r="N152" i="46" s="1"/>
  <c r="U172" i="46"/>
  <c r="N172" i="46" s="1"/>
  <c r="U196" i="46"/>
  <c r="N196" i="46" s="1"/>
  <c r="U216" i="46"/>
  <c r="N216" i="46" s="1"/>
  <c r="U236" i="46"/>
  <c r="N236" i="46" s="1"/>
  <c r="U260" i="46"/>
  <c r="N260" i="46" s="1"/>
  <c r="U280" i="46"/>
  <c r="N280" i="46" s="1"/>
  <c r="U300" i="46"/>
  <c r="N300" i="46" s="1"/>
  <c r="U324" i="46"/>
  <c r="N324" i="46" s="1"/>
  <c r="U344" i="46"/>
  <c r="N344" i="46" s="1"/>
  <c r="U25" i="46"/>
  <c r="N25" i="46" s="1"/>
  <c r="U45" i="46"/>
  <c r="N45" i="46" s="1"/>
  <c r="U69" i="46"/>
  <c r="N69" i="46" s="1"/>
  <c r="U89" i="46"/>
  <c r="N89" i="46" s="1"/>
  <c r="U109" i="46"/>
  <c r="N109" i="46" s="1"/>
  <c r="U133" i="46"/>
  <c r="N133" i="46" s="1"/>
  <c r="U153" i="46"/>
  <c r="N153" i="46" s="1"/>
  <c r="U173" i="46"/>
  <c r="N173" i="46" s="1"/>
  <c r="U197" i="46"/>
  <c r="N197" i="46" s="1"/>
  <c r="U217" i="46"/>
  <c r="U237" i="46"/>
  <c r="U261" i="46"/>
  <c r="N261" i="46" s="1"/>
  <c r="U281" i="46"/>
  <c r="N281" i="46" s="1"/>
  <c r="U301" i="46"/>
  <c r="N301" i="46" s="1"/>
  <c r="U325" i="46"/>
  <c r="N325" i="46" s="1"/>
  <c r="U345" i="46"/>
  <c r="N345" i="46" s="1"/>
  <c r="U26" i="46"/>
  <c r="N26" i="46" s="1"/>
  <c r="U50" i="46"/>
  <c r="N50" i="46" s="1"/>
  <c r="U70" i="46"/>
  <c r="N70" i="46" s="1"/>
  <c r="U90" i="46"/>
  <c r="N90" i="46" s="1"/>
  <c r="U114" i="46"/>
  <c r="N114" i="46" s="1"/>
  <c r="U19" i="46"/>
  <c r="N19" i="46" s="1"/>
  <c r="U55" i="46"/>
  <c r="N55" i="46" s="1"/>
  <c r="U91" i="46"/>
  <c r="N91" i="46" s="1"/>
  <c r="U121" i="46"/>
  <c r="N121" i="46" s="1"/>
  <c r="U155" i="46"/>
  <c r="N155" i="46" s="1"/>
  <c r="U184" i="46"/>
  <c r="N184" i="46" s="1"/>
  <c r="U218" i="46"/>
  <c r="N218" i="46" s="1"/>
  <c r="U247" i="46"/>
  <c r="N247" i="46" s="1"/>
  <c r="U276" i="46"/>
  <c r="N276" i="46" s="1"/>
  <c r="U310" i="46"/>
  <c r="N310" i="46" s="1"/>
  <c r="U339" i="46"/>
  <c r="N339" i="46" s="1"/>
  <c r="U20" i="46"/>
  <c r="N20" i="46" s="1"/>
  <c r="U56" i="46"/>
  <c r="N56" i="46" s="1"/>
  <c r="U92" i="46"/>
  <c r="N92" i="46" s="1"/>
  <c r="U122" i="46"/>
  <c r="N122" i="46" s="1"/>
  <c r="U156" i="46"/>
  <c r="N156" i="46" s="1"/>
  <c r="U185" i="46"/>
  <c r="N185" i="46" s="1"/>
  <c r="U219" i="46"/>
  <c r="N219" i="46" s="1"/>
  <c r="U248" i="46"/>
  <c r="N248" i="46" s="1"/>
  <c r="U282" i="46"/>
  <c r="U311" i="46"/>
  <c r="N311" i="46" s="1"/>
  <c r="U340" i="46"/>
  <c r="N340" i="46" s="1"/>
  <c r="U252" i="46"/>
  <c r="N252" i="46" s="1"/>
  <c r="U315" i="46"/>
  <c r="N315" i="46" s="1"/>
  <c r="U71" i="46"/>
  <c r="N71" i="46" s="1"/>
  <c r="U165" i="46"/>
  <c r="N165" i="46" s="1"/>
  <c r="U228" i="46"/>
  <c r="N228" i="46" s="1"/>
  <c r="U291" i="46"/>
  <c r="U36" i="46"/>
  <c r="N36" i="46" s="1"/>
  <c r="U137" i="46"/>
  <c r="N137" i="46" s="1"/>
  <c r="U229" i="46"/>
  <c r="N229" i="46" s="1"/>
  <c r="U292" i="46"/>
  <c r="N292" i="46" s="1"/>
  <c r="U37" i="46"/>
  <c r="N37" i="46" s="1"/>
  <c r="U138" i="46"/>
  <c r="N138" i="46" s="1"/>
  <c r="U201" i="46"/>
  <c r="N201" i="46" s="1"/>
  <c r="U264" i="46"/>
  <c r="N264" i="46" s="1"/>
  <c r="U327" i="46"/>
  <c r="N327" i="46" s="1"/>
  <c r="U74" i="46"/>
  <c r="N74" i="46" s="1"/>
  <c r="U104" i="46"/>
  <c r="U168" i="46"/>
  <c r="N168" i="46" s="1"/>
  <c r="U231" i="46"/>
  <c r="N231" i="46" s="1"/>
  <c r="U294" i="46"/>
  <c r="N294" i="46" s="1"/>
  <c r="U75" i="46"/>
  <c r="N75" i="46" s="1"/>
  <c r="U115" i="46"/>
  <c r="N115" i="46" s="1"/>
  <c r="U178" i="46"/>
  <c r="N178" i="46" s="1"/>
  <c r="U266" i="46"/>
  <c r="N266" i="46" s="1"/>
  <c r="U329" i="46"/>
  <c r="N329" i="46" s="1"/>
  <c r="U76" i="46"/>
  <c r="N76" i="46" s="1"/>
  <c r="U116" i="46"/>
  <c r="N116" i="46" s="1"/>
  <c r="U179" i="46"/>
  <c r="N179" i="46" s="1"/>
  <c r="U242" i="46"/>
  <c r="N242" i="46" s="1"/>
  <c r="U296" i="46"/>
  <c r="U51" i="46"/>
  <c r="N51" i="46" s="1"/>
  <c r="U146" i="46"/>
  <c r="N146" i="46" s="1"/>
  <c r="U205" i="46"/>
  <c r="N205" i="46" s="1"/>
  <c r="U268" i="46"/>
  <c r="N268" i="46" s="1"/>
  <c r="U82" i="46"/>
  <c r="N82" i="46" s="1"/>
  <c r="U147" i="46"/>
  <c r="U210" i="46"/>
  <c r="N210" i="46" s="1"/>
  <c r="U307" i="46"/>
  <c r="N307" i="46" s="1"/>
  <c r="U53" i="46"/>
  <c r="N53" i="46" s="1"/>
  <c r="U148" i="46"/>
  <c r="N148" i="46" s="1"/>
  <c r="U245" i="46"/>
  <c r="N245" i="46" s="1"/>
  <c r="U333" i="46"/>
  <c r="N333" i="46" s="1"/>
  <c r="U120" i="46"/>
  <c r="N120" i="46" s="1"/>
  <c r="U212" i="46"/>
  <c r="N212" i="46" s="1"/>
  <c r="U309" i="46"/>
  <c r="U27" i="46"/>
  <c r="N27" i="46" s="1"/>
  <c r="U57" i="46"/>
  <c r="N57" i="46" s="1"/>
  <c r="U93" i="46"/>
  <c r="N93" i="46" s="1"/>
  <c r="U123" i="46"/>
  <c r="N123" i="46" s="1"/>
  <c r="U157" i="46"/>
  <c r="N157" i="46" s="1"/>
  <c r="U186" i="46"/>
  <c r="N186" i="46" s="1"/>
  <c r="U220" i="46"/>
  <c r="N220" i="46" s="1"/>
  <c r="U249" i="46"/>
  <c r="N249" i="46" s="1"/>
  <c r="U283" i="46"/>
  <c r="N283" i="46" s="1"/>
  <c r="U312" i="46"/>
  <c r="U346" i="46"/>
  <c r="N346" i="46" s="1"/>
  <c r="U28" i="46"/>
  <c r="N28" i="46" s="1"/>
  <c r="U58" i="46"/>
  <c r="N58" i="46" s="1"/>
  <c r="U124" i="46"/>
  <c r="N124" i="46" s="1"/>
  <c r="U162" i="46"/>
  <c r="N162" i="46" s="1"/>
  <c r="U187" i="46"/>
  <c r="N187" i="46" s="1"/>
  <c r="U221" i="46"/>
  <c r="N221" i="46" s="1"/>
  <c r="U250" i="46"/>
  <c r="N250" i="46" s="1"/>
  <c r="U284" i="46"/>
  <c r="N284" i="46" s="1"/>
  <c r="U313" i="46"/>
  <c r="N313" i="46" s="1"/>
  <c r="U347" i="46"/>
  <c r="N347" i="46" s="1"/>
  <c r="U29" i="46"/>
  <c r="N29" i="46" s="1"/>
  <c r="U59" i="46"/>
  <c r="N59" i="46" s="1"/>
  <c r="U99" i="46"/>
  <c r="N99" i="46" s="1"/>
  <c r="U134" i="46"/>
  <c r="N134" i="46" s="1"/>
  <c r="U163" i="46"/>
  <c r="N163" i="46" s="1"/>
  <c r="U188" i="46"/>
  <c r="N188" i="46" s="1"/>
  <c r="U251" i="46"/>
  <c r="N251" i="46" s="1"/>
  <c r="U285" i="46"/>
  <c r="N285" i="46" s="1"/>
  <c r="U34" i="46"/>
  <c r="N34" i="46" s="1"/>
  <c r="U100" i="46"/>
  <c r="N100" i="46" s="1"/>
  <c r="U135" i="46"/>
  <c r="N135" i="46" s="1"/>
  <c r="U164" i="46"/>
  <c r="N164" i="46" s="1"/>
  <c r="U198" i="46"/>
  <c r="N198" i="46" s="1"/>
  <c r="U227" i="46"/>
  <c r="N227" i="46" s="1"/>
  <c r="U290" i="46"/>
  <c r="N290" i="46" s="1"/>
  <c r="U35" i="46"/>
  <c r="N35" i="46" s="1"/>
  <c r="U101" i="46"/>
  <c r="N101" i="46" s="1"/>
  <c r="U136" i="46"/>
  <c r="N136" i="46" s="1"/>
  <c r="U199" i="46"/>
  <c r="U262" i="46"/>
  <c r="N262" i="46" s="1"/>
  <c r="U316" i="46"/>
  <c r="N316" i="46" s="1"/>
  <c r="U72" i="46"/>
  <c r="N72" i="46" s="1"/>
  <c r="U102" i="46"/>
  <c r="N102" i="46" s="1"/>
  <c r="U166" i="46"/>
  <c r="U200" i="46"/>
  <c r="N200" i="46" s="1"/>
  <c r="U263" i="46"/>
  <c r="N263" i="46" s="1"/>
  <c r="U326" i="46"/>
  <c r="N326" i="46" s="1"/>
  <c r="U73" i="46"/>
  <c r="U103" i="46"/>
  <c r="N103" i="46" s="1"/>
  <c r="U167" i="46"/>
  <c r="N167" i="46" s="1"/>
  <c r="U230" i="46"/>
  <c r="U293" i="46"/>
  <c r="U38" i="46"/>
  <c r="N38" i="46" s="1"/>
  <c r="U139" i="46"/>
  <c r="N139" i="46" s="1"/>
  <c r="U202" i="46"/>
  <c r="N202" i="46" s="1"/>
  <c r="U265" i="46"/>
  <c r="N265" i="46" s="1"/>
  <c r="U328" i="46"/>
  <c r="N328" i="46" s="1"/>
  <c r="U39" i="46"/>
  <c r="N39" i="46" s="1"/>
  <c r="U140" i="46"/>
  <c r="N140" i="46" s="1"/>
  <c r="U203" i="46"/>
  <c r="N203" i="46" s="1"/>
  <c r="U295" i="46"/>
  <c r="N295" i="46" s="1"/>
  <c r="U40" i="46"/>
  <c r="N40" i="46" s="1"/>
  <c r="U141" i="46"/>
  <c r="U204" i="46"/>
  <c r="U267" i="46"/>
  <c r="N267" i="46" s="1"/>
  <c r="U330" i="46"/>
  <c r="N330" i="46" s="1"/>
  <c r="U77" i="46"/>
  <c r="N77" i="46" s="1"/>
  <c r="U117" i="46"/>
  <c r="N117" i="46" s="1"/>
  <c r="U180" i="46"/>
  <c r="N180" i="46" s="1"/>
  <c r="U243" i="46"/>
  <c r="N243" i="46" s="1"/>
  <c r="U306" i="46"/>
  <c r="U331" i="46"/>
  <c r="N331" i="46" s="1"/>
  <c r="U118" i="46"/>
  <c r="N118" i="46" s="1"/>
  <c r="U181" i="46"/>
  <c r="N181" i="46" s="1"/>
  <c r="U244" i="46"/>
  <c r="N244" i="46" s="1"/>
  <c r="U332" i="46"/>
  <c r="N332" i="46" s="1"/>
  <c r="U83" i="46"/>
  <c r="U182" i="46"/>
  <c r="N182" i="46" s="1"/>
  <c r="U274" i="46"/>
  <c r="U54" i="46"/>
  <c r="N54" i="46" s="1"/>
  <c r="U154" i="46"/>
  <c r="N154" i="46" s="1"/>
  <c r="U246" i="46"/>
  <c r="N246" i="46" s="1"/>
  <c r="U338" i="46"/>
  <c r="N338" i="46" s="1"/>
  <c r="U98" i="46"/>
  <c r="U226" i="46"/>
  <c r="N226" i="46" s="1"/>
  <c r="U314" i="46"/>
  <c r="N314" i="46" s="1"/>
  <c r="U60" i="46"/>
  <c r="N60" i="46" s="1"/>
  <c r="U232" i="46"/>
  <c r="N232" i="46" s="1"/>
  <c r="U52" i="46"/>
  <c r="N52" i="46" s="1"/>
  <c r="U269" i="46"/>
  <c r="N269" i="46" s="1"/>
  <c r="U119" i="46"/>
  <c r="N119" i="46" s="1"/>
  <c r="U211" i="46"/>
  <c r="N211" i="46" s="1"/>
  <c r="U308" i="46"/>
  <c r="N308" i="46" s="1"/>
  <c r="U84" i="46"/>
  <c r="N84" i="46" s="1"/>
  <c r="U183" i="46"/>
  <c r="N183" i="46" s="1"/>
  <c r="U275" i="46"/>
  <c r="N275" i="46" s="1"/>
  <c r="M15" i="46"/>
  <c r="M17" i="46"/>
  <c r="M33" i="46"/>
  <c r="M49" i="46"/>
  <c r="M65" i="46"/>
  <c r="M81" i="46"/>
  <c r="M97" i="46"/>
  <c r="M113" i="46"/>
  <c r="M129" i="46"/>
  <c r="M145" i="46"/>
  <c r="M161" i="46"/>
  <c r="M177" i="46"/>
  <c r="M193" i="46"/>
  <c r="M209" i="46"/>
  <c r="M225" i="46"/>
  <c r="M241" i="46"/>
  <c r="M257" i="46"/>
  <c r="M273" i="46"/>
  <c r="M289" i="46"/>
  <c r="M305" i="46"/>
  <c r="M321" i="46"/>
  <c r="M337" i="46"/>
  <c r="M18" i="46"/>
  <c r="M34" i="46"/>
  <c r="M50" i="46"/>
  <c r="M66" i="46"/>
  <c r="M82" i="46"/>
  <c r="M98" i="46"/>
  <c r="M114" i="46"/>
  <c r="M130" i="46"/>
  <c r="M146" i="46"/>
  <c r="M162" i="46"/>
  <c r="M178" i="46"/>
  <c r="M194" i="46"/>
  <c r="M210" i="46"/>
  <c r="M226" i="46"/>
  <c r="M242" i="46"/>
  <c r="M258" i="46"/>
  <c r="M274" i="46"/>
  <c r="M290" i="46"/>
  <c r="M306" i="46"/>
  <c r="M322" i="46"/>
  <c r="M338" i="46"/>
  <c r="M19" i="46"/>
  <c r="M35" i="46"/>
  <c r="M51" i="46"/>
  <c r="M67" i="46"/>
  <c r="M83" i="46"/>
  <c r="M99" i="46"/>
  <c r="M115" i="46"/>
  <c r="M131" i="46"/>
  <c r="M147" i="46"/>
  <c r="M163" i="46"/>
  <c r="M179" i="46"/>
  <c r="M195" i="46"/>
  <c r="M211" i="46"/>
  <c r="M227" i="46"/>
  <c r="M243" i="46"/>
  <c r="M259" i="46"/>
  <c r="M275" i="46"/>
  <c r="M291" i="46"/>
  <c r="M307" i="46"/>
  <c r="M323" i="46"/>
  <c r="M339" i="46"/>
  <c r="M20" i="46"/>
  <c r="M36" i="46"/>
  <c r="M52" i="46"/>
  <c r="M68" i="46"/>
  <c r="M84" i="46"/>
  <c r="M100" i="46"/>
  <c r="M116" i="46"/>
  <c r="M132" i="46"/>
  <c r="M148" i="46"/>
  <c r="M164" i="46"/>
  <c r="M180" i="46"/>
  <c r="M196" i="46"/>
  <c r="M212" i="46"/>
  <c r="M228" i="46"/>
  <c r="M244" i="46"/>
  <c r="M260" i="46"/>
  <c r="M276" i="46"/>
  <c r="M292" i="46"/>
  <c r="M308" i="46"/>
  <c r="M324" i="46"/>
  <c r="M340" i="46"/>
  <c r="M21" i="46"/>
  <c r="M14" i="46"/>
  <c r="M40" i="46"/>
  <c r="M60" i="46"/>
  <c r="M80" i="46"/>
  <c r="M104" i="46"/>
  <c r="M124" i="46"/>
  <c r="M144" i="46"/>
  <c r="M168" i="46"/>
  <c r="M188" i="46"/>
  <c r="M208" i="46"/>
  <c r="M232" i="46"/>
  <c r="M252" i="46"/>
  <c r="M272" i="46"/>
  <c r="M296" i="46"/>
  <c r="M316" i="46"/>
  <c r="M336" i="46"/>
  <c r="M317" i="46"/>
  <c r="M42" i="46"/>
  <c r="M234" i="46"/>
  <c r="M298" i="46"/>
  <c r="M342" i="46"/>
  <c r="M43" i="46"/>
  <c r="M87" i="46"/>
  <c r="M107" i="46"/>
  <c r="M151" i="46"/>
  <c r="M215" i="46"/>
  <c r="M255" i="46"/>
  <c r="M299" i="46"/>
  <c r="M343" i="46"/>
  <c r="M44" i="46"/>
  <c r="M108" i="46"/>
  <c r="M172" i="46"/>
  <c r="M216" i="46"/>
  <c r="M280" i="46"/>
  <c r="M320" i="46"/>
  <c r="M25" i="46"/>
  <c r="M89" i="46"/>
  <c r="M133" i="46"/>
  <c r="M197" i="46"/>
  <c r="M237" i="46"/>
  <c r="M301" i="46"/>
  <c r="M26" i="46"/>
  <c r="M90" i="46"/>
  <c r="M174" i="46"/>
  <c r="M238" i="46"/>
  <c r="M326" i="46"/>
  <c r="M47" i="46"/>
  <c r="M111" i="46"/>
  <c r="M175" i="46"/>
  <c r="M239" i="46"/>
  <c r="M48" i="46"/>
  <c r="M92" i="46"/>
  <c r="M136" i="46"/>
  <c r="M200" i="46"/>
  <c r="M264" i="46"/>
  <c r="M328" i="46"/>
  <c r="M53" i="46"/>
  <c r="M137" i="46"/>
  <c r="M201" i="46"/>
  <c r="M265" i="46"/>
  <c r="M329" i="46"/>
  <c r="M54" i="46"/>
  <c r="M182" i="46"/>
  <c r="M266" i="46"/>
  <c r="M31" i="46"/>
  <c r="M95" i="46"/>
  <c r="M159" i="46"/>
  <c r="M183" i="46"/>
  <c r="M247" i="46"/>
  <c r="M287" i="46"/>
  <c r="M32" i="46"/>
  <c r="M120" i="46"/>
  <c r="M184" i="46"/>
  <c r="M248" i="46"/>
  <c r="M312" i="46"/>
  <c r="M37" i="46"/>
  <c r="M141" i="46"/>
  <c r="M205" i="46"/>
  <c r="M269" i="46"/>
  <c r="M313" i="46"/>
  <c r="M38" i="46"/>
  <c r="M122" i="46"/>
  <c r="M186" i="46"/>
  <c r="M230" i="46"/>
  <c r="M294" i="46"/>
  <c r="M16" i="46"/>
  <c r="M41" i="46"/>
  <c r="M61" i="46"/>
  <c r="M85" i="46"/>
  <c r="M105" i="46"/>
  <c r="M125" i="46"/>
  <c r="M149" i="46"/>
  <c r="M169" i="46"/>
  <c r="M189" i="46"/>
  <c r="M213" i="46"/>
  <c r="M233" i="46"/>
  <c r="M253" i="46"/>
  <c r="M277" i="46"/>
  <c r="M297" i="46"/>
  <c r="M341" i="46"/>
  <c r="M22" i="46"/>
  <c r="M62" i="46"/>
  <c r="M86" i="46"/>
  <c r="M106" i="46"/>
  <c r="M126" i="46"/>
  <c r="M150" i="46"/>
  <c r="M170" i="46"/>
  <c r="M190" i="46"/>
  <c r="M214" i="46"/>
  <c r="M254" i="46"/>
  <c r="M278" i="46"/>
  <c r="M318" i="46"/>
  <c r="M63" i="46"/>
  <c r="M127" i="46"/>
  <c r="M171" i="46"/>
  <c r="M235" i="46"/>
  <c r="M279" i="46"/>
  <c r="M319" i="46"/>
  <c r="M24" i="46"/>
  <c r="M152" i="46"/>
  <c r="M256" i="46"/>
  <c r="M344" i="46"/>
  <c r="M69" i="46"/>
  <c r="M109" i="46"/>
  <c r="M173" i="46"/>
  <c r="M261" i="46"/>
  <c r="M325" i="46"/>
  <c r="M70" i="46"/>
  <c r="M110" i="46"/>
  <c r="M154" i="46"/>
  <c r="M218" i="46"/>
  <c r="M302" i="46"/>
  <c r="M71" i="46"/>
  <c r="M135" i="46"/>
  <c r="M219" i="46"/>
  <c r="M347" i="46"/>
  <c r="M72" i="46"/>
  <c r="M156" i="46"/>
  <c r="M220" i="46"/>
  <c r="M304" i="46"/>
  <c r="M73" i="46"/>
  <c r="M93" i="46"/>
  <c r="M157" i="46"/>
  <c r="M245" i="46"/>
  <c r="M309" i="46"/>
  <c r="M74" i="46"/>
  <c r="M118" i="46"/>
  <c r="M158" i="46"/>
  <c r="M222" i="46"/>
  <c r="M310" i="46"/>
  <c r="M75" i="46"/>
  <c r="M139" i="46"/>
  <c r="M223" i="46"/>
  <c r="M331" i="46"/>
  <c r="M76" i="46"/>
  <c r="M140" i="46"/>
  <c r="M204" i="46"/>
  <c r="M288" i="46"/>
  <c r="M57" i="46"/>
  <c r="M101" i="46"/>
  <c r="M185" i="46"/>
  <c r="M249" i="46"/>
  <c r="M78" i="46"/>
  <c r="M102" i="46"/>
  <c r="M166" i="46"/>
  <c r="M270" i="46"/>
  <c r="M23" i="46"/>
  <c r="M191" i="46"/>
  <c r="M64" i="46"/>
  <c r="M88" i="46"/>
  <c r="M128" i="46"/>
  <c r="M192" i="46"/>
  <c r="M236" i="46"/>
  <c r="M300" i="46"/>
  <c r="M45" i="46"/>
  <c r="M153" i="46"/>
  <c r="M217" i="46"/>
  <c r="M281" i="46"/>
  <c r="M345" i="46"/>
  <c r="M46" i="46"/>
  <c r="M134" i="46"/>
  <c r="M198" i="46"/>
  <c r="M262" i="46"/>
  <c r="M282" i="46"/>
  <c r="M346" i="46"/>
  <c r="M27" i="46"/>
  <c r="M91" i="46"/>
  <c r="M155" i="46"/>
  <c r="M199" i="46"/>
  <c r="M263" i="46"/>
  <c r="M283" i="46"/>
  <c r="M303" i="46"/>
  <c r="M327" i="46"/>
  <c r="M28" i="46"/>
  <c r="M112" i="46"/>
  <c r="M176" i="46"/>
  <c r="M240" i="46"/>
  <c r="M284" i="46"/>
  <c r="M29" i="46"/>
  <c r="M117" i="46"/>
  <c r="M181" i="46"/>
  <c r="M221" i="46"/>
  <c r="M285" i="46"/>
  <c r="M30" i="46"/>
  <c r="M94" i="46"/>
  <c r="M138" i="46"/>
  <c r="M202" i="46"/>
  <c r="M246" i="46"/>
  <c r="M286" i="46"/>
  <c r="M330" i="46"/>
  <c r="M55" i="46"/>
  <c r="M119" i="46"/>
  <c r="M203" i="46"/>
  <c r="M267" i="46"/>
  <c r="M311" i="46"/>
  <c r="M56" i="46"/>
  <c r="M96" i="46"/>
  <c r="M160" i="46"/>
  <c r="M224" i="46"/>
  <c r="M268" i="46"/>
  <c r="M332" i="46"/>
  <c r="M77" i="46"/>
  <c r="M121" i="46"/>
  <c r="M165" i="46"/>
  <c r="M229" i="46"/>
  <c r="M293" i="46"/>
  <c r="M333" i="46"/>
  <c r="M58" i="46"/>
  <c r="M142" i="46"/>
  <c r="M206" i="46"/>
  <c r="M250" i="46"/>
  <c r="M314" i="46"/>
  <c r="M39" i="46"/>
  <c r="M59" i="46"/>
  <c r="M79" i="46"/>
  <c r="M231" i="46"/>
  <c r="M271" i="46"/>
  <c r="M334" i="46"/>
  <c r="M103" i="46"/>
  <c r="M123" i="46"/>
  <c r="M143" i="46"/>
  <c r="M167" i="46"/>
  <c r="M187" i="46"/>
  <c r="M207" i="46"/>
  <c r="M251" i="46"/>
  <c r="M295" i="46"/>
  <c r="M315" i="46"/>
  <c r="M335" i="46"/>
  <c r="Y54" i="39"/>
  <c r="GW54" i="39"/>
  <c r="HA54" i="39"/>
  <c r="CE54" i="39"/>
  <c r="EK54" i="39"/>
  <c r="E51" i="38"/>
  <c r="J52" i="38"/>
  <c r="BD193" i="46"/>
  <c r="BY131" i="46"/>
  <c r="BD132" i="46"/>
  <c r="BY279" i="46"/>
  <c r="BY295" i="46"/>
  <c r="BY160" i="46"/>
  <c r="BY252" i="46"/>
  <c r="BY147" i="46"/>
  <c r="BY142" i="46"/>
  <c r="P217" i="1"/>
  <c r="BY191" i="46"/>
  <c r="BY67" i="46"/>
  <c r="BY38" i="46"/>
  <c r="BY163" i="46"/>
  <c r="BY36" i="46"/>
  <c r="BY318" i="46"/>
  <c r="BD79" i="46"/>
  <c r="BY287" i="46"/>
  <c r="BD298" i="46"/>
  <c r="BY41" i="46"/>
  <c r="BY128" i="46"/>
  <c r="BC13" i="46"/>
  <c r="BY31" i="46"/>
  <c r="CF13" i="46"/>
  <c r="BY208" i="46"/>
  <c r="BD106" i="46"/>
  <c r="BD147" i="46"/>
  <c r="BY117" i="46"/>
  <c r="BY275" i="46"/>
  <c r="BD96" i="46"/>
  <c r="BY77" i="46"/>
  <c r="BY286" i="46"/>
  <c r="BY342" i="46"/>
  <c r="BY334" i="46"/>
  <c r="BY224" i="46"/>
  <c r="BD95" i="46"/>
  <c r="BD183" i="46"/>
  <c r="N104" i="46"/>
  <c r="BD283" i="46"/>
  <c r="AI345" i="46"/>
  <c r="BD115" i="46"/>
  <c r="BD242" i="46"/>
  <c r="BD63" i="46"/>
  <c r="BY280" i="46"/>
  <c r="AI15" i="46"/>
  <c r="BY212" i="46"/>
  <c r="BY321" i="46"/>
  <c r="BY47" i="46"/>
  <c r="BD182" i="46"/>
  <c r="BD313" i="46"/>
  <c r="BY313" i="46"/>
  <c r="AI155" i="46"/>
  <c r="AI138" i="46"/>
  <c r="BY294" i="46"/>
  <c r="BY200" i="46"/>
  <c r="BD156" i="46"/>
  <c r="BY260" i="46"/>
  <c r="BD21" i="46"/>
  <c r="BD250" i="46"/>
  <c r="BD119" i="46"/>
  <c r="AI166" i="46"/>
  <c r="AI169" i="46"/>
  <c r="N304" i="46"/>
  <c r="BY172" i="46"/>
  <c r="BD218" i="46"/>
  <c r="BD100" i="46"/>
  <c r="AI115" i="46"/>
  <c r="BD37" i="46"/>
  <c r="BD27" i="46"/>
  <c r="BD25" i="46"/>
  <c r="BY70" i="46"/>
  <c r="AI208" i="46"/>
  <c r="BD153" i="46"/>
  <c r="AI233" i="46"/>
  <c r="BD175" i="46"/>
  <c r="BY253" i="46"/>
  <c r="BD108" i="46"/>
  <c r="BY178" i="46"/>
  <c r="BD224" i="46"/>
  <c r="BX13" i="46"/>
  <c r="BY66" i="46"/>
  <c r="BD105" i="46"/>
  <c r="BY71" i="46"/>
  <c r="BY51" i="46"/>
  <c r="BY78" i="46"/>
  <c r="BD61" i="46"/>
  <c r="BY156" i="46"/>
  <c r="BY216" i="46"/>
  <c r="BD159" i="46"/>
  <c r="BY121" i="46"/>
  <c r="BY340" i="46"/>
  <c r="BY210" i="46"/>
  <c r="AI313" i="46"/>
  <c r="BY173" i="46"/>
  <c r="BY307" i="46"/>
  <c r="BY308" i="46"/>
  <c r="BY270" i="46"/>
  <c r="BD73" i="46"/>
  <c r="BD58" i="46"/>
  <c r="BD254" i="46"/>
  <c r="BY149" i="46"/>
  <c r="BD69" i="46"/>
  <c r="BD135" i="46"/>
  <c r="BY249" i="46"/>
  <c r="BD277" i="46"/>
  <c r="BY231" i="46"/>
  <c r="BY289" i="46"/>
  <c r="BD29" i="46"/>
  <c r="BY113" i="46"/>
  <c r="BY34" i="46"/>
  <c r="BY54" i="46"/>
  <c r="BY292" i="46"/>
  <c r="BY60" i="46"/>
  <c r="BY83" i="46"/>
  <c r="BY319" i="46"/>
  <c r="BD109" i="46"/>
  <c r="BD322" i="46"/>
  <c r="BY326" i="46"/>
  <c r="BY283" i="46"/>
  <c r="BD146" i="46"/>
  <c r="M13" i="46"/>
  <c r="BY35" i="46"/>
  <c r="BD287" i="46"/>
  <c r="BD152" i="46"/>
  <c r="AI287" i="46"/>
  <c r="BY298" i="46"/>
  <c r="BD91" i="46"/>
  <c r="AI267" i="46"/>
  <c r="BD259" i="46"/>
  <c r="BD226" i="46"/>
  <c r="BY86" i="46"/>
  <c r="BY301" i="46"/>
  <c r="BY176" i="46"/>
  <c r="AI123" i="46"/>
  <c r="BY28" i="46"/>
  <c r="BY14" i="46"/>
  <c r="BY315" i="46"/>
  <c r="BY338" i="46"/>
  <c r="BY26" i="46"/>
  <c r="BY317" i="46"/>
  <c r="BY201" i="46"/>
  <c r="BY110" i="46"/>
  <c r="BK13" i="46"/>
  <c r="BD199" i="46"/>
  <c r="N141" i="46"/>
  <c r="BY269" i="46"/>
  <c r="BY316" i="46"/>
  <c r="BY235" i="46"/>
  <c r="BY271" i="46"/>
  <c r="BY90" i="46"/>
  <c r="BY305" i="46"/>
  <c r="BY44" i="46"/>
  <c r="BY140" i="46"/>
  <c r="BY62" i="46"/>
  <c r="BY168" i="46"/>
  <c r="BY223" i="46"/>
  <c r="BY46" i="46"/>
  <c r="BD178" i="46"/>
  <c r="BY195" i="46"/>
  <c r="BD230" i="46"/>
  <c r="BD209" i="46"/>
  <c r="BY133" i="46"/>
  <c r="BY94" i="46"/>
  <c r="BD85" i="46"/>
  <c r="BY189" i="46"/>
  <c r="BY141" i="46"/>
  <c r="BY179" i="46"/>
  <c r="BD248" i="46"/>
  <c r="BY75" i="46"/>
  <c r="BY244" i="46"/>
  <c r="BY310" i="46"/>
  <c r="BY196" i="46"/>
  <c r="BY299" i="46"/>
  <c r="BY243" i="46"/>
  <c r="BY302" i="46"/>
  <c r="BY343" i="46"/>
  <c r="BY134" i="46"/>
  <c r="BY49" i="46"/>
  <c r="BY255" i="46"/>
  <c r="AI293" i="46"/>
  <c r="BY192" i="46"/>
  <c r="AI328" i="46"/>
  <c r="AI129" i="46"/>
  <c r="BD41" i="46"/>
  <c r="BY115" i="46"/>
  <c r="BY144" i="46"/>
  <c r="BD121" i="46"/>
  <c r="AI151" i="46"/>
  <c r="AH13" i="46"/>
  <c r="BY203" i="46"/>
  <c r="BY284" i="46"/>
  <c r="BY39" i="46"/>
  <c r="N274" i="46"/>
  <c r="BY264" i="46"/>
  <c r="AI261" i="46"/>
  <c r="BY112" i="46"/>
  <c r="BY89" i="46"/>
  <c r="BY207" i="46"/>
  <c r="BY129" i="46"/>
  <c r="BY234" i="46"/>
  <c r="BD336" i="46"/>
  <c r="AI142" i="46"/>
  <c r="N282" i="46"/>
  <c r="N206" i="46"/>
  <c r="AI31" i="46"/>
  <c r="BY20" i="46"/>
  <c r="BD35" i="46"/>
  <c r="AI312" i="46"/>
  <c r="BY81" i="46"/>
  <c r="BY242" i="46"/>
  <c r="BD300" i="46"/>
  <c r="BY154" i="46"/>
  <c r="BY185" i="46"/>
  <c r="BY153" i="46"/>
  <c r="BD201" i="46"/>
  <c r="BY126" i="46"/>
  <c r="BY250" i="46"/>
  <c r="BY165" i="46"/>
  <c r="BY219" i="46"/>
  <c r="BY337" i="46"/>
  <c r="BD65" i="46"/>
  <c r="AI271" i="46"/>
  <c r="AI36" i="46"/>
  <c r="BD53" i="46"/>
  <c r="BY303" i="46"/>
  <c r="BY108" i="46"/>
  <c r="BD103" i="46"/>
  <c r="AI162" i="46"/>
  <c r="BY347" i="46"/>
  <c r="AI103" i="46"/>
  <c r="BD51" i="46"/>
  <c r="BY228" i="46"/>
  <c r="BY76" i="46"/>
  <c r="BY306" i="46"/>
  <c r="AI303" i="46"/>
  <c r="BY217" i="46"/>
  <c r="BD151" i="46"/>
  <c r="BY332" i="46"/>
  <c r="BD80" i="46"/>
  <c r="N309" i="46"/>
  <c r="BD341" i="46"/>
  <c r="BY328" i="46"/>
  <c r="BY25" i="46"/>
  <c r="AI291" i="46"/>
  <c r="BD24" i="46"/>
  <c r="BY333" i="46"/>
  <c r="BY181" i="46"/>
  <c r="BY276" i="46"/>
  <c r="BY227" i="46"/>
  <c r="BY30" i="46"/>
  <c r="BY202" i="46"/>
  <c r="AI145" i="46"/>
  <c r="BY19" i="46"/>
  <c r="BD261" i="46"/>
  <c r="BD246" i="46"/>
  <c r="BY99" i="46"/>
  <c r="BY331" i="46"/>
  <c r="AI98" i="46"/>
  <c r="BY23" i="46"/>
  <c r="BD323" i="46"/>
  <c r="BY97" i="46"/>
  <c r="N204" i="46"/>
  <c r="BY18" i="46"/>
  <c r="BY92" i="46"/>
  <c r="BY226" i="46"/>
  <c r="BY188" i="46"/>
  <c r="BD93" i="46"/>
  <c r="AI173" i="46"/>
  <c r="BD130" i="46"/>
  <c r="BD104" i="46"/>
  <c r="BY102" i="46"/>
  <c r="BY229" i="46"/>
  <c r="AI218" i="46"/>
  <c r="BY204" i="46"/>
  <c r="BD99" i="46"/>
  <c r="AP13" i="46"/>
  <c r="AI42" i="46"/>
  <c r="U13" i="46"/>
  <c r="N13" i="46" s="1"/>
  <c r="AI195" i="46"/>
  <c r="AI236" i="46"/>
  <c r="P220" i="1"/>
  <c r="J52" i="55"/>
  <c r="E51" i="55"/>
  <c r="Y54" i="37"/>
  <c r="HA54" i="37"/>
  <c r="CE54" i="37"/>
  <c r="GW54" i="37"/>
  <c r="EK54" i="37"/>
  <c r="P221" i="1"/>
  <c r="J52" i="32"/>
  <c r="E51" i="32"/>
  <c r="Y54" i="55"/>
  <c r="CE54" i="55"/>
  <c r="EK54" i="55"/>
  <c r="GW54" i="55"/>
  <c r="HA54" i="55"/>
  <c r="R196" i="1"/>
  <c r="R197" i="1"/>
  <c r="E51" i="37"/>
  <c r="J52" i="37"/>
  <c r="P219" i="1"/>
  <c r="GW54" i="32"/>
  <c r="EK54" i="32"/>
  <c r="CE54" i="32"/>
  <c r="HA54" i="32"/>
  <c r="Y54" i="32"/>
  <c r="R195" i="1"/>
  <c r="P218" i="1"/>
  <c r="R194" i="1"/>
  <c r="R198" i="1"/>
  <c r="P224" i="1"/>
  <c r="P222" i="1"/>
  <c r="E51" i="39"/>
  <c r="J52" i="39"/>
  <c r="EK54" i="38"/>
  <c r="Y54" i="38"/>
  <c r="CE54" i="38"/>
  <c r="GW54" i="38"/>
  <c r="HA54" i="38"/>
  <c r="R200" i="1"/>
  <c r="CC50" i="46" l="1"/>
  <c r="CO50" i="46" s="1"/>
  <c r="BZ50" i="46"/>
  <c r="CA50" i="46" s="1"/>
  <c r="CN50" i="46"/>
  <c r="CE50" i="46"/>
  <c r="CG50" i="46" s="1"/>
  <c r="CH50" i="46" s="1"/>
  <c r="CM50" i="46"/>
  <c r="CB50" i="46"/>
  <c r="CE45" i="46"/>
  <c r="CC45" i="46"/>
  <c r="CO45" i="46" s="1"/>
  <c r="BZ45" i="46"/>
  <c r="CA45" i="46" s="1"/>
  <c r="CN45" i="46"/>
  <c r="CM45" i="46"/>
  <c r="CB45" i="46"/>
  <c r="BD50" i="46"/>
  <c r="BD45" i="46"/>
  <c r="AM50" i="46"/>
  <c r="AY50" i="46" s="1"/>
  <c r="AW50" i="46"/>
  <c r="AJ50" i="46"/>
  <c r="AK50" i="46" s="1"/>
  <c r="AL50" i="46"/>
  <c r="AX50" i="46"/>
  <c r="AO50" i="46"/>
  <c r="AJ45" i="46"/>
  <c r="AK45" i="46" s="1"/>
  <c r="AX45" i="46"/>
  <c r="AO45" i="46"/>
  <c r="AQ45" i="46" s="1"/>
  <c r="AR45" i="46" s="1"/>
  <c r="AM45" i="46"/>
  <c r="AY45" i="46" s="1"/>
  <c r="AW45" i="46"/>
  <c r="AL45" i="46"/>
  <c r="O50" i="46"/>
  <c r="P50" i="46" s="1"/>
  <c r="R50" i="46"/>
  <c r="AD50" i="46" s="1"/>
  <c r="AB50" i="46"/>
  <c r="T50" i="46"/>
  <c r="Q50" i="46"/>
  <c r="AC50" i="46"/>
  <c r="T45" i="46"/>
  <c r="O45" i="46"/>
  <c r="P45" i="46" s="1"/>
  <c r="R45" i="46"/>
  <c r="AD45" i="46" s="1"/>
  <c r="AC45" i="46"/>
  <c r="Q45" i="46"/>
  <c r="AB45" i="46"/>
  <c r="BR323" i="46"/>
  <c r="BG323" i="46"/>
  <c r="BS323" i="46"/>
  <c r="BH323" i="46"/>
  <c r="BT323" i="46" s="1"/>
  <c r="BJ323" i="46"/>
  <c r="BL323" i="46" s="1"/>
  <c r="BM323" i="46" s="1"/>
  <c r="CB276" i="46"/>
  <c r="CM276" i="46"/>
  <c r="BZ276" i="46"/>
  <c r="CA276" i="46" s="1"/>
  <c r="CE276" i="46"/>
  <c r="CC276" i="46"/>
  <c r="CO276" i="46" s="1"/>
  <c r="CN276" i="46"/>
  <c r="AM248" i="46"/>
  <c r="AY248" i="46" s="1"/>
  <c r="AO248" i="46"/>
  <c r="AW248" i="46"/>
  <c r="AL248" i="46"/>
  <c r="AJ248" i="46"/>
  <c r="AK248" i="46" s="1"/>
  <c r="AX248" i="46"/>
  <c r="CM324" i="46"/>
  <c r="CN324" i="46"/>
  <c r="CE324" i="46"/>
  <c r="BZ324" i="46"/>
  <c r="CA324" i="46" s="1"/>
  <c r="CC324" i="46"/>
  <c r="CO324" i="46" s="1"/>
  <c r="CB324" i="46"/>
  <c r="CN103" i="46"/>
  <c r="BZ103" i="46"/>
  <c r="CA103" i="46" s="1"/>
  <c r="CB103" i="46"/>
  <c r="CE103" i="46"/>
  <c r="CC103" i="46"/>
  <c r="CO103" i="46" s="1"/>
  <c r="CM103" i="46"/>
  <c r="BG154" i="46"/>
  <c r="BJ154" i="46"/>
  <c r="BL154" i="46" s="1"/>
  <c r="BM154" i="46" s="1"/>
  <c r="BR154" i="46"/>
  <c r="BS154" i="46"/>
  <c r="BH154" i="46"/>
  <c r="BT154" i="46" s="1"/>
  <c r="AC152" i="46"/>
  <c r="O152" i="46"/>
  <c r="P152" i="46" s="1"/>
  <c r="R152" i="46"/>
  <c r="AD152" i="46" s="1"/>
  <c r="Q152" i="46"/>
  <c r="AB152" i="46"/>
  <c r="T152" i="46"/>
  <c r="Q194" i="46"/>
  <c r="AB194" i="46"/>
  <c r="T194" i="46"/>
  <c r="R194" i="46"/>
  <c r="AD194" i="46" s="1"/>
  <c r="O194" i="46"/>
  <c r="P194" i="46" s="1"/>
  <c r="AC194" i="46"/>
  <c r="CN53" i="46"/>
  <c r="CC53" i="46"/>
  <c r="CO53" i="46" s="1"/>
  <c r="CE53" i="46"/>
  <c r="CM53" i="46"/>
  <c r="CB53" i="46"/>
  <c r="BZ53" i="46"/>
  <c r="CA53" i="46" s="1"/>
  <c r="AX337" i="46"/>
  <c r="AO337" i="46"/>
  <c r="AL337" i="46"/>
  <c r="AM337" i="46"/>
  <c r="AY337" i="46" s="1"/>
  <c r="AJ337" i="46"/>
  <c r="AK337" i="46" s="1"/>
  <c r="AW337" i="46"/>
  <c r="BD123" i="46"/>
  <c r="O90" i="46"/>
  <c r="P90" i="46" s="1"/>
  <c r="AC90" i="46"/>
  <c r="AB90" i="46"/>
  <c r="R90" i="46"/>
  <c r="AD90" i="46" s="1"/>
  <c r="T90" i="46"/>
  <c r="Q90" i="46"/>
  <c r="BG120" i="46"/>
  <c r="BH120" i="46"/>
  <c r="BT120" i="46" s="1"/>
  <c r="BR120" i="46"/>
  <c r="BJ120" i="46"/>
  <c r="BL120" i="46" s="1"/>
  <c r="BM120" i="46" s="1"/>
  <c r="BS120" i="46"/>
  <c r="BS79" i="46"/>
  <c r="BR79" i="46"/>
  <c r="BG79" i="46"/>
  <c r="BJ79" i="46"/>
  <c r="BL79" i="46" s="1"/>
  <c r="BM79" i="46" s="1"/>
  <c r="BH79" i="46"/>
  <c r="BT79" i="46" s="1"/>
  <c r="AW236" i="46"/>
  <c r="AX236" i="46"/>
  <c r="AJ236" i="46"/>
  <c r="AK236" i="46" s="1"/>
  <c r="AO236" i="46"/>
  <c r="AM236" i="46"/>
  <c r="AY236" i="46" s="1"/>
  <c r="AL236" i="46"/>
  <c r="CE139" i="46"/>
  <c r="CC139" i="46"/>
  <c r="CO139" i="46" s="1"/>
  <c r="CN139" i="46"/>
  <c r="CB139" i="46"/>
  <c r="BZ139" i="46"/>
  <c r="CA139" i="46" s="1"/>
  <c r="CM139" i="46"/>
  <c r="R309" i="46"/>
  <c r="AD309" i="46" s="1"/>
  <c r="O309" i="46"/>
  <c r="P309" i="46" s="1"/>
  <c r="T309" i="46"/>
  <c r="AC309" i="46"/>
  <c r="AB309" i="46"/>
  <c r="Q309" i="46"/>
  <c r="R334" i="46"/>
  <c r="AD334" i="46" s="1"/>
  <c r="AC334" i="46"/>
  <c r="O334" i="46"/>
  <c r="P334" i="46" s="1"/>
  <c r="T334" i="46"/>
  <c r="Q334" i="46"/>
  <c r="AB334" i="46"/>
  <c r="BD290" i="46"/>
  <c r="Q33" i="46"/>
  <c r="AB33" i="46"/>
  <c r="R33" i="46"/>
  <c r="AD33" i="46" s="1"/>
  <c r="T33" i="46"/>
  <c r="O33" i="46"/>
  <c r="P33" i="46" s="1"/>
  <c r="AC33" i="46"/>
  <c r="CN63" i="46"/>
  <c r="CM63" i="46"/>
  <c r="CB63" i="46"/>
  <c r="BZ63" i="46"/>
  <c r="CA63" i="46" s="1"/>
  <c r="CE63" i="46"/>
  <c r="CC63" i="46"/>
  <c r="CO63" i="46" s="1"/>
  <c r="Q155" i="46"/>
  <c r="AB155" i="46"/>
  <c r="T155" i="46"/>
  <c r="AC155" i="46"/>
  <c r="O155" i="46"/>
  <c r="P155" i="46" s="1"/>
  <c r="R155" i="46"/>
  <c r="AD155" i="46" s="1"/>
  <c r="AX314" i="46"/>
  <c r="AL314" i="46"/>
  <c r="AW314" i="46"/>
  <c r="AM314" i="46"/>
  <c r="AY314" i="46" s="1"/>
  <c r="AJ314" i="46"/>
  <c r="AK314" i="46" s="1"/>
  <c r="AO314" i="46"/>
  <c r="BD268" i="46"/>
  <c r="BG91" i="46"/>
  <c r="BS91" i="46"/>
  <c r="BJ91" i="46"/>
  <c r="BL91" i="46" s="1"/>
  <c r="BM91" i="46" s="1"/>
  <c r="BH91" i="46"/>
  <c r="BT91" i="46" s="1"/>
  <c r="BR91" i="46"/>
  <c r="BS170" i="46"/>
  <c r="BJ170" i="46"/>
  <c r="BL170" i="46" s="1"/>
  <c r="BM170" i="46" s="1"/>
  <c r="BH170" i="46"/>
  <c r="BT170" i="46" s="1"/>
  <c r="BG170" i="46"/>
  <c r="BR170" i="46"/>
  <c r="AB343" i="46"/>
  <c r="R343" i="46"/>
  <c r="AD343" i="46" s="1"/>
  <c r="Q343" i="46"/>
  <c r="T343" i="46"/>
  <c r="AC343" i="46"/>
  <c r="O343" i="46"/>
  <c r="P343" i="46" s="1"/>
  <c r="AM268" i="46"/>
  <c r="AY268" i="46" s="1"/>
  <c r="AX268" i="46"/>
  <c r="AL268" i="46"/>
  <c r="AJ268" i="46"/>
  <c r="AK268" i="46" s="1"/>
  <c r="AW268" i="46"/>
  <c r="AO268" i="46"/>
  <c r="BD192" i="46"/>
  <c r="AW15" i="46"/>
  <c r="AO15" i="46"/>
  <c r="AM15" i="46"/>
  <c r="AY15" i="46" s="1"/>
  <c r="AX15" i="46"/>
  <c r="AJ15" i="46"/>
  <c r="AK15" i="46" s="1"/>
  <c r="AL15" i="46"/>
  <c r="AJ324" i="46"/>
  <c r="AK324" i="46" s="1"/>
  <c r="AL324" i="46"/>
  <c r="AW324" i="46"/>
  <c r="AX324" i="46"/>
  <c r="AO324" i="46"/>
  <c r="AM324" i="46"/>
  <c r="AY324" i="46" s="1"/>
  <c r="O172" i="46"/>
  <c r="P172" i="46" s="1"/>
  <c r="T172" i="46"/>
  <c r="AB172" i="46"/>
  <c r="AC172" i="46"/>
  <c r="R172" i="46"/>
  <c r="AD172" i="46" s="1"/>
  <c r="Q172" i="46"/>
  <c r="BG246" i="46"/>
  <c r="BH246" i="46"/>
  <c r="BT246" i="46" s="1"/>
  <c r="BJ246" i="46"/>
  <c r="BL246" i="46" s="1"/>
  <c r="BM246" i="46" s="1"/>
  <c r="BR246" i="46"/>
  <c r="BS246" i="46"/>
  <c r="AJ201" i="46"/>
  <c r="AK201" i="46" s="1"/>
  <c r="AW201" i="46"/>
  <c r="AL201" i="46"/>
  <c r="AX201" i="46"/>
  <c r="AM201" i="46"/>
  <c r="AY201" i="46" s="1"/>
  <c r="AO201" i="46"/>
  <c r="O219" i="46"/>
  <c r="P219" i="46" s="1"/>
  <c r="R219" i="46"/>
  <c r="AD219" i="46" s="1"/>
  <c r="Q219" i="46"/>
  <c r="AC219" i="46"/>
  <c r="T219" i="46"/>
  <c r="AB219" i="46"/>
  <c r="AM78" i="46"/>
  <c r="AY78" i="46" s="1"/>
  <c r="AO78" i="46"/>
  <c r="AW78" i="46"/>
  <c r="AL78" i="46"/>
  <c r="AX78" i="46"/>
  <c r="AJ78" i="46"/>
  <c r="AK78" i="46" s="1"/>
  <c r="R301" i="46"/>
  <c r="AD301" i="46" s="1"/>
  <c r="O301" i="46"/>
  <c r="P301" i="46" s="1"/>
  <c r="Q301" i="46"/>
  <c r="T301" i="46"/>
  <c r="AB301" i="46"/>
  <c r="AC301" i="46"/>
  <c r="O305" i="46"/>
  <c r="P305" i="46" s="1"/>
  <c r="T305" i="46"/>
  <c r="AC305" i="46"/>
  <c r="R305" i="46"/>
  <c r="AD305" i="46" s="1"/>
  <c r="Q305" i="46"/>
  <c r="AB305" i="46"/>
  <c r="O16" i="46"/>
  <c r="P16" i="46" s="1"/>
  <c r="T16" i="46"/>
  <c r="AC16" i="46"/>
  <c r="Q16" i="46"/>
  <c r="AB16" i="46"/>
  <c r="R16" i="46"/>
  <c r="AD16" i="46" s="1"/>
  <c r="CC47" i="46"/>
  <c r="CO47" i="46" s="1"/>
  <c r="CE47" i="46"/>
  <c r="BZ47" i="46"/>
  <c r="CA47" i="46" s="1"/>
  <c r="CM47" i="46"/>
  <c r="CN47" i="46"/>
  <c r="CB47" i="46"/>
  <c r="O25" i="46"/>
  <c r="P25" i="46" s="1"/>
  <c r="AC25" i="46"/>
  <c r="AB25" i="46"/>
  <c r="T25" i="46"/>
  <c r="Q25" i="46"/>
  <c r="R25" i="46"/>
  <c r="AD25" i="46" s="1"/>
  <c r="CC128" i="46"/>
  <c r="CO128" i="46" s="1"/>
  <c r="CN128" i="46"/>
  <c r="CM128" i="46"/>
  <c r="CB128" i="46"/>
  <c r="CE128" i="46"/>
  <c r="BZ128" i="46"/>
  <c r="CA128" i="46" s="1"/>
  <c r="CC279" i="46"/>
  <c r="CO279" i="46" s="1"/>
  <c r="BZ279" i="46"/>
  <c r="CA279" i="46" s="1"/>
  <c r="CE279" i="46"/>
  <c r="CM279" i="46"/>
  <c r="CB279" i="46"/>
  <c r="CN279" i="46"/>
  <c r="DR54" i="55"/>
  <c r="DS54" i="55"/>
  <c r="DD54" i="55"/>
  <c r="CR54" i="55"/>
  <c r="CS54" i="55" s="1"/>
  <c r="DP54" i="55"/>
  <c r="BD76" i="46"/>
  <c r="BY98" i="46"/>
  <c r="BY222" i="46"/>
  <c r="AO49" i="46"/>
  <c r="AL49" i="46"/>
  <c r="AX49" i="46"/>
  <c r="AM49" i="46"/>
  <c r="AY49" i="46" s="1"/>
  <c r="AJ49" i="46"/>
  <c r="AK49" i="46" s="1"/>
  <c r="AW49" i="46"/>
  <c r="T274" i="46"/>
  <c r="Q274" i="46"/>
  <c r="AC274" i="46"/>
  <c r="R274" i="46"/>
  <c r="AD274" i="46" s="1"/>
  <c r="O274" i="46"/>
  <c r="P274" i="46" s="1"/>
  <c r="AB274" i="46"/>
  <c r="O242" i="46"/>
  <c r="P242" i="46" s="1"/>
  <c r="R242" i="46"/>
  <c r="AD242" i="46" s="1"/>
  <c r="Q242" i="46"/>
  <c r="AB242" i="46"/>
  <c r="T242" i="46"/>
  <c r="AC242" i="46"/>
  <c r="AO267" i="46"/>
  <c r="AW267" i="46"/>
  <c r="AJ267" i="46"/>
  <c r="AK267" i="46" s="1"/>
  <c r="AL267" i="46"/>
  <c r="AM267" i="46"/>
  <c r="AY267" i="46" s="1"/>
  <c r="AX267" i="46"/>
  <c r="N293" i="46"/>
  <c r="CN238" i="46"/>
  <c r="CE238" i="46"/>
  <c r="CM238" i="46"/>
  <c r="CB238" i="46"/>
  <c r="CC238" i="46"/>
  <c r="CO238" i="46" s="1"/>
  <c r="BZ238" i="46"/>
  <c r="CA238" i="46" s="1"/>
  <c r="O304" i="46"/>
  <c r="P304" i="46" s="1"/>
  <c r="Q304" i="46"/>
  <c r="AC304" i="46"/>
  <c r="T304" i="46"/>
  <c r="R304" i="46"/>
  <c r="AD304" i="46" s="1"/>
  <c r="AB304" i="46"/>
  <c r="Q139" i="46"/>
  <c r="AC139" i="46"/>
  <c r="T139" i="46"/>
  <c r="O139" i="46"/>
  <c r="P139" i="46" s="1"/>
  <c r="AB139" i="46"/>
  <c r="R139" i="46"/>
  <c r="AD139" i="46" s="1"/>
  <c r="AL222" i="46"/>
  <c r="AM222" i="46"/>
  <c r="AY222" i="46" s="1"/>
  <c r="AO222" i="46"/>
  <c r="AW222" i="46"/>
  <c r="AJ222" i="46"/>
  <c r="AK222" i="46" s="1"/>
  <c r="AX222" i="46"/>
  <c r="BD62" i="46"/>
  <c r="AX104" i="46"/>
  <c r="AL104" i="46"/>
  <c r="AW104" i="46"/>
  <c r="AO104" i="46"/>
  <c r="AJ104" i="46"/>
  <c r="AK104" i="46" s="1"/>
  <c r="AM104" i="46"/>
  <c r="AY104" i="46" s="1"/>
  <c r="Q285" i="46"/>
  <c r="R285" i="46"/>
  <c r="AD285" i="46" s="1"/>
  <c r="AC285" i="46"/>
  <c r="O285" i="46"/>
  <c r="P285" i="46" s="1"/>
  <c r="AB285" i="46"/>
  <c r="T285" i="46"/>
  <c r="AL183" i="46"/>
  <c r="AO183" i="46"/>
  <c r="AM183" i="46"/>
  <c r="AY183" i="46" s="1"/>
  <c r="AW183" i="46"/>
  <c r="AJ183" i="46"/>
  <c r="AK183" i="46" s="1"/>
  <c r="AX183" i="46"/>
  <c r="O227" i="46"/>
  <c r="P227" i="46" s="1"/>
  <c r="Q227" i="46"/>
  <c r="T227" i="46"/>
  <c r="AC227" i="46"/>
  <c r="AB227" i="46"/>
  <c r="R227" i="46"/>
  <c r="AD227" i="46" s="1"/>
  <c r="AL120" i="46"/>
  <c r="AW120" i="46"/>
  <c r="AX120" i="46"/>
  <c r="AM120" i="46"/>
  <c r="AY120" i="46" s="1"/>
  <c r="AO120" i="46"/>
  <c r="AJ120" i="46"/>
  <c r="AK120" i="46" s="1"/>
  <c r="AB157" i="46"/>
  <c r="O157" i="46"/>
  <c r="P157" i="46" s="1"/>
  <c r="Q157" i="46"/>
  <c r="T157" i="46"/>
  <c r="AC157" i="46"/>
  <c r="R157" i="46"/>
  <c r="AD157" i="46" s="1"/>
  <c r="T288" i="46"/>
  <c r="AB288" i="46"/>
  <c r="R288" i="46"/>
  <c r="AD288" i="46" s="1"/>
  <c r="AC288" i="46"/>
  <c r="Q288" i="46"/>
  <c r="O288" i="46"/>
  <c r="P288" i="46" s="1"/>
  <c r="T36" i="46"/>
  <c r="AB36" i="46"/>
  <c r="O36" i="46"/>
  <c r="P36" i="46" s="1"/>
  <c r="R36" i="46"/>
  <c r="AD36" i="46" s="1"/>
  <c r="AC36" i="46"/>
  <c r="Q36" i="46"/>
  <c r="AW286" i="46"/>
  <c r="AX286" i="46"/>
  <c r="AL286" i="46"/>
  <c r="AM286" i="46"/>
  <c r="AY286" i="46" s="1"/>
  <c r="AJ286" i="46"/>
  <c r="AK286" i="46" s="1"/>
  <c r="AO286" i="46"/>
  <c r="AC254" i="46"/>
  <c r="Q254" i="46"/>
  <c r="R254" i="46"/>
  <c r="AD254" i="46" s="1"/>
  <c r="T254" i="46"/>
  <c r="AB254" i="46"/>
  <c r="O254" i="46"/>
  <c r="P254" i="46" s="1"/>
  <c r="AM172" i="46"/>
  <c r="AY172" i="46" s="1"/>
  <c r="AL172" i="46"/>
  <c r="AO172" i="46"/>
  <c r="AX172" i="46"/>
  <c r="AW172" i="46"/>
  <c r="AJ172" i="46"/>
  <c r="AK172" i="46" s="1"/>
  <c r="BD59" i="46"/>
  <c r="BD81" i="46"/>
  <c r="CB280" i="46"/>
  <c r="CE280" i="46"/>
  <c r="CN280" i="46"/>
  <c r="CC280" i="46"/>
  <c r="CO280" i="46" s="1"/>
  <c r="BZ280" i="46"/>
  <c r="CA280" i="46" s="1"/>
  <c r="CM280" i="46"/>
  <c r="AC62" i="46"/>
  <c r="Q62" i="46"/>
  <c r="O62" i="46"/>
  <c r="P62" i="46" s="1"/>
  <c r="AB62" i="46"/>
  <c r="R62" i="46"/>
  <c r="AD62" i="46" s="1"/>
  <c r="T62" i="46"/>
  <c r="CN263" i="46"/>
  <c r="CM263" i="46"/>
  <c r="BZ263" i="46"/>
  <c r="CA263" i="46" s="1"/>
  <c r="CB263" i="46"/>
  <c r="CE263" i="46"/>
  <c r="CC263" i="46"/>
  <c r="CO263" i="46" s="1"/>
  <c r="T66" i="46"/>
  <c r="AB66" i="46"/>
  <c r="AC66" i="46"/>
  <c r="O66" i="46"/>
  <c r="P66" i="46" s="1"/>
  <c r="Q66" i="46"/>
  <c r="R66" i="46"/>
  <c r="AD66" i="46" s="1"/>
  <c r="BR298" i="46"/>
  <c r="BG298" i="46"/>
  <c r="BH298" i="46"/>
  <c r="BT298" i="46" s="1"/>
  <c r="BS298" i="46"/>
  <c r="BJ298" i="46"/>
  <c r="BL298" i="46" s="1"/>
  <c r="BM298" i="46" s="1"/>
  <c r="AB244" i="46"/>
  <c r="R244" i="46"/>
  <c r="AD244" i="46" s="1"/>
  <c r="O244" i="46"/>
  <c r="P244" i="46" s="1"/>
  <c r="Q244" i="46"/>
  <c r="AC244" i="46"/>
  <c r="T244" i="46"/>
  <c r="AX210" i="46"/>
  <c r="AW210" i="46"/>
  <c r="AJ210" i="46"/>
  <c r="AK210" i="46" s="1"/>
  <c r="AL210" i="46"/>
  <c r="AM210" i="46"/>
  <c r="AY210" i="46" s="1"/>
  <c r="AO210" i="46"/>
  <c r="O269" i="46"/>
  <c r="P269" i="46" s="1"/>
  <c r="Q269" i="46"/>
  <c r="AB269" i="46"/>
  <c r="R269" i="46"/>
  <c r="AD269" i="46" s="1"/>
  <c r="AC269" i="46"/>
  <c r="T269" i="46"/>
  <c r="O197" i="46"/>
  <c r="P197" i="46" s="1"/>
  <c r="Q197" i="46"/>
  <c r="T197" i="46"/>
  <c r="AC197" i="46"/>
  <c r="R197" i="46"/>
  <c r="AD197" i="46" s="1"/>
  <c r="AB197" i="46"/>
  <c r="BS28" i="46"/>
  <c r="BG28" i="46"/>
  <c r="BH28" i="46"/>
  <c r="BT28" i="46" s="1"/>
  <c r="BJ28" i="46"/>
  <c r="BL28" i="46" s="1"/>
  <c r="BM28" i="46" s="1"/>
  <c r="BR28" i="46"/>
  <c r="T121" i="46"/>
  <c r="O121" i="46"/>
  <c r="P121" i="46" s="1"/>
  <c r="Q121" i="46"/>
  <c r="AB121" i="46"/>
  <c r="R121" i="46"/>
  <c r="AD121" i="46" s="1"/>
  <c r="AC121" i="46"/>
  <c r="CE143" i="46"/>
  <c r="CB143" i="46"/>
  <c r="CN143" i="46"/>
  <c r="CC143" i="46"/>
  <c r="CO143" i="46" s="1"/>
  <c r="CM143" i="46"/>
  <c r="BZ143" i="46"/>
  <c r="CA143" i="46" s="1"/>
  <c r="T94" i="46"/>
  <c r="O94" i="46"/>
  <c r="P94" i="46" s="1"/>
  <c r="AC94" i="46"/>
  <c r="R94" i="46"/>
  <c r="AD94" i="46" s="1"/>
  <c r="Q94" i="46"/>
  <c r="AB94" i="46"/>
  <c r="O55" i="46"/>
  <c r="P55" i="46" s="1"/>
  <c r="Q55" i="46"/>
  <c r="R55" i="46"/>
  <c r="AD55" i="46" s="1"/>
  <c r="AC55" i="46"/>
  <c r="T55" i="46"/>
  <c r="AB55" i="46"/>
  <c r="BZ110" i="46"/>
  <c r="CA110" i="46" s="1"/>
  <c r="CC110" i="46"/>
  <c r="CO110" i="46" s="1"/>
  <c r="CE110" i="46"/>
  <c r="CB110" i="46"/>
  <c r="CN110" i="46"/>
  <c r="CM110" i="46"/>
  <c r="CN201" i="46"/>
  <c r="CB201" i="46"/>
  <c r="CE201" i="46"/>
  <c r="BZ201" i="46"/>
  <c r="CA201" i="46" s="1"/>
  <c r="CM201" i="46"/>
  <c r="CC201" i="46"/>
  <c r="CO201" i="46" s="1"/>
  <c r="AX19" i="46"/>
  <c r="AO19" i="46"/>
  <c r="AW19" i="46"/>
  <c r="AJ19" i="46"/>
  <c r="AK19" i="46" s="1"/>
  <c r="AL19" i="46"/>
  <c r="AM19" i="46"/>
  <c r="AY19" i="46" s="1"/>
  <c r="CB161" i="46"/>
  <c r="CE161" i="46"/>
  <c r="BZ161" i="46"/>
  <c r="CA161" i="46" s="1"/>
  <c r="CN161" i="46"/>
  <c r="CC161" i="46"/>
  <c r="CO161" i="46" s="1"/>
  <c r="CM161" i="46"/>
  <c r="CB233" i="46"/>
  <c r="CE233" i="46"/>
  <c r="CM233" i="46"/>
  <c r="BZ233" i="46"/>
  <c r="CA233" i="46" s="1"/>
  <c r="CC233" i="46"/>
  <c r="CO233" i="46" s="1"/>
  <c r="CN233" i="46"/>
  <c r="BZ326" i="46"/>
  <c r="CA326" i="46" s="1"/>
  <c r="CE326" i="46"/>
  <c r="CM326" i="46"/>
  <c r="CB326" i="46"/>
  <c r="CC326" i="46"/>
  <c r="CO326" i="46" s="1"/>
  <c r="CN326" i="46"/>
  <c r="BJ252" i="46"/>
  <c r="BL252" i="46" s="1"/>
  <c r="BM252" i="46" s="1"/>
  <c r="BG252" i="46"/>
  <c r="BH252" i="46"/>
  <c r="BT252" i="46" s="1"/>
  <c r="BR252" i="46"/>
  <c r="BS252" i="46"/>
  <c r="CC54" i="46"/>
  <c r="CO54" i="46" s="1"/>
  <c r="CM54" i="46"/>
  <c r="BZ54" i="46"/>
  <c r="CA54" i="46" s="1"/>
  <c r="CB54" i="46"/>
  <c r="CE54" i="46"/>
  <c r="CN54" i="46"/>
  <c r="AM242" i="46"/>
  <c r="AY242" i="46" s="1"/>
  <c r="AO242" i="46"/>
  <c r="AJ242" i="46"/>
  <c r="AK242" i="46" s="1"/>
  <c r="AX242" i="46"/>
  <c r="AL242" i="46"/>
  <c r="AW242" i="46"/>
  <c r="AW188" i="46"/>
  <c r="AX188" i="46"/>
  <c r="AM188" i="46"/>
  <c r="AY188" i="46" s="1"/>
  <c r="AJ188" i="46"/>
  <c r="AK188" i="46" s="1"/>
  <c r="AL188" i="46"/>
  <c r="AO188" i="46"/>
  <c r="BJ203" i="46"/>
  <c r="BL203" i="46" s="1"/>
  <c r="BM203" i="46" s="1"/>
  <c r="BR203" i="46"/>
  <c r="BS203" i="46"/>
  <c r="BH203" i="46"/>
  <c r="BT203" i="46" s="1"/>
  <c r="BG203" i="46"/>
  <c r="CM100" i="46"/>
  <c r="CE100" i="46"/>
  <c r="CB100" i="46"/>
  <c r="CC100" i="46"/>
  <c r="CO100" i="46" s="1"/>
  <c r="CN100" i="46"/>
  <c r="BZ100" i="46"/>
  <c r="CA100" i="46" s="1"/>
  <c r="BD176" i="46"/>
  <c r="T46" i="46"/>
  <c r="R46" i="46"/>
  <c r="AD46" i="46" s="1"/>
  <c r="O46" i="46"/>
  <c r="P46" i="46" s="1"/>
  <c r="AB46" i="46"/>
  <c r="AC46" i="46"/>
  <c r="Q46" i="46"/>
  <c r="AC91" i="46"/>
  <c r="AB91" i="46"/>
  <c r="T91" i="46"/>
  <c r="Q91" i="46"/>
  <c r="O91" i="46"/>
  <c r="P91" i="46" s="1"/>
  <c r="R91" i="46"/>
  <c r="AD91" i="46" s="1"/>
  <c r="AC161" i="46"/>
  <c r="T161" i="46"/>
  <c r="R161" i="46"/>
  <c r="AD161" i="46" s="1"/>
  <c r="AB161" i="46"/>
  <c r="Q161" i="46"/>
  <c r="O161" i="46"/>
  <c r="P161" i="46" s="1"/>
  <c r="O322" i="46"/>
  <c r="P322" i="46" s="1"/>
  <c r="AB322" i="46"/>
  <c r="Q322" i="46"/>
  <c r="AC322" i="46"/>
  <c r="T322" i="46"/>
  <c r="R322" i="46"/>
  <c r="AD322" i="46" s="1"/>
  <c r="AI137" i="46"/>
  <c r="CE300" i="46"/>
  <c r="CN300" i="46"/>
  <c r="CM300" i="46"/>
  <c r="CB300" i="46"/>
  <c r="CC300" i="46"/>
  <c r="CO300" i="46" s="1"/>
  <c r="BZ300" i="46"/>
  <c r="CA300" i="46" s="1"/>
  <c r="CB169" i="46"/>
  <c r="CC169" i="46"/>
  <c r="CO169" i="46" s="1"/>
  <c r="CE169" i="46"/>
  <c r="CM169" i="46"/>
  <c r="BZ169" i="46"/>
  <c r="CA169" i="46" s="1"/>
  <c r="CN169" i="46"/>
  <c r="Q335" i="46"/>
  <c r="AC335" i="46"/>
  <c r="R335" i="46"/>
  <c r="AD335" i="46" s="1"/>
  <c r="T335" i="46"/>
  <c r="O335" i="46"/>
  <c r="P335" i="46" s="1"/>
  <c r="AB335" i="46"/>
  <c r="CM321" i="46"/>
  <c r="CE321" i="46"/>
  <c r="CN321" i="46"/>
  <c r="BZ321" i="46"/>
  <c r="CA321" i="46" s="1"/>
  <c r="CB321" i="46"/>
  <c r="CC321" i="46"/>
  <c r="CO321" i="46" s="1"/>
  <c r="AX244" i="46"/>
  <c r="AW244" i="46"/>
  <c r="AL244" i="46"/>
  <c r="AO244" i="46"/>
  <c r="AJ244" i="46"/>
  <c r="AK244" i="46" s="1"/>
  <c r="AM244" i="46"/>
  <c r="AY244" i="46" s="1"/>
  <c r="AC105" i="46"/>
  <c r="R105" i="46"/>
  <c r="AD105" i="46" s="1"/>
  <c r="Q105" i="46"/>
  <c r="T105" i="46"/>
  <c r="AB105" i="46"/>
  <c r="O105" i="46"/>
  <c r="P105" i="46" s="1"/>
  <c r="BG283" i="46"/>
  <c r="BR283" i="46"/>
  <c r="BS283" i="46"/>
  <c r="BH283" i="46"/>
  <c r="BT283" i="46" s="1"/>
  <c r="BJ283" i="46"/>
  <c r="BL283" i="46" s="1"/>
  <c r="BM283" i="46" s="1"/>
  <c r="CE224" i="46"/>
  <c r="BZ224" i="46"/>
  <c r="CA224" i="46" s="1"/>
  <c r="CM224" i="46"/>
  <c r="CC224" i="46"/>
  <c r="CO224" i="46" s="1"/>
  <c r="CN224" i="46"/>
  <c r="CB224" i="46"/>
  <c r="AW43" i="46"/>
  <c r="AJ43" i="46"/>
  <c r="AK43" i="46" s="1"/>
  <c r="AL43" i="46"/>
  <c r="AX43" i="46"/>
  <c r="AM43" i="46"/>
  <c r="AY43" i="46" s="1"/>
  <c r="AO43" i="46"/>
  <c r="AB30" i="46"/>
  <c r="T30" i="46"/>
  <c r="AC30" i="46"/>
  <c r="Q30" i="46"/>
  <c r="O30" i="46"/>
  <c r="P30" i="46" s="1"/>
  <c r="R30" i="46"/>
  <c r="AD30" i="46" s="1"/>
  <c r="BS343" i="46"/>
  <c r="BJ343" i="46"/>
  <c r="BL343" i="46" s="1"/>
  <c r="BM343" i="46" s="1"/>
  <c r="BH343" i="46"/>
  <c r="BT343" i="46" s="1"/>
  <c r="BG343" i="46"/>
  <c r="BR343" i="46"/>
  <c r="AJ321" i="46"/>
  <c r="AK321" i="46" s="1"/>
  <c r="AO321" i="46"/>
  <c r="AX321" i="46"/>
  <c r="AM321" i="46"/>
  <c r="AY321" i="46" s="1"/>
  <c r="AW321" i="46"/>
  <c r="AL321" i="46"/>
  <c r="CB41" i="46"/>
  <c r="BZ41" i="46"/>
  <c r="CA41" i="46" s="1"/>
  <c r="CM41" i="46"/>
  <c r="CN41" i="46"/>
  <c r="CC41" i="46"/>
  <c r="CO41" i="46" s="1"/>
  <c r="CE41" i="46"/>
  <c r="AC332" i="46"/>
  <c r="T332" i="46"/>
  <c r="AB332" i="46"/>
  <c r="Q332" i="46"/>
  <c r="R332" i="46"/>
  <c r="AD332" i="46" s="1"/>
  <c r="O332" i="46"/>
  <c r="P332" i="46" s="1"/>
  <c r="BS197" i="46"/>
  <c r="BH197" i="46"/>
  <c r="BT197" i="46" s="1"/>
  <c r="BR197" i="46"/>
  <c r="BJ197" i="46"/>
  <c r="BL197" i="46" s="1"/>
  <c r="BM197" i="46" s="1"/>
  <c r="BG197" i="46"/>
  <c r="AC286" i="46"/>
  <c r="Q286" i="46"/>
  <c r="AB286" i="46"/>
  <c r="R286" i="46"/>
  <c r="AD286" i="46" s="1"/>
  <c r="T286" i="46"/>
  <c r="O286" i="46"/>
  <c r="P286" i="46" s="1"/>
  <c r="BY220" i="46"/>
  <c r="BY15" i="46"/>
  <c r="CE164" i="46"/>
  <c r="CB164" i="46"/>
  <c r="CC164" i="46"/>
  <c r="CO164" i="46" s="1"/>
  <c r="CM164" i="46"/>
  <c r="CN164" i="46"/>
  <c r="BZ164" i="46"/>
  <c r="CA164" i="46" s="1"/>
  <c r="BL54" i="32"/>
  <c r="AL54" i="32"/>
  <c r="AM54" i="32" s="1"/>
  <c r="AX54" i="32"/>
  <c r="BJ54" i="32"/>
  <c r="BM54" i="32"/>
  <c r="AB239" i="46"/>
  <c r="O239" i="46"/>
  <c r="P239" i="46" s="1"/>
  <c r="R239" i="46"/>
  <c r="AD239" i="46" s="1"/>
  <c r="AC239" i="46"/>
  <c r="Q239" i="46"/>
  <c r="T239" i="46"/>
  <c r="CB204" i="46"/>
  <c r="BZ204" i="46"/>
  <c r="CA204" i="46" s="1"/>
  <c r="CM204" i="46"/>
  <c r="CE204" i="46"/>
  <c r="CN204" i="46"/>
  <c r="CC204" i="46"/>
  <c r="CO204" i="46" s="1"/>
  <c r="BS104" i="46"/>
  <c r="BG104" i="46"/>
  <c r="BH104" i="46"/>
  <c r="BT104" i="46" s="1"/>
  <c r="BJ104" i="46"/>
  <c r="BL104" i="46" s="1"/>
  <c r="BM104" i="46" s="1"/>
  <c r="BR104" i="46"/>
  <c r="CE226" i="46"/>
  <c r="CN226" i="46"/>
  <c r="CB226" i="46"/>
  <c r="BZ226" i="46"/>
  <c r="CA226" i="46" s="1"/>
  <c r="CC226" i="46"/>
  <c r="CO226" i="46" s="1"/>
  <c r="CM226" i="46"/>
  <c r="AC185" i="46"/>
  <c r="T185" i="46"/>
  <c r="R185" i="46"/>
  <c r="AD185" i="46" s="1"/>
  <c r="O185" i="46"/>
  <c r="P185" i="46" s="1"/>
  <c r="AB185" i="46"/>
  <c r="Q185" i="46"/>
  <c r="CN16" i="46"/>
  <c r="CE16" i="46"/>
  <c r="BZ16" i="46"/>
  <c r="CA16" i="46" s="1"/>
  <c r="CC16" i="46"/>
  <c r="CO16" i="46" s="1"/>
  <c r="CM16" i="46"/>
  <c r="CB16" i="46"/>
  <c r="O114" i="46"/>
  <c r="P114" i="46" s="1"/>
  <c r="AC114" i="46"/>
  <c r="Q114" i="46"/>
  <c r="AB114" i="46"/>
  <c r="T114" i="46"/>
  <c r="R114" i="46"/>
  <c r="AD114" i="46" s="1"/>
  <c r="BD181" i="46"/>
  <c r="CE167" i="46"/>
  <c r="CC167" i="46"/>
  <c r="CO167" i="46" s="1"/>
  <c r="CN167" i="46"/>
  <c r="CM167" i="46"/>
  <c r="CB167" i="46"/>
  <c r="BZ167" i="46"/>
  <c r="CA167" i="46" s="1"/>
  <c r="CC30" i="46"/>
  <c r="CO30" i="46" s="1"/>
  <c r="CB30" i="46"/>
  <c r="CE30" i="46"/>
  <c r="CN30" i="46"/>
  <c r="CM30" i="46"/>
  <c r="BZ30" i="46"/>
  <c r="CA30" i="46" s="1"/>
  <c r="CB333" i="46"/>
  <c r="CC333" i="46"/>
  <c r="CO333" i="46" s="1"/>
  <c r="CN333" i="46"/>
  <c r="CM333" i="46"/>
  <c r="CE333" i="46"/>
  <c r="BZ333" i="46"/>
  <c r="CA333" i="46" s="1"/>
  <c r="CE136" i="46"/>
  <c r="CN136" i="46"/>
  <c r="CC136" i="46"/>
  <c r="CO136" i="46" s="1"/>
  <c r="BZ136" i="46"/>
  <c r="CA136" i="46" s="1"/>
  <c r="CM136" i="46"/>
  <c r="CB136" i="46"/>
  <c r="BR80" i="46"/>
  <c r="BG80" i="46"/>
  <c r="BS80" i="46"/>
  <c r="BJ80" i="46"/>
  <c r="BL80" i="46" s="1"/>
  <c r="BM80" i="46" s="1"/>
  <c r="BH80" i="46"/>
  <c r="BT80" i="46" s="1"/>
  <c r="BD116" i="46"/>
  <c r="T218" i="46"/>
  <c r="AB218" i="46"/>
  <c r="Q218" i="46"/>
  <c r="O218" i="46"/>
  <c r="P218" i="46" s="1"/>
  <c r="AC218" i="46"/>
  <c r="R218" i="46"/>
  <c r="AD218" i="46" s="1"/>
  <c r="CE76" i="46"/>
  <c r="CC76" i="46"/>
  <c r="CO76" i="46" s="1"/>
  <c r="CB76" i="46"/>
  <c r="CN76" i="46"/>
  <c r="CM76" i="46"/>
  <c r="BZ76" i="46"/>
  <c r="CA76" i="46" s="1"/>
  <c r="BR294" i="46"/>
  <c r="BJ294" i="46"/>
  <c r="BL294" i="46" s="1"/>
  <c r="BM294" i="46" s="1"/>
  <c r="BS294" i="46"/>
  <c r="BG294" i="46"/>
  <c r="BH294" i="46"/>
  <c r="BT294" i="46" s="1"/>
  <c r="AL154" i="46"/>
  <c r="AW154" i="46"/>
  <c r="AO154" i="46"/>
  <c r="AM154" i="46"/>
  <c r="AY154" i="46" s="1"/>
  <c r="AX154" i="46"/>
  <c r="AJ154" i="46"/>
  <c r="AK154" i="46" s="1"/>
  <c r="BG46" i="46"/>
  <c r="BJ46" i="46"/>
  <c r="BL46" i="46" s="1"/>
  <c r="BM46" i="46" s="1"/>
  <c r="BH46" i="46"/>
  <c r="BT46" i="46" s="1"/>
  <c r="BR46" i="46"/>
  <c r="BS46" i="46"/>
  <c r="AX162" i="46"/>
  <c r="AL162" i="46"/>
  <c r="AO162" i="46"/>
  <c r="AM162" i="46"/>
  <c r="AY162" i="46" s="1"/>
  <c r="AW162" i="46"/>
  <c r="AJ162" i="46"/>
  <c r="AK162" i="46" s="1"/>
  <c r="AB319" i="46"/>
  <c r="R319" i="46"/>
  <c r="AD319" i="46" s="1"/>
  <c r="AC319" i="46"/>
  <c r="O319" i="46"/>
  <c r="P319" i="46" s="1"/>
  <c r="T319" i="46"/>
  <c r="Q319" i="46"/>
  <c r="AM252" i="46"/>
  <c r="AY252" i="46" s="1"/>
  <c r="AX252" i="46"/>
  <c r="AL252" i="46"/>
  <c r="AO252" i="46"/>
  <c r="AW252" i="46"/>
  <c r="AJ252" i="46"/>
  <c r="AK252" i="46" s="1"/>
  <c r="CN165" i="46"/>
  <c r="CM165" i="46"/>
  <c r="CE165" i="46"/>
  <c r="CC165" i="46"/>
  <c r="CO165" i="46" s="1"/>
  <c r="CB165" i="46"/>
  <c r="BZ165" i="46"/>
  <c r="CA165" i="46" s="1"/>
  <c r="BY304" i="46"/>
  <c r="AC37" i="46"/>
  <c r="R37" i="46"/>
  <c r="AD37" i="46" s="1"/>
  <c r="T37" i="46"/>
  <c r="Q37" i="46"/>
  <c r="AB37" i="46"/>
  <c r="O37" i="46"/>
  <c r="P37" i="46" s="1"/>
  <c r="AC177" i="46"/>
  <c r="Q177" i="46"/>
  <c r="T177" i="46"/>
  <c r="R177" i="46"/>
  <c r="AD177" i="46" s="1"/>
  <c r="O177" i="46"/>
  <c r="P177" i="46" s="1"/>
  <c r="AB177" i="46"/>
  <c r="O87" i="46"/>
  <c r="P87" i="46" s="1"/>
  <c r="T87" i="46"/>
  <c r="Q87" i="46"/>
  <c r="AB87" i="46"/>
  <c r="AC87" i="46"/>
  <c r="R87" i="46"/>
  <c r="AD87" i="46" s="1"/>
  <c r="CB246" i="46"/>
  <c r="BZ246" i="46"/>
  <c r="CA246" i="46" s="1"/>
  <c r="CM246" i="46"/>
  <c r="CE246" i="46"/>
  <c r="CN246" i="46"/>
  <c r="CC246" i="46"/>
  <c r="CO246" i="46" s="1"/>
  <c r="AL124" i="46"/>
  <c r="AJ124" i="46"/>
  <c r="AK124" i="46" s="1"/>
  <c r="AO124" i="46"/>
  <c r="AX124" i="46"/>
  <c r="AM124" i="46"/>
  <c r="AY124" i="46" s="1"/>
  <c r="AW124" i="46"/>
  <c r="CB203" i="46"/>
  <c r="CM203" i="46"/>
  <c r="CE203" i="46"/>
  <c r="BZ203" i="46"/>
  <c r="CA203" i="46" s="1"/>
  <c r="CC203" i="46"/>
  <c r="CO203" i="46" s="1"/>
  <c r="CN203" i="46"/>
  <c r="BZ241" i="46"/>
  <c r="CA241" i="46" s="1"/>
  <c r="CC241" i="46"/>
  <c r="CO241" i="46" s="1"/>
  <c r="CM241" i="46"/>
  <c r="CN241" i="46"/>
  <c r="CB241" i="46"/>
  <c r="CE241" i="46"/>
  <c r="BD216" i="46"/>
  <c r="AO80" i="46"/>
  <c r="AX80" i="46"/>
  <c r="AL80" i="46"/>
  <c r="AJ80" i="46"/>
  <c r="AK80" i="46" s="1"/>
  <c r="AW80" i="46"/>
  <c r="AM80" i="46"/>
  <c r="AY80" i="46" s="1"/>
  <c r="AJ238" i="46"/>
  <c r="AK238" i="46" s="1"/>
  <c r="AM238" i="46"/>
  <c r="AY238" i="46" s="1"/>
  <c r="AL238" i="46"/>
  <c r="AW238" i="46"/>
  <c r="AX238" i="46"/>
  <c r="AO238" i="46"/>
  <c r="AM340" i="46"/>
  <c r="AY340" i="46" s="1"/>
  <c r="AL340" i="46"/>
  <c r="AO340" i="46"/>
  <c r="AX340" i="46"/>
  <c r="AW340" i="46"/>
  <c r="AJ340" i="46"/>
  <c r="AK340" i="46" s="1"/>
  <c r="AM283" i="46"/>
  <c r="AY283" i="46" s="1"/>
  <c r="AX283" i="46"/>
  <c r="AW283" i="46"/>
  <c r="AL283" i="46"/>
  <c r="AO283" i="46"/>
  <c r="AJ283" i="46"/>
  <c r="AK283" i="46" s="1"/>
  <c r="AO66" i="46"/>
  <c r="AW66" i="46"/>
  <c r="AX66" i="46"/>
  <c r="AL66" i="46"/>
  <c r="AJ66" i="46"/>
  <c r="AK66" i="46" s="1"/>
  <c r="AM66" i="46"/>
  <c r="AY66" i="46" s="1"/>
  <c r="CM196" i="46"/>
  <c r="CC196" i="46"/>
  <c r="CO196" i="46" s="1"/>
  <c r="CB196" i="46"/>
  <c r="BZ196" i="46"/>
  <c r="CA196" i="46" s="1"/>
  <c r="CN196" i="46"/>
  <c r="CE196" i="46"/>
  <c r="BG15" i="46"/>
  <c r="BH15" i="46"/>
  <c r="BT15" i="46" s="1"/>
  <c r="BS15" i="46"/>
  <c r="BJ15" i="46"/>
  <c r="BL15" i="46" s="1"/>
  <c r="BM15" i="46" s="1"/>
  <c r="BR15" i="46"/>
  <c r="BS209" i="46"/>
  <c r="BJ209" i="46"/>
  <c r="BL209" i="46" s="1"/>
  <c r="BM209" i="46" s="1"/>
  <c r="BR209" i="46"/>
  <c r="BG209" i="46"/>
  <c r="BH209" i="46"/>
  <c r="BT209" i="46" s="1"/>
  <c r="BG178" i="46"/>
  <c r="BH178" i="46"/>
  <c r="BT178" i="46" s="1"/>
  <c r="BS178" i="46"/>
  <c r="BJ178" i="46"/>
  <c r="BL178" i="46" s="1"/>
  <c r="BM178" i="46" s="1"/>
  <c r="BR178" i="46"/>
  <c r="BZ168" i="46"/>
  <c r="CA168" i="46" s="1"/>
  <c r="CM168" i="46"/>
  <c r="CE168" i="46"/>
  <c r="CB168" i="46"/>
  <c r="CN168" i="46"/>
  <c r="CC168" i="46"/>
  <c r="CO168" i="46" s="1"/>
  <c r="BD235" i="46"/>
  <c r="CM316" i="46"/>
  <c r="CC316" i="46"/>
  <c r="CO316" i="46" s="1"/>
  <c r="CE316" i="46"/>
  <c r="BZ316" i="46"/>
  <c r="CA316" i="46" s="1"/>
  <c r="CB316" i="46"/>
  <c r="CN316" i="46"/>
  <c r="AO54" i="46"/>
  <c r="AX54" i="46"/>
  <c r="AW54" i="46"/>
  <c r="AL54" i="46"/>
  <c r="AM54" i="46"/>
  <c r="AY54" i="46" s="1"/>
  <c r="AJ54" i="46"/>
  <c r="AK54" i="46" s="1"/>
  <c r="AI185" i="46"/>
  <c r="BZ258" i="46"/>
  <c r="CA258" i="46" s="1"/>
  <c r="CB258" i="46"/>
  <c r="CC258" i="46"/>
  <c r="CO258" i="46" s="1"/>
  <c r="CM258" i="46"/>
  <c r="CN258" i="46"/>
  <c r="CE258" i="46"/>
  <c r="BJ226" i="46"/>
  <c r="BL226" i="46" s="1"/>
  <c r="BM226" i="46" s="1"/>
  <c r="BH226" i="46"/>
  <c r="BT226" i="46" s="1"/>
  <c r="BS226" i="46"/>
  <c r="BG226" i="46"/>
  <c r="BR226" i="46"/>
  <c r="R198" i="46"/>
  <c r="AD198" i="46" s="1"/>
  <c r="Q198" i="46"/>
  <c r="AB198" i="46"/>
  <c r="AC198" i="46"/>
  <c r="T198" i="46"/>
  <c r="O198" i="46"/>
  <c r="P198" i="46" s="1"/>
  <c r="BR287" i="46"/>
  <c r="BJ287" i="46"/>
  <c r="BL287" i="46" s="1"/>
  <c r="BM287" i="46" s="1"/>
  <c r="BS287" i="46"/>
  <c r="BH287" i="46"/>
  <c r="BT287" i="46" s="1"/>
  <c r="BG287" i="46"/>
  <c r="Q165" i="46"/>
  <c r="O165" i="46"/>
  <c r="P165" i="46" s="1"/>
  <c r="AB165" i="46"/>
  <c r="R165" i="46"/>
  <c r="AD165" i="46" s="1"/>
  <c r="T165" i="46"/>
  <c r="AC165" i="46"/>
  <c r="T136" i="46"/>
  <c r="AB136" i="46"/>
  <c r="AC136" i="46"/>
  <c r="Q136" i="46"/>
  <c r="R136" i="46"/>
  <c r="AD136" i="46" s="1"/>
  <c r="O136" i="46"/>
  <c r="P136" i="46" s="1"/>
  <c r="CB83" i="46"/>
  <c r="CE83" i="46"/>
  <c r="CN83" i="46"/>
  <c r="CC83" i="46"/>
  <c r="CO83" i="46" s="1"/>
  <c r="BZ83" i="46"/>
  <c r="CA83" i="46" s="1"/>
  <c r="CM83" i="46"/>
  <c r="BR277" i="46"/>
  <c r="BJ277" i="46"/>
  <c r="BL277" i="46" s="1"/>
  <c r="BM277" i="46" s="1"/>
  <c r="BS277" i="46"/>
  <c r="BH277" i="46"/>
  <c r="BT277" i="46" s="1"/>
  <c r="BG277" i="46"/>
  <c r="BR58" i="46"/>
  <c r="BH58" i="46"/>
  <c r="BT58" i="46" s="1"/>
  <c r="BS58" i="46"/>
  <c r="BG58" i="46"/>
  <c r="BJ58" i="46"/>
  <c r="BL58" i="46" s="1"/>
  <c r="BM58" i="46" s="1"/>
  <c r="R173" i="46"/>
  <c r="AD173" i="46" s="1"/>
  <c r="AC173" i="46"/>
  <c r="T173" i="46"/>
  <c r="O173" i="46"/>
  <c r="P173" i="46" s="1"/>
  <c r="AB173" i="46"/>
  <c r="Q173" i="46"/>
  <c r="T100" i="46"/>
  <c r="O100" i="46"/>
  <c r="P100" i="46" s="1"/>
  <c r="R100" i="46"/>
  <c r="AD100" i="46" s="1"/>
  <c r="Q100" i="46"/>
  <c r="AB100" i="46"/>
  <c r="AC100" i="46"/>
  <c r="O211" i="46"/>
  <c r="P211" i="46" s="1"/>
  <c r="AC211" i="46"/>
  <c r="R211" i="46"/>
  <c r="AD211" i="46" s="1"/>
  <c r="Q211" i="46"/>
  <c r="T211" i="46"/>
  <c r="AB211" i="46"/>
  <c r="AI277" i="46"/>
  <c r="BD122" i="46"/>
  <c r="AC65" i="46"/>
  <c r="R65" i="46"/>
  <c r="AD65" i="46" s="1"/>
  <c r="T65" i="46"/>
  <c r="AB65" i="46"/>
  <c r="O65" i="46"/>
  <c r="P65" i="46" s="1"/>
  <c r="Q65" i="46"/>
  <c r="AX101" i="46"/>
  <c r="AO101" i="46"/>
  <c r="AL101" i="46"/>
  <c r="AW101" i="46"/>
  <c r="AJ101" i="46"/>
  <c r="AK101" i="46" s="1"/>
  <c r="AM101" i="46"/>
  <c r="AY101" i="46" s="1"/>
  <c r="AM169" i="46"/>
  <c r="AY169" i="46" s="1"/>
  <c r="AL169" i="46"/>
  <c r="AX169" i="46"/>
  <c r="AJ169" i="46"/>
  <c r="AK169" i="46" s="1"/>
  <c r="AO169" i="46"/>
  <c r="AW169" i="46"/>
  <c r="AX243" i="46"/>
  <c r="AM243" i="46"/>
  <c r="AY243" i="46" s="1"/>
  <c r="AW243" i="46"/>
  <c r="AL243" i="46"/>
  <c r="AJ243" i="46"/>
  <c r="AK243" i="46" s="1"/>
  <c r="AO243" i="46"/>
  <c r="R156" i="46"/>
  <c r="AD156" i="46" s="1"/>
  <c r="T156" i="46"/>
  <c r="Q156" i="46"/>
  <c r="AB156" i="46"/>
  <c r="O156" i="46"/>
  <c r="P156" i="46" s="1"/>
  <c r="AC156" i="46"/>
  <c r="BR117" i="46"/>
  <c r="BS117" i="46"/>
  <c r="BJ117" i="46"/>
  <c r="BL117" i="46" s="1"/>
  <c r="BM117" i="46" s="1"/>
  <c r="BH117" i="46"/>
  <c r="BT117" i="46" s="1"/>
  <c r="BG117" i="46"/>
  <c r="BD171" i="46"/>
  <c r="BY199" i="46"/>
  <c r="Q300" i="46"/>
  <c r="O300" i="46"/>
  <c r="P300" i="46" s="1"/>
  <c r="AC300" i="46"/>
  <c r="AB300" i="46"/>
  <c r="R300" i="46"/>
  <c r="AD300" i="46" s="1"/>
  <c r="T300" i="46"/>
  <c r="BD70" i="46"/>
  <c r="CC77" i="46"/>
  <c r="CO77" i="46" s="1"/>
  <c r="BZ77" i="46"/>
  <c r="CA77" i="46" s="1"/>
  <c r="CE77" i="46"/>
  <c r="CM77" i="46"/>
  <c r="CB77" i="46"/>
  <c r="CN77" i="46"/>
  <c r="CM117" i="46"/>
  <c r="CN117" i="46"/>
  <c r="BZ117" i="46"/>
  <c r="CA117" i="46" s="1"/>
  <c r="CC117" i="46"/>
  <c r="CO117" i="46" s="1"/>
  <c r="CE117" i="46"/>
  <c r="CB117" i="46"/>
  <c r="R327" i="46"/>
  <c r="AD327" i="46" s="1"/>
  <c r="AB327" i="46"/>
  <c r="O327" i="46"/>
  <c r="P327" i="46" s="1"/>
  <c r="Q327" i="46"/>
  <c r="AC327" i="46"/>
  <c r="T327" i="46"/>
  <c r="AJ135" i="46"/>
  <c r="AK135" i="46" s="1"/>
  <c r="AX135" i="46"/>
  <c r="AW135" i="46"/>
  <c r="AO135" i="46"/>
  <c r="AL135" i="46"/>
  <c r="AM135" i="46"/>
  <c r="AY135" i="46" s="1"/>
  <c r="AI60" i="46"/>
  <c r="CN148" i="46"/>
  <c r="CE148" i="46"/>
  <c r="BZ148" i="46"/>
  <c r="CA148" i="46" s="1"/>
  <c r="CM148" i="46"/>
  <c r="CB148" i="46"/>
  <c r="CC148" i="46"/>
  <c r="CO148" i="46" s="1"/>
  <c r="BG220" i="46"/>
  <c r="BJ220" i="46"/>
  <c r="BL220" i="46" s="1"/>
  <c r="BM220" i="46" s="1"/>
  <c r="BH220" i="46"/>
  <c r="BT220" i="46" s="1"/>
  <c r="BR220" i="46"/>
  <c r="BS220" i="46"/>
  <c r="CC142" i="46"/>
  <c r="CO142" i="46" s="1"/>
  <c r="CM142" i="46"/>
  <c r="BZ142" i="46"/>
  <c r="CA142" i="46" s="1"/>
  <c r="CN142" i="46"/>
  <c r="CE142" i="46"/>
  <c r="CB142" i="46"/>
  <c r="CM252" i="46"/>
  <c r="CB252" i="46"/>
  <c r="CE252" i="46"/>
  <c r="CC252" i="46"/>
  <c r="CO252" i="46" s="1"/>
  <c r="BZ252" i="46"/>
  <c r="CA252" i="46" s="1"/>
  <c r="CN252" i="46"/>
  <c r="BD155" i="46"/>
  <c r="BJ299" i="46"/>
  <c r="BL299" i="46" s="1"/>
  <c r="BM299" i="46" s="1"/>
  <c r="BH299" i="46"/>
  <c r="BT299" i="46" s="1"/>
  <c r="BR299" i="46"/>
  <c r="BS299" i="46"/>
  <c r="BG299" i="46"/>
  <c r="R176" i="46"/>
  <c r="AD176" i="46" s="1"/>
  <c r="AC176" i="46"/>
  <c r="T176" i="46"/>
  <c r="Q176" i="46"/>
  <c r="AB176" i="46"/>
  <c r="O176" i="46"/>
  <c r="P176" i="46" s="1"/>
  <c r="AW160" i="46"/>
  <c r="AL160" i="46"/>
  <c r="AJ160" i="46"/>
  <c r="AK160" i="46" s="1"/>
  <c r="AM160" i="46"/>
  <c r="AY160" i="46" s="1"/>
  <c r="AX160" i="46"/>
  <c r="AO160" i="46"/>
  <c r="T160" i="46"/>
  <c r="R160" i="46"/>
  <c r="AD160" i="46" s="1"/>
  <c r="Q160" i="46"/>
  <c r="AB160" i="46"/>
  <c r="AC160" i="46"/>
  <c r="O160" i="46"/>
  <c r="P160" i="46" s="1"/>
  <c r="BZ190" i="46"/>
  <c r="CA190" i="46" s="1"/>
  <c r="CE190" i="46"/>
  <c r="CN190" i="46"/>
  <c r="CC190" i="46"/>
  <c r="CO190" i="46" s="1"/>
  <c r="CB190" i="46"/>
  <c r="CM190" i="46"/>
  <c r="BZ206" i="46"/>
  <c r="CA206" i="46" s="1"/>
  <c r="CM206" i="46"/>
  <c r="CB206" i="46"/>
  <c r="CE206" i="46"/>
  <c r="CN206" i="46"/>
  <c r="CC206" i="46"/>
  <c r="CO206" i="46" s="1"/>
  <c r="N289" i="46"/>
  <c r="AL163" i="46"/>
  <c r="AX163" i="46"/>
  <c r="AO163" i="46"/>
  <c r="AM163" i="46"/>
  <c r="AY163" i="46" s="1"/>
  <c r="AJ163" i="46"/>
  <c r="AK163" i="46" s="1"/>
  <c r="AW163" i="46"/>
  <c r="BR223" i="46"/>
  <c r="BS223" i="46"/>
  <c r="BH223" i="46"/>
  <c r="BT223" i="46" s="1"/>
  <c r="BJ223" i="46"/>
  <c r="BL223" i="46" s="1"/>
  <c r="BM223" i="46" s="1"/>
  <c r="BG223" i="46"/>
  <c r="BR231" i="46"/>
  <c r="BG231" i="46"/>
  <c r="BS231" i="46"/>
  <c r="BJ231" i="46"/>
  <c r="BL231" i="46" s="1"/>
  <c r="BM231" i="46" s="1"/>
  <c r="BH231" i="46"/>
  <c r="BT231" i="46" s="1"/>
  <c r="AW18" i="46"/>
  <c r="AJ18" i="46"/>
  <c r="AK18" i="46" s="1"/>
  <c r="AO18" i="46"/>
  <c r="AM18" i="46"/>
  <c r="AY18" i="46" s="1"/>
  <c r="AX18" i="46"/>
  <c r="AL18" i="46"/>
  <c r="CM257" i="46"/>
  <c r="CE257" i="46"/>
  <c r="CN257" i="46"/>
  <c r="CB257" i="46"/>
  <c r="BZ257" i="46"/>
  <c r="CA257" i="46" s="1"/>
  <c r="CC257" i="46"/>
  <c r="CO257" i="46" s="1"/>
  <c r="AW83" i="46"/>
  <c r="AX83" i="46"/>
  <c r="AO83" i="46"/>
  <c r="AM83" i="46"/>
  <c r="AY83" i="46" s="1"/>
  <c r="AL83" i="46"/>
  <c r="AJ83" i="46"/>
  <c r="AK83" i="46" s="1"/>
  <c r="T326" i="46"/>
  <c r="R326" i="46"/>
  <c r="AD326" i="46" s="1"/>
  <c r="O326" i="46"/>
  <c r="P326" i="46" s="1"/>
  <c r="AC326" i="46"/>
  <c r="AB326" i="46"/>
  <c r="Q326" i="46"/>
  <c r="BS308" i="46"/>
  <c r="BG308" i="46"/>
  <c r="BJ308" i="46"/>
  <c r="BL308" i="46" s="1"/>
  <c r="BM308" i="46" s="1"/>
  <c r="BR308" i="46"/>
  <c r="BH308" i="46"/>
  <c r="BT308" i="46" s="1"/>
  <c r="CN253" i="46"/>
  <c r="CM253" i="46"/>
  <c r="CC253" i="46"/>
  <c r="CO253" i="46" s="1"/>
  <c r="CE253" i="46"/>
  <c r="BZ253" i="46"/>
  <c r="CA253" i="46" s="1"/>
  <c r="CB253" i="46"/>
  <c r="AX307" i="46"/>
  <c r="AM307" i="46"/>
  <c r="AY307" i="46" s="1"/>
  <c r="AL307" i="46"/>
  <c r="AJ307" i="46"/>
  <c r="AK307" i="46" s="1"/>
  <c r="AO307" i="46"/>
  <c r="AW307" i="46"/>
  <c r="AM217" i="46"/>
  <c r="AY217" i="46" s="1"/>
  <c r="AO217" i="46"/>
  <c r="AX217" i="46"/>
  <c r="AL217" i="46"/>
  <c r="AW217" i="46"/>
  <c r="AJ217" i="46"/>
  <c r="AK217" i="46" s="1"/>
  <c r="BD173" i="46"/>
  <c r="CN84" i="46"/>
  <c r="CM84" i="46"/>
  <c r="CB84" i="46"/>
  <c r="CC84" i="46"/>
  <c r="CO84" i="46" s="1"/>
  <c r="BZ84" i="46"/>
  <c r="CA84" i="46" s="1"/>
  <c r="CE84" i="46"/>
  <c r="CN49" i="46"/>
  <c r="CM49" i="46"/>
  <c r="CE49" i="46"/>
  <c r="CC49" i="46"/>
  <c r="CO49" i="46" s="1"/>
  <c r="CB49" i="46"/>
  <c r="BZ49" i="46"/>
  <c r="CA49" i="46" s="1"/>
  <c r="CB298" i="46"/>
  <c r="CC298" i="46"/>
  <c r="CO298" i="46" s="1"/>
  <c r="CM298" i="46"/>
  <c r="CN298" i="46"/>
  <c r="CE298" i="46"/>
  <c r="BZ298" i="46"/>
  <c r="CA298" i="46" s="1"/>
  <c r="BD32" i="46"/>
  <c r="AO53" i="46"/>
  <c r="AM53" i="46"/>
  <c r="AY53" i="46" s="1"/>
  <c r="AL53" i="46"/>
  <c r="AW53" i="46"/>
  <c r="AJ53" i="46"/>
  <c r="AK53" i="46" s="1"/>
  <c r="AX53" i="46"/>
  <c r="AX225" i="46"/>
  <c r="AM225" i="46"/>
  <c r="AY225" i="46" s="1"/>
  <c r="AL225" i="46"/>
  <c r="AW225" i="46"/>
  <c r="AO225" i="46"/>
  <c r="AJ225" i="46"/>
  <c r="AK225" i="46" s="1"/>
  <c r="BG233" i="46"/>
  <c r="BR233" i="46"/>
  <c r="BJ233" i="46"/>
  <c r="BL233" i="46" s="1"/>
  <c r="BM233" i="46" s="1"/>
  <c r="BS233" i="46"/>
  <c r="BH233" i="46"/>
  <c r="BT233" i="46" s="1"/>
  <c r="AL226" i="46"/>
  <c r="AM226" i="46"/>
  <c r="AY226" i="46" s="1"/>
  <c r="AJ226" i="46"/>
  <c r="AK226" i="46" s="1"/>
  <c r="AW226" i="46"/>
  <c r="AX226" i="46"/>
  <c r="AO226" i="46"/>
  <c r="BJ168" i="46"/>
  <c r="BL168" i="46" s="1"/>
  <c r="BM168" i="46" s="1"/>
  <c r="BR168" i="46"/>
  <c r="BS168" i="46"/>
  <c r="BH168" i="46"/>
  <c r="BT168" i="46" s="1"/>
  <c r="BG168" i="46"/>
  <c r="BZ27" i="46"/>
  <c r="CA27" i="46" s="1"/>
  <c r="CB27" i="46"/>
  <c r="CC27" i="46"/>
  <c r="CO27" i="46" s="1"/>
  <c r="CM27" i="46"/>
  <c r="CE27" i="46"/>
  <c r="CN27" i="46"/>
  <c r="BD174" i="46"/>
  <c r="AI207" i="46"/>
  <c r="CB331" i="46"/>
  <c r="CN331" i="46"/>
  <c r="CE331" i="46"/>
  <c r="BZ331" i="46"/>
  <c r="CA331" i="46" s="1"/>
  <c r="CM331" i="46"/>
  <c r="CC331" i="46"/>
  <c r="CO331" i="46" s="1"/>
  <c r="AM161" i="46"/>
  <c r="AY161" i="46" s="1"/>
  <c r="AJ161" i="46"/>
  <c r="AK161" i="46" s="1"/>
  <c r="AX161" i="46"/>
  <c r="AO161" i="46"/>
  <c r="AW161" i="46"/>
  <c r="AL161" i="46"/>
  <c r="CM127" i="46"/>
  <c r="CE127" i="46"/>
  <c r="CC127" i="46"/>
  <c r="CO127" i="46" s="1"/>
  <c r="CB127" i="46"/>
  <c r="BZ127" i="46"/>
  <c r="CA127" i="46" s="1"/>
  <c r="CN127" i="46"/>
  <c r="BG92" i="46"/>
  <c r="BS92" i="46"/>
  <c r="BR92" i="46"/>
  <c r="BH92" i="46"/>
  <c r="BT92" i="46" s="1"/>
  <c r="BJ92" i="46"/>
  <c r="BL92" i="46" s="1"/>
  <c r="BM92" i="46" s="1"/>
  <c r="CN193" i="46"/>
  <c r="CE193" i="46"/>
  <c r="CC193" i="46"/>
  <c r="CO193" i="46" s="1"/>
  <c r="CM193" i="46"/>
  <c r="BZ193" i="46"/>
  <c r="CA193" i="46" s="1"/>
  <c r="CB193" i="46"/>
  <c r="AW103" i="46"/>
  <c r="AL103" i="46"/>
  <c r="AM103" i="46"/>
  <c r="AY103" i="46" s="1"/>
  <c r="AX103" i="46"/>
  <c r="AJ103" i="46"/>
  <c r="AK103" i="46" s="1"/>
  <c r="AO103" i="46"/>
  <c r="AB27" i="46"/>
  <c r="R27" i="46"/>
  <c r="AD27" i="46" s="1"/>
  <c r="AC27" i="46"/>
  <c r="Q27" i="46"/>
  <c r="O27" i="46"/>
  <c r="P27" i="46" s="1"/>
  <c r="T27" i="46"/>
  <c r="AO234" i="46"/>
  <c r="AW234" i="46"/>
  <c r="AX234" i="46"/>
  <c r="AM234" i="46"/>
  <c r="AY234" i="46" s="1"/>
  <c r="AJ234" i="46"/>
  <c r="AK234" i="46" s="1"/>
  <c r="AL234" i="46"/>
  <c r="BR339" i="46"/>
  <c r="BG339" i="46"/>
  <c r="BH339" i="46"/>
  <c r="BT339" i="46" s="1"/>
  <c r="BJ339" i="46"/>
  <c r="BL339" i="46" s="1"/>
  <c r="BM339" i="46" s="1"/>
  <c r="BS339" i="46"/>
  <c r="AM114" i="46"/>
  <c r="AY114" i="46" s="1"/>
  <c r="AJ114" i="46"/>
  <c r="AK114" i="46" s="1"/>
  <c r="AO114" i="46"/>
  <c r="AW114" i="46"/>
  <c r="AX114" i="46"/>
  <c r="AL114" i="46"/>
  <c r="AM333" i="46"/>
  <c r="AY333" i="46" s="1"/>
  <c r="AO333" i="46"/>
  <c r="AL333" i="46"/>
  <c r="AW333" i="46"/>
  <c r="AX333" i="46"/>
  <c r="AJ333" i="46"/>
  <c r="AK333" i="46" s="1"/>
  <c r="AC207" i="46"/>
  <c r="T207" i="46"/>
  <c r="AB207" i="46"/>
  <c r="Q207" i="46"/>
  <c r="O207" i="46"/>
  <c r="P207" i="46" s="1"/>
  <c r="R207" i="46"/>
  <c r="AD207" i="46" s="1"/>
  <c r="N296" i="46"/>
  <c r="AL38" i="46"/>
  <c r="AX38" i="46"/>
  <c r="AO38" i="46"/>
  <c r="AJ38" i="46"/>
  <c r="AK38" i="46" s="1"/>
  <c r="AM38" i="46"/>
  <c r="AY38" i="46" s="1"/>
  <c r="AW38" i="46"/>
  <c r="BD269" i="46"/>
  <c r="AJ312" i="46"/>
  <c r="AK312" i="46" s="1"/>
  <c r="AO312" i="46"/>
  <c r="AW312" i="46"/>
  <c r="AL312" i="46"/>
  <c r="AX312" i="46"/>
  <c r="AM312" i="46"/>
  <c r="AY312" i="46" s="1"/>
  <c r="BD20" i="46"/>
  <c r="AO33" i="46"/>
  <c r="AJ33" i="46"/>
  <c r="AK33" i="46" s="1"/>
  <c r="AX33" i="46"/>
  <c r="AL33" i="46"/>
  <c r="AM33" i="46"/>
  <c r="AY33" i="46" s="1"/>
  <c r="AW33" i="46"/>
  <c r="AC202" i="46"/>
  <c r="R202" i="46"/>
  <c r="AD202" i="46" s="1"/>
  <c r="T202" i="46"/>
  <c r="Q202" i="46"/>
  <c r="O202" i="46"/>
  <c r="P202" i="46" s="1"/>
  <c r="AB202" i="46"/>
  <c r="BY251" i="46"/>
  <c r="CC39" i="46"/>
  <c r="CO39" i="46" s="1"/>
  <c r="CE39" i="46"/>
  <c r="CM39" i="46"/>
  <c r="BZ39" i="46"/>
  <c r="CA39" i="46" s="1"/>
  <c r="CN39" i="46"/>
  <c r="CB39" i="46"/>
  <c r="CB24" i="46"/>
  <c r="CE24" i="46"/>
  <c r="CC24" i="46"/>
  <c r="CO24" i="46" s="1"/>
  <c r="CM24" i="46"/>
  <c r="CN24" i="46"/>
  <c r="BZ24" i="46"/>
  <c r="CA24" i="46" s="1"/>
  <c r="CN215" i="46"/>
  <c r="CM215" i="46"/>
  <c r="BZ215" i="46"/>
  <c r="CA215" i="46" s="1"/>
  <c r="CB215" i="46"/>
  <c r="CC215" i="46"/>
  <c r="CO215" i="46" s="1"/>
  <c r="CE215" i="46"/>
  <c r="BS41" i="46"/>
  <c r="BH41" i="46"/>
  <c r="BT41" i="46" s="1"/>
  <c r="BJ41" i="46"/>
  <c r="BL41" i="46" s="1"/>
  <c r="BM41" i="46" s="1"/>
  <c r="BR41" i="46"/>
  <c r="BG41" i="46"/>
  <c r="AJ328" i="46"/>
  <c r="AK328" i="46" s="1"/>
  <c r="AW328" i="46"/>
  <c r="AO328" i="46"/>
  <c r="AL328" i="46"/>
  <c r="AM328" i="46"/>
  <c r="AY328" i="46" s="1"/>
  <c r="AX328" i="46"/>
  <c r="BZ186" i="46"/>
  <c r="CA186" i="46" s="1"/>
  <c r="CE186" i="46"/>
  <c r="CM186" i="46"/>
  <c r="CC186" i="46"/>
  <c r="CO186" i="46" s="1"/>
  <c r="CN186" i="46"/>
  <c r="CB186" i="46"/>
  <c r="CN299" i="46"/>
  <c r="CC299" i="46"/>
  <c r="CO299" i="46" s="1"/>
  <c r="BZ299" i="46"/>
  <c r="CA299" i="46" s="1"/>
  <c r="CM299" i="46"/>
  <c r="CB299" i="46"/>
  <c r="CE299" i="46"/>
  <c r="T86" i="46"/>
  <c r="Q86" i="46"/>
  <c r="AB86" i="46"/>
  <c r="R86" i="46"/>
  <c r="AD86" i="46" s="1"/>
  <c r="AC86" i="46"/>
  <c r="O86" i="46"/>
  <c r="P86" i="46" s="1"/>
  <c r="BH143" i="46"/>
  <c r="BT143" i="46" s="1"/>
  <c r="BS143" i="46"/>
  <c r="BG143" i="46"/>
  <c r="BR143" i="46"/>
  <c r="BJ143" i="46"/>
  <c r="BL143" i="46" s="1"/>
  <c r="BM143" i="46" s="1"/>
  <c r="O299" i="46"/>
  <c r="P299" i="46" s="1"/>
  <c r="AC299" i="46"/>
  <c r="Q299" i="46"/>
  <c r="R299" i="46"/>
  <c r="AD299" i="46" s="1"/>
  <c r="T299" i="46"/>
  <c r="AB299" i="46"/>
  <c r="AC59" i="46"/>
  <c r="Q59" i="46"/>
  <c r="T59" i="46"/>
  <c r="AB59" i="46"/>
  <c r="O59" i="46"/>
  <c r="P59" i="46" s="1"/>
  <c r="R59" i="46"/>
  <c r="AD59" i="46" s="1"/>
  <c r="AI184" i="46"/>
  <c r="BZ122" i="46"/>
  <c r="CA122" i="46" s="1"/>
  <c r="CB122" i="46"/>
  <c r="CN122" i="46"/>
  <c r="CC122" i="46"/>
  <c r="CO122" i="46" s="1"/>
  <c r="CM122" i="46"/>
  <c r="CE122" i="46"/>
  <c r="BZ44" i="46"/>
  <c r="CA44" i="46" s="1"/>
  <c r="CB44" i="46"/>
  <c r="CN44" i="46"/>
  <c r="CE44" i="46"/>
  <c r="CM44" i="46"/>
  <c r="CC44" i="46"/>
  <c r="CO44" i="46" s="1"/>
  <c r="AL186" i="46"/>
  <c r="AO186" i="46"/>
  <c r="AX186" i="46"/>
  <c r="AJ186" i="46"/>
  <c r="AK186" i="46" s="1"/>
  <c r="AW186" i="46"/>
  <c r="AM186" i="46"/>
  <c r="AY186" i="46" s="1"/>
  <c r="AM175" i="46"/>
  <c r="AY175" i="46" s="1"/>
  <c r="AJ175" i="46"/>
  <c r="AK175" i="46" s="1"/>
  <c r="AL175" i="46"/>
  <c r="AX175" i="46"/>
  <c r="AO175" i="46"/>
  <c r="AW175" i="46"/>
  <c r="BD13" i="46"/>
  <c r="BZ236" i="46"/>
  <c r="CA236" i="46" s="1"/>
  <c r="CC236" i="46"/>
  <c r="CO236" i="46" s="1"/>
  <c r="CE236" i="46"/>
  <c r="CM236" i="46"/>
  <c r="CB236" i="46"/>
  <c r="CN236" i="46"/>
  <c r="O302" i="46"/>
  <c r="P302" i="46" s="1"/>
  <c r="Q302" i="46"/>
  <c r="AC302" i="46"/>
  <c r="AB302" i="46"/>
  <c r="T302" i="46"/>
  <c r="R302" i="46"/>
  <c r="AD302" i="46" s="1"/>
  <c r="AB85" i="46"/>
  <c r="T85" i="46"/>
  <c r="Q85" i="46"/>
  <c r="O85" i="46"/>
  <c r="P85" i="46" s="1"/>
  <c r="AC85" i="46"/>
  <c r="R85" i="46"/>
  <c r="AD85" i="46" s="1"/>
  <c r="R164" i="46"/>
  <c r="AD164" i="46" s="1"/>
  <c r="O164" i="46"/>
  <c r="P164" i="46" s="1"/>
  <c r="T164" i="46"/>
  <c r="AB164" i="46"/>
  <c r="Q164" i="46"/>
  <c r="AC164" i="46"/>
  <c r="AO223" i="46"/>
  <c r="AL223" i="46"/>
  <c r="AJ223" i="46"/>
  <c r="AK223" i="46" s="1"/>
  <c r="AW223" i="46"/>
  <c r="AX223" i="46"/>
  <c r="AM223" i="46"/>
  <c r="AY223" i="46" s="1"/>
  <c r="AB154" i="46"/>
  <c r="R154" i="46"/>
  <c r="AD154" i="46" s="1"/>
  <c r="Q154" i="46"/>
  <c r="O154" i="46"/>
  <c r="P154" i="46" s="1"/>
  <c r="AC154" i="46"/>
  <c r="T154" i="46"/>
  <c r="R48" i="46"/>
  <c r="AD48" i="46" s="1"/>
  <c r="O48" i="46"/>
  <c r="P48" i="46" s="1"/>
  <c r="AC48" i="46"/>
  <c r="T48" i="46"/>
  <c r="AB48" i="46"/>
  <c r="Q48" i="46"/>
  <c r="BD217" i="46"/>
  <c r="T311" i="46"/>
  <c r="Q311" i="46"/>
  <c r="AC311" i="46"/>
  <c r="O311" i="46"/>
  <c r="P311" i="46" s="1"/>
  <c r="AB311" i="46"/>
  <c r="R311" i="46"/>
  <c r="AD311" i="46" s="1"/>
  <c r="CB69" i="46"/>
  <c r="CN69" i="46"/>
  <c r="CC69" i="46"/>
  <c r="CO69" i="46" s="1"/>
  <c r="BZ69" i="46"/>
  <c r="CA69" i="46" s="1"/>
  <c r="CM69" i="46"/>
  <c r="CE69" i="46"/>
  <c r="CN105" i="46"/>
  <c r="BZ105" i="46"/>
  <c r="CA105" i="46" s="1"/>
  <c r="CC105" i="46"/>
  <c r="CO105" i="46" s="1"/>
  <c r="CB105" i="46"/>
  <c r="CE105" i="46"/>
  <c r="CM105" i="46"/>
  <c r="CB21" i="46"/>
  <c r="CC21" i="46"/>
  <c r="CO21" i="46" s="1"/>
  <c r="CM21" i="46"/>
  <c r="CE21" i="46"/>
  <c r="BZ21" i="46"/>
  <c r="CA21" i="46" s="1"/>
  <c r="CN21" i="46"/>
  <c r="CC307" i="46"/>
  <c r="CO307" i="46" s="1"/>
  <c r="BZ307" i="46"/>
  <c r="CA307" i="46" s="1"/>
  <c r="CM307" i="46"/>
  <c r="CB307" i="46"/>
  <c r="CE307" i="46"/>
  <c r="CN307" i="46"/>
  <c r="BR61" i="46"/>
  <c r="BG61" i="46"/>
  <c r="BH61" i="46"/>
  <c r="BT61" i="46" s="1"/>
  <c r="BS61" i="46"/>
  <c r="BJ61" i="46"/>
  <c r="BL61" i="46" s="1"/>
  <c r="BM61" i="46" s="1"/>
  <c r="BJ105" i="46"/>
  <c r="BL105" i="46" s="1"/>
  <c r="BM105" i="46" s="1"/>
  <c r="BG105" i="46"/>
  <c r="BH105" i="46"/>
  <c r="BT105" i="46" s="1"/>
  <c r="BS105" i="46"/>
  <c r="BR105" i="46"/>
  <c r="BY118" i="46"/>
  <c r="BS175" i="46"/>
  <c r="BJ175" i="46"/>
  <c r="BL175" i="46" s="1"/>
  <c r="BM175" i="46" s="1"/>
  <c r="BH175" i="46"/>
  <c r="BT175" i="46" s="1"/>
  <c r="BG175" i="46"/>
  <c r="BR175" i="46"/>
  <c r="BD335" i="46"/>
  <c r="CB335" i="46"/>
  <c r="CM335" i="46"/>
  <c r="BZ335" i="46"/>
  <c r="CA335" i="46" s="1"/>
  <c r="CN335" i="46"/>
  <c r="CC335" i="46"/>
  <c r="CO335" i="46" s="1"/>
  <c r="CE335" i="46"/>
  <c r="AM21" i="46"/>
  <c r="AY21" i="46" s="1"/>
  <c r="AL21" i="46"/>
  <c r="AJ21" i="46"/>
  <c r="AK21" i="46" s="1"/>
  <c r="AW21" i="46"/>
  <c r="AX21" i="46"/>
  <c r="AO21" i="46"/>
  <c r="BR100" i="46"/>
  <c r="BJ100" i="46"/>
  <c r="BL100" i="46" s="1"/>
  <c r="BM100" i="46" s="1"/>
  <c r="BH100" i="46"/>
  <c r="BT100" i="46" s="1"/>
  <c r="BS100" i="46"/>
  <c r="BG100" i="46"/>
  <c r="CE320" i="46"/>
  <c r="CC320" i="46"/>
  <c r="CO320" i="46" s="1"/>
  <c r="CB320" i="46"/>
  <c r="CN320" i="46"/>
  <c r="CM320" i="46"/>
  <c r="BZ320" i="46"/>
  <c r="CA320" i="46" s="1"/>
  <c r="O313" i="46"/>
  <c r="P313" i="46" s="1"/>
  <c r="R313" i="46"/>
  <c r="AD313" i="46" s="1"/>
  <c r="AB313" i="46"/>
  <c r="AC313" i="46"/>
  <c r="T313" i="46"/>
  <c r="Q313" i="46"/>
  <c r="AJ155" i="46"/>
  <c r="AK155" i="46" s="1"/>
  <c r="AL155" i="46"/>
  <c r="AM155" i="46"/>
  <c r="AY155" i="46" s="1"/>
  <c r="AO155" i="46"/>
  <c r="AX155" i="46"/>
  <c r="AW155" i="46"/>
  <c r="BD288" i="46"/>
  <c r="BD72" i="46"/>
  <c r="BD325" i="46"/>
  <c r="R123" i="46"/>
  <c r="AD123" i="46" s="1"/>
  <c r="AB123" i="46"/>
  <c r="O123" i="46"/>
  <c r="P123" i="46" s="1"/>
  <c r="T123" i="46"/>
  <c r="Q123" i="46"/>
  <c r="AC123" i="46"/>
  <c r="CE342" i="46"/>
  <c r="BZ342" i="46"/>
  <c r="CA342" i="46" s="1"/>
  <c r="CB342" i="46"/>
  <c r="CC342" i="46"/>
  <c r="CO342" i="46" s="1"/>
  <c r="CN342" i="46"/>
  <c r="CM342" i="46"/>
  <c r="Q145" i="46"/>
  <c r="AB145" i="46"/>
  <c r="T145" i="46"/>
  <c r="O145" i="46"/>
  <c r="P145" i="46" s="1"/>
  <c r="AC145" i="46"/>
  <c r="R145" i="46"/>
  <c r="AD145" i="46" s="1"/>
  <c r="AJ88" i="46"/>
  <c r="AK88" i="46" s="1"/>
  <c r="AM88" i="46"/>
  <c r="AY88" i="46" s="1"/>
  <c r="AX88" i="46"/>
  <c r="AO88" i="46"/>
  <c r="AW88" i="46"/>
  <c r="AL88" i="46"/>
  <c r="AM199" i="46"/>
  <c r="AY199" i="46" s="1"/>
  <c r="AO199" i="46"/>
  <c r="AW199" i="46"/>
  <c r="AJ199" i="46"/>
  <c r="AK199" i="46" s="1"/>
  <c r="AX199" i="46"/>
  <c r="AL199" i="46"/>
  <c r="AW322" i="46"/>
  <c r="AJ322" i="46"/>
  <c r="AK322" i="46" s="1"/>
  <c r="AO322" i="46"/>
  <c r="AX322" i="46"/>
  <c r="AL322" i="46"/>
  <c r="AM322" i="46"/>
  <c r="AY322" i="46" s="1"/>
  <c r="AO51" i="46"/>
  <c r="AL51" i="46"/>
  <c r="AM51" i="46"/>
  <c r="AY51" i="46" s="1"/>
  <c r="AJ51" i="46"/>
  <c r="AK51" i="46" s="1"/>
  <c r="AX51" i="46"/>
  <c r="AW51" i="46"/>
  <c r="CE287" i="46"/>
  <c r="BZ287" i="46"/>
  <c r="CA287" i="46" s="1"/>
  <c r="CC287" i="46"/>
  <c r="CO287" i="46" s="1"/>
  <c r="CN287" i="46"/>
  <c r="CB287" i="46"/>
  <c r="CM287" i="46"/>
  <c r="AC110" i="46"/>
  <c r="O110" i="46"/>
  <c r="P110" i="46" s="1"/>
  <c r="AB110" i="46"/>
  <c r="R110" i="46"/>
  <c r="AD110" i="46" s="1"/>
  <c r="Q110" i="46"/>
  <c r="T110" i="46"/>
  <c r="BJ157" i="46"/>
  <c r="BL157" i="46" s="1"/>
  <c r="BM157" i="46" s="1"/>
  <c r="BS157" i="46"/>
  <c r="BR157" i="46"/>
  <c r="BG157" i="46"/>
  <c r="BH157" i="46"/>
  <c r="BT157" i="46" s="1"/>
  <c r="R119" i="46"/>
  <c r="AD119" i="46" s="1"/>
  <c r="T119" i="46"/>
  <c r="O119" i="46"/>
  <c r="P119" i="46" s="1"/>
  <c r="AC119" i="46"/>
  <c r="Q119" i="46"/>
  <c r="AB119" i="46"/>
  <c r="AI74" i="46"/>
  <c r="T135" i="46"/>
  <c r="AB135" i="46"/>
  <c r="R135" i="46"/>
  <c r="AD135" i="46" s="1"/>
  <c r="O135" i="46"/>
  <c r="P135" i="46" s="1"/>
  <c r="Q135" i="46"/>
  <c r="AC135" i="46"/>
  <c r="BD149" i="46"/>
  <c r="BD101" i="46"/>
  <c r="CB20" i="46"/>
  <c r="CM20" i="46"/>
  <c r="CN20" i="46"/>
  <c r="BZ20" i="46"/>
  <c r="CA20" i="46" s="1"/>
  <c r="CE20" i="46"/>
  <c r="CC20" i="46"/>
  <c r="CO20" i="46" s="1"/>
  <c r="BG232" i="46"/>
  <c r="BS232" i="46"/>
  <c r="BJ232" i="46"/>
  <c r="BL232" i="46" s="1"/>
  <c r="BM232" i="46" s="1"/>
  <c r="BR232" i="46"/>
  <c r="BH232" i="46"/>
  <c r="BT232" i="46" s="1"/>
  <c r="BJ152" i="46"/>
  <c r="BL152" i="46" s="1"/>
  <c r="BM152" i="46" s="1"/>
  <c r="BG152" i="46"/>
  <c r="BH152" i="46"/>
  <c r="BT152" i="46" s="1"/>
  <c r="BR152" i="46"/>
  <c r="BS152" i="46"/>
  <c r="CM266" i="46"/>
  <c r="CB266" i="46"/>
  <c r="CE266" i="46"/>
  <c r="BZ266" i="46"/>
  <c r="CA266" i="46" s="1"/>
  <c r="CC266" i="46"/>
  <c r="CO266" i="46" s="1"/>
  <c r="CN266" i="46"/>
  <c r="AI300" i="46"/>
  <c r="FV54" i="55"/>
  <c r="FJ54" i="55"/>
  <c r="FX54" i="55"/>
  <c r="FY54" i="55"/>
  <c r="EX54" i="55"/>
  <c r="AI44" i="46"/>
  <c r="N83" i="46"/>
  <c r="CN22" i="46"/>
  <c r="BZ22" i="46"/>
  <c r="CA22" i="46" s="1"/>
  <c r="CB22" i="46"/>
  <c r="CE22" i="46"/>
  <c r="CM22" i="46"/>
  <c r="CC22" i="46"/>
  <c r="CO22" i="46" s="1"/>
  <c r="AL275" i="46"/>
  <c r="AJ275" i="46"/>
  <c r="AK275" i="46" s="1"/>
  <c r="AO275" i="46"/>
  <c r="AX275" i="46"/>
  <c r="AM275" i="46"/>
  <c r="AY275" i="46" s="1"/>
  <c r="AW275" i="46"/>
  <c r="BD309" i="46"/>
  <c r="AX308" i="46"/>
  <c r="AM308" i="46"/>
  <c r="AY308" i="46" s="1"/>
  <c r="AL308" i="46"/>
  <c r="AO308" i="46"/>
  <c r="AJ308" i="46"/>
  <c r="AK308" i="46" s="1"/>
  <c r="AW308" i="46"/>
  <c r="T106" i="46"/>
  <c r="AB106" i="46"/>
  <c r="R106" i="46"/>
  <c r="AD106" i="46" s="1"/>
  <c r="O106" i="46"/>
  <c r="P106" i="46" s="1"/>
  <c r="AC106" i="46"/>
  <c r="Q106" i="46"/>
  <c r="BD295" i="46"/>
  <c r="CB150" i="46"/>
  <c r="CE150" i="46"/>
  <c r="CM150" i="46"/>
  <c r="CC150" i="46"/>
  <c r="CO150" i="46" s="1"/>
  <c r="CN150" i="46"/>
  <c r="BZ150" i="46"/>
  <c r="CA150" i="46" s="1"/>
  <c r="O347" i="46"/>
  <c r="P347" i="46" s="1"/>
  <c r="T347" i="46"/>
  <c r="Q347" i="46"/>
  <c r="R347" i="46"/>
  <c r="AD347" i="46" s="1"/>
  <c r="AB347" i="46"/>
  <c r="AC347" i="46"/>
  <c r="Q284" i="46"/>
  <c r="AC284" i="46"/>
  <c r="O284" i="46"/>
  <c r="P284" i="46" s="1"/>
  <c r="R284" i="46"/>
  <c r="AD284" i="46" s="1"/>
  <c r="T284" i="46"/>
  <c r="AB284" i="46"/>
  <c r="BD18" i="46"/>
  <c r="AW294" i="46"/>
  <c r="AL294" i="46"/>
  <c r="AX294" i="46"/>
  <c r="AJ294" i="46"/>
  <c r="AK294" i="46" s="1"/>
  <c r="AM294" i="46"/>
  <c r="AY294" i="46" s="1"/>
  <c r="AO294" i="46"/>
  <c r="AL270" i="46"/>
  <c r="AW270" i="46"/>
  <c r="AJ270" i="46"/>
  <c r="AK270" i="46" s="1"/>
  <c r="AM270" i="46"/>
  <c r="AY270" i="46" s="1"/>
  <c r="AO270" i="46"/>
  <c r="AX270" i="46"/>
  <c r="AB144" i="46"/>
  <c r="R144" i="46"/>
  <c r="AD144" i="46" s="1"/>
  <c r="T144" i="46"/>
  <c r="AC144" i="46"/>
  <c r="Q144" i="46"/>
  <c r="O144" i="46"/>
  <c r="P144" i="46" s="1"/>
  <c r="CC219" i="46"/>
  <c r="CO219" i="46" s="1"/>
  <c r="CM219" i="46"/>
  <c r="CB219" i="46"/>
  <c r="BZ219" i="46"/>
  <c r="CA219" i="46" s="1"/>
  <c r="CN219" i="46"/>
  <c r="CE219" i="46"/>
  <c r="CE115" i="46"/>
  <c r="CB115" i="46"/>
  <c r="CN115" i="46"/>
  <c r="CM115" i="46"/>
  <c r="BZ115" i="46"/>
  <c r="CA115" i="46" s="1"/>
  <c r="CC115" i="46"/>
  <c r="CO115" i="46" s="1"/>
  <c r="DS54" i="32"/>
  <c r="CR54" i="32"/>
  <c r="DR54" i="32"/>
  <c r="DP54" i="32"/>
  <c r="DD54" i="32"/>
  <c r="O99" i="46"/>
  <c r="P99" i="46" s="1"/>
  <c r="AC99" i="46"/>
  <c r="R99" i="46"/>
  <c r="AD99" i="46" s="1"/>
  <c r="Q99" i="46"/>
  <c r="T99" i="46"/>
  <c r="AB99" i="46"/>
  <c r="BJ292" i="46"/>
  <c r="BL292" i="46" s="1"/>
  <c r="BM292" i="46" s="1"/>
  <c r="BH292" i="46"/>
  <c r="BT292" i="46" s="1"/>
  <c r="BR292" i="46"/>
  <c r="BG292" i="46"/>
  <c r="BS292" i="46"/>
  <c r="R215" i="46"/>
  <c r="AD215" i="46" s="1"/>
  <c r="Q215" i="46"/>
  <c r="T215" i="46"/>
  <c r="AB215" i="46"/>
  <c r="AC215" i="46"/>
  <c r="O215" i="46"/>
  <c r="P215" i="46" s="1"/>
  <c r="AO196" i="46"/>
  <c r="AM196" i="46"/>
  <c r="AY196" i="46" s="1"/>
  <c r="AJ196" i="46"/>
  <c r="AK196" i="46" s="1"/>
  <c r="AW196" i="46"/>
  <c r="AX196" i="46"/>
  <c r="AL196" i="46"/>
  <c r="AW327" i="46"/>
  <c r="AX327" i="46"/>
  <c r="AO327" i="46"/>
  <c r="AL327" i="46"/>
  <c r="AJ327" i="46"/>
  <c r="AK327" i="46" s="1"/>
  <c r="AM327" i="46"/>
  <c r="AY327" i="46" s="1"/>
  <c r="BY213" i="46"/>
  <c r="AB97" i="46"/>
  <c r="AC97" i="46"/>
  <c r="O97" i="46"/>
  <c r="P97" i="46" s="1"/>
  <c r="T97" i="46"/>
  <c r="R97" i="46"/>
  <c r="AD97" i="46" s="1"/>
  <c r="Q97" i="46"/>
  <c r="BD264" i="46"/>
  <c r="AX142" i="46"/>
  <c r="AL142" i="46"/>
  <c r="AJ142" i="46"/>
  <c r="AK142" i="46" s="1"/>
  <c r="AO142" i="46"/>
  <c r="AM142" i="46"/>
  <c r="AY142" i="46" s="1"/>
  <c r="AW142" i="46"/>
  <c r="BJ336" i="46"/>
  <c r="BL336" i="46" s="1"/>
  <c r="BM336" i="46" s="1"/>
  <c r="BS336" i="46"/>
  <c r="BG336" i="46"/>
  <c r="BR336" i="46"/>
  <c r="BH336" i="46"/>
  <c r="BT336" i="46" s="1"/>
  <c r="BD301" i="46"/>
  <c r="BY197" i="46"/>
  <c r="BH196" i="46"/>
  <c r="BT196" i="46" s="1"/>
  <c r="BJ196" i="46"/>
  <c r="BL196" i="46" s="1"/>
  <c r="BM196" i="46" s="1"/>
  <c r="BG196" i="46"/>
  <c r="BR196" i="46"/>
  <c r="BS196" i="46"/>
  <c r="AW151" i="46"/>
  <c r="AM151" i="46"/>
  <c r="AY151" i="46" s="1"/>
  <c r="AJ151" i="46"/>
  <c r="AK151" i="46" s="1"/>
  <c r="AL151" i="46"/>
  <c r="AO151" i="46"/>
  <c r="AX151" i="46"/>
  <c r="BG321" i="46"/>
  <c r="BS321" i="46"/>
  <c r="BJ321" i="46"/>
  <c r="BL321" i="46" s="1"/>
  <c r="BM321" i="46" s="1"/>
  <c r="BH321" i="46"/>
  <c r="BT321" i="46" s="1"/>
  <c r="BR321" i="46"/>
  <c r="AJ164" i="46"/>
  <c r="AK164" i="46" s="1"/>
  <c r="AM164" i="46"/>
  <c r="AY164" i="46" s="1"/>
  <c r="AX164" i="46"/>
  <c r="AW164" i="46"/>
  <c r="AL164" i="46"/>
  <c r="AO164" i="46"/>
  <c r="BZ59" i="46"/>
  <c r="CA59" i="46" s="1"/>
  <c r="CM59" i="46"/>
  <c r="CC59" i="46"/>
  <c r="CO59" i="46" s="1"/>
  <c r="CE59" i="46"/>
  <c r="CB59" i="46"/>
  <c r="CN59" i="46"/>
  <c r="BD243" i="46"/>
  <c r="T321" i="46"/>
  <c r="R321" i="46"/>
  <c r="AD321" i="46" s="1"/>
  <c r="O321" i="46"/>
  <c r="P321" i="46" s="1"/>
  <c r="AB321" i="46"/>
  <c r="Q321" i="46"/>
  <c r="AC321" i="46"/>
  <c r="BD304" i="46"/>
  <c r="CB179" i="46"/>
  <c r="CC179" i="46"/>
  <c r="CO179" i="46" s="1"/>
  <c r="CM179" i="46"/>
  <c r="CE179" i="46"/>
  <c r="CN179" i="46"/>
  <c r="BZ179" i="46"/>
  <c r="CA179" i="46" s="1"/>
  <c r="BH230" i="46"/>
  <c r="BT230" i="46" s="1"/>
  <c r="BG230" i="46"/>
  <c r="BR230" i="46"/>
  <c r="BS230" i="46"/>
  <c r="BJ230" i="46"/>
  <c r="BL230" i="46" s="1"/>
  <c r="BM230" i="46" s="1"/>
  <c r="N230" i="46"/>
  <c r="BS23" i="46"/>
  <c r="BJ23" i="46"/>
  <c r="BL23" i="46" s="1"/>
  <c r="BM23" i="46" s="1"/>
  <c r="BH23" i="46"/>
  <c r="BT23" i="46" s="1"/>
  <c r="BR23" i="46"/>
  <c r="BG23" i="46"/>
  <c r="BZ140" i="46"/>
  <c r="CA140" i="46" s="1"/>
  <c r="CB140" i="46"/>
  <c r="CM140" i="46"/>
  <c r="CN140" i="46"/>
  <c r="CE140" i="46"/>
  <c r="CC140" i="46"/>
  <c r="CO140" i="46" s="1"/>
  <c r="O248" i="46"/>
  <c r="P248" i="46" s="1"/>
  <c r="AC248" i="46"/>
  <c r="AB248" i="46"/>
  <c r="T248" i="46"/>
  <c r="R248" i="46"/>
  <c r="AD248" i="46" s="1"/>
  <c r="Q248" i="46"/>
  <c r="AW139" i="46"/>
  <c r="AX139" i="46"/>
  <c r="AM139" i="46"/>
  <c r="AY139" i="46" s="1"/>
  <c r="AJ139" i="46"/>
  <c r="AK139" i="46" s="1"/>
  <c r="AO139" i="46"/>
  <c r="AL139" i="46"/>
  <c r="BD140" i="46"/>
  <c r="CE323" i="46"/>
  <c r="BZ323" i="46"/>
  <c r="CA323" i="46" s="1"/>
  <c r="CC323" i="46"/>
  <c r="CO323" i="46" s="1"/>
  <c r="CM323" i="46"/>
  <c r="CN323" i="46"/>
  <c r="CB323" i="46"/>
  <c r="CE338" i="46"/>
  <c r="BZ338" i="46"/>
  <c r="CA338" i="46" s="1"/>
  <c r="CM338" i="46"/>
  <c r="CB338" i="46"/>
  <c r="CC338" i="46"/>
  <c r="CO338" i="46" s="1"/>
  <c r="CN338" i="46"/>
  <c r="AC281" i="46"/>
  <c r="R281" i="46"/>
  <c r="AD281" i="46" s="1"/>
  <c r="Q281" i="46"/>
  <c r="O281" i="46"/>
  <c r="P281" i="46" s="1"/>
  <c r="AB281" i="46"/>
  <c r="T281" i="46"/>
  <c r="AM94" i="46"/>
  <c r="AY94" i="46" s="1"/>
  <c r="AL94" i="46"/>
  <c r="AW94" i="46"/>
  <c r="AJ94" i="46"/>
  <c r="AK94" i="46" s="1"/>
  <c r="AX94" i="46"/>
  <c r="AO94" i="46"/>
  <c r="AO168" i="46"/>
  <c r="AJ168" i="46"/>
  <c r="AK168" i="46" s="1"/>
  <c r="AL168" i="46"/>
  <c r="AX168" i="46"/>
  <c r="AM168" i="46"/>
  <c r="AY168" i="46" s="1"/>
  <c r="AW168" i="46"/>
  <c r="BS215" i="46"/>
  <c r="BG215" i="46"/>
  <c r="BH215" i="46"/>
  <c r="BT215" i="46" s="1"/>
  <c r="BJ215" i="46"/>
  <c r="BL215" i="46" s="1"/>
  <c r="BM215" i="46" s="1"/>
  <c r="BR215" i="46"/>
  <c r="AC264" i="46"/>
  <c r="AB264" i="46"/>
  <c r="R264" i="46"/>
  <c r="AD264" i="46" s="1"/>
  <c r="O264" i="46"/>
  <c r="P264" i="46" s="1"/>
  <c r="T264" i="46"/>
  <c r="Q264" i="46"/>
  <c r="BD75" i="46"/>
  <c r="BR285" i="46"/>
  <c r="BJ285" i="46"/>
  <c r="BL285" i="46" s="1"/>
  <c r="BM285" i="46" s="1"/>
  <c r="BS285" i="46"/>
  <c r="BG285" i="46"/>
  <c r="BH285" i="46"/>
  <c r="BT285" i="46" s="1"/>
  <c r="CN205" i="46"/>
  <c r="CB205" i="46"/>
  <c r="CM205" i="46"/>
  <c r="BZ205" i="46"/>
  <c r="CA205" i="46" s="1"/>
  <c r="CE205" i="46"/>
  <c r="CC205" i="46"/>
  <c r="CO205" i="46" s="1"/>
  <c r="AX316" i="46"/>
  <c r="AO316" i="46"/>
  <c r="AW316" i="46"/>
  <c r="AJ316" i="46"/>
  <c r="AK316" i="46" s="1"/>
  <c r="AL316" i="46"/>
  <c r="AM316" i="46"/>
  <c r="AY316" i="46" s="1"/>
  <c r="CC109" i="46"/>
  <c r="CO109" i="46" s="1"/>
  <c r="CB109" i="46"/>
  <c r="CN109" i="46"/>
  <c r="CM109" i="46"/>
  <c r="BZ109" i="46"/>
  <c r="CA109" i="46" s="1"/>
  <c r="CE109" i="46"/>
  <c r="BJ73" i="46"/>
  <c r="BL73" i="46" s="1"/>
  <c r="BM73" i="46" s="1"/>
  <c r="BG73" i="46"/>
  <c r="BR73" i="46"/>
  <c r="BS73" i="46"/>
  <c r="BH73" i="46"/>
  <c r="BT73" i="46" s="1"/>
  <c r="AC240" i="46"/>
  <c r="R240" i="46"/>
  <c r="AD240" i="46" s="1"/>
  <c r="T240" i="46"/>
  <c r="AB240" i="46"/>
  <c r="O240" i="46"/>
  <c r="P240" i="46" s="1"/>
  <c r="Q240" i="46"/>
  <c r="AW70" i="46"/>
  <c r="AM70" i="46"/>
  <c r="AY70" i="46" s="1"/>
  <c r="AX70" i="46"/>
  <c r="AJ70" i="46"/>
  <c r="AK70" i="46" s="1"/>
  <c r="AL70" i="46"/>
  <c r="AO70" i="46"/>
  <c r="BZ210" i="46"/>
  <c r="CA210" i="46" s="1"/>
  <c r="CB210" i="46"/>
  <c r="CN210" i="46"/>
  <c r="CE210" i="46"/>
  <c r="CC210" i="46"/>
  <c r="CO210" i="46" s="1"/>
  <c r="CM210" i="46"/>
  <c r="CN78" i="46"/>
  <c r="CB78" i="46"/>
  <c r="CE78" i="46"/>
  <c r="CM78" i="46"/>
  <c r="BZ78" i="46"/>
  <c r="CA78" i="46" s="1"/>
  <c r="CC78" i="46"/>
  <c r="CO78" i="46" s="1"/>
  <c r="BG224" i="46"/>
  <c r="BS224" i="46"/>
  <c r="BR224" i="46"/>
  <c r="BJ224" i="46"/>
  <c r="BL224" i="46" s="1"/>
  <c r="BM224" i="46" s="1"/>
  <c r="BH224" i="46"/>
  <c r="BT224" i="46" s="1"/>
  <c r="Q208" i="46"/>
  <c r="AC208" i="46"/>
  <c r="T208" i="46"/>
  <c r="AB208" i="46"/>
  <c r="O208" i="46"/>
  <c r="P208" i="46" s="1"/>
  <c r="R208" i="46"/>
  <c r="AD208" i="46" s="1"/>
  <c r="AJ115" i="46"/>
  <c r="AK115" i="46" s="1"/>
  <c r="AL115" i="46"/>
  <c r="AX115" i="46"/>
  <c r="AW115" i="46"/>
  <c r="AO115" i="46"/>
  <c r="AM115" i="46"/>
  <c r="AY115" i="46" s="1"/>
  <c r="AX22" i="46"/>
  <c r="AW22" i="46"/>
  <c r="AO22" i="46"/>
  <c r="AJ22" i="46"/>
  <c r="AK22" i="46" s="1"/>
  <c r="AM22" i="46"/>
  <c r="AY22" i="46" s="1"/>
  <c r="AL22" i="46"/>
  <c r="R339" i="46"/>
  <c r="AD339" i="46" s="1"/>
  <c r="T339" i="46"/>
  <c r="O339" i="46"/>
  <c r="P339" i="46" s="1"/>
  <c r="AB339" i="46"/>
  <c r="AC339" i="46"/>
  <c r="Q339" i="46"/>
  <c r="AB183" i="46"/>
  <c r="R183" i="46"/>
  <c r="AD183" i="46" s="1"/>
  <c r="T183" i="46"/>
  <c r="AC183" i="46"/>
  <c r="O183" i="46"/>
  <c r="P183" i="46" s="1"/>
  <c r="Q183" i="46"/>
  <c r="BH182" i="46"/>
  <c r="BT182" i="46" s="1"/>
  <c r="BG182" i="46"/>
  <c r="BR182" i="46"/>
  <c r="BS182" i="46"/>
  <c r="BJ182" i="46"/>
  <c r="BL182" i="46" s="1"/>
  <c r="BM182" i="46" s="1"/>
  <c r="R189" i="46"/>
  <c r="AD189" i="46" s="1"/>
  <c r="T189" i="46"/>
  <c r="AC189" i="46"/>
  <c r="O189" i="46"/>
  <c r="P189" i="46" s="1"/>
  <c r="AB189" i="46"/>
  <c r="Q189" i="46"/>
  <c r="R104" i="46"/>
  <c r="AD104" i="46" s="1"/>
  <c r="AB104" i="46"/>
  <c r="O104" i="46"/>
  <c r="P104" i="46" s="1"/>
  <c r="Q104" i="46"/>
  <c r="AC104" i="46"/>
  <c r="T104" i="46"/>
  <c r="AO167" i="46"/>
  <c r="AL167" i="46"/>
  <c r="AW167" i="46"/>
  <c r="AX167" i="46"/>
  <c r="AJ167" i="46"/>
  <c r="AK167" i="46" s="1"/>
  <c r="AM167" i="46"/>
  <c r="AY167" i="46" s="1"/>
  <c r="BS147" i="46"/>
  <c r="BG147" i="46"/>
  <c r="BJ147" i="46"/>
  <c r="BL147" i="46" s="1"/>
  <c r="BM147" i="46" s="1"/>
  <c r="BH147" i="46"/>
  <c r="BT147" i="46" s="1"/>
  <c r="BR147" i="46"/>
  <c r="BD229" i="46"/>
  <c r="BZ208" i="46"/>
  <c r="CA208" i="46" s="1"/>
  <c r="CM208" i="46"/>
  <c r="CN208" i="46"/>
  <c r="CC208" i="46"/>
  <c r="CO208" i="46" s="1"/>
  <c r="CE208" i="46"/>
  <c r="CB208" i="46"/>
  <c r="AB279" i="46"/>
  <c r="AC279" i="46"/>
  <c r="R279" i="46"/>
  <c r="AD279" i="46" s="1"/>
  <c r="Q279" i="46"/>
  <c r="O279" i="46"/>
  <c r="P279" i="46" s="1"/>
  <c r="T279" i="46"/>
  <c r="BD161" i="46"/>
  <c r="BJ225" i="46"/>
  <c r="BL225" i="46" s="1"/>
  <c r="BM225" i="46" s="1"/>
  <c r="BG225" i="46"/>
  <c r="BR225" i="46"/>
  <c r="BS225" i="46"/>
  <c r="BH225" i="46"/>
  <c r="BT225" i="46" s="1"/>
  <c r="BD55" i="46"/>
  <c r="Q71" i="46"/>
  <c r="O71" i="46"/>
  <c r="P71" i="46" s="1"/>
  <c r="T71" i="46"/>
  <c r="R71" i="46"/>
  <c r="AD71" i="46" s="1"/>
  <c r="AB71" i="46"/>
  <c r="AC71" i="46"/>
  <c r="CN37" i="46"/>
  <c r="BZ37" i="46"/>
  <c r="CA37" i="46" s="1"/>
  <c r="CB37" i="46"/>
  <c r="CM37" i="46"/>
  <c r="CE37" i="46"/>
  <c r="CC37" i="46"/>
  <c r="CO37" i="46" s="1"/>
  <c r="AM231" i="46"/>
  <c r="AY231" i="46" s="1"/>
  <c r="AJ231" i="46"/>
  <c r="AK231" i="46" s="1"/>
  <c r="AO231" i="46"/>
  <c r="AL231" i="46"/>
  <c r="AW231" i="46"/>
  <c r="AX231" i="46"/>
  <c r="BD306" i="46"/>
  <c r="CE198" i="46"/>
  <c r="BZ198" i="46"/>
  <c r="CA198" i="46" s="1"/>
  <c r="CB198" i="46"/>
  <c r="CM198" i="46"/>
  <c r="CC198" i="46"/>
  <c r="CO198" i="46" s="1"/>
  <c r="CN198" i="46"/>
  <c r="AM102" i="46"/>
  <c r="AY102" i="46" s="1"/>
  <c r="AJ102" i="46"/>
  <c r="AK102" i="46" s="1"/>
  <c r="AW102" i="46"/>
  <c r="AO102" i="46"/>
  <c r="AL102" i="46"/>
  <c r="AX102" i="46"/>
  <c r="BD198" i="46"/>
  <c r="Q186" i="46"/>
  <c r="T186" i="46"/>
  <c r="AC186" i="46"/>
  <c r="AB186" i="46"/>
  <c r="R186" i="46"/>
  <c r="AD186" i="46" s="1"/>
  <c r="O186" i="46"/>
  <c r="P186" i="46" s="1"/>
  <c r="CM18" i="46"/>
  <c r="BZ18" i="46"/>
  <c r="CA18" i="46" s="1"/>
  <c r="CB18" i="46"/>
  <c r="CC18" i="46"/>
  <c r="CO18" i="46" s="1"/>
  <c r="CE18" i="46"/>
  <c r="CN18" i="46"/>
  <c r="AL306" i="46"/>
  <c r="AW306" i="46"/>
  <c r="AO306" i="46"/>
  <c r="AX306" i="46"/>
  <c r="AJ306" i="46"/>
  <c r="AK306" i="46" s="1"/>
  <c r="AM306" i="46"/>
  <c r="AY306" i="46" s="1"/>
  <c r="AL95" i="46"/>
  <c r="AW95" i="46"/>
  <c r="AO95" i="46"/>
  <c r="AJ95" i="46"/>
  <c r="AK95" i="46" s="1"/>
  <c r="AX95" i="46"/>
  <c r="AM95" i="46"/>
  <c r="AY95" i="46" s="1"/>
  <c r="BS54" i="46"/>
  <c r="BJ54" i="46"/>
  <c r="BL54" i="46" s="1"/>
  <c r="BM54" i="46" s="1"/>
  <c r="BR54" i="46"/>
  <c r="BG54" i="46"/>
  <c r="BH54" i="46"/>
  <c r="BT54" i="46" s="1"/>
  <c r="AC74" i="46"/>
  <c r="Q74" i="46"/>
  <c r="AB74" i="46"/>
  <c r="T74" i="46"/>
  <c r="R74" i="46"/>
  <c r="AD74" i="46" s="1"/>
  <c r="O74" i="46"/>
  <c r="P74" i="46" s="1"/>
  <c r="N191" i="46"/>
  <c r="CC82" i="46"/>
  <c r="CO82" i="46" s="1"/>
  <c r="CN82" i="46"/>
  <c r="CB82" i="46"/>
  <c r="BZ82" i="46"/>
  <c r="CA82" i="46" s="1"/>
  <c r="CM82" i="46"/>
  <c r="CE82" i="46"/>
  <c r="AX311" i="46"/>
  <c r="AJ311" i="46"/>
  <c r="AK311" i="46" s="1"/>
  <c r="AM311" i="46"/>
  <c r="AY311" i="46" s="1"/>
  <c r="AW311" i="46"/>
  <c r="AO311" i="46"/>
  <c r="AL311" i="46"/>
  <c r="T246" i="46"/>
  <c r="R246" i="46"/>
  <c r="AD246" i="46" s="1"/>
  <c r="Q246" i="46"/>
  <c r="AB246" i="46"/>
  <c r="O246" i="46"/>
  <c r="P246" i="46" s="1"/>
  <c r="AC246" i="46"/>
  <c r="T346" i="46"/>
  <c r="AB346" i="46"/>
  <c r="Q346" i="46"/>
  <c r="R346" i="46"/>
  <c r="AD346" i="46" s="1"/>
  <c r="AC346" i="46"/>
  <c r="O346" i="46"/>
  <c r="P346" i="46" s="1"/>
  <c r="AI192" i="46"/>
  <c r="BY237" i="46"/>
  <c r="AC297" i="46"/>
  <c r="O297" i="46"/>
  <c r="P297" i="46" s="1"/>
  <c r="Q297" i="46"/>
  <c r="R297" i="46"/>
  <c r="AD297" i="46" s="1"/>
  <c r="T297" i="46"/>
  <c r="AB297" i="46"/>
  <c r="N159" i="46"/>
  <c r="AC13" i="46"/>
  <c r="T13" i="46"/>
  <c r="AB13" i="46"/>
  <c r="Q13" i="46"/>
  <c r="R13" i="46"/>
  <c r="AD13" i="46" s="1"/>
  <c r="O13" i="46"/>
  <c r="P13" i="46" s="1"/>
  <c r="AB294" i="46"/>
  <c r="Q294" i="46"/>
  <c r="AC294" i="46"/>
  <c r="O294" i="46"/>
  <c r="P294" i="46" s="1"/>
  <c r="R294" i="46"/>
  <c r="AD294" i="46" s="1"/>
  <c r="T294" i="46"/>
  <c r="CE185" i="46"/>
  <c r="CN185" i="46"/>
  <c r="BZ185" i="46"/>
  <c r="CA185" i="46" s="1"/>
  <c r="CM185" i="46"/>
  <c r="CB185" i="46"/>
  <c r="CC185" i="46"/>
  <c r="CO185" i="46" s="1"/>
  <c r="Q18" i="46"/>
  <c r="T18" i="46"/>
  <c r="AB18" i="46"/>
  <c r="AC18" i="46"/>
  <c r="R18" i="46"/>
  <c r="AD18" i="46" s="1"/>
  <c r="O18" i="46"/>
  <c r="P18" i="46" s="1"/>
  <c r="AO181" i="46"/>
  <c r="AM181" i="46"/>
  <c r="AY181" i="46" s="1"/>
  <c r="AW181" i="46"/>
  <c r="AX181" i="46"/>
  <c r="AL181" i="46"/>
  <c r="AJ181" i="46"/>
  <c r="AK181" i="46" s="1"/>
  <c r="AC158" i="46"/>
  <c r="T158" i="46"/>
  <c r="Q158" i="46"/>
  <c r="AB158" i="46"/>
  <c r="O158" i="46"/>
  <c r="P158" i="46" s="1"/>
  <c r="R158" i="46"/>
  <c r="AD158" i="46" s="1"/>
  <c r="BR324" i="46"/>
  <c r="BH324" i="46"/>
  <c r="BT324" i="46" s="1"/>
  <c r="BG324" i="46"/>
  <c r="BS324" i="46"/>
  <c r="BJ324" i="46"/>
  <c r="BL324" i="46" s="1"/>
  <c r="BM324" i="46" s="1"/>
  <c r="BD16" i="46"/>
  <c r="AJ264" i="46"/>
  <c r="AK264" i="46" s="1"/>
  <c r="AO264" i="46"/>
  <c r="AX264" i="46"/>
  <c r="AM264" i="46"/>
  <c r="AY264" i="46" s="1"/>
  <c r="AW264" i="46"/>
  <c r="AL264" i="46"/>
  <c r="CN97" i="46"/>
  <c r="CB97" i="46"/>
  <c r="CM97" i="46"/>
  <c r="CE97" i="46"/>
  <c r="CC97" i="46"/>
  <c r="CO97" i="46" s="1"/>
  <c r="BZ97" i="46"/>
  <c r="CA97" i="46" s="1"/>
  <c r="CN322" i="46"/>
  <c r="CB322" i="46"/>
  <c r="CE322" i="46"/>
  <c r="BZ322" i="46"/>
  <c r="CA322" i="46" s="1"/>
  <c r="CC322" i="46"/>
  <c r="CO322" i="46" s="1"/>
  <c r="CM322" i="46"/>
  <c r="CC227" i="46"/>
  <c r="CO227" i="46" s="1"/>
  <c r="CM227" i="46"/>
  <c r="CB227" i="46"/>
  <c r="BZ227" i="46"/>
  <c r="CA227" i="46" s="1"/>
  <c r="CN227" i="46"/>
  <c r="CE227" i="46"/>
  <c r="CM79" i="46"/>
  <c r="CN79" i="46"/>
  <c r="CB79" i="46"/>
  <c r="CC79" i="46"/>
  <c r="CO79" i="46" s="1"/>
  <c r="BZ79" i="46"/>
  <c r="CA79" i="46" s="1"/>
  <c r="CE79" i="46"/>
  <c r="AW278" i="46"/>
  <c r="AX278" i="46"/>
  <c r="AL278" i="46"/>
  <c r="AO278" i="46"/>
  <c r="AJ278" i="46"/>
  <c r="AK278" i="46" s="1"/>
  <c r="AM278" i="46"/>
  <c r="AY278" i="46" s="1"/>
  <c r="CB228" i="46"/>
  <c r="CN228" i="46"/>
  <c r="CC228" i="46"/>
  <c r="CO228" i="46" s="1"/>
  <c r="BZ228" i="46"/>
  <c r="CA228" i="46" s="1"/>
  <c r="CM228" i="46"/>
  <c r="CE228" i="46"/>
  <c r="AM177" i="46"/>
  <c r="AY177" i="46" s="1"/>
  <c r="AW177" i="46"/>
  <c r="AX177" i="46"/>
  <c r="AL177" i="46"/>
  <c r="AO177" i="46"/>
  <c r="AJ177" i="46"/>
  <c r="AK177" i="46" s="1"/>
  <c r="Q336" i="46"/>
  <c r="T336" i="46"/>
  <c r="R336" i="46"/>
  <c r="AD336" i="46" s="1"/>
  <c r="AC336" i="46"/>
  <c r="O336" i="46"/>
  <c r="P336" i="46" s="1"/>
  <c r="AB336" i="46"/>
  <c r="AI221" i="46"/>
  <c r="BS53" i="46"/>
  <c r="BG53" i="46"/>
  <c r="BR53" i="46"/>
  <c r="BJ53" i="46"/>
  <c r="BL53" i="46" s="1"/>
  <c r="BM53" i="46" s="1"/>
  <c r="BH53" i="46"/>
  <c r="BT53" i="46" s="1"/>
  <c r="AL117" i="46"/>
  <c r="AO117" i="46"/>
  <c r="AW117" i="46"/>
  <c r="AX117" i="46"/>
  <c r="AJ117" i="46"/>
  <c r="AK117" i="46" s="1"/>
  <c r="AM117" i="46"/>
  <c r="AY117" i="46" s="1"/>
  <c r="N98" i="46"/>
  <c r="BD286" i="46"/>
  <c r="T31" i="46"/>
  <c r="O31" i="46"/>
  <c r="P31" i="46" s="1"/>
  <c r="R31" i="46"/>
  <c r="AD31" i="46" s="1"/>
  <c r="Q31" i="46"/>
  <c r="AC31" i="46"/>
  <c r="AB31" i="46"/>
  <c r="BZ242" i="46"/>
  <c r="CA242" i="46" s="1"/>
  <c r="CC242" i="46"/>
  <c r="CO242" i="46" s="1"/>
  <c r="CN242" i="46"/>
  <c r="CE242" i="46"/>
  <c r="CB242" i="46"/>
  <c r="CM242" i="46"/>
  <c r="R263" i="46"/>
  <c r="AD263" i="46" s="1"/>
  <c r="T263" i="46"/>
  <c r="Q263" i="46"/>
  <c r="AC263" i="46"/>
  <c r="O263" i="46"/>
  <c r="P263" i="46" s="1"/>
  <c r="AB263" i="46"/>
  <c r="T283" i="46"/>
  <c r="Q283" i="46"/>
  <c r="O283" i="46"/>
  <c r="P283" i="46" s="1"/>
  <c r="AC283" i="46"/>
  <c r="AB283" i="46"/>
  <c r="R283" i="46"/>
  <c r="AD283" i="46" s="1"/>
  <c r="AL82" i="46"/>
  <c r="AW82" i="46"/>
  <c r="AO82" i="46"/>
  <c r="AM82" i="46"/>
  <c r="AY82" i="46" s="1"/>
  <c r="AX82" i="46"/>
  <c r="AJ82" i="46"/>
  <c r="AK82" i="46" s="1"/>
  <c r="BG265" i="46"/>
  <c r="BH265" i="46"/>
  <c r="BT265" i="46" s="1"/>
  <c r="BJ265" i="46"/>
  <c r="BL265" i="46" s="1"/>
  <c r="BM265" i="46" s="1"/>
  <c r="BR265" i="46"/>
  <c r="BS265" i="46"/>
  <c r="BJ281" i="46"/>
  <c r="BL281" i="46" s="1"/>
  <c r="BM281" i="46" s="1"/>
  <c r="BS281" i="46"/>
  <c r="BG281" i="46"/>
  <c r="BR281" i="46"/>
  <c r="BH281" i="46"/>
  <c r="BT281" i="46" s="1"/>
  <c r="O203" i="46"/>
  <c r="P203" i="46" s="1"/>
  <c r="Q203" i="46"/>
  <c r="AB203" i="46"/>
  <c r="R203" i="46"/>
  <c r="AD203" i="46" s="1"/>
  <c r="AC203" i="46"/>
  <c r="T203" i="46"/>
  <c r="CN192" i="46"/>
  <c r="CC192" i="46"/>
  <c r="CO192" i="46" s="1"/>
  <c r="CM192" i="46"/>
  <c r="CB192" i="46"/>
  <c r="CE192" i="46"/>
  <c r="BZ192" i="46"/>
  <c r="CA192" i="46" s="1"/>
  <c r="BD258" i="46"/>
  <c r="N147" i="46"/>
  <c r="Q130" i="46"/>
  <c r="O130" i="46"/>
  <c r="P130" i="46" s="1"/>
  <c r="AC130" i="46"/>
  <c r="R130" i="46"/>
  <c r="AD130" i="46" s="1"/>
  <c r="AB130" i="46"/>
  <c r="T130" i="46"/>
  <c r="BD344" i="46"/>
  <c r="BG85" i="46"/>
  <c r="BH85" i="46"/>
  <c r="BT85" i="46" s="1"/>
  <c r="BR85" i="46"/>
  <c r="BS85" i="46"/>
  <c r="BJ85" i="46"/>
  <c r="BL85" i="46" s="1"/>
  <c r="BM85" i="46" s="1"/>
  <c r="CE184" i="46"/>
  <c r="BZ184" i="46"/>
  <c r="CA184" i="46" s="1"/>
  <c r="CB184" i="46"/>
  <c r="CC184" i="46"/>
  <c r="CO184" i="46" s="1"/>
  <c r="CM184" i="46"/>
  <c r="CN184" i="46"/>
  <c r="CC195" i="46"/>
  <c r="CO195" i="46" s="1"/>
  <c r="CE195" i="46"/>
  <c r="BZ195" i="46"/>
  <c r="CA195" i="46" s="1"/>
  <c r="CN195" i="46"/>
  <c r="CM195" i="46"/>
  <c r="CB195" i="46"/>
  <c r="O72" i="46"/>
  <c r="P72" i="46" s="1"/>
  <c r="AC72" i="46"/>
  <c r="Q72" i="46"/>
  <c r="R72" i="46"/>
  <c r="AD72" i="46" s="1"/>
  <c r="AB72" i="46"/>
  <c r="T72" i="46"/>
  <c r="AM274" i="46"/>
  <c r="AY274" i="46" s="1"/>
  <c r="AW274" i="46"/>
  <c r="AO274" i="46"/>
  <c r="AX274" i="46"/>
  <c r="AJ274" i="46"/>
  <c r="AK274" i="46" s="1"/>
  <c r="AL274" i="46"/>
  <c r="AB188" i="46"/>
  <c r="O188" i="46"/>
  <c r="P188" i="46" s="1"/>
  <c r="Q188" i="46"/>
  <c r="T188" i="46"/>
  <c r="R188" i="46"/>
  <c r="AD188" i="46" s="1"/>
  <c r="AC188" i="46"/>
  <c r="T21" i="46"/>
  <c r="Q21" i="46"/>
  <c r="AB21" i="46"/>
  <c r="AC21" i="46"/>
  <c r="O21" i="46"/>
  <c r="P21" i="46" s="1"/>
  <c r="R21" i="46"/>
  <c r="AD21" i="46" s="1"/>
  <c r="BY240" i="46"/>
  <c r="O39" i="46"/>
  <c r="P39" i="46" s="1"/>
  <c r="AB39" i="46"/>
  <c r="R39" i="46"/>
  <c r="AD39" i="46" s="1"/>
  <c r="Q39" i="46"/>
  <c r="T39" i="46"/>
  <c r="AC39" i="46"/>
  <c r="BD222" i="46"/>
  <c r="AX191" i="46"/>
  <c r="AM191" i="46"/>
  <c r="AY191" i="46" s="1"/>
  <c r="AJ191" i="46"/>
  <c r="AK191" i="46" s="1"/>
  <c r="AO191" i="46"/>
  <c r="AW191" i="46"/>
  <c r="AL191" i="46"/>
  <c r="BR126" i="46"/>
  <c r="BG126" i="46"/>
  <c r="BJ126" i="46"/>
  <c r="BL126" i="46" s="1"/>
  <c r="BM126" i="46" s="1"/>
  <c r="BS126" i="46"/>
  <c r="BH126" i="46"/>
  <c r="BT126" i="46" s="1"/>
  <c r="CM95" i="46"/>
  <c r="CC95" i="46"/>
  <c r="CO95" i="46" s="1"/>
  <c r="CE95" i="46"/>
  <c r="CN95" i="46"/>
  <c r="BZ95" i="46"/>
  <c r="CA95" i="46" s="1"/>
  <c r="CB95" i="46"/>
  <c r="R132" i="46"/>
  <c r="AD132" i="46" s="1"/>
  <c r="O132" i="46"/>
  <c r="P132" i="46" s="1"/>
  <c r="AC132" i="46"/>
  <c r="Q132" i="46"/>
  <c r="T132" i="46"/>
  <c r="AB132" i="46"/>
  <c r="AB56" i="46"/>
  <c r="Q56" i="46"/>
  <c r="O56" i="46"/>
  <c r="P56" i="46" s="1"/>
  <c r="AC56" i="46"/>
  <c r="R56" i="46"/>
  <c r="AD56" i="46" s="1"/>
  <c r="T56" i="46"/>
  <c r="AX89" i="46"/>
  <c r="AW89" i="46"/>
  <c r="AJ89" i="46"/>
  <c r="AK89" i="46" s="1"/>
  <c r="AM89" i="46"/>
  <c r="AY89" i="46" s="1"/>
  <c r="AO89" i="46"/>
  <c r="AL89" i="46"/>
  <c r="BH272" i="46"/>
  <c r="BT272" i="46" s="1"/>
  <c r="BG272" i="46"/>
  <c r="BS272" i="46"/>
  <c r="BJ272" i="46"/>
  <c r="BL272" i="46" s="1"/>
  <c r="BM272" i="46" s="1"/>
  <c r="BR272" i="46"/>
  <c r="N73" i="46"/>
  <c r="CC283" i="46"/>
  <c r="CO283" i="46" s="1"/>
  <c r="CM283" i="46"/>
  <c r="CE283" i="46"/>
  <c r="CB283" i="46"/>
  <c r="BZ283" i="46"/>
  <c r="CA283" i="46" s="1"/>
  <c r="CN283" i="46"/>
  <c r="BH43" i="46"/>
  <c r="BT43" i="46" s="1"/>
  <c r="BR43" i="46"/>
  <c r="BG43" i="46"/>
  <c r="BJ43" i="46"/>
  <c r="BL43" i="46" s="1"/>
  <c r="BM43" i="46" s="1"/>
  <c r="BS43" i="46"/>
  <c r="BR322" i="46"/>
  <c r="BH322" i="46"/>
  <c r="BT322" i="46" s="1"/>
  <c r="BJ322" i="46"/>
  <c r="BL322" i="46" s="1"/>
  <c r="BM322" i="46" s="1"/>
  <c r="BS322" i="46"/>
  <c r="BG322" i="46"/>
  <c r="AB233" i="46"/>
  <c r="T233" i="46"/>
  <c r="AC233" i="46"/>
  <c r="O233" i="46"/>
  <c r="P233" i="46" s="1"/>
  <c r="Q233" i="46"/>
  <c r="R233" i="46"/>
  <c r="AD233" i="46" s="1"/>
  <c r="AX305" i="46"/>
  <c r="AO305" i="46"/>
  <c r="AJ305" i="46"/>
  <c r="AK305" i="46" s="1"/>
  <c r="AM305" i="46"/>
  <c r="AY305" i="46" s="1"/>
  <c r="AL305" i="46"/>
  <c r="AW305" i="46"/>
  <c r="AC276" i="46"/>
  <c r="Q276" i="46"/>
  <c r="R276" i="46"/>
  <c r="AD276" i="46" s="1"/>
  <c r="AB276" i="46"/>
  <c r="O276" i="46"/>
  <c r="P276" i="46" s="1"/>
  <c r="T276" i="46"/>
  <c r="BJ31" i="46"/>
  <c r="BL31" i="46" s="1"/>
  <c r="BM31" i="46" s="1"/>
  <c r="BH31" i="46"/>
  <c r="BT31" i="46" s="1"/>
  <c r="BS31" i="46"/>
  <c r="BG31" i="46"/>
  <c r="BR31" i="46"/>
  <c r="AX330" i="46"/>
  <c r="AL330" i="46"/>
  <c r="AW330" i="46"/>
  <c r="AO330" i="46"/>
  <c r="AM330" i="46"/>
  <c r="AY330" i="46" s="1"/>
  <c r="AJ330" i="46"/>
  <c r="AK330" i="46" s="1"/>
  <c r="BH307" i="46"/>
  <c r="BT307" i="46" s="1"/>
  <c r="BG307" i="46"/>
  <c r="BR307" i="46"/>
  <c r="BJ307" i="46"/>
  <c r="BL307" i="46" s="1"/>
  <c r="BM307" i="46" s="1"/>
  <c r="BS307" i="46"/>
  <c r="CE173" i="46"/>
  <c r="CB173" i="46"/>
  <c r="CC173" i="46"/>
  <c r="CO173" i="46" s="1"/>
  <c r="BZ173" i="46"/>
  <c r="CA173" i="46" s="1"/>
  <c r="CN173" i="46"/>
  <c r="CM173" i="46"/>
  <c r="CC178" i="46"/>
  <c r="CO178" i="46" s="1"/>
  <c r="CB178" i="46"/>
  <c r="CE178" i="46"/>
  <c r="CN178" i="46"/>
  <c r="CM178" i="46"/>
  <c r="BZ178" i="46"/>
  <c r="CA178" i="46" s="1"/>
  <c r="N151" i="46"/>
  <c r="Q275" i="46"/>
  <c r="O275" i="46"/>
  <c r="P275" i="46" s="1"/>
  <c r="R275" i="46"/>
  <c r="AD275" i="46" s="1"/>
  <c r="AB275" i="46"/>
  <c r="AC275" i="46"/>
  <c r="T275" i="46"/>
  <c r="AX73" i="46"/>
  <c r="AO73" i="46"/>
  <c r="AW73" i="46"/>
  <c r="AJ73" i="46"/>
  <c r="AK73" i="46" s="1"/>
  <c r="AL73" i="46"/>
  <c r="AM73" i="46"/>
  <c r="AY73" i="46" s="1"/>
  <c r="BG218" i="46"/>
  <c r="BR218" i="46"/>
  <c r="BJ218" i="46"/>
  <c r="BL218" i="46" s="1"/>
  <c r="BM218" i="46" s="1"/>
  <c r="BS218" i="46"/>
  <c r="BH218" i="46"/>
  <c r="BT218" i="46" s="1"/>
  <c r="BZ200" i="46"/>
  <c r="CA200" i="46" s="1"/>
  <c r="CN200" i="46"/>
  <c r="CM200" i="46"/>
  <c r="CC200" i="46"/>
  <c r="CO200" i="46" s="1"/>
  <c r="CB200" i="46"/>
  <c r="CE200" i="46"/>
  <c r="Q272" i="46"/>
  <c r="AC272" i="46"/>
  <c r="O272" i="46"/>
  <c r="P272" i="46" s="1"/>
  <c r="R272" i="46"/>
  <c r="AD272" i="46" s="1"/>
  <c r="T272" i="46"/>
  <c r="AB272" i="46"/>
  <c r="BZ130" i="46"/>
  <c r="CA130" i="46" s="1"/>
  <c r="CC130" i="46"/>
  <c r="CO130" i="46" s="1"/>
  <c r="CE130" i="46"/>
  <c r="CM130" i="46"/>
  <c r="CB130" i="46"/>
  <c r="CN130" i="46"/>
  <c r="AI290" i="46"/>
  <c r="CC212" i="46"/>
  <c r="CO212" i="46" s="1"/>
  <c r="CM212" i="46"/>
  <c r="BZ212" i="46"/>
  <c r="CA212" i="46" s="1"/>
  <c r="CE212" i="46"/>
  <c r="CB212" i="46"/>
  <c r="CN212" i="46"/>
  <c r="AJ159" i="46"/>
  <c r="AK159" i="46" s="1"/>
  <c r="AO159" i="46"/>
  <c r="AX159" i="46"/>
  <c r="AW159" i="46"/>
  <c r="AL159" i="46"/>
  <c r="AM159" i="46"/>
  <c r="AY159" i="46" s="1"/>
  <c r="AL200" i="46"/>
  <c r="AW200" i="46"/>
  <c r="AM200" i="46"/>
  <c r="AY200" i="46" s="1"/>
  <c r="AJ200" i="46"/>
  <c r="AK200" i="46" s="1"/>
  <c r="AO200" i="46"/>
  <c r="AX200" i="46"/>
  <c r="AI251" i="46"/>
  <c r="BR183" i="46"/>
  <c r="BS183" i="46"/>
  <c r="BH183" i="46"/>
  <c r="BT183" i="46" s="1"/>
  <c r="BJ183" i="46"/>
  <c r="BL183" i="46" s="1"/>
  <c r="BM183" i="46" s="1"/>
  <c r="BG183" i="46"/>
  <c r="AL37" i="46"/>
  <c r="AM37" i="46"/>
  <c r="AY37" i="46" s="1"/>
  <c r="AO37" i="46"/>
  <c r="AX37" i="46"/>
  <c r="AW37" i="46"/>
  <c r="AJ37" i="46"/>
  <c r="AK37" i="46" s="1"/>
  <c r="BG96" i="46"/>
  <c r="BH96" i="46"/>
  <c r="BT96" i="46" s="1"/>
  <c r="BR96" i="46"/>
  <c r="BJ96" i="46"/>
  <c r="BL96" i="46" s="1"/>
  <c r="BM96" i="46" s="1"/>
  <c r="BS96" i="46"/>
  <c r="N217" i="46"/>
  <c r="T223" i="46"/>
  <c r="R223" i="46"/>
  <c r="AD223" i="46" s="1"/>
  <c r="Q223" i="46"/>
  <c r="AC223" i="46"/>
  <c r="O223" i="46"/>
  <c r="P223" i="46" s="1"/>
  <c r="AB223" i="46"/>
  <c r="BS262" i="46"/>
  <c r="BR262" i="46"/>
  <c r="BJ262" i="46"/>
  <c r="BL262" i="46" s="1"/>
  <c r="BM262" i="46" s="1"/>
  <c r="BH262" i="46"/>
  <c r="BT262" i="46" s="1"/>
  <c r="BG262" i="46"/>
  <c r="N199" i="46"/>
  <c r="BG191" i="46"/>
  <c r="BS191" i="46"/>
  <c r="BJ191" i="46"/>
  <c r="BL191" i="46" s="1"/>
  <c r="BM191" i="46" s="1"/>
  <c r="BR191" i="46"/>
  <c r="BH191" i="46"/>
  <c r="BT191" i="46" s="1"/>
  <c r="BS97" i="46"/>
  <c r="BH97" i="46"/>
  <c r="BT97" i="46" s="1"/>
  <c r="BG97" i="46"/>
  <c r="BR97" i="46"/>
  <c r="BJ97" i="46"/>
  <c r="BL97" i="46" s="1"/>
  <c r="BM97" i="46" s="1"/>
  <c r="AJ336" i="46"/>
  <c r="AK336" i="46" s="1"/>
  <c r="AW336" i="46"/>
  <c r="AL336" i="46"/>
  <c r="AM336" i="46"/>
  <c r="AY336" i="46" s="1"/>
  <c r="AO336" i="46"/>
  <c r="AX336" i="46"/>
  <c r="CB174" i="46"/>
  <c r="CE174" i="46"/>
  <c r="CM174" i="46"/>
  <c r="CC174" i="46"/>
  <c r="CO174" i="46" s="1"/>
  <c r="CN174" i="46"/>
  <c r="BZ174" i="46"/>
  <c r="CA174" i="46" s="1"/>
  <c r="BD148" i="46"/>
  <c r="AB174" i="46"/>
  <c r="AC174" i="46"/>
  <c r="Q174" i="46"/>
  <c r="O174" i="46"/>
  <c r="P174" i="46" s="1"/>
  <c r="R174" i="46"/>
  <c r="AD174" i="46" s="1"/>
  <c r="T174" i="46"/>
  <c r="AM304" i="46"/>
  <c r="AY304" i="46" s="1"/>
  <c r="AX304" i="46"/>
  <c r="AJ304" i="46"/>
  <c r="AK304" i="46" s="1"/>
  <c r="AL304" i="46"/>
  <c r="AO304" i="46"/>
  <c r="AW304" i="46"/>
  <c r="AW47" i="46"/>
  <c r="AX47" i="46"/>
  <c r="AO47" i="46"/>
  <c r="AL47" i="46"/>
  <c r="AJ47" i="46"/>
  <c r="AK47" i="46" s="1"/>
  <c r="AM47" i="46"/>
  <c r="AY47" i="46" s="1"/>
  <c r="BH99" i="46"/>
  <c r="BT99" i="46" s="1"/>
  <c r="BR99" i="46"/>
  <c r="BG99" i="46"/>
  <c r="BS99" i="46"/>
  <c r="BJ99" i="46"/>
  <c r="BL99" i="46" s="1"/>
  <c r="BM99" i="46" s="1"/>
  <c r="BY230" i="46"/>
  <c r="BD327" i="46"/>
  <c r="BD128" i="46"/>
  <c r="CB315" i="46"/>
  <c r="CC315" i="46"/>
  <c r="CO315" i="46" s="1"/>
  <c r="CE315" i="46"/>
  <c r="CM315" i="46"/>
  <c r="CN315" i="46"/>
  <c r="BZ315" i="46"/>
  <c r="CA315" i="46" s="1"/>
  <c r="Q261" i="46"/>
  <c r="R261" i="46"/>
  <c r="AD261" i="46" s="1"/>
  <c r="O261" i="46"/>
  <c r="P261" i="46" s="1"/>
  <c r="AC261" i="46"/>
  <c r="T261" i="46"/>
  <c r="AB261" i="46"/>
  <c r="AO239" i="46"/>
  <c r="AW239" i="46"/>
  <c r="AM239" i="46"/>
  <c r="AY239" i="46" s="1"/>
  <c r="AX239" i="46"/>
  <c r="AL239" i="46"/>
  <c r="AJ239" i="46"/>
  <c r="AK239" i="46" s="1"/>
  <c r="AB169" i="46"/>
  <c r="T169" i="46"/>
  <c r="Q169" i="46"/>
  <c r="O169" i="46"/>
  <c r="P169" i="46" s="1"/>
  <c r="R169" i="46"/>
  <c r="AD169" i="46" s="1"/>
  <c r="AC169" i="46"/>
  <c r="AB26" i="46"/>
  <c r="T26" i="46"/>
  <c r="AC26" i="46"/>
  <c r="O26" i="46"/>
  <c r="P26" i="46" s="1"/>
  <c r="Q26" i="46"/>
  <c r="R26" i="46"/>
  <c r="AD26" i="46" s="1"/>
  <c r="O149" i="46"/>
  <c r="P149" i="46" s="1"/>
  <c r="T149" i="46"/>
  <c r="Q149" i="46"/>
  <c r="R149" i="46"/>
  <c r="AD149" i="46" s="1"/>
  <c r="AC149" i="46"/>
  <c r="AB149" i="46"/>
  <c r="AM195" i="46"/>
  <c r="AY195" i="46" s="1"/>
  <c r="AJ195" i="46"/>
  <c r="AK195" i="46" s="1"/>
  <c r="AL195" i="46"/>
  <c r="AW195" i="46"/>
  <c r="AX195" i="46"/>
  <c r="AO195" i="46"/>
  <c r="BR310" i="46"/>
  <c r="BH310" i="46"/>
  <c r="BT310" i="46" s="1"/>
  <c r="BJ310" i="46"/>
  <c r="BL310" i="46" s="1"/>
  <c r="BM310" i="46" s="1"/>
  <c r="BG310" i="46"/>
  <c r="BS310" i="46"/>
  <c r="R80" i="46"/>
  <c r="AD80" i="46" s="1"/>
  <c r="AB80" i="46"/>
  <c r="T80" i="46"/>
  <c r="Q80" i="46"/>
  <c r="O80" i="46"/>
  <c r="P80" i="46" s="1"/>
  <c r="AC80" i="46"/>
  <c r="BD228" i="46"/>
  <c r="O143" i="46"/>
  <c r="P143" i="46" s="1"/>
  <c r="R143" i="46"/>
  <c r="AD143" i="46" s="1"/>
  <c r="Q143" i="46"/>
  <c r="T143" i="46"/>
  <c r="AC143" i="46"/>
  <c r="AB143" i="46"/>
  <c r="Q63" i="46"/>
  <c r="AC63" i="46"/>
  <c r="O63" i="46"/>
  <c r="P63" i="46" s="1"/>
  <c r="T63" i="46"/>
  <c r="AB63" i="46"/>
  <c r="R63" i="46"/>
  <c r="AD63" i="46" s="1"/>
  <c r="BH300" i="46"/>
  <c r="BT300" i="46" s="1"/>
  <c r="BG300" i="46"/>
  <c r="BR300" i="46"/>
  <c r="BS300" i="46"/>
  <c r="BJ300" i="46"/>
  <c r="BL300" i="46" s="1"/>
  <c r="BM300" i="46" s="1"/>
  <c r="AM335" i="46"/>
  <c r="AY335" i="46" s="1"/>
  <c r="AX335" i="46"/>
  <c r="AJ335" i="46"/>
  <c r="AK335" i="46" s="1"/>
  <c r="AO335" i="46"/>
  <c r="AL335" i="46"/>
  <c r="AW335" i="46"/>
  <c r="R15" i="46"/>
  <c r="AD15" i="46" s="1"/>
  <c r="AB15" i="46"/>
  <c r="O15" i="46"/>
  <c r="P15" i="46" s="1"/>
  <c r="Q15" i="46"/>
  <c r="AC15" i="46"/>
  <c r="T15" i="46"/>
  <c r="AW108" i="46"/>
  <c r="AO108" i="46"/>
  <c r="AJ108" i="46"/>
  <c r="AK108" i="46" s="1"/>
  <c r="AM108" i="46"/>
  <c r="AY108" i="46" s="1"/>
  <c r="AX108" i="46"/>
  <c r="AL108" i="46"/>
  <c r="T200" i="46"/>
  <c r="R200" i="46"/>
  <c r="AD200" i="46" s="1"/>
  <c r="AB200" i="46"/>
  <c r="AC200" i="46"/>
  <c r="Q200" i="46"/>
  <c r="O200" i="46"/>
  <c r="P200" i="46" s="1"/>
  <c r="CM99" i="46"/>
  <c r="CE99" i="46"/>
  <c r="BZ99" i="46"/>
  <c r="CA99" i="46" s="1"/>
  <c r="CC99" i="46"/>
  <c r="CO99" i="46" s="1"/>
  <c r="CB99" i="46"/>
  <c r="CN99" i="46"/>
  <c r="CC312" i="46"/>
  <c r="CO312" i="46" s="1"/>
  <c r="CE312" i="46"/>
  <c r="CB312" i="46"/>
  <c r="BZ312" i="46"/>
  <c r="CA312" i="46" s="1"/>
  <c r="CN312" i="46"/>
  <c r="CM312" i="46"/>
  <c r="AB282" i="46"/>
  <c r="AC282" i="46"/>
  <c r="Q282" i="46"/>
  <c r="R282" i="46"/>
  <c r="AD282" i="46" s="1"/>
  <c r="O282" i="46"/>
  <c r="P282" i="46" s="1"/>
  <c r="T282" i="46"/>
  <c r="AM329" i="46"/>
  <c r="AY329" i="46" s="1"/>
  <c r="AX329" i="46"/>
  <c r="AO329" i="46"/>
  <c r="AJ329" i="46"/>
  <c r="AK329" i="46" s="1"/>
  <c r="AL329" i="46"/>
  <c r="AW329" i="46"/>
  <c r="BH83" i="46"/>
  <c r="BT83" i="46" s="1"/>
  <c r="BG83" i="46"/>
  <c r="BR83" i="46"/>
  <c r="BJ83" i="46"/>
  <c r="BL83" i="46" s="1"/>
  <c r="BM83" i="46" s="1"/>
  <c r="BS83" i="46"/>
  <c r="AJ318" i="46"/>
  <c r="AK318" i="46" s="1"/>
  <c r="AX318" i="46"/>
  <c r="AO318" i="46"/>
  <c r="AL318" i="46"/>
  <c r="AM318" i="46"/>
  <c r="AY318" i="46" s="1"/>
  <c r="AW318" i="46"/>
  <c r="BD34" i="46"/>
  <c r="BH51" i="46"/>
  <c r="BT51" i="46" s="1"/>
  <c r="BR51" i="46"/>
  <c r="BG51" i="46"/>
  <c r="BS51" i="46"/>
  <c r="BJ51" i="46"/>
  <c r="BL51" i="46" s="1"/>
  <c r="BM51" i="46" s="1"/>
  <c r="T146" i="46"/>
  <c r="AC146" i="46"/>
  <c r="Q146" i="46"/>
  <c r="AB146" i="46"/>
  <c r="O146" i="46"/>
  <c r="P146" i="46" s="1"/>
  <c r="R146" i="46"/>
  <c r="AD146" i="46" s="1"/>
  <c r="AO247" i="46"/>
  <c r="AL247" i="46"/>
  <c r="AM247" i="46"/>
  <c r="AY247" i="46" s="1"/>
  <c r="AW247" i="46"/>
  <c r="AX247" i="46"/>
  <c r="AJ247" i="46"/>
  <c r="AK247" i="46" s="1"/>
  <c r="AX28" i="46"/>
  <c r="AJ28" i="46"/>
  <c r="AK28" i="46" s="1"/>
  <c r="AO28" i="46"/>
  <c r="AW28" i="46"/>
  <c r="AM28" i="46"/>
  <c r="AY28" i="46" s="1"/>
  <c r="AL28" i="46"/>
  <c r="O109" i="46"/>
  <c r="P109" i="46" s="1"/>
  <c r="R109" i="46"/>
  <c r="AD109" i="46" s="1"/>
  <c r="Q109" i="46"/>
  <c r="T109" i="46"/>
  <c r="AC109" i="46"/>
  <c r="AB109" i="46"/>
  <c r="O126" i="46"/>
  <c r="P126" i="46" s="1"/>
  <c r="R126" i="46"/>
  <c r="AD126" i="46" s="1"/>
  <c r="AB126" i="46"/>
  <c r="T126" i="46"/>
  <c r="AC126" i="46"/>
  <c r="Q126" i="46"/>
  <c r="AM206" i="46"/>
  <c r="AY206" i="46" s="1"/>
  <c r="AO206" i="46"/>
  <c r="AL206" i="46"/>
  <c r="AX206" i="46"/>
  <c r="AJ206" i="46"/>
  <c r="AK206" i="46" s="1"/>
  <c r="AW206" i="46"/>
  <c r="AW56" i="46"/>
  <c r="AM56" i="46"/>
  <c r="AY56" i="46" s="1"/>
  <c r="AJ56" i="46"/>
  <c r="AK56" i="46" s="1"/>
  <c r="AO56" i="46"/>
  <c r="AX56" i="46"/>
  <c r="AL56" i="46"/>
  <c r="AJ30" i="46"/>
  <c r="AK30" i="46" s="1"/>
  <c r="AL30" i="46"/>
  <c r="AO30" i="46"/>
  <c r="AM30" i="46"/>
  <c r="AY30" i="46" s="1"/>
  <c r="AX30" i="46"/>
  <c r="AW30" i="46"/>
  <c r="BS35" i="46"/>
  <c r="BR35" i="46"/>
  <c r="BH35" i="46"/>
  <c r="BT35" i="46" s="1"/>
  <c r="BJ35" i="46"/>
  <c r="BL35" i="46" s="1"/>
  <c r="BM35" i="46" s="1"/>
  <c r="BG35" i="46"/>
  <c r="BH86" i="46"/>
  <c r="BT86" i="46" s="1"/>
  <c r="BJ86" i="46"/>
  <c r="BL86" i="46" s="1"/>
  <c r="BM86" i="46" s="1"/>
  <c r="BG86" i="46"/>
  <c r="BS86" i="46"/>
  <c r="BR86" i="46"/>
  <c r="CE89" i="46"/>
  <c r="CB89" i="46"/>
  <c r="CN89" i="46"/>
  <c r="CM89" i="46"/>
  <c r="BZ89" i="46"/>
  <c r="CA89" i="46" s="1"/>
  <c r="CC89" i="46"/>
  <c r="CO89" i="46" s="1"/>
  <c r="CB112" i="46"/>
  <c r="CC112" i="46"/>
  <c r="CO112" i="46" s="1"/>
  <c r="BZ112" i="46"/>
  <c r="CA112" i="46" s="1"/>
  <c r="CN112" i="46"/>
  <c r="CE112" i="46"/>
  <c r="CM112" i="46"/>
  <c r="BZ74" i="46"/>
  <c r="CA74" i="46" s="1"/>
  <c r="CC74" i="46"/>
  <c r="CO74" i="46" s="1"/>
  <c r="CN74" i="46"/>
  <c r="CM74" i="46"/>
  <c r="CE74" i="46"/>
  <c r="CB74" i="46"/>
  <c r="AO52" i="46"/>
  <c r="AM52" i="46"/>
  <c r="AY52" i="46" s="1"/>
  <c r="AX52" i="46"/>
  <c r="AW52" i="46"/>
  <c r="AJ52" i="46"/>
  <c r="AK52" i="46" s="1"/>
  <c r="AL52" i="46"/>
  <c r="CC107" i="46"/>
  <c r="CO107" i="46" s="1"/>
  <c r="CM107" i="46"/>
  <c r="BZ107" i="46"/>
  <c r="CA107" i="46" s="1"/>
  <c r="CN107" i="46"/>
  <c r="CE107" i="46"/>
  <c r="CB107" i="46"/>
  <c r="BY138" i="46"/>
  <c r="AX128" i="46"/>
  <c r="AW128" i="46"/>
  <c r="AL128" i="46"/>
  <c r="AJ128" i="46"/>
  <c r="AK128" i="46" s="1"/>
  <c r="AO128" i="46"/>
  <c r="AM128" i="46"/>
  <c r="AY128" i="46" s="1"/>
  <c r="AB255" i="46"/>
  <c r="AC255" i="46"/>
  <c r="Q255" i="46"/>
  <c r="O255" i="46"/>
  <c r="P255" i="46" s="1"/>
  <c r="T255" i="46"/>
  <c r="R255" i="46"/>
  <c r="AD255" i="46" s="1"/>
  <c r="CM75" i="46"/>
  <c r="CB75" i="46"/>
  <c r="CN75" i="46"/>
  <c r="CE75" i="46"/>
  <c r="BZ75" i="46"/>
  <c r="CA75" i="46" s="1"/>
  <c r="CC75" i="46"/>
  <c r="CO75" i="46" s="1"/>
  <c r="CN177" i="46"/>
  <c r="CM177" i="46"/>
  <c r="CC177" i="46"/>
  <c r="CO177" i="46" s="1"/>
  <c r="CB177" i="46"/>
  <c r="BZ177" i="46"/>
  <c r="CA177" i="46" s="1"/>
  <c r="CE177" i="46"/>
  <c r="AC43" i="46"/>
  <c r="AB43" i="46"/>
  <c r="Q43" i="46"/>
  <c r="O43" i="46"/>
  <c r="P43" i="46" s="1"/>
  <c r="T43" i="46"/>
  <c r="R43" i="46"/>
  <c r="AD43" i="46" s="1"/>
  <c r="Q256" i="46"/>
  <c r="AC256" i="46"/>
  <c r="AB256" i="46"/>
  <c r="T256" i="46"/>
  <c r="R256" i="46"/>
  <c r="AD256" i="46" s="1"/>
  <c r="O256" i="46"/>
  <c r="P256" i="46" s="1"/>
  <c r="CE17" i="46"/>
  <c r="BZ17" i="46"/>
  <c r="CA17" i="46" s="1"/>
  <c r="CC17" i="46"/>
  <c r="CO17" i="46" s="1"/>
  <c r="CN17" i="46"/>
  <c r="CM17" i="46"/>
  <c r="CB17" i="46"/>
  <c r="BD17" i="46"/>
  <c r="BR221" i="46"/>
  <c r="BH221" i="46"/>
  <c r="BT221" i="46" s="1"/>
  <c r="BS221" i="46"/>
  <c r="BG221" i="46"/>
  <c r="BJ221" i="46"/>
  <c r="BL221" i="46" s="1"/>
  <c r="BM221" i="46" s="1"/>
  <c r="AX72" i="46"/>
  <c r="AM72" i="46"/>
  <c r="AY72" i="46" s="1"/>
  <c r="AJ72" i="46"/>
  <c r="AK72" i="46" s="1"/>
  <c r="AW72" i="46"/>
  <c r="AO72" i="46"/>
  <c r="AL72" i="46"/>
  <c r="BD211" i="46"/>
  <c r="AM263" i="46"/>
  <c r="AY263" i="46" s="1"/>
  <c r="AO263" i="46"/>
  <c r="AW263" i="46"/>
  <c r="AL263" i="46"/>
  <c r="AX263" i="46"/>
  <c r="AJ263" i="46"/>
  <c r="AK263" i="46" s="1"/>
  <c r="AJ190" i="46"/>
  <c r="AK190" i="46" s="1"/>
  <c r="AX190" i="46"/>
  <c r="AM190" i="46"/>
  <c r="AY190" i="46" s="1"/>
  <c r="AL190" i="46"/>
  <c r="AO190" i="46"/>
  <c r="AW190" i="46"/>
  <c r="AM150" i="46"/>
  <c r="AY150" i="46" s="1"/>
  <c r="AX150" i="46"/>
  <c r="AW150" i="46"/>
  <c r="AL150" i="46"/>
  <c r="AO150" i="46"/>
  <c r="AJ150" i="46"/>
  <c r="AK150" i="46" s="1"/>
  <c r="CM176" i="46"/>
  <c r="BZ176" i="46"/>
  <c r="CA176" i="46" s="1"/>
  <c r="CB176" i="46"/>
  <c r="CE176" i="46"/>
  <c r="CC176" i="46"/>
  <c r="CO176" i="46" s="1"/>
  <c r="CN176" i="46"/>
  <c r="CC88" i="46"/>
  <c r="CO88" i="46" s="1"/>
  <c r="CE88" i="46"/>
  <c r="CM88" i="46"/>
  <c r="CB88" i="46"/>
  <c r="BZ88" i="46"/>
  <c r="CA88" i="46" s="1"/>
  <c r="CN88" i="46"/>
  <c r="BY341" i="46"/>
  <c r="R122" i="46"/>
  <c r="AD122" i="46" s="1"/>
  <c r="AC122" i="46"/>
  <c r="T122" i="46"/>
  <c r="AB122" i="46"/>
  <c r="O122" i="46"/>
  <c r="P122" i="46" s="1"/>
  <c r="Q122" i="46"/>
  <c r="CE245" i="46"/>
  <c r="BZ245" i="46"/>
  <c r="CA245" i="46" s="1"/>
  <c r="CC245" i="46"/>
  <c r="CO245" i="46" s="1"/>
  <c r="CN245" i="46"/>
  <c r="CB245" i="46"/>
  <c r="CM245" i="46"/>
  <c r="R88" i="46"/>
  <c r="AD88" i="46" s="1"/>
  <c r="T88" i="46"/>
  <c r="AB88" i="46"/>
  <c r="AC88" i="46"/>
  <c r="O88" i="46"/>
  <c r="P88" i="46" s="1"/>
  <c r="Q88" i="46"/>
  <c r="O298" i="46"/>
  <c r="P298" i="46" s="1"/>
  <c r="T298" i="46"/>
  <c r="AB298" i="46"/>
  <c r="R298" i="46"/>
  <c r="AD298" i="46" s="1"/>
  <c r="AC298" i="46"/>
  <c r="Q298" i="46"/>
  <c r="AC273" i="46"/>
  <c r="R273" i="46"/>
  <c r="AD273" i="46" s="1"/>
  <c r="AB273" i="46"/>
  <c r="T273" i="46"/>
  <c r="O273" i="46"/>
  <c r="P273" i="46" s="1"/>
  <c r="Q273" i="46"/>
  <c r="CC34" i="46"/>
  <c r="CO34" i="46" s="1"/>
  <c r="CN34" i="46"/>
  <c r="CE34" i="46"/>
  <c r="CB34" i="46"/>
  <c r="BZ34" i="46"/>
  <c r="CA34" i="46" s="1"/>
  <c r="CM34" i="46"/>
  <c r="CM259" i="46"/>
  <c r="CN259" i="46"/>
  <c r="CE259" i="46"/>
  <c r="CC259" i="46"/>
  <c r="CO259" i="46" s="1"/>
  <c r="BZ259" i="46"/>
  <c r="CA259" i="46" s="1"/>
  <c r="CB259" i="46"/>
  <c r="N312" i="46"/>
  <c r="BJ254" i="46"/>
  <c r="BL254" i="46" s="1"/>
  <c r="BM254" i="46" s="1"/>
  <c r="BG254" i="46"/>
  <c r="BH254" i="46"/>
  <c r="BT254" i="46" s="1"/>
  <c r="BS254" i="46"/>
  <c r="BR254" i="46"/>
  <c r="BZ270" i="46"/>
  <c r="CA270" i="46" s="1"/>
  <c r="CC270" i="46"/>
  <c r="CO270" i="46" s="1"/>
  <c r="CE270" i="46"/>
  <c r="CN270" i="46"/>
  <c r="CM270" i="46"/>
  <c r="CB270" i="46"/>
  <c r="AC162" i="46"/>
  <c r="Q162" i="46"/>
  <c r="O162" i="46"/>
  <c r="P162" i="46" s="1"/>
  <c r="AB162" i="46"/>
  <c r="R162" i="46"/>
  <c r="AD162" i="46" s="1"/>
  <c r="T162" i="46"/>
  <c r="AM282" i="46"/>
  <c r="AY282" i="46" s="1"/>
  <c r="AL282" i="46"/>
  <c r="AJ282" i="46"/>
  <c r="AK282" i="46" s="1"/>
  <c r="AW282" i="46"/>
  <c r="AX282" i="46"/>
  <c r="AO282" i="46"/>
  <c r="AW209" i="46"/>
  <c r="AJ209" i="46"/>
  <c r="AK209" i="46" s="1"/>
  <c r="AO209" i="46"/>
  <c r="AM209" i="46"/>
  <c r="AY209" i="46" s="1"/>
  <c r="AL209" i="46"/>
  <c r="AX209" i="46"/>
  <c r="AO92" i="46"/>
  <c r="AW92" i="46"/>
  <c r="AJ92" i="46"/>
  <c r="AK92" i="46" s="1"/>
  <c r="AL92" i="46"/>
  <c r="AX92" i="46"/>
  <c r="AM92" i="46"/>
  <c r="AY92" i="46" s="1"/>
  <c r="BS156" i="46"/>
  <c r="BH156" i="46"/>
  <c r="BT156" i="46" s="1"/>
  <c r="BR156" i="46"/>
  <c r="BG156" i="46"/>
  <c r="BJ156" i="46"/>
  <c r="BL156" i="46" s="1"/>
  <c r="BM156" i="46" s="1"/>
  <c r="BJ273" i="46"/>
  <c r="BL273" i="46" s="1"/>
  <c r="BM273" i="46" s="1"/>
  <c r="BH273" i="46"/>
  <c r="BT273" i="46" s="1"/>
  <c r="BG273" i="46"/>
  <c r="BR273" i="46"/>
  <c r="BS273" i="46"/>
  <c r="BY278" i="46"/>
  <c r="BH291" i="46"/>
  <c r="BT291" i="46" s="1"/>
  <c r="BR291" i="46"/>
  <c r="BG291" i="46"/>
  <c r="BJ291" i="46"/>
  <c r="BL291" i="46" s="1"/>
  <c r="BM291" i="46" s="1"/>
  <c r="BS291" i="46"/>
  <c r="AO342" i="46"/>
  <c r="AM342" i="46"/>
  <c r="AY342" i="46" s="1"/>
  <c r="AW342" i="46"/>
  <c r="AJ342" i="46"/>
  <c r="AK342" i="46" s="1"/>
  <c r="AL342" i="46"/>
  <c r="AX342" i="46"/>
  <c r="CC31" i="46"/>
  <c r="CO31" i="46" s="1"/>
  <c r="CB31" i="46"/>
  <c r="CE31" i="46"/>
  <c r="CM31" i="46"/>
  <c r="BZ31" i="46"/>
  <c r="CA31" i="46" s="1"/>
  <c r="CN31" i="46"/>
  <c r="AX146" i="46"/>
  <c r="AM146" i="46"/>
  <c r="AY146" i="46" s="1"/>
  <c r="AO146" i="46"/>
  <c r="AW146" i="46"/>
  <c r="AJ146" i="46"/>
  <c r="AK146" i="46" s="1"/>
  <c r="AL146" i="46"/>
  <c r="O142" i="46"/>
  <c r="P142" i="46" s="1"/>
  <c r="T142" i="46"/>
  <c r="AB142" i="46"/>
  <c r="R142" i="46"/>
  <c r="AD142" i="46" s="1"/>
  <c r="AC142" i="46"/>
  <c r="Q142" i="46"/>
  <c r="BD227" i="46"/>
  <c r="R115" i="46"/>
  <c r="AD115" i="46" s="1"/>
  <c r="Q115" i="46"/>
  <c r="O115" i="46"/>
  <c r="P115" i="46" s="1"/>
  <c r="AC115" i="46"/>
  <c r="AB115" i="46"/>
  <c r="T115" i="46"/>
  <c r="CB123" i="46"/>
  <c r="CE123" i="46"/>
  <c r="CM123" i="46"/>
  <c r="CN123" i="46"/>
  <c r="CC123" i="46"/>
  <c r="CO123" i="46" s="1"/>
  <c r="BZ123" i="46"/>
  <c r="CA123" i="46" s="1"/>
  <c r="BR284" i="46"/>
  <c r="BS284" i="46"/>
  <c r="BG284" i="46"/>
  <c r="BJ284" i="46"/>
  <c r="BL284" i="46" s="1"/>
  <c r="BM284" i="46" s="1"/>
  <c r="BH284" i="46"/>
  <c r="BT284" i="46" s="1"/>
  <c r="BR132" i="46"/>
  <c r="BH132" i="46"/>
  <c r="BT132" i="46" s="1"/>
  <c r="BJ132" i="46"/>
  <c r="BL132" i="46" s="1"/>
  <c r="BM132" i="46" s="1"/>
  <c r="BG132" i="46"/>
  <c r="BS132" i="46"/>
  <c r="E36" i="38"/>
  <c r="E42" i="38"/>
  <c r="J54" i="38" s="1"/>
  <c r="G36" i="38"/>
  <c r="E43" i="38"/>
  <c r="K54" i="38" s="1"/>
  <c r="BS207" i="46"/>
  <c r="BJ207" i="46"/>
  <c r="BL207" i="46" s="1"/>
  <c r="BM207" i="46" s="1"/>
  <c r="BG207" i="46"/>
  <c r="BH207" i="46"/>
  <c r="BT207" i="46" s="1"/>
  <c r="BR207" i="46"/>
  <c r="BG296" i="46"/>
  <c r="BJ296" i="46"/>
  <c r="BL296" i="46" s="1"/>
  <c r="BM296" i="46" s="1"/>
  <c r="BH296" i="46"/>
  <c r="BT296" i="46" s="1"/>
  <c r="BR296" i="46"/>
  <c r="BS296" i="46"/>
  <c r="CM231" i="46"/>
  <c r="CE231" i="46"/>
  <c r="CC231" i="46"/>
  <c r="CO231" i="46" s="1"/>
  <c r="CN231" i="46"/>
  <c r="CB231" i="46"/>
  <c r="BZ231" i="46"/>
  <c r="CA231" i="46" s="1"/>
  <c r="BD180" i="46"/>
  <c r="AL326" i="46"/>
  <c r="AO326" i="46"/>
  <c r="AX326" i="46"/>
  <c r="AJ326" i="46"/>
  <c r="AK326" i="46" s="1"/>
  <c r="AM326" i="46"/>
  <c r="AY326" i="46" s="1"/>
  <c r="AW326" i="46"/>
  <c r="BD249" i="46"/>
  <c r="AI97" i="46"/>
  <c r="AJ16" i="46"/>
  <c r="AK16" i="46" s="1"/>
  <c r="AO16" i="46"/>
  <c r="AL16" i="46"/>
  <c r="AM16" i="46"/>
  <c r="AY16" i="46" s="1"/>
  <c r="AW16" i="46"/>
  <c r="AX16" i="46"/>
  <c r="AM276" i="46"/>
  <c r="AY276" i="46" s="1"/>
  <c r="AW276" i="46"/>
  <c r="AX276" i="46"/>
  <c r="AO276" i="46"/>
  <c r="AL276" i="46"/>
  <c r="AJ276" i="46"/>
  <c r="AK276" i="46" s="1"/>
  <c r="AB131" i="46"/>
  <c r="R131" i="46"/>
  <c r="AD131" i="46" s="1"/>
  <c r="Q131" i="46"/>
  <c r="T131" i="46"/>
  <c r="O131" i="46"/>
  <c r="P131" i="46" s="1"/>
  <c r="AC131" i="46"/>
  <c r="AO317" i="46"/>
  <c r="AM317" i="46"/>
  <c r="AY317" i="46" s="1"/>
  <c r="AL317" i="46"/>
  <c r="AJ317" i="46"/>
  <c r="AK317" i="46" s="1"/>
  <c r="AX317" i="46"/>
  <c r="AW317" i="46"/>
  <c r="Q107" i="46"/>
  <c r="AB107" i="46"/>
  <c r="O107" i="46"/>
  <c r="P107" i="46" s="1"/>
  <c r="T107" i="46"/>
  <c r="R107" i="46"/>
  <c r="AD107" i="46" s="1"/>
  <c r="AC107" i="46"/>
  <c r="AJ157" i="46"/>
  <c r="AK157" i="46" s="1"/>
  <c r="AO157" i="46"/>
  <c r="AW157" i="46"/>
  <c r="AX157" i="46"/>
  <c r="AM157" i="46"/>
  <c r="AY157" i="46" s="1"/>
  <c r="AL157" i="46"/>
  <c r="AL129" i="46"/>
  <c r="AM129" i="46"/>
  <c r="AY129" i="46" s="1"/>
  <c r="AX129" i="46"/>
  <c r="AJ129" i="46"/>
  <c r="AK129" i="46" s="1"/>
  <c r="AW129" i="46"/>
  <c r="AO129" i="46"/>
  <c r="BG82" i="46"/>
  <c r="BH82" i="46"/>
  <c r="BT82" i="46" s="1"/>
  <c r="BS82" i="46"/>
  <c r="BJ82" i="46"/>
  <c r="BL82" i="46" s="1"/>
  <c r="BM82" i="46" s="1"/>
  <c r="BR82" i="46"/>
  <c r="AJ149" i="46"/>
  <c r="AK149" i="46" s="1"/>
  <c r="AO149" i="46"/>
  <c r="AW149" i="46"/>
  <c r="AM149" i="46"/>
  <c r="AY149" i="46" s="1"/>
  <c r="AL149" i="46"/>
  <c r="AX149" i="46"/>
  <c r="AM176" i="46"/>
  <c r="AY176" i="46" s="1"/>
  <c r="AX176" i="46"/>
  <c r="AJ176" i="46"/>
  <c r="AK176" i="46" s="1"/>
  <c r="AO176" i="46"/>
  <c r="AW176" i="46"/>
  <c r="AL176" i="46"/>
  <c r="BZ159" i="46"/>
  <c r="CA159" i="46" s="1"/>
  <c r="CM159" i="46"/>
  <c r="CB159" i="46"/>
  <c r="CN159" i="46"/>
  <c r="CC159" i="46"/>
  <c r="CO159" i="46" s="1"/>
  <c r="CE159" i="46"/>
  <c r="O112" i="46"/>
  <c r="P112" i="46" s="1"/>
  <c r="Q112" i="46"/>
  <c r="AB112" i="46"/>
  <c r="T112" i="46"/>
  <c r="AC112" i="46"/>
  <c r="R112" i="46"/>
  <c r="AD112" i="46" s="1"/>
  <c r="AM265" i="46"/>
  <c r="AY265" i="46" s="1"/>
  <c r="AX265" i="46"/>
  <c r="AJ265" i="46"/>
  <c r="AK265" i="46" s="1"/>
  <c r="AL265" i="46"/>
  <c r="AO265" i="46"/>
  <c r="AW265" i="46"/>
  <c r="CM319" i="46"/>
  <c r="CN319" i="46"/>
  <c r="CE319" i="46"/>
  <c r="CB319" i="46"/>
  <c r="CC319" i="46"/>
  <c r="CO319" i="46" s="1"/>
  <c r="BZ319" i="46"/>
  <c r="CA319" i="46" s="1"/>
  <c r="BH37" i="46"/>
  <c r="BT37" i="46" s="1"/>
  <c r="BG37" i="46"/>
  <c r="BR37" i="46"/>
  <c r="BS37" i="46"/>
  <c r="BJ37" i="46"/>
  <c r="BL37" i="46" s="1"/>
  <c r="BM37" i="46" s="1"/>
  <c r="BJ93" i="46"/>
  <c r="BL93" i="46" s="1"/>
  <c r="BM93" i="46" s="1"/>
  <c r="BH93" i="46"/>
  <c r="BT93" i="46" s="1"/>
  <c r="BG93" i="46"/>
  <c r="BR93" i="46"/>
  <c r="BS93" i="46"/>
  <c r="T331" i="46"/>
  <c r="AC331" i="46"/>
  <c r="R331" i="46"/>
  <c r="AD331" i="46" s="1"/>
  <c r="AB331" i="46"/>
  <c r="Q331" i="46"/>
  <c r="O331" i="46"/>
  <c r="P331" i="46" s="1"/>
  <c r="AM91" i="46"/>
  <c r="AY91" i="46" s="1"/>
  <c r="AO91" i="46"/>
  <c r="AX91" i="46"/>
  <c r="AW91" i="46"/>
  <c r="AL91" i="46"/>
  <c r="AJ91" i="46"/>
  <c r="AK91" i="46" s="1"/>
  <c r="AL23" i="46"/>
  <c r="AW23" i="46"/>
  <c r="AM23" i="46"/>
  <c r="AY23" i="46" s="1"/>
  <c r="AO23" i="46"/>
  <c r="AX23" i="46"/>
  <c r="AJ23" i="46"/>
  <c r="AK23" i="46" s="1"/>
  <c r="BR42" i="46"/>
  <c r="BJ42" i="46"/>
  <c r="BL42" i="46" s="1"/>
  <c r="BM42" i="46" s="1"/>
  <c r="BG42" i="46"/>
  <c r="BS42" i="46"/>
  <c r="BH42" i="46"/>
  <c r="BT42" i="46" s="1"/>
  <c r="BH166" i="46"/>
  <c r="BT166" i="46" s="1"/>
  <c r="BS166" i="46"/>
  <c r="BR166" i="46"/>
  <c r="BG166" i="46"/>
  <c r="BJ166" i="46"/>
  <c r="BL166" i="46" s="1"/>
  <c r="BM166" i="46" s="1"/>
  <c r="BZ111" i="46"/>
  <c r="CA111" i="46" s="1"/>
  <c r="CN111" i="46"/>
  <c r="CE111" i="46"/>
  <c r="CB111" i="46"/>
  <c r="CC111" i="46"/>
  <c r="CO111" i="46" s="1"/>
  <c r="CM111" i="46"/>
  <c r="AJ140" i="46"/>
  <c r="AK140" i="46" s="1"/>
  <c r="AX140" i="46"/>
  <c r="AO140" i="46"/>
  <c r="AL140" i="46"/>
  <c r="AM140" i="46"/>
  <c r="AY140" i="46" s="1"/>
  <c r="AW140" i="46"/>
  <c r="DP54" i="37"/>
  <c r="DR54" i="37"/>
  <c r="DS54" i="37"/>
  <c r="DD54" i="37"/>
  <c r="CR54" i="37"/>
  <c r="CS54" i="37" s="1"/>
  <c r="CM248" i="46"/>
  <c r="CB248" i="46"/>
  <c r="CN248" i="46"/>
  <c r="CC248" i="46"/>
  <c r="CO248" i="46" s="1"/>
  <c r="BZ248" i="46"/>
  <c r="CA248" i="46" s="1"/>
  <c r="CE248" i="46"/>
  <c r="R102" i="46"/>
  <c r="AD102" i="46" s="1"/>
  <c r="O102" i="46"/>
  <c r="P102" i="46" s="1"/>
  <c r="T102" i="46"/>
  <c r="AB102" i="46"/>
  <c r="AC102" i="46"/>
  <c r="Q102" i="46"/>
  <c r="BZ344" i="46"/>
  <c r="CA344" i="46" s="1"/>
  <c r="CM344" i="46"/>
  <c r="CC344" i="46"/>
  <c r="CO344" i="46" s="1"/>
  <c r="CB344" i="46"/>
  <c r="CN344" i="46"/>
  <c r="CE344" i="46"/>
  <c r="CM166" i="46"/>
  <c r="CB166" i="46"/>
  <c r="CE166" i="46"/>
  <c r="CC166" i="46"/>
  <c r="CO166" i="46" s="1"/>
  <c r="BZ166" i="46"/>
  <c r="CA166" i="46" s="1"/>
  <c r="CN166" i="46"/>
  <c r="AC333" i="46"/>
  <c r="O333" i="46"/>
  <c r="P333" i="46" s="1"/>
  <c r="Q333" i="46"/>
  <c r="T333" i="46"/>
  <c r="AB333" i="46"/>
  <c r="R333" i="46"/>
  <c r="AD333" i="46" s="1"/>
  <c r="BJ138" i="46"/>
  <c r="BL138" i="46" s="1"/>
  <c r="BM138" i="46" s="1"/>
  <c r="BH138" i="46"/>
  <c r="BT138" i="46" s="1"/>
  <c r="BR138" i="46"/>
  <c r="BG138" i="46"/>
  <c r="BS138" i="46"/>
  <c r="AI81" i="46"/>
  <c r="AB70" i="46"/>
  <c r="AC70" i="46"/>
  <c r="O70" i="46"/>
  <c r="P70" i="46" s="1"/>
  <c r="T70" i="46"/>
  <c r="R70" i="46"/>
  <c r="AD70" i="46" s="1"/>
  <c r="Q70" i="46"/>
  <c r="BY65" i="46"/>
  <c r="BR345" i="46"/>
  <c r="BH345" i="46"/>
  <c r="BT345" i="46" s="1"/>
  <c r="BS345" i="46"/>
  <c r="BJ345" i="46"/>
  <c r="BL345" i="46" s="1"/>
  <c r="BM345" i="46" s="1"/>
  <c r="BG345" i="46"/>
  <c r="CC296" i="46"/>
  <c r="CO296" i="46" s="1"/>
  <c r="BZ296" i="46"/>
  <c r="CA296" i="46" s="1"/>
  <c r="CB296" i="46"/>
  <c r="CN296" i="46"/>
  <c r="CM296" i="46"/>
  <c r="CE296" i="46"/>
  <c r="R243" i="46"/>
  <c r="AD243" i="46" s="1"/>
  <c r="T243" i="46"/>
  <c r="Q243" i="46"/>
  <c r="AB243" i="46"/>
  <c r="AC243" i="46"/>
  <c r="O243" i="46"/>
  <c r="P243" i="46" s="1"/>
  <c r="AI112" i="46"/>
  <c r="BD133" i="46"/>
  <c r="BS121" i="46"/>
  <c r="BH121" i="46"/>
  <c r="BT121" i="46" s="1"/>
  <c r="BJ121" i="46"/>
  <c r="BL121" i="46" s="1"/>
  <c r="BM121" i="46" s="1"/>
  <c r="BR121" i="46"/>
  <c r="BG121" i="46"/>
  <c r="BY214" i="46"/>
  <c r="R76" i="46"/>
  <c r="AD76" i="46" s="1"/>
  <c r="AB76" i="46"/>
  <c r="O76" i="46"/>
  <c r="P76" i="46" s="1"/>
  <c r="T76" i="46"/>
  <c r="AC76" i="46"/>
  <c r="Q76" i="46"/>
  <c r="BR127" i="46"/>
  <c r="BG127" i="46"/>
  <c r="BJ127" i="46"/>
  <c r="BL127" i="46" s="1"/>
  <c r="BM127" i="46" s="1"/>
  <c r="BH127" i="46"/>
  <c r="BT127" i="46" s="1"/>
  <c r="BS127" i="46"/>
  <c r="AM323" i="46"/>
  <c r="AY323" i="46" s="1"/>
  <c r="AW323" i="46"/>
  <c r="AJ323" i="46"/>
  <c r="AK323" i="46" s="1"/>
  <c r="AL323" i="46"/>
  <c r="AX323" i="46"/>
  <c r="AO323" i="46"/>
  <c r="CN343" i="46"/>
  <c r="CC343" i="46"/>
  <c r="CO343" i="46" s="1"/>
  <c r="BZ343" i="46"/>
  <c r="CA343" i="46" s="1"/>
  <c r="CE343" i="46"/>
  <c r="CM343" i="46"/>
  <c r="CB343" i="46"/>
  <c r="AB35" i="46"/>
  <c r="O35" i="46"/>
  <c r="P35" i="46" s="1"/>
  <c r="R35" i="46"/>
  <c r="AD35" i="46" s="1"/>
  <c r="AC35" i="46"/>
  <c r="Q35" i="46"/>
  <c r="T35" i="46"/>
  <c r="AW62" i="46"/>
  <c r="AX62" i="46"/>
  <c r="AM62" i="46"/>
  <c r="AY62" i="46" s="1"/>
  <c r="AO62" i="46"/>
  <c r="AL62" i="46"/>
  <c r="AJ62" i="46"/>
  <c r="AK62" i="46" s="1"/>
  <c r="AB265" i="46"/>
  <c r="T265" i="46"/>
  <c r="O265" i="46"/>
  <c r="P265" i="46" s="1"/>
  <c r="AC265" i="46"/>
  <c r="Q265" i="46"/>
  <c r="R265" i="46"/>
  <c r="AD265" i="46" s="1"/>
  <c r="BZ223" i="46"/>
  <c r="CA223" i="46" s="1"/>
  <c r="CN223" i="46"/>
  <c r="CM223" i="46"/>
  <c r="CE223" i="46"/>
  <c r="CC223" i="46"/>
  <c r="CO223" i="46" s="1"/>
  <c r="CB223" i="46"/>
  <c r="BY116" i="46"/>
  <c r="CM305" i="46"/>
  <c r="CE305" i="46"/>
  <c r="BZ305" i="46"/>
  <c r="CA305" i="46" s="1"/>
  <c r="CC305" i="46"/>
  <c r="CO305" i="46" s="1"/>
  <c r="CN305" i="46"/>
  <c r="CB305" i="46"/>
  <c r="CB268" i="46"/>
  <c r="CM268" i="46"/>
  <c r="CN268" i="46"/>
  <c r="CC268" i="46"/>
  <c r="CO268" i="46" s="1"/>
  <c r="CE268" i="46"/>
  <c r="BZ268" i="46"/>
  <c r="CA268" i="46" s="1"/>
  <c r="AI26" i="46"/>
  <c r="AW212" i="46"/>
  <c r="AM212" i="46"/>
  <c r="AY212" i="46" s="1"/>
  <c r="AO212" i="46"/>
  <c r="AJ212" i="46"/>
  <c r="AK212" i="46" s="1"/>
  <c r="AL212" i="46"/>
  <c r="AX212" i="46"/>
  <c r="BH213" i="46"/>
  <c r="BT213" i="46" s="1"/>
  <c r="BS213" i="46"/>
  <c r="BR213" i="46"/>
  <c r="BJ213" i="46"/>
  <c r="BL213" i="46" s="1"/>
  <c r="BM213" i="46" s="1"/>
  <c r="BG213" i="46"/>
  <c r="R127" i="46"/>
  <c r="AD127" i="46" s="1"/>
  <c r="AC127" i="46"/>
  <c r="AB127" i="46"/>
  <c r="O127" i="46"/>
  <c r="P127" i="46" s="1"/>
  <c r="Q127" i="46"/>
  <c r="T127" i="46"/>
  <c r="CM183" i="46"/>
  <c r="BZ183" i="46"/>
  <c r="CA183" i="46" s="1"/>
  <c r="CC183" i="46"/>
  <c r="CO183" i="46" s="1"/>
  <c r="CN183" i="46"/>
  <c r="CE183" i="46"/>
  <c r="CB183" i="46"/>
  <c r="N125" i="46"/>
  <c r="BZ301" i="46"/>
  <c r="CA301" i="46" s="1"/>
  <c r="CN301" i="46"/>
  <c r="CE301" i="46"/>
  <c r="CM301" i="46"/>
  <c r="CC301" i="46"/>
  <c r="CO301" i="46" s="1"/>
  <c r="CB301" i="46"/>
  <c r="BJ113" i="46"/>
  <c r="BL113" i="46" s="1"/>
  <c r="BM113" i="46" s="1"/>
  <c r="BH113" i="46"/>
  <c r="BT113" i="46" s="1"/>
  <c r="BS113" i="46"/>
  <c r="BR113" i="46"/>
  <c r="BG113" i="46"/>
  <c r="AC290" i="46"/>
  <c r="T290" i="46"/>
  <c r="Q290" i="46"/>
  <c r="R290" i="46"/>
  <c r="AD290" i="46" s="1"/>
  <c r="O290" i="46"/>
  <c r="P290" i="46" s="1"/>
  <c r="AB290" i="46"/>
  <c r="AX241" i="46"/>
  <c r="AO241" i="46"/>
  <c r="AM241" i="46"/>
  <c r="AY241" i="46" s="1"/>
  <c r="AJ241" i="46"/>
  <c r="AK241" i="46" s="1"/>
  <c r="AW241" i="46"/>
  <c r="AL241" i="46"/>
  <c r="CC48" i="46"/>
  <c r="CO48" i="46" s="1"/>
  <c r="CM48" i="46"/>
  <c r="CB48" i="46"/>
  <c r="CN48" i="46"/>
  <c r="CE48" i="46"/>
  <c r="BZ48" i="46"/>
  <c r="CA48" i="46" s="1"/>
  <c r="AC84" i="46"/>
  <c r="R84" i="46"/>
  <c r="AD84" i="46" s="1"/>
  <c r="Q84" i="46"/>
  <c r="T84" i="46"/>
  <c r="O84" i="46"/>
  <c r="P84" i="46" s="1"/>
  <c r="AB84" i="46"/>
  <c r="CM32" i="46"/>
  <c r="CE32" i="46"/>
  <c r="BZ32" i="46"/>
  <c r="CA32" i="46" s="1"/>
  <c r="CN32" i="46"/>
  <c r="CB32" i="46"/>
  <c r="CC32" i="46"/>
  <c r="CO32" i="46" s="1"/>
  <c r="AM79" i="46"/>
  <c r="AY79" i="46" s="1"/>
  <c r="AX79" i="46"/>
  <c r="AJ79" i="46"/>
  <c r="AK79" i="46" s="1"/>
  <c r="AO79" i="46"/>
  <c r="AL79" i="46"/>
  <c r="AW79" i="46"/>
  <c r="BZ249" i="46"/>
  <c r="CA249" i="46" s="1"/>
  <c r="CM249" i="46"/>
  <c r="CC249" i="46"/>
  <c r="CO249" i="46" s="1"/>
  <c r="CB249" i="46"/>
  <c r="CN249" i="46"/>
  <c r="CE249" i="46"/>
  <c r="BR69" i="46"/>
  <c r="BS69" i="46"/>
  <c r="BG69" i="46"/>
  <c r="BH69" i="46"/>
  <c r="BT69" i="46" s="1"/>
  <c r="BJ69" i="46"/>
  <c r="BL69" i="46" s="1"/>
  <c r="BM69" i="46" s="1"/>
  <c r="AI309" i="46"/>
  <c r="CN254" i="46"/>
  <c r="CC254" i="46"/>
  <c r="CO254" i="46" s="1"/>
  <c r="CE254" i="46"/>
  <c r="CB254" i="46"/>
  <c r="BZ254" i="46"/>
  <c r="CA254" i="46" s="1"/>
  <c r="CM254" i="46"/>
  <c r="N166" i="46"/>
  <c r="BZ66" i="46"/>
  <c r="CA66" i="46" s="1"/>
  <c r="CN66" i="46"/>
  <c r="CC66" i="46"/>
  <c r="CO66" i="46" s="1"/>
  <c r="CM66" i="46"/>
  <c r="CB66" i="46"/>
  <c r="CE66" i="46"/>
  <c r="AM233" i="46"/>
  <c r="AY233" i="46" s="1"/>
  <c r="AO233" i="46"/>
  <c r="AX233" i="46"/>
  <c r="AJ233" i="46"/>
  <c r="AK233" i="46" s="1"/>
  <c r="AW233" i="46"/>
  <c r="AL233" i="46"/>
  <c r="AM208" i="46"/>
  <c r="AY208" i="46" s="1"/>
  <c r="AW208" i="46"/>
  <c r="AO208" i="46"/>
  <c r="AJ208" i="46"/>
  <c r="AK208" i="46" s="1"/>
  <c r="AL208" i="46"/>
  <c r="AX208" i="46"/>
  <c r="CM80" i="46"/>
  <c r="CN80" i="46"/>
  <c r="CC80" i="46"/>
  <c r="CO80" i="46" s="1"/>
  <c r="CE80" i="46"/>
  <c r="BZ80" i="46"/>
  <c r="CA80" i="46" s="1"/>
  <c r="CB80" i="46"/>
  <c r="BJ27" i="46"/>
  <c r="BL27" i="46" s="1"/>
  <c r="BM27" i="46" s="1"/>
  <c r="BG27" i="46"/>
  <c r="BS27" i="46"/>
  <c r="BH27" i="46"/>
  <c r="BT27" i="46" s="1"/>
  <c r="BR27" i="46"/>
  <c r="AM25" i="46"/>
  <c r="AY25" i="46" s="1"/>
  <c r="AW25" i="46"/>
  <c r="AO25" i="46"/>
  <c r="AX25" i="46"/>
  <c r="AJ25" i="46"/>
  <c r="AK25" i="46" s="1"/>
  <c r="AL25" i="46"/>
  <c r="BD202" i="46"/>
  <c r="CC225" i="46"/>
  <c r="CO225" i="46" s="1"/>
  <c r="CM225" i="46"/>
  <c r="CB225" i="46"/>
  <c r="BZ225" i="46"/>
  <c r="CA225" i="46" s="1"/>
  <c r="CN225" i="46"/>
  <c r="CE225" i="46"/>
  <c r="O68" i="46"/>
  <c r="P68" i="46" s="1"/>
  <c r="R68" i="46"/>
  <c r="AD68" i="46" s="1"/>
  <c r="Q68" i="46"/>
  <c r="AC68" i="46"/>
  <c r="T68" i="46"/>
  <c r="AB68" i="46"/>
  <c r="BY327" i="46"/>
  <c r="BS179" i="46"/>
  <c r="BH179" i="46"/>
  <c r="BT179" i="46" s="1"/>
  <c r="BJ179" i="46"/>
  <c r="BL179" i="46" s="1"/>
  <c r="BM179" i="46" s="1"/>
  <c r="BR179" i="46"/>
  <c r="BG179" i="46"/>
  <c r="N291" i="46"/>
  <c r="AX235" i="46"/>
  <c r="AM235" i="46"/>
  <c r="AY235" i="46" s="1"/>
  <c r="AJ235" i="46"/>
  <c r="AK235" i="46" s="1"/>
  <c r="AO235" i="46"/>
  <c r="AL235" i="46"/>
  <c r="AW235" i="46"/>
  <c r="BH95" i="46"/>
  <c r="BT95" i="46" s="1"/>
  <c r="BJ95" i="46"/>
  <c r="BL95" i="46" s="1"/>
  <c r="BM95" i="46" s="1"/>
  <c r="BS95" i="46"/>
  <c r="BG95" i="46"/>
  <c r="BR95" i="46"/>
  <c r="BS162" i="46"/>
  <c r="BH162" i="46"/>
  <c r="BT162" i="46" s="1"/>
  <c r="BR162" i="46"/>
  <c r="BJ162" i="46"/>
  <c r="BL162" i="46" s="1"/>
  <c r="BM162" i="46" s="1"/>
  <c r="BG162" i="46"/>
  <c r="BD142" i="46"/>
  <c r="BZ288" i="46"/>
  <c r="CA288" i="46" s="1"/>
  <c r="CC288" i="46"/>
  <c r="CO288" i="46" s="1"/>
  <c r="CE288" i="46"/>
  <c r="CN288" i="46"/>
  <c r="CB288" i="46"/>
  <c r="CM288" i="46"/>
  <c r="Q20" i="46"/>
  <c r="AC20" i="46"/>
  <c r="R20" i="46"/>
  <c r="AD20" i="46" s="1"/>
  <c r="T20" i="46"/>
  <c r="AB20" i="46"/>
  <c r="O20" i="46"/>
  <c r="P20" i="46" s="1"/>
  <c r="BZ119" i="46"/>
  <c r="CA119" i="46" s="1"/>
  <c r="CN119" i="46"/>
  <c r="CC119" i="46"/>
  <c r="CO119" i="46" s="1"/>
  <c r="CE119" i="46"/>
  <c r="CM119" i="46"/>
  <c r="CB119" i="46"/>
  <c r="BR64" i="46"/>
  <c r="BG64" i="46"/>
  <c r="BS64" i="46"/>
  <c r="BH64" i="46"/>
  <c r="BT64" i="46" s="1"/>
  <c r="BJ64" i="46"/>
  <c r="BL64" i="46" s="1"/>
  <c r="BM64" i="46" s="1"/>
  <c r="CN191" i="46"/>
  <c r="CE191" i="46"/>
  <c r="CC191" i="46"/>
  <c r="CO191" i="46" s="1"/>
  <c r="CM191" i="46"/>
  <c r="BZ191" i="46"/>
  <c r="CA191" i="46" s="1"/>
  <c r="CB191" i="46"/>
  <c r="CB160" i="46"/>
  <c r="BZ160" i="46"/>
  <c r="CA160" i="46" s="1"/>
  <c r="CN160" i="46"/>
  <c r="CE160" i="46"/>
  <c r="CM160" i="46"/>
  <c r="CC160" i="46"/>
  <c r="CO160" i="46" s="1"/>
  <c r="CE131" i="46"/>
  <c r="CN131" i="46"/>
  <c r="BZ131" i="46"/>
  <c r="CA131" i="46" s="1"/>
  <c r="CC131" i="46"/>
  <c r="CO131" i="46" s="1"/>
  <c r="CB131" i="46"/>
  <c r="CM131" i="46"/>
  <c r="FX54" i="39"/>
  <c r="FY54" i="39"/>
  <c r="FV54" i="39"/>
  <c r="FJ54" i="39"/>
  <c r="EX54" i="39"/>
  <c r="EY54" i="39" s="1"/>
  <c r="AC81" i="46"/>
  <c r="AB81" i="46"/>
  <c r="O81" i="46"/>
  <c r="P81" i="46" s="1"/>
  <c r="T81" i="46"/>
  <c r="Q81" i="46"/>
  <c r="R81" i="46"/>
  <c r="AD81" i="46" s="1"/>
  <c r="AL215" i="46"/>
  <c r="AO215" i="46"/>
  <c r="AX215" i="46"/>
  <c r="AW215" i="46"/>
  <c r="AM215" i="46"/>
  <c r="AY215" i="46" s="1"/>
  <c r="AJ215" i="46"/>
  <c r="AK215" i="46" s="1"/>
  <c r="Q224" i="46"/>
  <c r="R224" i="46"/>
  <c r="AD224" i="46" s="1"/>
  <c r="T224" i="46"/>
  <c r="AB224" i="46"/>
  <c r="AC224" i="46"/>
  <c r="O224" i="46"/>
  <c r="P224" i="46" s="1"/>
  <c r="CM28" i="46"/>
  <c r="BZ28" i="46"/>
  <c r="CA28" i="46" s="1"/>
  <c r="CB28" i="46"/>
  <c r="CC28" i="46"/>
  <c r="CO28" i="46" s="1"/>
  <c r="CN28" i="46"/>
  <c r="CE28" i="46"/>
  <c r="BG153" i="46"/>
  <c r="BS153" i="46"/>
  <c r="BJ153" i="46"/>
  <c r="BL153" i="46" s="1"/>
  <c r="BM153" i="46" s="1"/>
  <c r="BR153" i="46"/>
  <c r="BH153" i="46"/>
  <c r="BT153" i="46" s="1"/>
  <c r="Q325" i="46"/>
  <c r="R325" i="46"/>
  <c r="AD325" i="46" s="1"/>
  <c r="AB325" i="46"/>
  <c r="O325" i="46"/>
  <c r="P325" i="46" s="1"/>
  <c r="T325" i="46"/>
  <c r="AC325" i="46"/>
  <c r="CN153" i="46"/>
  <c r="CE153" i="46"/>
  <c r="CM153" i="46"/>
  <c r="CC153" i="46"/>
  <c r="CO153" i="46" s="1"/>
  <c r="BZ153" i="46"/>
  <c r="CA153" i="46" s="1"/>
  <c r="CB153" i="46"/>
  <c r="BR110" i="46"/>
  <c r="BH110" i="46"/>
  <c r="BT110" i="46" s="1"/>
  <c r="BJ110" i="46"/>
  <c r="BL110" i="46" s="1"/>
  <c r="BM110" i="46" s="1"/>
  <c r="BS110" i="46"/>
  <c r="BG110" i="46"/>
  <c r="CB26" i="46"/>
  <c r="CM26" i="46"/>
  <c r="CC26" i="46"/>
  <c r="CO26" i="46" s="1"/>
  <c r="CN26" i="46"/>
  <c r="CE26" i="46"/>
  <c r="BZ26" i="46"/>
  <c r="CA26" i="46" s="1"/>
  <c r="BR130" i="46"/>
  <c r="BG130" i="46"/>
  <c r="BJ130" i="46"/>
  <c r="BL130" i="46" s="1"/>
  <c r="BM130" i="46" s="1"/>
  <c r="BH130" i="46"/>
  <c r="BT130" i="46" s="1"/>
  <c r="BS130" i="46"/>
  <c r="AJ232" i="46"/>
  <c r="AK232" i="46" s="1"/>
  <c r="AX232" i="46"/>
  <c r="AL232" i="46"/>
  <c r="AO232" i="46"/>
  <c r="AM232" i="46"/>
  <c r="AY232" i="46" s="1"/>
  <c r="AW232" i="46"/>
  <c r="T307" i="46"/>
  <c r="AC307" i="46"/>
  <c r="AB307" i="46"/>
  <c r="Q307" i="46"/>
  <c r="O307" i="46"/>
  <c r="P307" i="46" s="1"/>
  <c r="R307" i="46"/>
  <c r="AD307" i="46" s="1"/>
  <c r="BS261" i="46"/>
  <c r="BJ261" i="46"/>
  <c r="BL261" i="46" s="1"/>
  <c r="BM261" i="46" s="1"/>
  <c r="BH261" i="46"/>
  <c r="BT261" i="46" s="1"/>
  <c r="BG261" i="46"/>
  <c r="BR261" i="46"/>
  <c r="BD302" i="46"/>
  <c r="BJ204" i="46"/>
  <c r="BL204" i="46" s="1"/>
  <c r="BM204" i="46" s="1"/>
  <c r="BH204" i="46"/>
  <c r="BT204" i="46" s="1"/>
  <c r="BG204" i="46"/>
  <c r="BR204" i="46"/>
  <c r="BS204" i="46"/>
  <c r="BD338" i="46"/>
  <c r="T170" i="46"/>
  <c r="Q170" i="46"/>
  <c r="R170" i="46"/>
  <c r="AD170" i="46" s="1"/>
  <c r="AB170" i="46"/>
  <c r="O170" i="46"/>
  <c r="P170" i="46" s="1"/>
  <c r="AC170" i="46"/>
  <c r="AI134" i="46"/>
  <c r="T187" i="46"/>
  <c r="AB187" i="46"/>
  <c r="AC187" i="46"/>
  <c r="Q187" i="46"/>
  <c r="R187" i="46"/>
  <c r="AD187" i="46" s="1"/>
  <c r="O187" i="46"/>
  <c r="P187" i="46" s="1"/>
  <c r="AB232" i="46"/>
  <c r="AC232" i="46"/>
  <c r="O232" i="46"/>
  <c r="P232" i="46" s="1"/>
  <c r="R232" i="46"/>
  <c r="AD232" i="46" s="1"/>
  <c r="Q232" i="46"/>
  <c r="T232" i="46"/>
  <c r="T314" i="46"/>
  <c r="AB314" i="46"/>
  <c r="O314" i="46"/>
  <c r="P314" i="46" s="1"/>
  <c r="Q314" i="46"/>
  <c r="AC314" i="46"/>
  <c r="R314" i="46"/>
  <c r="AD314" i="46" s="1"/>
  <c r="AI187" i="46"/>
  <c r="AM254" i="46"/>
  <c r="AY254" i="46" s="1"/>
  <c r="AX254" i="46"/>
  <c r="AO254" i="46"/>
  <c r="AL254" i="46"/>
  <c r="AW254" i="46"/>
  <c r="AJ254" i="46"/>
  <c r="AK254" i="46" s="1"/>
  <c r="BJ248" i="46"/>
  <c r="BL248" i="46" s="1"/>
  <c r="BM248" i="46" s="1"/>
  <c r="BH248" i="46"/>
  <c r="BT248" i="46" s="1"/>
  <c r="BS248" i="46"/>
  <c r="BG248" i="46"/>
  <c r="BR248" i="46"/>
  <c r="AX165" i="46"/>
  <c r="AL165" i="46"/>
  <c r="AW165" i="46"/>
  <c r="AJ165" i="46"/>
  <c r="AK165" i="46" s="1"/>
  <c r="AM165" i="46"/>
  <c r="AY165" i="46" s="1"/>
  <c r="AO165" i="46"/>
  <c r="BD40" i="46"/>
  <c r="Q52" i="46"/>
  <c r="O52" i="46"/>
  <c r="P52" i="46" s="1"/>
  <c r="R52" i="46"/>
  <c r="AD52" i="46" s="1"/>
  <c r="AC52" i="46"/>
  <c r="T52" i="46"/>
  <c r="AB52" i="46"/>
  <c r="AM136" i="46"/>
  <c r="AY136" i="46" s="1"/>
  <c r="AJ136" i="46"/>
  <c r="AK136" i="46" s="1"/>
  <c r="AO136" i="46"/>
  <c r="AX136" i="46"/>
  <c r="AL136" i="46"/>
  <c r="AW136" i="46"/>
  <c r="CB347" i="46"/>
  <c r="BZ347" i="46"/>
  <c r="CA347" i="46" s="1"/>
  <c r="CE347" i="46"/>
  <c r="CC347" i="46"/>
  <c r="CO347" i="46" s="1"/>
  <c r="CM347" i="46"/>
  <c r="CN347" i="46"/>
  <c r="BD206" i="46"/>
  <c r="AJ291" i="46"/>
  <c r="AK291" i="46" s="1"/>
  <c r="AX291" i="46"/>
  <c r="AL291" i="46"/>
  <c r="AM291" i="46"/>
  <c r="AY291" i="46" s="1"/>
  <c r="AW291" i="46"/>
  <c r="AO291" i="46"/>
  <c r="BD67" i="46"/>
  <c r="BD314" i="46"/>
  <c r="BD160" i="46"/>
  <c r="BH208" i="46"/>
  <c r="BT208" i="46" s="1"/>
  <c r="BG208" i="46"/>
  <c r="BS208" i="46"/>
  <c r="BR208" i="46"/>
  <c r="BJ208" i="46"/>
  <c r="BL208" i="46" s="1"/>
  <c r="BM208" i="46" s="1"/>
  <c r="O213" i="46"/>
  <c r="P213" i="46" s="1"/>
  <c r="AB213" i="46"/>
  <c r="Q213" i="46"/>
  <c r="T213" i="46"/>
  <c r="R213" i="46"/>
  <c r="AD213" i="46" s="1"/>
  <c r="AC213" i="46"/>
  <c r="CM129" i="46"/>
  <c r="CE129" i="46"/>
  <c r="CN129" i="46"/>
  <c r="CB129" i="46"/>
  <c r="BZ129" i="46"/>
  <c r="CA129" i="46" s="1"/>
  <c r="CC129" i="46"/>
  <c r="CO129" i="46" s="1"/>
  <c r="BD333" i="46"/>
  <c r="CN29" i="46"/>
  <c r="CM29" i="46"/>
  <c r="CB29" i="46"/>
  <c r="CE29" i="46"/>
  <c r="BZ29" i="46"/>
  <c r="CA29" i="46" s="1"/>
  <c r="CC29" i="46"/>
  <c r="CO29" i="46" s="1"/>
  <c r="BD44" i="46"/>
  <c r="N171" i="46"/>
  <c r="CC144" i="46"/>
  <c r="CO144" i="46" s="1"/>
  <c r="CM144" i="46"/>
  <c r="CE144" i="46"/>
  <c r="BZ144" i="46"/>
  <c r="CA144" i="46" s="1"/>
  <c r="CB144" i="46"/>
  <c r="CN144" i="46"/>
  <c r="CM302" i="46"/>
  <c r="CE302" i="46"/>
  <c r="CC302" i="46"/>
  <c r="CO302" i="46" s="1"/>
  <c r="CN302" i="46"/>
  <c r="BZ302" i="46"/>
  <c r="CA302" i="46" s="1"/>
  <c r="CB302" i="46"/>
  <c r="O103" i="46"/>
  <c r="P103" i="46" s="1"/>
  <c r="R103" i="46"/>
  <c r="AD103" i="46" s="1"/>
  <c r="AC103" i="46"/>
  <c r="Q103" i="46"/>
  <c r="AB103" i="46"/>
  <c r="T103" i="46"/>
  <c r="AX298" i="46"/>
  <c r="AO298" i="46"/>
  <c r="AW298" i="46"/>
  <c r="AJ298" i="46"/>
  <c r="AK298" i="46" s="1"/>
  <c r="AL298" i="46"/>
  <c r="AM298" i="46"/>
  <c r="AY298" i="46" s="1"/>
  <c r="CN94" i="46"/>
  <c r="BZ94" i="46"/>
  <c r="CA94" i="46" s="1"/>
  <c r="CM94" i="46"/>
  <c r="CB94" i="46"/>
  <c r="CE94" i="46"/>
  <c r="CC94" i="46"/>
  <c r="CO94" i="46" s="1"/>
  <c r="BG90" i="46"/>
  <c r="BR90" i="46"/>
  <c r="BJ90" i="46"/>
  <c r="BL90" i="46" s="1"/>
  <c r="BM90" i="46" s="1"/>
  <c r="BH90" i="46"/>
  <c r="BT90" i="46" s="1"/>
  <c r="BS90" i="46"/>
  <c r="AI77" i="46"/>
  <c r="CB62" i="46"/>
  <c r="CM62" i="46"/>
  <c r="CC62" i="46"/>
  <c r="CO62" i="46" s="1"/>
  <c r="CN62" i="46"/>
  <c r="BZ62" i="46"/>
  <c r="CA62" i="46" s="1"/>
  <c r="CE62" i="46"/>
  <c r="AX171" i="46"/>
  <c r="AM171" i="46"/>
  <c r="AY171" i="46" s="1"/>
  <c r="AO171" i="46"/>
  <c r="AL171" i="46"/>
  <c r="AW171" i="46"/>
  <c r="AJ171" i="46"/>
  <c r="AK171" i="46" s="1"/>
  <c r="CE271" i="46"/>
  <c r="CB271" i="46"/>
  <c r="BZ271" i="46"/>
  <c r="CA271" i="46" s="1"/>
  <c r="CC271" i="46"/>
  <c r="CO271" i="46" s="1"/>
  <c r="CM271" i="46"/>
  <c r="CN271" i="46"/>
  <c r="AJ260" i="46"/>
  <c r="AK260" i="46" s="1"/>
  <c r="AW260" i="46"/>
  <c r="AM260" i="46"/>
  <c r="AY260" i="46" s="1"/>
  <c r="AL260" i="46"/>
  <c r="AO260" i="46"/>
  <c r="AX260" i="46"/>
  <c r="AC341" i="46"/>
  <c r="R341" i="46"/>
  <c r="AD341" i="46" s="1"/>
  <c r="Q341" i="46"/>
  <c r="T341" i="46"/>
  <c r="O341" i="46"/>
  <c r="P341" i="46" s="1"/>
  <c r="AB341" i="46"/>
  <c r="AB101" i="46"/>
  <c r="AC101" i="46"/>
  <c r="O101" i="46"/>
  <c r="P101" i="46" s="1"/>
  <c r="Q101" i="46"/>
  <c r="T101" i="46"/>
  <c r="R101" i="46"/>
  <c r="AD101" i="46" s="1"/>
  <c r="BH102" i="46"/>
  <c r="BT102" i="46" s="1"/>
  <c r="BJ102" i="46"/>
  <c r="BL102" i="46" s="1"/>
  <c r="BM102" i="46" s="1"/>
  <c r="BR102" i="46"/>
  <c r="BG102" i="46"/>
  <c r="BS102" i="46"/>
  <c r="BR259" i="46"/>
  <c r="BG259" i="46"/>
  <c r="BS259" i="46"/>
  <c r="BH259" i="46"/>
  <c r="BT259" i="46" s="1"/>
  <c r="BJ259" i="46"/>
  <c r="BL259" i="46" s="1"/>
  <c r="BM259" i="46" s="1"/>
  <c r="BD189" i="46"/>
  <c r="BZ209" i="46"/>
  <c r="CA209" i="46" s="1"/>
  <c r="CC209" i="46"/>
  <c r="CO209" i="46" s="1"/>
  <c r="CM209" i="46"/>
  <c r="CB209" i="46"/>
  <c r="CE209" i="46"/>
  <c r="CN209" i="46"/>
  <c r="AC78" i="46"/>
  <c r="R78" i="46"/>
  <c r="AD78" i="46" s="1"/>
  <c r="Q78" i="46"/>
  <c r="T78" i="46"/>
  <c r="AB78" i="46"/>
  <c r="O78" i="46"/>
  <c r="P78" i="46" s="1"/>
  <c r="R167" i="46"/>
  <c r="AD167" i="46" s="1"/>
  <c r="Q167" i="46"/>
  <c r="O167" i="46"/>
  <c r="P167" i="46" s="1"/>
  <c r="AC167" i="46"/>
  <c r="AB167" i="46"/>
  <c r="T167" i="46"/>
  <c r="AO127" i="46"/>
  <c r="AM127" i="46"/>
  <c r="AY127" i="46" s="1"/>
  <c r="AL127" i="46"/>
  <c r="AX127" i="46"/>
  <c r="AJ127" i="46"/>
  <c r="AK127" i="46" s="1"/>
  <c r="AW127" i="46"/>
  <c r="Q47" i="46"/>
  <c r="AB47" i="46"/>
  <c r="AC47" i="46"/>
  <c r="T47" i="46"/>
  <c r="R47" i="46"/>
  <c r="AD47" i="46" s="1"/>
  <c r="O47" i="46"/>
  <c r="P47" i="46" s="1"/>
  <c r="BD274" i="46"/>
  <c r="BH239" i="46"/>
  <c r="BT239" i="46" s="1"/>
  <c r="BR239" i="46"/>
  <c r="BS239" i="46"/>
  <c r="BJ239" i="46"/>
  <c r="BL239" i="46" s="1"/>
  <c r="BM239" i="46" s="1"/>
  <c r="BG239" i="46"/>
  <c r="BS68" i="46"/>
  <c r="BJ68" i="46"/>
  <c r="BL68" i="46" s="1"/>
  <c r="BM68" i="46" s="1"/>
  <c r="BR68" i="46"/>
  <c r="BH68" i="46"/>
  <c r="BT68" i="46" s="1"/>
  <c r="BG68" i="46"/>
  <c r="CB308" i="46"/>
  <c r="BZ308" i="46"/>
  <c r="CA308" i="46" s="1"/>
  <c r="CN308" i="46"/>
  <c r="CE308" i="46"/>
  <c r="CM308" i="46"/>
  <c r="CC308" i="46"/>
  <c r="CO308" i="46" s="1"/>
  <c r="CN265" i="46"/>
  <c r="CC265" i="46"/>
  <c r="CO265" i="46" s="1"/>
  <c r="CB265" i="46"/>
  <c r="CM265" i="46"/>
  <c r="BZ265" i="46"/>
  <c r="CA265" i="46" s="1"/>
  <c r="CE265" i="46"/>
  <c r="AM313" i="46"/>
  <c r="AY313" i="46" s="1"/>
  <c r="AX313" i="46"/>
  <c r="AL313" i="46"/>
  <c r="AO313" i="46"/>
  <c r="AJ313" i="46"/>
  <c r="AK313" i="46" s="1"/>
  <c r="AW313" i="46"/>
  <c r="CE340" i="46"/>
  <c r="CB340" i="46"/>
  <c r="CM340" i="46"/>
  <c r="CN340" i="46"/>
  <c r="CC340" i="46"/>
  <c r="CO340" i="46" s="1"/>
  <c r="BZ340" i="46"/>
  <c r="CA340" i="46" s="1"/>
  <c r="AB22" i="46"/>
  <c r="O22" i="46"/>
  <c r="P22" i="46" s="1"/>
  <c r="Q22" i="46"/>
  <c r="R22" i="46"/>
  <c r="AD22" i="46" s="1"/>
  <c r="T22" i="46"/>
  <c r="AC22" i="46"/>
  <c r="BS256" i="46"/>
  <c r="BJ256" i="46"/>
  <c r="BL256" i="46" s="1"/>
  <c r="BM256" i="46" s="1"/>
  <c r="BG256" i="46"/>
  <c r="BH256" i="46"/>
  <c r="BT256" i="46" s="1"/>
  <c r="BR256" i="46"/>
  <c r="AO59" i="46"/>
  <c r="AW59" i="46"/>
  <c r="AJ59" i="46"/>
  <c r="AK59" i="46" s="1"/>
  <c r="AX59" i="46"/>
  <c r="AL59" i="46"/>
  <c r="AM59" i="46"/>
  <c r="AY59" i="46" s="1"/>
  <c r="BD169" i="46"/>
  <c r="BR21" i="46"/>
  <c r="BS21" i="46"/>
  <c r="BJ21" i="46"/>
  <c r="BL21" i="46" s="1"/>
  <c r="BM21" i="46" s="1"/>
  <c r="BH21" i="46"/>
  <c r="BT21" i="46" s="1"/>
  <c r="BG21" i="46"/>
  <c r="AO230" i="46"/>
  <c r="AM230" i="46"/>
  <c r="AY230" i="46" s="1"/>
  <c r="AX230" i="46"/>
  <c r="AJ230" i="46"/>
  <c r="AK230" i="46" s="1"/>
  <c r="AL230" i="46"/>
  <c r="AW230" i="46"/>
  <c r="AW39" i="46"/>
  <c r="AO39" i="46"/>
  <c r="AL39" i="46"/>
  <c r="AX39" i="46"/>
  <c r="AJ39" i="46"/>
  <c r="AK39" i="46" s="1"/>
  <c r="AM39" i="46"/>
  <c r="AY39" i="46" s="1"/>
  <c r="AW125" i="46"/>
  <c r="AM125" i="46"/>
  <c r="AY125" i="46" s="1"/>
  <c r="AX125" i="46"/>
  <c r="AL125" i="46"/>
  <c r="AO125" i="46"/>
  <c r="AJ125" i="46"/>
  <c r="AK125" i="46" s="1"/>
  <c r="BD84" i="46"/>
  <c r="O77" i="46"/>
  <c r="P77" i="46" s="1"/>
  <c r="Q77" i="46"/>
  <c r="R77" i="46"/>
  <c r="AD77" i="46" s="1"/>
  <c r="AC77" i="46"/>
  <c r="T77" i="46"/>
  <c r="AB77" i="46"/>
  <c r="BG276" i="46"/>
  <c r="BH276" i="46"/>
  <c r="BT276" i="46" s="1"/>
  <c r="BJ276" i="46"/>
  <c r="BL276" i="46" s="1"/>
  <c r="BM276" i="46" s="1"/>
  <c r="BR276" i="46"/>
  <c r="BS276" i="46"/>
  <c r="BD167" i="46"/>
  <c r="BJ63" i="46"/>
  <c r="BL63" i="46" s="1"/>
  <c r="BM63" i="46" s="1"/>
  <c r="BH63" i="46"/>
  <c r="BT63" i="46" s="1"/>
  <c r="BS63" i="46"/>
  <c r="BG63" i="46"/>
  <c r="BR63" i="46"/>
  <c r="AO132" i="46"/>
  <c r="AJ132" i="46"/>
  <c r="AK132" i="46" s="1"/>
  <c r="AM132" i="46"/>
  <c r="AY132" i="46" s="1"/>
  <c r="AX132" i="46"/>
  <c r="AW132" i="46"/>
  <c r="AL132" i="46"/>
  <c r="AB38" i="46"/>
  <c r="O38" i="46"/>
  <c r="P38" i="46" s="1"/>
  <c r="Q38" i="46"/>
  <c r="AC38" i="46"/>
  <c r="T38" i="46"/>
  <c r="R38" i="46"/>
  <c r="AD38" i="46" s="1"/>
  <c r="T178" i="46"/>
  <c r="O178" i="46"/>
  <c r="P178" i="46" s="1"/>
  <c r="R178" i="46"/>
  <c r="AD178" i="46" s="1"/>
  <c r="AC178" i="46"/>
  <c r="Q178" i="46"/>
  <c r="AB178" i="46"/>
  <c r="BR106" i="46"/>
  <c r="BS106" i="46"/>
  <c r="BJ106" i="46"/>
  <c r="BL106" i="46" s="1"/>
  <c r="BM106" i="46" s="1"/>
  <c r="BH106" i="46"/>
  <c r="BT106" i="46" s="1"/>
  <c r="BG106" i="46"/>
  <c r="BD107" i="46"/>
  <c r="AJ93" i="46"/>
  <c r="AK93" i="46" s="1"/>
  <c r="AO93" i="46"/>
  <c r="AL93" i="46"/>
  <c r="AW93" i="46"/>
  <c r="AX93" i="46"/>
  <c r="AM93" i="46"/>
  <c r="AY93" i="46" s="1"/>
  <c r="CB38" i="46"/>
  <c r="CM38" i="46"/>
  <c r="CE38" i="46"/>
  <c r="BZ38" i="46"/>
  <c r="CA38" i="46" s="1"/>
  <c r="CN38" i="46"/>
  <c r="CC38" i="46"/>
  <c r="CO38" i="46" s="1"/>
  <c r="BG305" i="46"/>
  <c r="BR305" i="46"/>
  <c r="BJ305" i="46"/>
  <c r="BL305" i="46" s="1"/>
  <c r="BM305" i="46" s="1"/>
  <c r="BS305" i="46"/>
  <c r="BH305" i="46"/>
  <c r="BT305" i="46" s="1"/>
  <c r="AB216" i="46"/>
  <c r="O216" i="46"/>
  <c r="P216" i="46" s="1"/>
  <c r="AC216" i="46"/>
  <c r="Q216" i="46"/>
  <c r="R216" i="46"/>
  <c r="AD216" i="46" s="1"/>
  <c r="T216" i="46"/>
  <c r="CB42" i="46"/>
  <c r="CC42" i="46"/>
  <c r="CO42" i="46" s="1"/>
  <c r="BZ42" i="46"/>
  <c r="CA42" i="46" s="1"/>
  <c r="CM42" i="46"/>
  <c r="CN42" i="46"/>
  <c r="CE42" i="46"/>
  <c r="Q318" i="46"/>
  <c r="O318" i="46"/>
  <c r="P318" i="46" s="1"/>
  <c r="R318" i="46"/>
  <c r="AD318" i="46" s="1"/>
  <c r="T318" i="46"/>
  <c r="AB318" i="46"/>
  <c r="AC318" i="46"/>
  <c r="AB268" i="46"/>
  <c r="Q268" i="46"/>
  <c r="AC268" i="46"/>
  <c r="T268" i="46"/>
  <c r="O268" i="46"/>
  <c r="P268" i="46" s="1"/>
  <c r="R268" i="46"/>
  <c r="AD268" i="46" s="1"/>
  <c r="DR54" i="39"/>
  <c r="DS54" i="39"/>
  <c r="CR54" i="39"/>
  <c r="CS54" i="39" s="1"/>
  <c r="DD54" i="39"/>
  <c r="DP54" i="39"/>
  <c r="Q89" i="46"/>
  <c r="T89" i="46"/>
  <c r="R89" i="46"/>
  <c r="AD89" i="46" s="1"/>
  <c r="AB89" i="46"/>
  <c r="AC89" i="46"/>
  <c r="O89" i="46"/>
  <c r="P89" i="46" s="1"/>
  <c r="BD255" i="46"/>
  <c r="BS172" i="46"/>
  <c r="BR172" i="46"/>
  <c r="BG172" i="46"/>
  <c r="BH172" i="46"/>
  <c r="BT172" i="46" s="1"/>
  <c r="BJ172" i="46"/>
  <c r="BL172" i="46" s="1"/>
  <c r="BM172" i="46" s="1"/>
  <c r="CE81" i="46"/>
  <c r="CB81" i="46"/>
  <c r="BZ81" i="46"/>
  <c r="CA81" i="46" s="1"/>
  <c r="CM81" i="46"/>
  <c r="CN81" i="46"/>
  <c r="CC81" i="46"/>
  <c r="CO81" i="46" s="1"/>
  <c r="AX341" i="46"/>
  <c r="AJ341" i="46"/>
  <c r="AK341" i="46" s="1"/>
  <c r="AM341" i="46"/>
  <c r="AY341" i="46" s="1"/>
  <c r="AW341" i="46"/>
  <c r="AL341" i="46"/>
  <c r="AO341" i="46"/>
  <c r="AM319" i="46"/>
  <c r="AY319" i="46" s="1"/>
  <c r="AX319" i="46"/>
  <c r="AW319" i="46"/>
  <c r="AL319" i="46"/>
  <c r="AJ319" i="46"/>
  <c r="AK319" i="46" s="1"/>
  <c r="AO319" i="46"/>
  <c r="BH39" i="46"/>
  <c r="BT39" i="46" s="1"/>
  <c r="BJ39" i="46"/>
  <c r="BL39" i="46" s="1"/>
  <c r="BM39" i="46" s="1"/>
  <c r="BS39" i="46"/>
  <c r="BR39" i="46"/>
  <c r="BG39" i="46"/>
  <c r="BD251" i="46"/>
  <c r="AX343" i="46"/>
  <c r="AL343" i="46"/>
  <c r="AJ343" i="46"/>
  <c r="AK343" i="46" s="1"/>
  <c r="AO343" i="46"/>
  <c r="AM343" i="46"/>
  <c r="AY343" i="46" s="1"/>
  <c r="AW343" i="46"/>
  <c r="AC53" i="46"/>
  <c r="AB53" i="46"/>
  <c r="O53" i="46"/>
  <c r="P53" i="46" s="1"/>
  <c r="R53" i="46"/>
  <c r="AD53" i="46" s="1"/>
  <c r="Q53" i="46"/>
  <c r="T53" i="46"/>
  <c r="CM101" i="46"/>
  <c r="CC101" i="46"/>
  <c r="CO101" i="46" s="1"/>
  <c r="CE101" i="46"/>
  <c r="CB101" i="46"/>
  <c r="CN101" i="46"/>
  <c r="BZ101" i="46"/>
  <c r="CA101" i="46" s="1"/>
  <c r="CC325" i="46"/>
  <c r="CO325" i="46" s="1"/>
  <c r="CM325" i="46"/>
  <c r="BZ325" i="46"/>
  <c r="CA325" i="46" s="1"/>
  <c r="CE325" i="46"/>
  <c r="CB325" i="46"/>
  <c r="CN325" i="46"/>
  <c r="CM106" i="46"/>
  <c r="CB106" i="46"/>
  <c r="BZ106" i="46"/>
  <c r="CA106" i="46" s="1"/>
  <c r="CE106" i="46"/>
  <c r="CC106" i="46"/>
  <c r="CO106" i="46" s="1"/>
  <c r="CN106" i="46"/>
  <c r="HT54" i="55"/>
  <c r="HL54" i="55"/>
  <c r="HG54" i="55"/>
  <c r="HS54" i="55"/>
  <c r="O14" i="46"/>
  <c r="P14" i="46" s="1"/>
  <c r="AC14" i="46"/>
  <c r="T14" i="46"/>
  <c r="Q14" i="46"/>
  <c r="R14" i="46"/>
  <c r="AD14" i="46" s="1"/>
  <c r="AB14" i="46"/>
  <c r="CB337" i="46"/>
  <c r="CM337" i="46"/>
  <c r="BZ337" i="46"/>
  <c r="CA337" i="46" s="1"/>
  <c r="CN337" i="46"/>
  <c r="CC337" i="46"/>
  <c r="CO337" i="46" s="1"/>
  <c r="CE337" i="46"/>
  <c r="AO261" i="46"/>
  <c r="AM261" i="46"/>
  <c r="AY261" i="46" s="1"/>
  <c r="AL261" i="46"/>
  <c r="AW261" i="46"/>
  <c r="AJ261" i="46"/>
  <c r="AK261" i="46" s="1"/>
  <c r="AX261" i="46"/>
  <c r="BD71" i="46"/>
  <c r="CM133" i="46"/>
  <c r="CE133" i="46"/>
  <c r="CC133" i="46"/>
  <c r="CO133" i="46" s="1"/>
  <c r="CN133" i="46"/>
  <c r="CB133" i="46"/>
  <c r="BZ133" i="46"/>
  <c r="CA133" i="46" s="1"/>
  <c r="AM122" i="46"/>
  <c r="AY122" i="46" s="1"/>
  <c r="AX122" i="46"/>
  <c r="AW122" i="46"/>
  <c r="AJ122" i="46"/>
  <c r="AK122" i="46" s="1"/>
  <c r="AO122" i="46"/>
  <c r="AL122" i="46"/>
  <c r="BD318" i="46"/>
  <c r="AW100" i="46"/>
  <c r="AO100" i="46"/>
  <c r="AX100" i="46"/>
  <c r="AM100" i="46"/>
  <c r="AY100" i="46" s="1"/>
  <c r="AL100" i="46"/>
  <c r="AJ100" i="46"/>
  <c r="AK100" i="46" s="1"/>
  <c r="AB138" i="46"/>
  <c r="R138" i="46"/>
  <c r="AD138" i="46" s="1"/>
  <c r="Q138" i="46"/>
  <c r="O138" i="46"/>
  <c r="P138" i="46" s="1"/>
  <c r="T138" i="46"/>
  <c r="AC138" i="46"/>
  <c r="AI96" i="46"/>
  <c r="AM189" i="46"/>
  <c r="AY189" i="46" s="1"/>
  <c r="AJ189" i="46"/>
  <c r="AK189" i="46" s="1"/>
  <c r="AW189" i="46"/>
  <c r="AX189" i="46"/>
  <c r="AL189" i="46"/>
  <c r="AO189" i="46"/>
  <c r="R75" i="46"/>
  <c r="AD75" i="46" s="1"/>
  <c r="T75" i="46"/>
  <c r="AB75" i="46"/>
  <c r="AC75" i="46"/>
  <c r="O75" i="46"/>
  <c r="P75" i="46" s="1"/>
  <c r="Q75" i="46"/>
  <c r="R278" i="46"/>
  <c r="AD278" i="46" s="1"/>
  <c r="AC278" i="46"/>
  <c r="AB278" i="46"/>
  <c r="T278" i="46"/>
  <c r="Q278" i="46"/>
  <c r="O278" i="46"/>
  <c r="P278" i="46" s="1"/>
  <c r="R82" i="46"/>
  <c r="AD82" i="46" s="1"/>
  <c r="Q82" i="46"/>
  <c r="AB82" i="46"/>
  <c r="O82" i="46"/>
  <c r="P82" i="46" s="1"/>
  <c r="AC82" i="46"/>
  <c r="T82" i="46"/>
  <c r="BD30" i="46"/>
  <c r="BD190" i="46"/>
  <c r="R28" i="46"/>
  <c r="AD28" i="46" s="1"/>
  <c r="O28" i="46"/>
  <c r="P28" i="46" s="1"/>
  <c r="T28" i="46"/>
  <c r="Q28" i="46"/>
  <c r="AC28" i="46"/>
  <c r="AB28" i="46"/>
  <c r="CN188" i="46"/>
  <c r="CE188" i="46"/>
  <c r="CM188" i="46"/>
  <c r="BZ188" i="46"/>
  <c r="CA188" i="46" s="1"/>
  <c r="CB188" i="46"/>
  <c r="CC188" i="46"/>
  <c r="CO188" i="46" s="1"/>
  <c r="CC218" i="46"/>
  <c r="CO218" i="46" s="1"/>
  <c r="CN218" i="46"/>
  <c r="CM218" i="46"/>
  <c r="CE218" i="46"/>
  <c r="CB218" i="46"/>
  <c r="BZ218" i="46"/>
  <c r="CA218" i="46" s="1"/>
  <c r="T40" i="46"/>
  <c r="Q40" i="46"/>
  <c r="O40" i="46"/>
  <c r="P40" i="46" s="1"/>
  <c r="AB40" i="46"/>
  <c r="R40" i="46"/>
  <c r="AD40" i="46" s="1"/>
  <c r="AC40" i="46"/>
  <c r="BD165" i="46"/>
  <c r="BD186" i="46"/>
  <c r="BD118" i="46"/>
  <c r="BD22" i="46"/>
  <c r="BD266" i="46"/>
  <c r="BD200" i="46"/>
  <c r="Q17" i="46"/>
  <c r="O17" i="46"/>
  <c r="P17" i="46" s="1"/>
  <c r="AB17" i="46"/>
  <c r="AC17" i="46"/>
  <c r="R17" i="46"/>
  <c r="AD17" i="46" s="1"/>
  <c r="T17" i="46"/>
  <c r="BG119" i="46"/>
  <c r="BR119" i="46"/>
  <c r="BH119" i="46"/>
  <c r="BT119" i="46" s="1"/>
  <c r="BJ119" i="46"/>
  <c r="BL119" i="46" s="1"/>
  <c r="BM119" i="46" s="1"/>
  <c r="BS119" i="46"/>
  <c r="AB222" i="46"/>
  <c r="O222" i="46"/>
  <c r="P222" i="46" s="1"/>
  <c r="Q222" i="46"/>
  <c r="R222" i="46"/>
  <c r="AD222" i="46" s="1"/>
  <c r="AC222" i="46"/>
  <c r="T222" i="46"/>
  <c r="AL302" i="46"/>
  <c r="AW302" i="46"/>
  <c r="AO302" i="46"/>
  <c r="AM302" i="46"/>
  <c r="AY302" i="46" s="1"/>
  <c r="AJ302" i="46"/>
  <c r="AK302" i="46" s="1"/>
  <c r="AX302" i="46"/>
  <c r="BJ94" i="46"/>
  <c r="BL94" i="46" s="1"/>
  <c r="BM94" i="46" s="1"/>
  <c r="BR94" i="46"/>
  <c r="BG94" i="46"/>
  <c r="BH94" i="46"/>
  <c r="BT94" i="46" s="1"/>
  <c r="BS94" i="46"/>
  <c r="BD267" i="46"/>
  <c r="AC295" i="46"/>
  <c r="O295" i="46"/>
  <c r="P295" i="46" s="1"/>
  <c r="R295" i="46"/>
  <c r="AD295" i="46" s="1"/>
  <c r="T295" i="46"/>
  <c r="AB295" i="46"/>
  <c r="Q295" i="46"/>
  <c r="T212" i="46"/>
  <c r="Q212" i="46"/>
  <c r="R212" i="46"/>
  <c r="AD212" i="46" s="1"/>
  <c r="AB212" i="46"/>
  <c r="O212" i="46"/>
  <c r="P212" i="46" s="1"/>
  <c r="AC212" i="46"/>
  <c r="AO262" i="46"/>
  <c r="AM262" i="46"/>
  <c r="AY262" i="46" s="1"/>
  <c r="AX262" i="46"/>
  <c r="AJ262" i="46"/>
  <c r="AK262" i="46" s="1"/>
  <c r="AW262" i="46"/>
  <c r="AL262" i="46"/>
  <c r="BD87" i="46"/>
  <c r="CN284" i="46"/>
  <c r="CB284" i="46"/>
  <c r="CM284" i="46"/>
  <c r="BZ284" i="46"/>
  <c r="CA284" i="46" s="1"/>
  <c r="CE284" i="46"/>
  <c r="CC284" i="46"/>
  <c r="CO284" i="46" s="1"/>
  <c r="BZ255" i="46"/>
  <c r="CA255" i="46" s="1"/>
  <c r="CC255" i="46"/>
  <c r="CO255" i="46" s="1"/>
  <c r="CM255" i="46"/>
  <c r="CE255" i="46"/>
  <c r="CN255" i="46"/>
  <c r="CB255" i="46"/>
  <c r="BD282" i="46"/>
  <c r="BS26" i="46"/>
  <c r="BG26" i="46"/>
  <c r="BJ26" i="46"/>
  <c r="BL26" i="46" s="1"/>
  <c r="BM26" i="46" s="1"/>
  <c r="BR26" i="46"/>
  <c r="BH26" i="46"/>
  <c r="BT26" i="46" s="1"/>
  <c r="AL141" i="46"/>
  <c r="AJ141" i="46"/>
  <c r="AK141" i="46" s="1"/>
  <c r="AO141" i="46"/>
  <c r="AX141" i="46"/>
  <c r="AW141" i="46"/>
  <c r="AM141" i="46"/>
  <c r="AY141" i="46" s="1"/>
  <c r="O280" i="46"/>
  <c r="P280" i="46" s="1"/>
  <c r="AC280" i="46"/>
  <c r="R280" i="46"/>
  <c r="AD280" i="46" s="1"/>
  <c r="AB280" i="46"/>
  <c r="T280" i="46"/>
  <c r="Q280" i="46"/>
  <c r="AJ301" i="46"/>
  <c r="AK301" i="46" s="1"/>
  <c r="AX301" i="46"/>
  <c r="AW301" i="46"/>
  <c r="AM301" i="46"/>
  <c r="AY301" i="46" s="1"/>
  <c r="AO301" i="46"/>
  <c r="AL301" i="46"/>
  <c r="N253" i="46"/>
  <c r="CB172" i="46"/>
  <c r="BZ172" i="46"/>
  <c r="CA172" i="46" s="1"/>
  <c r="CN172" i="46"/>
  <c r="CM172" i="46"/>
  <c r="CC172" i="46"/>
  <c r="CO172" i="46" s="1"/>
  <c r="CE172" i="46"/>
  <c r="BJ205" i="46"/>
  <c r="BL205" i="46" s="1"/>
  <c r="BM205" i="46" s="1"/>
  <c r="BR205" i="46"/>
  <c r="BS205" i="46"/>
  <c r="BH205" i="46"/>
  <c r="BT205" i="46" s="1"/>
  <c r="BG205" i="46"/>
  <c r="BY87" i="46"/>
  <c r="AM148" i="46"/>
  <c r="AY148" i="46" s="1"/>
  <c r="AX148" i="46"/>
  <c r="AO148" i="46"/>
  <c r="AL148" i="46"/>
  <c r="AW148" i="46"/>
  <c r="AJ148" i="46"/>
  <c r="AK148" i="46" s="1"/>
  <c r="CE318" i="46"/>
  <c r="CB318" i="46"/>
  <c r="CN318" i="46"/>
  <c r="BZ318" i="46"/>
  <c r="CA318" i="46" s="1"/>
  <c r="CM318" i="46"/>
  <c r="CC318" i="46"/>
  <c r="CO318" i="46" s="1"/>
  <c r="CE202" i="46"/>
  <c r="BZ202" i="46"/>
  <c r="CA202" i="46" s="1"/>
  <c r="CM202" i="46"/>
  <c r="CN202" i="46"/>
  <c r="CC202" i="46"/>
  <c r="CO202" i="46" s="1"/>
  <c r="CB202" i="46"/>
  <c r="BH48" i="46"/>
  <c r="BT48" i="46" s="1"/>
  <c r="BR48" i="46"/>
  <c r="BG48" i="46"/>
  <c r="BS48" i="46"/>
  <c r="BJ48" i="46"/>
  <c r="BL48" i="46" s="1"/>
  <c r="BM48" i="46" s="1"/>
  <c r="CM303" i="46"/>
  <c r="CC303" i="46"/>
  <c r="CO303" i="46" s="1"/>
  <c r="CE303" i="46"/>
  <c r="BZ303" i="46"/>
  <c r="CA303" i="46" s="1"/>
  <c r="CB303" i="46"/>
  <c r="CN303" i="46"/>
  <c r="BY314" i="46"/>
  <c r="T190" i="46"/>
  <c r="R190" i="46"/>
  <c r="AD190" i="46" s="1"/>
  <c r="AB190" i="46"/>
  <c r="AC190" i="46"/>
  <c r="Q190" i="46"/>
  <c r="O190" i="46"/>
  <c r="P190" i="46" s="1"/>
  <c r="BS74" i="46"/>
  <c r="BG74" i="46"/>
  <c r="BR74" i="46"/>
  <c r="BH74" i="46"/>
  <c r="BT74" i="46" s="1"/>
  <c r="BJ74" i="46"/>
  <c r="BL74" i="46" s="1"/>
  <c r="BM74" i="46" s="1"/>
  <c r="Q92" i="46"/>
  <c r="AC92" i="46"/>
  <c r="R92" i="46"/>
  <c r="AD92" i="46" s="1"/>
  <c r="T92" i="46"/>
  <c r="O92" i="46"/>
  <c r="P92" i="46" s="1"/>
  <c r="AB92" i="46"/>
  <c r="AM170" i="46"/>
  <c r="AY170" i="46" s="1"/>
  <c r="AL170" i="46"/>
  <c r="AJ170" i="46"/>
  <c r="AK170" i="46" s="1"/>
  <c r="AO170" i="46"/>
  <c r="AW170" i="46"/>
  <c r="AX170" i="46"/>
  <c r="BH29" i="46"/>
  <c r="BT29" i="46" s="1"/>
  <c r="BS29" i="46"/>
  <c r="BG29" i="46"/>
  <c r="BR29" i="46"/>
  <c r="BJ29" i="46"/>
  <c r="BL29" i="46" s="1"/>
  <c r="BM29" i="46" s="1"/>
  <c r="AI245" i="46"/>
  <c r="Q44" i="46"/>
  <c r="R44" i="46"/>
  <c r="AD44" i="46" s="1"/>
  <c r="O44" i="46"/>
  <c r="P44" i="46" s="1"/>
  <c r="T44" i="46"/>
  <c r="AB44" i="46"/>
  <c r="AC44" i="46"/>
  <c r="BD275" i="46"/>
  <c r="E43" i="32"/>
  <c r="K54" i="32" s="1"/>
  <c r="E42" i="32"/>
  <c r="J54" i="32" s="1"/>
  <c r="E36" i="32"/>
  <c r="G36" i="32"/>
  <c r="AX228" i="46"/>
  <c r="AO228" i="46"/>
  <c r="AW228" i="46"/>
  <c r="AM228" i="46"/>
  <c r="AY228" i="46" s="1"/>
  <c r="AJ228" i="46"/>
  <c r="AK228" i="46" s="1"/>
  <c r="AL228" i="46"/>
  <c r="AX32" i="46"/>
  <c r="AO32" i="46"/>
  <c r="AW32" i="46"/>
  <c r="AL32" i="46"/>
  <c r="AM32" i="46"/>
  <c r="AY32" i="46" s="1"/>
  <c r="AJ32" i="46"/>
  <c r="AK32" i="46" s="1"/>
  <c r="AJ249" i="46"/>
  <c r="AK249" i="46" s="1"/>
  <c r="AX249" i="46"/>
  <c r="AL249" i="46"/>
  <c r="AW249" i="46"/>
  <c r="AM249" i="46"/>
  <c r="AY249" i="46" s="1"/>
  <c r="AO249" i="46"/>
  <c r="AW24" i="46"/>
  <c r="AO24" i="46"/>
  <c r="AJ24" i="46"/>
  <c r="AK24" i="46" s="1"/>
  <c r="AX24" i="46"/>
  <c r="AM24" i="46"/>
  <c r="AY24" i="46" s="1"/>
  <c r="AL24" i="46"/>
  <c r="O257" i="46"/>
  <c r="P257" i="46" s="1"/>
  <c r="Q257" i="46"/>
  <c r="T257" i="46"/>
  <c r="R257" i="46"/>
  <c r="AD257" i="46" s="1"/>
  <c r="AB257" i="46"/>
  <c r="AC257" i="46"/>
  <c r="BY58" i="46"/>
  <c r="AL197" i="46"/>
  <c r="AJ197" i="46"/>
  <c r="AK197" i="46" s="1"/>
  <c r="AM197" i="46"/>
  <c r="AY197" i="46" s="1"/>
  <c r="AO197" i="46"/>
  <c r="AX197" i="46"/>
  <c r="AW197" i="46"/>
  <c r="BZ92" i="46"/>
  <c r="CA92" i="46" s="1"/>
  <c r="CM92" i="46"/>
  <c r="CE92" i="46"/>
  <c r="CC92" i="46"/>
  <c r="CO92" i="46" s="1"/>
  <c r="CN92" i="46"/>
  <c r="CB92" i="46"/>
  <c r="CM19" i="46"/>
  <c r="CN19" i="46"/>
  <c r="CB19" i="46"/>
  <c r="BZ19" i="46"/>
  <c r="CA19" i="46" s="1"/>
  <c r="CC19" i="46"/>
  <c r="CO19" i="46" s="1"/>
  <c r="CE19" i="46"/>
  <c r="BZ345" i="46"/>
  <c r="CA345" i="46" s="1"/>
  <c r="CM345" i="46"/>
  <c r="CE345" i="46"/>
  <c r="CC345" i="46"/>
  <c r="CO345" i="46" s="1"/>
  <c r="CN345" i="46"/>
  <c r="CB345" i="46"/>
  <c r="AJ211" i="46"/>
  <c r="AK211" i="46" s="1"/>
  <c r="AX211" i="46"/>
  <c r="AO211" i="46"/>
  <c r="AL211" i="46"/>
  <c r="AW211" i="46"/>
  <c r="AM211" i="46"/>
  <c r="AY211" i="46" s="1"/>
  <c r="AI310" i="46"/>
  <c r="N306" i="46"/>
  <c r="HS54" i="32"/>
  <c r="HG54" i="32"/>
  <c r="HT54" i="32"/>
  <c r="HL54" i="32"/>
  <c r="AB34" i="46"/>
  <c r="O34" i="46"/>
  <c r="P34" i="46" s="1"/>
  <c r="AC34" i="46"/>
  <c r="Q34" i="46"/>
  <c r="T34" i="46"/>
  <c r="R34" i="46"/>
  <c r="AD34" i="46" s="1"/>
  <c r="AW296" i="46"/>
  <c r="AJ296" i="46"/>
  <c r="AK296" i="46" s="1"/>
  <c r="AM296" i="46"/>
  <c r="AY296" i="46" s="1"/>
  <c r="AL296" i="46"/>
  <c r="AO296" i="46"/>
  <c r="AX296" i="46"/>
  <c r="AC292" i="46"/>
  <c r="O292" i="46"/>
  <c r="P292" i="46" s="1"/>
  <c r="AB292" i="46"/>
  <c r="Q292" i="46"/>
  <c r="R292" i="46"/>
  <c r="AD292" i="46" s="1"/>
  <c r="T292" i="46"/>
  <c r="O338" i="46"/>
  <c r="P338" i="46" s="1"/>
  <c r="Q338" i="46"/>
  <c r="R338" i="46"/>
  <c r="AD338" i="46" s="1"/>
  <c r="T338" i="46"/>
  <c r="AC338" i="46"/>
  <c r="AB338" i="46"/>
  <c r="BS24" i="46"/>
  <c r="BJ24" i="46"/>
  <c r="BL24" i="46" s="1"/>
  <c r="BM24" i="46" s="1"/>
  <c r="BR24" i="46"/>
  <c r="BH24" i="46"/>
  <c r="BT24" i="46" s="1"/>
  <c r="BG24" i="46"/>
  <c r="BS151" i="46"/>
  <c r="BR151" i="46"/>
  <c r="BG151" i="46"/>
  <c r="BH151" i="46"/>
  <c r="BT151" i="46" s="1"/>
  <c r="BJ151" i="46"/>
  <c r="BL151" i="46" s="1"/>
  <c r="BM151" i="46" s="1"/>
  <c r="BD47" i="46"/>
  <c r="AX156" i="46"/>
  <c r="AJ156" i="46"/>
  <c r="AK156" i="46" s="1"/>
  <c r="AL156" i="46"/>
  <c r="AM156" i="46"/>
  <c r="AY156" i="46" s="1"/>
  <c r="AO156" i="46"/>
  <c r="AW156" i="46"/>
  <c r="AX203" i="46"/>
  <c r="AW203" i="46"/>
  <c r="AJ203" i="46"/>
  <c r="AK203" i="46" s="1"/>
  <c r="AL203" i="46"/>
  <c r="AM203" i="46"/>
  <c r="AY203" i="46" s="1"/>
  <c r="AO203" i="46"/>
  <c r="BD60" i="46"/>
  <c r="AW147" i="46"/>
  <c r="AJ147" i="46"/>
  <c r="AK147" i="46" s="1"/>
  <c r="AM147" i="46"/>
  <c r="AY147" i="46" s="1"/>
  <c r="AX147" i="46"/>
  <c r="AO147" i="46"/>
  <c r="AL147" i="46"/>
  <c r="BD141" i="46"/>
  <c r="BY55" i="46"/>
  <c r="CC250" i="46"/>
  <c r="CO250" i="46" s="1"/>
  <c r="CE250" i="46"/>
  <c r="CB250" i="46"/>
  <c r="CN250" i="46"/>
  <c r="BZ250" i="46"/>
  <c r="CA250" i="46" s="1"/>
  <c r="CM250" i="46"/>
  <c r="BR98" i="46"/>
  <c r="BJ98" i="46"/>
  <c r="BL98" i="46" s="1"/>
  <c r="BM98" i="46" s="1"/>
  <c r="BG98" i="46"/>
  <c r="BS98" i="46"/>
  <c r="BH98" i="46"/>
  <c r="BT98" i="46" s="1"/>
  <c r="FY54" i="38"/>
  <c r="FV54" i="38"/>
  <c r="EX54" i="38"/>
  <c r="FX54" i="38"/>
  <c r="FJ54" i="38"/>
  <c r="E36" i="55"/>
  <c r="G36" i="55"/>
  <c r="E43" i="55"/>
  <c r="K54" i="55" s="1"/>
  <c r="E42" i="55"/>
  <c r="J54" i="55" s="1"/>
  <c r="Q221" i="46"/>
  <c r="T221" i="46"/>
  <c r="AC221" i="46"/>
  <c r="AB221" i="46"/>
  <c r="O221" i="46"/>
  <c r="P221" i="46" s="1"/>
  <c r="R221" i="46"/>
  <c r="AD221" i="46" s="1"/>
  <c r="AW106" i="46"/>
  <c r="AJ106" i="46"/>
  <c r="AK106" i="46" s="1"/>
  <c r="AO106" i="46"/>
  <c r="AX106" i="46"/>
  <c r="AM106" i="46"/>
  <c r="AY106" i="46" s="1"/>
  <c r="AL106" i="46"/>
  <c r="T42" i="46"/>
  <c r="R42" i="46"/>
  <c r="AD42" i="46" s="1"/>
  <c r="O42" i="46"/>
  <c r="P42" i="46" s="1"/>
  <c r="AC42" i="46"/>
  <c r="AB42" i="46"/>
  <c r="Q42" i="46"/>
  <c r="BH329" i="46"/>
  <c r="BT329" i="46" s="1"/>
  <c r="BR329" i="46"/>
  <c r="BS329" i="46"/>
  <c r="BG329" i="46"/>
  <c r="BJ329" i="46"/>
  <c r="BL329" i="46" s="1"/>
  <c r="BM329" i="46" s="1"/>
  <c r="Q148" i="46"/>
  <c r="O148" i="46"/>
  <c r="P148" i="46" s="1"/>
  <c r="T148" i="46"/>
  <c r="AC148" i="46"/>
  <c r="AB148" i="46"/>
  <c r="R148" i="46"/>
  <c r="AD148" i="46" s="1"/>
  <c r="AX58" i="46"/>
  <c r="AO58" i="46"/>
  <c r="AW58" i="46"/>
  <c r="AM58" i="46"/>
  <c r="AY58" i="46" s="1"/>
  <c r="AJ58" i="46"/>
  <c r="AK58" i="46" s="1"/>
  <c r="AL58" i="46"/>
  <c r="CM282" i="46"/>
  <c r="CB282" i="46"/>
  <c r="CC282" i="46"/>
  <c r="CO282" i="46" s="1"/>
  <c r="CE282" i="46"/>
  <c r="CN282" i="46"/>
  <c r="BZ282" i="46"/>
  <c r="CA282" i="46" s="1"/>
  <c r="CB155" i="46"/>
  <c r="CN155" i="46"/>
  <c r="BZ155" i="46"/>
  <c r="CA155" i="46" s="1"/>
  <c r="CC155" i="46"/>
  <c r="CO155" i="46" s="1"/>
  <c r="CM155" i="46"/>
  <c r="CE155" i="46"/>
  <c r="AC340" i="46"/>
  <c r="Q340" i="46"/>
  <c r="AB340" i="46"/>
  <c r="R340" i="46"/>
  <c r="AD340" i="46" s="1"/>
  <c r="O340" i="46"/>
  <c r="P340" i="46" s="1"/>
  <c r="T340" i="46"/>
  <c r="AL219" i="46"/>
  <c r="AW219" i="46"/>
  <c r="AM219" i="46"/>
  <c r="AY219" i="46" s="1"/>
  <c r="AJ219" i="46"/>
  <c r="AK219" i="46" s="1"/>
  <c r="AX219" i="46"/>
  <c r="AO219" i="46"/>
  <c r="AB337" i="46"/>
  <c r="R337" i="46"/>
  <c r="AD337" i="46" s="1"/>
  <c r="O337" i="46"/>
  <c r="P337" i="46" s="1"/>
  <c r="Q337" i="46"/>
  <c r="T337" i="46"/>
  <c r="AC337" i="46"/>
  <c r="AC342" i="46"/>
  <c r="Q342" i="46"/>
  <c r="R342" i="46"/>
  <c r="AD342" i="46" s="1"/>
  <c r="O342" i="46"/>
  <c r="P342" i="46" s="1"/>
  <c r="AB342" i="46"/>
  <c r="T342" i="46"/>
  <c r="AM288" i="46"/>
  <c r="AY288" i="46" s="1"/>
  <c r="AJ288" i="46"/>
  <c r="AK288" i="46" s="1"/>
  <c r="AW288" i="46"/>
  <c r="AL288" i="46"/>
  <c r="AO288" i="46"/>
  <c r="AX288" i="46"/>
  <c r="BH263" i="46"/>
  <c r="BT263" i="46" s="1"/>
  <c r="BR263" i="46"/>
  <c r="BG263" i="46"/>
  <c r="BJ263" i="46"/>
  <c r="BL263" i="46" s="1"/>
  <c r="BM263" i="46" s="1"/>
  <c r="BS263" i="46"/>
  <c r="AJ133" i="46"/>
  <c r="AK133" i="46" s="1"/>
  <c r="AL133" i="46"/>
  <c r="AW133" i="46"/>
  <c r="AM133" i="46"/>
  <c r="AY133" i="46" s="1"/>
  <c r="AO133" i="46"/>
  <c r="AX133" i="46"/>
  <c r="AB23" i="46"/>
  <c r="R23" i="46"/>
  <c r="AD23" i="46" s="1"/>
  <c r="AC23" i="46"/>
  <c r="O23" i="46"/>
  <c r="P23" i="46" s="1"/>
  <c r="T23" i="46"/>
  <c r="Q23" i="46"/>
  <c r="CN91" i="46"/>
  <c r="CE91" i="46"/>
  <c r="CM91" i="46"/>
  <c r="BZ91" i="46"/>
  <c r="CA91" i="46" s="1"/>
  <c r="CC91" i="46"/>
  <c r="CO91" i="46" s="1"/>
  <c r="CB91" i="46"/>
  <c r="CE126" i="46"/>
  <c r="CN126" i="46"/>
  <c r="BZ126" i="46"/>
  <c r="CA126" i="46" s="1"/>
  <c r="CB126" i="46"/>
  <c r="CC126" i="46"/>
  <c r="CO126" i="46" s="1"/>
  <c r="CM126" i="46"/>
  <c r="BH111" i="46"/>
  <c r="BT111" i="46" s="1"/>
  <c r="BR111" i="46"/>
  <c r="BG111" i="46"/>
  <c r="BJ111" i="46"/>
  <c r="BL111" i="46" s="1"/>
  <c r="BM111" i="46" s="1"/>
  <c r="BS111" i="46"/>
  <c r="AW174" i="46"/>
  <c r="AM174" i="46"/>
  <c r="AY174" i="46" s="1"/>
  <c r="AO174" i="46"/>
  <c r="AJ174" i="46"/>
  <c r="AK174" i="46" s="1"/>
  <c r="AL174" i="46"/>
  <c r="AX174" i="46"/>
  <c r="BJ195" i="46"/>
  <c r="BL195" i="46" s="1"/>
  <c r="BM195" i="46" s="1"/>
  <c r="BG195" i="46"/>
  <c r="BR195" i="46"/>
  <c r="BS195" i="46"/>
  <c r="BH195" i="46"/>
  <c r="BT195" i="46" s="1"/>
  <c r="BH184" i="46"/>
  <c r="BT184" i="46" s="1"/>
  <c r="BG184" i="46"/>
  <c r="BR184" i="46"/>
  <c r="BS184" i="46"/>
  <c r="BJ184" i="46"/>
  <c r="BL184" i="46" s="1"/>
  <c r="BM184" i="46" s="1"/>
  <c r="AM126" i="46"/>
  <c r="AY126" i="46" s="1"/>
  <c r="AJ126" i="46"/>
  <c r="AK126" i="46" s="1"/>
  <c r="AL126" i="46"/>
  <c r="AW126" i="46"/>
  <c r="AO126" i="46"/>
  <c r="AX126" i="46"/>
  <c r="AO182" i="46"/>
  <c r="AJ182" i="46"/>
  <c r="AK182" i="46" s="1"/>
  <c r="AX182" i="46"/>
  <c r="AW182" i="46"/>
  <c r="AL182" i="46"/>
  <c r="AM182" i="46"/>
  <c r="AY182" i="46" s="1"/>
  <c r="BS270" i="46"/>
  <c r="BH270" i="46"/>
  <c r="BT270" i="46" s="1"/>
  <c r="BJ270" i="46"/>
  <c r="BL270" i="46" s="1"/>
  <c r="BM270" i="46" s="1"/>
  <c r="BR270" i="46"/>
  <c r="BG270" i="46"/>
  <c r="AO325" i="46"/>
  <c r="AM325" i="46"/>
  <c r="AY325" i="46" s="1"/>
  <c r="AL325" i="46"/>
  <c r="AJ325" i="46"/>
  <c r="AK325" i="46" s="1"/>
  <c r="AW325" i="46"/>
  <c r="AX325" i="46"/>
  <c r="CB187" i="46"/>
  <c r="CN187" i="46"/>
  <c r="CM187" i="46"/>
  <c r="CE187" i="46"/>
  <c r="CC187" i="46"/>
  <c r="CO187" i="46" s="1"/>
  <c r="BZ187" i="46"/>
  <c r="CA187" i="46" s="1"/>
  <c r="T201" i="46"/>
  <c r="AB201" i="46"/>
  <c r="Q201" i="46"/>
  <c r="AC201" i="46"/>
  <c r="O201" i="46"/>
  <c r="P201" i="46" s="1"/>
  <c r="R201" i="46"/>
  <c r="AD201" i="46" s="1"/>
  <c r="BY239" i="46"/>
  <c r="AI65" i="46"/>
  <c r="BD212" i="46"/>
  <c r="CE56" i="46"/>
  <c r="CM56" i="46"/>
  <c r="CC56" i="46"/>
  <c r="CO56" i="46" s="1"/>
  <c r="CB56" i="46"/>
  <c r="BZ56" i="46"/>
  <c r="CA56" i="46" s="1"/>
  <c r="CN56" i="46"/>
  <c r="AL295" i="46"/>
  <c r="AJ295" i="46"/>
  <c r="AK295" i="46" s="1"/>
  <c r="AW295" i="46"/>
  <c r="AO295" i="46"/>
  <c r="AM295" i="46"/>
  <c r="AY295" i="46" s="1"/>
  <c r="AX295" i="46"/>
  <c r="CC244" i="46"/>
  <c r="CO244" i="46" s="1"/>
  <c r="CN244" i="46"/>
  <c r="CM244" i="46"/>
  <c r="CB244" i="46"/>
  <c r="BZ244" i="46"/>
  <c r="CA244" i="46" s="1"/>
  <c r="CE244" i="46"/>
  <c r="BS163" i="46"/>
  <c r="BR163" i="46"/>
  <c r="BH163" i="46"/>
  <c r="BT163" i="46" s="1"/>
  <c r="BJ163" i="46"/>
  <c r="BL163" i="46" s="1"/>
  <c r="BM163" i="46" s="1"/>
  <c r="BG163" i="46"/>
  <c r="CC141" i="46"/>
  <c r="CO141" i="46" s="1"/>
  <c r="CN141" i="46"/>
  <c r="BZ141" i="46"/>
  <c r="CA141" i="46" s="1"/>
  <c r="CB141" i="46"/>
  <c r="CE141" i="46"/>
  <c r="CM141" i="46"/>
  <c r="AM213" i="46"/>
  <c r="AY213" i="46" s="1"/>
  <c r="AW213" i="46"/>
  <c r="AJ213" i="46"/>
  <c r="AK213" i="46" s="1"/>
  <c r="AO213" i="46"/>
  <c r="AX213" i="46"/>
  <c r="AL213" i="46"/>
  <c r="AO198" i="46"/>
  <c r="AJ198" i="46"/>
  <c r="AK198" i="46" s="1"/>
  <c r="AM198" i="46"/>
  <c r="AY198" i="46" s="1"/>
  <c r="AW198" i="46"/>
  <c r="AL198" i="46"/>
  <c r="AX198" i="46"/>
  <c r="AW269" i="46"/>
  <c r="AL269" i="46"/>
  <c r="AO269" i="46"/>
  <c r="AJ269" i="46"/>
  <c r="AK269" i="46" s="1"/>
  <c r="AX269" i="46"/>
  <c r="AM269" i="46"/>
  <c r="AY269" i="46" s="1"/>
  <c r="AJ64" i="46"/>
  <c r="AK64" i="46" s="1"/>
  <c r="AW64" i="46"/>
  <c r="AM64" i="46"/>
  <c r="AY64" i="46" s="1"/>
  <c r="AX64" i="46"/>
  <c r="AO64" i="46"/>
  <c r="AL64" i="46"/>
  <c r="O195" i="46"/>
  <c r="P195" i="46" s="1"/>
  <c r="R195" i="46"/>
  <c r="AD195" i="46" s="1"/>
  <c r="AB195" i="46"/>
  <c r="AC195" i="46"/>
  <c r="Q195" i="46"/>
  <c r="T195" i="46"/>
  <c r="BD114" i="46"/>
  <c r="CC90" i="46"/>
  <c r="CO90" i="46" s="1"/>
  <c r="CM90" i="46"/>
  <c r="BZ90" i="46"/>
  <c r="CA90" i="46" s="1"/>
  <c r="CN90" i="46"/>
  <c r="CB90" i="46"/>
  <c r="CE90" i="46"/>
  <c r="BG312" i="46"/>
  <c r="BH312" i="46"/>
  <c r="BT312" i="46" s="1"/>
  <c r="BJ312" i="46"/>
  <c r="BL312" i="46" s="1"/>
  <c r="BM312" i="46" s="1"/>
  <c r="BS312" i="46"/>
  <c r="BR312" i="46"/>
  <c r="BJ219" i="46"/>
  <c r="BL219" i="46" s="1"/>
  <c r="BM219" i="46" s="1"/>
  <c r="BH219" i="46"/>
  <c r="BT219" i="46" s="1"/>
  <c r="BS219" i="46"/>
  <c r="BG219" i="46"/>
  <c r="BR219" i="46"/>
  <c r="BS129" i="46"/>
  <c r="BH129" i="46"/>
  <c r="BT129" i="46" s="1"/>
  <c r="BR129" i="46"/>
  <c r="BG129" i="46"/>
  <c r="BJ129" i="46"/>
  <c r="BL129" i="46" s="1"/>
  <c r="BM129" i="46" s="1"/>
  <c r="BR241" i="46"/>
  <c r="BJ241" i="46"/>
  <c r="BL241" i="46" s="1"/>
  <c r="BM241" i="46" s="1"/>
  <c r="BG241" i="46"/>
  <c r="BS241" i="46"/>
  <c r="BH241" i="46"/>
  <c r="BT241" i="46" s="1"/>
  <c r="CB317" i="46"/>
  <c r="CM317" i="46"/>
  <c r="CC317" i="46"/>
  <c r="CO317" i="46" s="1"/>
  <c r="BZ317" i="46"/>
  <c r="CA317" i="46" s="1"/>
  <c r="CN317" i="46"/>
  <c r="CE317" i="46"/>
  <c r="BD57" i="46"/>
  <c r="AM35" i="46"/>
  <c r="AY35" i="46" s="1"/>
  <c r="AO35" i="46"/>
  <c r="AJ35" i="46"/>
  <c r="AK35" i="46" s="1"/>
  <c r="AW35" i="46"/>
  <c r="AL35" i="46"/>
  <c r="AX35" i="46"/>
  <c r="BY57" i="46"/>
  <c r="AW158" i="46"/>
  <c r="AX158" i="46"/>
  <c r="AO158" i="46"/>
  <c r="AJ158" i="46"/>
  <c r="AK158" i="46" s="1"/>
  <c r="AM158" i="46"/>
  <c r="AY158" i="46" s="1"/>
  <c r="AL158" i="46"/>
  <c r="BJ89" i="46"/>
  <c r="BL89" i="46" s="1"/>
  <c r="BM89" i="46" s="1"/>
  <c r="BH89" i="46"/>
  <c r="BT89" i="46" s="1"/>
  <c r="BG89" i="46"/>
  <c r="BS89" i="46"/>
  <c r="BR89" i="46"/>
  <c r="O345" i="46"/>
  <c r="P345" i="46" s="1"/>
  <c r="Q345" i="46"/>
  <c r="R345" i="46"/>
  <c r="AD345" i="46" s="1"/>
  <c r="AC345" i="46"/>
  <c r="AB345" i="46"/>
  <c r="T345" i="46"/>
  <c r="BD139" i="46"/>
  <c r="BG109" i="46"/>
  <c r="BR109" i="46"/>
  <c r="BJ109" i="46"/>
  <c r="BL109" i="46" s="1"/>
  <c r="BM109" i="46" s="1"/>
  <c r="BH109" i="46"/>
  <c r="BT109" i="46" s="1"/>
  <c r="BS109" i="46"/>
  <c r="T236" i="46"/>
  <c r="O236" i="46"/>
  <c r="P236" i="46" s="1"/>
  <c r="AB236" i="46"/>
  <c r="Q236" i="46"/>
  <c r="AC236" i="46"/>
  <c r="R236" i="46"/>
  <c r="AD236" i="46" s="1"/>
  <c r="AM152" i="46"/>
  <c r="AY152" i="46" s="1"/>
  <c r="AL152" i="46"/>
  <c r="AO152" i="46"/>
  <c r="AJ152" i="46"/>
  <c r="AK152" i="46" s="1"/>
  <c r="AX152" i="46"/>
  <c r="AW152" i="46"/>
  <c r="BH135" i="46"/>
  <c r="BT135" i="46" s="1"/>
  <c r="BR135" i="46"/>
  <c r="BS135" i="46"/>
  <c r="BG135" i="46"/>
  <c r="BJ135" i="46"/>
  <c r="BL135" i="46" s="1"/>
  <c r="BM135" i="46" s="1"/>
  <c r="CN149" i="46"/>
  <c r="CE149" i="46"/>
  <c r="BZ149" i="46"/>
  <c r="CA149" i="46" s="1"/>
  <c r="CM149" i="46"/>
  <c r="CC149" i="46"/>
  <c r="CO149" i="46" s="1"/>
  <c r="CB149" i="46"/>
  <c r="O69" i="46"/>
  <c r="P69" i="46" s="1"/>
  <c r="R69" i="46"/>
  <c r="AD69" i="46" s="1"/>
  <c r="AB69" i="46"/>
  <c r="AC69" i="46"/>
  <c r="T69" i="46"/>
  <c r="Q69" i="46"/>
  <c r="BZ51" i="46"/>
  <c r="CA51" i="46" s="1"/>
  <c r="CM51" i="46"/>
  <c r="CE51" i="46"/>
  <c r="CC51" i="46"/>
  <c r="CO51" i="46" s="1"/>
  <c r="CB51" i="46"/>
  <c r="CN51" i="46"/>
  <c r="AW121" i="46"/>
  <c r="AO121" i="46"/>
  <c r="AL121" i="46"/>
  <c r="AJ121" i="46"/>
  <c r="AK121" i="46" s="1"/>
  <c r="AX121" i="46"/>
  <c r="AM121" i="46"/>
  <c r="AY121" i="46" s="1"/>
  <c r="AI334" i="46"/>
  <c r="AB179" i="46"/>
  <c r="T179" i="46"/>
  <c r="AC179" i="46"/>
  <c r="R179" i="46"/>
  <c r="AD179" i="46" s="1"/>
  <c r="O179" i="46"/>
  <c r="P179" i="46" s="1"/>
  <c r="Q179" i="46"/>
  <c r="AX84" i="46"/>
  <c r="AW84" i="46"/>
  <c r="AM84" i="46"/>
  <c r="AY84" i="46" s="1"/>
  <c r="AL84" i="46"/>
  <c r="AJ84" i="46"/>
  <c r="AK84" i="46" s="1"/>
  <c r="AO84" i="46"/>
  <c r="AL76" i="46"/>
  <c r="AM76" i="46"/>
  <c r="AY76" i="46" s="1"/>
  <c r="AO76" i="46"/>
  <c r="AJ76" i="46"/>
  <c r="AK76" i="46" s="1"/>
  <c r="AX76" i="46"/>
  <c r="AW76" i="46"/>
  <c r="BS77" i="46"/>
  <c r="BG77" i="46"/>
  <c r="BH77" i="46"/>
  <c r="BT77" i="46" s="1"/>
  <c r="BJ77" i="46"/>
  <c r="BL77" i="46" s="1"/>
  <c r="BM77" i="46" s="1"/>
  <c r="BR77" i="46"/>
  <c r="AO166" i="46"/>
  <c r="AL166" i="46"/>
  <c r="AM166" i="46"/>
  <c r="AY166" i="46" s="1"/>
  <c r="AW166" i="46"/>
  <c r="AJ166" i="46"/>
  <c r="AK166" i="46" s="1"/>
  <c r="AX166" i="46"/>
  <c r="AL138" i="46"/>
  <c r="AX138" i="46"/>
  <c r="AM138" i="46"/>
  <c r="AY138" i="46" s="1"/>
  <c r="AJ138" i="46"/>
  <c r="AK138" i="46" s="1"/>
  <c r="AO138" i="46"/>
  <c r="AW138" i="46"/>
  <c r="Q235" i="46"/>
  <c r="T235" i="46"/>
  <c r="AC235" i="46"/>
  <c r="AB235" i="46"/>
  <c r="O235" i="46"/>
  <c r="P235" i="46" s="1"/>
  <c r="R235" i="46"/>
  <c r="AD235" i="46" s="1"/>
  <c r="BR316" i="46"/>
  <c r="BG316" i="46"/>
  <c r="BJ316" i="46"/>
  <c r="BL316" i="46" s="1"/>
  <c r="BM316" i="46" s="1"/>
  <c r="BS316" i="46"/>
  <c r="BH316" i="46"/>
  <c r="BT316" i="46" s="1"/>
  <c r="BD317" i="46"/>
  <c r="BR242" i="46"/>
  <c r="BJ242" i="46"/>
  <c r="BL242" i="46" s="1"/>
  <c r="BM242" i="46" s="1"/>
  <c r="BG242" i="46"/>
  <c r="BS242" i="46"/>
  <c r="BH242" i="46"/>
  <c r="BT242" i="46" s="1"/>
  <c r="AO266" i="46"/>
  <c r="AJ266" i="46"/>
  <c r="AK266" i="46" s="1"/>
  <c r="AW266" i="46"/>
  <c r="AM266" i="46"/>
  <c r="AY266" i="46" s="1"/>
  <c r="AX266" i="46"/>
  <c r="AL266" i="46"/>
  <c r="R19" i="46"/>
  <c r="AD19" i="46" s="1"/>
  <c r="T19" i="46"/>
  <c r="Q19" i="46"/>
  <c r="AB19" i="46"/>
  <c r="O19" i="46"/>
  <c r="P19" i="46" s="1"/>
  <c r="AC19" i="46"/>
  <c r="AJ178" i="46"/>
  <c r="AK178" i="46" s="1"/>
  <c r="AO178" i="46"/>
  <c r="AM178" i="46"/>
  <c r="AY178" i="46" s="1"/>
  <c r="AL178" i="46"/>
  <c r="AX178" i="46"/>
  <c r="AW178" i="46"/>
  <c r="AW285" i="46"/>
  <c r="AJ285" i="46"/>
  <c r="AK285" i="46" s="1"/>
  <c r="AM285" i="46"/>
  <c r="AY285" i="46" s="1"/>
  <c r="AX285" i="46"/>
  <c r="AO285" i="46"/>
  <c r="AL285" i="46"/>
  <c r="CE286" i="46"/>
  <c r="CM286" i="46"/>
  <c r="CB286" i="46"/>
  <c r="CC286" i="46"/>
  <c r="CO286" i="46" s="1"/>
  <c r="CN286" i="46"/>
  <c r="BZ286" i="46"/>
  <c r="CA286" i="46" s="1"/>
  <c r="T271" i="46"/>
  <c r="O271" i="46"/>
  <c r="P271" i="46" s="1"/>
  <c r="AB271" i="46"/>
  <c r="Q271" i="46"/>
  <c r="AC271" i="46"/>
  <c r="R271" i="46"/>
  <c r="AD271" i="46" s="1"/>
  <c r="BR342" i="46"/>
  <c r="BS342" i="46"/>
  <c r="BJ342" i="46"/>
  <c r="BL342" i="46" s="1"/>
  <c r="BM342" i="46" s="1"/>
  <c r="BH342" i="46"/>
  <c r="BT342" i="46" s="1"/>
  <c r="BG342" i="46"/>
  <c r="AI299" i="46"/>
  <c r="AM339" i="46"/>
  <c r="AY339" i="46" s="1"/>
  <c r="AX339" i="46"/>
  <c r="AL339" i="46"/>
  <c r="AW339" i="46"/>
  <c r="AO339" i="46"/>
  <c r="AJ339" i="46"/>
  <c r="AK339" i="46" s="1"/>
  <c r="CN125" i="46"/>
  <c r="BZ125" i="46"/>
  <c r="CA125" i="46" s="1"/>
  <c r="CC125" i="46"/>
  <c r="CO125" i="46" s="1"/>
  <c r="CE125" i="46"/>
  <c r="CB125" i="46"/>
  <c r="CM125" i="46"/>
  <c r="CB162" i="46"/>
  <c r="CM162" i="46"/>
  <c r="BZ162" i="46"/>
  <c r="CA162" i="46" s="1"/>
  <c r="CC162" i="46"/>
  <c r="CO162" i="46" s="1"/>
  <c r="CN162" i="46"/>
  <c r="CE162" i="46"/>
  <c r="CE36" i="46"/>
  <c r="CN36" i="46"/>
  <c r="CM36" i="46"/>
  <c r="BZ36" i="46"/>
  <c r="CA36" i="46" s="1"/>
  <c r="CC36" i="46"/>
  <c r="CO36" i="46" s="1"/>
  <c r="CB36" i="46"/>
  <c r="CB67" i="46"/>
  <c r="CN67" i="46"/>
  <c r="BZ67" i="46"/>
  <c r="CA67" i="46" s="1"/>
  <c r="CC67" i="46"/>
  <c r="CO67" i="46" s="1"/>
  <c r="CM67" i="46"/>
  <c r="CE67" i="46"/>
  <c r="AJ229" i="46"/>
  <c r="AK229" i="46" s="1"/>
  <c r="AW229" i="46"/>
  <c r="AL229" i="46"/>
  <c r="AO229" i="46"/>
  <c r="AM229" i="46"/>
  <c r="AY229" i="46" s="1"/>
  <c r="AX229" i="46"/>
  <c r="BR244" i="46"/>
  <c r="BG244" i="46"/>
  <c r="BJ244" i="46"/>
  <c r="BL244" i="46" s="1"/>
  <c r="BM244" i="46" s="1"/>
  <c r="BS244" i="46"/>
  <c r="BH244" i="46"/>
  <c r="BT244" i="46" s="1"/>
  <c r="AO107" i="46"/>
  <c r="AW107" i="46"/>
  <c r="AX107" i="46"/>
  <c r="AL107" i="46"/>
  <c r="AM107" i="46"/>
  <c r="AY107" i="46" s="1"/>
  <c r="AJ107" i="46"/>
  <c r="AK107" i="46" s="1"/>
  <c r="CM147" i="46"/>
  <c r="CC147" i="46"/>
  <c r="CO147" i="46" s="1"/>
  <c r="CB147" i="46"/>
  <c r="BZ147" i="46"/>
  <c r="CA147" i="46" s="1"/>
  <c r="CE147" i="46"/>
  <c r="CN147" i="46"/>
  <c r="CC295" i="46"/>
  <c r="CO295" i="46" s="1"/>
  <c r="CM295" i="46"/>
  <c r="BZ295" i="46"/>
  <c r="CA295" i="46" s="1"/>
  <c r="CB295" i="46"/>
  <c r="CN295" i="46"/>
  <c r="CE295" i="46"/>
  <c r="AL179" i="46"/>
  <c r="AX179" i="46"/>
  <c r="AO179" i="46"/>
  <c r="AM179" i="46"/>
  <c r="AY179" i="46" s="1"/>
  <c r="AJ179" i="46"/>
  <c r="AK179" i="46" s="1"/>
  <c r="AW179" i="46"/>
  <c r="CC339" i="46"/>
  <c r="CO339" i="46" s="1"/>
  <c r="CN339" i="46"/>
  <c r="CB339" i="46"/>
  <c r="BZ339" i="46"/>
  <c r="CA339" i="46" s="1"/>
  <c r="CM339" i="46"/>
  <c r="CE339" i="46"/>
  <c r="CB152" i="46"/>
  <c r="CE152" i="46"/>
  <c r="CC152" i="46"/>
  <c r="CO152" i="46" s="1"/>
  <c r="CM152" i="46"/>
  <c r="CN152" i="46"/>
  <c r="BZ152" i="46"/>
  <c r="CA152" i="46" s="1"/>
  <c r="BZ272" i="46"/>
  <c r="CA272" i="46" s="1"/>
  <c r="CC272" i="46"/>
  <c r="CO272" i="46" s="1"/>
  <c r="CN272" i="46"/>
  <c r="CB272" i="46"/>
  <c r="CM272" i="46"/>
  <c r="CE272" i="46"/>
  <c r="BD334" i="46"/>
  <c r="AX227" i="46"/>
  <c r="AL227" i="46"/>
  <c r="AJ227" i="46"/>
  <c r="AK227" i="46" s="1"/>
  <c r="AO227" i="46"/>
  <c r="AW227" i="46"/>
  <c r="AM227" i="46"/>
  <c r="AY227" i="46" s="1"/>
  <c r="CE64" i="46"/>
  <c r="CB64" i="46"/>
  <c r="CN64" i="46"/>
  <c r="CM64" i="46"/>
  <c r="CC64" i="46"/>
  <c r="CO64" i="46" s="1"/>
  <c r="BZ64" i="46"/>
  <c r="CA64" i="46" s="1"/>
  <c r="BH332" i="46"/>
  <c r="BT332" i="46" s="1"/>
  <c r="BR332" i="46"/>
  <c r="BS332" i="46"/>
  <c r="BJ332" i="46"/>
  <c r="BL332" i="46" s="1"/>
  <c r="BM332" i="46" s="1"/>
  <c r="BG332" i="46"/>
  <c r="BG313" i="46"/>
  <c r="BJ313" i="46"/>
  <c r="BL313" i="46" s="1"/>
  <c r="BM313" i="46" s="1"/>
  <c r="BS313" i="46"/>
  <c r="BR313" i="46"/>
  <c r="BH313" i="46"/>
  <c r="BT313" i="46" s="1"/>
  <c r="O163" i="46"/>
  <c r="P163" i="46" s="1"/>
  <c r="AB163" i="46"/>
  <c r="T163" i="46"/>
  <c r="AC163" i="46"/>
  <c r="Q163" i="46"/>
  <c r="R163" i="46"/>
  <c r="AD163" i="46" s="1"/>
  <c r="O124" i="46"/>
  <c r="P124" i="46" s="1"/>
  <c r="AB124" i="46"/>
  <c r="Q124" i="46"/>
  <c r="AC124" i="46"/>
  <c r="R124" i="46"/>
  <c r="AD124" i="46" s="1"/>
  <c r="T124" i="46"/>
  <c r="O111" i="46"/>
  <c r="P111" i="46" s="1"/>
  <c r="AB111" i="46"/>
  <c r="Q111" i="46"/>
  <c r="AC111" i="46"/>
  <c r="T111" i="46"/>
  <c r="R111" i="46"/>
  <c r="AD111" i="46" s="1"/>
  <c r="CE232" i="46"/>
  <c r="BZ232" i="46"/>
  <c r="CA232" i="46" s="1"/>
  <c r="CM232" i="46"/>
  <c r="CC232" i="46"/>
  <c r="CO232" i="46" s="1"/>
  <c r="CN232" i="46"/>
  <c r="CB232" i="46"/>
  <c r="BZ108" i="46"/>
  <c r="CA108" i="46" s="1"/>
  <c r="CN108" i="46"/>
  <c r="CC108" i="46"/>
  <c r="CO108" i="46" s="1"/>
  <c r="CB108" i="46"/>
  <c r="CM108" i="46"/>
  <c r="CE108" i="46"/>
  <c r="CB234" i="46"/>
  <c r="CM234" i="46"/>
  <c r="CC234" i="46"/>
  <c r="CO234" i="46" s="1"/>
  <c r="BZ234" i="46"/>
  <c r="CA234" i="46" s="1"/>
  <c r="CN234" i="46"/>
  <c r="CE234" i="46"/>
  <c r="T310" i="46"/>
  <c r="Q310" i="46"/>
  <c r="R310" i="46"/>
  <c r="AD310" i="46" s="1"/>
  <c r="O310" i="46"/>
  <c r="P310" i="46" s="1"/>
  <c r="AB310" i="46"/>
  <c r="AC310" i="46"/>
  <c r="O181" i="46"/>
  <c r="P181" i="46" s="1"/>
  <c r="AC181" i="46"/>
  <c r="Q181" i="46"/>
  <c r="AB181" i="46"/>
  <c r="R181" i="46"/>
  <c r="AD181" i="46" s="1"/>
  <c r="T181" i="46"/>
  <c r="O249" i="46"/>
  <c r="P249" i="46" s="1"/>
  <c r="AB249" i="46"/>
  <c r="T249" i="46"/>
  <c r="Q249" i="46"/>
  <c r="AC249" i="46"/>
  <c r="R249" i="46"/>
  <c r="AD249" i="46" s="1"/>
  <c r="O226" i="46"/>
  <c r="P226" i="46" s="1"/>
  <c r="AB226" i="46"/>
  <c r="Q226" i="46"/>
  <c r="R226" i="46"/>
  <c r="AD226" i="46" s="1"/>
  <c r="T226" i="46"/>
  <c r="AC226" i="46"/>
  <c r="CE216" i="46"/>
  <c r="BZ216" i="46"/>
  <c r="CA216" i="46" s="1"/>
  <c r="CM216" i="46"/>
  <c r="CB216" i="46"/>
  <c r="CC216" i="46"/>
  <c r="CO216" i="46" s="1"/>
  <c r="CN216" i="46"/>
  <c r="BY132" i="46"/>
  <c r="CN52" i="46"/>
  <c r="BZ52" i="46"/>
  <c r="CA52" i="46" s="1"/>
  <c r="CM52" i="46"/>
  <c r="CC52" i="46"/>
  <c r="CO52" i="46" s="1"/>
  <c r="CB52" i="46"/>
  <c r="CE52" i="46"/>
  <c r="R234" i="46"/>
  <c r="AD234" i="46" s="1"/>
  <c r="AC234" i="46"/>
  <c r="Q234" i="46"/>
  <c r="AB234" i="46"/>
  <c r="T234" i="46"/>
  <c r="O234" i="46"/>
  <c r="P234" i="46" s="1"/>
  <c r="Q113" i="46"/>
  <c r="R113" i="46"/>
  <c r="AD113" i="46" s="1"/>
  <c r="AC113" i="46"/>
  <c r="AB113" i="46"/>
  <c r="O113" i="46"/>
  <c r="P113" i="46" s="1"/>
  <c r="T113" i="46"/>
  <c r="AJ105" i="46"/>
  <c r="AK105" i="46" s="1"/>
  <c r="AM105" i="46"/>
  <c r="AY105" i="46" s="1"/>
  <c r="AO105" i="46"/>
  <c r="AW105" i="46"/>
  <c r="AX105" i="46"/>
  <c r="AL105" i="46"/>
  <c r="CN104" i="46"/>
  <c r="BZ104" i="46"/>
  <c r="CA104" i="46" s="1"/>
  <c r="CE104" i="46"/>
  <c r="CC104" i="46"/>
  <c r="CO104" i="46" s="1"/>
  <c r="CB104" i="46"/>
  <c r="CM104" i="46"/>
  <c r="CM85" i="46"/>
  <c r="CC85" i="46"/>
  <c r="CO85" i="46" s="1"/>
  <c r="CE85" i="46"/>
  <c r="CN85" i="46"/>
  <c r="BZ85" i="46"/>
  <c r="CA85" i="46" s="1"/>
  <c r="CB85" i="46"/>
  <c r="AI255" i="46"/>
  <c r="CE329" i="46"/>
  <c r="BZ329" i="46"/>
  <c r="CA329" i="46" s="1"/>
  <c r="CC329" i="46"/>
  <c r="CO329" i="46" s="1"/>
  <c r="CN329" i="46"/>
  <c r="CM329" i="46"/>
  <c r="CB329" i="46"/>
  <c r="AM256" i="46"/>
  <c r="AY256" i="46" s="1"/>
  <c r="AJ256" i="46"/>
  <c r="AK256" i="46" s="1"/>
  <c r="AO256" i="46"/>
  <c r="AL256" i="46"/>
  <c r="AX256" i="46"/>
  <c r="AW256" i="46"/>
  <c r="CC60" i="46"/>
  <c r="CO60" i="46" s="1"/>
  <c r="CN60" i="46"/>
  <c r="CM60" i="46"/>
  <c r="CB60" i="46"/>
  <c r="BZ60" i="46"/>
  <c r="CA60" i="46" s="1"/>
  <c r="CE60" i="46"/>
  <c r="CC70" i="46"/>
  <c r="CO70" i="46" s="1"/>
  <c r="CN70" i="46"/>
  <c r="CB70" i="46"/>
  <c r="CE70" i="46"/>
  <c r="CM70" i="46"/>
  <c r="BZ70" i="46"/>
  <c r="CA70" i="46" s="1"/>
  <c r="CM260" i="46"/>
  <c r="CC260" i="46"/>
  <c r="CO260" i="46" s="1"/>
  <c r="CE260" i="46"/>
  <c r="CN260" i="46"/>
  <c r="CB260" i="46"/>
  <c r="BZ260" i="46"/>
  <c r="CA260" i="46" s="1"/>
  <c r="AO345" i="46"/>
  <c r="AX345" i="46"/>
  <c r="AW345" i="46"/>
  <c r="AM345" i="46"/>
  <c r="AY345" i="46" s="1"/>
  <c r="AL345" i="46"/>
  <c r="AJ345" i="46"/>
  <c r="AK345" i="46" s="1"/>
  <c r="N128" i="46"/>
  <c r="Q108" i="46"/>
  <c r="AC108" i="46"/>
  <c r="O108" i="46"/>
  <c r="P108" i="46" s="1"/>
  <c r="R108" i="46"/>
  <c r="AD108" i="46" s="1"/>
  <c r="T108" i="46"/>
  <c r="AB108" i="46"/>
  <c r="AI130" i="46"/>
  <c r="BG210" i="46"/>
  <c r="BS210" i="46"/>
  <c r="BJ210" i="46"/>
  <c r="BL210" i="46" s="1"/>
  <c r="BM210" i="46" s="1"/>
  <c r="BH210" i="46"/>
  <c r="BT210" i="46" s="1"/>
  <c r="BR210" i="46"/>
  <c r="AI13" i="46"/>
  <c r="AO98" i="46"/>
  <c r="AX98" i="46"/>
  <c r="AJ98" i="46"/>
  <c r="AK98" i="46" s="1"/>
  <c r="AL98" i="46"/>
  <c r="AM98" i="46"/>
  <c r="AY98" i="46" s="1"/>
  <c r="AW98" i="46"/>
  <c r="BS341" i="46"/>
  <c r="BH341" i="46"/>
  <c r="BT341" i="46" s="1"/>
  <c r="BJ341" i="46"/>
  <c r="BL341" i="46" s="1"/>
  <c r="BM341" i="46" s="1"/>
  <c r="BR341" i="46"/>
  <c r="BG341" i="46"/>
  <c r="AB184" i="46"/>
  <c r="AC184" i="46"/>
  <c r="R184" i="46"/>
  <c r="AD184" i="46" s="1"/>
  <c r="T184" i="46"/>
  <c r="O184" i="46"/>
  <c r="P184" i="46" s="1"/>
  <c r="Q184" i="46"/>
  <c r="BD247" i="46"/>
  <c r="CB157" i="46"/>
  <c r="BZ157" i="46"/>
  <c r="CA157" i="46" s="1"/>
  <c r="CC157" i="46"/>
  <c r="CO157" i="46" s="1"/>
  <c r="CE157" i="46"/>
  <c r="CN157" i="46"/>
  <c r="CM157" i="46"/>
  <c r="AM87" i="46"/>
  <c r="AY87" i="46" s="1"/>
  <c r="AL87" i="46"/>
  <c r="AO87" i="46"/>
  <c r="AW87" i="46"/>
  <c r="AJ87" i="46"/>
  <c r="AK87" i="46" s="1"/>
  <c r="AX87" i="46"/>
  <c r="AJ69" i="46"/>
  <c r="AK69" i="46" s="1"/>
  <c r="AO69" i="46"/>
  <c r="AL69" i="46"/>
  <c r="AX69" i="46"/>
  <c r="AW69" i="46"/>
  <c r="AM69" i="46"/>
  <c r="AY69" i="46" s="1"/>
  <c r="AX17" i="46"/>
  <c r="AW17" i="46"/>
  <c r="AM17" i="46"/>
  <c r="AY17" i="46" s="1"/>
  <c r="AL17" i="46"/>
  <c r="AJ17" i="46"/>
  <c r="AK17" i="46" s="1"/>
  <c r="AO17" i="46"/>
  <c r="CE68" i="46"/>
  <c r="CM68" i="46"/>
  <c r="CC68" i="46"/>
  <c r="CO68" i="46" s="1"/>
  <c r="CN68" i="46"/>
  <c r="BZ68" i="46"/>
  <c r="CA68" i="46" s="1"/>
  <c r="CB68" i="46"/>
  <c r="O205" i="46"/>
  <c r="P205" i="46" s="1"/>
  <c r="Q205" i="46"/>
  <c r="R205" i="46"/>
  <c r="AD205" i="46" s="1"/>
  <c r="T205" i="46"/>
  <c r="AB205" i="46"/>
  <c r="AC205" i="46"/>
  <c r="O250" i="46"/>
  <c r="P250" i="46" s="1"/>
  <c r="AC250" i="46"/>
  <c r="AB250" i="46"/>
  <c r="Q250" i="46"/>
  <c r="T250" i="46"/>
  <c r="R250" i="46"/>
  <c r="AD250" i="46" s="1"/>
  <c r="CM194" i="46"/>
  <c r="CB194" i="46"/>
  <c r="CC194" i="46"/>
  <c r="CO194" i="46" s="1"/>
  <c r="CE194" i="46"/>
  <c r="BZ194" i="46"/>
  <c r="CA194" i="46" s="1"/>
  <c r="CN194" i="46"/>
  <c r="BS52" i="46"/>
  <c r="BG52" i="46"/>
  <c r="BR52" i="46"/>
  <c r="BH52" i="46"/>
  <c r="BT52" i="46" s="1"/>
  <c r="BJ52" i="46"/>
  <c r="BL52" i="46" s="1"/>
  <c r="BM52" i="46" s="1"/>
  <c r="CN96" i="46"/>
  <c r="CB96" i="46"/>
  <c r="BZ96" i="46"/>
  <c r="CA96" i="46" s="1"/>
  <c r="CM96" i="46"/>
  <c r="CE96" i="46"/>
  <c r="CC96" i="46"/>
  <c r="CO96" i="46" s="1"/>
  <c r="CM135" i="46"/>
  <c r="CE135" i="46"/>
  <c r="CB135" i="46"/>
  <c r="CC135" i="46"/>
  <c r="CO135" i="46" s="1"/>
  <c r="CN135" i="46"/>
  <c r="BZ135" i="46"/>
  <c r="CA135" i="46" s="1"/>
  <c r="AB247" i="46"/>
  <c r="O247" i="46"/>
  <c r="P247" i="46" s="1"/>
  <c r="R247" i="46"/>
  <c r="AD247" i="46" s="1"/>
  <c r="Q247" i="46"/>
  <c r="AC247" i="46"/>
  <c r="T247" i="46"/>
  <c r="AX284" i="46"/>
  <c r="AJ284" i="46"/>
  <c r="AK284" i="46" s="1"/>
  <c r="AW284" i="46"/>
  <c r="AO284" i="46"/>
  <c r="AL284" i="46"/>
  <c r="AM284" i="46"/>
  <c r="AY284" i="46" s="1"/>
  <c r="T29" i="46"/>
  <c r="AB29" i="46"/>
  <c r="R29" i="46"/>
  <c r="AD29" i="46" s="1"/>
  <c r="Q29" i="46"/>
  <c r="AC29" i="46"/>
  <c r="O29" i="46"/>
  <c r="P29" i="46" s="1"/>
  <c r="R206" i="46"/>
  <c r="AD206" i="46" s="1"/>
  <c r="Q206" i="46"/>
  <c r="AC206" i="46"/>
  <c r="T206" i="46"/>
  <c r="AB206" i="46"/>
  <c r="O206" i="46"/>
  <c r="P206" i="46" s="1"/>
  <c r="AJ272" i="46"/>
  <c r="AK272" i="46" s="1"/>
  <c r="AL272" i="46"/>
  <c r="AX272" i="46"/>
  <c r="AW272" i="46"/>
  <c r="AM272" i="46"/>
  <c r="AY272" i="46" s="1"/>
  <c r="AO272" i="46"/>
  <c r="CE221" i="46"/>
  <c r="CB221" i="46"/>
  <c r="CN221" i="46"/>
  <c r="CM221" i="46"/>
  <c r="CC221" i="46"/>
  <c r="CO221" i="46" s="1"/>
  <c r="BZ221" i="46"/>
  <c r="CA221" i="46" s="1"/>
  <c r="Q316" i="46"/>
  <c r="AB316" i="46"/>
  <c r="O316" i="46"/>
  <c r="P316" i="46" s="1"/>
  <c r="R316" i="46"/>
  <c r="AD316" i="46" s="1"/>
  <c r="T316" i="46"/>
  <c r="AC316" i="46"/>
  <c r="AX287" i="46"/>
  <c r="AO287" i="46"/>
  <c r="AL287" i="46"/>
  <c r="AM287" i="46"/>
  <c r="AY287" i="46" s="1"/>
  <c r="AW287" i="46"/>
  <c r="AJ287" i="46"/>
  <c r="AK287" i="46" s="1"/>
  <c r="AB260" i="46"/>
  <c r="T260" i="46"/>
  <c r="R260" i="46"/>
  <c r="AD260" i="46" s="1"/>
  <c r="AC260" i="46"/>
  <c r="Q260" i="46"/>
  <c r="O260" i="46"/>
  <c r="P260" i="46" s="1"/>
  <c r="R79" i="46"/>
  <c r="AD79" i="46" s="1"/>
  <c r="AC79" i="46"/>
  <c r="O79" i="46"/>
  <c r="P79" i="46" s="1"/>
  <c r="AB79" i="46"/>
  <c r="Q79" i="46"/>
  <c r="T79" i="46"/>
  <c r="T210" i="46"/>
  <c r="AB210" i="46"/>
  <c r="Q210" i="46"/>
  <c r="O210" i="46"/>
  <c r="P210" i="46" s="1"/>
  <c r="AC210" i="46"/>
  <c r="R210" i="46"/>
  <c r="AD210" i="46" s="1"/>
  <c r="CN275" i="46"/>
  <c r="BZ275" i="46"/>
  <c r="CA275" i="46" s="1"/>
  <c r="CE275" i="46"/>
  <c r="CM275" i="46"/>
  <c r="CB275" i="46"/>
  <c r="CC275" i="46"/>
  <c r="CO275" i="46" s="1"/>
  <c r="BD330" i="46"/>
  <c r="AO61" i="46"/>
  <c r="AX61" i="46"/>
  <c r="AJ61" i="46"/>
  <c r="AK61" i="46" s="1"/>
  <c r="AL61" i="46"/>
  <c r="AW61" i="46"/>
  <c r="AM61" i="46"/>
  <c r="AY61" i="46" s="1"/>
  <c r="CM181" i="46"/>
  <c r="CN181" i="46"/>
  <c r="BZ181" i="46"/>
  <c r="CA181" i="46" s="1"/>
  <c r="CC181" i="46"/>
  <c r="CO181" i="46" s="1"/>
  <c r="CE181" i="46"/>
  <c r="CB181" i="46"/>
  <c r="BZ247" i="46"/>
  <c r="CA247" i="46" s="1"/>
  <c r="CC247" i="46"/>
  <c r="CO247" i="46" s="1"/>
  <c r="CE247" i="46"/>
  <c r="CN247" i="46"/>
  <c r="CM247" i="46"/>
  <c r="CB247" i="46"/>
  <c r="CE154" i="46"/>
  <c r="BZ154" i="46"/>
  <c r="CA154" i="46" s="1"/>
  <c r="CM154" i="46"/>
  <c r="CC154" i="46"/>
  <c r="CO154" i="46" s="1"/>
  <c r="CN154" i="46"/>
  <c r="CB154" i="46"/>
  <c r="AM273" i="46"/>
  <c r="AY273" i="46" s="1"/>
  <c r="AO273" i="46"/>
  <c r="AL273" i="46"/>
  <c r="AX273" i="46"/>
  <c r="AJ273" i="46"/>
  <c r="AK273" i="46" s="1"/>
  <c r="AW273" i="46"/>
  <c r="CN46" i="46"/>
  <c r="CB46" i="46"/>
  <c r="CE46" i="46"/>
  <c r="CM46" i="46"/>
  <c r="CC46" i="46"/>
  <c r="CO46" i="46" s="1"/>
  <c r="BZ46" i="46"/>
  <c r="CA46" i="46" s="1"/>
  <c r="CC86" i="46"/>
  <c r="CO86" i="46" s="1"/>
  <c r="CB86" i="46"/>
  <c r="BZ86" i="46"/>
  <c r="CA86" i="46" s="1"/>
  <c r="CE86" i="46"/>
  <c r="CN86" i="46"/>
  <c r="CM86" i="46"/>
  <c r="AB329" i="46"/>
  <c r="T329" i="46"/>
  <c r="R329" i="46"/>
  <c r="AD329" i="46" s="1"/>
  <c r="Q329" i="46"/>
  <c r="O329" i="46"/>
  <c r="P329" i="46" s="1"/>
  <c r="AC329" i="46"/>
  <c r="FY54" i="37"/>
  <c r="FJ54" i="37"/>
  <c r="EX54" i="37"/>
  <c r="FX54" i="37"/>
  <c r="FV54" i="37"/>
  <c r="CN346" i="46"/>
  <c r="CB346" i="46"/>
  <c r="CC346" i="46"/>
  <c r="CO346" i="46" s="1"/>
  <c r="CE346" i="46"/>
  <c r="CM346" i="46"/>
  <c r="BZ346" i="46"/>
  <c r="CA346" i="46" s="1"/>
  <c r="O315" i="46"/>
  <c r="P315" i="46" s="1"/>
  <c r="T315" i="46"/>
  <c r="R315" i="46"/>
  <c r="AD315" i="46" s="1"/>
  <c r="AB315" i="46"/>
  <c r="Q315" i="46"/>
  <c r="AC315" i="46"/>
  <c r="AJ71" i="46"/>
  <c r="AK71" i="46" s="1"/>
  <c r="AX71" i="46"/>
  <c r="AO71" i="46"/>
  <c r="AL71" i="46"/>
  <c r="AM71" i="46"/>
  <c r="AY71" i="46" s="1"/>
  <c r="AW71" i="46"/>
  <c r="FV54" i="32"/>
  <c r="EX54" i="32"/>
  <c r="FX54" i="32"/>
  <c r="FY54" i="32"/>
  <c r="FJ54" i="32"/>
  <c r="BZ23" i="46"/>
  <c r="CA23" i="46" s="1"/>
  <c r="CN23" i="46"/>
  <c r="CB23" i="46"/>
  <c r="CM23" i="46"/>
  <c r="CE23" i="46"/>
  <c r="CC23" i="46"/>
  <c r="CO23" i="46" s="1"/>
  <c r="AX218" i="46"/>
  <c r="AM218" i="46"/>
  <c r="AY218" i="46" s="1"/>
  <c r="AW218" i="46"/>
  <c r="AL218" i="46"/>
  <c r="AO218" i="46"/>
  <c r="AJ218" i="46"/>
  <c r="AK218" i="46" s="1"/>
  <c r="BD293" i="46"/>
  <c r="BD124" i="46"/>
  <c r="BD131" i="46"/>
  <c r="CN277" i="46"/>
  <c r="CE277" i="46"/>
  <c r="BZ277" i="46"/>
  <c r="CA277" i="46" s="1"/>
  <c r="CM277" i="46"/>
  <c r="CC277" i="46"/>
  <c r="CO277" i="46" s="1"/>
  <c r="CB277" i="46"/>
  <c r="AM67" i="46"/>
  <c r="AY67" i="46" s="1"/>
  <c r="AL67" i="46"/>
  <c r="AJ67" i="46"/>
  <c r="AK67" i="46" s="1"/>
  <c r="AO67" i="46"/>
  <c r="AW67" i="46"/>
  <c r="AX67" i="46"/>
  <c r="BM54" i="38"/>
  <c r="BJ54" i="38"/>
  <c r="BL54" i="38"/>
  <c r="AX54" i="38"/>
  <c r="AL54" i="38"/>
  <c r="R344" i="46"/>
  <c r="AD344" i="46" s="1"/>
  <c r="AC344" i="46"/>
  <c r="T344" i="46"/>
  <c r="Q344" i="46"/>
  <c r="O344" i="46"/>
  <c r="P344" i="46" s="1"/>
  <c r="AB344" i="46"/>
  <c r="BR271" i="46"/>
  <c r="BJ271" i="46"/>
  <c r="BL271" i="46" s="1"/>
  <c r="BM271" i="46" s="1"/>
  <c r="BG271" i="46"/>
  <c r="BS271" i="46"/>
  <c r="BH271" i="46"/>
  <c r="BT271" i="46" s="1"/>
  <c r="BG66" i="46"/>
  <c r="BJ66" i="46"/>
  <c r="BL66" i="46" s="1"/>
  <c r="BM66" i="46" s="1"/>
  <c r="BR66" i="46"/>
  <c r="BH66" i="46"/>
  <c r="BT66" i="46" s="1"/>
  <c r="BS66" i="46"/>
  <c r="AM332" i="46"/>
  <c r="AY332" i="46" s="1"/>
  <c r="AX332" i="46"/>
  <c r="AW332" i="46"/>
  <c r="AO332" i="46"/>
  <c r="AL332" i="46"/>
  <c r="AJ332" i="46"/>
  <c r="AK332" i="46" s="1"/>
  <c r="BJ78" i="46"/>
  <c r="BL78" i="46" s="1"/>
  <c r="BM78" i="46" s="1"/>
  <c r="BG78" i="46"/>
  <c r="BR78" i="46"/>
  <c r="BS78" i="46"/>
  <c r="BH78" i="46"/>
  <c r="BT78" i="46" s="1"/>
  <c r="E43" i="37"/>
  <c r="K54" i="37" s="1"/>
  <c r="E42" i="37"/>
  <c r="J54" i="37" s="1"/>
  <c r="G36" i="37"/>
  <c r="E36" i="37"/>
  <c r="AW281" i="46"/>
  <c r="AM281" i="46"/>
  <c r="AY281" i="46" s="1"/>
  <c r="AO281" i="46"/>
  <c r="AL281" i="46"/>
  <c r="AJ281" i="46"/>
  <c r="AK281" i="46" s="1"/>
  <c r="AX281" i="46"/>
  <c r="CN102" i="46"/>
  <c r="BZ102" i="46"/>
  <c r="CA102" i="46" s="1"/>
  <c r="CE102" i="46"/>
  <c r="CB102" i="46"/>
  <c r="CC102" i="46"/>
  <c r="CO102" i="46" s="1"/>
  <c r="CM102" i="46"/>
  <c r="AO41" i="46"/>
  <c r="AX41" i="46"/>
  <c r="AW41" i="46"/>
  <c r="AL41" i="46"/>
  <c r="AJ41" i="46"/>
  <c r="AK41" i="46" s="1"/>
  <c r="AM41" i="46"/>
  <c r="AY41" i="46" s="1"/>
  <c r="CE146" i="46"/>
  <c r="CN146" i="46"/>
  <c r="BZ146" i="46"/>
  <c r="CA146" i="46" s="1"/>
  <c r="CC146" i="46"/>
  <c r="CO146" i="46" s="1"/>
  <c r="CB146" i="46"/>
  <c r="CM146" i="46"/>
  <c r="BG158" i="46"/>
  <c r="BH158" i="46"/>
  <c r="BT158" i="46" s="1"/>
  <c r="BS158" i="46"/>
  <c r="BR158" i="46"/>
  <c r="BJ158" i="46"/>
  <c r="BL158" i="46" s="1"/>
  <c r="BM158" i="46" s="1"/>
  <c r="R209" i="46"/>
  <c r="AD209" i="46" s="1"/>
  <c r="Q209" i="46"/>
  <c r="AC209" i="46"/>
  <c r="T209" i="46"/>
  <c r="AB209" i="46"/>
  <c r="O209" i="46"/>
  <c r="P209" i="46" s="1"/>
  <c r="BD112" i="46"/>
  <c r="BD125" i="46"/>
  <c r="AW202" i="46"/>
  <c r="AL202" i="46"/>
  <c r="AM202" i="46"/>
  <c r="AY202" i="46" s="1"/>
  <c r="AO202" i="46"/>
  <c r="AJ202" i="46"/>
  <c r="AK202" i="46" s="1"/>
  <c r="AX202" i="46"/>
  <c r="CE332" i="46"/>
  <c r="CB332" i="46"/>
  <c r="CC332" i="46"/>
  <c r="CO332" i="46" s="1"/>
  <c r="CN332" i="46"/>
  <c r="BZ332" i="46"/>
  <c r="CA332" i="46" s="1"/>
  <c r="CM332" i="46"/>
  <c r="CE217" i="46"/>
  <c r="CB217" i="46"/>
  <c r="CN217" i="46"/>
  <c r="CC217" i="46"/>
  <c r="CO217" i="46" s="1"/>
  <c r="BZ217" i="46"/>
  <c r="CA217" i="46" s="1"/>
  <c r="CM217" i="46"/>
  <c r="CB306" i="46"/>
  <c r="CN306" i="46"/>
  <c r="BZ306" i="46"/>
  <c r="CA306" i="46" s="1"/>
  <c r="CM306" i="46"/>
  <c r="CC306" i="46"/>
  <c r="CO306" i="46" s="1"/>
  <c r="CE306" i="46"/>
  <c r="BD236" i="46"/>
  <c r="CM293" i="46"/>
  <c r="CB293" i="46"/>
  <c r="CE293" i="46"/>
  <c r="CN293" i="46"/>
  <c r="CC293" i="46"/>
  <c r="CO293" i="46" s="1"/>
  <c r="BZ293" i="46"/>
  <c r="CA293" i="46" s="1"/>
  <c r="BR103" i="46"/>
  <c r="BJ103" i="46"/>
  <c r="BL103" i="46" s="1"/>
  <c r="BM103" i="46" s="1"/>
  <c r="BH103" i="46"/>
  <c r="BT103" i="46" s="1"/>
  <c r="BG103" i="46"/>
  <c r="BS103" i="46"/>
  <c r="BD280" i="46"/>
  <c r="CN61" i="46"/>
  <c r="CC61" i="46"/>
  <c r="CO61" i="46" s="1"/>
  <c r="CE61" i="46"/>
  <c r="CM61" i="46"/>
  <c r="CB61" i="46"/>
  <c r="BZ61" i="46"/>
  <c r="CA61" i="46" s="1"/>
  <c r="BZ40" i="46"/>
  <c r="CA40" i="46" s="1"/>
  <c r="CB40" i="46"/>
  <c r="CM40" i="46"/>
  <c r="CE40" i="46"/>
  <c r="CN40" i="46"/>
  <c r="CC40" i="46"/>
  <c r="CO40" i="46" s="1"/>
  <c r="BY291" i="46"/>
  <c r="BD347" i="46"/>
  <c r="AL259" i="46"/>
  <c r="AW259" i="46"/>
  <c r="AM259" i="46"/>
  <c r="AY259" i="46" s="1"/>
  <c r="AX259" i="46"/>
  <c r="AJ259" i="46"/>
  <c r="AK259" i="46" s="1"/>
  <c r="AO259" i="46"/>
  <c r="AC64" i="46"/>
  <c r="Q64" i="46"/>
  <c r="AB64" i="46"/>
  <c r="T64" i="46"/>
  <c r="O64" i="46"/>
  <c r="P64" i="46" s="1"/>
  <c r="R64" i="46"/>
  <c r="AD64" i="46" s="1"/>
  <c r="BH19" i="46"/>
  <c r="BT19" i="46" s="1"/>
  <c r="BJ19" i="46"/>
  <c r="BL19" i="46" s="1"/>
  <c r="BM19" i="46" s="1"/>
  <c r="BS19" i="46"/>
  <c r="BG19" i="46"/>
  <c r="BR19" i="46"/>
  <c r="BD278" i="46"/>
  <c r="T129" i="46"/>
  <c r="O129" i="46"/>
  <c r="P129" i="46" s="1"/>
  <c r="AB129" i="46"/>
  <c r="R129" i="46"/>
  <c r="AD129" i="46" s="1"/>
  <c r="Q129" i="46"/>
  <c r="AC129" i="46"/>
  <c r="AW55" i="46"/>
  <c r="AL55" i="46"/>
  <c r="AX55" i="46"/>
  <c r="AM55" i="46"/>
  <c r="AY55" i="46" s="1"/>
  <c r="AO55" i="46"/>
  <c r="AJ55" i="46"/>
  <c r="AK55" i="46" s="1"/>
  <c r="AJ85" i="46"/>
  <c r="AK85" i="46" s="1"/>
  <c r="AM85" i="46"/>
  <c r="AY85" i="46" s="1"/>
  <c r="AL85" i="46"/>
  <c r="AO85" i="46"/>
  <c r="AW85" i="46"/>
  <c r="AX85" i="46"/>
  <c r="Q175" i="46"/>
  <c r="R175" i="46"/>
  <c r="AD175" i="46" s="1"/>
  <c r="AB175" i="46"/>
  <c r="O175" i="46"/>
  <c r="P175" i="46" s="1"/>
  <c r="AC175" i="46"/>
  <c r="T175" i="46"/>
  <c r="BY273" i="46"/>
  <c r="BR88" i="46"/>
  <c r="BS88" i="46"/>
  <c r="BJ88" i="46"/>
  <c r="BL88" i="46" s="1"/>
  <c r="BM88" i="46" s="1"/>
  <c r="BH88" i="46"/>
  <c r="BT88" i="46" s="1"/>
  <c r="BG88" i="46"/>
  <c r="AM57" i="46"/>
  <c r="AY57" i="46" s="1"/>
  <c r="AJ57" i="46"/>
  <c r="AK57" i="46" s="1"/>
  <c r="AW57" i="46"/>
  <c r="AL57" i="46"/>
  <c r="AO57" i="46"/>
  <c r="AX57" i="46"/>
  <c r="Q54" i="46"/>
  <c r="AB54" i="46"/>
  <c r="R54" i="46"/>
  <c r="AD54" i="46" s="1"/>
  <c r="O54" i="46"/>
  <c r="P54" i="46" s="1"/>
  <c r="AC54" i="46"/>
  <c r="T54" i="46"/>
  <c r="T96" i="46"/>
  <c r="O96" i="46"/>
  <c r="P96" i="46" s="1"/>
  <c r="AC96" i="46"/>
  <c r="R96" i="46"/>
  <c r="AD96" i="46" s="1"/>
  <c r="AB96" i="46"/>
  <c r="Q96" i="46"/>
  <c r="AW90" i="46"/>
  <c r="AX90" i="46"/>
  <c r="AJ90" i="46"/>
  <c r="AK90" i="46" s="1"/>
  <c r="AM90" i="46"/>
  <c r="AY90" i="46" s="1"/>
  <c r="AL90" i="46"/>
  <c r="AO90" i="46"/>
  <c r="AX258" i="46"/>
  <c r="AO258" i="46"/>
  <c r="AM258" i="46"/>
  <c r="AY258" i="46" s="1"/>
  <c r="AJ258" i="46"/>
  <c r="AK258" i="46" s="1"/>
  <c r="AL258" i="46"/>
  <c r="AW258" i="46"/>
  <c r="AB41" i="46"/>
  <c r="Q41" i="46"/>
  <c r="AC41" i="46"/>
  <c r="T41" i="46"/>
  <c r="R41" i="46"/>
  <c r="AD41" i="46" s="1"/>
  <c r="O41" i="46"/>
  <c r="P41" i="46" s="1"/>
  <c r="CE189" i="46"/>
  <c r="CC189" i="46"/>
  <c r="CO189" i="46" s="1"/>
  <c r="CB189" i="46"/>
  <c r="CN189" i="46"/>
  <c r="BZ189" i="46"/>
  <c r="CA189" i="46" s="1"/>
  <c r="CM189" i="46"/>
  <c r="R117" i="46"/>
  <c r="AD117" i="46" s="1"/>
  <c r="Q117" i="46"/>
  <c r="T117" i="46"/>
  <c r="AC117" i="46"/>
  <c r="AB117" i="46"/>
  <c r="O117" i="46"/>
  <c r="P117" i="46" s="1"/>
  <c r="AW14" i="46"/>
  <c r="AO14" i="46"/>
  <c r="AX14" i="46"/>
  <c r="AM14" i="46"/>
  <c r="AY14" i="46" s="1"/>
  <c r="AJ14" i="46"/>
  <c r="AK14" i="46" s="1"/>
  <c r="AL14" i="46"/>
  <c r="O214" i="46"/>
  <c r="P214" i="46" s="1"/>
  <c r="T214" i="46"/>
  <c r="AC214" i="46"/>
  <c r="R214" i="46"/>
  <c r="AD214" i="46" s="1"/>
  <c r="Q214" i="46"/>
  <c r="AB214" i="46"/>
  <c r="BZ175" i="46"/>
  <c r="CA175" i="46" s="1"/>
  <c r="CN175" i="46"/>
  <c r="CC175" i="46"/>
  <c r="CO175" i="46" s="1"/>
  <c r="CB175" i="46"/>
  <c r="CM175" i="46"/>
  <c r="CE175" i="46"/>
  <c r="BJ234" i="46"/>
  <c r="BL234" i="46" s="1"/>
  <c r="BM234" i="46" s="1"/>
  <c r="BS234" i="46"/>
  <c r="BH234" i="46"/>
  <c r="BT234" i="46" s="1"/>
  <c r="BG234" i="46"/>
  <c r="BR234" i="46"/>
  <c r="AC51" i="46"/>
  <c r="T51" i="46"/>
  <c r="AB51" i="46"/>
  <c r="O51" i="46"/>
  <c r="P51" i="46" s="1"/>
  <c r="R51" i="46"/>
  <c r="AD51" i="46" s="1"/>
  <c r="Q51" i="46"/>
  <c r="CM235" i="46"/>
  <c r="CE235" i="46"/>
  <c r="BZ235" i="46"/>
  <c r="CA235" i="46" s="1"/>
  <c r="CN235" i="46"/>
  <c r="CB235" i="46"/>
  <c r="CC235" i="46"/>
  <c r="CO235" i="46" s="1"/>
  <c r="AO111" i="46"/>
  <c r="AJ111" i="46"/>
  <c r="AK111" i="46" s="1"/>
  <c r="AL111" i="46"/>
  <c r="AW111" i="46"/>
  <c r="AM111" i="46"/>
  <c r="AY111" i="46" s="1"/>
  <c r="AX111" i="46"/>
  <c r="BS145" i="46"/>
  <c r="BH145" i="46"/>
  <c r="BT145" i="46" s="1"/>
  <c r="BG145" i="46"/>
  <c r="BJ145" i="46"/>
  <c r="BL145" i="46" s="1"/>
  <c r="BM145" i="46" s="1"/>
  <c r="BR145" i="46"/>
  <c r="BD320" i="46"/>
  <c r="O24" i="46"/>
  <c r="P24" i="46" s="1"/>
  <c r="T24" i="46"/>
  <c r="AC24" i="46"/>
  <c r="R24" i="46"/>
  <c r="AD24" i="46" s="1"/>
  <c r="AB24" i="46"/>
  <c r="Q24" i="46"/>
  <c r="CN14" i="46"/>
  <c r="CM14" i="46"/>
  <c r="BZ14" i="46"/>
  <c r="CA14" i="46" s="1"/>
  <c r="CB14" i="46"/>
  <c r="CE14" i="46"/>
  <c r="CC14" i="46"/>
  <c r="CO14" i="46" s="1"/>
  <c r="BD214" i="46"/>
  <c r="BH328" i="46"/>
  <c r="BT328" i="46" s="1"/>
  <c r="BR328" i="46"/>
  <c r="BS328" i="46"/>
  <c r="BG328" i="46"/>
  <c r="BJ328" i="46"/>
  <c r="BL328" i="46" s="1"/>
  <c r="BM328" i="46" s="1"/>
  <c r="CM120" i="46"/>
  <c r="CC120" i="46"/>
  <c r="CO120" i="46" s="1"/>
  <c r="CB120" i="46"/>
  <c r="CN120" i="46"/>
  <c r="CE120" i="46"/>
  <c r="BZ120" i="46"/>
  <c r="CA120" i="46" s="1"/>
  <c r="AL216" i="46"/>
  <c r="AW216" i="46"/>
  <c r="AX216" i="46"/>
  <c r="AJ216" i="46"/>
  <c r="AK216" i="46" s="1"/>
  <c r="AO216" i="46"/>
  <c r="AM216" i="46"/>
  <c r="AY216" i="46" s="1"/>
  <c r="BS319" i="46"/>
  <c r="BH319" i="46"/>
  <c r="BT319" i="46" s="1"/>
  <c r="BG319" i="46"/>
  <c r="BJ319" i="46"/>
  <c r="BL319" i="46" s="1"/>
  <c r="BM319" i="46" s="1"/>
  <c r="BR319" i="46"/>
  <c r="BZ180" i="46"/>
  <c r="CA180" i="46" s="1"/>
  <c r="CN180" i="46"/>
  <c r="CB180" i="46"/>
  <c r="CC180" i="46"/>
  <c r="CO180" i="46" s="1"/>
  <c r="CE180" i="46"/>
  <c r="CM180" i="46"/>
  <c r="CC113" i="46"/>
  <c r="CO113" i="46" s="1"/>
  <c r="CB113" i="46"/>
  <c r="CN113" i="46"/>
  <c r="CE113" i="46"/>
  <c r="BZ113" i="46"/>
  <c r="CA113" i="46" s="1"/>
  <c r="CM113" i="46"/>
  <c r="Q303" i="46"/>
  <c r="AC303" i="46"/>
  <c r="R303" i="46"/>
  <c r="AD303" i="46" s="1"/>
  <c r="O303" i="46"/>
  <c r="P303" i="46" s="1"/>
  <c r="AB303" i="46"/>
  <c r="T303" i="46"/>
  <c r="BY124" i="46"/>
  <c r="BD346" i="46"/>
  <c r="AI237" i="46"/>
  <c r="CE158" i="46"/>
  <c r="CC158" i="46"/>
  <c r="CO158" i="46" s="1"/>
  <c r="CN158" i="46"/>
  <c r="CM158" i="46"/>
  <c r="BZ158" i="46"/>
  <c r="CA158" i="46" s="1"/>
  <c r="CB158" i="46"/>
  <c r="AL205" i="46"/>
  <c r="AJ205" i="46"/>
  <c r="AK205" i="46" s="1"/>
  <c r="AO205" i="46"/>
  <c r="AX205" i="46"/>
  <c r="AW205" i="46"/>
  <c r="AM205" i="46"/>
  <c r="AY205" i="46" s="1"/>
  <c r="BZ121" i="46"/>
  <c r="CA121" i="46" s="1"/>
  <c r="CM121" i="46"/>
  <c r="CE121" i="46"/>
  <c r="CB121" i="46"/>
  <c r="CN121" i="46"/>
  <c r="CC121" i="46"/>
  <c r="CO121" i="46" s="1"/>
  <c r="T323" i="46"/>
  <c r="O323" i="46"/>
  <c r="P323" i="46" s="1"/>
  <c r="AC323" i="46"/>
  <c r="AB323" i="46"/>
  <c r="Q323" i="46"/>
  <c r="R323" i="46"/>
  <c r="AD323" i="46" s="1"/>
  <c r="AI20" i="46"/>
  <c r="BD331" i="46"/>
  <c r="O241" i="46"/>
  <c r="P241" i="46" s="1"/>
  <c r="T241" i="46"/>
  <c r="Q241" i="46"/>
  <c r="AC241" i="46"/>
  <c r="R241" i="46"/>
  <c r="AD241" i="46" s="1"/>
  <c r="AB241" i="46"/>
  <c r="CB267" i="46"/>
  <c r="CN267" i="46"/>
  <c r="BZ267" i="46"/>
  <c r="CA267" i="46" s="1"/>
  <c r="CM267" i="46"/>
  <c r="CE267" i="46"/>
  <c r="CC267" i="46"/>
  <c r="CO267" i="46" s="1"/>
  <c r="BH188" i="46"/>
  <c r="BT188" i="46" s="1"/>
  <c r="BS188" i="46"/>
  <c r="BJ188" i="46"/>
  <c r="BL188" i="46" s="1"/>
  <c r="BM188" i="46" s="1"/>
  <c r="BR188" i="46"/>
  <c r="BG188" i="46"/>
  <c r="AL204" i="46"/>
  <c r="AW204" i="46"/>
  <c r="AX204" i="46"/>
  <c r="AM204" i="46"/>
  <c r="AY204" i="46" s="1"/>
  <c r="AJ204" i="46"/>
  <c r="AK204" i="46" s="1"/>
  <c r="AO204" i="46"/>
  <c r="AB267" i="46"/>
  <c r="AC267" i="46"/>
  <c r="T267" i="46"/>
  <c r="R267" i="46"/>
  <c r="AD267" i="46" s="1"/>
  <c r="Q267" i="46"/>
  <c r="O267" i="46"/>
  <c r="P267" i="46" s="1"/>
  <c r="BD340" i="46"/>
  <c r="T140" i="46"/>
  <c r="Q140" i="46"/>
  <c r="O140" i="46"/>
  <c r="P140" i="46" s="1"/>
  <c r="AC140" i="46"/>
  <c r="R140" i="46"/>
  <c r="AD140" i="46" s="1"/>
  <c r="AB140" i="46"/>
  <c r="BD279" i="46"/>
  <c r="BJ115" i="46"/>
  <c r="BL115" i="46" s="1"/>
  <c r="BM115" i="46" s="1"/>
  <c r="BS115" i="46"/>
  <c r="BH115" i="46"/>
  <c r="BT115" i="46" s="1"/>
  <c r="BG115" i="46"/>
  <c r="BR115" i="46"/>
  <c r="BD164" i="46"/>
  <c r="O133" i="46"/>
  <c r="P133" i="46" s="1"/>
  <c r="Q133" i="46"/>
  <c r="AB133" i="46"/>
  <c r="R133" i="46"/>
  <c r="AD133" i="46" s="1"/>
  <c r="AC133" i="46"/>
  <c r="T133" i="46"/>
  <c r="CC334" i="46"/>
  <c r="CO334" i="46" s="1"/>
  <c r="CE334" i="46"/>
  <c r="CB334" i="46"/>
  <c r="CM334" i="46"/>
  <c r="CN334" i="46"/>
  <c r="BZ334" i="46"/>
  <c r="CA334" i="46" s="1"/>
  <c r="AJ297" i="46"/>
  <c r="AK297" i="46" s="1"/>
  <c r="AW297" i="46"/>
  <c r="AX297" i="46"/>
  <c r="AM297" i="46"/>
  <c r="AY297" i="46" s="1"/>
  <c r="AL297" i="46"/>
  <c r="AO297" i="46"/>
  <c r="CM281" i="46"/>
  <c r="CN281" i="46"/>
  <c r="BZ281" i="46"/>
  <c r="CA281" i="46" s="1"/>
  <c r="CB281" i="46"/>
  <c r="CE281" i="46"/>
  <c r="CC281" i="46"/>
  <c r="CO281" i="46" s="1"/>
  <c r="AL68" i="46"/>
  <c r="AW68" i="46"/>
  <c r="AM68" i="46"/>
  <c r="AY68" i="46" s="1"/>
  <c r="AX68" i="46"/>
  <c r="AO68" i="46"/>
  <c r="AJ68" i="46"/>
  <c r="AK68" i="46" s="1"/>
  <c r="BY13" i="46"/>
  <c r="AO116" i="46"/>
  <c r="AL116" i="46"/>
  <c r="AW116" i="46"/>
  <c r="AJ116" i="46"/>
  <c r="AK116" i="46" s="1"/>
  <c r="AX116" i="46"/>
  <c r="AM116" i="46"/>
  <c r="AY116" i="46" s="1"/>
  <c r="AO99" i="46"/>
  <c r="AW99" i="46"/>
  <c r="AJ99" i="46"/>
  <c r="AK99" i="46" s="1"/>
  <c r="AX99" i="46"/>
  <c r="AM99" i="46"/>
  <c r="AY99" i="46" s="1"/>
  <c r="AL99" i="46"/>
  <c r="BR260" i="46"/>
  <c r="BG260" i="46"/>
  <c r="BJ260" i="46"/>
  <c r="BL260" i="46" s="1"/>
  <c r="BM260" i="46" s="1"/>
  <c r="BS260" i="46"/>
  <c r="BH260" i="46"/>
  <c r="BT260" i="46" s="1"/>
  <c r="Q259" i="46"/>
  <c r="T259" i="46"/>
  <c r="R259" i="46"/>
  <c r="AD259" i="46" s="1"/>
  <c r="AC259" i="46"/>
  <c r="AB259" i="46"/>
  <c r="O259" i="46"/>
  <c r="P259" i="46" s="1"/>
  <c r="AB270" i="46"/>
  <c r="T270" i="46"/>
  <c r="AC270" i="46"/>
  <c r="O270" i="46"/>
  <c r="P270" i="46" s="1"/>
  <c r="Q270" i="46"/>
  <c r="R270" i="46"/>
  <c r="AD270" i="46" s="1"/>
  <c r="AW320" i="46"/>
  <c r="AL320" i="46"/>
  <c r="AO320" i="46"/>
  <c r="AJ320" i="46"/>
  <c r="AK320" i="46" s="1"/>
  <c r="AX320" i="46"/>
  <c r="AM320" i="46"/>
  <c r="AY320" i="46" s="1"/>
  <c r="CM309" i="46"/>
  <c r="CB309" i="46"/>
  <c r="BZ309" i="46"/>
  <c r="CA309" i="46" s="1"/>
  <c r="CN309" i="46"/>
  <c r="CC309" i="46"/>
  <c r="CO309" i="46" s="1"/>
  <c r="CE309" i="46"/>
  <c r="BH193" i="46"/>
  <c r="BT193" i="46" s="1"/>
  <c r="BJ193" i="46"/>
  <c r="BL193" i="46" s="1"/>
  <c r="BM193" i="46" s="1"/>
  <c r="BG193" i="46"/>
  <c r="BR193" i="46"/>
  <c r="BS193" i="46"/>
  <c r="HT54" i="39"/>
  <c r="HD54" i="39"/>
  <c r="HG54" i="39"/>
  <c r="HL54" i="39"/>
  <c r="HS54" i="39"/>
  <c r="BH134" i="46"/>
  <c r="BT134" i="46" s="1"/>
  <c r="BR134" i="46"/>
  <c r="BG134" i="46"/>
  <c r="BJ134" i="46"/>
  <c r="BL134" i="46" s="1"/>
  <c r="BM134" i="46" s="1"/>
  <c r="BS134" i="46"/>
  <c r="CN311" i="46"/>
  <c r="CC311" i="46"/>
  <c r="CO311" i="46" s="1"/>
  <c r="CB311" i="46"/>
  <c r="BZ311" i="46"/>
  <c r="CA311" i="46" s="1"/>
  <c r="CM311" i="46"/>
  <c r="CE311" i="46"/>
  <c r="BS253" i="46"/>
  <c r="BH253" i="46"/>
  <c r="BT253" i="46" s="1"/>
  <c r="BG253" i="46"/>
  <c r="BJ253" i="46"/>
  <c r="BL253" i="46" s="1"/>
  <c r="BM253" i="46" s="1"/>
  <c r="BR253" i="46"/>
  <c r="AO220" i="46"/>
  <c r="AJ220" i="46"/>
  <c r="AK220" i="46" s="1"/>
  <c r="AX220" i="46"/>
  <c r="AW220" i="46"/>
  <c r="AM220" i="46"/>
  <c r="AY220" i="46" s="1"/>
  <c r="AL220" i="46"/>
  <c r="CB72" i="46"/>
  <c r="CC72" i="46"/>
  <c r="CO72" i="46" s="1"/>
  <c r="CE72" i="46"/>
  <c r="CN72" i="46"/>
  <c r="BZ72" i="46"/>
  <c r="CA72" i="46" s="1"/>
  <c r="CM72" i="46"/>
  <c r="CE310" i="46"/>
  <c r="CB310" i="46"/>
  <c r="CM310" i="46"/>
  <c r="BZ310" i="46"/>
  <c r="CA310" i="46" s="1"/>
  <c r="CN310" i="46"/>
  <c r="CC310" i="46"/>
  <c r="CO310" i="46" s="1"/>
  <c r="AX292" i="46"/>
  <c r="AL292" i="46"/>
  <c r="AJ292" i="46"/>
  <c r="AK292" i="46" s="1"/>
  <c r="AW292" i="46"/>
  <c r="AO292" i="46"/>
  <c r="AM292" i="46"/>
  <c r="AY292" i="46" s="1"/>
  <c r="BG56" i="46"/>
  <c r="BR56" i="46"/>
  <c r="BJ56" i="46"/>
  <c r="BL56" i="46" s="1"/>
  <c r="BM56" i="46" s="1"/>
  <c r="BH56" i="46"/>
  <c r="BT56" i="46" s="1"/>
  <c r="BS56" i="46"/>
  <c r="CC71" i="46"/>
  <c r="CO71" i="46" s="1"/>
  <c r="CE71" i="46"/>
  <c r="CM71" i="46"/>
  <c r="CN71" i="46"/>
  <c r="CB71" i="46"/>
  <c r="BZ71" i="46"/>
  <c r="CA71" i="46" s="1"/>
  <c r="BG25" i="46"/>
  <c r="BH25" i="46"/>
  <c r="BT25" i="46" s="1"/>
  <c r="BJ25" i="46"/>
  <c r="BL25" i="46" s="1"/>
  <c r="BM25" i="46" s="1"/>
  <c r="BS25" i="46"/>
  <c r="BR25" i="46"/>
  <c r="BD144" i="46"/>
  <c r="AL214" i="46"/>
  <c r="AX214" i="46"/>
  <c r="AW214" i="46"/>
  <c r="AJ214" i="46"/>
  <c r="AK214" i="46" s="1"/>
  <c r="AO214" i="46"/>
  <c r="AM214" i="46"/>
  <c r="AY214" i="46" s="1"/>
  <c r="BD14" i="46"/>
  <c r="BD289" i="46"/>
  <c r="AX42" i="46"/>
  <c r="AW42" i="46"/>
  <c r="AJ42" i="46"/>
  <c r="AK42" i="46" s="1"/>
  <c r="AL42" i="46"/>
  <c r="AO42" i="46"/>
  <c r="AM42" i="46"/>
  <c r="AY42" i="46" s="1"/>
  <c r="AJ194" i="46"/>
  <c r="AK194" i="46" s="1"/>
  <c r="AX194" i="46"/>
  <c r="AM194" i="46"/>
  <c r="AY194" i="46" s="1"/>
  <c r="AL194" i="46"/>
  <c r="AW194" i="46"/>
  <c r="AO194" i="46"/>
  <c r="AM271" i="46"/>
  <c r="AY271" i="46" s="1"/>
  <c r="AL271" i="46"/>
  <c r="AO271" i="46"/>
  <c r="AW271" i="46"/>
  <c r="AX271" i="46"/>
  <c r="AJ271" i="46"/>
  <c r="AK271" i="46" s="1"/>
  <c r="AL31" i="46"/>
  <c r="AJ31" i="46"/>
  <c r="AK31" i="46" s="1"/>
  <c r="AM31" i="46"/>
  <c r="AY31" i="46" s="1"/>
  <c r="AO31" i="46"/>
  <c r="AW31" i="46"/>
  <c r="AX31" i="46"/>
  <c r="AJ119" i="46"/>
  <c r="AK119" i="46" s="1"/>
  <c r="AM119" i="46"/>
  <c r="AY119" i="46" s="1"/>
  <c r="AW119" i="46"/>
  <c r="AL119" i="46"/>
  <c r="AO119" i="46"/>
  <c r="AX119" i="46"/>
  <c r="AM109" i="46"/>
  <c r="AY109" i="46" s="1"/>
  <c r="AL109" i="46"/>
  <c r="AW109" i="46"/>
  <c r="AJ109" i="46"/>
  <c r="AK109" i="46" s="1"/>
  <c r="AX109" i="46"/>
  <c r="AO109" i="46"/>
  <c r="AC258" i="46"/>
  <c r="Q258" i="46"/>
  <c r="R258" i="46"/>
  <c r="AD258" i="46" s="1"/>
  <c r="T258" i="46"/>
  <c r="O258" i="46"/>
  <c r="P258" i="46" s="1"/>
  <c r="AB258" i="46"/>
  <c r="BR238" i="46"/>
  <c r="BH238" i="46"/>
  <c r="BT238" i="46" s="1"/>
  <c r="BS238" i="46"/>
  <c r="BG238" i="46"/>
  <c r="BJ238" i="46"/>
  <c r="BL238" i="46" s="1"/>
  <c r="BM238" i="46" s="1"/>
  <c r="BG108" i="46"/>
  <c r="BJ108" i="46"/>
  <c r="BL108" i="46" s="1"/>
  <c r="BM108" i="46" s="1"/>
  <c r="BS108" i="46"/>
  <c r="BH108" i="46"/>
  <c r="BT108" i="46" s="1"/>
  <c r="BR108" i="46"/>
  <c r="Q168" i="46"/>
  <c r="AC168" i="46"/>
  <c r="R168" i="46"/>
  <c r="AD168" i="46" s="1"/>
  <c r="T168" i="46"/>
  <c r="AB168" i="46"/>
  <c r="O168" i="46"/>
  <c r="P168" i="46" s="1"/>
  <c r="BD326" i="46"/>
  <c r="BY33" i="46"/>
  <c r="BD177" i="46"/>
  <c r="AC266" i="46"/>
  <c r="R266" i="46"/>
  <c r="AD266" i="46" s="1"/>
  <c r="Q266" i="46"/>
  <c r="AB266" i="46"/>
  <c r="T266" i="46"/>
  <c r="O266" i="46"/>
  <c r="P266" i="46" s="1"/>
  <c r="CN297" i="46"/>
  <c r="CB297" i="46"/>
  <c r="CE297" i="46"/>
  <c r="CM297" i="46"/>
  <c r="CC297" i="46"/>
  <c r="CO297" i="46" s="1"/>
  <c r="BZ297" i="46"/>
  <c r="CA297" i="46" s="1"/>
  <c r="AJ173" i="46"/>
  <c r="AK173" i="46" s="1"/>
  <c r="AX173" i="46"/>
  <c r="AO173" i="46"/>
  <c r="AM173" i="46"/>
  <c r="AY173" i="46" s="1"/>
  <c r="AW173" i="46"/>
  <c r="AL173" i="46"/>
  <c r="CB328" i="46"/>
  <c r="CE328" i="46"/>
  <c r="BZ328" i="46"/>
  <c r="CA328" i="46" s="1"/>
  <c r="CN328" i="46"/>
  <c r="CM328" i="46"/>
  <c r="CC328" i="46"/>
  <c r="CO328" i="46" s="1"/>
  <c r="BZ145" i="46"/>
  <c r="CA145" i="46" s="1"/>
  <c r="CC145" i="46"/>
  <c r="CO145" i="46" s="1"/>
  <c r="CB145" i="46"/>
  <c r="CM145" i="46"/>
  <c r="CE145" i="46"/>
  <c r="CN145" i="46"/>
  <c r="CB269" i="46"/>
  <c r="CN269" i="46"/>
  <c r="BZ269" i="46"/>
  <c r="CA269" i="46" s="1"/>
  <c r="CC269" i="46"/>
  <c r="CO269" i="46" s="1"/>
  <c r="CE269" i="46"/>
  <c r="CM269" i="46"/>
  <c r="BH146" i="46"/>
  <c r="BT146" i="46" s="1"/>
  <c r="BG146" i="46"/>
  <c r="BJ146" i="46"/>
  <c r="BL146" i="46" s="1"/>
  <c r="BM146" i="46" s="1"/>
  <c r="BR146" i="46"/>
  <c r="BS146" i="46"/>
  <c r="CM156" i="46"/>
  <c r="CB156" i="46"/>
  <c r="BZ156" i="46"/>
  <c r="CA156" i="46" s="1"/>
  <c r="CN156" i="46"/>
  <c r="CC156" i="46"/>
  <c r="CO156" i="46" s="1"/>
  <c r="CE156" i="46"/>
  <c r="BD297" i="46"/>
  <c r="BH150" i="46"/>
  <c r="BT150" i="46" s="1"/>
  <c r="BJ150" i="46"/>
  <c r="BL150" i="46" s="1"/>
  <c r="BM150" i="46" s="1"/>
  <c r="BR150" i="46"/>
  <c r="BS150" i="46"/>
  <c r="BG150" i="46"/>
  <c r="BS337" i="46"/>
  <c r="BH337" i="46"/>
  <c r="BT337" i="46" s="1"/>
  <c r="BR337" i="46"/>
  <c r="BG337" i="46"/>
  <c r="BJ337" i="46"/>
  <c r="BL337" i="46" s="1"/>
  <c r="BM337" i="46" s="1"/>
  <c r="AX48" i="46"/>
  <c r="AO48" i="46"/>
  <c r="AL48" i="46"/>
  <c r="AJ48" i="46"/>
  <c r="AK48" i="46" s="1"/>
  <c r="AW48" i="46"/>
  <c r="AM48" i="46"/>
  <c r="AY48" i="46" s="1"/>
  <c r="AC67" i="46"/>
  <c r="O67" i="46"/>
  <c r="P67" i="46" s="1"/>
  <c r="R67" i="46"/>
  <c r="AD67" i="46" s="1"/>
  <c r="Q67" i="46"/>
  <c r="AB67" i="46"/>
  <c r="T67" i="46"/>
  <c r="R204" i="46"/>
  <c r="AD204" i="46" s="1"/>
  <c r="Q204" i="46"/>
  <c r="O204" i="46"/>
  <c r="P204" i="46" s="1"/>
  <c r="T204" i="46"/>
  <c r="AB204" i="46"/>
  <c r="AC204" i="46"/>
  <c r="T287" i="46"/>
  <c r="R287" i="46"/>
  <c r="AD287" i="46" s="1"/>
  <c r="O287" i="46"/>
  <c r="P287" i="46" s="1"/>
  <c r="AC287" i="46"/>
  <c r="Q287" i="46"/>
  <c r="AB287" i="46"/>
  <c r="CB93" i="46"/>
  <c r="CM93" i="46"/>
  <c r="CE93" i="46"/>
  <c r="CC93" i="46"/>
  <c r="CO93" i="46" s="1"/>
  <c r="CN93" i="46"/>
  <c r="BZ93" i="46"/>
  <c r="CA93" i="46" s="1"/>
  <c r="CC170" i="46"/>
  <c r="CO170" i="46" s="1"/>
  <c r="CN170" i="46"/>
  <c r="BZ170" i="46"/>
  <c r="CA170" i="46" s="1"/>
  <c r="CE170" i="46"/>
  <c r="CM170" i="46"/>
  <c r="CB170" i="46"/>
  <c r="AO331" i="46"/>
  <c r="AM331" i="46"/>
  <c r="AY331" i="46" s="1"/>
  <c r="AW331" i="46"/>
  <c r="AL331" i="46"/>
  <c r="AX331" i="46"/>
  <c r="AJ331" i="46"/>
  <c r="AK331" i="46" s="1"/>
  <c r="Q220" i="46"/>
  <c r="O220" i="46"/>
  <c r="P220" i="46" s="1"/>
  <c r="AB220" i="46"/>
  <c r="AC220" i="46"/>
  <c r="T220" i="46"/>
  <c r="R220" i="46"/>
  <c r="AD220" i="46" s="1"/>
  <c r="AC180" i="46"/>
  <c r="O180" i="46"/>
  <c r="P180" i="46" s="1"/>
  <c r="R180" i="46"/>
  <c r="AD180" i="46" s="1"/>
  <c r="Q180" i="46"/>
  <c r="T180" i="46"/>
  <c r="AB180" i="46"/>
  <c r="T231" i="46"/>
  <c r="Q231" i="46"/>
  <c r="AB231" i="46"/>
  <c r="O231" i="46"/>
  <c r="P231" i="46" s="1"/>
  <c r="R231" i="46"/>
  <c r="AD231" i="46" s="1"/>
  <c r="AC231" i="46"/>
  <c r="CE292" i="46"/>
  <c r="BZ292" i="46"/>
  <c r="CA292" i="46" s="1"/>
  <c r="CB292" i="46"/>
  <c r="CN292" i="46"/>
  <c r="CC292" i="46"/>
  <c r="CO292" i="46" s="1"/>
  <c r="CM292" i="46"/>
  <c r="BJ315" i="46"/>
  <c r="BL315" i="46" s="1"/>
  <c r="BM315" i="46" s="1"/>
  <c r="BR315" i="46"/>
  <c r="BS315" i="46"/>
  <c r="BH315" i="46"/>
  <c r="BT315" i="46" s="1"/>
  <c r="BG315" i="46"/>
  <c r="BJ250" i="46"/>
  <c r="BL250" i="46" s="1"/>
  <c r="BM250" i="46" s="1"/>
  <c r="BG250" i="46"/>
  <c r="BR250" i="46"/>
  <c r="BS250" i="46"/>
  <c r="BH250" i="46"/>
  <c r="BT250" i="46" s="1"/>
  <c r="Q118" i="46"/>
  <c r="R118" i="46"/>
  <c r="AD118" i="46" s="1"/>
  <c r="T118" i="46"/>
  <c r="O118" i="46"/>
  <c r="P118" i="46" s="1"/>
  <c r="AC118" i="46"/>
  <c r="AB118" i="46"/>
  <c r="BG245" i="46"/>
  <c r="BJ245" i="46"/>
  <c r="BL245" i="46" s="1"/>
  <c r="BM245" i="46" s="1"/>
  <c r="BH245" i="46"/>
  <c r="BT245" i="46" s="1"/>
  <c r="BS245" i="46"/>
  <c r="BR245" i="46"/>
  <c r="AL54" i="55"/>
  <c r="AX54" i="55"/>
  <c r="BL54" i="55"/>
  <c r="BJ54" i="55"/>
  <c r="BM54" i="55"/>
  <c r="AC251" i="46"/>
  <c r="O251" i="46"/>
  <c r="P251" i="46" s="1"/>
  <c r="R251" i="46"/>
  <c r="AD251" i="46" s="1"/>
  <c r="Q251" i="46"/>
  <c r="AB251" i="46"/>
  <c r="T251" i="46"/>
  <c r="AM240" i="46"/>
  <c r="AY240" i="46" s="1"/>
  <c r="AW240" i="46"/>
  <c r="AL240" i="46"/>
  <c r="AX240" i="46"/>
  <c r="AJ240" i="46"/>
  <c r="AK240" i="46" s="1"/>
  <c r="AO240" i="46"/>
  <c r="AO347" i="46"/>
  <c r="AW347" i="46"/>
  <c r="AX347" i="46"/>
  <c r="AL347" i="46"/>
  <c r="AM347" i="46"/>
  <c r="AY347" i="46" s="1"/>
  <c r="AJ347" i="46"/>
  <c r="AK347" i="46" s="1"/>
  <c r="CB134" i="46"/>
  <c r="CN134" i="46"/>
  <c r="CM134" i="46"/>
  <c r="CE134" i="46"/>
  <c r="BZ134" i="46"/>
  <c r="CA134" i="46" s="1"/>
  <c r="CC134" i="46"/>
  <c r="CO134" i="46" s="1"/>
  <c r="AM253" i="46"/>
  <c r="AY253" i="46" s="1"/>
  <c r="AW253" i="46"/>
  <c r="AL253" i="46"/>
  <c r="AJ253" i="46"/>
  <c r="AK253" i="46" s="1"/>
  <c r="AO253" i="46"/>
  <c r="AX253" i="46"/>
  <c r="AC141" i="46"/>
  <c r="AB141" i="46"/>
  <c r="O141" i="46"/>
  <c r="P141" i="46" s="1"/>
  <c r="Q141" i="46"/>
  <c r="T141" i="46"/>
  <c r="R141" i="46"/>
  <c r="AD141" i="46" s="1"/>
  <c r="AW123" i="46"/>
  <c r="AO123" i="46"/>
  <c r="AX123" i="46"/>
  <c r="AJ123" i="46"/>
  <c r="AK123" i="46" s="1"/>
  <c r="AL123" i="46"/>
  <c r="AM123" i="46"/>
  <c r="AY123" i="46" s="1"/>
  <c r="AO118" i="46"/>
  <c r="AJ118" i="46"/>
  <c r="AK118" i="46" s="1"/>
  <c r="AW118" i="46"/>
  <c r="AL118" i="46"/>
  <c r="AM118" i="46"/>
  <c r="AY118" i="46" s="1"/>
  <c r="AX118" i="46"/>
  <c r="BJ33" i="46"/>
  <c r="BL33" i="46" s="1"/>
  <c r="BM33" i="46" s="1"/>
  <c r="BH33" i="46"/>
  <c r="BT33" i="46" s="1"/>
  <c r="BR33" i="46"/>
  <c r="BS33" i="46"/>
  <c r="BG33" i="46"/>
  <c r="CB294" i="46"/>
  <c r="CC294" i="46"/>
  <c r="CO294" i="46" s="1"/>
  <c r="BZ294" i="46"/>
  <c r="CA294" i="46" s="1"/>
  <c r="CE294" i="46"/>
  <c r="CN294" i="46"/>
  <c r="CM294" i="46"/>
  <c r="AC134" i="46"/>
  <c r="Q134" i="46"/>
  <c r="AB134" i="46"/>
  <c r="T134" i="46"/>
  <c r="R134" i="46"/>
  <c r="AD134" i="46" s="1"/>
  <c r="O134" i="46"/>
  <c r="P134" i="46" s="1"/>
  <c r="R60" i="46"/>
  <c r="AD60" i="46" s="1"/>
  <c r="Q60" i="46"/>
  <c r="AC60" i="46"/>
  <c r="T60" i="46"/>
  <c r="AB60" i="46"/>
  <c r="O60" i="46"/>
  <c r="P60" i="46" s="1"/>
  <c r="AI289" i="46"/>
  <c r="AM224" i="46"/>
  <c r="AY224" i="46" s="1"/>
  <c r="AX224" i="46"/>
  <c r="AL224" i="46"/>
  <c r="AO224" i="46"/>
  <c r="AJ224" i="46"/>
  <c r="AK224" i="46" s="1"/>
  <c r="AW224" i="46"/>
  <c r="BS185" i="46"/>
  <c r="BH185" i="46"/>
  <c r="BT185" i="46" s="1"/>
  <c r="BR185" i="46"/>
  <c r="BJ185" i="46"/>
  <c r="BL185" i="46" s="1"/>
  <c r="BM185" i="46" s="1"/>
  <c r="BG185" i="46"/>
  <c r="AO75" i="46"/>
  <c r="AL75" i="46"/>
  <c r="AJ75" i="46"/>
  <c r="AK75" i="46" s="1"/>
  <c r="AM75" i="46"/>
  <c r="AY75" i="46" s="1"/>
  <c r="AW75" i="46"/>
  <c r="AX75" i="46"/>
  <c r="CB35" i="46"/>
  <c r="CN35" i="46"/>
  <c r="CC35" i="46"/>
  <c r="CO35" i="46" s="1"/>
  <c r="CM35" i="46"/>
  <c r="BZ35" i="46"/>
  <c r="CA35" i="46" s="1"/>
  <c r="CE35" i="46"/>
  <c r="AW34" i="46"/>
  <c r="AX34" i="46"/>
  <c r="AM34" i="46"/>
  <c r="AY34" i="46" s="1"/>
  <c r="AO34" i="46"/>
  <c r="AJ34" i="46"/>
  <c r="AK34" i="46" s="1"/>
  <c r="AL34" i="46"/>
  <c r="CC336" i="46"/>
  <c r="CO336" i="46" s="1"/>
  <c r="CB336" i="46"/>
  <c r="BZ336" i="46"/>
  <c r="CA336" i="46" s="1"/>
  <c r="CN336" i="46"/>
  <c r="CM336" i="46"/>
  <c r="CE336" i="46"/>
  <c r="AM344" i="46"/>
  <c r="AY344" i="46" s="1"/>
  <c r="AO344" i="46"/>
  <c r="AX344" i="46"/>
  <c r="AL344" i="46"/>
  <c r="AW344" i="46"/>
  <c r="AJ344" i="46"/>
  <c r="AK344" i="46" s="1"/>
  <c r="HG54" i="37"/>
  <c r="HS54" i="37"/>
  <c r="HL54" i="37"/>
  <c r="HD54" i="37"/>
  <c r="HT54" i="37"/>
  <c r="HS54" i="38"/>
  <c r="HD54" i="38"/>
  <c r="HL54" i="38"/>
  <c r="HG54" i="38"/>
  <c r="HT54" i="38"/>
  <c r="BD49" i="46"/>
  <c r="BH257" i="46"/>
  <c r="BT257" i="46" s="1"/>
  <c r="BS257" i="46"/>
  <c r="BR257" i="46"/>
  <c r="BG257" i="46"/>
  <c r="BJ257" i="46"/>
  <c r="BL257" i="46" s="1"/>
  <c r="BM257" i="46" s="1"/>
  <c r="DD54" i="38"/>
  <c r="DR54" i="38"/>
  <c r="CR54" i="38"/>
  <c r="CS54" i="38" s="1"/>
  <c r="DP54" i="38"/>
  <c r="DS54" i="38"/>
  <c r="T228" i="46"/>
  <c r="R228" i="46"/>
  <c r="AD228" i="46" s="1"/>
  <c r="Q228" i="46"/>
  <c r="O228" i="46"/>
  <c r="P228" i="46" s="1"/>
  <c r="AC228" i="46"/>
  <c r="AB228" i="46"/>
  <c r="CE73" i="46"/>
  <c r="CC73" i="46"/>
  <c r="CO73" i="46" s="1"/>
  <c r="CB73" i="46"/>
  <c r="CM73" i="46"/>
  <c r="BZ73" i="46"/>
  <c r="CA73" i="46" s="1"/>
  <c r="CN73" i="46"/>
  <c r="AO113" i="46"/>
  <c r="AL113" i="46"/>
  <c r="AM113" i="46"/>
  <c r="AY113" i="46" s="1"/>
  <c r="AJ113" i="46"/>
  <c r="AK113" i="46" s="1"/>
  <c r="AW113" i="46"/>
  <c r="AX113" i="46"/>
  <c r="AW338" i="46"/>
  <c r="AM338" i="46"/>
  <c r="AY338" i="46" s="1"/>
  <c r="AL338" i="46"/>
  <c r="AX338" i="46"/>
  <c r="AJ338" i="46"/>
  <c r="AK338" i="46" s="1"/>
  <c r="AO338" i="46"/>
  <c r="CM171" i="46"/>
  <c r="CB171" i="46"/>
  <c r="CN171" i="46"/>
  <c r="CC171" i="46"/>
  <c r="CO171" i="46" s="1"/>
  <c r="CE171" i="46"/>
  <c r="BZ171" i="46"/>
  <c r="CA171" i="46" s="1"/>
  <c r="BJ54" i="37"/>
  <c r="AL54" i="37"/>
  <c r="BL54" i="37"/>
  <c r="AX54" i="37"/>
  <c r="BM54" i="37"/>
  <c r="BZ229" i="46"/>
  <c r="CA229" i="46" s="1"/>
  <c r="CN229" i="46"/>
  <c r="CM229" i="46"/>
  <c r="CC229" i="46"/>
  <c r="CO229" i="46" s="1"/>
  <c r="CE229" i="46"/>
  <c r="CB229" i="46"/>
  <c r="Q57" i="46"/>
  <c r="AB57" i="46"/>
  <c r="AC57" i="46"/>
  <c r="T57" i="46"/>
  <c r="O57" i="46"/>
  <c r="P57" i="46" s="1"/>
  <c r="R57" i="46"/>
  <c r="AD57" i="46" s="1"/>
  <c r="N237" i="46"/>
  <c r="AO145" i="46"/>
  <c r="AJ145" i="46"/>
  <c r="AK145" i="46" s="1"/>
  <c r="AL145" i="46"/>
  <c r="AM145" i="46"/>
  <c r="AY145" i="46" s="1"/>
  <c r="AW145" i="46"/>
  <c r="AX145" i="46"/>
  <c r="BY290" i="46"/>
  <c r="AJ29" i="46"/>
  <c r="AK29" i="46" s="1"/>
  <c r="AX29" i="46"/>
  <c r="AW29" i="46"/>
  <c r="AO29" i="46"/>
  <c r="AM29" i="46"/>
  <c r="AY29" i="46" s="1"/>
  <c r="AL29" i="46"/>
  <c r="AM36" i="46"/>
  <c r="AY36" i="46" s="1"/>
  <c r="AX36" i="46"/>
  <c r="AW36" i="46"/>
  <c r="AL36" i="46"/>
  <c r="AO36" i="46"/>
  <c r="AJ36" i="46"/>
  <c r="AK36" i="46" s="1"/>
  <c r="E42" i="39"/>
  <c r="J54" i="39" s="1"/>
  <c r="G36" i="39"/>
  <c r="E43" i="39"/>
  <c r="K54" i="39" s="1"/>
  <c r="E36" i="39"/>
  <c r="BY211" i="46"/>
  <c r="CE262" i="46"/>
  <c r="CC262" i="46"/>
  <c r="CO262" i="46" s="1"/>
  <c r="CN262" i="46"/>
  <c r="BZ262" i="46"/>
  <c r="CA262" i="46" s="1"/>
  <c r="CB262" i="46"/>
  <c r="CM262" i="46"/>
  <c r="CC182" i="46"/>
  <c r="CO182" i="46" s="1"/>
  <c r="CE182" i="46"/>
  <c r="CN182" i="46"/>
  <c r="CM182" i="46"/>
  <c r="CB182" i="46"/>
  <c r="BZ182" i="46"/>
  <c r="CA182" i="46" s="1"/>
  <c r="R193" i="46"/>
  <c r="AD193" i="46" s="1"/>
  <c r="AB193" i="46"/>
  <c r="T193" i="46"/>
  <c r="Q193" i="46"/>
  <c r="AC193" i="46"/>
  <c r="O193" i="46"/>
  <c r="P193" i="46" s="1"/>
  <c r="T277" i="46"/>
  <c r="O277" i="46"/>
  <c r="P277" i="46" s="1"/>
  <c r="AC277" i="46"/>
  <c r="Q277" i="46"/>
  <c r="AB277" i="46"/>
  <c r="R277" i="46"/>
  <c r="AD277" i="46" s="1"/>
  <c r="BD38" i="46"/>
  <c r="BD136" i="46"/>
  <c r="AW143" i="46"/>
  <c r="AM143" i="46"/>
  <c r="AY143" i="46" s="1"/>
  <c r="AX143" i="46"/>
  <c r="AJ143" i="46"/>
  <c r="AK143" i="46" s="1"/>
  <c r="AO143" i="46"/>
  <c r="AL143" i="46"/>
  <c r="AX280" i="46"/>
  <c r="AM280" i="46"/>
  <c r="AY280" i="46" s="1"/>
  <c r="AL280" i="46"/>
  <c r="AW280" i="46"/>
  <c r="AJ280" i="46"/>
  <c r="AK280" i="46" s="1"/>
  <c r="AO280" i="46"/>
  <c r="O229" i="46"/>
  <c r="P229" i="46" s="1"/>
  <c r="AB229" i="46"/>
  <c r="AC229" i="46"/>
  <c r="R229" i="46"/>
  <c r="AD229" i="46" s="1"/>
  <c r="T229" i="46"/>
  <c r="Q229" i="46"/>
  <c r="CM25" i="46"/>
  <c r="CB25" i="46"/>
  <c r="CE25" i="46"/>
  <c r="CC25" i="46"/>
  <c r="CO25" i="46" s="1"/>
  <c r="CN25" i="46"/>
  <c r="BZ25" i="46"/>
  <c r="CA25" i="46" s="1"/>
  <c r="AO27" i="46"/>
  <c r="AL27" i="46"/>
  <c r="AX27" i="46"/>
  <c r="AJ27" i="46"/>
  <c r="AK27" i="46" s="1"/>
  <c r="AM27" i="46"/>
  <c r="AY27" i="46" s="1"/>
  <c r="AW27" i="46"/>
  <c r="AL303" i="46"/>
  <c r="AO303" i="46"/>
  <c r="AW303" i="46"/>
  <c r="AX303" i="46"/>
  <c r="AM303" i="46"/>
  <c r="AY303" i="46" s="1"/>
  <c r="AJ303" i="46"/>
  <c r="AK303" i="46" s="1"/>
  <c r="AM246" i="46"/>
  <c r="AY246" i="46" s="1"/>
  <c r="AX246" i="46"/>
  <c r="AJ246" i="46"/>
  <c r="AK246" i="46" s="1"/>
  <c r="AO246" i="46"/>
  <c r="AW246" i="46"/>
  <c r="AL246" i="46"/>
  <c r="BS237" i="46"/>
  <c r="BH237" i="46"/>
  <c r="BT237" i="46" s="1"/>
  <c r="BG237" i="46"/>
  <c r="BJ237" i="46"/>
  <c r="BL237" i="46" s="1"/>
  <c r="BM237" i="46" s="1"/>
  <c r="BR237" i="46"/>
  <c r="AB252" i="46"/>
  <c r="Q252" i="46"/>
  <c r="T252" i="46"/>
  <c r="R252" i="46"/>
  <c r="AD252" i="46" s="1"/>
  <c r="AC252" i="46"/>
  <c r="O252" i="46"/>
  <c r="P252" i="46" s="1"/>
  <c r="AW315" i="46"/>
  <c r="AJ315" i="46"/>
  <c r="AK315" i="46" s="1"/>
  <c r="AM315" i="46"/>
  <c r="AY315" i="46" s="1"/>
  <c r="AL315" i="46"/>
  <c r="AX315" i="46"/>
  <c r="AO315" i="46"/>
  <c r="BH65" i="46"/>
  <c r="BT65" i="46" s="1"/>
  <c r="BJ65" i="46"/>
  <c r="BL65" i="46" s="1"/>
  <c r="BM65" i="46" s="1"/>
  <c r="BR65" i="46"/>
  <c r="BS65" i="46"/>
  <c r="BG65" i="46"/>
  <c r="BG201" i="46"/>
  <c r="BJ201" i="46"/>
  <c r="BL201" i="46" s="1"/>
  <c r="BM201" i="46" s="1"/>
  <c r="BR201" i="46"/>
  <c r="BS201" i="46"/>
  <c r="BH201" i="46"/>
  <c r="BT201" i="46" s="1"/>
  <c r="AI153" i="46"/>
  <c r="AX144" i="46"/>
  <c r="AL144" i="46"/>
  <c r="AO144" i="46"/>
  <c r="AJ144" i="46"/>
  <c r="AK144" i="46" s="1"/>
  <c r="AM144" i="46"/>
  <c r="AY144" i="46" s="1"/>
  <c r="AW144" i="46"/>
  <c r="AC192" i="46"/>
  <c r="R192" i="46"/>
  <c r="AD192" i="46" s="1"/>
  <c r="Q192" i="46"/>
  <c r="T192" i="46"/>
  <c r="AB192" i="46"/>
  <c r="O192" i="46"/>
  <c r="P192" i="46" s="1"/>
  <c r="BZ207" i="46"/>
  <c r="CA207" i="46" s="1"/>
  <c r="CM207" i="46"/>
  <c r="CC207" i="46"/>
  <c r="CO207" i="46" s="1"/>
  <c r="CE207" i="46"/>
  <c r="CN207" i="46"/>
  <c r="CB207" i="46"/>
  <c r="AO193" i="46"/>
  <c r="AL193" i="46"/>
  <c r="AW193" i="46"/>
  <c r="AJ193" i="46"/>
  <c r="AK193" i="46" s="1"/>
  <c r="AM193" i="46"/>
  <c r="AY193" i="46" s="1"/>
  <c r="AX193" i="46"/>
  <c r="AX63" i="46"/>
  <c r="AO63" i="46"/>
  <c r="AL63" i="46"/>
  <c r="AJ63" i="46"/>
  <c r="AK63" i="46" s="1"/>
  <c r="AM63" i="46"/>
  <c r="AY63" i="46" s="1"/>
  <c r="AW63" i="46"/>
  <c r="AC238" i="46"/>
  <c r="AB238" i="46"/>
  <c r="T238" i="46"/>
  <c r="Q238" i="46"/>
  <c r="R238" i="46"/>
  <c r="AD238" i="46" s="1"/>
  <c r="O238" i="46"/>
  <c r="P238" i="46" s="1"/>
  <c r="AX46" i="46"/>
  <c r="AL46" i="46"/>
  <c r="AW46" i="46"/>
  <c r="AJ46" i="46"/>
  <c r="AK46" i="46" s="1"/>
  <c r="AM46" i="46"/>
  <c r="AY46" i="46" s="1"/>
  <c r="AO46" i="46"/>
  <c r="CE264" i="46"/>
  <c r="CN264" i="46"/>
  <c r="CB264" i="46"/>
  <c r="CM264" i="46"/>
  <c r="CC264" i="46"/>
  <c r="CO264" i="46" s="1"/>
  <c r="BZ264" i="46"/>
  <c r="CA264" i="46" s="1"/>
  <c r="AW131" i="46"/>
  <c r="AO131" i="46"/>
  <c r="AX131" i="46"/>
  <c r="AJ131" i="46"/>
  <c r="AK131" i="46" s="1"/>
  <c r="AM131" i="46"/>
  <c r="AY131" i="46" s="1"/>
  <c r="AL131" i="46"/>
  <c r="AI110" i="46"/>
  <c r="AB32" i="46"/>
  <c r="O32" i="46"/>
  <c r="P32" i="46" s="1"/>
  <c r="R32" i="46"/>
  <c r="AD32" i="46" s="1"/>
  <c r="T32" i="46"/>
  <c r="AC32" i="46"/>
  <c r="Q32" i="46"/>
  <c r="CE151" i="46"/>
  <c r="CN151" i="46"/>
  <c r="BZ151" i="46"/>
  <c r="CA151" i="46" s="1"/>
  <c r="CM151" i="46"/>
  <c r="CC151" i="46"/>
  <c r="CO151" i="46" s="1"/>
  <c r="CB151" i="46"/>
  <c r="AL293" i="46"/>
  <c r="AW293" i="46"/>
  <c r="AJ293" i="46"/>
  <c r="AK293" i="46" s="1"/>
  <c r="AM293" i="46"/>
  <c r="AY293" i="46" s="1"/>
  <c r="AO293" i="46"/>
  <c r="AX293" i="46"/>
  <c r="BG137" i="46"/>
  <c r="BH137" i="46"/>
  <c r="BT137" i="46" s="1"/>
  <c r="BS137" i="46"/>
  <c r="BR137" i="46"/>
  <c r="BJ137" i="46"/>
  <c r="BL137" i="46" s="1"/>
  <c r="BM137" i="46" s="1"/>
  <c r="AB93" i="46"/>
  <c r="O93" i="46"/>
  <c r="P93" i="46" s="1"/>
  <c r="AC93" i="46"/>
  <c r="R93" i="46"/>
  <c r="AD93" i="46" s="1"/>
  <c r="T93" i="46"/>
  <c r="Q93" i="46"/>
  <c r="CB243" i="46"/>
  <c r="BZ243" i="46"/>
  <c r="CA243" i="46" s="1"/>
  <c r="CM243" i="46"/>
  <c r="CN243" i="46"/>
  <c r="CE243" i="46"/>
  <c r="CC243" i="46"/>
  <c r="CO243" i="46" s="1"/>
  <c r="AB150" i="46"/>
  <c r="R150" i="46"/>
  <c r="AD150" i="46" s="1"/>
  <c r="O150" i="46"/>
  <c r="P150" i="46" s="1"/>
  <c r="T150" i="46"/>
  <c r="Q150" i="46"/>
  <c r="AC150" i="46"/>
  <c r="AC58" i="46"/>
  <c r="AB58" i="46"/>
  <c r="O58" i="46"/>
  <c r="P58" i="46" s="1"/>
  <c r="Q58" i="46"/>
  <c r="T58" i="46"/>
  <c r="R58" i="46"/>
  <c r="AD58" i="46" s="1"/>
  <c r="CB274" i="46"/>
  <c r="CC274" i="46"/>
  <c r="CO274" i="46" s="1"/>
  <c r="BZ274" i="46"/>
  <c r="CA274" i="46" s="1"/>
  <c r="CN274" i="46"/>
  <c r="CM274" i="46"/>
  <c r="CE274" i="46"/>
  <c r="AM40" i="46"/>
  <c r="AY40" i="46" s="1"/>
  <c r="AX40" i="46"/>
  <c r="AW40" i="46"/>
  <c r="AL40" i="46"/>
  <c r="AO40" i="46"/>
  <c r="AJ40" i="46"/>
  <c r="AK40" i="46" s="1"/>
  <c r="Q330" i="46"/>
  <c r="AB330" i="46"/>
  <c r="R330" i="46"/>
  <c r="AD330" i="46" s="1"/>
  <c r="O330" i="46"/>
  <c r="P330" i="46" s="1"/>
  <c r="T330" i="46"/>
  <c r="AC330" i="46"/>
  <c r="AO250" i="46"/>
  <c r="AJ250" i="46"/>
  <c r="AK250" i="46" s="1"/>
  <c r="AW250" i="46"/>
  <c r="AM250" i="46"/>
  <c r="AY250" i="46" s="1"/>
  <c r="AL250" i="46"/>
  <c r="AX250" i="46"/>
  <c r="R137" i="46"/>
  <c r="AD137" i="46" s="1"/>
  <c r="T137" i="46"/>
  <c r="O137" i="46"/>
  <c r="P137" i="46" s="1"/>
  <c r="AC137" i="46"/>
  <c r="AB137" i="46"/>
  <c r="Q137" i="46"/>
  <c r="BG199" i="46"/>
  <c r="BJ199" i="46"/>
  <c r="BL199" i="46" s="1"/>
  <c r="BM199" i="46" s="1"/>
  <c r="BH199" i="46"/>
  <c r="BT199" i="46" s="1"/>
  <c r="BS199" i="46"/>
  <c r="BR199" i="46"/>
  <c r="CC330" i="46"/>
  <c r="CO330" i="46" s="1"/>
  <c r="CN330" i="46"/>
  <c r="CE330" i="46"/>
  <c r="CB330" i="46"/>
  <c r="CM330" i="46"/>
  <c r="BZ330" i="46"/>
  <c r="CA330" i="46" s="1"/>
  <c r="R245" i="46"/>
  <c r="AD245" i="46" s="1"/>
  <c r="Q245" i="46"/>
  <c r="AB245" i="46"/>
  <c r="AC245" i="46"/>
  <c r="O245" i="46"/>
  <c r="P245" i="46" s="1"/>
  <c r="T245" i="46"/>
  <c r="CN256" i="46"/>
  <c r="CM256" i="46"/>
  <c r="BZ256" i="46"/>
  <c r="CA256" i="46" s="1"/>
  <c r="CC256" i="46"/>
  <c r="CO256" i="46" s="1"/>
  <c r="CE256" i="46"/>
  <c r="CB256" i="46"/>
  <c r="BD187" i="46"/>
  <c r="Q317" i="46"/>
  <c r="AB317" i="46"/>
  <c r="AC317" i="46"/>
  <c r="T317" i="46"/>
  <c r="O317" i="46"/>
  <c r="P317" i="46" s="1"/>
  <c r="R317" i="46"/>
  <c r="AD317" i="46" s="1"/>
  <c r="R61" i="46"/>
  <c r="AD61" i="46" s="1"/>
  <c r="T61" i="46"/>
  <c r="AB61" i="46"/>
  <c r="Q61" i="46"/>
  <c r="O61" i="46"/>
  <c r="P61" i="46" s="1"/>
  <c r="AC61" i="46"/>
  <c r="AO180" i="46"/>
  <c r="AL180" i="46"/>
  <c r="AW180" i="46"/>
  <c r="AJ180" i="46"/>
  <c r="AK180" i="46" s="1"/>
  <c r="AX180" i="46"/>
  <c r="AM180" i="46"/>
  <c r="AY180" i="46" s="1"/>
  <c r="AC324" i="46"/>
  <c r="T324" i="46"/>
  <c r="AB324" i="46"/>
  <c r="O324" i="46"/>
  <c r="P324" i="46" s="1"/>
  <c r="Q324" i="46"/>
  <c r="R324" i="46"/>
  <c r="AD324" i="46" s="1"/>
  <c r="Q262" i="46"/>
  <c r="T262" i="46"/>
  <c r="AB262" i="46"/>
  <c r="R262" i="46"/>
  <c r="AD262" i="46" s="1"/>
  <c r="O262" i="46"/>
  <c r="P262" i="46" s="1"/>
  <c r="AC262" i="46"/>
  <c r="N49" i="46"/>
  <c r="CC289" i="46"/>
  <c r="CO289" i="46" s="1"/>
  <c r="CM289" i="46"/>
  <c r="CN289" i="46"/>
  <c r="BZ289" i="46"/>
  <c r="CA289" i="46" s="1"/>
  <c r="CE289" i="46"/>
  <c r="CB289" i="46"/>
  <c r="BJ159" i="46"/>
  <c r="BL159" i="46" s="1"/>
  <c r="BM159" i="46" s="1"/>
  <c r="BH159" i="46"/>
  <c r="BT159" i="46" s="1"/>
  <c r="BG159" i="46"/>
  <c r="BR159" i="46"/>
  <c r="BS159" i="46"/>
  <c r="R153" i="46"/>
  <c r="AD153" i="46" s="1"/>
  <c r="O153" i="46"/>
  <c r="P153" i="46" s="1"/>
  <c r="AB153" i="46"/>
  <c r="AC153" i="46"/>
  <c r="Q153" i="46"/>
  <c r="T153" i="46"/>
  <c r="N95" i="46"/>
  <c r="Q328" i="46"/>
  <c r="R328" i="46"/>
  <c r="AD328" i="46" s="1"/>
  <c r="O328" i="46"/>
  <c r="P328" i="46" s="1"/>
  <c r="AC328" i="46"/>
  <c r="AB328" i="46"/>
  <c r="T328" i="46"/>
  <c r="AC225" i="46"/>
  <c r="Q225" i="46"/>
  <c r="O225" i="46"/>
  <c r="P225" i="46" s="1"/>
  <c r="AB225" i="46"/>
  <c r="T225" i="46"/>
  <c r="R225" i="46"/>
  <c r="AD225" i="46" s="1"/>
  <c r="AX257" i="46"/>
  <c r="AW257" i="46"/>
  <c r="AJ257" i="46"/>
  <c r="AK257" i="46" s="1"/>
  <c r="AO257" i="46"/>
  <c r="AL257" i="46"/>
  <c r="AM257" i="46"/>
  <c r="AY257" i="46" s="1"/>
  <c r="BD194" i="46"/>
  <c r="CM43" i="46"/>
  <c r="CC43" i="46"/>
  <c r="CO43" i="46" s="1"/>
  <c r="CN43" i="46"/>
  <c r="CB43" i="46"/>
  <c r="BZ43" i="46"/>
  <c r="CA43" i="46" s="1"/>
  <c r="CE43" i="46"/>
  <c r="BS36" i="46"/>
  <c r="BJ36" i="46"/>
  <c r="BL36" i="46" s="1"/>
  <c r="BM36" i="46" s="1"/>
  <c r="BR36" i="46"/>
  <c r="BG36" i="46"/>
  <c r="BH36" i="46"/>
  <c r="BT36" i="46" s="1"/>
  <c r="AB196" i="46"/>
  <c r="O196" i="46"/>
  <c r="P196" i="46" s="1"/>
  <c r="T196" i="46"/>
  <c r="Q196" i="46"/>
  <c r="AC196" i="46"/>
  <c r="R196" i="46"/>
  <c r="AD196" i="46" s="1"/>
  <c r="T116" i="46"/>
  <c r="O116" i="46"/>
  <c r="P116" i="46" s="1"/>
  <c r="R116" i="46"/>
  <c r="AD116" i="46" s="1"/>
  <c r="AC116" i="46"/>
  <c r="AB116" i="46"/>
  <c r="Q116" i="46"/>
  <c r="CC313" i="46"/>
  <c r="CO313" i="46" s="1"/>
  <c r="CN313" i="46"/>
  <c r="BZ313" i="46"/>
  <c r="CA313" i="46" s="1"/>
  <c r="CB313" i="46"/>
  <c r="CM313" i="46"/>
  <c r="CE313" i="46"/>
  <c r="AB308" i="46"/>
  <c r="R308" i="46"/>
  <c r="AD308" i="46" s="1"/>
  <c r="O308" i="46"/>
  <c r="P308" i="46" s="1"/>
  <c r="T308" i="46"/>
  <c r="AC308" i="46"/>
  <c r="Q308" i="46"/>
  <c r="AB320" i="46"/>
  <c r="AC320" i="46"/>
  <c r="O320" i="46"/>
  <c r="P320" i="46" s="1"/>
  <c r="R320" i="46"/>
  <c r="AD320" i="46" s="1"/>
  <c r="Q320" i="46"/>
  <c r="T320" i="46"/>
  <c r="AW346" i="46"/>
  <c r="AL346" i="46"/>
  <c r="AM346" i="46"/>
  <c r="AY346" i="46" s="1"/>
  <c r="AX346" i="46"/>
  <c r="AO346" i="46"/>
  <c r="AJ346" i="46"/>
  <c r="AK346" i="46" s="1"/>
  <c r="BH311" i="46"/>
  <c r="BT311" i="46" s="1"/>
  <c r="BJ311" i="46"/>
  <c r="BL311" i="46" s="1"/>
  <c r="BM311" i="46" s="1"/>
  <c r="BG311" i="46"/>
  <c r="BS311" i="46"/>
  <c r="BR311" i="46"/>
  <c r="BD303" i="46"/>
  <c r="BY261" i="46"/>
  <c r="CC114" i="46"/>
  <c r="CO114" i="46" s="1"/>
  <c r="CN114" i="46"/>
  <c r="CE114" i="46"/>
  <c r="CM114" i="46"/>
  <c r="BZ114" i="46"/>
  <c r="CA114" i="46" s="1"/>
  <c r="CB114" i="46"/>
  <c r="CM137" i="46"/>
  <c r="CN137" i="46"/>
  <c r="BZ137" i="46"/>
  <c r="CA137" i="46" s="1"/>
  <c r="CE137" i="46"/>
  <c r="CC137" i="46"/>
  <c r="CO137" i="46" s="1"/>
  <c r="CB137" i="46"/>
  <c r="AI86" i="46"/>
  <c r="AB182" i="46"/>
  <c r="Q182" i="46"/>
  <c r="R182" i="46"/>
  <c r="AD182" i="46" s="1"/>
  <c r="O182" i="46"/>
  <c r="P182" i="46" s="1"/>
  <c r="AC182" i="46"/>
  <c r="T182" i="46"/>
  <c r="O120" i="46"/>
  <c r="P120" i="46" s="1"/>
  <c r="AC120" i="46"/>
  <c r="Q120" i="46"/>
  <c r="T120" i="46"/>
  <c r="AB120" i="46"/>
  <c r="R120" i="46"/>
  <c r="AD120" i="46" s="1"/>
  <c r="AL279" i="46"/>
  <c r="AM279" i="46"/>
  <c r="AY279" i="46" s="1"/>
  <c r="AW279" i="46"/>
  <c r="AO279" i="46"/>
  <c r="AJ279" i="46"/>
  <c r="AK279" i="46" s="1"/>
  <c r="AX279" i="46"/>
  <c r="CC163" i="46"/>
  <c r="CO163" i="46" s="1"/>
  <c r="CE163" i="46"/>
  <c r="CM163" i="46"/>
  <c r="CN163" i="46"/>
  <c r="CB163" i="46"/>
  <c r="BZ163" i="46"/>
  <c r="CA163" i="46" s="1"/>
  <c r="BH240" i="46"/>
  <c r="BT240" i="46" s="1"/>
  <c r="BJ240" i="46"/>
  <c r="BL240" i="46" s="1"/>
  <c r="BM240" i="46" s="1"/>
  <c r="BS240" i="46"/>
  <c r="BG240" i="46"/>
  <c r="BR240" i="46"/>
  <c r="CM285" i="46"/>
  <c r="CE285" i="46"/>
  <c r="CB285" i="46"/>
  <c r="CN285" i="46"/>
  <c r="CC285" i="46"/>
  <c r="CO285" i="46" s="1"/>
  <c r="BZ285" i="46"/>
  <c r="CA285" i="46" s="1"/>
  <c r="BL54" i="39"/>
  <c r="BM54" i="39"/>
  <c r="AX54" i="39"/>
  <c r="AL54" i="39"/>
  <c r="AM54" i="39" s="1"/>
  <c r="BJ54" i="39"/>
  <c r="AS45" i="46" l="1"/>
  <c r="AN45" i="46" s="1"/>
  <c r="BB45" i="46" s="1"/>
  <c r="CG45" i="46"/>
  <c r="CH45" i="46" s="1"/>
  <c r="CI45" i="46" s="1"/>
  <c r="AQ190" i="46"/>
  <c r="AR190" i="46" s="1"/>
  <c r="CG140" i="46"/>
  <c r="CH140" i="46" s="1"/>
  <c r="CI50" i="46"/>
  <c r="AQ85" i="46"/>
  <c r="AR85" i="46" s="1"/>
  <c r="CG205" i="46"/>
  <c r="CH205" i="46" s="1"/>
  <c r="CG74" i="46"/>
  <c r="CH74" i="46" s="1"/>
  <c r="CI74" i="46" s="1"/>
  <c r="AQ50" i="46"/>
  <c r="AR50" i="46" s="1"/>
  <c r="AS50" i="46" s="1"/>
  <c r="AN50" i="46" s="1"/>
  <c r="BB50" i="46" s="1"/>
  <c r="BG45" i="46"/>
  <c r="BS45" i="46"/>
  <c r="BR45" i="46"/>
  <c r="BJ45" i="46"/>
  <c r="BH45" i="46"/>
  <c r="BT45" i="46" s="1"/>
  <c r="BR50" i="46"/>
  <c r="BS50" i="46"/>
  <c r="BH50" i="46"/>
  <c r="BT50" i="46" s="1"/>
  <c r="BJ50" i="46"/>
  <c r="BG50" i="46"/>
  <c r="V67" i="46"/>
  <c r="W67" i="46" s="1"/>
  <c r="X67" i="46" s="1"/>
  <c r="V50" i="46"/>
  <c r="W50" i="46" s="1"/>
  <c r="X50" i="46" s="1"/>
  <c r="AU45" i="46"/>
  <c r="AQ246" i="46"/>
  <c r="AR246" i="46" s="1"/>
  <c r="AS246" i="46" s="1"/>
  <c r="V133" i="46"/>
  <c r="W133" i="46" s="1"/>
  <c r="X133" i="46" s="1"/>
  <c r="Z133" i="46" s="1"/>
  <c r="AS85" i="46"/>
  <c r="AN85" i="46" s="1"/>
  <c r="BB85" i="46" s="1"/>
  <c r="AQ291" i="46"/>
  <c r="AR291" i="46" s="1"/>
  <c r="AS291" i="46" s="1"/>
  <c r="CG61" i="46"/>
  <c r="CH61" i="46" s="1"/>
  <c r="V23" i="46"/>
  <c r="W23" i="46" s="1"/>
  <c r="X23" i="46" s="1"/>
  <c r="AQ319" i="46"/>
  <c r="AR319" i="46" s="1"/>
  <c r="AS319" i="46" s="1"/>
  <c r="AU319" i="46" s="1"/>
  <c r="AQ149" i="46"/>
  <c r="AR149" i="46" s="1"/>
  <c r="AS149" i="46" s="1"/>
  <c r="AU149" i="46" s="1"/>
  <c r="BN191" i="46"/>
  <c r="BP191" i="46" s="1"/>
  <c r="BN232" i="46"/>
  <c r="BP232" i="46" s="1"/>
  <c r="CG236" i="46"/>
  <c r="CH236" i="46" s="1"/>
  <c r="CI236" i="46" s="1"/>
  <c r="CG84" i="46"/>
  <c r="CH84" i="46" s="1"/>
  <c r="CI84" i="46" s="1"/>
  <c r="CK84" i="46" s="1"/>
  <c r="CG196" i="46"/>
  <c r="CH196" i="46" s="1"/>
  <c r="CI196" i="46" s="1"/>
  <c r="CD196" i="46" s="1"/>
  <c r="CR196" i="46" s="1"/>
  <c r="V285" i="46"/>
  <c r="W285" i="46" s="1"/>
  <c r="X285" i="46" s="1"/>
  <c r="S285" i="46" s="1"/>
  <c r="AG285" i="46" s="1"/>
  <c r="V212" i="46"/>
  <c r="W212" i="46" s="1"/>
  <c r="X212" i="46" s="1"/>
  <c r="Z212" i="46" s="1"/>
  <c r="CG89" i="46"/>
  <c r="CH89" i="46" s="1"/>
  <c r="CI89" i="46" s="1"/>
  <c r="V246" i="46"/>
  <c r="W246" i="46" s="1"/>
  <c r="X246" i="46" s="1"/>
  <c r="V144" i="46"/>
  <c r="W144" i="46" s="1"/>
  <c r="X144" i="46" s="1"/>
  <c r="S144" i="46" s="1"/>
  <c r="AG144" i="46" s="1"/>
  <c r="CG150" i="46"/>
  <c r="CH150" i="46" s="1"/>
  <c r="CI150" i="46" s="1"/>
  <c r="CG136" i="46"/>
  <c r="CH136" i="46" s="1"/>
  <c r="CI136" i="46" s="1"/>
  <c r="CD136" i="46" s="1"/>
  <c r="CR136" i="46" s="1"/>
  <c r="AQ71" i="46"/>
  <c r="AR71" i="46" s="1"/>
  <c r="AS71" i="46" s="1"/>
  <c r="AN71" i="46" s="1"/>
  <c r="BB71" i="46" s="1"/>
  <c r="V29" i="46"/>
  <c r="W29" i="46" s="1"/>
  <c r="X29" i="46" s="1"/>
  <c r="Z29" i="46" s="1"/>
  <c r="V69" i="46"/>
  <c r="W69" i="46" s="1"/>
  <c r="X69" i="46" s="1"/>
  <c r="Z69" i="46" s="1"/>
  <c r="V257" i="46"/>
  <c r="W257" i="46" s="1"/>
  <c r="X257" i="46" s="1"/>
  <c r="S257" i="46" s="1"/>
  <c r="AG257" i="46" s="1"/>
  <c r="V103" i="46"/>
  <c r="W103" i="46" s="1"/>
  <c r="X103" i="46" s="1"/>
  <c r="Z103" i="46" s="1"/>
  <c r="CG296" i="46"/>
  <c r="CH296" i="46" s="1"/>
  <c r="CI296" i="46" s="1"/>
  <c r="CK296" i="46" s="1"/>
  <c r="AQ304" i="46"/>
  <c r="AR304" i="46" s="1"/>
  <c r="AS304" i="46" s="1"/>
  <c r="AN304" i="46" s="1"/>
  <c r="BB304" i="46" s="1"/>
  <c r="V39" i="46"/>
  <c r="W39" i="46" s="1"/>
  <c r="X39" i="46" s="1"/>
  <c r="CG167" i="46"/>
  <c r="CH167" i="46" s="1"/>
  <c r="CI167" i="46" s="1"/>
  <c r="BN239" i="46"/>
  <c r="BI239" i="46" s="1"/>
  <c r="BW239" i="46" s="1"/>
  <c r="AQ208" i="46"/>
  <c r="AR208" i="46" s="1"/>
  <c r="AS208" i="46" s="1"/>
  <c r="V84" i="46"/>
  <c r="W84" i="46" s="1"/>
  <c r="X84" i="46" s="1"/>
  <c r="AQ108" i="46"/>
  <c r="AR108" i="46" s="1"/>
  <c r="AS108" i="46" s="1"/>
  <c r="AU108" i="46" s="1"/>
  <c r="AQ47" i="46"/>
  <c r="AR47" i="46" s="1"/>
  <c r="AS47" i="46" s="1"/>
  <c r="AN47" i="46" s="1"/>
  <c r="BB47" i="46" s="1"/>
  <c r="CG16" i="46"/>
  <c r="CH16" i="46" s="1"/>
  <c r="CI16" i="46" s="1"/>
  <c r="CD16" i="46" s="1"/>
  <c r="CR16" i="46" s="1"/>
  <c r="CG169" i="46"/>
  <c r="CH169" i="46" s="1"/>
  <c r="AQ317" i="46"/>
  <c r="AR317" i="46" s="1"/>
  <c r="AS317" i="46" s="1"/>
  <c r="V45" i="46"/>
  <c r="W45" i="46" s="1"/>
  <c r="X45" i="46" s="1"/>
  <c r="CI61" i="46"/>
  <c r="CD61" i="46" s="1"/>
  <c r="CR61" i="46" s="1"/>
  <c r="BN152" i="46"/>
  <c r="BI152" i="46" s="1"/>
  <c r="BW152" i="46" s="1"/>
  <c r="AQ193" i="46"/>
  <c r="AR193" i="46" s="1"/>
  <c r="AS193" i="46" s="1"/>
  <c r="V234" i="46"/>
  <c r="W234" i="46" s="1"/>
  <c r="X234" i="46" s="1"/>
  <c r="S234" i="46" s="1"/>
  <c r="AG234" i="46" s="1"/>
  <c r="CG91" i="46"/>
  <c r="CH91" i="46" s="1"/>
  <c r="CI91" i="46" s="1"/>
  <c r="CK91" i="46" s="1"/>
  <c r="AQ127" i="46"/>
  <c r="AR127" i="46" s="1"/>
  <c r="AS127" i="46" s="1"/>
  <c r="CG70" i="46"/>
  <c r="CH70" i="46" s="1"/>
  <c r="CI70" i="46" s="1"/>
  <c r="AQ41" i="46"/>
  <c r="AR41" i="46" s="1"/>
  <c r="AQ52" i="46"/>
  <c r="AR52" i="46" s="1"/>
  <c r="AS52" i="46" s="1"/>
  <c r="V198" i="46"/>
  <c r="W198" i="46" s="1"/>
  <c r="X198" i="46" s="1"/>
  <c r="Z198" i="46" s="1"/>
  <c r="AQ51" i="46"/>
  <c r="AR51" i="46" s="1"/>
  <c r="AS51" i="46" s="1"/>
  <c r="AU51" i="46" s="1"/>
  <c r="BN323" i="46"/>
  <c r="BI323" i="46" s="1"/>
  <c r="BW323" i="46" s="1"/>
  <c r="V88" i="46"/>
  <c r="W88" i="46" s="1"/>
  <c r="X88" i="46" s="1"/>
  <c r="V215" i="46"/>
  <c r="W215" i="46" s="1"/>
  <c r="X215" i="46" s="1"/>
  <c r="CG49" i="46"/>
  <c r="CH49" i="46" s="1"/>
  <c r="CI49" i="46" s="1"/>
  <c r="CG231" i="46"/>
  <c r="CH231" i="46" s="1"/>
  <c r="CI231" i="46" s="1"/>
  <c r="V223" i="46"/>
  <c r="W223" i="46" s="1"/>
  <c r="X223" i="46" s="1"/>
  <c r="Z223" i="46" s="1"/>
  <c r="V186" i="46"/>
  <c r="W186" i="46" s="1"/>
  <c r="X186" i="46" s="1"/>
  <c r="AQ167" i="46"/>
  <c r="AR167" i="46" s="1"/>
  <c r="AS167" i="46" s="1"/>
  <c r="V235" i="46"/>
  <c r="W235" i="46" s="1"/>
  <c r="X235" i="46" s="1"/>
  <c r="BN39" i="46"/>
  <c r="BI39" i="46" s="1"/>
  <c r="BW39" i="46" s="1"/>
  <c r="V93" i="46"/>
  <c r="W93" i="46" s="1"/>
  <c r="X93" i="46" s="1"/>
  <c r="BN146" i="46"/>
  <c r="BP146" i="46" s="1"/>
  <c r="BN111" i="46"/>
  <c r="BP111" i="46" s="1"/>
  <c r="AQ170" i="46"/>
  <c r="AR170" i="46" s="1"/>
  <c r="AS170" i="46" s="1"/>
  <c r="AN170" i="46" s="1"/>
  <c r="BB170" i="46" s="1"/>
  <c r="CG42" i="46"/>
  <c r="CH42" i="46" s="1"/>
  <c r="CI42" i="46" s="1"/>
  <c r="CD42" i="46" s="1"/>
  <c r="CR42" i="46" s="1"/>
  <c r="BN130" i="46"/>
  <c r="BP130" i="46" s="1"/>
  <c r="AQ140" i="46"/>
  <c r="AR140" i="46" s="1"/>
  <c r="AS140" i="46" s="1"/>
  <c r="AQ16" i="46"/>
  <c r="AR16" i="46" s="1"/>
  <c r="AS16" i="46" s="1"/>
  <c r="AN16" i="46" s="1"/>
  <c r="BB16" i="46" s="1"/>
  <c r="V162" i="46"/>
  <c r="W162" i="46" s="1"/>
  <c r="X162" i="46" s="1"/>
  <c r="Z162" i="46" s="1"/>
  <c r="AS190" i="46"/>
  <c r="AN190" i="46" s="1"/>
  <c r="BB190" i="46" s="1"/>
  <c r="V15" i="46"/>
  <c r="W15" i="46" s="1"/>
  <c r="X15" i="46" s="1"/>
  <c r="V188" i="46"/>
  <c r="W188" i="46" s="1"/>
  <c r="X188" i="46" s="1"/>
  <c r="V294" i="46"/>
  <c r="W294" i="46" s="1"/>
  <c r="X294" i="46" s="1"/>
  <c r="S294" i="46" s="1"/>
  <c r="AG294" i="46" s="1"/>
  <c r="V104" i="46"/>
  <c r="W104" i="46" s="1"/>
  <c r="X104" i="46" s="1"/>
  <c r="S104" i="46" s="1"/>
  <c r="AG104" i="46" s="1"/>
  <c r="BN224" i="46"/>
  <c r="BI224" i="46" s="1"/>
  <c r="BW224" i="46" s="1"/>
  <c r="AQ70" i="46"/>
  <c r="AR70" i="46" s="1"/>
  <c r="AS70" i="46" s="1"/>
  <c r="AU70" i="46" s="1"/>
  <c r="BN215" i="46"/>
  <c r="BI215" i="46" s="1"/>
  <c r="BW215" i="46" s="1"/>
  <c r="V281" i="46"/>
  <c r="W281" i="46" s="1"/>
  <c r="X281" i="46" s="1"/>
  <c r="S281" i="46" s="1"/>
  <c r="AG281" i="46" s="1"/>
  <c r="CI140" i="46"/>
  <c r="CD140" i="46" s="1"/>
  <c r="CR140" i="46" s="1"/>
  <c r="CG59" i="46"/>
  <c r="CH59" i="46" s="1"/>
  <c r="CI59" i="46" s="1"/>
  <c r="AQ151" i="46"/>
  <c r="AR151" i="46" s="1"/>
  <c r="AS151" i="46" s="1"/>
  <c r="AU151" i="46" s="1"/>
  <c r="V123" i="46"/>
  <c r="W123" i="46" s="1"/>
  <c r="X123" i="46" s="1"/>
  <c r="V154" i="46"/>
  <c r="W154" i="46" s="1"/>
  <c r="X154" i="46" s="1"/>
  <c r="S154" i="46" s="1"/>
  <c r="AG154" i="46" s="1"/>
  <c r="AQ243" i="46"/>
  <c r="AR243" i="46" s="1"/>
  <c r="AS243" i="46" s="1"/>
  <c r="AU243" i="46" s="1"/>
  <c r="BN28" i="46"/>
  <c r="BP28" i="46" s="1"/>
  <c r="AQ210" i="46"/>
  <c r="AR210" i="46" s="1"/>
  <c r="AS210" i="46" s="1"/>
  <c r="AU210" i="46" s="1"/>
  <c r="BN120" i="46"/>
  <c r="BP120" i="46" s="1"/>
  <c r="CG35" i="46"/>
  <c r="CH35" i="46" s="1"/>
  <c r="CI35" i="46" s="1"/>
  <c r="BN319" i="46"/>
  <c r="BI319" i="46" s="1"/>
  <c r="BW319" i="46" s="1"/>
  <c r="BN328" i="46"/>
  <c r="BI328" i="46" s="1"/>
  <c r="BW328" i="46" s="1"/>
  <c r="AQ69" i="46"/>
  <c r="AR69" i="46" s="1"/>
  <c r="AS69" i="46" s="1"/>
  <c r="AN69" i="46" s="1"/>
  <c r="BB69" i="46" s="1"/>
  <c r="CG147" i="46"/>
  <c r="CH147" i="46" s="1"/>
  <c r="CI147" i="46" s="1"/>
  <c r="CK147" i="46" s="1"/>
  <c r="AQ178" i="46"/>
  <c r="AR178" i="46" s="1"/>
  <c r="AS178" i="46" s="1"/>
  <c r="AN178" i="46" s="1"/>
  <c r="BB178" i="46" s="1"/>
  <c r="AQ138" i="46"/>
  <c r="AR138" i="46" s="1"/>
  <c r="AS138" i="46" s="1"/>
  <c r="AU138" i="46" s="1"/>
  <c r="BN259" i="46"/>
  <c r="BI259" i="46" s="1"/>
  <c r="BW259" i="46" s="1"/>
  <c r="AQ79" i="46"/>
  <c r="AR79" i="46" s="1"/>
  <c r="AS79" i="46" s="1"/>
  <c r="AN79" i="46" s="1"/>
  <c r="BB79" i="46" s="1"/>
  <c r="CG248" i="46"/>
  <c r="CH248" i="46" s="1"/>
  <c r="CI248" i="46" s="1"/>
  <c r="AQ157" i="46"/>
  <c r="AR157" i="46" s="1"/>
  <c r="AS157" i="46" s="1"/>
  <c r="AU157" i="46" s="1"/>
  <c r="BN221" i="46"/>
  <c r="BI221" i="46" s="1"/>
  <c r="BW221" i="46" s="1"/>
  <c r="V282" i="46"/>
  <c r="W282" i="46" s="1"/>
  <c r="X282" i="46" s="1"/>
  <c r="S282" i="46" s="1"/>
  <c r="AG282" i="46" s="1"/>
  <c r="CG190" i="46"/>
  <c r="CH190" i="46" s="1"/>
  <c r="CI190" i="46" s="1"/>
  <c r="AQ314" i="46"/>
  <c r="AR314" i="46" s="1"/>
  <c r="AS314" i="46" s="1"/>
  <c r="AN314" i="46" s="1"/>
  <c r="BB314" i="46" s="1"/>
  <c r="CG104" i="46"/>
  <c r="CH104" i="46" s="1"/>
  <c r="CI104" i="46" s="1"/>
  <c r="CD104" i="46" s="1"/>
  <c r="CR104" i="46" s="1"/>
  <c r="V138" i="46"/>
  <c r="W138" i="46" s="1"/>
  <c r="X138" i="46" s="1"/>
  <c r="S138" i="46" s="1"/>
  <c r="AG138" i="46" s="1"/>
  <c r="BN254" i="46"/>
  <c r="BI254" i="46" s="1"/>
  <c r="BW254" i="46" s="1"/>
  <c r="V80" i="46"/>
  <c r="W80" i="46" s="1"/>
  <c r="X80" i="46" s="1"/>
  <c r="S80" i="46" s="1"/>
  <c r="AG80" i="46" s="1"/>
  <c r="AQ154" i="46"/>
  <c r="AR154" i="46" s="1"/>
  <c r="AS154" i="46" s="1"/>
  <c r="CG344" i="46"/>
  <c r="CH344" i="46" s="1"/>
  <c r="CI344" i="46" s="1"/>
  <c r="CD344" i="46" s="1"/>
  <c r="CR344" i="46" s="1"/>
  <c r="AQ302" i="46"/>
  <c r="AR302" i="46" s="1"/>
  <c r="AS302" i="46" s="1"/>
  <c r="AN302" i="46" s="1"/>
  <c r="BB302" i="46" s="1"/>
  <c r="AQ298" i="46"/>
  <c r="AR298" i="46" s="1"/>
  <c r="AS298" i="46" s="1"/>
  <c r="AU298" i="46" s="1"/>
  <c r="V256" i="46"/>
  <c r="W256" i="46" s="1"/>
  <c r="X256" i="46" s="1"/>
  <c r="S256" i="46" s="1"/>
  <c r="AG256" i="46" s="1"/>
  <c r="AQ73" i="46"/>
  <c r="AR73" i="46" s="1"/>
  <c r="AS73" i="46" s="1"/>
  <c r="AU73" i="46" s="1"/>
  <c r="AQ22" i="46"/>
  <c r="AR22" i="46" s="1"/>
  <c r="AS22" i="46" s="1"/>
  <c r="AN22" i="46" s="1"/>
  <c r="BB22" i="46" s="1"/>
  <c r="BN159" i="46"/>
  <c r="BI159" i="46" s="1"/>
  <c r="BW159" i="46" s="1"/>
  <c r="V42" i="46"/>
  <c r="W42" i="46" s="1"/>
  <c r="X42" i="46" s="1"/>
  <c r="Z42" i="46" s="1"/>
  <c r="AQ222" i="46"/>
  <c r="AR222" i="46" s="1"/>
  <c r="AS222" i="46" s="1"/>
  <c r="AN222" i="46" s="1"/>
  <c r="BB222" i="46" s="1"/>
  <c r="CG93" i="46"/>
  <c r="CH93" i="46" s="1"/>
  <c r="CI93" i="46" s="1"/>
  <c r="CD93" i="46" s="1"/>
  <c r="CR93" i="46" s="1"/>
  <c r="BN106" i="46"/>
  <c r="BP106" i="46" s="1"/>
  <c r="CG88" i="46"/>
  <c r="CH88" i="46" s="1"/>
  <c r="CI88" i="46" s="1"/>
  <c r="AQ248" i="46"/>
  <c r="AR248" i="46" s="1"/>
  <c r="AS248" i="46" s="1"/>
  <c r="AN248" i="46" s="1"/>
  <c r="BB248" i="46" s="1"/>
  <c r="V210" i="46"/>
  <c r="W210" i="46" s="1"/>
  <c r="X210" i="46" s="1"/>
  <c r="S210" i="46" s="1"/>
  <c r="AG210" i="46" s="1"/>
  <c r="BN73" i="46"/>
  <c r="BI73" i="46" s="1"/>
  <c r="BW73" i="46" s="1"/>
  <c r="AQ98" i="46"/>
  <c r="AR98" i="46" s="1"/>
  <c r="AS98" i="46" s="1"/>
  <c r="AU98" i="46" s="1"/>
  <c r="BN219" i="46"/>
  <c r="BP219" i="46" s="1"/>
  <c r="V135" i="46"/>
  <c r="W135" i="46" s="1"/>
  <c r="X135" i="46" s="1"/>
  <c r="S135" i="46" s="1"/>
  <c r="AG135" i="46" s="1"/>
  <c r="V179" i="46"/>
  <c r="W179" i="46" s="1"/>
  <c r="X179" i="46" s="1"/>
  <c r="CG153" i="46"/>
  <c r="CH153" i="46" s="1"/>
  <c r="CI153" i="46" s="1"/>
  <c r="CG174" i="46"/>
  <c r="CH174" i="46" s="1"/>
  <c r="CI174" i="46" s="1"/>
  <c r="CK174" i="46" s="1"/>
  <c r="CG289" i="46"/>
  <c r="CH289" i="46" s="1"/>
  <c r="CI289" i="46" s="1"/>
  <c r="AQ338" i="46"/>
  <c r="AR338" i="46" s="1"/>
  <c r="AS338" i="46" s="1"/>
  <c r="BN108" i="46"/>
  <c r="BI108" i="46" s="1"/>
  <c r="BW108" i="46" s="1"/>
  <c r="CG272" i="46"/>
  <c r="CH272" i="46" s="1"/>
  <c r="CI272" i="46" s="1"/>
  <c r="CD272" i="46" s="1"/>
  <c r="CR272" i="46" s="1"/>
  <c r="AQ211" i="46"/>
  <c r="AR211" i="46" s="1"/>
  <c r="AS211" i="46" s="1"/>
  <c r="AU211" i="46" s="1"/>
  <c r="AQ56" i="46"/>
  <c r="AR56" i="46" s="1"/>
  <c r="AS56" i="46" s="1"/>
  <c r="AU56" i="46" s="1"/>
  <c r="V149" i="46"/>
  <c r="W149" i="46" s="1"/>
  <c r="X149" i="46" s="1"/>
  <c r="Z149" i="46" s="1"/>
  <c r="AQ200" i="46"/>
  <c r="AR200" i="46" s="1"/>
  <c r="AS200" i="46" s="1"/>
  <c r="AQ275" i="46"/>
  <c r="AR275" i="46" s="1"/>
  <c r="AS275" i="46" s="1"/>
  <c r="AN275" i="46" s="1"/>
  <c r="BB275" i="46" s="1"/>
  <c r="AQ322" i="46"/>
  <c r="AR322" i="46" s="1"/>
  <c r="AS322" i="46" s="1"/>
  <c r="AN322" i="46" s="1"/>
  <c r="BB322" i="46" s="1"/>
  <c r="V16" i="46"/>
  <c r="W16" i="46" s="1"/>
  <c r="X16" i="46" s="1"/>
  <c r="Z16" i="46" s="1"/>
  <c r="V345" i="46"/>
  <c r="W345" i="46" s="1"/>
  <c r="X345" i="46" s="1"/>
  <c r="S345" i="46" s="1"/>
  <c r="AG345" i="46" s="1"/>
  <c r="AQ297" i="46"/>
  <c r="AR297" i="46" s="1"/>
  <c r="AS297" i="46" s="1"/>
  <c r="AQ76" i="46"/>
  <c r="AR76" i="46" s="1"/>
  <c r="AS76" i="46" s="1"/>
  <c r="AN76" i="46" s="1"/>
  <c r="BB76" i="46" s="1"/>
  <c r="AQ147" i="46"/>
  <c r="AR147" i="46" s="1"/>
  <c r="AS147" i="46" s="1"/>
  <c r="V34" i="46"/>
  <c r="W34" i="46" s="1"/>
  <c r="X34" i="46" s="1"/>
  <c r="Z34" i="46" s="1"/>
  <c r="V109" i="46"/>
  <c r="W109" i="46" s="1"/>
  <c r="X109" i="46" s="1"/>
  <c r="AQ336" i="46"/>
  <c r="AR336" i="46" s="1"/>
  <c r="AS336" i="46" s="1"/>
  <c r="AN336" i="46" s="1"/>
  <c r="BB336" i="46" s="1"/>
  <c r="V145" i="46"/>
  <c r="W145" i="46" s="1"/>
  <c r="X145" i="46" s="1"/>
  <c r="Z145" i="46" s="1"/>
  <c r="BN105" i="46"/>
  <c r="BI105" i="46" s="1"/>
  <c r="BW105" i="46" s="1"/>
  <c r="V299" i="46"/>
  <c r="W299" i="46" s="1"/>
  <c r="X299" i="46" s="1"/>
  <c r="V100" i="46"/>
  <c r="W100" i="46" s="1"/>
  <c r="X100" i="46" s="1"/>
  <c r="S100" i="46" s="1"/>
  <c r="AG100" i="46" s="1"/>
  <c r="V114" i="46"/>
  <c r="W114" i="46" s="1"/>
  <c r="X114" i="46" s="1"/>
  <c r="V25" i="46"/>
  <c r="W25" i="46" s="1"/>
  <c r="X25" i="46" s="1"/>
  <c r="V14" i="46"/>
  <c r="W14" i="46" s="1"/>
  <c r="X14" i="46" s="1"/>
  <c r="Z14" i="46" s="1"/>
  <c r="V216" i="46"/>
  <c r="W216" i="46" s="1"/>
  <c r="X216" i="46" s="1"/>
  <c r="S216" i="46" s="1"/>
  <c r="AG216" i="46" s="1"/>
  <c r="V127" i="46"/>
  <c r="W127" i="46" s="1"/>
  <c r="X127" i="46" s="1"/>
  <c r="CG111" i="46"/>
  <c r="CH111" i="46" s="1"/>
  <c r="CI111" i="46" s="1"/>
  <c r="AQ265" i="46"/>
  <c r="AR265" i="46" s="1"/>
  <c r="AS265" i="46" s="1"/>
  <c r="AU265" i="46" s="1"/>
  <c r="CG18" i="46"/>
  <c r="CH18" i="46" s="1"/>
  <c r="CI18" i="46" s="1"/>
  <c r="CG37" i="46"/>
  <c r="CH37" i="46" s="1"/>
  <c r="CI37" i="46" s="1"/>
  <c r="V120" i="46"/>
  <c r="W120" i="46" s="1"/>
  <c r="X120" i="46" s="1"/>
  <c r="S120" i="46" s="1"/>
  <c r="AG120" i="46" s="1"/>
  <c r="CG313" i="46"/>
  <c r="CH313" i="46" s="1"/>
  <c r="CI313" i="46" s="1"/>
  <c r="CD313" i="46" s="1"/>
  <c r="CR313" i="46" s="1"/>
  <c r="CG336" i="46"/>
  <c r="CH336" i="46" s="1"/>
  <c r="CI336" i="46" s="1"/>
  <c r="CD336" i="46" s="1"/>
  <c r="CR336" i="46" s="1"/>
  <c r="CG274" i="46"/>
  <c r="CH274" i="46" s="1"/>
  <c r="CI274" i="46" s="1"/>
  <c r="CD274" i="46" s="1"/>
  <c r="CR274" i="46" s="1"/>
  <c r="CG94" i="46"/>
  <c r="CH94" i="46" s="1"/>
  <c r="CI94" i="46" s="1"/>
  <c r="CK94" i="46" s="1"/>
  <c r="BN36" i="46"/>
  <c r="BI36" i="46" s="1"/>
  <c r="BW36" i="46" s="1"/>
  <c r="BN21" i="46"/>
  <c r="BI21" i="46" s="1"/>
  <c r="BW21" i="46" s="1"/>
  <c r="V283" i="46"/>
  <c r="W283" i="46" s="1"/>
  <c r="X283" i="46" s="1"/>
  <c r="AQ268" i="46"/>
  <c r="AR268" i="46" s="1"/>
  <c r="AS268" i="46" s="1"/>
  <c r="AN268" i="46" s="1"/>
  <c r="BB268" i="46" s="1"/>
  <c r="AQ227" i="46"/>
  <c r="AR227" i="46" s="1"/>
  <c r="AS227" i="46" s="1"/>
  <c r="AQ257" i="46"/>
  <c r="AR257" i="46" s="1"/>
  <c r="AS257" i="46" s="1"/>
  <c r="BN145" i="46"/>
  <c r="BP145" i="46" s="1"/>
  <c r="CG54" i="46"/>
  <c r="CH54" i="46" s="1"/>
  <c r="CI54" i="46" s="1"/>
  <c r="CK54" i="46" s="1"/>
  <c r="AQ104" i="46"/>
  <c r="AR104" i="46" s="1"/>
  <c r="AS104" i="46" s="1"/>
  <c r="AU104" i="46" s="1"/>
  <c r="AQ75" i="46"/>
  <c r="AR75" i="46" s="1"/>
  <c r="AS75" i="46" s="1"/>
  <c r="CG152" i="46"/>
  <c r="CH152" i="46" s="1"/>
  <c r="CI152" i="46" s="1"/>
  <c r="CK152" i="46" s="1"/>
  <c r="CG123" i="46"/>
  <c r="CH123" i="46" s="1"/>
  <c r="CI123" i="46" s="1"/>
  <c r="CK123" i="46" s="1"/>
  <c r="V21" i="46"/>
  <c r="W21" i="46" s="1"/>
  <c r="X21" i="46" s="1"/>
  <c r="V107" i="46"/>
  <c r="W107" i="46" s="1"/>
  <c r="X107" i="46" s="1"/>
  <c r="S107" i="46" s="1"/>
  <c r="AG107" i="46" s="1"/>
  <c r="V118" i="46"/>
  <c r="W118" i="46" s="1"/>
  <c r="X118" i="46" s="1"/>
  <c r="S118" i="46" s="1"/>
  <c r="AG118" i="46" s="1"/>
  <c r="BN172" i="46"/>
  <c r="BP172" i="46" s="1"/>
  <c r="BN90" i="46"/>
  <c r="BI90" i="46" s="1"/>
  <c r="BW90" i="46" s="1"/>
  <c r="CG142" i="46"/>
  <c r="CH142" i="46" s="1"/>
  <c r="CI142" i="46" s="1"/>
  <c r="CD142" i="46" s="1"/>
  <c r="CR142" i="46" s="1"/>
  <c r="CG103" i="46"/>
  <c r="CH103" i="46" s="1"/>
  <c r="CI103" i="46" s="1"/>
  <c r="CK103" i="46" s="1"/>
  <c r="CG112" i="46"/>
  <c r="CH112" i="46" s="1"/>
  <c r="CI112" i="46" s="1"/>
  <c r="BN99" i="46"/>
  <c r="BI99" i="46" s="1"/>
  <c r="BW99" i="46" s="1"/>
  <c r="AQ161" i="46"/>
  <c r="AR161" i="46" s="1"/>
  <c r="AS161" i="46" s="1"/>
  <c r="BN201" i="46"/>
  <c r="BI201" i="46" s="1"/>
  <c r="BW201" i="46" s="1"/>
  <c r="AQ216" i="46"/>
  <c r="AR216" i="46" s="1"/>
  <c r="AS216" i="46" s="1"/>
  <c r="V54" i="46"/>
  <c r="W54" i="46" s="1"/>
  <c r="X54" i="46" s="1"/>
  <c r="V113" i="46"/>
  <c r="W113" i="46" s="1"/>
  <c r="X113" i="46" s="1"/>
  <c r="S113" i="46" s="1"/>
  <c r="AG113" i="46" s="1"/>
  <c r="V342" i="46"/>
  <c r="W342" i="46" s="1"/>
  <c r="X342" i="46" s="1"/>
  <c r="BN329" i="46"/>
  <c r="BP329" i="46" s="1"/>
  <c r="V255" i="46"/>
  <c r="W255" i="46" s="1"/>
  <c r="X255" i="46" s="1"/>
  <c r="S255" i="46" s="1"/>
  <c r="AG255" i="46" s="1"/>
  <c r="V174" i="46"/>
  <c r="W174" i="46" s="1"/>
  <c r="X174" i="46" s="1"/>
  <c r="S174" i="46" s="1"/>
  <c r="AG174" i="46" s="1"/>
  <c r="BN126" i="46"/>
  <c r="BI126" i="46" s="1"/>
  <c r="BW126" i="46" s="1"/>
  <c r="V27" i="46"/>
  <c r="W27" i="46" s="1"/>
  <c r="X27" i="46" s="1"/>
  <c r="S27" i="46" s="1"/>
  <c r="AG27" i="46" s="1"/>
  <c r="CG232" i="46"/>
  <c r="CH232" i="46" s="1"/>
  <c r="CI232" i="46" s="1"/>
  <c r="CG303" i="46"/>
  <c r="CH303" i="46" s="1"/>
  <c r="CI303" i="46" s="1"/>
  <c r="CK303" i="46" s="1"/>
  <c r="BN207" i="46"/>
  <c r="BP207" i="46" s="1"/>
  <c r="CG287" i="46"/>
  <c r="CH287" i="46" s="1"/>
  <c r="CI287" i="46" s="1"/>
  <c r="AQ36" i="46"/>
  <c r="AR36" i="46" s="1"/>
  <c r="AS36" i="46" s="1"/>
  <c r="AU36" i="46" s="1"/>
  <c r="AQ145" i="46"/>
  <c r="AR145" i="46" s="1"/>
  <c r="AS145" i="46" s="1"/>
  <c r="AN145" i="46" s="1"/>
  <c r="BB145" i="46" s="1"/>
  <c r="V51" i="46"/>
  <c r="W51" i="46" s="1"/>
  <c r="X51" i="46" s="1"/>
  <c r="V209" i="46"/>
  <c r="W209" i="46" s="1"/>
  <c r="X209" i="46" s="1"/>
  <c r="AQ35" i="46"/>
  <c r="AR35" i="46" s="1"/>
  <c r="AS35" i="46" s="1"/>
  <c r="BN98" i="46"/>
  <c r="BI98" i="46" s="1"/>
  <c r="BW98" i="46" s="1"/>
  <c r="CG188" i="46"/>
  <c r="CH188" i="46" s="1"/>
  <c r="CI188" i="46" s="1"/>
  <c r="BN102" i="46"/>
  <c r="BI102" i="46" s="1"/>
  <c r="BW102" i="46" s="1"/>
  <c r="BN281" i="46"/>
  <c r="BP281" i="46" s="1"/>
  <c r="AQ199" i="46"/>
  <c r="AR199" i="46" s="1"/>
  <c r="AS199" i="46" s="1"/>
  <c r="BN343" i="46"/>
  <c r="BP343" i="46" s="1"/>
  <c r="AQ206" i="46"/>
  <c r="AR206" i="46" s="1"/>
  <c r="AS206" i="46" s="1"/>
  <c r="BN65" i="46"/>
  <c r="BI65" i="46" s="1"/>
  <c r="BW65" i="46" s="1"/>
  <c r="V60" i="46"/>
  <c r="W60" i="46" s="1"/>
  <c r="X60" i="46" s="1"/>
  <c r="CG72" i="46"/>
  <c r="CH72" i="46" s="1"/>
  <c r="CI72" i="46" s="1"/>
  <c r="BN115" i="46"/>
  <c r="BP115" i="46" s="1"/>
  <c r="BN94" i="46"/>
  <c r="BI94" i="46" s="1"/>
  <c r="BW94" i="46" s="1"/>
  <c r="V278" i="46"/>
  <c r="W278" i="46" s="1"/>
  <c r="X278" i="46" s="1"/>
  <c r="S278" i="46" s="1"/>
  <c r="AG278" i="46" s="1"/>
  <c r="AQ261" i="46"/>
  <c r="AR261" i="46" s="1"/>
  <c r="AS261" i="46" s="1"/>
  <c r="CG178" i="46"/>
  <c r="CH178" i="46" s="1"/>
  <c r="CI178" i="46" s="1"/>
  <c r="CK178" i="46" s="1"/>
  <c r="AQ95" i="46"/>
  <c r="AR95" i="46" s="1"/>
  <c r="AS95" i="46" s="1"/>
  <c r="AN95" i="46" s="1"/>
  <c r="BB95" i="46" s="1"/>
  <c r="AQ217" i="46"/>
  <c r="AR217" i="46" s="1"/>
  <c r="AS217" i="46" s="1"/>
  <c r="AU217" i="46" s="1"/>
  <c r="AQ66" i="46"/>
  <c r="AR66" i="46" s="1"/>
  <c r="AS66" i="46" s="1"/>
  <c r="AQ105" i="46"/>
  <c r="AR105" i="46" s="1"/>
  <c r="AS105" i="46" s="1"/>
  <c r="AQ229" i="46"/>
  <c r="AR229" i="46" s="1"/>
  <c r="AS229" i="46" s="1"/>
  <c r="CG162" i="46"/>
  <c r="CH162" i="46" s="1"/>
  <c r="CI162" i="46" s="1"/>
  <c r="CD162" i="46" s="1"/>
  <c r="CR162" i="46" s="1"/>
  <c r="BN312" i="46"/>
  <c r="BI312" i="46" s="1"/>
  <c r="BW312" i="46" s="1"/>
  <c r="V338" i="46"/>
  <c r="W338" i="46" s="1"/>
  <c r="X338" i="46" s="1"/>
  <c r="Z338" i="46" s="1"/>
  <c r="V82" i="46"/>
  <c r="W82" i="46" s="1"/>
  <c r="X82" i="46" s="1"/>
  <c r="Z82" i="46" s="1"/>
  <c r="CG308" i="46"/>
  <c r="CH308" i="46" s="1"/>
  <c r="CI308" i="46" s="1"/>
  <c r="CD308" i="46" s="1"/>
  <c r="CR308" i="46" s="1"/>
  <c r="CG160" i="46"/>
  <c r="CH160" i="46" s="1"/>
  <c r="CI160" i="46" s="1"/>
  <c r="AQ318" i="46"/>
  <c r="AR318" i="46" s="1"/>
  <c r="AS318" i="46" s="1"/>
  <c r="AU318" i="46" s="1"/>
  <c r="CG242" i="46"/>
  <c r="CH242" i="46" s="1"/>
  <c r="CI242" i="46" s="1"/>
  <c r="CD242" i="46" s="1"/>
  <c r="CR242" i="46" s="1"/>
  <c r="AQ102" i="46"/>
  <c r="AR102" i="46" s="1"/>
  <c r="AS102" i="46" s="1"/>
  <c r="AU102" i="46" s="1"/>
  <c r="AQ270" i="46"/>
  <c r="AR270" i="46" s="1"/>
  <c r="AS270" i="46" s="1"/>
  <c r="AN270" i="46" s="1"/>
  <c r="BB270" i="46" s="1"/>
  <c r="CG335" i="46"/>
  <c r="CH335" i="46" s="1"/>
  <c r="CI335" i="46" s="1"/>
  <c r="V86" i="46"/>
  <c r="W86" i="46" s="1"/>
  <c r="X86" i="46" s="1"/>
  <c r="AQ328" i="46"/>
  <c r="AR328" i="46" s="1"/>
  <c r="AS328" i="46" s="1"/>
  <c r="AQ54" i="46"/>
  <c r="AR54" i="46" s="1"/>
  <c r="AS54" i="46" s="1"/>
  <c r="AN54" i="46" s="1"/>
  <c r="BB54" i="46" s="1"/>
  <c r="CG110" i="46"/>
  <c r="CH110" i="46" s="1"/>
  <c r="CI110" i="46" s="1"/>
  <c r="CK110" i="46" s="1"/>
  <c r="V56" i="46"/>
  <c r="W56" i="46" s="1"/>
  <c r="X56" i="46" s="1"/>
  <c r="S56" i="46" s="1"/>
  <c r="AG56" i="46" s="1"/>
  <c r="V196" i="46"/>
  <c r="W196" i="46" s="1"/>
  <c r="X196" i="46" s="1"/>
  <c r="V150" i="46"/>
  <c r="W150" i="46" s="1"/>
  <c r="X150" i="46" s="1"/>
  <c r="Z150" i="46" s="1"/>
  <c r="BN238" i="46"/>
  <c r="BI238" i="46" s="1"/>
  <c r="BW238" i="46" s="1"/>
  <c r="AQ106" i="46"/>
  <c r="AR106" i="46" s="1"/>
  <c r="AS106" i="46" s="1"/>
  <c r="CG92" i="46"/>
  <c r="CH92" i="46" s="1"/>
  <c r="CI92" i="46" s="1"/>
  <c r="CG325" i="46"/>
  <c r="CH325" i="46" s="1"/>
  <c r="CI325" i="46" s="1"/>
  <c r="V325" i="46"/>
  <c r="W325" i="46" s="1"/>
  <c r="X325" i="46" s="1"/>
  <c r="Z325" i="46" s="1"/>
  <c r="BN69" i="46"/>
  <c r="BP69" i="46" s="1"/>
  <c r="BN284" i="46"/>
  <c r="BP284" i="46" s="1"/>
  <c r="CG176" i="46"/>
  <c r="CH176" i="46" s="1"/>
  <c r="CI176" i="46" s="1"/>
  <c r="V276" i="46"/>
  <c r="W276" i="46" s="1"/>
  <c r="X276" i="46" s="1"/>
  <c r="Z276" i="46" s="1"/>
  <c r="BN233" i="46"/>
  <c r="BI233" i="46" s="1"/>
  <c r="BW233" i="46" s="1"/>
  <c r="AQ124" i="46"/>
  <c r="AR124" i="46" s="1"/>
  <c r="AS124" i="46" s="1"/>
  <c r="AU124" i="46" s="1"/>
  <c r="BN246" i="46"/>
  <c r="BP246" i="46" s="1"/>
  <c r="CG276" i="46"/>
  <c r="CH276" i="46" s="1"/>
  <c r="CI276" i="46" s="1"/>
  <c r="CD276" i="46" s="1"/>
  <c r="CR276" i="46" s="1"/>
  <c r="V227" i="46"/>
  <c r="W227" i="46" s="1"/>
  <c r="X227" i="46" s="1"/>
  <c r="CG77" i="46"/>
  <c r="CH77" i="46" s="1"/>
  <c r="CI77" i="46" s="1"/>
  <c r="CD77" i="46" s="1"/>
  <c r="CR77" i="46" s="1"/>
  <c r="AQ252" i="46"/>
  <c r="AR252" i="46" s="1"/>
  <c r="AS252" i="46" s="1"/>
  <c r="AQ19" i="46"/>
  <c r="AR19" i="46" s="1"/>
  <c r="AS19" i="46" s="1"/>
  <c r="AN19" i="46" s="1"/>
  <c r="BB19" i="46" s="1"/>
  <c r="V305" i="46"/>
  <c r="W305" i="46" s="1"/>
  <c r="X305" i="46" s="1"/>
  <c r="CG30" i="46"/>
  <c r="CH30" i="46" s="1"/>
  <c r="CI30" i="46" s="1"/>
  <c r="CD30" i="46" s="1"/>
  <c r="CR30" i="46" s="1"/>
  <c r="CG293" i="46"/>
  <c r="CH293" i="46" s="1"/>
  <c r="CI293" i="46" s="1"/>
  <c r="CD293" i="46" s="1"/>
  <c r="CR293" i="46" s="1"/>
  <c r="CG182" i="46"/>
  <c r="CH182" i="46" s="1"/>
  <c r="CI182" i="46" s="1"/>
  <c r="CK182" i="46" s="1"/>
  <c r="AQ123" i="46"/>
  <c r="AR123" i="46" s="1"/>
  <c r="AS123" i="46" s="1"/>
  <c r="AU123" i="46" s="1"/>
  <c r="CG134" i="46"/>
  <c r="CH134" i="46" s="1"/>
  <c r="CI134" i="46" s="1"/>
  <c r="CD134" i="46" s="1"/>
  <c r="CR134" i="46" s="1"/>
  <c r="V251" i="46"/>
  <c r="W251" i="46" s="1"/>
  <c r="X251" i="46" s="1"/>
  <c r="S251" i="46" s="1"/>
  <c r="AG251" i="46" s="1"/>
  <c r="CG170" i="46"/>
  <c r="CH170" i="46" s="1"/>
  <c r="CI170" i="46" s="1"/>
  <c r="CD170" i="46" s="1"/>
  <c r="CR170" i="46" s="1"/>
  <c r="AQ48" i="46"/>
  <c r="AR48" i="46" s="1"/>
  <c r="AS48" i="46" s="1"/>
  <c r="AN48" i="46" s="1"/>
  <c r="BB48" i="46" s="1"/>
  <c r="AQ204" i="46"/>
  <c r="AR204" i="46" s="1"/>
  <c r="AS204" i="46" s="1"/>
  <c r="AN204" i="46" s="1"/>
  <c r="BB204" i="46" s="1"/>
  <c r="V214" i="46"/>
  <c r="W214" i="46" s="1"/>
  <c r="X214" i="46" s="1"/>
  <c r="S214" i="46" s="1"/>
  <c r="AG214" i="46" s="1"/>
  <c r="CG149" i="46"/>
  <c r="CH149" i="46" s="1"/>
  <c r="CI149" i="46" s="1"/>
  <c r="AQ122" i="46"/>
  <c r="AR122" i="46" s="1"/>
  <c r="AS122" i="46" s="1"/>
  <c r="AU122" i="46" s="1"/>
  <c r="AQ93" i="46"/>
  <c r="AR93" i="46" s="1"/>
  <c r="AS93" i="46" s="1"/>
  <c r="BN110" i="46"/>
  <c r="BI110" i="46" s="1"/>
  <c r="BW110" i="46" s="1"/>
  <c r="V20" i="46"/>
  <c r="W20" i="46" s="1"/>
  <c r="X20" i="46" s="1"/>
  <c r="Z20" i="46" s="1"/>
  <c r="V339" i="46"/>
  <c r="W339" i="46" s="1"/>
  <c r="X339" i="46" s="1"/>
  <c r="CG338" i="46"/>
  <c r="CH338" i="46" s="1"/>
  <c r="CI338" i="46" s="1"/>
  <c r="BN220" i="46"/>
  <c r="BP220" i="46" s="1"/>
  <c r="V286" i="46"/>
  <c r="W286" i="46" s="1"/>
  <c r="X286" i="46" s="1"/>
  <c r="S286" i="46" s="1"/>
  <c r="AG286" i="46" s="1"/>
  <c r="AQ244" i="46"/>
  <c r="AR244" i="46" s="1"/>
  <c r="AS244" i="46" s="1"/>
  <c r="AN244" i="46" s="1"/>
  <c r="BB244" i="46" s="1"/>
  <c r="BN203" i="46"/>
  <c r="BP203" i="46" s="1"/>
  <c r="AQ241" i="46"/>
  <c r="AR241" i="46" s="1"/>
  <c r="AS241" i="46" s="1"/>
  <c r="CG312" i="46"/>
  <c r="CH312" i="46" s="1"/>
  <c r="CI312" i="46" s="1"/>
  <c r="CD312" i="46" s="1"/>
  <c r="CR312" i="46" s="1"/>
  <c r="V208" i="46"/>
  <c r="W208" i="46" s="1"/>
  <c r="X208" i="46" s="1"/>
  <c r="AQ107" i="46"/>
  <c r="AR107" i="46" s="1"/>
  <c r="AS107" i="46" s="1"/>
  <c r="AN107" i="46" s="1"/>
  <c r="BB107" i="46" s="1"/>
  <c r="BN193" i="46"/>
  <c r="BP193" i="46" s="1"/>
  <c r="CG120" i="46"/>
  <c r="CH120" i="46" s="1"/>
  <c r="CI120" i="46" s="1"/>
  <c r="CK120" i="46" s="1"/>
  <c r="AQ269" i="46"/>
  <c r="AR269" i="46" s="1"/>
  <c r="AS269" i="46" s="1"/>
  <c r="CG141" i="46"/>
  <c r="CH141" i="46" s="1"/>
  <c r="CI141" i="46" s="1"/>
  <c r="AQ325" i="46"/>
  <c r="AR325" i="46" s="1"/>
  <c r="AS325" i="46" s="1"/>
  <c r="AU325" i="46" s="1"/>
  <c r="AQ342" i="46"/>
  <c r="AR342" i="46" s="1"/>
  <c r="AS342" i="46" s="1"/>
  <c r="CG17" i="46"/>
  <c r="CH17" i="46" s="1"/>
  <c r="CI17" i="46" s="1"/>
  <c r="CD17" i="46" s="1"/>
  <c r="CR17" i="46" s="1"/>
  <c r="BN183" i="46"/>
  <c r="BP183" i="46" s="1"/>
  <c r="BN265" i="46"/>
  <c r="BP265" i="46" s="1"/>
  <c r="BN157" i="46"/>
  <c r="BI157" i="46" s="1"/>
  <c r="BW157" i="46" s="1"/>
  <c r="CG342" i="46"/>
  <c r="CH342" i="46" s="1"/>
  <c r="CI342" i="46" s="1"/>
  <c r="CG69" i="46"/>
  <c r="CH69" i="46" s="1"/>
  <c r="CI69" i="46" s="1"/>
  <c r="CG224" i="46"/>
  <c r="CH224" i="46" s="1"/>
  <c r="CI224" i="46" s="1"/>
  <c r="CD224" i="46" s="1"/>
  <c r="CR224" i="46" s="1"/>
  <c r="CG47" i="46"/>
  <c r="CH47" i="46" s="1"/>
  <c r="CI47" i="46" s="1"/>
  <c r="CK47" i="46" s="1"/>
  <c r="AQ57" i="46"/>
  <c r="AR57" i="46" s="1"/>
  <c r="AS57" i="46" s="1"/>
  <c r="CG306" i="46"/>
  <c r="CH306" i="46" s="1"/>
  <c r="CI306" i="46" s="1"/>
  <c r="CK306" i="46" s="1"/>
  <c r="BN158" i="46"/>
  <c r="BI158" i="46" s="1"/>
  <c r="BW158" i="46" s="1"/>
  <c r="BN305" i="46"/>
  <c r="BI305" i="46" s="1"/>
  <c r="BW305" i="46" s="1"/>
  <c r="BN64" i="46"/>
  <c r="BP64" i="46" s="1"/>
  <c r="CI205" i="46"/>
  <c r="CD205" i="46" s="1"/>
  <c r="CR205" i="46" s="1"/>
  <c r="V110" i="46"/>
  <c r="W110" i="46" s="1"/>
  <c r="X110" i="46" s="1"/>
  <c r="AQ88" i="46"/>
  <c r="AR88" i="46" s="1"/>
  <c r="AS88" i="46" s="1"/>
  <c r="AN88" i="46" s="1"/>
  <c r="BB88" i="46" s="1"/>
  <c r="AQ21" i="46"/>
  <c r="AR21" i="46" s="1"/>
  <c r="AS21" i="46" s="1"/>
  <c r="BN283" i="46"/>
  <c r="BP283" i="46" s="1"/>
  <c r="CI169" i="46"/>
  <c r="CD169" i="46" s="1"/>
  <c r="CR169" i="46" s="1"/>
  <c r="V242" i="46"/>
  <c r="W242" i="46" s="1"/>
  <c r="X242" i="46" s="1"/>
  <c r="CG194" i="46"/>
  <c r="CH194" i="46" s="1"/>
  <c r="CI194" i="46" s="1"/>
  <c r="CD194" i="46" s="1"/>
  <c r="CR194" i="46" s="1"/>
  <c r="AQ315" i="46"/>
  <c r="AR315" i="46" s="1"/>
  <c r="AS315" i="46" s="1"/>
  <c r="AU315" i="46" s="1"/>
  <c r="V141" i="46"/>
  <c r="W141" i="46" s="1"/>
  <c r="X141" i="46" s="1"/>
  <c r="AQ31" i="46"/>
  <c r="AR31" i="46" s="1"/>
  <c r="AS31" i="46" s="1"/>
  <c r="AU31" i="46" s="1"/>
  <c r="V337" i="46"/>
  <c r="W337" i="46" s="1"/>
  <c r="X337" i="46" s="1"/>
  <c r="Z337" i="46" s="1"/>
  <c r="V61" i="46"/>
  <c r="W61" i="46" s="1"/>
  <c r="X61" i="46" s="1"/>
  <c r="S61" i="46" s="1"/>
  <c r="AG61" i="46" s="1"/>
  <c r="BN185" i="46"/>
  <c r="BP185" i="46" s="1"/>
  <c r="AQ42" i="46"/>
  <c r="AR42" i="46" s="1"/>
  <c r="AS42" i="46" s="1"/>
  <c r="AN42" i="46" s="1"/>
  <c r="BB42" i="46" s="1"/>
  <c r="BN25" i="46"/>
  <c r="BP25" i="46" s="1"/>
  <c r="CG309" i="46"/>
  <c r="CH309" i="46" s="1"/>
  <c r="CI309" i="46" s="1"/>
  <c r="CD309" i="46" s="1"/>
  <c r="CR309" i="46" s="1"/>
  <c r="CG334" i="46"/>
  <c r="CH334" i="46" s="1"/>
  <c r="CI334" i="46" s="1"/>
  <c r="AQ111" i="46"/>
  <c r="AR111" i="46" s="1"/>
  <c r="AS111" i="46" s="1"/>
  <c r="AU111" i="46" s="1"/>
  <c r="CG332" i="46"/>
  <c r="CH332" i="46" s="1"/>
  <c r="CI332" i="46" s="1"/>
  <c r="AQ218" i="46"/>
  <c r="AR218" i="46" s="1"/>
  <c r="AS218" i="46" s="1"/>
  <c r="CG339" i="46"/>
  <c r="CH339" i="46" s="1"/>
  <c r="CI339" i="46" s="1"/>
  <c r="AQ266" i="46"/>
  <c r="AR266" i="46" s="1"/>
  <c r="AS266" i="46" s="1"/>
  <c r="AQ141" i="46"/>
  <c r="AR141" i="46" s="1"/>
  <c r="AS141" i="46" s="1"/>
  <c r="AN141" i="46" s="1"/>
  <c r="BB141" i="46" s="1"/>
  <c r="CG284" i="46"/>
  <c r="CH284" i="46" s="1"/>
  <c r="CI284" i="46" s="1"/>
  <c r="V40" i="46"/>
  <c r="W40" i="46" s="1"/>
  <c r="X40" i="46" s="1"/>
  <c r="V28" i="46"/>
  <c r="W28" i="46" s="1"/>
  <c r="X28" i="46" s="1"/>
  <c r="CG343" i="46"/>
  <c r="CH343" i="46" s="1"/>
  <c r="CI343" i="46" s="1"/>
  <c r="V126" i="46"/>
  <c r="W126" i="46" s="1"/>
  <c r="X126" i="46" s="1"/>
  <c r="Z126" i="46" s="1"/>
  <c r="AQ305" i="46"/>
  <c r="AR305" i="46" s="1"/>
  <c r="AS305" i="46" s="1"/>
  <c r="AU305" i="46" s="1"/>
  <c r="CG208" i="46"/>
  <c r="CH208" i="46" s="1"/>
  <c r="CI208" i="46" s="1"/>
  <c r="CD208" i="46" s="1"/>
  <c r="CR208" i="46" s="1"/>
  <c r="CS54" i="32"/>
  <c r="AQ186" i="46"/>
  <c r="AR186" i="46" s="1"/>
  <c r="AS186" i="46" s="1"/>
  <c r="AU186" i="46" s="1"/>
  <c r="CG186" i="46"/>
  <c r="CH186" i="46" s="1"/>
  <c r="CI186" i="46" s="1"/>
  <c r="AQ307" i="46"/>
  <c r="AR307" i="46" s="1"/>
  <c r="AS307" i="46" s="1"/>
  <c r="AN307" i="46" s="1"/>
  <c r="BB307" i="46" s="1"/>
  <c r="CG203" i="46"/>
  <c r="CH203" i="46" s="1"/>
  <c r="CI203" i="46" s="1"/>
  <c r="AQ236" i="46"/>
  <c r="AR236" i="46" s="1"/>
  <c r="AS236" i="46" s="1"/>
  <c r="AN236" i="46" s="1"/>
  <c r="BB236" i="46" s="1"/>
  <c r="CG321" i="46"/>
  <c r="CH321" i="46" s="1"/>
  <c r="CI321" i="46" s="1"/>
  <c r="CG161" i="46"/>
  <c r="CH161" i="46" s="1"/>
  <c r="CI161" i="46" s="1"/>
  <c r="V343" i="46"/>
  <c r="W343" i="46" s="1"/>
  <c r="X343" i="46" s="1"/>
  <c r="S343" i="46" s="1"/>
  <c r="AG343" i="46" s="1"/>
  <c r="V193" i="46"/>
  <c r="W193" i="46" s="1"/>
  <c r="X193" i="46" s="1"/>
  <c r="S193" i="46" s="1"/>
  <c r="AG193" i="46" s="1"/>
  <c r="AQ344" i="46"/>
  <c r="AR344" i="46" s="1"/>
  <c r="AS344" i="46" s="1"/>
  <c r="AU344" i="46" s="1"/>
  <c r="AQ220" i="46"/>
  <c r="AR220" i="46" s="1"/>
  <c r="AS220" i="46" s="1"/>
  <c r="V44" i="46"/>
  <c r="W44" i="46" s="1"/>
  <c r="X44" i="46" s="1"/>
  <c r="BN26" i="46"/>
  <c r="BI26" i="46" s="1"/>
  <c r="BW26" i="46" s="1"/>
  <c r="V75" i="46"/>
  <c r="W75" i="46" s="1"/>
  <c r="X75" i="46" s="1"/>
  <c r="AQ132" i="46"/>
  <c r="AR132" i="46" s="1"/>
  <c r="AS132" i="46" s="1"/>
  <c r="CG26" i="46"/>
  <c r="CH26" i="46" s="1"/>
  <c r="CI26" i="46" s="1"/>
  <c r="AQ212" i="46"/>
  <c r="AR212" i="46" s="1"/>
  <c r="AS212" i="46" s="1"/>
  <c r="AU212" i="46" s="1"/>
  <c r="BN296" i="46"/>
  <c r="BI296" i="46" s="1"/>
  <c r="BW296" i="46" s="1"/>
  <c r="CG173" i="46"/>
  <c r="CH173" i="46" s="1"/>
  <c r="CI173" i="46" s="1"/>
  <c r="CK173" i="46" s="1"/>
  <c r="BN31" i="46"/>
  <c r="BP31" i="46" s="1"/>
  <c r="CG283" i="46"/>
  <c r="CH283" i="46" s="1"/>
  <c r="CI283" i="46" s="1"/>
  <c r="CK283" i="46" s="1"/>
  <c r="CG195" i="46"/>
  <c r="CH195" i="46" s="1"/>
  <c r="CI195" i="46" s="1"/>
  <c r="AQ117" i="46"/>
  <c r="AR117" i="46" s="1"/>
  <c r="AS117" i="46" s="1"/>
  <c r="AN117" i="46" s="1"/>
  <c r="BB117" i="46" s="1"/>
  <c r="CG79" i="46"/>
  <c r="CH79" i="46" s="1"/>
  <c r="CI79" i="46" s="1"/>
  <c r="BN277" i="46"/>
  <c r="BP277" i="46" s="1"/>
  <c r="CG165" i="46"/>
  <c r="CH165" i="46" s="1"/>
  <c r="CI165" i="46" s="1"/>
  <c r="CD165" i="46" s="1"/>
  <c r="CR165" i="46" s="1"/>
  <c r="V218" i="46"/>
  <c r="W218" i="46" s="1"/>
  <c r="X218" i="46" s="1"/>
  <c r="Z218" i="46" s="1"/>
  <c r="V309" i="46"/>
  <c r="W309" i="46" s="1"/>
  <c r="X309" i="46" s="1"/>
  <c r="BN79" i="46"/>
  <c r="BP79" i="46" s="1"/>
  <c r="BN311" i="46"/>
  <c r="BP311" i="46" s="1"/>
  <c r="V92" i="46"/>
  <c r="W92" i="46" s="1"/>
  <c r="X92" i="46" s="1"/>
  <c r="Z92" i="46" s="1"/>
  <c r="V268" i="46"/>
  <c r="W268" i="46" s="1"/>
  <c r="X268" i="46" s="1"/>
  <c r="Z268" i="46" s="1"/>
  <c r="BN225" i="46"/>
  <c r="BP225" i="46" s="1"/>
  <c r="CG115" i="46"/>
  <c r="CH115" i="46" s="1"/>
  <c r="CI115" i="46" s="1"/>
  <c r="V85" i="46"/>
  <c r="W85" i="46" s="1"/>
  <c r="X85" i="46" s="1"/>
  <c r="CG24" i="46"/>
  <c r="CH24" i="46" s="1"/>
  <c r="CI24" i="46" s="1"/>
  <c r="CG298" i="46"/>
  <c r="CH298" i="46" s="1"/>
  <c r="CI298" i="46" s="1"/>
  <c r="CD298" i="46" s="1"/>
  <c r="CR298" i="46" s="1"/>
  <c r="CG253" i="46"/>
  <c r="CH253" i="46" s="1"/>
  <c r="CI253" i="46" s="1"/>
  <c r="CK253" i="46" s="1"/>
  <c r="AQ340" i="46"/>
  <c r="AR340" i="46" s="1"/>
  <c r="AS340" i="46" s="1"/>
  <c r="AN340" i="46" s="1"/>
  <c r="BB340" i="46" s="1"/>
  <c r="CG300" i="46"/>
  <c r="CH300" i="46" s="1"/>
  <c r="CI300" i="46" s="1"/>
  <c r="CD300" i="46" s="1"/>
  <c r="CR300" i="46" s="1"/>
  <c r="BN271" i="46"/>
  <c r="BI271" i="46" s="1"/>
  <c r="BW271" i="46" s="1"/>
  <c r="CG81" i="46"/>
  <c r="CH81" i="46" s="1"/>
  <c r="CI81" i="46" s="1"/>
  <c r="V202" i="46"/>
  <c r="W202" i="46" s="1"/>
  <c r="X202" i="46" s="1"/>
  <c r="Z202" i="46" s="1"/>
  <c r="CG329" i="46"/>
  <c r="CH329" i="46" s="1"/>
  <c r="CI329" i="46" s="1"/>
  <c r="CD329" i="46" s="1"/>
  <c r="CR329" i="46" s="1"/>
  <c r="BN163" i="46"/>
  <c r="BI163" i="46" s="1"/>
  <c r="BW163" i="46" s="1"/>
  <c r="V65" i="46"/>
  <c r="W65" i="46" s="1"/>
  <c r="X65" i="46" s="1"/>
  <c r="S65" i="46" s="1"/>
  <c r="AG65" i="46" s="1"/>
  <c r="AQ332" i="46"/>
  <c r="AR332" i="46" s="1"/>
  <c r="AS332" i="46" s="1"/>
  <c r="AQ119" i="46"/>
  <c r="AR119" i="46" s="1"/>
  <c r="AS119" i="46" s="1"/>
  <c r="AU119" i="46" s="1"/>
  <c r="CG40" i="46"/>
  <c r="CH40" i="46" s="1"/>
  <c r="CI40" i="46" s="1"/>
  <c r="CK40" i="46" s="1"/>
  <c r="CG68" i="46"/>
  <c r="CH68" i="46" s="1"/>
  <c r="CI68" i="46" s="1"/>
  <c r="AQ87" i="46"/>
  <c r="AR87" i="46" s="1"/>
  <c r="AS87" i="46" s="1"/>
  <c r="CG282" i="46"/>
  <c r="CH282" i="46" s="1"/>
  <c r="CI282" i="46" s="1"/>
  <c r="CD282" i="46" s="1"/>
  <c r="CR282" i="46" s="1"/>
  <c r="V280" i="46"/>
  <c r="W280" i="46" s="1"/>
  <c r="X280" i="46" s="1"/>
  <c r="Z280" i="46" s="1"/>
  <c r="AQ341" i="46"/>
  <c r="AR341" i="46" s="1"/>
  <c r="AS341" i="46" s="1"/>
  <c r="AU341" i="46" s="1"/>
  <c r="V307" i="46"/>
  <c r="W307" i="46" s="1"/>
  <c r="X307" i="46" s="1"/>
  <c r="Z307" i="46" s="1"/>
  <c r="CG80" i="46"/>
  <c r="CH80" i="46" s="1"/>
  <c r="CI80" i="46" s="1"/>
  <c r="CD80" i="46" s="1"/>
  <c r="CR80" i="46" s="1"/>
  <c r="CG66" i="46"/>
  <c r="CH66" i="46" s="1"/>
  <c r="CI66" i="46" s="1"/>
  <c r="CK66" i="46" s="1"/>
  <c r="BN262" i="46"/>
  <c r="BP262" i="46" s="1"/>
  <c r="CG82" i="46"/>
  <c r="CH82" i="46" s="1"/>
  <c r="CI82" i="46" s="1"/>
  <c r="CD82" i="46" s="1"/>
  <c r="CR82" i="46" s="1"/>
  <c r="BN54" i="46"/>
  <c r="BI54" i="46" s="1"/>
  <c r="BW54" i="46" s="1"/>
  <c r="V99" i="46"/>
  <c r="W99" i="46" s="1"/>
  <c r="X99" i="46" s="1"/>
  <c r="CG219" i="46"/>
  <c r="CH219" i="46" s="1"/>
  <c r="CI219" i="46" s="1"/>
  <c r="CK219" i="46" s="1"/>
  <c r="CG122" i="46"/>
  <c r="CH122" i="46" s="1"/>
  <c r="CI122" i="46" s="1"/>
  <c r="CK122" i="46" s="1"/>
  <c r="BN117" i="46"/>
  <c r="BI117" i="46" s="1"/>
  <c r="BW117" i="46" s="1"/>
  <c r="BN226" i="46"/>
  <c r="BP226" i="46" s="1"/>
  <c r="BN294" i="46"/>
  <c r="BI294" i="46" s="1"/>
  <c r="BW294" i="46" s="1"/>
  <c r="V239" i="46"/>
  <c r="W239" i="46" s="1"/>
  <c r="X239" i="46" s="1"/>
  <c r="AQ286" i="46"/>
  <c r="AR286" i="46" s="1"/>
  <c r="AS286" i="46" s="1"/>
  <c r="AU286" i="46" s="1"/>
  <c r="V140" i="46"/>
  <c r="W140" i="46" s="1"/>
  <c r="X140" i="46" s="1"/>
  <c r="V233" i="46"/>
  <c r="W233" i="46" s="1"/>
  <c r="X233" i="46" s="1"/>
  <c r="S233" i="46" s="1"/>
  <c r="AG233" i="46" s="1"/>
  <c r="AQ118" i="46"/>
  <c r="AR118" i="46" s="1"/>
  <c r="AS118" i="46" s="1"/>
  <c r="CG330" i="46"/>
  <c r="CH330" i="46" s="1"/>
  <c r="CI330" i="46" s="1"/>
  <c r="CD330" i="46" s="1"/>
  <c r="CR330" i="46" s="1"/>
  <c r="V252" i="46"/>
  <c r="W252" i="46" s="1"/>
  <c r="X252" i="46" s="1"/>
  <c r="S252" i="46" s="1"/>
  <c r="AG252" i="46" s="1"/>
  <c r="V32" i="46"/>
  <c r="W32" i="46" s="1"/>
  <c r="X32" i="46" s="1"/>
  <c r="S32" i="46" s="1"/>
  <c r="AG32" i="46" s="1"/>
  <c r="CG264" i="46"/>
  <c r="CH264" i="46" s="1"/>
  <c r="CI264" i="46" s="1"/>
  <c r="AQ320" i="46"/>
  <c r="AR320" i="46" s="1"/>
  <c r="AS320" i="46" s="1"/>
  <c r="AQ17" i="46"/>
  <c r="AR17" i="46" s="1"/>
  <c r="AS17" i="46" s="1"/>
  <c r="AU17" i="46" s="1"/>
  <c r="CG234" i="46"/>
  <c r="CH234" i="46" s="1"/>
  <c r="CI234" i="46" s="1"/>
  <c r="AQ179" i="46"/>
  <c r="AR179" i="46" s="1"/>
  <c r="AS179" i="46" s="1"/>
  <c r="BN316" i="46"/>
  <c r="BP316" i="46" s="1"/>
  <c r="AQ84" i="46"/>
  <c r="AR84" i="46" s="1"/>
  <c r="AS84" i="46" s="1"/>
  <c r="AQ213" i="46"/>
  <c r="AR213" i="46" s="1"/>
  <c r="AS213" i="46" s="1"/>
  <c r="AU213" i="46" s="1"/>
  <c r="BN205" i="46"/>
  <c r="BP205" i="46" s="1"/>
  <c r="V224" i="46"/>
  <c r="W224" i="46" s="1"/>
  <c r="X224" i="46" s="1"/>
  <c r="Z224" i="46" s="1"/>
  <c r="BN113" i="46"/>
  <c r="BI113" i="46" s="1"/>
  <c r="BW113" i="46" s="1"/>
  <c r="BN273" i="46"/>
  <c r="BP273" i="46" s="1"/>
  <c r="CG130" i="46"/>
  <c r="CH130" i="46" s="1"/>
  <c r="CI130" i="46" s="1"/>
  <c r="CG228" i="46"/>
  <c r="CH228" i="46" s="1"/>
  <c r="CI228" i="46" s="1"/>
  <c r="CK228" i="46" s="1"/>
  <c r="CG97" i="46"/>
  <c r="CH97" i="46" s="1"/>
  <c r="CI97" i="46" s="1"/>
  <c r="CD97" i="46" s="1"/>
  <c r="CR97" i="46" s="1"/>
  <c r="V18" i="46"/>
  <c r="W18" i="46" s="1"/>
  <c r="X18" i="46" s="1"/>
  <c r="Z18" i="46" s="1"/>
  <c r="BN196" i="46"/>
  <c r="BI196" i="46" s="1"/>
  <c r="BW196" i="46" s="1"/>
  <c r="CG22" i="46"/>
  <c r="CH22" i="46" s="1"/>
  <c r="CI22" i="46" s="1"/>
  <c r="CG320" i="46"/>
  <c r="CH320" i="46" s="1"/>
  <c r="CI320" i="46" s="1"/>
  <c r="CK320" i="46" s="1"/>
  <c r="CG105" i="46"/>
  <c r="CH105" i="46" s="1"/>
  <c r="CI105" i="46" s="1"/>
  <c r="V311" i="46"/>
  <c r="W311" i="46" s="1"/>
  <c r="X311" i="46" s="1"/>
  <c r="Z311" i="46" s="1"/>
  <c r="CG258" i="46"/>
  <c r="CH258" i="46" s="1"/>
  <c r="CI258" i="46" s="1"/>
  <c r="CD258" i="46" s="1"/>
  <c r="CR258" i="46" s="1"/>
  <c r="V288" i="46"/>
  <c r="W288" i="46" s="1"/>
  <c r="X288" i="46" s="1"/>
  <c r="S288" i="46" s="1"/>
  <c r="AG288" i="46" s="1"/>
  <c r="V274" i="46"/>
  <c r="W274" i="46" s="1"/>
  <c r="X274" i="46" s="1"/>
  <c r="S274" i="46" s="1"/>
  <c r="AG274" i="46" s="1"/>
  <c r="BN132" i="46"/>
  <c r="BI132" i="46" s="1"/>
  <c r="BW132" i="46" s="1"/>
  <c r="V266" i="46"/>
  <c r="W266" i="46" s="1"/>
  <c r="X266" i="46" s="1"/>
  <c r="S266" i="46" s="1"/>
  <c r="AG266" i="46" s="1"/>
  <c r="AQ202" i="46"/>
  <c r="AR202" i="46" s="1"/>
  <c r="AS202" i="46" s="1"/>
  <c r="CG305" i="46"/>
  <c r="CH305" i="46" s="1"/>
  <c r="CI305" i="46" s="1"/>
  <c r="CG99" i="46"/>
  <c r="CH99" i="46" s="1"/>
  <c r="CI99" i="46" s="1"/>
  <c r="AQ306" i="46"/>
  <c r="AR306" i="46" s="1"/>
  <c r="AS306" i="46" s="1"/>
  <c r="CG36" i="46"/>
  <c r="CH36" i="46" s="1"/>
  <c r="CI36" i="46" s="1"/>
  <c r="CD36" i="46" s="1"/>
  <c r="CR36" i="46" s="1"/>
  <c r="BN103" i="46"/>
  <c r="BP103" i="46" s="1"/>
  <c r="AQ345" i="46"/>
  <c r="AR345" i="46" s="1"/>
  <c r="AS345" i="46" s="1"/>
  <c r="AN345" i="46" s="1"/>
  <c r="BB345" i="46" s="1"/>
  <c r="CG340" i="46"/>
  <c r="CH340" i="46" s="1"/>
  <c r="CI340" i="46" s="1"/>
  <c r="BN292" i="46"/>
  <c r="BI292" i="46" s="1"/>
  <c r="BW292" i="46" s="1"/>
  <c r="V105" i="46"/>
  <c r="W105" i="46" s="1"/>
  <c r="X105" i="46" s="1"/>
  <c r="AQ78" i="46"/>
  <c r="AR78" i="46" s="1"/>
  <c r="AS78" i="46" s="1"/>
  <c r="CG256" i="46"/>
  <c r="CH256" i="46" s="1"/>
  <c r="CI256" i="46" s="1"/>
  <c r="BN245" i="46"/>
  <c r="BI245" i="46" s="1"/>
  <c r="BW245" i="46" s="1"/>
  <c r="BN260" i="46"/>
  <c r="BI260" i="46" s="1"/>
  <c r="BW260" i="46" s="1"/>
  <c r="V175" i="46"/>
  <c r="W175" i="46" s="1"/>
  <c r="X175" i="46" s="1"/>
  <c r="S175" i="46" s="1"/>
  <c r="AG175" i="46" s="1"/>
  <c r="V315" i="46"/>
  <c r="W315" i="46" s="1"/>
  <c r="X315" i="46" s="1"/>
  <c r="S315" i="46" s="1"/>
  <c r="AG315" i="46" s="1"/>
  <c r="V206" i="46"/>
  <c r="W206" i="46" s="1"/>
  <c r="X206" i="46" s="1"/>
  <c r="S206" i="46" s="1"/>
  <c r="AG206" i="46" s="1"/>
  <c r="V247" i="46"/>
  <c r="W247" i="46" s="1"/>
  <c r="X247" i="46" s="1"/>
  <c r="Z247" i="46" s="1"/>
  <c r="BN341" i="46"/>
  <c r="BP341" i="46" s="1"/>
  <c r="AQ285" i="46"/>
  <c r="AR285" i="46" s="1"/>
  <c r="AS285" i="46" s="1"/>
  <c r="AU285" i="46" s="1"/>
  <c r="CG345" i="46"/>
  <c r="CH345" i="46" s="1"/>
  <c r="CI345" i="46" s="1"/>
  <c r="CK345" i="46" s="1"/>
  <c r="CG172" i="46"/>
  <c r="CH172" i="46" s="1"/>
  <c r="CI172" i="46" s="1"/>
  <c r="CD172" i="46" s="1"/>
  <c r="CR172" i="46" s="1"/>
  <c r="AQ254" i="46"/>
  <c r="AR254" i="46" s="1"/>
  <c r="AS254" i="46" s="1"/>
  <c r="BN179" i="46"/>
  <c r="BP179" i="46" s="1"/>
  <c r="AQ263" i="46"/>
  <c r="AR263" i="46" s="1"/>
  <c r="AS263" i="46" s="1"/>
  <c r="AN263" i="46" s="1"/>
  <c r="BB263" i="46" s="1"/>
  <c r="V26" i="46"/>
  <c r="W26" i="46" s="1"/>
  <c r="X26" i="46" s="1"/>
  <c r="Z26" i="46" s="1"/>
  <c r="BN218" i="46"/>
  <c r="BP218" i="46" s="1"/>
  <c r="BN272" i="46"/>
  <c r="BI272" i="46" s="1"/>
  <c r="BW272" i="46" s="1"/>
  <c r="AQ294" i="46"/>
  <c r="AR294" i="46" s="1"/>
  <c r="AS294" i="46" s="1"/>
  <c r="AU294" i="46" s="1"/>
  <c r="AQ155" i="46"/>
  <c r="AR155" i="46" s="1"/>
  <c r="AS155" i="46" s="1"/>
  <c r="AN155" i="46" s="1"/>
  <c r="BB155" i="46" s="1"/>
  <c r="V302" i="46"/>
  <c r="W302" i="46" s="1"/>
  <c r="X302" i="46" s="1"/>
  <c r="Z302" i="46" s="1"/>
  <c r="BN92" i="46"/>
  <c r="BI92" i="46" s="1"/>
  <c r="BW92" i="46" s="1"/>
  <c r="AQ238" i="46"/>
  <c r="AR238" i="46" s="1"/>
  <c r="AS238" i="46" s="1"/>
  <c r="AU238" i="46" s="1"/>
  <c r="CG148" i="46"/>
  <c r="CH148" i="46" s="1"/>
  <c r="CI148" i="46" s="1"/>
  <c r="V134" i="46"/>
  <c r="W134" i="46" s="1"/>
  <c r="X134" i="46" s="1"/>
  <c r="S134" i="46" s="1"/>
  <c r="AG134" i="46" s="1"/>
  <c r="CG179" i="46"/>
  <c r="CH179" i="46" s="1"/>
  <c r="CI179" i="46" s="1"/>
  <c r="CK179" i="46" s="1"/>
  <c r="CG333" i="46"/>
  <c r="CH333" i="46" s="1"/>
  <c r="CI333" i="46" s="1"/>
  <c r="CK333" i="46" s="1"/>
  <c r="V36" i="46"/>
  <c r="W36" i="46" s="1"/>
  <c r="X36" i="46" s="1"/>
  <c r="S36" i="46" s="1"/>
  <c r="AG36" i="46" s="1"/>
  <c r="BN78" i="46"/>
  <c r="BP78" i="46" s="1"/>
  <c r="V259" i="46"/>
  <c r="W259" i="46" s="1"/>
  <c r="X259" i="46" s="1"/>
  <c r="S259" i="46" s="1"/>
  <c r="AG259" i="46" s="1"/>
  <c r="V170" i="46"/>
  <c r="W170" i="46" s="1"/>
  <c r="X170" i="46" s="1"/>
  <c r="S170" i="46" s="1"/>
  <c r="AG170" i="46" s="1"/>
  <c r="AQ23" i="46"/>
  <c r="AR23" i="46" s="1"/>
  <c r="AS23" i="46" s="1"/>
  <c r="AN23" i="46" s="1"/>
  <c r="BB23" i="46" s="1"/>
  <c r="BN240" i="46"/>
  <c r="BP240" i="46" s="1"/>
  <c r="V182" i="46"/>
  <c r="W182" i="46" s="1"/>
  <c r="X182" i="46" s="1"/>
  <c r="Z182" i="46" s="1"/>
  <c r="AQ180" i="46"/>
  <c r="AR180" i="46" s="1"/>
  <c r="AS180" i="46" s="1"/>
  <c r="CG243" i="46"/>
  <c r="CH243" i="46" s="1"/>
  <c r="CI243" i="46" s="1"/>
  <c r="V228" i="46"/>
  <c r="W228" i="46" s="1"/>
  <c r="X228" i="46" s="1"/>
  <c r="Z228" i="46" s="1"/>
  <c r="CG145" i="46"/>
  <c r="CH145" i="46" s="1"/>
  <c r="CI145" i="46" s="1"/>
  <c r="CD145" i="46" s="1"/>
  <c r="CR145" i="46" s="1"/>
  <c r="V329" i="46"/>
  <c r="W329" i="46" s="1"/>
  <c r="X329" i="46" s="1"/>
  <c r="CG275" i="46"/>
  <c r="CH275" i="46" s="1"/>
  <c r="CI275" i="46" s="1"/>
  <c r="AQ197" i="46"/>
  <c r="AR197" i="46" s="1"/>
  <c r="AS197" i="46" s="1"/>
  <c r="AU197" i="46" s="1"/>
  <c r="BN74" i="46"/>
  <c r="BI74" i="46" s="1"/>
  <c r="BW74" i="46" s="1"/>
  <c r="CG255" i="46"/>
  <c r="CH255" i="46" s="1"/>
  <c r="CI255" i="46" s="1"/>
  <c r="CG62" i="46"/>
  <c r="CH62" i="46" s="1"/>
  <c r="CI62" i="46" s="1"/>
  <c r="CD62" i="46" s="1"/>
  <c r="CR62" i="46" s="1"/>
  <c r="BN37" i="46"/>
  <c r="BP37" i="46" s="1"/>
  <c r="AQ282" i="46"/>
  <c r="AR282" i="46" s="1"/>
  <c r="AS282" i="46" s="1"/>
  <c r="AU282" i="46" s="1"/>
  <c r="V146" i="46"/>
  <c r="W146" i="46" s="1"/>
  <c r="X146" i="46" s="1"/>
  <c r="S146" i="46" s="1"/>
  <c r="AG146" i="46" s="1"/>
  <c r="BN97" i="46"/>
  <c r="BP97" i="46" s="1"/>
  <c r="V132" i="46"/>
  <c r="W132" i="46" s="1"/>
  <c r="X132" i="46" s="1"/>
  <c r="Z132" i="46" s="1"/>
  <c r="CG227" i="46"/>
  <c r="CH227" i="46" s="1"/>
  <c r="CI227" i="46" s="1"/>
  <c r="CD227" i="46" s="1"/>
  <c r="CR227" i="46" s="1"/>
  <c r="V13" i="46"/>
  <c r="W13" i="46" s="1"/>
  <c r="X13" i="46" s="1"/>
  <c r="V97" i="46"/>
  <c r="W97" i="46" s="1"/>
  <c r="X97" i="46" s="1"/>
  <c r="BN143" i="46"/>
  <c r="BP143" i="46" s="1"/>
  <c r="AQ33" i="46"/>
  <c r="AR33" i="46" s="1"/>
  <c r="AS33" i="46" s="1"/>
  <c r="BN299" i="46"/>
  <c r="BI299" i="46" s="1"/>
  <c r="BW299" i="46" s="1"/>
  <c r="CG246" i="46"/>
  <c r="CH246" i="46" s="1"/>
  <c r="CI246" i="46" s="1"/>
  <c r="CK246" i="46" s="1"/>
  <c r="V269" i="46"/>
  <c r="W269" i="46" s="1"/>
  <c r="X269" i="46" s="1"/>
  <c r="Z269" i="46" s="1"/>
  <c r="CG279" i="46"/>
  <c r="CH279" i="46" s="1"/>
  <c r="CI279" i="46" s="1"/>
  <c r="CK279" i="46" s="1"/>
  <c r="V225" i="46"/>
  <c r="W225" i="46" s="1"/>
  <c r="X225" i="46" s="1"/>
  <c r="Z225" i="46" s="1"/>
  <c r="AQ293" i="46"/>
  <c r="AR293" i="46" s="1"/>
  <c r="AS293" i="46" s="1"/>
  <c r="AQ90" i="46"/>
  <c r="AR90" i="46" s="1"/>
  <c r="AS90" i="46" s="1"/>
  <c r="AU90" i="46" s="1"/>
  <c r="CG181" i="46"/>
  <c r="CH181" i="46" s="1"/>
  <c r="CI181" i="46" s="1"/>
  <c r="BN52" i="46"/>
  <c r="BP52" i="46" s="1"/>
  <c r="AQ256" i="46"/>
  <c r="AR256" i="46" s="1"/>
  <c r="AS256" i="46" s="1"/>
  <c r="AN256" i="46" s="1"/>
  <c r="BB256" i="46" s="1"/>
  <c r="V111" i="46"/>
  <c r="W111" i="46" s="1"/>
  <c r="X111" i="46" s="1"/>
  <c r="CG295" i="46"/>
  <c r="CH295" i="46" s="1"/>
  <c r="CI295" i="46" s="1"/>
  <c r="CD295" i="46" s="1"/>
  <c r="CR295" i="46" s="1"/>
  <c r="CG347" i="46"/>
  <c r="CH347" i="46" s="1"/>
  <c r="CI347" i="46" s="1"/>
  <c r="CK347" i="46" s="1"/>
  <c r="AQ165" i="46"/>
  <c r="AR165" i="46" s="1"/>
  <c r="AS165" i="46" s="1"/>
  <c r="AN165" i="46" s="1"/>
  <c r="BB165" i="46" s="1"/>
  <c r="V211" i="46"/>
  <c r="W211" i="46" s="1"/>
  <c r="X211" i="46" s="1"/>
  <c r="S211" i="46" s="1"/>
  <c r="AG211" i="46" s="1"/>
  <c r="CG41" i="46"/>
  <c r="CH41" i="46" s="1"/>
  <c r="CI41" i="46" s="1"/>
  <c r="CD41" i="46" s="1"/>
  <c r="CR41" i="46" s="1"/>
  <c r="V157" i="46"/>
  <c r="W157" i="46" s="1"/>
  <c r="X157" i="46" s="1"/>
  <c r="S157" i="46" s="1"/>
  <c r="AG157" i="46" s="1"/>
  <c r="V155" i="46"/>
  <c r="W155" i="46" s="1"/>
  <c r="X155" i="46" s="1"/>
  <c r="Z155" i="46" s="1"/>
  <c r="V330" i="46"/>
  <c r="W330" i="46" s="1"/>
  <c r="X330" i="46" s="1"/>
  <c r="CG180" i="46"/>
  <c r="CH180" i="46" s="1"/>
  <c r="CI180" i="46" s="1"/>
  <c r="CD180" i="46" s="1"/>
  <c r="CR180" i="46" s="1"/>
  <c r="CG157" i="46"/>
  <c r="CH157" i="46" s="1"/>
  <c r="CI157" i="46" s="1"/>
  <c r="CK157" i="46" s="1"/>
  <c r="CG125" i="46"/>
  <c r="CH125" i="46" s="1"/>
  <c r="CI125" i="46" s="1"/>
  <c r="CK125" i="46" s="1"/>
  <c r="CG265" i="46"/>
  <c r="CH265" i="46" s="1"/>
  <c r="CI265" i="46" s="1"/>
  <c r="CD265" i="46" s="1"/>
  <c r="CR265" i="46" s="1"/>
  <c r="V333" i="46"/>
  <c r="W333" i="46" s="1"/>
  <c r="X333" i="46" s="1"/>
  <c r="AQ159" i="46"/>
  <c r="AR159" i="46" s="1"/>
  <c r="AS159" i="46" s="1"/>
  <c r="AN159" i="46" s="1"/>
  <c r="BB159" i="46" s="1"/>
  <c r="V272" i="46"/>
  <c r="W272" i="46" s="1"/>
  <c r="X272" i="46" s="1"/>
  <c r="AQ191" i="46"/>
  <c r="AR191" i="46" s="1"/>
  <c r="AS191" i="46" s="1"/>
  <c r="BN321" i="46"/>
  <c r="BI321" i="46" s="1"/>
  <c r="BW321" i="46" s="1"/>
  <c r="CG307" i="46"/>
  <c r="CH307" i="46" s="1"/>
  <c r="CI307" i="46" s="1"/>
  <c r="V48" i="46"/>
  <c r="W48" i="46" s="1"/>
  <c r="X48" i="46" s="1"/>
  <c r="BN308" i="46"/>
  <c r="BI308" i="46" s="1"/>
  <c r="BW308" i="46" s="1"/>
  <c r="BN46" i="46"/>
  <c r="BP46" i="46" s="1"/>
  <c r="BN298" i="46"/>
  <c r="BP298" i="46" s="1"/>
  <c r="V304" i="46"/>
  <c r="W304" i="46" s="1"/>
  <c r="X304" i="46" s="1"/>
  <c r="CG43" i="46"/>
  <c r="CH43" i="46" s="1"/>
  <c r="CI43" i="46" s="1"/>
  <c r="CK43" i="46" s="1"/>
  <c r="AQ280" i="46"/>
  <c r="AR280" i="46" s="1"/>
  <c r="AS280" i="46" s="1"/>
  <c r="AN280" i="46" s="1"/>
  <c r="BB280" i="46" s="1"/>
  <c r="AQ259" i="46"/>
  <c r="AR259" i="46" s="1"/>
  <c r="AS259" i="46" s="1"/>
  <c r="BN66" i="46"/>
  <c r="BP66" i="46" s="1"/>
  <c r="BN263" i="46"/>
  <c r="BP263" i="46" s="1"/>
  <c r="CG337" i="46"/>
  <c r="CH337" i="46" s="1"/>
  <c r="CI337" i="46" s="1"/>
  <c r="CK337" i="46" s="1"/>
  <c r="V112" i="46"/>
  <c r="W112" i="46" s="1"/>
  <c r="X112" i="46" s="1"/>
  <c r="Z112" i="46" s="1"/>
  <c r="AQ128" i="46"/>
  <c r="AR128" i="46" s="1"/>
  <c r="AS128" i="46" s="1"/>
  <c r="BN43" i="46"/>
  <c r="BP43" i="46" s="1"/>
  <c r="AQ226" i="46"/>
  <c r="AR226" i="46" s="1"/>
  <c r="AS226" i="46" s="1"/>
  <c r="AU226" i="46" s="1"/>
  <c r="BN15" i="46"/>
  <c r="BP15" i="46" s="1"/>
  <c r="BN104" i="46"/>
  <c r="BI104" i="46" s="1"/>
  <c r="BW104" i="46" s="1"/>
  <c r="V62" i="46"/>
  <c r="W62" i="46" s="1"/>
  <c r="X62" i="46" s="1"/>
  <c r="Z62" i="46" s="1"/>
  <c r="V301" i="46"/>
  <c r="W301" i="46" s="1"/>
  <c r="X301" i="46" s="1"/>
  <c r="Z301" i="46" s="1"/>
  <c r="BG38" i="46"/>
  <c r="BS38" i="46"/>
  <c r="BJ38" i="46"/>
  <c r="BR38" i="46"/>
  <c r="BH38" i="46"/>
  <c r="BT38" i="46" s="1"/>
  <c r="BF54" i="55"/>
  <c r="BK54" i="55" s="1"/>
  <c r="BN54" i="55" s="1"/>
  <c r="AT54" i="55"/>
  <c r="AY54" i="55" s="1"/>
  <c r="BN56" i="46"/>
  <c r="CG311" i="46"/>
  <c r="CH311" i="46" s="1"/>
  <c r="CI311" i="46" s="1"/>
  <c r="CE13" i="46"/>
  <c r="CC13" i="46"/>
  <c r="CO13" i="46" s="1"/>
  <c r="CN13" i="46"/>
  <c r="CM13" i="46"/>
  <c r="CB13" i="46"/>
  <c r="BH164" i="46"/>
  <c r="BT164" i="46" s="1"/>
  <c r="BS164" i="46"/>
  <c r="BR164" i="46"/>
  <c r="BG164" i="46"/>
  <c r="BJ164" i="46"/>
  <c r="BG330" i="46"/>
  <c r="BH330" i="46"/>
  <c r="BT330" i="46" s="1"/>
  <c r="BR330" i="46"/>
  <c r="BS330" i="46"/>
  <c r="BJ330" i="46"/>
  <c r="V316" i="46"/>
  <c r="W316" i="46" s="1"/>
  <c r="X316" i="46" s="1"/>
  <c r="CG96" i="46"/>
  <c r="CH96" i="46" s="1"/>
  <c r="CI96" i="46" s="1"/>
  <c r="BN210" i="46"/>
  <c r="V226" i="46"/>
  <c r="W226" i="46" s="1"/>
  <c r="X226" i="46" s="1"/>
  <c r="BN109" i="46"/>
  <c r="V195" i="46"/>
  <c r="W195" i="46" s="1"/>
  <c r="X195" i="46" s="1"/>
  <c r="CB239" i="46"/>
  <c r="CE239" i="46"/>
  <c r="CN239" i="46"/>
  <c r="CM239" i="46"/>
  <c r="CC239" i="46"/>
  <c r="CO239" i="46" s="1"/>
  <c r="BZ239" i="46"/>
  <c r="CA239" i="46" s="1"/>
  <c r="BJ60" i="46"/>
  <c r="BR60" i="46"/>
  <c r="BH60" i="46"/>
  <c r="BT60" i="46" s="1"/>
  <c r="BS60" i="46"/>
  <c r="BG60" i="46"/>
  <c r="CM87" i="46"/>
  <c r="CE87" i="46"/>
  <c r="CB87" i="46"/>
  <c r="CN87" i="46"/>
  <c r="CC87" i="46"/>
  <c r="CO87" i="46" s="1"/>
  <c r="BZ87" i="46"/>
  <c r="CA87" i="46" s="1"/>
  <c r="BH338" i="46"/>
  <c r="BT338" i="46" s="1"/>
  <c r="BG338" i="46"/>
  <c r="BR338" i="46"/>
  <c r="BS338" i="46"/>
  <c r="BJ338" i="46"/>
  <c r="CG119" i="46"/>
  <c r="CH119" i="46" s="1"/>
  <c r="CI119" i="46" s="1"/>
  <c r="CG225" i="46"/>
  <c r="CH225" i="46" s="1"/>
  <c r="CI225" i="46" s="1"/>
  <c r="AQ72" i="46"/>
  <c r="AR72" i="46" s="1"/>
  <c r="AS72" i="46" s="1"/>
  <c r="BN300" i="46"/>
  <c r="CG206" i="46"/>
  <c r="CH206" i="46" s="1"/>
  <c r="CI206" i="46" s="1"/>
  <c r="AQ160" i="46"/>
  <c r="AR160" i="46" s="1"/>
  <c r="AS160" i="46" s="1"/>
  <c r="BG216" i="46"/>
  <c r="BH216" i="46"/>
  <c r="BT216" i="46" s="1"/>
  <c r="BS216" i="46"/>
  <c r="BJ216" i="46"/>
  <c r="BR216" i="46"/>
  <c r="V308" i="46"/>
  <c r="W308" i="46" s="1"/>
  <c r="X308" i="46" s="1"/>
  <c r="V245" i="46"/>
  <c r="W245" i="46" s="1"/>
  <c r="X245" i="46" s="1"/>
  <c r="V58" i="46"/>
  <c r="W58" i="46" s="1"/>
  <c r="X58" i="46" s="1"/>
  <c r="BF54" i="37"/>
  <c r="BK54" i="37" s="1"/>
  <c r="AT54" i="37"/>
  <c r="AY54" i="37" s="1"/>
  <c r="AM54" i="38"/>
  <c r="CG247" i="46"/>
  <c r="CH247" i="46" s="1"/>
  <c r="CI247" i="46" s="1"/>
  <c r="V250" i="46"/>
  <c r="W250" i="46" s="1"/>
  <c r="X250" i="46" s="1"/>
  <c r="CG52" i="46"/>
  <c r="CH52" i="46" s="1"/>
  <c r="CI52" i="46" s="1"/>
  <c r="BN332" i="46"/>
  <c r="AQ339" i="46"/>
  <c r="AR339" i="46" s="1"/>
  <c r="AS339" i="46" s="1"/>
  <c r="V271" i="46"/>
  <c r="W271" i="46" s="1"/>
  <c r="X271" i="46" s="1"/>
  <c r="AQ203" i="46"/>
  <c r="AR203" i="46" s="1"/>
  <c r="AS203" i="46" s="1"/>
  <c r="AQ343" i="46"/>
  <c r="AR343" i="46" s="1"/>
  <c r="AS343" i="46" s="1"/>
  <c r="BJ333" i="46"/>
  <c r="BH333" i="46"/>
  <c r="BT333" i="46" s="1"/>
  <c r="BR333" i="46"/>
  <c r="BS333" i="46"/>
  <c r="BG333" i="46"/>
  <c r="BG142" i="46"/>
  <c r="BS142" i="46"/>
  <c r="BJ142" i="46"/>
  <c r="BR142" i="46"/>
  <c r="BH142" i="46"/>
  <c r="BT142" i="46" s="1"/>
  <c r="BN27" i="46"/>
  <c r="AU52" i="46"/>
  <c r="AN52" i="46"/>
  <c r="BB52" i="46" s="1"/>
  <c r="AQ30" i="46"/>
  <c r="AR30" i="46" s="1"/>
  <c r="AS30" i="46" s="1"/>
  <c r="V327" i="46"/>
  <c r="W327" i="46" s="1"/>
  <c r="X327" i="46" s="1"/>
  <c r="BJ122" i="46"/>
  <c r="BR122" i="46"/>
  <c r="BS122" i="46"/>
  <c r="BG122" i="46"/>
  <c r="BH122" i="46"/>
  <c r="BT122" i="46" s="1"/>
  <c r="BN154" i="46"/>
  <c r="BR144" i="46"/>
  <c r="BS144" i="46"/>
  <c r="BH144" i="46"/>
  <c r="BT144" i="46" s="1"/>
  <c r="BJ144" i="46"/>
  <c r="BG144" i="46"/>
  <c r="E37" i="37"/>
  <c r="G20" i="37"/>
  <c r="E39" i="37"/>
  <c r="E47" i="37" s="1"/>
  <c r="AL255" i="46"/>
  <c r="AJ255" i="46"/>
  <c r="AK255" i="46" s="1"/>
  <c r="AX255" i="46"/>
  <c r="AW255" i="46"/>
  <c r="AM255" i="46"/>
  <c r="AY255" i="46" s="1"/>
  <c r="AO255" i="46"/>
  <c r="BS334" i="46"/>
  <c r="BH334" i="46"/>
  <c r="BT334" i="46" s="1"/>
  <c r="BR334" i="46"/>
  <c r="BJ334" i="46"/>
  <c r="BG334" i="46"/>
  <c r="BH194" i="46"/>
  <c r="BT194" i="46" s="1"/>
  <c r="BS194" i="46"/>
  <c r="BR194" i="46"/>
  <c r="BG194" i="46"/>
  <c r="BJ194" i="46"/>
  <c r="BJ236" i="46"/>
  <c r="BR236" i="46"/>
  <c r="BH236" i="46"/>
  <c r="BT236" i="46" s="1"/>
  <c r="BG236" i="46"/>
  <c r="BS236" i="46"/>
  <c r="CZ54" i="38"/>
  <c r="DE54" i="38" s="1"/>
  <c r="DL54" i="38"/>
  <c r="DQ54" i="38" s="1"/>
  <c r="DT54" i="38" s="1"/>
  <c r="AL334" i="46"/>
  <c r="AM334" i="46"/>
  <c r="AY334" i="46" s="1"/>
  <c r="AO334" i="46"/>
  <c r="AW334" i="46"/>
  <c r="AJ334" i="46"/>
  <c r="AK334" i="46" s="1"/>
  <c r="AX334" i="46"/>
  <c r="AM300" i="46"/>
  <c r="AY300" i="46" s="1"/>
  <c r="AW300" i="46"/>
  <c r="AO300" i="46"/>
  <c r="AL300" i="46"/>
  <c r="AJ300" i="46"/>
  <c r="AK300" i="46" s="1"/>
  <c r="AX300" i="46"/>
  <c r="V317" i="46"/>
  <c r="W317" i="46" s="1"/>
  <c r="X317" i="46" s="1"/>
  <c r="AQ131" i="46"/>
  <c r="AR131" i="46" s="1"/>
  <c r="AS131" i="46" s="1"/>
  <c r="V231" i="46"/>
  <c r="W231" i="46" s="1"/>
  <c r="X231" i="46" s="1"/>
  <c r="CG113" i="46"/>
  <c r="CH113" i="46" s="1"/>
  <c r="CI113" i="46" s="1"/>
  <c r="AS41" i="46"/>
  <c r="BS124" i="46"/>
  <c r="BJ124" i="46"/>
  <c r="BH124" i="46"/>
  <c r="BT124" i="46" s="1"/>
  <c r="BG124" i="46"/>
  <c r="BR124" i="46"/>
  <c r="BG317" i="46"/>
  <c r="BJ317" i="46"/>
  <c r="BR317" i="46"/>
  <c r="BS317" i="46"/>
  <c r="BH317" i="46"/>
  <c r="BT317" i="46" s="1"/>
  <c r="AQ152" i="46"/>
  <c r="AR152" i="46" s="1"/>
  <c r="AS152" i="46" s="1"/>
  <c r="CG250" i="46"/>
  <c r="CH250" i="46" s="1"/>
  <c r="CI250" i="46" s="1"/>
  <c r="AQ92" i="46"/>
  <c r="AR92" i="46" s="1"/>
  <c r="AS92" i="46" s="1"/>
  <c r="BR123" i="46"/>
  <c r="BH123" i="46"/>
  <c r="BT123" i="46" s="1"/>
  <c r="BS123" i="46"/>
  <c r="BG123" i="46"/>
  <c r="BJ123" i="46"/>
  <c r="V238" i="46"/>
  <c r="W238" i="46" s="1"/>
  <c r="X238" i="46" s="1"/>
  <c r="BJ214" i="46"/>
  <c r="BG214" i="46"/>
  <c r="BR214" i="46"/>
  <c r="BS214" i="46"/>
  <c r="BH214" i="46"/>
  <c r="BT214" i="46" s="1"/>
  <c r="V96" i="46"/>
  <c r="W96" i="46" s="1"/>
  <c r="X96" i="46" s="1"/>
  <c r="AO299" i="46"/>
  <c r="AL299" i="46"/>
  <c r="AJ299" i="46"/>
  <c r="AK299" i="46" s="1"/>
  <c r="AX299" i="46"/>
  <c r="AM299" i="46"/>
  <c r="AY299" i="46" s="1"/>
  <c r="AW299" i="46"/>
  <c r="E37" i="55"/>
  <c r="E39" i="55"/>
  <c r="E47" i="55" s="1"/>
  <c r="G20" i="55"/>
  <c r="O306" i="46"/>
  <c r="P306" i="46" s="1"/>
  <c r="AB306" i="46"/>
  <c r="R306" i="46"/>
  <c r="AD306" i="46" s="1"/>
  <c r="AC306" i="46"/>
  <c r="T306" i="46"/>
  <c r="Q306" i="46"/>
  <c r="BJ267" i="46"/>
  <c r="BG267" i="46"/>
  <c r="BH267" i="46"/>
  <c r="BT267" i="46" s="1"/>
  <c r="BR267" i="46"/>
  <c r="BS267" i="46"/>
  <c r="CG218" i="46"/>
  <c r="CH218" i="46" s="1"/>
  <c r="CI218" i="46" s="1"/>
  <c r="BG251" i="46"/>
  <c r="BS251" i="46"/>
  <c r="BJ251" i="46"/>
  <c r="BH251" i="46"/>
  <c r="BT251" i="46" s="1"/>
  <c r="BR251" i="46"/>
  <c r="CG129" i="46"/>
  <c r="CH129" i="46" s="1"/>
  <c r="CI129" i="46" s="1"/>
  <c r="BS227" i="46"/>
  <c r="BR227" i="46"/>
  <c r="BG227" i="46"/>
  <c r="BH227" i="46"/>
  <c r="BT227" i="46" s="1"/>
  <c r="BJ227" i="46"/>
  <c r="CG31" i="46"/>
  <c r="CH31" i="46" s="1"/>
  <c r="CI31" i="46" s="1"/>
  <c r="AB230" i="46"/>
  <c r="R230" i="46"/>
  <c r="AD230" i="46" s="1"/>
  <c r="T230" i="46"/>
  <c r="O230" i="46"/>
  <c r="P230" i="46" s="1"/>
  <c r="AC230" i="46"/>
  <c r="Q230" i="46"/>
  <c r="BH269" i="46"/>
  <c r="BT269" i="46" s="1"/>
  <c r="BJ269" i="46"/>
  <c r="BS269" i="46"/>
  <c r="BR269" i="46"/>
  <c r="BG269" i="46"/>
  <c r="CG127" i="46"/>
  <c r="CH127" i="46" s="1"/>
  <c r="CI127" i="46" s="1"/>
  <c r="V139" i="46"/>
  <c r="W139" i="46" s="1"/>
  <c r="X139" i="46" s="1"/>
  <c r="Q293" i="46"/>
  <c r="R293" i="46"/>
  <c r="AD293" i="46" s="1"/>
  <c r="T293" i="46"/>
  <c r="AB293" i="46"/>
  <c r="O293" i="46"/>
  <c r="P293" i="46" s="1"/>
  <c r="AC293" i="46"/>
  <c r="AT54" i="39"/>
  <c r="AY54" i="39" s="1"/>
  <c r="BF54" i="39"/>
  <c r="BK54" i="39" s="1"/>
  <c r="CG114" i="46"/>
  <c r="CH114" i="46" s="1"/>
  <c r="CI114" i="46" s="1"/>
  <c r="AC95" i="46"/>
  <c r="R95" i="46"/>
  <c r="AD95" i="46" s="1"/>
  <c r="O95" i="46"/>
  <c r="P95" i="46" s="1"/>
  <c r="T95" i="46"/>
  <c r="Q95" i="46"/>
  <c r="AB95" i="46"/>
  <c r="CG207" i="46"/>
  <c r="CH207" i="46" s="1"/>
  <c r="CI207" i="46" s="1"/>
  <c r="AQ29" i="46"/>
  <c r="AR29" i="46" s="1"/>
  <c r="AS29" i="46" s="1"/>
  <c r="V57" i="46"/>
  <c r="W57" i="46" s="1"/>
  <c r="X57" i="46" s="1"/>
  <c r="CG171" i="46"/>
  <c r="CH171" i="46" s="1"/>
  <c r="CI171" i="46" s="1"/>
  <c r="AQ113" i="46"/>
  <c r="AR113" i="46" s="1"/>
  <c r="AS113" i="46" s="1"/>
  <c r="CG294" i="46"/>
  <c r="CH294" i="46" s="1"/>
  <c r="CI294" i="46" s="1"/>
  <c r="V180" i="46"/>
  <c r="W180" i="46" s="1"/>
  <c r="X180" i="46" s="1"/>
  <c r="AQ331" i="46"/>
  <c r="AR331" i="46" s="1"/>
  <c r="AS331" i="46" s="1"/>
  <c r="BS297" i="46"/>
  <c r="BJ297" i="46"/>
  <c r="BG297" i="46"/>
  <c r="BR297" i="46"/>
  <c r="BH297" i="46"/>
  <c r="BT297" i="46" s="1"/>
  <c r="BN134" i="46"/>
  <c r="BH279" i="46"/>
  <c r="BT279" i="46" s="1"/>
  <c r="BG279" i="46"/>
  <c r="BJ279" i="46"/>
  <c r="BR279" i="46"/>
  <c r="BS279" i="46"/>
  <c r="CG158" i="46"/>
  <c r="CH158" i="46" s="1"/>
  <c r="CI158" i="46" s="1"/>
  <c r="AQ55" i="46"/>
  <c r="AR55" i="46" s="1"/>
  <c r="AS55" i="46" s="1"/>
  <c r="BN19" i="46"/>
  <c r="BJ293" i="46"/>
  <c r="BH293" i="46"/>
  <c r="BT293" i="46" s="1"/>
  <c r="BG293" i="46"/>
  <c r="BS293" i="46"/>
  <c r="BR293" i="46"/>
  <c r="EY54" i="32"/>
  <c r="CG346" i="46"/>
  <c r="CH346" i="46" s="1"/>
  <c r="CI346" i="46" s="1"/>
  <c r="CG286" i="46"/>
  <c r="CH286" i="46" s="1"/>
  <c r="CI286" i="46" s="1"/>
  <c r="BN241" i="46"/>
  <c r="AQ64" i="46"/>
  <c r="AR64" i="46" s="1"/>
  <c r="AS64" i="46" s="1"/>
  <c r="AQ198" i="46"/>
  <c r="AR198" i="46" s="1"/>
  <c r="AS198" i="46" s="1"/>
  <c r="AQ288" i="46"/>
  <c r="AR288" i="46" s="1"/>
  <c r="AS288" i="46" s="1"/>
  <c r="BH190" i="46"/>
  <c r="BT190" i="46" s="1"/>
  <c r="BS190" i="46"/>
  <c r="BG190" i="46"/>
  <c r="BR190" i="46"/>
  <c r="BJ190" i="46"/>
  <c r="V38" i="46"/>
  <c r="W38" i="46" s="1"/>
  <c r="X38" i="46" s="1"/>
  <c r="AQ125" i="46"/>
  <c r="AR125" i="46" s="1"/>
  <c r="AS125" i="46" s="1"/>
  <c r="AQ230" i="46"/>
  <c r="AR230" i="46" s="1"/>
  <c r="AS230" i="46" s="1"/>
  <c r="V187" i="46"/>
  <c r="W187" i="46" s="1"/>
  <c r="X187" i="46" s="1"/>
  <c r="CG200" i="46"/>
  <c r="CH200" i="46" s="1"/>
  <c r="CI200" i="46" s="1"/>
  <c r="BR222" i="46"/>
  <c r="BJ222" i="46"/>
  <c r="BG222" i="46"/>
  <c r="BH222" i="46"/>
  <c r="BT222" i="46" s="1"/>
  <c r="BS222" i="46"/>
  <c r="BJ286" i="46"/>
  <c r="BR286" i="46"/>
  <c r="BS286" i="46"/>
  <c r="BH286" i="46"/>
  <c r="BT286" i="46" s="1"/>
  <c r="BG286" i="46"/>
  <c r="V248" i="46"/>
  <c r="W248" i="46" s="1"/>
  <c r="X248" i="46" s="1"/>
  <c r="BN230" i="46"/>
  <c r="BH264" i="46"/>
  <c r="BT264" i="46" s="1"/>
  <c r="BG264" i="46"/>
  <c r="BJ264" i="46"/>
  <c r="BS264" i="46"/>
  <c r="BR264" i="46"/>
  <c r="BR13" i="46"/>
  <c r="BS13" i="46"/>
  <c r="BJ13" i="46"/>
  <c r="BH13" i="46"/>
  <c r="BT13" i="46" s="1"/>
  <c r="BG13" i="46"/>
  <c r="BR174" i="46"/>
  <c r="BS174" i="46"/>
  <c r="BG174" i="46"/>
  <c r="BH174" i="46"/>
  <c r="BT174" i="46" s="1"/>
  <c r="BJ174" i="46"/>
  <c r="BS81" i="46"/>
  <c r="BH81" i="46"/>
  <c r="BT81" i="46" s="1"/>
  <c r="BG81" i="46"/>
  <c r="BJ81" i="46"/>
  <c r="BR81" i="46"/>
  <c r="AM221" i="46"/>
  <c r="AY221" i="46" s="1"/>
  <c r="AW221" i="46"/>
  <c r="AX221" i="46"/>
  <c r="AO221" i="46"/>
  <c r="AL221" i="46"/>
  <c r="AJ221" i="46"/>
  <c r="AK221" i="46" s="1"/>
  <c r="BR314" i="46"/>
  <c r="BJ314" i="46"/>
  <c r="BS314" i="46"/>
  <c r="BH314" i="46"/>
  <c r="BT314" i="46" s="1"/>
  <c r="BG314" i="46"/>
  <c r="CG156" i="46"/>
  <c r="CH156" i="46" s="1"/>
  <c r="CI156" i="46" s="1"/>
  <c r="BJ177" i="46"/>
  <c r="BR177" i="46"/>
  <c r="BG177" i="46"/>
  <c r="BS177" i="46"/>
  <c r="BH177" i="46"/>
  <c r="BT177" i="46" s="1"/>
  <c r="BJ289" i="46"/>
  <c r="BR289" i="46"/>
  <c r="BH289" i="46"/>
  <c r="BT289" i="46" s="1"/>
  <c r="BS289" i="46"/>
  <c r="BG289" i="46"/>
  <c r="AQ99" i="46"/>
  <c r="AR99" i="46" s="1"/>
  <c r="AS99" i="46" s="1"/>
  <c r="CG281" i="46"/>
  <c r="CH281" i="46" s="1"/>
  <c r="CI281" i="46" s="1"/>
  <c r="CG14" i="46"/>
  <c r="CH14" i="46" s="1"/>
  <c r="CI14" i="46" s="1"/>
  <c r="CN291" i="46"/>
  <c r="CE291" i="46"/>
  <c r="CC291" i="46"/>
  <c r="CO291" i="46" s="1"/>
  <c r="CB291" i="46"/>
  <c r="CM291" i="46"/>
  <c r="BZ291" i="46"/>
  <c r="CA291" i="46" s="1"/>
  <c r="V205" i="46"/>
  <c r="W205" i="46" s="1"/>
  <c r="X205" i="46" s="1"/>
  <c r="CB132" i="46"/>
  <c r="CM132" i="46"/>
  <c r="CC132" i="46"/>
  <c r="CO132" i="46" s="1"/>
  <c r="CN132" i="46"/>
  <c r="BZ132" i="46"/>
  <c r="CA132" i="46" s="1"/>
  <c r="CE132" i="46"/>
  <c r="V249" i="46"/>
  <c r="W249" i="46" s="1"/>
  <c r="X249" i="46" s="1"/>
  <c r="V163" i="46"/>
  <c r="W163" i="46" s="1"/>
  <c r="X163" i="46" s="1"/>
  <c r="CG67" i="46"/>
  <c r="CH67" i="46" s="1"/>
  <c r="CI67" i="46" s="1"/>
  <c r="AQ156" i="46"/>
  <c r="AR156" i="46" s="1"/>
  <c r="AS156" i="46" s="1"/>
  <c r="AM310" i="46"/>
  <c r="AY310" i="46" s="1"/>
  <c r="AJ310" i="46"/>
  <c r="AK310" i="46" s="1"/>
  <c r="AO310" i="46"/>
  <c r="AL310" i="46"/>
  <c r="AX310" i="46"/>
  <c r="AW310" i="46"/>
  <c r="BZ58" i="46"/>
  <c r="CA58" i="46" s="1"/>
  <c r="CB58" i="46"/>
  <c r="CE58" i="46"/>
  <c r="CC58" i="46"/>
  <c r="CO58" i="46" s="1"/>
  <c r="CM58" i="46"/>
  <c r="CN58" i="46"/>
  <c r="E37" i="32"/>
  <c r="E38" i="32" s="1"/>
  <c r="F20" i="32" s="1"/>
  <c r="E39" i="32"/>
  <c r="E47" i="32" s="1"/>
  <c r="G20" i="32"/>
  <c r="AQ262" i="46"/>
  <c r="AR262" i="46" s="1"/>
  <c r="AS262" i="46" s="1"/>
  <c r="BG22" i="46"/>
  <c r="BJ22" i="46"/>
  <c r="BH22" i="46"/>
  <c r="BT22" i="46" s="1"/>
  <c r="BR22" i="46"/>
  <c r="BS22" i="46"/>
  <c r="AQ129" i="46"/>
  <c r="AR129" i="46" s="1"/>
  <c r="AS129" i="46" s="1"/>
  <c r="AQ276" i="46"/>
  <c r="AR276" i="46" s="1"/>
  <c r="AS276" i="46" s="1"/>
  <c r="AQ326" i="46"/>
  <c r="AR326" i="46" s="1"/>
  <c r="AS326" i="46" s="1"/>
  <c r="V275" i="46"/>
  <c r="W275" i="46" s="1"/>
  <c r="X275" i="46" s="1"/>
  <c r="CG95" i="46"/>
  <c r="CH95" i="46" s="1"/>
  <c r="CI95" i="46" s="1"/>
  <c r="V321" i="46"/>
  <c r="W321" i="46" s="1"/>
  <c r="X321" i="46" s="1"/>
  <c r="CE197" i="46"/>
  <c r="CM197" i="46"/>
  <c r="CN197" i="46"/>
  <c r="BZ197" i="46"/>
  <c r="CA197" i="46" s="1"/>
  <c r="CC197" i="46"/>
  <c r="CO197" i="46" s="1"/>
  <c r="CB197" i="46"/>
  <c r="BN61" i="46"/>
  <c r="CG299" i="46"/>
  <c r="CH299" i="46" s="1"/>
  <c r="CI299" i="46" s="1"/>
  <c r="AQ333" i="46"/>
  <c r="AR333" i="46" s="1"/>
  <c r="AS333" i="46" s="1"/>
  <c r="BJ40" i="46"/>
  <c r="BG40" i="46"/>
  <c r="BS40" i="46"/>
  <c r="BR40" i="46"/>
  <c r="BH40" i="46"/>
  <c r="BT40" i="46" s="1"/>
  <c r="BG295" i="46"/>
  <c r="BJ295" i="46"/>
  <c r="BS295" i="46"/>
  <c r="BR295" i="46"/>
  <c r="BH295" i="46"/>
  <c r="BT295" i="46" s="1"/>
  <c r="BS155" i="46"/>
  <c r="BG155" i="46"/>
  <c r="BH155" i="46"/>
  <c r="BT155" i="46" s="1"/>
  <c r="BR155" i="46"/>
  <c r="BJ155" i="46"/>
  <c r="BG131" i="46"/>
  <c r="BS131" i="46"/>
  <c r="BJ131" i="46"/>
  <c r="BR131" i="46"/>
  <c r="BH131" i="46"/>
  <c r="BT131" i="46" s="1"/>
  <c r="CB54" i="55"/>
  <c r="V54" i="55"/>
  <c r="BO54" i="55" s="1"/>
  <c r="HC54" i="55"/>
  <c r="EH54" i="55"/>
  <c r="GA54" i="55" s="1"/>
  <c r="AQ24" i="46"/>
  <c r="AR24" i="46" s="1"/>
  <c r="AS24" i="46" s="1"/>
  <c r="AM96" i="46"/>
  <c r="AY96" i="46" s="1"/>
  <c r="AX96" i="46"/>
  <c r="AJ96" i="46"/>
  <c r="AK96" i="46" s="1"/>
  <c r="AO96" i="46"/>
  <c r="AW96" i="46"/>
  <c r="AL96" i="46"/>
  <c r="AJ77" i="46"/>
  <c r="AK77" i="46" s="1"/>
  <c r="AO77" i="46"/>
  <c r="AL77" i="46"/>
  <c r="AW77" i="46"/>
  <c r="AX77" i="46"/>
  <c r="AM77" i="46"/>
  <c r="AY77" i="46" s="1"/>
  <c r="Q291" i="46"/>
  <c r="O291" i="46"/>
  <c r="P291" i="46" s="1"/>
  <c r="AB291" i="46"/>
  <c r="AC291" i="46"/>
  <c r="T291" i="46"/>
  <c r="R291" i="46"/>
  <c r="AD291" i="46" s="1"/>
  <c r="AQ346" i="46"/>
  <c r="AR346" i="46" s="1"/>
  <c r="AS346" i="46" s="1"/>
  <c r="EH54" i="37"/>
  <c r="HC54" i="37"/>
  <c r="CB54" i="37"/>
  <c r="V54" i="37"/>
  <c r="BO54" i="37" s="1"/>
  <c r="BR160" i="46"/>
  <c r="BJ160" i="46"/>
  <c r="BG160" i="46"/>
  <c r="BH160" i="46"/>
  <c r="BT160" i="46" s="1"/>
  <c r="BS160" i="46"/>
  <c r="V324" i="46"/>
  <c r="W324" i="46" s="1"/>
  <c r="X324" i="46" s="1"/>
  <c r="CN57" i="46"/>
  <c r="BZ57" i="46"/>
  <c r="CA57" i="46" s="1"/>
  <c r="CC57" i="46"/>
  <c r="CO57" i="46" s="1"/>
  <c r="CB57" i="46"/>
  <c r="CE57" i="46"/>
  <c r="CM57" i="46"/>
  <c r="BS282" i="46"/>
  <c r="BR282" i="46"/>
  <c r="BH282" i="46"/>
  <c r="BT282" i="46" s="1"/>
  <c r="BJ282" i="46"/>
  <c r="BG282" i="46"/>
  <c r="BZ278" i="46"/>
  <c r="CA278" i="46" s="1"/>
  <c r="CE278" i="46"/>
  <c r="CM278" i="46"/>
  <c r="CB278" i="46"/>
  <c r="CN278" i="46"/>
  <c r="CC278" i="46"/>
  <c r="CO278" i="46" s="1"/>
  <c r="V31" i="46"/>
  <c r="W31" i="46" s="1"/>
  <c r="X31" i="46" s="1"/>
  <c r="V270" i="46"/>
  <c r="W270" i="46" s="1"/>
  <c r="X270" i="46" s="1"/>
  <c r="V117" i="46"/>
  <c r="W117" i="46" s="1"/>
  <c r="X117" i="46" s="1"/>
  <c r="BJ280" i="46"/>
  <c r="BG280" i="46"/>
  <c r="BH280" i="46"/>
  <c r="BT280" i="46" s="1"/>
  <c r="BR280" i="46"/>
  <c r="BS280" i="46"/>
  <c r="AQ273" i="46"/>
  <c r="AR273" i="46" s="1"/>
  <c r="AS273" i="46" s="1"/>
  <c r="V201" i="46"/>
  <c r="W201" i="46" s="1"/>
  <c r="X201" i="46" s="1"/>
  <c r="BS266" i="46"/>
  <c r="BR266" i="46"/>
  <c r="BH266" i="46"/>
  <c r="BT266" i="46" s="1"/>
  <c r="BJ266" i="46"/>
  <c r="BG266" i="46"/>
  <c r="CG101" i="46"/>
  <c r="CH101" i="46" s="1"/>
  <c r="CI101" i="46" s="1"/>
  <c r="BN63" i="46"/>
  <c r="V47" i="46"/>
  <c r="W47" i="46" s="1"/>
  <c r="X47" i="46" s="1"/>
  <c r="V341" i="46"/>
  <c r="W341" i="46" s="1"/>
  <c r="X341" i="46" s="1"/>
  <c r="CG163" i="46"/>
  <c r="CH163" i="46" s="1"/>
  <c r="CI163" i="46" s="1"/>
  <c r="V153" i="46"/>
  <c r="W153" i="46" s="1"/>
  <c r="X153" i="46" s="1"/>
  <c r="BN137" i="46"/>
  <c r="CG151" i="46"/>
  <c r="CH151" i="46" s="1"/>
  <c r="CI151" i="46" s="1"/>
  <c r="AJ153" i="46"/>
  <c r="AK153" i="46" s="1"/>
  <c r="AW153" i="46"/>
  <c r="AL153" i="46"/>
  <c r="AM153" i="46"/>
  <c r="AY153" i="46" s="1"/>
  <c r="AO153" i="46"/>
  <c r="AX153" i="46"/>
  <c r="CG262" i="46"/>
  <c r="CH262" i="46" s="1"/>
  <c r="CI262" i="46" s="1"/>
  <c r="AL289" i="46"/>
  <c r="AX289" i="46"/>
  <c r="AW289" i="46"/>
  <c r="AO289" i="46"/>
  <c r="AJ289" i="46"/>
  <c r="AK289" i="46" s="1"/>
  <c r="AM289" i="46"/>
  <c r="AY289" i="46" s="1"/>
  <c r="AQ173" i="46"/>
  <c r="AR173" i="46" s="1"/>
  <c r="AS173" i="46" s="1"/>
  <c r="AQ271" i="46"/>
  <c r="AR271" i="46" s="1"/>
  <c r="AS271" i="46" s="1"/>
  <c r="V320" i="46"/>
  <c r="W320" i="46" s="1"/>
  <c r="X320" i="46" s="1"/>
  <c r="CG25" i="46"/>
  <c r="CH25" i="46" s="1"/>
  <c r="CI25" i="46" s="1"/>
  <c r="AQ143" i="46"/>
  <c r="AR143" i="46" s="1"/>
  <c r="AS143" i="46" s="1"/>
  <c r="BN257" i="46"/>
  <c r="BN315" i="46"/>
  <c r="V287" i="46"/>
  <c r="W287" i="46" s="1"/>
  <c r="X287" i="46" s="1"/>
  <c r="CG121" i="46"/>
  <c r="CH121" i="46" s="1"/>
  <c r="CI121" i="46" s="1"/>
  <c r="AW237" i="46"/>
  <c r="AL237" i="46"/>
  <c r="AO237" i="46"/>
  <c r="AX237" i="46"/>
  <c r="AJ237" i="46"/>
  <c r="AK237" i="46" s="1"/>
  <c r="AM237" i="46"/>
  <c r="AY237" i="46" s="1"/>
  <c r="CG102" i="46"/>
  <c r="CH102" i="46" s="1"/>
  <c r="CI102" i="46" s="1"/>
  <c r="BN342" i="46"/>
  <c r="AQ121" i="46"/>
  <c r="AR121" i="46" s="1"/>
  <c r="AS121" i="46" s="1"/>
  <c r="BS141" i="46"/>
  <c r="BH141" i="46"/>
  <c r="BT141" i="46" s="1"/>
  <c r="BR141" i="46"/>
  <c r="BJ141" i="46"/>
  <c r="BG141" i="46"/>
  <c r="EH54" i="32"/>
  <c r="CB54" i="32"/>
  <c r="HC54" i="32"/>
  <c r="V54" i="32"/>
  <c r="BN48" i="46"/>
  <c r="CG318" i="46"/>
  <c r="CH318" i="46" s="1"/>
  <c r="CI318" i="46" s="1"/>
  <c r="BN119" i="46"/>
  <c r="CG106" i="46"/>
  <c r="CH106" i="46" s="1"/>
  <c r="CI106" i="46" s="1"/>
  <c r="V53" i="46"/>
  <c r="W53" i="46" s="1"/>
  <c r="X53" i="46" s="1"/>
  <c r="V89" i="46"/>
  <c r="W89" i="46" s="1"/>
  <c r="X89" i="46" s="1"/>
  <c r="BR44" i="46"/>
  <c r="BS44" i="46"/>
  <c r="BJ44" i="46"/>
  <c r="BG44" i="46"/>
  <c r="BH44" i="46"/>
  <c r="BT44" i="46" s="1"/>
  <c r="BN127" i="46"/>
  <c r="BR133" i="46"/>
  <c r="BJ133" i="46"/>
  <c r="BG133" i="46"/>
  <c r="BH133" i="46"/>
  <c r="BT133" i="46" s="1"/>
  <c r="BS133" i="46"/>
  <c r="BN345" i="46"/>
  <c r="BN138" i="46"/>
  <c r="BN166" i="46"/>
  <c r="BN93" i="46"/>
  <c r="AQ176" i="46"/>
  <c r="AR176" i="46" s="1"/>
  <c r="AS176" i="46" s="1"/>
  <c r="O199" i="46"/>
  <c r="P199" i="46" s="1"/>
  <c r="R199" i="46"/>
  <c r="AD199" i="46" s="1"/>
  <c r="AC199" i="46"/>
  <c r="T199" i="46"/>
  <c r="AB199" i="46"/>
  <c r="Q199" i="46"/>
  <c r="BR344" i="46"/>
  <c r="BS344" i="46"/>
  <c r="BH344" i="46"/>
  <c r="BT344" i="46" s="1"/>
  <c r="BJ344" i="46"/>
  <c r="BG344" i="46"/>
  <c r="AQ175" i="46"/>
  <c r="AR175" i="46" s="1"/>
  <c r="AS175" i="46" s="1"/>
  <c r="AQ188" i="46"/>
  <c r="AR188" i="46" s="1"/>
  <c r="AS188" i="46" s="1"/>
  <c r="BG59" i="46"/>
  <c r="BS59" i="46"/>
  <c r="BH59" i="46"/>
  <c r="BT59" i="46" s="1"/>
  <c r="BJ59" i="46"/>
  <c r="BR59" i="46"/>
  <c r="BH268" i="46"/>
  <c r="BT268" i="46" s="1"/>
  <c r="BR268" i="46"/>
  <c r="BG268" i="46"/>
  <c r="BJ268" i="46"/>
  <c r="BS268" i="46"/>
  <c r="CN33" i="46"/>
  <c r="CB33" i="46"/>
  <c r="BZ33" i="46"/>
  <c r="CA33" i="46" s="1"/>
  <c r="CE33" i="46"/>
  <c r="CC33" i="46"/>
  <c r="CO33" i="46" s="1"/>
  <c r="CM33" i="46"/>
  <c r="BR14" i="46"/>
  <c r="BJ14" i="46"/>
  <c r="BG14" i="46"/>
  <c r="BS14" i="46"/>
  <c r="BH14" i="46"/>
  <c r="BT14" i="46" s="1"/>
  <c r="BG346" i="46"/>
  <c r="BS346" i="46"/>
  <c r="BR346" i="46"/>
  <c r="BJ346" i="46"/>
  <c r="BH346" i="46"/>
  <c r="BT346" i="46" s="1"/>
  <c r="BR247" i="46"/>
  <c r="BH247" i="46"/>
  <c r="BT247" i="46" s="1"/>
  <c r="BG247" i="46"/>
  <c r="BJ247" i="46"/>
  <c r="BS247" i="46"/>
  <c r="CG64" i="46"/>
  <c r="CH64" i="46" s="1"/>
  <c r="CI64" i="46" s="1"/>
  <c r="CG56" i="46"/>
  <c r="CH56" i="46" s="1"/>
  <c r="CI56" i="46" s="1"/>
  <c r="CC54" i="32"/>
  <c r="EI54" i="32"/>
  <c r="W54" i="32"/>
  <c r="BS107" i="46"/>
  <c r="BH107" i="46"/>
  <c r="BT107" i="46" s="1"/>
  <c r="BG107" i="46"/>
  <c r="BR107" i="46"/>
  <c r="BJ107" i="46"/>
  <c r="CZ54" i="37"/>
  <c r="DE54" i="37" s="1"/>
  <c r="DL54" i="37"/>
  <c r="DQ54" i="37" s="1"/>
  <c r="DT54" i="37" s="1"/>
  <c r="AW290" i="46"/>
  <c r="AX290" i="46"/>
  <c r="AL290" i="46"/>
  <c r="AJ290" i="46"/>
  <c r="AK290" i="46" s="1"/>
  <c r="AM290" i="46"/>
  <c r="AY290" i="46" s="1"/>
  <c r="AO290" i="46"/>
  <c r="BR243" i="46"/>
  <c r="BJ243" i="46"/>
  <c r="BS243" i="46"/>
  <c r="BG243" i="46"/>
  <c r="BH243" i="46"/>
  <c r="BT243" i="46" s="1"/>
  <c r="BJ301" i="46"/>
  <c r="BS301" i="46"/>
  <c r="BH301" i="46"/>
  <c r="BT301" i="46" s="1"/>
  <c r="BR301" i="46"/>
  <c r="BG301" i="46"/>
  <c r="AT54" i="32"/>
  <c r="AY54" i="32" s="1"/>
  <c r="BF54" i="32"/>
  <c r="BK54" i="32" s="1"/>
  <c r="CG233" i="46"/>
  <c r="CH233" i="46" s="1"/>
  <c r="CI233" i="46" s="1"/>
  <c r="BR189" i="46"/>
  <c r="BS189" i="46"/>
  <c r="BG189" i="46"/>
  <c r="BJ189" i="46"/>
  <c r="BH189" i="46"/>
  <c r="BT189" i="46" s="1"/>
  <c r="AQ40" i="46"/>
  <c r="AR40" i="46" s="1"/>
  <c r="AS40" i="46" s="1"/>
  <c r="E37" i="39"/>
  <c r="E39" i="39"/>
  <c r="E47" i="39" s="1"/>
  <c r="G20" i="39"/>
  <c r="AQ194" i="46"/>
  <c r="AR194" i="46" s="1"/>
  <c r="AS194" i="46" s="1"/>
  <c r="V64" i="46"/>
  <c r="W64" i="46" s="1"/>
  <c r="X64" i="46" s="1"/>
  <c r="AQ272" i="46"/>
  <c r="AR272" i="46" s="1"/>
  <c r="AS272" i="46" s="1"/>
  <c r="V181" i="46"/>
  <c r="W181" i="46" s="1"/>
  <c r="X181" i="46" s="1"/>
  <c r="FF54" i="38"/>
  <c r="FK54" i="38" s="1"/>
  <c r="FR54" i="38"/>
  <c r="FW54" i="38" s="1"/>
  <c r="Z84" i="46"/>
  <c r="S84" i="46"/>
  <c r="AG84" i="46" s="1"/>
  <c r="BN213" i="46"/>
  <c r="AW112" i="46"/>
  <c r="AO112" i="46"/>
  <c r="AJ112" i="46"/>
  <c r="AK112" i="46" s="1"/>
  <c r="AX112" i="46"/>
  <c r="AM112" i="46"/>
  <c r="AY112" i="46" s="1"/>
  <c r="AL112" i="46"/>
  <c r="CG201" i="46"/>
  <c r="CH201" i="46" s="1"/>
  <c r="CI201" i="46" s="1"/>
  <c r="V121" i="46"/>
  <c r="W121" i="46" s="1"/>
  <c r="X121" i="46" s="1"/>
  <c r="AB49" i="46"/>
  <c r="O49" i="46"/>
  <c r="P49" i="46" s="1"/>
  <c r="T49" i="46"/>
  <c r="AC49" i="46"/>
  <c r="Q49" i="46"/>
  <c r="R49" i="46"/>
  <c r="AD49" i="46" s="1"/>
  <c r="EI54" i="39"/>
  <c r="CC54" i="39"/>
  <c r="W54" i="39"/>
  <c r="AC128" i="46"/>
  <c r="T128" i="46"/>
  <c r="O128" i="46"/>
  <c r="P128" i="46" s="1"/>
  <c r="R128" i="46"/>
  <c r="AD128" i="46" s="1"/>
  <c r="AB128" i="46"/>
  <c r="Q128" i="46"/>
  <c r="BJ212" i="46"/>
  <c r="BH212" i="46"/>
  <c r="BT212" i="46" s="1"/>
  <c r="BR212" i="46"/>
  <c r="BG212" i="46"/>
  <c r="BS212" i="46"/>
  <c r="AQ133" i="46"/>
  <c r="AR133" i="46" s="1"/>
  <c r="AS133" i="46" s="1"/>
  <c r="BJ275" i="46"/>
  <c r="BS275" i="46"/>
  <c r="BR275" i="46"/>
  <c r="BH275" i="46"/>
  <c r="BT275" i="46" s="1"/>
  <c r="BG275" i="46"/>
  <c r="O253" i="46"/>
  <c r="P253" i="46" s="1"/>
  <c r="AC253" i="46"/>
  <c r="R253" i="46"/>
  <c r="AD253" i="46" s="1"/>
  <c r="T253" i="46"/>
  <c r="AB253" i="46"/>
  <c r="Q253" i="46"/>
  <c r="BJ186" i="46"/>
  <c r="BR186" i="46"/>
  <c r="BH186" i="46"/>
  <c r="BT186" i="46" s="1"/>
  <c r="BS186" i="46"/>
  <c r="BG186" i="46"/>
  <c r="CG29" i="46"/>
  <c r="CH29" i="46" s="1"/>
  <c r="CI29" i="46" s="1"/>
  <c r="BH198" i="46"/>
  <c r="BT198" i="46" s="1"/>
  <c r="BR198" i="46"/>
  <c r="BJ198" i="46"/>
  <c r="BG198" i="46"/>
  <c r="BS198" i="46"/>
  <c r="BJ335" i="46"/>
  <c r="BR335" i="46"/>
  <c r="BS335" i="46"/>
  <c r="BG335" i="46"/>
  <c r="BH335" i="46"/>
  <c r="BT335" i="46" s="1"/>
  <c r="BH217" i="46"/>
  <c r="BT217" i="46" s="1"/>
  <c r="BG217" i="46"/>
  <c r="BJ217" i="46"/>
  <c r="BS217" i="46"/>
  <c r="BR217" i="46"/>
  <c r="CN304" i="46"/>
  <c r="CC304" i="46"/>
  <c r="CO304" i="46" s="1"/>
  <c r="CM304" i="46"/>
  <c r="BZ304" i="46"/>
  <c r="CA304" i="46" s="1"/>
  <c r="CE304" i="46"/>
  <c r="CB304" i="46"/>
  <c r="V46" i="46"/>
  <c r="W46" i="46" s="1"/>
  <c r="X46" i="46" s="1"/>
  <c r="BR228" i="46"/>
  <c r="BG228" i="46"/>
  <c r="BJ228" i="46"/>
  <c r="BH228" i="46"/>
  <c r="BT228" i="46" s="1"/>
  <c r="BS228" i="46"/>
  <c r="BS278" i="46"/>
  <c r="BG278" i="46"/>
  <c r="BH278" i="46"/>
  <c r="BT278" i="46" s="1"/>
  <c r="BR278" i="46"/>
  <c r="BJ278" i="46"/>
  <c r="BS139" i="46"/>
  <c r="BH139" i="46"/>
  <c r="BT139" i="46" s="1"/>
  <c r="BR139" i="46"/>
  <c r="BJ139" i="46"/>
  <c r="BG139" i="46"/>
  <c r="CG202" i="46"/>
  <c r="CH202" i="46" s="1"/>
  <c r="CI202" i="46" s="1"/>
  <c r="BG249" i="46"/>
  <c r="BR249" i="46"/>
  <c r="BH249" i="46"/>
  <c r="BT249" i="46" s="1"/>
  <c r="BJ249" i="46"/>
  <c r="BS249" i="46"/>
  <c r="V273" i="46"/>
  <c r="W273" i="46" s="1"/>
  <c r="X273" i="46" s="1"/>
  <c r="AQ329" i="46"/>
  <c r="AR329" i="46" s="1"/>
  <c r="AS329" i="46" s="1"/>
  <c r="BN223" i="46"/>
  <c r="AB237" i="46"/>
  <c r="Q237" i="46"/>
  <c r="O237" i="46"/>
  <c r="P237" i="46" s="1"/>
  <c r="AC237" i="46"/>
  <c r="T237" i="46"/>
  <c r="R237" i="46"/>
  <c r="AD237" i="46" s="1"/>
  <c r="BS320" i="46"/>
  <c r="BH320" i="46"/>
  <c r="BT320" i="46" s="1"/>
  <c r="BG320" i="46"/>
  <c r="BR320" i="46"/>
  <c r="BJ320" i="46"/>
  <c r="AQ59" i="46"/>
  <c r="AR59" i="46" s="1"/>
  <c r="AS59" i="46" s="1"/>
  <c r="R312" i="46"/>
  <c r="AD312" i="46" s="1"/>
  <c r="O312" i="46"/>
  <c r="P312" i="46" s="1"/>
  <c r="T312" i="46"/>
  <c r="AC312" i="46"/>
  <c r="Q312" i="46"/>
  <c r="AB312" i="46"/>
  <c r="W54" i="37"/>
  <c r="EI54" i="37"/>
  <c r="CC54" i="37"/>
  <c r="FR54" i="32"/>
  <c r="FW54" i="32" s="1"/>
  <c r="FF54" i="32"/>
  <c r="FK54" i="32" s="1"/>
  <c r="BH84" i="46"/>
  <c r="BT84" i="46" s="1"/>
  <c r="BJ84" i="46"/>
  <c r="BR84" i="46"/>
  <c r="BG84" i="46"/>
  <c r="BS84" i="46"/>
  <c r="AO207" i="46"/>
  <c r="AW207" i="46"/>
  <c r="AJ207" i="46"/>
  <c r="AK207" i="46" s="1"/>
  <c r="AL207" i="46"/>
  <c r="AX207" i="46"/>
  <c r="AM207" i="46"/>
  <c r="AY207" i="46" s="1"/>
  <c r="V194" i="46"/>
  <c r="W194" i="46" s="1"/>
  <c r="X194" i="46" s="1"/>
  <c r="V277" i="46"/>
  <c r="W277" i="46" s="1"/>
  <c r="X277" i="46" s="1"/>
  <c r="BR187" i="46"/>
  <c r="BG187" i="46"/>
  <c r="BH187" i="46"/>
  <c r="BT187" i="46" s="1"/>
  <c r="BS187" i="46"/>
  <c r="BJ187" i="46"/>
  <c r="CE211" i="46"/>
  <c r="CB211" i="46"/>
  <c r="CM211" i="46"/>
  <c r="CN211" i="46"/>
  <c r="CC211" i="46"/>
  <c r="CO211" i="46" s="1"/>
  <c r="BZ211" i="46"/>
  <c r="CA211" i="46" s="1"/>
  <c r="CN261" i="46"/>
  <c r="CE261" i="46"/>
  <c r="CB261" i="46"/>
  <c r="CM261" i="46"/>
  <c r="BZ261" i="46"/>
  <c r="CA261" i="46" s="1"/>
  <c r="CC261" i="46"/>
  <c r="CO261" i="46" s="1"/>
  <c r="CG285" i="46"/>
  <c r="CH285" i="46" s="1"/>
  <c r="CI285" i="46" s="1"/>
  <c r="AX86" i="46"/>
  <c r="AO86" i="46"/>
  <c r="AJ86" i="46"/>
  <c r="AK86" i="46" s="1"/>
  <c r="AM86" i="46"/>
  <c r="AY86" i="46" s="1"/>
  <c r="AW86" i="46"/>
  <c r="AL86" i="46"/>
  <c r="BJ303" i="46"/>
  <c r="BS303" i="46"/>
  <c r="BR303" i="46"/>
  <c r="BH303" i="46"/>
  <c r="BT303" i="46" s="1"/>
  <c r="BG303" i="46"/>
  <c r="AQ250" i="46"/>
  <c r="AR250" i="46" s="1"/>
  <c r="AS250" i="46" s="1"/>
  <c r="AQ46" i="46"/>
  <c r="AR46" i="46" s="1"/>
  <c r="AS46" i="46" s="1"/>
  <c r="AQ63" i="46"/>
  <c r="AR63" i="46" s="1"/>
  <c r="AS63" i="46" s="1"/>
  <c r="V192" i="46"/>
  <c r="W192" i="46" s="1"/>
  <c r="X192" i="46" s="1"/>
  <c r="V229" i="46"/>
  <c r="W229" i="46" s="1"/>
  <c r="X229" i="46" s="1"/>
  <c r="CG73" i="46"/>
  <c r="CH73" i="46" s="1"/>
  <c r="CI73" i="46" s="1"/>
  <c r="V220" i="46"/>
  <c r="W220" i="46" s="1"/>
  <c r="X220" i="46" s="1"/>
  <c r="V303" i="46"/>
  <c r="W303" i="46" s="1"/>
  <c r="X303" i="46" s="1"/>
  <c r="EY54" i="37"/>
  <c r="CG154" i="46"/>
  <c r="CH154" i="46" s="1"/>
  <c r="CI154" i="46" s="1"/>
  <c r="V79" i="46"/>
  <c r="W79" i="46" s="1"/>
  <c r="X79" i="46" s="1"/>
  <c r="AQ287" i="46"/>
  <c r="AR287" i="46" s="1"/>
  <c r="AS287" i="46" s="1"/>
  <c r="CG135" i="46"/>
  <c r="CH135" i="46" s="1"/>
  <c r="CI135" i="46" s="1"/>
  <c r="BN135" i="46"/>
  <c r="V236" i="46"/>
  <c r="W236" i="46" s="1"/>
  <c r="X236" i="46" s="1"/>
  <c r="BJ57" i="46"/>
  <c r="BH57" i="46"/>
  <c r="BT57" i="46" s="1"/>
  <c r="BS57" i="46"/>
  <c r="BR57" i="46"/>
  <c r="BG57" i="46"/>
  <c r="AQ182" i="46"/>
  <c r="AR182" i="46" s="1"/>
  <c r="AS182" i="46" s="1"/>
  <c r="BN195" i="46"/>
  <c r="BS165" i="46"/>
  <c r="BG165" i="46"/>
  <c r="BH165" i="46"/>
  <c r="BT165" i="46" s="1"/>
  <c r="BJ165" i="46"/>
  <c r="BR165" i="46"/>
  <c r="CG209" i="46"/>
  <c r="CH209" i="46" s="1"/>
  <c r="CI209" i="46" s="1"/>
  <c r="Q125" i="46"/>
  <c r="AC125" i="46"/>
  <c r="O125" i="46"/>
  <c r="P125" i="46" s="1"/>
  <c r="T125" i="46"/>
  <c r="R125" i="46"/>
  <c r="AD125" i="46" s="1"/>
  <c r="AB125" i="46"/>
  <c r="V265" i="46"/>
  <c r="W265" i="46" s="1"/>
  <c r="X265" i="46" s="1"/>
  <c r="AQ91" i="46"/>
  <c r="AR91" i="46" s="1"/>
  <c r="AS91" i="46" s="1"/>
  <c r="AQ231" i="46"/>
  <c r="AR231" i="46" s="1"/>
  <c r="AS231" i="46" s="1"/>
  <c r="BH55" i="46"/>
  <c r="BT55" i="46" s="1"/>
  <c r="BJ55" i="46"/>
  <c r="BS55" i="46"/>
  <c r="BR55" i="46"/>
  <c r="BG55" i="46"/>
  <c r="CG109" i="46"/>
  <c r="CH109" i="46" s="1"/>
  <c r="CI109" i="46" s="1"/>
  <c r="CG323" i="46"/>
  <c r="CH323" i="46" s="1"/>
  <c r="CI323" i="46" s="1"/>
  <c r="BN100" i="46"/>
  <c r="V165" i="46"/>
  <c r="W165" i="46" s="1"/>
  <c r="X165" i="46" s="1"/>
  <c r="BN178" i="46"/>
  <c r="V87" i="46"/>
  <c r="W87" i="46" s="1"/>
  <c r="X87" i="46" s="1"/>
  <c r="V30" i="46"/>
  <c r="W30" i="46" s="1"/>
  <c r="X30" i="46" s="1"/>
  <c r="CC314" i="46"/>
  <c r="CO314" i="46" s="1"/>
  <c r="CB314" i="46"/>
  <c r="BZ314" i="46"/>
  <c r="CA314" i="46" s="1"/>
  <c r="CN314" i="46"/>
  <c r="CM314" i="46"/>
  <c r="CE314" i="46"/>
  <c r="BN242" i="46"/>
  <c r="BH274" i="46"/>
  <c r="BT274" i="46" s="1"/>
  <c r="BS274" i="46"/>
  <c r="BJ274" i="46"/>
  <c r="BG274" i="46"/>
  <c r="BR274" i="46"/>
  <c r="BN162" i="46"/>
  <c r="CG192" i="46"/>
  <c r="CH192" i="46" s="1"/>
  <c r="CI192" i="46" s="1"/>
  <c r="AQ144" i="46"/>
  <c r="AR144" i="46" s="1"/>
  <c r="AS144" i="46" s="1"/>
  <c r="AM54" i="37"/>
  <c r="CG235" i="46"/>
  <c r="CH235" i="46" s="1"/>
  <c r="CI235" i="46" s="1"/>
  <c r="AX130" i="46"/>
  <c r="AJ130" i="46"/>
  <c r="AK130" i="46" s="1"/>
  <c r="AO130" i="46"/>
  <c r="AM130" i="46"/>
  <c r="AY130" i="46" s="1"/>
  <c r="AW130" i="46"/>
  <c r="AL130" i="46"/>
  <c r="BH200" i="46"/>
  <c r="BT200" i="46" s="1"/>
  <c r="BJ200" i="46"/>
  <c r="BR200" i="46"/>
  <c r="BG200" i="46"/>
  <c r="BS200" i="46"/>
  <c r="BG255" i="46"/>
  <c r="BJ255" i="46"/>
  <c r="BR255" i="46"/>
  <c r="BH255" i="46"/>
  <c r="BT255" i="46" s="1"/>
  <c r="BS255" i="46"/>
  <c r="CG144" i="46"/>
  <c r="CH144" i="46" s="1"/>
  <c r="CI144" i="46" s="1"/>
  <c r="BR70" i="46"/>
  <c r="BG70" i="46"/>
  <c r="BS70" i="46"/>
  <c r="BJ70" i="46"/>
  <c r="BH70" i="46"/>
  <c r="BT70" i="46" s="1"/>
  <c r="AQ27" i="46"/>
  <c r="AR27" i="46" s="1"/>
  <c r="AS27" i="46" s="1"/>
  <c r="V323" i="46"/>
  <c r="W323" i="46" s="1"/>
  <c r="X323" i="46" s="1"/>
  <c r="BN88" i="46"/>
  <c r="BF54" i="38"/>
  <c r="BK54" i="38" s="1"/>
  <c r="BN54" i="38" s="1"/>
  <c r="AT54" i="38"/>
  <c r="AY54" i="38" s="1"/>
  <c r="BN270" i="46"/>
  <c r="V178" i="46"/>
  <c r="W178" i="46" s="1"/>
  <c r="X178" i="46" s="1"/>
  <c r="CG271" i="46"/>
  <c r="CH271" i="46" s="1"/>
  <c r="CI271" i="46" s="1"/>
  <c r="CG257" i="46"/>
  <c r="CH257" i="46" s="1"/>
  <c r="CI257" i="46" s="1"/>
  <c r="DL54" i="55"/>
  <c r="DQ54" i="55" s="1"/>
  <c r="DT54" i="55" s="1"/>
  <c r="CZ54" i="55"/>
  <c r="DE54" i="55" s="1"/>
  <c r="V137" i="46"/>
  <c r="W137" i="46" s="1"/>
  <c r="X137" i="46" s="1"/>
  <c r="BJ347" i="46"/>
  <c r="BH347" i="46"/>
  <c r="BT347" i="46" s="1"/>
  <c r="BS347" i="46"/>
  <c r="BR347" i="46"/>
  <c r="BG347" i="46"/>
  <c r="AQ279" i="46"/>
  <c r="AR279" i="46" s="1"/>
  <c r="AS279" i="46" s="1"/>
  <c r="CB290" i="46"/>
  <c r="BZ290" i="46"/>
  <c r="CA290" i="46" s="1"/>
  <c r="CE290" i="46"/>
  <c r="CM290" i="46"/>
  <c r="CC290" i="46"/>
  <c r="CO290" i="46" s="1"/>
  <c r="CN290" i="46"/>
  <c r="CG229" i="46"/>
  <c r="CH229" i="46" s="1"/>
  <c r="CI229" i="46" s="1"/>
  <c r="BR125" i="46"/>
  <c r="BJ125" i="46"/>
  <c r="BG125" i="46"/>
  <c r="BH125" i="46"/>
  <c r="BT125" i="46" s="1"/>
  <c r="BS125" i="46"/>
  <c r="AQ303" i="46"/>
  <c r="AR303" i="46" s="1"/>
  <c r="AS303" i="46" s="1"/>
  <c r="CB54" i="39"/>
  <c r="DU54" i="39" s="1"/>
  <c r="HC54" i="39"/>
  <c r="V54" i="39"/>
  <c r="BO54" i="39" s="1"/>
  <c r="EH54" i="39"/>
  <c r="GA54" i="39" s="1"/>
  <c r="CG297" i="46"/>
  <c r="CH297" i="46" s="1"/>
  <c r="CI297" i="46" s="1"/>
  <c r="CG310" i="46"/>
  <c r="CH310" i="46" s="1"/>
  <c r="CI310" i="46" s="1"/>
  <c r="BJ340" i="46"/>
  <c r="BG340" i="46"/>
  <c r="BR340" i="46"/>
  <c r="BS340" i="46"/>
  <c r="BH340" i="46"/>
  <c r="BT340" i="46" s="1"/>
  <c r="CG189" i="46"/>
  <c r="CH189" i="46" s="1"/>
  <c r="CI189" i="46" s="1"/>
  <c r="BS112" i="46"/>
  <c r="BR112" i="46"/>
  <c r="BJ112" i="46"/>
  <c r="BG112" i="46"/>
  <c r="BH112" i="46"/>
  <c r="BT112" i="46" s="1"/>
  <c r="V344" i="46"/>
  <c r="W344" i="46" s="1"/>
  <c r="X344" i="46" s="1"/>
  <c r="BN77" i="46"/>
  <c r="CG51" i="46"/>
  <c r="CH51" i="46" s="1"/>
  <c r="CI51" i="46" s="1"/>
  <c r="BN89" i="46"/>
  <c r="CG317" i="46"/>
  <c r="CH317" i="46" s="1"/>
  <c r="CI317" i="46" s="1"/>
  <c r="AO65" i="46"/>
  <c r="AJ65" i="46"/>
  <c r="AK65" i="46" s="1"/>
  <c r="AW65" i="46"/>
  <c r="AL65" i="46"/>
  <c r="AX65" i="46"/>
  <c r="AM65" i="46"/>
  <c r="AY65" i="46" s="1"/>
  <c r="CG126" i="46"/>
  <c r="CH126" i="46" s="1"/>
  <c r="CI126" i="46" s="1"/>
  <c r="V340" i="46"/>
  <c r="W340" i="46" s="1"/>
  <c r="X340" i="46" s="1"/>
  <c r="BG47" i="46"/>
  <c r="BR47" i="46"/>
  <c r="BS47" i="46"/>
  <c r="BJ47" i="46"/>
  <c r="BH47" i="46"/>
  <c r="BT47" i="46" s="1"/>
  <c r="AQ100" i="46"/>
  <c r="AR100" i="46" s="1"/>
  <c r="AS100" i="46" s="1"/>
  <c r="BS71" i="46"/>
  <c r="BR71" i="46"/>
  <c r="BJ71" i="46"/>
  <c r="BG71" i="46"/>
  <c r="BH71" i="46"/>
  <c r="BT71" i="46" s="1"/>
  <c r="CZ54" i="39"/>
  <c r="DE54" i="39" s="1"/>
  <c r="DL54" i="39"/>
  <c r="DQ54" i="39" s="1"/>
  <c r="BG169" i="46"/>
  <c r="BH169" i="46"/>
  <c r="BT169" i="46" s="1"/>
  <c r="BS169" i="46"/>
  <c r="BJ169" i="46"/>
  <c r="BR169" i="46"/>
  <c r="BR206" i="46"/>
  <c r="BH206" i="46"/>
  <c r="BT206" i="46" s="1"/>
  <c r="BS206" i="46"/>
  <c r="BJ206" i="46"/>
  <c r="BG206" i="46"/>
  <c r="V81" i="46"/>
  <c r="W81" i="46" s="1"/>
  <c r="X81" i="46" s="1"/>
  <c r="AQ235" i="46"/>
  <c r="AR235" i="46" s="1"/>
  <c r="AS235" i="46" s="1"/>
  <c r="CG254" i="46"/>
  <c r="CH254" i="46" s="1"/>
  <c r="CI254" i="46" s="1"/>
  <c r="BN51" i="46"/>
  <c r="AQ195" i="46"/>
  <c r="AR195" i="46" s="1"/>
  <c r="AS195" i="46" s="1"/>
  <c r="AQ80" i="46"/>
  <c r="AR80" i="46" s="1"/>
  <c r="AS80" i="46" s="1"/>
  <c r="V262" i="46"/>
  <c r="W262" i="46" s="1"/>
  <c r="X262" i="46" s="1"/>
  <c r="BJ136" i="46"/>
  <c r="BS136" i="46"/>
  <c r="BR136" i="46"/>
  <c r="BG136" i="46"/>
  <c r="BH136" i="46"/>
  <c r="BT136" i="46" s="1"/>
  <c r="AL20" i="46"/>
  <c r="AM20" i="46"/>
  <c r="AY20" i="46" s="1"/>
  <c r="AO20" i="46"/>
  <c r="AX20" i="46"/>
  <c r="AW20" i="46"/>
  <c r="AJ20" i="46"/>
  <c r="AK20" i="46" s="1"/>
  <c r="AQ205" i="46"/>
  <c r="AR205" i="46" s="1"/>
  <c r="AS205" i="46" s="1"/>
  <c r="CG217" i="46"/>
  <c r="CH217" i="46" s="1"/>
  <c r="CI217" i="46" s="1"/>
  <c r="CG60" i="46"/>
  <c r="CH60" i="46" s="1"/>
  <c r="CI60" i="46" s="1"/>
  <c r="V124" i="46"/>
  <c r="W124" i="46" s="1"/>
  <c r="X124" i="46" s="1"/>
  <c r="BN244" i="46"/>
  <c r="BJ114" i="46"/>
  <c r="BH114" i="46"/>
  <c r="BT114" i="46" s="1"/>
  <c r="BR114" i="46"/>
  <c r="BS114" i="46"/>
  <c r="BG114" i="46"/>
  <c r="AQ126" i="46"/>
  <c r="AR126" i="46" s="1"/>
  <c r="AS126" i="46" s="1"/>
  <c r="AQ32" i="46"/>
  <c r="AR32" i="46" s="1"/>
  <c r="AS32" i="46" s="1"/>
  <c r="V290" i="46"/>
  <c r="W290" i="46" s="1"/>
  <c r="X290" i="46" s="1"/>
  <c r="CG183" i="46"/>
  <c r="CH183" i="46" s="1"/>
  <c r="CI183" i="46" s="1"/>
  <c r="AQ28" i="46"/>
  <c r="AR28" i="46" s="1"/>
  <c r="AS28" i="46" s="1"/>
  <c r="AM192" i="46"/>
  <c r="AY192" i="46" s="1"/>
  <c r="AL192" i="46"/>
  <c r="AW192" i="46"/>
  <c r="AO192" i="46"/>
  <c r="AX192" i="46"/>
  <c r="AJ192" i="46"/>
  <c r="AK192" i="46" s="1"/>
  <c r="FR54" i="55"/>
  <c r="FW54" i="55" s="1"/>
  <c r="FF54" i="55"/>
  <c r="FK54" i="55" s="1"/>
  <c r="AQ169" i="46"/>
  <c r="AR169" i="46" s="1"/>
  <c r="AS169" i="46" s="1"/>
  <c r="AQ34" i="46"/>
  <c r="AR34" i="46" s="1"/>
  <c r="AS34" i="46" s="1"/>
  <c r="V204" i="46"/>
  <c r="W204" i="46" s="1"/>
  <c r="X204" i="46" s="1"/>
  <c r="BN337" i="46"/>
  <c r="BS326" i="46"/>
  <c r="BJ326" i="46"/>
  <c r="BG326" i="46"/>
  <c r="BR326" i="46"/>
  <c r="BH326" i="46"/>
  <c r="BT326" i="46" s="1"/>
  <c r="AQ214" i="46"/>
  <c r="AR214" i="46" s="1"/>
  <c r="AS214" i="46" s="1"/>
  <c r="CG71" i="46"/>
  <c r="CH71" i="46" s="1"/>
  <c r="CI71" i="46" s="1"/>
  <c r="BN253" i="46"/>
  <c r="V241" i="46"/>
  <c r="W241" i="46" s="1"/>
  <c r="X241" i="46" s="1"/>
  <c r="AQ258" i="46"/>
  <c r="AR258" i="46" s="1"/>
  <c r="AS258" i="46" s="1"/>
  <c r="CE273" i="46"/>
  <c r="CB273" i="46"/>
  <c r="CM273" i="46"/>
  <c r="CC273" i="46"/>
  <c r="CO273" i="46" s="1"/>
  <c r="BZ273" i="46"/>
  <c r="CA273" i="46" s="1"/>
  <c r="CN273" i="46"/>
  <c r="AQ67" i="46"/>
  <c r="AR67" i="46" s="1"/>
  <c r="AS67" i="46" s="1"/>
  <c r="CG86" i="46"/>
  <c r="CH86" i="46" s="1"/>
  <c r="CI86" i="46" s="1"/>
  <c r="V260" i="46"/>
  <c r="W260" i="46" s="1"/>
  <c r="X260" i="46" s="1"/>
  <c r="V108" i="46"/>
  <c r="W108" i="46" s="1"/>
  <c r="X108" i="46" s="1"/>
  <c r="CG260" i="46"/>
  <c r="CH260" i="46" s="1"/>
  <c r="CI260" i="46" s="1"/>
  <c r="CG85" i="46"/>
  <c r="CH85" i="46" s="1"/>
  <c r="CI85" i="46" s="1"/>
  <c r="V310" i="46"/>
  <c r="W310" i="46" s="1"/>
  <c r="X310" i="46" s="1"/>
  <c r="AQ158" i="46"/>
  <c r="AR158" i="46" s="1"/>
  <c r="AS158" i="46" s="1"/>
  <c r="AQ295" i="46"/>
  <c r="AR295" i="46" s="1"/>
  <c r="AS295" i="46" s="1"/>
  <c r="AQ174" i="46"/>
  <c r="AR174" i="46" s="1"/>
  <c r="AS174" i="46" s="1"/>
  <c r="V221" i="46"/>
  <c r="W221" i="46" s="1"/>
  <c r="X221" i="46" s="1"/>
  <c r="BN151" i="46"/>
  <c r="V292" i="46"/>
  <c r="W292" i="46" s="1"/>
  <c r="X292" i="46" s="1"/>
  <c r="AQ148" i="46"/>
  <c r="AR148" i="46" s="1"/>
  <c r="AS148" i="46" s="1"/>
  <c r="BJ118" i="46"/>
  <c r="BG118" i="46"/>
  <c r="BH118" i="46"/>
  <c r="BT118" i="46" s="1"/>
  <c r="BR118" i="46"/>
  <c r="BS118" i="46"/>
  <c r="BG30" i="46"/>
  <c r="BJ30" i="46"/>
  <c r="BH30" i="46"/>
  <c r="BT30" i="46" s="1"/>
  <c r="BR30" i="46"/>
  <c r="BS30" i="46"/>
  <c r="V318" i="46"/>
  <c r="W318" i="46" s="1"/>
  <c r="X318" i="46" s="1"/>
  <c r="BS167" i="46"/>
  <c r="BR167" i="46"/>
  <c r="BJ167" i="46"/>
  <c r="BH167" i="46"/>
  <c r="BT167" i="46" s="1"/>
  <c r="BG167" i="46"/>
  <c r="BN256" i="46"/>
  <c r="AQ313" i="46"/>
  <c r="AR313" i="46" s="1"/>
  <c r="AS313" i="46" s="1"/>
  <c r="V78" i="46"/>
  <c r="W78" i="46" s="1"/>
  <c r="X78" i="46" s="1"/>
  <c r="Q171" i="46"/>
  <c r="AC171" i="46"/>
  <c r="R171" i="46"/>
  <c r="AD171" i="46" s="1"/>
  <c r="AB171" i="46"/>
  <c r="T171" i="46"/>
  <c r="O171" i="46"/>
  <c r="P171" i="46" s="1"/>
  <c r="AW187" i="46"/>
  <c r="AL187" i="46"/>
  <c r="AO187" i="46"/>
  <c r="AX187" i="46"/>
  <c r="AM187" i="46"/>
  <c r="AY187" i="46" s="1"/>
  <c r="AJ187" i="46"/>
  <c r="AK187" i="46" s="1"/>
  <c r="AQ233" i="46"/>
  <c r="AR233" i="46" s="1"/>
  <c r="AS233" i="46" s="1"/>
  <c r="CG48" i="46"/>
  <c r="CH48" i="46" s="1"/>
  <c r="CI48" i="46" s="1"/>
  <c r="V76" i="46"/>
  <c r="W76" i="46" s="1"/>
  <c r="X76" i="46" s="1"/>
  <c r="CG259" i="46"/>
  <c r="CH259" i="46" s="1"/>
  <c r="CI259" i="46" s="1"/>
  <c r="CG245" i="46"/>
  <c r="CH245" i="46" s="1"/>
  <c r="CI245" i="46" s="1"/>
  <c r="CG75" i="46"/>
  <c r="CH75" i="46" s="1"/>
  <c r="CI75" i="46" s="1"/>
  <c r="BJ34" i="46"/>
  <c r="BR34" i="46"/>
  <c r="BS34" i="46"/>
  <c r="BG34" i="46"/>
  <c r="BH34" i="46"/>
  <c r="BT34" i="46" s="1"/>
  <c r="V169" i="46"/>
  <c r="W169" i="46" s="1"/>
  <c r="X169" i="46" s="1"/>
  <c r="AQ37" i="46"/>
  <c r="AR37" i="46" s="1"/>
  <c r="AS37" i="46" s="1"/>
  <c r="BN307" i="46"/>
  <c r="V130" i="46"/>
  <c r="W130" i="46" s="1"/>
  <c r="X130" i="46" s="1"/>
  <c r="V203" i="46"/>
  <c r="W203" i="46" s="1"/>
  <c r="X203" i="46" s="1"/>
  <c r="V263" i="46"/>
  <c r="W263" i="46" s="1"/>
  <c r="X263" i="46" s="1"/>
  <c r="V158" i="46"/>
  <c r="W158" i="46" s="1"/>
  <c r="X158" i="46" s="1"/>
  <c r="AQ196" i="46"/>
  <c r="AR196" i="46" s="1"/>
  <c r="AS196" i="46" s="1"/>
  <c r="V106" i="46"/>
  <c r="W106" i="46" s="1"/>
  <c r="X106" i="46" s="1"/>
  <c r="V313" i="46"/>
  <c r="W313" i="46" s="1"/>
  <c r="X313" i="46" s="1"/>
  <c r="AQ223" i="46"/>
  <c r="AR223" i="46" s="1"/>
  <c r="AS223" i="46" s="1"/>
  <c r="BN41" i="46"/>
  <c r="AQ38" i="46"/>
  <c r="AR38" i="46" s="1"/>
  <c r="AS38" i="46" s="1"/>
  <c r="CG27" i="46"/>
  <c r="CH27" i="46" s="1"/>
  <c r="CI27" i="46" s="1"/>
  <c r="AQ53" i="46"/>
  <c r="AR53" i="46" s="1"/>
  <c r="AS53" i="46" s="1"/>
  <c r="CG252" i="46"/>
  <c r="CH252" i="46" s="1"/>
  <c r="CI252" i="46" s="1"/>
  <c r="V300" i="46"/>
  <c r="W300" i="46" s="1"/>
  <c r="X300" i="46" s="1"/>
  <c r="AO277" i="46"/>
  <c r="AL277" i="46"/>
  <c r="AM277" i="46"/>
  <c r="AY277" i="46" s="1"/>
  <c r="AX277" i="46"/>
  <c r="AJ277" i="46"/>
  <c r="AK277" i="46" s="1"/>
  <c r="AW277" i="46"/>
  <c r="V173" i="46"/>
  <c r="W173" i="46" s="1"/>
  <c r="X173" i="46" s="1"/>
  <c r="CG316" i="46"/>
  <c r="CH316" i="46" s="1"/>
  <c r="CI316" i="46" s="1"/>
  <c r="CG241" i="46"/>
  <c r="CH241" i="46" s="1"/>
  <c r="CI241" i="46" s="1"/>
  <c r="BG181" i="46"/>
  <c r="BH181" i="46"/>
  <c r="BT181" i="46" s="1"/>
  <c r="BJ181" i="46"/>
  <c r="BR181" i="46"/>
  <c r="BS181" i="46"/>
  <c r="CG204" i="46"/>
  <c r="CH204" i="46" s="1"/>
  <c r="CI204" i="46" s="1"/>
  <c r="BN197" i="46"/>
  <c r="V219" i="46"/>
  <c r="W219" i="46" s="1"/>
  <c r="X219" i="46" s="1"/>
  <c r="AQ15" i="46"/>
  <c r="AR15" i="46" s="1"/>
  <c r="AS15" i="46" s="1"/>
  <c r="V33" i="46"/>
  <c r="W33" i="46" s="1"/>
  <c r="X33" i="46" s="1"/>
  <c r="AQ171" i="46"/>
  <c r="AR171" i="46" s="1"/>
  <c r="AS171" i="46" s="1"/>
  <c r="BR67" i="46"/>
  <c r="BS67" i="46"/>
  <c r="BH67" i="46"/>
  <c r="BT67" i="46" s="1"/>
  <c r="BJ67" i="46"/>
  <c r="BG67" i="46"/>
  <c r="BN204" i="46"/>
  <c r="AQ232" i="46"/>
  <c r="AR232" i="46" s="1"/>
  <c r="AS232" i="46" s="1"/>
  <c r="FF54" i="39"/>
  <c r="FK54" i="39" s="1"/>
  <c r="FR54" i="39"/>
  <c r="FW54" i="39" s="1"/>
  <c r="FZ54" i="39" s="1"/>
  <c r="AM309" i="46"/>
  <c r="AY309" i="46" s="1"/>
  <c r="AO309" i="46"/>
  <c r="AW309" i="46"/>
  <c r="AL309" i="46"/>
  <c r="AJ309" i="46"/>
  <c r="AK309" i="46" s="1"/>
  <c r="AX309" i="46"/>
  <c r="CE65" i="46"/>
  <c r="CB65" i="46"/>
  <c r="CC65" i="46"/>
  <c r="CO65" i="46" s="1"/>
  <c r="CM65" i="46"/>
  <c r="BZ65" i="46"/>
  <c r="CA65" i="46" s="1"/>
  <c r="CN65" i="46"/>
  <c r="AQ209" i="46"/>
  <c r="AR209" i="46" s="1"/>
  <c r="AS209" i="46" s="1"/>
  <c r="CC138" i="46"/>
  <c r="CO138" i="46" s="1"/>
  <c r="CM138" i="46"/>
  <c r="CN138" i="46"/>
  <c r="BZ138" i="46"/>
  <c r="CA138" i="46" s="1"/>
  <c r="CE138" i="46"/>
  <c r="CB138" i="46"/>
  <c r="CG315" i="46"/>
  <c r="CH315" i="46" s="1"/>
  <c r="CI315" i="46" s="1"/>
  <c r="T98" i="46"/>
  <c r="AC98" i="46"/>
  <c r="Q98" i="46"/>
  <c r="R98" i="46"/>
  <c r="AD98" i="46" s="1"/>
  <c r="O98" i="46"/>
  <c r="P98" i="46" s="1"/>
  <c r="AB98" i="46"/>
  <c r="AC159" i="46"/>
  <c r="O159" i="46"/>
  <c r="P159" i="46" s="1"/>
  <c r="R159" i="46"/>
  <c r="AD159" i="46" s="1"/>
  <c r="T159" i="46"/>
  <c r="AB159" i="46"/>
  <c r="Q159" i="46"/>
  <c r="V346" i="46"/>
  <c r="W346" i="46" s="1"/>
  <c r="X346" i="46" s="1"/>
  <c r="BG229" i="46"/>
  <c r="BS229" i="46"/>
  <c r="BR229" i="46"/>
  <c r="BJ229" i="46"/>
  <c r="BH229" i="46"/>
  <c r="BT229" i="46" s="1"/>
  <c r="V183" i="46"/>
  <c r="W183" i="46" s="1"/>
  <c r="X183" i="46" s="1"/>
  <c r="AQ115" i="46"/>
  <c r="AR115" i="46" s="1"/>
  <c r="AS115" i="46" s="1"/>
  <c r="BR140" i="46"/>
  <c r="BS140" i="46"/>
  <c r="BH140" i="46"/>
  <c r="BT140" i="46" s="1"/>
  <c r="BJ140" i="46"/>
  <c r="BG140" i="46"/>
  <c r="V347" i="46"/>
  <c r="W347" i="46" s="1"/>
  <c r="X347" i="46" s="1"/>
  <c r="CG20" i="46"/>
  <c r="CH20" i="46" s="1"/>
  <c r="CI20" i="46" s="1"/>
  <c r="AM74" i="46"/>
  <c r="AY74" i="46" s="1"/>
  <c r="AO74" i="46"/>
  <c r="AX74" i="46"/>
  <c r="AL74" i="46"/>
  <c r="AJ74" i="46"/>
  <c r="AK74" i="46" s="1"/>
  <c r="AW74" i="46"/>
  <c r="BN175" i="46"/>
  <c r="AQ234" i="46"/>
  <c r="AR234" i="46" s="1"/>
  <c r="AS234" i="46" s="1"/>
  <c r="CG83" i="46"/>
  <c r="CH83" i="46" s="1"/>
  <c r="CI83" i="46" s="1"/>
  <c r="V177" i="46"/>
  <c r="W177" i="46" s="1"/>
  <c r="X177" i="46" s="1"/>
  <c r="AQ162" i="46"/>
  <c r="AR162" i="46" s="1"/>
  <c r="AS162" i="46" s="1"/>
  <c r="BS116" i="46"/>
  <c r="BR116" i="46"/>
  <c r="BJ116" i="46"/>
  <c r="BH116" i="46"/>
  <c r="BT116" i="46" s="1"/>
  <c r="BG116" i="46"/>
  <c r="V185" i="46"/>
  <c r="W185" i="46" s="1"/>
  <c r="X185" i="46" s="1"/>
  <c r="AQ43" i="46"/>
  <c r="AR43" i="46" s="1"/>
  <c r="AS43" i="46" s="1"/>
  <c r="BS176" i="46"/>
  <c r="BJ176" i="46"/>
  <c r="BH176" i="46"/>
  <c r="BT176" i="46" s="1"/>
  <c r="BG176" i="46"/>
  <c r="BR176" i="46"/>
  <c r="AQ172" i="46"/>
  <c r="AR172" i="46" s="1"/>
  <c r="AS172" i="46" s="1"/>
  <c r="BS62" i="46"/>
  <c r="BJ62" i="46"/>
  <c r="BH62" i="46"/>
  <c r="BT62" i="46" s="1"/>
  <c r="BR62" i="46"/>
  <c r="BG62" i="46"/>
  <c r="AQ267" i="46"/>
  <c r="AR267" i="46" s="1"/>
  <c r="AS267" i="46" s="1"/>
  <c r="BR180" i="46"/>
  <c r="BH180" i="46"/>
  <c r="BT180" i="46" s="1"/>
  <c r="BG180" i="46"/>
  <c r="BJ180" i="46"/>
  <c r="BS180" i="46"/>
  <c r="BR148" i="46"/>
  <c r="BG148" i="46"/>
  <c r="BH148" i="46"/>
  <c r="BT148" i="46" s="1"/>
  <c r="BJ148" i="46"/>
  <c r="BS148" i="46"/>
  <c r="AC151" i="46"/>
  <c r="O151" i="46"/>
  <c r="P151" i="46" s="1"/>
  <c r="AB151" i="46"/>
  <c r="Q151" i="46"/>
  <c r="T151" i="46"/>
  <c r="R151" i="46"/>
  <c r="AD151" i="46" s="1"/>
  <c r="Q73" i="46"/>
  <c r="AB73" i="46"/>
  <c r="O73" i="46"/>
  <c r="P73" i="46" s="1"/>
  <c r="AC73" i="46"/>
  <c r="T73" i="46"/>
  <c r="R73" i="46"/>
  <c r="AD73" i="46" s="1"/>
  <c r="CG193" i="46"/>
  <c r="CH193" i="46" s="1"/>
  <c r="CI193" i="46" s="1"/>
  <c r="BR32" i="46"/>
  <c r="BG32" i="46"/>
  <c r="BJ32" i="46"/>
  <c r="BS32" i="46"/>
  <c r="BH32" i="46"/>
  <c r="BT32" i="46" s="1"/>
  <c r="BN287" i="46"/>
  <c r="V161" i="46"/>
  <c r="W161" i="46" s="1"/>
  <c r="X161" i="46" s="1"/>
  <c r="AQ183" i="46"/>
  <c r="AR183" i="46" s="1"/>
  <c r="AS183" i="46" s="1"/>
  <c r="V152" i="46"/>
  <c r="W152" i="46" s="1"/>
  <c r="X152" i="46" s="1"/>
  <c r="CG137" i="46"/>
  <c r="CH137" i="46" s="1"/>
  <c r="CI137" i="46" s="1"/>
  <c r="V116" i="46"/>
  <c r="W116" i="46" s="1"/>
  <c r="X116" i="46" s="1"/>
  <c r="V328" i="46"/>
  <c r="W328" i="46" s="1"/>
  <c r="X328" i="46" s="1"/>
  <c r="BN199" i="46"/>
  <c r="AW110" i="46"/>
  <c r="AX110" i="46"/>
  <c r="AL110" i="46"/>
  <c r="AM110" i="46"/>
  <c r="AY110" i="46" s="1"/>
  <c r="AO110" i="46"/>
  <c r="AJ110" i="46"/>
  <c r="AK110" i="46" s="1"/>
  <c r="BN237" i="46"/>
  <c r="BJ49" i="46"/>
  <c r="BS49" i="46"/>
  <c r="BR49" i="46"/>
  <c r="BH49" i="46"/>
  <c r="BT49" i="46" s="1"/>
  <c r="BG49" i="46"/>
  <c r="BN33" i="46"/>
  <c r="CG292" i="46"/>
  <c r="CH292" i="46" s="1"/>
  <c r="CI292" i="46" s="1"/>
  <c r="V168" i="46"/>
  <c r="W168" i="46" s="1"/>
  <c r="X168" i="46" s="1"/>
  <c r="V258" i="46"/>
  <c r="W258" i="46" s="1"/>
  <c r="X258" i="46" s="1"/>
  <c r="AQ116" i="46"/>
  <c r="AR116" i="46" s="1"/>
  <c r="AS116" i="46" s="1"/>
  <c r="BN188" i="46"/>
  <c r="BG331" i="46"/>
  <c r="BR331" i="46"/>
  <c r="BH331" i="46"/>
  <c r="BT331" i="46" s="1"/>
  <c r="BS331" i="46"/>
  <c r="BJ331" i="46"/>
  <c r="BZ124" i="46"/>
  <c r="CA124" i="46" s="1"/>
  <c r="CC124" i="46"/>
  <c r="CO124" i="46" s="1"/>
  <c r="CN124" i="46"/>
  <c r="CM124" i="46"/>
  <c r="CB124" i="46"/>
  <c r="CE124" i="46"/>
  <c r="CG221" i="46"/>
  <c r="CH221" i="46" s="1"/>
  <c r="CI221" i="46" s="1"/>
  <c r="V19" i="46"/>
  <c r="W19" i="46" s="1"/>
  <c r="X19" i="46" s="1"/>
  <c r="BN184" i="46"/>
  <c r="CG155" i="46"/>
  <c r="CH155" i="46" s="1"/>
  <c r="CI155" i="46" s="1"/>
  <c r="AQ58" i="46"/>
  <c r="AR58" i="46" s="1"/>
  <c r="AS58" i="46" s="1"/>
  <c r="W54" i="55"/>
  <c r="EI54" i="55"/>
  <c r="CC54" i="55"/>
  <c r="V190" i="46"/>
  <c r="W190" i="46" s="1"/>
  <c r="X190" i="46" s="1"/>
  <c r="AQ301" i="46"/>
  <c r="AR301" i="46" s="1"/>
  <c r="AS301" i="46" s="1"/>
  <c r="V17" i="46"/>
  <c r="W17" i="46" s="1"/>
  <c r="X17" i="46" s="1"/>
  <c r="AQ189" i="46"/>
  <c r="AR189" i="46" s="1"/>
  <c r="AS189" i="46" s="1"/>
  <c r="CG133" i="46"/>
  <c r="CH133" i="46" s="1"/>
  <c r="CI133" i="46" s="1"/>
  <c r="BN276" i="46"/>
  <c r="V22" i="46"/>
  <c r="W22" i="46" s="1"/>
  <c r="X22" i="46" s="1"/>
  <c r="BN68" i="46"/>
  <c r="AQ260" i="46"/>
  <c r="AR260" i="46" s="1"/>
  <c r="AS260" i="46" s="1"/>
  <c r="V213" i="46"/>
  <c r="W213" i="46" s="1"/>
  <c r="X213" i="46" s="1"/>
  <c r="AQ136" i="46"/>
  <c r="AR136" i="46" s="1"/>
  <c r="AS136" i="46" s="1"/>
  <c r="BJ302" i="46"/>
  <c r="BS302" i="46"/>
  <c r="BG302" i="46"/>
  <c r="BH302" i="46"/>
  <c r="BT302" i="46" s="1"/>
  <c r="BR302" i="46"/>
  <c r="BN153" i="46"/>
  <c r="CG191" i="46"/>
  <c r="CH191" i="46" s="1"/>
  <c r="CI191" i="46" s="1"/>
  <c r="AQ62" i="46"/>
  <c r="AR62" i="46" s="1"/>
  <c r="AS62" i="46" s="1"/>
  <c r="AQ323" i="46"/>
  <c r="AR323" i="46" s="1"/>
  <c r="AS323" i="46" s="1"/>
  <c r="V243" i="46"/>
  <c r="W243" i="46" s="1"/>
  <c r="X243" i="46" s="1"/>
  <c r="CC54" i="38"/>
  <c r="EI54" i="38"/>
  <c r="W54" i="38"/>
  <c r="V142" i="46"/>
  <c r="W142" i="46" s="1"/>
  <c r="X142" i="46" s="1"/>
  <c r="BN156" i="46"/>
  <c r="CG270" i="46"/>
  <c r="CH270" i="46" s="1"/>
  <c r="CI270" i="46" s="1"/>
  <c r="V298" i="46"/>
  <c r="W298" i="46" s="1"/>
  <c r="X298" i="46" s="1"/>
  <c r="V43" i="46"/>
  <c r="W43" i="46" s="1"/>
  <c r="X43" i="46" s="1"/>
  <c r="CG107" i="46"/>
  <c r="CH107" i="46" s="1"/>
  <c r="CI107" i="46" s="1"/>
  <c r="BN86" i="46"/>
  <c r="AQ247" i="46"/>
  <c r="AR247" i="46" s="1"/>
  <c r="AS247" i="46" s="1"/>
  <c r="V63" i="46"/>
  <c r="W63" i="46" s="1"/>
  <c r="X63" i="46" s="1"/>
  <c r="BN322" i="46"/>
  <c r="AQ82" i="46"/>
  <c r="AR82" i="46" s="1"/>
  <c r="AS82" i="46" s="1"/>
  <c r="V336" i="46"/>
  <c r="W336" i="46" s="1"/>
  <c r="X336" i="46" s="1"/>
  <c r="AQ278" i="46"/>
  <c r="AR278" i="46" s="1"/>
  <c r="AS278" i="46" s="1"/>
  <c r="AQ264" i="46"/>
  <c r="AR264" i="46" s="1"/>
  <c r="AS264" i="46" s="1"/>
  <c r="CG185" i="46"/>
  <c r="CH185" i="46" s="1"/>
  <c r="CI185" i="46" s="1"/>
  <c r="V297" i="46"/>
  <c r="W297" i="46" s="1"/>
  <c r="X297" i="46" s="1"/>
  <c r="BR161" i="46"/>
  <c r="BH161" i="46"/>
  <c r="BT161" i="46" s="1"/>
  <c r="BG161" i="46"/>
  <c r="BS161" i="46"/>
  <c r="BJ161" i="46"/>
  <c r="BN285" i="46"/>
  <c r="AQ139" i="46"/>
  <c r="AR139" i="46" s="1"/>
  <c r="AS139" i="46" s="1"/>
  <c r="AQ308" i="46"/>
  <c r="AR308" i="46" s="1"/>
  <c r="AS308" i="46" s="1"/>
  <c r="CG266" i="46"/>
  <c r="CH266" i="46" s="1"/>
  <c r="CI266" i="46" s="1"/>
  <c r="CG215" i="46"/>
  <c r="CH215" i="46" s="1"/>
  <c r="CI215" i="46" s="1"/>
  <c r="CG39" i="46"/>
  <c r="CH39" i="46" s="1"/>
  <c r="CI39" i="46" s="1"/>
  <c r="V326" i="46"/>
  <c r="W326" i="46" s="1"/>
  <c r="X326" i="46" s="1"/>
  <c r="AQ18" i="46"/>
  <c r="AR18" i="46" s="1"/>
  <c r="AS18" i="46" s="1"/>
  <c r="AQ163" i="46"/>
  <c r="AR163" i="46" s="1"/>
  <c r="AS163" i="46" s="1"/>
  <c r="V176" i="46"/>
  <c r="W176" i="46" s="1"/>
  <c r="X176" i="46" s="1"/>
  <c r="CG117" i="46"/>
  <c r="CH117" i="46" s="1"/>
  <c r="CI117" i="46" s="1"/>
  <c r="V156" i="46"/>
  <c r="W156" i="46" s="1"/>
  <c r="X156" i="46" s="1"/>
  <c r="BN58" i="46"/>
  <c r="BN209" i="46"/>
  <c r="BN80" i="46"/>
  <c r="BN252" i="46"/>
  <c r="V94" i="46"/>
  <c r="W94" i="46" s="1"/>
  <c r="X94" i="46" s="1"/>
  <c r="AQ120" i="46"/>
  <c r="AR120" i="46" s="1"/>
  <c r="AS120" i="46" s="1"/>
  <c r="AQ49" i="46"/>
  <c r="AR49" i="46" s="1"/>
  <c r="AS49" i="46" s="1"/>
  <c r="BG192" i="46"/>
  <c r="BJ192" i="46"/>
  <c r="BS192" i="46"/>
  <c r="BR192" i="46"/>
  <c r="BH192" i="46"/>
  <c r="BT192" i="46" s="1"/>
  <c r="BN170" i="46"/>
  <c r="AW134" i="46"/>
  <c r="AL134" i="46"/>
  <c r="AX134" i="46"/>
  <c r="AJ134" i="46"/>
  <c r="AK134" i="46" s="1"/>
  <c r="AO134" i="46"/>
  <c r="AM134" i="46"/>
  <c r="AY134" i="46" s="1"/>
  <c r="BR202" i="46"/>
  <c r="BS202" i="46"/>
  <c r="BH202" i="46"/>
  <c r="BT202" i="46" s="1"/>
  <c r="BJ202" i="46"/>
  <c r="BG202" i="46"/>
  <c r="CE116" i="46"/>
  <c r="CN116" i="46"/>
  <c r="BZ116" i="46"/>
  <c r="CA116" i="46" s="1"/>
  <c r="CM116" i="46"/>
  <c r="CB116" i="46"/>
  <c r="CC116" i="46"/>
  <c r="CO116" i="46" s="1"/>
  <c r="V70" i="46"/>
  <c r="W70" i="46" s="1"/>
  <c r="X70" i="46" s="1"/>
  <c r="V102" i="46"/>
  <c r="W102" i="46" s="1"/>
  <c r="X102" i="46" s="1"/>
  <c r="V122" i="46"/>
  <c r="W122" i="46" s="1"/>
  <c r="X122" i="46" s="1"/>
  <c r="CC240" i="46"/>
  <c r="CO240" i="46" s="1"/>
  <c r="CE240" i="46"/>
  <c r="CB240" i="46"/>
  <c r="CM240" i="46"/>
  <c r="BZ240" i="46"/>
  <c r="CA240" i="46" s="1"/>
  <c r="CN240" i="46"/>
  <c r="AQ274" i="46"/>
  <c r="AR274" i="46" s="1"/>
  <c r="AS274" i="46" s="1"/>
  <c r="V279" i="46"/>
  <c r="W279" i="46" s="1"/>
  <c r="X279" i="46" s="1"/>
  <c r="BN147" i="46"/>
  <c r="CG78" i="46"/>
  <c r="CH78" i="46" s="1"/>
  <c r="CI78" i="46" s="1"/>
  <c r="BN336" i="46"/>
  <c r="CM213" i="46"/>
  <c r="CC213" i="46"/>
  <c r="CO213" i="46" s="1"/>
  <c r="CN213" i="46"/>
  <c r="CE213" i="46"/>
  <c r="BZ213" i="46"/>
  <c r="CA213" i="46" s="1"/>
  <c r="CB213" i="46"/>
  <c r="BH325" i="46"/>
  <c r="BT325" i="46" s="1"/>
  <c r="BR325" i="46"/>
  <c r="BS325" i="46"/>
  <c r="BJ325" i="46"/>
  <c r="BG325" i="46"/>
  <c r="CC118" i="46"/>
  <c r="CO118" i="46" s="1"/>
  <c r="CE118" i="46"/>
  <c r="CB118" i="46"/>
  <c r="CN118" i="46"/>
  <c r="CM118" i="46"/>
  <c r="BZ118" i="46"/>
  <c r="CA118" i="46" s="1"/>
  <c r="V164" i="46"/>
  <c r="W164" i="46" s="1"/>
  <c r="X164" i="46" s="1"/>
  <c r="AW184" i="46"/>
  <c r="AO184" i="46"/>
  <c r="AX184" i="46"/>
  <c r="AM184" i="46"/>
  <c r="AY184" i="46" s="1"/>
  <c r="AL184" i="46"/>
  <c r="AJ184" i="46"/>
  <c r="AK184" i="46" s="1"/>
  <c r="BR20" i="46"/>
  <c r="BG20" i="46"/>
  <c r="BJ20" i="46"/>
  <c r="BS20" i="46"/>
  <c r="BH20" i="46"/>
  <c r="BT20" i="46" s="1"/>
  <c r="T296" i="46"/>
  <c r="Q296" i="46"/>
  <c r="AB296" i="46"/>
  <c r="AC296" i="46"/>
  <c r="O296" i="46"/>
  <c r="P296" i="46" s="1"/>
  <c r="R296" i="46"/>
  <c r="AD296" i="46" s="1"/>
  <c r="AQ114" i="46"/>
  <c r="AR114" i="46" s="1"/>
  <c r="AS114" i="46" s="1"/>
  <c r="BH235" i="46"/>
  <c r="BT235" i="46" s="1"/>
  <c r="BS235" i="46"/>
  <c r="BR235" i="46"/>
  <c r="BG235" i="46"/>
  <c r="BJ235" i="46"/>
  <c r="CG164" i="46"/>
  <c r="CH164" i="46" s="1"/>
  <c r="CI164" i="46" s="1"/>
  <c r="AQ321" i="46"/>
  <c r="AR321" i="46" s="1"/>
  <c r="AS321" i="46" s="1"/>
  <c r="Z285" i="46"/>
  <c r="V172" i="46"/>
  <c r="W172" i="46" s="1"/>
  <c r="X172" i="46" s="1"/>
  <c r="AQ337" i="46"/>
  <c r="AR337" i="46" s="1"/>
  <c r="AS337" i="46" s="1"/>
  <c r="CC214" i="46"/>
  <c r="CO214" i="46" s="1"/>
  <c r="CB214" i="46"/>
  <c r="CE214" i="46"/>
  <c r="BZ214" i="46"/>
  <c r="CA214" i="46" s="1"/>
  <c r="CN214" i="46"/>
  <c r="CM214" i="46"/>
  <c r="EH54" i="38"/>
  <c r="GA54" i="38" s="1"/>
  <c r="CB54" i="38"/>
  <c r="V54" i="38"/>
  <c r="HC54" i="38"/>
  <c r="BS17" i="46"/>
  <c r="BH17" i="46"/>
  <c r="BT17" i="46" s="1"/>
  <c r="BG17" i="46"/>
  <c r="BR17" i="46"/>
  <c r="BJ17" i="46"/>
  <c r="BG128" i="46"/>
  <c r="BJ128" i="46"/>
  <c r="BH128" i="46"/>
  <c r="BT128" i="46" s="1"/>
  <c r="BR128" i="46"/>
  <c r="BS128" i="46"/>
  <c r="R191" i="46"/>
  <c r="AD191" i="46" s="1"/>
  <c r="O191" i="46"/>
  <c r="P191" i="46" s="1"/>
  <c r="Q191" i="46"/>
  <c r="AC191" i="46"/>
  <c r="T191" i="46"/>
  <c r="AB191" i="46"/>
  <c r="AO60" i="46"/>
  <c r="AW60" i="46"/>
  <c r="AX60" i="46"/>
  <c r="AJ60" i="46"/>
  <c r="AK60" i="46" s="1"/>
  <c r="AM60" i="46"/>
  <c r="AY60" i="46" s="1"/>
  <c r="AL60" i="46"/>
  <c r="AN243" i="46"/>
  <c r="BB243" i="46" s="1"/>
  <c r="AQ101" i="46"/>
  <c r="AR101" i="46" s="1"/>
  <c r="AS101" i="46" s="1"/>
  <c r="CB222" i="46"/>
  <c r="CC222" i="46"/>
  <c r="CO222" i="46" s="1"/>
  <c r="CM222" i="46"/>
  <c r="CN222" i="46"/>
  <c r="BZ222" i="46"/>
  <c r="CA222" i="46" s="1"/>
  <c r="CE222" i="46"/>
  <c r="AQ201" i="46"/>
  <c r="AR201" i="46" s="1"/>
  <c r="AS201" i="46" s="1"/>
  <c r="BS290" i="46"/>
  <c r="BH290" i="46"/>
  <c r="BT290" i="46" s="1"/>
  <c r="BR290" i="46"/>
  <c r="BG290" i="46"/>
  <c r="BJ290" i="46"/>
  <c r="V314" i="46"/>
  <c r="W314" i="46" s="1"/>
  <c r="X314" i="46" s="1"/>
  <c r="CG28" i="46"/>
  <c r="CH28" i="46" s="1"/>
  <c r="CI28" i="46" s="1"/>
  <c r="AQ215" i="46"/>
  <c r="AR215" i="46" s="1"/>
  <c r="AS215" i="46" s="1"/>
  <c r="BN95" i="46"/>
  <c r="CC327" i="46"/>
  <c r="CO327" i="46" s="1"/>
  <c r="CE327" i="46"/>
  <c r="CM327" i="46"/>
  <c r="CB327" i="46"/>
  <c r="BZ327" i="46"/>
  <c r="CA327" i="46" s="1"/>
  <c r="CN327" i="46"/>
  <c r="AM26" i="46"/>
  <c r="AY26" i="46" s="1"/>
  <c r="AJ26" i="46"/>
  <c r="AK26" i="46" s="1"/>
  <c r="AX26" i="46"/>
  <c r="AO26" i="46"/>
  <c r="AL26" i="46"/>
  <c r="AW26" i="46"/>
  <c r="BN42" i="46"/>
  <c r="CG159" i="46"/>
  <c r="CH159" i="46" s="1"/>
  <c r="CI159" i="46" s="1"/>
  <c r="G20" i="38"/>
  <c r="E39" i="38"/>
  <c r="E47" i="38" s="1"/>
  <c r="E37" i="38"/>
  <c r="CG34" i="46"/>
  <c r="CH34" i="46" s="1"/>
  <c r="CI34" i="46" s="1"/>
  <c r="AQ150" i="46"/>
  <c r="AR150" i="46" s="1"/>
  <c r="AS150" i="46" s="1"/>
  <c r="BN35" i="46"/>
  <c r="AQ330" i="46"/>
  <c r="AR330" i="46" s="1"/>
  <c r="AS330" i="46" s="1"/>
  <c r="AQ177" i="46"/>
  <c r="AR177" i="46" s="1"/>
  <c r="AS177" i="46" s="1"/>
  <c r="CG322" i="46"/>
  <c r="CH322" i="46" s="1"/>
  <c r="CI322" i="46" s="1"/>
  <c r="BG16" i="46"/>
  <c r="BJ16" i="46"/>
  <c r="BH16" i="46"/>
  <c r="BT16" i="46" s="1"/>
  <c r="BS16" i="46"/>
  <c r="BR16" i="46"/>
  <c r="CG198" i="46"/>
  <c r="CH198" i="46" s="1"/>
  <c r="CI198" i="46" s="1"/>
  <c r="V240" i="46"/>
  <c r="W240" i="46" s="1"/>
  <c r="X240" i="46" s="1"/>
  <c r="BR75" i="46"/>
  <c r="BS75" i="46"/>
  <c r="BH75" i="46"/>
  <c r="BT75" i="46" s="1"/>
  <c r="BJ75" i="46"/>
  <c r="BG75" i="46"/>
  <c r="AQ164" i="46"/>
  <c r="AR164" i="46" s="1"/>
  <c r="AS164" i="46" s="1"/>
  <c r="DL54" i="32"/>
  <c r="DQ54" i="32" s="1"/>
  <c r="CZ54" i="32"/>
  <c r="DE54" i="32" s="1"/>
  <c r="BG18" i="46"/>
  <c r="BH18" i="46"/>
  <c r="BT18" i="46" s="1"/>
  <c r="BJ18" i="46"/>
  <c r="BR18" i="46"/>
  <c r="BS18" i="46"/>
  <c r="AC83" i="46"/>
  <c r="T83" i="46"/>
  <c r="R83" i="46"/>
  <c r="AD83" i="46" s="1"/>
  <c r="Q83" i="46"/>
  <c r="AB83" i="46"/>
  <c r="O83" i="46"/>
  <c r="P83" i="46" s="1"/>
  <c r="V119" i="46"/>
  <c r="W119" i="46" s="1"/>
  <c r="X119" i="46" s="1"/>
  <c r="BH72" i="46"/>
  <c r="BT72" i="46" s="1"/>
  <c r="BS72" i="46"/>
  <c r="BR72" i="46"/>
  <c r="BJ72" i="46"/>
  <c r="BG72" i="46"/>
  <c r="CE251" i="46"/>
  <c r="CN251" i="46"/>
  <c r="CB251" i="46"/>
  <c r="CC251" i="46"/>
  <c r="CO251" i="46" s="1"/>
  <c r="CM251" i="46"/>
  <c r="BZ251" i="46"/>
  <c r="CA251" i="46" s="1"/>
  <c r="AQ225" i="46"/>
  <c r="AR225" i="46" s="1"/>
  <c r="AS225" i="46" s="1"/>
  <c r="BR173" i="46"/>
  <c r="BJ173" i="46"/>
  <c r="BS173" i="46"/>
  <c r="BH173" i="46"/>
  <c r="BT173" i="46" s="1"/>
  <c r="BG173" i="46"/>
  <c r="AL185" i="46"/>
  <c r="AW185" i="46"/>
  <c r="AO185" i="46"/>
  <c r="AX185" i="46"/>
  <c r="AM185" i="46"/>
  <c r="AY185" i="46" s="1"/>
  <c r="AJ185" i="46"/>
  <c r="AK185" i="46" s="1"/>
  <c r="CM15" i="46"/>
  <c r="CE15" i="46"/>
  <c r="CB15" i="46"/>
  <c r="BZ15" i="46"/>
  <c r="CA15" i="46" s="1"/>
  <c r="CC15" i="46"/>
  <c r="CO15" i="46" s="1"/>
  <c r="CN15" i="46"/>
  <c r="V335" i="46"/>
  <c r="W335" i="46" s="1"/>
  <c r="X335" i="46" s="1"/>
  <c r="CG100" i="46"/>
  <c r="CH100" i="46" s="1"/>
  <c r="CI100" i="46" s="1"/>
  <c r="V254" i="46"/>
  <c r="W254" i="46" s="1"/>
  <c r="X254" i="46" s="1"/>
  <c r="CG128" i="46"/>
  <c r="CH128" i="46" s="1"/>
  <c r="CI128" i="46" s="1"/>
  <c r="CG324" i="46"/>
  <c r="CH324" i="46" s="1"/>
  <c r="CI324" i="46" s="1"/>
  <c r="AQ224" i="46"/>
  <c r="AR224" i="46" s="1"/>
  <c r="AS224" i="46" s="1"/>
  <c r="AQ253" i="46"/>
  <c r="AR253" i="46" s="1"/>
  <c r="AS253" i="46" s="1"/>
  <c r="AQ347" i="46"/>
  <c r="AR347" i="46" s="1"/>
  <c r="AS347" i="46" s="1"/>
  <c r="CG328" i="46"/>
  <c r="CH328" i="46" s="1"/>
  <c r="CI328" i="46" s="1"/>
  <c r="AQ109" i="46"/>
  <c r="AR109" i="46" s="1"/>
  <c r="AS109" i="46" s="1"/>
  <c r="AQ68" i="46"/>
  <c r="AR68" i="46" s="1"/>
  <c r="AS68" i="46" s="1"/>
  <c r="CG267" i="46"/>
  <c r="CH267" i="46" s="1"/>
  <c r="CI267" i="46" s="1"/>
  <c r="BN234" i="46"/>
  <c r="CG146" i="46"/>
  <c r="CH146" i="46" s="1"/>
  <c r="CI146" i="46" s="1"/>
  <c r="AQ281" i="46"/>
  <c r="AR281" i="46" s="1"/>
  <c r="AS281" i="46" s="1"/>
  <c r="CG23" i="46"/>
  <c r="CH23" i="46" s="1"/>
  <c r="CI23" i="46" s="1"/>
  <c r="FR54" i="37"/>
  <c r="FW54" i="37" s="1"/>
  <c r="FZ54" i="37" s="1"/>
  <c r="FF54" i="37"/>
  <c r="FK54" i="37" s="1"/>
  <c r="CG46" i="46"/>
  <c r="CH46" i="46" s="1"/>
  <c r="CI46" i="46" s="1"/>
  <c r="AQ61" i="46"/>
  <c r="AR61" i="46" s="1"/>
  <c r="AS61" i="46" s="1"/>
  <c r="V184" i="46"/>
  <c r="W184" i="46" s="1"/>
  <c r="X184" i="46" s="1"/>
  <c r="AO13" i="46"/>
  <c r="AL13" i="46"/>
  <c r="AX13" i="46"/>
  <c r="AM13" i="46"/>
  <c r="AY13" i="46" s="1"/>
  <c r="AW13" i="46"/>
  <c r="CG108" i="46"/>
  <c r="CH108" i="46" s="1"/>
  <c r="CI108" i="46" s="1"/>
  <c r="CG90" i="46"/>
  <c r="CH90" i="46" s="1"/>
  <c r="CI90" i="46" s="1"/>
  <c r="AQ219" i="46"/>
  <c r="AR219" i="46" s="1"/>
  <c r="AS219" i="46" s="1"/>
  <c r="CE55" i="46"/>
  <c r="CN55" i="46"/>
  <c r="CM55" i="46"/>
  <c r="BZ55" i="46"/>
  <c r="CA55" i="46" s="1"/>
  <c r="CB55" i="46"/>
  <c r="CC55" i="46"/>
  <c r="CO55" i="46" s="1"/>
  <c r="AQ296" i="46"/>
  <c r="AR296" i="46" s="1"/>
  <c r="AS296" i="46" s="1"/>
  <c r="AL245" i="46"/>
  <c r="AM245" i="46"/>
  <c r="AY245" i="46" s="1"/>
  <c r="AW245" i="46"/>
  <c r="AO245" i="46"/>
  <c r="AJ245" i="46"/>
  <c r="AK245" i="46" s="1"/>
  <c r="AX245" i="46"/>
  <c r="V295" i="46"/>
  <c r="W295" i="46" s="1"/>
  <c r="X295" i="46" s="1"/>
  <c r="V77" i="46"/>
  <c r="W77" i="46" s="1"/>
  <c r="X77" i="46" s="1"/>
  <c r="V101" i="46"/>
  <c r="W101" i="46" s="1"/>
  <c r="X101" i="46" s="1"/>
  <c r="CG302" i="46"/>
  <c r="CH302" i="46" s="1"/>
  <c r="CI302" i="46" s="1"/>
  <c r="BN208" i="46"/>
  <c r="V52" i="46"/>
  <c r="W52" i="46" s="1"/>
  <c r="X52" i="46" s="1"/>
  <c r="V232" i="46"/>
  <c r="W232" i="46" s="1"/>
  <c r="X232" i="46" s="1"/>
  <c r="BN261" i="46"/>
  <c r="CG249" i="46"/>
  <c r="CH249" i="46" s="1"/>
  <c r="CI249" i="46" s="1"/>
  <c r="CG32" i="46"/>
  <c r="CH32" i="46" s="1"/>
  <c r="CI32" i="46" s="1"/>
  <c r="CG223" i="46"/>
  <c r="CH223" i="46" s="1"/>
  <c r="CI223" i="46" s="1"/>
  <c r="V35" i="46"/>
  <c r="W35" i="46" s="1"/>
  <c r="X35" i="46" s="1"/>
  <c r="CG319" i="46"/>
  <c r="CH319" i="46" s="1"/>
  <c r="CI319" i="46" s="1"/>
  <c r="V131" i="46"/>
  <c r="W131" i="46" s="1"/>
  <c r="X131" i="46" s="1"/>
  <c r="V115" i="46"/>
  <c r="W115" i="46" s="1"/>
  <c r="X115" i="46" s="1"/>
  <c r="BN310" i="46"/>
  <c r="AQ239" i="46"/>
  <c r="AR239" i="46" s="1"/>
  <c r="AS239" i="46" s="1"/>
  <c r="BJ327" i="46"/>
  <c r="BR327" i="46"/>
  <c r="BH327" i="46"/>
  <c r="BT327" i="46" s="1"/>
  <c r="BS327" i="46"/>
  <c r="BG327" i="46"/>
  <c r="AB217" i="46"/>
  <c r="AC217" i="46"/>
  <c r="O217" i="46"/>
  <c r="P217" i="46" s="1"/>
  <c r="Q217" i="46"/>
  <c r="R217" i="46"/>
  <c r="AD217" i="46" s="1"/>
  <c r="T217" i="46"/>
  <c r="V72" i="46"/>
  <c r="W72" i="46" s="1"/>
  <c r="X72" i="46" s="1"/>
  <c r="AB147" i="46"/>
  <c r="T147" i="46"/>
  <c r="Q147" i="46"/>
  <c r="R147" i="46"/>
  <c r="AD147" i="46" s="1"/>
  <c r="O147" i="46"/>
  <c r="P147" i="46" s="1"/>
  <c r="AC147" i="46"/>
  <c r="BN324" i="46"/>
  <c r="AQ181" i="46"/>
  <c r="AR181" i="46" s="1"/>
  <c r="AS181" i="46" s="1"/>
  <c r="V189" i="46"/>
  <c r="W189" i="46" s="1"/>
  <c r="X189" i="46" s="1"/>
  <c r="AQ168" i="46"/>
  <c r="AR168" i="46" s="1"/>
  <c r="AS168" i="46" s="1"/>
  <c r="BN23" i="46"/>
  <c r="BS304" i="46"/>
  <c r="BG304" i="46"/>
  <c r="BR304" i="46"/>
  <c r="BJ304" i="46"/>
  <c r="BH304" i="46"/>
  <c r="BT304" i="46" s="1"/>
  <c r="AQ142" i="46"/>
  <c r="AR142" i="46" s="1"/>
  <c r="AS142" i="46" s="1"/>
  <c r="BH101" i="46"/>
  <c r="BT101" i="46" s="1"/>
  <c r="BR101" i="46"/>
  <c r="BS101" i="46"/>
  <c r="BJ101" i="46"/>
  <c r="BG101" i="46"/>
  <c r="CG21" i="46"/>
  <c r="CH21" i="46" s="1"/>
  <c r="CI21" i="46" s="1"/>
  <c r="AQ83" i="46"/>
  <c r="AR83" i="46" s="1"/>
  <c r="AS83" i="46" s="1"/>
  <c r="BN231" i="46"/>
  <c r="AB289" i="46"/>
  <c r="O289" i="46"/>
  <c r="P289" i="46" s="1"/>
  <c r="T289" i="46"/>
  <c r="Q289" i="46"/>
  <c r="AC289" i="46"/>
  <c r="R289" i="46"/>
  <c r="AD289" i="46" s="1"/>
  <c r="CN199" i="46"/>
  <c r="CE199" i="46"/>
  <c r="CB199" i="46"/>
  <c r="CM199" i="46"/>
  <c r="CC199" i="46"/>
  <c r="CO199" i="46" s="1"/>
  <c r="BZ199" i="46"/>
  <c r="CA199" i="46" s="1"/>
  <c r="AQ283" i="46"/>
  <c r="AR283" i="46" s="1"/>
  <c r="AS283" i="46" s="1"/>
  <c r="V37" i="46"/>
  <c r="W37" i="46" s="1"/>
  <c r="X37" i="46" s="1"/>
  <c r="AW137" i="46"/>
  <c r="AO137" i="46"/>
  <c r="AM137" i="46"/>
  <c r="AY137" i="46" s="1"/>
  <c r="AL137" i="46"/>
  <c r="AX137" i="46"/>
  <c r="AJ137" i="46"/>
  <c r="AK137" i="46" s="1"/>
  <c r="V91" i="46"/>
  <c r="W91" i="46" s="1"/>
  <c r="X91" i="46" s="1"/>
  <c r="AQ242" i="46"/>
  <c r="AR242" i="46" s="1"/>
  <c r="AS242" i="46" s="1"/>
  <c r="V244" i="46"/>
  <c r="W244" i="46" s="1"/>
  <c r="X244" i="46" s="1"/>
  <c r="V66" i="46"/>
  <c r="W66" i="46" s="1"/>
  <c r="X66" i="46" s="1"/>
  <c r="CC98" i="46"/>
  <c r="CO98" i="46" s="1"/>
  <c r="BZ98" i="46"/>
  <c r="CA98" i="46" s="1"/>
  <c r="CM98" i="46"/>
  <c r="CE98" i="46"/>
  <c r="CN98" i="46"/>
  <c r="CB98" i="46"/>
  <c r="AQ324" i="46"/>
  <c r="AR324" i="46" s="1"/>
  <c r="AS324" i="46" s="1"/>
  <c r="BN91" i="46"/>
  <c r="CG139" i="46"/>
  <c r="CH139" i="46" s="1"/>
  <c r="CI139" i="46" s="1"/>
  <c r="AQ240" i="46"/>
  <c r="AR240" i="46" s="1"/>
  <c r="AS240" i="46" s="1"/>
  <c r="AM54" i="55"/>
  <c r="BN250" i="46"/>
  <c r="BN150" i="46"/>
  <c r="CG269" i="46"/>
  <c r="CH269" i="46" s="1"/>
  <c r="CI269" i="46" s="1"/>
  <c r="AQ292" i="46"/>
  <c r="AR292" i="46" s="1"/>
  <c r="AS292" i="46" s="1"/>
  <c r="V267" i="46"/>
  <c r="W267" i="46" s="1"/>
  <c r="X267" i="46" s="1"/>
  <c r="V24" i="46"/>
  <c r="W24" i="46" s="1"/>
  <c r="X24" i="46" s="1"/>
  <c r="CG175" i="46"/>
  <c r="CH175" i="46" s="1"/>
  <c r="CI175" i="46" s="1"/>
  <c r="AQ14" i="46"/>
  <c r="AR14" i="46" s="1"/>
  <c r="AS14" i="46" s="1"/>
  <c r="V41" i="46"/>
  <c r="W41" i="46" s="1"/>
  <c r="X41" i="46" s="1"/>
  <c r="V129" i="46"/>
  <c r="W129" i="46" s="1"/>
  <c r="X129" i="46" s="1"/>
  <c r="CG277" i="46"/>
  <c r="CH277" i="46" s="1"/>
  <c r="CI277" i="46" s="1"/>
  <c r="AQ284" i="46"/>
  <c r="AR284" i="46" s="1"/>
  <c r="AS284" i="46" s="1"/>
  <c r="CG216" i="46"/>
  <c r="CH216" i="46" s="1"/>
  <c r="CI216" i="46" s="1"/>
  <c r="BN313" i="46"/>
  <c r="AQ166" i="46"/>
  <c r="AR166" i="46" s="1"/>
  <c r="AS166" i="46" s="1"/>
  <c r="BN129" i="46"/>
  <c r="CG244" i="46"/>
  <c r="CH244" i="46" s="1"/>
  <c r="CI244" i="46" s="1"/>
  <c r="CG187" i="46"/>
  <c r="CH187" i="46" s="1"/>
  <c r="CI187" i="46" s="1"/>
  <c r="V148" i="46"/>
  <c r="W148" i="46" s="1"/>
  <c r="X148" i="46" s="1"/>
  <c r="EY54" i="38"/>
  <c r="BN24" i="46"/>
  <c r="CG19" i="46"/>
  <c r="CH19" i="46" s="1"/>
  <c r="CI19" i="46" s="1"/>
  <c r="AQ249" i="46"/>
  <c r="AR249" i="46" s="1"/>
  <c r="AS249" i="46" s="1"/>
  <c r="AQ228" i="46"/>
  <c r="AR228" i="46" s="1"/>
  <c r="AS228" i="46" s="1"/>
  <c r="BN29" i="46"/>
  <c r="BJ87" i="46"/>
  <c r="BH87" i="46"/>
  <c r="BT87" i="46" s="1"/>
  <c r="BR87" i="46"/>
  <c r="BS87" i="46"/>
  <c r="BG87" i="46"/>
  <c r="V222" i="46"/>
  <c r="W222" i="46" s="1"/>
  <c r="X222" i="46" s="1"/>
  <c r="BH318" i="46"/>
  <c r="BT318" i="46" s="1"/>
  <c r="BR318" i="46"/>
  <c r="BG318" i="46"/>
  <c r="BJ318" i="46"/>
  <c r="BS318" i="46"/>
  <c r="CG38" i="46"/>
  <c r="CH38" i="46" s="1"/>
  <c r="CI38" i="46" s="1"/>
  <c r="AQ39" i="46"/>
  <c r="AR39" i="46" s="1"/>
  <c r="AS39" i="46" s="1"/>
  <c r="V167" i="46"/>
  <c r="W167" i="46" s="1"/>
  <c r="X167" i="46" s="1"/>
  <c r="BN248" i="46"/>
  <c r="CG131" i="46"/>
  <c r="CH131" i="46" s="1"/>
  <c r="CI131" i="46" s="1"/>
  <c r="V68" i="46"/>
  <c r="W68" i="46" s="1"/>
  <c r="X68" i="46" s="1"/>
  <c r="AQ25" i="46"/>
  <c r="AR25" i="46" s="1"/>
  <c r="AS25" i="46" s="1"/>
  <c r="CG268" i="46"/>
  <c r="CH268" i="46" s="1"/>
  <c r="CI268" i="46" s="1"/>
  <c r="BN121" i="46"/>
  <c r="CG166" i="46"/>
  <c r="CH166" i="46" s="1"/>
  <c r="CI166" i="46" s="1"/>
  <c r="AM97" i="46"/>
  <c r="AY97" i="46" s="1"/>
  <c r="AL97" i="46"/>
  <c r="AW97" i="46"/>
  <c r="AJ97" i="46"/>
  <c r="AK97" i="46" s="1"/>
  <c r="AO97" i="46"/>
  <c r="AX97" i="46"/>
  <c r="AQ146" i="46"/>
  <c r="AR146" i="46" s="1"/>
  <c r="AS146" i="46" s="1"/>
  <c r="BN291" i="46"/>
  <c r="CM341" i="46"/>
  <c r="CE341" i="46"/>
  <c r="CB341" i="46"/>
  <c r="CN341" i="46"/>
  <c r="BZ341" i="46"/>
  <c r="CA341" i="46" s="1"/>
  <c r="CC341" i="46"/>
  <c r="CO341" i="46" s="1"/>
  <c r="BH211" i="46"/>
  <c r="BT211" i="46" s="1"/>
  <c r="BG211" i="46"/>
  <c r="BS211" i="46"/>
  <c r="BJ211" i="46"/>
  <c r="BR211" i="46"/>
  <c r="CG177" i="46"/>
  <c r="CH177" i="46" s="1"/>
  <c r="CI177" i="46" s="1"/>
  <c r="BN83" i="46"/>
  <c r="AQ335" i="46"/>
  <c r="AR335" i="46" s="1"/>
  <c r="AS335" i="46" s="1"/>
  <c r="CG212" i="46"/>
  <c r="CH212" i="46" s="1"/>
  <c r="CI212" i="46" s="1"/>
  <c r="CG184" i="46"/>
  <c r="CH184" i="46" s="1"/>
  <c r="CI184" i="46" s="1"/>
  <c r="V74" i="46"/>
  <c r="W74" i="46" s="1"/>
  <c r="X74" i="46" s="1"/>
  <c r="BS306" i="46"/>
  <c r="BG306" i="46"/>
  <c r="BH306" i="46"/>
  <c r="BT306" i="46" s="1"/>
  <c r="BJ306" i="46"/>
  <c r="BR306" i="46"/>
  <c r="V71" i="46"/>
  <c r="W71" i="46" s="1"/>
  <c r="X71" i="46" s="1"/>
  <c r="AQ316" i="46"/>
  <c r="AR316" i="46" s="1"/>
  <c r="AS316" i="46" s="1"/>
  <c r="V264" i="46"/>
  <c r="W264" i="46" s="1"/>
  <c r="X264" i="46" s="1"/>
  <c r="AQ94" i="46"/>
  <c r="AR94" i="46" s="1"/>
  <c r="AS94" i="46" s="1"/>
  <c r="AQ327" i="46"/>
  <c r="AR327" i="46" s="1"/>
  <c r="AS327" i="46" s="1"/>
  <c r="V284" i="46"/>
  <c r="W284" i="46" s="1"/>
  <c r="X284" i="46" s="1"/>
  <c r="BS309" i="46"/>
  <c r="BR309" i="46"/>
  <c r="BJ309" i="46"/>
  <c r="BH309" i="46"/>
  <c r="BT309" i="46" s="1"/>
  <c r="BG309" i="46"/>
  <c r="AW44" i="46"/>
  <c r="AX44" i="46"/>
  <c r="AL44" i="46"/>
  <c r="AJ44" i="46"/>
  <c r="AK44" i="46" s="1"/>
  <c r="AM44" i="46"/>
  <c r="AY44" i="46" s="1"/>
  <c r="AO44" i="46"/>
  <c r="BJ288" i="46"/>
  <c r="BH288" i="46"/>
  <c r="BT288" i="46" s="1"/>
  <c r="BR288" i="46"/>
  <c r="BS288" i="46"/>
  <c r="BG288" i="46"/>
  <c r="V59" i="46"/>
  <c r="W59" i="46" s="1"/>
  <c r="X59" i="46" s="1"/>
  <c r="BN339" i="46"/>
  <c r="AQ103" i="46"/>
  <c r="AR103" i="46" s="1"/>
  <c r="AS103" i="46" s="1"/>
  <c r="CG331" i="46"/>
  <c r="CH331" i="46" s="1"/>
  <c r="CI331" i="46" s="1"/>
  <c r="AQ135" i="46"/>
  <c r="AR135" i="46" s="1"/>
  <c r="AS135" i="46" s="1"/>
  <c r="V136" i="46"/>
  <c r="W136" i="46" s="1"/>
  <c r="X136" i="46" s="1"/>
  <c r="CG168" i="46"/>
  <c r="CH168" i="46" s="1"/>
  <c r="CI168" i="46" s="1"/>
  <c r="CG226" i="46"/>
  <c r="CH226" i="46" s="1"/>
  <c r="CI226" i="46" s="1"/>
  <c r="CN220" i="46"/>
  <c r="BZ220" i="46"/>
  <c r="CA220" i="46" s="1"/>
  <c r="CC220" i="46"/>
  <c r="CO220" i="46" s="1"/>
  <c r="CE220" i="46"/>
  <c r="CB220" i="46"/>
  <c r="CM220" i="46"/>
  <c r="V332" i="46"/>
  <c r="W332" i="46" s="1"/>
  <c r="X332" i="46" s="1"/>
  <c r="CG326" i="46"/>
  <c r="CH326" i="46" s="1"/>
  <c r="CI326" i="46" s="1"/>
  <c r="V197" i="46"/>
  <c r="W197" i="46" s="1"/>
  <c r="X197" i="46" s="1"/>
  <c r="CG280" i="46"/>
  <c r="CH280" i="46" s="1"/>
  <c r="CI280" i="46" s="1"/>
  <c r="CG238" i="46"/>
  <c r="CH238" i="46" s="1"/>
  <c r="CI238" i="46" s="1"/>
  <c r="V334" i="46"/>
  <c r="W334" i="46" s="1"/>
  <c r="X334" i="46" s="1"/>
  <c r="CG288" i="46"/>
  <c r="CH288" i="46" s="1"/>
  <c r="CI288" i="46" s="1"/>
  <c r="AU208" i="46"/>
  <c r="AN208" i="46"/>
  <c r="BB208" i="46" s="1"/>
  <c r="O166" i="46"/>
  <c r="P166" i="46" s="1"/>
  <c r="AB166" i="46"/>
  <c r="R166" i="46"/>
  <c r="AD166" i="46" s="1"/>
  <c r="T166" i="46"/>
  <c r="Q166" i="46"/>
  <c r="AC166" i="46"/>
  <c r="CG301" i="46"/>
  <c r="CH301" i="46" s="1"/>
  <c r="CI301" i="46" s="1"/>
  <c r="AL81" i="46"/>
  <c r="AX81" i="46"/>
  <c r="AO81" i="46"/>
  <c r="AJ81" i="46"/>
  <c r="AK81" i="46" s="1"/>
  <c r="AW81" i="46"/>
  <c r="AM81" i="46"/>
  <c r="AY81" i="46" s="1"/>
  <c r="V331" i="46"/>
  <c r="W331" i="46" s="1"/>
  <c r="X331" i="46" s="1"/>
  <c r="BN82" i="46"/>
  <c r="V200" i="46"/>
  <c r="W200" i="46" s="1"/>
  <c r="X200" i="46" s="1"/>
  <c r="V143" i="46"/>
  <c r="W143" i="46" s="1"/>
  <c r="X143" i="46" s="1"/>
  <c r="V261" i="46"/>
  <c r="W261" i="46" s="1"/>
  <c r="X261" i="46" s="1"/>
  <c r="BZ230" i="46"/>
  <c r="CA230" i="46" s="1"/>
  <c r="CB230" i="46"/>
  <c r="CN230" i="46"/>
  <c r="CC230" i="46"/>
  <c r="CO230" i="46" s="1"/>
  <c r="CE230" i="46"/>
  <c r="CM230" i="46"/>
  <c r="BN96" i="46"/>
  <c r="AW251" i="46"/>
  <c r="AO251" i="46"/>
  <c r="AL251" i="46"/>
  <c r="AJ251" i="46"/>
  <c r="AK251" i="46" s="1"/>
  <c r="AX251" i="46"/>
  <c r="AM251" i="46"/>
  <c r="AY251" i="46" s="1"/>
  <c r="AQ89" i="46"/>
  <c r="AR89" i="46" s="1"/>
  <c r="AS89" i="46" s="1"/>
  <c r="BN85" i="46"/>
  <c r="BH258" i="46"/>
  <c r="BT258" i="46" s="1"/>
  <c r="BJ258" i="46"/>
  <c r="BG258" i="46"/>
  <c r="BS258" i="46"/>
  <c r="BR258" i="46"/>
  <c r="BN53" i="46"/>
  <c r="CM237" i="46"/>
  <c r="CE237" i="46"/>
  <c r="CB237" i="46"/>
  <c r="CN237" i="46"/>
  <c r="CC237" i="46"/>
  <c r="CO237" i="46" s="1"/>
  <c r="BZ237" i="46"/>
  <c r="CA237" i="46" s="1"/>
  <c r="AQ311" i="46"/>
  <c r="AR311" i="46" s="1"/>
  <c r="AS311" i="46" s="1"/>
  <c r="BN182" i="46"/>
  <c r="CG210" i="46"/>
  <c r="CH210" i="46" s="1"/>
  <c r="CI210" i="46" s="1"/>
  <c r="EY54" i="55"/>
  <c r="BR149" i="46"/>
  <c r="BG149" i="46"/>
  <c r="BH149" i="46"/>
  <c r="BT149" i="46" s="1"/>
  <c r="BS149" i="46"/>
  <c r="BJ149" i="46"/>
  <c r="CG44" i="46"/>
  <c r="CH44" i="46" s="1"/>
  <c r="CI44" i="46" s="1"/>
  <c r="AQ312" i="46"/>
  <c r="AR312" i="46" s="1"/>
  <c r="AS312" i="46" s="1"/>
  <c r="V207" i="46"/>
  <c r="W207" i="46" s="1"/>
  <c r="X207" i="46" s="1"/>
  <c r="BN168" i="46"/>
  <c r="V160" i="46"/>
  <c r="W160" i="46" s="1"/>
  <c r="X160" i="46" s="1"/>
  <c r="BG171" i="46"/>
  <c r="BS171" i="46"/>
  <c r="BH171" i="46"/>
  <c r="BT171" i="46" s="1"/>
  <c r="BJ171" i="46"/>
  <c r="BR171" i="46"/>
  <c r="V319" i="46"/>
  <c r="W319" i="46" s="1"/>
  <c r="X319" i="46" s="1"/>
  <c r="CG76" i="46"/>
  <c r="CH76" i="46" s="1"/>
  <c r="CI76" i="46" s="1"/>
  <c r="V322" i="46"/>
  <c r="W322" i="46" s="1"/>
  <c r="X322" i="46" s="1"/>
  <c r="V55" i="46"/>
  <c r="W55" i="46" s="1"/>
  <c r="X55" i="46" s="1"/>
  <c r="CG143" i="46"/>
  <c r="CH143" i="46" s="1"/>
  <c r="CI143" i="46" s="1"/>
  <c r="CG263" i="46"/>
  <c r="CH263" i="46" s="1"/>
  <c r="CI263" i="46" s="1"/>
  <c r="BJ76" i="46"/>
  <c r="BS76" i="46"/>
  <c r="BR76" i="46"/>
  <c r="BH76" i="46"/>
  <c r="BT76" i="46" s="1"/>
  <c r="BG76" i="46"/>
  <c r="CG63" i="46"/>
  <c r="CH63" i="46" s="1"/>
  <c r="CI63" i="46" s="1"/>
  <c r="V90" i="46"/>
  <c r="W90" i="46" s="1"/>
  <c r="X90" i="46" s="1"/>
  <c r="CG53" i="46"/>
  <c r="CH53" i="46" s="1"/>
  <c r="CI53" i="46" s="1"/>
  <c r="AU50" i="46" l="1"/>
  <c r="S133" i="46"/>
  <c r="AG133" i="46" s="1"/>
  <c r="CD50" i="46"/>
  <c r="CR50" i="46" s="1"/>
  <c r="CK50" i="46"/>
  <c r="CD45" i="46"/>
  <c r="CR45" i="46" s="1"/>
  <c r="CK45" i="46"/>
  <c r="BL50" i="46"/>
  <c r="BM50" i="46" s="1"/>
  <c r="BN50" i="46" s="1"/>
  <c r="CD84" i="46"/>
  <c r="CR84" i="46" s="1"/>
  <c r="BL45" i="46"/>
  <c r="BM45" i="46" s="1"/>
  <c r="BN45" i="46" s="1"/>
  <c r="CK196" i="46"/>
  <c r="AU314" i="46"/>
  <c r="AU47" i="46"/>
  <c r="AU85" i="46"/>
  <c r="AN108" i="46"/>
  <c r="BB108" i="46" s="1"/>
  <c r="S103" i="46"/>
  <c r="AG103" i="46" s="1"/>
  <c r="AN319" i="46"/>
  <c r="BB319" i="46" s="1"/>
  <c r="CD91" i="46"/>
  <c r="CR91" i="46" s="1"/>
  <c r="BP152" i="46"/>
  <c r="BI232" i="46"/>
  <c r="BW232" i="46" s="1"/>
  <c r="BI191" i="46"/>
  <c r="BW191" i="46" s="1"/>
  <c r="CK136" i="46"/>
  <c r="CK16" i="46"/>
  <c r="BP323" i="46"/>
  <c r="S50" i="46"/>
  <c r="AG50" i="46" s="1"/>
  <c r="Z50" i="46"/>
  <c r="BP239" i="46"/>
  <c r="CK61" i="46"/>
  <c r="CK336" i="46"/>
  <c r="Z45" i="46"/>
  <c r="S45" i="46"/>
  <c r="AG45" i="46" s="1"/>
  <c r="BP215" i="46"/>
  <c r="CK272" i="46"/>
  <c r="BP105" i="46"/>
  <c r="BI130" i="46"/>
  <c r="BW130" i="46" s="1"/>
  <c r="BP39" i="46"/>
  <c r="AN70" i="46"/>
  <c r="BB70" i="46" s="1"/>
  <c r="CK93" i="46"/>
  <c r="BP224" i="46"/>
  <c r="BI146" i="46"/>
  <c r="BW146" i="46" s="1"/>
  <c r="BI111" i="46"/>
  <c r="BW111" i="46" s="1"/>
  <c r="Z257" i="46"/>
  <c r="BI106" i="46"/>
  <c r="BW106" i="46" s="1"/>
  <c r="Z281" i="46"/>
  <c r="CD147" i="46"/>
  <c r="CR147" i="46" s="1"/>
  <c r="BP254" i="46"/>
  <c r="BP259" i="46"/>
  <c r="AN151" i="46"/>
  <c r="BB151" i="46" s="1"/>
  <c r="AU170" i="46"/>
  <c r="AN138" i="46"/>
  <c r="BB138" i="46" s="1"/>
  <c r="S212" i="46"/>
  <c r="AG212" i="46" s="1"/>
  <c r="CK140" i="46"/>
  <c r="CK42" i="46"/>
  <c r="BP108" i="46"/>
  <c r="Z154" i="46"/>
  <c r="CK313" i="46"/>
  <c r="S162" i="46"/>
  <c r="AG162" i="46" s="1"/>
  <c r="AU190" i="46"/>
  <c r="AN210" i="46"/>
  <c r="BB210" i="46" s="1"/>
  <c r="Z255" i="46"/>
  <c r="CK59" i="46"/>
  <c r="CD59" i="46"/>
  <c r="CR59" i="46" s="1"/>
  <c r="AU304" i="46"/>
  <c r="AU140" i="46"/>
  <c r="AN140" i="46"/>
  <c r="BB140" i="46" s="1"/>
  <c r="Z294" i="46"/>
  <c r="Z104" i="46"/>
  <c r="CK104" i="46"/>
  <c r="S42" i="46"/>
  <c r="AG42" i="46" s="1"/>
  <c r="BP328" i="46"/>
  <c r="BP319" i="46"/>
  <c r="BI28" i="46"/>
  <c r="BW28" i="46" s="1"/>
  <c r="BI120" i="46"/>
  <c r="BW120" i="46" s="1"/>
  <c r="Z282" i="46"/>
  <c r="CD296" i="46"/>
  <c r="CR296" i="46" s="1"/>
  <c r="Z109" i="46"/>
  <c r="S109" i="46"/>
  <c r="AG109" i="46" s="1"/>
  <c r="BP221" i="46"/>
  <c r="AU338" i="46"/>
  <c r="AN338" i="46"/>
  <c r="BB338" i="46" s="1"/>
  <c r="AU248" i="46"/>
  <c r="CK162" i="46"/>
  <c r="S29" i="46"/>
  <c r="AG29" i="46" s="1"/>
  <c r="CD40" i="46"/>
  <c r="CR40" i="46" s="1"/>
  <c r="BP36" i="46"/>
  <c r="CD174" i="46"/>
  <c r="CR174" i="46" s="1"/>
  <c r="AU222" i="46"/>
  <c r="S299" i="46"/>
  <c r="AG299" i="46" s="1"/>
  <c r="Z299" i="46"/>
  <c r="BI265" i="46"/>
  <c r="BW265" i="46" s="1"/>
  <c r="BI219" i="46"/>
  <c r="BW219" i="46" s="1"/>
  <c r="Z256" i="46"/>
  <c r="CD345" i="46"/>
  <c r="CR345" i="46" s="1"/>
  <c r="BI220" i="46"/>
  <c r="BW220" i="46" s="1"/>
  <c r="BI183" i="46"/>
  <c r="BW183" i="46" s="1"/>
  <c r="AN226" i="46"/>
  <c r="BB226" i="46" s="1"/>
  <c r="CK205" i="46"/>
  <c r="BI15" i="46"/>
  <c r="BW15" i="46" s="1"/>
  <c r="AU88" i="46"/>
  <c r="AN56" i="46"/>
  <c r="BB56" i="46" s="1"/>
  <c r="CK309" i="46"/>
  <c r="AU16" i="46"/>
  <c r="Z252" i="46"/>
  <c r="BP21" i="46"/>
  <c r="AN51" i="46"/>
  <c r="BB51" i="46" s="1"/>
  <c r="BI25" i="46"/>
  <c r="BW25" i="46" s="1"/>
  <c r="AN98" i="46"/>
  <c r="BB98" i="46" s="1"/>
  <c r="BP308" i="46"/>
  <c r="CK172" i="46"/>
  <c r="AN325" i="46"/>
  <c r="BB325" i="46" s="1"/>
  <c r="Z343" i="46"/>
  <c r="Z80" i="46"/>
  <c r="AN265" i="46"/>
  <c r="BB265" i="46" s="1"/>
  <c r="BP312" i="46"/>
  <c r="Z274" i="46"/>
  <c r="BI172" i="46"/>
  <c r="BW172" i="46" s="1"/>
  <c r="AN298" i="46"/>
  <c r="BB298" i="46" s="1"/>
  <c r="AN282" i="46"/>
  <c r="BB282" i="46" s="1"/>
  <c r="Z170" i="46"/>
  <c r="Z179" i="46"/>
  <c r="S179" i="46"/>
  <c r="AG179" i="46" s="1"/>
  <c r="BI145" i="46"/>
  <c r="BW145" i="46" s="1"/>
  <c r="CK344" i="46"/>
  <c r="AN149" i="46"/>
  <c r="BB149" i="46" s="1"/>
  <c r="BP73" i="46"/>
  <c r="BP102" i="46"/>
  <c r="Z234" i="46"/>
  <c r="CD94" i="46"/>
  <c r="CR94" i="46" s="1"/>
  <c r="CD103" i="46"/>
  <c r="CR103" i="46" s="1"/>
  <c r="BP65" i="46"/>
  <c r="Z144" i="46"/>
  <c r="BP159" i="46"/>
  <c r="BP238" i="46"/>
  <c r="BP233" i="46"/>
  <c r="AU302" i="46"/>
  <c r="S268" i="46"/>
  <c r="AG268" i="46" s="1"/>
  <c r="CD320" i="46"/>
  <c r="CR320" i="46" s="1"/>
  <c r="S150" i="46"/>
  <c r="AG150" i="46" s="1"/>
  <c r="S26" i="46"/>
  <c r="AG26" i="46" s="1"/>
  <c r="AU22" i="46"/>
  <c r="AU48" i="46"/>
  <c r="CK298" i="46"/>
  <c r="AN73" i="46"/>
  <c r="BB73" i="46" s="1"/>
  <c r="AN157" i="46"/>
  <c r="BB157" i="46" s="1"/>
  <c r="CK274" i="46"/>
  <c r="Z135" i="46"/>
  <c r="BP132" i="46"/>
  <c r="BI205" i="46"/>
  <c r="BW205" i="46" s="1"/>
  <c r="AU297" i="46"/>
  <c r="AN297" i="46"/>
  <c r="BB297" i="46" s="1"/>
  <c r="AU105" i="46"/>
  <c r="AN105" i="46"/>
  <c r="BB105" i="46" s="1"/>
  <c r="AU229" i="46"/>
  <c r="AN229" i="46"/>
  <c r="BB229" i="46" s="1"/>
  <c r="CK18" i="46"/>
  <c r="CD18" i="46"/>
  <c r="CR18" i="46" s="1"/>
  <c r="S145" i="46"/>
  <c r="AG145" i="46" s="1"/>
  <c r="BP157" i="46"/>
  <c r="S276" i="46"/>
  <c r="AG276" i="46" s="1"/>
  <c r="BP126" i="46"/>
  <c r="CD182" i="46"/>
  <c r="CR182" i="46" s="1"/>
  <c r="Z174" i="46"/>
  <c r="AN123" i="46"/>
  <c r="BB123" i="46" s="1"/>
  <c r="BI203" i="46"/>
  <c r="BW203" i="46" s="1"/>
  <c r="BI343" i="46"/>
  <c r="BW343" i="46" s="1"/>
  <c r="Z315" i="46"/>
  <c r="AU244" i="46"/>
  <c r="AU275" i="46"/>
  <c r="BI281" i="46"/>
  <c r="BW281" i="46" s="1"/>
  <c r="AU336" i="46"/>
  <c r="Z216" i="46"/>
  <c r="BP90" i="46"/>
  <c r="CK265" i="46"/>
  <c r="Z120" i="46"/>
  <c r="Z56" i="46"/>
  <c r="Z21" i="46"/>
  <c r="S21" i="46"/>
  <c r="AG21" i="46" s="1"/>
  <c r="Z27" i="46"/>
  <c r="CD283" i="46"/>
  <c r="CR283" i="46" s="1"/>
  <c r="BP117" i="46"/>
  <c r="AN17" i="46"/>
  <c r="BB17" i="46" s="1"/>
  <c r="S311" i="46"/>
  <c r="AG311" i="46" s="1"/>
  <c r="BI31" i="46"/>
  <c r="BW31" i="46" s="1"/>
  <c r="AN104" i="46"/>
  <c r="BB104" i="46" s="1"/>
  <c r="S337" i="46"/>
  <c r="AG337" i="46" s="1"/>
  <c r="AU345" i="46"/>
  <c r="Z138" i="46"/>
  <c r="S126" i="46"/>
  <c r="AG126" i="46" s="1"/>
  <c r="CD173" i="46"/>
  <c r="CR173" i="46" s="1"/>
  <c r="BI103" i="46"/>
  <c r="BW103" i="46" s="1"/>
  <c r="CK17" i="46"/>
  <c r="Z107" i="46"/>
  <c r="S112" i="46"/>
  <c r="AG112" i="46" s="1"/>
  <c r="BP98" i="46"/>
  <c r="CD333" i="46"/>
  <c r="CR333" i="46" s="1"/>
  <c r="CD246" i="46"/>
  <c r="CR246" i="46" s="1"/>
  <c r="BI69" i="46"/>
  <c r="BW69" i="46" s="1"/>
  <c r="BI329" i="46"/>
  <c r="BW329" i="46" s="1"/>
  <c r="CK145" i="46"/>
  <c r="BI64" i="46"/>
  <c r="BW64" i="46" s="1"/>
  <c r="BI284" i="46"/>
  <c r="BW284" i="46" s="1"/>
  <c r="CD347" i="46"/>
  <c r="CR347" i="46" s="1"/>
  <c r="S302" i="46"/>
  <c r="AG302" i="46" s="1"/>
  <c r="Z61" i="46"/>
  <c r="BI225" i="46"/>
  <c r="BW225" i="46" s="1"/>
  <c r="BP54" i="46"/>
  <c r="BP92" i="46"/>
  <c r="CK97" i="46"/>
  <c r="S338" i="46"/>
  <c r="AG338" i="46" s="1"/>
  <c r="CK36" i="46"/>
  <c r="BI46" i="46"/>
  <c r="BW46" i="46" s="1"/>
  <c r="Z345" i="46"/>
  <c r="Z32" i="46"/>
  <c r="BI240" i="46"/>
  <c r="BW240" i="46" s="1"/>
  <c r="CK227" i="46"/>
  <c r="CD219" i="46"/>
  <c r="CR219" i="46" s="1"/>
  <c r="S34" i="46"/>
  <c r="AG34" i="46" s="1"/>
  <c r="BI97" i="46"/>
  <c r="BW97" i="46" s="1"/>
  <c r="GA54" i="32"/>
  <c r="BI115" i="46"/>
  <c r="BW115" i="46" s="1"/>
  <c r="S18" i="46"/>
  <c r="AG18" i="46" s="1"/>
  <c r="BP99" i="46"/>
  <c r="CK170" i="46"/>
  <c r="Z54" i="46"/>
  <c r="S54" i="46"/>
  <c r="AG54" i="46" s="1"/>
  <c r="AN35" i="46"/>
  <c r="BB35" i="46" s="1"/>
  <c r="AU35" i="46"/>
  <c r="S60" i="46"/>
  <c r="AG60" i="46" s="1"/>
  <c r="Z60" i="46"/>
  <c r="AU206" i="46"/>
  <c r="AN206" i="46"/>
  <c r="BB206" i="46" s="1"/>
  <c r="CD72" i="46"/>
  <c r="CR72" i="46" s="1"/>
  <c r="CK72" i="46"/>
  <c r="AN216" i="46"/>
  <c r="BB216" i="46" s="1"/>
  <c r="AU216" i="46"/>
  <c r="Z146" i="46"/>
  <c r="CK30" i="46"/>
  <c r="CD123" i="46"/>
  <c r="CR123" i="46" s="1"/>
  <c r="AU95" i="46"/>
  <c r="BP201" i="46"/>
  <c r="S82" i="46"/>
  <c r="AG82" i="46" s="1"/>
  <c r="AU145" i="46"/>
  <c r="BI37" i="46"/>
  <c r="BW37" i="46" s="1"/>
  <c r="BP271" i="46"/>
  <c r="BI43" i="46"/>
  <c r="BW43" i="46" s="1"/>
  <c r="AU268" i="46"/>
  <c r="BI246" i="46"/>
  <c r="BW246" i="46" s="1"/>
  <c r="AU155" i="46"/>
  <c r="AN341" i="46"/>
  <c r="BB341" i="46" s="1"/>
  <c r="CK330" i="46"/>
  <c r="CK82" i="46"/>
  <c r="S14" i="46"/>
  <c r="AG14" i="46" s="1"/>
  <c r="Z65" i="46"/>
  <c r="Z36" i="46"/>
  <c r="BI207" i="46"/>
  <c r="BW207" i="46" s="1"/>
  <c r="S225" i="46"/>
  <c r="AG225" i="46" s="1"/>
  <c r="AN217" i="46"/>
  <c r="BB217" i="46" s="1"/>
  <c r="AU69" i="46"/>
  <c r="CK41" i="46"/>
  <c r="S16" i="46"/>
  <c r="AG16" i="46" s="1"/>
  <c r="BP260" i="46"/>
  <c r="Z118" i="46"/>
  <c r="CD228" i="46"/>
  <c r="CR228" i="46" s="1"/>
  <c r="S69" i="46"/>
  <c r="AG69" i="46" s="1"/>
  <c r="CD110" i="46"/>
  <c r="CR110" i="46" s="1"/>
  <c r="Z214" i="46"/>
  <c r="BP94" i="46"/>
  <c r="BP321" i="46"/>
  <c r="AN124" i="46"/>
  <c r="BB124" i="46" s="1"/>
  <c r="CK77" i="46"/>
  <c r="AU322" i="46"/>
  <c r="AN318" i="46"/>
  <c r="BB318" i="46" s="1"/>
  <c r="AU263" i="46"/>
  <c r="Z233" i="46"/>
  <c r="Z157" i="46"/>
  <c r="S224" i="46"/>
  <c r="AG224" i="46" s="1"/>
  <c r="S325" i="46"/>
  <c r="AG325" i="46" s="1"/>
  <c r="S198" i="46"/>
  <c r="AG198" i="46" s="1"/>
  <c r="Z175" i="46"/>
  <c r="AN285" i="46"/>
  <c r="BB285" i="46" s="1"/>
  <c r="S280" i="46"/>
  <c r="AG280" i="46" s="1"/>
  <c r="AN106" i="46"/>
  <c r="BB106" i="46" s="1"/>
  <c r="AU106" i="46"/>
  <c r="CD69" i="46"/>
  <c r="CR69" i="46" s="1"/>
  <c r="CK69" i="46"/>
  <c r="Z211" i="46"/>
  <c r="CD178" i="46"/>
  <c r="CR178" i="46" s="1"/>
  <c r="CK142" i="46"/>
  <c r="S149" i="46"/>
  <c r="AG149" i="46" s="1"/>
  <c r="CD279" i="46"/>
  <c r="CR279" i="46" s="1"/>
  <c r="CK276" i="46"/>
  <c r="Z210" i="46"/>
  <c r="S202" i="46"/>
  <c r="AG202" i="46" s="1"/>
  <c r="AN212" i="46"/>
  <c r="BB212" i="46" s="1"/>
  <c r="CK62" i="46"/>
  <c r="AN211" i="46"/>
  <c r="BB211" i="46" s="1"/>
  <c r="AU76" i="46"/>
  <c r="CK308" i="46"/>
  <c r="BP158" i="46"/>
  <c r="CK80" i="46"/>
  <c r="AN315" i="46"/>
  <c r="BB315" i="46" s="1"/>
  <c r="Z278" i="46"/>
  <c r="CD120" i="46"/>
  <c r="CR120" i="46" s="1"/>
  <c r="CD306" i="46"/>
  <c r="CR306" i="46" s="1"/>
  <c r="S92" i="46"/>
  <c r="AG92" i="46" s="1"/>
  <c r="BI79" i="46"/>
  <c r="BW79" i="46" s="1"/>
  <c r="CD337" i="46"/>
  <c r="CR337" i="46" s="1"/>
  <c r="BI263" i="46"/>
  <c r="BW263" i="46" s="1"/>
  <c r="AU270" i="46"/>
  <c r="AN122" i="46"/>
  <c r="BB122" i="46" s="1"/>
  <c r="CK295" i="46"/>
  <c r="AU165" i="46"/>
  <c r="CK224" i="46"/>
  <c r="BP245" i="46"/>
  <c r="BP296" i="46"/>
  <c r="S269" i="46"/>
  <c r="AG269" i="46" s="1"/>
  <c r="CD66" i="46"/>
  <c r="CR66" i="46" s="1"/>
  <c r="BP272" i="46"/>
  <c r="CD179" i="46"/>
  <c r="CR179" i="46" s="1"/>
  <c r="BI218" i="46"/>
  <c r="BW218" i="46" s="1"/>
  <c r="BI273" i="46"/>
  <c r="BW273" i="46" s="1"/>
  <c r="Z100" i="46"/>
  <c r="BI262" i="46"/>
  <c r="BW262" i="46" s="1"/>
  <c r="CK194" i="46"/>
  <c r="BP74" i="46"/>
  <c r="BI66" i="46"/>
  <c r="BW66" i="46" s="1"/>
  <c r="CD152" i="46"/>
  <c r="CR152" i="46" s="1"/>
  <c r="BP113" i="46"/>
  <c r="S307" i="46"/>
  <c r="AG307" i="46" s="1"/>
  <c r="BP163" i="46"/>
  <c r="CK169" i="46"/>
  <c r="BI78" i="46"/>
  <c r="BW78" i="46" s="1"/>
  <c r="AN197" i="46"/>
  <c r="BB197" i="46" s="1"/>
  <c r="CD54" i="46"/>
  <c r="CR54" i="46" s="1"/>
  <c r="BI311" i="46"/>
  <c r="BW311" i="46" s="1"/>
  <c r="CK312" i="46"/>
  <c r="AN36" i="46"/>
  <c r="BB36" i="46" s="1"/>
  <c r="S301" i="46"/>
  <c r="AG301" i="46" s="1"/>
  <c r="Z266" i="46"/>
  <c r="AU107" i="46"/>
  <c r="AU159" i="46"/>
  <c r="BI193" i="46"/>
  <c r="BW193" i="46" s="1"/>
  <c r="AN31" i="46"/>
  <c r="BB31" i="46" s="1"/>
  <c r="Z259" i="46"/>
  <c r="AU141" i="46"/>
  <c r="AN294" i="46"/>
  <c r="BB294" i="46" s="1"/>
  <c r="BP110" i="46"/>
  <c r="Z286" i="46"/>
  <c r="S218" i="46"/>
  <c r="AG218" i="46" s="1"/>
  <c r="CK329" i="46"/>
  <c r="AU117" i="46"/>
  <c r="CD47" i="46"/>
  <c r="CR47" i="46" s="1"/>
  <c r="AN238" i="46"/>
  <c r="BB238" i="46" s="1"/>
  <c r="CD122" i="46"/>
  <c r="CR122" i="46" s="1"/>
  <c r="BP305" i="46"/>
  <c r="BI316" i="46"/>
  <c r="BW316" i="46" s="1"/>
  <c r="AU204" i="46"/>
  <c r="BI226" i="46"/>
  <c r="BW226" i="46" s="1"/>
  <c r="CK165" i="46"/>
  <c r="DU54" i="32"/>
  <c r="AN111" i="46"/>
  <c r="BB111" i="46" s="1"/>
  <c r="BI277" i="46"/>
  <c r="BW277" i="46" s="1"/>
  <c r="Z113" i="46"/>
  <c r="CK282" i="46"/>
  <c r="S132" i="46"/>
  <c r="AG132" i="46" s="1"/>
  <c r="AU307" i="46"/>
  <c r="CK258" i="46"/>
  <c r="BI52" i="46"/>
  <c r="BW52" i="46" s="1"/>
  <c r="Z251" i="46"/>
  <c r="AN305" i="46"/>
  <c r="BB305" i="46" s="1"/>
  <c r="CK242" i="46"/>
  <c r="AU79" i="46"/>
  <c r="AU71" i="46"/>
  <c r="BP196" i="46"/>
  <c r="AU42" i="46"/>
  <c r="CK208" i="46"/>
  <c r="AN286" i="46"/>
  <c r="BB286" i="46" s="1"/>
  <c r="BI179" i="46"/>
  <c r="BW179" i="46" s="1"/>
  <c r="BP292" i="46"/>
  <c r="BI341" i="46"/>
  <c r="BW341" i="46" s="1"/>
  <c r="AU340" i="46"/>
  <c r="BI283" i="46"/>
  <c r="BW283" i="46" s="1"/>
  <c r="S62" i="46"/>
  <c r="AG62" i="46" s="1"/>
  <c r="CD43" i="46"/>
  <c r="CR43" i="46" s="1"/>
  <c r="AU178" i="46"/>
  <c r="S155" i="46"/>
  <c r="AG155" i="46" s="1"/>
  <c r="S223" i="46"/>
  <c r="AG223" i="46" s="1"/>
  <c r="AN344" i="46"/>
  <c r="BB344" i="46" s="1"/>
  <c r="Z193" i="46"/>
  <c r="AN119" i="46"/>
  <c r="BB119" i="46" s="1"/>
  <c r="CK134" i="46"/>
  <c r="CD157" i="46"/>
  <c r="CR157" i="46" s="1"/>
  <c r="CK293" i="46"/>
  <c r="CD253" i="46"/>
  <c r="CR253" i="46" s="1"/>
  <c r="BI185" i="46"/>
  <c r="BW185" i="46" s="1"/>
  <c r="S182" i="46"/>
  <c r="AG182" i="46" s="1"/>
  <c r="Z206" i="46"/>
  <c r="AN90" i="46"/>
  <c r="BB90" i="46" s="1"/>
  <c r="AN213" i="46"/>
  <c r="BB213" i="46" s="1"/>
  <c r="AU256" i="46"/>
  <c r="AU19" i="46"/>
  <c r="S20" i="46"/>
  <c r="AG20" i="46" s="1"/>
  <c r="CD303" i="46"/>
  <c r="CR303" i="46" s="1"/>
  <c r="BP26" i="46"/>
  <c r="AU236" i="46"/>
  <c r="AU54" i="46"/>
  <c r="AN102" i="46"/>
  <c r="BB102" i="46" s="1"/>
  <c r="S247" i="46"/>
  <c r="AG247" i="46" s="1"/>
  <c r="BI298" i="46"/>
  <c r="BW298" i="46" s="1"/>
  <c r="Z288" i="46"/>
  <c r="AU280" i="46"/>
  <c r="Z134" i="46"/>
  <c r="BP299" i="46"/>
  <c r="CK300" i="46"/>
  <c r="AN186" i="46"/>
  <c r="BB186" i="46" s="1"/>
  <c r="BP294" i="46"/>
  <c r="BI143" i="46"/>
  <c r="BW143" i="46" s="1"/>
  <c r="CD125" i="46"/>
  <c r="CR125" i="46" s="1"/>
  <c r="BP104" i="46"/>
  <c r="CK180" i="46"/>
  <c r="S228" i="46"/>
  <c r="AG228" i="46" s="1"/>
  <c r="AU23" i="46"/>
  <c r="Z314" i="46"/>
  <c r="S314" i="46"/>
  <c r="AG314" i="46" s="1"/>
  <c r="V151" i="46"/>
  <c r="W151" i="46" s="1"/>
  <c r="X151" i="46" s="1"/>
  <c r="BI162" i="46"/>
  <c r="BW162" i="46" s="1"/>
  <c r="BP162" i="46"/>
  <c r="AU87" i="46"/>
  <c r="AN87" i="46"/>
  <c r="BB87" i="46" s="1"/>
  <c r="BP23" i="46"/>
  <c r="BI23" i="46"/>
  <c r="BW23" i="46" s="1"/>
  <c r="BL20" i="46"/>
  <c r="BM20" i="46" s="1"/>
  <c r="BN20" i="46" s="1"/>
  <c r="CD76" i="46"/>
  <c r="CR76" i="46" s="1"/>
  <c r="CK76" i="46"/>
  <c r="BL149" i="46"/>
  <c r="BM149" i="46" s="1"/>
  <c r="BN149" i="46" s="1"/>
  <c r="AQ44" i="46"/>
  <c r="AR44" i="46" s="1"/>
  <c r="AS44" i="46" s="1"/>
  <c r="Z339" i="46"/>
  <c r="S339" i="46"/>
  <c r="AG339" i="46" s="1"/>
  <c r="CD166" i="46"/>
  <c r="CR166" i="46" s="1"/>
  <c r="CK166" i="46"/>
  <c r="AN166" i="46"/>
  <c r="BB166" i="46" s="1"/>
  <c r="AU166" i="46"/>
  <c r="AN240" i="46"/>
  <c r="BB240" i="46" s="1"/>
  <c r="AU240" i="46"/>
  <c r="CD267" i="46"/>
  <c r="CR267" i="46" s="1"/>
  <c r="CK267" i="46"/>
  <c r="CG15" i="46"/>
  <c r="CH15" i="46" s="1"/>
  <c r="CI15" i="46" s="1"/>
  <c r="Z119" i="46"/>
  <c r="S119" i="46"/>
  <c r="AG119" i="46" s="1"/>
  <c r="AN164" i="46"/>
  <c r="BB164" i="46" s="1"/>
  <c r="AU164" i="46"/>
  <c r="AN215" i="46"/>
  <c r="BB215" i="46" s="1"/>
  <c r="AU215" i="46"/>
  <c r="V296" i="46"/>
  <c r="W296" i="46" s="1"/>
  <c r="X296" i="46" s="1"/>
  <c r="CG240" i="46"/>
  <c r="CH240" i="46" s="1"/>
  <c r="CI240" i="46" s="1"/>
  <c r="BP252" i="46"/>
  <c r="BI252" i="46"/>
  <c r="BW252" i="46" s="1"/>
  <c r="BL161" i="46"/>
  <c r="BM161" i="46" s="1"/>
  <c r="BN161" i="46" s="1"/>
  <c r="S43" i="46"/>
  <c r="AG43" i="46" s="1"/>
  <c r="Z43" i="46"/>
  <c r="AU58" i="46"/>
  <c r="AN58" i="46"/>
  <c r="BB58" i="46" s="1"/>
  <c r="BP188" i="46"/>
  <c r="BI188" i="46"/>
  <c r="BW188" i="46" s="1"/>
  <c r="AN33" i="46"/>
  <c r="BB33" i="46" s="1"/>
  <c r="AU33" i="46"/>
  <c r="Z305" i="46"/>
  <c r="S305" i="46"/>
  <c r="AG305" i="46" s="1"/>
  <c r="CK176" i="46"/>
  <c r="CD176" i="46"/>
  <c r="CR176" i="46" s="1"/>
  <c r="AQ309" i="46"/>
  <c r="AR309" i="46" s="1"/>
  <c r="AS309" i="46" s="1"/>
  <c r="BI197" i="46"/>
  <c r="BW197" i="46" s="1"/>
  <c r="BP197" i="46"/>
  <c r="S300" i="46"/>
  <c r="AG300" i="46" s="1"/>
  <c r="Z300" i="46"/>
  <c r="Z130" i="46"/>
  <c r="S130" i="46"/>
  <c r="AG130" i="46" s="1"/>
  <c r="S292" i="46"/>
  <c r="AG292" i="46" s="1"/>
  <c r="Z292" i="46"/>
  <c r="AQ192" i="46"/>
  <c r="AR192" i="46" s="1"/>
  <c r="AS192" i="46" s="1"/>
  <c r="AN32" i="46"/>
  <c r="BB32" i="46" s="1"/>
  <c r="AU32" i="46"/>
  <c r="CD60" i="46"/>
  <c r="CR60" i="46" s="1"/>
  <c r="CK60" i="46"/>
  <c r="CD254" i="46"/>
  <c r="CR254" i="46" s="1"/>
  <c r="CK254" i="46"/>
  <c r="CK92" i="46"/>
  <c r="CD92" i="46"/>
  <c r="CR92" i="46" s="1"/>
  <c r="CK51" i="46"/>
  <c r="CD51" i="46"/>
  <c r="CR51" i="46" s="1"/>
  <c r="CD297" i="46"/>
  <c r="CR297" i="46" s="1"/>
  <c r="CK297" i="46"/>
  <c r="CK229" i="46"/>
  <c r="CD229" i="46"/>
  <c r="CR229" i="46" s="1"/>
  <c r="S87" i="46"/>
  <c r="AG87" i="46" s="1"/>
  <c r="Z87" i="46"/>
  <c r="CD154" i="46"/>
  <c r="CR154" i="46" s="1"/>
  <c r="CK154" i="46"/>
  <c r="AN63" i="46"/>
  <c r="BB63" i="46" s="1"/>
  <c r="AU63" i="46"/>
  <c r="AN78" i="46"/>
  <c r="BB78" i="46" s="1"/>
  <c r="AU78" i="46"/>
  <c r="BL189" i="46"/>
  <c r="BM189" i="46" s="1"/>
  <c r="BN189" i="46" s="1"/>
  <c r="Z111" i="46"/>
  <c r="S111" i="46"/>
  <c r="AG111" i="46" s="1"/>
  <c r="BL346" i="46"/>
  <c r="BM346" i="46" s="1"/>
  <c r="BN346" i="46" s="1"/>
  <c r="AU175" i="46"/>
  <c r="AN175" i="46"/>
  <c r="BB175" i="46" s="1"/>
  <c r="BI127" i="46"/>
  <c r="BW127" i="46" s="1"/>
  <c r="BP127" i="46"/>
  <c r="CK332" i="46"/>
  <c r="CD332" i="46"/>
  <c r="CR332" i="46" s="1"/>
  <c r="V291" i="46"/>
  <c r="W291" i="46" s="1"/>
  <c r="X291" i="46" s="1"/>
  <c r="BL155" i="46"/>
  <c r="BM155" i="46" s="1"/>
  <c r="BN155" i="46" s="1"/>
  <c r="Z275" i="46"/>
  <c r="S275" i="46"/>
  <c r="AG275" i="46" s="1"/>
  <c r="CD67" i="46"/>
  <c r="CR67" i="46" s="1"/>
  <c r="CK67" i="46"/>
  <c r="BL13" i="46"/>
  <c r="BM13" i="46" s="1"/>
  <c r="BN13" i="46" s="1"/>
  <c r="BP19" i="46"/>
  <c r="BI19" i="46"/>
  <c r="BW19" i="46" s="1"/>
  <c r="BN54" i="39"/>
  <c r="BR54" i="39" s="1"/>
  <c r="GK54" i="39" s="1"/>
  <c r="BL142" i="46"/>
  <c r="BM142" i="46" s="1"/>
  <c r="BN142" i="46" s="1"/>
  <c r="BP332" i="46"/>
  <c r="BI332" i="46"/>
  <c r="BW332" i="46" s="1"/>
  <c r="BL164" i="46"/>
  <c r="BM164" i="46" s="1"/>
  <c r="BN164" i="46" s="1"/>
  <c r="Z67" i="46"/>
  <c r="S67" i="46"/>
  <c r="AG67" i="46" s="1"/>
  <c r="BL306" i="46"/>
  <c r="BM306" i="46" s="1"/>
  <c r="BN306" i="46" s="1"/>
  <c r="CK68" i="46"/>
  <c r="CD68" i="46"/>
  <c r="CR68" i="46" s="1"/>
  <c r="AN168" i="46"/>
  <c r="BB168" i="46" s="1"/>
  <c r="AU168" i="46"/>
  <c r="S319" i="46"/>
  <c r="AG319" i="46" s="1"/>
  <c r="Z319" i="46"/>
  <c r="BP53" i="46"/>
  <c r="BI53" i="46"/>
  <c r="BW53" i="46" s="1"/>
  <c r="AQ251" i="46"/>
  <c r="AR251" i="46" s="1"/>
  <c r="AS251" i="46" s="1"/>
  <c r="Z71" i="46"/>
  <c r="S71" i="46"/>
  <c r="AG71" i="46" s="1"/>
  <c r="BI121" i="46"/>
  <c r="BW121" i="46" s="1"/>
  <c r="BP121" i="46"/>
  <c r="BI313" i="46"/>
  <c r="BW313" i="46" s="1"/>
  <c r="BP313" i="46"/>
  <c r="CK139" i="46"/>
  <c r="CD139" i="46"/>
  <c r="CR139" i="46" s="1"/>
  <c r="V289" i="46"/>
  <c r="W289" i="46" s="1"/>
  <c r="X289" i="46" s="1"/>
  <c r="Z72" i="46"/>
  <c r="S72" i="46"/>
  <c r="AG72" i="46" s="1"/>
  <c r="BL327" i="46"/>
  <c r="BM327" i="46" s="1"/>
  <c r="BN327" i="46" s="1"/>
  <c r="BI261" i="46"/>
  <c r="BW261" i="46" s="1"/>
  <c r="BP261" i="46"/>
  <c r="AU296" i="46"/>
  <c r="AN296" i="46"/>
  <c r="BB296" i="46" s="1"/>
  <c r="AN68" i="46"/>
  <c r="BB68" i="46" s="1"/>
  <c r="AU68" i="46"/>
  <c r="AU225" i="46"/>
  <c r="AN225" i="46"/>
  <c r="BB225" i="46" s="1"/>
  <c r="AN330" i="46"/>
  <c r="BB330" i="46" s="1"/>
  <c r="AU330" i="46"/>
  <c r="CD159" i="46"/>
  <c r="CR159" i="46" s="1"/>
  <c r="CK159" i="46"/>
  <c r="CK28" i="46"/>
  <c r="CD28" i="46"/>
  <c r="CR28" i="46" s="1"/>
  <c r="CG222" i="46"/>
  <c r="CH222" i="46" s="1"/>
  <c r="CI222" i="46" s="1"/>
  <c r="CD112" i="46"/>
  <c r="CR112" i="46" s="1"/>
  <c r="CK112" i="46"/>
  <c r="CG118" i="46"/>
  <c r="CH118" i="46" s="1"/>
  <c r="CI118" i="46" s="1"/>
  <c r="BI336" i="46"/>
  <c r="BW336" i="46" s="1"/>
  <c r="BP336" i="46"/>
  <c r="AN317" i="46"/>
  <c r="BB317" i="46" s="1"/>
  <c r="AU317" i="46"/>
  <c r="AQ134" i="46"/>
  <c r="AR134" i="46" s="1"/>
  <c r="AS134" i="46" s="1"/>
  <c r="BP80" i="46"/>
  <c r="BI80" i="46"/>
  <c r="BW80" i="46" s="1"/>
  <c r="Z298" i="46"/>
  <c r="S298" i="46"/>
  <c r="AG298" i="46" s="1"/>
  <c r="BL302" i="46"/>
  <c r="BM302" i="46" s="1"/>
  <c r="BN302" i="46" s="1"/>
  <c r="CD155" i="46"/>
  <c r="CR155" i="46" s="1"/>
  <c r="CK155" i="46"/>
  <c r="AN116" i="46"/>
  <c r="BB116" i="46" s="1"/>
  <c r="AU116" i="46"/>
  <c r="BI287" i="46"/>
  <c r="BW287" i="46" s="1"/>
  <c r="BP287" i="46"/>
  <c r="AN267" i="46"/>
  <c r="BB267" i="46" s="1"/>
  <c r="AU267" i="46"/>
  <c r="AN43" i="46"/>
  <c r="BB43" i="46" s="1"/>
  <c r="AU43" i="46"/>
  <c r="AU115" i="46"/>
  <c r="AN115" i="46"/>
  <c r="BB115" i="46" s="1"/>
  <c r="AN209" i="46"/>
  <c r="BB209" i="46" s="1"/>
  <c r="AU209" i="46"/>
  <c r="CK204" i="46"/>
  <c r="CD204" i="46"/>
  <c r="CR204" i="46" s="1"/>
  <c r="CD252" i="46"/>
  <c r="CR252" i="46" s="1"/>
  <c r="CK252" i="46"/>
  <c r="BI307" i="46"/>
  <c r="BW307" i="46" s="1"/>
  <c r="BP307" i="46"/>
  <c r="BL167" i="46"/>
  <c r="BM167" i="46" s="1"/>
  <c r="BN167" i="46" s="1"/>
  <c r="BP151" i="46"/>
  <c r="BI151" i="46"/>
  <c r="BW151" i="46" s="1"/>
  <c r="CK217" i="46"/>
  <c r="CD217" i="46"/>
  <c r="CR217" i="46" s="1"/>
  <c r="AU235" i="46"/>
  <c r="AN235" i="46"/>
  <c r="BB235" i="46" s="1"/>
  <c r="DT54" i="39"/>
  <c r="BP77" i="46"/>
  <c r="BI77" i="46"/>
  <c r="BW77" i="46" s="1"/>
  <c r="GD54" i="39"/>
  <c r="CD192" i="46"/>
  <c r="CR192" i="46" s="1"/>
  <c r="CK192" i="46"/>
  <c r="BI178" i="46"/>
  <c r="BW178" i="46" s="1"/>
  <c r="BP178" i="46"/>
  <c r="AN91" i="46"/>
  <c r="BB91" i="46" s="1"/>
  <c r="AU91" i="46"/>
  <c r="AN46" i="46"/>
  <c r="BB46" i="46" s="1"/>
  <c r="AU46" i="46"/>
  <c r="Z25" i="46"/>
  <c r="S25" i="46"/>
  <c r="AG25" i="46" s="1"/>
  <c r="V237" i="46"/>
  <c r="W237" i="46" s="1"/>
  <c r="X237" i="46" s="1"/>
  <c r="V253" i="46"/>
  <c r="W253" i="46" s="1"/>
  <c r="X253" i="46" s="1"/>
  <c r="AU194" i="46"/>
  <c r="AN194" i="46"/>
  <c r="BB194" i="46" s="1"/>
  <c r="Z85" i="46"/>
  <c r="S85" i="46"/>
  <c r="AG85" i="46" s="1"/>
  <c r="AN173" i="46"/>
  <c r="BB173" i="46" s="1"/>
  <c r="AU173" i="46"/>
  <c r="CK151" i="46"/>
  <c r="CD151" i="46"/>
  <c r="CR151" i="46" s="1"/>
  <c r="BL280" i="46"/>
  <c r="BM280" i="46" s="1"/>
  <c r="BN280" i="46" s="1"/>
  <c r="CD340" i="46"/>
  <c r="CR340" i="46" s="1"/>
  <c r="CK340" i="46"/>
  <c r="AU261" i="46"/>
  <c r="AN261" i="46"/>
  <c r="BB261" i="46" s="1"/>
  <c r="AU24" i="46"/>
  <c r="AN24" i="46"/>
  <c r="BB24" i="46" s="1"/>
  <c r="AU200" i="46"/>
  <c r="AN200" i="46"/>
  <c r="BB200" i="46" s="1"/>
  <c r="AN179" i="46"/>
  <c r="BB179" i="46" s="1"/>
  <c r="AU179" i="46"/>
  <c r="BL177" i="46"/>
  <c r="BM177" i="46" s="1"/>
  <c r="BN177" i="46" s="1"/>
  <c r="AQ221" i="46"/>
  <c r="AR221" i="46" s="1"/>
  <c r="AS221" i="46" s="1"/>
  <c r="BL286" i="46"/>
  <c r="BM286" i="46" s="1"/>
  <c r="BN286" i="46" s="1"/>
  <c r="AN55" i="46"/>
  <c r="BB55" i="46" s="1"/>
  <c r="AU55" i="46"/>
  <c r="AN331" i="46"/>
  <c r="BB331" i="46" s="1"/>
  <c r="AU331" i="46"/>
  <c r="BL214" i="46"/>
  <c r="BM214" i="46" s="1"/>
  <c r="BN214" i="46" s="1"/>
  <c r="Z231" i="46"/>
  <c r="S231" i="46"/>
  <c r="AG231" i="46" s="1"/>
  <c r="CK52" i="46"/>
  <c r="CD52" i="46"/>
  <c r="CR52" i="46" s="1"/>
  <c r="CG239" i="46"/>
  <c r="CH239" i="46" s="1"/>
  <c r="CI239" i="46" s="1"/>
  <c r="CD53" i="46"/>
  <c r="CR53" i="46" s="1"/>
  <c r="CK53" i="46"/>
  <c r="S232" i="46"/>
  <c r="AG232" i="46" s="1"/>
  <c r="Z232" i="46"/>
  <c r="BP42" i="46"/>
  <c r="BI42" i="46"/>
  <c r="BW42" i="46" s="1"/>
  <c r="CD270" i="46"/>
  <c r="CR270" i="46" s="1"/>
  <c r="CK270" i="46"/>
  <c r="BP199" i="46"/>
  <c r="BI199" i="46"/>
  <c r="BW199" i="46" s="1"/>
  <c r="Z183" i="46"/>
  <c r="S183" i="46"/>
  <c r="AG183" i="46" s="1"/>
  <c r="AU53" i="46"/>
  <c r="AN53" i="46"/>
  <c r="BB53" i="46" s="1"/>
  <c r="CG273" i="46"/>
  <c r="CH273" i="46" s="1"/>
  <c r="CI273" i="46" s="1"/>
  <c r="BL47" i="46"/>
  <c r="BM47" i="46" s="1"/>
  <c r="BN47" i="46" s="1"/>
  <c r="BP270" i="46"/>
  <c r="BI270" i="46"/>
  <c r="BW270" i="46" s="1"/>
  <c r="S75" i="46"/>
  <c r="AG75" i="46" s="1"/>
  <c r="Z75" i="46"/>
  <c r="V199" i="46"/>
  <c r="W199" i="46" s="1"/>
  <c r="X199" i="46" s="1"/>
  <c r="AQ237" i="46"/>
  <c r="AR237" i="46" s="1"/>
  <c r="AS237" i="46" s="1"/>
  <c r="S163" i="46"/>
  <c r="AG163" i="46" s="1"/>
  <c r="Z163" i="46"/>
  <c r="BL251" i="46"/>
  <c r="BM251" i="46" s="1"/>
  <c r="BN251" i="46" s="1"/>
  <c r="CK328" i="46"/>
  <c r="CD328" i="46"/>
  <c r="CR328" i="46" s="1"/>
  <c r="Z70" i="46"/>
  <c r="S70" i="46"/>
  <c r="AG70" i="46" s="1"/>
  <c r="AN174" i="46"/>
  <c r="BB174" i="46" s="1"/>
  <c r="AU174" i="46"/>
  <c r="AU250" i="46"/>
  <c r="AN250" i="46"/>
  <c r="BB250" i="46" s="1"/>
  <c r="AN276" i="46"/>
  <c r="BB276" i="46" s="1"/>
  <c r="AU276" i="46"/>
  <c r="CD294" i="46"/>
  <c r="CR294" i="46" s="1"/>
  <c r="CK294" i="46"/>
  <c r="Z195" i="46"/>
  <c r="S195" i="46"/>
  <c r="AG195" i="46" s="1"/>
  <c r="AU347" i="46"/>
  <c r="AN347" i="46"/>
  <c r="BB347" i="46" s="1"/>
  <c r="Z172" i="46"/>
  <c r="S172" i="46"/>
  <c r="AG172" i="46" s="1"/>
  <c r="Z142" i="46"/>
  <c r="S142" i="46"/>
  <c r="AG142" i="46" s="1"/>
  <c r="CK148" i="46"/>
  <c r="CD148" i="46"/>
  <c r="CR148" i="46" s="1"/>
  <c r="BL229" i="46"/>
  <c r="BM229" i="46" s="1"/>
  <c r="BN229" i="46" s="1"/>
  <c r="AU38" i="46"/>
  <c r="AN38" i="46"/>
  <c r="BB38" i="46" s="1"/>
  <c r="AN295" i="46"/>
  <c r="BB295" i="46" s="1"/>
  <c r="AU295" i="46"/>
  <c r="AN259" i="46"/>
  <c r="BB259" i="46" s="1"/>
  <c r="AU259" i="46"/>
  <c r="Z330" i="46"/>
  <c r="S330" i="46"/>
  <c r="AG330" i="46" s="1"/>
  <c r="S140" i="46"/>
  <c r="AG140" i="46" s="1"/>
  <c r="Z140" i="46"/>
  <c r="CG211" i="46"/>
  <c r="CH211" i="46" s="1"/>
  <c r="CI211" i="46" s="1"/>
  <c r="AN75" i="46"/>
  <c r="BB75" i="46" s="1"/>
  <c r="AU75" i="46"/>
  <c r="AN220" i="46"/>
  <c r="BB220" i="46" s="1"/>
  <c r="AU220" i="46"/>
  <c r="S249" i="46"/>
  <c r="AG249" i="46" s="1"/>
  <c r="Z249" i="46"/>
  <c r="AN198" i="46"/>
  <c r="BB198" i="46" s="1"/>
  <c r="AU198" i="46"/>
  <c r="AU113" i="46"/>
  <c r="AN113" i="46"/>
  <c r="BB113" i="46" s="1"/>
  <c r="F21" i="55"/>
  <c r="G47" i="55"/>
  <c r="AQ334" i="46"/>
  <c r="AR334" i="46" s="1"/>
  <c r="AS334" i="46" s="1"/>
  <c r="S28" i="46"/>
  <c r="AG28" i="46" s="1"/>
  <c r="Z28" i="46"/>
  <c r="G47" i="37"/>
  <c r="F21" i="37"/>
  <c r="S250" i="46"/>
  <c r="AG250" i="46" s="1"/>
  <c r="Z250" i="46"/>
  <c r="Z58" i="46"/>
  <c r="S58" i="46"/>
  <c r="AG58" i="46" s="1"/>
  <c r="BL216" i="46"/>
  <c r="BM216" i="46" s="1"/>
  <c r="BN216" i="46" s="1"/>
  <c r="CD153" i="46"/>
  <c r="CR153" i="46" s="1"/>
  <c r="CK153" i="46"/>
  <c r="Z129" i="46"/>
  <c r="S129" i="46"/>
  <c r="AG129" i="46" s="1"/>
  <c r="Z189" i="46"/>
  <c r="S189" i="46"/>
  <c r="AG189" i="46" s="1"/>
  <c r="CD46" i="46"/>
  <c r="CR46" i="46" s="1"/>
  <c r="CK46" i="46"/>
  <c r="CK117" i="46"/>
  <c r="CD117" i="46"/>
  <c r="CR117" i="46" s="1"/>
  <c r="S297" i="46"/>
  <c r="AG297" i="46" s="1"/>
  <c r="Z297" i="46"/>
  <c r="BP68" i="46"/>
  <c r="BI68" i="46"/>
  <c r="BW68" i="46" s="1"/>
  <c r="CG124" i="46"/>
  <c r="CH124" i="46" s="1"/>
  <c r="CI124" i="46" s="1"/>
  <c r="BP33" i="46"/>
  <c r="BI33" i="46"/>
  <c r="BW33" i="46" s="1"/>
  <c r="CD137" i="46"/>
  <c r="CR137" i="46" s="1"/>
  <c r="CK137" i="46"/>
  <c r="BL62" i="46"/>
  <c r="BM62" i="46" s="1"/>
  <c r="BN62" i="46" s="1"/>
  <c r="BL116" i="46"/>
  <c r="BM116" i="46" s="1"/>
  <c r="BN116" i="46" s="1"/>
  <c r="BP204" i="46"/>
  <c r="BI204" i="46"/>
  <c r="BW204" i="46" s="1"/>
  <c r="BI41" i="46"/>
  <c r="BW41" i="46" s="1"/>
  <c r="BP41" i="46"/>
  <c r="AN158" i="46"/>
  <c r="BB158" i="46" s="1"/>
  <c r="AU158" i="46"/>
  <c r="BP253" i="46"/>
  <c r="BI253" i="46"/>
  <c r="BW253" i="46" s="1"/>
  <c r="AU269" i="46"/>
  <c r="AN269" i="46"/>
  <c r="BB269" i="46" s="1"/>
  <c r="Z262" i="46"/>
  <c r="S262" i="46"/>
  <c r="AG262" i="46" s="1"/>
  <c r="BL112" i="46"/>
  <c r="BM112" i="46" s="1"/>
  <c r="BN112" i="46" s="1"/>
  <c r="AU303" i="46"/>
  <c r="AN303" i="46"/>
  <c r="BB303" i="46" s="1"/>
  <c r="S137" i="46"/>
  <c r="AG137" i="46" s="1"/>
  <c r="Z137" i="46"/>
  <c r="BI100" i="46"/>
  <c r="BW100" i="46" s="1"/>
  <c r="BP100" i="46"/>
  <c r="AN182" i="46"/>
  <c r="BB182" i="46" s="1"/>
  <c r="AU182" i="46"/>
  <c r="BL187" i="46"/>
  <c r="BM187" i="46" s="1"/>
  <c r="BN187" i="46" s="1"/>
  <c r="V49" i="46"/>
  <c r="W49" i="46" s="1"/>
  <c r="X49" i="46" s="1"/>
  <c r="AQ112" i="46"/>
  <c r="AR112" i="46" s="1"/>
  <c r="AS112" i="46" s="1"/>
  <c r="BL44" i="46"/>
  <c r="BM44" i="46" s="1"/>
  <c r="BN44" i="46" s="1"/>
  <c r="CK121" i="46"/>
  <c r="CD121" i="46"/>
  <c r="CR121" i="46" s="1"/>
  <c r="Z153" i="46"/>
  <c r="S153" i="46"/>
  <c r="AG153" i="46" s="1"/>
  <c r="S324" i="46"/>
  <c r="AG324" i="46" s="1"/>
  <c r="Z324" i="46"/>
  <c r="DU54" i="37"/>
  <c r="DX54" i="37" s="1"/>
  <c r="GM54" i="37" s="1"/>
  <c r="DU54" i="55"/>
  <c r="DX54" i="55" s="1"/>
  <c r="GM54" i="55" s="1"/>
  <c r="AN291" i="46"/>
  <c r="BB291" i="46" s="1"/>
  <c r="AU291" i="46"/>
  <c r="CG132" i="46"/>
  <c r="CH132" i="46" s="1"/>
  <c r="CI132" i="46" s="1"/>
  <c r="CD14" i="46"/>
  <c r="CR14" i="46" s="1"/>
  <c r="CK14" i="46"/>
  <c r="S99" i="46"/>
  <c r="AG99" i="46" s="1"/>
  <c r="Z99" i="46"/>
  <c r="AN64" i="46"/>
  <c r="BB64" i="46" s="1"/>
  <c r="AU64" i="46"/>
  <c r="CD171" i="46"/>
  <c r="CR171" i="46" s="1"/>
  <c r="CK171" i="46"/>
  <c r="V293" i="46"/>
  <c r="W293" i="46" s="1"/>
  <c r="X293" i="46" s="1"/>
  <c r="CK115" i="46"/>
  <c r="CD115" i="46"/>
  <c r="CR115" i="46" s="1"/>
  <c r="CD218" i="46"/>
  <c r="CR218" i="46" s="1"/>
  <c r="CK218" i="46"/>
  <c r="E38" i="55"/>
  <c r="F20" i="55" s="1"/>
  <c r="J32" i="55"/>
  <c r="BL122" i="46"/>
  <c r="BM122" i="46" s="1"/>
  <c r="BN122" i="46" s="1"/>
  <c r="CD247" i="46"/>
  <c r="CR247" i="46" s="1"/>
  <c r="CK247" i="46"/>
  <c r="Z245" i="46"/>
  <c r="S245" i="46"/>
  <c r="AG245" i="46" s="1"/>
  <c r="AN128" i="46"/>
  <c r="BB128" i="46" s="1"/>
  <c r="AU128" i="46"/>
  <c r="S226" i="46"/>
  <c r="AG226" i="46" s="1"/>
  <c r="Z226" i="46"/>
  <c r="CK203" i="46"/>
  <c r="CD203" i="46"/>
  <c r="CR203" i="46" s="1"/>
  <c r="AQ137" i="46"/>
  <c r="AR137" i="46" s="1"/>
  <c r="AS137" i="46" s="1"/>
  <c r="AU109" i="46"/>
  <c r="AN109" i="46"/>
  <c r="BB109" i="46" s="1"/>
  <c r="CK78" i="46"/>
  <c r="CD78" i="46"/>
  <c r="CR78" i="46" s="1"/>
  <c r="S258" i="46"/>
  <c r="AG258" i="46" s="1"/>
  <c r="Z258" i="46"/>
  <c r="CD99" i="46"/>
  <c r="CR99" i="46" s="1"/>
  <c r="CK99" i="46"/>
  <c r="BP175" i="46"/>
  <c r="BI175" i="46"/>
  <c r="BW175" i="46" s="1"/>
  <c r="CD343" i="46"/>
  <c r="CR343" i="46" s="1"/>
  <c r="CK343" i="46"/>
  <c r="S117" i="46"/>
  <c r="AG117" i="46" s="1"/>
  <c r="Z117" i="46"/>
  <c r="CK156" i="46"/>
  <c r="CD156" i="46"/>
  <c r="CR156" i="46" s="1"/>
  <c r="Z180" i="46"/>
  <c r="S180" i="46"/>
  <c r="AG180" i="46" s="1"/>
  <c r="BI96" i="46"/>
  <c r="BW96" i="46" s="1"/>
  <c r="BP96" i="46"/>
  <c r="AN284" i="46"/>
  <c r="BB284" i="46" s="1"/>
  <c r="AU284" i="46"/>
  <c r="BP310" i="46"/>
  <c r="BI310" i="46"/>
  <c r="BW310" i="46" s="1"/>
  <c r="Z168" i="46"/>
  <c r="S168" i="46"/>
  <c r="AG168" i="46" s="1"/>
  <c r="AQ187" i="46"/>
  <c r="AR187" i="46" s="1"/>
  <c r="AS187" i="46" s="1"/>
  <c r="S13" i="46"/>
  <c r="Z13" i="46"/>
  <c r="Z303" i="46"/>
  <c r="S303" i="46"/>
  <c r="AG303" i="46" s="1"/>
  <c r="Z270" i="46"/>
  <c r="S270" i="46"/>
  <c r="AG270" i="46" s="1"/>
  <c r="CG58" i="46"/>
  <c r="CH58" i="46" s="1"/>
  <c r="CI58" i="46" s="1"/>
  <c r="AU288" i="46"/>
  <c r="AN288" i="46"/>
  <c r="BB288" i="46" s="1"/>
  <c r="BL269" i="46"/>
  <c r="BM269" i="46" s="1"/>
  <c r="BN269" i="46" s="1"/>
  <c r="S317" i="46"/>
  <c r="AG317" i="46" s="1"/>
  <c r="Z317" i="46"/>
  <c r="CK277" i="46"/>
  <c r="CD277" i="46"/>
  <c r="CR277" i="46" s="1"/>
  <c r="Z115" i="46"/>
  <c r="S115" i="46"/>
  <c r="AG115" i="46" s="1"/>
  <c r="BL17" i="46"/>
  <c r="BM17" i="46" s="1"/>
  <c r="BN17" i="46" s="1"/>
  <c r="Z156" i="46"/>
  <c r="S156" i="46"/>
  <c r="AG156" i="46" s="1"/>
  <c r="AU232" i="46"/>
  <c r="AN232" i="46"/>
  <c r="BB232" i="46" s="1"/>
  <c r="BL181" i="46"/>
  <c r="BM181" i="46" s="1"/>
  <c r="BN181" i="46" s="1"/>
  <c r="S15" i="46"/>
  <c r="AG15" i="46" s="1"/>
  <c r="Z15" i="46"/>
  <c r="S241" i="46"/>
  <c r="AG241" i="46" s="1"/>
  <c r="Z241" i="46"/>
  <c r="CK141" i="46"/>
  <c r="CD141" i="46"/>
  <c r="CR141" i="46" s="1"/>
  <c r="DX54" i="39"/>
  <c r="GM54" i="39" s="1"/>
  <c r="BL347" i="46"/>
  <c r="BM347" i="46" s="1"/>
  <c r="BN347" i="46" s="1"/>
  <c r="BP195" i="46"/>
  <c r="BI195" i="46"/>
  <c r="BW195" i="46" s="1"/>
  <c r="CK70" i="46"/>
  <c r="CD70" i="46"/>
  <c r="CR70" i="46" s="1"/>
  <c r="BR54" i="55"/>
  <c r="GK54" i="55" s="1"/>
  <c r="CD158" i="46"/>
  <c r="CR158" i="46" s="1"/>
  <c r="CK158" i="46"/>
  <c r="BL258" i="46"/>
  <c r="BM258" i="46" s="1"/>
  <c r="BN258" i="46" s="1"/>
  <c r="CG230" i="46"/>
  <c r="CH230" i="46" s="1"/>
  <c r="CI230" i="46" s="1"/>
  <c r="AN135" i="46"/>
  <c r="BB135" i="46" s="1"/>
  <c r="AU135" i="46"/>
  <c r="CK131" i="46"/>
  <c r="CD131" i="46"/>
  <c r="CR131" i="46" s="1"/>
  <c r="BI29" i="46"/>
  <c r="BW29" i="46" s="1"/>
  <c r="BP29" i="46"/>
  <c r="AN83" i="46"/>
  <c r="BB83" i="46" s="1"/>
  <c r="AU83" i="46"/>
  <c r="V217" i="46"/>
  <c r="W217" i="46" s="1"/>
  <c r="X217" i="46" s="1"/>
  <c r="CD231" i="46"/>
  <c r="CR231" i="46" s="1"/>
  <c r="CK231" i="46"/>
  <c r="CK302" i="46"/>
  <c r="CD302" i="46"/>
  <c r="CR302" i="46" s="1"/>
  <c r="AU253" i="46"/>
  <c r="AN253" i="46"/>
  <c r="BB253" i="46" s="1"/>
  <c r="V83" i="46"/>
  <c r="W83" i="46" s="1"/>
  <c r="X83" i="46" s="1"/>
  <c r="AQ26" i="46"/>
  <c r="AR26" i="46" s="1"/>
  <c r="AS26" i="46" s="1"/>
  <c r="BL290" i="46"/>
  <c r="BM290" i="46" s="1"/>
  <c r="BN290" i="46" s="1"/>
  <c r="CD190" i="46"/>
  <c r="CR190" i="46" s="1"/>
  <c r="CK190" i="46"/>
  <c r="CD338" i="46"/>
  <c r="CR338" i="46" s="1"/>
  <c r="CK338" i="46"/>
  <c r="S334" i="46"/>
  <c r="AG334" i="46" s="1"/>
  <c r="Z334" i="46"/>
  <c r="CD331" i="46"/>
  <c r="CR331" i="46" s="1"/>
  <c r="CK331" i="46"/>
  <c r="CG341" i="46"/>
  <c r="CH341" i="46" s="1"/>
  <c r="CI341" i="46" s="1"/>
  <c r="BI248" i="46"/>
  <c r="BW248" i="46" s="1"/>
  <c r="BP248" i="46"/>
  <c r="AN228" i="46"/>
  <c r="BB228" i="46" s="1"/>
  <c r="AU228" i="46"/>
  <c r="Z41" i="46"/>
  <c r="S41" i="46"/>
  <c r="AG41" i="46" s="1"/>
  <c r="CG98" i="46"/>
  <c r="CH98" i="46" s="1"/>
  <c r="CI98" i="46" s="1"/>
  <c r="Z37" i="46"/>
  <c r="S37" i="46"/>
  <c r="AG37" i="46" s="1"/>
  <c r="CD21" i="46"/>
  <c r="CR21" i="46" s="1"/>
  <c r="CK21" i="46"/>
  <c r="Z186" i="46"/>
  <c r="S186" i="46"/>
  <c r="AG186" i="46" s="1"/>
  <c r="Z131" i="46"/>
  <c r="S131" i="46"/>
  <c r="AG131" i="46" s="1"/>
  <c r="Z101" i="46"/>
  <c r="S101" i="46"/>
  <c r="AG101" i="46" s="1"/>
  <c r="AU224" i="46"/>
  <c r="AN224" i="46"/>
  <c r="BB224" i="46" s="1"/>
  <c r="Z240" i="46"/>
  <c r="S240" i="46"/>
  <c r="AG240" i="46" s="1"/>
  <c r="BP170" i="46"/>
  <c r="BI170" i="46"/>
  <c r="BW170" i="46" s="1"/>
  <c r="S176" i="46"/>
  <c r="AG176" i="46" s="1"/>
  <c r="Z176" i="46"/>
  <c r="CD185" i="46"/>
  <c r="CR185" i="46" s="1"/>
  <c r="CK185" i="46"/>
  <c r="Z22" i="46"/>
  <c r="S22" i="46"/>
  <c r="AG22" i="46" s="1"/>
  <c r="S152" i="46"/>
  <c r="AG152" i="46" s="1"/>
  <c r="Z152" i="46"/>
  <c r="V98" i="46"/>
  <c r="W98" i="46" s="1"/>
  <c r="X98" i="46" s="1"/>
  <c r="AN223" i="46"/>
  <c r="BB223" i="46" s="1"/>
  <c r="AU223" i="46"/>
  <c r="Z310" i="46"/>
  <c r="S310" i="46"/>
  <c r="AG310" i="46" s="1"/>
  <c r="CK71" i="46"/>
  <c r="CD71" i="46"/>
  <c r="CR71" i="46" s="1"/>
  <c r="AU28" i="46"/>
  <c r="AN28" i="46"/>
  <c r="BB28" i="46" s="1"/>
  <c r="BL206" i="46"/>
  <c r="BM206" i="46" s="1"/>
  <c r="BN206" i="46" s="1"/>
  <c r="S340" i="46"/>
  <c r="AG340" i="46" s="1"/>
  <c r="Z340" i="46"/>
  <c r="AN293" i="46"/>
  <c r="BB293" i="46" s="1"/>
  <c r="AU293" i="46"/>
  <c r="AU257" i="46"/>
  <c r="AN257" i="46"/>
  <c r="BB257" i="46" s="1"/>
  <c r="CK144" i="46"/>
  <c r="CD144" i="46"/>
  <c r="CR144" i="46" s="1"/>
  <c r="AQ130" i="46"/>
  <c r="AR130" i="46" s="1"/>
  <c r="AS130" i="46" s="1"/>
  <c r="CK323" i="46"/>
  <c r="CD323" i="46"/>
  <c r="CR323" i="46" s="1"/>
  <c r="V125" i="46"/>
  <c r="W125" i="46" s="1"/>
  <c r="X125" i="46" s="1"/>
  <c r="FZ54" i="32"/>
  <c r="BL198" i="46"/>
  <c r="BM198" i="46" s="1"/>
  <c r="BN198" i="46" s="1"/>
  <c r="S342" i="46"/>
  <c r="AG342" i="46" s="1"/>
  <c r="Z342" i="46"/>
  <c r="G47" i="39"/>
  <c r="F21" i="39"/>
  <c r="S97" i="46"/>
  <c r="AG97" i="46" s="1"/>
  <c r="Z97" i="46"/>
  <c r="AN176" i="46"/>
  <c r="BB176" i="46" s="1"/>
  <c r="AU176" i="46"/>
  <c r="AQ289" i="46"/>
  <c r="AR289" i="46" s="1"/>
  <c r="AS289" i="46" s="1"/>
  <c r="CK163" i="46"/>
  <c r="CD163" i="46"/>
  <c r="CR163" i="46" s="1"/>
  <c r="CK281" i="46"/>
  <c r="CD281" i="46"/>
  <c r="CR281" i="46" s="1"/>
  <c r="BL314" i="46"/>
  <c r="BM314" i="46" s="1"/>
  <c r="BN314" i="46" s="1"/>
  <c r="BL222" i="46"/>
  <c r="BM222" i="46" s="1"/>
  <c r="BN222" i="46" s="1"/>
  <c r="BI241" i="46"/>
  <c r="BW241" i="46" s="1"/>
  <c r="BP241" i="46"/>
  <c r="Z57" i="46"/>
  <c r="S57" i="46"/>
  <c r="AG57" i="46" s="1"/>
  <c r="CK111" i="46"/>
  <c r="CD111" i="46"/>
  <c r="CR111" i="46" s="1"/>
  <c r="BL317" i="46"/>
  <c r="BM317" i="46" s="1"/>
  <c r="BN317" i="46" s="1"/>
  <c r="J32" i="37"/>
  <c r="E38" i="37"/>
  <c r="F20" i="37" s="1"/>
  <c r="S327" i="46"/>
  <c r="AG327" i="46" s="1"/>
  <c r="Z327" i="46"/>
  <c r="CG87" i="46"/>
  <c r="CH87" i="46" s="1"/>
  <c r="CI87" i="46" s="1"/>
  <c r="CD268" i="46"/>
  <c r="CR268" i="46" s="1"/>
  <c r="CK268" i="46"/>
  <c r="BL75" i="46"/>
  <c r="BM75" i="46" s="1"/>
  <c r="BN75" i="46" s="1"/>
  <c r="S102" i="46"/>
  <c r="AG102" i="46" s="1"/>
  <c r="Z102" i="46"/>
  <c r="AN80" i="46"/>
  <c r="BB80" i="46" s="1"/>
  <c r="AU80" i="46"/>
  <c r="Z188" i="46"/>
  <c r="S188" i="46"/>
  <c r="AG188" i="46" s="1"/>
  <c r="AN152" i="46"/>
  <c r="BB152" i="46" s="1"/>
  <c r="AU152" i="46"/>
  <c r="Z90" i="46"/>
  <c r="S90" i="46"/>
  <c r="AG90" i="46" s="1"/>
  <c r="AU25" i="46"/>
  <c r="AN25" i="46"/>
  <c r="BB25" i="46" s="1"/>
  <c r="BP58" i="46"/>
  <c r="BI58" i="46"/>
  <c r="BW58" i="46" s="1"/>
  <c r="AN258" i="46"/>
  <c r="BB258" i="46" s="1"/>
  <c r="AU258" i="46"/>
  <c r="CD284" i="46"/>
  <c r="CR284" i="46" s="1"/>
  <c r="CK284" i="46"/>
  <c r="V312" i="46"/>
  <c r="W312" i="46" s="1"/>
  <c r="X312" i="46" s="1"/>
  <c r="CD105" i="46"/>
  <c r="CR105" i="46" s="1"/>
  <c r="CK105" i="46"/>
  <c r="CD232" i="46"/>
  <c r="CR232" i="46" s="1"/>
  <c r="CK232" i="46"/>
  <c r="CK35" i="46"/>
  <c r="CD35" i="46"/>
  <c r="CR35" i="46" s="1"/>
  <c r="CD288" i="46"/>
  <c r="CR288" i="46" s="1"/>
  <c r="CK288" i="46"/>
  <c r="BL87" i="46"/>
  <c r="BM87" i="46" s="1"/>
  <c r="BN87" i="46" s="1"/>
  <c r="AN61" i="46"/>
  <c r="BB61" i="46" s="1"/>
  <c r="AU61" i="46"/>
  <c r="AU260" i="46"/>
  <c r="AN260" i="46"/>
  <c r="BB260" i="46" s="1"/>
  <c r="Z318" i="46"/>
  <c r="S318" i="46"/>
  <c r="AG318" i="46" s="1"/>
  <c r="CG290" i="46"/>
  <c r="CH290" i="46" s="1"/>
  <c r="CI290" i="46" s="1"/>
  <c r="BI109" i="46"/>
  <c r="BW109" i="46" s="1"/>
  <c r="BP109" i="46"/>
  <c r="CK210" i="46"/>
  <c r="CD210" i="46"/>
  <c r="CR210" i="46" s="1"/>
  <c r="BI85" i="46"/>
  <c r="BW85" i="46" s="1"/>
  <c r="BP85" i="46"/>
  <c r="AQ81" i="46"/>
  <c r="AR81" i="46" s="1"/>
  <c r="AS81" i="46" s="1"/>
  <c r="CD238" i="46"/>
  <c r="CR238" i="46" s="1"/>
  <c r="CK238" i="46"/>
  <c r="AU103" i="46"/>
  <c r="AN103" i="46"/>
  <c r="BB103" i="46" s="1"/>
  <c r="S74" i="46"/>
  <c r="AG74" i="46" s="1"/>
  <c r="Z74" i="46"/>
  <c r="S167" i="46"/>
  <c r="AG167" i="46" s="1"/>
  <c r="Z167" i="46"/>
  <c r="AU249" i="46"/>
  <c r="AN249" i="46"/>
  <c r="BB249" i="46" s="1"/>
  <c r="AU14" i="46"/>
  <c r="AN14" i="46"/>
  <c r="BB14" i="46" s="1"/>
  <c r="AU283" i="46"/>
  <c r="AN283" i="46"/>
  <c r="BB283" i="46" s="1"/>
  <c r="S246" i="46"/>
  <c r="AG246" i="46" s="1"/>
  <c r="Z246" i="46"/>
  <c r="AN127" i="46"/>
  <c r="BB127" i="46" s="1"/>
  <c r="AU127" i="46"/>
  <c r="CG55" i="46"/>
  <c r="CH55" i="46" s="1"/>
  <c r="CI55" i="46" s="1"/>
  <c r="CK324" i="46"/>
  <c r="CD324" i="46"/>
  <c r="CR324" i="46" s="1"/>
  <c r="CG251" i="46"/>
  <c r="CH251" i="46" s="1"/>
  <c r="CI251" i="46" s="1"/>
  <c r="CD198" i="46"/>
  <c r="CR198" i="46" s="1"/>
  <c r="CK198" i="46"/>
  <c r="CK161" i="46"/>
  <c r="CD161" i="46"/>
  <c r="CR161" i="46" s="1"/>
  <c r="AU163" i="46"/>
  <c r="AN163" i="46"/>
  <c r="BB163" i="46" s="1"/>
  <c r="AU264" i="46"/>
  <c r="AN264" i="46"/>
  <c r="BB264" i="46" s="1"/>
  <c r="BI276" i="46"/>
  <c r="BW276" i="46" s="1"/>
  <c r="BP276" i="46"/>
  <c r="AN172" i="46"/>
  <c r="BB172" i="46" s="1"/>
  <c r="AU172" i="46"/>
  <c r="AQ74" i="46"/>
  <c r="AR74" i="46" s="1"/>
  <c r="AS74" i="46" s="1"/>
  <c r="CK195" i="46"/>
  <c r="CD195" i="46"/>
  <c r="CR195" i="46" s="1"/>
  <c r="BL67" i="46"/>
  <c r="BM67" i="46" s="1"/>
  <c r="BN67" i="46" s="1"/>
  <c r="CD241" i="46"/>
  <c r="CR241" i="46" s="1"/>
  <c r="CK241" i="46"/>
  <c r="CD307" i="46"/>
  <c r="CR307" i="46" s="1"/>
  <c r="CK307" i="46"/>
  <c r="V171" i="46"/>
  <c r="W171" i="46" s="1"/>
  <c r="X171" i="46" s="1"/>
  <c r="CD85" i="46"/>
  <c r="CR85" i="46" s="1"/>
  <c r="CK85" i="46"/>
  <c r="AN214" i="46"/>
  <c r="BB214" i="46" s="1"/>
  <c r="AU214" i="46"/>
  <c r="S110" i="46"/>
  <c r="AG110" i="46" s="1"/>
  <c r="Z110" i="46"/>
  <c r="CK183" i="46"/>
  <c r="CD183" i="46"/>
  <c r="CR183" i="46" s="1"/>
  <c r="AN205" i="46"/>
  <c r="BB205" i="46" s="1"/>
  <c r="AU205" i="46"/>
  <c r="CD342" i="46"/>
  <c r="CR342" i="46" s="1"/>
  <c r="CK342" i="46"/>
  <c r="CD126" i="46"/>
  <c r="CR126" i="46" s="1"/>
  <c r="CK126" i="46"/>
  <c r="BL274" i="46"/>
  <c r="BM274" i="46" s="1"/>
  <c r="BN274" i="46" s="1"/>
  <c r="CK109" i="46"/>
  <c r="CD109" i="46"/>
  <c r="CR109" i="46" s="1"/>
  <c r="S220" i="46"/>
  <c r="AG220" i="46" s="1"/>
  <c r="Z220" i="46"/>
  <c r="AQ207" i="46"/>
  <c r="AR207" i="46" s="1"/>
  <c r="AS207" i="46" s="1"/>
  <c r="BL139" i="46"/>
  <c r="BM139" i="46" s="1"/>
  <c r="BN139" i="46" s="1"/>
  <c r="AN133" i="46"/>
  <c r="BB133" i="46" s="1"/>
  <c r="AU133" i="46"/>
  <c r="BI213" i="46"/>
  <c r="BW213" i="46" s="1"/>
  <c r="BP213" i="46"/>
  <c r="AU272" i="46"/>
  <c r="AN272" i="46"/>
  <c r="BB272" i="46" s="1"/>
  <c r="E38" i="39"/>
  <c r="F20" i="39" s="1"/>
  <c r="J32" i="39"/>
  <c r="BI93" i="46"/>
  <c r="BW93" i="46" s="1"/>
  <c r="BP93" i="46"/>
  <c r="AN121" i="46"/>
  <c r="BB121" i="46" s="1"/>
  <c r="AU121" i="46"/>
  <c r="GA54" i="37"/>
  <c r="GD54" i="37" s="1"/>
  <c r="BI61" i="46"/>
  <c r="BW61" i="46" s="1"/>
  <c r="BP61" i="46"/>
  <c r="AN99" i="46"/>
  <c r="BB99" i="46" s="1"/>
  <c r="AU99" i="46"/>
  <c r="BL174" i="46"/>
  <c r="BM174" i="46" s="1"/>
  <c r="BN174" i="46" s="1"/>
  <c r="CD286" i="46"/>
  <c r="CR286" i="46" s="1"/>
  <c r="CK286" i="46"/>
  <c r="BL279" i="46"/>
  <c r="BM279" i="46" s="1"/>
  <c r="BN279" i="46" s="1"/>
  <c r="AN29" i="46"/>
  <c r="BB29" i="46" s="1"/>
  <c r="AU29" i="46"/>
  <c r="AQ300" i="46"/>
  <c r="AR300" i="46" s="1"/>
  <c r="AS300" i="46" s="1"/>
  <c r="CD275" i="46"/>
  <c r="CR275" i="46" s="1"/>
  <c r="CK275" i="46"/>
  <c r="S123" i="46"/>
  <c r="AG123" i="46" s="1"/>
  <c r="Z123" i="46"/>
  <c r="Z209" i="46"/>
  <c r="S209" i="46"/>
  <c r="AG209" i="46" s="1"/>
  <c r="BI82" i="46"/>
  <c r="BW82" i="46" s="1"/>
  <c r="BP82" i="46"/>
  <c r="V191" i="46"/>
  <c r="W191" i="46" s="1"/>
  <c r="X191" i="46" s="1"/>
  <c r="AN169" i="46"/>
  <c r="BB169" i="46" s="1"/>
  <c r="AU169" i="46"/>
  <c r="BL194" i="46"/>
  <c r="BM194" i="46" s="1"/>
  <c r="BN194" i="46" s="1"/>
  <c r="S328" i="46"/>
  <c r="AG328" i="46" s="1"/>
  <c r="Z328" i="46"/>
  <c r="CK202" i="46"/>
  <c r="CD202" i="46"/>
  <c r="CR202" i="46" s="1"/>
  <c r="Z136" i="46"/>
  <c r="S136" i="46"/>
  <c r="AG136" i="46" s="1"/>
  <c r="S116" i="46"/>
  <c r="AG116" i="46" s="1"/>
  <c r="Z116" i="46"/>
  <c r="CD184" i="46"/>
  <c r="CR184" i="46" s="1"/>
  <c r="CK184" i="46"/>
  <c r="BI291" i="46"/>
  <c r="BW291" i="46" s="1"/>
  <c r="BP291" i="46"/>
  <c r="AU39" i="46"/>
  <c r="AN39" i="46"/>
  <c r="BB39" i="46" s="1"/>
  <c r="CD19" i="46"/>
  <c r="CR19" i="46" s="1"/>
  <c r="CK19" i="46"/>
  <c r="CK175" i="46"/>
  <c r="CD175" i="46"/>
  <c r="CR175" i="46" s="1"/>
  <c r="BL101" i="46"/>
  <c r="BM101" i="46" s="1"/>
  <c r="BN101" i="46" s="1"/>
  <c r="AN181" i="46"/>
  <c r="BB181" i="46" s="1"/>
  <c r="AU181" i="46"/>
  <c r="S77" i="46"/>
  <c r="AG77" i="46" s="1"/>
  <c r="Z77" i="46"/>
  <c r="AU219" i="46"/>
  <c r="AN219" i="46"/>
  <c r="BB219" i="46" s="1"/>
  <c r="CK23" i="46"/>
  <c r="CD23" i="46"/>
  <c r="CR23" i="46" s="1"/>
  <c r="CD128" i="46"/>
  <c r="CR128" i="46" s="1"/>
  <c r="CK128" i="46"/>
  <c r="CK186" i="46"/>
  <c r="CD186" i="46"/>
  <c r="CR186" i="46" s="1"/>
  <c r="BI35" i="46"/>
  <c r="BW35" i="46" s="1"/>
  <c r="BP35" i="46"/>
  <c r="Z105" i="46"/>
  <c r="S105" i="46"/>
  <c r="AG105" i="46" s="1"/>
  <c r="AU18" i="46"/>
  <c r="AN18" i="46"/>
  <c r="BB18" i="46" s="1"/>
  <c r="AN278" i="46"/>
  <c r="BB278" i="46" s="1"/>
  <c r="AU278" i="46"/>
  <c r="Z243" i="46"/>
  <c r="S243" i="46"/>
  <c r="AG243" i="46" s="1"/>
  <c r="CD133" i="46"/>
  <c r="CR133" i="46" s="1"/>
  <c r="CK133" i="46"/>
  <c r="BL32" i="46"/>
  <c r="BM32" i="46" s="1"/>
  <c r="BN32" i="46" s="1"/>
  <c r="AN162" i="46"/>
  <c r="BB162" i="46" s="1"/>
  <c r="AU162" i="46"/>
  <c r="CK130" i="46"/>
  <c r="CD130" i="46"/>
  <c r="CR130" i="46" s="1"/>
  <c r="CK316" i="46"/>
  <c r="CD316" i="46"/>
  <c r="CR316" i="46" s="1"/>
  <c r="AU21" i="46"/>
  <c r="AN21" i="46"/>
  <c r="BB21" i="46" s="1"/>
  <c r="BL30" i="46"/>
  <c r="BM30" i="46" s="1"/>
  <c r="BN30" i="46" s="1"/>
  <c r="CK260" i="46"/>
  <c r="CD260" i="46"/>
  <c r="CR260" i="46" s="1"/>
  <c r="Z290" i="46"/>
  <c r="S290" i="46"/>
  <c r="AG290" i="46" s="1"/>
  <c r="AN57" i="46"/>
  <c r="BB57" i="46" s="1"/>
  <c r="AU57" i="46"/>
  <c r="BL303" i="46"/>
  <c r="BM303" i="46" s="1"/>
  <c r="BN303" i="46" s="1"/>
  <c r="AU180" i="46"/>
  <c r="AN180" i="46"/>
  <c r="BB180" i="46" s="1"/>
  <c r="AU59" i="46"/>
  <c r="AN59" i="46"/>
  <c r="BB59" i="46" s="1"/>
  <c r="BI223" i="46"/>
  <c r="BW223" i="46" s="1"/>
  <c r="BP223" i="46"/>
  <c r="BL228" i="46"/>
  <c r="BM228" i="46" s="1"/>
  <c r="BN228" i="46" s="1"/>
  <c r="AN167" i="46"/>
  <c r="BB167" i="46" s="1"/>
  <c r="AU167" i="46"/>
  <c r="CD233" i="46"/>
  <c r="CR233" i="46" s="1"/>
  <c r="CK233" i="46"/>
  <c r="BL14" i="46"/>
  <c r="BM14" i="46" s="1"/>
  <c r="BN14" i="46" s="1"/>
  <c r="BL59" i="46"/>
  <c r="BM59" i="46" s="1"/>
  <c r="BN59" i="46" s="1"/>
  <c r="BI166" i="46"/>
  <c r="BW166" i="46" s="1"/>
  <c r="BP166" i="46"/>
  <c r="Z89" i="46"/>
  <c r="S89" i="46"/>
  <c r="AG89" i="46" s="1"/>
  <c r="S287" i="46"/>
  <c r="AG287" i="46" s="1"/>
  <c r="Z287" i="46"/>
  <c r="S23" i="46"/>
  <c r="AG23" i="46" s="1"/>
  <c r="Z23" i="46"/>
  <c r="Z31" i="46"/>
  <c r="S31" i="46"/>
  <c r="AG31" i="46" s="1"/>
  <c r="CG57" i="46"/>
  <c r="CH57" i="46" s="1"/>
  <c r="CI57" i="46" s="1"/>
  <c r="BL295" i="46"/>
  <c r="BM295" i="46" s="1"/>
  <c r="BN295" i="46" s="1"/>
  <c r="BL264" i="46"/>
  <c r="BM264" i="46" s="1"/>
  <c r="BN264" i="46" s="1"/>
  <c r="CD200" i="46"/>
  <c r="CR200" i="46" s="1"/>
  <c r="CK200" i="46"/>
  <c r="CD234" i="46"/>
  <c r="CR234" i="46" s="1"/>
  <c r="CK234" i="46"/>
  <c r="CK207" i="46"/>
  <c r="CD207" i="46"/>
  <c r="CR207" i="46" s="1"/>
  <c r="Z139" i="46"/>
  <c r="S139" i="46"/>
  <c r="AG139" i="46" s="1"/>
  <c r="BL334" i="46"/>
  <c r="BM334" i="46" s="1"/>
  <c r="BN334" i="46" s="1"/>
  <c r="BL144" i="46"/>
  <c r="BM144" i="46" s="1"/>
  <c r="BN144" i="46" s="1"/>
  <c r="BL333" i="46"/>
  <c r="BM333" i="46" s="1"/>
  <c r="BN333" i="46" s="1"/>
  <c r="Z308" i="46"/>
  <c r="S308" i="46"/>
  <c r="AG308" i="46" s="1"/>
  <c r="AN72" i="46"/>
  <c r="BB72" i="46" s="1"/>
  <c r="AU72" i="46"/>
  <c r="BP210" i="46"/>
  <c r="BI210" i="46"/>
  <c r="BW210" i="46" s="1"/>
  <c r="BL38" i="46"/>
  <c r="BM38" i="46" s="1"/>
  <c r="BN38" i="46" s="1"/>
  <c r="BP209" i="46"/>
  <c r="BI209" i="46"/>
  <c r="BW209" i="46" s="1"/>
  <c r="Z197" i="46"/>
  <c r="S197" i="46"/>
  <c r="AG197" i="46" s="1"/>
  <c r="CK38" i="46"/>
  <c r="CD38" i="46"/>
  <c r="CR38" i="46" s="1"/>
  <c r="BP24" i="46"/>
  <c r="BI24" i="46"/>
  <c r="BW24" i="46" s="1"/>
  <c r="Z24" i="46"/>
  <c r="S24" i="46"/>
  <c r="AG24" i="46" s="1"/>
  <c r="BP324" i="46"/>
  <c r="BI324" i="46"/>
  <c r="BW324" i="46" s="1"/>
  <c r="CD319" i="46"/>
  <c r="CR319" i="46" s="1"/>
  <c r="CK319" i="46"/>
  <c r="CD325" i="46"/>
  <c r="CR325" i="46" s="1"/>
  <c r="CK325" i="46"/>
  <c r="CK90" i="46"/>
  <c r="CD90" i="46"/>
  <c r="CR90" i="46" s="1"/>
  <c r="AN281" i="46"/>
  <c r="BB281" i="46" s="1"/>
  <c r="AU281" i="46"/>
  <c r="S254" i="46"/>
  <c r="AG254" i="46" s="1"/>
  <c r="Z254" i="46"/>
  <c r="AQ185" i="46"/>
  <c r="AR185" i="46" s="1"/>
  <c r="AS185" i="46" s="1"/>
  <c r="CK236" i="46"/>
  <c r="CD236" i="46"/>
  <c r="CR236" i="46" s="1"/>
  <c r="BL18" i="46"/>
  <c r="BM18" i="46" s="1"/>
  <c r="BN18" i="46" s="1"/>
  <c r="AN150" i="46"/>
  <c r="BB150" i="46" s="1"/>
  <c r="AU150" i="46"/>
  <c r="Z272" i="46"/>
  <c r="S272" i="46"/>
  <c r="AG272" i="46" s="1"/>
  <c r="AU321" i="46"/>
  <c r="AN321" i="46"/>
  <c r="BB321" i="46" s="1"/>
  <c r="CG116" i="46"/>
  <c r="CH116" i="46" s="1"/>
  <c r="CI116" i="46" s="1"/>
  <c r="Z326" i="46"/>
  <c r="S326" i="46"/>
  <c r="AG326" i="46" s="1"/>
  <c r="S336" i="46"/>
  <c r="AG336" i="46" s="1"/>
  <c r="Z336" i="46"/>
  <c r="AU323" i="46"/>
  <c r="AN323" i="46"/>
  <c r="BB323" i="46" s="1"/>
  <c r="AU189" i="46"/>
  <c r="AN189" i="46"/>
  <c r="BB189" i="46" s="1"/>
  <c r="AU183" i="46"/>
  <c r="AN183" i="46"/>
  <c r="BB183" i="46" s="1"/>
  <c r="S177" i="46"/>
  <c r="AG177" i="46" s="1"/>
  <c r="Z177" i="46"/>
  <c r="CK20" i="46"/>
  <c r="CD20" i="46"/>
  <c r="CR20" i="46" s="1"/>
  <c r="CK315" i="46"/>
  <c r="CD315" i="46"/>
  <c r="CR315" i="46" s="1"/>
  <c r="S173" i="46"/>
  <c r="AG173" i="46" s="1"/>
  <c r="Z173" i="46"/>
  <c r="S313" i="46"/>
  <c r="AG313" i="46" s="1"/>
  <c r="Z313" i="46"/>
  <c r="BL34" i="46"/>
  <c r="BM34" i="46" s="1"/>
  <c r="BN34" i="46" s="1"/>
  <c r="S108" i="46"/>
  <c r="AG108" i="46" s="1"/>
  <c r="Z108" i="46"/>
  <c r="BL71" i="46"/>
  <c r="BM71" i="46" s="1"/>
  <c r="BN71" i="46" s="1"/>
  <c r="CK189" i="46"/>
  <c r="CD189" i="46"/>
  <c r="CR189" i="46" s="1"/>
  <c r="CD264" i="46"/>
  <c r="CR264" i="46" s="1"/>
  <c r="CK264" i="46"/>
  <c r="CK257" i="46"/>
  <c r="CD257" i="46"/>
  <c r="CR257" i="46" s="1"/>
  <c r="BP88" i="46"/>
  <c r="BI88" i="46"/>
  <c r="BW88" i="46" s="1"/>
  <c r="CK235" i="46"/>
  <c r="CD235" i="46"/>
  <c r="CR235" i="46" s="1"/>
  <c r="AU329" i="46"/>
  <c r="AN329" i="46"/>
  <c r="BB329" i="46" s="1"/>
  <c r="V128" i="46"/>
  <c r="W128" i="46" s="1"/>
  <c r="X128" i="46" s="1"/>
  <c r="AQ290" i="46"/>
  <c r="AR290" i="46" s="1"/>
  <c r="AS290" i="46" s="1"/>
  <c r="BL107" i="46"/>
  <c r="BM107" i="46" s="1"/>
  <c r="BN107" i="46" s="1"/>
  <c r="BL344" i="46"/>
  <c r="BM344" i="46" s="1"/>
  <c r="BN344" i="46" s="1"/>
  <c r="BP138" i="46"/>
  <c r="BI138" i="46"/>
  <c r="BW138" i="46" s="1"/>
  <c r="Z53" i="46"/>
  <c r="S53" i="46"/>
  <c r="AG53" i="46" s="1"/>
  <c r="BP315" i="46"/>
  <c r="BI315" i="46"/>
  <c r="BW315" i="46" s="1"/>
  <c r="Z341" i="46"/>
  <c r="S341" i="46"/>
  <c r="AG341" i="46" s="1"/>
  <c r="Z201" i="46"/>
  <c r="S201" i="46"/>
  <c r="AG201" i="46" s="1"/>
  <c r="AQ77" i="46"/>
  <c r="AR77" i="46" s="1"/>
  <c r="AS77" i="46" s="1"/>
  <c r="BL22" i="46"/>
  <c r="BM22" i="46" s="1"/>
  <c r="BN22" i="46" s="1"/>
  <c r="AQ310" i="46"/>
  <c r="AR310" i="46" s="1"/>
  <c r="AS310" i="46" s="1"/>
  <c r="S187" i="46"/>
  <c r="AG187" i="46" s="1"/>
  <c r="Z187" i="46"/>
  <c r="CD346" i="46"/>
  <c r="CR346" i="46" s="1"/>
  <c r="CK346" i="46"/>
  <c r="V230" i="46"/>
  <c r="W230" i="46" s="1"/>
  <c r="X230" i="46" s="1"/>
  <c r="AN132" i="46"/>
  <c r="BB132" i="46" s="1"/>
  <c r="AU132" i="46"/>
  <c r="CD225" i="46"/>
  <c r="CR225" i="46" s="1"/>
  <c r="CK225" i="46"/>
  <c r="CD96" i="46"/>
  <c r="CR96" i="46" s="1"/>
  <c r="CK96" i="46"/>
  <c r="CG13" i="46"/>
  <c r="CH13" i="46" s="1"/>
  <c r="CI13" i="46" s="1"/>
  <c r="AN239" i="46"/>
  <c r="BB239" i="46" s="1"/>
  <c r="AU239" i="46"/>
  <c r="BI184" i="46"/>
  <c r="BW184" i="46" s="1"/>
  <c r="BP184" i="46"/>
  <c r="S165" i="46"/>
  <c r="AG165" i="46" s="1"/>
  <c r="Z165" i="46"/>
  <c r="BL171" i="46"/>
  <c r="BM171" i="46" s="1"/>
  <c r="BN171" i="46" s="1"/>
  <c r="CK221" i="46"/>
  <c r="CD221" i="46"/>
  <c r="CR221" i="46" s="1"/>
  <c r="BL40" i="46"/>
  <c r="BM40" i="46" s="1"/>
  <c r="BN40" i="46" s="1"/>
  <c r="S208" i="46"/>
  <c r="AG208" i="46" s="1"/>
  <c r="Z208" i="46"/>
  <c r="CD212" i="46"/>
  <c r="CR212" i="46" s="1"/>
  <c r="CK212" i="46"/>
  <c r="Z261" i="46"/>
  <c r="S261" i="46"/>
  <c r="AG261" i="46" s="1"/>
  <c r="Z295" i="46"/>
  <c r="S295" i="46"/>
  <c r="AG295" i="46" s="1"/>
  <c r="CK146" i="46"/>
  <c r="CD146" i="46"/>
  <c r="CR146" i="46" s="1"/>
  <c r="CD100" i="46"/>
  <c r="CR100" i="46" s="1"/>
  <c r="CK100" i="46"/>
  <c r="CD335" i="46"/>
  <c r="CR335" i="46" s="1"/>
  <c r="CK335" i="46"/>
  <c r="CK34" i="46"/>
  <c r="CD34" i="46"/>
  <c r="CR34" i="46" s="1"/>
  <c r="AQ60" i="46"/>
  <c r="AR60" i="46" s="1"/>
  <c r="AS60" i="46" s="1"/>
  <c r="CG214" i="46"/>
  <c r="CH214" i="46" s="1"/>
  <c r="CI214" i="46" s="1"/>
  <c r="CK164" i="46"/>
  <c r="CD164" i="46"/>
  <c r="CR164" i="46" s="1"/>
  <c r="AU114" i="46"/>
  <c r="AN114" i="46"/>
  <c r="BB114" i="46" s="1"/>
  <c r="AQ184" i="46"/>
  <c r="AR184" i="46" s="1"/>
  <c r="AS184" i="46" s="1"/>
  <c r="Z215" i="46"/>
  <c r="S215" i="46"/>
  <c r="AG215" i="46" s="1"/>
  <c r="S127" i="46"/>
  <c r="AG127" i="46" s="1"/>
  <c r="Z127" i="46"/>
  <c r="BL192" i="46"/>
  <c r="BM192" i="46" s="1"/>
  <c r="BN192" i="46" s="1"/>
  <c r="CD39" i="46"/>
  <c r="CR39" i="46" s="1"/>
  <c r="CK39" i="46"/>
  <c r="AU82" i="46"/>
  <c r="AN82" i="46"/>
  <c r="BB82" i="46" s="1"/>
  <c r="AU62" i="46"/>
  <c r="AN62" i="46"/>
  <c r="BB62" i="46" s="1"/>
  <c r="Z17" i="46"/>
  <c r="S17" i="46"/>
  <c r="AG17" i="46" s="1"/>
  <c r="BL49" i="46"/>
  <c r="BM49" i="46" s="1"/>
  <c r="BN49" i="46" s="1"/>
  <c r="Z161" i="46"/>
  <c r="S161" i="46"/>
  <c r="AG161" i="46" s="1"/>
  <c r="BL148" i="46"/>
  <c r="BM148" i="46" s="1"/>
  <c r="BN148" i="46" s="1"/>
  <c r="BL180" i="46"/>
  <c r="BM180" i="46" s="1"/>
  <c r="BN180" i="46" s="1"/>
  <c r="CK83" i="46"/>
  <c r="CD83" i="46"/>
  <c r="CR83" i="46" s="1"/>
  <c r="CK22" i="46"/>
  <c r="CD22" i="46"/>
  <c r="CR22" i="46" s="1"/>
  <c r="Z346" i="46"/>
  <c r="S346" i="46"/>
  <c r="AG346" i="46" s="1"/>
  <c r="CG65" i="46"/>
  <c r="CH65" i="46" s="1"/>
  <c r="CI65" i="46" s="1"/>
  <c r="S106" i="46"/>
  <c r="AG106" i="46" s="1"/>
  <c r="Z106" i="46"/>
  <c r="CK75" i="46"/>
  <c r="CD75" i="46"/>
  <c r="CR75" i="46" s="1"/>
  <c r="Z260" i="46"/>
  <c r="S260" i="46"/>
  <c r="AG260" i="46" s="1"/>
  <c r="BL114" i="46"/>
  <c r="BM114" i="46" s="1"/>
  <c r="BN114" i="46" s="1"/>
  <c r="CK256" i="46"/>
  <c r="CD256" i="46"/>
  <c r="CR256" i="46" s="1"/>
  <c r="Z323" i="46"/>
  <c r="S323" i="46"/>
  <c r="AG323" i="46" s="1"/>
  <c r="BL255" i="46"/>
  <c r="BM255" i="46" s="1"/>
  <c r="BN255" i="46" s="1"/>
  <c r="Z40" i="46"/>
  <c r="S40" i="46"/>
  <c r="AG40" i="46" s="1"/>
  <c r="CD209" i="46"/>
  <c r="CR209" i="46" s="1"/>
  <c r="CK209" i="46"/>
  <c r="BL57" i="46"/>
  <c r="BM57" i="46" s="1"/>
  <c r="BN57" i="46" s="1"/>
  <c r="Z141" i="46"/>
  <c r="S141" i="46"/>
  <c r="AG141" i="46" s="1"/>
  <c r="Z277" i="46"/>
  <c r="S277" i="46"/>
  <c r="AG277" i="46" s="1"/>
  <c r="CK74" i="46"/>
  <c r="CD74" i="46"/>
  <c r="CR74" i="46" s="1"/>
  <c r="S64" i="46"/>
  <c r="AG64" i="46" s="1"/>
  <c r="Z64" i="46"/>
  <c r="CK56" i="46"/>
  <c r="CD56" i="46"/>
  <c r="CR56" i="46" s="1"/>
  <c r="BP345" i="46"/>
  <c r="BI345" i="46"/>
  <c r="BW345" i="46" s="1"/>
  <c r="CK106" i="46"/>
  <c r="CD106" i="46"/>
  <c r="CR106" i="46" s="1"/>
  <c r="BI342" i="46"/>
  <c r="BW342" i="46" s="1"/>
  <c r="BP342" i="46"/>
  <c r="BI257" i="46"/>
  <c r="BW257" i="46" s="1"/>
  <c r="BP257" i="46"/>
  <c r="CK262" i="46"/>
  <c r="CD262" i="46"/>
  <c r="CR262" i="46" s="1"/>
  <c r="Z47" i="46"/>
  <c r="S47" i="46"/>
  <c r="AG47" i="46" s="1"/>
  <c r="AN193" i="46"/>
  <c r="BB193" i="46" s="1"/>
  <c r="AU193" i="46"/>
  <c r="BL131" i="46"/>
  <c r="BM131" i="46" s="1"/>
  <c r="BN131" i="46" s="1"/>
  <c r="AU230" i="46"/>
  <c r="AN230" i="46"/>
  <c r="BB230" i="46" s="1"/>
  <c r="CD334" i="46"/>
  <c r="CR334" i="46" s="1"/>
  <c r="CK334" i="46"/>
  <c r="BL267" i="46"/>
  <c r="BM267" i="46" s="1"/>
  <c r="BN267" i="46" s="1"/>
  <c r="AU92" i="46"/>
  <c r="AN92" i="46"/>
  <c r="BB92" i="46" s="1"/>
  <c r="AN30" i="46"/>
  <c r="BB30" i="46" s="1"/>
  <c r="AU30" i="46"/>
  <c r="AU343" i="46"/>
  <c r="AN343" i="46"/>
  <c r="BB343" i="46" s="1"/>
  <c r="CK119" i="46"/>
  <c r="CD119" i="46"/>
  <c r="CR119" i="46" s="1"/>
  <c r="S316" i="46"/>
  <c r="AG316" i="46" s="1"/>
  <c r="Z316" i="46"/>
  <c r="BI91" i="46"/>
  <c r="BW91" i="46" s="1"/>
  <c r="BP91" i="46"/>
  <c r="S81" i="46"/>
  <c r="AG81" i="46" s="1"/>
  <c r="Z81" i="46"/>
  <c r="BI300" i="46"/>
  <c r="BW300" i="46" s="1"/>
  <c r="BP300" i="46"/>
  <c r="CK292" i="46"/>
  <c r="CD292" i="46"/>
  <c r="CR292" i="46" s="1"/>
  <c r="CK280" i="46"/>
  <c r="CD280" i="46"/>
  <c r="CR280" i="46" s="1"/>
  <c r="BI182" i="46"/>
  <c r="BW182" i="46" s="1"/>
  <c r="BP182" i="46"/>
  <c r="CD263" i="46"/>
  <c r="CR263" i="46" s="1"/>
  <c r="CK263" i="46"/>
  <c r="AU335" i="46"/>
  <c r="AN335" i="46"/>
  <c r="BB335" i="46" s="1"/>
  <c r="Z284" i="46"/>
  <c r="S284" i="46"/>
  <c r="AG284" i="46" s="1"/>
  <c r="AN292" i="46"/>
  <c r="BB292" i="46" s="1"/>
  <c r="AU292" i="46"/>
  <c r="Z244" i="46"/>
  <c r="S244" i="46"/>
  <c r="AG244" i="46" s="1"/>
  <c r="Z35" i="46"/>
  <c r="S35" i="46"/>
  <c r="AG35" i="46" s="1"/>
  <c r="BI234" i="46"/>
  <c r="BW234" i="46" s="1"/>
  <c r="BP234" i="46"/>
  <c r="S335" i="46"/>
  <c r="AG335" i="46" s="1"/>
  <c r="Z335" i="46"/>
  <c r="BL16" i="46"/>
  <c r="BM16" i="46" s="1"/>
  <c r="BN16" i="46" s="1"/>
  <c r="AU342" i="46"/>
  <c r="AN342" i="46"/>
  <c r="BB342" i="46" s="1"/>
  <c r="Z239" i="46"/>
  <c r="S239" i="46"/>
  <c r="AG239" i="46" s="1"/>
  <c r="AN274" i="46"/>
  <c r="BB274" i="46" s="1"/>
  <c r="AU274" i="46"/>
  <c r="CK215" i="46"/>
  <c r="CD215" i="46"/>
  <c r="CR215" i="46" s="1"/>
  <c r="BP322" i="46"/>
  <c r="BI322" i="46"/>
  <c r="BW322" i="46" s="1"/>
  <c r="CK191" i="46"/>
  <c r="CD191" i="46"/>
  <c r="CR191" i="46" s="1"/>
  <c r="AU301" i="46"/>
  <c r="AN301" i="46"/>
  <c r="BB301" i="46" s="1"/>
  <c r="BL331" i="46"/>
  <c r="BM331" i="46" s="1"/>
  <c r="BN331" i="46" s="1"/>
  <c r="BP237" i="46"/>
  <c r="BI237" i="46"/>
  <c r="BW237" i="46" s="1"/>
  <c r="CD321" i="46"/>
  <c r="CR321" i="46" s="1"/>
  <c r="CK321" i="46"/>
  <c r="AU161" i="46"/>
  <c r="AN161" i="46"/>
  <c r="BB161" i="46" s="1"/>
  <c r="Z347" i="46"/>
  <c r="S347" i="46"/>
  <c r="AG347" i="46" s="1"/>
  <c r="CG138" i="46"/>
  <c r="CH138" i="46" s="1"/>
  <c r="CI138" i="46" s="1"/>
  <c r="CK305" i="46"/>
  <c r="CD305" i="46"/>
  <c r="CR305" i="46" s="1"/>
  <c r="AN171" i="46"/>
  <c r="BB171" i="46" s="1"/>
  <c r="AU171" i="46"/>
  <c r="AU196" i="46"/>
  <c r="AN196" i="46"/>
  <c r="BB196" i="46" s="1"/>
  <c r="CK245" i="46"/>
  <c r="CD245" i="46"/>
  <c r="CR245" i="46" s="1"/>
  <c r="CD86" i="46"/>
  <c r="CR86" i="46" s="1"/>
  <c r="CK86" i="46"/>
  <c r="BL326" i="46"/>
  <c r="BM326" i="46" s="1"/>
  <c r="BN326" i="46" s="1"/>
  <c r="FZ54" i="55"/>
  <c r="GD54" i="55" s="1"/>
  <c r="CD160" i="46"/>
  <c r="CR160" i="46" s="1"/>
  <c r="CK160" i="46"/>
  <c r="S235" i="46"/>
  <c r="AG235" i="46" s="1"/>
  <c r="Z235" i="46"/>
  <c r="AQ20" i="46"/>
  <c r="AR20" i="46" s="1"/>
  <c r="AS20" i="46" s="1"/>
  <c r="AU279" i="46"/>
  <c r="AN279" i="46"/>
  <c r="BB279" i="46" s="1"/>
  <c r="AN27" i="46"/>
  <c r="BB27" i="46" s="1"/>
  <c r="AU27" i="46"/>
  <c r="BI242" i="46"/>
  <c r="BW242" i="46" s="1"/>
  <c r="BP242" i="46"/>
  <c r="BL55" i="46"/>
  <c r="BM55" i="46" s="1"/>
  <c r="BN55" i="46" s="1"/>
  <c r="S236" i="46"/>
  <c r="AG236" i="46" s="1"/>
  <c r="Z236" i="46"/>
  <c r="BL320" i="46"/>
  <c r="BM320" i="46" s="1"/>
  <c r="BN320" i="46" s="1"/>
  <c r="S273" i="46"/>
  <c r="AG273" i="46" s="1"/>
  <c r="Z273" i="46"/>
  <c r="BL275" i="46"/>
  <c r="BM275" i="46" s="1"/>
  <c r="BN275" i="46" s="1"/>
  <c r="BN54" i="32"/>
  <c r="BL301" i="46"/>
  <c r="BM301" i="46" s="1"/>
  <c r="BN301" i="46" s="1"/>
  <c r="BI119" i="46"/>
  <c r="BW119" i="46" s="1"/>
  <c r="BP119" i="46"/>
  <c r="AN218" i="46"/>
  <c r="BB218" i="46" s="1"/>
  <c r="AU218" i="46"/>
  <c r="AN143" i="46"/>
  <c r="BB143" i="46" s="1"/>
  <c r="AU143" i="46"/>
  <c r="BP63" i="46"/>
  <c r="BI63" i="46"/>
  <c r="BW63" i="46" s="1"/>
  <c r="AU346" i="46"/>
  <c r="AN346" i="46"/>
  <c r="BB346" i="46" s="1"/>
  <c r="AN262" i="46"/>
  <c r="BB262" i="46" s="1"/>
  <c r="AU262" i="46"/>
  <c r="S227" i="46"/>
  <c r="AG227" i="46" s="1"/>
  <c r="Z227" i="46"/>
  <c r="BP230" i="46"/>
  <c r="BI230" i="46"/>
  <c r="BW230" i="46" s="1"/>
  <c r="AU125" i="46"/>
  <c r="AN125" i="46"/>
  <c r="BB125" i="46" s="1"/>
  <c r="BP134" i="46"/>
  <c r="BI134" i="46"/>
  <c r="BW134" i="46" s="1"/>
  <c r="V95" i="46"/>
  <c r="W95" i="46" s="1"/>
  <c r="X95" i="46" s="1"/>
  <c r="AQ299" i="46"/>
  <c r="AR299" i="46" s="1"/>
  <c r="AS299" i="46" s="1"/>
  <c r="BL124" i="46"/>
  <c r="BM124" i="46" s="1"/>
  <c r="BN124" i="46" s="1"/>
  <c r="BL330" i="46"/>
  <c r="BM330" i="46" s="1"/>
  <c r="BN330" i="46" s="1"/>
  <c r="Z329" i="46"/>
  <c r="S329" i="46"/>
  <c r="AG329" i="46" s="1"/>
  <c r="AN37" i="46"/>
  <c r="BB37" i="46" s="1"/>
  <c r="AU37" i="46"/>
  <c r="AU324" i="46"/>
  <c r="AN324" i="46"/>
  <c r="BB324" i="46" s="1"/>
  <c r="Z213" i="46"/>
  <c r="S213" i="46"/>
  <c r="AG213" i="46" s="1"/>
  <c r="BL136" i="46"/>
  <c r="BM136" i="46" s="1"/>
  <c r="BN136" i="46" s="1"/>
  <c r="CD299" i="46"/>
  <c r="CR299" i="46" s="1"/>
  <c r="CK299" i="46"/>
  <c r="Z59" i="46"/>
  <c r="S59" i="46"/>
  <c r="AG59" i="46" s="1"/>
  <c r="CK326" i="46"/>
  <c r="CD326" i="46"/>
  <c r="CR326" i="46" s="1"/>
  <c r="S143" i="46"/>
  <c r="AG143" i="46" s="1"/>
  <c r="Z143" i="46"/>
  <c r="CK44" i="46"/>
  <c r="CD44" i="46"/>
  <c r="CR44" i="46" s="1"/>
  <c r="CK187" i="46"/>
  <c r="CD187" i="46"/>
  <c r="CR187" i="46" s="1"/>
  <c r="CG199" i="46"/>
  <c r="CH199" i="46" s="1"/>
  <c r="CI199" i="46" s="1"/>
  <c r="J32" i="38"/>
  <c r="E38" i="38"/>
  <c r="F20" i="38" s="1"/>
  <c r="AN201" i="46"/>
  <c r="BB201" i="46" s="1"/>
  <c r="AU201" i="46"/>
  <c r="AN252" i="46"/>
  <c r="BB252" i="46" s="1"/>
  <c r="AU252" i="46"/>
  <c r="Z164" i="46"/>
  <c r="S164" i="46"/>
  <c r="AG164" i="46" s="1"/>
  <c r="BL202" i="46"/>
  <c r="BM202" i="46" s="1"/>
  <c r="BN202" i="46" s="1"/>
  <c r="AU49" i="46"/>
  <c r="AN49" i="46"/>
  <c r="BB49" i="46" s="1"/>
  <c r="CD266" i="46"/>
  <c r="CR266" i="46" s="1"/>
  <c r="CK266" i="46"/>
  <c r="Z63" i="46"/>
  <c r="S63" i="46"/>
  <c r="AG63" i="46" s="1"/>
  <c r="BP153" i="46"/>
  <c r="BI153" i="46"/>
  <c r="BW153" i="46" s="1"/>
  <c r="Z190" i="46"/>
  <c r="S190" i="46"/>
  <c r="AG190" i="46" s="1"/>
  <c r="S114" i="46"/>
  <c r="AG114" i="46" s="1"/>
  <c r="Z114" i="46"/>
  <c r="V73" i="46"/>
  <c r="W73" i="46" s="1"/>
  <c r="X73" i="46" s="1"/>
  <c r="AN234" i="46"/>
  <c r="BB234" i="46" s="1"/>
  <c r="AU234" i="46"/>
  <c r="S33" i="46"/>
  <c r="AG33" i="46" s="1"/>
  <c r="Z33" i="46"/>
  <c r="CD37" i="46"/>
  <c r="CR37" i="46" s="1"/>
  <c r="CK37" i="46"/>
  <c r="CK259" i="46"/>
  <c r="CD259" i="46"/>
  <c r="CR259" i="46" s="1"/>
  <c r="Z78" i="46"/>
  <c r="S78" i="46"/>
  <c r="AG78" i="46" s="1"/>
  <c r="AN67" i="46"/>
  <c r="BB67" i="46" s="1"/>
  <c r="AU67" i="46"/>
  <c r="CD26" i="46"/>
  <c r="CR26" i="46" s="1"/>
  <c r="CK26" i="46"/>
  <c r="AU266" i="46"/>
  <c r="AN266" i="46"/>
  <c r="BB266" i="46" s="1"/>
  <c r="Z309" i="46"/>
  <c r="S309" i="46"/>
  <c r="AG309" i="46" s="1"/>
  <c r="AN195" i="46"/>
  <c r="BB195" i="46" s="1"/>
  <c r="AU195" i="46"/>
  <c r="AU100" i="46"/>
  <c r="AN100" i="46"/>
  <c r="BB100" i="46" s="1"/>
  <c r="CG314" i="46"/>
  <c r="CH314" i="46" s="1"/>
  <c r="CI314" i="46" s="1"/>
  <c r="BP135" i="46"/>
  <c r="BI135" i="46"/>
  <c r="BW135" i="46" s="1"/>
  <c r="AN118" i="46"/>
  <c r="BB118" i="46" s="1"/>
  <c r="AU118" i="46"/>
  <c r="BL217" i="46"/>
  <c r="BM217" i="46" s="1"/>
  <c r="BN217" i="46" s="1"/>
  <c r="BL186" i="46"/>
  <c r="BM186" i="46" s="1"/>
  <c r="BN186" i="46" s="1"/>
  <c r="BL212" i="46"/>
  <c r="BM212" i="46" s="1"/>
  <c r="BN212" i="46" s="1"/>
  <c r="AN40" i="46"/>
  <c r="BB40" i="46" s="1"/>
  <c r="AU40" i="46"/>
  <c r="Z51" i="46"/>
  <c r="S51" i="46"/>
  <c r="AG51" i="46" s="1"/>
  <c r="CD318" i="46"/>
  <c r="CR318" i="46" s="1"/>
  <c r="CK318" i="46"/>
  <c r="CK25" i="46"/>
  <c r="CD25" i="46"/>
  <c r="CR25" i="46" s="1"/>
  <c r="AQ153" i="46"/>
  <c r="AR153" i="46" s="1"/>
  <c r="AS153" i="46" s="1"/>
  <c r="CD101" i="46"/>
  <c r="CR101" i="46" s="1"/>
  <c r="CK101" i="46"/>
  <c r="AU273" i="46"/>
  <c r="AN273" i="46"/>
  <c r="BB273" i="46" s="1"/>
  <c r="CD255" i="46"/>
  <c r="CR255" i="46" s="1"/>
  <c r="CK255" i="46"/>
  <c r="AU156" i="46"/>
  <c r="AN156" i="46"/>
  <c r="BB156" i="46" s="1"/>
  <c r="BL289" i="46"/>
  <c r="BM289" i="46" s="1"/>
  <c r="BN289" i="46" s="1"/>
  <c r="AN246" i="46"/>
  <c r="BB246" i="46" s="1"/>
  <c r="AU246" i="46"/>
  <c r="AN328" i="46"/>
  <c r="BB328" i="46" s="1"/>
  <c r="AU328" i="46"/>
  <c r="S248" i="46"/>
  <c r="AG248" i="46" s="1"/>
  <c r="Z248" i="46"/>
  <c r="Z38" i="46"/>
  <c r="S38" i="46"/>
  <c r="AG38" i="46" s="1"/>
  <c r="CD31" i="46"/>
  <c r="CR31" i="46" s="1"/>
  <c r="CK31" i="46"/>
  <c r="S96" i="46"/>
  <c r="AG96" i="46" s="1"/>
  <c r="Z96" i="46"/>
  <c r="CK88" i="46"/>
  <c r="CD88" i="46"/>
  <c r="CR88" i="46" s="1"/>
  <c r="S196" i="46"/>
  <c r="AG196" i="46" s="1"/>
  <c r="Z196" i="46"/>
  <c r="AQ255" i="46"/>
  <c r="AR255" i="46" s="1"/>
  <c r="AS255" i="46" s="1"/>
  <c r="BL60" i="46"/>
  <c r="BM60" i="46" s="1"/>
  <c r="BN60" i="46" s="1"/>
  <c r="CK311" i="46"/>
  <c r="CD311" i="46"/>
  <c r="CR311" i="46" s="1"/>
  <c r="CK226" i="46"/>
  <c r="CD226" i="46"/>
  <c r="CR226" i="46" s="1"/>
  <c r="S184" i="46"/>
  <c r="AG184" i="46" s="1"/>
  <c r="Z184" i="46"/>
  <c r="CD27" i="46"/>
  <c r="CR27" i="46" s="1"/>
  <c r="CK27" i="46"/>
  <c r="AU254" i="46"/>
  <c r="AN254" i="46"/>
  <c r="BB254" i="46" s="1"/>
  <c r="AN89" i="46"/>
  <c r="BB89" i="46" s="1"/>
  <c r="AU89" i="46"/>
  <c r="BL309" i="46"/>
  <c r="BM309" i="46" s="1"/>
  <c r="BN309" i="46" s="1"/>
  <c r="BL76" i="46"/>
  <c r="BM76" i="46" s="1"/>
  <c r="BN76" i="46" s="1"/>
  <c r="S207" i="46"/>
  <c r="AG207" i="46" s="1"/>
  <c r="Z207" i="46"/>
  <c r="CK79" i="46"/>
  <c r="CD79" i="46"/>
  <c r="CR79" i="46" s="1"/>
  <c r="Z332" i="46"/>
  <c r="S332" i="46"/>
  <c r="AG332" i="46" s="1"/>
  <c r="Z55" i="46"/>
  <c r="S55" i="46"/>
  <c r="AG55" i="46" s="1"/>
  <c r="CK269" i="46"/>
  <c r="CD269" i="46"/>
  <c r="CR269" i="46" s="1"/>
  <c r="BI150" i="46"/>
  <c r="BW150" i="46" s="1"/>
  <c r="BP150" i="46"/>
  <c r="AQ245" i="46"/>
  <c r="AR245" i="46" s="1"/>
  <c r="AS245" i="46" s="1"/>
  <c r="CG327" i="46"/>
  <c r="CH327" i="46" s="1"/>
  <c r="CI327" i="46" s="1"/>
  <c r="CG213" i="46"/>
  <c r="CH213" i="46" s="1"/>
  <c r="CI213" i="46" s="1"/>
  <c r="AU308" i="46"/>
  <c r="AN308" i="46"/>
  <c r="BB308" i="46" s="1"/>
  <c r="AU247" i="46"/>
  <c r="AN247" i="46"/>
  <c r="BB247" i="46" s="1"/>
  <c r="AQ110" i="46"/>
  <c r="AR110" i="46" s="1"/>
  <c r="AS110" i="46" s="1"/>
  <c r="CK193" i="46"/>
  <c r="CD193" i="46"/>
  <c r="CR193" i="46" s="1"/>
  <c r="BL140" i="46"/>
  <c r="BM140" i="46" s="1"/>
  <c r="BN140" i="46" s="1"/>
  <c r="V159" i="46"/>
  <c r="W159" i="46" s="1"/>
  <c r="X159" i="46" s="1"/>
  <c r="AN15" i="46"/>
  <c r="BB15" i="46" s="1"/>
  <c r="AU15" i="46"/>
  <c r="Z158" i="46"/>
  <c r="S158" i="46"/>
  <c r="AG158" i="46" s="1"/>
  <c r="S76" i="46"/>
  <c r="AG76" i="46" s="1"/>
  <c r="Z76" i="46"/>
  <c r="AN313" i="46"/>
  <c r="BB313" i="46" s="1"/>
  <c r="AU313" i="46"/>
  <c r="BP337" i="46"/>
  <c r="BI337" i="46"/>
  <c r="BW337" i="46" s="1"/>
  <c r="BP244" i="46"/>
  <c r="BI244" i="46"/>
  <c r="BW244" i="46" s="1"/>
  <c r="BP51" i="46"/>
  <c r="BI51" i="46"/>
  <c r="BW51" i="46" s="1"/>
  <c r="BL169" i="46"/>
  <c r="BM169" i="46" s="1"/>
  <c r="BN169" i="46" s="1"/>
  <c r="CD188" i="46"/>
  <c r="CR188" i="46" s="1"/>
  <c r="CK188" i="46"/>
  <c r="AQ65" i="46"/>
  <c r="AR65" i="46" s="1"/>
  <c r="AS65" i="46" s="1"/>
  <c r="AU144" i="46"/>
  <c r="AN144" i="46"/>
  <c r="BB144" i="46" s="1"/>
  <c r="AN231" i="46"/>
  <c r="BB231" i="46" s="1"/>
  <c r="AU231" i="46"/>
  <c r="CD81" i="46"/>
  <c r="CR81" i="46" s="1"/>
  <c r="CK81" i="46"/>
  <c r="CD135" i="46"/>
  <c r="CR135" i="46" s="1"/>
  <c r="CK135" i="46"/>
  <c r="CK73" i="46"/>
  <c r="CD73" i="46"/>
  <c r="CR73" i="46" s="1"/>
  <c r="AQ86" i="46"/>
  <c r="AR86" i="46" s="1"/>
  <c r="AS86" i="46" s="1"/>
  <c r="CG261" i="46"/>
  <c r="CH261" i="46" s="1"/>
  <c r="CI261" i="46" s="1"/>
  <c r="S194" i="46"/>
  <c r="AG194" i="46" s="1"/>
  <c r="Z194" i="46"/>
  <c r="CK49" i="46"/>
  <c r="CD49" i="46"/>
  <c r="CR49" i="46" s="1"/>
  <c r="BL249" i="46"/>
  <c r="BM249" i="46" s="1"/>
  <c r="BN249" i="46" s="1"/>
  <c r="BL278" i="46"/>
  <c r="BM278" i="46" s="1"/>
  <c r="BN278" i="46" s="1"/>
  <c r="CD29" i="46"/>
  <c r="CR29" i="46" s="1"/>
  <c r="CK29" i="46"/>
  <c r="S39" i="46"/>
  <c r="AG39" i="46" s="1"/>
  <c r="Z39" i="46"/>
  <c r="BI48" i="46"/>
  <c r="BW48" i="46" s="1"/>
  <c r="BP48" i="46"/>
  <c r="S320" i="46"/>
  <c r="AG320" i="46" s="1"/>
  <c r="Z320" i="46"/>
  <c r="BL160" i="46"/>
  <c r="BM160" i="46" s="1"/>
  <c r="BN160" i="46" s="1"/>
  <c r="AQ96" i="46"/>
  <c r="AR96" i="46" s="1"/>
  <c r="AS96" i="46" s="1"/>
  <c r="CG197" i="46"/>
  <c r="CH197" i="46" s="1"/>
  <c r="CI197" i="46" s="1"/>
  <c r="AU84" i="46"/>
  <c r="AN84" i="46"/>
  <c r="BB84" i="46" s="1"/>
  <c r="S205" i="46"/>
  <c r="AG205" i="46" s="1"/>
  <c r="Z205" i="46"/>
  <c r="Z86" i="46"/>
  <c r="S86" i="46"/>
  <c r="AG86" i="46" s="1"/>
  <c r="AN93" i="46"/>
  <c r="BB93" i="46" s="1"/>
  <c r="AU93" i="46"/>
  <c r="BL227" i="46"/>
  <c r="BM227" i="46" s="1"/>
  <c r="BN227" i="46" s="1"/>
  <c r="CK129" i="46"/>
  <c r="CD129" i="46"/>
  <c r="CR129" i="46" s="1"/>
  <c r="AN41" i="46"/>
  <c r="BB41" i="46" s="1"/>
  <c r="AU41" i="46"/>
  <c r="BI27" i="46"/>
  <c r="BW27" i="46" s="1"/>
  <c r="BP27" i="46"/>
  <c r="AN203" i="46"/>
  <c r="BB203" i="46" s="1"/>
  <c r="AU203" i="46"/>
  <c r="BL338" i="46"/>
  <c r="BM338" i="46" s="1"/>
  <c r="BN338" i="46" s="1"/>
  <c r="BP56" i="46"/>
  <c r="BI56" i="46"/>
  <c r="BW56" i="46" s="1"/>
  <c r="AU101" i="46"/>
  <c r="AN101" i="46"/>
  <c r="BB101" i="46" s="1"/>
  <c r="CK243" i="46"/>
  <c r="CD243" i="46"/>
  <c r="CR243" i="46" s="1"/>
  <c r="AU131" i="46"/>
  <c r="AN131" i="46"/>
  <c r="BB131" i="46" s="1"/>
  <c r="Z331" i="46"/>
  <c r="S331" i="46"/>
  <c r="AG331" i="46" s="1"/>
  <c r="Z19" i="46"/>
  <c r="S19" i="46"/>
  <c r="AG19" i="46" s="1"/>
  <c r="AU126" i="46"/>
  <c r="AN126" i="46"/>
  <c r="BB126" i="46" s="1"/>
  <c r="BL335" i="46"/>
  <c r="BM335" i="46" s="1"/>
  <c r="BN335" i="46" s="1"/>
  <c r="BL268" i="46"/>
  <c r="BM268" i="46" s="1"/>
  <c r="BN268" i="46" s="1"/>
  <c r="AU333" i="46"/>
  <c r="AN333" i="46"/>
  <c r="BB333" i="46" s="1"/>
  <c r="CG291" i="46"/>
  <c r="CH291" i="46" s="1"/>
  <c r="CI291" i="46" s="1"/>
  <c r="BL123" i="46"/>
  <c r="BM123" i="46" s="1"/>
  <c r="BN123" i="46" s="1"/>
  <c r="CD63" i="46"/>
  <c r="CR63" i="46" s="1"/>
  <c r="CK63" i="46"/>
  <c r="S68" i="46"/>
  <c r="AG68" i="46" s="1"/>
  <c r="Z68" i="46"/>
  <c r="BP231" i="46"/>
  <c r="BI231" i="46"/>
  <c r="BW231" i="46" s="1"/>
  <c r="BI208" i="46"/>
  <c r="BW208" i="46" s="1"/>
  <c r="BP208" i="46"/>
  <c r="Z279" i="46"/>
  <c r="S279" i="46"/>
  <c r="AG279" i="46" s="1"/>
  <c r="S333" i="46"/>
  <c r="AG333" i="46" s="1"/>
  <c r="Z333" i="46"/>
  <c r="AU129" i="46"/>
  <c r="AN129" i="46"/>
  <c r="BB129" i="46" s="1"/>
  <c r="Z66" i="46"/>
  <c r="S66" i="46"/>
  <c r="AG66" i="46" s="1"/>
  <c r="CK143" i="46"/>
  <c r="CD143" i="46"/>
  <c r="CR143" i="46" s="1"/>
  <c r="Z148" i="46"/>
  <c r="S148" i="46"/>
  <c r="AG148" i="46" s="1"/>
  <c r="AN242" i="46"/>
  <c r="BB242" i="46" s="1"/>
  <c r="AU242" i="46"/>
  <c r="AU227" i="46"/>
  <c r="AN227" i="46"/>
  <c r="BB227" i="46" s="1"/>
  <c r="Z322" i="46"/>
  <c r="S322" i="46"/>
  <c r="AG322" i="46" s="1"/>
  <c r="CK244" i="46"/>
  <c r="CD244" i="46"/>
  <c r="CR244" i="46" s="1"/>
  <c r="CK32" i="46"/>
  <c r="CD32" i="46"/>
  <c r="CR32" i="46" s="1"/>
  <c r="CK322" i="46"/>
  <c r="CD322" i="46"/>
  <c r="CR322" i="46" s="1"/>
  <c r="BL211" i="46"/>
  <c r="BM211" i="46" s="1"/>
  <c r="BN211" i="46" s="1"/>
  <c r="AU177" i="46"/>
  <c r="AN177" i="46"/>
  <c r="BB177" i="46" s="1"/>
  <c r="S122" i="46"/>
  <c r="AG122" i="46" s="1"/>
  <c r="Z122" i="46"/>
  <c r="AN120" i="46"/>
  <c r="BB120" i="46" s="1"/>
  <c r="AU120" i="46"/>
  <c r="BP86" i="46"/>
  <c r="BI86" i="46"/>
  <c r="BW86" i="46" s="1"/>
  <c r="Z219" i="46"/>
  <c r="S219" i="46"/>
  <c r="AG219" i="46" s="1"/>
  <c r="Z263" i="46"/>
  <c r="S263" i="46"/>
  <c r="AG263" i="46" s="1"/>
  <c r="CK48" i="46"/>
  <c r="CD48" i="46"/>
  <c r="CR48" i="46" s="1"/>
  <c r="BP256" i="46"/>
  <c r="BI256" i="46"/>
  <c r="BW256" i="46" s="1"/>
  <c r="BL118" i="46"/>
  <c r="BM118" i="46" s="1"/>
  <c r="BN118" i="46" s="1"/>
  <c r="S204" i="46"/>
  <c r="AG204" i="46" s="1"/>
  <c r="Z204" i="46"/>
  <c r="CK339" i="46"/>
  <c r="CD339" i="46"/>
  <c r="CR339" i="46" s="1"/>
  <c r="AN320" i="46"/>
  <c r="BB320" i="46" s="1"/>
  <c r="AU320" i="46"/>
  <c r="CD317" i="46"/>
  <c r="CR317" i="46" s="1"/>
  <c r="CK317" i="46"/>
  <c r="BL340" i="46"/>
  <c r="BM340" i="46" s="1"/>
  <c r="BN340" i="46" s="1"/>
  <c r="BL125" i="46"/>
  <c r="BM125" i="46" s="1"/>
  <c r="BN125" i="46" s="1"/>
  <c r="CD271" i="46"/>
  <c r="CR271" i="46" s="1"/>
  <c r="CK271" i="46"/>
  <c r="CK289" i="46"/>
  <c r="CD289" i="46"/>
  <c r="CR289" i="46" s="1"/>
  <c r="S30" i="46"/>
  <c r="AG30" i="46" s="1"/>
  <c r="Z30" i="46"/>
  <c r="AU306" i="46"/>
  <c r="AN306" i="46"/>
  <c r="BB306" i="46" s="1"/>
  <c r="AU287" i="46"/>
  <c r="AN287" i="46"/>
  <c r="BB287" i="46" s="1"/>
  <c r="Z229" i="46"/>
  <c r="S229" i="46"/>
  <c r="AG229" i="46" s="1"/>
  <c r="S121" i="46"/>
  <c r="AG121" i="46" s="1"/>
  <c r="Z121" i="46"/>
  <c r="AU147" i="46"/>
  <c r="AN147" i="46"/>
  <c r="BB147" i="46" s="1"/>
  <c r="CG33" i="46"/>
  <c r="CH33" i="46" s="1"/>
  <c r="CI33" i="46" s="1"/>
  <c r="AU188" i="46"/>
  <c r="AN188" i="46"/>
  <c r="BB188" i="46" s="1"/>
  <c r="BL133" i="46"/>
  <c r="BM133" i="46" s="1"/>
  <c r="BN133" i="46" s="1"/>
  <c r="BO54" i="32"/>
  <c r="CK102" i="46"/>
  <c r="CD102" i="46"/>
  <c r="CR102" i="46" s="1"/>
  <c r="AN271" i="46"/>
  <c r="BB271" i="46" s="1"/>
  <c r="AU271" i="46"/>
  <c r="BL266" i="46"/>
  <c r="BM266" i="46" s="1"/>
  <c r="BN266" i="46" s="1"/>
  <c r="CD89" i="46"/>
  <c r="CR89" i="46" s="1"/>
  <c r="CK89" i="46"/>
  <c r="Z321" i="46"/>
  <c r="S321" i="46"/>
  <c r="AG321" i="46" s="1"/>
  <c r="G47" i="32"/>
  <c r="F21" i="32"/>
  <c r="AN202" i="46"/>
  <c r="BB202" i="46" s="1"/>
  <c r="AU202" i="46"/>
  <c r="BL190" i="46"/>
  <c r="BM190" i="46" s="1"/>
  <c r="BN190" i="46" s="1"/>
  <c r="V306" i="46"/>
  <c r="W306" i="46" s="1"/>
  <c r="X306" i="46" s="1"/>
  <c r="CK113" i="46"/>
  <c r="CD113" i="46"/>
  <c r="CR113" i="46" s="1"/>
  <c r="BI154" i="46"/>
  <c r="BW154" i="46" s="1"/>
  <c r="BP154" i="46"/>
  <c r="S271" i="46"/>
  <c r="AG271" i="46" s="1"/>
  <c r="Z271" i="46"/>
  <c r="AN160" i="46"/>
  <c r="BB160" i="46" s="1"/>
  <c r="AU160" i="46"/>
  <c r="CK216" i="46"/>
  <c r="CD216" i="46"/>
  <c r="CR216" i="46" s="1"/>
  <c r="AN191" i="46"/>
  <c r="BB191" i="46" s="1"/>
  <c r="AU191" i="46"/>
  <c r="AQ13" i="46"/>
  <c r="AR13" i="46" s="1"/>
  <c r="AS13" i="46" s="1"/>
  <c r="AU136" i="46"/>
  <c r="AN136" i="46"/>
  <c r="BB136" i="46" s="1"/>
  <c r="Z185" i="46"/>
  <c r="S185" i="46"/>
  <c r="AG185" i="46" s="1"/>
  <c r="S221" i="46"/>
  <c r="AG221" i="46" s="1"/>
  <c r="Z221" i="46"/>
  <c r="Z344" i="46"/>
  <c r="S344" i="46"/>
  <c r="AG344" i="46" s="1"/>
  <c r="AN332" i="46"/>
  <c r="BB332" i="46" s="1"/>
  <c r="AU332" i="46"/>
  <c r="BL247" i="46"/>
  <c r="BM247" i="46" s="1"/>
  <c r="BN247" i="46" s="1"/>
  <c r="BI137" i="46"/>
  <c r="BW137" i="46" s="1"/>
  <c r="BP137" i="46"/>
  <c r="AU326" i="46"/>
  <c r="AN326" i="46"/>
  <c r="BB326" i="46" s="1"/>
  <c r="S238" i="46"/>
  <c r="AG238" i="46" s="1"/>
  <c r="Z238" i="46"/>
  <c r="CD168" i="46"/>
  <c r="CR168" i="46" s="1"/>
  <c r="CK168" i="46"/>
  <c r="Z52" i="46"/>
  <c r="S52" i="46"/>
  <c r="AG52" i="46" s="1"/>
  <c r="BP147" i="46"/>
  <c r="BI147" i="46"/>
  <c r="BW147" i="46" s="1"/>
  <c r="BI156" i="46"/>
  <c r="BW156" i="46" s="1"/>
  <c r="BP156" i="46"/>
  <c r="S169" i="46"/>
  <c r="AG169" i="46" s="1"/>
  <c r="Z169" i="46"/>
  <c r="S265" i="46"/>
  <c r="AG265" i="46" s="1"/>
  <c r="Z265" i="46"/>
  <c r="CG304" i="46"/>
  <c r="CH304" i="46" s="1"/>
  <c r="CI304" i="46" s="1"/>
  <c r="S181" i="46"/>
  <c r="AG181" i="46" s="1"/>
  <c r="Z181" i="46"/>
  <c r="BL141" i="46"/>
  <c r="BM141" i="46" s="1"/>
  <c r="BN141" i="46" s="1"/>
  <c r="BL282" i="46"/>
  <c r="BM282" i="46" s="1"/>
  <c r="BN282" i="46" s="1"/>
  <c r="BL325" i="46"/>
  <c r="BM325" i="46" s="1"/>
  <c r="BN325" i="46" s="1"/>
  <c r="Z160" i="46"/>
  <c r="S160" i="46"/>
  <c r="AG160" i="46" s="1"/>
  <c r="BP339" i="46"/>
  <c r="BI339" i="46"/>
  <c r="BW339" i="46" s="1"/>
  <c r="BI168" i="46"/>
  <c r="BW168" i="46" s="1"/>
  <c r="BP168" i="46"/>
  <c r="AU146" i="46"/>
  <c r="AN146" i="46"/>
  <c r="BB146" i="46" s="1"/>
  <c r="AU311" i="46"/>
  <c r="AN311" i="46"/>
  <c r="BB311" i="46" s="1"/>
  <c r="CK301" i="46"/>
  <c r="CD301" i="46"/>
  <c r="CR301" i="46" s="1"/>
  <c r="Z267" i="46"/>
  <c r="S267" i="46"/>
  <c r="AG267" i="46" s="1"/>
  <c r="CD248" i="46"/>
  <c r="CR248" i="46" s="1"/>
  <c r="CK248" i="46"/>
  <c r="AN312" i="46"/>
  <c r="BB312" i="46" s="1"/>
  <c r="AU312" i="46"/>
  <c r="AN241" i="46"/>
  <c r="BB241" i="46" s="1"/>
  <c r="AU241" i="46"/>
  <c r="BI83" i="46"/>
  <c r="BW83" i="46" s="1"/>
  <c r="BP83" i="46"/>
  <c r="AQ97" i="46"/>
  <c r="AR97" i="46" s="1"/>
  <c r="AS97" i="46" s="1"/>
  <c r="BL318" i="46"/>
  <c r="BM318" i="46" s="1"/>
  <c r="BN318" i="46" s="1"/>
  <c r="S200" i="46"/>
  <c r="AG200" i="46" s="1"/>
  <c r="Z200" i="46"/>
  <c r="AU327" i="46"/>
  <c r="AN327" i="46"/>
  <c r="BB327" i="46" s="1"/>
  <c r="CD177" i="46"/>
  <c r="CR177" i="46" s="1"/>
  <c r="CK177" i="46"/>
  <c r="CD150" i="46"/>
  <c r="CR150" i="46" s="1"/>
  <c r="CK150" i="46"/>
  <c r="CD223" i="46"/>
  <c r="CR223" i="46" s="1"/>
  <c r="CK223" i="46"/>
  <c r="BL72" i="46"/>
  <c r="BM72" i="46" s="1"/>
  <c r="BN72" i="46" s="1"/>
  <c r="AU94" i="46"/>
  <c r="AN94" i="46"/>
  <c r="BB94" i="46" s="1"/>
  <c r="S91" i="46"/>
  <c r="AG91" i="46" s="1"/>
  <c r="Z91" i="46"/>
  <c r="AN142" i="46"/>
  <c r="BB142" i="46" s="1"/>
  <c r="AU142" i="46"/>
  <c r="CD108" i="46"/>
  <c r="CR108" i="46" s="1"/>
  <c r="CK108" i="46"/>
  <c r="F21" i="38"/>
  <c r="G47" i="38"/>
  <c r="Z242" i="46"/>
  <c r="S242" i="46"/>
  <c r="AG242" i="46" s="1"/>
  <c r="V166" i="46"/>
  <c r="W166" i="46" s="1"/>
  <c r="X166" i="46" s="1"/>
  <c r="CG220" i="46"/>
  <c r="CH220" i="46" s="1"/>
  <c r="CI220" i="46" s="1"/>
  <c r="BL288" i="46"/>
  <c r="BM288" i="46" s="1"/>
  <c r="BN288" i="46" s="1"/>
  <c r="Z264" i="46"/>
  <c r="S264" i="46"/>
  <c r="AG264" i="46" s="1"/>
  <c r="BI129" i="46"/>
  <c r="BW129" i="46" s="1"/>
  <c r="BP129" i="46"/>
  <c r="BP250" i="46"/>
  <c r="BI250" i="46"/>
  <c r="BW250" i="46" s="1"/>
  <c r="CK249" i="46"/>
  <c r="CD249" i="46"/>
  <c r="CR249" i="46" s="1"/>
  <c r="BO54" i="38"/>
  <c r="BR54" i="38" s="1"/>
  <c r="GK54" i="38" s="1"/>
  <c r="AU139" i="46"/>
  <c r="AN139" i="46"/>
  <c r="BB139" i="46" s="1"/>
  <c r="AN199" i="46"/>
  <c r="BB199" i="46" s="1"/>
  <c r="AU199" i="46"/>
  <c r="CG237" i="46"/>
  <c r="CH237" i="46" s="1"/>
  <c r="CI237" i="46" s="1"/>
  <c r="Z88" i="46"/>
  <c r="S88" i="46"/>
  <c r="AG88" i="46" s="1"/>
  <c r="CD287" i="46"/>
  <c r="CR287" i="46" s="1"/>
  <c r="CK287" i="46"/>
  <c r="AU316" i="46"/>
  <c r="AN316" i="46"/>
  <c r="BB316" i="46" s="1"/>
  <c r="S222" i="46"/>
  <c r="AG222" i="46" s="1"/>
  <c r="Z222" i="46"/>
  <c r="CK149" i="46"/>
  <c r="CD149" i="46"/>
  <c r="CR149" i="46" s="1"/>
  <c r="BL304" i="46"/>
  <c r="BM304" i="46" s="1"/>
  <c r="BN304" i="46" s="1"/>
  <c r="V147" i="46"/>
  <c r="W147" i="46" s="1"/>
  <c r="X147" i="46" s="1"/>
  <c r="BL173" i="46"/>
  <c r="BM173" i="46" s="1"/>
  <c r="BN173" i="46" s="1"/>
  <c r="DT54" i="32"/>
  <c r="DX54" i="32" s="1"/>
  <c r="GM54" i="32" s="1"/>
  <c r="BI95" i="46"/>
  <c r="BW95" i="46" s="1"/>
  <c r="BP95" i="46"/>
  <c r="AU66" i="46"/>
  <c r="AN66" i="46"/>
  <c r="BB66" i="46" s="1"/>
  <c r="BL128" i="46"/>
  <c r="BM128" i="46" s="1"/>
  <c r="BN128" i="46" s="1"/>
  <c r="DU54" i="38"/>
  <c r="DX54" i="38" s="1"/>
  <c r="GM54" i="38" s="1"/>
  <c r="AU337" i="46"/>
  <c r="AN337" i="46"/>
  <c r="BB337" i="46" s="1"/>
  <c r="BL235" i="46"/>
  <c r="BM235" i="46" s="1"/>
  <c r="BN235" i="46" s="1"/>
  <c r="S94" i="46"/>
  <c r="AG94" i="46" s="1"/>
  <c r="Z94" i="46"/>
  <c r="BP285" i="46"/>
  <c r="BI285" i="46"/>
  <c r="BW285" i="46" s="1"/>
  <c r="CK107" i="46"/>
  <c r="CD107" i="46"/>
  <c r="CR107" i="46" s="1"/>
  <c r="BL176" i="46"/>
  <c r="BM176" i="46" s="1"/>
  <c r="BN176" i="46" s="1"/>
  <c r="S48" i="46"/>
  <c r="AG48" i="46" s="1"/>
  <c r="Z48" i="46"/>
  <c r="Z304" i="46"/>
  <c r="S304" i="46"/>
  <c r="AG304" i="46" s="1"/>
  <c r="AQ277" i="46"/>
  <c r="AR277" i="46" s="1"/>
  <c r="AS277" i="46" s="1"/>
  <c r="Z203" i="46"/>
  <c r="S203" i="46"/>
  <c r="AG203" i="46" s="1"/>
  <c r="AN233" i="46"/>
  <c r="BB233" i="46" s="1"/>
  <c r="AU233" i="46"/>
  <c r="AU148" i="46"/>
  <c r="AN148" i="46"/>
  <c r="BB148" i="46" s="1"/>
  <c r="AN34" i="46"/>
  <c r="BB34" i="46" s="1"/>
  <c r="AU34" i="46"/>
  <c r="S44" i="46"/>
  <c r="AG44" i="46" s="1"/>
  <c r="Z44" i="46"/>
  <c r="S124" i="46"/>
  <c r="AG124" i="46" s="1"/>
  <c r="Z124" i="46"/>
  <c r="CK167" i="46"/>
  <c r="CD167" i="46"/>
  <c r="CR167" i="46" s="1"/>
  <c r="BI89" i="46"/>
  <c r="BW89" i="46" s="1"/>
  <c r="BP89" i="46"/>
  <c r="CK310" i="46"/>
  <c r="CD310" i="46"/>
  <c r="CR310" i="46" s="1"/>
  <c r="Z178" i="46"/>
  <c r="S178" i="46"/>
  <c r="AG178" i="46" s="1"/>
  <c r="BL70" i="46"/>
  <c r="BM70" i="46" s="1"/>
  <c r="BN70" i="46" s="1"/>
  <c r="BL200" i="46"/>
  <c r="BM200" i="46" s="1"/>
  <c r="BN200" i="46" s="1"/>
  <c r="AN154" i="46"/>
  <c r="BB154" i="46" s="1"/>
  <c r="AU154" i="46"/>
  <c r="BL165" i="46"/>
  <c r="BM165" i="46" s="1"/>
  <c r="BN165" i="46" s="1"/>
  <c r="S79" i="46"/>
  <c r="AG79" i="46" s="1"/>
  <c r="Z79" i="46"/>
  <c r="S192" i="46"/>
  <c r="AG192" i="46" s="1"/>
  <c r="Z192" i="46"/>
  <c r="CD285" i="46"/>
  <c r="CR285" i="46" s="1"/>
  <c r="CK285" i="46"/>
  <c r="BL84" i="46"/>
  <c r="BM84" i="46" s="1"/>
  <c r="BN84" i="46" s="1"/>
  <c r="Z46" i="46"/>
  <c r="S46" i="46"/>
  <c r="AG46" i="46" s="1"/>
  <c r="CD201" i="46"/>
  <c r="CR201" i="46" s="1"/>
  <c r="CK201" i="46"/>
  <c r="FZ54" i="38"/>
  <c r="GD54" i="38" s="1"/>
  <c r="BL243" i="46"/>
  <c r="BM243" i="46" s="1"/>
  <c r="BN243" i="46" s="1"/>
  <c r="CD64" i="46"/>
  <c r="CR64" i="46" s="1"/>
  <c r="CK64" i="46"/>
  <c r="CK24" i="46"/>
  <c r="CD24" i="46"/>
  <c r="CR24" i="46" s="1"/>
  <c r="CG278" i="46"/>
  <c r="CH278" i="46" s="1"/>
  <c r="CI278" i="46" s="1"/>
  <c r="CK181" i="46"/>
  <c r="CD181" i="46"/>
  <c r="CR181" i="46" s="1"/>
  <c r="Z93" i="46"/>
  <c r="S93" i="46"/>
  <c r="AG93" i="46" s="1"/>
  <c r="CD95" i="46"/>
  <c r="CR95" i="46" s="1"/>
  <c r="CK95" i="46"/>
  <c r="BL81" i="46"/>
  <c r="BM81" i="46" s="1"/>
  <c r="BN81" i="46" s="1"/>
  <c r="BL293" i="46"/>
  <c r="BM293" i="46" s="1"/>
  <c r="BN293" i="46" s="1"/>
  <c r="BL297" i="46"/>
  <c r="BM297" i="46" s="1"/>
  <c r="BN297" i="46" s="1"/>
  <c r="CK114" i="46"/>
  <c r="CD114" i="46"/>
  <c r="CR114" i="46" s="1"/>
  <c r="CK127" i="46"/>
  <c r="CD127" i="46"/>
  <c r="CR127" i="46" s="1"/>
  <c r="CD250" i="46"/>
  <c r="CR250" i="46" s="1"/>
  <c r="CK250" i="46"/>
  <c r="Z283" i="46"/>
  <c r="S283" i="46"/>
  <c r="AG283" i="46" s="1"/>
  <c r="BL236" i="46"/>
  <c r="BM236" i="46" s="1"/>
  <c r="BN236" i="46" s="1"/>
  <c r="AU339" i="46"/>
  <c r="AN339" i="46"/>
  <c r="BB339" i="46" s="1"/>
  <c r="BN54" i="37"/>
  <c r="BR54" i="37" s="1"/>
  <c r="GK54" i="37" s="1"/>
  <c r="CK206" i="46"/>
  <c r="CD206" i="46"/>
  <c r="CR206" i="46" s="1"/>
  <c r="BI45" i="46" l="1"/>
  <c r="BW45" i="46" s="1"/>
  <c r="BP45" i="46"/>
  <c r="BI50" i="46"/>
  <c r="BW50" i="46" s="1"/>
  <c r="BP50" i="46"/>
  <c r="GD54" i="32"/>
  <c r="BR54" i="32"/>
  <c r="GK54" i="32" s="1"/>
  <c r="BP128" i="46"/>
  <c r="BI128" i="46"/>
  <c r="BW128" i="46" s="1"/>
  <c r="CK197" i="46"/>
  <c r="CD197" i="46"/>
  <c r="CR197" i="46" s="1"/>
  <c r="AN153" i="46"/>
  <c r="BB153" i="46" s="1"/>
  <c r="AU153" i="46"/>
  <c r="BP32" i="46"/>
  <c r="BI32" i="46"/>
  <c r="BW32" i="46" s="1"/>
  <c r="Z191" i="46"/>
  <c r="S191" i="46"/>
  <c r="AG191" i="46" s="1"/>
  <c r="CD251" i="46"/>
  <c r="CR251" i="46" s="1"/>
  <c r="CK251" i="46"/>
  <c r="BI229" i="46"/>
  <c r="BW229" i="46" s="1"/>
  <c r="BP229" i="46"/>
  <c r="BP286" i="46"/>
  <c r="BI286" i="46"/>
  <c r="BW286" i="46" s="1"/>
  <c r="BP142" i="46"/>
  <c r="BI142" i="46"/>
  <c r="BW142" i="46" s="1"/>
  <c r="BI87" i="46"/>
  <c r="BW87" i="46" s="1"/>
  <c r="BP87" i="46"/>
  <c r="CD213" i="46"/>
  <c r="CR213" i="46" s="1"/>
  <c r="CK213" i="46"/>
  <c r="AU310" i="46"/>
  <c r="AN310" i="46"/>
  <c r="BB310" i="46" s="1"/>
  <c r="BP71" i="46"/>
  <c r="BI71" i="46"/>
  <c r="BW71" i="46" s="1"/>
  <c r="BI14" i="46"/>
  <c r="BW14" i="46" s="1"/>
  <c r="BP14" i="46"/>
  <c r="CD58" i="46"/>
  <c r="CR58" i="46" s="1"/>
  <c r="CK58" i="46"/>
  <c r="AU185" i="46"/>
  <c r="AN185" i="46"/>
  <c r="BB185" i="46" s="1"/>
  <c r="AU81" i="46"/>
  <c r="AN81" i="46"/>
  <c r="BB81" i="46" s="1"/>
  <c r="BP17" i="46"/>
  <c r="BI17" i="46"/>
  <c r="BW17" i="46" s="1"/>
  <c r="BI302" i="46"/>
  <c r="BW302" i="46" s="1"/>
  <c r="BP302" i="46"/>
  <c r="Z289" i="46"/>
  <c r="S289" i="46"/>
  <c r="AG289" i="46" s="1"/>
  <c r="BP227" i="46"/>
  <c r="BI227" i="46"/>
  <c r="BW227" i="46" s="1"/>
  <c r="AU334" i="46"/>
  <c r="AN334" i="46"/>
  <c r="BB334" i="46" s="1"/>
  <c r="CK214" i="46"/>
  <c r="CD214" i="46"/>
  <c r="CR214" i="46" s="1"/>
  <c r="BP290" i="46"/>
  <c r="BI290" i="46"/>
  <c r="BW290" i="46" s="1"/>
  <c r="AU187" i="46"/>
  <c r="AN187" i="46"/>
  <c r="BB187" i="46" s="1"/>
  <c r="BP62" i="46"/>
  <c r="BI62" i="46"/>
  <c r="BW62" i="46" s="1"/>
  <c r="AN290" i="46"/>
  <c r="BB290" i="46" s="1"/>
  <c r="AU290" i="46"/>
  <c r="BP295" i="46"/>
  <c r="BI295" i="46"/>
  <c r="BW295" i="46" s="1"/>
  <c r="BP139" i="46"/>
  <c r="BI139" i="46"/>
  <c r="BW139" i="46" s="1"/>
  <c r="BP222" i="46"/>
  <c r="BI222" i="46"/>
  <c r="BW222" i="46" s="1"/>
  <c r="BI57" i="46"/>
  <c r="BW57" i="46" s="1"/>
  <c r="BP57" i="46"/>
  <c r="BP314" i="46"/>
  <c r="BI314" i="46"/>
  <c r="BW314" i="46" s="1"/>
  <c r="BI275" i="46"/>
  <c r="BW275" i="46" s="1"/>
  <c r="BP275" i="46"/>
  <c r="BP267" i="46"/>
  <c r="BI267" i="46"/>
  <c r="BW267" i="46" s="1"/>
  <c r="BP247" i="46"/>
  <c r="BI247" i="46"/>
  <c r="BW247" i="46" s="1"/>
  <c r="BP144" i="46"/>
  <c r="BI144" i="46"/>
  <c r="BW144" i="46" s="1"/>
  <c r="CK291" i="46"/>
  <c r="CD291" i="46"/>
  <c r="CR291" i="46" s="1"/>
  <c r="BI330" i="46"/>
  <c r="BW330" i="46" s="1"/>
  <c r="BP330" i="46"/>
  <c r="BP101" i="46"/>
  <c r="BI101" i="46"/>
  <c r="BW101" i="46" s="1"/>
  <c r="Z171" i="46"/>
  <c r="S171" i="46"/>
  <c r="AG171" i="46" s="1"/>
  <c r="BP112" i="46"/>
  <c r="BI112" i="46"/>
  <c r="BW112" i="46" s="1"/>
  <c r="AN309" i="46"/>
  <c r="BB309" i="46" s="1"/>
  <c r="AU309" i="46"/>
  <c r="BP327" i="46"/>
  <c r="BI327" i="46"/>
  <c r="BW327" i="46" s="1"/>
  <c r="BI165" i="46"/>
  <c r="BW165" i="46" s="1"/>
  <c r="BP165" i="46"/>
  <c r="BI304" i="46"/>
  <c r="BW304" i="46" s="1"/>
  <c r="BP304" i="46"/>
  <c r="BI340" i="46"/>
  <c r="BW340" i="46" s="1"/>
  <c r="BP340" i="46"/>
  <c r="S73" i="46"/>
  <c r="AG73" i="46" s="1"/>
  <c r="Z73" i="46"/>
  <c r="BI274" i="46"/>
  <c r="BW274" i="46" s="1"/>
  <c r="BP274" i="46"/>
  <c r="BP176" i="46"/>
  <c r="BI176" i="46"/>
  <c r="BW176" i="46" s="1"/>
  <c r="BP40" i="46"/>
  <c r="BI40" i="46"/>
  <c r="BW40" i="46" s="1"/>
  <c r="AN134" i="46"/>
  <c r="BB134" i="46" s="1"/>
  <c r="AU134" i="46"/>
  <c r="AU112" i="46"/>
  <c r="AN112" i="46"/>
  <c r="BB112" i="46" s="1"/>
  <c r="S296" i="46"/>
  <c r="AG296" i="46" s="1"/>
  <c r="Z296" i="46"/>
  <c r="BI118" i="46"/>
  <c r="BW118" i="46" s="1"/>
  <c r="BP118" i="46"/>
  <c r="AU20" i="46"/>
  <c r="AN20" i="46"/>
  <c r="BB20" i="46" s="1"/>
  <c r="BI297" i="46"/>
  <c r="BW297" i="46" s="1"/>
  <c r="BP297" i="46"/>
  <c r="CD57" i="46"/>
  <c r="CR57" i="46" s="1"/>
  <c r="CK57" i="46"/>
  <c r="CK222" i="46"/>
  <c r="CD222" i="46"/>
  <c r="CR222" i="46" s="1"/>
  <c r="BI333" i="46"/>
  <c r="BW333" i="46" s="1"/>
  <c r="BP333" i="46"/>
  <c r="CD273" i="46"/>
  <c r="CR273" i="46" s="1"/>
  <c r="CK273" i="46"/>
  <c r="BI235" i="46"/>
  <c r="BW235" i="46" s="1"/>
  <c r="BP235" i="46"/>
  <c r="S230" i="46"/>
  <c r="AG230" i="46" s="1"/>
  <c r="Z230" i="46"/>
  <c r="BI192" i="46"/>
  <c r="BW192" i="46" s="1"/>
  <c r="BP192" i="46"/>
  <c r="BI279" i="46"/>
  <c r="BW279" i="46" s="1"/>
  <c r="BP279" i="46"/>
  <c r="CK290" i="46"/>
  <c r="CD290" i="46"/>
  <c r="CR290" i="46" s="1"/>
  <c r="BP164" i="46"/>
  <c r="BI164" i="46"/>
  <c r="BW164" i="46" s="1"/>
  <c r="AN65" i="46"/>
  <c r="BB65" i="46" s="1"/>
  <c r="AU65" i="46"/>
  <c r="BI301" i="46"/>
  <c r="BW301" i="46" s="1"/>
  <c r="BP301" i="46"/>
  <c r="CK55" i="46"/>
  <c r="CD55" i="46"/>
  <c r="CR55" i="46" s="1"/>
  <c r="AU137" i="46"/>
  <c r="AN137" i="46"/>
  <c r="BB137" i="46" s="1"/>
  <c r="AU77" i="46"/>
  <c r="AN77" i="46"/>
  <c r="BB77" i="46" s="1"/>
  <c r="CK13" i="46"/>
  <c r="CD13" i="46"/>
  <c r="BI186" i="46"/>
  <c r="BW186" i="46" s="1"/>
  <c r="BP186" i="46"/>
  <c r="BP55" i="46"/>
  <c r="BI55" i="46"/>
  <c r="BW55" i="46" s="1"/>
  <c r="BI282" i="46"/>
  <c r="BW282" i="46" s="1"/>
  <c r="BP282" i="46"/>
  <c r="BI16" i="46"/>
  <c r="BW16" i="46" s="1"/>
  <c r="BP16" i="46"/>
  <c r="BP180" i="46"/>
  <c r="BI180" i="46"/>
  <c r="BW180" i="46" s="1"/>
  <c r="BI171" i="46"/>
  <c r="BW171" i="46" s="1"/>
  <c r="BP171" i="46"/>
  <c r="BI122" i="46"/>
  <c r="BW122" i="46" s="1"/>
  <c r="BP122" i="46"/>
  <c r="BI198" i="46"/>
  <c r="BW198" i="46" s="1"/>
  <c r="BP198" i="46"/>
  <c r="Z217" i="46"/>
  <c r="S217" i="46"/>
  <c r="AG217" i="46" s="1"/>
  <c r="BP13" i="46"/>
  <c r="BI13" i="46"/>
  <c r="Z293" i="46"/>
  <c r="S293" i="46"/>
  <c r="AG293" i="46" s="1"/>
  <c r="AN299" i="46"/>
  <c r="BB299" i="46" s="1"/>
  <c r="AU299" i="46"/>
  <c r="BP141" i="46"/>
  <c r="BI141" i="46"/>
  <c r="BW141" i="46" s="1"/>
  <c r="BP249" i="46"/>
  <c r="BI249" i="46"/>
  <c r="BW249" i="46" s="1"/>
  <c r="BI331" i="46"/>
  <c r="BW331" i="46" s="1"/>
  <c r="BP331" i="46"/>
  <c r="BI114" i="46"/>
  <c r="BW114" i="46" s="1"/>
  <c r="BP114" i="46"/>
  <c r="BP344" i="46"/>
  <c r="BI344" i="46"/>
  <c r="BW344" i="46" s="1"/>
  <c r="CD341" i="46"/>
  <c r="CR341" i="46" s="1"/>
  <c r="CK341" i="46"/>
  <c r="BP280" i="46"/>
  <c r="BI280" i="46"/>
  <c r="BW280" i="46" s="1"/>
  <c r="AU44" i="46"/>
  <c r="AN44" i="46"/>
  <c r="BB44" i="46" s="1"/>
  <c r="CD327" i="46"/>
  <c r="CR327" i="46" s="1"/>
  <c r="CK327" i="46"/>
  <c r="S95" i="46"/>
  <c r="AG95" i="46" s="1"/>
  <c r="Z95" i="46"/>
  <c r="BP326" i="46"/>
  <c r="BI326" i="46"/>
  <c r="BW326" i="46" s="1"/>
  <c r="BP49" i="46"/>
  <c r="BI49" i="46"/>
  <c r="BW49" i="46" s="1"/>
  <c r="AU184" i="46"/>
  <c r="AN184" i="46"/>
  <c r="BB184" i="46" s="1"/>
  <c r="CK87" i="46"/>
  <c r="CD87" i="46"/>
  <c r="CR87" i="46" s="1"/>
  <c r="CK230" i="46"/>
  <c r="CD230" i="46"/>
  <c r="CR230" i="46" s="1"/>
  <c r="BI346" i="46"/>
  <c r="BW346" i="46" s="1"/>
  <c r="BP346" i="46"/>
  <c r="BI149" i="46"/>
  <c r="BW149" i="46" s="1"/>
  <c r="BP149" i="46"/>
  <c r="BP76" i="46"/>
  <c r="BI76" i="46"/>
  <c r="BW76" i="46" s="1"/>
  <c r="BP335" i="46"/>
  <c r="BI335" i="46"/>
  <c r="BW335" i="46" s="1"/>
  <c r="BI338" i="46"/>
  <c r="BW338" i="46" s="1"/>
  <c r="BP338" i="46"/>
  <c r="BI228" i="46"/>
  <c r="BW228" i="46" s="1"/>
  <c r="BP228" i="46"/>
  <c r="BP30" i="46"/>
  <c r="BI30" i="46"/>
  <c r="BW30" i="46" s="1"/>
  <c r="CD239" i="46"/>
  <c r="CR239" i="46" s="1"/>
  <c r="CK239" i="46"/>
  <c r="BI177" i="46"/>
  <c r="BW177" i="46" s="1"/>
  <c r="BP177" i="46"/>
  <c r="CD118" i="46"/>
  <c r="CR118" i="46" s="1"/>
  <c r="CK118" i="46"/>
  <c r="BP155" i="46"/>
  <c r="BI155" i="46"/>
  <c r="BW155" i="46" s="1"/>
  <c r="BI189" i="46"/>
  <c r="BW189" i="46" s="1"/>
  <c r="BP189" i="46"/>
  <c r="CD199" i="46"/>
  <c r="CR199" i="46" s="1"/>
  <c r="CK199" i="46"/>
  <c r="CD237" i="46"/>
  <c r="CR237" i="46" s="1"/>
  <c r="CK237" i="46"/>
  <c r="BI22" i="46"/>
  <c r="BW22" i="46" s="1"/>
  <c r="BP22" i="46"/>
  <c r="BP107" i="46"/>
  <c r="BI107" i="46"/>
  <c r="BW107" i="46" s="1"/>
  <c r="BP38" i="46"/>
  <c r="BI38" i="46"/>
  <c r="BW38" i="46" s="1"/>
  <c r="BI317" i="46"/>
  <c r="BW317" i="46" s="1"/>
  <c r="BP317" i="46"/>
  <c r="AN289" i="46"/>
  <c r="BB289" i="46" s="1"/>
  <c r="AU289" i="46"/>
  <c r="CD98" i="46"/>
  <c r="CR98" i="46" s="1"/>
  <c r="CK98" i="46"/>
  <c r="BP251" i="46"/>
  <c r="BI251" i="46"/>
  <c r="BW251" i="46" s="1"/>
  <c r="Z291" i="46"/>
  <c r="S291" i="46"/>
  <c r="AG291" i="46" s="1"/>
  <c r="CD261" i="46"/>
  <c r="CR261" i="46" s="1"/>
  <c r="CK261" i="46"/>
  <c r="BI289" i="46"/>
  <c r="BW289" i="46" s="1"/>
  <c r="BP289" i="46"/>
  <c r="Z125" i="46"/>
  <c r="S125" i="46"/>
  <c r="AG125" i="46" s="1"/>
  <c r="AU110" i="46"/>
  <c r="AN110" i="46"/>
  <c r="BB110" i="46" s="1"/>
  <c r="BP202" i="46"/>
  <c r="BI202" i="46"/>
  <c r="BW202" i="46" s="1"/>
  <c r="AN60" i="46"/>
  <c r="BB60" i="46" s="1"/>
  <c r="AU60" i="46"/>
  <c r="AU207" i="46"/>
  <c r="AN207" i="46"/>
  <c r="BB207" i="46" s="1"/>
  <c r="AU74" i="46"/>
  <c r="AN74" i="46"/>
  <c r="BB74" i="46" s="1"/>
  <c r="Z312" i="46"/>
  <c r="S312" i="46"/>
  <c r="AG312" i="46" s="1"/>
  <c r="AN130" i="46"/>
  <c r="BB130" i="46" s="1"/>
  <c r="AU130" i="46"/>
  <c r="CK132" i="46"/>
  <c r="CD132" i="46"/>
  <c r="CR132" i="46" s="1"/>
  <c r="Z49" i="46"/>
  <c r="S49" i="46"/>
  <c r="AG49" i="46" s="1"/>
  <c r="AU251" i="46"/>
  <c r="AN251" i="46"/>
  <c r="BB251" i="46" s="1"/>
  <c r="CK240" i="46"/>
  <c r="CD240" i="46"/>
  <c r="CR240" i="46" s="1"/>
  <c r="BI309" i="46"/>
  <c r="BW309" i="46" s="1"/>
  <c r="BP309" i="46"/>
  <c r="CD15" i="46"/>
  <c r="CR15" i="46" s="1"/>
  <c r="CK15" i="46"/>
  <c r="BI334" i="46"/>
  <c r="BW334" i="46" s="1"/>
  <c r="BP334" i="46"/>
  <c r="BP174" i="46"/>
  <c r="BI174" i="46"/>
  <c r="BW174" i="46" s="1"/>
  <c r="BP67" i="46"/>
  <c r="BI67" i="46"/>
  <c r="BW67" i="46" s="1"/>
  <c r="BI70" i="46"/>
  <c r="BW70" i="46" s="1"/>
  <c r="BP70" i="46"/>
  <c r="CD304" i="46"/>
  <c r="CR304" i="46" s="1"/>
  <c r="CK304" i="46"/>
  <c r="BP190" i="46"/>
  <c r="BI190" i="46"/>
  <c r="BW190" i="46" s="1"/>
  <c r="S166" i="46"/>
  <c r="AG166" i="46" s="1"/>
  <c r="Z166" i="46"/>
  <c r="BI278" i="46"/>
  <c r="BW278" i="46" s="1"/>
  <c r="BP278" i="46"/>
  <c r="BP212" i="46"/>
  <c r="BI212" i="46"/>
  <c r="BW212" i="46" s="1"/>
  <c r="GU54" i="37"/>
  <c r="GO54" i="37"/>
  <c r="GR54" i="37" s="1"/>
  <c r="GU54" i="39"/>
  <c r="GO54" i="39"/>
  <c r="GR54" i="39" s="1"/>
  <c r="BI243" i="46"/>
  <c r="BW243" i="46" s="1"/>
  <c r="BP243" i="46"/>
  <c r="BP169" i="46"/>
  <c r="BI169" i="46"/>
  <c r="BW169" i="46" s="1"/>
  <c r="BI268" i="46"/>
  <c r="BW268" i="46" s="1"/>
  <c r="BP268" i="46"/>
  <c r="BP173" i="46"/>
  <c r="BI173" i="46"/>
  <c r="BW173" i="46" s="1"/>
  <c r="BP133" i="46"/>
  <c r="BI133" i="46"/>
  <c r="BW133" i="46" s="1"/>
  <c r="BP60" i="46"/>
  <c r="BI60" i="46"/>
  <c r="BW60" i="46" s="1"/>
  <c r="CK314" i="46"/>
  <c r="CD314" i="46"/>
  <c r="CR314" i="46" s="1"/>
  <c r="BI131" i="46"/>
  <c r="BW131" i="46" s="1"/>
  <c r="BP131" i="46"/>
  <c r="Z128" i="46"/>
  <c r="S128" i="46"/>
  <c r="AG128" i="46" s="1"/>
  <c r="BI18" i="46"/>
  <c r="BW18" i="46" s="1"/>
  <c r="BP18" i="46"/>
  <c r="AN300" i="46"/>
  <c r="BB300" i="46" s="1"/>
  <c r="AU300" i="46"/>
  <c r="AU26" i="46"/>
  <c r="AN26" i="46"/>
  <c r="BB26" i="46" s="1"/>
  <c r="BP347" i="46"/>
  <c r="BI347" i="46"/>
  <c r="BW347" i="46" s="1"/>
  <c r="BP187" i="46"/>
  <c r="BI187" i="46"/>
  <c r="BW187" i="46" s="1"/>
  <c r="CD124" i="46"/>
  <c r="CR124" i="46" s="1"/>
  <c r="CK124" i="46"/>
  <c r="BP216" i="46"/>
  <c r="BI216" i="46"/>
  <c r="BW216" i="46" s="1"/>
  <c r="AN237" i="46"/>
  <c r="BB237" i="46" s="1"/>
  <c r="AU237" i="46"/>
  <c r="BI214" i="46"/>
  <c r="BW214" i="46" s="1"/>
  <c r="BP214" i="46"/>
  <c r="S253" i="46"/>
  <c r="AG253" i="46" s="1"/>
  <c r="Z253" i="46"/>
  <c r="BP293" i="46"/>
  <c r="BI293" i="46"/>
  <c r="BW293" i="46" s="1"/>
  <c r="BI318" i="46"/>
  <c r="BW318" i="46" s="1"/>
  <c r="BP318" i="46"/>
  <c r="BP306" i="46"/>
  <c r="BI306" i="46"/>
  <c r="BW306" i="46" s="1"/>
  <c r="BI200" i="46"/>
  <c r="BW200" i="46" s="1"/>
  <c r="BP200" i="46"/>
  <c r="BI206" i="46"/>
  <c r="BW206" i="46" s="1"/>
  <c r="BP206" i="46"/>
  <c r="BI288" i="46"/>
  <c r="BW288" i="46" s="1"/>
  <c r="BP288" i="46"/>
  <c r="BP255" i="46"/>
  <c r="BI255" i="46"/>
  <c r="BW255" i="46" s="1"/>
  <c r="AN13" i="46"/>
  <c r="AU13" i="46"/>
  <c r="S147" i="46"/>
  <c r="AG147" i="46" s="1"/>
  <c r="Z147" i="46"/>
  <c r="AU277" i="46"/>
  <c r="AN277" i="46"/>
  <c r="BB277" i="46" s="1"/>
  <c r="CD138" i="46"/>
  <c r="CR138" i="46" s="1"/>
  <c r="CK138" i="46"/>
  <c r="BP75" i="46"/>
  <c r="BI75" i="46"/>
  <c r="BW75" i="46" s="1"/>
  <c r="AA13" i="46"/>
  <c r="AU192" i="46"/>
  <c r="AN192" i="46"/>
  <c r="BB192" i="46" s="1"/>
  <c r="Z151" i="46"/>
  <c r="S151" i="46"/>
  <c r="AG151" i="46" s="1"/>
  <c r="AN86" i="46"/>
  <c r="BB86" i="46" s="1"/>
  <c r="AU86" i="46"/>
  <c r="AU255" i="46"/>
  <c r="AN255" i="46"/>
  <c r="BB255" i="46" s="1"/>
  <c r="BP269" i="46"/>
  <c r="BI269" i="46"/>
  <c r="BW269" i="46" s="1"/>
  <c r="GU54" i="32"/>
  <c r="GO54" i="32"/>
  <c r="GR54" i="32" s="1"/>
  <c r="HD54" i="32" s="1"/>
  <c r="CK211" i="46"/>
  <c r="CD211" i="46"/>
  <c r="CR211" i="46" s="1"/>
  <c r="AN221" i="46"/>
  <c r="BB221" i="46" s="1"/>
  <c r="AU221" i="46"/>
  <c r="BI140" i="46"/>
  <c r="BW140" i="46" s="1"/>
  <c r="BP140" i="46"/>
  <c r="BP20" i="46"/>
  <c r="BI20" i="46"/>
  <c r="BW20" i="46" s="1"/>
  <c r="BI72" i="46"/>
  <c r="BW72" i="46" s="1"/>
  <c r="BP72" i="46"/>
  <c r="BI84" i="46"/>
  <c r="BW84" i="46" s="1"/>
  <c r="BP84" i="46"/>
  <c r="CD33" i="46"/>
  <c r="CR33" i="46" s="1"/>
  <c r="CK33" i="46"/>
  <c r="BI217" i="46"/>
  <c r="BW217" i="46" s="1"/>
  <c r="BP217" i="46"/>
  <c r="BP124" i="46"/>
  <c r="BI124" i="46"/>
  <c r="BW124" i="46" s="1"/>
  <c r="BI148" i="46"/>
  <c r="BW148" i="46" s="1"/>
  <c r="BP148" i="46"/>
  <c r="BP125" i="46"/>
  <c r="BI125" i="46"/>
  <c r="BW125" i="46" s="1"/>
  <c r="BP123" i="46"/>
  <c r="BI123" i="46"/>
  <c r="BW123" i="46" s="1"/>
  <c r="BI160" i="46"/>
  <c r="BW160" i="46" s="1"/>
  <c r="BP160" i="46"/>
  <c r="BP320" i="46"/>
  <c r="BI320" i="46"/>
  <c r="BW320" i="46" s="1"/>
  <c r="BP34" i="46"/>
  <c r="BI34" i="46"/>
  <c r="BW34" i="46" s="1"/>
  <c r="BP264" i="46"/>
  <c r="BI264" i="46"/>
  <c r="BW264" i="46" s="1"/>
  <c r="BI59" i="46"/>
  <c r="BW59" i="46" s="1"/>
  <c r="BP59" i="46"/>
  <c r="BP303" i="46"/>
  <c r="BI303" i="46"/>
  <c r="BW303" i="46" s="1"/>
  <c r="BP194" i="46"/>
  <c r="BI194" i="46"/>
  <c r="BW194" i="46" s="1"/>
  <c r="S98" i="46"/>
  <c r="AG98" i="46" s="1"/>
  <c r="Z98" i="46"/>
  <c r="Z83" i="46"/>
  <c r="S83" i="46"/>
  <c r="AG83" i="46" s="1"/>
  <c r="AG13" i="46"/>
  <c r="H229" i="1"/>
  <c r="S199" i="46"/>
  <c r="AG199" i="46" s="1"/>
  <c r="Z199" i="46"/>
  <c r="Z237" i="46"/>
  <c r="S237" i="46"/>
  <c r="AG237" i="46" s="1"/>
  <c r="GO54" i="38"/>
  <c r="GR54" i="38" s="1"/>
  <c r="GU54" i="38"/>
  <c r="S159" i="46"/>
  <c r="AG159" i="46" s="1"/>
  <c r="Z159" i="46"/>
  <c r="CD65" i="46"/>
  <c r="CR65" i="46" s="1"/>
  <c r="CK65" i="46"/>
  <c r="CD116" i="46"/>
  <c r="CR116" i="46" s="1"/>
  <c r="CK116" i="46"/>
  <c r="BP167" i="46"/>
  <c r="BI167" i="46"/>
  <c r="BW167" i="46" s="1"/>
  <c r="Z306" i="46"/>
  <c r="S306" i="46"/>
  <c r="AG306" i="46" s="1"/>
  <c r="BP161" i="46"/>
  <c r="BI161" i="46"/>
  <c r="BW161" i="46" s="1"/>
  <c r="CK220" i="46"/>
  <c r="CD220" i="46"/>
  <c r="CR220" i="46" s="1"/>
  <c r="CK278" i="46"/>
  <c r="CD278" i="46"/>
  <c r="CR278" i="46" s="1"/>
  <c r="BP325" i="46"/>
  <c r="BI325" i="46"/>
  <c r="BW325" i="46" s="1"/>
  <c r="BP266" i="46"/>
  <c r="BI266" i="46"/>
  <c r="BW266" i="46" s="1"/>
  <c r="BP136" i="46"/>
  <c r="BI136" i="46"/>
  <c r="BW136" i="46" s="1"/>
  <c r="BP81" i="46"/>
  <c r="BI81" i="46"/>
  <c r="BW81" i="46" s="1"/>
  <c r="AU245" i="46"/>
  <c r="AN245" i="46"/>
  <c r="BB245" i="46" s="1"/>
  <c r="BP258" i="46"/>
  <c r="BI258" i="46"/>
  <c r="BW258" i="46" s="1"/>
  <c r="BP116" i="46"/>
  <c r="BI116" i="46"/>
  <c r="BW116" i="46" s="1"/>
  <c r="BP47" i="46"/>
  <c r="BI47" i="46"/>
  <c r="BW47" i="46" s="1"/>
  <c r="BP236" i="46"/>
  <c r="BI236" i="46"/>
  <c r="BW236" i="46" s="1"/>
  <c r="AU97" i="46"/>
  <c r="AN97" i="46"/>
  <c r="BB97" i="46" s="1"/>
  <c r="BP181" i="46"/>
  <c r="BI181" i="46"/>
  <c r="BW181" i="46" s="1"/>
  <c r="BP44" i="46"/>
  <c r="BI44" i="46"/>
  <c r="BW44" i="46" s="1"/>
  <c r="BI211" i="46"/>
  <c r="BW211" i="46" s="1"/>
  <c r="BP211" i="46"/>
  <c r="AN96" i="46"/>
  <c r="BB96" i="46" s="1"/>
  <c r="AU96" i="46"/>
  <c r="GO54" i="55"/>
  <c r="GR54" i="55" s="1"/>
  <c r="HD54" i="55" s="1"/>
  <c r="GU54" i="55"/>
  <c r="N229" i="1" l="1"/>
  <c r="R230" i="1"/>
  <c r="B19" i="57"/>
  <c r="CL13" i="46"/>
  <c r="R248" i="1"/>
  <c r="N248" i="1"/>
  <c r="N247" i="1"/>
  <c r="E19" i="57"/>
  <c r="P248" i="1"/>
  <c r="E15" i="57"/>
  <c r="N230" i="1"/>
  <c r="Y13" i="46"/>
  <c r="AA14" i="46"/>
  <c r="Y14" i="46" s="1"/>
  <c r="HJ54" i="37"/>
  <c r="HH54" i="37" s="1"/>
  <c r="HQ54" i="37"/>
  <c r="BW13" i="46"/>
  <c r="H241" i="1"/>
  <c r="BQ13" i="46"/>
  <c r="BO13" i="46" s="1"/>
  <c r="D19" i="57"/>
  <c r="D15" i="57"/>
  <c r="N242" i="1"/>
  <c r="R242" i="1"/>
  <c r="N241" i="1"/>
  <c r="P242" i="1"/>
  <c r="AV13" i="46"/>
  <c r="N236" i="1"/>
  <c r="C15" i="57"/>
  <c r="P236" i="1"/>
  <c r="R236" i="1"/>
  <c r="N235" i="1"/>
  <c r="C19" i="57"/>
  <c r="HQ54" i="55"/>
  <c r="HJ54" i="55"/>
  <c r="HH54" i="55" s="1"/>
  <c r="P230" i="1"/>
  <c r="BB13" i="46"/>
  <c r="H235" i="1"/>
  <c r="HJ54" i="32"/>
  <c r="HH54" i="32" s="1"/>
  <c r="HQ54" i="32"/>
  <c r="B15" i="57"/>
  <c r="HQ54" i="39"/>
  <c r="HJ54" i="39"/>
  <c r="HH54" i="39" s="1"/>
  <c r="HJ54" i="38"/>
  <c r="HH54" i="38" s="1"/>
  <c r="HQ54" i="38"/>
  <c r="CR13" i="46"/>
  <c r="H247" i="1"/>
  <c r="BQ14" i="46" l="1"/>
  <c r="BO14" i="46" s="1"/>
  <c r="AA15" i="46"/>
  <c r="F25" i="49"/>
  <c r="B13" i="57"/>
  <c r="T230" i="1"/>
  <c r="HO54" i="38"/>
  <c r="E23" i="38" s="1"/>
  <c r="E25" i="38"/>
  <c r="HO54" i="39"/>
  <c r="E23" i="39" s="1"/>
  <c r="E25" i="39"/>
  <c r="HO54" i="32"/>
  <c r="E23" i="32" s="1"/>
  <c r="E25" i="32"/>
  <c r="T248" i="1"/>
  <c r="E13" i="57"/>
  <c r="F28" i="49"/>
  <c r="HO54" i="55"/>
  <c r="E23" i="55" s="1"/>
  <c r="E25" i="55"/>
  <c r="CJ13" i="46"/>
  <c r="CL14" i="46"/>
  <c r="CJ14" i="46" s="1"/>
  <c r="D13" i="57"/>
  <c r="T242" i="1"/>
  <c r="F27" i="49"/>
  <c r="T236" i="1"/>
  <c r="C13" i="57"/>
  <c r="F26" i="49"/>
  <c r="AT13" i="46"/>
  <c r="AV14" i="46"/>
  <c r="HO54" i="37"/>
  <c r="E23" i="37" s="1"/>
  <c r="E25" i="37"/>
  <c r="BQ15" i="46" l="1"/>
  <c r="BQ16" i="46" s="1"/>
  <c r="E48" i="32"/>
  <c r="G48" i="32"/>
  <c r="E49" i="32"/>
  <c r="H48" i="32"/>
  <c r="G49" i="32"/>
  <c r="C20" i="57"/>
  <c r="C16" i="57"/>
  <c r="C17" i="57" s="1"/>
  <c r="E32" i="37"/>
  <c r="E26" i="37"/>
  <c r="J81" i="1" s="1"/>
  <c r="E32" i="38"/>
  <c r="E26" i="38"/>
  <c r="L81" i="1" s="1"/>
  <c r="E32" i="39"/>
  <c r="E26" i="39"/>
  <c r="N81" i="1" s="1"/>
  <c r="G49" i="37"/>
  <c r="E48" i="37"/>
  <c r="E49" i="37"/>
  <c r="G48" i="37"/>
  <c r="H48" i="37"/>
  <c r="AT14" i="46"/>
  <c r="AV15" i="46"/>
  <c r="BO16" i="46"/>
  <c r="BQ17" i="46"/>
  <c r="BO15" i="46"/>
  <c r="G49" i="39"/>
  <c r="H48" i="39"/>
  <c r="G48" i="39"/>
  <c r="E49" i="39"/>
  <c r="E48" i="39"/>
  <c r="B16" i="57"/>
  <c r="B17" i="57" s="1"/>
  <c r="B20" i="57"/>
  <c r="E26" i="55"/>
  <c r="P81" i="1" s="1"/>
  <c r="E32" i="55"/>
  <c r="J33" i="1"/>
  <c r="G34" i="1" s="1"/>
  <c r="D20" i="57"/>
  <c r="D16" i="57"/>
  <c r="D17" i="57" s="1"/>
  <c r="CL15" i="46"/>
  <c r="E48" i="55"/>
  <c r="G49" i="55"/>
  <c r="G48" i="55"/>
  <c r="E49" i="55"/>
  <c r="H48" i="55"/>
  <c r="AA16" i="46"/>
  <c r="E20" i="57"/>
  <c r="E16" i="57"/>
  <c r="E17" i="57" s="1"/>
  <c r="J32" i="32"/>
  <c r="E32" i="32"/>
  <c r="E26" i="32"/>
  <c r="H81" i="1" s="1"/>
  <c r="E49" i="38"/>
  <c r="E48" i="38"/>
  <c r="G48" i="38"/>
  <c r="G49" i="38"/>
  <c r="H48" i="38"/>
  <c r="Y15" i="46"/>
  <c r="D26" i="57" l="1"/>
  <c r="D43" i="57" s="1"/>
  <c r="D45" i="57" s="1"/>
  <c r="C26" i="57"/>
  <c r="C43" i="57" s="1"/>
  <c r="C45" i="57" s="1"/>
  <c r="E22" i="37"/>
  <c r="E24" i="37" s="1"/>
  <c r="J80" i="1" s="1"/>
  <c r="J109" i="1" s="1"/>
  <c r="J33" i="37"/>
  <c r="J35" i="37"/>
  <c r="E26" i="57"/>
  <c r="E43" i="57" s="1"/>
  <c r="E45" i="57" s="1"/>
  <c r="J33" i="39"/>
  <c r="J35" i="39"/>
  <c r="E22" i="39"/>
  <c r="E24" i="39" s="1"/>
  <c r="N80" i="1" s="1"/>
  <c r="N109" i="1" s="1"/>
  <c r="AA17" i="46"/>
  <c r="Y16" i="46"/>
  <c r="J33" i="55"/>
  <c r="J35" i="55"/>
  <c r="E22" i="55"/>
  <c r="E24" i="55" s="1"/>
  <c r="P80" i="1" s="1"/>
  <c r="P109" i="1" s="1"/>
  <c r="BO17" i="46"/>
  <c r="BQ18" i="46"/>
  <c r="AT15" i="46"/>
  <c r="AV16" i="46"/>
  <c r="CL16" i="46"/>
  <c r="CJ16" i="46" s="1"/>
  <c r="CJ15" i="46"/>
  <c r="E22" i="38"/>
  <c r="E24" i="38" s="1"/>
  <c r="L80" i="1" s="1"/>
  <c r="L109" i="1" s="1"/>
  <c r="J35" i="38"/>
  <c r="J33" i="38"/>
  <c r="B26" i="57"/>
  <c r="B43" i="57" s="1"/>
  <c r="B45" i="57" s="1"/>
  <c r="J33" i="32"/>
  <c r="J35" i="32"/>
  <c r="E22" i="32"/>
  <c r="E24" i="32" s="1"/>
  <c r="H80" i="1" s="1"/>
  <c r="H109" i="1" s="1"/>
  <c r="H112" i="1" l="1"/>
  <c r="H164" i="1"/>
  <c r="P164" i="1"/>
  <c r="P112" i="1"/>
  <c r="AA18" i="46"/>
  <c r="Y18" i="46" s="1"/>
  <c r="N112" i="1"/>
  <c r="N164" i="1"/>
  <c r="L164" i="1"/>
  <c r="L112" i="1"/>
  <c r="CL17" i="46"/>
  <c r="BO18" i="46"/>
  <c r="BQ19" i="46"/>
  <c r="Y17" i="46"/>
  <c r="AT16" i="46"/>
  <c r="AV17" i="46"/>
  <c r="J164" i="1"/>
  <c r="J112" i="1"/>
  <c r="CL18" i="46" l="1"/>
  <c r="BO19" i="46"/>
  <c r="BQ20" i="46"/>
  <c r="CJ17" i="46"/>
  <c r="N113" i="1"/>
  <c r="N165" i="1" s="1"/>
  <c r="N133" i="1"/>
  <c r="N160" i="1" s="1"/>
  <c r="N169" i="1" s="1"/>
  <c r="L133" i="1"/>
  <c r="L160" i="1" s="1"/>
  <c r="L113" i="1"/>
  <c r="L165" i="1" s="1"/>
  <c r="AA19" i="46"/>
  <c r="Y19" i="46" s="1"/>
  <c r="P113" i="1"/>
  <c r="P165" i="1" s="1"/>
  <c r="P133" i="1"/>
  <c r="P160" i="1" s="1"/>
  <c r="P169" i="1" s="1"/>
  <c r="J133" i="1"/>
  <c r="J160" i="1" s="1"/>
  <c r="J113" i="1"/>
  <c r="J165" i="1" s="1"/>
  <c r="AT17" i="46"/>
  <c r="AV18" i="46"/>
  <c r="H133" i="1"/>
  <c r="H135" i="1" s="1"/>
  <c r="H137" i="1" s="1"/>
  <c r="H138" i="1" s="1"/>
  <c r="H140" i="1" s="1"/>
  <c r="H174" i="1" s="1"/>
  <c r="H113" i="1"/>
  <c r="H165" i="1" s="1"/>
  <c r="H166" i="1" s="1"/>
  <c r="H167" i="1" s="1"/>
  <c r="H160" i="1"/>
  <c r="BO20" i="46" l="1"/>
  <c r="BQ21" i="46"/>
  <c r="Q171" i="1"/>
  <c r="P171" i="1"/>
  <c r="P172" i="1" s="1"/>
  <c r="P176" i="1" s="1"/>
  <c r="P177" i="1" s="1"/>
  <c r="AA20" i="46"/>
  <c r="Y20" i="46" s="1"/>
  <c r="CL19" i="46"/>
  <c r="CJ19" i="46" s="1"/>
  <c r="O171" i="1"/>
  <c r="N171" i="1"/>
  <c r="N172" i="1" s="1"/>
  <c r="N176" i="1" s="1"/>
  <c r="AT18" i="46"/>
  <c r="AV19" i="46"/>
  <c r="CJ18" i="46"/>
  <c r="AT19" i="46" l="1"/>
  <c r="AV20" i="46"/>
  <c r="AV21" i="46" s="1"/>
  <c r="BO21" i="46"/>
  <c r="BQ22" i="46"/>
  <c r="N177" i="1"/>
  <c r="H179" i="1" s="1"/>
  <c r="H178" i="1"/>
  <c r="CL20" i="46"/>
  <c r="AA21" i="46"/>
  <c r="Y21" i="46" s="1"/>
  <c r="AT20" i="46" l="1"/>
  <c r="CL21" i="46"/>
  <c r="CJ20" i="46"/>
  <c r="AA22" i="46"/>
  <c r="Y22" i="46" s="1"/>
  <c r="AT21" i="46"/>
  <c r="AV22" i="46"/>
  <c r="AT22" i="46" s="1"/>
  <c r="BO22" i="46"/>
  <c r="BQ23" i="46"/>
  <c r="BO23" i="46" l="1"/>
  <c r="BQ24" i="46"/>
  <c r="BO24" i="46" s="1"/>
  <c r="AV23" i="46"/>
  <c r="AT23" i="46" s="1"/>
  <c r="CL22" i="46"/>
  <c r="CJ22" i="46" s="1"/>
  <c r="AA23" i="46"/>
  <c r="Y23" i="46" s="1"/>
  <c r="CJ21" i="46"/>
  <c r="AA24" i="46" l="1"/>
  <c r="AA25" i="46" s="1"/>
  <c r="BQ25" i="46"/>
  <c r="CL23" i="46"/>
  <c r="CL24" i="46" s="1"/>
  <c r="AV24" i="46"/>
  <c r="AV25" i="46" s="1"/>
  <c r="AT24" i="46" l="1"/>
  <c r="CJ23" i="46"/>
  <c r="Y24" i="46"/>
  <c r="AT25" i="46"/>
  <c r="AV26" i="46"/>
  <c r="AT26" i="46" s="1"/>
  <c r="BQ26" i="46"/>
  <c r="BO26" i="46" s="1"/>
  <c r="CJ24" i="46"/>
  <c r="CL25" i="46"/>
  <c r="CJ25" i="46" s="1"/>
  <c r="BO25" i="46"/>
  <c r="Y25" i="46"/>
  <c r="AA26" i="46"/>
  <c r="AA27" i="46" s="1"/>
  <c r="Y26" i="46" l="1"/>
  <c r="Y27" i="46"/>
  <c r="AA28" i="46"/>
  <c r="CL26" i="46"/>
  <c r="BQ27" i="46"/>
  <c r="AV27" i="46"/>
  <c r="AV28" i="46" s="1"/>
  <c r="AT28" i="46" l="1"/>
  <c r="AV29" i="46"/>
  <c r="AT29" i="46" s="1"/>
  <c r="BQ28" i="46"/>
  <c r="BO28" i="46" s="1"/>
  <c r="CL27" i="46"/>
  <c r="CJ27" i="46" s="1"/>
  <c r="AT27" i="46"/>
  <c r="C3" i="47" s="1"/>
  <c r="BO27" i="46"/>
  <c r="CJ26" i="46"/>
  <c r="Y28" i="46"/>
  <c r="AA29" i="46"/>
  <c r="BQ29" i="46" l="1"/>
  <c r="BQ30" i="46" s="1"/>
  <c r="Y29" i="46"/>
  <c r="A5" i="47" s="1"/>
  <c r="AA30" i="46"/>
  <c r="CL28" i="46"/>
  <c r="AV30" i="46"/>
  <c r="BO29" i="46" l="1"/>
  <c r="AV31" i="46"/>
  <c r="AT31" i="46" s="1"/>
  <c r="CL29" i="46"/>
  <c r="CJ29" i="46" s="1"/>
  <c r="AT30" i="46"/>
  <c r="CJ28" i="46"/>
  <c r="Y30" i="46"/>
  <c r="AA31" i="46"/>
  <c r="BO30" i="46"/>
  <c r="BQ31" i="46"/>
  <c r="BQ32" i="46" s="1"/>
  <c r="BO32" i="46" l="1"/>
  <c r="BQ33" i="46"/>
  <c r="BO31" i="46"/>
  <c r="Y31" i="46"/>
  <c r="AA32" i="46"/>
  <c r="CL30" i="46"/>
  <c r="CL31" i="46" s="1"/>
  <c r="AV32" i="46"/>
  <c r="CJ31" i="46" l="1"/>
  <c r="CL32" i="46"/>
  <c r="CJ32" i="46" s="1"/>
  <c r="AV33" i="46"/>
  <c r="AT33" i="46" s="1"/>
  <c r="BO33" i="46"/>
  <c r="BQ34" i="46"/>
  <c r="BQ35" i="46" s="1"/>
  <c r="AT32" i="46"/>
  <c r="CJ30" i="46"/>
  <c r="Y32" i="46"/>
  <c r="AA33" i="46"/>
  <c r="BO35" i="46" l="1"/>
  <c r="BQ36" i="46"/>
  <c r="BO34" i="46"/>
  <c r="CL33" i="46"/>
  <c r="CJ33" i="46" s="1"/>
  <c r="Y33" i="46"/>
  <c r="AA34" i="46"/>
  <c r="AV34" i="46"/>
  <c r="AT34" i="46" s="1"/>
  <c r="Y34" i="46" l="1"/>
  <c r="AA35" i="46"/>
  <c r="BO36" i="46"/>
  <c r="BQ37" i="46"/>
  <c r="AV35" i="46"/>
  <c r="AT35" i="46" s="1"/>
  <c r="CL34" i="46"/>
  <c r="CJ34" i="46" s="1"/>
  <c r="AV36" i="46" l="1"/>
  <c r="AT36" i="46" s="1"/>
  <c r="Y35" i="46"/>
  <c r="AA36" i="46"/>
  <c r="AA37" i="46" s="1"/>
  <c r="CL35" i="46"/>
  <c r="CJ35" i="46" s="1"/>
  <c r="BQ38" i="46"/>
  <c r="BO38" i="46" s="1"/>
  <c r="BO37" i="46"/>
  <c r="Y36" i="46" l="1"/>
  <c r="BQ39" i="46"/>
  <c r="BO39" i="46" s="1"/>
  <c r="CL36" i="46"/>
  <c r="Y37" i="46"/>
  <c r="AA38" i="46"/>
  <c r="AV37" i="46"/>
  <c r="AA39" i="46" l="1"/>
  <c r="Y39" i="46" s="1"/>
  <c r="CL37" i="46"/>
  <c r="CL38" i="46" s="1"/>
  <c r="AV38" i="46"/>
  <c r="AT38" i="46" s="1"/>
  <c r="Y38" i="46"/>
  <c r="A8" i="47" s="1"/>
  <c r="AT37" i="46"/>
  <c r="C7" i="47" s="1"/>
  <c r="CJ36" i="46"/>
  <c r="BQ40" i="46"/>
  <c r="BQ41" i="46" s="1"/>
  <c r="BO40" i="46" l="1"/>
  <c r="CJ37" i="46"/>
  <c r="BO41" i="46"/>
  <c r="BQ42" i="46"/>
  <c r="AV39" i="46"/>
  <c r="CJ38" i="46"/>
  <c r="CL39" i="46"/>
  <c r="CL40" i="46" s="1"/>
  <c r="AA40" i="46"/>
  <c r="AA41" i="46" s="1"/>
  <c r="Y40" i="46" l="1"/>
  <c r="Y41" i="46"/>
  <c r="AA42" i="46"/>
  <c r="Y42" i="46" s="1"/>
  <c r="CJ39" i="46"/>
  <c r="BO42" i="46"/>
  <c r="BQ43" i="46"/>
  <c r="CJ40" i="46"/>
  <c r="CL41" i="46"/>
  <c r="AV40" i="46"/>
  <c r="AT40" i="46" s="1"/>
  <c r="AT39" i="46"/>
  <c r="AV41" i="46" l="1"/>
  <c r="AT41" i="46" s="1"/>
  <c r="CL42" i="46"/>
  <c r="CJ42" i="46" s="1"/>
  <c r="AA43" i="46"/>
  <c r="Y43" i="46" s="1"/>
  <c r="CJ41" i="46"/>
  <c r="BO43" i="46"/>
  <c r="BQ44" i="46"/>
  <c r="BO44" i="46" s="1"/>
  <c r="AA44" i="46" l="1"/>
  <c r="Y44" i="46" s="1"/>
  <c r="BQ45" i="46"/>
  <c r="CL43" i="46"/>
  <c r="CL44" i="46" s="1"/>
  <c r="AV42" i="46"/>
  <c r="AV43" i="46" l="1"/>
  <c r="AV44" i="46" s="1"/>
  <c r="AT42" i="46"/>
  <c r="CJ43" i="46"/>
  <c r="CJ44" i="46"/>
  <c r="CL45" i="46"/>
  <c r="BQ46" i="46"/>
  <c r="BO46" i="46" s="1"/>
  <c r="BQ51" i="46"/>
  <c r="BO51" i="46" s="1"/>
  <c r="BO45" i="46"/>
  <c r="AA45" i="46"/>
  <c r="Y45" i="46" s="1"/>
  <c r="AT43" i="46" l="1"/>
  <c r="BQ52" i="46"/>
  <c r="BO52" i="46" s="1"/>
  <c r="CJ45" i="46"/>
  <c r="CL46" i="46"/>
  <c r="CL47" i="46" s="1"/>
  <c r="CL51" i="46"/>
  <c r="CJ51" i="46" s="1"/>
  <c r="AA46" i="46"/>
  <c r="AA47" i="46" s="1"/>
  <c r="AA51" i="46"/>
  <c r="Y51" i="46" s="1"/>
  <c r="BQ47" i="46"/>
  <c r="AT44" i="46"/>
  <c r="AV45" i="46"/>
  <c r="CJ46" i="46" l="1"/>
  <c r="Y46" i="46"/>
  <c r="AV51" i="46"/>
  <c r="AV46" i="46"/>
  <c r="AT51" i="46"/>
  <c r="AT46" i="46"/>
  <c r="BQ48" i="46"/>
  <c r="BO48" i="46" s="1"/>
  <c r="Y47" i="46"/>
  <c r="AA48" i="46"/>
  <c r="AT45" i="46"/>
  <c r="BO47" i="46"/>
  <c r="AA52" i="46"/>
  <c r="AA53" i="46" s="1"/>
  <c r="CL52" i="46"/>
  <c r="CJ52" i="46" s="1"/>
  <c r="CJ47" i="46"/>
  <c r="CL48" i="46"/>
  <c r="BQ53" i="46"/>
  <c r="BO53" i="46" s="1"/>
  <c r="CL53" i="46" l="1"/>
  <c r="CJ53" i="46" s="1"/>
  <c r="CL49" i="46"/>
  <c r="CL50" i="46" s="1"/>
  <c r="CJ50" i="46" s="1"/>
  <c r="Y53" i="46"/>
  <c r="AA54" i="46"/>
  <c r="Y48" i="46"/>
  <c r="AA49" i="46"/>
  <c r="AA50" i="46" s="1"/>
  <c r="Y50" i="46" s="1"/>
  <c r="AV47" i="46"/>
  <c r="AT47" i="46" s="1"/>
  <c r="Y52" i="46"/>
  <c r="BQ49" i="46"/>
  <c r="BQ50" i="46" s="1"/>
  <c r="BO50" i="46" s="1"/>
  <c r="BQ54" i="46"/>
  <c r="CJ48" i="46"/>
  <c r="AV52" i="46"/>
  <c r="AT52" i="46" s="1"/>
  <c r="Y49" i="46" l="1"/>
  <c r="CJ49" i="46"/>
  <c r="BQ55" i="46"/>
  <c r="BO55" i="46" s="1"/>
  <c r="BO54" i="46"/>
  <c r="BO49" i="46"/>
  <c r="AV48" i="46"/>
  <c r="AT48" i="46" s="1"/>
  <c r="AV53" i="46"/>
  <c r="AT53" i="46" s="1"/>
  <c r="Y54" i="46"/>
  <c r="AA55" i="46"/>
  <c r="CL54" i="46"/>
  <c r="Y55" i="46" l="1"/>
  <c r="AA56" i="46"/>
  <c r="CL55" i="46"/>
  <c r="AV54" i="46"/>
  <c r="AV55" i="46" s="1"/>
  <c r="CJ54" i="46"/>
  <c r="AV49" i="46"/>
  <c r="AV50" i="46" s="1"/>
  <c r="AT50" i="46" s="1"/>
  <c r="BQ56" i="46"/>
  <c r="BO56" i="46" s="1"/>
  <c r="AT54" i="46" l="1"/>
  <c r="CL56" i="46"/>
  <c r="CL57" i="46" s="1"/>
  <c r="BQ57" i="46"/>
  <c r="BQ58" i="46" s="1"/>
  <c r="Y56" i="46"/>
  <c r="AA57" i="46"/>
  <c r="AT49" i="46"/>
  <c r="AT55" i="46"/>
  <c r="AV56" i="46"/>
  <c r="AT56" i="46" s="1"/>
  <c r="CJ55" i="46"/>
  <c r="CJ56" i="46" l="1"/>
  <c r="BO57" i="46"/>
  <c r="Y57" i="46"/>
  <c r="AA58" i="46"/>
  <c r="Y58" i="46" s="1"/>
  <c r="AV57" i="46"/>
  <c r="AT57" i="46" s="1"/>
  <c r="BO58" i="46"/>
  <c r="BQ59" i="46"/>
  <c r="BO59" i="46" s="1"/>
  <c r="CJ57" i="46"/>
  <c r="CL58" i="46"/>
  <c r="CJ58" i="46" l="1"/>
  <c r="CL59" i="46"/>
  <c r="CJ59" i="46"/>
  <c r="AA59" i="46"/>
  <c r="AA60" i="46" s="1"/>
  <c r="BQ60" i="46"/>
  <c r="BQ61" i="46" s="1"/>
  <c r="AV58" i="46"/>
  <c r="AT58" i="46" s="1"/>
  <c r="BO60" i="46" l="1"/>
  <c r="Y59" i="46"/>
  <c r="AV59" i="46"/>
  <c r="AT59" i="46" s="1"/>
  <c r="CL60" i="46"/>
  <c r="CL61" i="46" s="1"/>
  <c r="BO61" i="46"/>
  <c r="BQ62" i="46"/>
  <c r="Y60" i="46"/>
  <c r="AA61" i="46"/>
  <c r="Y61" i="46" s="1"/>
  <c r="CJ60" i="46" l="1"/>
  <c r="AA62" i="46"/>
  <c r="AA63" i="46" s="1"/>
  <c r="BO62" i="46"/>
  <c r="BQ63" i="46"/>
  <c r="CJ61" i="46"/>
  <c r="CL62" i="46"/>
  <c r="AV60" i="46"/>
  <c r="AV61" i="46" s="1"/>
  <c r="Y62" i="46" l="1"/>
  <c r="AT60" i="46"/>
  <c r="AT61" i="46"/>
  <c r="AV62" i="46"/>
  <c r="AV63" i="46" s="1"/>
  <c r="BO63" i="46"/>
  <c r="BQ64" i="46"/>
  <c r="CJ62" i="46"/>
  <c r="CL63" i="46"/>
  <c r="CL64" i="46" s="1"/>
  <c r="Y63" i="46"/>
  <c r="AA64" i="46"/>
  <c r="Y64" i="46" s="1"/>
  <c r="CJ63" i="46" l="1"/>
  <c r="AT63" i="46"/>
  <c r="AV64" i="46"/>
  <c r="AA65" i="46"/>
  <c r="Y65" i="46" s="1"/>
  <c r="BO64" i="46"/>
  <c r="BQ65" i="46"/>
  <c r="AT62" i="46"/>
  <c r="CJ64" i="46"/>
  <c r="CL65" i="46"/>
  <c r="CJ65" i="46" l="1"/>
  <c r="CL66" i="46"/>
  <c r="BO65" i="46"/>
  <c r="BQ66" i="46"/>
  <c r="AV65" i="46"/>
  <c r="AV66" i="46" s="1"/>
  <c r="AA66" i="46"/>
  <c r="Y66" i="46" s="1"/>
  <c r="AT64" i="46"/>
  <c r="AT66" i="46" l="1"/>
  <c r="AV67" i="46"/>
  <c r="AT67" i="46" s="1"/>
  <c r="BQ67" i="46"/>
  <c r="BO67" i="46" s="1"/>
  <c r="CJ66" i="46"/>
  <c r="CL67" i="46"/>
  <c r="AA67" i="46"/>
  <c r="Y67" i="46" s="1"/>
  <c r="AT65" i="46"/>
  <c r="BO66" i="46"/>
  <c r="CL68" i="46" l="1"/>
  <c r="CJ68" i="46" s="1"/>
  <c r="BQ68" i="46"/>
  <c r="BO68" i="46" s="1"/>
  <c r="AV68" i="46"/>
  <c r="AA68" i="46"/>
  <c r="CJ67" i="46"/>
  <c r="AV69" i="46" l="1"/>
  <c r="AT69" i="46" s="1"/>
  <c r="AA69" i="46"/>
  <c r="Y69" i="46" s="1"/>
  <c r="Y68" i="46"/>
  <c r="AT68" i="46"/>
  <c r="BQ69" i="46"/>
  <c r="BQ70" i="46" s="1"/>
  <c r="CL69" i="46"/>
  <c r="CL70" i="46" s="1"/>
  <c r="CJ69" i="46" l="1"/>
  <c r="BO70" i="46"/>
  <c r="BQ71" i="46"/>
  <c r="BO69" i="46"/>
  <c r="CJ70" i="46"/>
  <c r="CL71" i="46"/>
  <c r="CJ71" i="46" s="1"/>
  <c r="AA70" i="46"/>
  <c r="AV70" i="46"/>
  <c r="AT70" i="46" s="1"/>
  <c r="AA71" i="46" l="1"/>
  <c r="Y71" i="46" s="1"/>
  <c r="Y70" i="46"/>
  <c r="BO71" i="46"/>
  <c r="BQ72" i="46"/>
  <c r="AV71" i="46"/>
  <c r="AT71" i="46" s="1"/>
  <c r="CL72" i="46"/>
  <c r="CJ72" i="46" s="1"/>
  <c r="CL73" i="46" l="1"/>
  <c r="CL74" i="46" s="1"/>
  <c r="BO72" i="46"/>
  <c r="BQ73" i="46"/>
  <c r="AV72" i="46"/>
  <c r="AT72" i="46" s="1"/>
  <c r="AA72" i="46"/>
  <c r="Y72" i="46" s="1"/>
  <c r="CJ73" i="46" l="1"/>
  <c r="AV73" i="46"/>
  <c r="AT73" i="46" s="1"/>
  <c r="AA73" i="46"/>
  <c r="AA74" i="46" s="1"/>
  <c r="BO73" i="46"/>
  <c r="BQ74" i="46"/>
  <c r="BQ75" i="46" s="1"/>
  <c r="CJ74" i="46"/>
  <c r="CL75" i="46"/>
  <c r="CL76" i="46" s="1"/>
  <c r="Y73" i="46" l="1"/>
  <c r="CJ75" i="46"/>
  <c r="CJ76" i="46"/>
  <c r="CL77" i="46"/>
  <c r="CJ77" i="46" s="1"/>
  <c r="BO74" i="46"/>
  <c r="BO75" i="46"/>
  <c r="BQ76" i="46"/>
  <c r="Y74" i="46"/>
  <c r="AA75" i="46"/>
  <c r="Y75" i="46" s="1"/>
  <c r="AV74" i="46"/>
  <c r="AT74" i="46" s="1"/>
  <c r="AV75" i="46" l="1"/>
  <c r="AV76" i="46" s="1"/>
  <c r="CL78" i="46"/>
  <c r="CJ78" i="46" s="1"/>
  <c r="AA76" i="46"/>
  <c r="Y76" i="46" s="1"/>
  <c r="BO76" i="46"/>
  <c r="BQ77" i="46"/>
  <c r="AT75" i="46" l="1"/>
  <c r="BO77" i="46"/>
  <c r="BQ78" i="46"/>
  <c r="BO78" i="46" s="1"/>
  <c r="AA77" i="46"/>
  <c r="CL79" i="46"/>
  <c r="AT76" i="46"/>
  <c r="AV77" i="46"/>
  <c r="AT77" i="46" l="1"/>
  <c r="AV78" i="46"/>
  <c r="AT78" i="46" s="1"/>
  <c r="CL80" i="46"/>
  <c r="CL81" i="46" s="1"/>
  <c r="AA78" i="46"/>
  <c r="AA79" i="46" s="1"/>
  <c r="BQ79" i="46"/>
  <c r="BO79" i="46" s="1"/>
  <c r="CJ79" i="46"/>
  <c r="Y77" i="46"/>
  <c r="Y78" i="46" l="1"/>
  <c r="CJ80" i="46"/>
  <c r="BQ80" i="46"/>
  <c r="BO80" i="46" s="1"/>
  <c r="Y79" i="46"/>
  <c r="AA80" i="46"/>
  <c r="CJ81" i="46"/>
  <c r="CL82" i="46"/>
  <c r="AV79" i="46"/>
  <c r="AT79" i="46" s="1"/>
  <c r="CJ82" i="46" l="1"/>
  <c r="CL83" i="46"/>
  <c r="AV80" i="46"/>
  <c r="AT80" i="46" s="1"/>
  <c r="Y80" i="46"/>
  <c r="AA81" i="46"/>
  <c r="BQ81" i="46"/>
  <c r="BQ82" i="46" l="1"/>
  <c r="BO82" i="46" s="1"/>
  <c r="AA82" i="46"/>
  <c r="CJ83" i="46"/>
  <c r="CL84" i="46"/>
  <c r="CL85" i="46" s="1"/>
  <c r="BO81" i="46"/>
  <c r="Y81" i="46"/>
  <c r="AV81" i="46"/>
  <c r="AT81" i="46" s="1"/>
  <c r="AV82" i="46" l="1"/>
  <c r="AT82" i="46" s="1"/>
  <c r="CJ85" i="46"/>
  <c r="CL86" i="46"/>
  <c r="CJ86" i="46" s="1"/>
  <c r="AA83" i="46"/>
  <c r="Y83" i="46" s="1"/>
  <c r="CJ84" i="46"/>
  <c r="Y82" i="46"/>
  <c r="BQ83" i="46"/>
  <c r="BO83" i="46" s="1"/>
  <c r="BQ84" i="46" l="1"/>
  <c r="BO84" i="46" s="1"/>
  <c r="AA84" i="46"/>
  <c r="CL87" i="46"/>
  <c r="CL88" i="46" s="1"/>
  <c r="AV83" i="46"/>
  <c r="AV84" i="46" s="1"/>
  <c r="CJ87" i="46" l="1"/>
  <c r="AT83" i="46"/>
  <c r="AT84" i="46"/>
  <c r="AV85" i="46"/>
  <c r="CJ88" i="46"/>
  <c r="CL89" i="46"/>
  <c r="AA85" i="46"/>
  <c r="Y85" i="46" s="1"/>
  <c r="Y84" i="46"/>
  <c r="BQ85" i="46"/>
  <c r="BO85" i="46" s="1"/>
  <c r="BQ86" i="46" l="1"/>
  <c r="BO86" i="46" s="1"/>
  <c r="AA86" i="46"/>
  <c r="AT85" i="46"/>
  <c r="AV86" i="46"/>
  <c r="CL90" i="46"/>
  <c r="CJ90" i="46" s="1"/>
  <c r="CJ89" i="46"/>
  <c r="CL91" i="46" l="1"/>
  <c r="CJ91" i="46" s="1"/>
  <c r="AT86" i="46"/>
  <c r="AV87" i="46"/>
  <c r="AA87" i="46"/>
  <c r="Y87" i="46" s="1"/>
  <c r="Y86" i="46"/>
  <c r="BQ87" i="46"/>
  <c r="BQ88" i="46" l="1"/>
  <c r="BO87" i="46"/>
  <c r="AA88" i="46"/>
  <c r="Y88" i="46" s="1"/>
  <c r="AT87" i="46"/>
  <c r="AV88" i="46"/>
  <c r="CL92" i="46"/>
  <c r="CJ92" i="46" s="1"/>
  <c r="AV89" i="46" l="1"/>
  <c r="AT89" i="46" s="1"/>
  <c r="AT88" i="46"/>
  <c r="BQ89" i="46"/>
  <c r="BQ90" i="46" s="1"/>
  <c r="CL93" i="46"/>
  <c r="CJ93" i="46" s="1"/>
  <c r="AA89" i="46"/>
  <c r="Y89" i="46" s="1"/>
  <c r="BO88" i="46"/>
  <c r="BO89" i="46" l="1"/>
  <c r="CL94" i="46"/>
  <c r="CJ94" i="46" s="1"/>
  <c r="AA90" i="46"/>
  <c r="Y90" i="46" s="1"/>
  <c r="BO90" i="46"/>
  <c r="BQ91" i="46"/>
  <c r="BQ92" i="46" s="1"/>
  <c r="AV90" i="46"/>
  <c r="AT90" i="46" s="1"/>
  <c r="BO91" i="46" l="1"/>
  <c r="BO92" i="46"/>
  <c r="BQ93" i="46"/>
  <c r="AV91" i="46"/>
  <c r="AT91" i="46" s="1"/>
  <c r="AA91" i="46"/>
  <c r="Y91" i="46" s="1"/>
  <c r="CL95" i="46"/>
  <c r="CL96" i="46" l="1"/>
  <c r="CJ96" i="46" s="1"/>
  <c r="CJ95" i="46"/>
  <c r="BO93" i="46"/>
  <c r="BQ94" i="46"/>
  <c r="BQ95" i="46" s="1"/>
  <c r="AA92" i="46"/>
  <c r="Y92" i="46" s="1"/>
  <c r="AV92" i="46"/>
  <c r="AT92" i="46" s="1"/>
  <c r="BO94" i="46" l="1"/>
  <c r="AA93" i="46"/>
  <c r="Y93" i="46" s="1"/>
  <c r="AV93" i="46"/>
  <c r="AV94" i="46" s="1"/>
  <c r="BO95" i="46"/>
  <c r="BQ96" i="46"/>
  <c r="CL97" i="46"/>
  <c r="AT93" i="46" l="1"/>
  <c r="CL98" i="46"/>
  <c r="CJ98" i="46" s="1"/>
  <c r="AA94" i="46"/>
  <c r="Y94" i="46" s="1"/>
  <c r="CJ97" i="46"/>
  <c r="BO96" i="46"/>
  <c r="BQ97" i="46"/>
  <c r="AT94" i="46"/>
  <c r="AV95" i="46"/>
  <c r="BO97" i="46" l="1"/>
  <c r="BQ98" i="46"/>
  <c r="AT95" i="46"/>
  <c r="AV96" i="46"/>
  <c r="AA95" i="46"/>
  <c r="Y95" i="46" s="1"/>
  <c r="CL99" i="46"/>
  <c r="CJ99" i="46" s="1"/>
  <c r="AA96" i="46" l="1"/>
  <c r="Y96" i="46" s="1"/>
  <c r="BO98" i="46"/>
  <c r="BQ99" i="46"/>
  <c r="CL100" i="46"/>
  <c r="CJ100" i="46" s="1"/>
  <c r="AT96" i="46"/>
  <c r="AV97" i="46"/>
  <c r="BO99" i="46" l="1"/>
  <c r="BQ100" i="46"/>
  <c r="AT97" i="46"/>
  <c r="AV98" i="46"/>
  <c r="CL101" i="46"/>
  <c r="AA97" i="46"/>
  <c r="Y97" i="46" s="1"/>
  <c r="CL102" i="46" l="1"/>
  <c r="CJ102" i="46"/>
  <c r="CJ101" i="46"/>
  <c r="AV99" i="46"/>
  <c r="AT99" i="46" s="1"/>
  <c r="BO100" i="46"/>
  <c r="BQ101" i="46"/>
  <c r="AA98" i="46"/>
  <c r="AT98" i="46"/>
  <c r="AA99" i="46" l="1"/>
  <c r="Y99" i="46"/>
  <c r="Y98" i="46"/>
  <c r="BO101" i="46"/>
  <c r="BQ102" i="46"/>
  <c r="AV100" i="46"/>
  <c r="AT100" i="46" s="1"/>
  <c r="CL103" i="46"/>
  <c r="BO102" i="46" l="1"/>
  <c r="BQ103" i="46"/>
  <c r="CL104" i="46"/>
  <c r="CJ104" i="46" s="1"/>
  <c r="CJ103" i="46"/>
  <c r="AV101" i="46"/>
  <c r="AA100" i="46"/>
  <c r="Y100" i="46" s="1"/>
  <c r="AV102" i="46" l="1"/>
  <c r="AT102" i="46"/>
  <c r="AA101" i="46"/>
  <c r="Y101" i="46" s="1"/>
  <c r="BO103" i="46"/>
  <c r="BQ104" i="46"/>
  <c r="AT101" i="46"/>
  <c r="CL105" i="46"/>
  <c r="CL106" i="46" s="1"/>
  <c r="CJ106" i="46" l="1"/>
  <c r="CL107" i="46"/>
  <c r="CJ107" i="46" s="1"/>
  <c r="CJ105" i="46"/>
  <c r="BO104" i="46"/>
  <c r="BQ105" i="46"/>
  <c r="AA102" i="46"/>
  <c r="Y102" i="46" s="1"/>
  <c r="AV103" i="46"/>
  <c r="AT103" i="46" s="1"/>
  <c r="AA103" i="46" l="1"/>
  <c r="Y103" i="46"/>
  <c r="CL108" i="46"/>
  <c r="CJ108" i="46" s="1"/>
  <c r="AV104" i="46"/>
  <c r="AT104" i="46" s="1"/>
  <c r="BO105" i="46"/>
  <c r="BQ106" i="46"/>
  <c r="BO106" i="46" l="1"/>
  <c r="BQ107" i="46"/>
  <c r="AV105" i="46"/>
  <c r="AV106" i="46" s="1"/>
  <c r="CL109" i="46"/>
  <c r="CJ109" i="46" s="1"/>
  <c r="AA104" i="46"/>
  <c r="Y104" i="46" s="1"/>
  <c r="AT105" i="46" l="1"/>
  <c r="BO107" i="46"/>
  <c r="BQ108" i="46"/>
  <c r="AA105" i="46"/>
  <c r="Y105" i="46" s="1"/>
  <c r="CL110" i="46"/>
  <c r="CL111" i="46" s="1"/>
  <c r="AT106" i="46"/>
  <c r="AV107" i="46"/>
  <c r="CJ110" i="46" l="1"/>
  <c r="BO108" i="46"/>
  <c r="BQ109" i="46"/>
  <c r="AT107" i="46"/>
  <c r="AV108" i="46"/>
  <c r="CJ111" i="46"/>
  <c r="CL112" i="46"/>
  <c r="AA106" i="46"/>
  <c r="AA107" i="46" l="1"/>
  <c r="Y107" i="46" s="1"/>
  <c r="BO109" i="46"/>
  <c r="BQ110" i="46"/>
  <c r="Y106" i="46"/>
  <c r="CJ112" i="46"/>
  <c r="CL113" i="46"/>
  <c r="AT108" i="46"/>
  <c r="AV109" i="46"/>
  <c r="AT109" i="46" l="1"/>
  <c r="AV110" i="46"/>
  <c r="AV111" i="46" s="1"/>
  <c r="CJ113" i="46"/>
  <c r="CL114" i="46"/>
  <c r="BO110" i="46"/>
  <c r="BQ111" i="46"/>
  <c r="BO111" i="46" s="1"/>
  <c r="AA108" i="46"/>
  <c r="Y108" i="46" s="1"/>
  <c r="CJ114" i="46" l="1"/>
  <c r="CL115" i="46"/>
  <c r="CJ115" i="46" s="1"/>
  <c r="AT110" i="46"/>
  <c r="AA109" i="46"/>
  <c r="Y109" i="46" s="1"/>
  <c r="BQ112" i="46"/>
  <c r="BO112" i="46" s="1"/>
  <c r="AT111" i="46"/>
  <c r="AV112" i="46"/>
  <c r="AV113" i="46" s="1"/>
  <c r="AT112" i="46" l="1"/>
  <c r="BQ113" i="46"/>
  <c r="BQ114" i="46" s="1"/>
  <c r="AA110" i="46"/>
  <c r="Y110" i="46" s="1"/>
  <c r="CL116" i="46"/>
  <c r="CJ116" i="46" s="1"/>
  <c r="AT113" i="46"/>
  <c r="AV114" i="46"/>
  <c r="BO113" i="46" l="1"/>
  <c r="AT114" i="46"/>
  <c r="AV115" i="46"/>
  <c r="CL117" i="46"/>
  <c r="CJ117" i="46" s="1"/>
  <c r="AA111" i="46"/>
  <c r="Y111" i="46" s="1"/>
  <c r="BO114" i="46"/>
  <c r="BQ115" i="46"/>
  <c r="BO115" i="46" l="1"/>
  <c r="BQ116" i="46"/>
  <c r="AA112" i="46"/>
  <c r="Y112" i="46" s="1"/>
  <c r="AT115" i="46"/>
  <c r="AV116" i="46"/>
  <c r="CL118" i="46"/>
  <c r="CL119" i="46" l="1"/>
  <c r="CJ119" i="46" s="1"/>
  <c r="CJ118" i="46"/>
  <c r="BO116" i="46"/>
  <c r="BQ117" i="46"/>
  <c r="AT116" i="46"/>
  <c r="AV117" i="46"/>
  <c r="AA113" i="46"/>
  <c r="Y113" i="46" s="1"/>
  <c r="AA114" i="46" l="1"/>
  <c r="Y114" i="46" s="1"/>
  <c r="AT117" i="46"/>
  <c r="AV118" i="46"/>
  <c r="BO117" i="46"/>
  <c r="BQ118" i="46"/>
  <c r="CL120" i="46"/>
  <c r="CL121" i="46" l="1"/>
  <c r="CJ121" i="46" s="1"/>
  <c r="BO118" i="46"/>
  <c r="BQ119" i="46"/>
  <c r="AT118" i="46"/>
  <c r="AV119" i="46"/>
  <c r="CJ120" i="46"/>
  <c r="AA115" i="46"/>
  <c r="Y115" i="46" s="1"/>
  <c r="AT119" i="46" l="1"/>
  <c r="AV120" i="46"/>
  <c r="AA116" i="46"/>
  <c r="Y116" i="46" s="1"/>
  <c r="BO119" i="46"/>
  <c r="BQ120" i="46"/>
  <c r="CL122" i="46"/>
  <c r="CL123" i="46" l="1"/>
  <c r="CL124" i="46" s="1"/>
  <c r="CJ122" i="46"/>
  <c r="BO120" i="46"/>
  <c r="BQ121" i="46"/>
  <c r="AT120" i="46"/>
  <c r="AV121" i="46"/>
  <c r="AA117" i="46"/>
  <c r="Y117" i="46" s="1"/>
  <c r="CJ123" i="46" l="1"/>
  <c r="AA118" i="46"/>
  <c r="Y118" i="46" s="1"/>
  <c r="AT121" i="46"/>
  <c r="AV122" i="46"/>
  <c r="BO121" i="46"/>
  <c r="BQ122" i="46"/>
  <c r="CJ124" i="46"/>
  <c r="CL125" i="46"/>
  <c r="CJ125" i="46" s="1"/>
  <c r="G3" i="47"/>
  <c r="G6" i="47"/>
  <c r="G4" i="47"/>
  <c r="G5" i="47"/>
  <c r="G7" i="47"/>
  <c r="CL126" i="46" l="1"/>
  <c r="CJ126" i="46" s="1"/>
  <c r="BO122" i="46"/>
  <c r="BQ123" i="46"/>
  <c r="AT122" i="46"/>
  <c r="AV123" i="46"/>
  <c r="AA119" i="46"/>
  <c r="Y119" i="46" s="1"/>
  <c r="E4" i="47"/>
  <c r="E5" i="47"/>
  <c r="E3" i="47"/>
  <c r="E6" i="47"/>
  <c r="E7" i="47"/>
  <c r="AA120" i="46" l="1"/>
  <c r="Y120" i="46" s="1"/>
  <c r="BO123" i="46"/>
  <c r="BQ124" i="46"/>
  <c r="BQ125" i="46" s="1"/>
  <c r="AT123" i="46"/>
  <c r="AV124" i="46"/>
  <c r="AT124" i="46" s="1"/>
  <c r="CL127" i="46"/>
  <c r="BO124" i="46" l="1"/>
  <c r="CL128" i="46"/>
  <c r="CJ128" i="46" s="1"/>
  <c r="AV125" i="46"/>
  <c r="AV126" i="46" s="1"/>
  <c r="CJ127" i="46"/>
  <c r="BO125" i="46"/>
  <c r="BQ126" i="46"/>
  <c r="AA121" i="46"/>
  <c r="Y121" i="46" s="1"/>
  <c r="AT125" i="46" l="1"/>
  <c r="BQ127" i="46"/>
  <c r="BQ128" i="46" s="1"/>
  <c r="AA122" i="46"/>
  <c r="Y122" i="46" s="1"/>
  <c r="BO126" i="46"/>
  <c r="AT126" i="46"/>
  <c r="AV127" i="46"/>
  <c r="CL129" i="46"/>
  <c r="CL130" i="46" s="1"/>
  <c r="CJ129" i="46" l="1"/>
  <c r="BO127" i="46"/>
  <c r="CJ130" i="46"/>
  <c r="CL131" i="46"/>
  <c r="AT127" i="46"/>
  <c r="AV128" i="46"/>
  <c r="AA123" i="46"/>
  <c r="BO128" i="46"/>
  <c r="BQ129" i="46"/>
  <c r="BO129" i="46" l="1"/>
  <c r="BQ130" i="46"/>
  <c r="AA124" i="46"/>
  <c r="Y124" i="46" s="1"/>
  <c r="AT128" i="46"/>
  <c r="AV129" i="46"/>
  <c r="CL132" i="46"/>
  <c r="CJ132" i="46" s="1"/>
  <c r="Y123" i="46"/>
  <c r="CJ131" i="46"/>
  <c r="C4" i="47"/>
  <c r="AA125" i="46" l="1"/>
  <c r="Y125" i="46"/>
  <c r="BO130" i="46"/>
  <c r="BQ131" i="46"/>
  <c r="CL133" i="46"/>
  <c r="AT129" i="46"/>
  <c r="AV130" i="46"/>
  <c r="AV131" i="46" s="1"/>
  <c r="AT130" i="46" l="1"/>
  <c r="CL134" i="46"/>
  <c r="CJ134" i="46" s="1"/>
  <c r="AT131" i="46"/>
  <c r="AV132" i="46"/>
  <c r="CJ133" i="46"/>
  <c r="BO131" i="46"/>
  <c r="BQ132" i="46"/>
  <c r="AA126" i="46"/>
  <c r="Y126" i="46" s="1"/>
  <c r="AT132" i="46" l="1"/>
  <c r="AV133" i="46"/>
  <c r="AT133" i="46" s="1"/>
  <c r="CL135" i="46"/>
  <c r="CJ135" i="46" s="1"/>
  <c r="AA127" i="46"/>
  <c r="Y127" i="46" s="1"/>
  <c r="BO132" i="46"/>
  <c r="BQ133" i="46"/>
  <c r="BO133" i="46" l="1"/>
  <c r="BQ134" i="46"/>
  <c r="AA128" i="46"/>
  <c r="Y128" i="46" s="1"/>
  <c r="CL136" i="46"/>
  <c r="CJ136" i="46" s="1"/>
  <c r="AV134" i="46"/>
  <c r="AT134" i="46" s="1"/>
  <c r="CL137" i="46" l="1"/>
  <c r="CL138" i="46" s="1"/>
  <c r="BO134" i="46"/>
  <c r="BQ135" i="46"/>
  <c r="AV135" i="46"/>
  <c r="AA129" i="46"/>
  <c r="CJ137" i="46" l="1"/>
  <c r="AA130" i="46"/>
  <c r="Y130" i="46" s="1"/>
  <c r="AV136" i="46"/>
  <c r="AV137" i="46" s="1"/>
  <c r="Y129" i="46"/>
  <c r="AT135" i="46"/>
  <c r="BO135" i="46"/>
  <c r="BQ136" i="46"/>
  <c r="CJ138" i="46"/>
  <c r="CL139" i="46"/>
  <c r="AT136" i="46" l="1"/>
  <c r="CJ139" i="46"/>
  <c r="CL140" i="46"/>
  <c r="BO136" i="46"/>
  <c r="BQ137" i="46"/>
  <c r="BQ138" i="46" s="1"/>
  <c r="AT137" i="46"/>
  <c r="AV138" i="46"/>
  <c r="AA131" i="46"/>
  <c r="AT138" i="46" l="1"/>
  <c r="AV139" i="46"/>
  <c r="AA132" i="46"/>
  <c r="Y132" i="46" s="1"/>
  <c r="BO138" i="46"/>
  <c r="BQ139" i="46"/>
  <c r="BQ140" i="46" s="1"/>
  <c r="BO140" i="46" s="1"/>
  <c r="CJ140" i="46"/>
  <c r="CL141" i="46"/>
  <c r="CJ141" i="46" s="1"/>
  <c r="Y131" i="46"/>
  <c r="BO137" i="46"/>
  <c r="BQ141" i="46"/>
  <c r="BO141" i="46" s="1"/>
  <c r="CL142" i="46" l="1"/>
  <c r="CJ142" i="46" s="1"/>
  <c r="BO139" i="46"/>
  <c r="AA133" i="46"/>
  <c r="Y133" i="46" s="1"/>
  <c r="AT139" i="46"/>
  <c r="AV140" i="46"/>
  <c r="BQ142" i="46"/>
  <c r="BO142" i="46" s="1"/>
  <c r="AT140" i="46" l="1"/>
  <c r="AV141" i="46"/>
  <c r="AA134" i="46"/>
  <c r="Y134" i="46" s="1"/>
  <c r="CL143" i="46"/>
  <c r="BQ143" i="46"/>
  <c r="BO143" i="46" s="1"/>
  <c r="CL144" i="46" l="1"/>
  <c r="CJ144" i="46"/>
  <c r="AT141" i="46"/>
  <c r="AV142" i="46"/>
  <c r="CJ143" i="46"/>
  <c r="AA135" i="46"/>
  <c r="Y135" i="46" s="1"/>
  <c r="BQ144" i="46"/>
  <c r="BO144" i="46" s="1"/>
  <c r="AA136" i="46" l="1"/>
  <c r="Y136" i="46"/>
  <c r="AT142" i="46"/>
  <c r="AV143" i="46"/>
  <c r="AV144" i="46" s="1"/>
  <c r="CL145" i="46"/>
  <c r="CJ145" i="46" s="1"/>
  <c r="BQ145" i="46"/>
  <c r="BO145" i="46" s="1"/>
  <c r="AT144" i="46" l="1"/>
  <c r="AV145" i="46"/>
  <c r="CL146" i="46"/>
  <c r="CJ146" i="46" s="1"/>
  <c r="AT143" i="46"/>
  <c r="AA137" i="46"/>
  <c r="Y137" i="46" s="1"/>
  <c r="BQ146" i="46"/>
  <c r="BO146" i="46" s="1"/>
  <c r="AT145" i="46" l="1"/>
  <c r="AV146" i="46"/>
  <c r="AA138" i="46"/>
  <c r="Y138" i="46" s="1"/>
  <c r="CL147" i="46"/>
  <c r="BQ147" i="46"/>
  <c r="BQ148" i="46" s="1"/>
  <c r="CL148" i="46" l="1"/>
  <c r="CJ148" i="46" s="1"/>
  <c r="CJ147" i="46"/>
  <c r="AA139" i="46"/>
  <c r="Y139" i="46" s="1"/>
  <c r="AT146" i="46"/>
  <c r="AV147" i="46"/>
  <c r="BO147" i="46"/>
  <c r="BO148" i="46"/>
  <c r="BQ149" i="46"/>
  <c r="AT147" i="46" l="1"/>
  <c r="AV148" i="46"/>
  <c r="AA140" i="46"/>
  <c r="Y140" i="46" s="1"/>
  <c r="CL149" i="46"/>
  <c r="CJ149" i="46" s="1"/>
  <c r="BO149" i="46"/>
  <c r="BQ150" i="46"/>
  <c r="CL150" i="46" l="1"/>
  <c r="CJ150" i="46" s="1"/>
  <c r="AT148" i="46"/>
  <c r="AV149" i="46"/>
  <c r="AA141" i="46"/>
  <c r="BO150" i="46"/>
  <c r="BQ151" i="46"/>
  <c r="AA142" i="46" l="1"/>
  <c r="Y142" i="46" s="1"/>
  <c r="Y141" i="46"/>
  <c r="AT149" i="46"/>
  <c r="AV150" i="46"/>
  <c r="CL151" i="46"/>
  <c r="CJ151" i="46" s="1"/>
  <c r="BO151" i="46"/>
  <c r="BQ152" i="46"/>
  <c r="CL152" i="46" l="1"/>
  <c r="CJ152" i="46" s="1"/>
  <c r="AT150" i="46"/>
  <c r="AV151" i="46"/>
  <c r="AA143" i="46"/>
  <c r="BO152" i="46"/>
  <c r="BQ153" i="46"/>
  <c r="AA144" i="46" l="1"/>
  <c r="Y144" i="46" s="1"/>
  <c r="Y143" i="46"/>
  <c r="AT151" i="46"/>
  <c r="AV152" i="46"/>
  <c r="CL153" i="46"/>
  <c r="CJ153" i="46" s="1"/>
  <c r="BO153" i="46"/>
  <c r="BQ154" i="46"/>
  <c r="CL154" i="46" l="1"/>
  <c r="CJ154" i="46" s="1"/>
  <c r="AT152" i="46"/>
  <c r="AV153" i="46"/>
  <c r="AA145" i="46"/>
  <c r="Y145" i="46" s="1"/>
  <c r="BO154" i="46"/>
  <c r="BQ155" i="46"/>
  <c r="AA146" i="46" l="1"/>
  <c r="Y146" i="46" s="1"/>
  <c r="AT153" i="46"/>
  <c r="AV154" i="46"/>
  <c r="CL155" i="46"/>
  <c r="CJ155" i="46" s="1"/>
  <c r="BO155" i="46"/>
  <c r="BQ156" i="46"/>
  <c r="AT154" i="46" l="1"/>
  <c r="AV155" i="46"/>
  <c r="CL156" i="46"/>
  <c r="CJ156" i="46" s="1"/>
  <c r="AA147" i="46"/>
  <c r="Y147" i="46" s="1"/>
  <c r="BO156" i="46"/>
  <c r="BQ157" i="46"/>
  <c r="CL157" i="46" l="1"/>
  <c r="CJ157" i="46" s="1"/>
  <c r="AT155" i="46"/>
  <c r="AV156" i="46"/>
  <c r="AA148" i="46"/>
  <c r="Y148" i="46" s="1"/>
  <c r="BO157" i="46"/>
  <c r="BQ158" i="46"/>
  <c r="AT156" i="46" l="1"/>
  <c r="AV157" i="46"/>
  <c r="AA149" i="46"/>
  <c r="Y149" i="46" s="1"/>
  <c r="CL158" i="46"/>
  <c r="CJ158" i="46" s="1"/>
  <c r="BO158" i="46"/>
  <c r="BQ159" i="46"/>
  <c r="AA150" i="46" l="1"/>
  <c r="Y150" i="46" s="1"/>
  <c r="AT157" i="46"/>
  <c r="AV158" i="46"/>
  <c r="CL159" i="46"/>
  <c r="CJ159" i="46" s="1"/>
  <c r="BO159" i="46"/>
  <c r="BQ160" i="46"/>
  <c r="AT158" i="46" l="1"/>
  <c r="AV159" i="46"/>
  <c r="AT159" i="46" s="1"/>
  <c r="CL160" i="46"/>
  <c r="CL161" i="46" s="1"/>
  <c r="AA151" i="46"/>
  <c r="Y151" i="46" s="1"/>
  <c r="BO160" i="46"/>
  <c r="BQ161" i="46"/>
  <c r="CJ160" i="46" l="1"/>
  <c r="AV160" i="46"/>
  <c r="AV161" i="46" s="1"/>
  <c r="AA152" i="46"/>
  <c r="Y152" i="46" s="1"/>
  <c r="CJ161" i="46"/>
  <c r="CL162" i="46"/>
  <c r="BO161" i="46"/>
  <c r="BQ162" i="46"/>
  <c r="CJ162" i="46" l="1"/>
  <c r="CL163" i="46"/>
  <c r="AA153" i="46"/>
  <c r="Y153" i="46" s="1"/>
  <c r="AT160" i="46"/>
  <c r="AT161" i="46"/>
  <c r="AV162" i="46"/>
  <c r="BO162" i="46"/>
  <c r="BQ163" i="46"/>
  <c r="AA154" i="46" l="1"/>
  <c r="Y154" i="46" s="1"/>
  <c r="CJ163" i="46"/>
  <c r="CL164" i="46"/>
  <c r="AT162" i="46"/>
  <c r="AV163" i="46"/>
  <c r="BO163" i="46"/>
  <c r="BQ164" i="46"/>
  <c r="AV164" i="46" l="1"/>
  <c r="AT164" i="46" s="1"/>
  <c r="AT163" i="46"/>
  <c r="CJ164" i="46"/>
  <c r="CL165" i="46"/>
  <c r="AA155" i="46"/>
  <c r="BO164" i="46"/>
  <c r="BQ165" i="46"/>
  <c r="AA156" i="46" l="1"/>
  <c r="Y156" i="46" s="1"/>
  <c r="CJ165" i="46"/>
  <c r="CL166" i="46"/>
  <c r="Y155" i="46"/>
  <c r="AV165" i="46"/>
  <c r="AV166" i="46" s="1"/>
  <c r="BO165" i="46"/>
  <c r="BQ166" i="46"/>
  <c r="AT165" i="46" l="1"/>
  <c r="AT166" i="46"/>
  <c r="AV167" i="46"/>
  <c r="CJ166" i="46"/>
  <c r="CL167" i="46"/>
  <c r="AA157" i="46"/>
  <c r="Y157" i="46" s="1"/>
  <c r="BO166" i="46"/>
  <c r="BQ167" i="46"/>
  <c r="AT167" i="46" l="1"/>
  <c r="AV168" i="46"/>
  <c r="CJ167" i="46"/>
  <c r="CL168" i="46"/>
  <c r="AA158" i="46"/>
  <c r="Y158" i="46" s="1"/>
  <c r="BO167" i="46"/>
  <c r="BQ168" i="46"/>
  <c r="CJ168" i="46" l="1"/>
  <c r="CL169" i="46"/>
  <c r="AT168" i="46"/>
  <c r="AV169" i="46"/>
  <c r="AA159" i="46"/>
  <c r="Y159" i="46" s="1"/>
  <c r="BO168" i="46"/>
  <c r="BQ169" i="46"/>
  <c r="BQ170" i="46" s="1"/>
  <c r="AA160" i="46" l="1"/>
  <c r="Y160" i="46" s="1"/>
  <c r="AT169" i="46"/>
  <c r="AV170" i="46"/>
  <c r="AT170" i="46" s="1"/>
  <c r="CJ169" i="46"/>
  <c r="CL170" i="46"/>
  <c r="BO169" i="46"/>
  <c r="BO170" i="46"/>
  <c r="BQ171" i="46"/>
  <c r="CJ170" i="46" l="1"/>
  <c r="CL171" i="46"/>
  <c r="CL172" i="46" s="1"/>
  <c r="AV171" i="46"/>
  <c r="AT171" i="46" s="1"/>
  <c r="AA161" i="46"/>
  <c r="Y161" i="46" s="1"/>
  <c r="BO171" i="46"/>
  <c r="BQ172" i="46"/>
  <c r="CJ171" i="46" l="1"/>
  <c r="CJ172" i="46"/>
  <c r="CL173" i="46"/>
  <c r="AA162" i="46"/>
  <c r="AV172" i="46"/>
  <c r="AT172" i="46" s="1"/>
  <c r="BO172" i="46"/>
  <c r="BQ173" i="46"/>
  <c r="AA163" i="46" l="1"/>
  <c r="Y163" i="46" s="1"/>
  <c r="Y162" i="46"/>
  <c r="CJ173" i="46"/>
  <c r="CL174" i="46"/>
  <c r="AV173" i="46"/>
  <c r="AT173" i="46" s="1"/>
  <c r="BO173" i="46"/>
  <c r="BQ174" i="46"/>
  <c r="AV174" i="46" l="1"/>
  <c r="AT174" i="46" s="1"/>
  <c r="CJ174" i="46"/>
  <c r="CL175" i="46"/>
  <c r="AA164" i="46"/>
  <c r="Y164" i="46" s="1"/>
  <c r="BO174" i="46"/>
  <c r="BQ175" i="46"/>
  <c r="BQ176" i="46" s="1"/>
  <c r="CJ175" i="46" l="1"/>
  <c r="CL176" i="46"/>
  <c r="BO175" i="46"/>
  <c r="AA165" i="46"/>
  <c r="Y165" i="46" s="1"/>
  <c r="AV175" i="46"/>
  <c r="AT175" i="46" s="1"/>
  <c r="BO176" i="46"/>
  <c r="BQ177" i="46"/>
  <c r="A6" i="47"/>
  <c r="A7" i="47"/>
  <c r="AA166" i="46" l="1"/>
  <c r="Y166" i="46" s="1"/>
  <c r="CJ176" i="46"/>
  <c r="CL177" i="46"/>
  <c r="AV176" i="46"/>
  <c r="AT176" i="46" s="1"/>
  <c r="BO177" i="46"/>
  <c r="BQ178" i="46"/>
  <c r="CJ177" i="46" l="1"/>
  <c r="CL178" i="46"/>
  <c r="AV177" i="46"/>
  <c r="AA167" i="46"/>
  <c r="Y167" i="46" s="1"/>
  <c r="BO178" i="46"/>
  <c r="BQ179" i="46"/>
  <c r="AV178" i="46" l="1"/>
  <c r="AT178" i="46" s="1"/>
  <c r="AT177" i="46"/>
  <c r="CJ178" i="46"/>
  <c r="CL179" i="46"/>
  <c r="AA168" i="46"/>
  <c r="Y168" i="46" s="1"/>
  <c r="BO179" i="46"/>
  <c r="BQ180" i="46"/>
  <c r="AA169" i="46" l="1"/>
  <c r="Y169" i="46" s="1"/>
  <c r="CJ179" i="46"/>
  <c r="CL180" i="46"/>
  <c r="AV179" i="46"/>
  <c r="AT179" i="46" s="1"/>
  <c r="BO180" i="46"/>
  <c r="BQ181" i="46"/>
  <c r="CJ180" i="46" l="1"/>
  <c r="CL181" i="46"/>
  <c r="AV180" i="46"/>
  <c r="AA170" i="46"/>
  <c r="Y170" i="46" s="1"/>
  <c r="BO181" i="46"/>
  <c r="BQ182" i="46"/>
  <c r="AV181" i="46" l="1"/>
  <c r="AT181" i="46" s="1"/>
  <c r="AT180" i="46"/>
  <c r="CJ181" i="46"/>
  <c r="CL182" i="46"/>
  <c r="AA171" i="46"/>
  <c r="Y171" i="46" s="1"/>
  <c r="BO182" i="46"/>
  <c r="BQ183" i="46"/>
  <c r="BQ184" i="46" s="1"/>
  <c r="AA172" i="46" l="1"/>
  <c r="Y172" i="46" s="1"/>
  <c r="CJ182" i="46"/>
  <c r="CL183" i="46"/>
  <c r="AV182" i="46"/>
  <c r="AT182" i="46" s="1"/>
  <c r="BO183" i="46"/>
  <c r="BO184" i="46"/>
  <c r="BQ185" i="46"/>
  <c r="CJ183" i="46" l="1"/>
  <c r="CL184" i="46"/>
  <c r="AV183" i="46"/>
  <c r="AA173" i="46"/>
  <c r="Y173" i="46" s="1"/>
  <c r="BO185" i="46"/>
  <c r="BQ186" i="46"/>
  <c r="AV184" i="46" l="1"/>
  <c r="AT184" i="46" s="1"/>
  <c r="AT183" i="46"/>
  <c r="CJ184" i="46"/>
  <c r="CL185" i="46"/>
  <c r="AA174" i="46"/>
  <c r="Y174" i="46" s="1"/>
  <c r="BO186" i="46"/>
  <c r="BQ187" i="46"/>
  <c r="AA175" i="46" l="1"/>
  <c r="Y175" i="46" s="1"/>
  <c r="CJ185" i="46"/>
  <c r="CL186" i="46"/>
  <c r="AV185" i="46"/>
  <c r="AT185" i="46" s="1"/>
  <c r="BO187" i="46"/>
  <c r="BQ188" i="46"/>
  <c r="CJ186" i="46" l="1"/>
  <c r="CL187" i="46"/>
  <c r="AV186" i="46"/>
  <c r="AT186" i="46" s="1"/>
  <c r="AA176" i="46"/>
  <c r="Y176" i="46" s="1"/>
  <c r="BO188" i="46"/>
  <c r="BQ189" i="46"/>
  <c r="AV187" i="46" l="1"/>
  <c r="AT187" i="46" s="1"/>
  <c r="CJ187" i="46"/>
  <c r="CL188" i="46"/>
  <c r="AA177" i="46"/>
  <c r="Y177" i="46" s="1"/>
  <c r="BO189" i="46"/>
  <c r="BQ190" i="46"/>
  <c r="CJ188" i="46" l="1"/>
  <c r="CL189" i="46"/>
  <c r="AA178" i="46"/>
  <c r="AV188" i="46"/>
  <c r="AT188" i="46" s="1"/>
  <c r="BO190" i="46"/>
  <c r="BQ191" i="46"/>
  <c r="AA179" i="46" l="1"/>
  <c r="Y179" i="46" s="1"/>
  <c r="Y178" i="46"/>
  <c r="CJ189" i="46"/>
  <c r="CL190" i="46"/>
  <c r="AV189" i="46"/>
  <c r="BO191" i="46"/>
  <c r="BQ192" i="46"/>
  <c r="AV190" i="46" l="1"/>
  <c r="AV191" i="46" s="1"/>
  <c r="CJ190" i="46"/>
  <c r="CL191" i="46"/>
  <c r="AT189" i="46"/>
  <c r="AA180" i="46"/>
  <c r="Y180" i="46" s="1"/>
  <c r="BO192" i="46"/>
  <c r="BQ193" i="46"/>
  <c r="AA181" i="46" l="1"/>
  <c r="Y181" i="46" s="1"/>
  <c r="CJ191" i="46"/>
  <c r="CL192" i="46"/>
  <c r="AT190" i="46"/>
  <c r="AT191" i="46"/>
  <c r="AV192" i="46"/>
  <c r="AT192" i="46" s="1"/>
  <c r="BO193" i="46"/>
  <c r="BQ194" i="46"/>
  <c r="AV193" i="46" l="1"/>
  <c r="AT193" i="46" s="1"/>
  <c r="CJ192" i="46"/>
  <c r="CL193" i="46"/>
  <c r="AA182" i="46"/>
  <c r="BO194" i="46"/>
  <c r="BQ195" i="46"/>
  <c r="AA183" i="46" l="1"/>
  <c r="Y183" i="46" s="1"/>
  <c r="Y182" i="46"/>
  <c r="CJ193" i="46"/>
  <c r="CL194" i="46"/>
  <c r="AV194" i="46"/>
  <c r="AT194" i="46" s="1"/>
  <c r="BO195" i="46"/>
  <c r="BQ196" i="46"/>
  <c r="AV195" i="46" l="1"/>
  <c r="AT195" i="46" s="1"/>
  <c r="CJ194" i="46"/>
  <c r="CL195" i="46"/>
  <c r="AA184" i="46"/>
  <c r="Y184" i="46" s="1"/>
  <c r="BO196" i="46"/>
  <c r="BQ197" i="46"/>
  <c r="CJ195" i="46" l="1"/>
  <c r="CL196" i="46"/>
  <c r="AA185" i="46"/>
  <c r="AV196" i="46"/>
  <c r="AT196" i="46" s="1"/>
  <c r="BO197" i="46"/>
  <c r="BQ198" i="46"/>
  <c r="AA186" i="46" l="1"/>
  <c r="Y186" i="46" s="1"/>
  <c r="Y185" i="46"/>
  <c r="CJ196" i="46"/>
  <c r="CL197" i="46"/>
  <c r="AV197" i="46"/>
  <c r="AT197" i="46" s="1"/>
  <c r="BO198" i="46"/>
  <c r="BQ199" i="46"/>
  <c r="AV198" i="46" l="1"/>
  <c r="AT198" i="46" s="1"/>
  <c r="CJ197" i="46"/>
  <c r="CL198" i="46"/>
  <c r="AA187" i="46"/>
  <c r="Y187" i="46" s="1"/>
  <c r="BO199" i="46"/>
  <c r="BQ200" i="46"/>
  <c r="CJ198" i="46" l="1"/>
  <c r="CL199" i="46"/>
  <c r="AA188" i="46"/>
  <c r="Y188" i="46"/>
  <c r="AV199" i="46"/>
  <c r="AT199" i="46" s="1"/>
  <c r="BO200" i="46"/>
  <c r="BQ201" i="46"/>
  <c r="AV200" i="46" l="1"/>
  <c r="AT200" i="46" s="1"/>
  <c r="AA189" i="46"/>
  <c r="CJ199" i="46"/>
  <c r="CL200" i="46"/>
  <c r="BO201" i="46"/>
  <c r="BQ202" i="46"/>
  <c r="AA190" i="46" l="1"/>
  <c r="Y190" i="46" s="1"/>
  <c r="CJ200" i="46"/>
  <c r="CL201" i="46"/>
  <c r="Y189" i="46"/>
  <c r="AV201" i="46"/>
  <c r="BO202" i="46"/>
  <c r="BQ203" i="46"/>
  <c r="C5" i="47"/>
  <c r="AV202" i="46" l="1"/>
  <c r="AT202" i="46" s="1"/>
  <c r="AT201" i="46"/>
  <c r="CJ201" i="46"/>
  <c r="CL202" i="46"/>
  <c r="AA191" i="46"/>
  <c r="Y191" i="46" s="1"/>
  <c r="BO203" i="46"/>
  <c r="BQ204" i="46"/>
  <c r="CJ202" i="46" l="1"/>
  <c r="CL203" i="46"/>
  <c r="AA192" i="46"/>
  <c r="Y192" i="46" s="1"/>
  <c r="AV203" i="46"/>
  <c r="BO204" i="46"/>
  <c r="BQ205" i="46"/>
  <c r="AV204" i="46" l="1"/>
  <c r="AT204" i="46" s="1"/>
  <c r="AA193" i="46"/>
  <c r="CJ203" i="46"/>
  <c r="CL204" i="46"/>
  <c r="AT203" i="46"/>
  <c r="BO205" i="46"/>
  <c r="BQ206" i="46"/>
  <c r="AA194" i="46" l="1"/>
  <c r="Y194" i="46" s="1"/>
  <c r="CJ204" i="46"/>
  <c r="CL205" i="46"/>
  <c r="Y193" i="46"/>
  <c r="AV205" i="46"/>
  <c r="AT205" i="46" s="1"/>
  <c r="BO206" i="46"/>
  <c r="BQ207" i="46"/>
  <c r="AV206" i="46" l="1"/>
  <c r="AT206" i="46" s="1"/>
  <c r="CJ205" i="46"/>
  <c r="CL206" i="46"/>
  <c r="AA195" i="46"/>
  <c r="Y195" i="46" s="1"/>
  <c r="BO207" i="46"/>
  <c r="BQ208" i="46"/>
  <c r="CJ206" i="46" l="1"/>
  <c r="CL207" i="46"/>
  <c r="AA196" i="46"/>
  <c r="AV207" i="46"/>
  <c r="AT207" i="46" s="1"/>
  <c r="BO208" i="46"/>
  <c r="BQ209" i="46"/>
  <c r="AA197" i="46" l="1"/>
  <c r="Y197" i="46" s="1"/>
  <c r="Y196" i="46"/>
  <c r="CJ207" i="46"/>
  <c r="CL208" i="46"/>
  <c r="AV208" i="46"/>
  <c r="AT208" i="46" s="1"/>
  <c r="BO209" i="46"/>
  <c r="BQ210" i="46"/>
  <c r="AV209" i="46" l="1"/>
  <c r="AT209" i="46" s="1"/>
  <c r="CJ208" i="46"/>
  <c r="CL209" i="46"/>
  <c r="AA198" i="46"/>
  <c r="Y198" i="46" s="1"/>
  <c r="BO210" i="46"/>
  <c r="BQ211" i="46"/>
  <c r="CJ209" i="46" l="1"/>
  <c r="CL210" i="46"/>
  <c r="CL211" i="46" s="1"/>
  <c r="AA199" i="46"/>
  <c r="Y199" i="46" s="1"/>
  <c r="AV210" i="46"/>
  <c r="BO211" i="46"/>
  <c r="BQ212" i="46"/>
  <c r="CJ210" i="46" l="1"/>
  <c r="AV211" i="46"/>
  <c r="AT211" i="46" s="1"/>
  <c r="CJ211" i="46"/>
  <c r="CL212" i="46"/>
  <c r="AT210" i="46"/>
  <c r="AA200" i="46"/>
  <c r="Y200" i="46" s="1"/>
  <c r="BO212" i="46"/>
  <c r="BQ213" i="46"/>
  <c r="CJ212" i="46" l="1"/>
  <c r="CL213" i="46"/>
  <c r="AA201" i="46"/>
  <c r="AV212" i="46"/>
  <c r="AT212" i="46" s="1"/>
  <c r="BO213" i="46"/>
  <c r="BQ214" i="46"/>
  <c r="AA202" i="46" l="1"/>
  <c r="Y202" i="46" s="1"/>
  <c r="Y201" i="46"/>
  <c r="CJ213" i="46"/>
  <c r="CL214" i="46"/>
  <c r="AV213" i="46"/>
  <c r="AT213" i="46" s="1"/>
  <c r="BO214" i="46"/>
  <c r="BQ215" i="46"/>
  <c r="AV214" i="46" l="1"/>
  <c r="AT214" i="46" s="1"/>
  <c r="CJ214" i="46"/>
  <c r="CL215" i="46"/>
  <c r="AA203" i="46"/>
  <c r="Y203" i="46" s="1"/>
  <c r="BO215" i="46"/>
  <c r="BQ216" i="46"/>
  <c r="CJ215" i="46" l="1"/>
  <c r="CL216" i="46"/>
  <c r="AA204" i="46"/>
  <c r="AV215" i="46"/>
  <c r="AT215" i="46" s="1"/>
  <c r="BO216" i="46"/>
  <c r="BQ217" i="46"/>
  <c r="AA205" i="46" l="1"/>
  <c r="Y205" i="46" s="1"/>
  <c r="Y204" i="46"/>
  <c r="CJ216" i="46"/>
  <c r="CL217" i="46"/>
  <c r="AV216" i="46"/>
  <c r="AT216" i="46" s="1"/>
  <c r="BO217" i="46"/>
  <c r="BQ218" i="46"/>
  <c r="AV217" i="46" l="1"/>
  <c r="AT217" i="46" s="1"/>
  <c r="CJ217" i="46"/>
  <c r="CL218" i="46"/>
  <c r="AA206" i="46"/>
  <c r="Y206" i="46" s="1"/>
  <c r="BO218" i="46"/>
  <c r="BQ219" i="46"/>
  <c r="CJ218" i="46" l="1"/>
  <c r="CL219" i="46"/>
  <c r="AA207" i="46"/>
  <c r="Y207" i="46" s="1"/>
  <c r="AV218" i="46"/>
  <c r="AT218" i="46" s="1"/>
  <c r="BO219" i="46"/>
  <c r="BQ220" i="46"/>
  <c r="AV219" i="46" l="1"/>
  <c r="AT219" i="46" s="1"/>
  <c r="AA208" i="46"/>
  <c r="Y208" i="46" s="1"/>
  <c r="CJ219" i="46"/>
  <c r="CL220" i="46"/>
  <c r="CL221" i="46" s="1"/>
  <c r="BO220" i="46"/>
  <c r="BQ221" i="46"/>
  <c r="CJ220" i="46" l="1"/>
  <c r="CJ221" i="46"/>
  <c r="CL222" i="46"/>
  <c r="AA209" i="46"/>
  <c r="Y209" i="46" s="1"/>
  <c r="AV220" i="46"/>
  <c r="AT220" i="46" s="1"/>
  <c r="BO221" i="46"/>
  <c r="BQ222" i="46"/>
  <c r="AA210" i="46" l="1"/>
  <c r="Y210" i="46" s="1"/>
  <c r="CJ222" i="46"/>
  <c r="CL223" i="46"/>
  <c r="AV221" i="46"/>
  <c r="AT221" i="46" s="1"/>
  <c r="BO222" i="46"/>
  <c r="BQ223" i="46"/>
  <c r="BQ224" i="46" s="1"/>
  <c r="CJ223" i="46" l="1"/>
  <c r="CL224" i="46"/>
  <c r="AV222" i="46"/>
  <c r="AT222" i="46" s="1"/>
  <c r="AA211" i="46"/>
  <c r="Y211" i="46" s="1"/>
  <c r="BO223" i="46"/>
  <c r="BO224" i="46"/>
  <c r="BQ225" i="46"/>
  <c r="G11" i="47"/>
  <c r="G10" i="47"/>
  <c r="G13" i="47"/>
  <c r="G9" i="47"/>
  <c r="G8" i="47"/>
  <c r="G12" i="47"/>
  <c r="AA212" i="46" l="1"/>
  <c r="Y212" i="46" s="1"/>
  <c r="AV223" i="46"/>
  <c r="AT223" i="46" s="1"/>
  <c r="CJ224" i="46"/>
  <c r="CL225" i="46"/>
  <c r="CL226" i="46" s="1"/>
  <c r="BO225" i="46"/>
  <c r="BQ226" i="46"/>
  <c r="E9" i="47"/>
  <c r="E12" i="47"/>
  <c r="E11" i="47"/>
  <c r="E10" i="47"/>
  <c r="E13" i="47"/>
  <c r="E8" i="47"/>
  <c r="CJ226" i="46" l="1"/>
  <c r="CL227" i="46"/>
  <c r="CJ225" i="46"/>
  <c r="AV224" i="46"/>
  <c r="AT224" i="46" s="1"/>
  <c r="AA213" i="46"/>
  <c r="Y213" i="46" s="1"/>
  <c r="BO226" i="46"/>
  <c r="BQ227" i="46"/>
  <c r="C9" i="47"/>
  <c r="C13" i="47"/>
  <c r="C10" i="47"/>
  <c r="CJ227" i="46" l="1"/>
  <c r="CL228" i="46"/>
  <c r="AA214" i="46"/>
  <c r="AV225" i="46"/>
  <c r="AT225" i="46" s="1"/>
  <c r="BO227" i="46"/>
  <c r="BQ228" i="46"/>
  <c r="AA215" i="46" l="1"/>
  <c r="Y215" i="46" s="1"/>
  <c r="Y214" i="46"/>
  <c r="CJ228" i="46"/>
  <c r="CL229" i="46"/>
  <c r="AV226" i="46"/>
  <c r="AT226" i="46" s="1"/>
  <c r="BO228" i="46"/>
  <c r="BQ229" i="46"/>
  <c r="AV227" i="46" l="1"/>
  <c r="AT227" i="46" s="1"/>
  <c r="CJ229" i="46"/>
  <c r="CL230" i="46"/>
  <c r="AA216" i="46"/>
  <c r="BO229" i="46"/>
  <c r="BQ230" i="46"/>
  <c r="AA217" i="46" l="1"/>
  <c r="Y217" i="46" s="1"/>
  <c r="Y216" i="46"/>
  <c r="CJ230" i="46"/>
  <c r="CL231" i="46"/>
  <c r="CL232" i="46" s="1"/>
  <c r="AV228" i="46"/>
  <c r="AT228" i="46" s="1"/>
  <c r="BO230" i="46"/>
  <c r="BQ231" i="46"/>
  <c r="BQ232" i="46" s="1"/>
  <c r="CJ231" i="46" l="1"/>
  <c r="AV229" i="46"/>
  <c r="AT229" i="46" s="1"/>
  <c r="CJ232" i="46"/>
  <c r="CL233" i="46"/>
  <c r="CL234" i="46" s="1"/>
  <c r="AA218" i="46"/>
  <c r="Y218" i="46" s="1"/>
  <c r="BO231" i="46"/>
  <c r="BO232" i="46"/>
  <c r="BQ233" i="46"/>
  <c r="AA219" i="46" l="1"/>
  <c r="AA220" i="46" s="1"/>
  <c r="CJ233" i="46"/>
  <c r="CJ234" i="46"/>
  <c r="CL235" i="46"/>
  <c r="AV230" i="46"/>
  <c r="AT230" i="46" s="1"/>
  <c r="BO233" i="46"/>
  <c r="BQ234" i="46"/>
  <c r="Y219" i="46" l="1"/>
  <c r="AV231" i="46"/>
  <c r="AT231" i="46" s="1"/>
  <c r="CJ235" i="46"/>
  <c r="CL236" i="46"/>
  <c r="CJ236" i="46" s="1"/>
  <c r="Y220" i="46"/>
  <c r="AA221" i="46"/>
  <c r="BO234" i="46"/>
  <c r="BQ235" i="46"/>
  <c r="AV232" i="46" l="1"/>
  <c r="AT232" i="46" s="1"/>
  <c r="Y221" i="46"/>
  <c r="AA222" i="46"/>
  <c r="CL237" i="46"/>
  <c r="CL238" i="46" s="1"/>
  <c r="BO235" i="46"/>
  <c r="BQ236" i="46"/>
  <c r="CJ237" i="46" l="1"/>
  <c r="Y222" i="46"/>
  <c r="AA223" i="46"/>
  <c r="AA224" i="46" s="1"/>
  <c r="CJ238" i="46"/>
  <c r="CL239" i="46"/>
  <c r="CL240" i="46" s="1"/>
  <c r="AV233" i="46"/>
  <c r="AT233" i="46" s="1"/>
  <c r="BO236" i="46"/>
  <c r="BQ237" i="46"/>
  <c r="CJ239" i="46" l="1"/>
  <c r="AV234" i="46"/>
  <c r="AT234" i="46" s="1"/>
  <c r="Y224" i="46"/>
  <c r="AA225" i="46"/>
  <c r="Y225" i="46" s="1"/>
  <c r="Y223" i="46"/>
  <c r="CJ240" i="46"/>
  <c r="CL241" i="46"/>
  <c r="CL242" i="46" s="1"/>
  <c r="BO237" i="46"/>
  <c r="BQ238" i="46"/>
  <c r="BO238" i="46" s="1"/>
  <c r="CJ241" i="46" l="1"/>
  <c r="CJ242" i="46"/>
  <c r="CL243" i="46"/>
  <c r="AA226" i="46"/>
  <c r="Y226" i="46" s="1"/>
  <c r="AV235" i="46"/>
  <c r="AT235" i="46" s="1"/>
  <c r="BQ239" i="46"/>
  <c r="BQ240" i="46" s="1"/>
  <c r="AA227" i="46" l="1"/>
  <c r="AA228" i="46" s="1"/>
  <c r="CJ243" i="46"/>
  <c r="CL244" i="46"/>
  <c r="AV236" i="46"/>
  <c r="BO239" i="46"/>
  <c r="BO240" i="46"/>
  <c r="BQ241" i="46"/>
  <c r="BQ242" i="46" s="1"/>
  <c r="A4" i="47"/>
  <c r="A11" i="47"/>
  <c r="A12" i="47"/>
  <c r="A9" i="47"/>
  <c r="A10" i="47"/>
  <c r="CJ244" i="46" l="1"/>
  <c r="CL245" i="46"/>
  <c r="AV237" i="46"/>
  <c r="AT237" i="46" s="1"/>
  <c r="Y227" i="46"/>
  <c r="AT236" i="46"/>
  <c r="Y228" i="46"/>
  <c r="AA229" i="46"/>
  <c r="BO241" i="46"/>
  <c r="BO242" i="46"/>
  <c r="BQ243" i="46"/>
  <c r="AV238" i="46" l="1"/>
  <c r="AT238" i="46" s="1"/>
  <c r="Y229" i="46"/>
  <c r="AA230" i="46"/>
  <c r="CJ245" i="46"/>
  <c r="CL246" i="46"/>
  <c r="BO243" i="46"/>
  <c r="BQ244" i="46"/>
  <c r="CJ246" i="46" l="1"/>
  <c r="CL247" i="46"/>
  <c r="Y230" i="46"/>
  <c r="AA231" i="46"/>
  <c r="AV239" i="46"/>
  <c r="AT239" i="46" s="1"/>
  <c r="BO244" i="46"/>
  <c r="BQ245" i="46"/>
  <c r="Y231" i="46" l="1"/>
  <c r="AA232" i="46"/>
  <c r="Y232" i="46" s="1"/>
  <c r="CJ247" i="46"/>
  <c r="CL248" i="46"/>
  <c r="AV240" i="46"/>
  <c r="AT240" i="46" s="1"/>
  <c r="BO245" i="46"/>
  <c r="BQ246" i="46"/>
  <c r="CJ248" i="46" l="1"/>
  <c r="CL249" i="46"/>
  <c r="AA233" i="46"/>
  <c r="AA234" i="46" s="1"/>
  <c r="AV241" i="46"/>
  <c r="AT241" i="46" s="1"/>
  <c r="BO246" i="46"/>
  <c r="BQ247" i="46"/>
  <c r="Y234" i="46" l="1"/>
  <c r="AA235" i="46"/>
  <c r="Y233" i="46"/>
  <c r="CJ249" i="46"/>
  <c r="CL250" i="46"/>
  <c r="AV242" i="46"/>
  <c r="AT242" i="46" s="1"/>
  <c r="BO247" i="46"/>
  <c r="BQ248" i="46"/>
  <c r="AV243" i="46" l="1"/>
  <c r="AT243" i="46" s="1"/>
  <c r="Y235" i="46"/>
  <c r="AA236" i="46"/>
  <c r="AA237" i="46" s="1"/>
  <c r="CJ250" i="46"/>
  <c r="CL251" i="46"/>
  <c r="BO248" i="46"/>
  <c r="BQ249" i="46"/>
  <c r="CJ251" i="46" l="1"/>
  <c r="CL252" i="46"/>
  <c r="CL253" i="46" s="1"/>
  <c r="Y237" i="46"/>
  <c r="AA238" i="46"/>
  <c r="Y236" i="46"/>
  <c r="AV244" i="46"/>
  <c r="AT244" i="46" s="1"/>
  <c r="BO249" i="46"/>
  <c r="BQ250" i="46"/>
  <c r="CJ252" i="46" l="1"/>
  <c r="AV245" i="46"/>
  <c r="AT245" i="46" s="1"/>
  <c r="Y238" i="46"/>
  <c r="AA239" i="46"/>
  <c r="CJ253" i="46"/>
  <c r="CL254" i="46"/>
  <c r="BO250" i="46"/>
  <c r="BQ251" i="46"/>
  <c r="CJ254" i="46" l="1"/>
  <c r="CL255" i="46"/>
  <c r="Y239" i="46"/>
  <c r="AA240" i="46"/>
  <c r="AV246" i="46"/>
  <c r="AT246" i="46" s="1"/>
  <c r="BO251" i="46"/>
  <c r="BQ252" i="46"/>
  <c r="Y240" i="46" l="1"/>
  <c r="AA241" i="46"/>
  <c r="CJ255" i="46"/>
  <c r="CL256" i="46"/>
  <c r="AV247" i="46"/>
  <c r="AT247" i="46" s="1"/>
  <c r="BO252" i="46"/>
  <c r="BQ253" i="46"/>
  <c r="CJ256" i="46" l="1"/>
  <c r="CL257" i="46"/>
  <c r="CJ257" i="46" s="1"/>
  <c r="Y241" i="46"/>
  <c r="AA242" i="46"/>
  <c r="AV248" i="46"/>
  <c r="AT248" i="46" s="1"/>
  <c r="BO253" i="46"/>
  <c r="BQ254" i="46"/>
  <c r="BQ255" i="46" s="1"/>
  <c r="CL258" i="46" l="1"/>
  <c r="CL259" i="46" s="1"/>
  <c r="AV249" i="46"/>
  <c r="Y242" i="46"/>
  <c r="AA243" i="46"/>
  <c r="BO255" i="46"/>
  <c r="BQ256" i="46"/>
  <c r="BO254" i="46"/>
  <c r="AA244" i="46" l="1"/>
  <c r="Y244" i="46" s="1"/>
  <c r="AV250" i="46"/>
  <c r="AT250" i="46" s="1"/>
  <c r="AT249" i="46"/>
  <c r="CJ258" i="46"/>
  <c r="Y243" i="46"/>
  <c r="CJ259" i="46"/>
  <c r="CL260" i="46"/>
  <c r="BO256" i="46"/>
  <c r="BQ257" i="46"/>
  <c r="BQ258" i="46" s="1"/>
  <c r="CJ260" i="46" l="1"/>
  <c r="CL261" i="46"/>
  <c r="AV251" i="46"/>
  <c r="AT251" i="46" s="1"/>
  <c r="AA245" i="46"/>
  <c r="AA246" i="46" s="1"/>
  <c r="BO258" i="46"/>
  <c r="BQ259" i="46"/>
  <c r="BO257" i="46"/>
  <c r="Y245" i="46" l="1"/>
  <c r="AV252" i="46"/>
  <c r="AT252" i="46" s="1"/>
  <c r="Y246" i="46"/>
  <c r="AA247" i="46"/>
  <c r="CJ261" i="46"/>
  <c r="CL262" i="46"/>
  <c r="BO259" i="46"/>
  <c r="BQ260" i="46"/>
  <c r="CJ262" i="46" l="1"/>
  <c r="CL263" i="46"/>
  <c r="AV253" i="46"/>
  <c r="Y247" i="46"/>
  <c r="AA248" i="46"/>
  <c r="BO260" i="46"/>
  <c r="BQ261" i="46"/>
  <c r="AV254" i="46" l="1"/>
  <c r="AT254" i="46" s="1"/>
  <c r="Y248" i="46"/>
  <c r="AA249" i="46"/>
  <c r="AT253" i="46"/>
  <c r="CJ263" i="46"/>
  <c r="CL264" i="46"/>
  <c r="BO261" i="46"/>
  <c r="BQ262" i="46"/>
  <c r="Y249" i="46" l="1"/>
  <c r="AA250" i="46"/>
  <c r="Y250" i="46" s="1"/>
  <c r="CJ264" i="46"/>
  <c r="CL265" i="46"/>
  <c r="AV255" i="46"/>
  <c r="AT255" i="46" s="1"/>
  <c r="BO262" i="46"/>
  <c r="BQ263" i="46"/>
  <c r="AV256" i="46" l="1"/>
  <c r="AT256" i="46" s="1"/>
  <c r="AA251" i="46"/>
  <c r="AA252" i="46" s="1"/>
  <c r="CJ265" i="46"/>
  <c r="CL266" i="46"/>
  <c r="BO263" i="46"/>
  <c r="BQ264" i="46"/>
  <c r="Y252" i="46" l="1"/>
  <c r="AA253" i="46"/>
  <c r="Y253" i="46" s="1"/>
  <c r="CJ266" i="46"/>
  <c r="CL267" i="46"/>
  <c r="Y251" i="46"/>
  <c r="AV257" i="46"/>
  <c r="AT257" i="46" s="1"/>
  <c r="BO264" i="46"/>
  <c r="BQ265" i="46"/>
  <c r="AV258" i="46" l="1"/>
  <c r="AT258" i="46" s="1"/>
  <c r="CJ267" i="46"/>
  <c r="CL268" i="46"/>
  <c r="AA254" i="46"/>
  <c r="BO265" i="46"/>
  <c r="BQ266" i="46"/>
  <c r="AA255" i="46" l="1"/>
  <c r="Y255" i="46" s="1"/>
  <c r="Y254" i="46"/>
  <c r="CJ268" i="46"/>
  <c r="CL269" i="46"/>
  <c r="CL270" i="46" s="1"/>
  <c r="AV259" i="46"/>
  <c r="AT259" i="46" s="1"/>
  <c r="BO266" i="46"/>
  <c r="BQ267" i="46"/>
  <c r="BQ268" i="46" s="1"/>
  <c r="BO267" i="46" l="1"/>
  <c r="CJ269" i="46"/>
  <c r="AV260" i="46"/>
  <c r="AT260" i="46" s="1"/>
  <c r="CJ270" i="46"/>
  <c r="CL271" i="46"/>
  <c r="CL272" i="46" s="1"/>
  <c r="AA256" i="46"/>
  <c r="Y256" i="46" s="1"/>
  <c r="BO268" i="46"/>
  <c r="BQ269" i="46"/>
  <c r="BQ270" i="46" s="1"/>
  <c r="AA257" i="46" l="1"/>
  <c r="AA258" i="46" s="1"/>
  <c r="CJ271" i="46"/>
  <c r="CJ272" i="46"/>
  <c r="CL273" i="46"/>
  <c r="CL274" i="46" s="1"/>
  <c r="AV261" i="46"/>
  <c r="AT261" i="46" s="1"/>
  <c r="BO269" i="46"/>
  <c r="BO270" i="46"/>
  <c r="BQ271" i="46"/>
  <c r="BQ272" i="46" s="1"/>
  <c r="BO271" i="46" l="1"/>
  <c r="CJ273" i="46"/>
  <c r="AV262" i="46"/>
  <c r="AT262" i="46" s="1"/>
  <c r="Y257" i="46"/>
  <c r="CJ274" i="46"/>
  <c r="CL275" i="46"/>
  <c r="Y258" i="46"/>
  <c r="AA259" i="46"/>
  <c r="BO272" i="46"/>
  <c r="BQ273" i="46"/>
  <c r="Y259" i="46" l="1"/>
  <c r="AA260" i="46"/>
  <c r="CJ275" i="46"/>
  <c r="CL276" i="46"/>
  <c r="AV263" i="46"/>
  <c r="AT263" i="46" s="1"/>
  <c r="BO273" i="46"/>
  <c r="BQ274" i="46"/>
  <c r="CJ276" i="46" l="1"/>
  <c r="CL277" i="46"/>
  <c r="Y260" i="46"/>
  <c r="AA261" i="46"/>
  <c r="AV264" i="46"/>
  <c r="AT264" i="46" s="1"/>
  <c r="BO274" i="46"/>
  <c r="BQ275" i="46"/>
  <c r="AV265" i="46" l="1"/>
  <c r="AT265" i="46" s="1"/>
  <c r="Y261" i="46"/>
  <c r="AA262" i="46"/>
  <c r="CJ277" i="46"/>
  <c r="CL278" i="46"/>
  <c r="CL279" i="46" s="1"/>
  <c r="BO275" i="46"/>
  <c r="BQ276" i="46"/>
  <c r="CJ278" i="46" l="1"/>
  <c r="CJ279" i="46"/>
  <c r="CL280" i="46"/>
  <c r="CJ280" i="46" s="1"/>
  <c r="Y262" i="46"/>
  <c r="AA263" i="46"/>
  <c r="AV266" i="46"/>
  <c r="AT266" i="46" s="1"/>
  <c r="BO276" i="46"/>
  <c r="BQ277" i="46"/>
  <c r="CL281" i="46" l="1"/>
  <c r="CL282" i="46" s="1"/>
  <c r="AV267" i="46"/>
  <c r="Y263" i="46"/>
  <c r="AA264" i="46"/>
  <c r="BO277" i="46"/>
  <c r="BQ278" i="46"/>
  <c r="AV268" i="46" l="1"/>
  <c r="AT268" i="46" s="1"/>
  <c r="Y264" i="46"/>
  <c r="AA265" i="46"/>
  <c r="AT267" i="46"/>
  <c r="CJ281" i="46"/>
  <c r="CJ282" i="46"/>
  <c r="CL283" i="46"/>
  <c r="BO278" i="46"/>
  <c r="BQ279" i="46"/>
  <c r="CJ283" i="46" l="1"/>
  <c r="CL284" i="46"/>
  <c r="AA266" i="46"/>
  <c r="Y266" i="46" s="1"/>
  <c r="Y265" i="46"/>
  <c r="AV269" i="46"/>
  <c r="AT269" i="46" s="1"/>
  <c r="BO279" i="46"/>
  <c r="BQ280" i="46"/>
  <c r="AA267" i="46" l="1"/>
  <c r="AA268" i="46" s="1"/>
  <c r="AV270" i="46"/>
  <c r="AT270" i="46" s="1"/>
  <c r="CJ284" i="46"/>
  <c r="CL285" i="46"/>
  <c r="CL286" i="46" s="1"/>
  <c r="BO280" i="46"/>
  <c r="BQ281" i="46"/>
  <c r="CJ286" i="46" l="1"/>
  <c r="CL287" i="46"/>
  <c r="CJ287" i="46" s="1"/>
  <c r="AV271" i="46"/>
  <c r="CJ285" i="46"/>
  <c r="Y267" i="46"/>
  <c r="Y268" i="46"/>
  <c r="AA269" i="46"/>
  <c r="BO281" i="46"/>
  <c r="BQ282" i="46"/>
  <c r="AV272" i="46" l="1"/>
  <c r="AT272" i="46" s="1"/>
  <c r="AT271" i="46"/>
  <c r="CL288" i="46"/>
  <c r="Y269" i="46"/>
  <c r="AA270" i="46"/>
  <c r="BO282" i="46"/>
  <c r="BQ283" i="46"/>
  <c r="BQ284" i="46" s="1"/>
  <c r="CL289" i="46" l="1"/>
  <c r="CL290" i="46" s="1"/>
  <c r="Y270" i="46"/>
  <c r="AA271" i="46"/>
  <c r="CJ288" i="46"/>
  <c r="AV273" i="46"/>
  <c r="AT273" i="46" s="1"/>
  <c r="BO283" i="46"/>
  <c r="BO284" i="46"/>
  <c r="BQ285" i="46"/>
  <c r="AV274" i="46" l="1"/>
  <c r="AT274" i="46" s="1"/>
  <c r="Y271" i="46"/>
  <c r="AA272" i="46"/>
  <c r="Y272" i="46" s="1"/>
  <c r="CJ289" i="46"/>
  <c r="CJ290" i="46"/>
  <c r="CL291" i="46"/>
  <c r="BO285" i="46"/>
  <c r="BQ286" i="46"/>
  <c r="BQ287" i="46" s="1"/>
  <c r="CJ291" i="46" l="1"/>
  <c r="CL292" i="46"/>
  <c r="CL293" i="46" s="1"/>
  <c r="CJ292" i="46"/>
  <c r="AA273" i="46"/>
  <c r="AA274" i="46" s="1"/>
  <c r="AV275" i="46"/>
  <c r="AT275" i="46" s="1"/>
  <c r="BO286" i="46"/>
  <c r="BO287" i="46"/>
  <c r="BQ288" i="46"/>
  <c r="BO288" i="46" s="1"/>
  <c r="Y273" i="46" l="1"/>
  <c r="Y274" i="46"/>
  <c r="AA275" i="46"/>
  <c r="CJ293" i="46"/>
  <c r="CL294" i="46"/>
  <c r="CL295" i="46" s="1"/>
  <c r="AV276" i="46"/>
  <c r="AV277" i="46" s="1"/>
  <c r="BQ289" i="46"/>
  <c r="BQ290" i="46" s="1"/>
  <c r="AT276" i="46" l="1"/>
  <c r="AT277" i="46"/>
  <c r="AV278" i="46"/>
  <c r="CJ294" i="46"/>
  <c r="Y275" i="46"/>
  <c r="AA276" i="46"/>
  <c r="CJ295" i="46"/>
  <c r="CL296" i="46"/>
  <c r="CJ296" i="46" s="1"/>
  <c r="BO289" i="46"/>
  <c r="BO290" i="46"/>
  <c r="BQ291" i="46"/>
  <c r="BQ292" i="46" s="1"/>
  <c r="Y276" i="46" l="1"/>
  <c r="AA277" i="46"/>
  <c r="Y277" i="46" s="1"/>
  <c r="AT278" i="46"/>
  <c r="AV279" i="46"/>
  <c r="AT279" i="46" s="1"/>
  <c r="CL297" i="46"/>
  <c r="BO291" i="46"/>
  <c r="BO292" i="46"/>
  <c r="BQ293" i="46"/>
  <c r="CL298" i="46" l="1"/>
  <c r="CL299" i="46" s="1"/>
  <c r="CJ297" i="46"/>
  <c r="AA278" i="46"/>
  <c r="AA279" i="46" s="1"/>
  <c r="AV280" i="46"/>
  <c r="AT280" i="46" s="1"/>
  <c r="BO293" i="46"/>
  <c r="BQ294" i="46"/>
  <c r="Y278" i="46" l="1"/>
  <c r="Y279" i="46"/>
  <c r="AA280" i="46"/>
  <c r="CJ298" i="46"/>
  <c r="AV281" i="46"/>
  <c r="AT281" i="46" s="1"/>
  <c r="CJ299" i="46"/>
  <c r="CL300" i="46"/>
  <c r="BO294" i="46"/>
  <c r="BQ295" i="46"/>
  <c r="CJ300" i="46" l="1"/>
  <c r="CL301" i="46"/>
  <c r="AV282" i="46"/>
  <c r="Y280" i="46"/>
  <c r="AA281" i="46"/>
  <c r="Y281" i="46" s="1"/>
  <c r="BO295" i="46"/>
  <c r="BQ296" i="46"/>
  <c r="AV283" i="46" l="1"/>
  <c r="AT283" i="46" s="1"/>
  <c r="CJ301" i="46"/>
  <c r="CL302" i="46"/>
  <c r="AA282" i="46"/>
  <c r="Y282" i="46" s="1"/>
  <c r="AT282" i="46"/>
  <c r="BO296" i="46"/>
  <c r="BQ297" i="46"/>
  <c r="AA283" i="46" l="1"/>
  <c r="Y283" i="46" s="1"/>
  <c r="CL303" i="46"/>
  <c r="CJ302" i="46"/>
  <c r="AV284" i="46"/>
  <c r="AT284" i="46" s="1"/>
  <c r="BO297" i="46"/>
  <c r="BQ298" i="46"/>
  <c r="CL304" i="46" l="1"/>
  <c r="CJ304" i="46" s="1"/>
  <c r="AV285" i="46"/>
  <c r="AT285" i="46" s="1"/>
  <c r="CJ303" i="46"/>
  <c r="AA284" i="46"/>
  <c r="Y284" i="46" s="1"/>
  <c r="BO298" i="46"/>
  <c r="BQ299" i="46"/>
  <c r="AA285" i="46" l="1"/>
  <c r="AA286" i="46" s="1"/>
  <c r="AV286" i="46"/>
  <c r="CL305" i="46"/>
  <c r="BO299" i="46"/>
  <c r="BQ300" i="46"/>
  <c r="BO300" i="46" s="1"/>
  <c r="AV287" i="46" l="1"/>
  <c r="AT287" i="46" s="1"/>
  <c r="CL306" i="46"/>
  <c r="Y286" i="46"/>
  <c r="AA287" i="46"/>
  <c r="CJ305" i="46"/>
  <c r="AT286" i="46"/>
  <c r="Y285" i="46"/>
  <c r="BQ301" i="46"/>
  <c r="BQ302" i="46" s="1"/>
  <c r="CL307" i="46" l="1"/>
  <c r="CJ307" i="46" s="1"/>
  <c r="Y287" i="46"/>
  <c r="AA288" i="46"/>
  <c r="CJ306" i="46"/>
  <c r="AV288" i="46"/>
  <c r="AT288" i="46" s="1"/>
  <c r="BO301" i="46"/>
  <c r="BO302" i="46"/>
  <c r="BQ303" i="46"/>
  <c r="AV289" i="46" l="1"/>
  <c r="AV290" i="46" s="1"/>
  <c r="Y288" i="46"/>
  <c r="AA289" i="46"/>
  <c r="CL308" i="46"/>
  <c r="CL309" i="46" s="1"/>
  <c r="BO303" i="46"/>
  <c r="BQ304" i="46"/>
  <c r="CJ308" i="46" l="1"/>
  <c r="Y289" i="46"/>
  <c r="AA290" i="46"/>
  <c r="AT289" i="46"/>
  <c r="CJ309" i="46"/>
  <c r="CL310" i="46"/>
  <c r="AT290" i="46"/>
  <c r="AV291" i="46"/>
  <c r="AT291" i="46" s="1"/>
  <c r="BO304" i="46"/>
  <c r="BQ305" i="46"/>
  <c r="Y290" i="46" l="1"/>
  <c r="AA291" i="46"/>
  <c r="Y291" i="46" s="1"/>
  <c r="AV292" i="46"/>
  <c r="AT292" i="46" s="1"/>
  <c r="CJ310" i="46"/>
  <c r="CL311" i="46"/>
  <c r="BO305" i="46"/>
  <c r="BQ306" i="46"/>
  <c r="CJ311" i="46" l="1"/>
  <c r="CL312" i="46"/>
  <c r="AV293" i="46"/>
  <c r="AT293" i="46" s="1"/>
  <c r="AA292" i="46"/>
  <c r="Y292" i="46" s="1"/>
  <c r="BO306" i="46"/>
  <c r="BQ307" i="46"/>
  <c r="AV294" i="46" l="1"/>
  <c r="AT294" i="46" s="1"/>
  <c r="CJ312" i="46"/>
  <c r="CL313" i="46"/>
  <c r="AA293" i="46"/>
  <c r="AA294" i="46" s="1"/>
  <c r="BO307" i="46"/>
  <c r="BQ308" i="46"/>
  <c r="Y293" i="46" l="1"/>
  <c r="CJ313" i="46"/>
  <c r="CL314" i="46"/>
  <c r="Y294" i="46"/>
  <c r="AA295" i="46"/>
  <c r="AV295" i="46"/>
  <c r="AT295" i="46" s="1"/>
  <c r="BO308" i="46"/>
  <c r="BQ309" i="46"/>
  <c r="AV296" i="46" l="1"/>
  <c r="AT296" i="46" s="1"/>
  <c r="CJ314" i="46"/>
  <c r="CL315" i="46"/>
  <c r="Y295" i="46"/>
  <c r="AA296" i="46"/>
  <c r="BO309" i="46"/>
  <c r="BQ310" i="46"/>
  <c r="CL316" i="46" l="1"/>
  <c r="CL317" i="46" s="1"/>
  <c r="Y296" i="46"/>
  <c r="AA297" i="46"/>
  <c r="CJ315" i="46"/>
  <c r="AV297" i="46"/>
  <c r="AT297" i="46" s="1"/>
  <c r="BQ311" i="46"/>
  <c r="BQ312" i="46" s="1"/>
  <c r="BO310" i="46"/>
  <c r="AV298" i="46" l="1"/>
  <c r="AT298" i="46" s="1"/>
  <c r="AA298" i="46"/>
  <c r="Y298" i="46" s="1"/>
  <c r="Y297" i="46"/>
  <c r="CJ316" i="46"/>
  <c r="CJ317" i="46"/>
  <c r="CL318" i="46"/>
  <c r="BO311" i="46"/>
  <c r="BO312" i="46"/>
  <c r="BQ313" i="46"/>
  <c r="AA299" i="46" l="1"/>
  <c r="Y299" i="46" s="1"/>
  <c r="CJ318" i="46"/>
  <c r="CL319" i="46"/>
  <c r="CL320" i="46" s="1"/>
  <c r="AV299" i="46"/>
  <c r="AV300" i="46" s="1"/>
  <c r="BO313" i="46"/>
  <c r="BQ314" i="46"/>
  <c r="AT299" i="46" l="1"/>
  <c r="CJ320" i="46"/>
  <c r="CL321" i="46"/>
  <c r="AT300" i="46"/>
  <c r="AV301" i="46"/>
  <c r="AT301" i="46" s="1"/>
  <c r="CJ319" i="46"/>
  <c r="AA300" i="46"/>
  <c r="AA301" i="46" s="1"/>
  <c r="BO314" i="46"/>
  <c r="BQ315" i="46"/>
  <c r="Y300" i="46" l="1"/>
  <c r="CJ321" i="46"/>
  <c r="CL322" i="46"/>
  <c r="Y301" i="46"/>
  <c r="AA302" i="46"/>
  <c r="AA303" i="46" s="1"/>
  <c r="AV302" i="46"/>
  <c r="AT302" i="46" s="1"/>
  <c r="BO315" i="46"/>
  <c r="BQ316" i="46"/>
  <c r="AV303" i="46" l="1"/>
  <c r="AT303" i="46" s="1"/>
  <c r="Y302" i="46"/>
  <c r="CJ322" i="46"/>
  <c r="CL323" i="46"/>
  <c r="Y303" i="46"/>
  <c r="AA304" i="46"/>
  <c r="BO316" i="46"/>
  <c r="BQ317" i="46"/>
  <c r="BO317" i="46" s="1"/>
  <c r="Y304" i="46" l="1"/>
  <c r="AA305" i="46"/>
  <c r="CJ323" i="46"/>
  <c r="CL324" i="46"/>
  <c r="AV304" i="46"/>
  <c r="AT304" i="46" s="1"/>
  <c r="BQ318" i="46"/>
  <c r="BQ319" i="46" s="1"/>
  <c r="CJ324" i="46" l="1"/>
  <c r="CL325" i="46"/>
  <c r="Y305" i="46"/>
  <c r="AA306" i="46"/>
  <c r="AV305" i="46"/>
  <c r="AT305" i="46" s="1"/>
  <c r="BO318" i="46"/>
  <c r="BO319" i="46"/>
  <c r="BQ320" i="46"/>
  <c r="Y306" i="46" l="1"/>
  <c r="AA307" i="46"/>
  <c r="CJ325" i="46"/>
  <c r="CL326" i="46"/>
  <c r="AV306" i="46"/>
  <c r="AT306" i="46" s="1"/>
  <c r="BO320" i="46"/>
  <c r="BQ321" i="46"/>
  <c r="AV307" i="46" l="1"/>
  <c r="AT307" i="46" s="1"/>
  <c r="Y307" i="46"/>
  <c r="AA308" i="46"/>
  <c r="Y308" i="46" s="1"/>
  <c r="CJ326" i="46"/>
  <c r="CL327" i="46"/>
  <c r="BO321" i="46"/>
  <c r="BQ322" i="46"/>
  <c r="AA309" i="46" l="1"/>
  <c r="AA310" i="46" s="1"/>
  <c r="CJ327" i="46"/>
  <c r="CL328" i="46"/>
  <c r="AV308" i="46"/>
  <c r="AT308" i="46" s="1"/>
  <c r="BO322" i="46"/>
  <c r="BQ323" i="46"/>
  <c r="BO323" i="46" s="1"/>
  <c r="A14" i="47"/>
  <c r="AV309" i="46" l="1"/>
  <c r="AT309" i="46" s="1"/>
  <c r="CJ328" i="46"/>
  <c r="CL329" i="46"/>
  <c r="Y309" i="46"/>
  <c r="Y310" i="46"/>
  <c r="AA311" i="46"/>
  <c r="Y311" i="46" s="1"/>
  <c r="BQ324" i="46"/>
  <c r="BQ325" i="46" s="1"/>
  <c r="CJ329" i="46" l="1"/>
  <c r="CL330" i="46"/>
  <c r="AA312" i="46"/>
  <c r="AA313" i="46" s="1"/>
  <c r="Y312" i="46"/>
  <c r="A17" i="47"/>
  <c r="A15" i="47"/>
  <c r="A18" i="47"/>
  <c r="A16" i="47"/>
  <c r="AV310" i="46"/>
  <c r="AT310" i="46" s="1"/>
  <c r="BO324" i="46"/>
  <c r="BO325" i="46"/>
  <c r="BQ326" i="46"/>
  <c r="AV311" i="46" l="1"/>
  <c r="AT311" i="46" s="1"/>
  <c r="Y313" i="46"/>
  <c r="AA314" i="46"/>
  <c r="CJ330" i="46"/>
  <c r="CL331" i="46"/>
  <c r="CJ331" i="46" s="1"/>
  <c r="BO326" i="46"/>
  <c r="BQ327" i="46"/>
  <c r="CL332" i="46" l="1"/>
  <c r="CL333" i="46" s="1"/>
  <c r="Y314" i="46"/>
  <c r="AA315" i="46"/>
  <c r="A20" i="47"/>
  <c r="A19" i="47"/>
  <c r="AV312" i="46"/>
  <c r="AT312" i="46" s="1"/>
  <c r="BO327" i="46"/>
  <c r="BQ328" i="46"/>
  <c r="AV313" i="46" l="1"/>
  <c r="AT313" i="46" s="1"/>
  <c r="Y315" i="46"/>
  <c r="AA316" i="46"/>
  <c r="CJ332" i="46"/>
  <c r="CJ333" i="46"/>
  <c r="CL334" i="46"/>
  <c r="BO328" i="46"/>
  <c r="BQ329" i="46"/>
  <c r="CJ334" i="46" l="1"/>
  <c r="CL335" i="46"/>
  <c r="A21" i="47"/>
  <c r="Y316" i="46"/>
  <c r="A22" i="47" s="1"/>
  <c r="AA317" i="46"/>
  <c r="AV314" i="46"/>
  <c r="AT314" i="46" s="1"/>
  <c r="BO329" i="46"/>
  <c r="BQ330" i="46"/>
  <c r="AV315" i="46" l="1"/>
  <c r="AT315" i="46" s="1"/>
  <c r="Y317" i="46"/>
  <c r="AA318" i="46"/>
  <c r="CJ335" i="46"/>
  <c r="CL336" i="46"/>
  <c r="G33" i="47"/>
  <c r="BO330" i="46"/>
  <c r="BQ331" i="46"/>
  <c r="CJ336" i="46" l="1"/>
  <c r="CL337" i="46"/>
  <c r="AA319" i="46"/>
  <c r="AA320" i="46" s="1"/>
  <c r="G34" i="47"/>
  <c r="Y318" i="46"/>
  <c r="A23" i="47"/>
  <c r="A24" i="47"/>
  <c r="AV316" i="46"/>
  <c r="AT316" i="46" s="1"/>
  <c r="BO331" i="46"/>
  <c r="BQ332" i="46"/>
  <c r="Y319" i="46" l="1"/>
  <c r="Y320" i="46"/>
  <c r="AA321" i="46"/>
  <c r="AV317" i="46"/>
  <c r="AT317" i="46" s="1"/>
  <c r="CJ337" i="46"/>
  <c r="CL338" i="46"/>
  <c r="BO332" i="46"/>
  <c r="BQ333" i="46"/>
  <c r="A3" i="47"/>
  <c r="A13" i="47"/>
  <c r="AV318" i="46" l="1"/>
  <c r="AT318" i="46" s="1"/>
  <c r="Y321" i="46"/>
  <c r="AA322" i="46"/>
  <c r="CJ338" i="46"/>
  <c r="CL339" i="46"/>
  <c r="BO333" i="46"/>
  <c r="BQ334" i="46"/>
  <c r="BO334" i="46" s="1"/>
  <c r="CJ339" i="46" l="1"/>
  <c r="CL340" i="46"/>
  <c r="Y322" i="46"/>
  <c r="AA323" i="46"/>
  <c r="AA324" i="46" s="1"/>
  <c r="AV319" i="46"/>
  <c r="BQ335" i="46"/>
  <c r="BQ336" i="46" s="1"/>
  <c r="Y323" i="46" l="1"/>
  <c r="AV320" i="46"/>
  <c r="AT320" i="46" s="1"/>
  <c r="CJ340" i="46"/>
  <c r="CL341" i="46"/>
  <c r="CL342" i="46" s="1"/>
  <c r="CJ342" i="46" s="1"/>
  <c r="Y324" i="46"/>
  <c r="AA325" i="46"/>
  <c r="CJ341" i="46"/>
  <c r="AT319" i="46"/>
  <c r="BO335" i="46"/>
  <c r="BO336" i="46"/>
  <c r="BQ337" i="46"/>
  <c r="Y325" i="46" l="1"/>
  <c r="AA326" i="46"/>
  <c r="CL343" i="46"/>
  <c r="AV321" i="46"/>
  <c r="AT321" i="46" s="1"/>
  <c r="BO337" i="46"/>
  <c r="BQ338" i="46"/>
  <c r="CL344" i="46"/>
  <c r="CL345" i="46" s="1"/>
  <c r="CJ343" i="46"/>
  <c r="C8" i="47"/>
  <c r="C12" i="47"/>
  <c r="C11" i="47"/>
  <c r="C6" i="47"/>
  <c r="C14" i="47"/>
  <c r="C18" i="47"/>
  <c r="C16" i="47"/>
  <c r="C24" i="47"/>
  <c r="C20" i="47"/>
  <c r="C17" i="47"/>
  <c r="C23" i="47"/>
  <c r="C15" i="47"/>
  <c r="C21" i="47"/>
  <c r="C19" i="47"/>
  <c r="C22" i="47"/>
  <c r="AV322" i="46" l="1"/>
  <c r="AT322" i="46" s="1"/>
  <c r="Y326" i="46"/>
  <c r="AA327" i="46"/>
  <c r="Y327" i="46" s="1"/>
  <c r="BO338" i="46"/>
  <c r="BQ339" i="46"/>
  <c r="BQ340" i="46" s="1"/>
  <c r="CJ344" i="46"/>
  <c r="CJ345" i="46"/>
  <c r="CL346" i="46"/>
  <c r="AA328" i="46" l="1"/>
  <c r="AA329" i="46" s="1"/>
  <c r="AV323" i="46"/>
  <c r="AT323" i="46" s="1"/>
  <c r="BO339" i="46"/>
  <c r="BO340" i="46"/>
  <c r="BQ341" i="46"/>
  <c r="CJ346" i="46"/>
  <c r="CL347" i="46"/>
  <c r="Y328" i="46" l="1"/>
  <c r="Y329" i="46"/>
  <c r="AA330" i="46"/>
  <c r="AV324" i="46"/>
  <c r="AT324" i="46" s="1"/>
  <c r="BQ342" i="46"/>
  <c r="BQ343" i="46" s="1"/>
  <c r="BO341" i="46"/>
  <c r="CJ347" i="46"/>
  <c r="G92" i="47" s="1"/>
  <c r="G20" i="47"/>
  <c r="G15" i="47"/>
  <c r="G18" i="47"/>
  <c r="G24" i="47"/>
  <c r="G22" i="47"/>
  <c r="G25" i="47"/>
  <c r="G23" i="47"/>
  <c r="G26" i="47"/>
  <c r="G16" i="47"/>
  <c r="G14" i="47"/>
  <c r="G19" i="47"/>
  <c r="G17" i="47"/>
  <c r="G21" i="47"/>
  <c r="G30" i="47"/>
  <c r="G27" i="47"/>
  <c r="G29" i="47"/>
  <c r="G31" i="47"/>
  <c r="G28" i="47"/>
  <c r="G35" i="47"/>
  <c r="G32" i="47"/>
  <c r="G137" i="47"/>
  <c r="G78" i="47"/>
  <c r="G103" i="47"/>
  <c r="G104" i="47"/>
  <c r="G86" i="47"/>
  <c r="G40" i="47"/>
  <c r="G142" i="47"/>
  <c r="G81" i="47"/>
  <c r="G74" i="47"/>
  <c r="G194" i="47"/>
  <c r="G49" i="47"/>
  <c r="G62" i="47"/>
  <c r="G196" i="47"/>
  <c r="G96" i="47"/>
  <c r="G151" i="47"/>
  <c r="G173" i="47"/>
  <c r="G155" i="47"/>
  <c r="G123" i="47"/>
  <c r="G209" i="47"/>
  <c r="G85" i="47"/>
  <c r="G83" i="47"/>
  <c r="G75" i="47"/>
  <c r="G179" i="47"/>
  <c r="G169" i="47"/>
  <c r="G111" i="47"/>
  <c r="G90" i="47"/>
  <c r="G41" i="47"/>
  <c r="G36" i="47"/>
  <c r="G174" i="47"/>
  <c r="G207" i="47"/>
  <c r="G216" i="47"/>
  <c r="G211" i="47"/>
  <c r="G217" i="47"/>
  <c r="G136" i="47"/>
  <c r="G201" i="47"/>
  <c r="G163" i="47"/>
  <c r="G70" i="47"/>
  <c r="G97" i="47"/>
  <c r="G95" i="47"/>
  <c r="G124" i="47"/>
  <c r="G68" i="47"/>
  <c r="G59" i="47"/>
  <c r="G54" i="47"/>
  <c r="G109" i="47"/>
  <c r="G187" i="47"/>
  <c r="G150" i="47"/>
  <c r="G37" i="47"/>
  <c r="G182" i="47"/>
  <c r="G143" i="47"/>
  <c r="G171" i="47"/>
  <c r="G73" i="47"/>
  <c r="G141" i="47"/>
  <c r="G69" i="47"/>
  <c r="G212" i="47"/>
  <c r="G120" i="47"/>
  <c r="G121" i="47"/>
  <c r="G140" i="47"/>
  <c r="G100" i="47"/>
  <c r="G192" i="47"/>
  <c r="G133" i="47"/>
  <c r="G130" i="47"/>
  <c r="G158" i="47"/>
  <c r="G38" i="47"/>
  <c r="G152" i="47"/>
  <c r="G185" i="47"/>
  <c r="G153" i="47"/>
  <c r="G108" i="47"/>
  <c r="G162" i="47"/>
  <c r="G180" i="47"/>
  <c r="G165" i="47"/>
  <c r="G39" i="47"/>
  <c r="G147" i="47"/>
  <c r="G110" i="47"/>
  <c r="G177" i="47"/>
  <c r="G76" i="47"/>
  <c r="G181" i="47"/>
  <c r="G64" i="47"/>
  <c r="G127" i="47"/>
  <c r="G79" i="47"/>
  <c r="G208" i="47"/>
  <c r="G159" i="47"/>
  <c r="G56" i="47"/>
  <c r="G190" i="47"/>
  <c r="G197" i="47"/>
  <c r="G50" i="47"/>
  <c r="G72" i="47"/>
  <c r="G193" i="47"/>
  <c r="G113" i="47"/>
  <c r="G213" i="47"/>
  <c r="G183" i="47"/>
  <c r="G43" i="47"/>
  <c r="G205" i="47"/>
  <c r="G220" i="47"/>
  <c r="G222" i="47"/>
  <c r="G221" i="47"/>
  <c r="G225" i="47"/>
  <c r="G224" i="47"/>
  <c r="G228" i="47"/>
  <c r="G230" i="47"/>
  <c r="G231" i="47"/>
  <c r="G227" i="47"/>
  <c r="G229" i="47"/>
  <c r="G233" i="47"/>
  <c r="G232" i="47"/>
  <c r="G234" i="47"/>
  <c r="G235" i="47"/>
  <c r="G237" i="47"/>
  <c r="G236" i="47"/>
  <c r="G238" i="47"/>
  <c r="G239" i="47"/>
  <c r="G242" i="47"/>
  <c r="G247" i="47"/>
  <c r="G244" i="47"/>
  <c r="G241" i="47"/>
  <c r="G246" i="47"/>
  <c r="G245" i="47"/>
  <c r="G249" i="47"/>
  <c r="G248" i="47"/>
  <c r="G251" i="47"/>
  <c r="G250" i="47"/>
  <c r="G254" i="47"/>
  <c r="G253" i="47"/>
  <c r="G252" i="47"/>
  <c r="G255" i="47"/>
  <c r="G262" i="47"/>
  <c r="G260" i="47"/>
  <c r="G257" i="47"/>
  <c r="G261" i="47"/>
  <c r="G259" i="47"/>
  <c r="G265" i="47"/>
  <c r="G263" i="47"/>
  <c r="G267" i="47"/>
  <c r="G264" i="47"/>
  <c r="G269" i="47"/>
  <c r="G266" i="47"/>
  <c r="G270" i="47"/>
  <c r="G268" i="47"/>
  <c r="G271" i="47"/>
  <c r="G275" i="47"/>
  <c r="G276" i="47"/>
  <c r="G277" i="47"/>
  <c r="G274" i="47"/>
  <c r="G278" i="47"/>
  <c r="G280" i="47"/>
  <c r="G283" i="47"/>
  <c r="G279" i="47"/>
  <c r="G282" i="47"/>
  <c r="G281" i="47"/>
  <c r="G284" i="47"/>
  <c r="G285" i="47"/>
  <c r="G286" i="47"/>
  <c r="G289" i="47"/>
  <c r="G292" i="47"/>
  <c r="G290" i="47"/>
  <c r="G291" i="47"/>
  <c r="G294" i="47"/>
  <c r="G293" i="47"/>
  <c r="G296" i="47"/>
  <c r="G295" i="47"/>
  <c r="G298" i="47"/>
  <c r="G297" i="47"/>
  <c r="G299" i="47"/>
  <c r="G300" i="47"/>
  <c r="G301" i="47"/>
  <c r="G305" i="47"/>
  <c r="G304" i="47"/>
  <c r="G302" i="47"/>
  <c r="G303" i="47"/>
  <c r="G307" i="47"/>
  <c r="G309" i="47"/>
  <c r="G308" i="47"/>
  <c r="G311" i="47"/>
  <c r="G318" i="47"/>
  <c r="G314" i="47"/>
  <c r="G312" i="47"/>
  <c r="G316" i="47"/>
  <c r="G114" i="47" l="1"/>
  <c r="G84" i="47"/>
  <c r="G61" i="47"/>
  <c r="G53" i="47"/>
  <c r="G131" i="47"/>
  <c r="G204" i="47"/>
  <c r="G135" i="47"/>
  <c r="G210" i="47"/>
  <c r="G144" i="47"/>
  <c r="G58" i="47"/>
  <c r="G203" i="47"/>
  <c r="G44" i="47"/>
  <c r="G160" i="47"/>
  <c r="G101" i="47"/>
  <c r="G206" i="47"/>
  <c r="G172" i="47"/>
  <c r="G99" i="47"/>
  <c r="G93" i="47"/>
  <c r="G178" i="47"/>
  <c r="G195" i="47"/>
  <c r="G125" i="47"/>
  <c r="G67" i="47"/>
  <c r="G45" i="47"/>
  <c r="G77" i="47"/>
  <c r="G156" i="47"/>
  <c r="G166" i="47"/>
  <c r="G164" i="47"/>
  <c r="G157" i="47"/>
  <c r="G186" i="47"/>
  <c r="G46" i="47"/>
  <c r="G106" i="47"/>
  <c r="G214" i="47"/>
  <c r="G167" i="47"/>
  <c r="G200" i="47"/>
  <c r="G42" i="47"/>
  <c r="G188" i="47"/>
  <c r="G102" i="47"/>
  <c r="G117" i="47"/>
  <c r="G198" i="47"/>
  <c r="G112" i="47"/>
  <c r="G66" i="47"/>
  <c r="G98" i="47"/>
  <c r="G145" i="47"/>
  <c r="G148" i="47"/>
  <c r="G118" i="47"/>
  <c r="G189" i="47"/>
  <c r="G63" i="47"/>
  <c r="G191" i="47"/>
  <c r="G175" i="47"/>
  <c r="G89" i="47"/>
  <c r="G48" i="47"/>
  <c r="G132" i="47"/>
  <c r="G184" i="47"/>
  <c r="G107" i="47"/>
  <c r="G80" i="47"/>
  <c r="G88" i="47"/>
  <c r="G65" i="47"/>
  <c r="G115" i="47"/>
  <c r="G199" i="47"/>
  <c r="BO342" i="46"/>
  <c r="G306" i="47"/>
  <c r="G288" i="47"/>
  <c r="G272" i="47"/>
  <c r="G258" i="47"/>
  <c r="G240" i="47"/>
  <c r="G226" i="47"/>
  <c r="G219" i="47"/>
  <c r="G176" i="47"/>
  <c r="G128" i="47"/>
  <c r="G122" i="47"/>
  <c r="G105" i="47"/>
  <c r="G215" i="47"/>
  <c r="G47" i="47"/>
  <c r="G52" i="47"/>
  <c r="G55" i="47"/>
  <c r="G116" i="47"/>
  <c r="G60" i="47"/>
  <c r="Y330" i="46"/>
  <c r="A28" i="47" s="1"/>
  <c r="AA331" i="46"/>
  <c r="Y331" i="46" s="1"/>
  <c r="G287" i="47"/>
  <c r="G273" i="47"/>
  <c r="G256" i="47"/>
  <c r="G243" i="47"/>
  <c r="G223" i="47"/>
  <c r="G91" i="47"/>
  <c r="G168" i="47"/>
  <c r="G119" i="47"/>
  <c r="G129" i="47"/>
  <c r="G82" i="47"/>
  <c r="G94" i="47"/>
  <c r="G126" i="47"/>
  <c r="G138" i="47"/>
  <c r="G87" i="47"/>
  <c r="G139" i="47"/>
  <c r="AV325" i="46"/>
  <c r="AT325" i="46" s="1"/>
  <c r="G51" i="47"/>
  <c r="G154" i="47"/>
  <c r="G71" i="47"/>
  <c r="G149" i="47"/>
  <c r="G218" i="47"/>
  <c r="G146" i="47"/>
  <c r="G161" i="47"/>
  <c r="G170" i="47"/>
  <c r="G202" i="47"/>
  <c r="G134" i="47"/>
  <c r="G57" i="47"/>
  <c r="BO343" i="46"/>
  <c r="BQ344" i="46"/>
  <c r="G319" i="47"/>
  <c r="G317" i="47"/>
  <c r="G310" i="47"/>
  <c r="G313" i="47"/>
  <c r="G315" i="47"/>
  <c r="A29" i="47" l="1"/>
  <c r="AV326" i="46"/>
  <c r="AT326" i="46" s="1"/>
  <c r="AA332" i="46"/>
  <c r="AA333" i="46" s="1"/>
  <c r="BO344" i="46"/>
  <c r="BQ345" i="46"/>
  <c r="Y332" i="46" l="1"/>
  <c r="AV327" i="46"/>
  <c r="AT327" i="46" s="1"/>
  <c r="C25" i="47" s="1"/>
  <c r="Y333" i="46"/>
  <c r="AA334" i="46"/>
  <c r="BO345" i="46"/>
  <c r="E40" i="47" s="1"/>
  <c r="BQ346" i="46"/>
  <c r="E22" i="47"/>
  <c r="E20" i="47"/>
  <c r="E16" i="47"/>
  <c r="E15" i="47"/>
  <c r="E18" i="47"/>
  <c r="E24" i="47"/>
  <c r="E19" i="47"/>
  <c r="E17" i="47"/>
  <c r="E14" i="47"/>
  <c r="E23" i="47"/>
  <c r="E21" i="47"/>
  <c r="E25" i="47"/>
  <c r="E26" i="47"/>
  <c r="E28" i="47"/>
  <c r="E27" i="47"/>
  <c r="E36" i="47"/>
  <c r="E38" i="47"/>
  <c r="E32" i="47"/>
  <c r="E29" i="47"/>
  <c r="E30" i="47"/>
  <c r="E35" i="47"/>
  <c r="E37" i="47"/>
  <c r="E33" i="47"/>
  <c r="E34" i="47"/>
  <c r="E31" i="47"/>
  <c r="E39" i="47"/>
  <c r="Y334" i="46" l="1"/>
  <c r="A32" i="47" s="1"/>
  <c r="AA335" i="46"/>
  <c r="AV328" i="46"/>
  <c r="AT328" i="46" s="1"/>
  <c r="BO346" i="46"/>
  <c r="BQ347" i="46"/>
  <c r="BO347" i="46" s="1"/>
  <c r="E319" i="47" s="1"/>
  <c r="AV329" i="46" l="1"/>
  <c r="AV330" i="46" s="1"/>
  <c r="Y335" i="46"/>
  <c r="AA336" i="46"/>
  <c r="Y336" i="46" s="1"/>
  <c r="E200" i="47"/>
  <c r="E48" i="47"/>
  <c r="E110" i="47"/>
  <c r="E146" i="47"/>
  <c r="E183" i="47"/>
  <c r="E190" i="47"/>
  <c r="E105" i="47"/>
  <c r="E65" i="47"/>
  <c r="E81" i="47"/>
  <c r="E55" i="47"/>
  <c r="E145" i="47"/>
  <c r="E232" i="47"/>
  <c r="E248" i="47"/>
  <c r="E264" i="47"/>
  <c r="E280" i="47"/>
  <c r="E296" i="47"/>
  <c r="E310" i="47"/>
  <c r="E69" i="47"/>
  <c r="E151" i="47"/>
  <c r="E85" i="47"/>
  <c r="E263" i="47"/>
  <c r="E216" i="47"/>
  <c r="E249" i="47"/>
  <c r="E284" i="47"/>
  <c r="E116" i="47"/>
  <c r="E281" i="47"/>
  <c r="E252" i="47"/>
  <c r="E99" i="47"/>
  <c r="E286" i="47"/>
  <c r="E256" i="47"/>
  <c r="E285" i="47"/>
  <c r="E259" i="47"/>
  <c r="E198" i="47"/>
  <c r="E226" i="47"/>
  <c r="E277" i="47"/>
  <c r="E64" i="47"/>
  <c r="E211" i="47"/>
  <c r="E276" i="47"/>
  <c r="E141" i="47"/>
  <c r="E87" i="47"/>
  <c r="E104" i="47"/>
  <c r="E229" i="47"/>
  <c r="E307" i="47"/>
  <c r="E41" i="47"/>
  <c r="E163" i="47"/>
  <c r="E153" i="47"/>
  <c r="E161" i="47"/>
  <c r="E197" i="47"/>
  <c r="E180" i="47"/>
  <c r="E201" i="47"/>
  <c r="E56" i="47"/>
  <c r="E173" i="47"/>
  <c r="E193" i="47"/>
  <c r="E92" i="47"/>
  <c r="E176" i="47"/>
  <c r="E231" i="47"/>
  <c r="E250" i="47"/>
  <c r="E265" i="47"/>
  <c r="E279" i="47"/>
  <c r="E295" i="47"/>
  <c r="E205" i="47"/>
  <c r="E44" i="47"/>
  <c r="E51" i="47"/>
  <c r="E247" i="47"/>
  <c r="E283" i="47"/>
  <c r="E122" i="47"/>
  <c r="E266" i="47"/>
  <c r="E298" i="47"/>
  <c r="E73" i="47"/>
  <c r="E301" i="47"/>
  <c r="E300" i="47"/>
  <c r="E269" i="47"/>
  <c r="E221" i="47"/>
  <c r="E274" i="47"/>
  <c r="E204" i="47"/>
  <c r="E217" i="47"/>
  <c r="E257" i="47"/>
  <c r="E244" i="47"/>
  <c r="E312" i="47"/>
  <c r="E208" i="47"/>
  <c r="E119" i="47"/>
  <c r="E260" i="47"/>
  <c r="E137" i="47"/>
  <c r="E143" i="47"/>
  <c r="E294" i="47"/>
  <c r="E78" i="47"/>
  <c r="E111" i="47"/>
  <c r="E46" i="47"/>
  <c r="E172" i="47"/>
  <c r="E207" i="47"/>
  <c r="E47" i="47"/>
  <c r="E89" i="47"/>
  <c r="E234" i="47"/>
  <c r="E297" i="47"/>
  <c r="E233" i="47"/>
  <c r="E251" i="47"/>
  <c r="E237" i="47"/>
  <c r="E222" i="47"/>
  <c r="E225" i="47"/>
  <c r="E142" i="47"/>
  <c r="E308" i="47"/>
  <c r="E165" i="47"/>
  <c r="E100" i="47"/>
  <c r="E121" i="47"/>
  <c r="E155" i="47"/>
  <c r="E152" i="47"/>
  <c r="E127" i="47"/>
  <c r="E196" i="47"/>
  <c r="E203" i="47"/>
  <c r="E187" i="47"/>
  <c r="E167" i="47"/>
  <c r="E171" i="47"/>
  <c r="E219" i="47"/>
  <c r="E316" i="47"/>
  <c r="E267" i="47"/>
  <c r="E268" i="47"/>
  <c r="E314" i="47"/>
  <c r="E302" i="47"/>
  <c r="E240" i="47"/>
  <c r="E303" i="47"/>
  <c r="E228" i="47"/>
  <c r="E157" i="47"/>
  <c r="E292" i="47"/>
  <c r="E315" i="47"/>
  <c r="E112" i="47"/>
  <c r="E191" i="47"/>
  <c r="E77" i="47"/>
  <c r="E185" i="47"/>
  <c r="E95" i="47"/>
  <c r="E101" i="47"/>
  <c r="E128" i="47"/>
  <c r="E134" i="47"/>
  <c r="E135" i="47"/>
  <c r="E72" i="47"/>
  <c r="E235" i="47"/>
  <c r="E311" i="47"/>
  <c r="E282" i="47"/>
  <c r="E236" i="47"/>
  <c r="E299" i="47"/>
  <c r="E273" i="47"/>
  <c r="E287" i="47"/>
  <c r="E83" i="47"/>
  <c r="E67" i="47"/>
  <c r="E59" i="47"/>
  <c r="E50" i="47"/>
  <c r="E318" i="47"/>
  <c r="E84" i="47"/>
  <c r="E107" i="47"/>
  <c r="E63" i="47"/>
  <c r="E139" i="47"/>
  <c r="E88" i="47"/>
  <c r="E169" i="47"/>
  <c r="E120" i="47"/>
  <c r="E213" i="47"/>
  <c r="E177" i="47"/>
  <c r="E170" i="47"/>
  <c r="E220" i="47"/>
  <c r="E253" i="47"/>
  <c r="E270" i="47"/>
  <c r="E239" i="47"/>
  <c r="E174" i="47"/>
  <c r="E291" i="47"/>
  <c r="E114" i="47"/>
  <c r="E113" i="47"/>
  <c r="E275" i="47"/>
  <c r="E109" i="47"/>
  <c r="E317" i="47"/>
  <c r="E54" i="47"/>
  <c r="E159" i="47"/>
  <c r="E136" i="47"/>
  <c r="E162" i="47"/>
  <c r="E175" i="47"/>
  <c r="E91" i="47"/>
  <c r="E106" i="47"/>
  <c r="E199" i="47"/>
  <c r="E123" i="47"/>
  <c r="E82" i="47"/>
  <c r="E166" i="47"/>
  <c r="E309" i="47"/>
  <c r="E80" i="47"/>
  <c r="E313" i="47"/>
  <c r="E212" i="47"/>
  <c r="E215" i="47"/>
  <c r="E149" i="47"/>
  <c r="E138" i="47"/>
  <c r="E103" i="47"/>
  <c r="E188" i="47"/>
  <c r="E144" i="47"/>
  <c r="E195" i="47"/>
  <c r="E184" i="47"/>
  <c r="E181" i="47"/>
  <c r="E224" i="47"/>
  <c r="E238" i="47"/>
  <c r="E254" i="47"/>
  <c r="E290" i="47"/>
  <c r="E140" i="47"/>
  <c r="E45" i="47"/>
  <c r="E124" i="47"/>
  <c r="E125" i="47"/>
  <c r="E278" i="47"/>
  <c r="E160" i="47"/>
  <c r="E209" i="47"/>
  <c r="E189" i="47"/>
  <c r="E97" i="47"/>
  <c r="E68" i="47"/>
  <c r="E79" i="47"/>
  <c r="E74" i="47"/>
  <c r="E202" i="47"/>
  <c r="E52" i="47"/>
  <c r="E218" i="47"/>
  <c r="E108" i="47"/>
  <c r="E70" i="47"/>
  <c r="E102" i="47"/>
  <c r="E192" i="47"/>
  <c r="E261" i="47"/>
  <c r="E76" i="47"/>
  <c r="E57" i="47"/>
  <c r="E154" i="47"/>
  <c r="E194" i="47"/>
  <c r="E42" i="47"/>
  <c r="E214" i="47"/>
  <c r="E156" i="47"/>
  <c r="E129" i="47"/>
  <c r="E49" i="47"/>
  <c r="E96" i="47"/>
  <c r="E182" i="47"/>
  <c r="E133" i="47"/>
  <c r="E223" i="47"/>
  <c r="E241" i="47"/>
  <c r="E255" i="47"/>
  <c r="E271" i="47"/>
  <c r="E288" i="47"/>
  <c r="E304" i="47"/>
  <c r="E147" i="47"/>
  <c r="E164" i="47"/>
  <c r="E117" i="47"/>
  <c r="E66" i="47"/>
  <c r="E158" i="47"/>
  <c r="E58" i="47"/>
  <c r="E132" i="47"/>
  <c r="E75" i="47"/>
  <c r="E148" i="47"/>
  <c r="E168" i="47"/>
  <c r="E289" i="47"/>
  <c r="E60" i="47"/>
  <c r="E230" i="47"/>
  <c r="E118" i="47"/>
  <c r="E53" i="47"/>
  <c r="E94" i="47"/>
  <c r="E210" i="47"/>
  <c r="E93" i="47"/>
  <c r="E150" i="47"/>
  <c r="E131" i="47"/>
  <c r="E126" i="47"/>
  <c r="E206" i="47"/>
  <c r="E179" i="47"/>
  <c r="E115" i="47"/>
  <c r="E61" i="47"/>
  <c r="E227" i="47"/>
  <c r="E245" i="47"/>
  <c r="E262" i="47"/>
  <c r="E272" i="47"/>
  <c r="E293" i="47"/>
  <c r="E305" i="47"/>
  <c r="E62" i="47"/>
  <c r="E98" i="47"/>
  <c r="E186" i="47"/>
  <c r="E43" i="47"/>
  <c r="E71" i="47"/>
  <c r="E178" i="47"/>
  <c r="E306" i="47"/>
  <c r="E90" i="47"/>
  <c r="E242" i="47"/>
  <c r="E86" i="47"/>
  <c r="E130" i="47"/>
  <c r="E258" i="47"/>
  <c r="E243" i="47"/>
  <c r="E246" i="47"/>
  <c r="A33" i="47"/>
  <c r="A34" i="47" l="1"/>
  <c r="AT330" i="46"/>
  <c r="AV331" i="46"/>
  <c r="AT331" i="46" s="1"/>
  <c r="AA337" i="46"/>
  <c r="Y337" i="46" s="1"/>
  <c r="AT329" i="46"/>
  <c r="A35" i="47" l="1"/>
  <c r="AA338" i="46"/>
  <c r="AA339" i="46" s="1"/>
  <c r="AV332" i="46"/>
  <c r="AT332" i="46" s="1"/>
  <c r="Y339" i="46" l="1"/>
  <c r="AA340" i="46"/>
  <c r="Y338" i="46"/>
  <c r="AV333" i="46"/>
  <c r="AT333" i="46" s="1"/>
  <c r="A37" i="47" l="1"/>
  <c r="Y340" i="46"/>
  <c r="AA341" i="46"/>
  <c r="Y341" i="46" s="1"/>
  <c r="AV334" i="46"/>
  <c r="AT334" i="46" s="1"/>
  <c r="AA342" i="46" l="1"/>
  <c r="Y342" i="46" s="1"/>
  <c r="AV335" i="46"/>
  <c r="AT335" i="46" s="1"/>
  <c r="AA343" i="46" l="1"/>
  <c r="Y343" i="46" s="1"/>
  <c r="AV336" i="46"/>
  <c r="AT336" i="46" s="1"/>
  <c r="AA344" i="46" l="1"/>
  <c r="Y344" i="46" s="1"/>
  <c r="AV337" i="46"/>
  <c r="AT337" i="46" s="1"/>
  <c r="AA345" i="46" l="1"/>
  <c r="Y345" i="46" s="1"/>
  <c r="AV338" i="46"/>
  <c r="AT338" i="46" s="1"/>
  <c r="AV339" i="46" l="1"/>
  <c r="AV340" i="46" s="1"/>
  <c r="AA346" i="46"/>
  <c r="Y346" i="46" s="1"/>
  <c r="AT339" i="46" l="1"/>
  <c r="AA347" i="46"/>
  <c r="Y347" i="46" s="1"/>
  <c r="AT340" i="46"/>
  <c r="AV341" i="46"/>
  <c r="A41" i="47"/>
  <c r="A219" i="47" l="1"/>
  <c r="A162" i="47"/>
  <c r="A100" i="47"/>
  <c r="A232" i="47"/>
  <c r="A78" i="47"/>
  <c r="A233" i="47"/>
  <c r="A188" i="47"/>
  <c r="AT341" i="46"/>
  <c r="AV342" i="46"/>
  <c r="AT342" i="46" s="1"/>
  <c r="A25" i="47"/>
  <c r="A26" i="47"/>
  <c r="A27" i="47"/>
  <c r="A30" i="47"/>
  <c r="A31" i="47"/>
  <c r="A38" i="47"/>
  <c r="A36" i="47"/>
  <c r="A136" i="47"/>
  <c r="A187" i="47"/>
  <c r="A58" i="47"/>
  <c r="A298" i="47"/>
  <c r="A299" i="47"/>
  <c r="A39" i="47"/>
  <c r="A225" i="47"/>
  <c r="A97" i="47"/>
  <c r="A192" i="47"/>
  <c r="A250" i="47"/>
  <c r="A40" i="47"/>
  <c r="A146" i="47"/>
  <c r="A161" i="47"/>
  <c r="A291" i="47"/>
  <c r="A107" i="47"/>
  <c r="A89" i="47"/>
  <c r="A156" i="47"/>
  <c r="A110" i="47"/>
  <c r="A155" i="47"/>
  <c r="A256" i="47"/>
  <c r="A170" i="47"/>
  <c r="A205" i="47"/>
  <c r="A257" i="47"/>
  <c r="A230" i="47"/>
  <c r="A237" i="47"/>
  <c r="A190" i="47"/>
  <c r="A85" i="47"/>
  <c r="A60" i="47"/>
  <c r="A191" i="47"/>
  <c r="A200" i="47"/>
  <c r="A293" i="47"/>
  <c r="A129" i="47"/>
  <c r="A167" i="47"/>
  <c r="A267" i="47"/>
  <c r="A154" i="47"/>
  <c r="A96" i="47"/>
  <c r="A226" i="47"/>
  <c r="A185" i="47"/>
  <c r="A53" i="47"/>
  <c r="A46" i="47"/>
  <c r="A86" i="47"/>
  <c r="A95" i="47"/>
  <c r="A180" i="47"/>
  <c r="A124" i="47"/>
  <c r="A166" i="47"/>
  <c r="A218" i="47"/>
  <c r="A292" i="47"/>
  <c r="A197" i="47"/>
  <c r="A171" i="47"/>
  <c r="A214" i="47"/>
  <c r="A221" i="47"/>
  <c r="A67" i="47"/>
  <c r="A112" i="47"/>
  <c r="A69" i="47"/>
  <c r="A229" i="47"/>
  <c r="A261" i="47"/>
  <c r="A44" i="47"/>
  <c r="A189" i="47"/>
  <c r="A210" i="47"/>
  <c r="A242" i="47"/>
  <c r="A201" i="47"/>
  <c r="A82" i="47"/>
  <c r="A127" i="47"/>
  <c r="A239" i="47"/>
  <c r="A80" i="47"/>
  <c r="A61" i="47"/>
  <c r="A77" i="47"/>
  <c r="A62" i="47"/>
  <c r="A135" i="47"/>
  <c r="A270" i="47"/>
  <c r="A231" i="47"/>
  <c r="A182" i="47"/>
  <c r="A149" i="47"/>
  <c r="A271" i="47"/>
  <c r="A194" i="47"/>
  <c r="A51" i="47"/>
  <c r="A284" i="47"/>
  <c r="A259" i="47"/>
  <c r="A88" i="47"/>
  <c r="A248" i="47"/>
  <c r="A202" i="47"/>
  <c r="A206" i="47"/>
  <c r="A241" i="47"/>
  <c r="A47" i="47"/>
  <c r="A108" i="47"/>
  <c r="A275" i="47"/>
  <c r="A99" i="47"/>
  <c r="A276" i="47"/>
  <c r="A143" i="47"/>
  <c r="A153" i="47"/>
  <c r="A105" i="47"/>
  <c r="A254" i="47"/>
  <c r="A147" i="47"/>
  <c r="A203" i="47"/>
  <c r="A141" i="47"/>
  <c r="A296" i="47"/>
  <c r="A132" i="47"/>
  <c r="A199" i="47"/>
  <c r="A280" i="47"/>
  <c r="A215" i="47"/>
  <c r="A128" i="47"/>
  <c r="A255" i="47"/>
  <c r="A43" i="47"/>
  <c r="A209" i="47"/>
  <c r="A120" i="47"/>
  <c r="A174" i="47"/>
  <c r="A87" i="47"/>
  <c r="A253" i="47"/>
  <c r="A84" i="47"/>
  <c r="A288" i="47"/>
  <c r="A246" i="47"/>
  <c r="A111" i="47"/>
  <c r="A48" i="47"/>
  <c r="A290" i="47"/>
  <c r="A238" i="47"/>
  <c r="A93" i="47"/>
  <c r="A223" i="47"/>
  <c r="A98" i="47"/>
  <c r="A139" i="47"/>
  <c r="A116" i="47"/>
  <c r="A186" i="47"/>
  <c r="A50" i="47"/>
  <c r="A235" i="47"/>
  <c r="A286" i="47"/>
  <c r="A133" i="47"/>
  <c r="A263" i="47"/>
  <c r="A236" i="47"/>
  <c r="A289" i="47"/>
  <c r="A117" i="47"/>
  <c r="A272" i="47"/>
  <c r="A285" i="47"/>
  <c r="A79" i="47"/>
  <c r="A130" i="47"/>
  <c r="A179" i="47"/>
  <c r="A222" i="47"/>
  <c r="A59" i="47"/>
  <c r="A220" i="47"/>
  <c r="A144" i="47"/>
  <c r="A268" i="47"/>
  <c r="A63" i="47"/>
  <c r="A294" i="47"/>
  <c r="A173" i="47"/>
  <c r="A168" i="47"/>
  <c r="A165" i="47"/>
  <c r="A73" i="47"/>
  <c r="A163" i="47"/>
  <c r="A282" i="47"/>
  <c r="A159" i="47"/>
  <c r="A83" i="47"/>
  <c r="A72" i="47"/>
  <c r="A91" i="47"/>
  <c r="A247" i="47"/>
  <c r="A207" i="47"/>
  <c r="A260" i="47"/>
  <c r="A278" i="47"/>
  <c r="A45" i="47"/>
  <c r="A102" i="47"/>
  <c r="A245" i="47"/>
  <c r="A234" i="47"/>
  <c r="A142" i="47"/>
  <c r="A65" i="47"/>
  <c r="A262" i="47"/>
  <c r="A157" i="47"/>
  <c r="A277" i="47"/>
  <c r="A104" i="47"/>
  <c r="A193" i="47"/>
  <c r="A213" i="47"/>
  <c r="A42" i="47"/>
  <c r="A228" i="47"/>
  <c r="A71" i="47"/>
  <c r="A68" i="47"/>
  <c r="A122" i="47"/>
  <c r="A150" i="47"/>
  <c r="A184" i="47"/>
  <c r="A151" i="47"/>
  <c r="A113" i="47"/>
  <c r="A269" i="47"/>
  <c r="A273" i="47"/>
  <c r="A287" i="47"/>
  <c r="A169" i="47"/>
  <c r="A216" i="47"/>
  <c r="A138" i="47"/>
  <c r="A297" i="47"/>
  <c r="A114" i="47"/>
  <c r="A183" i="47"/>
  <c r="A134" i="47"/>
  <c r="A70" i="47"/>
  <c r="A140" i="47"/>
  <c r="A301" i="47"/>
  <c r="A109" i="47"/>
  <c r="A172" i="47"/>
  <c r="A243" i="47"/>
  <c r="A266" i="47"/>
  <c r="A52" i="47"/>
  <c r="A178" i="47"/>
  <c r="A244" i="47"/>
  <c r="A249" i="47"/>
  <c r="A300" i="47"/>
  <c r="A295" i="47"/>
  <c r="A152" i="47"/>
  <c r="A204" i="47"/>
  <c r="A160" i="47"/>
  <c r="A258" i="47"/>
  <c r="A195" i="47"/>
  <c r="A126" i="47"/>
  <c r="A208" i="47"/>
  <c r="A274" i="47"/>
  <c r="A118" i="47"/>
  <c r="A54" i="47"/>
  <c r="A56" i="47"/>
  <c r="A252" i="47"/>
  <c r="A115" i="47"/>
  <c r="A175" i="47"/>
  <c r="A57" i="47"/>
  <c r="A123" i="47"/>
  <c r="A227" i="47"/>
  <c r="A212" i="47"/>
  <c r="A251" i="47"/>
  <c r="A90" i="47"/>
  <c r="A279" i="47"/>
  <c r="A264" i="47"/>
  <c r="A101" i="47"/>
  <c r="A76" i="47"/>
  <c r="A92" i="47"/>
  <c r="A283" i="47"/>
  <c r="A265" i="47"/>
  <c r="A49" i="47"/>
  <c r="A164" i="47"/>
  <c r="A121" i="47"/>
  <c r="A158" i="47"/>
  <c r="A75" i="47"/>
  <c r="A196" i="47"/>
  <c r="A145" i="47"/>
  <c r="A137" i="47"/>
  <c r="A131" i="47"/>
  <c r="A198" i="47"/>
  <c r="A240" i="47"/>
  <c r="A217" i="47"/>
  <c r="A64" i="47"/>
  <c r="A74" i="47"/>
  <c r="A211" i="47"/>
  <c r="A106" i="47"/>
  <c r="A119" i="47"/>
  <c r="A176" i="47"/>
  <c r="A55" i="47"/>
  <c r="A81" i="47"/>
  <c r="A94" i="47"/>
  <c r="A125" i="47"/>
  <c r="A148" i="47"/>
  <c r="A177" i="47"/>
  <c r="A281" i="47"/>
  <c r="A103" i="47"/>
  <c r="A181" i="47"/>
  <c r="A66" i="47"/>
  <c r="A224" i="47"/>
  <c r="AV343" i="46" l="1"/>
  <c r="AV344" i="46" s="1"/>
  <c r="AT343" i="46" l="1"/>
  <c r="AT344" i="46"/>
  <c r="AV345" i="46"/>
  <c r="AT345" i="46" l="1"/>
  <c r="AV346" i="46"/>
  <c r="AT346" i="46" l="1"/>
  <c r="AV347" i="46"/>
  <c r="AT347" i="46" s="1"/>
  <c r="C107" i="47" l="1"/>
  <c r="C319" i="47"/>
  <c r="C317" i="47"/>
  <c r="C315" i="47"/>
  <c r="C314" i="47"/>
  <c r="C40" i="47"/>
  <c r="C239" i="47"/>
  <c r="C29" i="47"/>
  <c r="C38" i="47"/>
  <c r="C117" i="47"/>
  <c r="C27" i="47"/>
  <c r="C28" i="47"/>
  <c r="C34" i="47"/>
  <c r="C41" i="47"/>
  <c r="C32" i="47"/>
  <c r="C26" i="47"/>
  <c r="C39" i="47"/>
  <c r="C33" i="47"/>
  <c r="C199" i="47"/>
  <c r="C31" i="47"/>
  <c r="C72" i="47"/>
  <c r="C139" i="47"/>
  <c r="C214" i="47"/>
  <c r="C251" i="47"/>
  <c r="C99" i="47"/>
  <c r="C231" i="47"/>
  <c r="C30" i="47"/>
  <c r="C146" i="47"/>
  <c r="C212" i="47"/>
  <c r="C54" i="47"/>
  <c r="C215" i="47"/>
  <c r="C241" i="47"/>
  <c r="C155" i="47"/>
  <c r="C131" i="47"/>
  <c r="C242" i="47"/>
  <c r="C256" i="47"/>
  <c r="C108" i="47"/>
  <c r="C271" i="47"/>
  <c r="C262" i="47"/>
  <c r="C228" i="47"/>
  <c r="C268" i="47"/>
  <c r="C222" i="47"/>
  <c r="C35" i="47"/>
  <c r="C58" i="47"/>
  <c r="C37" i="47"/>
  <c r="C289" i="47"/>
  <c r="C52" i="47"/>
  <c r="C226" i="47"/>
  <c r="C47" i="47"/>
  <c r="C98" i="47"/>
  <c r="C133" i="47"/>
  <c r="C121" i="47"/>
  <c r="C113" i="47"/>
  <c r="C195" i="47"/>
  <c r="C69" i="47"/>
  <c r="C175" i="47"/>
  <c r="C265" i="47"/>
  <c r="C157" i="47"/>
  <c r="C103" i="47"/>
  <c r="C236" i="47"/>
  <c r="C134" i="47"/>
  <c r="C153" i="47"/>
  <c r="C171" i="47"/>
  <c r="C104" i="47"/>
  <c r="C168" i="47"/>
  <c r="C116" i="47"/>
  <c r="C257" i="47"/>
  <c r="C185" i="47"/>
  <c r="C122" i="47"/>
  <c r="C165" i="47"/>
  <c r="C120" i="47"/>
  <c r="C244" i="47"/>
  <c r="C60" i="47"/>
  <c r="C56" i="47"/>
  <c r="C143" i="47"/>
  <c r="C193" i="47"/>
  <c r="C177" i="47"/>
  <c r="C250" i="47"/>
  <c r="C89" i="47"/>
  <c r="C229" i="47"/>
  <c r="C279" i="47"/>
  <c r="C130" i="47"/>
  <c r="C67" i="47"/>
  <c r="C189" i="47"/>
  <c r="C148" i="47"/>
  <c r="C296" i="47"/>
  <c r="C274" i="47"/>
  <c r="C254" i="47"/>
  <c r="C114" i="47"/>
  <c r="C287" i="47"/>
  <c r="C273" i="47"/>
  <c r="C203" i="47"/>
  <c r="C101" i="47"/>
  <c r="C260" i="47"/>
  <c r="C43" i="47"/>
  <c r="C282" i="47"/>
  <c r="C245" i="47"/>
  <c r="C209" i="47"/>
  <c r="C128" i="47"/>
  <c r="C213" i="47"/>
  <c r="C237" i="47"/>
  <c r="C140" i="47"/>
  <c r="C112" i="47"/>
  <c r="C220" i="47"/>
  <c r="C106" i="47"/>
  <c r="C216" i="47"/>
  <c r="C150" i="47"/>
  <c r="C151" i="47"/>
  <c r="C162" i="47"/>
  <c r="C167" i="47"/>
  <c r="C88" i="47"/>
  <c r="C217" i="47"/>
  <c r="C238" i="47"/>
  <c r="C183" i="47"/>
  <c r="C223" i="47"/>
  <c r="C219" i="47"/>
  <c r="C252" i="47"/>
  <c r="C178" i="47"/>
  <c r="C92" i="47"/>
  <c r="C174" i="47"/>
  <c r="C141" i="47"/>
  <c r="C190" i="47"/>
  <c r="C288" i="47"/>
  <c r="C149" i="47"/>
  <c r="C55" i="47"/>
  <c r="C202" i="47"/>
  <c r="C78" i="47"/>
  <c r="C170" i="47"/>
  <c r="C97" i="47"/>
  <c r="C232" i="47"/>
  <c r="C105" i="47"/>
  <c r="C281" i="47"/>
  <c r="C70" i="47"/>
  <c r="C264" i="47"/>
  <c r="C266" i="47"/>
  <c r="C173" i="47"/>
  <c r="C74" i="47"/>
  <c r="C126" i="47"/>
  <c r="C137" i="47"/>
  <c r="C53" i="47"/>
  <c r="C240" i="47"/>
  <c r="C255" i="47"/>
  <c r="C172" i="47"/>
  <c r="C181" i="47"/>
  <c r="C267" i="47"/>
  <c r="C204" i="47"/>
  <c r="C275" i="47"/>
  <c r="C233" i="47"/>
  <c r="C235" i="47"/>
  <c r="C102" i="47"/>
  <c r="C65" i="47"/>
  <c r="C290" i="47"/>
  <c r="C86" i="47"/>
  <c r="C194" i="47"/>
  <c r="C83" i="47"/>
  <c r="C147" i="47"/>
  <c r="C87" i="47"/>
  <c r="C285" i="47"/>
  <c r="C142" i="47"/>
  <c r="C160" i="47"/>
  <c r="C258" i="47"/>
  <c r="C62" i="47"/>
  <c r="C82" i="47"/>
  <c r="C198" i="47"/>
  <c r="C59" i="47"/>
  <c r="C152" i="47"/>
  <c r="C292" i="47"/>
  <c r="C207" i="47"/>
  <c r="C132" i="47"/>
  <c r="C269" i="47"/>
  <c r="C68" i="47"/>
  <c r="C145" i="47"/>
  <c r="C118" i="47"/>
  <c r="C36" i="47"/>
  <c r="C109" i="47"/>
  <c r="C50" i="47"/>
  <c r="C129" i="47"/>
  <c r="C96" i="47"/>
  <c r="C111" i="47"/>
  <c r="C79" i="47"/>
  <c r="C135" i="47"/>
  <c r="C211" i="47"/>
  <c r="C291" i="47"/>
  <c r="C248" i="47"/>
  <c r="C75" i="47"/>
  <c r="C57" i="47"/>
  <c r="C176" i="47"/>
  <c r="C210" i="47"/>
  <c r="C124" i="47"/>
  <c r="C259" i="47"/>
  <c r="C294" i="47"/>
  <c r="C90" i="47"/>
  <c r="C205" i="47"/>
  <c r="C197" i="47"/>
  <c r="C49" i="47"/>
  <c r="C73" i="47"/>
  <c r="C227" i="47"/>
  <c r="C158" i="47"/>
  <c r="C246" i="47"/>
  <c r="C191" i="47"/>
  <c r="C276" i="47"/>
  <c r="C154" i="47"/>
  <c r="C123" i="47"/>
  <c r="C234" i="47"/>
  <c r="C180" i="47"/>
  <c r="C80" i="47"/>
  <c r="C64" i="47"/>
  <c r="C164" i="47"/>
  <c r="C182" i="47"/>
  <c r="C295" i="47"/>
  <c r="C225" i="47"/>
  <c r="C270" i="47"/>
  <c r="C51" i="47"/>
  <c r="C95" i="47"/>
  <c r="C263" i="47"/>
  <c r="C188" i="47"/>
  <c r="C278" i="47"/>
  <c r="C161" i="47"/>
  <c r="C125" i="47"/>
  <c r="C221" i="47"/>
  <c r="C48" i="47"/>
  <c r="C218" i="47"/>
  <c r="C115" i="47"/>
  <c r="C166" i="47"/>
  <c r="C110" i="47"/>
  <c r="C261" i="47"/>
  <c r="C44" i="47"/>
  <c r="C45" i="47"/>
  <c r="C184" i="47"/>
  <c r="C119" i="47"/>
  <c r="C61" i="47"/>
  <c r="C46" i="47"/>
  <c r="C85" i="47"/>
  <c r="C293" i="47"/>
  <c r="C42" i="47"/>
  <c r="C66" i="47"/>
  <c r="C249" i="47"/>
  <c r="C179" i="47"/>
  <c r="C253" i="47"/>
  <c r="C284" i="47"/>
  <c r="C187" i="47"/>
  <c r="C93" i="47"/>
  <c r="C192" i="47"/>
  <c r="C81" i="47"/>
  <c r="C272" i="47"/>
  <c r="C200" i="47"/>
  <c r="C247" i="47"/>
  <c r="C100" i="47"/>
  <c r="C84" i="47"/>
  <c r="C71" i="47"/>
  <c r="C127" i="47"/>
  <c r="C186" i="47"/>
  <c r="C286" i="47"/>
  <c r="C283" i="47"/>
  <c r="C230" i="47"/>
  <c r="C63" i="47"/>
  <c r="C144" i="47"/>
  <c r="C224" i="47"/>
  <c r="C208" i="47"/>
  <c r="C94" i="47"/>
  <c r="C136" i="47"/>
  <c r="C138" i="47"/>
  <c r="C156" i="47"/>
  <c r="C159" i="47"/>
  <c r="C201" i="47"/>
  <c r="C277" i="47"/>
  <c r="C163" i="47"/>
  <c r="C280" i="47"/>
  <c r="C196" i="47"/>
  <c r="C76" i="47"/>
  <c r="C243" i="47"/>
  <c r="C169" i="47"/>
  <c r="C91" i="47"/>
  <c r="C206" i="47"/>
  <c r="C77" i="47"/>
  <c r="C299" i="47"/>
  <c r="C297" i="47"/>
  <c r="C298" i="47"/>
  <c r="C300" i="47"/>
  <c r="C304" i="47"/>
  <c r="C303" i="47"/>
  <c r="C302" i="47"/>
  <c r="C301" i="47"/>
  <c r="C305" i="47"/>
  <c r="C306" i="47"/>
  <c r="C307" i="47"/>
  <c r="C311" i="47"/>
  <c r="C308" i="47"/>
  <c r="C309" i="47"/>
  <c r="C312" i="47"/>
  <c r="C310" i="47"/>
  <c r="C318" i="47"/>
  <c r="C316" i="47"/>
  <c r="C31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5" authorId="0" shapeId="0" xr:uid="{00000000-0006-0000-0800-000001000000}">
      <text>
        <r>
          <rPr>
            <b/>
            <sz val="9"/>
            <color indexed="81"/>
            <rFont val="Segoe UI"/>
            <family val="2"/>
          </rPr>
          <t xml:space="preserve">Select profile
</t>
        </r>
      </text>
    </comment>
    <comment ref="E16" authorId="0" shapeId="0" xr:uid="{00000000-0006-0000-0800-000002000000}">
      <text>
        <r>
          <rPr>
            <b/>
            <sz val="9"/>
            <color indexed="81"/>
            <rFont val="Segoe UI"/>
            <family val="2"/>
          </rPr>
          <t>Select platform</t>
        </r>
      </text>
    </comment>
    <comment ref="E18" authorId="0" shapeId="0" xr:uid="{00000000-0006-0000-0800-000003000000}">
      <text>
        <r>
          <rPr>
            <b/>
            <sz val="9"/>
            <color indexed="81"/>
            <rFont val="Segoe UI"/>
            <family val="2"/>
          </rPr>
          <t xml:space="preserve">Select resolution
</t>
        </r>
      </text>
    </comment>
    <comment ref="E19" authorId="0" shapeId="0" xr:uid="{00000000-0006-0000-0800-000004000000}">
      <text>
        <r>
          <rPr>
            <b/>
            <sz val="9"/>
            <color indexed="81"/>
            <rFont val="Segoe UI"/>
            <family val="2"/>
          </rPr>
          <t xml:space="preserve">Select Frame rate
</t>
        </r>
      </text>
    </comment>
    <comment ref="C54" authorId="0" shapeId="0" xr:uid="{00000000-0006-0000-08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B00-000001000000}">
      <text>
        <r>
          <rPr>
            <b/>
            <sz val="9"/>
            <color indexed="81"/>
            <rFont val="Segoe UI"/>
            <family val="2"/>
          </rPr>
          <t xml:space="preserve">Select profile
</t>
        </r>
      </text>
    </comment>
    <comment ref="E18" authorId="0" shapeId="0" xr:uid="{00000000-0006-0000-0B00-000002000000}">
      <text>
        <r>
          <rPr>
            <b/>
            <sz val="9"/>
            <color indexed="81"/>
            <rFont val="Segoe UI"/>
            <family val="2"/>
          </rPr>
          <t>Select platform</t>
        </r>
      </text>
    </comment>
    <comment ref="E20" authorId="0" shapeId="0" xr:uid="{00000000-0006-0000-0B00-000003000000}">
      <text>
        <r>
          <rPr>
            <b/>
            <sz val="9"/>
            <color indexed="81"/>
            <rFont val="Segoe UI"/>
            <family val="2"/>
          </rPr>
          <t xml:space="preserve">Select resolution
</t>
        </r>
      </text>
    </comment>
    <comment ref="E21" authorId="0" shapeId="0" xr:uid="{00000000-0006-0000-0B00-000004000000}">
      <text>
        <r>
          <rPr>
            <b/>
            <sz val="9"/>
            <color indexed="81"/>
            <rFont val="Segoe UI"/>
            <family val="2"/>
          </rPr>
          <t xml:space="preserve">Select Frame rate
</t>
        </r>
      </text>
    </comment>
    <comment ref="C56" authorId="0" shapeId="0" xr:uid="{00000000-0006-0000-0B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C00-000001000000}">
      <text>
        <r>
          <rPr>
            <b/>
            <sz val="9"/>
            <color indexed="81"/>
            <rFont val="Segoe UI"/>
            <family val="2"/>
          </rPr>
          <t xml:space="preserve">Select profile
</t>
        </r>
      </text>
    </comment>
    <comment ref="E18" authorId="0" shapeId="0" xr:uid="{00000000-0006-0000-0C00-000002000000}">
      <text>
        <r>
          <rPr>
            <b/>
            <sz val="9"/>
            <color indexed="81"/>
            <rFont val="Segoe UI"/>
            <family val="2"/>
          </rPr>
          <t>Select platform</t>
        </r>
      </text>
    </comment>
    <comment ref="E20" authorId="0" shapeId="0" xr:uid="{00000000-0006-0000-0C00-000003000000}">
      <text>
        <r>
          <rPr>
            <b/>
            <sz val="9"/>
            <color indexed="81"/>
            <rFont val="Segoe UI"/>
            <family val="2"/>
          </rPr>
          <t xml:space="preserve">Select resolution
</t>
        </r>
      </text>
    </comment>
    <comment ref="E21" authorId="0" shapeId="0" xr:uid="{00000000-0006-0000-0C00-000004000000}">
      <text>
        <r>
          <rPr>
            <b/>
            <sz val="9"/>
            <color indexed="81"/>
            <rFont val="Segoe UI"/>
            <family val="2"/>
          </rPr>
          <t xml:space="preserve">Select Frame rate
</t>
        </r>
      </text>
    </comment>
    <comment ref="C56" authorId="0" shapeId="0" xr:uid="{00000000-0006-0000-0C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D00-000001000000}">
      <text>
        <r>
          <rPr>
            <b/>
            <sz val="9"/>
            <color indexed="81"/>
            <rFont val="Segoe UI"/>
            <family val="2"/>
          </rPr>
          <t xml:space="preserve">Select profile
</t>
        </r>
      </text>
    </comment>
    <comment ref="E18" authorId="0" shapeId="0" xr:uid="{00000000-0006-0000-0D00-000002000000}">
      <text>
        <r>
          <rPr>
            <b/>
            <sz val="9"/>
            <color indexed="81"/>
            <rFont val="Segoe UI"/>
            <family val="2"/>
          </rPr>
          <t>Select platform</t>
        </r>
      </text>
    </comment>
    <comment ref="E20" authorId="0" shapeId="0" xr:uid="{00000000-0006-0000-0D00-000003000000}">
      <text>
        <r>
          <rPr>
            <b/>
            <sz val="9"/>
            <color indexed="81"/>
            <rFont val="Segoe UI"/>
            <family val="2"/>
          </rPr>
          <t xml:space="preserve">Select resolution
</t>
        </r>
      </text>
    </comment>
    <comment ref="E21" authorId="0" shapeId="0" xr:uid="{00000000-0006-0000-0D00-000004000000}">
      <text>
        <r>
          <rPr>
            <b/>
            <sz val="9"/>
            <color indexed="81"/>
            <rFont val="Segoe UI"/>
            <family val="2"/>
          </rPr>
          <t xml:space="preserve">Select Frame rate
</t>
        </r>
      </text>
    </comment>
    <comment ref="C56" authorId="0" shapeId="0" xr:uid="{00000000-0006-0000-0D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0E00-000001000000}">
      <text>
        <r>
          <rPr>
            <b/>
            <sz val="9"/>
            <color indexed="81"/>
            <rFont val="Segoe UI"/>
            <family val="2"/>
          </rPr>
          <t xml:space="preserve">Select profile
</t>
        </r>
      </text>
    </comment>
    <comment ref="E18" authorId="0" shapeId="0" xr:uid="{00000000-0006-0000-0E00-000002000000}">
      <text>
        <r>
          <rPr>
            <b/>
            <sz val="9"/>
            <color indexed="81"/>
            <rFont val="Segoe UI"/>
            <family val="2"/>
          </rPr>
          <t>Select platform</t>
        </r>
      </text>
    </comment>
    <comment ref="E20" authorId="0" shapeId="0" xr:uid="{00000000-0006-0000-0E00-000003000000}">
      <text>
        <r>
          <rPr>
            <b/>
            <sz val="9"/>
            <color indexed="81"/>
            <rFont val="Segoe UI"/>
            <family val="2"/>
          </rPr>
          <t xml:space="preserve">Select resolution
</t>
        </r>
      </text>
    </comment>
    <comment ref="E21" authorId="0" shapeId="0" xr:uid="{00000000-0006-0000-0E00-000004000000}">
      <text>
        <r>
          <rPr>
            <b/>
            <sz val="9"/>
            <color indexed="81"/>
            <rFont val="Segoe UI"/>
            <family val="2"/>
          </rPr>
          <t xml:space="preserve">Select Frame rate
</t>
        </r>
      </text>
    </comment>
    <comment ref="C56" authorId="0" shapeId="0" xr:uid="{00000000-0006-0000-0E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Hepting Manuel (ST-ESS/MKP1)</author>
  </authors>
  <commentList>
    <comment ref="E17" authorId="0" shapeId="0" xr:uid="{00000000-0006-0000-1300-000001000000}">
      <text>
        <r>
          <rPr>
            <b/>
            <sz val="9"/>
            <color indexed="81"/>
            <rFont val="Segoe UI"/>
            <family val="2"/>
          </rPr>
          <t xml:space="preserve">Select profile
</t>
        </r>
      </text>
    </comment>
    <comment ref="E18" authorId="0" shapeId="0" xr:uid="{00000000-0006-0000-1300-000002000000}">
      <text>
        <r>
          <rPr>
            <b/>
            <sz val="9"/>
            <color indexed="81"/>
            <rFont val="Segoe UI"/>
            <family val="2"/>
          </rPr>
          <t>Select platform</t>
        </r>
      </text>
    </comment>
    <comment ref="E20" authorId="0" shapeId="0" xr:uid="{00000000-0006-0000-1300-000003000000}">
      <text>
        <r>
          <rPr>
            <b/>
            <sz val="9"/>
            <color indexed="81"/>
            <rFont val="Segoe UI"/>
            <family val="2"/>
          </rPr>
          <t xml:space="preserve">Select resolution
</t>
        </r>
      </text>
    </comment>
    <comment ref="E21" authorId="0" shapeId="0" xr:uid="{00000000-0006-0000-1300-000004000000}">
      <text>
        <r>
          <rPr>
            <b/>
            <sz val="9"/>
            <color indexed="81"/>
            <rFont val="Segoe UI"/>
            <family val="2"/>
          </rPr>
          <t xml:space="preserve">Select Frame rate
</t>
        </r>
      </text>
    </comment>
    <comment ref="C56" authorId="0" shapeId="0" xr:uid="{00000000-0006-0000-1300-000005000000}">
      <text>
        <r>
          <rPr>
            <b/>
            <sz val="9"/>
            <color indexed="81"/>
            <rFont val="Segoe UI"/>
            <family val="2"/>
          </rPr>
          <t>Hepting Manuel (ST-ESS/MKP1):</t>
        </r>
        <r>
          <rPr>
            <sz val="9"/>
            <color indexed="81"/>
            <rFont val="Segoe UI"/>
            <family val="2"/>
          </rPr>
          <t xml:space="preserve">
Removed after discussion with Markus und Orante on 09.07.2018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esolutions_MIC-7522-Z30x_FW7_61_00161" type="6" refreshedVersion="6" deleted="1" background="1" saveData="1">
    <textPr codePage="65001" sourceFile="C:\Users\vgm1ein\Desktop\Resolutions_MIC-7522-Z30x_FW7_61_0016.txt" decimal="," thousands="." comma="1" semicolon="1">
      <textFields count="15">
        <textField/>
        <textField/>
        <textField/>
        <textField/>
        <textField/>
        <textField/>
        <textField/>
        <textField/>
        <textField/>
        <textField/>
        <textField/>
        <textField/>
        <textField/>
        <textField/>
        <textField/>
      </textFields>
    </textPr>
  </connection>
  <connection id="2" xr16:uid="{00000000-0015-0000-FFFF-FFFF01000000}" name="Resolutions_MIC-7522-Z30xR_FW7_61_00161" type="6" refreshedVersion="6" deleted="1" background="1" saveData="1">
    <textPr codePage="65001" sourceFile="C:\Users\vgm1ein\Desktop\Resolutions_MIC-7522-Z30xR_FW7_61_0016.txt" decimal="," thousands="." semicolon="1">
      <textFields count="15">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<sst xmlns="http://schemas.openxmlformats.org/spreadsheetml/2006/main" count="78367" uniqueCount="2116">
  <si>
    <t>Basic Capacity Consumption</t>
  </si>
  <si>
    <t>Mbit/s</t>
  </si>
  <si>
    <t>days</t>
  </si>
  <si>
    <t>Nr of arrays</t>
  </si>
  <si>
    <t>Active recording channels on initiator</t>
  </si>
  <si>
    <t>Unused input channel(s) per host</t>
  </si>
  <si>
    <t>Group1</t>
  </si>
  <si>
    <t>Group2</t>
  </si>
  <si>
    <t>Group3</t>
  </si>
  <si>
    <t>none</t>
  </si>
  <si>
    <t>No</t>
  </si>
  <si>
    <t>Audio enabled?</t>
  </si>
  <si>
    <t>Metadata (IVA) enabled?</t>
  </si>
  <si>
    <t>Kbit/s</t>
  </si>
  <si>
    <t>Group4</t>
  </si>
  <si>
    <t>Video data rate</t>
  </si>
  <si>
    <t>Kbits/s</t>
  </si>
  <si>
    <t>Gigabytes</t>
  </si>
  <si>
    <t>No.of cameras</t>
  </si>
  <si>
    <t>Recording duration per camera</t>
  </si>
  <si>
    <t>days and</t>
  </si>
  <si>
    <t>hours</t>
  </si>
  <si>
    <t>which is</t>
  </si>
  <si>
    <t>seconds</t>
  </si>
  <si>
    <t>Headroom</t>
  </si>
  <si>
    <t>medium</t>
  </si>
  <si>
    <t>Output value</t>
  </si>
  <si>
    <t>Resolution</t>
  </si>
  <si>
    <t>Frame Rate</t>
  </si>
  <si>
    <t>Codec</t>
  </si>
  <si>
    <t>Hours per day</t>
  </si>
  <si>
    <t>Total number of cameras/channels</t>
  </si>
  <si>
    <r>
      <t xml:space="preserve">Total number of cameras/channels </t>
    </r>
    <r>
      <rPr>
        <b/>
        <sz val="10"/>
        <rFont val="Arial"/>
        <family val="2"/>
      </rPr>
      <t>all groups</t>
    </r>
  </si>
  <si>
    <t>1 arrays - sessions worst case</t>
  </si>
  <si>
    <t>2 arrays - sessions worst case</t>
  </si>
  <si>
    <t>3 arrays - sessions worst case</t>
  </si>
  <si>
    <t>4 arrays - sessions worst case</t>
  </si>
  <si>
    <t>5 arrays - sessions worst case</t>
  </si>
  <si>
    <t>6 arrays - sessions worst case</t>
  </si>
  <si>
    <t>7 arrays - sessions worst case</t>
  </si>
  <si>
    <t>8 arrays and more - sessions worst case</t>
  </si>
  <si>
    <t>Name</t>
  </si>
  <si>
    <t>Office</t>
  </si>
  <si>
    <t>Project Name</t>
  </si>
  <si>
    <t>Dealer Name</t>
  </si>
  <si>
    <t>Installation time of project</t>
  </si>
  <si>
    <t>PLEASE NOTE:</t>
  </si>
  <si>
    <t>Input field (Mandatory)</t>
  </si>
  <si>
    <t>Input field (Optional)</t>
  </si>
  <si>
    <t>Qty:</t>
  </si>
  <si>
    <t xml:space="preserve">Software licenses and PC hardware </t>
  </si>
  <si>
    <t>Workstations</t>
  </si>
  <si>
    <t>Keyboards</t>
  </si>
  <si>
    <t>Type of workstation:</t>
  </si>
  <si>
    <t>Central Server Hardware</t>
  </si>
  <si>
    <t>None</t>
  </si>
  <si>
    <t>Miscellaneous</t>
  </si>
  <si>
    <t>Audio</t>
  </si>
  <si>
    <t>IP Network</t>
  </si>
  <si>
    <t>Brand</t>
  </si>
  <si>
    <t>Type</t>
  </si>
  <si>
    <t>Speed</t>
  </si>
  <si>
    <t>Dedicated</t>
  </si>
  <si>
    <t>Other Useful Information:</t>
  </si>
  <si>
    <t>Remarks</t>
  </si>
  <si>
    <t>Date:</t>
  </si>
  <si>
    <t>NVR</t>
  </si>
  <si>
    <t>VRM</t>
  </si>
  <si>
    <t>Year:</t>
  </si>
  <si>
    <t>Channels:</t>
  </si>
  <si>
    <t>Approval status overview:</t>
  </si>
  <si>
    <t>OK</t>
  </si>
  <si>
    <t>Not OK</t>
  </si>
  <si>
    <t>Mandatory fields filled in?</t>
  </si>
  <si>
    <t>The actual scene variations in the project will ensure that the encoder CPU load and/or estimated storage may be different than presented in this checklist.</t>
  </si>
  <si>
    <t>Approval of this checklist is in best effort as it includes a storage estimation and a Encoder CPU load estimation.</t>
  </si>
  <si>
    <t>Same as Central server as this in an All-in-one system</t>
  </si>
  <si>
    <t>3rd party - According minimal system specifications</t>
  </si>
  <si>
    <t>Net Storage requirement</t>
  </si>
  <si>
    <t>Request for extension?</t>
  </si>
  <si>
    <t>Month</t>
  </si>
  <si>
    <t>Workst:</t>
  </si>
  <si>
    <t>Month indexer</t>
  </si>
  <si>
    <t>January</t>
  </si>
  <si>
    <t>February</t>
  </si>
  <si>
    <t>March</t>
  </si>
  <si>
    <t>April</t>
  </si>
  <si>
    <t>May</t>
  </si>
  <si>
    <t>June</t>
  </si>
  <si>
    <t>July</t>
  </si>
  <si>
    <t>August</t>
  </si>
  <si>
    <t>September</t>
  </si>
  <si>
    <t>October</t>
  </si>
  <si>
    <t>November</t>
  </si>
  <si>
    <t>December</t>
  </si>
  <si>
    <t>Year indexer</t>
  </si>
  <si>
    <t>N.A.</t>
  </si>
  <si>
    <t>EOL - VIP-X1600-XFMD</t>
  </si>
  <si>
    <t xml:space="preserve"> </t>
  </si>
  <si>
    <t>Future expected system expansion</t>
  </si>
  <si>
    <t>Channel exp. Qty:</t>
  </si>
  <si>
    <t>Workstations Qty:</t>
  </si>
  <si>
    <t>Earlier used BVMS approval number:</t>
  </si>
  <si>
    <t>BVMS license extensions:</t>
  </si>
  <si>
    <t>DVR exp. Qty:</t>
  </si>
  <si>
    <t>JBOD</t>
  </si>
  <si>
    <t>Storage used:</t>
  </si>
  <si>
    <t>VRM+NVR mixed-mode</t>
  </si>
  <si>
    <t>CTN</t>
  </si>
  <si>
    <t>720p</t>
  </si>
  <si>
    <t>1080p</t>
  </si>
  <si>
    <t>SD</t>
  </si>
  <si>
    <t>Quiet time / Alarm time: hours per day</t>
  </si>
  <si>
    <t>Quiet time / Alarm time: Video bandwidth</t>
  </si>
  <si>
    <t>Quiet time / Alarm time: reduction factor</t>
  </si>
  <si>
    <t>Quiet time / Alarm time: Total bandwidth</t>
  </si>
  <si>
    <t>3th party (Project based/customized storage)</t>
  </si>
  <si>
    <t>Live only</t>
  </si>
  <si>
    <t>Bosch IP networked video - local recording</t>
  </si>
  <si>
    <t>Local recording</t>
  </si>
  <si>
    <t>SD/CF/hard disk total disk space</t>
  </si>
  <si>
    <t>BVMS project checklist</t>
  </si>
  <si>
    <t>VRM downtime in days</t>
  </si>
  <si>
    <t>Spanlist capability of selected device</t>
  </si>
  <si>
    <t>Required available reservation for VRM downtime (spanlist)</t>
  </si>
  <si>
    <t>Possible available reservation for VRM downtime (spanlist)</t>
  </si>
  <si>
    <t>VRM mode used for calculation in this sheet:</t>
  </si>
  <si>
    <t>Automatic mode (new since VRM 2.20)</t>
  </si>
  <si>
    <t>Group5</t>
  </si>
  <si>
    <t>Camera/encoder selection</t>
  </si>
  <si>
    <t xml:space="preserve">iDNR   </t>
  </si>
  <si>
    <t>Selection</t>
  </si>
  <si>
    <t>total</t>
  </si>
  <si>
    <t>session</t>
  </si>
  <si>
    <t>group total</t>
  </si>
  <si>
    <t>Total bandwidth (all cameras in group)</t>
  </si>
  <si>
    <t>Total bandwidth (all cameras in all groups)</t>
  </si>
  <si>
    <t>Net storage requirement</t>
  </si>
  <si>
    <t>Recording bandwidth:</t>
  </si>
  <si>
    <t>Recording bandwidth (per camera)</t>
  </si>
  <si>
    <t>Global spares</t>
  </si>
  <si>
    <t>Pool0 total</t>
  </si>
  <si>
    <t>Pool1 total</t>
  </si>
  <si>
    <t>Pool2 total</t>
  </si>
  <si>
    <t>Pool3 total</t>
  </si>
  <si>
    <t>Gross storage:</t>
  </si>
  <si>
    <t>Transcoders</t>
  </si>
  <si>
    <t>VJT-XTC-XF</t>
  </si>
  <si>
    <t>Build in DIVAR IP</t>
  </si>
  <si>
    <t>Reserved days in device spanlist</t>
  </si>
  <si>
    <t>Days</t>
  </si>
  <si>
    <t>10.0.09</t>
  </si>
  <si>
    <t>Storage pools implemented</t>
  </si>
  <si>
    <t>VRM 3.0 based storage calculation (incl sanity check)</t>
  </si>
  <si>
    <t>New encoder/camera series/families/platforms implemented</t>
  </si>
  <si>
    <t>Gross storage size presentation (due to competition is always offering on basis of Gross)</t>
  </si>
  <si>
    <t>DIVAR IP added (reworked as a single management system with optional storage extension of x number of 2000/6000 units)</t>
  </si>
  <si>
    <t xml:space="preserve">E-Series Phase II added </t>
  </si>
  <si>
    <t>Graphical overview of overcapacity</t>
  </si>
  <si>
    <t>Graphical overview of price point comparison</t>
  </si>
  <si>
    <t>Enterprise subsystem licenses entry field</t>
  </si>
  <si>
    <t>Transcoder entry field</t>
  </si>
  <si>
    <t>New decoders added</t>
  </si>
  <si>
    <t>fixed 5MP bug</t>
  </si>
  <si>
    <t xml:space="preserve">added subsystem extension type </t>
  </si>
  <si>
    <t>other minor bug fixes</t>
  </si>
  <si>
    <t>VIP X1600 XF/VJ X20XF-E/VJ X40XF-E resolutions didn’t work well (thanks Jeremy)</t>
  </si>
  <si>
    <t>VIP X1600 XF channel count was faulty (thanks Jeremy)</t>
  </si>
  <si>
    <t>Minor changes to the Divar IP iSCSI session usage.</t>
  </si>
  <si>
    <t>10.0.10</t>
  </si>
  <si>
    <t xml:space="preserve">Changed DIVAR IP 3000 with one slave DIVAR IP 2000 </t>
  </si>
  <si>
    <t>10.0.11</t>
  </si>
  <si>
    <t>VSG channels are fixed</t>
  </si>
  <si>
    <t>10.0.12</t>
  </si>
  <si>
    <t>DIVAR IP 3000+2000 and DIVAR IP 7000+6000 iSCSI sessions and bandwidth fixed</t>
  </si>
  <si>
    <t>10.0.13</t>
  </si>
  <si>
    <t>N-1 redundancy reworked for Divar IP range</t>
  </si>
  <si>
    <t>Changelog:</t>
  </si>
  <si>
    <t>10.0.5</t>
  </si>
  <si>
    <t>9.0.5</t>
  </si>
  <si>
    <t>Netapp E-series added</t>
  </si>
  <si>
    <t xml:space="preserve">Additional camera group added specially for ONVIF </t>
  </si>
  <si>
    <t>New bitrate and encoder capability sheet added</t>
  </si>
  <si>
    <t>10.0.14</t>
  </si>
  <si>
    <t>10.0.15</t>
  </si>
  <si>
    <t>DIP-6000/7000 3TB versions added</t>
  </si>
  <si>
    <t>E-Series - 3TB versions added</t>
  </si>
  <si>
    <t>10.0.16</t>
  </si>
  <si>
    <t>internal</t>
  </si>
  <si>
    <t>10.0.17</t>
  </si>
  <si>
    <t>Fixed bug: error SCSI sessiosn using the multi-pool assignment</t>
  </si>
  <si>
    <t>Fixed bug: Gross storage wrong assigned for the DIP-2000</t>
  </si>
  <si>
    <t>Changed default setting: "Allow &gt;1 Divar IP 3000/7000 systems" to false</t>
  </si>
  <si>
    <t>10.0.18</t>
  </si>
  <si>
    <t>3840x2160</t>
  </si>
  <si>
    <t>4000x3000</t>
  </si>
  <si>
    <t>GB</t>
  </si>
  <si>
    <t>E-Series Base Unit, 12 x 4 TB</t>
  </si>
  <si>
    <t>E-Series Base + 1x Expansion Unit, 24x4TB</t>
  </si>
  <si>
    <t>E-Series Base + 2x Expansion Unit, 36x4TB</t>
  </si>
  <si>
    <t>E-Series Base + 3x Expansion Unit, 48x4TB</t>
  </si>
  <si>
    <t>E-Series Base + 4x Expansion Unit, 60x4TB</t>
  </si>
  <si>
    <t>E-Series Base + 5x Expansion Unit, 72x4TB</t>
  </si>
  <si>
    <t>E-Series Base + 6x Expansion Unit, 84x4TB</t>
  </si>
  <si>
    <t>E-Series Base + 7x Expansion Unit, 96x4TB</t>
  </si>
  <si>
    <t>11.0.01</t>
  </si>
  <si>
    <t>4TB E-series added</t>
  </si>
  <si>
    <t>Dinion IP ultra 8000 cameras added</t>
  </si>
  <si>
    <t>Dinion IP starlight 8000 cameras added</t>
  </si>
  <si>
    <t>workstation/graphics card options reworked</t>
  </si>
  <si>
    <t>Reworked to BVMS 5.0</t>
  </si>
  <si>
    <t>MIC IP starlight/dynamic 7000 added</t>
  </si>
  <si>
    <t>11.0.02</t>
  </si>
  <si>
    <t>Added DIP 2000/3000 3TB versions</t>
  </si>
  <si>
    <t xml:space="preserve">DIP2000: changed OS partition size reservation to 200GB </t>
  </si>
  <si>
    <t>DIP7000: removed OS partition size reservation (OS running on separate SSD)</t>
  </si>
  <si>
    <t>Workstation matrix updated</t>
  </si>
  <si>
    <t>Primary VRM server</t>
  </si>
  <si>
    <t>Secondary VRM server</t>
  </si>
  <si>
    <t>VRM 1 / Storage Pool 0</t>
  </si>
  <si>
    <t>VRM 2 / Storage Pool 1</t>
  </si>
  <si>
    <t>VRM 3 / Storage Pool 2</t>
  </si>
  <si>
    <t>VRM 4 / Storage Pool 3</t>
  </si>
  <si>
    <t>Implemented mirrored/secondary/failover recording; reworked pool implementation</t>
  </si>
  <si>
    <t>Added secondary VRM server selection</t>
  </si>
  <si>
    <t>Added 2 decoder groups; added single and dual monitor support for the VJD-7000 seperately</t>
  </si>
  <si>
    <t>Added warning for the Workstation expansion licenses against the workstation count</t>
  </si>
  <si>
    <t>VSG PC/server hardware comment field added</t>
  </si>
  <si>
    <t>Added MBV-XSUB-50, MBV-XMVS-50, MBV-FEUP-50, MBV-XFOV-50, MBV-XDUR-50 licenses</t>
  </si>
  <si>
    <t>Added warning for MBV-BXPAN-DIP license when 64channels are reached</t>
  </si>
  <si>
    <t>VRM 1 / POOL0:</t>
  </si>
  <si>
    <t>VRM 2 / POOL1:</t>
  </si>
  <si>
    <t>VRM 3 / POOL2:</t>
  </si>
  <si>
    <t>VRM 4 / POOL3:</t>
  </si>
  <si>
    <t>Added DIP 6000 3TB versions (iSCSI target only mode)</t>
  </si>
  <si>
    <t>Added BVMS licensing overview to the checklist workbook</t>
  </si>
  <si>
    <t>Endurance time [hours]</t>
  </si>
  <si>
    <t>Endurance time [sec]</t>
  </si>
  <si>
    <t>Bytes / second</t>
  </si>
  <si>
    <t>Endurance time [months]</t>
  </si>
  <si>
    <t>Endurance time [weeks]</t>
  </si>
  <si>
    <t>Endurance time [days]</t>
  </si>
  <si>
    <t>Estimated maximum SD Card life time</t>
  </si>
  <si>
    <t>Calculate</t>
  </si>
  <si>
    <t>kbps</t>
  </si>
  <si>
    <t>Recording bit rate</t>
  </si>
  <si>
    <t>Maximum write cycles</t>
  </si>
  <si>
    <t>SD Card size</t>
  </si>
  <si>
    <t>Enter your values of choice in the orange fields.</t>
  </si>
  <si>
    <t>SD card size</t>
  </si>
  <si>
    <t>SD Card Lifetime Estimator</t>
  </si>
  <si>
    <t>11.0.03</t>
  </si>
  <si>
    <t>Added the VRM pool selection None</t>
  </si>
  <si>
    <t>Corrected the warning for DIP 7000 channel expansion (32ch is default, not 8ch)</t>
  </si>
  <si>
    <t>Reworked the dual recording implementation to include bandwidth and quiet time for the secondary recording.</t>
  </si>
  <si>
    <t>fixed orange color warning for expansion licenses</t>
  </si>
  <si>
    <t xml:space="preserve">orange warning fixed on "Check manualy BU-ESS expert" field </t>
  </si>
  <si>
    <t>bug fixed on pool handling</t>
  </si>
  <si>
    <t>Warning added on pools when changing camera count (and consequently storage capabilities change.)</t>
  </si>
  <si>
    <t>added the SD lifetime calculator</t>
  </si>
  <si>
    <t>11.0.04</t>
  </si>
  <si>
    <t>Reworked dual recording implementation on secondary recording to select alternative camera qty</t>
  </si>
  <si>
    <t>Reworked quiet time implementation on the secondary recording to inherit the quiet time reduction factor from the primary recording group.</t>
  </si>
  <si>
    <t>target bitrate</t>
  </si>
  <si>
    <t>Channels</t>
  </si>
  <si>
    <t xml:space="preserve">BVMS approval number: </t>
  </si>
  <si>
    <t>BVMS approval condition:</t>
  </si>
  <si>
    <t>BVMS approval Comment:</t>
  </si>
  <si>
    <t>11.0.05</t>
  </si>
  <si>
    <t>Rosenstiel - Simplified layout and appearence with input from APR</t>
  </si>
  <si>
    <t>11.0.06</t>
  </si>
  <si>
    <t>Rosenstiel - added subsystem extension type and upgrade from Pro to the tab "Licenses"</t>
  </si>
  <si>
    <t>Rosenstiel - removed wrong email addresses and corrected value of # of BRS systems</t>
  </si>
  <si>
    <t>11.0.08</t>
  </si>
  <si>
    <t>11.0.07</t>
  </si>
  <si>
    <t>RT: small bug smashed</t>
  </si>
  <si>
    <t>RT: Removed NetApp E2600 series (to make the list shorter)</t>
  </si>
  <si>
    <t>11.0.09</t>
  </si>
  <si>
    <t>RT: Added NetApp E2700 series (note: performance data used in full port utilisation, so both iSCSI ports/hosts connected on each controller)</t>
  </si>
  <si>
    <t>11.0.10</t>
  </si>
  <si>
    <t>Fixed typo onto the E2700 HD shelf (4TB instead of 6TB; Source: Uwe K)</t>
  </si>
  <si>
    <t>EOL - VIP-XDHD</t>
  </si>
  <si>
    <t>EOL - VJD-7000 (single monitor mode)</t>
  </si>
  <si>
    <t>EOL - VJD-7000 (dual monitor mode)</t>
  </si>
  <si>
    <t>HP ProDesk 600G1 (single monitor mode)</t>
  </si>
  <si>
    <t>HP ProDesk 600G1 (Dual monitor mode)</t>
  </si>
  <si>
    <t>VJD-8000 (single monitor mode;release:2016Q1)</t>
  </si>
  <si>
    <t>VJD-8000 (dual monitor mode;release:2016Q1)</t>
  </si>
  <si>
    <t xml:space="preserve">NetApp E2700 series als has dual controller variants whichs are in this checklist used for the High Density selfs. </t>
  </si>
  <si>
    <t>However possible, combinations with Dual controller base units plus 12 disk extensions are not part of this checklist.</t>
  </si>
  <si>
    <t>DIP-6000R2 added 3TB / 4TB</t>
  </si>
  <si>
    <t>DIP-2000 RAID1 option added</t>
  </si>
  <si>
    <t>Workstations in dropdown selections updated</t>
  </si>
  <si>
    <t>Hotspare option on 4 disk DIVAR IP systems removed (not supported)</t>
  </si>
  <si>
    <t>Added Panoramic bitrates (same as Datasheets)</t>
  </si>
  <si>
    <t>Added panoramic 5000/7000 series of cameras</t>
  </si>
  <si>
    <t>DIVAR IP 6000 R2 4x3TB</t>
  </si>
  <si>
    <t>DIVAR IP 6000 R2 3U 16x3TB</t>
  </si>
  <si>
    <t>DIVAR IP 6000 R2 4x4TB</t>
  </si>
  <si>
    <t>DIVAR IP 6000 R2 8x4TB</t>
  </si>
  <si>
    <t>DIVAR IP 6000 R2 3U 16x4TB</t>
  </si>
  <si>
    <t>11.0.11</t>
  </si>
  <si>
    <t>Changed decoder license consumption (fixed: Manual H)</t>
  </si>
  <si>
    <t>DIP-6000 R2 performance data reworked and added HS and RAID 6 modes.</t>
  </si>
  <si>
    <t>Removed DLA-1400 and DIP-6000 (R1) from AIO mode (VRM included) to shorten the list.</t>
  </si>
  <si>
    <t>11.0.12</t>
  </si>
  <si>
    <t>Fixed gross storage value to 64TB on the DIP-6000R2 16x4TB (was incorrectly stating 48TB)</t>
  </si>
  <si>
    <t>11.0.13</t>
  </si>
  <si>
    <t>Changed software licenses to BVMS 6.0 (Manuel)</t>
  </si>
  <si>
    <t>11.0.14</t>
  </si>
  <si>
    <t xml:space="preserve">Update to BVMS 6.5, DIP-6000R2 iSCSI session update </t>
  </si>
  <si>
    <t>DIVAR IP 7000 R2 4X3TB</t>
  </si>
  <si>
    <t>DIVAR IP 7000 R2 8X3TB</t>
  </si>
  <si>
    <t>DIVAR IP 7000 R2 16X3TB</t>
  </si>
  <si>
    <t>DIVAR IP 7000 R2 4X4TB</t>
  </si>
  <si>
    <t>DIVAR IP 7000 R2 8X4TB</t>
  </si>
  <si>
    <t>DIVAR IP 7000 R2 16X4TB</t>
  </si>
  <si>
    <t>11.0.16</t>
  </si>
  <si>
    <t>DIP 7000 R2  added</t>
  </si>
  <si>
    <t>11.0.17</t>
  </si>
  <si>
    <t>Corrected number of storage units in quantity field of (Manuel)</t>
  </si>
  <si>
    <t>11.0.18</t>
  </si>
  <si>
    <t xml:space="preserve">EOL DIP 7000 </t>
  </si>
  <si>
    <t>DIVAR IP 7000 R2 8X4TB + 1x DIVAR IP 6000 R2 8X4TB</t>
  </si>
  <si>
    <t>DIVAR IP 7000 R2 8X4TB + 2x DIVAR IP 6000 R2 8X4TB</t>
  </si>
  <si>
    <t>DIVAR IP 7000 R2 8X4TB + 3x DIVAR IP 6000 R2 8X4TB</t>
  </si>
  <si>
    <t>DIVAR IP 7000 R2 8X4TB + 4x DIVAR IP 6000 R2 8X4TB</t>
  </si>
  <si>
    <t>DIVAR IP 7000 R2 8X3TB + 1x DIVAR IP 6000 R2 3U 16x3TB</t>
  </si>
  <si>
    <t>DIVAR IP 7000 R2 8X3TB + 2x DIVAR IP 6000 R2 3U 16x3TB</t>
  </si>
  <si>
    <t>DIVAR IP 7000 R2 8X3TB + 3x DIVAR IP 6000 R2 3U 16x3TB</t>
  </si>
  <si>
    <t>DIVAR IP 7000 R2 8X3TB + 4x DIVAR IP 6000 R2 3U 16x3TB</t>
  </si>
  <si>
    <t>DIVAR IP 7000 R2 8X4TB + 1x DIVAR IP 6000 R2 3U 16x4TB</t>
  </si>
  <si>
    <t>DIVAR IP 7000 R2 8X4TB + 2x DIVAR IP 6000 R2 3U 16x4TB</t>
  </si>
  <si>
    <t>DIVAR IP 7000 R2 8X4TB + 3x DIVAR IP 6000 R2 3U 16x4TB</t>
  </si>
  <si>
    <t>DIVAR IP 7000 R2 8X4TB + 4x DIVAR IP 6000 R2 3U 16x4TB</t>
  </si>
  <si>
    <t>DIVAR IP 7000 R2 8X3TB + 1x DIVAR IP 6000 R2 8X3TB</t>
  </si>
  <si>
    <t>DIVAR IP 7000 R2 8X3TB + 2x DIVAR IP 6000 R2 8X3TB</t>
  </si>
  <si>
    <t>DIVAR IP 7000 R2 8X3TB + 3x DIVAR IP 6000 R2 8X3TB</t>
  </si>
  <si>
    <t>DIVAR IP 7000 R2 8X3TB + 4x DIVAR IP 6000 R2 8X3TB</t>
  </si>
  <si>
    <t>DIVAR IP 6000 R2 8X3TB</t>
  </si>
  <si>
    <t>11.0.19</t>
  </si>
  <si>
    <t>DIVAR IP 7000 R2 16X3TB + 1x DIVAR IP 6000 R2 8x4TB</t>
  </si>
  <si>
    <t>DIVAR IP 7000 R2 16X3TB + 2x DIVAR IP 6000 R2 8x4TB</t>
  </si>
  <si>
    <t>DIVAR IP 7000 R2 16X3TB + 3x 	DIVAR IP 6000 R2 8x4TB</t>
  </si>
  <si>
    <t>DIVAR IP 7000 R2 16X3TB + 4x 	DIVAR IP 6000 R2 8x4TB</t>
  </si>
  <si>
    <t>DIVAR IP 7000 R2 16X3TB + 1x 	DIVAR IP 6000 R2 3U 16x3TB</t>
  </si>
  <si>
    <t>DIVAR IP 7000 R2 16X3TB + 2x 	DIVAR IP 6000 R2 3U 16x3TB</t>
  </si>
  <si>
    <t>DIVAR IP 7000 R2 16X3TB + 3x 	DIVAR IP 6000 R2 3U 16x3TB</t>
  </si>
  <si>
    <t>DIVAR IP 7000 R2 16X3TB + 4x 	DIVAR IP 6000 R2 3U 16x3TB</t>
  </si>
  <si>
    <t>DIVAR IP 7000 R2 16X3TB + 1x 	DIVAR IP 6000 R2 3U 16x4TB</t>
  </si>
  <si>
    <t>DIVAR IP 7000 R2 16X3TB + 2x 	DIVAR IP 6000 R2 3U 16x4TB</t>
  </si>
  <si>
    <t>DIVAR IP 7000 R2 16X3TB + 3x 	DIVAR IP 6000 R2 3U 16x4TB</t>
  </si>
  <si>
    <t>DIVAR IP 7000 R2 16X3TB + 4x DIVAR IP 6000 R2 3U 16x4TB</t>
  </si>
  <si>
    <t>DIVAR IP 7000 R2 8X4TB + 1x DIVAR IP 6000 R2 8X3TB</t>
  </si>
  <si>
    <t>DIVAR IP 7000 R2 8X4TB + 2x DIVAR IP 6000 R2 8X3TB</t>
  </si>
  <si>
    <t>DIVAR IP 7000 R2 8X4TB + 3x DIVAR IP 6000 R2 8X3TB</t>
  </si>
  <si>
    <t>DIVAR IP 7000 R2 8X4TB + 4x DIVAR IP 6000 R2 8X3TB</t>
  </si>
  <si>
    <t>DIVAR IP 7000 R2 8X4TB +  1x 	DIVAR IP 6000 R2 3U 16x3TB</t>
  </si>
  <si>
    <t>DIVAR IP 7000 R2 16X4TB + 1x 	DIVAR IP 6000 R2 8x4TB</t>
  </si>
  <si>
    <t>DIVAR IP 7000 R2 16X4TB + 2x 	DIVAR IP 6000 R2 8x4TB</t>
  </si>
  <si>
    <t>DIVAR IP 7000 R2 16X4TB + 3x 	DIVAR IP 6000 R2 8x4TB</t>
  </si>
  <si>
    <t>DIVAR IP 7000 R2 16X4TB + 4x 	DIVAR IP 6000 R2 8x4TB</t>
  </si>
  <si>
    <t>DIVAR IP 7000 R2 8X4TB +  2x 	DIVAR IP 6000 R2 3U 16x3TB</t>
  </si>
  <si>
    <t>DIVAR IP 7000 R2 8X4TB +  3x 	DIVAR IP 6000 R2 3U 16x3TB</t>
  </si>
  <si>
    <t>DIVAR IP 7000 R2 8X4TB +  4x 	DIVAR IP 6000 R2 3U 16x3TB</t>
  </si>
  <si>
    <t>DIVAR IP 7000 R2 16X4TB + 1x 	DIVAR IP 6000 R2 3U 16x3TB</t>
  </si>
  <si>
    <t>DIVAR IP 7000 R2 16X4TB + 2x 	DIVAR IP 6000 R2 3U 16x3TB</t>
  </si>
  <si>
    <t>DIVAR IP 7000 R2 16X4TB + 3x 	DIVAR IP 6000 R2 3U 16x3TB</t>
  </si>
  <si>
    <t>DIVAR IP 7000 R2 16X4TB + 4x 	DIVAR IP 6000 R2 3U 16x3TB</t>
  </si>
  <si>
    <t>DIVAR IP 7000 R2 16X4TB + 1x 	DIVAR IP 6000 R2 3U 16x4TB</t>
  </si>
  <si>
    <t>DIVAR IP 7000 R2 16X4TB + 2x 	DIVAR IP 6000 R2 3U 16x4TB</t>
  </si>
  <si>
    <t>DIVAR IP 7000 R2 16X4TB + 3x 	DIVAR IP 6000 R2 3U 16x4TB</t>
  </si>
  <si>
    <t>DIVAR IP 7000 R2 16X4TB + 4x 	DIVAR IP 6000 R2 3U 16x4TB</t>
  </si>
  <si>
    <t>11.0.22</t>
  </si>
  <si>
    <t>Added DIP 7000 R2 combinations and DIP 5000</t>
  </si>
  <si>
    <t>Added DIP 7000 R2 + DIP 6000 R2 combination</t>
  </si>
  <si>
    <t>11.0.23</t>
  </si>
  <si>
    <t>11.0.24</t>
  </si>
  <si>
    <t>Added Autodome 5000</t>
  </si>
  <si>
    <t>11.0.25</t>
  </si>
  <si>
    <t>corrected iSCSI session calculation, updated to BVMS 7.0, camera update</t>
  </si>
  <si>
    <t>11.0.26</t>
  </si>
  <si>
    <t>fixed problem with "Allow &gt;1 Divar IP 3000/7000 systems"</t>
  </si>
  <si>
    <t>11.0.27</t>
  </si>
  <si>
    <t>corrected IVA enabling</t>
  </si>
  <si>
    <t>corrected Pixie cameras</t>
  </si>
  <si>
    <t>11.0.30</t>
  </si>
  <si>
    <t>DIVAR IP 7000 R2 8X6TB</t>
  </si>
  <si>
    <t>DIVAR IP 7000 R2 8X8TB</t>
  </si>
  <si>
    <t>DIVAR IP 7000 R2 16X6TB</t>
  </si>
  <si>
    <t>DIVAR IP 7000 R2 16X8TB</t>
  </si>
  <si>
    <t>DIVAR IP 7000 R2 8X6TB + 1x DIVAR IP 6000 R2 8x3TB</t>
  </si>
  <si>
    <t>DIVAR IP 7000 R2 8X6TB + 2x DIVAR IP 6000 R2 8x3TB</t>
  </si>
  <si>
    <t>DIVAR IP 7000 R2 8X6TB + 3x DIVAR IP 6000 R2 8x3TB</t>
  </si>
  <si>
    <t>DIVAR IP 7000 R2 8X6TB + 4x DIVAR IP 6000 R2 8x3TB</t>
  </si>
  <si>
    <t>DIVAR IP 7000 R2 8X6TB + 1x DIVAR IP 6000 R2 3U 16x3TB</t>
  </si>
  <si>
    <t>DIVAR IP 7000 R2 8X6TB + 2x DIVAR IP 6000 R2 3U 16x3TB</t>
  </si>
  <si>
    <t>DIVAR IP 7000 R2 8X6TB + 3x DIVAR IP 6000 R2 3U 16x3TB</t>
  </si>
  <si>
    <t>DIVAR IP 7000 R2 8X6TB + 4x DIVAR IP 6000 R2 3U 16x3TB</t>
  </si>
  <si>
    <t>DIVAR IP 7000 R2 8X6TB + 1x DIVAR IP 6000 R2 8X4TB</t>
  </si>
  <si>
    <t>DIVAR IP 7000 R2 8X6TB + 2x DIVAR IP 6000 R2 8X4TB</t>
  </si>
  <si>
    <t>DIVAR IP 7000 R2 8X6TB + 3x DIVAR IP 6000 R2 8X4TB</t>
  </si>
  <si>
    <t>DIVAR IP 7000 R2 8X6TB + 4x DIVAR IP 6000 R2 8X4TB</t>
  </si>
  <si>
    <t>DIVAR IP 7000 R2 8X6TB + 1x DIVAR IP 6000 R2 3U 16x4TB</t>
  </si>
  <si>
    <t>DIVAR IP 7000 R2 8X6TB + 2x DIVAR IP 6000 R2 3U 16x4TB</t>
  </si>
  <si>
    <t>DIVAR IP 7000 R2 8X6TB + 3x DIVAR IP 6000 R2 3U 16x4TB</t>
  </si>
  <si>
    <t>DIVAR IP 7000 R2 8X6TB + 4x DIVAR IP 6000 R2 3U 16x4TB</t>
  </si>
  <si>
    <t>DIVAR IP 7000 R2 8x8TB + 1x DIVAR IP 6000 R2 8x3TB</t>
  </si>
  <si>
    <t>DIVAR IP 7000 R2 8x8TB + 2x DIVAR IP 6000 R2 8x3TB</t>
  </si>
  <si>
    <t>DIVAR IP 7000 R2 8x8TB + 3x DIVAR IP 6000 R2 8x3TB</t>
  </si>
  <si>
    <t>DIVAR IP 7000 R2 8x8TB + 4x DIVAR IP 6000 R2 8x3TB</t>
  </si>
  <si>
    <t>DIVAR IP 7000 R2 8x8TB + 1x DIVAR IP 6000 R2 3U 16x3TB</t>
  </si>
  <si>
    <t>DIVAR IP 7000 R2 8x8TB + 2x DIVAR IP 6000 R2 3U 16x3TB</t>
  </si>
  <si>
    <t>DIVAR IP 7000 R2 8x8TB + 3x DIVAR IP 6000 R2 3U 16x3TB</t>
  </si>
  <si>
    <t>DIVAR IP 7000 R2 8x8TB + 4x DIVAR IP 6000 R2 3U 16x3TB</t>
  </si>
  <si>
    <t>DIVAR IP 7000 R2 8x8TB + 1x DIVAR IP 6000 R2 8X4TB</t>
  </si>
  <si>
    <t>DIVAR IP 7000 R2 8x8TB + 2x DIVAR IP 6000 R2 8X4TB</t>
  </si>
  <si>
    <t>DIVAR IP 7000 R2 8x8TB + 3x DIVAR IP 6000 R2 8X4TB</t>
  </si>
  <si>
    <t>DIVAR IP 7000 R2 8x8TB + 4x DIVAR IP 6000 R2 8X4TB</t>
  </si>
  <si>
    <t>DIVAR IP 7000 R2 8x8TB + 1x DIVAR IP 6000 R2 3U 16x4TB</t>
  </si>
  <si>
    <t>DIVAR IP 7000 R2 8x8TB + 2x DIVAR IP 6000 R2 3U 16x4TB</t>
  </si>
  <si>
    <t>DIVAR IP 7000 R2 8x8TB + 3x DIVAR IP 6000 R2 3U 16x4TB</t>
  </si>
  <si>
    <t>DIVAR IP 7000 R2 8x8TB + 4x DIVAR IP 6000 R2 3U 16x4TB</t>
  </si>
  <si>
    <t>DIVAR IP 7000 R2 16x6TB + 1x DIVAR IP 6000 R2 8x3TB</t>
  </si>
  <si>
    <t>DIVAR IP 7000 R2 16x6TB + 2x DIVAR IP 6000 R2 8x3TB</t>
  </si>
  <si>
    <t>DIVAR IP 7000 R2 16x6TB + 3x DIVAR IP 6000 R2 8x3TB</t>
  </si>
  <si>
    <t>DIVAR IP 7000 R2 16x6TB + 4x DIVAR IP 6000 R2 8x3TB</t>
  </si>
  <si>
    <t>DIVAR IP 7000 R2 16x6TB + 1x DIVAR IP 6000 R2 3U 16x3TB</t>
  </si>
  <si>
    <t>DIVAR IP 7000 R2 16x6TB + 2x DIVAR IP 6000 R2 3U 16x3TB</t>
  </si>
  <si>
    <t>DIVAR IP 7000 R2 16x6TB + 3x DIVAR IP 6000 R2 3U 16x3TB</t>
  </si>
  <si>
    <t>DIVAR IP 7000 R2 16x6TB + 4x DIVAR IP 6000 R2 3U 16x3TB</t>
  </si>
  <si>
    <t>DIVAR IP 7000 R2 16x6TB + 1x DIVAR IP 6000 R2 8x4TB</t>
  </si>
  <si>
    <t>DIVAR IP 7000 R2 16x6TB + 2x DIVAR IP 6000 R2 8x4TB</t>
  </si>
  <si>
    <t>DIVAR IP 7000 R2 16x6TB + 3x DIVAR IP 6000 R2 8x4TB</t>
  </si>
  <si>
    <t>DIVAR IP 7000 R2 16x6TB + 4x DIVAR IP 6000 R2 8x4TB</t>
  </si>
  <si>
    <t>DIVAR IP 7000 R2 16x6TB + 1x DIVAR IP 6000 R2 3U 16x4TB</t>
  </si>
  <si>
    <t>DIVAR IP 7000 R2 16x6TB + 2x DIVAR IP 6000 R2 3U 16x4TB</t>
  </si>
  <si>
    <t>DIVAR IP 7000 R2 16x6TB + 3x DIVAR IP 6000 R2 3U 16x4TB</t>
  </si>
  <si>
    <t>DIVAR IP 7000 R2 16x6TB + 4x DIVAR IP 6000 R2 3U 16x4TB</t>
  </si>
  <si>
    <t>DIVAR IP 7000 R2 16x8TB + 1x DIVAR IP 6000 R2 8x3TB</t>
  </si>
  <si>
    <t>DIVAR IP 7000 R2 16x8TB + 2x DIVAR IP 6000 R2 8x3TB</t>
  </si>
  <si>
    <t>DIVAR IP 7000 R2 16x8TB + 3x DIVAR IP 6000 R2 8x3TB</t>
  </si>
  <si>
    <t>DIVAR IP 7000 R2 16x8TB + 4x DIVAR IP 6000 R2 8x3TB</t>
  </si>
  <si>
    <t>DIVAR IP 7000 R2 16x8TB + 1x DIVAR IP 6000 R2 3U 16x3TB</t>
  </si>
  <si>
    <t>DIVAR IP 7000 R2 16x8TB + 2x DIVAR IP 6000 R2 3U 16x3TB</t>
  </si>
  <si>
    <t>DIVAR IP 7000 R2 16x8TB + 3x DIVAR IP 6000 R2 3U 16x3TB</t>
  </si>
  <si>
    <t>DIVAR IP 7000 R2 16x8TB + 4x DIVAR IP 6000 R2 3U 16x3TB</t>
  </si>
  <si>
    <t>DIVAR IP 7000 R2 16x8TB + 1x DIVAR IP 6000 R2 8x4TB</t>
  </si>
  <si>
    <t>DIVAR IP 7000 R2 16x8TB + 2x DIVAR IP 6000 R2 8x4TB</t>
  </si>
  <si>
    <t>DIVAR IP 7000 R2 16x8TB + 3x DIVAR IP 6000 R2 8x4TB</t>
  </si>
  <si>
    <t>DIVAR IP 7000 R2 16x8TB + 4x DIVAR IP 6000 R2 8x4TB</t>
  </si>
  <si>
    <t>DIVAR IP 7000 R2 16x8TB + 1x DIVAR IP 6000 R2 3U 16x4TB</t>
  </si>
  <si>
    <t>DIVAR IP 7000 R2 16x8TB + 2x DIVAR IP 6000 R2 3U 16x4TB</t>
  </si>
  <si>
    <t>DIVAR IP 7000 R2 16x8TB + 3x DIVAR IP 6000 R2 3U 16x4TB</t>
  </si>
  <si>
    <t>DIVAR IP 7000 R2 16x8TB + 4x DIVAR IP 6000 R2 3U 16x4TB</t>
  </si>
  <si>
    <t>11.0.31</t>
  </si>
  <si>
    <t>E-Series Base Unit, 12 x 8 TB</t>
  </si>
  <si>
    <t>E-Series Base + 1x Expansion Unit, 24x8TB</t>
  </si>
  <si>
    <t>E-Series Base + 2x Expansion Unit, 36x8TB</t>
  </si>
  <si>
    <t>E-Series Base + 3x Expansion Unit, 48x8TB</t>
  </si>
  <si>
    <t>E-Series Base + 4x Expansion Unit, 60x8TB</t>
  </si>
  <si>
    <t>E-Series Base + 5x Expansion Unit, 72x8TB</t>
  </si>
  <si>
    <t>E-Series Base + 6x Expansion Unit, 84x8TB</t>
  </si>
  <si>
    <t>E-Series Base + 7x Expansion Unit, 96x8TB</t>
  </si>
  <si>
    <t>11.0.32</t>
  </si>
  <si>
    <t>Removed EOL storage units</t>
  </si>
  <si>
    <t>added DIP 7000 6 and 8 TB drives, DSA 8 TB for Pool 0</t>
  </si>
  <si>
    <t>DIVAR IP 7000 R2 8X6TB + 1x DIVAR IP 6000 R2 8x6TB</t>
  </si>
  <si>
    <t>DIVAR IP 7000 R2 8X6TB + 2x DIVAR IP 6000 R2 8x6TB</t>
  </si>
  <si>
    <t>DIVAR IP 7000 R2 8X6TB + 3x DIVAR IP 6000 R2 8x6TB</t>
  </si>
  <si>
    <t>DIVAR IP 7000 R2 8X6TB + 4x DIVAR IP 6000 R2 8x6TB</t>
  </si>
  <si>
    <t>DIVAR IP 7000 R2 8X6TB + 1x DIVAR IP 6000 R2 3U 16x6TB</t>
  </si>
  <si>
    <t>DIVAR IP 7000 R2 8X6TB + 2x DIVAR IP 6000 R2 3U 16x6TB</t>
  </si>
  <si>
    <t>DIVAR IP 7000 R2 8X6TB + 3x DIVAR IP 6000 R2 3U 16x6TB</t>
  </si>
  <si>
    <t>DIVAR IP 7000 R2 8X6TB + 4x DIVAR IP 6000 R2 3U 16x6TB</t>
  </si>
  <si>
    <t>DIVAR IP 7000 R2 8X6TB + 1x DIVAR IP 6000 R2 8x8TB</t>
  </si>
  <si>
    <t>DIVAR IP 7000 R2 8X6TB + 2x DIVAR IP 6000 R2 8x8TB</t>
  </si>
  <si>
    <t>DIVAR IP 7000 R2 8X6TB + 3x DIVAR IP 6000 R2 8x8TB</t>
  </si>
  <si>
    <t>DIVAR IP 7000 R2 8X6TB + 4x DIVAR IP 6000 R2 8x8TB</t>
  </si>
  <si>
    <t>DIVAR IP 7000 R2 8X6TB + 1x DIVAR IP 6000 R2 3U 16x8TB</t>
  </si>
  <si>
    <t>DIVAR IP 7000 R2 8X6TB + 2x DIVAR IP 6000 R2 3U 16x8TB</t>
  </si>
  <si>
    <t>DIVAR IP 7000 R2 8X6TB + 3x DIVAR IP 6000 R2 3U 16x8TB</t>
  </si>
  <si>
    <t>DIVAR IP 7000 R2 8X6TB + 4x DIVAR IP 6000 R2 3U 16x8TB</t>
  </si>
  <si>
    <t>DIVAR IP 7000 R2 8x8TB + 1x DIVAR IP 6000 R2 8x6TB</t>
  </si>
  <si>
    <t>DIVAR IP 7000 R2 8x8TB + 2x DIVAR IP 6000 R2 8x6TB</t>
  </si>
  <si>
    <t>DIVAR IP 7000 R2 8x8TB + 3x DIVAR IP 6000 R2 8x6TB</t>
  </si>
  <si>
    <t>DIVAR IP 7000 R2 8x8TB + 4x DIVAR IP 6000 R2 8x6TB</t>
  </si>
  <si>
    <t>DIVAR IP 7000 R2 8x8TB + 1x DIVAR IP 6000 R2 3U 16x6TB</t>
  </si>
  <si>
    <t>DIVAR IP 7000 R2 8x8TB + 2x DIVAR IP 6000 R2 3U 16x6TB</t>
  </si>
  <si>
    <t>DIVAR IP 7000 R2 8x8TB + 3x DIVAR IP 6000 R2 3U 16x6TB</t>
  </si>
  <si>
    <t>DIVAR IP 7000 R2 8x8TB + 4x DIVAR IP 6000 R2 3U 16x6TB</t>
  </si>
  <si>
    <t>DIVAR IP 7000 R2 8x8TB + 1x DIVAR IP 6000 R2 8x8TB</t>
  </si>
  <si>
    <t>DIVAR IP 7000 R2 8x8TB + 2x DIVAR IP 6000 R2 8x8TB</t>
  </si>
  <si>
    <t>DIVAR IP 7000 R2 8x8TB + 3x DIVAR IP 6000 R2 8x8TB</t>
  </si>
  <si>
    <t>DIVAR IP 7000 R2 8x8TB + 4x DIVAR IP 6000 R2 8x8TB</t>
  </si>
  <si>
    <t>DIVAR IP 7000 R2 8x8TB + 1x DIVAR IP 6000 R2 3U 16x8TB</t>
  </si>
  <si>
    <t>DIVAR IP 7000 R2 8x8TB + 2x DIVAR IP 6000 R2 3U 16x8TB</t>
  </si>
  <si>
    <t>DIVAR IP 7000 R2 8x8TB + 3x DIVAR IP 6000 R2 3U 16x8TB</t>
  </si>
  <si>
    <t>DIVAR IP 7000 R2 8x8TB + 4x DIVAR IP 6000 R2 3U 16x8TB</t>
  </si>
  <si>
    <t>DIVAR IP 7000 R2 16x6TB + 1x DIVAR IP 6000 R2 8x6TB</t>
  </si>
  <si>
    <t>DIVAR IP 7000 R2 16x6TB + 2x DIVAR IP 6000 R2 8x6TB</t>
  </si>
  <si>
    <t>DIVAR IP 7000 R2 16x6TB + 3x DIVAR IP 6000 R2 8x6TB</t>
  </si>
  <si>
    <t>DIVAR IP 7000 R2 16x6TB + 4x DIVAR IP 6000 R2 8x6TB</t>
  </si>
  <si>
    <t>DIVAR IP 7000 R2 16x6TB + 1x DIVAR IP 6000 R2 3U 16x6TB</t>
  </si>
  <si>
    <t>DIVAR IP 7000 R2 16x6TB + 2x DIVAR IP 6000 R2 3U 16x6TB</t>
  </si>
  <si>
    <t>DIVAR IP 7000 R2 16x6TB + 3x DIVAR IP 6000 R2 3U 16x6TB</t>
  </si>
  <si>
    <t>DIVAR IP 7000 R2 16x6TB + 4x DIVAR IP 6000 R2 3U 16x6TB</t>
  </si>
  <si>
    <t>DIVAR IP 7000 R2 16x6TB + 1x DIVAR IP 6000 R2 8x8TB</t>
  </si>
  <si>
    <t>DIVAR IP 7000 R2 16x6TB + 2x DIVAR IP 6000 R2 8x8TB</t>
  </si>
  <si>
    <t>DIVAR IP 7000 R2 16x6TB + 3x DIVAR IP 6000 R2 8x8TB</t>
  </si>
  <si>
    <t>DIVAR IP 7000 R2 16x6TB + 4x DIVAR IP 6000 R2 8x8TB</t>
  </si>
  <si>
    <t>DIVAR IP 7000 R2 16x6TB + 1x DIVAR IP 6000 R2 3U 16x8TB</t>
  </si>
  <si>
    <t>DIVAR IP 7000 R2 16x6TB + 2x DIVAR IP 6000 R2 3U 16x8TB</t>
  </si>
  <si>
    <t>DIVAR IP 7000 R2 16x6TB + 3x DIVAR IP 6000 R2 3U 16x8TB</t>
  </si>
  <si>
    <t>DIVAR IP 7000 R2 16x6TB + 4x DIVAR IP 6000 R2 3U 16x8TB</t>
  </si>
  <si>
    <t>DIVAR IP 7000 R2 16x8TB + 1x DIVAR IP 6000 R2 8x6TB</t>
  </si>
  <si>
    <t>DIVAR IP 7000 R2 16x8TB + 2x DIVAR IP 6000 R2 8x6TB</t>
  </si>
  <si>
    <t>DIVAR IP 7000 R2 16x8TB + 3x DIVAR IP 6000 R2 8x6TB</t>
  </si>
  <si>
    <t>DIVAR IP 7000 R2 16x8TB + 4x DIVAR IP 6000 R2 8x6TB</t>
  </si>
  <si>
    <t>DIVAR IP 7000 R2 16x8TB + 1x DIVAR IP 6000 R2 3U 16x6TB</t>
  </si>
  <si>
    <t>DIVAR IP 7000 R2 16x8TB + 2x DIVAR IP 6000 R2 3U 16x6TB</t>
  </si>
  <si>
    <t>DIVAR IP 7000 R2 16x8TB + 3x DIVAR IP 6000 R2 3U 16x6TB</t>
  </si>
  <si>
    <t>DIVAR IP 7000 R2 16x8TB + 4x DIVAR IP 6000 R2 3U 16x6TB</t>
  </si>
  <si>
    <t>DIVAR IP 7000 R2 16x8TB + 1x DIVAR IP 6000 R2 8x8TB</t>
  </si>
  <si>
    <t>DIVAR IP 7000 R2 16x8TB + 2x DIVAR IP 6000 R2 8x8TB</t>
  </si>
  <si>
    <t>DIVAR IP 7000 R2 16x8TB + 3x DIVAR IP 6000 R2 8x8TB</t>
  </si>
  <si>
    <t>DIVAR IP 7000 R2 16x8TB + 4x DIVAR IP 6000 R2 8x8TB</t>
  </si>
  <si>
    <t>DIVAR IP 7000 R2 16x8TB + 1x DIVAR IP 6000 R2 3U 16x8TB</t>
  </si>
  <si>
    <t>DIVAR IP 7000 R2 16x8TB + 2x DIVAR IP 6000 R2 3U 16x8TB</t>
  </si>
  <si>
    <t>DIVAR IP 7000 R2 16x8TB + 3x DIVAR IP 6000 R2 3U 16x8TB</t>
  </si>
  <si>
    <t>DIVAR IP 7000 R2 16x8TB + 4x DIVAR IP 6000 R2 3U 16x8TB</t>
  </si>
  <si>
    <t>DIVAR IP 6000 R2 8X6TB</t>
  </si>
  <si>
    <t>DIVAR IP 6000 R2 3U 16x6TB</t>
  </si>
  <si>
    <t>DIVAR IP 6000 R2 8X8TB</t>
  </si>
  <si>
    <t>DIVAR IP 6000 R2 3U 16x8TB</t>
  </si>
  <si>
    <t>11.0.34</t>
  </si>
  <si>
    <t>added 6 and 8 TB drives to all pools</t>
  </si>
  <si>
    <t>added RAID 6 option for all DIP 7000 + DIP 6000 combinations</t>
  </si>
  <si>
    <t>11.0.36</t>
  </si>
  <si>
    <t>11.0.37</t>
  </si>
  <si>
    <t>bug fixed RAID 6 storage calculation</t>
  </si>
  <si>
    <t>11.0.38</t>
  </si>
  <si>
    <t>Update to BVMS 7.5</t>
  </si>
  <si>
    <t>11.0.39</t>
  </si>
  <si>
    <t>Corrected iSCSI session calculation for all in one units, corrected storage capactiy for E-Series 6TB drives.</t>
  </si>
  <si>
    <t>11.0.40</t>
  </si>
  <si>
    <t>Corrected worst case iSCSI session calculation on DIP 7000.</t>
  </si>
  <si>
    <t>11.0.41</t>
  </si>
  <si>
    <t>Added Autodome 4000i und 5000i</t>
  </si>
  <si>
    <t>11.0.42</t>
  </si>
  <si>
    <t>Changes manual check logic to allow up to 5000 channels without showing must be checked manually, increase limit of VRM max storage to 2 petabyte</t>
  </si>
  <si>
    <t>11.0.43</t>
  </si>
  <si>
    <t>added camera Flexidome 5000i and CPP7.3_MP, benchmark records missing for the cameras, check with sachin</t>
  </si>
  <si>
    <t>11.0.44</t>
  </si>
  <si>
    <t>added CPP7.3_1080p and CPP7.3_1080p60 cameras and benchmarks, increased BVMS Version to 8.0</t>
  </si>
  <si>
    <t>11.0.45</t>
  </si>
  <si>
    <t>added bitrate guide for cpp7.3 platform</t>
  </si>
  <si>
    <t>11.0.46</t>
  </si>
  <si>
    <t>add CPP7 bitrate guide</t>
  </si>
  <si>
    <t>11.0.47</t>
  </si>
  <si>
    <t>updated bitrate guide</t>
  </si>
  <si>
    <t>11.0.48</t>
  </si>
  <si>
    <t>updated workstation matrix</t>
  </si>
  <si>
    <t>11.0.49</t>
  </si>
  <si>
    <t>updated bitrate guide, complete calculation reworked, VIPXD note</t>
  </si>
  <si>
    <t>11.0.51</t>
  </si>
  <si>
    <t>11.0.52</t>
  </si>
  <si>
    <t>VIP XD channel calculation corrected</t>
  </si>
  <si>
    <t>11.0.53</t>
  </si>
  <si>
    <t>Corrected iSCSI session error for DIP 7000 combination</t>
  </si>
  <si>
    <t>E-Series dual ctrl base Unit, 60x4TB</t>
  </si>
  <si>
    <t>E-Series dual ctrl base Unit, 60x8TB</t>
  </si>
  <si>
    <t>E-Series dual ctrl Base + 1x 60 HDD Exp, 60x4TB+60x4TB</t>
  </si>
  <si>
    <t>E-Series dual ctrl Base + 2x 60 HDD Exp, 60x4TB+120x4TB</t>
  </si>
  <si>
    <t>E-Series dual ctrl Base + 1x 60 HDD Exp, 60x8TB+60x8TB</t>
  </si>
  <si>
    <t>E-Series dual ctrl Base + 2x 60 HDD Exp, 60x8TB+120x8TB</t>
  </si>
  <si>
    <t>11.0.54</t>
  </si>
  <si>
    <t>Added Netapp E-Series 2800, corrected max VRM Server, added unmanaged site licenses</t>
  </si>
  <si>
    <t>11.0.55</t>
  </si>
  <si>
    <t>Corrected HDD label</t>
  </si>
  <si>
    <t>resolution</t>
  </si>
  <si>
    <t>static</t>
  </si>
  <si>
    <t>CPP_7_3</t>
  </si>
  <si>
    <t>CPP_7</t>
  </si>
  <si>
    <t>CPP_6</t>
  </si>
  <si>
    <t>CPP_5</t>
  </si>
  <si>
    <t>CPP_4</t>
  </si>
  <si>
    <t>CPP_3</t>
  </si>
  <si>
    <t>minimum</t>
  </si>
  <si>
    <t>safty factor</t>
  </si>
  <si>
    <t>min bitrate</t>
  </si>
  <si>
    <t>low bitrate</t>
  </si>
  <si>
    <t>high qual</t>
  </si>
  <si>
    <t>h_265</t>
  </si>
  <si>
    <t>maximum qual</t>
  </si>
  <si>
    <t>h_264</t>
  </si>
  <si>
    <t>Bit rate optimization</t>
  </si>
  <si>
    <t>Encoding Interval</t>
  </si>
  <si>
    <t>Platform</t>
  </si>
  <si>
    <t>balanced standard</t>
  </si>
  <si>
    <t>Profile</t>
  </si>
  <si>
    <t>PTZ optimized</t>
  </si>
  <si>
    <t>busyimage optimized</t>
  </si>
  <si>
    <t>image optimized busy</t>
  </si>
  <si>
    <t>mediumimage optimized</t>
  </si>
  <si>
    <t>image optimized standard</t>
  </si>
  <si>
    <t>staticimage optimized</t>
  </si>
  <si>
    <t>image optimized quiet</t>
  </si>
  <si>
    <t>busyBalanced</t>
  </si>
  <si>
    <t>balanced busy</t>
  </si>
  <si>
    <t>mediumBalanced</t>
  </si>
  <si>
    <t>staticBalanced</t>
  </si>
  <si>
    <t>balanced quiet</t>
  </si>
  <si>
    <t>busybitrate optimized</t>
  </si>
  <si>
    <t>bitrate optimized busy</t>
  </si>
  <si>
    <t>Heigth</t>
  </si>
  <si>
    <t>mediumbitrate optimized</t>
  </si>
  <si>
    <t>bitrate optimized standard</t>
  </si>
  <si>
    <t>Width</t>
  </si>
  <si>
    <t>staticbitrate optimized</t>
  </si>
  <si>
    <t>bitrate optimized quiet</t>
  </si>
  <si>
    <t>12 MP</t>
  </si>
  <si>
    <t>8 MP</t>
  </si>
  <si>
    <t>5 MP</t>
  </si>
  <si>
    <t>2592x1680</t>
  </si>
  <si>
    <t>busy</t>
  </si>
  <si>
    <t>1280x720</t>
  </si>
  <si>
    <t>image optimized</t>
  </si>
  <si>
    <t>1920x1080</t>
  </si>
  <si>
    <t>bitrate optimized</t>
  </si>
  <si>
    <t>bit/s</t>
  </si>
  <si>
    <t>IP</t>
  </si>
  <si>
    <t>normale z.B. typische parkplatz Straßenszene</t>
  </si>
  <si>
    <t>IBBP</t>
  </si>
  <si>
    <t>IBP</t>
  </si>
  <si>
    <t>Averaging time</t>
  </si>
  <si>
    <t>bitrate reduction mode</t>
  </si>
  <si>
    <t>max bitrate</t>
  </si>
  <si>
    <t>quality driven mode is supported</t>
  </si>
  <si>
    <t>expected bitrate</t>
  </si>
  <si>
    <t>maximum platform bitrate</t>
  </si>
  <si>
    <t>saftey factor</t>
  </si>
  <si>
    <t>max relation</t>
  </si>
  <si>
    <t>support long term rate control</t>
  </si>
  <si>
    <t>maximum Bitrate</t>
  </si>
  <si>
    <t>expected Bitrate</t>
  </si>
  <si>
    <t>Bitrate Typ2</t>
  </si>
  <si>
    <t>Bitrate Typ1</t>
  </si>
  <si>
    <t>Bitrate Typ0</t>
  </si>
  <si>
    <t>Anteil Typ 2</t>
  </si>
  <si>
    <t>Anteil Typ 1</t>
  </si>
  <si>
    <t>Anteil Typ 0</t>
  </si>
  <si>
    <t>Bitrate</t>
  </si>
  <si>
    <t>video standard modifier</t>
  </si>
  <si>
    <t>Resolution modifier</t>
  </si>
  <si>
    <t>dynamic modifier</t>
  </si>
  <si>
    <t>static modifier</t>
  </si>
  <si>
    <t>B-Framesize</t>
  </si>
  <si>
    <t>Modified Frame Size</t>
  </si>
  <si>
    <t>Modified by dynamic scene</t>
  </si>
  <si>
    <t>Modified by bitrate red mode</t>
  </si>
  <si>
    <t>Framesize Base</t>
  </si>
  <si>
    <t>Modified by Bitrate red mode</t>
  </si>
  <si>
    <t>Framerate modifier</t>
  </si>
  <si>
    <t>Prediction Distance</t>
  </si>
  <si>
    <t>B-Frames/sec</t>
  </si>
  <si>
    <t>P-Frame Size</t>
  </si>
  <si>
    <t>P-Frames/sec</t>
  </si>
  <si>
    <t>I-Frame size</t>
  </si>
  <si>
    <t>noise offset</t>
  </si>
  <si>
    <t>overrule noise base</t>
  </si>
  <si>
    <t>is special Camera</t>
  </si>
  <si>
    <t>noise base</t>
  </si>
  <si>
    <t>Modified I-Framesize</t>
  </si>
  <si>
    <t>I-Frames/sec</t>
  </si>
  <si>
    <t>special camera</t>
  </si>
  <si>
    <t>VideoStandard</t>
  </si>
  <si>
    <t>Height</t>
  </si>
  <si>
    <t>Framerate</t>
  </si>
  <si>
    <t>I-Frame distance</t>
  </si>
  <si>
    <t>GOP Type</t>
  </si>
  <si>
    <t>static scene Type</t>
  </si>
  <si>
    <t>Bitrate reduction mode</t>
  </si>
  <si>
    <t>dynamic scene type</t>
  </si>
  <si>
    <t>isThermal</t>
  </si>
  <si>
    <t>Recording quality</t>
  </si>
  <si>
    <t>Scene profiles</t>
  </si>
  <si>
    <t>Output for long term rate control</t>
  </si>
  <si>
    <t>Output for quality driven mode</t>
  </si>
  <si>
    <t>INFO</t>
  </si>
  <si>
    <t>global modifier</t>
  </si>
  <si>
    <t>Noise based frame size</t>
  </si>
  <si>
    <t>Dynamic frame size</t>
  </si>
  <si>
    <t>Overhead</t>
  </si>
  <si>
    <t>I-Frame noise bitrate</t>
  </si>
  <si>
    <t>I-Frame size static</t>
  </si>
  <si>
    <t>INPUT variabel</t>
  </si>
  <si>
    <t>Input</t>
  </si>
  <si>
    <t>hilf04</t>
  </si>
  <si>
    <t>hilf03</t>
  </si>
  <si>
    <t>hilf02</t>
  </si>
  <si>
    <t>hilf01</t>
  </si>
  <si>
    <t>video codec</t>
  </si>
  <si>
    <t>für Kalkulation</t>
  </si>
  <si>
    <t>Jan Brandstätter schickt noch die Werte für safety factor und max target max</t>
  </si>
  <si>
    <t>wird auf kamera geschrieben</t>
  </si>
  <si>
    <t>GOP Structure</t>
  </si>
  <si>
    <t>Averaging</t>
  </si>
  <si>
    <t>fixer Wert in BVMS</t>
  </si>
  <si>
    <t>nicht in BVMS</t>
  </si>
  <si>
    <t>Static scene type</t>
  </si>
  <si>
    <t>maximum bitrate</t>
  </si>
  <si>
    <t>Target bitrate</t>
  </si>
  <si>
    <t>Customized Profiles</t>
  </si>
  <si>
    <t>rollingCart</t>
  </si>
  <si>
    <t>balcony</t>
  </si>
  <si>
    <t>escape</t>
  </si>
  <si>
    <t>crowd</t>
  </si>
  <si>
    <t>low</t>
  </si>
  <si>
    <t>still</t>
  </si>
  <si>
    <t>B</t>
  </si>
  <si>
    <t>P</t>
  </si>
  <si>
    <t>I</t>
  </si>
  <si>
    <t>filmed from screen S2L Pixie 6_44</t>
  </si>
  <si>
    <t>ffmpeg qp28</t>
  </si>
  <si>
    <t>Resolution Factor</t>
  </si>
  <si>
    <t>nicht in standard Porfilen berücksichtigt</t>
  </si>
  <si>
    <t>crowded</t>
  </si>
  <si>
    <t>Framerate Factor</t>
  </si>
  <si>
    <t>Exponent</t>
  </si>
  <si>
    <t>Scale factors</t>
  </si>
  <si>
    <t>proportion</t>
  </si>
  <si>
    <t>Scence Type</t>
  </si>
  <si>
    <t>balanced</t>
  </si>
  <si>
    <t xml:space="preserve">max/target max </t>
  </si>
  <si>
    <t xml:space="preserve">rate control mode </t>
  </si>
  <si>
    <t>dynamic norm Factor</t>
  </si>
  <si>
    <t>static norm Factor</t>
  </si>
  <si>
    <t>only max bitrate</t>
  </si>
  <si>
    <t>rate control mode 2</t>
  </si>
  <si>
    <t>long term + max bitrate</t>
  </si>
  <si>
    <t>rate control mode 1</t>
  </si>
  <si>
    <t>short term + max bitrate</t>
  </si>
  <si>
    <t>rate control mode 0</t>
  </si>
  <si>
    <t>Video standard</t>
  </si>
  <si>
    <t>Base</t>
  </si>
  <si>
    <t>Bitrate generated by noise</t>
  </si>
  <si>
    <t>Influence on dynamic scene part</t>
  </si>
  <si>
    <t>Influence on static scene part</t>
  </si>
  <si>
    <t>nothing special</t>
  </si>
  <si>
    <t>standard</t>
  </si>
  <si>
    <t>placeholder</t>
  </si>
  <si>
    <t>thermal</t>
  </si>
  <si>
    <t>dynamic Noise modifier</t>
  </si>
  <si>
    <t>B-Frame Base</t>
  </si>
  <si>
    <t>P-Frame Base</t>
  </si>
  <si>
    <t>dynamischer Szenen Typ</t>
  </si>
  <si>
    <t>noise level</t>
  </si>
  <si>
    <t>mod factor</t>
  </si>
  <si>
    <t xml:space="preserve">overrule </t>
  </si>
  <si>
    <t>special Camera Adaption</t>
  </si>
  <si>
    <t>einfach große Teile der Szene bestehen aus einer weißen Wand</t>
  </si>
  <si>
    <t>komplex z. B. fraktale Strukturen wie Bäume</t>
  </si>
  <si>
    <t>B-Frame Noise base factor</t>
  </si>
  <si>
    <t>P-Frame Noise Base Factor</t>
  </si>
  <si>
    <t>I-Frame Noise Base</t>
  </si>
  <si>
    <t>I-Frame Base</t>
  </si>
  <si>
    <t>Statischer Szenentyp:</t>
  </si>
  <si>
    <t>B-Frame</t>
  </si>
  <si>
    <t>P-Frame Distanz</t>
  </si>
  <si>
    <t>Frame Base</t>
  </si>
  <si>
    <t>Source Data</t>
  </si>
  <si>
    <t>aux01</t>
  </si>
  <si>
    <t>aux02</t>
  </si>
  <si>
    <t>aux03</t>
  </si>
  <si>
    <t>aux05</t>
  </si>
  <si>
    <t>aux06 is resolution in list</t>
  </si>
  <si>
    <t>aux07</t>
  </si>
  <si>
    <t/>
  </si>
  <si>
    <t>Safety factor</t>
  </si>
  <si>
    <t>Recommended target bandwidth</t>
  </si>
  <si>
    <t>kbit/s</t>
  </si>
  <si>
    <t>aux09</t>
  </si>
  <si>
    <t>aux10</t>
  </si>
  <si>
    <t>11.0.61</t>
  </si>
  <si>
    <t>Added new bitrate guide</t>
  </si>
  <si>
    <t>CPP_3h_264</t>
  </si>
  <si>
    <t>CPP_4h_264</t>
  </si>
  <si>
    <t>CPP_5h_264</t>
  </si>
  <si>
    <t>CPP_6h_264</t>
  </si>
  <si>
    <t>CPP_7h_264</t>
  </si>
  <si>
    <t>CPP_7_3h_264</t>
  </si>
  <si>
    <t>CPP_7_3h_265</t>
  </si>
  <si>
    <t>aux15</t>
  </si>
  <si>
    <t>Profile Settings:</t>
  </si>
  <si>
    <t>GOP structure</t>
  </si>
  <si>
    <t>Recommended max bandwidth</t>
  </si>
  <si>
    <t>x</t>
  </si>
  <si>
    <t>aux16</t>
  </si>
  <si>
    <t>1525921680CPP_4</t>
  </si>
  <si>
    <t>2025921680CPP_4</t>
  </si>
  <si>
    <t>3025921680CPP_4</t>
  </si>
  <si>
    <t>6025921680CPP_4</t>
  </si>
  <si>
    <t>6025921680CPP_6</t>
  </si>
  <si>
    <t>6038402169CPP_6</t>
  </si>
  <si>
    <t>3040003000CPP_6</t>
  </si>
  <si>
    <t>6040003000CPP_6</t>
  </si>
  <si>
    <t>6025921680CPP_7</t>
  </si>
  <si>
    <t>6038402169CPP_7</t>
  </si>
  <si>
    <t>3040003000CPP_7</t>
  </si>
  <si>
    <t>6040003000CPP_7</t>
  </si>
  <si>
    <t>6025921680CPP_7_3</t>
  </si>
  <si>
    <t>6038402169CPP_7_3</t>
  </si>
  <si>
    <t>3040003000CPP_7_3</t>
  </si>
  <si>
    <t>6040003000CPP_7_3</t>
  </si>
  <si>
    <t>not supported megapixel frame rates</t>
  </si>
  <si>
    <t>BVMS Standard Profiles</t>
  </si>
  <si>
    <t>balanced standardCPP_5</t>
  </si>
  <si>
    <t>balanced busyCPP_5</t>
  </si>
  <si>
    <t>image optimized quietCPP_4</t>
  </si>
  <si>
    <t>image optimized quietCPP_5</t>
  </si>
  <si>
    <t>image optimized standardCPP_4</t>
  </si>
  <si>
    <t>image optimized standardCPP_5</t>
  </si>
  <si>
    <t>image optimized busyCPP_4</t>
  </si>
  <si>
    <t>image optimized busyCPP_5</t>
  </si>
  <si>
    <t>Exceptions SD resolution</t>
  </si>
  <si>
    <t>image optimized busyCPP_3</t>
  </si>
  <si>
    <t>image optimized quietCPP_3</t>
  </si>
  <si>
    <t>image optimized standardCPP_3</t>
  </si>
  <si>
    <t>aux20 if target &gt;90 of max</t>
  </si>
  <si>
    <t>test resolution</t>
  </si>
  <si>
    <t>Recommended target bandwidth from list</t>
  </si>
  <si>
    <t>aux14 for h265</t>
  </si>
  <si>
    <t>aux 13 for H265</t>
  </si>
  <si>
    <t>aux11 if profile and resolution is in exception list, use form exception list, otherwise from table resolution_new</t>
  </si>
  <si>
    <t>aux12  if profile and resolution is in exception list, use form exception list, otherwise from table resolution_new</t>
  </si>
  <si>
    <t>aux21 if SD is selected create all necessary information</t>
  </si>
  <si>
    <t>aux22 check if E39 is in exception list, used to provide the right resolution</t>
  </si>
  <si>
    <t>Recommended target bandwidth corrected for special cases, like target bitrate = max bitrate / target bitrate &gt; 90% of max bitrate</t>
  </si>
  <si>
    <t>11.0.67</t>
  </si>
  <si>
    <t>aux19 if target = max und bitrate optimization off</t>
  </si>
  <si>
    <t>11.0.69</t>
  </si>
  <si>
    <t>Updated bit rate guide</t>
  </si>
  <si>
    <t>Updated new bitrate guide</t>
  </si>
  <si>
    <t>11.0.70</t>
  </si>
  <si>
    <t>automatic saving deactivated</t>
  </si>
  <si>
    <t>Please select one of the standard profiles, that are available in a BVMS system.
Use bit rate optimized profiles for maxmimum storage savings, please consider limitation in live and playback due to long GOP structures.
Use balanced profiles for medium storage savings and standard live and playback behaviour.
Use imaged optimized profiles for maximum image quality and maximum storage consumption.
Select per recording profile an expected scene type over the default averaging time of 1 day, the platform, resolution and frame rate:</t>
  </si>
  <si>
    <t>Use the recommended target bitrate for storage calculation!</t>
  </si>
  <si>
    <t>Example scene 1 static</t>
  </si>
  <si>
    <t>Example scene 2 normal</t>
  </si>
  <si>
    <t>Example scene 3 busy</t>
  </si>
  <si>
    <t>For customers: Please ask your local Bosch contact partner to download the scene example videos as .zip package from the Bosch internal BVMS Presales community:</t>
  </si>
  <si>
    <t>Download .zip for customers from BVMS Presales Community</t>
  </si>
  <si>
    <t>11.0.71</t>
  </si>
  <si>
    <t>added example videos</t>
  </si>
  <si>
    <t>Links to example videos related to the scene types (located on the Bosch internal Presales community page):</t>
  </si>
  <si>
    <t>Example scene 4 crowded</t>
  </si>
  <si>
    <t xml:space="preserve">quiet:          89% static, 10% normal, 1% busy, 0% crowded  </t>
  </si>
  <si>
    <t>standard:    54% static, 35% normal, 0% busy, 11% crowded</t>
  </si>
  <si>
    <t>busy:         30% static, 0% normal, 55% busy, 15% crowded</t>
  </si>
  <si>
    <t>11.0.72</t>
  </si>
  <si>
    <t>11.0.73</t>
  </si>
  <si>
    <t>HP DL380 | MHW-S380RA-SC - Bosch Standard Application Server (WW)</t>
  </si>
  <si>
    <t>EOL - VIP-XD</t>
  </si>
  <si>
    <t>EOL - VIP-XDA</t>
  </si>
  <si>
    <t>11.0.74</t>
  </si>
  <si>
    <t>updated license matrix</t>
  </si>
  <si>
    <t>11.0.76</t>
  </si>
  <si>
    <t xml:space="preserve">Proposal for BVMS 10: hidden camera selection </t>
  </si>
  <si>
    <t>balancedPTZ</t>
  </si>
  <si>
    <t>E-Series Base Unit, 12 x 12 TB</t>
  </si>
  <si>
    <t>E-Series Base + 1x Expansion Unit, 24x12TB</t>
  </si>
  <si>
    <t>E-Series Base + 2x Expansion Unit, 36x12TB</t>
  </si>
  <si>
    <t>E-Series Base + 3x Expansion Unit, 48x12TB</t>
  </si>
  <si>
    <t>E-Series Base + 4x Expansion Unit, 60x12TB</t>
  </si>
  <si>
    <t>E-Series Base + 5x Expansion Unit, 72x12TB</t>
  </si>
  <si>
    <t>E-Series Base + 6x Expansion Unit, 84x12TB</t>
  </si>
  <si>
    <t>E-Series Base + 7x Expansion Unit, 96x12TB</t>
  </si>
  <si>
    <t>E-Series dual ctrl base Unit, 60x12TB</t>
  </si>
  <si>
    <t>E-Series dual ctrl Base + 1x 60 HDD Exp, 60x12TB+60x12TB</t>
  </si>
  <si>
    <t>E-Series dual ctrl Base + 2x 60 HDD Exp, 60x12TB+120x12TB</t>
  </si>
  <si>
    <t>12.0.03</t>
  </si>
  <si>
    <t>Draft Version for BVMS 10, workstation matrix and licenses for BVMS 10 missing.</t>
  </si>
  <si>
    <t xml:space="preserve">12.0.01 </t>
  </si>
  <si>
    <t>Added PTZ profile to new bitrate guide</t>
  </si>
  <si>
    <t>DIVAR IP all-in-one 5000 MANAGEMENT APPLIANCE 4X8TB</t>
  </si>
  <si>
    <t>DIVAR IP all-in-one 5000 MANAGEMENT APPLIANCE 4X12TB</t>
  </si>
  <si>
    <t>DIVAR IP all-in-one 5000 MANAGEMENT APPLIANCE GPU 4X4TB</t>
  </si>
  <si>
    <t>DIVAR IP all-in-one 5000 MANAGEMENT APPLIANCE GPU 4X8TB</t>
  </si>
  <si>
    <t>DIVAR IP all-in-one 5000 MANAGEMENT APPLIANCE GPU 4X12TB</t>
  </si>
  <si>
    <t>DIVAR IP all-in-one 5000 MANAGEMENT APPLIANCE 4X4TB</t>
  </si>
  <si>
    <t>RAID5</t>
  </si>
  <si>
    <t>RAID6</t>
  </si>
  <si>
    <t>12.0.06</t>
  </si>
  <si>
    <t>Draft version for BVMS 10, Netapp DDP added, updated DIPA AOI, BVMS licensing removed, workstation matrix missing</t>
  </si>
  <si>
    <t>Number of selected product used</t>
  </si>
  <si>
    <t>Comment field, changed ONVIF cameras to Pool0, hide DataBase tab</t>
  </si>
  <si>
    <t>12.0.07</t>
  </si>
  <si>
    <t>12.0.08</t>
  </si>
  <si>
    <t>Added workstation performance sheet</t>
  </si>
  <si>
    <t>Stream 1</t>
  </si>
  <si>
    <t>Stream 2</t>
  </si>
  <si>
    <t>NBN-80052-BA</t>
  </si>
  <si>
    <t>Camera</t>
  </si>
  <si>
    <t>Family name</t>
  </si>
  <si>
    <t>Base framerate</t>
  </si>
  <si>
    <t>Stream configuration (stream 1 - stream 2)</t>
  </si>
  <si>
    <t>Startline</t>
  </si>
  <si>
    <t>Count</t>
  </si>
  <si>
    <t>CPP</t>
  </si>
  <si>
    <t>Column1</t>
  </si>
  <si>
    <t>Column2</t>
  </si>
  <si>
    <t>Recording stream</t>
  </si>
  <si>
    <t>Live stream</t>
  </si>
  <si>
    <t>Base framerate /</t>
  </si>
  <si>
    <t>Recording Framerate</t>
  </si>
  <si>
    <t>Live framerate</t>
  </si>
  <si>
    <t>Recommended Target Bitrate</t>
  </si>
  <si>
    <t>Recommended Maximum Bitrate</t>
  </si>
  <si>
    <t>Number of cameras configured in project:</t>
  </si>
  <si>
    <t>Suggested BVMS edition (based on number of cameras configured in project):</t>
  </si>
  <si>
    <t>License Camera dual recording expansion</t>
  </si>
  <si>
    <t>License Workstation expansion</t>
  </si>
  <si>
    <t>License DVR expansion</t>
  </si>
  <si>
    <t>License Keyboard expansion</t>
  </si>
  <si>
    <t>License Mobile video service expansion</t>
  </si>
  <si>
    <t>License Intrusion panel expansion</t>
  </si>
  <si>
    <t>License Site expansion</t>
  </si>
  <si>
    <t>License Camera/decoder expansion</t>
  </si>
  <si>
    <t>Upgrade Professional to Enterprise</t>
  </si>
  <si>
    <t>License Enterprise subsystem expansion</t>
  </si>
  <si>
    <t>Subsystem type</t>
  </si>
  <si>
    <t>License Person identification channel expansion</t>
  </si>
  <si>
    <t>License VRM Failover channel expansion</t>
  </si>
  <si>
    <t>Transcoding Service</t>
  </si>
  <si>
    <t>EOL - VJD-3000</t>
  </si>
  <si>
    <t>VJD-75xx (single monitor)</t>
  </si>
  <si>
    <t>VJD-75xx (dual monitor)</t>
  </si>
  <si>
    <t>Public Internet 5-10Mbit/s</t>
  </si>
  <si>
    <t>Public Internet 1-2Mbit/s</t>
  </si>
  <si>
    <t>Public Internet 2-5Mbit/s</t>
  </si>
  <si>
    <t>Public Internet &gt;10Mbit/s</t>
  </si>
  <si>
    <t>Local Network 100Mbit/s</t>
  </si>
  <si>
    <t>Local Network 1Gbit/s</t>
  </si>
  <si>
    <t>HPE</t>
  </si>
  <si>
    <t>Cisco</t>
  </si>
  <si>
    <t>Netgear</t>
  </si>
  <si>
    <t>Huawei</t>
  </si>
  <si>
    <t>TP-Link</t>
  </si>
  <si>
    <t>D-Link</t>
  </si>
  <si>
    <t>Vmware</t>
  </si>
  <si>
    <t>Extreme Networks</t>
  </si>
  <si>
    <t>Juniper Networks</t>
  </si>
  <si>
    <t>Other</t>
  </si>
  <si>
    <t>Live Stream</t>
  </si>
  <si>
    <t>Project Overview</t>
  </si>
  <si>
    <t>Group name</t>
  </si>
  <si>
    <t>Number of cameras</t>
  </si>
  <si>
    <t>Yes</t>
  </si>
  <si>
    <t>1.</t>
  </si>
  <si>
    <t>2.</t>
  </si>
  <si>
    <t>4.</t>
  </si>
  <si>
    <t>5.</t>
  </si>
  <si>
    <t>Bandwidth calculation</t>
  </si>
  <si>
    <t>6.1</t>
  </si>
  <si>
    <t>6.2</t>
  </si>
  <si>
    <t>6.3</t>
  </si>
  <si>
    <t>Number of cameras used in secondary VRM</t>
  </si>
  <si>
    <t>Min Retention Time for secondary VRM</t>
  </si>
  <si>
    <t>Primary recording: Storage pool assignment</t>
  </si>
  <si>
    <t>Secondary recording: Storage pool assignment</t>
  </si>
  <si>
    <t>Primary VRM Pool assignment</t>
  </si>
  <si>
    <t>Primary VRM Storage calculation</t>
  </si>
  <si>
    <t>Quiet (reduced bandwidth) or alarm (increased bandwidth) time video bandwidth needs to be manually calculated,</t>
  </si>
  <si>
    <t>6.0</t>
  </si>
  <si>
    <t>VRM settings</t>
  </si>
  <si>
    <t>It is not required to assign all cameras configured in the primary VRM to the secondary VRM as well.</t>
  </si>
  <si>
    <t>6.4</t>
  </si>
  <si>
    <t>GB/day</t>
  </si>
  <si>
    <t>Blocks/spans [GB]</t>
  </si>
  <si>
    <t>GB for all days</t>
  </si>
  <si>
    <t>TB</t>
  </si>
  <si>
    <t>TB for all days</t>
  </si>
  <si>
    <t>Reserved storage for VRM downtime</t>
  </si>
  <si>
    <t>The VRM downtime in days affects the consumed amount of storage (line 144, line 177)</t>
  </si>
  <si>
    <t>Sanity Check in days</t>
  </si>
  <si>
    <t>Status</t>
  </si>
  <si>
    <t>EOL</t>
  </si>
  <si>
    <t>Active</t>
  </si>
  <si>
    <t>Mode</t>
  </si>
  <si>
    <t>Gross storage (TB)</t>
  </si>
  <si>
    <t>Net storage (GB)</t>
  </si>
  <si>
    <t>iSCSI sessions</t>
  </si>
  <si>
    <t>Device data</t>
  </si>
  <si>
    <t>Device name</t>
  </si>
  <si>
    <t>DIVAR IP 5000 1 x 2TB</t>
  </si>
  <si>
    <t>DIVAR IP 5000 2 x 2TB</t>
  </si>
  <si>
    <t>DIVAR IP 5000 4 x 2TB</t>
  </si>
  <si>
    <t>DIVAR IP 5000 1 x 4TB</t>
  </si>
  <si>
    <t>DIVAR IP 5000 2 x 4TB</t>
  </si>
  <si>
    <t>DIVAR IP 5000 4 x 4TB</t>
  </si>
  <si>
    <t>DIVAR IP 3000 2x2TB</t>
  </si>
  <si>
    <t>DIVAR IP 3000 4x2TB</t>
  </si>
  <si>
    <t>DIVAR IP 3000 4x2TB + 1x DIVAR IP 2000 2x2TB</t>
  </si>
  <si>
    <t>DIVAR IP 3000 4x2TB + 1x DIVAR IP 2000 4x2TB</t>
  </si>
  <si>
    <t>DIVAR IP 3000 2x3TB</t>
  </si>
  <si>
    <t>DIVAR IP 3000 4x3TB</t>
  </si>
  <si>
    <t>DIVAR IP 3000 4x3TB + 1x DIVAR IP 2000 2x3TB</t>
  </si>
  <si>
    <t>DIVAR IP 3000 4x3TB + 1x DIVAR IP 2000 4x3TB</t>
  </si>
  <si>
    <t>E-Series Base Unit, 12 x 2 TB</t>
  </si>
  <si>
    <t>E-Series Base + 1x Expansion Unit, 24x2TB</t>
  </si>
  <si>
    <t>E-Series Base + 2x Expansion Unit, 36x2TB</t>
  </si>
  <si>
    <t>E-Series Base + 3x Expansion Unit, 48x2TB</t>
  </si>
  <si>
    <t>E-Series Base + 4x Expansion Unit, 60x2TB</t>
  </si>
  <si>
    <t>E-Series Base + 5x Expansion Unit, 72x2TB</t>
  </si>
  <si>
    <t>E-Series Base + 6x Expansion Unit, 84x2TB</t>
  </si>
  <si>
    <t>E-Series Base + 7x Expansion Unit, 96x2TB</t>
  </si>
  <si>
    <t>E-Series Base Unit, 12 x 3 TB</t>
  </si>
  <si>
    <t>E-Series Base + 1x Expansion Unit, 24x3TB</t>
  </si>
  <si>
    <t>E-Series Base + 2x Expansion Unit, 36x3TB</t>
  </si>
  <si>
    <t>E-Series Base + 3x Expansion Unit, 48X3TB</t>
  </si>
  <si>
    <t>E-Series Base + 4x Expansion Unit, 60x3TB</t>
  </si>
  <si>
    <t>E-Series Base + 5x Expansion Unit, 72x3TB</t>
  </si>
  <si>
    <t>E-Series Base + 6x Expansion Unit, 84x3TB</t>
  </si>
  <si>
    <t>E-Series Base + 7x Expansion Unit, 96x3TB</t>
  </si>
  <si>
    <t>E-Series Base Unit, 12 x 6 TB</t>
  </si>
  <si>
    <t>E-Series Base + 1x Expansion Unit, 24x6TB</t>
  </si>
  <si>
    <t>E-Series Base + 2x Expansion Unit, 36x6TB</t>
  </si>
  <si>
    <t>E-Series Base + 3x Expansion Unit, 48x6TB</t>
  </si>
  <si>
    <t>E-Series Base + 4x Expansion Unit, 60x6TB</t>
  </si>
  <si>
    <t>E-Series Base + 5x Expansion Unit, 72x6TB</t>
  </si>
  <si>
    <t>E-Series Base + 6x Expansion Unit, 84x6TB</t>
  </si>
  <si>
    <t>E-Series Base + 7x Expansion Unit, 96x6TB</t>
  </si>
  <si>
    <t>E-Series dual ctrl base Unit, 12x3TB</t>
  </si>
  <si>
    <t>E-Series dual ctrl Base + 1x 60 HDD Exp, 12x3TB+60x3TB</t>
  </si>
  <si>
    <t>E-Series dual ctrl Base + 2x 60 HDD Exp, 12x3TB+120x3TB</t>
  </si>
  <si>
    <t>E-Series dual ctrl Base + 3x 60 HDD Exp, 12x3TB+180x3TB</t>
  </si>
  <si>
    <t>E-Series dual ctrl base Unit, 12x4TB</t>
  </si>
  <si>
    <t>E-Series dual ctrl Base + 1x 60 HDD Exp, 12x4TB+60x4TB</t>
  </si>
  <si>
    <t>E-Series dual ctrl Base + 2x 60 HDD Exp, 12x4TB+120x4TB</t>
  </si>
  <si>
    <t>E-Series dual ctrl Base + 3x 60 HDD Exp, 12x4TB+180x4TB</t>
  </si>
  <si>
    <t>E-Series dual ctrl base Unit, 12x6TB</t>
  </si>
  <si>
    <t>E-Series dual ctrl Base + 1x 60 HDD Exp, 12x6TB+60x6TB</t>
  </si>
  <si>
    <t>E-Series dual ctrl Base + 2x 60 HDD Exp, 12x6TB+120x6TB</t>
  </si>
  <si>
    <t>E-Series dual ctrl Base + 3x 60 HDD Exp, 12x6TB+180x6TB</t>
  </si>
  <si>
    <t>E-Series dual ctrl base Unit, 12x8TB</t>
  </si>
  <si>
    <t>E-Series dual ctrl Base + 1x 60 HDD Exp, 12x8TB+60x8TB</t>
  </si>
  <si>
    <t>E-Series dual ctrl Base + 2x 60 HDD Exp, 12x8TB+120x8TB</t>
  </si>
  <si>
    <t>E-Series dual ctrl Base + 3x 60 HDD Exp, 12x8TB+180x8TB</t>
  </si>
  <si>
    <t>E-Series Base Unit, 12 x 10 TB</t>
  </si>
  <si>
    <t>E-Series Base + 1x Expansion Unit, 24x10TB</t>
  </si>
  <si>
    <t>E-Series Base + 2x Expansion Unit, 36x10TB</t>
  </si>
  <si>
    <t>E-Series Base + 3x Expansion Unit, 48x10TB</t>
  </si>
  <si>
    <t>E-Series Base + 4x Expansion Unit, 60x10TB</t>
  </si>
  <si>
    <t>E-Series Base + 5x Expansion Unit, 72x10TB</t>
  </si>
  <si>
    <t>E-Series Base + 6x Expansion Unit, 84x10TB</t>
  </si>
  <si>
    <t>E-Series Base + 7x Expansion Unit, 96x10TB</t>
  </si>
  <si>
    <t>E-Series dual ctrl base Unit, 60x10TB</t>
  </si>
  <si>
    <t>E-Series dual ctrl Base + 1x 60 HDD Exp, 60x10TB+60x10TB</t>
  </si>
  <si>
    <t>E-Series dual ctrl Base + 2x 60 HDD Exp, 60x10TB+120x10TB</t>
  </si>
  <si>
    <t>Group 1</t>
  </si>
  <si>
    <t>Available iSCSI sessions</t>
  </si>
  <si>
    <t>Bandwidth (Mbit/s)</t>
  </si>
  <si>
    <t>Required performance (Mbit/s)</t>
  </si>
  <si>
    <t>Required capacity (GB)</t>
  </si>
  <si>
    <t>Worst case iSCSI sessions</t>
  </si>
  <si>
    <t>Camera iSCSI sessions</t>
  </si>
  <si>
    <t>VRM iSCSI Sessions</t>
  </si>
  <si>
    <t>Replay iSCSI sessions</t>
  </si>
  <si>
    <t>Total net capacity</t>
  </si>
  <si>
    <t>Suitable</t>
  </si>
  <si>
    <t>Bandwidth per array</t>
  </si>
  <si>
    <t>Fail-over required</t>
  </si>
  <si>
    <t>Failover possible</t>
  </si>
  <si>
    <t>Total bandwidth</t>
  </si>
  <si>
    <t>Fail-over status</t>
  </si>
  <si>
    <t xml:space="preserve">Overcapacity </t>
  </si>
  <si>
    <t>Number of iSCSI targets</t>
  </si>
  <si>
    <t>Position</t>
  </si>
  <si>
    <t>Group 2</t>
  </si>
  <si>
    <t>Gross</t>
  </si>
  <si>
    <t>Nett</t>
  </si>
  <si>
    <t>Net storage:</t>
  </si>
  <si>
    <t>Group 3</t>
  </si>
  <si>
    <t>Group 4</t>
  </si>
  <si>
    <t>VRM 1</t>
  </si>
  <si>
    <t>VRM 2</t>
  </si>
  <si>
    <t>VRM 4</t>
  </si>
  <si>
    <t>VRM 3</t>
  </si>
  <si>
    <t>na</t>
  </si>
  <si>
    <t>Keyboards Qty:</t>
  </si>
  <si>
    <t>Full comply to the latest BVMS System design guide (linked)</t>
  </si>
  <si>
    <t>For non-Bosch workstations, usage of the recommended Nvidia graphic card is recommended in order to meet the performance specification.</t>
  </si>
  <si>
    <t>If the BVMS management server or VRM is installed on a non-Bosch server, it must comply with the minimum requirement stated in the system design guide</t>
  </si>
  <si>
    <t>NetApp E2800 has a minimum camera firmware requirement. Please check the E2800 datasheet for the latest information.</t>
  </si>
  <si>
    <t>VRM Pool configuration</t>
  </si>
  <si>
    <t>6.5</t>
  </si>
  <si>
    <t>Storage device selection</t>
  </si>
  <si>
    <t>7.</t>
  </si>
  <si>
    <t>8.</t>
  </si>
  <si>
    <t>Secondary VRM (Cannot be the same as Primary VRM)</t>
  </si>
  <si>
    <t>Calculation mode</t>
  </si>
  <si>
    <t>13.0.0</t>
  </si>
  <si>
    <t>Redesign, simplified, maintenance.</t>
  </si>
  <si>
    <t>Date</t>
  </si>
  <si>
    <t>Description</t>
  </si>
  <si>
    <t>Owner</t>
  </si>
  <si>
    <t>Mario Verhaeg</t>
  </si>
  <si>
    <t>Manuel Hepting</t>
  </si>
  <si>
    <t>Approval Number</t>
  </si>
  <si>
    <t>Other comments</t>
  </si>
  <si>
    <t>Document version</t>
  </si>
  <si>
    <t>13.1.0</t>
  </si>
  <si>
    <t>Fixed storage selection, global spares, approval formula</t>
  </si>
  <si>
    <t>Most efficient choice:</t>
  </si>
  <si>
    <t>Aded storage suggestion</t>
  </si>
  <si>
    <t>Chosen iSCSI array:</t>
  </si>
  <si>
    <t>3.</t>
  </si>
  <si>
    <t>Servers and Workstations</t>
  </si>
  <si>
    <t>10.</t>
  </si>
  <si>
    <t>11.</t>
  </si>
  <si>
    <t>Signature</t>
  </si>
  <si>
    <t>Warning or Suggestion</t>
  </si>
  <si>
    <t>(based on encoder and decoder count)</t>
  </si>
  <si>
    <t>As a result, Bosch Security Systems cannot take any resposibilty for the storage estimations done in this checklist.</t>
  </si>
  <si>
    <t>&lt;&lt;Open for comments&gt;&gt;</t>
  </si>
  <si>
    <t>Total number of cameras</t>
  </si>
  <si>
    <t>Total number of workstations</t>
  </si>
  <si>
    <t>Prepared by:</t>
  </si>
  <si>
    <t>Projectname:</t>
  </si>
  <si>
    <t>Contact name:</t>
  </si>
  <si>
    <t>Sap#</t>
  </si>
  <si>
    <t>Amount</t>
  </si>
  <si>
    <t>Family Name</t>
  </si>
  <si>
    <t>Material Description</t>
  </si>
  <si>
    <t>BVMS Version</t>
  </si>
  <si>
    <t>License Stitching channel expansion</t>
  </si>
  <si>
    <t>License Augmented reality expansion</t>
  </si>
  <si>
    <t>Base package</t>
  </si>
  <si>
    <t>Bosch Video Management System (BVMS) - Expansions</t>
  </si>
  <si>
    <t>Bosch Video Management System (BVMS) - Base package</t>
  </si>
  <si>
    <t>BVMS Lite</t>
  </si>
  <si>
    <t>BVMS Plus</t>
  </si>
  <si>
    <t>BVMS Professional</t>
  </si>
  <si>
    <t>F01U362431</t>
  </si>
  <si>
    <t>MBV-BPRO-100</t>
  </si>
  <si>
    <t>BVMS Professional 10.0</t>
  </si>
  <si>
    <t>License Professional base</t>
  </si>
  <si>
    <t>F01U362432</t>
  </si>
  <si>
    <t>MBV-BENT-100</t>
  </si>
  <si>
    <t>License Enterprise base</t>
  </si>
  <si>
    <t>F01U362433</t>
  </si>
  <si>
    <t>MBV-XSUB-100</t>
  </si>
  <si>
    <t>F01U362434</t>
  </si>
  <si>
    <t>MBV-XFOV-100</t>
  </si>
  <si>
    <t>F01U362435</t>
  </si>
  <si>
    <t>MBV-XDUR-100</t>
  </si>
  <si>
    <t>F01U362436</t>
  </si>
  <si>
    <t>MBV-XWST-100</t>
  </si>
  <si>
    <t>F01U377527</t>
  </si>
  <si>
    <t>MBV-100WST-100</t>
  </si>
  <si>
    <t>F01U362437</t>
  </si>
  <si>
    <t>MBV-XDVR-100</t>
  </si>
  <si>
    <t>F01U362438</t>
  </si>
  <si>
    <t>MBV-XKBD-100</t>
  </si>
  <si>
    <t>F01U362439</t>
  </si>
  <si>
    <t>MBV-XMVS-100</t>
  </si>
  <si>
    <t>F01U362440</t>
  </si>
  <si>
    <t>MBV-XINT-100</t>
  </si>
  <si>
    <t>F01U362441</t>
  </si>
  <si>
    <t>MBV-XSITE-100</t>
  </si>
  <si>
    <t>F01U362201</t>
  </si>
  <si>
    <t>MBV-XSTCH-100</t>
  </si>
  <si>
    <t>F01U362202</t>
  </si>
  <si>
    <t>MBV-XAGR-100</t>
  </si>
  <si>
    <t>F01U362205</t>
  </si>
  <si>
    <t>MBV-XPI-100</t>
  </si>
  <si>
    <t>F01U362442</t>
  </si>
  <si>
    <t>MBV-XCHAN-100</t>
  </si>
  <si>
    <t>F01U362444</t>
  </si>
  <si>
    <t>MBV-FEUP-100</t>
  </si>
  <si>
    <t>BVMS Plus 10.0</t>
  </si>
  <si>
    <t>F01U362445</t>
  </si>
  <si>
    <t>MBV-BPLU-100</t>
  </si>
  <si>
    <t>License Plus base</t>
  </si>
  <si>
    <t>F01U362446</t>
  </si>
  <si>
    <t>MBV-XCHANPLU-100</t>
  </si>
  <si>
    <t>F01U362206</t>
  </si>
  <si>
    <t>MBV-XPIPLU-100</t>
  </si>
  <si>
    <t>F01U362447</t>
  </si>
  <si>
    <t>MBV-XWSTPLU-100</t>
  </si>
  <si>
    <t>F01U362448</t>
  </si>
  <si>
    <t>MBV-XDVRPLU-100</t>
  </si>
  <si>
    <t>F01U362449</t>
  </si>
  <si>
    <t>MBV-XKBDPLU-100</t>
  </si>
  <si>
    <t>F01U362450</t>
  </si>
  <si>
    <t>MBV-XMVSPLU-100</t>
  </si>
  <si>
    <t>F01U362451</t>
  </si>
  <si>
    <t>MBV-XFOVPLU-100</t>
  </si>
  <si>
    <t>F01U362452</t>
  </si>
  <si>
    <t>MBV-XDURPLU-100</t>
  </si>
  <si>
    <t>F01U362203</t>
  </si>
  <si>
    <t>MBV-XSTCHPLU-100</t>
  </si>
  <si>
    <t>F01U362204</t>
  </si>
  <si>
    <t>MBV-XAGRPLU-100</t>
  </si>
  <si>
    <t>F01U362453</t>
  </si>
  <si>
    <t>MBV-XINTPLU-100</t>
  </si>
  <si>
    <t>F01U352149</t>
  </si>
  <si>
    <t>MBV-XCHANPLU-90</t>
  </si>
  <si>
    <t>BVMS Plus 9.0</t>
  </si>
  <si>
    <t>F01U352155</t>
  </si>
  <si>
    <t>MBV-XDURPLU-90</t>
  </si>
  <si>
    <t>F01U352154</t>
  </si>
  <si>
    <t>MBV-XFOVPLU-90</t>
  </si>
  <si>
    <t>BVMS Lite 10.0</t>
  </si>
  <si>
    <t>F01U362455</t>
  </si>
  <si>
    <t>MBV-BLIT-100</t>
  </si>
  <si>
    <t>License Lite base</t>
  </si>
  <si>
    <t>F01U362456</t>
  </si>
  <si>
    <t>MBV-XDVRLIT-100</t>
  </si>
  <si>
    <t>F01U377545</t>
  </si>
  <si>
    <t>MBV-XWSTLIT-100</t>
  </si>
  <si>
    <t>F01U377544</t>
  </si>
  <si>
    <t>MBV-XKBDLIT-100</t>
  </si>
  <si>
    <t>F01U377542</t>
  </si>
  <si>
    <t>MBV-XFOVLIT-100</t>
  </si>
  <si>
    <t>F01U377541</t>
  </si>
  <si>
    <t>MBV-XDURLIT-100</t>
  </si>
  <si>
    <t>F01U377543</t>
  </si>
  <si>
    <t>MBV-XINTLIT-100</t>
  </si>
  <si>
    <t>F01U377554</t>
  </si>
  <si>
    <t>MBV-XPILIT-100</t>
  </si>
  <si>
    <t>F01U362457</t>
  </si>
  <si>
    <t>MBV-XCHANLIT-100</t>
  </si>
  <si>
    <t>DIVAR IP Expansion</t>
  </si>
  <si>
    <t>License Allegiant feature</t>
  </si>
  <si>
    <t>License ATM/POS feature</t>
  </si>
  <si>
    <t>License OPC feature</t>
  </si>
  <si>
    <t>License Forensic search expansion</t>
  </si>
  <si>
    <t>License Lite base for DIVAR IP AIO 5000</t>
  </si>
  <si>
    <t>License Person ident. channel expansion</t>
  </si>
  <si>
    <t>MBV-FALG-DIP</t>
  </si>
  <si>
    <t>MBV-FATM-DIP</t>
  </si>
  <si>
    <t>MBV-FOPC-DIP</t>
  </si>
  <si>
    <t>MBV-XWST-DIP</t>
  </si>
  <si>
    <t>MBV-XDVR-DIP</t>
  </si>
  <si>
    <t>MBV-XKBD-DIP</t>
  </si>
  <si>
    <t>MBV-XFOR-DIP</t>
  </si>
  <si>
    <t>MBV-XMVS-DIP</t>
  </si>
  <si>
    <t>MBV-XINT-DIP</t>
  </si>
  <si>
    <t>MBV-1FOV-DIP</t>
  </si>
  <si>
    <t>MBV-1DUR-DIP</t>
  </si>
  <si>
    <t>MBV-BLIT-DIP</t>
  </si>
  <si>
    <t>MBV-1CHAN-DIP</t>
  </si>
  <si>
    <t>MBV-XPI-DIP</t>
  </si>
  <si>
    <t>F01U358975</t>
  </si>
  <si>
    <t>MBV-BPLU-DIP</t>
  </si>
  <si>
    <t>F01U374503</t>
  </si>
  <si>
    <t>License Plus base for DIP AIO 6000-7000</t>
  </si>
  <si>
    <t>Version</t>
  </si>
  <si>
    <t>F01U286641</t>
  </si>
  <si>
    <t>F01U286642</t>
  </si>
  <si>
    <t>F01U286643</t>
  </si>
  <si>
    <t>F01U286644</t>
  </si>
  <si>
    <t>F01U286645</t>
  </si>
  <si>
    <t>F01U286646</t>
  </si>
  <si>
    <t>F01U286647</t>
  </si>
  <si>
    <t>F01U286648</t>
  </si>
  <si>
    <t>F01U308887</t>
  </si>
  <si>
    <t>F01U358973</t>
  </si>
  <si>
    <t>F01U358974</t>
  </si>
  <si>
    <t>F01U358976</t>
  </si>
  <si>
    <t>F01U362207</t>
  </si>
  <si>
    <t>BVMS Ordering overview</t>
  </si>
  <si>
    <t>13.2.0</t>
  </si>
  <si>
    <t>Added "Ordering" tab, fixed bugs in storage selection and VRM pooling</t>
  </si>
  <si>
    <t>H264</t>
  </si>
  <si>
    <t>1440x1080</t>
  </si>
  <si>
    <t>1024x768</t>
  </si>
  <si>
    <t>SD ROI PTZ</t>
  </si>
  <si>
    <t>copy other stream</t>
  </si>
  <si>
    <t>H265</t>
  </si>
  <si>
    <t>H265 ohne Bframes</t>
  </si>
  <si>
    <t>SD 4CIF resolution 4:3 format (cropped)</t>
  </si>
  <si>
    <t>SD VGA (cropped)</t>
  </si>
  <si>
    <t>1280x1024 5:4 (cropped)</t>
  </si>
  <si>
    <t>30fps 1080</t>
  </si>
  <si>
    <t>25fps 1080</t>
  </si>
  <si>
    <t>60fps 1080</t>
  </si>
  <si>
    <t>720p full frame rate</t>
  </si>
  <si>
    <t>50fps 1080</t>
  </si>
  <si>
    <t>NBE-3502-AL</t>
  </si>
  <si>
    <t>30fps 1080 - HDR</t>
  </si>
  <si>
    <t>25fps 1080 - HDR</t>
  </si>
  <si>
    <t>NDP-5502-Z30</t>
  </si>
  <si>
    <t>NBN-73013-BA</t>
  </si>
  <si>
    <t>DINION IP starlight 7000 HD - Starlight</t>
  </si>
  <si>
    <t>30fps 720</t>
  </si>
  <si>
    <t>SD dual stream with independent ROI PTZ</t>
  </si>
  <si>
    <t>25fps 720</t>
  </si>
  <si>
    <t>60fps 720</t>
  </si>
  <si>
    <t>720p skip=4</t>
  </si>
  <si>
    <t>400x720 upright (cropped)</t>
  </si>
  <si>
    <t>50fps 720</t>
  </si>
  <si>
    <t>DINION IP starlight 7000 HD - HDR - Extended Dynamic</t>
  </si>
  <si>
    <t>NBN-63013-B</t>
  </si>
  <si>
    <t>DINION IP starlight 6000 HD - Starlight</t>
  </si>
  <si>
    <t>DINION IP starlight 6000 HD - HDR - Extended Dynamic</t>
  </si>
  <si>
    <t>NBN-7x023-BA</t>
  </si>
  <si>
    <t>1280x960 4:3 (cropped)</t>
  </si>
  <si>
    <t>NTV-3502-F03L</t>
  </si>
  <si>
    <t>NIN-73023-AxA</t>
  </si>
  <si>
    <t>FLEXIDOME IP starlight 7000 VR - Starlight</t>
  </si>
  <si>
    <t>1280x960</t>
  </si>
  <si>
    <t>FLEXIDOME IP starlight 7000 VR - HDR - Extended Dynamic</t>
  </si>
  <si>
    <t>NIN-63013-Ax</t>
  </si>
  <si>
    <t>FLEXIDOME IP starlight 6000 VR - Starlight</t>
  </si>
  <si>
    <t>FLEXIDOME IP starlight 6000 VR - HDR - Extended Dynamic</t>
  </si>
  <si>
    <t>NHT-8001-F35VF</t>
  </si>
  <si>
    <t>30fps 480</t>
  </si>
  <si>
    <t>DINION IP ultra 8000 MP</t>
  </si>
  <si>
    <t>NBN-80122-CA</t>
  </si>
  <si>
    <t>DINION IP ultra 8000 MP - 4K UHD (16:9)</t>
  </si>
  <si>
    <t>30fps 2160</t>
  </si>
  <si>
    <t>3584x2016</t>
  </si>
  <si>
    <t>25fps 2160</t>
  </si>
  <si>
    <t>15fps 2160</t>
  </si>
  <si>
    <t>DINION IP ultra 8000 MP - 12MP (4:3)</t>
  </si>
  <si>
    <t>20fps 3000</t>
  </si>
  <si>
    <t>15fps 3000</t>
  </si>
  <si>
    <t>800x600</t>
  </si>
  <si>
    <t>DINION IP ultra 8000 MP - 1080P (16:9)</t>
  </si>
  <si>
    <t>Stream</t>
  </si>
  <si>
    <t>Column3</t>
  </si>
  <si>
    <t>Column4</t>
  </si>
  <si>
    <t>Column5</t>
  </si>
  <si>
    <t>Column6</t>
  </si>
  <si>
    <t>Column7</t>
  </si>
  <si>
    <t>Column8</t>
  </si>
  <si>
    <t>Column9</t>
  </si>
  <si>
    <t>Column10</t>
  </si>
  <si>
    <t>Column11</t>
  </si>
  <si>
    <t>Column12</t>
  </si>
  <si>
    <t>Column13</t>
  </si>
  <si>
    <t>Column14</t>
  </si>
  <si>
    <t>Column15</t>
  </si>
  <si>
    <t>0</t>
  </si>
  <si>
    <t>Column16</t>
  </si>
  <si>
    <t>Display name</t>
  </si>
  <si>
    <t>Encoder channels</t>
  </si>
  <si>
    <t>CPP_</t>
  </si>
  <si>
    <t>13.4.0</t>
  </si>
  <si>
    <t>Moved to new concept for camera selection, fixed bug in camera bandwidth calculation mechanism.</t>
  </si>
  <si>
    <t>&lt;= stream configuration details by clicking on "+" (line 67)</t>
  </si>
  <si>
    <t>AVIOTEC IP starlight 8000</t>
  </si>
  <si>
    <t>FCS-8000-VFD-B</t>
  </si>
  <si>
    <t>MIC IP starlight 7000i</t>
  </si>
  <si>
    <t>MIC-7502-Z30x</t>
  </si>
  <si>
    <t>MIC IP starlight 7000i - IO</t>
  </si>
  <si>
    <t>MIC IP starlight 7000i - VJC-7000</t>
  </si>
  <si>
    <t>MIC IP ultra 7100i</t>
  </si>
  <si>
    <t>MIC-7504-Z12xR</t>
  </si>
  <si>
    <t>3840x2160 @ SKIP6</t>
  </si>
  <si>
    <t>1920x1080 @ SKIP 2</t>
  </si>
  <si>
    <t>3584x2016 @ SKIP6</t>
  </si>
  <si>
    <t>3584x2016 @ SKIP8</t>
  </si>
  <si>
    <t>MIC IP ultra 7100i - IO</t>
  </si>
  <si>
    <t>MIC IP fusion 9000i</t>
  </si>
  <si>
    <t>MIC-9502-Z30xQS</t>
  </si>
  <si>
    <t>MIC IP fusion 9000i - IO</t>
  </si>
  <si>
    <t>DINION IP 3000i IR</t>
  </si>
  <si>
    <t>NBE-3503-AL</t>
  </si>
  <si>
    <t>25fps 1512 - HDR</t>
  </si>
  <si>
    <t>2688x1512</t>
  </si>
  <si>
    <t>2304x1296</t>
  </si>
  <si>
    <t>20fps 1728 - HDR</t>
  </si>
  <si>
    <t>3072x1728</t>
  </si>
  <si>
    <t>2720x1530</t>
  </si>
  <si>
    <t>DINION IP 4000i IR</t>
  </si>
  <si>
    <t>NBE-4502-AL</t>
  </si>
  <si>
    <t>DINION IP 5000i IR</t>
  </si>
  <si>
    <t>NBE-5503-AL</t>
  </si>
  <si>
    <t>30fps 1728 - HDR</t>
  </si>
  <si>
    <t>1920x1440_CROP</t>
  </si>
  <si>
    <t>2688x1512 @ SKIP 2</t>
  </si>
  <si>
    <t>25fps 1728 - HDR</t>
  </si>
  <si>
    <t>DINION IP starlight 6000i IR</t>
  </si>
  <si>
    <t>NBE-6502-AL</t>
  </si>
  <si>
    <t>DINION IP starlight 6000 HD</t>
  </si>
  <si>
    <t>NBN-6x023-B</t>
  </si>
  <si>
    <t>DINION IP starlight 7000 HD</t>
  </si>
  <si>
    <t>DINION IP starlight 8000 MP</t>
  </si>
  <si>
    <t>DINION IP starlight 8000 MP - 5MP (16:9)</t>
  </si>
  <si>
    <t>30fps 1680</t>
  </si>
  <si>
    <t>2992x1680</t>
  </si>
  <si>
    <t>2992x1680 @ SKIP 3</t>
  </si>
  <si>
    <t>25fps 1680</t>
  </si>
  <si>
    <t>DINION IP starlight 8000 MP - 5.5MP (4:3)</t>
  </si>
  <si>
    <t>30fps 2032</t>
  </si>
  <si>
    <t>2704x2032</t>
  </si>
  <si>
    <t>2704x2032 @ SKIP 3</t>
  </si>
  <si>
    <t>1600x1200</t>
  </si>
  <si>
    <t>2048x1536</t>
  </si>
  <si>
    <t>25fps 2032</t>
  </si>
  <si>
    <t>DINION IP starlight 8000 MP - 1080P (16:9)</t>
  </si>
  <si>
    <t>FLEXIDOME IP 3000i IR</t>
  </si>
  <si>
    <t>NDE-3502-AL</t>
  </si>
  <si>
    <t>NDE-3503-AL</t>
  </si>
  <si>
    <t>FLEXIDOME IP 4000i IR</t>
  </si>
  <si>
    <t>NDE-4502-AL</t>
  </si>
  <si>
    <t>FLEXIDOME IP starlight 8000i</t>
  </si>
  <si>
    <t>NDE-8502-R</t>
  </si>
  <si>
    <t>FLEXIDOME IP starlight 8000i - SD + WLAN</t>
  </si>
  <si>
    <t>FLEXIDOME IP starlight 8000i - DUAL SD</t>
  </si>
  <si>
    <t>NDE-8503-RT</t>
  </si>
  <si>
    <t>30fps 1840</t>
  </si>
  <si>
    <t>3264x1840</t>
  </si>
  <si>
    <t>25fps 1840</t>
  </si>
  <si>
    <t>NDE-8504-R</t>
  </si>
  <si>
    <t>20fps 2160 - HDR</t>
  </si>
  <si>
    <t>3840x2160 @ SKIP3</t>
  </si>
  <si>
    <t>3584x2016 @ SKIP2</t>
  </si>
  <si>
    <t>FLEXIDOME IP 4000i</t>
  </si>
  <si>
    <t>NDI-4502-A</t>
  </si>
  <si>
    <t>FLEXIDOME IP 5000i IR</t>
  </si>
  <si>
    <t>NDI-5503-AL</t>
  </si>
  <si>
    <t>FLEXIDOME IP 5000i</t>
  </si>
  <si>
    <t>NDI-5503-A</t>
  </si>
  <si>
    <t>AUTODOME IP 4000i</t>
  </si>
  <si>
    <t>NDP-4502-Z12C</t>
  </si>
  <si>
    <t>AUTODOME IP 5000i</t>
  </si>
  <si>
    <t>AUTODOME IP starlight 7000i</t>
  </si>
  <si>
    <t>NDP-7512-Z30C</t>
  </si>
  <si>
    <t>FLEXIDOME IP micro 3000i</t>
  </si>
  <si>
    <t>NDV-3503-F02</t>
  </si>
  <si>
    <t>DINION IP thermal 8000</t>
  </si>
  <si>
    <t>NHT-8001-F65VS</t>
  </si>
  <si>
    <t>9fps 480</t>
  </si>
  <si>
    <t>FLEXIDOME IP starlight 6000 VR</t>
  </si>
  <si>
    <t>FLEXIDOME IP panoramic 7000 MP</t>
  </si>
  <si>
    <t>NIN-70122-F0A</t>
  </si>
  <si>
    <t>12fps 2640</t>
  </si>
  <si>
    <t>2640x2640</t>
  </si>
  <si>
    <t>1792x1792</t>
  </si>
  <si>
    <t>1440x1440</t>
  </si>
  <si>
    <t>1024x1024</t>
  </si>
  <si>
    <t>800x800</t>
  </si>
  <si>
    <t>25fps 2640</t>
  </si>
  <si>
    <t>30fps 2640</t>
  </si>
  <si>
    <t>FLEXIDOME IP panoramic 7000 MP - DEWARP</t>
  </si>
  <si>
    <t>768x768</t>
  </si>
  <si>
    <t>1536x864</t>
  </si>
  <si>
    <t>NIN-70122-F1A</t>
  </si>
  <si>
    <t>12fps 2160</t>
  </si>
  <si>
    <t>3648x2160</t>
  </si>
  <si>
    <t>1824x1080</t>
  </si>
  <si>
    <t>1216x720</t>
  </si>
  <si>
    <t>608x360</t>
  </si>
  <si>
    <t>2048x1152</t>
  </si>
  <si>
    <t>FLEXIDOME IP starlight 7000 VR</t>
  </si>
  <si>
    <t>DINION IP bullet 5000 HD</t>
  </si>
  <si>
    <t>NTI-51022-A3S</t>
  </si>
  <si>
    <t>1080p skip=7</t>
  </si>
  <si>
    <t>720p skip=3</t>
  </si>
  <si>
    <t>DINION IP 3000i Turret IR</t>
  </si>
  <si>
    <t>NTV-3503-F03L</t>
  </si>
  <si>
    <t>rotate 0</t>
  </si>
  <si>
    <t>rotate 90</t>
  </si>
  <si>
    <t>13.5.0</t>
  </si>
  <si>
    <t>Added camera performance</t>
  </si>
  <si>
    <t>Other Bosch or ONVIF</t>
  </si>
  <si>
    <t>Video bandwidth is automatically calculated based on camera. If camera is not available, bandwidth can be manually entered in line 107.</t>
  </si>
  <si>
    <t>Video bandwidth (Kbit/s)</t>
  </si>
  <si>
    <t>Total bandwidth (all cameras in group, Mbit/s)</t>
  </si>
  <si>
    <t>Total bandwidth (all cameras in all groups, Mbit/s)</t>
  </si>
  <si>
    <t>Min Retention Time (Primary VRM, days)</t>
  </si>
  <si>
    <t xml:space="preserve">DIVAR IP AiO 5000 </t>
  </si>
  <si>
    <t xml:space="preserve">DIVAR IP AiO 6000 </t>
  </si>
  <si>
    <t>DIVAR IP AiO 7000</t>
  </si>
  <si>
    <t>DIVAR IP 7000 R2</t>
  </si>
  <si>
    <t>13.6.0</t>
  </si>
  <si>
    <t>Unable to select the recording frame rate, which in turn not allowing automatic mode to work.</t>
  </si>
  <si>
    <t>Suggested BVMS edition is always "BVMS lite". K250 should be K256.</t>
  </si>
  <si>
    <t>Workstation License is not working (O269 should be O272)</t>
  </si>
  <si>
    <t>No. of cameras used in secondary VRM is protected.</t>
  </si>
  <si>
    <t>Quiet Hours and Quiet hours video bandwidth is protected.</t>
  </si>
  <si>
    <t>13.7.0</t>
  </si>
  <si>
    <t>H79 unable to select the frame rate</t>
  </si>
  <si>
    <t>H93 unable to select the frame rate</t>
  </si>
  <si>
    <t>H159 unable to add the Bandwidth (it is considered as hours)</t>
  </si>
  <si>
    <t>G185 to G188 is protected</t>
  </si>
  <si>
    <t>13.8.0</t>
  </si>
  <si>
    <t>Removed H265 support for CPP7 cameras. Fixed bug in H265 detection.</t>
  </si>
  <si>
    <t>Hidden secondery recording entirely</t>
  </si>
  <si>
    <t>Fixed lin 177 (secondary storage calculation)</t>
  </si>
  <si>
    <t>Fixed line 264 (workstation source)</t>
  </si>
  <si>
    <t>Added check on line 122 (if cameras are assigned to pool, VRM pool should be selected)</t>
  </si>
  <si>
    <t>13.9.0</t>
  </si>
  <si>
    <t>Fixed quite time calculation for secondary VRM</t>
  </si>
  <si>
    <t>&lt;= Quiet time / Alarm time can be opened by clicking "+" on the left (line 141)</t>
  </si>
  <si>
    <t>(based on line 163)</t>
  </si>
  <si>
    <t>Dual recording</t>
  </si>
  <si>
    <t>Channel licenses required:</t>
  </si>
  <si>
    <t>13.10.0</t>
  </si>
  <si>
    <t>Included audio and metadata calculation in quite time</t>
  </si>
  <si>
    <t>13.11.0</t>
  </si>
  <si>
    <t>Fixed N-1 calculation for pool2-4</t>
  </si>
  <si>
    <t>&lt;= Mirrored recording can be opened by clicking "+" on the left (line 181)</t>
  </si>
  <si>
    <t>Rephrased dual recording to mirrored recording</t>
  </si>
  <si>
    <t>Fixed decoder channel license calculation</t>
  </si>
  <si>
    <t>13.12.0</t>
  </si>
  <si>
    <t>Added DIVAR IP AIO 7000</t>
  </si>
  <si>
    <t>DIVAR IP all-in-one 7000 MANAGEMENT APPLIANCE 8x4TB</t>
  </si>
  <si>
    <t>DIVAR IP all-in-one 7000 MANAGEMENT APPLIANCE 8x8TB</t>
  </si>
  <si>
    <t>DIVAR IP all-in-one 7000 MANAGEMENT APPLIANCE 8x12TB</t>
  </si>
  <si>
    <t>Shelves</t>
  </si>
  <si>
    <t>DIVAR IP all-in-one 7000 MANAGEMENT APPLIANCE 16x8TB</t>
  </si>
  <si>
    <t>DIVAR IP all-in-one 7000 MANAGEMENT APPLIANCE 16x12TB</t>
  </si>
  <si>
    <t>Storage sytem overview</t>
  </si>
  <si>
    <t>VRM / Pool</t>
  </si>
  <si>
    <t>iSCSI array</t>
  </si>
  <si>
    <t># arrays</t>
  </si>
  <si>
    <t>Storage (GB)</t>
  </si>
  <si>
    <t>MIC IP starlight 7100i</t>
  </si>
  <si>
    <t>MIC-7522-Z30x</t>
  </si>
  <si>
    <t>rotate 0°</t>
  </si>
  <si>
    <t>MIC IP starlight 7100i - IO</t>
  </si>
  <si>
    <t>MIC-7522-Z30xR</t>
  </si>
  <si>
    <t>Channels per license</t>
  </si>
  <si>
    <t>License Upgrade to maximum 128 channels</t>
  </si>
  <si>
    <t>Maximum channels</t>
  </si>
  <si>
    <t>DIVAR IP AiO Lite for DIP AiO 5000 (32 channels, up to 42 channels)</t>
  </si>
  <si>
    <t>Added DIVAR IP 7000 R2 licenses</t>
  </si>
  <si>
    <t>MBV-XCHAN-DIP</t>
  </si>
  <si>
    <t>F01U277966</t>
  </si>
  <si>
    <t>MBV-BXPAN-DIP</t>
  </si>
  <si>
    <t>F01U286640</t>
  </si>
  <si>
    <t>DIVAR IP Expansion OLD</t>
  </si>
  <si>
    <t>MBV-XSITE-DIP</t>
  </si>
  <si>
    <t>F01U318782</t>
  </si>
  <si>
    <t>Amazon</t>
  </si>
  <si>
    <t>Added check on base package</t>
  </si>
  <si>
    <t>Added customer specific camera list</t>
  </si>
  <si>
    <t>Mirrored VRM pool assignment (optional)</t>
  </si>
  <si>
    <t>Mirrored VRM Storage calculation (optional)</t>
  </si>
  <si>
    <t>Fixed issue in calculating dual recording channels</t>
  </si>
  <si>
    <t>Added number of workstations and keyboards in selected base package</t>
  </si>
  <si>
    <t>13.13.0</t>
  </si>
  <si>
    <t>Fixed red indicator at secondary VRM hardware</t>
  </si>
  <si>
    <t>Single monitor decoders</t>
  </si>
  <si>
    <t>Multi monitor decoders</t>
  </si>
  <si>
    <t>13.14.0</t>
  </si>
  <si>
    <t>Fixed storage calculation when iSCSI failover was enabled</t>
  </si>
  <si>
    <t>VRM / Pool 1</t>
  </si>
  <si>
    <t>VRM / Pool 2</t>
  </si>
  <si>
    <t>VRM / Pool 3</t>
  </si>
  <si>
    <t>Selected storage array</t>
  </si>
  <si>
    <t>Number of storage arrays</t>
  </si>
  <si>
    <t>Total array maintenance costs</t>
  </si>
  <si>
    <t>Assumptions</t>
  </si>
  <si>
    <t>EUR</t>
  </si>
  <si>
    <t>Kwh</t>
  </si>
  <si>
    <t>Maintenance per hour</t>
  </si>
  <si>
    <t>VRM / Pool 0</t>
  </si>
  <si>
    <t>Required bandwidth (Mbit/s)</t>
  </si>
  <si>
    <t>Required storage capacity (TB)</t>
  </si>
  <si>
    <t>Power (wH)</t>
  </si>
  <si>
    <t>Power</t>
  </si>
  <si>
    <t>Total array power cost/year</t>
  </si>
  <si>
    <t>Total array power consumption (kWh)</t>
  </si>
  <si>
    <t>Maintenance (h/y)</t>
  </si>
  <si>
    <t>Maintenance</t>
  </si>
  <si>
    <t>Array maintenance time</t>
  </si>
  <si>
    <t>Total</t>
  </si>
  <si>
    <t>BVMS and VRM</t>
  </si>
  <si>
    <t>Number of NVRs</t>
  </si>
  <si>
    <t>Bandwidth per NVR</t>
  </si>
  <si>
    <t>Saving</t>
  </si>
  <si>
    <t>Capacity per NVR (TB)</t>
  </si>
  <si>
    <t>Please adjust the hourly maintenance costs</t>
  </si>
  <si>
    <t>Please adjust the kWh power costs</t>
  </si>
  <si>
    <t>Please adjust the NVR specifications to your competition.</t>
  </si>
  <si>
    <t>Array power consumption (W)</t>
  </si>
  <si>
    <t>Bosch DL380G10 Power consumption (W)</t>
  </si>
  <si>
    <t>VRM Server maintenance costs</t>
  </si>
  <si>
    <t>Total VRM Server costs</t>
  </si>
  <si>
    <t>We assume one VRM server per pool</t>
  </si>
  <si>
    <t>Links to example videos related to the scene types:</t>
  </si>
  <si>
    <t>Download .zip with example videos from the Knowledge base</t>
  </si>
  <si>
    <t>Profile (click to download example videos)</t>
  </si>
  <si>
    <t>NVR maintenance time (year)</t>
  </si>
  <si>
    <t>NVR power consumption (W)</t>
  </si>
  <si>
    <t>Difference</t>
  </si>
  <si>
    <t>Bosch VRM based storage</t>
  </si>
  <si>
    <t>Remove cost, keep it factual.</t>
  </si>
  <si>
    <t>How many BTU? How much rack-space?</t>
  </si>
  <si>
    <t>How much power consumption?</t>
  </si>
  <si>
    <t>Array maintenance per year (h/y)</t>
  </si>
  <si>
    <t>Windows maintenance per year (h/y)</t>
  </si>
  <si>
    <t>Stick to hours, not EUR numbers</t>
  </si>
  <si>
    <t>3072x1728 @ SKIP2</t>
  </si>
  <si>
    <t>3264x1840 @ SKIP3</t>
  </si>
  <si>
    <t>Storage array</t>
  </si>
  <si>
    <t>Overcap</t>
  </si>
  <si>
    <t>% overhead</t>
  </si>
  <si>
    <t>None (runs on BVMS management server)</t>
  </si>
  <si>
    <t>None (runs on VRM server)</t>
  </si>
  <si>
    <t>13.15.0</t>
  </si>
  <si>
    <t>Fixed framerate bug, moves overcapacity calculation, other improvements</t>
  </si>
  <si>
    <t>OTH</t>
  </si>
  <si>
    <t>Other or Bosch ONVIF</t>
  </si>
  <si>
    <t>n/a</t>
  </si>
  <si>
    <t>Put DIVAR IP R2 portfolio to EOL</t>
  </si>
  <si>
    <t>Fixed bug in ONVIF camera selection</t>
  </si>
  <si>
    <t>Fixed bug in N+1 failover capacity calculation</t>
  </si>
  <si>
    <t>Changed overcapacity calculation</t>
  </si>
  <si>
    <t>License Camera/decoder expansion (from additional checklists)</t>
  </si>
  <si>
    <t>1080p (1)</t>
  </si>
  <si>
    <t>1080p (2)</t>
  </si>
  <si>
    <t>2640x2640 (1)</t>
  </si>
  <si>
    <t>3264x1840 (1)</t>
  </si>
  <si>
    <t>4000x3000 (1)</t>
  </si>
  <si>
    <t>2048x1536 (1)</t>
  </si>
  <si>
    <t>2704x2032 (1)</t>
  </si>
  <si>
    <t>2992x1680 (1)</t>
  </si>
  <si>
    <t>1440x1080 (1)</t>
  </si>
  <si>
    <t>2720x1530 (1)</t>
  </si>
  <si>
    <t>3072x1728 (1)</t>
  </si>
  <si>
    <t>2304x1296 (1)</t>
  </si>
  <si>
    <t>2688x1512 (1)</t>
  </si>
  <si>
    <t>SD (1)</t>
  </si>
  <si>
    <t>3584x2016 (1)</t>
  </si>
  <si>
    <t>3840x2160 (1)</t>
  </si>
  <si>
    <t>720p full frame rate (1)</t>
  </si>
  <si>
    <t>720p (1)</t>
  </si>
  <si>
    <t>1440x1440 (1)</t>
  </si>
  <si>
    <t>1536x864 (1)</t>
  </si>
  <si>
    <t>3648x2160 (1)</t>
  </si>
  <si>
    <t>2048x1152 (1)</t>
  </si>
  <si>
    <t>3840x2160 @ SKIP6 (1)</t>
  </si>
  <si>
    <t>1920x1080 @ SKIP 2 (1)</t>
  </si>
  <si>
    <t>3584x2016 @ SKIP6 (1)</t>
  </si>
  <si>
    <t>3584x2016 @ SKIP8 (1)</t>
  </si>
  <si>
    <t>3072x1728 @ SKIP2 (1)</t>
  </si>
  <si>
    <t>2688x1512 @ SKIP 2 (1)</t>
  </si>
  <si>
    <t>720p skip=4 (1)</t>
  </si>
  <si>
    <t>2992x1680 @ SKIP 3 (1)</t>
  </si>
  <si>
    <t>2704x2032 @ SKIP 3 (1)</t>
  </si>
  <si>
    <t>3264x1840 @ SKIP3 (1)</t>
  </si>
  <si>
    <t>3840x2160 @ SKIP3 (1)</t>
  </si>
  <si>
    <t>3584x2016 @ SKIP2 (1)</t>
  </si>
  <si>
    <t>1080p skip=7 (1)</t>
  </si>
  <si>
    <t>720p skip=3 (1)</t>
  </si>
  <si>
    <t>720p (2)</t>
  </si>
  <si>
    <t>720p full frame rate (2)</t>
  </si>
  <si>
    <t>3840x2160 (2)</t>
  </si>
  <si>
    <t>3584x2016 (2)</t>
  </si>
  <si>
    <t>SD (2)</t>
  </si>
  <si>
    <t>2688x1512 (2)</t>
  </si>
  <si>
    <t>2304x1296 (2)</t>
  </si>
  <si>
    <t>3072x1728 (2)</t>
  </si>
  <si>
    <t>2720x1530 (2)</t>
  </si>
  <si>
    <t>1440x1080 (2)</t>
  </si>
  <si>
    <t>2992x1680 (2)</t>
  </si>
  <si>
    <t>2704x2032 (2)</t>
  </si>
  <si>
    <t>2048x1536 (2)</t>
  </si>
  <si>
    <t>4000x3000 (2)</t>
  </si>
  <si>
    <t>3264x1840 (2)</t>
  </si>
  <si>
    <t>2640x2640 (2)</t>
  </si>
  <si>
    <t>1440x1440 (2)</t>
  </si>
  <si>
    <t>1536x864 (2)</t>
  </si>
  <si>
    <t>3648x2160 (2)</t>
  </si>
  <si>
    <t>2048x1152 (2)</t>
  </si>
  <si>
    <t>3840x2160 @ SKIP6 (2)</t>
  </si>
  <si>
    <t>1920x1080 @ SKIP 2 (2)</t>
  </si>
  <si>
    <t>3584x2016 @ SKIP6 (2)</t>
  </si>
  <si>
    <t>3584x2016 @ SKIP8 (2)</t>
  </si>
  <si>
    <t>3072x1728 @ SKIP2 (2)</t>
  </si>
  <si>
    <t>2688x1512 @ SKIP 2 (2)</t>
  </si>
  <si>
    <t>720p skip=4 (2)</t>
  </si>
  <si>
    <t>2992x1680 @ SKIP 3 (2)</t>
  </si>
  <si>
    <t>2704x2032 @ SKIP 3 (2)</t>
  </si>
  <si>
    <t>3264x1840 @ SKIP3 (2)</t>
  </si>
  <si>
    <t>3840x2160 @ SKIP3 (2)</t>
  </si>
  <si>
    <t>3584x2016 @ SKIP2 (2)</t>
  </si>
  <si>
    <t>1080p skip=7 (2)</t>
  </si>
  <si>
    <t>720p skip=3 (2)</t>
  </si>
  <si>
    <t>800x800 (2)</t>
  </si>
  <si>
    <t>800x800 (1)</t>
  </si>
  <si>
    <t>Manually enter video bandwidth (Kbit/s)</t>
  </si>
  <si>
    <t>Users can manually set storage devices back from EOL to Active, even though Bosch does not sell those anymore.</t>
  </si>
  <si>
    <t>13.16.0</t>
  </si>
  <si>
    <t>iSCSI Failover (N+1)</t>
  </si>
  <si>
    <t>MBV-BLIT-101</t>
  </si>
  <si>
    <t>MBV-XDVRLIT-101</t>
  </si>
  <si>
    <t>MBV-XCHANLIT-101</t>
  </si>
  <si>
    <t>MBV-XDURLIT-101</t>
  </si>
  <si>
    <t>MBV-XFOVLIT-101</t>
  </si>
  <si>
    <t>MBV-XINTLIT-101</t>
  </si>
  <si>
    <t>MBV-XKBDLIT-101</t>
  </si>
  <si>
    <t>MBV-XWSTLIT-101</t>
  </si>
  <si>
    <t>MBV-XPILIT-101</t>
  </si>
  <si>
    <t>MBV-XSITELIT-101</t>
  </si>
  <si>
    <t>MBV-XLPRLIT-101</t>
  </si>
  <si>
    <t>MBV-MLPRLIT</t>
  </si>
  <si>
    <t>MBV-BPLU-101</t>
  </si>
  <si>
    <t>MBV-XDVRPLU-101</t>
  </si>
  <si>
    <t>MBV-XCHANPLU-101</t>
  </si>
  <si>
    <t>MBV-XDURPLU-101</t>
  </si>
  <si>
    <t>MBV-XFOVPLU-101</t>
  </si>
  <si>
    <t>MBV-XINTPLU-101</t>
  </si>
  <si>
    <t>MBV-XKBDPLU-101</t>
  </si>
  <si>
    <t>MBV-XWSTPLU-101</t>
  </si>
  <si>
    <t>MBV-XPIPLU-101</t>
  </si>
  <si>
    <t>MBV-XSITEPLU-101</t>
  </si>
  <si>
    <t>MBV-XSUBPLU-101</t>
  </si>
  <si>
    <t>MBV-XLPRPLU-101</t>
  </si>
  <si>
    <t>MBV-XMVSPLU-101</t>
  </si>
  <si>
    <t>MBV-MSUBPLU</t>
  </si>
  <si>
    <t>MBV-MLPRPLU</t>
  </si>
  <si>
    <t>MBV-BPRO-101</t>
  </si>
  <si>
    <t>MBV-XDVR-101</t>
  </si>
  <si>
    <t>MBV-XCHAN-101</t>
  </si>
  <si>
    <t>MBV-XDUR-101</t>
  </si>
  <si>
    <t>MBV-XFOV-101</t>
  </si>
  <si>
    <t>MBV-XINT-101</t>
  </si>
  <si>
    <t>MBV-XKBD-101</t>
  </si>
  <si>
    <t>MBV-XWST-101</t>
  </si>
  <si>
    <t>MBV-XPI-101</t>
  </si>
  <si>
    <t>MBV-XSITE-101</t>
  </si>
  <si>
    <t>MBV-XSUB-101</t>
  </si>
  <si>
    <t>MBV-XLPR-101</t>
  </si>
  <si>
    <t>MBV-XMVS-101</t>
  </si>
  <si>
    <t>MBV-100WST-101</t>
  </si>
  <si>
    <t>MBV-BENT-101</t>
  </si>
  <si>
    <t>MBV-MLPR</t>
  </si>
  <si>
    <t>MBV-BVWR-101</t>
  </si>
  <si>
    <t>MBV-MVWR</t>
  </si>
  <si>
    <t>MBV-XLPR-DIP</t>
  </si>
  <si>
    <t>MBV-XSUB-DIP</t>
  </si>
  <si>
    <t>F01U389465</t>
  </si>
  <si>
    <t>F01U389466</t>
  </si>
  <si>
    <t>F01U389467</t>
  </si>
  <si>
    <t>F01U389468</t>
  </si>
  <si>
    <t>F01U389469</t>
  </si>
  <si>
    <t>F01U389470</t>
  </si>
  <si>
    <t>F01U389471</t>
  </si>
  <si>
    <t>F01U389472</t>
  </si>
  <si>
    <t>F01U389473</t>
  </si>
  <si>
    <t>F01U389474</t>
  </si>
  <si>
    <t>F01U389475</t>
  </si>
  <si>
    <t>F01U389476</t>
  </si>
  <si>
    <t>F01U389477</t>
  </si>
  <si>
    <t>F01U389478</t>
  </si>
  <si>
    <t>F01U389479</t>
  </si>
  <si>
    <t>F01U389480</t>
  </si>
  <si>
    <t>F01U389481</t>
  </si>
  <si>
    <t>F01U389482</t>
  </si>
  <si>
    <t>F01U389483</t>
  </si>
  <si>
    <t>F01U389484</t>
  </si>
  <si>
    <t>F01U389485</t>
  </si>
  <si>
    <t>F01U389486</t>
  </si>
  <si>
    <t>F01U389487</t>
  </si>
  <si>
    <t>F01U389488</t>
  </si>
  <si>
    <t>F01U389489</t>
  </si>
  <si>
    <t>F01U389490</t>
  </si>
  <si>
    <t>F01U389491</t>
  </si>
  <si>
    <t>F01U389492</t>
  </si>
  <si>
    <t>F01U389493</t>
  </si>
  <si>
    <t>F01U389494</t>
  </si>
  <si>
    <t>F01U389495</t>
  </si>
  <si>
    <t>F01U389496</t>
  </si>
  <si>
    <t>F01U389497</t>
  </si>
  <si>
    <t>F01U389498</t>
  </si>
  <si>
    <t>F01U389499</t>
  </si>
  <si>
    <t>F01U389500</t>
  </si>
  <si>
    <t>F01U389501</t>
  </si>
  <si>
    <t>F01U389502</t>
  </si>
  <si>
    <t>F01U389503</t>
  </si>
  <si>
    <t>F01U389504</t>
  </si>
  <si>
    <t>F01U389505</t>
  </si>
  <si>
    <t>F01U389506</t>
  </si>
  <si>
    <t>F01U389507</t>
  </si>
  <si>
    <t>F01U389508</t>
  </si>
  <si>
    <t>F01U389509</t>
  </si>
  <si>
    <t>F01U389510</t>
  </si>
  <si>
    <t>F01U389511</t>
  </si>
  <si>
    <t>BVMS Lite 10.1</t>
  </si>
  <si>
    <t>BVMS Software Maintenance</t>
  </si>
  <si>
    <t>BVMS Plus 10.1</t>
  </si>
  <si>
    <t>BVMS Professional 10.1</t>
  </si>
  <si>
    <t>BVMS Viewer 10.1</t>
  </si>
  <si>
    <t>License LPR camera expansion</t>
  </si>
  <si>
    <t>License for MBV-XLPRLIT-*, 1yr</t>
  </si>
  <si>
    <t>License Subsystem expansion</t>
  </si>
  <si>
    <t>License for MBV-XSUBPLU-*, 1yr</t>
  </si>
  <si>
    <t>License for MBV-XLPRPLU-*, 1yr</t>
  </si>
  <si>
    <t>License for MBV-XLPR-*, 1yr</t>
  </si>
  <si>
    <t>License Viewer base</t>
  </si>
  <si>
    <t>License for MBV-BWVR-*, 1yr</t>
  </si>
  <si>
    <t>License LPR Camera expansion</t>
  </si>
  <si>
    <t>Fixed N+1 calculation (related to the way the worst-case iSCSI session calculation)</t>
  </si>
  <si>
    <t>Added License plate recognition licenses</t>
  </si>
  <si>
    <t>Added BVMS 10.1 licenses</t>
  </si>
  <si>
    <t>HP Z2G4 | MHW-WZ2G4-P06 + NVIDIA Quadro P620</t>
  </si>
  <si>
    <t>HP Z4G4 | MHW-WZ4G4-HEN2  + NVIDIA Quadro P2000</t>
  </si>
  <si>
    <t>HP Z4G4 | MHW-WZ4G4-HEN4 + NVIDIA Quadro RTX4000</t>
  </si>
  <si>
    <t>HP Z2G4 | MHW-WZ2G4-NG + Onboard graphics</t>
  </si>
  <si>
    <t xml:space="preserve">Updated workstations </t>
  </si>
  <si>
    <t>Added Inteox cameras as CPP73 cameras (same profiles as CPP73 cameras)</t>
  </si>
  <si>
    <t>MIC inteox 7000i</t>
  </si>
  <si>
    <t>0°</t>
  </si>
  <si>
    <t>H.264</t>
  </si>
  <si>
    <t>2560x1440</t>
  </si>
  <si>
    <t>768x732</t>
  </si>
  <si>
    <t>512x288</t>
  </si>
  <si>
    <t>H.265</t>
  </si>
  <si>
    <t>AUTODOME inteox 7000i</t>
  </si>
  <si>
    <t>NDP-7602-Z30</t>
  </si>
  <si>
    <t>13.17.0</t>
  </si>
  <si>
    <t>Added MIC and Autodome inteox cameras</t>
  </si>
  <si>
    <t>Removed unused VBA scripts and macro's</t>
  </si>
  <si>
    <t>13.18.0</t>
  </si>
  <si>
    <t>FLEXIDOME IP panoramic 7000 MP (360)</t>
  </si>
  <si>
    <t>FLEXIDOME IP panoramic 7000 MP (180)</t>
  </si>
  <si>
    <t>FLEXIDOME IP panoramic 6000 MP (360)</t>
  </si>
  <si>
    <t>FLEXIDOME IP panoramic 6000 MP (180)</t>
  </si>
  <si>
    <t>FLEXIDOME IP panoramic 6000 MP</t>
  </si>
  <si>
    <t>FLEXIDOME IP panoramic 6000 MP - DEWARP</t>
  </si>
  <si>
    <t>NFN-60122-F2</t>
  </si>
  <si>
    <t>NFN-60122-F0</t>
  </si>
  <si>
    <t>Added Flexidome Panoramic 6000 cameras</t>
  </si>
  <si>
    <t>13.19.0</t>
  </si>
  <si>
    <t>Fixed cell H260 (included # channels in base package was based on dual recording channels)</t>
  </si>
  <si>
    <t>Fixed VRM pool selection to not approve checklist</t>
  </si>
  <si>
    <t>AUTODOME IP starlight 5100i</t>
  </si>
  <si>
    <t>NDP-5523-Z20C</t>
  </si>
  <si>
    <t>60fps 1440</t>
  </si>
  <si>
    <t>50fps 1440</t>
  </si>
  <si>
    <t>30fps 1440 - HDR</t>
  </si>
  <si>
    <t>25fps 1440 - HDR</t>
  </si>
  <si>
    <t>13.20.0</t>
  </si>
  <si>
    <t>Added Autodome IP 5100i</t>
  </si>
  <si>
    <t>13.20.1</t>
  </si>
  <si>
    <t>Removed page protection for BVMS checklist</t>
  </si>
  <si>
    <t>Harald Schoengen</t>
  </si>
  <si>
    <t>13.20.2</t>
  </si>
  <si>
    <t xml:space="preserve">Fixed Secondary recording: Storage pool assignment, "none" is now equal to "" (&lt;=&gt; no secondary storage) </t>
  </si>
  <si>
    <t>13.21.0</t>
  </si>
  <si>
    <t>Maciej Wróbel</t>
  </si>
  <si>
    <t>BVMS Professional 11.0</t>
  </si>
  <si>
    <t>BVMS Lite 11.0</t>
  </si>
  <si>
    <t>BVMS Plus 11.0</t>
  </si>
  <si>
    <t>BVMS Viewer 11.0</t>
  </si>
  <si>
    <t>MBV-BLIT</t>
  </si>
  <si>
    <t>F.01U.393.648</t>
  </si>
  <si>
    <t>MBV-XDVRLIT</t>
  </si>
  <si>
    <t>F.01U.393.683</t>
  </si>
  <si>
    <t>F.01U.393.672</t>
  </si>
  <si>
    <t>F.01U.393.670</t>
  </si>
  <si>
    <t>MBV-XCHANLIT</t>
  </si>
  <si>
    <t>MBV-XDURLIT</t>
  </si>
  <si>
    <t>MBV-XFOVLIT</t>
  </si>
  <si>
    <t>MBV-XINTLIT</t>
  </si>
  <si>
    <t>MBV-XKBDLIT</t>
  </si>
  <si>
    <t>MBV-XWSTLIT</t>
  </si>
  <si>
    <t>MBV-XPILIT</t>
  </si>
  <si>
    <t>MBV-XLPRLIT</t>
  </si>
  <si>
    <t>MBV-BPLU</t>
  </si>
  <si>
    <t>MBV-XDVRPLU</t>
  </si>
  <si>
    <t>MBV-XCHANPLU</t>
  </si>
  <si>
    <t>MBV-XDURPLU</t>
  </si>
  <si>
    <t>MBV-XFOVPLU</t>
  </si>
  <si>
    <t>MBV-XINTPLU</t>
  </si>
  <si>
    <t>MBV-XKBDPLU</t>
  </si>
  <si>
    <t>MBV-XWSTPLU</t>
  </si>
  <si>
    <t>MBV-XPIPLU</t>
  </si>
  <si>
    <t>MBV-XSITEPLU</t>
  </si>
  <si>
    <t>MBV-XSUBPLU</t>
  </si>
  <si>
    <t>MBV-XLPRPLU</t>
  </si>
  <si>
    <t>MBV-XMVSPLU</t>
  </si>
  <si>
    <t>MBV-BPRO</t>
  </si>
  <si>
    <t>MBV-BVWR</t>
  </si>
  <si>
    <t>F.01U.393.675</t>
  </si>
  <si>
    <t>F.01U.393.674</t>
  </si>
  <si>
    <t>F.01U.393.677</t>
  </si>
  <si>
    <t>F.01U.393.673</t>
  </si>
  <si>
    <t>F.01U.393.671</t>
  </si>
  <si>
    <t>F.01U.393.678</t>
  </si>
  <si>
    <t>F.01U.393.679</t>
  </si>
  <si>
    <t>F.01U.393.650</t>
  </si>
  <si>
    <t>F.01U.393.681</t>
  </si>
  <si>
    <t>F.01U.393.687</t>
  </si>
  <si>
    <t>F.01U.393.686</t>
  </si>
  <si>
    <t>F.01U.393.689</t>
  </si>
  <si>
    <t>F.01U.393.684</t>
  </si>
  <si>
    <t>F.01U.393.682</t>
  </si>
  <si>
    <t>F.01U.393.690</t>
  </si>
  <si>
    <t>F.01U.393.688</t>
  </si>
  <si>
    <t>F.01U.393.692</t>
  </si>
  <si>
    <t>F.01U.393.691</t>
  </si>
  <si>
    <t>F.01U.393.685</t>
  </si>
  <si>
    <t>F.01U.393.647</t>
  </si>
  <si>
    <t>F.01U.393.660</t>
  </si>
  <si>
    <t>MBV-XDVRPRO</t>
  </si>
  <si>
    <t>MBV-XCHANPRO</t>
  </si>
  <si>
    <t>MBV-XDURPRO</t>
  </si>
  <si>
    <t>MBV-XFOVPRO</t>
  </si>
  <si>
    <t>MBV-XINTPRO</t>
  </si>
  <si>
    <t>MBV-XKBDPRO</t>
  </si>
  <si>
    <t>MBV-XWSTPRO</t>
  </si>
  <si>
    <t>MBV-XPIPRO</t>
  </si>
  <si>
    <t>MBV-XSITEPRO</t>
  </si>
  <si>
    <t>MBV-XSUBPRO</t>
  </si>
  <si>
    <t>MBV-XLPRPRO</t>
  </si>
  <si>
    <t>MBV-XMVSPRO</t>
  </si>
  <si>
    <t>MBV-100WSTPRO</t>
  </si>
  <si>
    <t>F.01U.393.658</t>
  </si>
  <si>
    <t>F.01U.393.656</t>
  </si>
  <si>
    <t>F.01U.393.655</t>
  </si>
  <si>
    <t>F.01U.393.663</t>
  </si>
  <si>
    <t>F.01U.393.661</t>
  </si>
  <si>
    <t>F.01U.393.659</t>
  </si>
  <si>
    <t>F.01U.393.664</t>
  </si>
  <si>
    <t>F.01U.393.657</t>
  </si>
  <si>
    <t>F.01U.393.654</t>
  </si>
  <si>
    <t>F.01U.393.665</t>
  </si>
  <si>
    <t>F.01U.393.662</t>
  </si>
  <si>
    <t>F.01U.393.649</t>
  </si>
  <si>
    <t>Added BVMS 11.0 licenses</t>
  </si>
  <si>
    <t>2560x1440 (1)</t>
  </si>
  <si>
    <t>2560x1440 (2)</t>
  </si>
  <si>
    <t>Corrected stream calculations for Autodome IP 5100i and Autodome IP Inteox 7000i</t>
  </si>
  <si>
    <t>Updated licensing for DIVAR IP</t>
  </si>
  <si>
    <t>DIVAR IP AiO Plus for DIP AiO 7000 (32 channels, up to 256 channels)</t>
  </si>
  <si>
    <t>License Plus base for DIVAR IP AIO 7000</t>
  </si>
  <si>
    <t>F.01U.374.503</t>
  </si>
  <si>
    <t>Removed DIVAR IP 7000 R2 ordering info</t>
  </si>
  <si>
    <t>13.21.1</t>
  </si>
  <si>
    <t>Changed protection settings for BVMS checklist tab</t>
  </si>
  <si>
    <t>MIC-7604-Z12xR</t>
  </si>
  <si>
    <t>NDM-7702-A</t>
  </si>
  <si>
    <t>NDM-7703-A</t>
  </si>
  <si>
    <t>NDS-5703-F360</t>
  </si>
  <si>
    <t>NDS-5704-F360</t>
  </si>
  <si>
    <t>DIVAR IP all-in-one 4000 MANAGEMENT APPLIANCE 2X4TB</t>
  </si>
  <si>
    <t>DIVAR IP all-in-one 4000 MANAGEMENT APPLIANCE 2X8TB</t>
  </si>
  <si>
    <t>DIVAR IP all-in-one 4000 MANAGEMENT APPLIANCE 2X18TB</t>
  </si>
  <si>
    <t>DIVAR IP all-in-one 6000 MANAGEMENT APPLIANCE 4x4TB</t>
  </si>
  <si>
    <t>DIVAR IP all-in-one 6000 MANAGEMENT APPLIANCE 4x8TB</t>
  </si>
  <si>
    <t>DIVAR IP all-in-one 6000 MANAGEMENT APPLIANCE 4x18TB</t>
  </si>
  <si>
    <t>FLEXIDOME IP multi 7000i</t>
  </si>
  <si>
    <t>30fps 1536</t>
  </si>
  <si>
    <t>25fps 1536</t>
  </si>
  <si>
    <t>FLEXIDOME IP panoramic 5100i</t>
  </si>
  <si>
    <t>30fps 2112</t>
  </si>
  <si>
    <t>2112x2112</t>
  </si>
  <si>
    <t>720x720</t>
  </si>
  <si>
    <t>30fps 3008</t>
  </si>
  <si>
    <t>3008x3008</t>
  </si>
  <si>
    <t>3008x3008 (1)</t>
  </si>
  <si>
    <t>2112x2112 (2)</t>
  </si>
  <si>
    <t>2112x2112 (1)</t>
  </si>
  <si>
    <t>1792x1792 (1)</t>
  </si>
  <si>
    <t>1792x1792 (2)</t>
  </si>
  <si>
    <t>*</t>
  </si>
  <si>
    <t>1024x1024 (1)</t>
  </si>
  <si>
    <t>1024x1024 (2)</t>
  </si>
  <si>
    <t>720x720 (1)</t>
  </si>
  <si>
    <t>720x720 (2)</t>
  </si>
  <si>
    <t>3008x3008 (2)</t>
  </si>
  <si>
    <t>14.0.0</t>
  </si>
  <si>
    <t>Added Flexidome IP multi 7000i</t>
  </si>
  <si>
    <t>Added Flexidome IP panoramic 5100i</t>
  </si>
  <si>
    <t>Added DIVAR IP all-in-one 4000</t>
  </si>
  <si>
    <t>Added DIVAR IP all-in-one 6000</t>
  </si>
  <si>
    <t>Fixed storage selection list</t>
  </si>
  <si>
    <t>Select:</t>
  </si>
  <si>
    <t>License Map-based Tracking Assistant</t>
  </si>
  <si>
    <t>License Online maps</t>
  </si>
  <si>
    <t>BVMS Professional (8 channels, up to 2000 channels)</t>
  </si>
  <si>
    <t>BVMS Plus (8 channels, up to 256 channels)</t>
  </si>
  <si>
    <t>BVMS Lite (8 channels, up to 42 channels)</t>
  </si>
  <si>
    <t>DIVAR IP AiO Plus for DIP AiO 6000 (32 channels, up to 64 channels)</t>
  </si>
  <si>
    <t>License Plus base for DIVAR IP AIO 6000</t>
  </si>
  <si>
    <t>DIVAR IP AiO Lite for DIP AiO 4000 (32 channels, up to 32 channels)</t>
  </si>
  <si>
    <t>14.1.0</t>
  </si>
  <si>
    <t>Added Privacy overlay, Map-based Tracking, Online maps licenses</t>
  </si>
  <si>
    <t>Added BVMS 12.0 licenses</t>
  </si>
  <si>
    <t>30fps 2560</t>
  </si>
  <si>
    <t>2560x2560</t>
  </si>
  <si>
    <t>Please use the CPP_7_3 platform for CPP_13 and CPP_14 cameras as well.</t>
  </si>
  <si>
    <t>2560x2560 (1)</t>
  </si>
  <si>
    <t>2560x2560 (2)</t>
  </si>
  <si>
    <t>Updated available resolutions for Flexidome IP panoramic 5100i</t>
  </si>
  <si>
    <t>NBE-7702-ALX</t>
  </si>
  <si>
    <t>NBE-7703-ALX</t>
  </si>
  <si>
    <t>NBE-7704-AL</t>
  </si>
  <si>
    <t>DINION 7100i IR</t>
  </si>
  <si>
    <t>60fps 2688</t>
  </si>
  <si>
    <t>2688x1520</t>
  </si>
  <si>
    <t>2688x1520 (1)</t>
  </si>
  <si>
    <t>2688x1520 (2)</t>
  </si>
  <si>
    <t>1920x1080 (2)</t>
  </si>
  <si>
    <t>1920x1080 (1)</t>
  </si>
  <si>
    <t>30fps 1792</t>
  </si>
  <si>
    <t>30fps 2688</t>
  </si>
  <si>
    <t>License Lite base for DIVAR IP AIO 4000</t>
  </si>
  <si>
    <t>30fps 3840</t>
  </si>
  <si>
    <t>30fps 3264</t>
  </si>
  <si>
    <t>(based on line 273)</t>
  </si>
  <si>
    <t>Added Dinion 7100i</t>
  </si>
  <si>
    <t>Fixed Enterprise selection warnings</t>
  </si>
  <si>
    <t>NDP-7604-Z12L</t>
  </si>
  <si>
    <t>AUTODOME 7100i IR</t>
  </si>
  <si>
    <t>NDP-7602-Z40x</t>
  </si>
  <si>
    <t>Added Autodome 7100i</t>
  </si>
  <si>
    <t>DIVAR IP all-in-one 7000 MANAGEMENT APPLIANCE 16x18TB</t>
  </si>
  <si>
    <t>DIVAR IP all-in-one 7000 MANAGEMENT APPLIANCE 8x18TB</t>
  </si>
  <si>
    <t>F.01U.414.238</t>
  </si>
  <si>
    <t>F.01U.414.239</t>
  </si>
  <si>
    <t>F.01U.414.240</t>
  </si>
  <si>
    <t>MBV-FPRILIT</t>
  </si>
  <si>
    <t>MBV-FPRIPLU</t>
  </si>
  <si>
    <t>MBV-FPRIPRO</t>
  </si>
  <si>
    <t>License privacy overlay</t>
  </si>
  <si>
    <t>License Map-based tracking assistant</t>
  </si>
  <si>
    <t>License Online map functionality</t>
  </si>
  <si>
    <t>MBV-FOBJPRO</t>
  </si>
  <si>
    <t>MBV-FOBJPLU</t>
  </si>
  <si>
    <t>MBV-FOBJLIT</t>
  </si>
  <si>
    <t>MBV-FMAPPRO</t>
  </si>
  <si>
    <t>MBV-FMAPPLU</t>
  </si>
  <si>
    <t>MBV-FMAPLIT</t>
  </si>
  <si>
    <t>F.01U.393.651</t>
  </si>
  <si>
    <t>F.01U.393.652</t>
  </si>
  <si>
    <t>F.01U.393.653</t>
  </si>
  <si>
    <t>F.01U.395.078</t>
  </si>
  <si>
    <t>F.01U.395.079</t>
  </si>
  <si>
    <t>F.01U.395.080</t>
  </si>
  <si>
    <t>14.1.1</t>
  </si>
  <si>
    <t>Minor text/version corrections</t>
  </si>
  <si>
    <t>DIVAR IP all-in-one 7000 Gen 4 MANAGEMENT APPLIANCE 8x4TB</t>
  </si>
  <si>
    <t>DIVAR IP all-in-one 7000 Gen 4 MANAGEMENT APPLIANCE 8x8TB</t>
  </si>
  <si>
    <t>DIVAR IP all-in-one 7000 Gen 4 MANAGEMENT APPLIANCE 8x18TB</t>
  </si>
  <si>
    <t>DIVAR IP all-in-one 7000 Gen 4 MANAGEMENT APPLIANCE 12x18TB</t>
  </si>
  <si>
    <t>DIVAR IP all-in-one 7000 Gen 4 MANAGEMENT APPLIANCE 16x18TB</t>
  </si>
  <si>
    <t>14.2.0</t>
  </si>
  <si>
    <t>EOL DIVAR IP all-in-one 7000 Gen 3</t>
  </si>
  <si>
    <t>Added DIVAR IP all-in-one 7000 Gen 4</t>
  </si>
  <si>
    <t>14.2.1</t>
  </si>
  <si>
    <t>Fixed the limited planned installation date range</t>
  </si>
  <si>
    <t>NCE-7703-FK</t>
  </si>
  <si>
    <t>FLEXIDOME corner 7100i IR</t>
  </si>
  <si>
    <t>30fps 2816</t>
  </si>
  <si>
    <t>2816x2112</t>
  </si>
  <si>
    <t>2816x2112 (1)</t>
  </si>
  <si>
    <t>2816x2112 (2)</t>
  </si>
  <si>
    <t>2304x1728</t>
  </si>
  <si>
    <t>1920x1440</t>
  </si>
  <si>
    <t>2304x1728 (1)</t>
  </si>
  <si>
    <t>2304x1728 (2)</t>
  </si>
  <si>
    <t>1920x1440 (1)</t>
  </si>
  <si>
    <t>1920x1440 (2)</t>
  </si>
  <si>
    <t>1280x960 (1)</t>
  </si>
  <si>
    <t>1280x960 (2)</t>
  </si>
  <si>
    <t>15.0</t>
  </si>
  <si>
    <t>NDI-3703-A</t>
  </si>
  <si>
    <t>FLEXIDOME 3100i</t>
  </si>
  <si>
    <t>30fps 2592</t>
  </si>
  <si>
    <t>2592x1944</t>
  </si>
  <si>
    <t>30fps 2304</t>
  </si>
  <si>
    <t>NDE-3703-AL</t>
  </si>
  <si>
    <t>FLEXIDOME 3100i IR</t>
  </si>
  <si>
    <t>NDI-3702-A</t>
  </si>
  <si>
    <t>NDI-3702-AL</t>
  </si>
  <si>
    <t>FLEXIDOME micro 3100i</t>
  </si>
  <si>
    <t>NUV-3702</t>
  </si>
  <si>
    <t>NUV-3703</t>
  </si>
  <si>
    <t>DINION 3100i IR</t>
  </si>
  <si>
    <t>NBE-3702-AL</t>
  </si>
  <si>
    <t>NBE-3703-AL</t>
  </si>
  <si>
    <t>FLEXIDOME 5100i</t>
  </si>
  <si>
    <t>NDE-5702-A</t>
  </si>
  <si>
    <t>NDE-5703-A</t>
  </si>
  <si>
    <t>NDE-5704-A</t>
  </si>
  <si>
    <t>ONVIF</t>
  </si>
  <si>
    <t>NDE-5702-AL</t>
  </si>
  <si>
    <t>NDE-5703-AL</t>
  </si>
  <si>
    <t>NDE-5704-AL</t>
  </si>
  <si>
    <t>FLEXIDOME 8100i</t>
  </si>
  <si>
    <t>NDE-8703-RX</t>
  </si>
  <si>
    <t>NDE-8702-RX</t>
  </si>
  <si>
    <t>NDE-8704-RX</t>
  </si>
  <si>
    <t>NDE-8703-R</t>
  </si>
  <si>
    <t>NDP-7804-Z12</t>
  </si>
  <si>
    <t>NDP-7802-Z40x</t>
  </si>
  <si>
    <t>DINION 5100i IR</t>
  </si>
  <si>
    <t>DINION thermal 8100i</t>
  </si>
  <si>
    <t>NBT-8701</t>
  </si>
  <si>
    <t>Added Flexidome 3100i</t>
  </si>
  <si>
    <t>Added Dinion 3100i</t>
  </si>
  <si>
    <t>Added Flexidome 5100i</t>
  </si>
  <si>
    <t>Added Dinion 5100i</t>
  </si>
  <si>
    <t>Added Flexidome 8100i</t>
  </si>
  <si>
    <t>F.01U.358.975</t>
  </si>
  <si>
    <t>BVMS Lite 13.0</t>
  </si>
  <si>
    <t>BVMS Plus 13.0</t>
  </si>
  <si>
    <t>BVMS Professional 13.0</t>
  </si>
  <si>
    <t>BVMS Viewer 13.0</t>
  </si>
  <si>
    <t>13.0</t>
  </si>
  <si>
    <t>Added Flexidome corner 7100i</t>
  </si>
  <si>
    <t>Added Autodome 7100i (new models)</t>
  </si>
  <si>
    <t>Added Dinion thermal 8100i</t>
  </si>
  <si>
    <t>Updated BVMS licensing scheme (removed XKBD, XINT, XPRI, XDVR, XMVS licenses)</t>
  </si>
  <si>
    <t>We hereby confirm that no functionality has been offered/promised beyond the known features of BVMS 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</si>
</sst>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_(&quot;€&quot;* #,##0.00_);_(&quot;€&quot;* \(#,##0.00\);_(&quot;€&quot;* &quot;-&quot;??_);_(@_)"/>
    <numFmt numFmtId="165" formatCode="_(* #,##0.00_);_(* \(#,##0.00\);_(* &quot;-&quot;??_);_(@_)"/>
    <numFmt numFmtId="166" formatCode="0.0"/>
    <numFmt numFmtId="167" formatCode="0.000"/>
    <numFmt numFmtId="168" formatCode="0.0&quot; TB&quot;"/>
    <numFmt numFmtId="169" formatCode="_-* #,##0.00\ [$€-1]_-;\-* #,##0.00\ [$€-1]_-;_-* &quot;-&quot;??\ [$€-1]_-"/>
    <numFmt numFmtId="170" formatCode="#,##0\ &quot;GB&quot;"/>
    <numFmt numFmtId="171" formatCode="#,##0\ &quot;Byte&quot;"/>
    <numFmt numFmtId="172" formatCode="_-* #,##0\ _€_-;\-* #,##0\ _€_-;_-* &quot;-&quot;??\ _€_-;_-@_-"/>
    <numFmt numFmtId="173" formatCode="###,000"/>
    <numFmt numFmtId="174" formatCode="_ [$€-413]\ * #,##0.00_ ;_ [$€-413]\ * \-#,##0.00_ ;_ [$€-413]\ * &quot;-&quot;??_ ;_ @_ "/>
    <numFmt numFmtId="175" formatCode="[$-809]dd\ mmmm\ yyyy;@"/>
  </numFmts>
  <fonts count="102">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b/>
      <sz val="10"/>
      <name val="Arial"/>
      <family val="2"/>
    </font>
    <font>
      <b/>
      <u/>
      <sz val="10"/>
      <name val="Arial"/>
      <family val="2"/>
    </font>
    <font>
      <sz val="8"/>
      <name val="Arial"/>
      <family val="2"/>
    </font>
    <font>
      <u/>
      <sz val="10"/>
      <color indexed="12"/>
      <name val="Arial"/>
      <family val="2"/>
    </font>
    <font>
      <sz val="10"/>
      <name val="Arial"/>
      <family val="2"/>
    </font>
    <font>
      <sz val="9"/>
      <color indexed="63"/>
      <name val="Bosch Office Sans"/>
      <family val="2"/>
    </font>
    <font>
      <b/>
      <sz val="16"/>
      <name val="Arial"/>
      <family val="2"/>
    </font>
    <font>
      <b/>
      <sz val="14"/>
      <name val="Arial"/>
      <family val="2"/>
    </font>
    <font>
      <b/>
      <sz val="10"/>
      <color indexed="10"/>
      <name val="Arial"/>
      <family val="2"/>
    </font>
    <font>
      <b/>
      <sz val="12"/>
      <name val="Arial"/>
      <family val="2"/>
    </font>
    <font>
      <i/>
      <sz val="10"/>
      <name val="Arial"/>
      <family val="2"/>
    </font>
    <font>
      <b/>
      <i/>
      <sz val="12"/>
      <name val="Arial"/>
      <family val="2"/>
    </font>
    <font>
      <sz val="11"/>
      <name val="Arial"/>
      <family val="2"/>
    </font>
    <font>
      <sz val="10"/>
      <color indexed="22"/>
      <name val="Arial"/>
      <family val="2"/>
    </font>
    <font>
      <sz val="10"/>
      <color indexed="10"/>
      <name val="Arial"/>
      <family val="2"/>
    </font>
    <font>
      <sz val="10"/>
      <name val="AkzidenzGroteskBQ"/>
      <family val="2"/>
    </font>
    <font>
      <sz val="9"/>
      <name val="AkzidenzGroteskBQ"/>
      <family val="2"/>
    </font>
    <font>
      <sz val="9"/>
      <name val="Arial"/>
      <family val="2"/>
    </font>
    <font>
      <b/>
      <sz val="9"/>
      <name val="Arial"/>
      <family val="2"/>
    </font>
    <font>
      <b/>
      <sz val="10"/>
      <name val="AkzidenzGroteskBQ"/>
      <family val="2"/>
    </font>
    <font>
      <u/>
      <sz val="10"/>
      <name val="Arial"/>
      <family val="2"/>
    </font>
    <font>
      <sz val="10"/>
      <name val="宋体"/>
      <charset val="134"/>
    </font>
    <font>
      <sz val="10"/>
      <color indexed="22"/>
      <name val="Arial"/>
      <family val="2"/>
    </font>
    <font>
      <b/>
      <sz val="10"/>
      <color indexed="22"/>
      <name val="Arial"/>
      <family val="2"/>
    </font>
    <font>
      <sz val="10"/>
      <name val="Arial"/>
      <family val="2"/>
    </font>
    <font>
      <sz val="10"/>
      <color indexed="9"/>
      <name val="Arial"/>
      <family val="2"/>
    </font>
    <font>
      <sz val="10"/>
      <color indexed="9"/>
      <name val="Arial"/>
      <family val="2"/>
    </font>
    <font>
      <b/>
      <sz val="12"/>
      <color indexed="9"/>
      <name val="Arial"/>
      <family val="2"/>
    </font>
    <font>
      <b/>
      <sz val="12"/>
      <color indexed="9"/>
      <name val="Arial"/>
      <family val="2"/>
    </font>
    <font>
      <sz val="10"/>
      <color indexed="10"/>
      <name val="Arial"/>
      <family val="2"/>
    </font>
    <font>
      <b/>
      <sz val="11"/>
      <color indexed="9"/>
      <name val="Arial"/>
      <family val="2"/>
    </font>
    <font>
      <sz val="16"/>
      <name val="Arial"/>
      <family val="2"/>
    </font>
    <font>
      <b/>
      <sz val="9"/>
      <color indexed="10"/>
      <name val="Arial"/>
      <family val="2"/>
    </font>
    <font>
      <sz val="10"/>
      <name val="Arial"/>
      <family val="2"/>
    </font>
    <font>
      <sz val="10"/>
      <name val="Bosch Office Sans"/>
      <family val="2"/>
    </font>
    <font>
      <sz val="10"/>
      <color theme="0" tint="-0.249977111117893"/>
      <name val="Arial"/>
      <family val="2"/>
    </font>
    <font>
      <b/>
      <sz val="10"/>
      <color rgb="FFFF0000"/>
      <name val="Arial"/>
      <family val="2"/>
    </font>
    <font>
      <sz val="14"/>
      <color rgb="FFFF0000"/>
      <name val="Arial"/>
      <family val="2"/>
    </font>
    <font>
      <b/>
      <sz val="10"/>
      <color theme="1"/>
      <name val="Arial"/>
      <family val="2"/>
    </font>
    <font>
      <b/>
      <sz val="11"/>
      <color rgb="FF3333FF"/>
      <name val="Arial"/>
      <family val="2"/>
    </font>
    <font>
      <sz val="10"/>
      <color rgb="FF1F497D"/>
      <name val="Arial"/>
      <family val="2"/>
    </font>
    <font>
      <sz val="10"/>
      <color theme="0"/>
      <name val="Arial"/>
      <family val="2"/>
    </font>
    <font>
      <b/>
      <sz val="10"/>
      <color theme="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theme="0" tint="-0.499984740745262"/>
      <name val="Arial"/>
      <family val="2"/>
    </font>
    <font>
      <b/>
      <sz val="14"/>
      <color theme="1"/>
      <name val="Arial"/>
      <family val="2"/>
    </font>
    <font>
      <b/>
      <sz val="12"/>
      <color rgb="FFFF0000"/>
      <name val="Bosch Office Sans"/>
      <family val="2"/>
    </font>
    <font>
      <sz val="12"/>
      <color rgb="FFFF0000"/>
      <name val="Arial"/>
      <family val="2"/>
    </font>
    <font>
      <sz val="10"/>
      <color rgb="FF000000"/>
      <name val="Arial"/>
      <family val="2"/>
    </font>
    <font>
      <sz val="10"/>
      <color rgb="FFFF0000"/>
      <name val="Arial"/>
      <family val="2"/>
    </font>
    <font>
      <sz val="11"/>
      <color theme="1"/>
      <name val="Calibri"/>
      <family val="2"/>
      <scheme val="minor"/>
    </font>
    <font>
      <b/>
      <sz val="10"/>
      <color rgb="FF000000"/>
      <name val="Arial"/>
      <family val="2"/>
    </font>
    <font>
      <b/>
      <sz val="11"/>
      <color theme="1"/>
      <name val="Calibri"/>
      <family val="2"/>
      <scheme val="minor"/>
    </font>
    <font>
      <b/>
      <sz val="11"/>
      <name val="Calibri"/>
      <family val="2"/>
      <scheme val="minor"/>
    </font>
    <font>
      <b/>
      <sz val="18"/>
      <color theme="1"/>
      <name val="Calibri"/>
      <family val="2"/>
      <scheme val="minor"/>
    </font>
    <font>
      <sz val="11"/>
      <name val="Calibri"/>
      <family val="2"/>
      <scheme val="minor"/>
    </font>
    <font>
      <sz val="11"/>
      <color theme="9"/>
      <name val="Calibri"/>
      <family val="2"/>
      <scheme val="minor"/>
    </font>
    <font>
      <sz val="11"/>
      <color rgb="FFFF0000"/>
      <name val="Calibri"/>
      <family val="2"/>
      <scheme val="minor"/>
    </font>
    <font>
      <sz val="20"/>
      <color theme="1"/>
      <name val="Calibri"/>
      <family val="2"/>
      <scheme val="minor"/>
    </font>
    <font>
      <b/>
      <sz val="9"/>
      <color indexed="81"/>
      <name val="Segoe UI"/>
      <family val="2"/>
    </font>
    <font>
      <sz val="12"/>
      <name val="Arial"/>
      <family val="2"/>
    </font>
    <font>
      <sz val="9"/>
      <color indexed="81"/>
      <name val="Segoe UI"/>
      <family val="2"/>
    </font>
    <font>
      <sz val="8"/>
      <color rgb="FF1F497D"/>
      <name val="Verdana"/>
      <family val="2"/>
    </font>
    <font>
      <b/>
      <sz val="12"/>
      <color theme="1"/>
      <name val="Calibri"/>
      <family val="2"/>
      <scheme val="minor"/>
    </font>
    <font>
      <sz val="18"/>
      <color theme="1"/>
      <name val="Calibri"/>
      <family val="2"/>
      <scheme val="minor"/>
    </font>
    <font>
      <sz val="18"/>
      <name val="Arial"/>
      <family val="2"/>
    </font>
    <font>
      <b/>
      <sz val="12"/>
      <color rgb="FFFF0000"/>
      <name val="Calibri"/>
      <family val="2"/>
      <scheme val="minor"/>
    </font>
    <font>
      <b/>
      <sz val="12"/>
      <color rgb="FF000000"/>
      <name val="Calibri"/>
      <family val="2"/>
    </font>
    <font>
      <b/>
      <sz val="10"/>
      <color rgb="FFFF0000"/>
      <name val="AkzidenzGroteskBQ"/>
      <family val="2"/>
    </font>
    <font>
      <b/>
      <sz val="18"/>
      <color rgb="FFC00000"/>
      <name val="Arial"/>
      <family val="2"/>
    </font>
    <font>
      <sz val="10"/>
      <color rgb="FFC00000"/>
      <name val="Arial"/>
      <family val="2"/>
    </font>
    <font>
      <b/>
      <sz val="14"/>
      <color rgb="FFC00000"/>
      <name val="Arial"/>
      <family val="2"/>
    </font>
    <font>
      <b/>
      <sz val="10"/>
      <color rgb="FFC00000"/>
      <name val="Arial"/>
      <family val="2"/>
    </font>
    <font>
      <sz val="12"/>
      <color theme="0"/>
      <name val="Bosch Office Sans"/>
      <family val="2"/>
    </font>
    <font>
      <b/>
      <sz val="12"/>
      <color rgb="FFC00000"/>
      <name val="Bosch Office Sans"/>
      <family val="2"/>
    </font>
    <font>
      <u/>
      <sz val="10"/>
      <color theme="10"/>
      <name val="Arial"/>
      <family val="2"/>
    </font>
    <font>
      <b/>
      <u/>
      <sz val="14"/>
      <name val="Arial"/>
      <family val="2"/>
    </font>
    <font>
      <b/>
      <sz val="12"/>
      <color rgb="FFC00000"/>
      <name val="Arial"/>
      <family val="2"/>
    </font>
    <font>
      <sz val="12"/>
      <color rgb="FFC00000"/>
      <name val="Arial"/>
      <family val="2"/>
    </font>
    <font>
      <b/>
      <sz val="10"/>
      <color rgb="FFC00000"/>
      <name val="AkzidenzGroteskBQ"/>
      <family val="2"/>
    </font>
    <font>
      <sz val="10"/>
      <color theme="1"/>
      <name val="Calibri"/>
      <family val="2"/>
      <scheme val="minor"/>
    </font>
    <font>
      <b/>
      <sz val="11"/>
      <color rgb="FFC00000"/>
      <name val="Calibri"/>
      <family val="2"/>
      <scheme val="minor"/>
    </font>
    <font>
      <sz val="10"/>
      <color theme="0"/>
      <name val="Bosch Office Sans"/>
      <family val="2"/>
    </font>
    <font>
      <sz val="10"/>
      <name val="Arial"/>
      <family val="2"/>
    </font>
    <font>
      <sz val="8"/>
      <color theme="0"/>
      <name val="Arial"/>
      <family val="2"/>
    </font>
    <font>
      <b/>
      <u/>
      <sz val="14"/>
      <color theme="0"/>
      <name val="Arial"/>
      <family val="2"/>
    </font>
    <font>
      <b/>
      <sz val="10"/>
      <color theme="5"/>
      <name val="Arial"/>
      <family val="2"/>
    </font>
  </fonts>
  <fills count="3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46"/>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
      <patternFill patternType="solid">
        <fgColor rgb="FFFFFF00"/>
        <bgColor indexed="64"/>
      </patternFill>
    </fill>
    <fill>
      <patternFill patternType="solid">
        <fgColor rgb="FF7030A0"/>
        <bgColor indexed="64"/>
      </patternFill>
    </fill>
    <fill>
      <patternFill patternType="solid">
        <fgColor rgb="FFFFCC99"/>
      </patternFill>
    </fill>
    <fill>
      <patternFill patternType="solid">
        <fgColor rgb="FFF2F2F2"/>
      </patternFill>
    </fill>
    <fill>
      <patternFill patternType="solid">
        <fgColor theme="4"/>
      </patternFill>
    </fill>
    <fill>
      <patternFill patternType="solid">
        <fgColor theme="0" tint="-0.14999847407452621"/>
        <bgColor indexed="64"/>
      </patternFill>
    </fill>
    <fill>
      <patternFill patternType="solid">
        <fgColor rgb="FFFF000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0" tint="-0.499984740745262"/>
        <bgColor indexed="64"/>
      </patternFill>
    </fill>
    <fill>
      <patternFill patternType="solid">
        <fgColor rgb="FFFFC000"/>
        <bgColor indexed="64"/>
      </patternFill>
    </fill>
    <fill>
      <patternFill patternType="solid">
        <fgColor rgb="FFCC99FF"/>
        <bgColor indexed="64"/>
      </patternFill>
    </fill>
    <fill>
      <patternFill patternType="solid">
        <fgColor rgb="FFDBE5F1"/>
        <bgColor rgb="FFFFFFFF"/>
      </patternFill>
    </fill>
    <fill>
      <patternFill patternType="solid">
        <fgColor rgb="FFBFBFBF"/>
        <bgColor rgb="FF000000"/>
      </patternFill>
    </fill>
    <fill>
      <patternFill patternType="solid">
        <fgColor theme="1"/>
        <bgColor indexed="64"/>
      </patternFill>
    </fill>
    <fill>
      <patternFill patternType="solid">
        <fgColor rgb="FFC00000"/>
        <bgColor indexed="64"/>
      </patternFill>
    </fill>
    <fill>
      <patternFill patternType="solid">
        <fgColor rgb="FF969696"/>
        <bgColor indexed="64"/>
      </patternFill>
    </fill>
    <fill>
      <patternFill patternType="solid">
        <fgColor rgb="FF00B050"/>
        <bgColor indexed="64"/>
      </patternFill>
    </fill>
    <fill>
      <patternFill patternType="solid">
        <fgColor theme="3"/>
        <bgColor indexed="64"/>
      </patternFill>
    </fill>
    <fill>
      <patternFill patternType="solid">
        <fgColor theme="5"/>
        <bgColor indexed="64"/>
      </patternFill>
    </fill>
    <fill>
      <patternFill patternType="solid">
        <fgColor theme="7"/>
        <bgColor indexed="64"/>
      </patternFill>
    </fill>
    <fill>
      <patternFill patternType="solid">
        <fgColor theme="9"/>
        <bgColor indexed="64"/>
      </patternFill>
    </fill>
    <fill>
      <patternFill patternType="solid">
        <fgColor theme="9" tint="-0.249977111117893"/>
        <bgColor indexed="64"/>
      </patternFill>
    </fill>
    <fill>
      <patternFill patternType="solid">
        <fgColor rgb="FFFFFFFF"/>
        <bgColor indexed="64"/>
      </patternFill>
    </fill>
  </fills>
  <borders count="62">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3F3F3F"/>
      </left>
      <right style="medium">
        <color rgb="FF3F3F3F"/>
      </right>
      <top style="thin">
        <color rgb="FF3F3F3F"/>
      </top>
      <bottom style="medium">
        <color rgb="FF3F3F3F"/>
      </bottom>
      <diagonal/>
    </border>
    <border>
      <left style="medium">
        <color rgb="FF3F3F3F"/>
      </left>
      <right/>
      <top/>
      <bottom style="medium">
        <color rgb="FF3F3F3F"/>
      </bottom>
      <diagonal/>
    </border>
    <border>
      <left style="thin">
        <color rgb="FF3F3F3F"/>
      </left>
      <right style="medium">
        <color rgb="FF3F3F3F"/>
      </right>
      <top style="thin">
        <color rgb="FF3F3F3F"/>
      </top>
      <bottom style="thin">
        <color rgb="FF3F3F3F"/>
      </bottom>
      <diagonal/>
    </border>
    <border>
      <left style="medium">
        <color rgb="FF3F3F3F"/>
      </left>
      <right/>
      <top/>
      <bottom/>
      <diagonal/>
    </border>
    <border>
      <left style="thin">
        <color rgb="FF3F3F3F"/>
      </left>
      <right style="medium">
        <color rgb="FF3F3F3F"/>
      </right>
      <top style="medium">
        <color rgb="FF3F3F3F"/>
      </top>
      <bottom style="thin">
        <color rgb="FF3F3F3F"/>
      </bottom>
      <diagonal/>
    </border>
    <border>
      <left style="medium">
        <color rgb="FF3F3F3F"/>
      </left>
      <right/>
      <top style="medium">
        <color rgb="FF3F3F3F"/>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89">
    <xf numFmtId="0" fontId="0" fillId="0" borderId="0"/>
    <xf numFmtId="0" fontId="15" fillId="0" borderId="0" applyNumberFormat="0" applyFill="0" applyBorder="0" applyAlignment="0" applyProtection="0">
      <alignment vertical="top"/>
      <protection locked="0"/>
    </xf>
    <xf numFmtId="0" fontId="46" fillId="0" borderId="0"/>
    <xf numFmtId="0" fontId="28" fillId="0" borderId="0"/>
    <xf numFmtId="0" fontId="11" fillId="0" borderId="0"/>
    <xf numFmtId="9" fontId="11" fillId="0" borderId="0" applyFont="0" applyFill="0" applyBorder="0" applyAlignment="0" applyProtection="0"/>
    <xf numFmtId="0" fontId="11" fillId="0" borderId="0"/>
    <xf numFmtId="0" fontId="10" fillId="0" borderId="0"/>
    <xf numFmtId="0" fontId="11" fillId="0" borderId="0"/>
    <xf numFmtId="169" fontId="11" fillId="0" borderId="0" applyFont="0" applyFill="0" applyBorder="0" applyAlignment="0" applyProtection="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8" fillId="0" borderId="0"/>
    <xf numFmtId="0" fontId="55" fillId="11" borderId="39" applyNumberFormat="0" applyAlignment="0" applyProtection="0"/>
    <xf numFmtId="0" fontId="56" fillId="12" borderId="40" applyNumberFormat="0" applyAlignment="0" applyProtection="0"/>
    <xf numFmtId="0" fontId="57" fillId="12" borderId="39" applyNumberFormat="0" applyAlignment="0" applyProtection="0"/>
    <xf numFmtId="0" fontId="53" fillId="13" borderId="0" applyNumberFormat="0" applyBorder="0" applyAlignment="0" applyProtection="0"/>
    <xf numFmtId="0" fontId="7" fillId="0" borderId="0"/>
    <xf numFmtId="0" fontId="6" fillId="0" borderId="0"/>
    <xf numFmtId="0" fontId="65" fillId="0" borderId="0"/>
    <xf numFmtId="0" fontId="4" fillId="0" borderId="0"/>
    <xf numFmtId="0" fontId="4" fillId="0" borderId="0"/>
    <xf numFmtId="173" fontId="77" fillId="21" borderId="58" applyNumberFormat="0" applyAlignment="0" applyProtection="0">
      <alignment horizontal="left" vertical="center" indent="1"/>
    </xf>
    <xf numFmtId="0" fontId="11" fillId="0" borderId="0"/>
    <xf numFmtId="0" fontId="90"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alignment vertical="top"/>
      <protection locked="0"/>
    </xf>
    <xf numFmtId="0" fontId="3" fillId="0" borderId="0"/>
    <xf numFmtId="0" fontId="3" fillId="0" borderId="0"/>
    <xf numFmtId="165"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165"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98" fillId="0" borderId="0" applyFont="0" applyFill="0" applyBorder="0" applyAlignment="0" applyProtection="0"/>
  </cellStyleXfs>
  <cellXfs count="698">
    <xf numFmtId="0" fontId="0" fillId="0" borderId="0" xfId="0"/>
    <xf numFmtId="0" fontId="0" fillId="0" borderId="0" xfId="0" applyProtection="1"/>
    <xf numFmtId="0" fontId="16" fillId="2" borderId="0" xfId="0" applyFont="1" applyFill="1" applyProtection="1"/>
    <xf numFmtId="0" fontId="0" fillId="2" borderId="0" xfId="0" applyFill="1" applyProtection="1"/>
    <xf numFmtId="0" fontId="16" fillId="0" borderId="0" xfId="0" applyFont="1" applyProtection="1"/>
    <xf numFmtId="0" fontId="11" fillId="2" borderId="0" xfId="0" applyFont="1" applyFill="1" applyProtection="1"/>
    <xf numFmtId="0" fontId="21" fillId="0" borderId="0" xfId="0" applyFont="1"/>
    <xf numFmtId="0" fontId="12" fillId="0" borderId="0" xfId="0" applyFont="1" applyFill="1"/>
    <xf numFmtId="0" fontId="0" fillId="0" borderId="0" xfId="0" applyFill="1"/>
    <xf numFmtId="0" fontId="11" fillId="0" borderId="12" xfId="0" applyFont="1" applyFill="1" applyBorder="1" applyProtection="1">
      <protection locked="0"/>
    </xf>
    <xf numFmtId="3" fontId="0" fillId="0" borderId="12" xfId="0" applyNumberFormat="1" applyFill="1" applyBorder="1" applyProtection="1">
      <protection locked="0"/>
    </xf>
    <xf numFmtId="0" fontId="16" fillId="0" borderId="0" xfId="0" applyFont="1" applyFill="1"/>
    <xf numFmtId="0" fontId="0" fillId="0" borderId="12" xfId="0" applyFill="1" applyBorder="1" applyProtection="1">
      <protection locked="0"/>
    </xf>
    <xf numFmtId="0" fontId="11" fillId="0" borderId="0" xfId="0" applyFont="1" applyFill="1" applyBorder="1"/>
    <xf numFmtId="166" fontId="11" fillId="0" borderId="0" xfId="0" applyNumberFormat="1" applyFont="1" applyFill="1" applyBorder="1"/>
    <xf numFmtId="0" fontId="0" fillId="0" borderId="0" xfId="0" applyFill="1" applyAlignment="1">
      <alignment horizontal="right"/>
    </xf>
    <xf numFmtId="1" fontId="11" fillId="0" borderId="0" xfId="0" applyNumberFormat="1" applyFont="1" applyFill="1" applyBorder="1"/>
    <xf numFmtId="0" fontId="22" fillId="0" borderId="0" xfId="0" applyFont="1" applyAlignment="1">
      <alignment horizontal="right"/>
    </xf>
    <xf numFmtId="9" fontId="22" fillId="0" borderId="0" xfId="5" applyFont="1"/>
    <xf numFmtId="0" fontId="0" fillId="0" borderId="0" xfId="0" applyFill="1" applyBorder="1" applyProtection="1"/>
    <xf numFmtId="0" fontId="28" fillId="0" borderId="0" xfId="3"/>
    <xf numFmtId="0" fontId="28" fillId="0" borderId="0" xfId="3" applyFont="1"/>
    <xf numFmtId="0" fontId="40" fillId="4" borderId="12" xfId="0" applyNumberFormat="1" applyFont="1" applyFill="1" applyBorder="1" applyAlignment="1" applyProtection="1">
      <alignment horizontal="center" vertical="center"/>
    </xf>
    <xf numFmtId="0" fontId="0" fillId="2" borderId="25" xfId="0" applyFill="1" applyBorder="1" applyProtection="1"/>
    <xf numFmtId="0" fontId="0" fillId="0" borderId="0" xfId="0" applyNumberFormat="1" applyProtection="1"/>
    <xf numFmtId="0" fontId="0" fillId="7" borderId="0" xfId="0" applyFill="1"/>
    <xf numFmtId="0" fontId="0" fillId="0" borderId="0" xfId="0" applyAlignment="1" applyProtection="1">
      <alignment horizontal="center" vertical="center"/>
    </xf>
    <xf numFmtId="0" fontId="11" fillId="0" borderId="0" xfId="0" applyFont="1" applyProtection="1"/>
    <xf numFmtId="0" fontId="11" fillId="0" borderId="0" xfId="3" applyNumberFormat="1" applyFont="1" applyFill="1" applyBorder="1" applyAlignment="1">
      <alignment horizontal="left" vertical="center"/>
    </xf>
    <xf numFmtId="0" fontId="11" fillId="0" borderId="0" xfId="0" applyFont="1"/>
    <xf numFmtId="168" fontId="42" fillId="4" borderId="12" xfId="0" applyNumberFormat="1" applyFont="1" applyFill="1" applyBorder="1" applyAlignment="1" applyProtection="1">
      <alignment horizontal="center" vertical="center"/>
    </xf>
    <xf numFmtId="0" fontId="0" fillId="0" borderId="0" xfId="0" applyFont="1" applyProtection="1"/>
    <xf numFmtId="0" fontId="11" fillId="7" borderId="0" xfId="0" applyFont="1" applyFill="1"/>
    <xf numFmtId="0" fontId="52" fillId="0" borderId="0" xfId="0" applyFont="1" applyAlignment="1">
      <alignment horizontal="left" indent="4"/>
    </xf>
    <xf numFmtId="14" fontId="11" fillId="0" borderId="0" xfId="0" applyNumberFormat="1" applyFont="1"/>
    <xf numFmtId="14" fontId="0" fillId="0" borderId="0" xfId="0" applyNumberFormat="1"/>
    <xf numFmtId="0" fontId="7" fillId="0" borderId="0" xfId="28"/>
    <xf numFmtId="170" fontId="7" fillId="0" borderId="0" xfId="28" applyNumberFormat="1"/>
    <xf numFmtId="171" fontId="7" fillId="0" borderId="0" xfId="28" applyNumberFormat="1"/>
    <xf numFmtId="0" fontId="5" fillId="0" borderId="0" xfId="28" applyFont="1"/>
    <xf numFmtId="0" fontId="7" fillId="0" borderId="0" xfId="28" applyProtection="1">
      <protection locked="0"/>
    </xf>
    <xf numFmtId="0" fontId="60" fillId="0" borderId="0" xfId="28" applyFont="1" applyProtection="1">
      <protection locked="0"/>
    </xf>
    <xf numFmtId="3" fontId="55" fillId="11" borderId="39" xfId="24" applyNumberFormat="1" applyProtection="1">
      <protection locked="0"/>
    </xf>
    <xf numFmtId="172" fontId="7" fillId="0" borderId="0" xfId="28" applyNumberFormat="1" applyProtection="1">
      <protection locked="0"/>
    </xf>
    <xf numFmtId="0" fontId="55" fillId="11" borderId="39" xfId="24" applyProtection="1">
      <protection locked="0"/>
    </xf>
    <xf numFmtId="0" fontId="5" fillId="0" borderId="0" xfId="28" applyFont="1" applyProtection="1">
      <protection locked="0"/>
    </xf>
    <xf numFmtId="0" fontId="54" fillId="13" borderId="0" xfId="27" applyFont="1" applyAlignment="1" applyProtection="1">
      <alignment horizontal="center"/>
      <protection locked="0"/>
    </xf>
    <xf numFmtId="0" fontId="50" fillId="0" borderId="0" xfId="28" applyFont="1" applyProtection="1">
      <protection locked="0"/>
    </xf>
    <xf numFmtId="0" fontId="7" fillId="0" borderId="46" xfId="28" applyBorder="1" applyProtection="1">
      <protection locked="0"/>
    </xf>
    <xf numFmtId="166" fontId="56" fillId="12" borderId="45" xfId="25" applyNumberFormat="1" applyBorder="1" applyProtection="1">
      <protection locked="0"/>
    </xf>
    <xf numFmtId="0" fontId="7" fillId="0" borderId="44" xfId="28" applyBorder="1" applyProtection="1">
      <protection locked="0"/>
    </xf>
    <xf numFmtId="166" fontId="56" fillId="12" borderId="43" xfId="25" applyNumberFormat="1" applyBorder="1" applyProtection="1">
      <protection locked="0"/>
    </xf>
    <xf numFmtId="0" fontId="7" fillId="0" borderId="42" xfId="28" applyBorder="1" applyProtection="1">
      <protection locked="0"/>
    </xf>
    <xf numFmtId="166" fontId="56" fillId="12" borderId="41" xfId="25" applyNumberFormat="1" applyBorder="1" applyProtection="1">
      <protection locked="0"/>
    </xf>
    <xf numFmtId="0" fontId="59" fillId="0" borderId="0" xfId="28" applyFont="1" applyProtection="1">
      <protection locked="0"/>
    </xf>
    <xf numFmtId="0" fontId="58" fillId="12" borderId="39" xfId="26" applyFont="1" applyProtection="1">
      <protection locked="0"/>
    </xf>
    <xf numFmtId="1" fontId="58" fillId="12" borderId="39" xfId="26" applyNumberFormat="1" applyFont="1" applyProtection="1">
      <protection locked="0"/>
    </xf>
    <xf numFmtId="0" fontId="65" fillId="0" borderId="0" xfId="30"/>
    <xf numFmtId="166" fontId="65" fillId="0" borderId="0" xfId="30" applyNumberFormat="1"/>
    <xf numFmtId="1" fontId="65" fillId="0" borderId="0" xfId="30" applyNumberFormat="1"/>
    <xf numFmtId="0" fontId="65" fillId="0" borderId="0" xfId="30" applyAlignment="1">
      <alignment horizontal="left"/>
    </xf>
    <xf numFmtId="0" fontId="63" fillId="0" borderId="0" xfId="30" applyFont="1" applyBorder="1" applyAlignment="1">
      <alignment horizontal="right" vertical="center"/>
    </xf>
    <xf numFmtId="0" fontId="63" fillId="0" borderId="0" xfId="30" applyFont="1" applyBorder="1" applyAlignment="1">
      <alignment vertical="center"/>
    </xf>
    <xf numFmtId="0" fontId="66" fillId="0" borderId="0" xfId="30" applyFont="1" applyBorder="1" applyAlignment="1">
      <alignment horizontal="right" vertical="center"/>
    </xf>
    <xf numFmtId="0" fontId="66" fillId="0" borderId="0" xfId="30" applyFont="1" applyBorder="1" applyAlignment="1">
      <alignment vertical="center"/>
    </xf>
    <xf numFmtId="0" fontId="65" fillId="9" borderId="0" xfId="30" applyFill="1" applyAlignment="1">
      <alignment horizontal="left"/>
    </xf>
    <xf numFmtId="3" fontId="65" fillId="0" borderId="0" xfId="30" applyNumberFormat="1"/>
    <xf numFmtId="2" fontId="65" fillId="0" borderId="0" xfId="30" applyNumberFormat="1"/>
    <xf numFmtId="0" fontId="65" fillId="0" borderId="0" xfId="30" applyBorder="1"/>
    <xf numFmtId="0" fontId="65" fillId="0" borderId="21" xfId="30" applyBorder="1"/>
    <xf numFmtId="0" fontId="65" fillId="0" borderId="0" xfId="30" applyFill="1" applyBorder="1"/>
    <xf numFmtId="0" fontId="65" fillId="9" borderId="0" xfId="30" applyFill="1"/>
    <xf numFmtId="0" fontId="67" fillId="0" borderId="0" xfId="30" applyFont="1"/>
    <xf numFmtId="0" fontId="68" fillId="14" borderId="16" xfId="30" applyFont="1" applyFill="1" applyBorder="1"/>
    <xf numFmtId="0" fontId="68" fillId="14" borderId="13" xfId="30" applyFont="1" applyFill="1" applyBorder="1"/>
    <xf numFmtId="0" fontId="68" fillId="14" borderId="15" xfId="30" applyFont="1" applyFill="1" applyBorder="1"/>
    <xf numFmtId="0" fontId="68" fillId="14" borderId="0" xfId="30" applyFont="1" applyFill="1" applyBorder="1"/>
    <xf numFmtId="0" fontId="67" fillId="0" borderId="20" xfId="30" applyFont="1" applyBorder="1" applyAlignment="1">
      <alignment horizontal="center"/>
    </xf>
    <xf numFmtId="0" fontId="65" fillId="0" borderId="27" xfId="30" applyBorder="1"/>
    <xf numFmtId="0" fontId="65" fillId="0" borderId="26" xfId="30" applyBorder="1"/>
    <xf numFmtId="0" fontId="65" fillId="0" borderId="38" xfId="30" applyBorder="1"/>
    <xf numFmtId="0" fontId="65" fillId="0" borderId="25" xfId="30" applyBorder="1"/>
    <xf numFmtId="1" fontId="65" fillId="0" borderId="0" xfId="30" applyNumberFormat="1" applyBorder="1"/>
    <xf numFmtId="0" fontId="65" fillId="0" borderId="22" xfId="30" applyBorder="1"/>
    <xf numFmtId="0" fontId="65" fillId="0" borderId="18" xfId="30" applyBorder="1"/>
    <xf numFmtId="0" fontId="65" fillId="0" borderId="20" xfId="30" applyBorder="1"/>
    <xf numFmtId="0" fontId="67" fillId="0" borderId="20" xfId="30" applyFont="1" applyBorder="1"/>
    <xf numFmtId="0" fontId="65" fillId="0" borderId="16" xfId="30" applyBorder="1"/>
    <xf numFmtId="0" fontId="65" fillId="0" borderId="13" xfId="30" applyBorder="1"/>
    <xf numFmtId="0" fontId="65" fillId="0" borderId="15" xfId="30" applyBorder="1"/>
    <xf numFmtId="0" fontId="65" fillId="0" borderId="19" xfId="30" applyBorder="1" applyAlignment="1">
      <alignment horizontal="right"/>
    </xf>
    <xf numFmtId="0" fontId="65" fillId="0" borderId="0" xfId="30" applyBorder="1" applyAlignment="1">
      <alignment horizontal="right"/>
    </xf>
    <xf numFmtId="0" fontId="65" fillId="0" borderId="0" xfId="30" applyFill="1" applyBorder="1" applyAlignment="1">
      <alignment horizontal="right"/>
    </xf>
    <xf numFmtId="0" fontId="65" fillId="0" borderId="0" xfId="30" applyBorder="1" applyAlignment="1">
      <alignment horizontal="left"/>
    </xf>
    <xf numFmtId="0" fontId="67" fillId="0" borderId="21" xfId="30" applyFont="1" applyBorder="1"/>
    <xf numFmtId="0" fontId="68" fillId="14" borderId="0" xfId="30" applyNumberFormat="1" applyFont="1" applyFill="1" applyBorder="1"/>
    <xf numFmtId="0" fontId="70" fillId="14" borderId="0" xfId="30" applyNumberFormat="1" applyFont="1" applyFill="1" applyBorder="1"/>
    <xf numFmtId="0" fontId="68" fillId="14" borderId="21" xfId="30" applyFont="1" applyFill="1" applyBorder="1"/>
    <xf numFmtId="0" fontId="71" fillId="0" borderId="0" xfId="30" applyFont="1" applyFill="1" applyBorder="1"/>
    <xf numFmtId="0" fontId="71" fillId="0" borderId="0" xfId="30" applyFont="1" applyBorder="1"/>
    <xf numFmtId="0" fontId="70" fillId="14" borderId="19" xfId="30" applyNumberFormat="1" applyFont="1" applyFill="1" applyBorder="1" applyAlignment="1">
      <alignment horizontal="right"/>
    </xf>
    <xf numFmtId="0" fontId="70" fillId="14" borderId="0" xfId="30" applyNumberFormat="1" applyFont="1" applyFill="1" applyBorder="1" applyAlignment="1">
      <alignment horizontal="right"/>
    </xf>
    <xf numFmtId="0" fontId="65" fillId="0" borderId="19" xfId="30" applyBorder="1"/>
    <xf numFmtId="0" fontId="72" fillId="0" borderId="0" xfId="30" applyFont="1" applyBorder="1"/>
    <xf numFmtId="0" fontId="65" fillId="0" borderId="21" xfId="30" applyFill="1" applyBorder="1"/>
    <xf numFmtId="0" fontId="70" fillId="0" borderId="0" xfId="30" applyNumberFormat="1" applyFont="1" applyBorder="1"/>
    <xf numFmtId="0" fontId="70" fillId="0" borderId="0" xfId="30" applyFont="1" applyBorder="1"/>
    <xf numFmtId="0" fontId="65" fillId="8" borderId="7" xfId="30" applyFill="1" applyBorder="1"/>
    <xf numFmtId="0" fontId="65" fillId="8" borderId="6" xfId="30" applyFill="1" applyBorder="1"/>
    <xf numFmtId="0" fontId="65" fillId="8" borderId="5" xfId="30" applyFill="1" applyBorder="1"/>
    <xf numFmtId="0" fontId="65" fillId="8" borderId="4" xfId="30" applyFill="1" applyBorder="1"/>
    <xf numFmtId="0" fontId="65" fillId="8" borderId="51" xfId="30" applyFill="1" applyBorder="1"/>
    <xf numFmtId="0" fontId="65" fillId="8" borderId="52" xfId="30" applyFill="1" applyBorder="1"/>
    <xf numFmtId="0" fontId="72" fillId="14" borderId="0" xfId="30" applyFont="1" applyFill="1" applyBorder="1"/>
    <xf numFmtId="0" fontId="65" fillId="0" borderId="24" xfId="30" applyFill="1" applyBorder="1"/>
    <xf numFmtId="0" fontId="65" fillId="0" borderId="7" xfId="30" applyBorder="1"/>
    <xf numFmtId="0" fontId="65" fillId="0" borderId="6" xfId="30" applyBorder="1"/>
    <xf numFmtId="0" fontId="65" fillId="0" borderId="1" xfId="30" applyBorder="1"/>
    <xf numFmtId="0" fontId="65" fillId="0" borderId="50" xfId="30" applyBorder="1"/>
    <xf numFmtId="0" fontId="65" fillId="0" borderId="14" xfId="30" applyFill="1" applyBorder="1"/>
    <xf numFmtId="0" fontId="65" fillId="0" borderId="5" xfId="30" applyBorder="1"/>
    <xf numFmtId="0" fontId="65" fillId="0" borderId="4" xfId="30" applyBorder="1"/>
    <xf numFmtId="0" fontId="65" fillId="0" borderId="17" xfId="30" applyBorder="1"/>
    <xf numFmtId="0" fontId="67" fillId="14" borderId="14" xfId="30" applyFont="1" applyFill="1" applyBorder="1" applyAlignment="1">
      <alignment horizontal="right"/>
    </xf>
    <xf numFmtId="0" fontId="67" fillId="14" borderId="5" xfId="30" applyFont="1" applyFill="1" applyBorder="1" applyAlignment="1">
      <alignment horizontal="right"/>
    </xf>
    <xf numFmtId="0" fontId="67" fillId="14" borderId="4" xfId="30" applyFont="1" applyFill="1" applyBorder="1" applyAlignment="1">
      <alignment horizontal="right"/>
    </xf>
    <xf numFmtId="0" fontId="67" fillId="14" borderId="0" xfId="30" applyFont="1" applyFill="1" applyBorder="1" applyAlignment="1">
      <alignment horizontal="right"/>
    </xf>
    <xf numFmtId="0" fontId="67" fillId="14" borderId="17" xfId="30" applyFont="1" applyFill="1" applyBorder="1"/>
    <xf numFmtId="0" fontId="67" fillId="14" borderId="53" xfId="30" applyFont="1" applyFill="1" applyBorder="1" applyAlignment="1">
      <alignment horizontal="center"/>
    </xf>
    <xf numFmtId="0" fontId="67" fillId="14" borderId="55" xfId="30" applyFont="1" applyFill="1" applyBorder="1"/>
    <xf numFmtId="0" fontId="67" fillId="14" borderId="0" xfId="30" applyFont="1" applyFill="1" applyBorder="1"/>
    <xf numFmtId="0" fontId="67" fillId="14" borderId="21" xfId="30" applyFont="1" applyFill="1" applyBorder="1"/>
    <xf numFmtId="0" fontId="65" fillId="19" borderId="0" xfId="30" applyFill="1"/>
    <xf numFmtId="1" fontId="65" fillId="19" borderId="0" xfId="30" applyNumberFormat="1" applyFill="1"/>
    <xf numFmtId="166" fontId="65" fillId="19" borderId="0" xfId="30" applyNumberFormat="1" applyFill="1"/>
    <xf numFmtId="0" fontId="65" fillId="19" borderId="0" xfId="30" applyFill="1" applyAlignment="1">
      <alignment horizontal="center" vertical="center"/>
    </xf>
    <xf numFmtId="3" fontId="65" fillId="19" borderId="0" xfId="30" applyNumberFormat="1" applyFill="1"/>
    <xf numFmtId="0" fontId="65" fillId="19" borderId="0" xfId="30" applyFill="1" applyBorder="1"/>
    <xf numFmtId="0" fontId="65" fillId="19" borderId="0" xfId="30" applyFill="1" applyAlignment="1">
      <alignment horizontal="left"/>
    </xf>
    <xf numFmtId="0" fontId="65" fillId="19" borderId="21" xfId="30" applyFill="1" applyBorder="1"/>
    <xf numFmtId="2" fontId="65" fillId="19" borderId="0" xfId="30" applyNumberFormat="1" applyFill="1"/>
    <xf numFmtId="0" fontId="65" fillId="0" borderId="0" xfId="30" applyFill="1" applyAlignment="1">
      <alignment horizontal="left"/>
    </xf>
    <xf numFmtId="0" fontId="65" fillId="0" borderId="0" xfId="30" quotePrefix="1"/>
    <xf numFmtId="1" fontId="65" fillId="0" borderId="18" xfId="30" applyNumberFormat="1" applyBorder="1"/>
    <xf numFmtId="166" fontId="65" fillId="0" borderId="18" xfId="30" applyNumberFormat="1" applyBorder="1"/>
    <xf numFmtId="4" fontId="21" fillId="16" borderId="0" xfId="0" applyNumberFormat="1" applyFont="1" applyFill="1" applyBorder="1" applyAlignment="1" applyProtection="1">
      <alignment horizontal="center"/>
    </xf>
    <xf numFmtId="3" fontId="21" fillId="16" borderId="0" xfId="0" applyNumberFormat="1" applyFont="1" applyFill="1" applyBorder="1" applyAlignment="1" applyProtection="1">
      <alignment horizontal="center"/>
    </xf>
    <xf numFmtId="0" fontId="69" fillId="0" borderId="0" xfId="30" applyFont="1" applyFill="1" applyBorder="1" applyAlignment="1">
      <alignment vertical="top" wrapText="1"/>
    </xf>
    <xf numFmtId="0" fontId="45" fillId="0" borderId="0" xfId="0" applyFont="1" applyFill="1" applyBorder="1" applyAlignment="1" applyProtection="1"/>
    <xf numFmtId="3" fontId="45" fillId="0" borderId="0" xfId="0" applyNumberFormat="1" applyFont="1" applyFill="1" applyBorder="1" applyAlignment="1" applyProtection="1"/>
    <xf numFmtId="0" fontId="45" fillId="16" borderId="0" xfId="0" applyFont="1" applyFill="1" applyBorder="1" applyAlignment="1" applyProtection="1"/>
    <xf numFmtId="0" fontId="21" fillId="16" borderId="0" xfId="0" applyFont="1" applyFill="1" applyBorder="1" applyAlignment="1" applyProtection="1">
      <alignment horizontal="center"/>
    </xf>
    <xf numFmtId="0" fontId="12" fillId="16" borderId="0" xfId="0" applyFont="1" applyFill="1" applyBorder="1" applyAlignment="1" applyProtection="1"/>
    <xf numFmtId="4" fontId="21" fillId="16" borderId="32" xfId="0" applyNumberFormat="1" applyFont="1" applyFill="1" applyBorder="1" applyAlignment="1" applyProtection="1">
      <alignment horizontal="center"/>
    </xf>
    <xf numFmtId="3" fontId="21" fillId="16" borderId="31" xfId="0" applyNumberFormat="1" applyFont="1" applyFill="1" applyBorder="1" applyAlignment="1" applyProtection="1">
      <alignment horizontal="center"/>
    </xf>
    <xf numFmtId="4" fontId="21" fillId="16" borderId="33" xfId="0" applyNumberFormat="1" applyFont="1" applyFill="1" applyBorder="1" applyAlignment="1" applyProtection="1">
      <alignment horizontal="center"/>
    </xf>
    <xf numFmtId="0" fontId="21" fillId="16" borderId="29" xfId="0" applyFont="1" applyFill="1" applyBorder="1" applyAlignment="1" applyProtection="1">
      <alignment horizontal="center" vertical="center"/>
    </xf>
    <xf numFmtId="4" fontId="12" fillId="16" borderId="30" xfId="0" applyNumberFormat="1" applyFont="1" applyFill="1" applyBorder="1" applyAlignment="1" applyProtection="1">
      <alignment horizontal="center" vertical="center"/>
    </xf>
    <xf numFmtId="0" fontId="68" fillId="16" borderId="32" xfId="30" applyFont="1" applyFill="1" applyBorder="1" applyAlignment="1">
      <alignment horizontal="center" vertical="center"/>
    </xf>
    <xf numFmtId="4" fontId="12" fillId="16" borderId="31" xfId="0" applyNumberFormat="1" applyFont="1" applyFill="1" applyBorder="1" applyAlignment="1" applyProtection="1">
      <alignment horizontal="center" vertical="center"/>
    </xf>
    <xf numFmtId="0" fontId="68" fillId="16" borderId="33" xfId="30" applyFont="1" applyFill="1" applyBorder="1" applyAlignment="1">
      <alignment horizontal="center" vertical="center"/>
    </xf>
    <xf numFmtId="0" fontId="21" fillId="16" borderId="28" xfId="0" applyFont="1" applyFill="1" applyBorder="1" applyAlignment="1" applyProtection="1">
      <alignment horizontal="center"/>
    </xf>
    <xf numFmtId="3" fontId="21" fillId="18" borderId="34" xfId="0" applyNumberFormat="1" applyFont="1" applyFill="1" applyBorder="1" applyAlignment="1" applyProtection="1">
      <alignment horizontal="center"/>
    </xf>
    <xf numFmtId="4" fontId="21" fillId="16" borderId="29" xfId="0" applyNumberFormat="1" applyFont="1" applyFill="1" applyBorder="1" applyAlignment="1" applyProtection="1">
      <alignment horizontal="center"/>
    </xf>
    <xf numFmtId="0" fontId="75" fillId="20" borderId="30" xfId="4" applyFont="1" applyFill="1" applyBorder="1" applyAlignment="1" applyProtection="1">
      <alignment horizontal="center"/>
      <protection locked="0"/>
    </xf>
    <xf numFmtId="0" fontId="75" fillId="20" borderId="31" xfId="4" applyFont="1" applyFill="1" applyBorder="1" applyAlignment="1" applyProtection="1">
      <alignment horizontal="center"/>
      <protection locked="0"/>
    </xf>
    <xf numFmtId="0" fontId="45" fillId="16" borderId="21" xfId="0" applyFont="1" applyFill="1" applyBorder="1" applyAlignment="1" applyProtection="1"/>
    <xf numFmtId="0" fontId="45" fillId="16" borderId="19" xfId="0" applyFont="1" applyFill="1" applyBorder="1" applyAlignment="1" applyProtection="1"/>
    <xf numFmtId="0" fontId="45" fillId="16" borderId="15" xfId="0" applyFont="1" applyFill="1" applyBorder="1" applyAlignment="1" applyProtection="1"/>
    <xf numFmtId="0" fontId="45" fillId="16" borderId="13" xfId="0" applyFont="1" applyFill="1" applyBorder="1" applyAlignment="1" applyProtection="1"/>
    <xf numFmtId="4" fontId="12" fillId="16" borderId="13" xfId="0" applyNumberFormat="1" applyFont="1" applyFill="1" applyBorder="1" applyAlignment="1" applyProtection="1"/>
    <xf numFmtId="0" fontId="12" fillId="16" borderId="13" xfId="0" applyFont="1" applyFill="1" applyBorder="1" applyAlignment="1" applyProtection="1"/>
    <xf numFmtId="0" fontId="45" fillId="16" borderId="16" xfId="0" applyFont="1" applyFill="1" applyBorder="1" applyAlignment="1" applyProtection="1"/>
    <xf numFmtId="4" fontId="21" fillId="16" borderId="50" xfId="0" applyNumberFormat="1" applyFont="1" applyFill="1" applyBorder="1" applyAlignment="1" applyProtection="1">
      <alignment horizontal="center"/>
    </xf>
    <xf numFmtId="3" fontId="21" fillId="16" borderId="35" xfId="0" applyNumberFormat="1" applyFont="1" applyFill="1" applyBorder="1" applyAlignment="1" applyProtection="1">
      <alignment horizontal="center"/>
    </xf>
    <xf numFmtId="0" fontId="21" fillId="16" borderId="37" xfId="0" applyFont="1" applyFill="1" applyBorder="1" applyAlignment="1" applyProtection="1">
      <alignment horizontal="center"/>
    </xf>
    <xf numFmtId="0" fontId="75" fillId="16" borderId="56" xfId="0" applyFont="1" applyFill="1" applyBorder="1" applyAlignment="1" applyProtection="1">
      <alignment horizontal="center"/>
    </xf>
    <xf numFmtId="0" fontId="75" fillId="16" borderId="36" xfId="0" applyFont="1" applyFill="1" applyBorder="1" applyAlignment="1" applyProtection="1">
      <alignment horizontal="center"/>
    </xf>
    <xf numFmtId="0" fontId="21" fillId="16" borderId="36" xfId="0" applyFont="1" applyFill="1" applyBorder="1" applyAlignment="1" applyProtection="1">
      <alignment horizontal="center"/>
    </xf>
    <xf numFmtId="0" fontId="21" fillId="16" borderId="57" xfId="0" applyFont="1" applyFill="1" applyBorder="1" applyAlignment="1" applyProtection="1">
      <alignment horizontal="center"/>
    </xf>
    <xf numFmtId="0" fontId="0" fillId="15" borderId="0" xfId="0" applyFill="1"/>
    <xf numFmtId="3" fontId="12" fillId="16" borderId="34" xfId="0" applyNumberFormat="1" applyFont="1" applyFill="1" applyBorder="1" applyAlignment="1" applyProtection="1">
      <alignment horizontal="center" vertical="center"/>
    </xf>
    <xf numFmtId="0" fontId="11" fillId="0" borderId="0" xfId="0" applyFont="1" applyFill="1" applyBorder="1" applyAlignment="1" applyProtection="1"/>
    <xf numFmtId="1" fontId="65" fillId="15" borderId="0" xfId="30" applyNumberFormat="1" applyFill="1"/>
    <xf numFmtId="0" fontId="11" fillId="16" borderId="19" xfId="0" applyFont="1" applyFill="1" applyBorder="1" applyAlignment="1" applyProtection="1">
      <alignment wrapText="1"/>
    </xf>
    <xf numFmtId="4" fontId="75" fillId="18" borderId="31" xfId="4" applyNumberFormat="1" applyFont="1" applyFill="1" applyBorder="1" applyAlignment="1" applyProtection="1">
      <alignment horizontal="center"/>
      <protection locked="0"/>
    </xf>
    <xf numFmtId="0" fontId="43" fillId="16" borderId="16" xfId="0" applyFont="1" applyFill="1" applyBorder="1" applyAlignment="1">
      <alignment vertical="top" wrapText="1"/>
    </xf>
    <xf numFmtId="166" fontId="65" fillId="0" borderId="0" xfId="30" applyNumberFormat="1" applyBorder="1"/>
    <xf numFmtId="49" fontId="11" fillId="0" borderId="0" xfId="34" applyNumberFormat="1" applyFont="1"/>
    <xf numFmtId="49" fontId="11" fillId="0" borderId="0" xfId="34" applyNumberFormat="1" applyFont="1" applyBorder="1"/>
    <xf numFmtId="0" fontId="67" fillId="0" borderId="20" xfId="30" applyFont="1" applyBorder="1" applyAlignment="1">
      <alignment horizontal="center"/>
    </xf>
    <xf numFmtId="0" fontId="54" fillId="23" borderId="0" xfId="0" applyFont="1" applyFill="1"/>
    <xf numFmtId="0" fontId="53" fillId="10" borderId="12" xfId="0" applyNumberFormat="1" applyFont="1" applyFill="1" applyBorder="1" applyAlignment="1" applyProtection="1">
      <alignment horizontal="center" vertical="center"/>
      <protection locked="0"/>
    </xf>
    <xf numFmtId="0" fontId="0" fillId="6" borderId="0" xfId="0" applyFill="1" applyBorder="1" applyAlignment="1" applyProtection="1">
      <alignment horizontal="center"/>
    </xf>
    <xf numFmtId="2" fontId="0" fillId="0" borderId="0" xfId="0" applyNumberFormat="1"/>
    <xf numFmtId="0" fontId="53" fillId="10" borderId="23" xfId="0" applyNumberFormat="1" applyFont="1" applyFill="1" applyBorder="1" applyAlignment="1" applyProtection="1">
      <alignment horizontal="center" vertical="center"/>
      <protection locked="0"/>
    </xf>
    <xf numFmtId="0" fontId="11" fillId="20" borderId="12" xfId="4" applyFill="1" applyBorder="1" applyProtection="1">
      <protection locked="0"/>
    </xf>
    <xf numFmtId="0" fontId="11" fillId="20" borderId="1" xfId="4" applyFont="1" applyFill="1" applyBorder="1" applyProtection="1">
      <protection locked="0"/>
    </xf>
    <xf numFmtId="0" fontId="11" fillId="20" borderId="1" xfId="4" applyFill="1" applyBorder="1" applyProtection="1">
      <protection locked="0"/>
    </xf>
    <xf numFmtId="0" fontId="0" fillId="6" borderId="0" xfId="0" applyFill="1" applyProtection="1"/>
    <xf numFmtId="0" fontId="0" fillId="6" borderId="0" xfId="0" applyFill="1" applyBorder="1" applyProtection="1"/>
    <xf numFmtId="0" fontId="0" fillId="6" borderId="0" xfId="0" applyFill="1" applyBorder="1" applyAlignment="1" applyProtection="1">
      <alignment horizontal="center" vertical="center"/>
    </xf>
    <xf numFmtId="0" fontId="11" fillId="6" borderId="0" xfId="0" applyFont="1" applyFill="1" applyBorder="1" applyProtection="1"/>
    <xf numFmtId="0" fontId="89" fillId="6" borderId="0" xfId="0" applyFont="1" applyFill="1" applyBorder="1" applyProtection="1"/>
    <xf numFmtId="0" fontId="61" fillId="6" borderId="0" xfId="0" applyFont="1" applyFill="1" applyBorder="1" applyProtection="1"/>
    <xf numFmtId="0" fontId="62" fillId="6" borderId="0" xfId="0" applyFont="1" applyFill="1" applyBorder="1" applyProtection="1"/>
    <xf numFmtId="0" fontId="28" fillId="6" borderId="0" xfId="0" applyFont="1" applyFill="1" applyAlignment="1"/>
    <xf numFmtId="0" fontId="28" fillId="6" borderId="0" xfId="0" applyFont="1" applyFill="1" applyAlignment="1">
      <alignment horizontal="center" vertical="center"/>
    </xf>
    <xf numFmtId="0" fontId="11" fillId="6" borderId="0" xfId="0" applyFont="1" applyFill="1" applyProtection="1"/>
    <xf numFmtId="0" fontId="11" fillId="6" borderId="0" xfId="0" applyFont="1" applyFill="1" applyAlignment="1" applyProtection="1">
      <alignment horizontal="center" vertical="center"/>
    </xf>
    <xf numFmtId="0" fontId="11" fillId="6" borderId="0" xfId="4" applyFill="1" applyBorder="1" applyProtection="1"/>
    <xf numFmtId="0" fontId="0" fillId="6" borderId="0" xfId="0" applyFill="1" applyAlignment="1" applyProtection="1">
      <alignment horizontal="center" vertical="center"/>
    </xf>
    <xf numFmtId="0" fontId="24" fillId="6" borderId="0" xfId="0" applyNumberFormat="1" applyFont="1" applyFill="1" applyBorder="1" applyAlignment="1">
      <alignment vertical="center"/>
    </xf>
    <xf numFmtId="0" fontId="18" fillId="6" borderId="0" xfId="0" applyNumberFormat="1" applyFont="1" applyFill="1" applyBorder="1" applyAlignment="1">
      <alignment horizontal="left" vertical="center"/>
    </xf>
    <xf numFmtId="0" fontId="29" fillId="6" borderId="0" xfId="0" applyNumberFormat="1" applyFont="1" applyFill="1" applyBorder="1" applyAlignment="1" applyProtection="1">
      <protection locked="0"/>
    </xf>
    <xf numFmtId="0" fontId="30" fillId="6" borderId="0" xfId="0" applyNumberFormat="1" applyFont="1" applyFill="1" applyBorder="1" applyAlignment="1" applyProtection="1">
      <protection locked="0"/>
    </xf>
    <xf numFmtId="0" fontId="16" fillId="6" borderId="0" xfId="0" applyNumberFormat="1" applyFont="1" applyFill="1" applyBorder="1" applyAlignment="1">
      <alignment vertical="center"/>
    </xf>
    <xf numFmtId="0" fontId="12" fillId="6" borderId="0" xfId="0" applyNumberFormat="1" applyFont="1" applyFill="1" applyBorder="1" applyAlignment="1">
      <alignment vertical="center"/>
    </xf>
    <xf numFmtId="0" fontId="27" fillId="6" borderId="0" xfId="0" applyFont="1" applyFill="1" applyAlignment="1"/>
    <xf numFmtId="0" fontId="31" fillId="6" borderId="0" xfId="0" applyFont="1" applyFill="1" applyAlignment="1"/>
    <xf numFmtId="0" fontId="16" fillId="6" borderId="0" xfId="0" applyFont="1" applyFill="1" applyProtection="1"/>
    <xf numFmtId="0" fontId="32" fillId="6" borderId="0" xfId="0" applyNumberFormat="1" applyFont="1" applyFill="1" applyBorder="1" applyAlignment="1" applyProtection="1">
      <alignment horizontal="left" vertical="center"/>
    </xf>
    <xf numFmtId="0" fontId="15" fillId="6" borderId="0" xfId="1" applyFill="1" applyAlignment="1" applyProtection="1">
      <protection locked="0"/>
    </xf>
    <xf numFmtId="0" fontId="12" fillId="6" borderId="0" xfId="0" applyFont="1" applyFill="1" applyAlignment="1">
      <alignment horizontal="left"/>
    </xf>
    <xf numFmtId="0" fontId="15" fillId="6" borderId="0" xfId="1" applyFill="1" applyAlignment="1" applyProtection="1">
      <alignment horizontal="left"/>
    </xf>
    <xf numFmtId="0" fontId="16" fillId="6" borderId="0" xfId="0" applyFont="1" applyFill="1" applyAlignment="1"/>
    <xf numFmtId="0" fontId="16" fillId="6" borderId="0" xfId="0" applyFont="1" applyFill="1" applyBorder="1" applyProtection="1"/>
    <xf numFmtId="0" fontId="27" fillId="6" borderId="0" xfId="0" applyNumberFormat="1" applyFont="1" applyFill="1" applyBorder="1" applyAlignment="1">
      <alignment horizontal="left" vertical="center"/>
    </xf>
    <xf numFmtId="0" fontId="27" fillId="6" borderId="1" xfId="0" applyNumberFormat="1" applyFont="1" applyFill="1" applyBorder="1" applyAlignment="1">
      <alignment horizontal="left" vertical="center"/>
    </xf>
    <xf numFmtId="0" fontId="27" fillId="6" borderId="4" xfId="0" applyNumberFormat="1" applyFont="1" applyFill="1" applyBorder="1" applyAlignment="1">
      <alignment horizontal="left" vertical="center"/>
    </xf>
    <xf numFmtId="0" fontId="27" fillId="6" borderId="6" xfId="0" applyNumberFormat="1" applyFont="1" applyFill="1" applyBorder="1" applyAlignment="1">
      <alignment horizontal="left" vertical="center"/>
    </xf>
    <xf numFmtId="0" fontId="11" fillId="6" borderId="0" xfId="4" applyFont="1" applyFill="1" applyBorder="1" applyProtection="1"/>
    <xf numFmtId="0" fontId="27" fillId="6" borderId="0" xfId="0" quotePrefix="1" applyFont="1" applyFill="1" applyAlignment="1"/>
    <xf numFmtId="0" fontId="13" fillId="6" borderId="0" xfId="0" applyFont="1" applyFill="1" applyProtection="1"/>
    <xf numFmtId="0" fontId="31" fillId="6" borderId="0" xfId="0" applyFont="1" applyFill="1" applyAlignment="1">
      <alignment horizontal="center"/>
    </xf>
    <xf numFmtId="0" fontId="83" fillId="6" borderId="0" xfId="0" applyFont="1" applyFill="1" applyAlignment="1">
      <alignment horizontal="center"/>
    </xf>
    <xf numFmtId="0" fontId="31" fillId="6" borderId="0" xfId="0" applyFont="1" applyFill="1" applyAlignment="1" applyProtection="1">
      <protection locked="0"/>
    </xf>
    <xf numFmtId="0" fontId="16" fillId="6" borderId="0" xfId="0" applyNumberFormat="1" applyFont="1" applyFill="1" applyBorder="1" applyAlignment="1" applyProtection="1">
      <alignment horizontal="left" vertical="center"/>
      <protection locked="0"/>
    </xf>
    <xf numFmtId="0" fontId="25" fillId="6" borderId="0" xfId="0" applyFont="1" applyFill="1" applyBorder="1" applyAlignment="1" applyProtection="1">
      <alignment horizontal="center" vertical="center"/>
    </xf>
    <xf numFmtId="0" fontId="0" fillId="6" borderId="0" xfId="0" applyFill="1"/>
    <xf numFmtId="0" fontId="25" fillId="6" borderId="0" xfId="0" applyFont="1" applyFill="1" applyBorder="1" applyProtection="1"/>
    <xf numFmtId="0" fontId="31" fillId="6" borderId="1" xfId="0" applyFont="1" applyFill="1" applyBorder="1" applyAlignment="1"/>
    <xf numFmtId="0" fontId="16" fillId="6" borderId="0" xfId="0" applyNumberFormat="1" applyFont="1" applyFill="1" applyBorder="1" applyAlignment="1" applyProtection="1">
      <alignment vertical="center"/>
    </xf>
    <xf numFmtId="0" fontId="16" fillId="6" borderId="1" xfId="0" applyNumberFormat="1" applyFont="1" applyFill="1" applyBorder="1" applyAlignment="1" applyProtection="1">
      <alignment horizontal="left" vertical="center"/>
      <protection locked="0"/>
    </xf>
    <xf numFmtId="0" fontId="0" fillId="6" borderId="0" xfId="0" applyFill="1" applyBorder="1" applyAlignment="1" applyProtection="1">
      <alignment horizontal="left"/>
    </xf>
    <xf numFmtId="0" fontId="16" fillId="6" borderId="0" xfId="0" applyNumberFormat="1" applyFont="1" applyFill="1" applyBorder="1" applyAlignment="1" applyProtection="1">
      <alignment vertical="center"/>
      <protection locked="0"/>
    </xf>
    <xf numFmtId="0" fontId="16" fillId="6" borderId="0" xfId="0" applyNumberFormat="1" applyFont="1" applyFill="1" applyBorder="1" applyAlignment="1" applyProtection="1">
      <alignment horizontal="center" vertical="center"/>
    </xf>
    <xf numFmtId="0" fontId="16" fillId="6" borderId="0" xfId="0" applyNumberFormat="1" applyFont="1" applyFill="1" applyBorder="1" applyAlignment="1" applyProtection="1">
      <alignment horizontal="left" vertical="center" indent="1"/>
      <protection locked="0"/>
    </xf>
    <xf numFmtId="0" fontId="16" fillId="6" borderId="0" xfId="0" applyNumberFormat="1" applyFont="1" applyFill="1" applyBorder="1" applyAlignment="1">
      <alignment horizontal="right" vertical="center"/>
    </xf>
    <xf numFmtId="0" fontId="11" fillId="6" borderId="1" xfId="4" applyFill="1" applyBorder="1" applyProtection="1"/>
    <xf numFmtId="0" fontId="16" fillId="6" borderId="1" xfId="0" applyNumberFormat="1" applyFont="1" applyFill="1" applyBorder="1" applyAlignment="1">
      <alignment horizontal="right" vertical="center"/>
    </xf>
    <xf numFmtId="1" fontId="11" fillId="6" borderId="0" xfId="4" applyNumberFormat="1" applyFill="1" applyBorder="1" applyAlignment="1" applyProtection="1">
      <alignment horizontal="left"/>
    </xf>
    <xf numFmtId="1" fontId="11" fillId="6" borderId="0" xfId="4" applyNumberFormat="1" applyFont="1" applyFill="1" applyBorder="1" applyAlignment="1" applyProtection="1">
      <alignment horizontal="left"/>
    </xf>
    <xf numFmtId="0" fontId="16" fillId="6" borderId="0" xfId="0" applyNumberFormat="1" applyFont="1" applyFill="1" applyBorder="1" applyAlignment="1">
      <alignment horizontal="left" vertical="center"/>
    </xf>
    <xf numFmtId="1" fontId="11" fillId="6" borderId="1" xfId="4" applyNumberFormat="1" applyFill="1" applyBorder="1" applyAlignment="1" applyProtection="1">
      <alignment horizontal="left"/>
    </xf>
    <xf numFmtId="1" fontId="11" fillId="6" borderId="1" xfId="4" applyNumberFormat="1" applyFont="1" applyFill="1" applyBorder="1" applyAlignment="1" applyProtection="1">
      <alignment horizontal="left"/>
    </xf>
    <xf numFmtId="0" fontId="11" fillId="6" borderId="0" xfId="0" applyFont="1" applyFill="1" applyBorder="1" applyAlignment="1" applyProtection="1">
      <alignment horizontal="left"/>
    </xf>
    <xf numFmtId="3" fontId="0" fillId="6" borderId="0" xfId="0" applyNumberFormat="1" applyFill="1" applyBorder="1" applyAlignment="1" applyProtection="1">
      <alignment horizontal="center"/>
    </xf>
    <xf numFmtId="0" fontId="0" fillId="6" borderId="0" xfId="0" applyFill="1" applyBorder="1"/>
    <xf numFmtId="0" fontId="11" fillId="6" borderId="60" xfId="0" applyFont="1" applyFill="1" applyBorder="1" applyProtection="1"/>
    <xf numFmtId="0" fontId="16" fillId="6" borderId="61" xfId="0" applyFont="1" applyFill="1" applyBorder="1" applyAlignment="1" applyProtection="1"/>
    <xf numFmtId="0" fontId="16" fillId="6" borderId="59" xfId="0" applyFont="1" applyFill="1" applyBorder="1" applyAlignment="1" applyProtection="1"/>
    <xf numFmtId="0" fontId="11" fillId="6" borderId="4" xfId="0" applyFont="1" applyFill="1" applyBorder="1" applyAlignment="1" applyProtection="1"/>
    <xf numFmtId="0" fontId="11" fillId="6" borderId="0" xfId="0" applyFont="1" applyFill="1" applyBorder="1" applyAlignment="1" applyProtection="1"/>
    <xf numFmtId="0" fontId="0" fillId="6" borderId="5" xfId="0" applyFill="1" applyBorder="1" applyProtection="1"/>
    <xf numFmtId="0" fontId="20" fillId="6" borderId="0" xfId="0" applyFont="1" applyFill="1" applyProtection="1"/>
    <xf numFmtId="0" fontId="26" fillId="6" borderId="0" xfId="0" applyFont="1" applyFill="1" applyProtection="1"/>
    <xf numFmtId="0" fontId="0" fillId="6" borderId="13" xfId="0" applyFill="1" applyBorder="1"/>
    <xf numFmtId="0" fontId="22" fillId="6" borderId="13" xfId="0" applyFont="1" applyFill="1" applyBorder="1"/>
    <xf numFmtId="0" fontId="22" fillId="6" borderId="0" xfId="0" applyFont="1" applyFill="1" applyBorder="1"/>
    <xf numFmtId="0" fontId="16" fillId="6" borderId="8" xfId="0" applyFont="1" applyFill="1" applyBorder="1" applyProtection="1"/>
    <xf numFmtId="0" fontId="16" fillId="6" borderId="10" xfId="0" applyFont="1" applyFill="1" applyBorder="1" applyProtection="1"/>
    <xf numFmtId="0" fontId="16" fillId="6" borderId="4" xfId="0" applyFont="1" applyFill="1" applyBorder="1" applyProtection="1"/>
    <xf numFmtId="0" fontId="16" fillId="6" borderId="6" xfId="0" applyFont="1" applyFill="1" applyBorder="1" applyProtection="1"/>
    <xf numFmtId="0" fontId="16" fillId="6" borderId="1" xfId="0" applyFont="1" applyFill="1" applyBorder="1" applyProtection="1"/>
    <xf numFmtId="0" fontId="0" fillId="6" borderId="7" xfId="0" applyFill="1" applyBorder="1" applyProtection="1"/>
    <xf numFmtId="0" fontId="16" fillId="6" borderId="2" xfId="0" applyFont="1" applyFill="1" applyBorder="1" applyProtection="1"/>
    <xf numFmtId="0" fontId="0" fillId="6" borderId="3" xfId="0" applyFill="1" applyBorder="1" applyProtection="1"/>
    <xf numFmtId="0" fontId="11" fillId="6" borderId="8" xfId="0" applyFont="1" applyFill="1" applyBorder="1" applyProtection="1"/>
    <xf numFmtId="0" fontId="0" fillId="6" borderId="9" xfId="0" applyFill="1" applyBorder="1" applyProtection="1"/>
    <xf numFmtId="0" fontId="11" fillId="6" borderId="6" xfId="0" applyFont="1" applyFill="1" applyBorder="1" applyProtection="1"/>
    <xf numFmtId="0" fontId="11" fillId="6" borderId="4" xfId="0" applyFont="1" applyFill="1" applyBorder="1" applyProtection="1"/>
    <xf numFmtId="0" fontId="0" fillId="6" borderId="0" xfId="0" applyFill="1" applyBorder="1" applyProtection="1">
      <protection locked="0"/>
    </xf>
    <xf numFmtId="0" fontId="25" fillId="6" borderId="0" xfId="0" applyFont="1" applyFill="1" applyProtection="1"/>
    <xf numFmtId="0" fontId="12" fillId="6" borderId="8" xfId="0" applyFont="1" applyFill="1" applyBorder="1" applyProtection="1"/>
    <xf numFmtId="0" fontId="0" fillId="6" borderId="4" xfId="0" applyFill="1" applyBorder="1" applyProtection="1"/>
    <xf numFmtId="0" fontId="0" fillId="6" borderId="6" xfId="0" applyFill="1" applyBorder="1" applyProtection="1"/>
    <xf numFmtId="0" fontId="0" fillId="6" borderId="1" xfId="0" applyFill="1" applyBorder="1" applyProtection="1"/>
    <xf numFmtId="0" fontId="11" fillId="6" borderId="11" xfId="0" applyFont="1" applyFill="1" applyBorder="1" applyProtection="1"/>
    <xf numFmtId="0" fontId="0" fillId="6" borderId="2" xfId="0" applyFill="1" applyBorder="1" applyProtection="1"/>
    <xf numFmtId="0" fontId="12" fillId="6" borderId="10" xfId="0" applyFont="1" applyFill="1" applyBorder="1" applyProtection="1"/>
    <xf numFmtId="0" fontId="0" fillId="6" borderId="10" xfId="0" applyFill="1" applyBorder="1" applyProtection="1"/>
    <xf numFmtId="0" fontId="84" fillId="6" borderId="0" xfId="0" applyFont="1" applyFill="1" applyBorder="1" applyProtection="1"/>
    <xf numFmtId="0" fontId="85" fillId="6" borderId="0" xfId="0" applyFont="1" applyFill="1" applyBorder="1" applyProtection="1"/>
    <xf numFmtId="0" fontId="85" fillId="6" borderId="0" xfId="4" applyFont="1" applyFill="1" applyBorder="1" applyAlignment="1" applyProtection="1">
      <alignment horizontal="left"/>
    </xf>
    <xf numFmtId="0" fontId="85" fillId="6" borderId="0" xfId="0" applyFont="1" applyFill="1" applyBorder="1" applyProtection="1">
      <protection locked="0"/>
    </xf>
    <xf numFmtId="0" fontId="19" fillId="6" borderId="0" xfId="0" applyFont="1" applyFill="1" applyBorder="1" applyAlignment="1" applyProtection="1">
      <alignment horizontal="center" vertical="center" textRotation="90"/>
    </xf>
    <xf numFmtId="0" fontId="85" fillId="6" borderId="0" xfId="0" applyFont="1" applyFill="1" applyProtection="1"/>
    <xf numFmtId="0" fontId="11" fillId="6" borderId="13" xfId="4" applyFill="1" applyBorder="1"/>
    <xf numFmtId="0" fontId="22" fillId="6" borderId="13" xfId="4" applyFont="1" applyFill="1" applyBorder="1"/>
    <xf numFmtId="0" fontId="11" fillId="6" borderId="0" xfId="4" applyFill="1" applyBorder="1"/>
    <xf numFmtId="0" fontId="22" fillId="6" borderId="0" xfId="4" applyFont="1" applyFill="1" applyBorder="1"/>
    <xf numFmtId="0" fontId="13" fillId="6" borderId="0" xfId="4" applyFont="1" applyFill="1" applyBorder="1"/>
    <xf numFmtId="0" fontId="25" fillId="6" borderId="0" xfId="4" applyFont="1" applyFill="1" applyBorder="1" applyAlignment="1" applyProtection="1"/>
    <xf numFmtId="0" fontId="25" fillId="6" borderId="5" xfId="4" applyFont="1" applyFill="1" applyBorder="1" applyAlignment="1" applyProtection="1"/>
    <xf numFmtId="0" fontId="48" fillId="6" borderId="0" xfId="0" applyNumberFormat="1" applyFont="1" applyFill="1" applyBorder="1" applyAlignment="1" applyProtection="1">
      <alignment horizontal="right" vertical="center"/>
    </xf>
    <xf numFmtId="0" fontId="26" fillId="6" borderId="0" xfId="0" applyNumberFormat="1" applyFont="1" applyFill="1" applyBorder="1" applyAlignment="1" applyProtection="1">
      <alignment horizontal="right" vertical="center" indent="1"/>
    </xf>
    <xf numFmtId="0" fontId="16" fillId="6" borderId="0" xfId="0" applyNumberFormat="1" applyFont="1" applyFill="1" applyBorder="1" applyAlignment="1" applyProtection="1">
      <alignment horizontal="left" vertical="center"/>
    </xf>
    <xf numFmtId="0" fontId="20" fillId="6" borderId="0" xfId="0" applyNumberFormat="1" applyFont="1" applyFill="1" applyBorder="1" applyAlignment="1" applyProtection="1">
      <alignment horizontal="right" vertical="center" indent="1"/>
    </xf>
    <xf numFmtId="0" fontId="11" fillId="6" borderId="0" xfId="4" applyFill="1" applyBorder="1" applyAlignment="1" applyProtection="1">
      <alignment horizontal="left" indent="1"/>
    </xf>
    <xf numFmtId="0" fontId="11" fillId="6" borderId="0" xfId="4" applyFont="1" applyFill="1" applyProtection="1"/>
    <xf numFmtId="0" fontId="16" fillId="6" borderId="0" xfId="0" applyNumberFormat="1" applyFont="1" applyFill="1" applyBorder="1" applyAlignment="1" applyProtection="1">
      <alignment horizontal="left" vertical="center" indent="1"/>
    </xf>
    <xf numFmtId="0" fontId="11" fillId="6" borderId="0" xfId="4" applyFill="1" applyProtection="1"/>
    <xf numFmtId="0" fontId="11" fillId="6" borderId="13" xfId="4" applyFill="1" applyBorder="1" applyProtection="1"/>
    <xf numFmtId="0" fontId="22" fillId="6" borderId="13" xfId="4" applyFont="1" applyFill="1" applyBorder="1" applyProtection="1"/>
    <xf numFmtId="0" fontId="22" fillId="6" borderId="0" xfId="4" applyFont="1" applyFill="1" applyBorder="1" applyProtection="1"/>
    <xf numFmtId="0" fontId="11" fillId="6" borderId="0" xfId="4" applyFont="1" applyFill="1" applyBorder="1" applyAlignment="1" applyProtection="1">
      <alignment horizontal="left"/>
    </xf>
    <xf numFmtId="0" fontId="33" fillId="6" borderId="0" xfId="0" applyNumberFormat="1" applyFont="1" applyFill="1" applyBorder="1" applyAlignment="1" applyProtection="1">
      <alignment horizontal="left" vertical="center"/>
      <protection locked="0"/>
    </xf>
    <xf numFmtId="0" fontId="28" fillId="6" borderId="0" xfId="0" applyFont="1" applyFill="1"/>
    <xf numFmtId="0" fontId="33" fillId="6" borderId="0" xfId="0" applyNumberFormat="1" applyFont="1" applyFill="1" applyBorder="1" applyAlignment="1" applyProtection="1">
      <alignment horizontal="left" vertical="center" indent="1"/>
      <protection locked="0"/>
    </xf>
    <xf numFmtId="0" fontId="11" fillId="6" borderId="0" xfId="0" applyNumberFormat="1" applyFont="1" applyFill="1" applyBorder="1" applyAlignment="1" applyProtection="1">
      <alignment vertical="center"/>
    </xf>
    <xf numFmtId="1" fontId="11" fillId="6" borderId="0" xfId="4" applyNumberFormat="1" applyFill="1" applyProtection="1"/>
    <xf numFmtId="0" fontId="16" fillId="6" borderId="1" xfId="0" applyNumberFormat="1" applyFont="1" applyFill="1" applyBorder="1" applyAlignment="1" applyProtection="1">
      <alignment horizontal="left" vertical="center" indent="1"/>
      <protection locked="0"/>
    </xf>
    <xf numFmtId="1" fontId="11" fillId="6" borderId="1" xfId="4" applyNumberFormat="1" applyFill="1" applyBorder="1" applyProtection="1"/>
    <xf numFmtId="0" fontId="0" fillId="6" borderId="0" xfId="0" applyFill="1" applyAlignment="1" applyProtection="1">
      <alignment horizontal="left"/>
    </xf>
    <xf numFmtId="0" fontId="17" fillId="6" borderId="0" xfId="0" applyFont="1" applyFill="1" applyBorder="1" applyProtection="1"/>
    <xf numFmtId="1" fontId="0" fillId="6" borderId="0" xfId="0" applyNumberFormat="1" applyFill="1" applyProtection="1"/>
    <xf numFmtId="0" fontId="49" fillId="6" borderId="0" xfId="0" applyFont="1" applyFill="1" applyProtection="1"/>
    <xf numFmtId="166" fontId="47" fillId="6" borderId="0" xfId="4" applyNumberFormat="1" applyFont="1" applyFill="1" applyBorder="1"/>
    <xf numFmtId="0" fontId="48" fillId="6" borderId="0" xfId="4" applyFont="1" applyFill="1" applyBorder="1"/>
    <xf numFmtId="0" fontId="47" fillId="6" borderId="0" xfId="0" applyFont="1" applyFill="1" applyAlignment="1" applyProtection="1">
      <alignment horizontal="center" vertical="center"/>
    </xf>
    <xf numFmtId="0" fontId="51" fillId="6" borderId="0" xfId="0" applyNumberFormat="1" applyFont="1" applyFill="1" applyBorder="1" applyAlignment="1" applyProtection="1">
      <alignment horizontal="left" vertical="top"/>
    </xf>
    <xf numFmtId="0" fontId="41" fillId="6" borderId="0" xfId="0" applyFont="1" applyFill="1" applyProtection="1"/>
    <xf numFmtId="0" fontId="47" fillId="6" borderId="0" xfId="4" applyFont="1" applyFill="1" applyBorder="1"/>
    <xf numFmtId="0" fontId="47" fillId="6" borderId="0" xfId="4" applyFont="1" applyFill="1" applyBorder="1" applyAlignment="1" applyProtection="1">
      <alignment horizontal="left"/>
    </xf>
    <xf numFmtId="0" fontId="64" fillId="6" borderId="0" xfId="4" applyFont="1" applyFill="1" applyBorder="1" applyAlignment="1" applyProtection="1">
      <alignment horizontal="left"/>
    </xf>
    <xf numFmtId="0" fontId="26" fillId="6" borderId="0" xfId="0" applyNumberFormat="1" applyFont="1" applyFill="1" applyBorder="1" applyAlignment="1" applyProtection="1">
      <alignment horizontal="left" vertical="center" indent="1"/>
    </xf>
    <xf numFmtId="0" fontId="20" fillId="6" borderId="0" xfId="4" applyFont="1" applyFill="1" applyBorder="1"/>
    <xf numFmtId="0" fontId="20" fillId="6" borderId="0" xfId="4" applyFont="1" applyFill="1" applyBorder="1" applyAlignment="1" applyProtection="1">
      <alignment horizontal="left"/>
    </xf>
    <xf numFmtId="1" fontId="11" fillId="6" borderId="0" xfId="4" applyNumberFormat="1" applyFill="1" applyAlignment="1" applyProtection="1">
      <alignment horizontal="left"/>
    </xf>
    <xf numFmtId="1" fontId="11" fillId="6" borderId="0" xfId="4" applyNumberFormat="1" applyFont="1" applyFill="1" applyAlignment="1" applyProtection="1">
      <alignment horizontal="left"/>
    </xf>
    <xf numFmtId="0" fontId="16" fillId="6" borderId="4" xfId="0" applyNumberFormat="1"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36" fillId="6" borderId="0" xfId="0" applyFont="1" applyFill="1" applyAlignment="1" applyProtection="1">
      <alignment horizontal="center" vertical="center"/>
    </xf>
    <xf numFmtId="0" fontId="0" fillId="6" borderId="0" xfId="0" applyFill="1" applyBorder="1" applyAlignment="1" applyProtection="1">
      <alignment horizontal="center" vertical="center"/>
      <protection locked="0"/>
    </xf>
    <xf numFmtId="0" fontId="0" fillId="6" borderId="0" xfId="0" applyFill="1" applyBorder="1" applyAlignment="1" applyProtection="1">
      <alignment horizontal="right" vertical="center"/>
    </xf>
    <xf numFmtId="167" fontId="11" fillId="6" borderId="0" xfId="0" applyNumberFormat="1" applyFont="1" applyFill="1" applyBorder="1" applyAlignment="1" applyProtection="1">
      <alignment horizontal="right" vertical="center" wrapText="1"/>
    </xf>
    <xf numFmtId="167" fontId="16" fillId="6" borderId="0" xfId="0" applyNumberFormat="1" applyFont="1" applyFill="1" applyBorder="1" applyAlignment="1" applyProtection="1">
      <alignment horizontal="right" vertical="center" wrapText="1"/>
    </xf>
    <xf numFmtId="0" fontId="48" fillId="6" borderId="0" xfId="0" applyFont="1" applyFill="1" applyBorder="1" applyProtection="1"/>
    <xf numFmtId="0" fontId="36" fillId="6" borderId="0" xfId="0" applyFont="1" applyFill="1" applyBorder="1" applyAlignment="1" applyProtection="1">
      <alignment horizontal="center" vertical="center"/>
    </xf>
    <xf numFmtId="0" fontId="34" fillId="6" borderId="0" xfId="0" applyFont="1" applyFill="1" applyProtection="1"/>
    <xf numFmtId="0" fontId="25" fillId="6" borderId="0" xfId="0" applyFont="1" applyFill="1" applyBorder="1" applyAlignment="1" applyProtection="1"/>
    <xf numFmtId="0" fontId="47" fillId="6" borderId="0" xfId="0" applyFont="1" applyFill="1" applyBorder="1" applyAlignment="1" applyProtection="1">
      <alignment horizontal="center" vertical="center"/>
    </xf>
    <xf numFmtId="0" fontId="35" fillId="6" borderId="0" xfId="0" applyFont="1" applyFill="1" applyAlignment="1" applyProtection="1">
      <alignment horizontal="center"/>
    </xf>
    <xf numFmtId="0" fontId="23" fillId="6" borderId="0" xfId="0" applyFont="1" applyFill="1" applyProtection="1"/>
    <xf numFmtId="0" fontId="11" fillId="6" borderId="0" xfId="0" applyFont="1" applyFill="1"/>
    <xf numFmtId="0" fontId="28" fillId="0" borderId="0" xfId="3" applyFill="1"/>
    <xf numFmtId="0" fontId="53" fillId="3" borderId="0" xfId="0" applyNumberFormat="1" applyFont="1" applyFill="1" applyBorder="1" applyAlignment="1" applyProtection="1">
      <alignment horizontal="center" vertical="center"/>
      <protection locked="0"/>
    </xf>
    <xf numFmtId="0" fontId="11" fillId="6" borderId="0" xfId="0" applyFont="1" applyFill="1" applyBorder="1" applyAlignment="1" applyProtection="1">
      <alignment horizontal="left"/>
    </xf>
    <xf numFmtId="0" fontId="0" fillId="6" borderId="0" xfId="0" applyFill="1" applyBorder="1" applyAlignment="1" applyProtection="1">
      <alignment horizontal="left"/>
    </xf>
    <xf numFmtId="0" fontId="91" fillId="6" borderId="0" xfId="0" applyFont="1" applyFill="1" applyProtection="1"/>
    <xf numFmtId="0" fontId="53" fillId="2" borderId="12" xfId="0" applyFont="1" applyFill="1" applyBorder="1" applyAlignment="1" applyProtection="1">
      <alignment horizontal="center"/>
    </xf>
    <xf numFmtId="0" fontId="86" fillId="6" borderId="0" xfId="0" applyFont="1" applyFill="1" applyBorder="1" applyProtection="1"/>
    <xf numFmtId="0" fontId="12" fillId="6" borderId="9" xfId="0" applyFont="1" applyFill="1" applyBorder="1" applyAlignment="1" applyProtection="1">
      <alignment horizontal="right"/>
    </xf>
    <xf numFmtId="0" fontId="12" fillId="6" borderId="5" xfId="0" applyFont="1" applyFill="1" applyBorder="1" applyAlignment="1" applyProtection="1">
      <alignment horizontal="right"/>
    </xf>
    <xf numFmtId="0" fontId="12" fillId="6" borderId="7" xfId="0" applyFont="1" applyFill="1" applyBorder="1" applyAlignment="1" applyProtection="1">
      <alignment horizontal="right"/>
    </xf>
    <xf numFmtId="0" fontId="11" fillId="6" borderId="9" xfId="0" applyFont="1" applyFill="1" applyBorder="1" applyProtection="1"/>
    <xf numFmtId="0" fontId="11" fillId="6" borderId="5" xfId="0" applyFont="1" applyFill="1" applyBorder="1" applyProtection="1"/>
    <xf numFmtId="0" fontId="16" fillId="6" borderId="61" xfId="0" applyFont="1" applyFill="1" applyBorder="1" applyProtection="1"/>
    <xf numFmtId="0" fontId="0" fillId="6" borderId="59" xfId="0" applyFill="1" applyBorder="1" applyProtection="1"/>
    <xf numFmtId="0" fontId="11" fillId="6" borderId="12" xfId="0" applyFont="1" applyFill="1" applyBorder="1" applyAlignment="1" applyProtection="1">
      <alignment horizontal="center"/>
    </xf>
    <xf numFmtId="0" fontId="11" fillId="6" borderId="0" xfId="0" applyFont="1" applyFill="1" applyBorder="1" applyAlignment="1" applyProtection="1">
      <alignment horizontal="center"/>
    </xf>
    <xf numFmtId="167" fontId="11" fillId="6" borderId="0" xfId="0" applyNumberFormat="1" applyFont="1" applyFill="1" applyBorder="1" applyAlignment="1" applyProtection="1">
      <alignment horizontal="center"/>
    </xf>
    <xf numFmtId="1" fontId="0" fillId="0" borderId="0" xfId="0" applyNumberFormat="1"/>
    <xf numFmtId="10" fontId="0" fillId="0" borderId="0" xfId="5" applyNumberFormat="1" applyFont="1"/>
    <xf numFmtId="0" fontId="53" fillId="27" borderId="0" xfId="0" applyFont="1" applyFill="1"/>
    <xf numFmtId="2" fontId="53" fillId="27" borderId="0" xfId="0" applyNumberFormat="1" applyFont="1" applyFill="1"/>
    <xf numFmtId="0" fontId="53" fillId="26" borderId="0" xfId="0" applyFont="1" applyFill="1"/>
    <xf numFmtId="2" fontId="53" fillId="26" borderId="0" xfId="0" applyNumberFormat="1" applyFont="1" applyFill="1"/>
    <xf numFmtId="0" fontId="11" fillId="6" borderId="10" xfId="0" applyFont="1" applyFill="1" applyBorder="1" applyProtection="1"/>
    <xf numFmtId="0" fontId="53" fillId="27" borderId="0" xfId="0" applyFont="1" applyFill="1" applyAlignment="1">
      <alignment horizontal="center"/>
    </xf>
    <xf numFmtId="2" fontId="53" fillId="28" borderId="0" xfId="0" applyNumberFormat="1" applyFont="1" applyFill="1"/>
    <xf numFmtId="0" fontId="53" fillId="28" borderId="0" xfId="0" applyFont="1" applyFill="1"/>
    <xf numFmtId="0" fontId="53" fillId="29" borderId="0" xfId="0" applyFont="1" applyFill="1"/>
    <xf numFmtId="2" fontId="53" fillId="29" borderId="0" xfId="0" applyNumberFormat="1" applyFont="1" applyFill="1"/>
    <xf numFmtId="0" fontId="53" fillId="30" borderId="0" xfId="0" applyFont="1" applyFill="1"/>
    <xf numFmtId="2" fontId="53" fillId="30" borderId="0" xfId="0" applyNumberFormat="1" applyFont="1" applyFill="1"/>
    <xf numFmtId="0" fontId="53" fillId="30" borderId="0" xfId="0" applyFont="1" applyFill="1" applyAlignment="1">
      <alignment horizontal="center"/>
    </xf>
    <xf numFmtId="0" fontId="53" fillId="20" borderId="12" xfId="0" applyNumberFormat="1" applyFont="1" applyFill="1" applyBorder="1" applyAlignment="1" applyProtection="1">
      <alignment horizontal="center" vertical="center"/>
      <protection locked="0"/>
    </xf>
    <xf numFmtId="0" fontId="53" fillId="3" borderId="0" xfId="0" applyNumberFormat="1" applyFont="1" applyFill="1" applyBorder="1" applyAlignment="1" applyProtection="1">
      <alignment horizontal="center" vertical="center"/>
      <protection locked="0"/>
    </xf>
    <xf numFmtId="0" fontId="0" fillId="6" borderId="0" xfId="0" applyFill="1" applyProtection="1"/>
    <xf numFmtId="0" fontId="53" fillId="26" borderId="0" xfId="0" applyFont="1" applyFill="1" applyAlignment="1">
      <alignment horizontal="center"/>
    </xf>
    <xf numFmtId="0" fontId="53" fillId="20" borderId="23" xfId="0" applyNumberFormat="1" applyFont="1" applyFill="1" applyBorder="1" applyAlignment="1" applyProtection="1">
      <alignment horizontal="center" vertical="center"/>
      <protection locked="0"/>
    </xf>
    <xf numFmtId="0" fontId="11" fillId="6" borderId="1" xfId="0" applyNumberFormat="1" applyFont="1" applyFill="1" applyBorder="1" applyAlignment="1">
      <alignment horizontal="left" vertical="center"/>
    </xf>
    <xf numFmtId="0" fontId="53" fillId="10" borderId="12" xfId="4" applyFont="1" applyFill="1" applyBorder="1" applyProtection="1">
      <protection locked="0"/>
    </xf>
    <xf numFmtId="0" fontId="0" fillId="25" borderId="0" xfId="0" applyFill="1" applyProtection="1"/>
    <xf numFmtId="3" fontId="53" fillId="25" borderId="12" xfId="0" applyNumberFormat="1" applyFont="1" applyFill="1" applyBorder="1" applyAlignment="1" applyProtection="1">
      <alignment horizontal="center"/>
    </xf>
    <xf numFmtId="0" fontId="87" fillId="6" borderId="5" xfId="0" applyFont="1" applyFill="1" applyBorder="1" applyAlignment="1" applyProtection="1">
      <alignment horizontal="right"/>
    </xf>
    <xf numFmtId="0" fontId="53" fillId="25" borderId="0" xfId="0" applyFont="1" applyFill="1"/>
    <xf numFmtId="2" fontId="53" fillId="25" borderId="0" xfId="0" applyNumberFormat="1" applyFont="1" applyFill="1"/>
    <xf numFmtId="1" fontId="53" fillId="25" borderId="0" xfId="0" applyNumberFormat="1" applyFont="1" applyFill="1"/>
    <xf numFmtId="10" fontId="53" fillId="25" borderId="0" xfId="5" applyNumberFormat="1" applyFont="1" applyFill="1"/>
    <xf numFmtId="0" fontId="11" fillId="25" borderId="0" xfId="0" applyFont="1" applyFill="1" applyProtection="1"/>
    <xf numFmtId="0" fontId="0" fillId="0" borderId="0" xfId="0" applyNumberFormat="1"/>
    <xf numFmtId="0" fontId="53" fillId="25" borderId="12" xfId="0" applyNumberFormat="1" applyFont="1" applyFill="1" applyBorder="1" applyAlignment="1" applyProtection="1">
      <alignment horizontal="center" vertical="center"/>
    </xf>
    <xf numFmtId="0" fontId="11" fillId="6" borderId="0" xfId="4" applyFont="1" applyFill="1" applyBorder="1"/>
    <xf numFmtId="0" fontId="11" fillId="6" borderId="0" xfId="0" applyNumberFormat="1" applyFont="1" applyFill="1" applyBorder="1" applyAlignment="1" applyProtection="1">
      <alignment horizontal="left" vertical="center"/>
    </xf>
    <xf numFmtId="0" fontId="53" fillId="6" borderId="0" xfId="0" applyNumberFormat="1" applyFont="1" applyFill="1" applyBorder="1" applyAlignment="1" applyProtection="1">
      <alignment horizontal="left" vertical="center"/>
      <protection locked="0"/>
    </xf>
    <xf numFmtId="0" fontId="11" fillId="6" borderId="0" xfId="0" applyNumberFormat="1" applyFont="1" applyFill="1" applyBorder="1" applyAlignment="1">
      <alignment vertical="center"/>
    </xf>
    <xf numFmtId="14" fontId="54" fillId="10" borderId="12" xfId="0" applyNumberFormat="1" applyFont="1" applyFill="1" applyBorder="1" applyAlignment="1">
      <alignment horizontal="center"/>
    </xf>
    <xf numFmtId="0" fontId="54" fillId="10" borderId="12" xfId="0" applyNumberFormat="1" applyFont="1" applyFill="1" applyBorder="1" applyAlignment="1">
      <alignment horizontal="center"/>
    </xf>
    <xf numFmtId="0" fontId="54" fillId="10" borderId="12" xfId="0" applyFont="1" applyFill="1" applyBorder="1" applyAlignment="1">
      <alignment horizontal="center"/>
    </xf>
    <xf numFmtId="14" fontId="53" fillId="20" borderId="12" xfId="0" applyNumberFormat="1" applyFont="1" applyFill="1" applyBorder="1" applyAlignment="1">
      <alignment horizontal="center" vertical="center"/>
    </xf>
    <xf numFmtId="0" fontId="53" fillId="20" borderId="12" xfId="0" applyNumberFormat="1" applyFont="1" applyFill="1" applyBorder="1" applyAlignment="1">
      <alignment horizontal="center" vertical="center"/>
    </xf>
    <xf numFmtId="0" fontId="53" fillId="20" borderId="12" xfId="0" applyFont="1" applyFill="1" applyBorder="1" applyAlignment="1">
      <alignment horizontal="center" vertical="center"/>
    </xf>
    <xf numFmtId="0" fontId="67" fillId="0" borderId="0" xfId="0" applyFont="1"/>
    <xf numFmtId="0" fontId="15" fillId="0" borderId="0" xfId="1" applyAlignment="1" applyProtection="1">
      <alignment horizontal="left"/>
    </xf>
    <xf numFmtId="0" fontId="67" fillId="0" borderId="0" xfId="0" applyFont="1" applyAlignment="1">
      <alignment horizontal="center"/>
    </xf>
    <xf numFmtId="174" fontId="67" fillId="0" borderId="0" xfId="0" applyNumberFormat="1" applyFont="1" applyAlignment="1">
      <alignment horizontal="center"/>
    </xf>
    <xf numFmtId="0" fontId="95" fillId="0" borderId="0" xfId="0" applyFont="1"/>
    <xf numFmtId="174" fontId="95" fillId="0" borderId="0" xfId="0" applyNumberFormat="1" applyFont="1"/>
    <xf numFmtId="0" fontId="95" fillId="0" borderId="0" xfId="0" applyNumberFormat="1" applyFont="1"/>
    <xf numFmtId="0" fontId="0" fillId="0" borderId="0" xfId="0" applyAlignment="1">
      <alignment wrapText="1"/>
    </xf>
    <xf numFmtId="174" fontId="0" fillId="0" borderId="0" xfId="0" applyNumberFormat="1"/>
    <xf numFmtId="174" fontId="0" fillId="0" borderId="0" xfId="0" applyNumberFormat="1" applyAlignment="1">
      <alignment horizontal="center"/>
    </xf>
    <xf numFmtId="0" fontId="0" fillId="0" borderId="0" xfId="0" applyNumberFormat="1" applyAlignment="1">
      <alignment horizontal="center"/>
    </xf>
    <xf numFmtId="0" fontId="67" fillId="0" borderId="20" xfId="30" applyFont="1" applyBorder="1" applyAlignment="1">
      <alignment horizontal="center"/>
    </xf>
    <xf numFmtId="1" fontId="75" fillId="20" borderId="31" xfId="4" applyNumberFormat="1" applyFont="1" applyFill="1" applyBorder="1" applyAlignment="1" applyProtection="1">
      <alignment horizontal="center"/>
      <protection locked="0"/>
    </xf>
    <xf numFmtId="0" fontId="16" fillId="6" borderId="59" xfId="0" applyFont="1" applyFill="1" applyBorder="1" applyProtection="1"/>
    <xf numFmtId="0" fontId="16" fillId="6" borderId="7" xfId="0" applyFont="1" applyFill="1" applyBorder="1" applyProtection="1"/>
    <xf numFmtId="0" fontId="16" fillId="6" borderId="5" xfId="0" applyFont="1" applyFill="1" applyBorder="1" applyProtection="1"/>
    <xf numFmtId="0" fontId="16" fillId="6" borderId="24" xfId="0" applyFont="1" applyFill="1" applyBorder="1" applyProtection="1"/>
    <xf numFmtId="175" fontId="70" fillId="0" borderId="0" xfId="0" applyNumberFormat="1" applyFont="1" applyAlignment="1">
      <alignment horizontal="left"/>
    </xf>
    <xf numFmtId="0" fontId="53" fillId="10" borderId="12" xfId="0" applyNumberFormat="1" applyFont="1" applyFill="1" applyBorder="1" applyAlignment="1" applyProtection="1">
      <alignment horizontal="center"/>
      <protection locked="0"/>
    </xf>
    <xf numFmtId="0" fontId="53" fillId="20" borderId="0" xfId="0" applyNumberFormat="1" applyFont="1" applyFill="1" applyBorder="1" applyAlignment="1" applyProtection="1">
      <alignment horizontal="center"/>
      <protection locked="0"/>
    </xf>
    <xf numFmtId="0" fontId="53" fillId="20" borderId="12" xfId="0" applyNumberFormat="1" applyFont="1" applyFill="1" applyBorder="1" applyAlignment="1" applyProtection="1">
      <alignment horizontal="center"/>
      <protection locked="0"/>
    </xf>
    <xf numFmtId="0" fontId="53" fillId="10" borderId="12" xfId="0" applyFont="1" applyFill="1" applyBorder="1" applyProtection="1">
      <protection locked="0"/>
    </xf>
    <xf numFmtId="0" fontId="92" fillId="6" borderId="0" xfId="0" applyFont="1" applyFill="1" applyBorder="1" applyAlignment="1" applyProtection="1">
      <alignment horizontal="left"/>
    </xf>
    <xf numFmtId="0" fontId="53" fillId="10" borderId="12" xfId="0" applyNumberFormat="1" applyFont="1" applyFill="1" applyBorder="1" applyAlignment="1" applyProtection="1">
      <alignment horizontal="center" vertical="center"/>
      <protection locked="0"/>
    </xf>
    <xf numFmtId="0" fontId="53" fillId="25" borderId="12" xfId="4" applyFont="1" applyFill="1" applyBorder="1" applyAlignment="1" applyProtection="1">
      <alignment horizontal="center"/>
    </xf>
    <xf numFmtId="0" fontId="53" fillId="20" borderId="0" xfId="0" applyFont="1" applyFill="1" applyProtection="1">
      <protection locked="0"/>
    </xf>
    <xf numFmtId="0" fontId="11" fillId="6" borderId="10" xfId="0" applyFont="1" applyFill="1" applyBorder="1" applyAlignment="1" applyProtection="1">
      <alignment horizontal="right"/>
    </xf>
    <xf numFmtId="0" fontId="16" fillId="6" borderId="0" xfId="0" applyFont="1" applyFill="1" applyBorder="1" applyAlignment="1" applyProtection="1">
      <alignment horizontal="right"/>
    </xf>
    <xf numFmtId="0" fontId="0" fillId="6" borderId="0" xfId="0" applyFill="1" applyBorder="1" applyAlignment="1" applyProtection="1">
      <alignment horizontal="right"/>
    </xf>
    <xf numFmtId="0" fontId="0" fillId="6" borderId="1" xfId="0" applyFill="1" applyBorder="1" applyAlignment="1" applyProtection="1">
      <alignment horizontal="right"/>
    </xf>
    <xf numFmtId="0" fontId="11" fillId="6" borderId="0" xfId="0" applyFont="1" applyFill="1" applyBorder="1" applyAlignment="1" applyProtection="1">
      <alignment horizontal="right"/>
    </xf>
    <xf numFmtId="1" fontId="53" fillId="6" borderId="0" xfId="0" applyNumberFormat="1" applyFont="1" applyFill="1" applyBorder="1" applyProtection="1"/>
    <xf numFmtId="0" fontId="53" fillId="6" borderId="1" xfId="0" applyFont="1" applyFill="1" applyBorder="1" applyProtection="1"/>
    <xf numFmtId="0" fontId="14" fillId="0" borderId="0" xfId="0" applyFont="1"/>
    <xf numFmtId="1" fontId="14" fillId="0" borderId="0" xfId="0" applyNumberFormat="1" applyFont="1"/>
    <xf numFmtId="2" fontId="14" fillId="0" borderId="0" xfId="0" applyNumberFormat="1" applyFont="1"/>
    <xf numFmtId="0" fontId="14" fillId="0" borderId="0" xfId="0" applyNumberFormat="1" applyFont="1"/>
    <xf numFmtId="0" fontId="64" fillId="6" borderId="0" xfId="0" applyNumberFormat="1" applyFont="1" applyFill="1" applyBorder="1" applyAlignment="1" applyProtection="1">
      <alignment horizontal="left" vertical="center"/>
      <protection locked="0"/>
    </xf>
    <xf numFmtId="0" fontId="87" fillId="6" borderId="0" xfId="0" applyFont="1" applyFill="1" applyBorder="1" applyProtection="1">
      <protection locked="0"/>
    </xf>
    <xf numFmtId="0" fontId="53" fillId="10" borderId="12" xfId="0" applyNumberFormat="1" applyFont="1" applyFill="1" applyBorder="1" applyAlignment="1" applyProtection="1">
      <alignment horizontal="center" vertical="center"/>
      <protection locked="0"/>
    </xf>
    <xf numFmtId="0" fontId="11" fillId="6" borderId="0" xfId="4" applyFont="1" applyFill="1" applyBorder="1" applyAlignment="1" applyProtection="1">
      <alignment horizontal="left"/>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91" fillId="6" borderId="0" xfId="0" applyFont="1" applyFill="1" applyAlignment="1" applyProtection="1">
      <alignment horizontal="center"/>
    </xf>
    <xf numFmtId="0" fontId="0" fillId="0" borderId="0" xfId="0" applyAlignment="1">
      <alignment horizontal="center"/>
    </xf>
    <xf numFmtId="164" fontId="53" fillId="10" borderId="0" xfId="88" applyFont="1" applyFill="1"/>
    <xf numFmtId="164" fontId="53" fillId="25" borderId="0" xfId="88" applyFont="1" applyFill="1"/>
    <xf numFmtId="0" fontId="53" fillId="25" borderId="12" xfId="0" applyFont="1" applyFill="1" applyBorder="1"/>
    <xf numFmtId="2" fontId="99" fillId="25" borderId="12" xfId="0" applyNumberFormat="1" applyFont="1" applyFill="1" applyBorder="1"/>
    <xf numFmtId="1" fontId="53" fillId="25" borderId="12" xfId="0" applyNumberFormat="1" applyFont="1" applyFill="1" applyBorder="1"/>
    <xf numFmtId="164" fontId="53" fillId="25" borderId="12" xfId="0" applyNumberFormat="1" applyFont="1" applyFill="1" applyBorder="1"/>
    <xf numFmtId="2" fontId="53" fillId="25" borderId="12" xfId="0" applyNumberFormat="1" applyFont="1" applyFill="1" applyBorder="1"/>
    <xf numFmtId="0" fontId="53" fillId="23" borderId="0" xfId="0" applyFont="1" applyFill="1"/>
    <xf numFmtId="164" fontId="53" fillId="25" borderId="12" xfId="88" applyFont="1" applyFill="1" applyBorder="1"/>
    <xf numFmtId="0" fontId="87" fillId="0" borderId="0" xfId="0" applyFont="1"/>
    <xf numFmtId="0" fontId="53" fillId="25" borderId="47" xfId="0" applyFont="1" applyFill="1" applyBorder="1"/>
    <xf numFmtId="164" fontId="53" fillId="25" borderId="48" xfId="0" applyNumberFormat="1" applyFont="1" applyFill="1" applyBorder="1"/>
    <xf numFmtId="164" fontId="53" fillId="25" borderId="49" xfId="0" applyNumberFormat="1" applyFont="1" applyFill="1" applyBorder="1"/>
    <xf numFmtId="0" fontId="53" fillId="10" borderId="12" xfId="0" applyNumberFormat="1" applyFont="1" applyFill="1" applyBorder="1" applyAlignment="1" applyProtection="1">
      <alignment horizontal="center" vertical="center"/>
      <protection locked="0"/>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26" fillId="32" borderId="61" xfId="0" applyFont="1" applyFill="1" applyBorder="1" applyProtection="1"/>
    <xf numFmtId="0" fontId="0" fillId="32" borderId="61" xfId="0" applyFill="1" applyBorder="1" applyProtection="1"/>
    <xf numFmtId="0" fontId="11" fillId="32" borderId="0" xfId="0" applyFont="1" applyFill="1" applyBorder="1" applyAlignment="1" applyProtection="1">
      <alignment horizontal="center" vertical="center"/>
    </xf>
    <xf numFmtId="9" fontId="53" fillId="25" borderId="0" xfId="5" applyFont="1" applyFill="1"/>
    <xf numFmtId="9" fontId="40" fillId="4" borderId="12" xfId="5" applyFont="1" applyFill="1" applyBorder="1" applyAlignment="1" applyProtection="1">
      <alignment horizontal="center" vertical="center"/>
    </xf>
    <xf numFmtId="10" fontId="11" fillId="32" borderId="0" xfId="0" applyNumberFormat="1" applyFont="1" applyFill="1" applyBorder="1" applyAlignment="1" applyProtection="1">
      <alignment horizontal="right" vertical="center"/>
    </xf>
    <xf numFmtId="0" fontId="11" fillId="32" borderId="0" xfId="0" applyNumberFormat="1" applyFont="1" applyFill="1" applyBorder="1" applyAlignment="1" applyProtection="1">
      <alignment vertical="center"/>
    </xf>
    <xf numFmtId="0" fontId="101" fillId="16" borderId="19" xfId="0" applyFont="1" applyFill="1" applyBorder="1" applyAlignment="1" applyProtection="1"/>
    <xf numFmtId="0" fontId="11" fillId="0" borderId="0" xfId="0" applyNumberFormat="1" applyFont="1"/>
    <xf numFmtId="0" fontId="0" fillId="9" borderId="0" xfId="0" applyFill="1"/>
    <xf numFmtId="0" fontId="53" fillId="10" borderId="12" xfId="0" applyNumberFormat="1" applyFont="1" applyFill="1" applyBorder="1" applyAlignment="1" applyProtection="1">
      <alignment horizontal="center" vertical="center"/>
      <protection locked="0"/>
    </xf>
    <xf numFmtId="16" fontId="11" fillId="0" borderId="0" xfId="0" quotePrefix="1" applyNumberFormat="1" applyFont="1"/>
    <xf numFmtId="0" fontId="16" fillId="20" borderId="1" xfId="0" applyNumberFormat="1" applyFont="1" applyFill="1" applyBorder="1" applyAlignment="1" applyProtection="1">
      <alignment horizontal="left" vertical="center"/>
      <protection locked="0"/>
    </xf>
    <xf numFmtId="0" fontId="16" fillId="20" borderId="48" xfId="0" applyNumberFormat="1" applyFont="1" applyFill="1" applyBorder="1" applyAlignment="1" applyProtection="1">
      <alignment horizontal="left" vertical="center"/>
      <protection locked="0"/>
    </xf>
    <xf numFmtId="167" fontId="93" fillId="6" borderId="0" xfId="0" applyNumberFormat="1" applyFont="1" applyFill="1" applyBorder="1" applyAlignment="1" applyProtection="1">
      <alignment horizontal="center"/>
    </xf>
    <xf numFmtId="0" fontId="11" fillId="6" borderId="0" xfId="4" applyFont="1" applyFill="1" applyBorder="1" applyAlignment="1" applyProtection="1">
      <alignment horizontal="left"/>
    </xf>
    <xf numFmtId="0" fontId="11" fillId="6" borderId="5" xfId="4" applyFont="1" applyFill="1" applyBorder="1" applyAlignment="1" applyProtection="1">
      <alignment horizontal="left"/>
    </xf>
    <xf numFmtId="0" fontId="53" fillId="10" borderId="11" xfId="0" applyNumberFormat="1" applyFont="1" applyFill="1" applyBorder="1" applyAlignment="1" applyProtection="1">
      <alignment horizontal="center" vertical="center"/>
      <protection locked="0"/>
    </xf>
    <xf numFmtId="0" fontId="53" fillId="10" borderId="2" xfId="0" applyNumberFormat="1" applyFont="1" applyFill="1" applyBorder="1" applyAlignment="1" applyProtection="1">
      <alignment horizontal="center" vertical="center"/>
      <protection locked="0"/>
    </xf>
    <xf numFmtId="0" fontId="53" fillId="10" borderId="3" xfId="0" applyNumberFormat="1" applyFont="1" applyFill="1" applyBorder="1" applyAlignment="1" applyProtection="1">
      <alignment horizontal="center" vertical="center"/>
      <protection locked="0"/>
    </xf>
    <xf numFmtId="0" fontId="53" fillId="10" borderId="11" xfId="0" applyNumberFormat="1" applyFont="1" applyFill="1" applyBorder="1" applyAlignment="1" applyProtection="1">
      <alignment horizontal="left" vertical="center"/>
      <protection locked="0"/>
    </xf>
    <xf numFmtId="0" fontId="53" fillId="10" borderId="2" xfId="0" applyNumberFormat="1" applyFont="1" applyFill="1" applyBorder="1" applyAlignment="1" applyProtection="1">
      <alignment horizontal="left" vertical="center"/>
      <protection locked="0"/>
    </xf>
    <xf numFmtId="0" fontId="53" fillId="10" borderId="3" xfId="0" applyNumberFormat="1" applyFont="1" applyFill="1" applyBorder="1" applyAlignment="1" applyProtection="1">
      <alignment horizontal="left" vertical="center"/>
      <protection locked="0"/>
    </xf>
    <xf numFmtId="0" fontId="53" fillId="10" borderId="47" xfId="0" applyNumberFormat="1" applyFont="1" applyFill="1" applyBorder="1" applyAlignment="1" applyProtection="1">
      <alignment horizontal="left" vertical="center"/>
      <protection locked="0"/>
    </xf>
    <xf numFmtId="0" fontId="53" fillId="10" borderId="48" xfId="0" applyNumberFormat="1" applyFont="1" applyFill="1" applyBorder="1" applyAlignment="1" applyProtection="1">
      <alignment horizontal="left" vertical="center"/>
      <protection locked="0"/>
    </xf>
    <xf numFmtId="0" fontId="53" fillId="10" borderId="49" xfId="0" applyNumberFormat="1" applyFont="1" applyFill="1" applyBorder="1" applyAlignment="1" applyProtection="1">
      <alignment horizontal="left" vertical="center"/>
      <protection locked="0"/>
    </xf>
    <xf numFmtId="0" fontId="53" fillId="10" borderId="12" xfId="0" applyNumberFormat="1" applyFont="1" applyFill="1" applyBorder="1" applyAlignment="1" applyProtection="1">
      <alignment horizontal="left" vertical="center"/>
      <protection locked="0"/>
    </xf>
    <xf numFmtId="0" fontId="87" fillId="6" borderId="0" xfId="0" applyFont="1" applyFill="1" applyBorder="1" applyAlignment="1" applyProtection="1">
      <alignment horizontal="left"/>
    </xf>
    <xf numFmtId="0" fontId="16" fillId="6" borderId="4" xfId="0" applyFont="1" applyFill="1" applyBorder="1" applyAlignment="1" applyProtection="1">
      <alignment horizontal="left"/>
    </xf>
    <xf numFmtId="0" fontId="16" fillId="6" borderId="0" xfId="0" applyFont="1" applyFill="1" applyBorder="1" applyAlignment="1" applyProtection="1">
      <alignment horizontal="left"/>
    </xf>
    <xf numFmtId="0" fontId="16" fillId="6" borderId="5" xfId="0" applyFont="1" applyFill="1" applyBorder="1" applyAlignment="1" applyProtection="1">
      <alignment horizontal="left"/>
    </xf>
    <xf numFmtId="0" fontId="53" fillId="10" borderId="12" xfId="0" applyNumberFormat="1" applyFont="1" applyFill="1" applyBorder="1" applyAlignment="1" applyProtection="1">
      <alignment horizontal="center" vertical="center"/>
      <protection locked="0"/>
    </xf>
    <xf numFmtId="0" fontId="53" fillId="20" borderId="12" xfId="0" applyNumberFormat="1" applyFont="1" applyFill="1" applyBorder="1" applyAlignment="1" applyProtection="1">
      <alignment horizontal="center" vertical="center"/>
      <protection locked="0"/>
    </xf>
    <xf numFmtId="0" fontId="37" fillId="4" borderId="2" xfId="0" applyFont="1" applyFill="1" applyBorder="1" applyAlignment="1" applyProtection="1">
      <alignment horizontal="center"/>
    </xf>
    <xf numFmtId="0" fontId="37" fillId="4" borderId="3" xfId="0" applyFont="1" applyFill="1" applyBorder="1" applyAlignment="1" applyProtection="1">
      <alignment horizontal="center"/>
    </xf>
    <xf numFmtId="0" fontId="16" fillId="6" borderId="6" xfId="0" applyFont="1" applyFill="1" applyBorder="1" applyAlignment="1" applyProtection="1">
      <alignment horizontal="left"/>
    </xf>
    <xf numFmtId="0" fontId="16" fillId="6" borderId="1" xfId="0" applyFont="1" applyFill="1" applyBorder="1" applyAlignment="1" applyProtection="1">
      <alignment horizontal="left"/>
    </xf>
    <xf numFmtId="0" fontId="16" fillId="6" borderId="7" xfId="0" applyFont="1" applyFill="1" applyBorder="1" applyAlignment="1" applyProtection="1">
      <alignment horizontal="left"/>
    </xf>
    <xf numFmtId="0" fontId="11" fillId="6" borderId="0" xfId="0" applyFont="1" applyFill="1" applyBorder="1" applyAlignment="1" applyProtection="1">
      <alignment horizontal="left"/>
    </xf>
    <xf numFmtId="0" fontId="0" fillId="6" borderId="0" xfId="0" applyFill="1" applyBorder="1" applyAlignment="1" applyProtection="1">
      <alignment horizontal="left"/>
    </xf>
    <xf numFmtId="1" fontId="37" fillId="4" borderId="12" xfId="0" applyNumberFormat="1" applyFont="1" applyFill="1" applyBorder="1" applyAlignment="1" applyProtection="1">
      <alignment horizontal="center"/>
    </xf>
    <xf numFmtId="1" fontId="37" fillId="4" borderId="3" xfId="0" applyNumberFormat="1" applyFont="1" applyFill="1" applyBorder="1" applyAlignment="1" applyProtection="1">
      <alignment horizontal="center"/>
    </xf>
    <xf numFmtId="0" fontId="15" fillId="6" borderId="0" xfId="1" applyFill="1" applyBorder="1" applyAlignment="1" applyProtection="1">
      <alignment horizontal="left"/>
    </xf>
    <xf numFmtId="0" fontId="37" fillId="4" borderId="11" xfId="0" applyFont="1" applyFill="1" applyBorder="1" applyAlignment="1" applyProtection="1">
      <alignment horizontal="center"/>
    </xf>
    <xf numFmtId="0" fontId="53" fillId="20" borderId="12" xfId="0" applyFont="1" applyFill="1" applyBorder="1" applyAlignment="1" applyProtection="1">
      <alignment horizontal="center"/>
      <protection locked="0"/>
    </xf>
    <xf numFmtId="0" fontId="53" fillId="20" borderId="11" xfId="0" applyFont="1" applyFill="1" applyBorder="1" applyAlignment="1" applyProtection="1">
      <alignment horizontal="center"/>
      <protection locked="0"/>
    </xf>
    <xf numFmtId="0" fontId="53" fillId="20" borderId="3" xfId="0" applyFont="1" applyFill="1" applyBorder="1" applyAlignment="1" applyProtection="1">
      <alignment horizontal="center"/>
      <protection locked="0"/>
    </xf>
    <xf numFmtId="0" fontId="91" fillId="6" borderId="0" xfId="0" applyFont="1" applyFill="1" applyAlignment="1" applyProtection="1">
      <alignment horizontal="center"/>
    </xf>
    <xf numFmtId="0" fontId="53" fillId="10" borderId="12" xfId="0" applyNumberFormat="1" applyFont="1" applyFill="1" applyBorder="1" applyAlignment="1" applyProtection="1">
      <alignment horizontal="center" vertical="center"/>
    </xf>
    <xf numFmtId="0" fontId="53" fillId="20" borderId="47" xfId="0" applyNumberFormat="1" applyFont="1" applyFill="1" applyBorder="1" applyAlignment="1" applyProtection="1">
      <alignment horizontal="center" vertical="center"/>
      <protection locked="0"/>
    </xf>
    <xf numFmtId="0" fontId="53" fillId="20" borderId="49" xfId="0" applyNumberFormat="1" applyFont="1" applyFill="1" applyBorder="1" applyAlignment="1" applyProtection="1">
      <alignment horizontal="center" vertical="center"/>
      <protection locked="0"/>
    </xf>
    <xf numFmtId="0" fontId="54" fillId="24" borderId="11" xfId="0" applyFont="1" applyFill="1" applyBorder="1" applyAlignment="1">
      <alignment horizontal="center"/>
    </xf>
    <xf numFmtId="0" fontId="54" fillId="24" borderId="3" xfId="0" applyFont="1" applyFill="1" applyBorder="1" applyAlignment="1">
      <alignment horizontal="center"/>
    </xf>
    <xf numFmtId="0" fontId="54" fillId="26" borderId="12" xfId="0" applyFont="1" applyFill="1" applyBorder="1" applyAlignment="1">
      <alignment horizontal="center"/>
    </xf>
    <xf numFmtId="0" fontId="53" fillId="10" borderId="23" xfId="0" applyNumberFormat="1" applyFont="1" applyFill="1" applyBorder="1" applyAlignment="1" applyProtection="1">
      <alignment horizontal="center" vertical="center"/>
      <protection locked="0"/>
    </xf>
    <xf numFmtId="0" fontId="53" fillId="10" borderId="24" xfId="0" applyNumberFormat="1" applyFont="1" applyFill="1" applyBorder="1" applyAlignment="1" applyProtection="1">
      <alignment horizontal="center" vertical="center"/>
      <protection locked="0"/>
    </xf>
    <xf numFmtId="0" fontId="16" fillId="6" borderId="0" xfId="0" applyNumberFormat="1" applyFont="1" applyFill="1" applyBorder="1" applyAlignment="1">
      <alignment horizontal="left" vertical="center"/>
    </xf>
    <xf numFmtId="0" fontId="27" fillId="6" borderId="0" xfId="0" applyNumberFormat="1" applyFont="1" applyFill="1" applyBorder="1" applyAlignment="1">
      <alignment horizontal="left" vertical="center"/>
    </xf>
    <xf numFmtId="0" fontId="91" fillId="6" borderId="0" xfId="0" applyFont="1" applyFill="1" applyBorder="1" applyAlignment="1" applyProtection="1">
      <alignment horizontal="center"/>
    </xf>
    <xf numFmtId="0" fontId="94" fillId="6" borderId="0" xfId="0" applyFont="1" applyFill="1" applyBorder="1" applyAlignment="1">
      <alignment horizontal="left"/>
    </xf>
    <xf numFmtId="0" fontId="87" fillId="6" borderId="0" xfId="0" applyFont="1" applyFill="1" applyBorder="1" applyAlignment="1">
      <alignment horizontal="left" vertical="center" wrapText="1"/>
    </xf>
    <xf numFmtId="0" fontId="88" fillId="20" borderId="12" xfId="0" applyNumberFormat="1" applyFont="1" applyFill="1" applyBorder="1" applyAlignment="1" applyProtection="1">
      <alignment horizontal="left" vertical="center"/>
      <protection locked="0"/>
    </xf>
    <xf numFmtId="0" fontId="88" fillId="20" borderId="12" xfId="0" applyFont="1" applyFill="1" applyBorder="1" applyAlignment="1"/>
    <xf numFmtId="0" fontId="15" fillId="31" borderId="12" xfId="1" applyNumberFormat="1" applyFont="1" applyFill="1" applyBorder="1" applyAlignment="1" applyProtection="1">
      <alignment horizontal="left" vertical="center"/>
    </xf>
    <xf numFmtId="0" fontId="15" fillId="31" borderId="12" xfId="1" applyFont="1" applyFill="1" applyBorder="1" applyAlignment="1" applyProtection="1"/>
    <xf numFmtId="0" fontId="97" fillId="31" borderId="12" xfId="0" applyNumberFormat="1" applyFont="1" applyFill="1" applyBorder="1" applyAlignment="1" applyProtection="1">
      <alignment horizontal="left" vertical="center"/>
    </xf>
    <xf numFmtId="0" fontId="97" fillId="31" borderId="12" xfId="0" applyFont="1" applyFill="1" applyBorder="1" applyAlignment="1" applyProtection="1"/>
    <xf numFmtId="0" fontId="97" fillId="31" borderId="12" xfId="0" applyNumberFormat="1" applyFont="1" applyFill="1" applyBorder="1" applyAlignment="1" applyProtection="1">
      <alignment horizontal="left" vertical="center"/>
      <protection locked="0"/>
    </xf>
    <xf numFmtId="0" fontId="97" fillId="31" borderId="12" xfId="0" applyFont="1" applyFill="1" applyBorder="1" applyAlignment="1"/>
    <xf numFmtId="0" fontId="53" fillId="10" borderId="11" xfId="4" applyFont="1" applyFill="1" applyBorder="1" applyAlignment="1" applyProtection="1">
      <alignment horizontal="center"/>
    </xf>
    <xf numFmtId="0" fontId="53" fillId="10" borderId="3" xfId="4" applyFont="1" applyFill="1" applyBorder="1" applyAlignment="1" applyProtection="1">
      <alignment horizontal="center"/>
    </xf>
    <xf numFmtId="0" fontId="53" fillId="20" borderId="11" xfId="4" applyFont="1" applyFill="1" applyBorder="1" applyAlignment="1" applyProtection="1">
      <alignment horizontal="center"/>
    </xf>
    <xf numFmtId="0" fontId="53" fillId="20" borderId="3" xfId="4" applyFont="1" applyFill="1" applyBorder="1" applyAlignment="1" applyProtection="1">
      <alignment horizontal="center"/>
    </xf>
    <xf numFmtId="0" fontId="2" fillId="19" borderId="11" xfId="4" applyFont="1" applyFill="1" applyBorder="1" applyAlignment="1" applyProtection="1">
      <alignment horizontal="center"/>
    </xf>
    <xf numFmtId="0" fontId="2" fillId="19" borderId="3" xfId="4" applyFont="1" applyFill="1" applyBorder="1" applyAlignment="1" applyProtection="1">
      <alignment horizontal="center"/>
    </xf>
    <xf numFmtId="0" fontId="54" fillId="26" borderId="11" xfId="4" applyFont="1" applyFill="1" applyBorder="1" applyAlignment="1" applyProtection="1">
      <alignment horizontal="center"/>
    </xf>
    <xf numFmtId="0" fontId="54" fillId="26" borderId="3" xfId="4" applyFont="1" applyFill="1" applyBorder="1" applyAlignment="1" applyProtection="1">
      <alignment horizontal="center"/>
    </xf>
    <xf numFmtId="0" fontId="54" fillId="24" borderId="11" xfId="4" applyFont="1" applyFill="1" applyBorder="1" applyAlignment="1" applyProtection="1">
      <alignment horizontal="center"/>
    </xf>
    <xf numFmtId="0" fontId="54" fillId="24" borderId="3" xfId="4" applyFont="1" applyFill="1" applyBorder="1" applyAlignment="1" applyProtection="1">
      <alignment horizontal="center"/>
    </xf>
    <xf numFmtId="0" fontId="37" fillId="4" borderId="11" xfId="4" applyFont="1" applyFill="1" applyBorder="1" applyAlignment="1" applyProtection="1">
      <alignment horizontal="center"/>
    </xf>
    <xf numFmtId="0" fontId="37" fillId="4" borderId="3" xfId="4" applyFont="1" applyFill="1" applyBorder="1" applyAlignment="1" applyProtection="1">
      <alignment horizontal="center"/>
    </xf>
    <xf numFmtId="0" fontId="18" fillId="6" borderId="0" xfId="0" applyNumberFormat="1" applyFont="1" applyFill="1" applyBorder="1" applyAlignment="1">
      <alignment horizontal="left" vertical="center" wrapText="1"/>
    </xf>
    <xf numFmtId="0" fontId="53" fillId="20" borderId="12" xfId="0" applyNumberFormat="1" applyFont="1" applyFill="1" applyBorder="1" applyAlignment="1" applyProtection="1">
      <alignment horizontal="left" vertical="center"/>
      <protection locked="0"/>
    </xf>
    <xf numFmtId="0" fontId="53" fillId="10" borderId="10" xfId="0" applyNumberFormat="1" applyFont="1" applyFill="1" applyBorder="1" applyAlignment="1" applyProtection="1">
      <alignment horizontal="left" vertical="center"/>
      <protection locked="0"/>
    </xf>
    <xf numFmtId="166" fontId="37" fillId="4" borderId="12" xfId="0" applyNumberFormat="1" applyFont="1" applyFill="1" applyBorder="1" applyAlignment="1" applyProtection="1">
      <alignment horizontal="center"/>
    </xf>
    <xf numFmtId="1" fontId="37" fillId="4" borderId="11" xfId="0" applyNumberFormat="1" applyFont="1" applyFill="1" applyBorder="1" applyAlignment="1" applyProtection="1">
      <alignment horizontal="center"/>
    </xf>
    <xf numFmtId="2" fontId="38" fillId="4" borderId="12" xfId="0" applyNumberFormat="1" applyFont="1" applyFill="1" applyBorder="1" applyAlignment="1" applyProtection="1">
      <alignment horizontal="center"/>
    </xf>
    <xf numFmtId="0" fontId="38" fillId="4" borderId="12" xfId="0" applyFont="1" applyFill="1" applyBorder="1" applyAlignment="1" applyProtection="1">
      <alignment horizontal="center"/>
    </xf>
    <xf numFmtId="2" fontId="40" fillId="4" borderId="11" xfId="0" applyNumberFormat="1" applyFont="1" applyFill="1" applyBorder="1" applyAlignment="1" applyProtection="1">
      <alignment horizontal="center"/>
    </xf>
    <xf numFmtId="2" fontId="40" fillId="4" borderId="2" xfId="0" applyNumberFormat="1" applyFont="1" applyFill="1" applyBorder="1" applyAlignment="1" applyProtection="1">
      <alignment horizontal="center"/>
    </xf>
    <xf numFmtId="2" fontId="40" fillId="4" borderId="3" xfId="0" applyNumberFormat="1" applyFont="1" applyFill="1" applyBorder="1" applyAlignment="1" applyProtection="1">
      <alignment horizontal="center"/>
    </xf>
    <xf numFmtId="2" fontId="37" fillId="4" borderId="3" xfId="0" applyNumberFormat="1" applyFont="1" applyFill="1" applyBorder="1" applyAlignment="1" applyProtection="1">
      <alignment horizontal="center"/>
    </xf>
    <xf numFmtId="2" fontId="37" fillId="4" borderId="12" xfId="0" applyNumberFormat="1" applyFont="1" applyFill="1" applyBorder="1" applyAlignment="1" applyProtection="1">
      <alignment horizontal="center"/>
    </xf>
    <xf numFmtId="2" fontId="37" fillId="4" borderId="47" xfId="0" applyNumberFormat="1" applyFont="1" applyFill="1" applyBorder="1" applyAlignment="1" applyProtection="1">
      <alignment horizontal="center"/>
    </xf>
    <xf numFmtId="2" fontId="37" fillId="4" borderId="49" xfId="0" applyNumberFormat="1" applyFont="1" applyFill="1" applyBorder="1" applyAlignment="1" applyProtection="1">
      <alignment horizontal="center"/>
    </xf>
    <xf numFmtId="1" fontId="37" fillId="4" borderId="59" xfId="0" applyNumberFormat="1" applyFont="1" applyFill="1" applyBorder="1" applyAlignment="1" applyProtection="1">
      <alignment horizontal="center"/>
    </xf>
    <xf numFmtId="1" fontId="37" fillId="4" borderId="53" xfId="0" applyNumberFormat="1" applyFont="1" applyFill="1" applyBorder="1" applyAlignment="1" applyProtection="1">
      <alignment horizontal="center"/>
    </xf>
    <xf numFmtId="2" fontId="53" fillId="20" borderId="47" xfId="0" applyNumberFormat="1" applyFont="1" applyFill="1" applyBorder="1" applyAlignment="1" applyProtection="1">
      <alignment horizontal="center" vertical="center"/>
      <protection locked="0"/>
    </xf>
    <xf numFmtId="2" fontId="53" fillId="20" borderId="49" xfId="0" applyNumberFormat="1" applyFont="1" applyFill="1" applyBorder="1" applyAlignment="1" applyProtection="1">
      <alignment horizontal="center" vertical="center"/>
      <protection locked="0"/>
    </xf>
    <xf numFmtId="0" fontId="92" fillId="6" borderId="1" xfId="0" applyFont="1" applyFill="1" applyBorder="1" applyAlignment="1" applyProtection="1">
      <alignment horizontal="left"/>
    </xf>
    <xf numFmtId="0" fontId="0" fillId="5" borderId="0" xfId="0" applyFill="1" applyAlignment="1" applyProtection="1">
      <alignment horizontal="center"/>
      <protection locked="0"/>
    </xf>
    <xf numFmtId="0" fontId="37" fillId="4" borderId="12" xfId="0" applyFont="1" applyFill="1" applyBorder="1"/>
    <xf numFmtId="1" fontId="53" fillId="4" borderId="11" xfId="0" applyNumberFormat="1" applyFont="1" applyFill="1" applyBorder="1" applyAlignment="1" applyProtection="1">
      <alignment horizontal="center"/>
    </xf>
    <xf numFmtId="1" fontId="53" fillId="4" borderId="3" xfId="0" applyNumberFormat="1" applyFont="1" applyFill="1" applyBorder="1" applyAlignment="1" applyProtection="1">
      <alignment horizontal="center"/>
    </xf>
    <xf numFmtId="0" fontId="53" fillId="25" borderId="12" xfId="0" applyFont="1" applyFill="1" applyBorder="1" applyAlignment="1" applyProtection="1">
      <alignment horizontal="right"/>
    </xf>
    <xf numFmtId="0" fontId="85" fillId="0" borderId="0" xfId="0" applyFont="1" applyBorder="1" applyAlignment="1" applyProtection="1">
      <alignment horizontal="left"/>
    </xf>
    <xf numFmtId="1" fontId="2" fillId="19" borderId="12" xfId="4" applyNumberFormat="1" applyFont="1" applyFill="1" applyBorder="1" applyAlignment="1">
      <alignment horizontal="center"/>
    </xf>
    <xf numFmtId="0" fontId="2" fillId="19" borderId="47" xfId="4" applyFont="1" applyFill="1" applyBorder="1" applyAlignment="1" applyProtection="1">
      <alignment horizontal="center"/>
    </xf>
    <xf numFmtId="0" fontId="2" fillId="19" borderId="48" xfId="4" applyFont="1" applyFill="1" applyBorder="1" applyAlignment="1" applyProtection="1">
      <alignment horizontal="center"/>
    </xf>
    <xf numFmtId="0" fontId="2" fillId="19" borderId="49" xfId="4" applyFont="1" applyFill="1" applyBorder="1" applyAlignment="1" applyProtection="1">
      <alignment horizontal="center"/>
    </xf>
    <xf numFmtId="2" fontId="37" fillId="4" borderId="11" xfId="0" applyNumberFormat="1" applyFont="1" applyFill="1" applyBorder="1" applyAlignment="1" applyProtection="1">
      <alignment horizontal="center"/>
    </xf>
    <xf numFmtId="0" fontId="92" fillId="6" borderId="0" xfId="0" applyFont="1" applyFill="1" applyBorder="1" applyAlignment="1" applyProtection="1">
      <alignment horizontal="left"/>
    </xf>
    <xf numFmtId="1" fontId="53" fillId="10" borderId="11" xfId="0" applyNumberFormat="1" applyFont="1" applyFill="1" applyBorder="1" applyAlignment="1" applyProtection="1">
      <alignment horizontal="center"/>
      <protection locked="0"/>
    </xf>
    <xf numFmtId="1" fontId="53" fillId="10" borderId="2" xfId="0" applyNumberFormat="1" applyFont="1" applyFill="1" applyBorder="1" applyAlignment="1" applyProtection="1">
      <alignment horizontal="center"/>
      <protection locked="0"/>
    </xf>
    <xf numFmtId="1" fontId="53" fillId="20" borderId="11" xfId="0" applyNumberFormat="1" applyFont="1" applyFill="1" applyBorder="1" applyAlignment="1" applyProtection="1">
      <alignment horizontal="center"/>
      <protection locked="0"/>
    </xf>
    <xf numFmtId="1" fontId="53" fillId="20" borderId="2" xfId="0" applyNumberFormat="1" applyFont="1" applyFill="1" applyBorder="1" applyAlignment="1" applyProtection="1">
      <alignment horizontal="center"/>
      <protection locked="0"/>
    </xf>
    <xf numFmtId="2" fontId="53" fillId="10" borderId="47" xfId="0" applyNumberFormat="1" applyFont="1" applyFill="1" applyBorder="1" applyAlignment="1" applyProtection="1">
      <alignment horizontal="left"/>
      <protection locked="0"/>
    </xf>
    <xf numFmtId="2" fontId="53" fillId="10" borderId="48" xfId="0" applyNumberFormat="1" applyFont="1" applyFill="1" applyBorder="1" applyAlignment="1" applyProtection="1">
      <alignment horizontal="left"/>
      <protection locked="0"/>
    </xf>
    <xf numFmtId="2" fontId="53" fillId="10" borderId="49" xfId="0" applyNumberFormat="1" applyFont="1" applyFill="1" applyBorder="1" applyAlignment="1" applyProtection="1">
      <alignment horizontal="left"/>
      <protection locked="0"/>
    </xf>
    <xf numFmtId="166" fontId="40" fillId="4" borderId="47" xfId="0" applyNumberFormat="1" applyFont="1" applyFill="1" applyBorder="1" applyAlignment="1" applyProtection="1">
      <alignment horizontal="center"/>
    </xf>
    <xf numFmtId="166" fontId="40" fillId="4" borderId="48" xfId="0" applyNumberFormat="1" applyFont="1" applyFill="1" applyBorder="1" applyAlignment="1" applyProtection="1">
      <alignment horizontal="center"/>
    </xf>
    <xf numFmtId="166" fontId="40" fillId="4" borderId="49" xfId="0" applyNumberFormat="1" applyFont="1" applyFill="1" applyBorder="1" applyAlignment="1" applyProtection="1">
      <alignment horizontal="center"/>
    </xf>
    <xf numFmtId="166" fontId="37" fillId="4" borderId="24" xfId="0" applyNumberFormat="1" applyFont="1" applyFill="1" applyBorder="1" applyAlignment="1" applyProtection="1">
      <alignment horizontal="center"/>
    </xf>
    <xf numFmtId="2" fontId="39" fillId="4" borderId="47" xfId="0" applyNumberFormat="1" applyFont="1" applyFill="1" applyBorder="1" applyAlignment="1" applyProtection="1">
      <alignment horizontal="center"/>
    </xf>
    <xf numFmtId="2" fontId="39" fillId="4" borderId="48" xfId="0" applyNumberFormat="1" applyFont="1" applyFill="1" applyBorder="1" applyAlignment="1" applyProtection="1">
      <alignment horizontal="center"/>
    </xf>
    <xf numFmtId="2" fontId="39" fillId="4" borderId="49" xfId="0" applyNumberFormat="1" applyFont="1" applyFill="1" applyBorder="1" applyAlignment="1" applyProtection="1">
      <alignment horizontal="center"/>
    </xf>
    <xf numFmtId="0" fontId="92" fillId="6" borderId="0" xfId="0" applyFont="1" applyFill="1" applyBorder="1" applyAlignment="1" applyProtection="1">
      <alignment horizontal="center"/>
      <protection locked="0"/>
    </xf>
    <xf numFmtId="1" fontId="53" fillId="20" borderId="12" xfId="0" applyNumberFormat="1" applyFont="1" applyFill="1" applyBorder="1" applyAlignment="1" applyProtection="1">
      <alignment horizontal="center"/>
      <protection locked="0"/>
    </xf>
    <xf numFmtId="0" fontId="92" fillId="6" borderId="1" xfId="0" applyFont="1" applyFill="1" applyBorder="1" applyAlignment="1" applyProtection="1">
      <alignment horizontal="center"/>
    </xf>
    <xf numFmtId="2" fontId="53" fillId="20" borderId="12" xfId="0" applyNumberFormat="1" applyFont="1" applyFill="1" applyBorder="1" applyAlignment="1" applyProtection="1">
      <alignment horizontal="center" vertical="center"/>
      <protection locked="0"/>
    </xf>
    <xf numFmtId="10" fontId="38" fillId="4" borderId="12" xfId="5" applyNumberFormat="1" applyFont="1" applyFill="1" applyBorder="1" applyAlignment="1" applyProtection="1">
      <alignment horizontal="center"/>
    </xf>
    <xf numFmtId="0" fontId="39" fillId="4" borderId="2" xfId="0" applyFont="1" applyFill="1" applyBorder="1" applyAlignment="1" applyProtection="1">
      <alignment horizontal="center"/>
    </xf>
    <xf numFmtId="0" fontId="39" fillId="4" borderId="3" xfId="0" applyFont="1" applyFill="1" applyBorder="1" applyAlignment="1" applyProtection="1">
      <alignment horizontal="center"/>
    </xf>
    <xf numFmtId="1" fontId="53" fillId="10" borderId="12" xfId="0" applyNumberFormat="1" applyFont="1" applyFill="1" applyBorder="1" applyAlignment="1" applyProtection="1">
      <alignment horizontal="center" vertical="center"/>
    </xf>
    <xf numFmtId="167" fontId="53" fillId="25" borderId="12" xfId="0" applyNumberFormat="1" applyFont="1" applyFill="1" applyBorder="1" applyAlignment="1" applyProtection="1">
      <alignment horizontal="center" vertical="center"/>
    </xf>
    <xf numFmtId="0" fontId="53" fillId="10" borderId="11" xfId="0" applyFont="1" applyFill="1" applyBorder="1" applyAlignment="1" applyProtection="1">
      <alignment horizontal="center"/>
      <protection locked="0"/>
    </xf>
    <xf numFmtId="0" fontId="53" fillId="10" borderId="3" xfId="0" applyFont="1" applyFill="1" applyBorder="1" applyAlignment="1" applyProtection="1">
      <alignment horizontal="center"/>
      <protection locked="0"/>
    </xf>
    <xf numFmtId="0" fontId="44" fillId="6" borderId="0" xfId="4" applyFont="1" applyFill="1" applyBorder="1" applyAlignment="1" applyProtection="1">
      <alignment horizontal="left" wrapText="1"/>
    </xf>
    <xf numFmtId="0" fontId="53" fillId="10" borderId="1" xfId="0" applyNumberFormat="1" applyFont="1" applyFill="1" applyBorder="1" applyAlignment="1" applyProtection="1">
      <alignment horizontal="left" vertical="center"/>
      <protection locked="0"/>
    </xf>
    <xf numFmtId="0" fontId="54" fillId="10" borderId="0" xfId="4" applyFont="1" applyFill="1" applyBorder="1" applyAlignment="1" applyProtection="1">
      <alignment horizontal="center" vertical="center"/>
      <protection locked="0"/>
    </xf>
    <xf numFmtId="1" fontId="53" fillId="10" borderId="12" xfId="0" applyNumberFormat="1" applyFont="1" applyFill="1" applyBorder="1" applyAlignment="1" applyProtection="1">
      <alignment horizontal="center" vertical="center"/>
      <protection locked="0"/>
    </xf>
    <xf numFmtId="1" fontId="53" fillId="20" borderId="47" xfId="0" applyNumberFormat="1" applyFont="1" applyFill="1" applyBorder="1" applyAlignment="1" applyProtection="1">
      <alignment horizontal="center" vertical="center"/>
      <protection locked="0"/>
    </xf>
    <xf numFmtId="1" fontId="53" fillId="20" borderId="49" xfId="0" applyNumberFormat="1" applyFont="1" applyFill="1" applyBorder="1" applyAlignment="1" applyProtection="1">
      <alignment horizontal="center" vertical="center"/>
      <protection locked="0"/>
    </xf>
    <xf numFmtId="166" fontId="37" fillId="4" borderId="3" xfId="0" applyNumberFormat="1" applyFont="1" applyFill="1" applyBorder="1" applyAlignment="1" applyProtection="1">
      <alignment horizontal="center"/>
    </xf>
    <xf numFmtId="1" fontId="53" fillId="20" borderId="47" xfId="0" applyNumberFormat="1" applyFont="1" applyFill="1" applyBorder="1" applyAlignment="1" applyProtection="1">
      <alignment horizontal="center"/>
      <protection locked="0"/>
    </xf>
    <xf numFmtId="1" fontId="53" fillId="20" borderId="49" xfId="0" applyNumberFormat="1" applyFont="1" applyFill="1" applyBorder="1" applyAlignment="1" applyProtection="1">
      <alignment horizontal="center"/>
      <protection locked="0"/>
    </xf>
    <xf numFmtId="0" fontId="11" fillId="6" borderId="47" xfId="0" applyFont="1" applyFill="1" applyBorder="1" applyAlignment="1" applyProtection="1">
      <alignment horizontal="left"/>
    </xf>
    <xf numFmtId="0" fontId="11" fillId="6" borderId="48" xfId="0" applyFont="1" applyFill="1" applyBorder="1" applyAlignment="1" applyProtection="1">
      <alignment horizontal="left"/>
    </xf>
    <xf numFmtId="0" fontId="11" fillId="6" borderId="49" xfId="0" applyFont="1" applyFill="1" applyBorder="1" applyAlignment="1" applyProtection="1">
      <alignment horizontal="left"/>
    </xf>
    <xf numFmtId="0" fontId="11" fillId="6" borderId="12" xfId="0" applyFont="1" applyFill="1" applyBorder="1" applyAlignment="1" applyProtection="1">
      <alignment horizontal="left"/>
    </xf>
    <xf numFmtId="1" fontId="40" fillId="4" borderId="11" xfId="0" applyNumberFormat="1" applyFont="1" applyFill="1" applyBorder="1" applyAlignment="1" applyProtection="1">
      <alignment horizontal="center"/>
    </xf>
    <xf numFmtId="1" fontId="40" fillId="4" borderId="2" xfId="0" applyNumberFormat="1" applyFont="1" applyFill="1" applyBorder="1" applyAlignment="1" applyProtection="1">
      <alignment horizontal="center"/>
    </xf>
    <xf numFmtId="1" fontId="40" fillId="4" borderId="3" xfId="0" applyNumberFormat="1" applyFont="1" applyFill="1" applyBorder="1" applyAlignment="1" applyProtection="1">
      <alignment horizontal="center"/>
    </xf>
    <xf numFmtId="2" fontId="40" fillId="4" borderId="47" xfId="0" applyNumberFormat="1" applyFont="1" applyFill="1" applyBorder="1" applyAlignment="1" applyProtection="1">
      <alignment horizontal="center"/>
    </xf>
    <xf numFmtId="2" fontId="40" fillId="4" borderId="49" xfId="0" applyNumberFormat="1" applyFont="1" applyFill="1" applyBorder="1" applyAlignment="1" applyProtection="1">
      <alignment horizontal="center"/>
    </xf>
    <xf numFmtId="0" fontId="53" fillId="10" borderId="47" xfId="0" applyNumberFormat="1" applyFont="1" applyFill="1" applyBorder="1" applyAlignment="1" applyProtection="1">
      <alignment horizontal="center" vertical="center"/>
      <protection locked="0"/>
    </xf>
    <xf numFmtId="0" fontId="53" fillId="10" borderId="48" xfId="0" applyNumberFormat="1" applyFont="1" applyFill="1" applyBorder="1" applyAlignment="1" applyProtection="1">
      <alignment horizontal="center" vertical="center"/>
      <protection locked="0"/>
    </xf>
    <xf numFmtId="0" fontId="53" fillId="10" borderId="49" xfId="0" applyNumberFormat="1" applyFont="1" applyFill="1" applyBorder="1" applyAlignment="1" applyProtection="1">
      <alignment horizontal="center" vertical="center"/>
      <protection locked="0"/>
    </xf>
    <xf numFmtId="0" fontId="96" fillId="0" borderId="0" xfId="0" applyFont="1" applyAlignment="1">
      <alignment horizontal="center"/>
    </xf>
    <xf numFmtId="0" fontId="84" fillId="0" borderId="0" xfId="0" applyFont="1" applyAlignment="1">
      <alignment horizontal="left"/>
    </xf>
    <xf numFmtId="0" fontId="11" fillId="0" borderId="0" xfId="0" applyNumberFormat="1" applyFont="1" applyAlignment="1">
      <alignment horizontal="left"/>
    </xf>
    <xf numFmtId="0" fontId="0" fillId="0" borderId="0" xfId="0" applyNumberFormat="1" applyAlignment="1">
      <alignment horizontal="left"/>
    </xf>
    <xf numFmtId="0" fontId="53" fillId="30" borderId="0" xfId="0" applyFont="1" applyFill="1" applyAlignment="1">
      <alignment horizontal="center"/>
    </xf>
    <xf numFmtId="0" fontId="53" fillId="28" borderId="0" xfId="0" applyFont="1" applyFill="1" applyAlignment="1">
      <alignment horizontal="center"/>
    </xf>
    <xf numFmtId="0" fontId="53" fillId="29" borderId="0" xfId="0" applyFont="1" applyFill="1" applyAlignment="1">
      <alignment horizontal="center"/>
    </xf>
    <xf numFmtId="0" fontId="53" fillId="27" borderId="0" xfId="0" applyFont="1" applyFill="1" applyAlignment="1">
      <alignment horizontal="center"/>
    </xf>
    <xf numFmtId="0" fontId="15" fillId="22" borderId="21" xfId="1" applyFill="1" applyBorder="1" applyAlignment="1" applyProtection="1">
      <alignment vertical="top" wrapText="1"/>
    </xf>
    <xf numFmtId="0" fontId="15" fillId="0" borderId="0" xfId="1" applyFill="1" applyBorder="1" applyAlignment="1" applyProtection="1">
      <alignment vertical="top" wrapText="1"/>
    </xf>
    <xf numFmtId="0" fontId="15" fillId="0" borderId="19" xfId="1" applyFill="1" applyBorder="1" applyAlignment="1" applyProtection="1">
      <alignment vertical="top" wrapText="1"/>
    </xf>
    <xf numFmtId="0" fontId="78" fillId="16" borderId="21" xfId="30" applyFont="1" applyFill="1" applyBorder="1" applyAlignment="1">
      <alignment vertical="top" wrapText="1"/>
    </xf>
    <xf numFmtId="0" fontId="0" fillId="0" borderId="0" xfId="0" applyAlignment="1">
      <alignment vertical="top" wrapText="1"/>
    </xf>
    <xf numFmtId="0" fontId="0" fillId="0" borderId="19" xfId="0" applyBorder="1" applyAlignment="1">
      <alignment vertical="top" wrapText="1"/>
    </xf>
    <xf numFmtId="0" fontId="75" fillId="0" borderId="0" xfId="0" applyFont="1" applyBorder="1" applyAlignment="1">
      <alignment vertical="top" wrapText="1"/>
    </xf>
    <xf numFmtId="0" fontId="75" fillId="0" borderId="19" xfId="0" applyFont="1" applyBorder="1" applyAlignment="1">
      <alignment vertical="top" wrapText="1"/>
    </xf>
    <xf numFmtId="0" fontId="69" fillId="16" borderId="20" xfId="30" applyFont="1" applyFill="1" applyBorder="1" applyAlignment="1">
      <alignment vertical="top"/>
    </xf>
    <xf numFmtId="0" fontId="79" fillId="16" borderId="18" xfId="30" applyFont="1" applyFill="1" applyBorder="1" applyAlignment="1">
      <alignment vertical="top"/>
    </xf>
    <xf numFmtId="0" fontId="80" fillId="16" borderId="18" xfId="0" applyFont="1" applyFill="1" applyBorder="1" applyAlignment="1">
      <alignment vertical="top"/>
    </xf>
    <xf numFmtId="0" fontId="80" fillId="16" borderId="22" xfId="0" applyFont="1" applyFill="1" applyBorder="1" applyAlignment="1">
      <alignment vertical="top"/>
    </xf>
    <xf numFmtId="0" fontId="82" fillId="22" borderId="21" xfId="30" applyFont="1" applyFill="1" applyBorder="1" applyAlignment="1">
      <alignment vertical="top" wrapText="1"/>
    </xf>
    <xf numFmtId="0" fontId="75" fillId="0" borderId="0" xfId="0" applyFont="1" applyFill="1" applyBorder="1" applyAlignment="1">
      <alignment vertical="top" wrapText="1"/>
    </xf>
    <xf numFmtId="0" fontId="75" fillId="0" borderId="19" xfId="0" applyFont="1" applyFill="1" applyBorder="1" applyAlignment="1">
      <alignment vertical="top" wrapText="1"/>
    </xf>
    <xf numFmtId="3" fontId="69" fillId="0" borderId="20" xfId="30" applyNumberFormat="1" applyFont="1" applyBorder="1" applyAlignment="1">
      <alignment horizontal="center"/>
    </xf>
    <xf numFmtId="3" fontId="69" fillId="0" borderId="18" xfId="30" applyNumberFormat="1" applyFont="1" applyBorder="1" applyAlignment="1">
      <alignment horizontal="center"/>
    </xf>
    <xf numFmtId="3" fontId="69" fillId="0" borderId="22" xfId="30" applyNumberFormat="1" applyFont="1" applyBorder="1" applyAlignment="1">
      <alignment horizontal="center"/>
    </xf>
    <xf numFmtId="0" fontId="81" fillId="16" borderId="15" xfId="30" applyFont="1" applyFill="1" applyBorder="1" applyAlignment="1">
      <alignment vertical="top" wrapText="1"/>
    </xf>
    <xf numFmtId="0" fontId="62" fillId="0" borderId="13" xfId="0" applyFont="1" applyBorder="1" applyAlignment="1">
      <alignment vertical="top" wrapText="1"/>
    </xf>
    <xf numFmtId="0" fontId="69" fillId="19" borderId="0" xfId="30" applyFont="1" applyFill="1" applyAlignment="1"/>
    <xf numFmtId="0" fontId="65" fillId="19" borderId="0" xfId="30" applyFill="1" applyAlignment="1"/>
    <xf numFmtId="0" fontId="69" fillId="0" borderId="20" xfId="30" applyFont="1" applyBorder="1" applyAlignment="1">
      <alignment horizontal="center"/>
    </xf>
    <xf numFmtId="0" fontId="69" fillId="0" borderId="18" xfId="30" applyFont="1" applyBorder="1" applyAlignment="1">
      <alignment horizontal="center"/>
    </xf>
    <xf numFmtId="0" fontId="69" fillId="0" borderId="22" xfId="30" applyFont="1" applyBorder="1" applyAlignment="1">
      <alignment horizontal="center"/>
    </xf>
    <xf numFmtId="0" fontId="67" fillId="0" borderId="20" xfId="30" applyFont="1" applyBorder="1" applyAlignment="1">
      <alignment horizontal="center"/>
    </xf>
    <xf numFmtId="0" fontId="67" fillId="0" borderId="22" xfId="30" applyFont="1" applyBorder="1" applyAlignment="1">
      <alignment horizontal="center"/>
    </xf>
    <xf numFmtId="0" fontId="15" fillId="22" borderId="0" xfId="1" applyFill="1" applyBorder="1" applyAlignment="1" applyProtection="1">
      <alignment vertical="top" wrapText="1"/>
    </xf>
    <xf numFmtId="0" fontId="15" fillId="22" borderId="19" xfId="1" applyFill="1" applyBorder="1" applyAlignment="1" applyProtection="1">
      <alignment vertical="top" wrapText="1"/>
    </xf>
    <xf numFmtId="0" fontId="21" fillId="0" borderId="0" xfId="0" applyFont="1" applyFill="1" applyBorder="1" applyAlignment="1">
      <alignment vertical="top" wrapText="1"/>
    </xf>
    <xf numFmtId="0" fontId="21" fillId="0" borderId="19" xfId="0" applyFont="1" applyFill="1" applyBorder="1" applyAlignment="1">
      <alignment vertical="top" wrapText="1"/>
    </xf>
    <xf numFmtId="174" fontId="53" fillId="25" borderId="47" xfId="0" applyNumberFormat="1" applyFont="1" applyFill="1" applyBorder="1" applyAlignment="1">
      <alignment horizontal="center"/>
    </xf>
    <xf numFmtId="174" fontId="53" fillId="25" borderId="48" xfId="0" applyNumberFormat="1" applyFont="1" applyFill="1" applyBorder="1" applyAlignment="1">
      <alignment horizontal="center"/>
    </xf>
    <xf numFmtId="174" fontId="53" fillId="25" borderId="49" xfId="0" applyNumberFormat="1" applyFont="1" applyFill="1" applyBorder="1" applyAlignment="1">
      <alignment horizontal="center"/>
    </xf>
    <xf numFmtId="0" fontId="53" fillId="10" borderId="12" xfId="0" applyFont="1" applyFill="1" applyBorder="1" applyAlignment="1">
      <alignment horizontal="center"/>
    </xf>
    <xf numFmtId="0" fontId="53" fillId="25" borderId="47" xfId="0" applyNumberFormat="1" applyFont="1" applyFill="1" applyBorder="1" applyAlignment="1">
      <alignment horizontal="center"/>
    </xf>
    <xf numFmtId="0" fontId="53" fillId="25" borderId="48" xfId="0" applyNumberFormat="1" applyFont="1" applyFill="1" applyBorder="1" applyAlignment="1">
      <alignment horizontal="center"/>
    </xf>
    <xf numFmtId="0" fontId="53" fillId="25" borderId="49" xfId="0" applyNumberFormat="1" applyFont="1" applyFill="1" applyBorder="1" applyAlignment="1">
      <alignment horizontal="center"/>
    </xf>
    <xf numFmtId="0" fontId="100" fillId="23" borderId="0" xfId="0" applyFont="1" applyFill="1" applyAlignment="1" applyProtection="1">
      <alignment horizontal="center"/>
    </xf>
    <xf numFmtId="0" fontId="53" fillId="25" borderId="47" xfId="0" applyFont="1" applyFill="1" applyBorder="1" applyAlignment="1">
      <alignment horizontal="center"/>
    </xf>
    <xf numFmtId="0" fontId="53" fillId="25" borderId="48" xfId="0" applyFont="1" applyFill="1" applyBorder="1" applyAlignment="1">
      <alignment horizontal="center"/>
    </xf>
    <xf numFmtId="0" fontId="53" fillId="25" borderId="49" xfId="0" applyFont="1" applyFill="1" applyBorder="1" applyAlignment="1">
      <alignment horizontal="center"/>
    </xf>
    <xf numFmtId="0" fontId="53" fillId="25" borderId="12" xfId="0" applyFont="1" applyFill="1" applyBorder="1" applyAlignment="1">
      <alignment horizontal="center"/>
    </xf>
    <xf numFmtId="0" fontId="87" fillId="0" borderId="1" xfId="0" applyFont="1" applyBorder="1" applyAlignment="1">
      <alignment horizontal="center"/>
    </xf>
    <xf numFmtId="0" fontId="87" fillId="0" borderId="0" xfId="0" applyFont="1" applyBorder="1" applyAlignment="1">
      <alignment horizontal="center"/>
    </xf>
    <xf numFmtId="0" fontId="73" fillId="17" borderId="26" xfId="30" applyFont="1" applyFill="1" applyBorder="1" applyAlignment="1">
      <alignment horizontal="center"/>
    </xf>
    <xf numFmtId="0" fontId="73" fillId="17" borderId="27" xfId="30" applyFont="1" applyFill="1" applyBorder="1" applyAlignment="1">
      <alignment horizontal="center"/>
    </xf>
    <xf numFmtId="0" fontId="73" fillId="17" borderId="38" xfId="30" applyFont="1" applyFill="1" applyBorder="1" applyAlignment="1">
      <alignment horizontal="center"/>
    </xf>
    <xf numFmtId="0" fontId="67" fillId="14" borderId="52" xfId="30" applyFont="1" applyFill="1" applyBorder="1" applyAlignment="1">
      <alignment horizontal="center"/>
    </xf>
    <xf numFmtId="0" fontId="67" fillId="14" borderId="54" xfId="30" applyFont="1" applyFill="1" applyBorder="1" applyAlignment="1">
      <alignment horizontal="center"/>
    </xf>
    <xf numFmtId="0" fontId="67" fillId="14" borderId="51" xfId="30" applyFont="1" applyFill="1" applyBorder="1" applyAlignment="1">
      <alignment horizontal="center"/>
    </xf>
    <xf numFmtId="0" fontId="0" fillId="30" borderId="0" xfId="0" applyFill="1"/>
  </cellXfs>
  <cellStyles count="89">
    <cellStyle name="Accent1" xfId="27" builtinId="29"/>
    <cellStyle name="Calculation" xfId="26" builtinId="22"/>
    <cellStyle name="Comma 2" xfId="15" xr:uid="{00000000-0005-0000-0000-000001000000}"/>
    <cellStyle name="Comma 3" xfId="20" xr:uid="{00000000-0005-0000-0000-000002000000}"/>
    <cellStyle name="Comma 4" xfId="14" xr:uid="{00000000-0005-0000-0000-000003000000}"/>
    <cellStyle name="Comma 5" xfId="40" xr:uid="{00000000-0005-0000-0000-000004000000}"/>
    <cellStyle name="Comma 6" xfId="66" xr:uid="{00000000-0005-0000-0000-000005000000}"/>
    <cellStyle name="Currency" xfId="88" builtinId="4"/>
    <cellStyle name="Euro" xfId="9" xr:uid="{00000000-0005-0000-0000-000008000000}"/>
    <cellStyle name="Hyperlink" xfId="1" builtinId="8"/>
    <cellStyle name="Hyperlink 2" xfId="37" xr:uid="{00000000-0005-0000-0000-00000A000000}"/>
    <cellStyle name="Hyperlink 3" xfId="35" xr:uid="{00000000-0005-0000-0000-00000B000000}"/>
    <cellStyle name="Input" xfId="24" builtinId="20"/>
    <cellStyle name="Komma 2" xfId="53" xr:uid="{00000000-0005-0000-0000-00000C000000}"/>
    <cellStyle name="Komma 2 2" xfId="78" xr:uid="{00000000-0005-0000-0000-00000D000000}"/>
    <cellStyle name="Normal" xfId="0" builtinId="0"/>
    <cellStyle name="Normal 10" xfId="29" xr:uid="{00000000-0005-0000-0000-00000E000000}"/>
    <cellStyle name="Normal 2" xfId="2" xr:uid="{00000000-0005-0000-0000-00000F000000}"/>
    <cellStyle name="Normal 2 2" xfId="12" xr:uid="{00000000-0005-0000-0000-000010000000}"/>
    <cellStyle name="Normal 2 2 2" xfId="51" xr:uid="{00000000-0005-0000-0000-000011000000}"/>
    <cellStyle name="Normal 2 2 2 2" xfId="76" xr:uid="{00000000-0005-0000-0000-000012000000}"/>
    <cellStyle name="Normal 2 2 3" xfId="38" xr:uid="{00000000-0005-0000-0000-000013000000}"/>
    <cellStyle name="Normal 2 2 4" xfId="64" xr:uid="{00000000-0005-0000-0000-000014000000}"/>
    <cellStyle name="Normal 2 3" xfId="32" xr:uid="{00000000-0005-0000-0000-000015000000}"/>
    <cellStyle name="Normal 2 3 2" xfId="54" xr:uid="{00000000-0005-0000-0000-000016000000}"/>
    <cellStyle name="Normal 2 3 2 2" xfId="79" xr:uid="{00000000-0005-0000-0000-000017000000}"/>
    <cellStyle name="Normal 2 3 3" xfId="41" xr:uid="{00000000-0005-0000-0000-000018000000}"/>
    <cellStyle name="Normal 2 3 4" xfId="67" xr:uid="{00000000-0005-0000-0000-000019000000}"/>
    <cellStyle name="Normal 2 4" xfId="44" xr:uid="{00000000-0005-0000-0000-00001A000000}"/>
    <cellStyle name="Normal 2 4 2" xfId="57" xr:uid="{00000000-0005-0000-0000-00001B000000}"/>
    <cellStyle name="Normal 2 4 2 2" xfId="82" xr:uid="{00000000-0005-0000-0000-00001C000000}"/>
    <cellStyle name="Normal 2 4 3" xfId="70" xr:uid="{00000000-0005-0000-0000-00001D000000}"/>
    <cellStyle name="Normal 2 5" xfId="46" xr:uid="{00000000-0005-0000-0000-00001E000000}"/>
    <cellStyle name="Normal 2 5 2" xfId="59" xr:uid="{00000000-0005-0000-0000-00001F000000}"/>
    <cellStyle name="Normal 2 5 2 2" xfId="84" xr:uid="{00000000-0005-0000-0000-000020000000}"/>
    <cellStyle name="Normal 2 5 3" xfId="72" xr:uid="{00000000-0005-0000-0000-000021000000}"/>
    <cellStyle name="Normal 2 6" xfId="62" xr:uid="{00000000-0005-0000-0000-000022000000}"/>
    <cellStyle name="Normal 2 6 2" xfId="87" xr:uid="{00000000-0005-0000-0000-000023000000}"/>
    <cellStyle name="Normal 3" xfId="7" xr:uid="{00000000-0005-0000-0000-000024000000}"/>
    <cellStyle name="Normal 3 2" xfId="10" xr:uid="{00000000-0005-0000-0000-000025000000}"/>
    <cellStyle name="Normal 3 2 2" xfId="50" xr:uid="{00000000-0005-0000-0000-000026000000}"/>
    <cellStyle name="Normal 3 2 3" xfId="75" xr:uid="{00000000-0005-0000-0000-000027000000}"/>
    <cellStyle name="Normal 3 3" xfId="36" xr:uid="{00000000-0005-0000-0000-000028000000}"/>
    <cellStyle name="Normal 3 4" xfId="63" xr:uid="{00000000-0005-0000-0000-000029000000}"/>
    <cellStyle name="Normal 4" xfId="13" xr:uid="{00000000-0005-0000-0000-00002A000000}"/>
    <cellStyle name="Normal 4 2" xfId="52" xr:uid="{00000000-0005-0000-0000-00002B000000}"/>
    <cellStyle name="Normal 4 2 2" xfId="77" xr:uid="{00000000-0005-0000-0000-00002C000000}"/>
    <cellStyle name="Normal 4 3" xfId="39" xr:uid="{00000000-0005-0000-0000-00002D000000}"/>
    <cellStyle name="Normal 4 4" xfId="65" xr:uid="{00000000-0005-0000-0000-00002E000000}"/>
    <cellStyle name="Normal 5" xfId="17" xr:uid="{00000000-0005-0000-0000-00002F000000}"/>
    <cellStyle name="Normal 5 2" xfId="18" xr:uid="{00000000-0005-0000-0000-000030000000}"/>
    <cellStyle name="Normal 5 2 2" xfId="22" xr:uid="{00000000-0005-0000-0000-000031000000}"/>
    <cellStyle name="Normal 5 2 3" xfId="55" xr:uid="{00000000-0005-0000-0000-000032000000}"/>
    <cellStyle name="Normal 5 2 4" xfId="80" xr:uid="{00000000-0005-0000-0000-000033000000}"/>
    <cellStyle name="Normal 5 3" xfId="21" xr:uid="{00000000-0005-0000-0000-000034000000}"/>
    <cellStyle name="Normal 5 4" xfId="42" xr:uid="{00000000-0005-0000-0000-000035000000}"/>
    <cellStyle name="Normal 5 5" xfId="68" xr:uid="{00000000-0005-0000-0000-000036000000}"/>
    <cellStyle name="Normal 6" xfId="19" xr:uid="{00000000-0005-0000-0000-000037000000}"/>
    <cellStyle name="Normal 6 2" xfId="56" xr:uid="{00000000-0005-0000-0000-000038000000}"/>
    <cellStyle name="Normal 6 2 2" xfId="81" xr:uid="{00000000-0005-0000-0000-000039000000}"/>
    <cellStyle name="Normal 6 3" xfId="43" xr:uid="{00000000-0005-0000-0000-00003A000000}"/>
    <cellStyle name="Normal 6 4" xfId="69" xr:uid="{00000000-0005-0000-0000-00003B000000}"/>
    <cellStyle name="Normal 7" xfId="8" xr:uid="{00000000-0005-0000-0000-00003C000000}"/>
    <cellStyle name="Normal 7 2" xfId="58" xr:uid="{00000000-0005-0000-0000-00003D000000}"/>
    <cellStyle name="Normal 7 2 2" xfId="83" xr:uid="{00000000-0005-0000-0000-00003E000000}"/>
    <cellStyle name="Normal 7 3" xfId="45" xr:uid="{00000000-0005-0000-0000-00003F000000}"/>
    <cellStyle name="Normal 7 4" xfId="71" xr:uid="{00000000-0005-0000-0000-000040000000}"/>
    <cellStyle name="Normal 8" xfId="23" xr:uid="{00000000-0005-0000-0000-000041000000}"/>
    <cellStyle name="Normal 8 2" xfId="60" xr:uid="{00000000-0005-0000-0000-000042000000}"/>
    <cellStyle name="Normal 8 2 2" xfId="85" xr:uid="{00000000-0005-0000-0000-000043000000}"/>
    <cellStyle name="Normal 8 3" xfId="47" xr:uid="{00000000-0005-0000-0000-000044000000}"/>
    <cellStyle name="Normal 8 4" xfId="73" xr:uid="{00000000-0005-0000-0000-000045000000}"/>
    <cellStyle name="Normal 9" xfId="28" xr:uid="{00000000-0005-0000-0000-000046000000}"/>
    <cellStyle name="Normal 9 2" xfId="61" xr:uid="{00000000-0005-0000-0000-000047000000}"/>
    <cellStyle name="Normal 9 3" xfId="86" xr:uid="{00000000-0005-0000-0000-000048000000}"/>
    <cellStyle name="Normal_BVMS Project Checklistv6.0" xfId="3" xr:uid="{00000000-0005-0000-0000-000049000000}"/>
    <cellStyle name="Normal_VRM Storage Calculator_v0.9961" xfId="4" xr:uid="{00000000-0005-0000-0000-00004A000000}"/>
    <cellStyle name="Output" xfId="25" builtinId="21"/>
    <cellStyle name="Percent" xfId="5" builtinId="5"/>
    <cellStyle name="Percent 2" xfId="16" xr:uid="{00000000-0005-0000-0000-00004D000000}"/>
    <cellStyle name="SAPMemberCell" xfId="33" xr:uid="{00000000-0005-0000-0000-00004F000000}"/>
    <cellStyle name="Standard 2" xfId="30" xr:uid="{00000000-0005-0000-0000-000050000000}"/>
    <cellStyle name="Standard 2 2" xfId="49" xr:uid="{00000000-0005-0000-0000-000051000000}"/>
    <cellStyle name="Standard 3" xfId="31" xr:uid="{00000000-0005-0000-0000-000052000000}"/>
    <cellStyle name="Standard 3 2" xfId="48" xr:uid="{00000000-0005-0000-0000-000053000000}"/>
    <cellStyle name="Standard 3 3" xfId="74" xr:uid="{00000000-0005-0000-0000-000054000000}"/>
    <cellStyle name="Standard 4" xfId="34" xr:uid="{00000000-0005-0000-0000-000055000000}"/>
    <cellStyle name="Style 1" xfId="11" xr:uid="{00000000-0005-0000-0000-000056000000}"/>
    <cellStyle name="Обычный_Cockpitchart of VTB bank_Loboda" xfId="6" xr:uid="{00000000-0005-0000-0000-000058000000}"/>
  </cellStyles>
  <dxfs count="124">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rgb="FFFFC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7030A0"/>
        </patternFill>
      </fill>
    </dxf>
    <dxf>
      <fill>
        <patternFill>
          <bgColor rgb="FFFFC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00B050"/>
        </patternFill>
      </fill>
    </dxf>
    <dxf>
      <fill>
        <patternFill>
          <bgColor rgb="FFC00000"/>
        </patternFill>
      </fill>
    </dxf>
    <dxf>
      <fill>
        <patternFill>
          <bgColor rgb="FFC00000"/>
        </patternFill>
      </fill>
    </dxf>
    <dxf>
      <fill>
        <patternFill>
          <bgColor rgb="FF00B050"/>
        </patternFill>
      </fill>
    </dxf>
    <dxf>
      <fill>
        <patternFill>
          <bgColor rgb="FFFF0000"/>
        </patternFill>
      </fill>
    </dxf>
    <dxf>
      <fill>
        <patternFill>
          <bgColor rgb="FFFFC000"/>
        </patternFill>
      </fill>
    </dxf>
    <dxf>
      <fill>
        <patternFill>
          <bgColor rgb="FFC00000"/>
        </patternFill>
      </fill>
    </dxf>
    <dxf>
      <fill>
        <patternFill>
          <bgColor rgb="FFC00000"/>
        </patternFill>
      </fill>
    </dxf>
    <dxf>
      <font>
        <color theme="0"/>
      </font>
      <fill>
        <patternFill>
          <bgColor rgb="FF00B050"/>
        </patternFill>
      </fill>
    </dxf>
    <dxf>
      <fill>
        <patternFill>
          <bgColor rgb="FFC00000"/>
        </patternFill>
      </fill>
    </dxf>
    <dxf>
      <fill>
        <patternFill>
          <bgColor rgb="FF7030A0"/>
        </patternFill>
      </fill>
    </dxf>
    <dxf>
      <fill>
        <patternFill>
          <bgColor rgb="FF00B050"/>
        </patternFill>
      </fill>
    </dxf>
    <dxf>
      <fill>
        <patternFill>
          <bgColor rgb="FFC00000"/>
        </patternFill>
      </fill>
    </dxf>
    <dxf>
      <fill>
        <patternFill>
          <bgColor indexed="1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indexed="51"/>
        </patternFill>
      </fill>
    </dxf>
    <dxf>
      <fill>
        <patternFill>
          <bgColor rgb="FF00B050"/>
        </patternFill>
      </fill>
    </dxf>
    <dxf>
      <fill>
        <patternFill>
          <bgColor rgb="FF00B050"/>
        </patternFill>
      </fill>
    </dxf>
    <dxf>
      <fill>
        <patternFill>
          <bgColor rgb="FF00B050"/>
        </patternFill>
      </fill>
    </dxf>
    <dxf>
      <fill>
        <patternFill>
          <bgColor rgb="FFC00000"/>
        </patternFill>
      </fill>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dxf>
    <dxf>
      <numFmt numFmtId="0" formatCode="General"/>
    </dxf>
    <dxf>
      <numFmt numFmtId="0" formatCode="General"/>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xr9:uid="{00000000-0011-0000-FFFF-FFFF00000000}">
      <tableStyleElement type="headerRow" dxfId="123"/>
      <tableStyleElement type="totalRow" dxfId="122"/>
      <tableStyleElement type="firstRowStripe" dxfId="121"/>
      <tableStyleElement type="firstColumnStripe" dxfId="120"/>
      <tableStyleElement type="firstSubtotalColumn" dxfId="119"/>
      <tableStyleElement type="firstSubtotalRow" dxfId="118"/>
      <tableStyleElement type="secondSubtotalRow" dxfId="117"/>
      <tableStyleElement type="firstRowSubheading" dxfId="116"/>
      <tableStyleElement type="secondRowSubheading" dxfId="115"/>
      <tableStyleElement type="pageFieldLabels" dxfId="114"/>
      <tableStyleElement type="pageFieldValues" dxfId="113"/>
    </tableStyle>
  </tableStyles>
  <colors>
    <mruColors>
      <color rgb="FFFFFFFF"/>
      <color rgb="FF969696"/>
      <color rgb="FFCC99FF"/>
      <color rgb="FFCCFFFF"/>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13611</xdr:colOff>
      <xdr:row>0</xdr:row>
      <xdr:rowOff>12607</xdr:rowOff>
    </xdr:from>
    <xdr:to>
      <xdr:col>23</xdr:col>
      <xdr:colOff>240140</xdr:colOff>
      <xdr:row>1</xdr:row>
      <xdr:rowOff>81642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11" y="12607"/>
          <a:ext cx="22959980" cy="232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104775</xdr:colOff>
      <xdr:row>1</xdr:row>
      <xdr:rowOff>47625</xdr:rowOff>
    </xdr:from>
    <xdr:to>
      <xdr:col>9</xdr:col>
      <xdr:colOff>361950</xdr:colOff>
      <xdr:row>5</xdr:row>
      <xdr:rowOff>66675</xdr:rowOff>
    </xdr:to>
    <xdr:pic>
      <xdr:nvPicPr>
        <xdr:cNvPr id="4366" name="Picture 2" descr="Bosch_SL-en_LA-sr_XS">
          <a:extLst>
            <a:ext uri="{FF2B5EF4-FFF2-40B4-BE49-F238E27FC236}">
              <a16:creationId xmlns:a16="http://schemas.microsoft.com/office/drawing/2014/main" id="{00000000-0008-0000-0A00-00000E11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953000" y="247650"/>
          <a:ext cx="2085975" cy="666750"/>
        </a:xfrm>
        <a:prstGeom prst="rect">
          <a:avLst/>
        </a:prstGeom>
        <a:noFill/>
        <a:ln w="9525">
          <a:noFill/>
          <a:miter lim="800000"/>
          <a:headEnd/>
          <a:tailEnd/>
        </a:ln>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esolutions_MIC-7522-Z30x_FW7_61_0016" connectionId="1" xr16:uid="{00000000-0016-0000-0500-000001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esolutions_MIC-7522-Z30xR_FW7_61_16" connectionId="2" xr16:uid="{00000000-0016-0000-0500-000000000000}"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V11774" totalsRowShown="0">
  <autoFilter ref="A1:V11774" xr:uid="{00000000-0009-0000-0100-000001000000}"/>
  <tableColumns count="22">
    <tableColumn id="1" xr3:uid="{00000000-0010-0000-0000-000001000000}" name="Column1">
      <calculatedColumnFormula>IF(AND(G2&lt;&gt;"rotate 90°"),D2,"")</calculatedColumnFormula>
    </tableColumn>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 id="15" xr3:uid="{00000000-0010-0000-0000-00000F000000}" name="Column15"/>
    <tableColumn id="16" xr3:uid="{00000000-0010-0000-0000-000010000000}" name="Stream">
      <calculatedColumnFormula>LEFT(F2,5)&amp;" "&amp;J2&amp;" - "&amp;M2</calculatedColumnFormula>
    </tableColumn>
    <tableColumn id="17" xr3:uid="{00000000-0010-0000-0000-000011000000}" name="0">
      <calculatedColumnFormula>IF(A1=A2,Q1,Q1+1)</calculatedColumnFormula>
    </tableColumn>
    <tableColumn id="18" xr3:uid="{00000000-0010-0000-0000-000012000000}" name="Column16">
      <calculatedColumnFormula>IF(Q1&lt;&gt;Q2,Q2,"")</calculatedColumnFormula>
    </tableColumn>
    <tableColumn id="19" xr3:uid="{00000000-0010-0000-0000-000013000000}" name="Display name">
      <calculatedColumnFormula>IF(R2&lt;&gt;"",B2&amp;" ("&amp;D2&amp;")","")</calculatedColumnFormula>
    </tableColumn>
    <tableColumn id="16385" xr3:uid="{00000000-0010-0000-0000-000001400000}" name="CTN" dataDxfId="112">
      <calculatedColumnFormula>D2</calculatedColumnFormula>
    </tableColumn>
    <tableColumn id="16386" xr3:uid="{00000000-0010-0000-0000-000002400000}" name="Channels" dataDxfId="111">
      <calculatedColumnFormula>I2</calculatedColumnFormula>
    </tableColumn>
    <tableColumn id="16387" xr3:uid="{00000000-0010-0000-0000-000003400000}" name="CPP_" dataDxfId="110">
      <calculatedColumnFormula>C2</calculatedColumnFormula>
    </tableColumn>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h_264101214" displayName="h_264101214" ref="H151:H157" totalsRowShown="0" headerRowDxfId="85" dataDxfId="84" headerRowCellStyle="Standard 2" dataCellStyle="Standard 2">
  <autoFilter ref="H151:H157" xr:uid="{00000000-0009-0000-0100-00000D000000}"/>
  <tableColumns count="1">
    <tableColumn id="1" xr3:uid="{00000000-0010-0000-0900-000001000000}" name="h_264" dataDxfId="83" dataCellStyle="Standard 2"/>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h_265111315" displayName="h_265111315" ref="I151:I152" totalsRowShown="0" headerRowDxfId="82" dataDxfId="81" headerRowCellStyle="Standard 2" dataCellStyle="Standard 2">
  <autoFilter ref="I151:I152" xr:uid="{00000000-0009-0000-0100-00000E000000}"/>
  <tableColumns count="1">
    <tableColumn id="1" xr3:uid="{00000000-0010-0000-0A00-000001000000}" name="h_265" dataDxfId="80" dataCellStyle="Standard 2"/>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h_2641012143" displayName="h_2641012143" ref="H151:H157" totalsRowShown="0" headerRowDxfId="79" dataDxfId="78" headerRowCellStyle="Standard 2" dataCellStyle="Standard 2">
  <autoFilter ref="H151:H157" xr:uid="{00000000-0009-0000-0100-000002000000}"/>
  <tableColumns count="1">
    <tableColumn id="1" xr3:uid="{00000000-0010-0000-0B00-000001000000}" name="h_264" dataDxfId="77" dataCellStyle="Standard 2"/>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h_2651113156" displayName="h_2651113156" ref="I151:I152" totalsRowShown="0" headerRowDxfId="76" dataDxfId="75" headerRowCellStyle="Standard 2" dataCellStyle="Standard 2">
  <autoFilter ref="I151:I152" xr:uid="{00000000-0009-0000-0100-000005000000}"/>
  <tableColumns count="1">
    <tableColumn id="1" xr3:uid="{00000000-0010-0000-0C00-000001000000}" name="h_265" dataDxfId="74" dataCellStyle="Standard 2"/>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h_2648" displayName="h_2648" ref="H149:H155" totalsRowShown="0" headerRowDxfId="109" dataDxfId="108" headerRowCellStyle="Standard 2" dataCellStyle="Standard 2">
  <autoFilter ref="H149:H155" xr:uid="{00000000-0009-0000-0100-000007000000}"/>
  <tableColumns count="1">
    <tableColumn id="1" xr3:uid="{00000000-0010-0000-0100-000001000000}" name="h_264" dataDxfId="107" dataCellStyle="Standard 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h_2659" displayName="h_2659" ref="I149:I150" totalsRowShown="0" headerRowDxfId="106" dataDxfId="105" headerRowCellStyle="Standard 2" dataCellStyle="Standard 2">
  <autoFilter ref="I149:I150" xr:uid="{00000000-0009-0000-0100-000008000000}"/>
  <tableColumns count="1">
    <tableColumn id="1" xr3:uid="{00000000-0010-0000-0200-000001000000}" name="h_265" dataDxfId="104" dataCellStyle="Standard 2"/>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h_264" displayName="h_264" ref="H151:H157" totalsRowShown="0" headerRowDxfId="103" dataDxfId="102" headerRowCellStyle="Standard 2" dataCellStyle="Standard 2">
  <autoFilter ref="H151:H157" xr:uid="{00000000-0009-0000-0100-000003000000}"/>
  <tableColumns count="1">
    <tableColumn id="1" xr3:uid="{00000000-0010-0000-0300-000001000000}" name="h_264" dataDxfId="101" dataCellStyle="Standard 2"/>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h_265" displayName="h_265" ref="I151:I152" totalsRowShown="0" headerRowDxfId="100" dataDxfId="99" headerRowCellStyle="Standard 2" dataCellStyle="Standard 2">
  <autoFilter ref="I151:I152" xr:uid="{00000000-0009-0000-0100-000004000000}"/>
  <tableColumns count="1">
    <tableColumn id="1" xr3:uid="{00000000-0010-0000-0400-000001000000}" name="h_265" dataDxfId="98" dataCellStyle="Standard 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5000000}" name="h_26410" displayName="h_26410" ref="H151:H157" totalsRowShown="0" headerRowDxfId="97" dataDxfId="96" headerRowCellStyle="Standard 2" dataCellStyle="Standard 2">
  <autoFilter ref="H151:H157" xr:uid="{00000000-0009-0000-0100-000009000000}"/>
  <tableColumns count="1">
    <tableColumn id="1" xr3:uid="{00000000-0010-0000-0500-000001000000}" name="h_264" dataDxfId="95" dataCellStyle="Standard 2"/>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h_26511" displayName="h_26511" ref="I151:I152" totalsRowShown="0" headerRowDxfId="94" dataDxfId="93" headerRowCellStyle="Standard 2" dataCellStyle="Standard 2">
  <autoFilter ref="I151:I152" xr:uid="{00000000-0009-0000-0100-00000A000000}"/>
  <tableColumns count="1">
    <tableColumn id="1" xr3:uid="{00000000-0010-0000-0600-000001000000}" name="h_265" dataDxfId="92" dataCellStyle="Standard 2"/>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7000000}" name="h_2641012" displayName="h_2641012" ref="H151:H157" totalsRowShown="0" headerRowDxfId="91" dataDxfId="90" headerRowCellStyle="Standard 2" dataCellStyle="Standard 2">
  <autoFilter ref="H151:H157" xr:uid="{00000000-0009-0000-0100-00000B000000}"/>
  <tableColumns count="1">
    <tableColumn id="1" xr3:uid="{00000000-0010-0000-0700-000001000000}" name="h_264" dataDxfId="89" dataCellStyle="Standard 2"/>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h_2651113" displayName="h_2651113" ref="I151:I152" totalsRowShown="0" headerRowDxfId="88" dataDxfId="87" headerRowCellStyle="Standard 2" dataCellStyle="Standard 2">
  <autoFilter ref="I151:I152" xr:uid="{00000000-0009-0000-0100-00000C000000}"/>
  <tableColumns count="1">
    <tableColumn id="1" xr3:uid="{00000000-0010-0000-0800-000001000000}" name="h_265" dataDxfId="86" dataCellStyle="Standard 2"/>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ommunity.boschsecurity.com/t5/Security-Video/BVMS-Project-checklist/ta-p/12157" TargetMode="External"/><Relationship Id="rId1" Type="http://schemas.openxmlformats.org/officeDocument/2006/relationships/hyperlink" Target="https://community.boschsecurity.com/t5/Security-Video/BVMS-System-design-guide/ta-p/3916" TargetMode="Externa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2.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2.bin"/><Relationship Id="rId11" Type="http://schemas.openxmlformats.org/officeDocument/2006/relationships/comments" Target="../comments2.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5.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3.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3.bin"/><Relationship Id="rId11" Type="http://schemas.openxmlformats.org/officeDocument/2006/relationships/comments" Target="../comments3.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7.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4.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4.bin"/><Relationship Id="rId11" Type="http://schemas.openxmlformats.org/officeDocument/2006/relationships/comments" Target="../comments4.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9.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8.xm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15.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15.bin"/><Relationship Id="rId11" Type="http://schemas.openxmlformats.org/officeDocument/2006/relationships/comments" Target="../comments5.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11.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10.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2018-06%20BVMS%209.0/Launch%20Package/050%20Presales/Example%20videos%20for%20checklist/scene4_crowded.mp4" TargetMode="External"/><Relationship Id="rId7" Type="http://schemas.openxmlformats.org/officeDocument/2006/relationships/customProperty" Target="../customProperty20.bin"/><Relationship Id="rId2" Type="http://schemas.openxmlformats.org/officeDocument/2006/relationships/hyperlink" Target="../../../../2018-06%20BVMS%209.0/Launch%20Package/050%20Presales/Example%20videos%20for%20checklist/scene2_normal.mp4" TargetMode="External"/><Relationship Id="rId1" Type="http://schemas.openxmlformats.org/officeDocument/2006/relationships/hyperlink" Target="../../../../2018-06%20BVMS%209.0/Launch%20Package/050%20Presales/Example%20videos%20for%20checklist/scene1_static.mp4" TargetMode="External"/><Relationship Id="rId6" Type="http://schemas.openxmlformats.org/officeDocument/2006/relationships/printerSettings" Target="../printerSettings/printerSettings20.bin"/><Relationship Id="rId11" Type="http://schemas.openxmlformats.org/officeDocument/2006/relationships/comments" Target="../comments6.xml"/><Relationship Id="rId5" Type="http://schemas.openxmlformats.org/officeDocument/2006/relationships/hyperlink" Target="../../../../2018-06%20BVMS%209.0/Launch%20Package/050%20Presales/Example%20videos%20for%20checklist/scene3_busy.mp4" TargetMode="External"/><Relationship Id="rId10" Type="http://schemas.openxmlformats.org/officeDocument/2006/relationships/table" Target="../tables/table13.xml"/><Relationship Id="rId4" Type="http://schemas.openxmlformats.org/officeDocument/2006/relationships/hyperlink" Target="../../../../2018-06%20BVMS%209.0/Launch%20Package/050%20Presales/Example%20videos%20for%20checklist/Example%20videos%20BVMS%20profiles.zip" TargetMode="External"/><Relationship Id="rId9" Type="http://schemas.openxmlformats.org/officeDocument/2006/relationships/table" Target="../tables/table12.xml"/></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5" Type="http://schemas.openxmlformats.org/officeDocument/2006/relationships/queryTable" Target="../queryTables/queryTable2.xml"/><Relationship Id="rId4" Type="http://schemas.openxmlformats.org/officeDocument/2006/relationships/queryTable" Target="../queryTables/queryTable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hyperlink" Target="https://community.boschsecurity.com/t5/Security-Video/BVMS-Project-checklist/ta-p/12157"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Q464"/>
  <sheetViews>
    <sheetView tabSelected="1" zoomScale="80" zoomScaleNormal="80" workbookViewId="0">
      <selection activeCell="G5" sqref="G5:P5"/>
    </sheetView>
  </sheetViews>
  <sheetFormatPr defaultColWidth="9.28515625" defaultRowHeight="12.75" outlineLevelRow="1" outlineLevelCol="1"/>
  <cols>
    <col min="1" max="1" width="5" style="390" customWidth="1"/>
    <col min="2" max="2" width="2.28515625" style="199" customWidth="1"/>
    <col min="3" max="3" width="5" style="1" customWidth="1"/>
    <col min="4" max="4" width="5.5703125" style="1" customWidth="1"/>
    <col min="5" max="5" width="5.7109375" style="1" customWidth="1"/>
    <col min="6" max="6" width="37.7109375" style="1" customWidth="1"/>
    <col min="7" max="8" width="20.5703125" style="1" customWidth="1"/>
    <col min="9" max="9" width="28.7109375" style="1" customWidth="1"/>
    <col min="10" max="10" width="18.5703125" style="4" customWidth="1"/>
    <col min="11" max="11" width="15" style="4" customWidth="1"/>
    <col min="12" max="12" width="19.42578125" style="1" customWidth="1"/>
    <col min="13" max="13" width="36.28515625" style="1" customWidth="1"/>
    <col min="14" max="14" width="16.28515625" style="1" customWidth="1"/>
    <col min="15" max="15" width="12" style="1" customWidth="1"/>
    <col min="16" max="16" width="13.7109375" style="1" customWidth="1"/>
    <col min="17" max="17" width="20.5703125" style="1" customWidth="1"/>
    <col min="18" max="18" width="17.28515625" style="1" customWidth="1"/>
    <col min="19" max="19" width="11" style="26" customWidth="1"/>
    <col min="20" max="20" width="35.5703125" style="390" hidden="1" customWidth="1" outlineLevel="1"/>
    <col min="21" max="21" width="11.5703125" style="199" customWidth="1" collapsed="1"/>
    <col min="22" max="30" width="9.28515625" style="199" customWidth="1"/>
    <col min="31" max="32" width="26.7109375" style="199" customWidth="1"/>
    <col min="33" max="33" width="22.42578125" style="1" customWidth="1"/>
    <col min="34" max="38" width="9.28515625" style="1" customWidth="1"/>
    <col min="39" max="39" width="17.28515625" style="1" customWidth="1"/>
    <col min="40" max="40" width="16.28515625" style="1" customWidth="1"/>
    <col min="41" max="41" width="10.5703125" style="1" customWidth="1"/>
    <col min="42" max="65" width="9.28515625" style="1" customWidth="1"/>
    <col min="66" max="16384" width="9.28515625" style="1"/>
  </cols>
  <sheetData>
    <row r="1" spans="2:32" ht="12.75" customHeight="1">
      <c r="C1" s="199"/>
      <c r="D1" s="200"/>
      <c r="E1" s="200"/>
      <c r="F1" s="200"/>
      <c r="G1" s="200"/>
      <c r="H1" s="200"/>
      <c r="I1" s="200"/>
      <c r="J1" s="200"/>
      <c r="K1" s="200"/>
      <c r="L1" s="200"/>
      <c r="M1" s="200"/>
      <c r="N1" s="200"/>
      <c r="O1" s="200"/>
      <c r="P1" s="200"/>
      <c r="Q1" s="200"/>
      <c r="R1" s="200"/>
      <c r="S1" s="201"/>
      <c r="T1" s="395" t="s">
        <v>1089</v>
      </c>
    </row>
    <row r="2" spans="2:32">
      <c r="C2" s="199"/>
      <c r="D2" s="200"/>
      <c r="E2" s="200"/>
      <c r="F2" s="200"/>
      <c r="G2" s="200"/>
      <c r="H2" s="200"/>
      <c r="I2" s="200"/>
      <c r="J2" s="200"/>
      <c r="K2" s="200"/>
      <c r="L2" s="200"/>
      <c r="M2" s="200"/>
      <c r="N2" s="200"/>
      <c r="O2" s="200"/>
      <c r="P2" s="200"/>
      <c r="Q2" s="200"/>
      <c r="R2" s="200"/>
      <c r="S2" s="201"/>
      <c r="T2" s="395" t="s">
        <v>1089</v>
      </c>
    </row>
    <row r="3" spans="2:32">
      <c r="C3" s="199"/>
      <c r="D3" s="453"/>
      <c r="E3" s="200"/>
      <c r="F3" s="200"/>
      <c r="G3" s="200"/>
      <c r="H3" s="200"/>
      <c r="I3" s="200"/>
      <c r="J3" s="200"/>
      <c r="K3" s="200"/>
      <c r="L3" s="200"/>
      <c r="M3" s="200"/>
      <c r="N3" s="200"/>
      <c r="O3" s="200"/>
      <c r="P3" s="200"/>
      <c r="Q3" s="200"/>
      <c r="R3" s="200"/>
      <c r="S3" s="201"/>
      <c r="T3" s="395" t="s">
        <v>1089</v>
      </c>
    </row>
    <row r="4" spans="2:32">
      <c r="C4" s="199"/>
      <c r="D4" s="200"/>
      <c r="E4" s="200"/>
      <c r="F4" s="200"/>
      <c r="G4" s="200"/>
      <c r="H4" s="200"/>
      <c r="I4" s="200"/>
      <c r="J4" s="200"/>
      <c r="K4" s="200"/>
      <c r="L4" s="200"/>
      <c r="M4" s="200"/>
      <c r="N4" s="200"/>
      <c r="O4" s="200"/>
      <c r="P4" s="200"/>
      <c r="Q4" s="200"/>
      <c r="R4" s="200"/>
      <c r="S4" s="201"/>
      <c r="T4" s="395" t="s">
        <v>1089</v>
      </c>
    </row>
    <row r="5" spans="2:32" ht="15">
      <c r="C5" s="199"/>
      <c r="D5" s="200"/>
      <c r="E5" s="203" t="s">
        <v>265</v>
      </c>
      <c r="F5" s="204"/>
      <c r="G5" s="541"/>
      <c r="H5" s="542"/>
      <c r="I5" s="542"/>
      <c r="J5" s="542"/>
      <c r="K5" s="542"/>
      <c r="L5" s="542"/>
      <c r="M5" s="542"/>
      <c r="N5" s="542"/>
      <c r="O5" s="542"/>
      <c r="P5" s="542"/>
      <c r="Q5" s="200"/>
      <c r="R5" s="200"/>
      <c r="S5" s="201"/>
      <c r="T5" s="395" t="s">
        <v>1089</v>
      </c>
    </row>
    <row r="6" spans="2:32" ht="15">
      <c r="C6" s="199"/>
      <c r="D6" s="200"/>
      <c r="E6" s="204"/>
      <c r="F6" s="204"/>
      <c r="G6" s="200"/>
      <c r="H6" s="205"/>
      <c r="I6" s="205"/>
      <c r="J6" s="205"/>
      <c r="K6" s="205"/>
      <c r="L6" s="205"/>
      <c r="M6" s="205"/>
      <c r="N6" s="205"/>
      <c r="O6" s="205"/>
      <c r="P6" s="205"/>
      <c r="Q6" s="200"/>
      <c r="R6" s="200"/>
      <c r="S6" s="201"/>
      <c r="T6" s="395" t="s">
        <v>1089</v>
      </c>
    </row>
    <row r="7" spans="2:32" ht="15">
      <c r="C7" s="199"/>
      <c r="D7" s="200"/>
      <c r="E7" s="203" t="s">
        <v>266</v>
      </c>
      <c r="F7" s="204"/>
      <c r="G7" s="543" t="s">
        <v>1091</v>
      </c>
      <c r="H7" s="544"/>
      <c r="I7" s="544"/>
      <c r="J7" s="544"/>
      <c r="K7" s="544"/>
      <c r="L7" s="544"/>
      <c r="M7" s="544"/>
      <c r="N7" s="544"/>
      <c r="O7" s="544"/>
      <c r="P7" s="544"/>
      <c r="Q7" s="200"/>
      <c r="R7" s="200"/>
      <c r="S7" s="201"/>
      <c r="T7" s="395" t="s">
        <v>1089</v>
      </c>
    </row>
    <row r="8" spans="2:32" ht="15">
      <c r="C8" s="199"/>
      <c r="D8" s="200"/>
      <c r="E8" s="204"/>
      <c r="F8" s="204"/>
      <c r="G8" s="545" t="s">
        <v>1092</v>
      </c>
      <c r="H8" s="546"/>
      <c r="I8" s="546"/>
      <c r="J8" s="546"/>
      <c r="K8" s="546"/>
      <c r="L8" s="546"/>
      <c r="M8" s="546"/>
      <c r="N8" s="546"/>
      <c r="O8" s="546"/>
      <c r="P8" s="546"/>
      <c r="Q8" s="200"/>
      <c r="R8" s="200"/>
      <c r="S8" s="201"/>
      <c r="T8" s="395" t="s">
        <v>1089</v>
      </c>
    </row>
    <row r="9" spans="2:32" ht="15">
      <c r="C9" s="199"/>
      <c r="D9" s="200"/>
      <c r="E9" s="204"/>
      <c r="F9" s="204"/>
      <c r="G9" s="545" t="s">
        <v>1093</v>
      </c>
      <c r="H9" s="546"/>
      <c r="I9" s="546"/>
      <c r="J9" s="546"/>
      <c r="K9" s="546"/>
      <c r="L9" s="546"/>
      <c r="M9" s="546"/>
      <c r="N9" s="546"/>
      <c r="O9" s="546"/>
      <c r="P9" s="546"/>
      <c r="Q9" s="200"/>
      <c r="R9" s="200"/>
      <c r="S9" s="201"/>
      <c r="T9" s="395" t="s">
        <v>1089</v>
      </c>
    </row>
    <row r="10" spans="2:32" ht="15">
      <c r="C10" s="199"/>
      <c r="D10" s="200"/>
      <c r="E10" s="204"/>
      <c r="F10" s="204"/>
      <c r="G10" s="547" t="s">
        <v>288</v>
      </c>
      <c r="H10" s="548"/>
      <c r="I10" s="548"/>
      <c r="J10" s="548"/>
      <c r="K10" s="548"/>
      <c r="L10" s="548"/>
      <c r="M10" s="548"/>
      <c r="N10" s="548"/>
      <c r="O10" s="548"/>
      <c r="P10" s="548"/>
      <c r="Q10" s="200"/>
      <c r="R10" s="200"/>
      <c r="S10" s="201"/>
      <c r="T10" s="395" t="s">
        <v>1089</v>
      </c>
    </row>
    <row r="11" spans="2:32" ht="15">
      <c r="B11" s="390"/>
      <c r="C11" s="390"/>
      <c r="D11" s="200"/>
      <c r="E11" s="204"/>
      <c r="F11" s="204"/>
      <c r="G11" s="547" t="s">
        <v>1094</v>
      </c>
      <c r="H11" s="548"/>
      <c r="I11" s="548"/>
      <c r="J11" s="548"/>
      <c r="K11" s="548"/>
      <c r="L11" s="548"/>
      <c r="M11" s="548"/>
      <c r="N11" s="548"/>
      <c r="O11" s="548"/>
      <c r="P11" s="548"/>
      <c r="Q11" s="200"/>
      <c r="R11" s="200"/>
      <c r="S11" s="201"/>
      <c r="T11" s="402" t="s">
        <v>1089</v>
      </c>
      <c r="U11" s="390"/>
      <c r="V11" s="390"/>
      <c r="W11" s="390"/>
      <c r="X11" s="390"/>
      <c r="Y11" s="390"/>
      <c r="Z11" s="390"/>
      <c r="AA11" s="390"/>
      <c r="AB11" s="390"/>
      <c r="AC11" s="390"/>
      <c r="AD11" s="390"/>
      <c r="AE11" s="390"/>
      <c r="AF11" s="390"/>
    </row>
    <row r="12" spans="2:32">
      <c r="C12" s="199"/>
      <c r="D12" s="200"/>
      <c r="E12" s="200"/>
      <c r="F12" s="200"/>
      <c r="G12" s="547" t="s">
        <v>289</v>
      </c>
      <c r="H12" s="548"/>
      <c r="I12" s="548"/>
      <c r="J12" s="548"/>
      <c r="K12" s="548"/>
      <c r="L12" s="548"/>
      <c r="M12" s="548"/>
      <c r="N12" s="548"/>
      <c r="O12" s="548"/>
      <c r="P12" s="548"/>
      <c r="Q12" s="200"/>
      <c r="R12" s="200"/>
      <c r="S12" s="201"/>
      <c r="T12" s="395" t="s">
        <v>1089</v>
      </c>
    </row>
    <row r="13" spans="2:32" ht="15">
      <c r="C13" s="199"/>
      <c r="D13" s="200"/>
      <c r="E13" s="200"/>
      <c r="F13" s="200"/>
      <c r="G13" s="200"/>
      <c r="H13" s="205"/>
      <c r="I13" s="205"/>
      <c r="J13" s="205"/>
      <c r="K13" s="205"/>
      <c r="L13" s="205"/>
      <c r="M13" s="205"/>
      <c r="N13" s="205"/>
      <c r="O13" s="205"/>
      <c r="P13" s="205"/>
      <c r="Q13" s="200"/>
      <c r="R13" s="200"/>
      <c r="S13" s="201"/>
      <c r="T13" s="395" t="s">
        <v>1089</v>
      </c>
    </row>
    <row r="14" spans="2:32" ht="15">
      <c r="C14" s="199"/>
      <c r="D14" s="200"/>
      <c r="E14" s="203" t="s">
        <v>267</v>
      </c>
      <c r="F14" s="200"/>
      <c r="G14" s="541"/>
      <c r="H14" s="542"/>
      <c r="I14" s="542"/>
      <c r="J14" s="542"/>
      <c r="K14" s="542"/>
      <c r="L14" s="542"/>
      <c r="M14" s="542"/>
      <c r="N14" s="542"/>
      <c r="O14" s="542"/>
      <c r="P14" s="542"/>
      <c r="Q14" s="200"/>
      <c r="R14" s="200"/>
      <c r="S14" s="201"/>
      <c r="T14" s="395" t="s">
        <v>1089</v>
      </c>
    </row>
    <row r="15" spans="2:32" ht="15">
      <c r="C15" s="199"/>
      <c r="D15" s="200"/>
      <c r="E15" s="200"/>
      <c r="F15" s="200"/>
      <c r="G15" s="541"/>
      <c r="H15" s="542"/>
      <c r="I15" s="542"/>
      <c r="J15" s="542"/>
      <c r="K15" s="542"/>
      <c r="L15" s="542"/>
      <c r="M15" s="542"/>
      <c r="N15" s="542"/>
      <c r="O15" s="542"/>
      <c r="P15" s="542"/>
      <c r="Q15" s="200"/>
      <c r="R15" s="200"/>
      <c r="S15" s="201"/>
      <c r="T15" s="395" t="s">
        <v>1089</v>
      </c>
    </row>
    <row r="16" spans="2:32" ht="15">
      <c r="C16" s="199"/>
      <c r="D16" s="200"/>
      <c r="E16" s="200"/>
      <c r="F16" s="200"/>
      <c r="G16" s="541"/>
      <c r="H16" s="542"/>
      <c r="I16" s="542"/>
      <c r="J16" s="542"/>
      <c r="K16" s="542"/>
      <c r="L16" s="542"/>
      <c r="M16" s="542"/>
      <c r="N16" s="542"/>
      <c r="O16" s="542"/>
      <c r="P16" s="542"/>
      <c r="Q16" s="200"/>
      <c r="R16" s="200"/>
      <c r="S16" s="201"/>
      <c r="T16" s="395" t="s">
        <v>1089</v>
      </c>
    </row>
    <row r="17" spans="3:21" ht="15">
      <c r="C17" s="199"/>
      <c r="D17" s="200"/>
      <c r="E17" s="200"/>
      <c r="F17" s="200"/>
      <c r="G17" s="541"/>
      <c r="H17" s="542"/>
      <c r="I17" s="542"/>
      <c r="J17" s="542"/>
      <c r="K17" s="542"/>
      <c r="L17" s="542"/>
      <c r="M17" s="542"/>
      <c r="N17" s="542"/>
      <c r="O17" s="542"/>
      <c r="P17" s="542"/>
      <c r="Q17" s="200"/>
      <c r="R17" s="200"/>
      <c r="S17" s="201"/>
      <c r="T17" s="395" t="s">
        <v>1089</v>
      </c>
    </row>
    <row r="18" spans="3:21" ht="15">
      <c r="C18" s="199"/>
      <c r="D18" s="200"/>
      <c r="E18" s="200"/>
      <c r="F18" s="200"/>
      <c r="G18" s="541"/>
      <c r="H18" s="542"/>
      <c r="I18" s="542"/>
      <c r="J18" s="542"/>
      <c r="K18" s="542"/>
      <c r="L18" s="542"/>
      <c r="M18" s="542"/>
      <c r="N18" s="542"/>
      <c r="O18" s="542"/>
      <c r="P18" s="542"/>
      <c r="Q18" s="200"/>
      <c r="R18" s="200"/>
      <c r="S18" s="201"/>
      <c r="T18" s="395" t="s">
        <v>1089</v>
      </c>
    </row>
    <row r="19" spans="3:21" ht="15">
      <c r="C19" s="199"/>
      <c r="D19" s="200"/>
      <c r="E19" s="200"/>
      <c r="F19" s="200"/>
      <c r="G19" s="541"/>
      <c r="H19" s="542"/>
      <c r="I19" s="542"/>
      <c r="J19" s="542"/>
      <c r="K19" s="542"/>
      <c r="L19" s="542"/>
      <c r="M19" s="542"/>
      <c r="N19" s="542"/>
      <c r="O19" s="542"/>
      <c r="P19" s="542"/>
      <c r="Q19" s="200"/>
      <c r="R19" s="200"/>
      <c r="S19" s="201"/>
      <c r="T19" s="395" t="s">
        <v>1089</v>
      </c>
    </row>
    <row r="20" spans="3:21" ht="15">
      <c r="C20" s="199"/>
      <c r="D20" s="200"/>
      <c r="E20" s="200"/>
      <c r="F20" s="200"/>
      <c r="G20" s="541"/>
      <c r="H20" s="542"/>
      <c r="I20" s="542"/>
      <c r="J20" s="542"/>
      <c r="K20" s="542"/>
      <c r="L20" s="542"/>
      <c r="M20" s="542"/>
      <c r="N20" s="542"/>
      <c r="O20" s="542"/>
      <c r="P20" s="542"/>
      <c r="Q20" s="200"/>
      <c r="R20" s="200"/>
      <c r="S20" s="201"/>
      <c r="T20" s="395" t="s">
        <v>1089</v>
      </c>
      <c r="U20" s="199" t="s">
        <v>98</v>
      </c>
    </row>
    <row r="21" spans="3:21" ht="15">
      <c r="C21" s="199"/>
      <c r="D21" s="200"/>
      <c r="E21" s="200"/>
      <c r="F21" s="200"/>
      <c r="G21" s="541"/>
      <c r="H21" s="542"/>
      <c r="I21" s="542"/>
      <c r="J21" s="542"/>
      <c r="K21" s="542"/>
      <c r="L21" s="542"/>
      <c r="M21" s="542"/>
      <c r="N21" s="542"/>
      <c r="O21" s="542"/>
      <c r="P21" s="542"/>
      <c r="Q21" s="200"/>
      <c r="R21" s="200"/>
      <c r="S21" s="201"/>
      <c r="T21" s="395" t="s">
        <v>1089</v>
      </c>
    </row>
    <row r="22" spans="3:21" ht="15">
      <c r="C22" s="199"/>
      <c r="D22" s="200"/>
      <c r="E22" s="200"/>
      <c r="F22" s="200"/>
      <c r="G22" s="541"/>
      <c r="H22" s="542"/>
      <c r="I22" s="542"/>
      <c r="J22" s="542"/>
      <c r="K22" s="542"/>
      <c r="L22" s="542"/>
      <c r="M22" s="542"/>
      <c r="N22" s="542"/>
      <c r="O22" s="542"/>
      <c r="P22" s="542"/>
      <c r="Q22" s="200"/>
      <c r="R22" s="200"/>
      <c r="S22" s="201"/>
      <c r="T22" s="395" t="s">
        <v>1089</v>
      </c>
    </row>
    <row r="23" spans="3:21">
      <c r="C23" s="199"/>
      <c r="D23" s="200"/>
      <c r="E23" s="200"/>
      <c r="F23" s="200"/>
      <c r="G23" s="200"/>
      <c r="H23" s="200"/>
      <c r="I23" s="200"/>
      <c r="J23" s="200"/>
      <c r="K23" s="200"/>
      <c r="L23" s="200"/>
      <c r="M23" s="200"/>
      <c r="N23" s="200"/>
      <c r="O23" s="200"/>
      <c r="P23" s="200"/>
      <c r="Q23" s="200"/>
      <c r="R23" s="200"/>
      <c r="S23" s="201"/>
      <c r="T23" s="395" t="s">
        <v>1089</v>
      </c>
    </row>
    <row r="24" spans="3:21">
      <c r="C24" s="199"/>
      <c r="D24" s="200"/>
      <c r="E24" s="200"/>
      <c r="F24" s="200"/>
      <c r="G24" s="200"/>
      <c r="H24" s="200"/>
      <c r="I24" s="200"/>
      <c r="J24" s="200"/>
      <c r="K24" s="200"/>
      <c r="L24" s="200"/>
      <c r="M24" s="200"/>
      <c r="N24" s="200"/>
      <c r="O24" s="200"/>
      <c r="P24" s="200"/>
      <c r="Q24" s="200"/>
      <c r="R24" s="206"/>
      <c r="S24" s="201"/>
      <c r="T24" s="395" t="s">
        <v>1089</v>
      </c>
    </row>
    <row r="25" spans="3:21" ht="20.25" customHeight="1">
      <c r="C25" s="199"/>
      <c r="D25" s="200"/>
      <c r="E25" s="561" t="s">
        <v>121</v>
      </c>
      <c r="F25" s="561"/>
      <c r="G25" s="561"/>
      <c r="H25" s="561"/>
      <c r="I25" s="561"/>
      <c r="J25" s="561"/>
      <c r="K25" s="549" t="s">
        <v>47</v>
      </c>
      <c r="L25" s="550"/>
      <c r="M25" s="206"/>
      <c r="N25" s="206"/>
      <c r="O25" s="206"/>
      <c r="P25" s="200"/>
      <c r="Q25" s="200"/>
      <c r="R25" s="206"/>
      <c r="S25" s="207"/>
      <c r="T25" s="395" t="s">
        <v>1089</v>
      </c>
    </row>
    <row r="26" spans="3:21" ht="20.25">
      <c r="C26" s="199"/>
      <c r="D26" s="200"/>
      <c r="E26" s="212"/>
      <c r="F26" s="199"/>
      <c r="G26" s="212"/>
      <c r="H26" s="213"/>
      <c r="I26" s="213"/>
      <c r="J26" s="213"/>
      <c r="K26" s="551" t="s">
        <v>48</v>
      </c>
      <c r="L26" s="552"/>
      <c r="M26" s="213"/>
      <c r="N26" s="213"/>
      <c r="O26" s="213"/>
      <c r="P26" s="200"/>
      <c r="Q26" s="200"/>
      <c r="R26" s="208"/>
      <c r="S26" s="207"/>
      <c r="T26" s="395" t="s">
        <v>1089</v>
      </c>
    </row>
    <row r="27" spans="3:21">
      <c r="C27" s="199"/>
      <c r="D27" s="200"/>
      <c r="E27" s="214" t="s">
        <v>46</v>
      </c>
      <c r="F27" s="199"/>
      <c r="G27" s="214"/>
      <c r="H27" s="215"/>
      <c r="I27" s="215"/>
      <c r="J27" s="215"/>
      <c r="K27" s="559" t="s">
        <v>26</v>
      </c>
      <c r="L27" s="560"/>
      <c r="M27" s="215"/>
      <c r="N27" s="215"/>
      <c r="O27" s="215"/>
      <c r="P27" s="200"/>
      <c r="Q27" s="200"/>
      <c r="R27" s="208"/>
      <c r="S27" s="207"/>
      <c r="T27" s="395" t="s">
        <v>1089</v>
      </c>
    </row>
    <row r="28" spans="3:21">
      <c r="C28" s="199"/>
      <c r="D28" s="200"/>
      <c r="E28" s="408" t="s">
        <v>75</v>
      </c>
      <c r="F28" s="199"/>
      <c r="G28" s="216"/>
      <c r="H28" s="217"/>
      <c r="I28" s="217"/>
      <c r="J28" s="217"/>
      <c r="K28" s="553" t="s">
        <v>1122</v>
      </c>
      <c r="L28" s="554"/>
      <c r="M28" s="217"/>
      <c r="N28" s="217"/>
      <c r="O28" s="217"/>
      <c r="P28" s="200"/>
      <c r="Q28" s="200"/>
      <c r="R28" s="208"/>
      <c r="S28" s="207"/>
      <c r="T28" s="395" t="s">
        <v>1089</v>
      </c>
    </row>
    <row r="29" spans="3:21">
      <c r="C29" s="199"/>
      <c r="D29" s="200"/>
      <c r="E29" s="216" t="s">
        <v>74</v>
      </c>
      <c r="F29" s="199"/>
      <c r="G29" s="216"/>
      <c r="H29" s="217"/>
      <c r="I29" s="217"/>
      <c r="J29" s="217"/>
      <c r="K29" s="557" t="s">
        <v>72</v>
      </c>
      <c r="L29" s="558"/>
      <c r="M29" s="217"/>
      <c r="N29" s="217"/>
      <c r="O29" s="217"/>
      <c r="P29" s="200"/>
      <c r="Q29" s="200"/>
      <c r="R29" s="208"/>
      <c r="S29" s="207"/>
      <c r="T29" s="395" t="s">
        <v>1089</v>
      </c>
    </row>
    <row r="30" spans="3:21">
      <c r="C30" s="199"/>
      <c r="D30" s="200"/>
      <c r="E30" s="208" t="s">
        <v>1124</v>
      </c>
      <c r="F30" s="199"/>
      <c r="G30" s="218"/>
      <c r="H30" s="219"/>
      <c r="I30" s="219"/>
      <c r="J30" s="219"/>
      <c r="K30" s="555" t="s">
        <v>71</v>
      </c>
      <c r="L30" s="556"/>
      <c r="M30" s="219"/>
      <c r="N30" s="219"/>
      <c r="O30" s="219"/>
      <c r="P30" s="200"/>
      <c r="Q30" s="200"/>
      <c r="R30" s="208"/>
      <c r="S30" s="207"/>
      <c r="T30" s="395" t="s">
        <v>1089</v>
      </c>
    </row>
    <row r="31" spans="3:21">
      <c r="C31" s="199"/>
      <c r="D31" s="220"/>
      <c r="E31" s="221"/>
      <c r="F31" s="220"/>
      <c r="G31" s="222"/>
      <c r="H31" s="223"/>
      <c r="I31" s="224"/>
      <c r="J31" s="219"/>
      <c r="K31" s="219"/>
      <c r="L31" s="219"/>
      <c r="M31" s="219"/>
      <c r="N31" s="219"/>
      <c r="O31" s="219"/>
      <c r="P31" s="199"/>
      <c r="Q31" s="199"/>
      <c r="R31" s="208"/>
      <c r="S31" s="207"/>
      <c r="T31" s="395" t="s">
        <v>1089</v>
      </c>
    </row>
    <row r="32" spans="3:21">
      <c r="C32" s="199"/>
      <c r="D32" s="220"/>
      <c r="E32" s="221"/>
      <c r="F32" s="220"/>
      <c r="G32" s="222"/>
      <c r="H32" s="223"/>
      <c r="I32" s="224"/>
      <c r="J32" s="219"/>
      <c r="K32" s="219"/>
      <c r="L32" s="219"/>
      <c r="M32" s="219"/>
      <c r="N32" s="219"/>
      <c r="O32" s="219"/>
      <c r="P32" s="199"/>
      <c r="Q32" s="199"/>
      <c r="R32" s="208"/>
      <c r="S32" s="207"/>
      <c r="T32" s="395" t="s">
        <v>1089</v>
      </c>
    </row>
    <row r="33" spans="3:20" ht="12.75" customHeight="1">
      <c r="C33" s="199"/>
      <c r="D33" s="200"/>
      <c r="E33" s="221" t="s">
        <v>70</v>
      </c>
      <c r="F33" s="225"/>
      <c r="G33" s="533" t="str">
        <f>IF(AND(OR(M43&lt;&gt;0,H101&gt;500),OR(K260&gt;500,K262&gt;20,O262&gt;20,O263&gt;50)),"Check by Bosch BVMS (BU) expert","OK")</f>
        <v>OK</v>
      </c>
      <c r="H33" s="533"/>
      <c r="I33" s="217"/>
      <c r="J33" s="539" t="str">
        <f ca="1">IF(COUNTIF(T1:T1012,FALSE)&lt;&gt;0,"Number of lines incorrect: " &amp; COUNTIF(T1:T1012,FALSE) &amp;". Please have a look at lines marked in red in column A.","")</f>
        <v>Number of lines incorrect: 15. Please have a look at lines marked in red in column A.</v>
      </c>
      <c r="K33" s="539"/>
      <c r="L33" s="539"/>
      <c r="M33" s="539"/>
      <c r="N33" s="539"/>
      <c r="O33" s="539"/>
      <c r="P33" s="217"/>
      <c r="Q33" s="217"/>
      <c r="R33" s="208"/>
      <c r="S33" s="207"/>
      <c r="T33" s="395" t="s">
        <v>1089</v>
      </c>
    </row>
    <row r="34" spans="3:20">
      <c r="C34" s="199"/>
      <c r="D34" s="200"/>
      <c r="E34" s="226" t="s">
        <v>73</v>
      </c>
      <c r="F34" s="225"/>
      <c r="G34" s="531" t="str">
        <f ca="1">IF(AND(J33="",J34="",J35=""),"OK","Not complete!")</f>
        <v>Not complete!</v>
      </c>
      <c r="H34" s="532"/>
      <c r="I34" s="217"/>
      <c r="J34" s="540"/>
      <c r="K34" s="540"/>
      <c r="L34" s="540"/>
      <c r="M34" s="540"/>
      <c r="N34" s="540"/>
      <c r="O34" s="540"/>
      <c r="P34" s="208"/>
      <c r="Q34" s="208"/>
      <c r="R34" s="208"/>
      <c r="S34" s="207"/>
      <c r="T34" s="395" t="s">
        <v>1089</v>
      </c>
    </row>
    <row r="35" spans="3:20">
      <c r="C35" s="199"/>
      <c r="D35" s="200"/>
      <c r="E35" s="200"/>
      <c r="F35" s="219"/>
      <c r="G35" s="234"/>
      <c r="I35" s="219"/>
      <c r="J35" s="539"/>
      <c r="K35" s="539"/>
      <c r="L35" s="539"/>
      <c r="M35" s="539"/>
      <c r="N35" s="539"/>
      <c r="O35" s="539"/>
      <c r="P35" s="210"/>
      <c r="Q35" s="210"/>
      <c r="R35" s="208"/>
      <c r="S35" s="209"/>
      <c r="T35" s="395" t="s">
        <v>1089</v>
      </c>
    </row>
    <row r="36" spans="3:20" ht="18">
      <c r="C36" s="199"/>
      <c r="D36" s="200"/>
      <c r="E36" s="360" t="s">
        <v>955</v>
      </c>
      <c r="F36" s="219"/>
      <c r="G36" s="234"/>
      <c r="H36" s="235"/>
      <c r="I36" s="219"/>
      <c r="J36" s="219"/>
      <c r="K36" s="219"/>
      <c r="L36" s="219"/>
      <c r="M36" s="219"/>
      <c r="N36" s="219"/>
      <c r="O36" s="219"/>
      <c r="P36" s="210"/>
      <c r="Q36" s="210"/>
      <c r="R36" s="208"/>
      <c r="S36" s="209"/>
      <c r="T36" s="395" t="s">
        <v>1089</v>
      </c>
    </row>
    <row r="37" spans="3:20">
      <c r="C37" s="199"/>
      <c r="D37" s="200"/>
      <c r="E37" s="536" t="s">
        <v>41</v>
      </c>
      <c r="F37" s="536"/>
      <c r="G37" s="219"/>
      <c r="H37" s="618"/>
      <c r="I37" s="618"/>
      <c r="J37" s="618"/>
      <c r="K37" s="618"/>
      <c r="L37" s="618"/>
      <c r="M37" s="618"/>
      <c r="N37" s="618"/>
      <c r="O37" s="618"/>
      <c r="P37" s="210"/>
      <c r="Q37" s="210"/>
      <c r="R37" s="210"/>
      <c r="S37" s="209"/>
      <c r="T37" s="395" t="b">
        <f>NOT(H37="")</f>
        <v>0</v>
      </c>
    </row>
    <row r="38" spans="3:20">
      <c r="C38" s="199"/>
      <c r="D38" s="200"/>
      <c r="E38" s="536" t="s">
        <v>42</v>
      </c>
      <c r="F38" s="536"/>
      <c r="G38" s="219"/>
      <c r="H38" s="501"/>
      <c r="I38" s="501"/>
      <c r="J38" s="501"/>
      <c r="K38" s="501"/>
      <c r="L38" s="501"/>
      <c r="M38" s="501"/>
      <c r="N38" s="501"/>
      <c r="O38" s="501"/>
      <c r="P38" s="236"/>
      <c r="Q38" s="236"/>
      <c r="R38" s="210"/>
      <c r="S38" s="209"/>
      <c r="T38" s="395" t="b">
        <f t="shared" ref="T38:T40" si="0">NOT(H38="")</f>
        <v>0</v>
      </c>
    </row>
    <row r="39" spans="3:20">
      <c r="C39" s="199"/>
      <c r="D39" s="200"/>
      <c r="E39" s="537" t="s">
        <v>43</v>
      </c>
      <c r="F39" s="537"/>
      <c r="G39" s="219"/>
      <c r="H39" s="501"/>
      <c r="I39" s="501"/>
      <c r="J39" s="501"/>
      <c r="K39" s="501"/>
      <c r="L39" s="501"/>
      <c r="M39" s="501"/>
      <c r="N39" s="501"/>
      <c r="O39" s="501"/>
      <c r="P39" s="236"/>
      <c r="Q39" s="236"/>
      <c r="R39" s="210"/>
      <c r="S39" s="209"/>
      <c r="T39" s="395" t="b">
        <f t="shared" si="0"/>
        <v>0</v>
      </c>
    </row>
    <row r="40" spans="3:20">
      <c r="C40" s="199"/>
      <c r="D40" s="200"/>
      <c r="E40" s="537" t="s">
        <v>44</v>
      </c>
      <c r="F40" s="537"/>
      <c r="G40" s="219"/>
      <c r="H40" s="563"/>
      <c r="I40" s="563"/>
      <c r="J40" s="563"/>
      <c r="K40" s="563"/>
      <c r="L40" s="563"/>
      <c r="M40" s="563"/>
      <c r="N40" s="563"/>
      <c r="O40" s="563"/>
      <c r="P40" s="236"/>
      <c r="Q40" s="236"/>
      <c r="R40" s="210"/>
      <c r="S40" s="209"/>
      <c r="T40" s="395" t="b">
        <f t="shared" si="0"/>
        <v>0</v>
      </c>
    </row>
    <row r="41" spans="3:20">
      <c r="C41" s="199"/>
      <c r="D41" s="200"/>
      <c r="E41" s="227"/>
      <c r="F41" s="227"/>
      <c r="G41" s="219"/>
      <c r="H41" s="237"/>
      <c r="I41" s="237"/>
      <c r="J41" s="237"/>
      <c r="K41" s="237"/>
      <c r="L41" s="237"/>
      <c r="M41" s="237"/>
      <c r="N41" s="237"/>
      <c r="O41" s="237"/>
      <c r="P41" s="237"/>
      <c r="Q41" s="237"/>
      <c r="R41" s="210"/>
      <c r="S41" s="201"/>
      <c r="T41" s="395" t="s">
        <v>1089</v>
      </c>
    </row>
    <row r="42" spans="3:20">
      <c r="C42" s="199"/>
      <c r="D42" s="200"/>
      <c r="E42" s="537" t="s">
        <v>45</v>
      </c>
      <c r="F42" s="537"/>
      <c r="G42" s="219"/>
      <c r="H42" s="242" t="s">
        <v>68</v>
      </c>
      <c r="I42" s="192"/>
      <c r="J42" s="246" t="s">
        <v>80</v>
      </c>
      <c r="K42" s="192"/>
      <c r="L42" s="237"/>
      <c r="M42" s="237"/>
      <c r="N42" s="237"/>
      <c r="O42" s="237"/>
      <c r="P42" s="237"/>
      <c r="Q42" s="237"/>
      <c r="R42" s="210"/>
      <c r="S42" s="211"/>
      <c r="T42" s="395" t="b">
        <f>NOT(OR($I$42="",$K$42=""))</f>
        <v>0</v>
      </c>
    </row>
    <row r="43" spans="3:20">
      <c r="C43" s="199"/>
      <c r="D43" s="200"/>
      <c r="E43" s="537" t="s">
        <v>99</v>
      </c>
      <c r="F43" s="537"/>
      <c r="G43" s="219"/>
      <c r="H43" s="242" t="s">
        <v>68</v>
      </c>
      <c r="I43" s="192"/>
      <c r="J43" s="246" t="s">
        <v>80</v>
      </c>
      <c r="K43" s="192"/>
      <c r="L43" s="246" t="s">
        <v>69</v>
      </c>
      <c r="M43" s="192"/>
      <c r="N43" s="246" t="s">
        <v>81</v>
      </c>
      <c r="O43" s="192"/>
      <c r="P43" s="199"/>
      <c r="Q43" s="199"/>
      <c r="R43" s="199"/>
      <c r="S43" s="211"/>
      <c r="T43" s="395" t="b">
        <f>IF(OR($I$43="N.A",$K$43="N.A."),TRUE,IF(OR($I$43="",$K$43="",$M$43="",$O$43=""),FALSE,TRUE))</f>
        <v>0</v>
      </c>
    </row>
    <row r="44" spans="3:20">
      <c r="C44" s="199"/>
      <c r="D44" s="200"/>
      <c r="E44" s="228"/>
      <c r="F44" s="228"/>
      <c r="G44" s="241"/>
      <c r="H44" s="243"/>
      <c r="I44" s="243"/>
      <c r="J44" s="243"/>
      <c r="K44" s="243"/>
      <c r="L44" s="243"/>
      <c r="M44" s="243"/>
      <c r="N44" s="243"/>
      <c r="O44" s="243"/>
      <c r="P44" s="237"/>
      <c r="Q44" s="237"/>
      <c r="R44" s="210"/>
      <c r="S44" s="201"/>
      <c r="T44" s="395" t="s">
        <v>1089</v>
      </c>
    </row>
    <row r="45" spans="3:20" ht="12.75" customHeight="1">
      <c r="C45" s="199"/>
      <c r="D45" s="200"/>
      <c r="E45" s="229" t="s">
        <v>103</v>
      </c>
      <c r="F45" s="227"/>
      <c r="G45" s="200"/>
      <c r="H45" s="244" t="s">
        <v>102</v>
      </c>
      <c r="I45" s="245"/>
      <c r="J45" s="245"/>
      <c r="K45" s="220"/>
      <c r="L45" s="512"/>
      <c r="M45" s="512"/>
      <c r="N45" s="512"/>
      <c r="O45" s="512"/>
      <c r="P45" s="210"/>
      <c r="Q45" s="210"/>
      <c r="R45" s="210"/>
      <c r="S45" s="201"/>
      <c r="T45" s="395" t="b">
        <f>IF(OR(AND(G46="YES",L45&lt;&gt;""),G46="NO"),TRUE,FALSE)</f>
        <v>1</v>
      </c>
    </row>
    <row r="46" spans="3:20" ht="12.75" customHeight="1">
      <c r="C46" s="199"/>
      <c r="D46" s="200"/>
      <c r="E46" s="229" t="s">
        <v>79</v>
      </c>
      <c r="F46" s="227"/>
      <c r="G46" s="534" t="s">
        <v>10</v>
      </c>
      <c r="H46" s="562" t="s">
        <v>1125</v>
      </c>
      <c r="I46" s="562"/>
      <c r="J46" s="562"/>
      <c r="K46" s="562"/>
      <c r="L46" s="562"/>
      <c r="M46" s="562"/>
      <c r="N46" s="562"/>
      <c r="O46" s="562"/>
      <c r="P46" s="210"/>
      <c r="Q46" s="210"/>
      <c r="R46" s="210"/>
      <c r="S46" s="201"/>
      <c r="T46" s="395" t="s">
        <v>1089</v>
      </c>
    </row>
    <row r="47" spans="3:20" ht="12.75" customHeight="1">
      <c r="C47" s="199"/>
      <c r="D47" s="200"/>
      <c r="E47" s="229"/>
      <c r="F47" s="227"/>
      <c r="G47" s="535"/>
      <c r="H47" s="562" t="s">
        <v>1125</v>
      </c>
      <c r="I47" s="562"/>
      <c r="J47" s="562"/>
      <c r="K47" s="562"/>
      <c r="L47" s="562"/>
      <c r="M47" s="562"/>
      <c r="N47" s="562"/>
      <c r="O47" s="562"/>
      <c r="P47" s="210"/>
      <c r="Q47" s="210"/>
      <c r="R47" s="210"/>
      <c r="S47" s="201"/>
      <c r="T47" s="395" t="s">
        <v>1089</v>
      </c>
    </row>
    <row r="48" spans="3:20" ht="12.75" customHeight="1">
      <c r="C48" s="199"/>
      <c r="D48" s="200"/>
      <c r="E48" s="229"/>
      <c r="F48" s="227"/>
      <c r="G48" s="200"/>
      <c r="H48" s="200"/>
      <c r="I48" s="247"/>
      <c r="J48" s="248" t="s">
        <v>100</v>
      </c>
      <c r="K48" s="392"/>
      <c r="L48" s="251"/>
      <c r="M48" s="252"/>
      <c r="N48" s="253"/>
      <c r="O48" s="210"/>
      <c r="P48" s="210"/>
      <c r="Q48" s="210"/>
      <c r="R48" s="210"/>
      <c r="S48" s="201"/>
      <c r="T48" s="395" t="s">
        <v>1089</v>
      </c>
    </row>
    <row r="49" spans="3:20" ht="12.75" customHeight="1">
      <c r="C49" s="199"/>
      <c r="D49" s="200"/>
      <c r="E49" s="230"/>
      <c r="F49" s="228"/>
      <c r="G49" s="250" t="s">
        <v>104</v>
      </c>
      <c r="H49" s="388"/>
      <c r="I49" s="249"/>
      <c r="J49" s="250" t="s">
        <v>101</v>
      </c>
      <c r="K49" s="388"/>
      <c r="L49" s="254"/>
      <c r="M49" s="255"/>
      <c r="N49" s="393" t="s">
        <v>1090</v>
      </c>
      <c r="O49" s="388"/>
      <c r="P49" s="210"/>
      <c r="Q49" s="210"/>
      <c r="R49" s="210"/>
      <c r="S49" s="201"/>
      <c r="T49" s="395" t="s">
        <v>1089</v>
      </c>
    </row>
    <row r="50" spans="3:20" ht="12.75" customHeight="1">
      <c r="C50" s="199"/>
      <c r="D50" s="200"/>
      <c r="E50" s="227"/>
      <c r="F50" s="227"/>
      <c r="G50" s="219"/>
      <c r="H50" s="199"/>
      <c r="I50" s="237"/>
      <c r="J50" s="237"/>
      <c r="K50" s="237"/>
      <c r="L50" s="237"/>
      <c r="M50" s="237"/>
      <c r="N50" s="237"/>
      <c r="O50" s="237"/>
      <c r="P50" s="237"/>
      <c r="Q50" s="237"/>
      <c r="R50" s="210"/>
      <c r="S50" s="201"/>
      <c r="T50" s="395" t="s">
        <v>1089</v>
      </c>
    </row>
    <row r="51" spans="3:20" ht="12.75" hidden="1" customHeight="1">
      <c r="C51" s="199"/>
      <c r="D51" s="200"/>
      <c r="E51" s="231" t="s">
        <v>106</v>
      </c>
      <c r="F51" s="232"/>
      <c r="G51" s="219"/>
      <c r="H51" s="619" t="s">
        <v>67</v>
      </c>
      <c r="I51" s="619"/>
      <c r="J51" s="619"/>
      <c r="K51" s="619"/>
      <c r="L51" s="619"/>
      <c r="M51" s="619"/>
      <c r="N51" s="619"/>
      <c r="O51" s="619"/>
      <c r="P51" s="237"/>
      <c r="Q51" s="237"/>
      <c r="R51" s="617"/>
      <c r="S51" s="617"/>
      <c r="T51" s="395" t="s">
        <v>1089</v>
      </c>
    </row>
    <row r="52" spans="3:20" ht="12.75" hidden="1" customHeight="1">
      <c r="C52" s="199"/>
      <c r="D52" s="200"/>
      <c r="E52" s="199"/>
      <c r="F52" s="210"/>
      <c r="G52" s="219"/>
      <c r="H52" s="619"/>
      <c r="I52" s="619"/>
      <c r="J52" s="619"/>
      <c r="K52" s="619"/>
      <c r="L52" s="619"/>
      <c r="M52" s="619"/>
      <c r="N52" s="619"/>
      <c r="O52" s="619"/>
      <c r="P52" s="237"/>
      <c r="Q52" s="237"/>
      <c r="R52" s="617"/>
      <c r="S52" s="617"/>
      <c r="T52" s="395" t="s">
        <v>1089</v>
      </c>
    </row>
    <row r="53" spans="3:20" hidden="1">
      <c r="C53" s="199"/>
      <c r="D53" s="200"/>
      <c r="E53" s="200"/>
      <c r="F53" s="200"/>
      <c r="G53" s="200"/>
      <c r="H53" s="200"/>
      <c r="I53" s="200"/>
      <c r="J53" s="200"/>
      <c r="K53" s="200"/>
      <c r="L53" s="200"/>
      <c r="M53" s="200"/>
      <c r="N53" s="200"/>
      <c r="O53" s="200"/>
      <c r="P53" s="200"/>
      <c r="Q53" s="200"/>
      <c r="R53" s="200"/>
      <c r="S53" s="201"/>
      <c r="T53" s="395" t="s">
        <v>1089</v>
      </c>
    </row>
    <row r="54" spans="3:20" hidden="1">
      <c r="C54" s="199"/>
      <c r="D54" s="200"/>
      <c r="E54" s="200"/>
      <c r="F54" s="200"/>
      <c r="G54" s="200"/>
      <c r="H54" s="200"/>
      <c r="I54" s="200"/>
      <c r="J54" s="200"/>
      <c r="K54" s="200"/>
      <c r="L54" s="200"/>
      <c r="M54" s="200"/>
      <c r="N54" s="200"/>
      <c r="O54" s="200"/>
      <c r="P54" s="200"/>
      <c r="Q54" s="200"/>
      <c r="R54" s="200"/>
      <c r="S54" s="201"/>
      <c r="T54" s="395" t="s">
        <v>1089</v>
      </c>
    </row>
    <row r="55" spans="3:20" ht="18">
      <c r="C55" s="199"/>
      <c r="D55" s="362" t="s">
        <v>959</v>
      </c>
      <c r="E55" s="360" t="s">
        <v>129</v>
      </c>
      <c r="F55" s="233"/>
      <c r="G55" s="239"/>
      <c r="H55" s="538" t="s">
        <v>6</v>
      </c>
      <c r="I55" s="538"/>
      <c r="J55" s="538" t="s">
        <v>7</v>
      </c>
      <c r="K55" s="538"/>
      <c r="L55" s="538" t="s">
        <v>8</v>
      </c>
      <c r="M55" s="538"/>
      <c r="N55" s="538" t="s">
        <v>14</v>
      </c>
      <c r="O55" s="538"/>
      <c r="P55" s="538" t="s">
        <v>128</v>
      </c>
      <c r="Q55" s="538"/>
      <c r="R55" s="200"/>
      <c r="S55" s="201"/>
      <c r="T55" s="395" t="s">
        <v>1089</v>
      </c>
    </row>
    <row r="56" spans="3:20">
      <c r="C56" s="199"/>
      <c r="D56" s="200"/>
      <c r="E56" s="518" t="s">
        <v>903</v>
      </c>
      <c r="F56" s="519"/>
      <c r="G56" s="519"/>
      <c r="H56" s="511"/>
      <c r="I56" s="511"/>
      <c r="J56" s="512"/>
      <c r="K56" s="512"/>
      <c r="L56" s="512"/>
      <c r="M56" s="512"/>
      <c r="N56" s="512"/>
      <c r="O56" s="512"/>
      <c r="P56" s="512"/>
      <c r="Q56" s="512"/>
      <c r="R56" s="200"/>
      <c r="S56" s="201"/>
      <c r="T56" s="395" t="b">
        <f>IF(NOT($H56="None   ()"),TRUE,FALSE)</f>
        <v>1</v>
      </c>
    </row>
    <row r="57" spans="3:20" hidden="1">
      <c r="C57" s="199"/>
      <c r="D57" s="200"/>
      <c r="E57" s="518" t="s">
        <v>909</v>
      </c>
      <c r="F57" s="519"/>
      <c r="G57" s="519"/>
      <c r="H57" s="520" t="str">
        <f>IFERROR(VLOOKUP(H56,Cameras!$A$1:$H$19988,4,FALSE),"")</f>
        <v/>
      </c>
      <c r="I57" s="520"/>
      <c r="J57" s="520" t="str">
        <f>IFERROR(VLOOKUP(J56,Cameras!$A$1:$H$19988,4,FALSE),"")</f>
        <v/>
      </c>
      <c r="K57" s="520"/>
      <c r="L57" s="520" t="str">
        <f>IFERROR(VLOOKUP(L56,Cameras!$A$1:$H$19988,4,FALSE),"")</f>
        <v/>
      </c>
      <c r="M57" s="520"/>
      <c r="N57" s="520" t="str">
        <f>IFERROR(VLOOKUP(N56,Cameras!$A$1:$H$19988,4,FALSE),"")</f>
        <v/>
      </c>
      <c r="O57" s="520"/>
      <c r="P57" s="520" t="str">
        <f>IFERROR(VLOOKUP(P56,Cameras!$A$1:$H$19988,4,FALSE),"")</f>
        <v/>
      </c>
      <c r="Q57" s="520"/>
      <c r="R57" s="200"/>
      <c r="S57" s="201"/>
      <c r="T57" s="395" t="s">
        <v>1089</v>
      </c>
    </row>
    <row r="58" spans="3:20">
      <c r="C58" s="199"/>
      <c r="D58" s="200"/>
      <c r="E58" s="518" t="s">
        <v>108</v>
      </c>
      <c r="F58" s="519"/>
      <c r="G58" s="519"/>
      <c r="H58" s="520" t="str">
        <f>IFERROR(VLOOKUP(H56,Cameras!$A$1:$F$19988,2,FALSE),"")</f>
        <v/>
      </c>
      <c r="I58" s="520"/>
      <c r="J58" s="520" t="str">
        <f>IFERROR(VLOOKUP(J56,Cameras!$A$1:$F$19988,2,FALSE),"")</f>
        <v/>
      </c>
      <c r="K58" s="520"/>
      <c r="L58" s="520" t="str">
        <f>IFERROR(VLOOKUP(L56,Cameras!$A$1:$F$19988,2,FALSE),"")</f>
        <v/>
      </c>
      <c r="M58" s="520"/>
      <c r="N58" s="520" t="str">
        <f>IFERROR(VLOOKUP(N56,Cameras!$A$1:$F$19988,2,FALSE),"")</f>
        <v/>
      </c>
      <c r="O58" s="520"/>
      <c r="P58" s="520" t="str">
        <f>IFERROR(VLOOKUP(P56,Cameras!$A$1:$F$19988,2,FALSE),"")</f>
        <v/>
      </c>
      <c r="Q58" s="520"/>
      <c r="R58" s="200"/>
      <c r="S58" s="201"/>
      <c r="T58" s="395" t="s">
        <v>1089</v>
      </c>
    </row>
    <row r="59" spans="3:20" hidden="1" outlineLevel="1">
      <c r="C59" s="199"/>
      <c r="D59" s="200"/>
      <c r="E59" s="518" t="s">
        <v>907</v>
      </c>
      <c r="F59" s="519"/>
      <c r="G59" s="519"/>
      <c r="H59" s="520">
        <f>IFERROR(MATCH(H58,CameraPerformance!$A$1:$A$21592,0),0)</f>
        <v>0</v>
      </c>
      <c r="I59" s="520"/>
      <c r="J59" s="521">
        <f>IFERROR(MATCH(J58,CameraPerformance!$A$1:$A$21592,0),0)</f>
        <v>0</v>
      </c>
      <c r="K59" s="520"/>
      <c r="L59" s="521">
        <f>IFERROR(MATCH(L58,CameraPerformance!$A$1:$A$21592,0),0)</f>
        <v>0</v>
      </c>
      <c r="M59" s="520"/>
      <c r="N59" s="521">
        <f>IFERROR(MATCH(N58,CameraPerformance!$A$1:$A$21592,0),0)</f>
        <v>0</v>
      </c>
      <c r="O59" s="520"/>
      <c r="P59" s="521">
        <f>IFERROR(MATCH(P58,CameraPerformance!$A$1:$A$21592,0),0)</f>
        <v>0</v>
      </c>
      <c r="Q59" s="520"/>
      <c r="R59" s="200"/>
      <c r="S59" s="201"/>
      <c r="T59" s="395" t="s">
        <v>1089</v>
      </c>
    </row>
    <row r="60" spans="3:20" hidden="1" outlineLevel="1">
      <c r="C60" s="199"/>
      <c r="D60" s="200"/>
      <c r="E60" s="518" t="s">
        <v>908</v>
      </c>
      <c r="F60" s="519"/>
      <c r="G60" s="519"/>
      <c r="H60" s="520">
        <f>COUNTIF(CameraPerformance!$A$1:$A$21592,H58)</f>
        <v>13789</v>
      </c>
      <c r="I60" s="520"/>
      <c r="J60" s="521">
        <f>COUNTIF(CameraPerformance!$A$1:$A$21592,J58)</f>
        <v>13789</v>
      </c>
      <c r="K60" s="520"/>
      <c r="L60" s="521">
        <f>COUNTIF(CameraPerformance!$A$1:$A$21592,L58)</f>
        <v>13789</v>
      </c>
      <c r="M60" s="520"/>
      <c r="N60" s="521">
        <f>COUNTIF(CameraPerformance!$A$1:$A$21592,N58)</f>
        <v>13789</v>
      </c>
      <c r="O60" s="520"/>
      <c r="P60" s="521">
        <f>COUNTIF(CameraPerformance!$A$1:$A$21592,P58)</f>
        <v>13789</v>
      </c>
      <c r="Q60" s="520"/>
      <c r="R60" s="200"/>
      <c r="S60" s="201"/>
      <c r="T60" s="395" t="s">
        <v>1089</v>
      </c>
    </row>
    <row r="61" spans="3:20" collapsed="1">
      <c r="C61" s="199"/>
      <c r="D61" s="200"/>
      <c r="E61" s="518" t="s">
        <v>906</v>
      </c>
      <c r="F61" s="519"/>
      <c r="G61" s="519"/>
      <c r="H61" s="511"/>
      <c r="I61" s="511"/>
      <c r="J61" s="529"/>
      <c r="K61" s="530"/>
      <c r="L61" s="512"/>
      <c r="M61" s="512"/>
      <c r="N61" s="512"/>
      <c r="O61" s="512"/>
      <c r="P61" s="512"/>
      <c r="Q61" s="512"/>
      <c r="R61" s="200"/>
      <c r="S61" s="201"/>
      <c r="T61" s="395" t="b">
        <f>IF(OR(NOT($H61=""),H56="Other Bosch or ONVIF (OTH)"),TRUE,FALSE)</f>
        <v>0</v>
      </c>
    </row>
    <row r="62" spans="3:20" ht="12.75" customHeight="1" outlineLevel="1">
      <c r="C62" s="199"/>
      <c r="D62" s="200"/>
      <c r="E62" s="518" t="s">
        <v>900</v>
      </c>
      <c r="F62" s="519"/>
      <c r="G62" s="519"/>
      <c r="H62" s="520" t="str">
        <f>IFERROR(LEFT(RIGHT(H61,LEN(H61)-6),FIND("-",H61,1)-8),"")&amp;" (1)"</f>
        <v xml:space="preserve"> (1)</v>
      </c>
      <c r="I62" s="520"/>
      <c r="J62" s="520" t="str">
        <f t="shared" ref="J62" si="1">IFERROR(LEFT(RIGHT(J61,LEN(J61)-6),FIND("-",J61,1)-8),"")&amp;" (1)"</f>
        <v xml:space="preserve"> (1)</v>
      </c>
      <c r="K62" s="520"/>
      <c r="L62" s="520" t="str">
        <f t="shared" ref="L62" si="2">IFERROR(LEFT(RIGHT(L61,LEN(L61)-6),FIND("-",L61,1)-8),"")&amp;" (1)"</f>
        <v xml:space="preserve"> (1)</v>
      </c>
      <c r="M62" s="520"/>
      <c r="N62" s="520" t="str">
        <f t="shared" ref="N62" si="3">IFERROR(LEFT(RIGHT(N61,LEN(N61)-6),FIND("-",N61,1)-8),"")&amp;" (1)"</f>
        <v xml:space="preserve"> (1)</v>
      </c>
      <c r="O62" s="520"/>
      <c r="P62" s="520" t="str">
        <f t="shared" ref="P62" si="4">IFERROR(LEFT(RIGHT(P61,LEN(P61)-6),FIND("-",P61,1)-8),"")&amp;" (1)"</f>
        <v xml:space="preserve"> (1)</v>
      </c>
      <c r="Q62" s="520"/>
      <c r="R62" s="200"/>
      <c r="S62" s="201"/>
      <c r="T62" s="395" t="s">
        <v>1089</v>
      </c>
    </row>
    <row r="63" spans="3:20" ht="12.75" customHeight="1" outlineLevel="1">
      <c r="C63" s="199"/>
      <c r="D63" s="200"/>
      <c r="E63" s="518" t="s">
        <v>901</v>
      </c>
      <c r="F63" s="519"/>
      <c r="G63" s="519"/>
      <c r="H63" s="520" t="str">
        <f>IFERROR(RIGHT(H61,LEN(H61)-1-FIND("-",H61,1)),"")&amp;" (2)"</f>
        <v xml:space="preserve"> (2)</v>
      </c>
      <c r="I63" s="520"/>
      <c r="J63" s="520" t="str">
        <f t="shared" ref="J63" si="5">IFERROR(RIGHT(J61,LEN(J61)-1-FIND("-",J61,1)),"")&amp;" (2)"</f>
        <v xml:space="preserve"> (2)</v>
      </c>
      <c r="K63" s="520"/>
      <c r="L63" s="520" t="str">
        <f t="shared" ref="L63" si="6">IFERROR(RIGHT(L61,LEN(L61)-1-FIND("-",L61,1)),"")&amp;" (2)"</f>
        <v xml:space="preserve"> (2)</v>
      </c>
      <c r="M63" s="520"/>
      <c r="N63" s="520" t="str">
        <f t="shared" ref="N63" si="7">IFERROR(RIGHT(N61,LEN(N61)-1-FIND("-",N61,1)),"")&amp;" (2)"</f>
        <v xml:space="preserve"> (2)</v>
      </c>
      <c r="O63" s="520"/>
      <c r="P63" s="520" t="str">
        <f t="shared" ref="P63" si="8">IFERROR(RIGHT(P61,LEN(P61)-1-FIND("-",P61,1)),"")&amp;" (2)"</f>
        <v xml:space="preserve"> (2)</v>
      </c>
      <c r="Q63" s="520"/>
      <c r="R63" s="200"/>
      <c r="S63" s="201"/>
      <c r="T63" s="395" t="s">
        <v>1089</v>
      </c>
    </row>
    <row r="64" spans="3:20" ht="12.75" customHeight="1" outlineLevel="1">
      <c r="C64" s="199"/>
      <c r="D64" s="200"/>
      <c r="E64" s="256" t="s">
        <v>1349</v>
      </c>
      <c r="F64" s="244"/>
      <c r="G64" s="244"/>
      <c r="H64" s="520">
        <f>IFERROR(VLOOKUP(H56,Cameras!$A$7:$H$1989,3,FALSE),1)</f>
        <v>1</v>
      </c>
      <c r="I64" s="520"/>
      <c r="J64" s="520">
        <f>IFERROR(VLOOKUP(J56,Cameras!$A$7:$H$1989,3,FALSE),1)</f>
        <v>1</v>
      </c>
      <c r="K64" s="520"/>
      <c r="L64" s="520">
        <f>IFERROR(VLOOKUP(L56,Cameras!$A$7:$H$1989,3,FALSE),1)</f>
        <v>1</v>
      </c>
      <c r="M64" s="520"/>
      <c r="N64" s="520">
        <f>IFERROR(VLOOKUP(N56,Cameras!$A$7:$H$1989,3,FALSE),1)</f>
        <v>1</v>
      </c>
      <c r="O64" s="520"/>
      <c r="P64" s="520">
        <f>IFERROR(VLOOKUP(P56,Cameras!$A$7:$H$1989,3,FALSE),1)</f>
        <v>1</v>
      </c>
      <c r="Q64" s="520"/>
      <c r="R64" s="200"/>
      <c r="S64" s="201"/>
      <c r="T64" s="395" t="s">
        <v>1089</v>
      </c>
    </row>
    <row r="65" spans="2:32" outlineLevel="1">
      <c r="C65" s="199"/>
      <c r="D65" s="200"/>
      <c r="E65" s="522" t="s">
        <v>1589</v>
      </c>
      <c r="F65" s="522"/>
      <c r="G65" s="522"/>
      <c r="H65" s="511" t="s">
        <v>599</v>
      </c>
      <c r="I65" s="511"/>
      <c r="J65" s="512" t="s">
        <v>599</v>
      </c>
      <c r="K65" s="512"/>
      <c r="L65" s="512" t="s">
        <v>599</v>
      </c>
      <c r="M65" s="512"/>
      <c r="N65" s="529" t="s">
        <v>599</v>
      </c>
      <c r="O65" s="530"/>
      <c r="P65" s="529" t="s">
        <v>599</v>
      </c>
      <c r="Q65" s="530"/>
      <c r="R65" s="200"/>
      <c r="S65" s="201"/>
      <c r="T65" s="395" t="b">
        <f>IF(NOT($H65=""),TRUE,FALSE)</f>
        <v>1</v>
      </c>
    </row>
    <row r="66" spans="2:32" outlineLevel="1">
      <c r="C66" s="199"/>
      <c r="D66" s="200"/>
      <c r="E66" s="518" t="s">
        <v>29</v>
      </c>
      <c r="F66" s="518"/>
      <c r="G66" s="518"/>
      <c r="H66" s="511" t="s">
        <v>595</v>
      </c>
      <c r="I66" s="511"/>
      <c r="J66" s="512" t="s">
        <v>595</v>
      </c>
      <c r="K66" s="512"/>
      <c r="L66" s="512" t="s">
        <v>595</v>
      </c>
      <c r="M66" s="512"/>
      <c r="N66" s="512" t="s">
        <v>595</v>
      </c>
      <c r="O66" s="512"/>
      <c r="P66" s="512" t="s">
        <v>595</v>
      </c>
      <c r="Q66" s="512"/>
      <c r="R66" s="200"/>
      <c r="S66" s="201"/>
      <c r="T66" s="395" t="b">
        <f>IF(NOT($H66=""),TRUE,FALSE)</f>
        <v>1</v>
      </c>
    </row>
    <row r="67" spans="2:32">
      <c r="B67" s="390"/>
      <c r="C67" s="390"/>
      <c r="D67" s="200"/>
      <c r="E67" s="507" t="s">
        <v>1353</v>
      </c>
      <c r="F67" s="507"/>
      <c r="G67" s="507"/>
      <c r="H67" s="528" t="str">
        <f>IFERROR(IF(AND(OR(H57="CPP_4",H57="CPP_6",H57="CPP_7"),H66="h_265"),"H.265 not possible on selected camera","Accepted!"),"Accepted!")</f>
        <v>Accepted!</v>
      </c>
      <c r="I67" s="528"/>
      <c r="J67" s="528" t="str">
        <f t="shared" ref="J67" si="9">IFERROR(IF(AND(OR(J57="CPP_4",J57="CPP_6",J57="CPP_7"),J66="h_265"),"H.265 not possible on selected camera","Accepted!"),"Accepted!")</f>
        <v>Accepted!</v>
      </c>
      <c r="K67" s="528"/>
      <c r="L67" s="528" t="str">
        <f t="shared" ref="L67" si="10">IFERROR(IF(AND(OR(L57="CPP_4",L57="CPP_6",L57="CPP_7"),L66="h_265"),"H.265 not possible on selected camera","Accepted!"),"Accepted!")</f>
        <v>Accepted!</v>
      </c>
      <c r="M67" s="528"/>
      <c r="N67" s="528" t="str">
        <f t="shared" ref="N67" si="11">IFERROR(IF(AND(OR(N57="CPP_4",N57="CPP_6",N57="CPP_7"),N66="h_265"),"H.265 not possible on selected camera","Accepted!"),"Accepted!")</f>
        <v>Accepted!</v>
      </c>
      <c r="O67" s="528"/>
      <c r="P67" s="528" t="str">
        <f t="shared" ref="P67" si="12">IFERROR(IF(AND(OR(P57="CPP_4",P57="CPP_6",P57="CPP_7"),P66="h_265"),"H.265 not possible on selected camera","Accepted!"),"Accepted!")</f>
        <v>Accepted!</v>
      </c>
      <c r="Q67" s="528"/>
      <c r="R67" s="200"/>
      <c r="S67" s="201"/>
      <c r="T67" s="395" t="b">
        <f>IF(AND(H67="Accepted!",J67="Accepted!",L67="Accepted!",N67="Accepted!",P67="Accepted!"),TRUE,FALSE)</f>
        <v>1</v>
      </c>
      <c r="U67" s="390"/>
      <c r="V67" s="390"/>
      <c r="W67" s="390"/>
      <c r="X67" s="390"/>
      <c r="Y67" s="390"/>
      <c r="Z67" s="390"/>
      <c r="AA67" s="390"/>
      <c r="AB67" s="390"/>
      <c r="AC67" s="390"/>
      <c r="AD67" s="390"/>
      <c r="AE67" s="390"/>
      <c r="AF67" s="390"/>
    </row>
    <row r="68" spans="2:32">
      <c r="C68" s="199"/>
      <c r="D68" s="200"/>
      <c r="E68" s="358"/>
      <c r="F68" s="358"/>
      <c r="G68" s="358"/>
      <c r="H68" s="357"/>
      <c r="I68" s="389"/>
      <c r="J68" s="389"/>
      <c r="K68" s="389"/>
      <c r="L68" s="389"/>
      <c r="M68" s="389"/>
      <c r="N68" s="389"/>
      <c r="O68" s="389"/>
      <c r="P68" s="389"/>
      <c r="Q68" s="389"/>
      <c r="R68" s="200"/>
      <c r="S68" s="201"/>
      <c r="T68" s="395" t="s">
        <v>1089</v>
      </c>
    </row>
    <row r="69" spans="2:32" ht="18">
      <c r="C69" s="199"/>
      <c r="D69" s="362" t="s">
        <v>960</v>
      </c>
      <c r="E69" s="360" t="s">
        <v>912</v>
      </c>
      <c r="F69" s="200"/>
      <c r="G69" s="200"/>
      <c r="H69" s="200"/>
      <c r="I69" s="200"/>
      <c r="J69" s="200"/>
      <c r="K69" s="200"/>
      <c r="L69" s="200"/>
      <c r="M69" s="200"/>
      <c r="N69" s="200"/>
      <c r="O69" s="200"/>
      <c r="P69" s="200"/>
      <c r="Q69" s="200"/>
      <c r="R69" s="200"/>
      <c r="S69" s="201"/>
      <c r="T69" s="395" t="s">
        <v>1089</v>
      </c>
    </row>
    <row r="70" spans="2:32">
      <c r="C70" s="199"/>
      <c r="D70" s="200"/>
      <c r="E70" s="518" t="s">
        <v>912</v>
      </c>
      <c r="F70" s="519"/>
      <c r="G70" s="519"/>
      <c r="H70" s="511"/>
      <c r="I70" s="511"/>
      <c r="J70" s="512"/>
      <c r="K70" s="512"/>
      <c r="L70" s="512"/>
      <c r="M70" s="512"/>
      <c r="N70" s="512"/>
      <c r="O70" s="512"/>
      <c r="P70" s="512"/>
      <c r="Q70" s="512"/>
      <c r="R70" s="200"/>
      <c r="S70" s="201"/>
      <c r="T70" s="395" t="s">
        <v>1089</v>
      </c>
    </row>
    <row r="71" spans="2:32" ht="12.75" customHeight="1">
      <c r="C71" s="199"/>
      <c r="D71" s="200"/>
      <c r="E71" s="518" t="s">
        <v>27</v>
      </c>
      <c r="F71" s="519"/>
      <c r="G71" s="519"/>
      <c r="H71" s="520" t="str">
        <f>IFERROR(VLOOKUP(H$70,Resolutions!$A$1:$B$115,2,FALSE),"")</f>
        <v/>
      </c>
      <c r="I71" s="520"/>
      <c r="J71" s="520" t="str">
        <f>IFERROR(VLOOKUP(J$70,Resolutions!$A$1:$B$115,2,FALSE),"")</f>
        <v/>
      </c>
      <c r="K71" s="520"/>
      <c r="L71" s="520" t="str">
        <f>IFERROR(VLOOKUP(L$70,Resolutions!$A$1:$B$115,2,FALSE),"")</f>
        <v/>
      </c>
      <c r="M71" s="520"/>
      <c r="N71" s="520" t="str">
        <f>IFERROR(VLOOKUP(N$70,Resolutions!$A$1:$B$115,2,FALSE),"")</f>
        <v/>
      </c>
      <c r="O71" s="520"/>
      <c r="P71" s="520" t="str">
        <f>IFERROR(VLOOKUP(P$70,Resolutions!$A$1:$B$115,2,FALSE),"")</f>
        <v/>
      </c>
      <c r="Q71" s="520"/>
      <c r="R71" s="200"/>
      <c r="S71" s="201"/>
      <c r="T71" s="395" t="s">
        <v>1089</v>
      </c>
    </row>
    <row r="72" spans="2:32" ht="12.75" customHeight="1">
      <c r="C72" s="199"/>
      <c r="D72" s="200"/>
      <c r="E72" s="518" t="s">
        <v>905</v>
      </c>
      <c r="F72" s="518"/>
      <c r="G72" s="518"/>
      <c r="H72" s="520" t="str">
        <f>IFERROR(IFERROR(IF(SEARCH("SKIP",H70,1)&gt;0,ROUNDDOWN(VALUE(LEFT(H61,2))/RIGHT(H70,1),0),0),VALUE(LEFT(H61,2))),"")</f>
        <v/>
      </c>
      <c r="I72" s="520"/>
      <c r="J72" s="520" t="str">
        <f t="shared" ref="J72" si="13">IFERROR(IFERROR(IF(SEARCH("SKIP",J70,1)&gt;0,ROUNDDOWN(VALUE(LEFT(J61,2))/RIGHT(J70,1),0),0),VALUE(LEFT(J61,2))),"")</f>
        <v/>
      </c>
      <c r="K72" s="520"/>
      <c r="L72" s="520" t="str">
        <f t="shared" ref="L72" si="14">IFERROR(IFERROR(IF(SEARCH("SKIP",L70,1)&gt;0,ROUNDDOWN(VALUE(LEFT(L61,2))/RIGHT(L70,1),0),0),VALUE(LEFT(L61,2))),"")</f>
        <v/>
      </c>
      <c r="M72" s="520"/>
      <c r="N72" s="520" t="str">
        <f t="shared" ref="N72" si="15">IFERROR(IFERROR(IF(SEARCH("SKIP",N70,1)&gt;0,ROUNDDOWN(VALUE(LEFT(N61,2))/RIGHT(N70,1),0),0),VALUE(LEFT(N61,2))),"")</f>
        <v/>
      </c>
      <c r="O72" s="520"/>
      <c r="P72" s="520" t="str">
        <f t="shared" ref="P72" si="16">IFERROR(IFERROR(IF(SEARCH("SKIP",P70,1)&gt;0,ROUNDDOWN(VALUE(LEFT(P61,2))/RIGHT(P70,1),0),0),VALUE(LEFT(P61,2))),"")</f>
        <v/>
      </c>
      <c r="Q72" s="520"/>
      <c r="R72" s="200"/>
      <c r="S72" s="201"/>
      <c r="T72" s="395" t="s">
        <v>1089</v>
      </c>
    </row>
    <row r="73" spans="2:32" ht="12.75" hidden="1" customHeight="1" outlineLevel="1">
      <c r="C73" s="199"/>
      <c r="D73" s="200"/>
      <c r="E73" s="518" t="s">
        <v>914</v>
      </c>
      <c r="F73" s="518"/>
      <c r="G73" s="256">
        <v>2</v>
      </c>
      <c r="H73" s="520" t="str">
        <f>IFERROR(IF(H72&gt;1,ROUNDUP(IF(H$70&lt;&gt;"",H$72/$G73,""),0),""),"")</f>
        <v/>
      </c>
      <c r="I73" s="520"/>
      <c r="J73" s="520" t="str">
        <f t="shared" ref="J73:J78" si="17">IFERROR(IF(J72&gt;1,ROUNDUP(IF(J$70&lt;&gt;"",J$72/$G73,""),0),""),"")</f>
        <v/>
      </c>
      <c r="K73" s="520"/>
      <c r="L73" s="520" t="str">
        <f t="shared" ref="L73:L78" si="18">IFERROR(IF(L72&gt;1,ROUNDUP(IF(L$70&lt;&gt;"",L$72/$G73,""),0),""),"")</f>
        <v/>
      </c>
      <c r="M73" s="520"/>
      <c r="N73" s="520" t="str">
        <f t="shared" ref="N73:N78" si="19">IFERROR(IF(N72&gt;1,ROUNDUP(IF(N$70&lt;&gt;"",N$72/$G73,""),0),""),"")</f>
        <v/>
      </c>
      <c r="O73" s="520"/>
      <c r="P73" s="520" t="str">
        <f t="shared" ref="P73:P78" si="20">IFERROR(IF(P72&gt;1,ROUNDUP(IF(P$70&lt;&gt;"",P$72/$G73,""),0),""),"")</f>
        <v/>
      </c>
      <c r="Q73" s="520"/>
      <c r="R73" s="200"/>
      <c r="S73" s="201"/>
      <c r="T73" s="395" t="s">
        <v>1089</v>
      </c>
    </row>
    <row r="74" spans="2:32" ht="12.75" hidden="1" customHeight="1" outlineLevel="1">
      <c r="C74" s="199"/>
      <c r="D74" s="200"/>
      <c r="E74" s="518" t="s">
        <v>914</v>
      </c>
      <c r="F74" s="518"/>
      <c r="G74" s="256">
        <v>3</v>
      </c>
      <c r="H74" s="520" t="str">
        <f t="shared" ref="H74:H78" si="21">IFERROR(IF(H73&gt;1,ROUNDUP(IF(H$70&lt;&gt;"",H$72/$G74,""),0),""),"")</f>
        <v/>
      </c>
      <c r="I74" s="520"/>
      <c r="J74" s="520" t="str">
        <f t="shared" si="17"/>
        <v/>
      </c>
      <c r="K74" s="520"/>
      <c r="L74" s="520" t="str">
        <f t="shared" si="18"/>
        <v/>
      </c>
      <c r="M74" s="520"/>
      <c r="N74" s="520" t="str">
        <f t="shared" si="19"/>
        <v/>
      </c>
      <c r="O74" s="520"/>
      <c r="P74" s="520" t="str">
        <f t="shared" si="20"/>
        <v/>
      </c>
      <c r="Q74" s="520"/>
      <c r="R74" s="200"/>
      <c r="S74" s="201"/>
      <c r="T74" s="395" t="s">
        <v>1089</v>
      </c>
    </row>
    <row r="75" spans="2:32" ht="12.75" hidden="1" customHeight="1" outlineLevel="1">
      <c r="C75" s="199"/>
      <c r="D75" s="200"/>
      <c r="E75" s="518" t="s">
        <v>914</v>
      </c>
      <c r="F75" s="518"/>
      <c r="G75" s="256">
        <v>4</v>
      </c>
      <c r="H75" s="520" t="str">
        <f t="shared" si="21"/>
        <v/>
      </c>
      <c r="I75" s="520"/>
      <c r="J75" s="520" t="str">
        <f t="shared" si="17"/>
        <v/>
      </c>
      <c r="K75" s="520"/>
      <c r="L75" s="520" t="str">
        <f t="shared" si="18"/>
        <v/>
      </c>
      <c r="M75" s="520"/>
      <c r="N75" s="520" t="str">
        <f t="shared" si="19"/>
        <v/>
      </c>
      <c r="O75" s="520"/>
      <c r="P75" s="520" t="str">
        <f t="shared" si="20"/>
        <v/>
      </c>
      <c r="Q75" s="520"/>
      <c r="R75" s="200"/>
      <c r="S75" s="201"/>
      <c r="T75" s="395" t="s">
        <v>1089</v>
      </c>
    </row>
    <row r="76" spans="2:32" ht="12.75" hidden="1" customHeight="1" outlineLevel="1">
      <c r="C76" s="199"/>
      <c r="D76" s="200"/>
      <c r="E76" s="518" t="s">
        <v>914</v>
      </c>
      <c r="F76" s="518"/>
      <c r="G76" s="256">
        <v>5</v>
      </c>
      <c r="H76" s="520" t="str">
        <f t="shared" si="21"/>
        <v/>
      </c>
      <c r="I76" s="520"/>
      <c r="J76" s="520" t="str">
        <f t="shared" si="17"/>
        <v/>
      </c>
      <c r="K76" s="520"/>
      <c r="L76" s="520" t="str">
        <f t="shared" si="18"/>
        <v/>
      </c>
      <c r="M76" s="520"/>
      <c r="N76" s="520" t="str">
        <f t="shared" si="19"/>
        <v/>
      </c>
      <c r="O76" s="520"/>
      <c r="P76" s="520" t="str">
        <f t="shared" si="20"/>
        <v/>
      </c>
      <c r="Q76" s="520"/>
      <c r="R76" s="200"/>
      <c r="S76" s="201"/>
      <c r="T76" s="395" t="s">
        <v>1089</v>
      </c>
    </row>
    <row r="77" spans="2:32" ht="12.75" hidden="1" customHeight="1" outlineLevel="1">
      <c r="C77" s="199"/>
      <c r="D77" s="200"/>
      <c r="E77" s="518" t="s">
        <v>914</v>
      </c>
      <c r="F77" s="518"/>
      <c r="G77" s="256">
        <v>6</v>
      </c>
      <c r="H77" s="520" t="str">
        <f t="shared" si="21"/>
        <v/>
      </c>
      <c r="I77" s="520"/>
      <c r="J77" s="520" t="str">
        <f t="shared" si="17"/>
        <v/>
      </c>
      <c r="K77" s="520"/>
      <c r="L77" s="520" t="str">
        <f t="shared" si="18"/>
        <v/>
      </c>
      <c r="M77" s="520"/>
      <c r="N77" s="520" t="str">
        <f t="shared" si="19"/>
        <v/>
      </c>
      <c r="O77" s="520"/>
      <c r="P77" s="520" t="str">
        <f t="shared" si="20"/>
        <v/>
      </c>
      <c r="Q77" s="520"/>
      <c r="R77" s="200"/>
      <c r="S77" s="201"/>
      <c r="T77" s="395" t="s">
        <v>1089</v>
      </c>
    </row>
    <row r="78" spans="2:32" ht="12.75" hidden="1" customHeight="1" outlineLevel="1">
      <c r="C78" s="199"/>
      <c r="D78" s="200"/>
      <c r="E78" s="518" t="s">
        <v>914</v>
      </c>
      <c r="F78" s="518"/>
      <c r="G78" s="256">
        <v>7</v>
      </c>
      <c r="H78" s="520" t="str">
        <f t="shared" si="21"/>
        <v/>
      </c>
      <c r="I78" s="520"/>
      <c r="J78" s="520" t="str">
        <f t="shared" si="17"/>
        <v/>
      </c>
      <c r="K78" s="520"/>
      <c r="L78" s="520" t="str">
        <f t="shared" si="18"/>
        <v/>
      </c>
      <c r="M78" s="520"/>
      <c r="N78" s="520" t="str">
        <f t="shared" si="19"/>
        <v/>
      </c>
      <c r="O78" s="520"/>
      <c r="P78" s="520" t="str">
        <f t="shared" si="20"/>
        <v/>
      </c>
      <c r="Q78" s="520"/>
      <c r="R78" s="200"/>
      <c r="S78" s="201"/>
      <c r="T78" s="395" t="s">
        <v>1089</v>
      </c>
    </row>
    <row r="79" spans="2:32" collapsed="1">
      <c r="C79" s="199"/>
      <c r="D79" s="200"/>
      <c r="E79" s="518" t="s">
        <v>915</v>
      </c>
      <c r="F79" s="518"/>
      <c r="G79" s="518"/>
      <c r="H79" s="433"/>
      <c r="I79" s="361" t="str">
        <f>IF(AND(H$70=H$84,H$79=H$93,H$79&lt;&gt;""),"Accepted!",IF(OR(H$70&lt;&gt;H$84,H$78=""),"Accepted!","Align framerate!"))</f>
        <v>Accepted!</v>
      </c>
      <c r="J79" s="434"/>
      <c r="K79" s="361" t="str">
        <f>IF(AND(J$70=J$84,J$79=J$93,J$79&lt;&gt;""),"Accepted!",IF(OR(J$70&lt;&gt;J$84,J$78=""),"Accepted!","Align framerate!"))</f>
        <v>Accepted!</v>
      </c>
      <c r="L79" s="435"/>
      <c r="M79" s="361" t="str">
        <f>IF(AND(L$70=L$84,L$79=L$93,L$79&lt;&gt;""),"Accepted!",IF(OR(L$70&lt;&gt;L$84,L$78=""),"Accepted!","Align framerate!"))</f>
        <v>Accepted!</v>
      </c>
      <c r="N79" s="435"/>
      <c r="O79" s="361" t="str">
        <f>IF(AND(N$70=N$84,N$79=N$93,N$79&lt;&gt;""),"Accepted!",IF(OR(N$70&lt;&gt;N$84,N$78=""),"Accepted!","Align framerate!"))</f>
        <v>Accepted!</v>
      </c>
      <c r="P79" s="435"/>
      <c r="Q79" s="361" t="str">
        <f>IF(AND(P$70=P$84,P$79=P$93,P$79&lt;&gt;""),"Accepted!",IF(OR(P$70&lt;&gt;P$84,P$78=""),"Accepted!","Align framerate!"))</f>
        <v>Accepted!</v>
      </c>
      <c r="R79" s="200"/>
      <c r="S79" s="201"/>
      <c r="T79" s="395" t="b">
        <f>IF(OR(I79&lt;&gt;"Accepted!",K79&lt;&gt;"Accepted!",M79&lt;&gt;"Accepted!",O79&lt;&gt;"Accepted!",Q79&lt;&gt;"Accepted!"),FALSE,TRUE)</f>
        <v>1</v>
      </c>
    </row>
    <row r="80" spans="2:32">
      <c r="C80" s="199"/>
      <c r="D80" s="200"/>
      <c r="E80" s="256" t="s">
        <v>917</v>
      </c>
      <c r="F80" s="244"/>
      <c r="G80" s="244"/>
      <c r="H80" s="396" t="str">
        <f>IFERROR(BRG_Group1!$E$24,"Not supported!")</f>
        <v>Not supported!</v>
      </c>
      <c r="I80" s="396" t="str">
        <f>BRG_Group1!$F$24</f>
        <v>kbit/s</v>
      </c>
      <c r="J80" s="396" t="str">
        <f>IFERROR(BRG_Group2!$E$24,"Not supported!")</f>
        <v>Not supported!</v>
      </c>
      <c r="K80" s="396" t="str">
        <f>BRG_Group2!$F$24</f>
        <v>kbit/s</v>
      </c>
      <c r="L80" s="396" t="str">
        <f>IFERROR(BRG_Group3!$E$24,"Not supported!")</f>
        <v>Not supported!</v>
      </c>
      <c r="M80" s="396" t="str">
        <f>BRG_Group3!$F$24</f>
        <v>kbit/s</v>
      </c>
      <c r="N80" s="396" t="str">
        <f>IFERROR(BRG_Group4!$E$24,"Not supported!")</f>
        <v>Not supported!</v>
      </c>
      <c r="O80" s="396" t="str">
        <f>BRG_Group4!$F$24</f>
        <v>kbit/s</v>
      </c>
      <c r="P80" s="396" t="str">
        <f>IFERROR(BRG_Group5!$E$24,"Not supported!")</f>
        <v>Not supported!</v>
      </c>
      <c r="Q80" s="396" t="str">
        <f>BRG_Group4!$F$24</f>
        <v>kbit/s</v>
      </c>
      <c r="R80" s="200"/>
      <c r="S80" s="201"/>
      <c r="T80" s="395" t="s">
        <v>1089</v>
      </c>
    </row>
    <row r="81" spans="2:20">
      <c r="C81" s="199"/>
      <c r="D81" s="200"/>
      <c r="E81" s="256" t="s">
        <v>918</v>
      </c>
      <c r="F81" s="244"/>
      <c r="G81" s="244"/>
      <c r="H81" s="396" t="str">
        <f>IFERROR(BRG_Group1!$E$26,"Not supported!")</f>
        <v>Not supported!</v>
      </c>
      <c r="I81" s="396" t="str">
        <f>BRG_Group1!$F$26</f>
        <v>kbit/s</v>
      </c>
      <c r="J81" s="396" t="str">
        <f>IFERROR(BRG_Group2!$E$26,"Not supported!")</f>
        <v>Not supported!</v>
      </c>
      <c r="K81" s="396" t="str">
        <f>BRG_Group2!$F$26</f>
        <v>kbit/s</v>
      </c>
      <c r="L81" s="396" t="str">
        <f>IFERROR(BRG_Group3!$E$26,"Not supported!")</f>
        <v>Not supported!</v>
      </c>
      <c r="M81" s="396" t="str">
        <f>BRG_Group3!$F$26</f>
        <v>kbit/s</v>
      </c>
      <c r="N81" s="396" t="str">
        <f>IFERROR(BRG_Group4!$E$26,"Not supported!")</f>
        <v>Not supported!</v>
      </c>
      <c r="O81" s="396" t="str">
        <f>BRG_Group4!$F$26</f>
        <v>kbit/s</v>
      </c>
      <c r="P81" s="396" t="str">
        <f>IFERROR(BRG_Group5!$E$26,"Not supported!")</f>
        <v>Not supported!</v>
      </c>
      <c r="Q81" s="396" t="str">
        <f>BRG_Group4!$F$26</f>
        <v>kbit/s</v>
      </c>
      <c r="R81" s="200"/>
      <c r="S81" s="201"/>
      <c r="T81" s="395" t="s">
        <v>1089</v>
      </c>
    </row>
    <row r="82" spans="2:20">
      <c r="C82" s="199"/>
      <c r="D82" s="200"/>
      <c r="E82" s="358"/>
      <c r="F82" s="359"/>
      <c r="G82" s="359"/>
      <c r="H82" s="257"/>
      <c r="I82" s="193"/>
      <c r="J82" s="257"/>
      <c r="K82" s="193"/>
      <c r="L82" s="257"/>
      <c r="M82" s="193"/>
      <c r="N82" s="257"/>
      <c r="O82" s="193"/>
      <c r="P82" s="257"/>
      <c r="Q82" s="193"/>
      <c r="R82" s="200"/>
      <c r="S82" s="201"/>
      <c r="T82" s="395" t="s">
        <v>1089</v>
      </c>
    </row>
    <row r="83" spans="2:20" ht="18">
      <c r="C83" s="199"/>
      <c r="D83" s="362" t="s">
        <v>1117</v>
      </c>
      <c r="E83" s="360" t="s">
        <v>954</v>
      </c>
      <c r="F83" s="244"/>
      <c r="G83" s="244"/>
      <c r="H83" s="200"/>
      <c r="I83" s="200"/>
      <c r="J83" s="200"/>
      <c r="K83" s="200"/>
      <c r="L83" s="200"/>
      <c r="M83" s="200"/>
      <c r="N83" s="200"/>
      <c r="O83" s="200"/>
      <c r="P83" s="200"/>
      <c r="Q83" s="200"/>
      <c r="R83" s="200"/>
      <c r="S83" s="201"/>
      <c r="T83" s="395" t="s">
        <v>1089</v>
      </c>
    </row>
    <row r="84" spans="2:20">
      <c r="C84" s="199"/>
      <c r="D84" s="200"/>
      <c r="E84" s="518" t="s">
        <v>913</v>
      </c>
      <c r="F84" s="519"/>
      <c r="G84" s="519"/>
      <c r="H84" s="511"/>
      <c r="I84" s="511"/>
      <c r="J84" s="512"/>
      <c r="K84" s="512"/>
      <c r="L84" s="512"/>
      <c r="M84" s="512"/>
      <c r="N84" s="512"/>
      <c r="O84" s="512"/>
      <c r="P84" s="512"/>
      <c r="Q84" s="512"/>
      <c r="R84" s="200"/>
      <c r="S84" s="201"/>
      <c r="T84" s="395" t="s">
        <v>1089</v>
      </c>
    </row>
    <row r="85" spans="2:20" ht="12.75" customHeight="1">
      <c r="C85" s="199"/>
      <c r="D85" s="200"/>
      <c r="E85" s="518" t="s">
        <v>27</v>
      </c>
      <c r="F85" s="519"/>
      <c r="G85" s="519"/>
      <c r="H85" s="521" t="str">
        <f>IFERROR(VLOOKUP(H$84,Resolutions!$A$1:$B$115,2,FALSE),"")</f>
        <v/>
      </c>
      <c r="I85" s="520"/>
      <c r="J85" s="521" t="str">
        <f>IFERROR(VLOOKUP(J$84,Resolutions!$A$1:$B$115,2,FALSE),"")</f>
        <v/>
      </c>
      <c r="K85" s="520"/>
      <c r="L85" s="521" t="str">
        <f>IFERROR(VLOOKUP(L$84,Resolutions!$A$1:$B$115,2,FALSE),"")</f>
        <v/>
      </c>
      <c r="M85" s="520"/>
      <c r="N85" s="521" t="str">
        <f>IFERROR(VLOOKUP(N$84,Resolutions!$A$1:$B$115,2,FALSE),"")</f>
        <v/>
      </c>
      <c r="O85" s="520"/>
      <c r="P85" s="521" t="str">
        <f>IFERROR(VLOOKUP(P$84,Resolutions!$A$1:$B$115,2,FALSE),"")</f>
        <v/>
      </c>
      <c r="Q85" s="520"/>
      <c r="R85" s="200"/>
      <c r="S85" s="201"/>
      <c r="T85" s="395" t="s">
        <v>1089</v>
      </c>
    </row>
    <row r="86" spans="2:20" ht="12.75" customHeight="1">
      <c r="C86" s="199"/>
      <c r="D86" s="200"/>
      <c r="E86" s="518" t="s">
        <v>905</v>
      </c>
      <c r="F86" s="518"/>
      <c r="G86" s="518"/>
      <c r="H86" s="521" t="str">
        <f>IFERROR(IFERROR(IF(SEARCH("SKIP",H84,1)&gt;0,ROUNDDOWN(VALUE(LEFT(H61,2))/RIGHT(H84,1),0),0),VALUE(LEFT(H61,2))),"")</f>
        <v/>
      </c>
      <c r="I86" s="520"/>
      <c r="J86" s="521" t="str">
        <f t="shared" ref="J86" si="22">IFERROR(IFERROR(IF(SEARCH("SKIP",J84,1)&gt;0,ROUNDDOWN(VALUE(LEFT(J61,2))/RIGHT(J84,1),0),0),VALUE(LEFT(J61,2))),"")</f>
        <v/>
      </c>
      <c r="K86" s="520"/>
      <c r="L86" s="521" t="str">
        <f t="shared" ref="L86" si="23">IFERROR(IFERROR(IF(SEARCH("SKIP",L84,1)&gt;0,ROUNDDOWN(VALUE(LEFT(L61,2))/RIGHT(L84,1),0),0),VALUE(LEFT(L61,2))),"")</f>
        <v/>
      </c>
      <c r="M86" s="520"/>
      <c r="N86" s="521" t="str">
        <f t="shared" ref="N86" si="24">IFERROR(IFERROR(IF(SEARCH("SKIP",N84,1)&gt;0,ROUNDDOWN(VALUE(LEFT(N61,2))/RIGHT(N84,1),0),0),VALUE(LEFT(N61,2))),"")</f>
        <v/>
      </c>
      <c r="O86" s="520"/>
      <c r="P86" s="521" t="str">
        <f t="shared" ref="P86" si="25">IFERROR(IFERROR(IF(SEARCH("SKIP",P84,1)&gt;0,ROUNDDOWN(VALUE(LEFT(P61,2))/RIGHT(P84,1),0),0),VALUE(LEFT(P61,2))),"")</f>
        <v/>
      </c>
      <c r="Q86" s="520"/>
      <c r="R86" s="200"/>
      <c r="S86" s="201"/>
      <c r="T86" s="395" t="s">
        <v>1089</v>
      </c>
    </row>
    <row r="87" spans="2:20" ht="12.75" hidden="1" customHeight="1" outlineLevel="1">
      <c r="C87" s="199"/>
      <c r="D87" s="200"/>
      <c r="E87" s="518" t="s">
        <v>914</v>
      </c>
      <c r="F87" s="518"/>
      <c r="G87" s="256">
        <v>2</v>
      </c>
      <c r="H87" s="520" t="str">
        <f>IFERROR(IF(H86&gt;1,ROUNDUP(IF(H84&lt;&gt;"",H$86/$G87,""),0),""),"")</f>
        <v/>
      </c>
      <c r="I87" s="520"/>
      <c r="J87" s="520" t="str">
        <f>IFERROR(IF(J86&gt;1,ROUNDUP(IF(J84&lt;&gt;"",J$86/$G87,""),0),""),"")</f>
        <v/>
      </c>
      <c r="K87" s="520"/>
      <c r="L87" s="520" t="str">
        <f>IFERROR(IF(L86&gt;1,ROUNDUP(IF(L84&lt;&gt;"",L$86/$G87,""),0),""),"")</f>
        <v/>
      </c>
      <c r="M87" s="520"/>
      <c r="N87" s="520" t="str">
        <f>IFERROR(IF(N86&gt;1,ROUNDUP(IF(N84&lt;&gt;"",N$86/$G87,""),0),""),"")</f>
        <v/>
      </c>
      <c r="O87" s="520"/>
      <c r="P87" s="520" t="str">
        <f>IFERROR(IF(P86&gt;1,ROUNDUP(IF(P84&lt;&gt;"",P$86/$G87,""),0),""),"")</f>
        <v/>
      </c>
      <c r="Q87" s="520"/>
      <c r="R87" s="200"/>
      <c r="S87" s="201"/>
      <c r="T87" s="395" t="s">
        <v>1089</v>
      </c>
    </row>
    <row r="88" spans="2:20" ht="12.75" hidden="1" customHeight="1" outlineLevel="1">
      <c r="C88" s="199"/>
      <c r="D88" s="200"/>
      <c r="E88" s="518" t="s">
        <v>914</v>
      </c>
      <c r="F88" s="518"/>
      <c r="G88" s="256">
        <v>3</v>
      </c>
      <c r="H88" s="520" t="str">
        <f t="shared" ref="H88:J92" si="26">IFERROR(IF(H87&gt;1,ROUNDUP(IF(H85&lt;&gt;"",H$86/$G88,""),0),""),"")</f>
        <v/>
      </c>
      <c r="I88" s="520"/>
      <c r="J88" s="520" t="str">
        <f t="shared" si="26"/>
        <v/>
      </c>
      <c r="K88" s="520"/>
      <c r="L88" s="520" t="str">
        <f t="shared" ref="L88" si="27">IFERROR(IF(L87&gt;1,ROUNDUP(IF(L85&lt;&gt;"",L$86/$G88,""),0),""),"")</f>
        <v/>
      </c>
      <c r="M88" s="520"/>
      <c r="N88" s="520" t="str">
        <f t="shared" ref="N88:P88" si="28">IFERROR(IF(N87&gt;1,ROUNDUP(IF(N85&lt;&gt;"",N$86/$G88,""),0),""),"")</f>
        <v/>
      </c>
      <c r="O88" s="520"/>
      <c r="P88" s="520" t="str">
        <f t="shared" si="28"/>
        <v/>
      </c>
      <c r="Q88" s="520"/>
      <c r="R88" s="200"/>
      <c r="S88" s="201"/>
      <c r="T88" s="395" t="s">
        <v>1089</v>
      </c>
    </row>
    <row r="89" spans="2:20" ht="12.75" hidden="1" customHeight="1" outlineLevel="1">
      <c r="C89" s="199"/>
      <c r="D89" s="200"/>
      <c r="E89" s="518" t="s">
        <v>914</v>
      </c>
      <c r="F89" s="518"/>
      <c r="G89" s="256">
        <v>4</v>
      </c>
      <c r="H89" s="520" t="str">
        <f t="shared" si="26"/>
        <v/>
      </c>
      <c r="I89" s="520"/>
      <c r="J89" s="520" t="str">
        <f t="shared" si="26"/>
        <v/>
      </c>
      <c r="K89" s="520"/>
      <c r="L89" s="520" t="str">
        <f t="shared" ref="L89" si="29">IFERROR(IF(L88&gt;1,ROUNDUP(IF(L86&lt;&gt;"",L$86/$G89,""),0),""),"")</f>
        <v/>
      </c>
      <c r="M89" s="520"/>
      <c r="N89" s="520" t="str">
        <f t="shared" ref="N89:P89" si="30">IFERROR(IF(N88&gt;1,ROUNDUP(IF(N86&lt;&gt;"",N$86/$G89,""),0),""),"")</f>
        <v/>
      </c>
      <c r="O89" s="520"/>
      <c r="P89" s="520" t="str">
        <f t="shared" si="30"/>
        <v/>
      </c>
      <c r="Q89" s="520"/>
      <c r="R89" s="200"/>
      <c r="S89" s="201"/>
      <c r="T89" s="395" t="s">
        <v>1089</v>
      </c>
    </row>
    <row r="90" spans="2:20" ht="12.75" hidden="1" customHeight="1" outlineLevel="1">
      <c r="C90" s="199"/>
      <c r="D90" s="200"/>
      <c r="E90" s="518" t="s">
        <v>914</v>
      </c>
      <c r="F90" s="518"/>
      <c r="G90" s="256">
        <v>5</v>
      </c>
      <c r="H90" s="520" t="str">
        <f t="shared" si="26"/>
        <v/>
      </c>
      <c r="I90" s="520"/>
      <c r="J90" s="520" t="str">
        <f t="shared" si="26"/>
        <v/>
      </c>
      <c r="K90" s="520"/>
      <c r="L90" s="520" t="str">
        <f t="shared" ref="L90" si="31">IFERROR(IF(L89&gt;1,ROUNDUP(IF(L87&lt;&gt;"",L$86/$G90,""),0),""),"")</f>
        <v/>
      </c>
      <c r="M90" s="520"/>
      <c r="N90" s="520" t="str">
        <f t="shared" ref="N90:P90" si="32">IFERROR(IF(N89&gt;1,ROUNDUP(IF(N87&lt;&gt;"",N$86/$G90,""),0),""),"")</f>
        <v/>
      </c>
      <c r="O90" s="520"/>
      <c r="P90" s="520" t="str">
        <f t="shared" si="32"/>
        <v/>
      </c>
      <c r="Q90" s="520"/>
      <c r="R90" s="200"/>
      <c r="S90" s="201"/>
      <c r="T90" s="395" t="s">
        <v>1089</v>
      </c>
    </row>
    <row r="91" spans="2:20" ht="12.75" hidden="1" customHeight="1" outlineLevel="1">
      <c r="C91" s="199"/>
      <c r="D91" s="200"/>
      <c r="E91" s="518" t="s">
        <v>914</v>
      </c>
      <c r="F91" s="518"/>
      <c r="G91" s="256">
        <v>6</v>
      </c>
      <c r="H91" s="520" t="str">
        <f t="shared" si="26"/>
        <v/>
      </c>
      <c r="I91" s="520"/>
      <c r="J91" s="520" t="str">
        <f t="shared" si="26"/>
        <v/>
      </c>
      <c r="K91" s="520"/>
      <c r="L91" s="520" t="str">
        <f t="shared" ref="L91" si="33">IFERROR(IF(L90&gt;1,ROUNDUP(IF(L88&lt;&gt;"",L$86/$G91,""),0),""),"")</f>
        <v/>
      </c>
      <c r="M91" s="520"/>
      <c r="N91" s="520" t="str">
        <f t="shared" ref="N91:P91" si="34">IFERROR(IF(N90&gt;1,ROUNDUP(IF(N88&lt;&gt;"",N$86/$G91,""),0),""),"")</f>
        <v/>
      </c>
      <c r="O91" s="520"/>
      <c r="P91" s="520" t="str">
        <f t="shared" si="34"/>
        <v/>
      </c>
      <c r="Q91" s="520"/>
      <c r="R91" s="200"/>
      <c r="S91" s="201"/>
      <c r="T91" s="395" t="s">
        <v>1089</v>
      </c>
    </row>
    <row r="92" spans="2:20" ht="12.75" hidden="1" customHeight="1" outlineLevel="1">
      <c r="C92" s="199"/>
      <c r="D92" s="200"/>
      <c r="E92" s="518" t="s">
        <v>914</v>
      </c>
      <c r="F92" s="518"/>
      <c r="G92" s="256">
        <v>7</v>
      </c>
      <c r="H92" s="520" t="str">
        <f t="shared" si="26"/>
        <v/>
      </c>
      <c r="I92" s="520"/>
      <c r="J92" s="520" t="str">
        <f t="shared" si="26"/>
        <v/>
      </c>
      <c r="K92" s="520"/>
      <c r="L92" s="520" t="str">
        <f t="shared" ref="L92" si="35">IFERROR(IF(L91&gt;1,ROUNDUP(IF(L89&lt;&gt;"",L$86/$G92,""),0),""),"")</f>
        <v/>
      </c>
      <c r="M92" s="520"/>
      <c r="N92" s="520" t="str">
        <f t="shared" ref="N92:P92" si="36">IFERROR(IF(N91&gt;1,ROUNDUP(IF(N89&lt;&gt;"",N$86/$G92,""),0),""),"")</f>
        <v/>
      </c>
      <c r="O92" s="520"/>
      <c r="P92" s="520" t="str">
        <f t="shared" si="36"/>
        <v/>
      </c>
      <c r="Q92" s="520"/>
      <c r="R92" s="200"/>
      <c r="S92" s="201"/>
      <c r="T92" s="395" t="s">
        <v>1089</v>
      </c>
    </row>
    <row r="93" spans="2:20" collapsed="1">
      <c r="C93" s="199"/>
      <c r="D93" s="202"/>
      <c r="E93" s="518" t="s">
        <v>916</v>
      </c>
      <c r="F93" s="519"/>
      <c r="G93" s="519"/>
      <c r="H93" s="433"/>
      <c r="I93" s="361" t="str">
        <f>IF(AND(H$70=H$84,H$79=H$93,H$79&lt;&gt;""),"Accepted!",IF(OR(H$70&lt;&gt;H$84,H$78=""),"Accepted!","Align framerate!"))</f>
        <v>Accepted!</v>
      </c>
      <c r="J93" s="435"/>
      <c r="K93" s="361" t="str">
        <f>IF(AND(J$70=J$84,J$79=J$93,J$79&lt;&gt;""),"Accepted!",IF(OR(J$70&lt;&gt;J$84,J$78=""),"Accepted!","Align framerate!"))</f>
        <v>Accepted!</v>
      </c>
      <c r="L93" s="435"/>
      <c r="M93" s="361" t="str">
        <f>IF(AND(L$70=L$84,L$79=L$93,L$79&lt;&gt;""),"Accepted!",IF(OR(L$70&lt;&gt;L$84,L$78=""),"Accepted!","Align framerate!"))</f>
        <v>Accepted!</v>
      </c>
      <c r="N93" s="435"/>
      <c r="O93" s="361" t="str">
        <f>IF(AND(N$70=N$84,N$79=N$93,N$79&lt;&gt;""),"Accepted!",IF(OR(N$70&lt;&gt;N$84,N$78=""),"Accepted!","Align framerate!"))</f>
        <v>Accepted!</v>
      </c>
      <c r="P93" s="435"/>
      <c r="Q93" s="361" t="str">
        <f>IF(AND(P$70=P$84,P$79=P$93,P$79&lt;&gt;""),"Accepted!",IF(OR(P$70&lt;&gt;P$84,P$78=""),"Accepted!","Align framerate!"))</f>
        <v>Accepted!</v>
      </c>
      <c r="R93" s="200"/>
      <c r="S93" s="201"/>
      <c r="T93" s="395" t="b">
        <f>IF(OR(I93&lt;&gt;"Accepted!",K93&lt;&gt;"Accepted!",M93&lt;&gt;"Accepted!",O93&lt;&gt;"Accepted!"),FALSE,TRUE)</f>
        <v>1</v>
      </c>
    </row>
    <row r="94" spans="2:20">
      <c r="C94" s="199"/>
      <c r="D94" s="200"/>
      <c r="E94" s="256"/>
      <c r="F94" s="244"/>
      <c r="G94" s="244"/>
      <c r="H94" s="193"/>
      <c r="I94" s="193"/>
      <c r="J94" s="200"/>
      <c r="K94" s="200"/>
      <c r="L94" s="200"/>
      <c r="M94" s="200"/>
      <c r="N94" s="200"/>
      <c r="O94" s="200"/>
      <c r="P94" s="200"/>
      <c r="Q94" s="200"/>
      <c r="R94" s="200"/>
      <c r="S94" s="201"/>
      <c r="T94" s="395" t="s">
        <v>1089</v>
      </c>
    </row>
    <row r="95" spans="2:20">
      <c r="C95" s="199"/>
      <c r="D95" s="200"/>
      <c r="E95" s="518"/>
      <c r="F95" s="518"/>
      <c r="G95" s="518"/>
      <c r="H95" s="193"/>
      <c r="I95" s="193"/>
      <c r="J95" s="200"/>
      <c r="K95" s="200"/>
      <c r="L95" s="200"/>
      <c r="M95" s="200"/>
      <c r="N95" s="200"/>
      <c r="O95" s="200"/>
      <c r="P95" s="200"/>
      <c r="Q95" s="200"/>
      <c r="R95" s="200"/>
      <c r="S95" s="201"/>
      <c r="T95" s="395" t="s">
        <v>1089</v>
      </c>
    </row>
    <row r="96" spans="2:20">
      <c r="B96" s="199" t="s">
        <v>98</v>
      </c>
      <c r="C96" s="199"/>
      <c r="D96" s="200"/>
      <c r="F96" s="258"/>
      <c r="G96" s="258"/>
      <c r="H96" s="258"/>
      <c r="I96" s="258"/>
      <c r="J96" s="258"/>
      <c r="K96" s="258"/>
      <c r="L96" s="258"/>
      <c r="M96" s="258"/>
      <c r="N96" s="258"/>
      <c r="O96" s="258"/>
      <c r="P96" s="258"/>
      <c r="Q96" s="258"/>
      <c r="R96" s="240"/>
      <c r="S96" s="238"/>
      <c r="T96" s="395" t="s">
        <v>1089</v>
      </c>
    </row>
    <row r="97" spans="2:32" ht="18">
      <c r="C97" s="199"/>
      <c r="D97" s="362" t="s">
        <v>961</v>
      </c>
      <c r="E97" s="360" t="s">
        <v>957</v>
      </c>
      <c r="F97" s="233"/>
      <c r="G97" s="200"/>
      <c r="H97" s="527" t="s">
        <v>6</v>
      </c>
      <c r="I97" s="527"/>
      <c r="J97" s="527" t="s">
        <v>7</v>
      </c>
      <c r="K97" s="527"/>
      <c r="L97" s="527" t="s">
        <v>8</v>
      </c>
      <c r="M97" s="527"/>
      <c r="N97" s="527" t="s">
        <v>14</v>
      </c>
      <c r="O97" s="527"/>
      <c r="P97" s="527" t="s">
        <v>128</v>
      </c>
      <c r="Q97" s="527"/>
      <c r="R97" s="283"/>
      <c r="S97" s="238"/>
      <c r="T97" s="395" t="s">
        <v>1089</v>
      </c>
    </row>
    <row r="98" spans="2:32">
      <c r="C98" s="199"/>
      <c r="D98" s="200"/>
      <c r="E98" s="259" t="s">
        <v>895</v>
      </c>
      <c r="F98" s="260"/>
      <c r="G98" s="261"/>
      <c r="H98" s="615">
        <v>0</v>
      </c>
      <c r="I98" s="616"/>
      <c r="J98" s="524">
        <v>0</v>
      </c>
      <c r="K98" s="524"/>
      <c r="L98" s="524">
        <v>0</v>
      </c>
      <c r="M98" s="524"/>
      <c r="N98" s="524">
        <v>0</v>
      </c>
      <c r="O98" s="524"/>
      <c r="P98" s="524">
        <v>0</v>
      </c>
      <c r="Q98" s="524"/>
      <c r="R98" s="350"/>
      <c r="S98" s="352"/>
      <c r="T98" s="395" t="b">
        <f>NOT(OR(H98="",H98=0))</f>
        <v>0</v>
      </c>
    </row>
    <row r="99" spans="2:32">
      <c r="C99" s="199"/>
      <c r="D99" s="200"/>
      <c r="E99" s="262" t="s">
        <v>956</v>
      </c>
      <c r="F99" s="263"/>
      <c r="G99" s="264"/>
      <c r="H99" s="615"/>
      <c r="I99" s="616"/>
      <c r="J99" s="525"/>
      <c r="K99" s="526"/>
      <c r="L99" s="525"/>
      <c r="M99" s="526"/>
      <c r="N99" s="525"/>
      <c r="O99" s="526"/>
      <c r="P99" s="525"/>
      <c r="Q99" s="526"/>
      <c r="R99" s="350"/>
      <c r="S99" s="352"/>
      <c r="T99" s="395" t="s">
        <v>1089</v>
      </c>
    </row>
    <row r="100" spans="2:32" ht="12.75" customHeight="1">
      <c r="C100" s="199"/>
      <c r="D100" s="200"/>
      <c r="E100" s="508" t="s">
        <v>31</v>
      </c>
      <c r="F100" s="509"/>
      <c r="G100" s="510"/>
      <c r="H100" s="513">
        <f>H98</f>
        <v>0</v>
      </c>
      <c r="I100" s="514"/>
      <c r="J100" s="513">
        <f t="shared" ref="J100" si="37">J98</f>
        <v>0</v>
      </c>
      <c r="K100" s="514"/>
      <c r="L100" s="513">
        <f t="shared" ref="L100" si="38">L98</f>
        <v>0</v>
      </c>
      <c r="M100" s="514"/>
      <c r="N100" s="513">
        <f t="shared" ref="N100" si="39">N98</f>
        <v>0</v>
      </c>
      <c r="O100" s="514"/>
      <c r="P100" s="523">
        <f>P98*P191</f>
        <v>0</v>
      </c>
      <c r="Q100" s="514"/>
      <c r="R100" s="350"/>
      <c r="S100" s="352"/>
      <c r="T100" s="395" t="s">
        <v>1089</v>
      </c>
    </row>
    <row r="101" spans="2:32" ht="15.75">
      <c r="C101" s="199"/>
      <c r="D101" s="200"/>
      <c r="E101" s="515" t="s">
        <v>32</v>
      </c>
      <c r="F101" s="516"/>
      <c r="G101" s="517"/>
      <c r="H101" s="611">
        <f>SUM(H100:Q100)</f>
        <v>0</v>
      </c>
      <c r="I101" s="611"/>
      <c r="J101" s="611"/>
      <c r="K101" s="611"/>
      <c r="L101" s="611"/>
      <c r="M101" s="611"/>
      <c r="N101" s="611"/>
      <c r="O101" s="611"/>
      <c r="P101" s="611"/>
      <c r="Q101" s="612"/>
      <c r="R101" s="353"/>
      <c r="S101" s="352"/>
      <c r="T101" s="395" t="s">
        <v>1089</v>
      </c>
    </row>
    <row r="102" spans="2:32" hidden="1">
      <c r="C102" s="199"/>
      <c r="D102" s="200"/>
      <c r="E102" s="265" t="str">
        <f>IF(H101&gt;3000,"Camera count exceeds current BVMS system limit","")</f>
        <v/>
      </c>
      <c r="F102" s="266"/>
      <c r="G102" s="200"/>
      <c r="H102" s="513" t="str">
        <f>IF(H98=0,"Group off","")</f>
        <v>Group off</v>
      </c>
      <c r="I102" s="514"/>
      <c r="J102" s="513" t="str">
        <f t="shared" ref="J102" si="40">IF(J98=0,"Group off","")</f>
        <v>Group off</v>
      </c>
      <c r="K102" s="514"/>
      <c r="L102" s="513" t="str">
        <f t="shared" ref="L102" si="41">IF(L98=0,"Group off","")</f>
        <v>Group off</v>
      </c>
      <c r="M102" s="514"/>
      <c r="N102" s="513" t="str">
        <f t="shared" ref="N102" si="42">IF(N98=0,"Group off","")</f>
        <v>Group off</v>
      </c>
      <c r="O102" s="514"/>
      <c r="P102" s="523" t="str">
        <f t="shared" ref="P102" si="43">IF(P98=0,"Group off","")</f>
        <v>Group off</v>
      </c>
      <c r="Q102" s="514"/>
      <c r="R102" s="350"/>
      <c r="S102" s="352"/>
      <c r="T102" s="395" t="s">
        <v>1089</v>
      </c>
    </row>
    <row r="103" spans="2:32" ht="13.5" thickBot="1">
      <c r="C103" s="199"/>
      <c r="D103" s="200"/>
      <c r="E103" s="267"/>
      <c r="F103" s="267"/>
      <c r="G103" s="268"/>
      <c r="H103" s="267"/>
      <c r="I103" s="267"/>
      <c r="J103" s="267"/>
      <c r="K103" s="267"/>
      <c r="L103" s="267"/>
      <c r="M103" s="267"/>
      <c r="N103" s="267"/>
      <c r="O103" s="267"/>
      <c r="P103" s="267"/>
      <c r="Q103" s="267"/>
      <c r="R103" s="350"/>
      <c r="S103" s="352"/>
      <c r="T103" s="395" t="s">
        <v>1089</v>
      </c>
    </row>
    <row r="104" spans="2:32" ht="11.25" customHeight="1">
      <c r="C104" s="199"/>
      <c r="D104" s="200"/>
      <c r="E104" s="258"/>
      <c r="F104" s="258"/>
      <c r="G104" s="269"/>
      <c r="H104" s="258"/>
      <c r="I104" s="258"/>
      <c r="J104" s="258"/>
      <c r="K104" s="258"/>
      <c r="L104" s="258"/>
      <c r="M104" s="258"/>
      <c r="N104" s="258"/>
      <c r="O104" s="258"/>
      <c r="P104" s="258"/>
      <c r="Q104" s="258"/>
      <c r="R104" s="350"/>
      <c r="S104" s="352"/>
      <c r="T104" s="395" t="s">
        <v>1089</v>
      </c>
    </row>
    <row r="105" spans="2:32" ht="18">
      <c r="C105" s="199"/>
      <c r="D105" s="362" t="s">
        <v>962</v>
      </c>
      <c r="E105" s="360" t="s">
        <v>963</v>
      </c>
      <c r="F105" s="266"/>
      <c r="G105" s="200"/>
      <c r="H105" s="608" t="s">
        <v>1471</v>
      </c>
      <c r="I105" s="608"/>
      <c r="J105" s="608"/>
      <c r="K105" s="608"/>
      <c r="L105" s="608"/>
      <c r="M105" s="608"/>
      <c r="N105" s="608"/>
      <c r="O105" s="608"/>
      <c r="P105" s="608"/>
      <c r="Q105" s="608"/>
      <c r="R105" s="350"/>
      <c r="S105" s="238"/>
      <c r="T105" s="395" t="s">
        <v>1089</v>
      </c>
    </row>
    <row r="106" spans="2:32" ht="18">
      <c r="B106" s="390"/>
      <c r="C106" s="390"/>
      <c r="D106" s="362"/>
      <c r="E106" s="281" t="s">
        <v>1101</v>
      </c>
      <c r="F106" s="480"/>
      <c r="G106" s="481"/>
      <c r="H106" s="521" t="str">
        <f>IF(OR(H56="Other Bosch or ONVIF",H107&lt;&gt;0),"Enter manually","Automatic mode")</f>
        <v>Automatic mode</v>
      </c>
      <c r="I106" s="520"/>
      <c r="J106" s="521" t="str">
        <f t="shared" ref="J106" si="44">IF(OR(J56="Other Bosch or ONVIF",J107&lt;&gt;0),"Enter manually","Automatic mode")</f>
        <v>Automatic mode</v>
      </c>
      <c r="K106" s="520"/>
      <c r="L106" s="521" t="str">
        <f t="shared" ref="L106" si="45">IF(OR(L56="Other Bosch or ONVIF",L107&lt;&gt;0),"Enter manually","Automatic mode")</f>
        <v>Automatic mode</v>
      </c>
      <c r="M106" s="520"/>
      <c r="N106" s="521" t="str">
        <f t="shared" ref="N106" si="46">IF(OR(N56="Other Bosch or ONVIF",N107&lt;&gt;0),"Enter manually","Automatic mode")</f>
        <v>Automatic mode</v>
      </c>
      <c r="O106" s="520"/>
      <c r="P106" s="521" t="str">
        <f t="shared" ref="P106" si="47">IF(OR(P56="Other Bosch or ONVIF",P107&lt;&gt;0),"Enter manually","Automatic mode")</f>
        <v>Automatic mode</v>
      </c>
      <c r="Q106" s="520"/>
      <c r="R106" s="350"/>
      <c r="S106" s="238"/>
      <c r="T106" s="395" t="s">
        <v>1089</v>
      </c>
      <c r="U106" s="390"/>
      <c r="V106" s="390"/>
      <c r="W106" s="390"/>
      <c r="X106" s="390"/>
      <c r="Y106" s="390"/>
      <c r="Z106" s="390"/>
      <c r="AA106" s="390"/>
      <c r="AB106" s="390"/>
      <c r="AC106" s="390"/>
      <c r="AD106" s="390"/>
      <c r="AE106" s="390"/>
      <c r="AF106" s="390"/>
    </row>
    <row r="107" spans="2:32">
      <c r="B107" s="390"/>
      <c r="C107" s="390"/>
      <c r="D107" s="200"/>
      <c r="E107" s="281" t="s">
        <v>1689</v>
      </c>
      <c r="F107" s="226"/>
      <c r="G107" s="397"/>
      <c r="H107" s="620">
        <v>0</v>
      </c>
      <c r="I107" s="620"/>
      <c r="J107" s="621">
        <v>0</v>
      </c>
      <c r="K107" s="622"/>
      <c r="L107" s="621">
        <v>0</v>
      </c>
      <c r="M107" s="622"/>
      <c r="N107" s="621">
        <v>0</v>
      </c>
      <c r="O107" s="622"/>
      <c r="P107" s="621">
        <v>0</v>
      </c>
      <c r="Q107" s="622"/>
      <c r="R107" s="220"/>
      <c r="S107" s="343"/>
      <c r="T107" s="395" t="s">
        <v>1089</v>
      </c>
      <c r="U107" s="390"/>
      <c r="V107" s="390"/>
      <c r="W107" s="390"/>
      <c r="X107" s="390"/>
      <c r="Y107" s="390"/>
      <c r="Z107" s="390"/>
      <c r="AA107" s="390"/>
      <c r="AB107" s="390"/>
      <c r="AC107" s="390"/>
      <c r="AD107" s="390"/>
      <c r="AE107" s="390"/>
      <c r="AF107" s="390"/>
    </row>
    <row r="108" spans="2:32">
      <c r="B108" s="390"/>
      <c r="C108" s="390"/>
      <c r="D108" s="200"/>
      <c r="E108" s="281"/>
      <c r="F108" s="226"/>
      <c r="G108" s="397"/>
      <c r="H108" s="613" t="str">
        <f>IF(AND(H106="Enter manually",H107=0),"Not accepted!","Accepted!")</f>
        <v>Accepted!</v>
      </c>
      <c r="I108" s="613"/>
      <c r="J108" s="613" t="str">
        <f t="shared" ref="J108" si="48">IF(AND(J106="Enter manually",J107=0),"Not accepted!","Accepted!")</f>
        <v>Accepted!</v>
      </c>
      <c r="K108" s="613"/>
      <c r="L108" s="613" t="str">
        <f t="shared" ref="L108" si="49">IF(AND(L106="Enter manually",L107=0),"Not accepted!","Accepted!")</f>
        <v>Accepted!</v>
      </c>
      <c r="M108" s="613"/>
      <c r="N108" s="613" t="str">
        <f t="shared" ref="N108" si="50">IF(AND(N106="Enter manually",N107=0),"Not accepted!","Accepted!")</f>
        <v>Accepted!</v>
      </c>
      <c r="O108" s="613"/>
      <c r="P108" s="613" t="str">
        <f t="shared" ref="P108" si="51">IF(AND(P106="Enter manually",P107=0),"Not accepted!","Accepted!")</f>
        <v>Accepted!</v>
      </c>
      <c r="Q108" s="613"/>
      <c r="R108" s="220"/>
      <c r="S108" s="343"/>
      <c r="T108" s="395" t="b">
        <f>IF(AND(H108="Accepted!",J108="Accepted!",L108="Accepted!",N108="Accepted!",P108="Accepted!"),TRUE,FALSE)</f>
        <v>1</v>
      </c>
      <c r="U108" s="390"/>
      <c r="V108" s="390"/>
      <c r="W108" s="390"/>
      <c r="X108" s="390"/>
      <c r="Y108" s="390"/>
      <c r="Z108" s="390"/>
      <c r="AA108" s="390"/>
      <c r="AB108" s="390"/>
      <c r="AC108" s="390"/>
      <c r="AD108" s="390"/>
      <c r="AE108" s="390"/>
      <c r="AF108" s="390"/>
    </row>
    <row r="109" spans="2:32">
      <c r="C109" s="199"/>
      <c r="D109" s="200"/>
      <c r="E109" s="281" t="s">
        <v>1472</v>
      </c>
      <c r="F109" s="226"/>
      <c r="G109" s="397"/>
      <c r="H109" s="614">
        <f>IF(AND(H80&lt;&gt;"Not supported!",H107=0),H80,H107)</f>
        <v>0</v>
      </c>
      <c r="I109" s="614"/>
      <c r="J109" s="614">
        <f t="shared" ref="J109" si="52">IF(AND(J80&lt;&gt;"Not supported!",J107=0),J80,J107)</f>
        <v>0</v>
      </c>
      <c r="K109" s="614"/>
      <c r="L109" s="614">
        <f t="shared" ref="L109" si="53">IF(AND(L80&lt;&gt;"Not supported!",L107=0),L80,L107)</f>
        <v>0</v>
      </c>
      <c r="M109" s="614"/>
      <c r="N109" s="614">
        <f t="shared" ref="N109" si="54">IF(AND(N80&lt;&gt;"Not supported!",N107=0),N80,N107)</f>
        <v>0</v>
      </c>
      <c r="O109" s="614"/>
      <c r="P109" s="614">
        <f t="shared" ref="P109" si="55">IF(AND(P80&lt;&gt;"Not supported!",P107=0),P80,P107)</f>
        <v>0</v>
      </c>
      <c r="Q109" s="614"/>
      <c r="R109" s="220"/>
      <c r="S109" s="343"/>
      <c r="T109" s="402" t="s">
        <v>1089</v>
      </c>
    </row>
    <row r="110" spans="2:32">
      <c r="C110" s="199"/>
      <c r="D110" s="200"/>
      <c r="E110" s="272" t="s">
        <v>11</v>
      </c>
      <c r="F110" s="226"/>
      <c r="G110" s="264"/>
      <c r="H110" s="511" t="s">
        <v>10</v>
      </c>
      <c r="I110" s="511"/>
      <c r="J110" s="512" t="s">
        <v>10</v>
      </c>
      <c r="K110" s="512"/>
      <c r="L110" s="512" t="s">
        <v>10</v>
      </c>
      <c r="M110" s="512"/>
      <c r="N110" s="512" t="s">
        <v>10</v>
      </c>
      <c r="O110" s="512"/>
      <c r="P110" s="512" t="s">
        <v>10</v>
      </c>
      <c r="Q110" s="512"/>
      <c r="R110" s="220"/>
      <c r="S110" s="343"/>
      <c r="T110" s="395" t="s">
        <v>1089</v>
      </c>
    </row>
    <row r="111" spans="2:32" ht="12.75" customHeight="1">
      <c r="C111" s="199"/>
      <c r="D111" s="200"/>
      <c r="E111" s="272" t="s">
        <v>12</v>
      </c>
      <c r="F111" s="226"/>
      <c r="G111" s="264"/>
      <c r="H111" s="511" t="s">
        <v>10</v>
      </c>
      <c r="I111" s="511"/>
      <c r="J111" s="512" t="s">
        <v>958</v>
      </c>
      <c r="K111" s="512"/>
      <c r="L111" s="512" t="s">
        <v>958</v>
      </c>
      <c r="M111" s="512"/>
      <c r="N111" s="512" t="s">
        <v>958</v>
      </c>
      <c r="O111" s="512"/>
      <c r="P111" s="512" t="s">
        <v>958</v>
      </c>
      <c r="Q111" s="512"/>
      <c r="R111" s="220"/>
      <c r="S111" s="343"/>
      <c r="T111" s="395" t="s">
        <v>1089</v>
      </c>
    </row>
    <row r="112" spans="2:32">
      <c r="C112" s="199"/>
      <c r="D112" s="200"/>
      <c r="E112" s="272" t="s">
        <v>139</v>
      </c>
      <c r="F112" s="226"/>
      <c r="G112" s="264"/>
      <c r="H112" s="521">
        <f>SUM(H109,IF(H110="Yes(G.711)",150,0),IF(H111="Yes",150,0),IF(H110="Yes(L16)",640,0),IF(H110="Yes(AAC)",80,0))</f>
        <v>0</v>
      </c>
      <c r="I112" s="520"/>
      <c r="J112" s="521">
        <f>SUM(J109,IF(J110="Yes(G.711)",150,0),IF(J111="Yes",150,0),IF(J110="Yes(L16)",640,0),IF(J110="Yes(AAC)",80,0))</f>
        <v>150</v>
      </c>
      <c r="K112" s="520"/>
      <c r="L112" s="521">
        <f>SUM(L109,IF(L110="Yes(G.711)",150,0),IF(L111="Yes",150,0),IF(L110="Yes(L16)",640,0),IF(L110="Yes(AAC)",80,0))</f>
        <v>150</v>
      </c>
      <c r="M112" s="520"/>
      <c r="N112" s="521">
        <f>SUM(N109,IF(N110="Yes(G.711)",150,0),IF(N111="Yes",150,0),IF(N110="Yes(L16)",640,0),IF(N110="Yes(AAC)",80,0))</f>
        <v>150</v>
      </c>
      <c r="O112" s="520"/>
      <c r="P112" s="521">
        <f>SUM(P109,IF(P110="Yes(G.711)",150,0),IF(P111="Yes",150,0),IF(P110="Yes(L16)",640,0),IF(P110="Yes(AAC)",80,0))</f>
        <v>150</v>
      </c>
      <c r="Q112" s="520"/>
      <c r="R112" s="220"/>
      <c r="S112" s="343"/>
      <c r="T112" s="395" t="s">
        <v>1089</v>
      </c>
    </row>
    <row r="113" spans="1:20">
      <c r="C113" s="199"/>
      <c r="D113" s="200"/>
      <c r="E113" s="272" t="s">
        <v>139</v>
      </c>
      <c r="F113" s="226"/>
      <c r="G113" s="264"/>
      <c r="H113" s="623">
        <f>H112/1024</f>
        <v>0</v>
      </c>
      <c r="I113" s="564"/>
      <c r="J113" s="623">
        <f>J112/1024</f>
        <v>0.146484375</v>
      </c>
      <c r="K113" s="564"/>
      <c r="L113" s="623">
        <f>L112/1024</f>
        <v>0.146484375</v>
      </c>
      <c r="M113" s="564"/>
      <c r="N113" s="623">
        <f>N112/1024</f>
        <v>0.146484375</v>
      </c>
      <c r="O113" s="564"/>
      <c r="P113" s="623">
        <f>P112/1024</f>
        <v>0.146484375</v>
      </c>
      <c r="Q113" s="564"/>
      <c r="R113" s="220"/>
      <c r="S113" s="343"/>
      <c r="T113" s="395" t="s">
        <v>1089</v>
      </c>
    </row>
    <row r="114" spans="1:20">
      <c r="C114" s="199"/>
      <c r="D114" s="200"/>
      <c r="E114" s="281" t="s">
        <v>1473</v>
      </c>
      <c r="F114" s="226"/>
      <c r="G114" s="264"/>
      <c r="H114" s="521">
        <f>IF(H102&lt;&gt;"Group off",H113*H191*H98,0)</f>
        <v>0</v>
      </c>
      <c r="I114" s="520"/>
      <c r="J114" s="521">
        <f>IF(J102&lt;&gt;"Group off",J113*J191*J98,0)</f>
        <v>0</v>
      </c>
      <c r="K114" s="520"/>
      <c r="L114" s="521">
        <f>IF(L102&lt;&gt;"Group off",L113*L191*L98,0)</f>
        <v>0</v>
      </c>
      <c r="M114" s="520"/>
      <c r="N114" s="521">
        <f>IF(N102&lt;&gt;"Group off",N113*N191*N98,0)</f>
        <v>0</v>
      </c>
      <c r="O114" s="520"/>
      <c r="P114" s="521">
        <f>IF(P102&lt;&gt;"Group off",P113*P191*P98,0)</f>
        <v>0</v>
      </c>
      <c r="Q114" s="520"/>
      <c r="R114" s="220"/>
      <c r="S114" s="343"/>
      <c r="T114" s="395" t="s">
        <v>1089</v>
      </c>
    </row>
    <row r="115" spans="1:20" ht="15.75">
      <c r="C115" s="199"/>
      <c r="D115" s="200"/>
      <c r="E115" s="280" t="s">
        <v>1474</v>
      </c>
      <c r="F115" s="274"/>
      <c r="G115" s="275"/>
      <c r="H115" s="568">
        <f>SUM(H114:Q114)</f>
        <v>0</v>
      </c>
      <c r="I115" s="569"/>
      <c r="J115" s="569"/>
      <c r="K115" s="569"/>
      <c r="L115" s="569"/>
      <c r="M115" s="569"/>
      <c r="N115" s="569"/>
      <c r="O115" s="569"/>
      <c r="P115" s="569"/>
      <c r="Q115" s="570"/>
      <c r="R115" s="220"/>
      <c r="S115" s="343"/>
      <c r="T115" s="395" t="s">
        <v>1089</v>
      </c>
    </row>
    <row r="116" spans="1:20" s="199" customFormat="1">
      <c r="A116" s="390"/>
      <c r="D116" s="200"/>
      <c r="E116" s="220"/>
      <c r="F116" s="220"/>
      <c r="G116" s="200"/>
      <c r="H116" s="220"/>
      <c r="L116" s="220"/>
      <c r="R116" s="220"/>
      <c r="S116" s="343"/>
      <c r="T116" s="395" t="s">
        <v>1089</v>
      </c>
    </row>
    <row r="117" spans="1:20" s="199" customFormat="1" ht="18" hidden="1" outlineLevel="1">
      <c r="A117" s="390"/>
      <c r="D117" s="362" t="s">
        <v>974</v>
      </c>
      <c r="E117" s="360" t="s">
        <v>975</v>
      </c>
      <c r="F117" s="220"/>
      <c r="G117" s="200"/>
      <c r="H117" s="579" t="s">
        <v>984</v>
      </c>
      <c r="I117" s="579"/>
      <c r="J117" s="579"/>
      <c r="K117" s="579"/>
      <c r="L117" s="579"/>
      <c r="M117" s="579"/>
      <c r="N117" s="579"/>
      <c r="O117" s="579"/>
      <c r="P117" s="579"/>
      <c r="Q117" s="579"/>
      <c r="R117" s="220"/>
      <c r="S117" s="343"/>
      <c r="T117" s="395" t="s">
        <v>1089</v>
      </c>
    </row>
    <row r="118" spans="1:20" hidden="1" outlineLevel="1">
      <c r="C118" s="199"/>
      <c r="D118" s="200"/>
      <c r="E118" s="278" t="s">
        <v>985</v>
      </c>
      <c r="F118" s="271"/>
      <c r="G118" s="279"/>
      <c r="H118" s="596">
        <v>2</v>
      </c>
      <c r="I118" s="597"/>
      <c r="J118" s="597"/>
      <c r="K118" s="597"/>
      <c r="L118" s="597"/>
      <c r="M118" s="597"/>
      <c r="N118" s="597"/>
      <c r="O118" s="597"/>
      <c r="P118" s="597"/>
      <c r="Q118" s="598"/>
      <c r="R118" s="220" t="s">
        <v>2</v>
      </c>
      <c r="S118" s="343"/>
      <c r="T118" s="395" t="s">
        <v>1089</v>
      </c>
    </row>
    <row r="119" spans="1:20" hidden="1" outlineLevel="1">
      <c r="C119" s="199"/>
      <c r="D119" s="200"/>
      <c r="E119" s="280" t="s">
        <v>122</v>
      </c>
      <c r="F119" s="274"/>
      <c r="G119" s="275"/>
      <c r="H119" s="596">
        <v>4</v>
      </c>
      <c r="I119" s="597"/>
      <c r="J119" s="597"/>
      <c r="K119" s="597"/>
      <c r="L119" s="597"/>
      <c r="M119" s="597"/>
      <c r="N119" s="597"/>
      <c r="O119" s="597"/>
      <c r="P119" s="597"/>
      <c r="Q119" s="598"/>
      <c r="R119" s="220" t="s">
        <v>2</v>
      </c>
      <c r="S119" s="343"/>
      <c r="T119" s="395" t="s">
        <v>1089</v>
      </c>
    </row>
    <row r="120" spans="1:20" s="199" customFormat="1" collapsed="1">
      <c r="A120" s="390"/>
      <c r="D120" s="200"/>
      <c r="E120" s="220"/>
      <c r="F120" s="220"/>
      <c r="G120" s="200"/>
      <c r="H120" s="220"/>
      <c r="L120" s="220"/>
      <c r="R120" s="220"/>
      <c r="S120" s="343"/>
      <c r="T120" s="395" t="s">
        <v>1089</v>
      </c>
    </row>
    <row r="121" spans="1:20" ht="18">
      <c r="C121" s="282"/>
      <c r="D121" s="362" t="s">
        <v>964</v>
      </c>
      <c r="E121" s="360" t="s">
        <v>971</v>
      </c>
      <c r="F121" s="200"/>
      <c r="G121" s="200"/>
      <c r="H121" s="527" t="s">
        <v>6</v>
      </c>
      <c r="I121" s="527"/>
      <c r="J121" s="527" t="s">
        <v>7</v>
      </c>
      <c r="K121" s="527"/>
      <c r="L121" s="527" t="s">
        <v>8</v>
      </c>
      <c r="M121" s="527"/>
      <c r="N121" s="527" t="s">
        <v>14</v>
      </c>
      <c r="O121" s="527"/>
      <c r="P121" s="527" t="s">
        <v>128</v>
      </c>
      <c r="Q121" s="527"/>
      <c r="R121" s="220"/>
      <c r="S121" s="349"/>
      <c r="T121" s="395" t="s">
        <v>1089</v>
      </c>
    </row>
    <row r="122" spans="1:20">
      <c r="C122" s="282"/>
      <c r="D122" s="200"/>
      <c r="E122" s="288" t="s">
        <v>969</v>
      </c>
      <c r="F122" s="289"/>
      <c r="G122" s="277"/>
      <c r="H122" s="592" t="s">
        <v>219</v>
      </c>
      <c r="I122" s="593"/>
      <c r="J122" s="594" t="s">
        <v>220</v>
      </c>
      <c r="K122" s="595"/>
      <c r="L122" s="594" t="s">
        <v>221</v>
      </c>
      <c r="M122" s="595"/>
      <c r="N122" s="594" t="s">
        <v>222</v>
      </c>
      <c r="O122" s="595"/>
      <c r="P122" s="607" t="s">
        <v>9</v>
      </c>
      <c r="Q122" s="607"/>
      <c r="R122" s="200"/>
      <c r="S122" s="201"/>
      <c r="T122" s="395" t="b">
        <f>AND(IF(AND(H98&gt;0,H122="none"),FALSE,TRUE),IF(AND(J98&gt;0,J122="none"),FALSE,TRUE),IF(AND(L98&gt;0,L122="none"),FALSE,TRUE),IF(AND(N98&gt;0,N122="none"),FALSE,TRUE),IF(AND(P98&gt;0,P122="none"),FALSE,TRUE))</f>
        <v>1</v>
      </c>
    </row>
    <row r="123" spans="1:20" hidden="1">
      <c r="C123" s="282"/>
      <c r="D123" s="200"/>
      <c r="E123" s="288" t="s">
        <v>131</v>
      </c>
      <c r="F123" s="289"/>
      <c r="G123" s="277"/>
      <c r="H123" s="565">
        <f>IFERROR(RIGHT(H122,1)+1,0)</f>
        <v>1</v>
      </c>
      <c r="I123" s="521"/>
      <c r="J123" s="565">
        <f>IFERROR(RIGHT(J122,1)+1,0)</f>
        <v>2</v>
      </c>
      <c r="K123" s="521"/>
      <c r="L123" s="565">
        <f>IFERROR(RIGHT(L122,1)+1,0)</f>
        <v>3</v>
      </c>
      <c r="M123" s="521"/>
      <c r="N123" s="565">
        <f>IFERROR(RIGHT(N122,1)+1,0)</f>
        <v>4</v>
      </c>
      <c r="O123" s="521"/>
      <c r="P123" s="565">
        <f>IFERROR(RIGHT(P122,1)+1,0)</f>
        <v>0</v>
      </c>
      <c r="Q123" s="521"/>
      <c r="R123" s="200"/>
      <c r="S123" s="201"/>
      <c r="T123" s="395" t="s">
        <v>1089</v>
      </c>
    </row>
    <row r="124" spans="1:20" s="199" customFormat="1">
      <c r="A124" s="390"/>
      <c r="D124" s="200"/>
      <c r="E124" s="220"/>
      <c r="F124" s="220"/>
      <c r="G124" s="200"/>
      <c r="H124" s="202"/>
      <c r="I124" s="202"/>
      <c r="J124" s="202"/>
      <c r="K124" s="202"/>
      <c r="L124" s="202"/>
      <c r="M124" s="202"/>
      <c r="N124" s="202"/>
      <c r="O124" s="202"/>
      <c r="P124" s="202"/>
      <c r="Q124" s="202"/>
      <c r="R124" s="220"/>
      <c r="S124" s="343"/>
      <c r="T124" s="395" t="s">
        <v>1089</v>
      </c>
    </row>
    <row r="125" spans="1:20" s="199" customFormat="1" ht="18">
      <c r="A125" s="390"/>
      <c r="D125" s="362" t="s">
        <v>965</v>
      </c>
      <c r="E125" s="360" t="s">
        <v>972</v>
      </c>
      <c r="F125" s="220"/>
      <c r="G125" s="200"/>
      <c r="H125" s="202"/>
      <c r="I125" s="202"/>
      <c r="J125" s="202"/>
      <c r="K125" s="202"/>
      <c r="L125" s="202"/>
      <c r="M125" s="202"/>
      <c r="N125" s="202"/>
      <c r="O125" s="202"/>
      <c r="P125" s="202"/>
      <c r="Q125" s="202"/>
      <c r="R125" s="220"/>
      <c r="S125" s="343"/>
      <c r="T125" s="395" t="s">
        <v>1089</v>
      </c>
    </row>
    <row r="126" spans="1:20">
      <c r="C126" s="199"/>
      <c r="D126" s="200"/>
      <c r="E126" s="288" t="s">
        <v>1475</v>
      </c>
      <c r="F126" s="276"/>
      <c r="G126" s="277"/>
      <c r="H126" s="511">
        <v>30</v>
      </c>
      <c r="I126" s="511"/>
      <c r="J126" s="524">
        <v>30</v>
      </c>
      <c r="K126" s="524"/>
      <c r="L126" s="524">
        <v>30</v>
      </c>
      <c r="M126" s="524"/>
      <c r="N126" s="524">
        <v>30</v>
      </c>
      <c r="O126" s="524"/>
      <c r="P126" s="524">
        <v>30</v>
      </c>
      <c r="Q126" s="524"/>
      <c r="R126" s="220"/>
      <c r="S126" s="343"/>
      <c r="T126" s="395" t="s">
        <v>1089</v>
      </c>
    </row>
    <row r="127" spans="1:20" s="199" customFormat="1">
      <c r="A127" s="390"/>
      <c r="D127" s="200"/>
      <c r="E127" s="220"/>
      <c r="F127" s="220"/>
      <c r="G127" s="200"/>
      <c r="H127" s="220"/>
      <c r="L127" s="220"/>
      <c r="R127" s="220"/>
      <c r="S127" s="343"/>
      <c r="T127" s="395" t="s">
        <v>1089</v>
      </c>
    </row>
    <row r="128" spans="1:20" s="390" customFormat="1" ht="15.75">
      <c r="D128" s="200"/>
      <c r="E128" s="591" t="s">
        <v>1499</v>
      </c>
      <c r="F128" s="591"/>
      <c r="G128" s="591"/>
      <c r="H128" s="591"/>
      <c r="I128" s="591"/>
      <c r="J128" s="591"/>
      <c r="K128" s="591"/>
      <c r="L128" s="591"/>
      <c r="M128" s="591"/>
      <c r="N128" s="591"/>
      <c r="R128" s="220"/>
      <c r="S128" s="343"/>
      <c r="T128" s="395" t="s">
        <v>1089</v>
      </c>
    </row>
    <row r="129" spans="1:20" s="199" customFormat="1" ht="15.75" hidden="1" outlineLevel="1">
      <c r="A129" s="390"/>
      <c r="D129" s="200"/>
      <c r="E129" s="220"/>
      <c r="F129" s="220"/>
      <c r="G129" s="200"/>
      <c r="H129" s="608" t="s">
        <v>973</v>
      </c>
      <c r="I129" s="608"/>
      <c r="J129" s="608"/>
      <c r="K129" s="608"/>
      <c r="L129" s="608"/>
      <c r="M129" s="608"/>
      <c r="N129" s="608"/>
      <c r="O129" s="608"/>
      <c r="P129" s="608"/>
      <c r="Q129" s="608"/>
      <c r="R129" s="220"/>
      <c r="S129" s="343"/>
      <c r="T129" s="395" t="s">
        <v>1089</v>
      </c>
    </row>
    <row r="130" spans="1:20" hidden="1" outlineLevel="1">
      <c r="C130" s="199"/>
      <c r="D130" s="200"/>
      <c r="E130" s="270" t="s">
        <v>112</v>
      </c>
      <c r="F130" s="271"/>
      <c r="G130" s="363" t="s">
        <v>130</v>
      </c>
      <c r="H130" s="512">
        <v>0</v>
      </c>
      <c r="I130" s="512"/>
      <c r="J130" s="607">
        <v>0</v>
      </c>
      <c r="K130" s="607"/>
      <c r="L130" s="607">
        <v>0</v>
      </c>
      <c r="M130" s="607"/>
      <c r="N130" s="607">
        <v>0</v>
      </c>
      <c r="O130" s="607"/>
      <c r="P130" s="607">
        <v>0</v>
      </c>
      <c r="Q130" s="607"/>
      <c r="R130" s="220" t="s">
        <v>30</v>
      </c>
      <c r="S130" s="343"/>
      <c r="T130" s="395" t="s">
        <v>1089</v>
      </c>
    </row>
    <row r="131" spans="1:20" hidden="1" outlineLevel="1">
      <c r="C131" s="199"/>
      <c r="D131" s="200"/>
      <c r="E131" s="272" t="s">
        <v>113</v>
      </c>
      <c r="F131" s="226"/>
      <c r="G131" s="364" t="s">
        <v>130</v>
      </c>
      <c r="H131" s="609">
        <v>0</v>
      </c>
      <c r="I131" s="512"/>
      <c r="J131" s="577">
        <v>0</v>
      </c>
      <c r="K131" s="578"/>
      <c r="L131" s="577">
        <v>0</v>
      </c>
      <c r="M131" s="578"/>
      <c r="N131" s="577">
        <v>0</v>
      </c>
      <c r="O131" s="578"/>
      <c r="P131" s="577">
        <v>0</v>
      </c>
      <c r="Q131" s="578"/>
      <c r="R131" s="220" t="s">
        <v>13</v>
      </c>
      <c r="S131" s="343"/>
      <c r="T131" s="395" t="s">
        <v>1089</v>
      </c>
    </row>
    <row r="132" spans="1:20" hidden="1" outlineLevel="1">
      <c r="C132" s="199"/>
      <c r="D132" s="200"/>
      <c r="E132" s="272" t="s">
        <v>115</v>
      </c>
      <c r="F132" s="226"/>
      <c r="G132" s="364" t="s">
        <v>130</v>
      </c>
      <c r="H132" s="566">
        <f>SUM(H131,IF(H110="Yes(G.711)",150,0),IF(H111="Yes",150,0),IF(H110="Yes(L16)",640,0),IF(H110="Yes(AAC)",80,0))</f>
        <v>0</v>
      </c>
      <c r="I132" s="567"/>
      <c r="J132" s="566">
        <f t="shared" ref="J132" si="56">SUM(J131,IF(J110="Yes(G.711)",150,0),IF(J111="Yes",150,0),IF(J110="Yes(L16)",640,0),IF(J110="Yes(AAC)",80,0))</f>
        <v>150</v>
      </c>
      <c r="K132" s="567"/>
      <c r="L132" s="566">
        <f t="shared" ref="L132" si="57">SUM(L131,IF(L110="Yes(G.711)",150,0),IF(L111="Yes",150,0),IF(L110="Yes(L16)",640,0),IF(L110="Yes(AAC)",80,0))</f>
        <v>150</v>
      </c>
      <c r="M132" s="567"/>
      <c r="N132" s="566">
        <f t="shared" ref="N132" si="58">SUM(N131,IF(N110="Yes(G.711)",150,0),IF(N111="Yes",150,0),IF(N110="Yes(L16)",640,0),IF(N110="Yes(AAC)",80,0))</f>
        <v>150</v>
      </c>
      <c r="O132" s="567"/>
      <c r="P132" s="566">
        <f t="shared" ref="P132" si="59">SUM(P131,IF(P110="Yes(G.711)",150,0),IF(P111="Yes",150,0),IF(P110="Yes(L16)",640,0),IF(P110="Yes(AAC)",80,0))</f>
        <v>150</v>
      </c>
      <c r="Q132" s="567"/>
      <c r="R132" s="220" t="s">
        <v>13</v>
      </c>
      <c r="S132" s="343"/>
      <c r="T132" s="395" t="s">
        <v>1089</v>
      </c>
    </row>
    <row r="133" spans="1:20" hidden="1" outlineLevel="1">
      <c r="C133" s="199"/>
      <c r="D133" s="200"/>
      <c r="E133" s="273" t="s">
        <v>114</v>
      </c>
      <c r="F133" s="274"/>
      <c r="G133" s="365" t="s">
        <v>130</v>
      </c>
      <c r="H133" s="610">
        <f>IF(ISERROR(((H132*H130)+(24-H130)*H112)/(24*H112)),1,((H132*H130)+(24-H130)*H112)/(24*H112))</f>
        <v>1</v>
      </c>
      <c r="I133" s="610"/>
      <c r="J133" s="610">
        <f>IF(ISERROR(((J132*J130)+(24-J130)*J112)/(24*J112)),1,((J132*J130)+(24-J130)*J112)/(24*J112))</f>
        <v>1</v>
      </c>
      <c r="K133" s="610"/>
      <c r="L133" s="610">
        <f>IF(ISERROR(((L132*L130)+(24-L130)*L112)/(24*L112)),1,((L132*L130)+(24-L130)*L112)/(24*L112))</f>
        <v>1</v>
      </c>
      <c r="M133" s="610"/>
      <c r="N133" s="610">
        <f>IF(ISERROR(((N132*N130)+(24-N130)*N112)/(24*N112)),1,((N132*N130)+(24-N130)*N112)/(24*N112))</f>
        <v>1</v>
      </c>
      <c r="O133" s="610"/>
      <c r="P133" s="610">
        <f>IF(ISERROR(((P132*P130)+(24-P130)*P112)/(24*P112)),1,((P132*P130)+(24-P130)*P112)/(24*P112))</f>
        <v>1</v>
      </c>
      <c r="Q133" s="610"/>
      <c r="R133" s="220"/>
      <c r="S133" s="343"/>
      <c r="T133" s="395" t="s">
        <v>1089</v>
      </c>
    </row>
    <row r="134" spans="1:20" s="199" customFormat="1" hidden="1" outlineLevel="1">
      <c r="A134" s="390"/>
      <c r="D134" s="200"/>
      <c r="E134" s="226"/>
      <c r="F134" s="226"/>
      <c r="G134" s="200"/>
      <c r="H134" s="200"/>
      <c r="I134" s="200"/>
      <c r="J134" s="200"/>
      <c r="K134" s="200"/>
      <c r="L134" s="200"/>
      <c r="M134" s="200"/>
      <c r="N134" s="200"/>
      <c r="O134" s="200"/>
      <c r="P134" s="200"/>
      <c r="Q134" s="200"/>
      <c r="R134" s="220"/>
      <c r="S134" s="343"/>
      <c r="T134" s="395" t="s">
        <v>1089</v>
      </c>
    </row>
    <row r="135" spans="1:20" hidden="1" outlineLevel="1">
      <c r="C135" s="199"/>
      <c r="D135" s="200"/>
      <c r="E135" s="278" t="s">
        <v>0</v>
      </c>
      <c r="F135" s="271"/>
      <c r="G135" s="279"/>
      <c r="H135" s="571">
        <f>IF(H102="Group off",0,(H133*((H113*3600*24)/8)*1.05)/1024)</f>
        <v>0</v>
      </c>
      <c r="I135" s="572"/>
      <c r="J135" s="571">
        <f>IF(J102="Group off",0,(J133*((J113*3600*24)/8)*1.05)/1024)</f>
        <v>0</v>
      </c>
      <c r="K135" s="572"/>
      <c r="L135" s="571">
        <f>IF(L102="Group off",0,(L133*((L113*3600*24)/8)*1.05)/1024)</f>
        <v>0</v>
      </c>
      <c r="M135" s="572"/>
      <c r="N135" s="571">
        <f>IF(N102="Group off",0,(N133*((N113*3600*24)/8)*1.05)/1024)</f>
        <v>0</v>
      </c>
      <c r="O135" s="572"/>
      <c r="P135" s="571">
        <f>IF(P102="Group off",0,(P133*((P113*3600*24)/8)*1.05)/1024)</f>
        <v>0</v>
      </c>
      <c r="Q135" s="572"/>
      <c r="R135" s="220" t="s">
        <v>978</v>
      </c>
      <c r="S135" s="343"/>
      <c r="T135" s="395" t="s">
        <v>1089</v>
      </c>
    </row>
    <row r="136" spans="1:20" hidden="1" outlineLevel="1">
      <c r="C136" s="199"/>
      <c r="D136" s="200"/>
      <c r="E136" s="281" t="s">
        <v>149</v>
      </c>
      <c r="F136" s="226"/>
      <c r="G136" s="264"/>
      <c r="H136" s="565">
        <f>IF(OR(H126&lt;$H$118,H126&lt;$H$119),H126,MAX($H$118,$H$119))</f>
        <v>4</v>
      </c>
      <c r="I136" s="521"/>
      <c r="J136" s="565">
        <f>IF(OR(J126&lt;$H$118,J126&lt;$H$119),J126,MAX($H$118,$H$119))</f>
        <v>4</v>
      </c>
      <c r="K136" s="521"/>
      <c r="L136" s="565">
        <f>IF(OR(L126&lt;$H$118,L126&lt;$H$119),L126,MAX($H$118,$H$119))</f>
        <v>4</v>
      </c>
      <c r="M136" s="521"/>
      <c r="N136" s="565">
        <f>IF(OR(N126&lt;$H$118,N126&lt;$H$119),N126,MAX($H$118,$H$119))</f>
        <v>4</v>
      </c>
      <c r="O136" s="521"/>
      <c r="P136" s="565">
        <f>IF(OR(P126&lt;$H$118,P126&lt;$H$119),P126,MAX($H$118,$H$119))</f>
        <v>4</v>
      </c>
      <c r="Q136" s="521"/>
      <c r="R136" s="208" t="s">
        <v>150</v>
      </c>
      <c r="S136" s="343"/>
      <c r="T136" s="395" t="s">
        <v>1089</v>
      </c>
    </row>
    <row r="137" spans="1:20" hidden="1" outlineLevel="1">
      <c r="C137" s="199"/>
      <c r="D137" s="200"/>
      <c r="E137" s="281" t="s">
        <v>983</v>
      </c>
      <c r="F137" s="226"/>
      <c r="G137" s="264"/>
      <c r="H137" s="590">
        <f>H135*H136</f>
        <v>0</v>
      </c>
      <c r="I137" s="571"/>
      <c r="J137" s="590">
        <f t="shared" ref="J137" si="60">J135*J136</f>
        <v>0</v>
      </c>
      <c r="K137" s="571"/>
      <c r="L137" s="590">
        <f t="shared" ref="L137" si="61">L135*L136</f>
        <v>0</v>
      </c>
      <c r="M137" s="571"/>
      <c r="N137" s="590">
        <f t="shared" ref="N137" si="62">N135*N136</f>
        <v>0</v>
      </c>
      <c r="O137" s="571"/>
      <c r="P137" s="590">
        <f t="shared" ref="P137" si="63">P135*P136</f>
        <v>0</v>
      </c>
      <c r="Q137" s="571"/>
      <c r="R137" s="208" t="s">
        <v>980</v>
      </c>
      <c r="S137" s="343"/>
      <c r="T137" s="395" t="s">
        <v>1089</v>
      </c>
    </row>
    <row r="138" spans="1:20" hidden="1" outlineLevel="1">
      <c r="C138" s="199"/>
      <c r="D138" s="200"/>
      <c r="E138" s="272" t="s">
        <v>124</v>
      </c>
      <c r="F138" s="226"/>
      <c r="G138" s="264"/>
      <c r="H138" s="521">
        <f>ROUNDUP(((H137)/0.75)*H$191,0)</f>
        <v>0</v>
      </c>
      <c r="I138" s="520"/>
      <c r="J138" s="521">
        <f>ROUNDUP(((J137)/0.75)*J$191,0)</f>
        <v>0</v>
      </c>
      <c r="K138" s="520"/>
      <c r="L138" s="521">
        <f>ROUNDUP(((L137)/0.75)*L$191,0)</f>
        <v>0</v>
      </c>
      <c r="M138" s="520"/>
      <c r="N138" s="521">
        <f>ROUNDUP(((N137)/0.75)*N$191,0)</f>
        <v>0</v>
      </c>
      <c r="O138" s="520"/>
      <c r="P138" s="521">
        <f>ROUNDUP(((P137)/0.75)*P$191,0)</f>
        <v>0</v>
      </c>
      <c r="Q138" s="520"/>
      <c r="R138" s="220" t="s">
        <v>979</v>
      </c>
      <c r="S138" s="343"/>
      <c r="T138" s="395" t="s">
        <v>1089</v>
      </c>
    </row>
    <row r="139" spans="1:20" hidden="1" outlineLevel="1">
      <c r="C139" s="199"/>
      <c r="D139" s="200"/>
      <c r="E139" s="272" t="s">
        <v>123</v>
      </c>
      <c r="F139" s="226"/>
      <c r="G139" s="264"/>
      <c r="H139" s="582">
        <v>512</v>
      </c>
      <c r="I139" s="583"/>
      <c r="J139" s="582">
        <v>512</v>
      </c>
      <c r="K139" s="583"/>
      <c r="L139" s="582">
        <v>512</v>
      </c>
      <c r="M139" s="583"/>
      <c r="N139" s="582">
        <v>512</v>
      </c>
      <c r="O139" s="583"/>
      <c r="P139" s="582">
        <v>4096</v>
      </c>
      <c r="Q139" s="583"/>
      <c r="R139" s="220"/>
      <c r="S139" s="330"/>
      <c r="T139" s="395" t="s">
        <v>1089</v>
      </c>
    </row>
    <row r="140" spans="1:20" hidden="1" outlineLevel="1">
      <c r="C140" s="199"/>
      <c r="D140" s="200"/>
      <c r="E140" s="273" t="s">
        <v>125</v>
      </c>
      <c r="F140" s="274"/>
      <c r="G140" s="275"/>
      <c r="H140" s="575">
        <f>IF(MIN(H138,H139)&lt;H191*2,H191*2,MIN(H138,H139))</f>
        <v>0</v>
      </c>
      <c r="I140" s="576"/>
      <c r="J140" s="575">
        <f>IF(MIN(J138,J139)&lt;J191*2,J191*2,MIN(J138,J139))</f>
        <v>0</v>
      </c>
      <c r="K140" s="576"/>
      <c r="L140" s="575">
        <f>IF(MIN(L138,L139)&lt;L191*2,L191*2,MIN(L138,L139))</f>
        <v>0</v>
      </c>
      <c r="M140" s="576"/>
      <c r="N140" s="575">
        <f>IF(MIN(N138,N139)&lt;N191*2,N191*2,MIN(N138,N139))</f>
        <v>0</v>
      </c>
      <c r="O140" s="576"/>
      <c r="P140" s="521">
        <f>IF(MIN(P138,P139)&lt;P191*2,P191*2,MIN(P138,P139))</f>
        <v>2</v>
      </c>
      <c r="Q140" s="520"/>
      <c r="R140" s="220" t="s">
        <v>979</v>
      </c>
      <c r="S140" s="330"/>
      <c r="T140" s="395" t="s">
        <v>1089</v>
      </c>
    </row>
    <row r="141" spans="1:20" s="199" customFormat="1" collapsed="1">
      <c r="A141" s="390"/>
      <c r="C141" s="282"/>
      <c r="D141" s="200"/>
      <c r="E141" s="226"/>
      <c r="F141" s="220"/>
      <c r="G141" s="283"/>
      <c r="H141" s="351"/>
      <c r="I141" s="351"/>
      <c r="J141" s="351"/>
      <c r="K141" s="351"/>
      <c r="L141" s="351"/>
      <c r="M141" s="351"/>
      <c r="N141" s="351"/>
      <c r="O141" s="351"/>
      <c r="P141" s="351"/>
      <c r="Q141" s="351"/>
      <c r="R141" s="220"/>
      <c r="S141" s="343"/>
      <c r="T141" s="395" t="s">
        <v>1089</v>
      </c>
    </row>
    <row r="142" spans="1:20">
      <c r="C142" s="282"/>
      <c r="D142" s="200"/>
      <c r="E142" s="284" t="s">
        <v>78</v>
      </c>
      <c r="F142" s="271"/>
      <c r="G142" s="428" t="s">
        <v>980</v>
      </c>
      <c r="H142" s="602">
        <f>IF(H102="Group off",0,((H135*H126*H191*H98)+(H140*H98)))</f>
        <v>0</v>
      </c>
      <c r="I142" s="602"/>
      <c r="J142" s="602">
        <f>IF(J102="Group off",0,((J135*J126*J191*J98)+(J140*J98)))</f>
        <v>0</v>
      </c>
      <c r="K142" s="602"/>
      <c r="L142" s="602">
        <f>IF(L102="Group off",0,((L135*L126*L191*L98)+(L140*L98)))</f>
        <v>0</v>
      </c>
      <c r="M142" s="602"/>
      <c r="N142" s="602">
        <f>IF(N102="Group off",0,((N135*N126*N191*N98)+(N140*N98)))</f>
        <v>0</v>
      </c>
      <c r="O142" s="602"/>
      <c r="P142" s="564">
        <f>IF(P102="Group off",0,((P135*P126*P191*P98)+(P140*P98)))</f>
        <v>0</v>
      </c>
      <c r="Q142" s="564"/>
      <c r="R142" s="220"/>
      <c r="S142" s="343"/>
      <c r="T142" s="395" t="s">
        <v>1089</v>
      </c>
    </row>
    <row r="143" spans="1:20">
      <c r="C143" s="282"/>
      <c r="D143" s="200"/>
      <c r="E143" s="285"/>
      <c r="F143" s="200"/>
      <c r="G143" s="220" t="s">
        <v>982</v>
      </c>
      <c r="H143" s="572">
        <f>H142/1024</f>
        <v>0</v>
      </c>
      <c r="I143" s="581"/>
      <c r="J143" s="572">
        <f>J142/1024</f>
        <v>0</v>
      </c>
      <c r="K143" s="581"/>
      <c r="L143" s="572">
        <f>L142/1024</f>
        <v>0</v>
      </c>
      <c r="M143" s="581"/>
      <c r="N143" s="572">
        <f>N142/1024</f>
        <v>0</v>
      </c>
      <c r="O143" s="581"/>
      <c r="P143" s="572">
        <f>P142/1024</f>
        <v>0</v>
      </c>
      <c r="Q143" s="581"/>
      <c r="R143" s="220"/>
      <c r="S143" s="343"/>
      <c r="T143" s="395" t="s">
        <v>1089</v>
      </c>
    </row>
    <row r="144" spans="1:20" ht="15.75">
      <c r="C144" s="282"/>
      <c r="D144" s="200"/>
      <c r="E144" s="285"/>
      <c r="F144" s="200"/>
      <c r="G144" s="220" t="s">
        <v>980</v>
      </c>
      <c r="H144" s="599">
        <f>SUM(H142:Q142)</f>
        <v>0</v>
      </c>
      <c r="I144" s="600"/>
      <c r="J144" s="600"/>
      <c r="K144" s="600"/>
      <c r="L144" s="600"/>
      <c r="M144" s="600"/>
      <c r="N144" s="600"/>
      <c r="O144" s="600"/>
      <c r="P144" s="600"/>
      <c r="Q144" s="601"/>
      <c r="R144" s="220"/>
      <c r="S144" s="343"/>
      <c r="T144" s="395" t="s">
        <v>1089</v>
      </c>
    </row>
    <row r="145" spans="1:32" ht="15.75">
      <c r="C145" s="282"/>
      <c r="D145" s="200"/>
      <c r="E145" s="286"/>
      <c r="F145" s="287"/>
      <c r="G145" s="429" t="s">
        <v>982</v>
      </c>
      <c r="H145" s="603">
        <f>SUM(H143:Q143)</f>
        <v>0</v>
      </c>
      <c r="I145" s="604"/>
      <c r="J145" s="604"/>
      <c r="K145" s="604"/>
      <c r="L145" s="604"/>
      <c r="M145" s="604"/>
      <c r="N145" s="604"/>
      <c r="O145" s="604"/>
      <c r="P145" s="604"/>
      <c r="Q145" s="605"/>
      <c r="R145" s="220"/>
      <c r="S145" s="349"/>
      <c r="T145" s="395" t="s">
        <v>1089</v>
      </c>
    </row>
    <row r="146" spans="1:32">
      <c r="C146" s="282"/>
      <c r="D146" s="200"/>
      <c r="E146" s="200"/>
      <c r="F146" s="200"/>
      <c r="G146" s="200"/>
      <c r="H146" s="200"/>
      <c r="I146" s="200"/>
      <c r="J146" s="200"/>
      <c r="K146" s="200"/>
      <c r="L146" s="200"/>
      <c r="M146" s="200"/>
      <c r="N146" s="200"/>
      <c r="O146" s="200"/>
      <c r="P146" s="200"/>
      <c r="Q146" s="200"/>
      <c r="R146" s="220"/>
      <c r="S146" s="349"/>
      <c r="T146" s="395" t="s">
        <v>1089</v>
      </c>
    </row>
    <row r="147" spans="1:32" ht="15.75">
      <c r="C147" s="282"/>
      <c r="D147" s="282"/>
      <c r="E147" s="282"/>
      <c r="F147" s="282"/>
      <c r="G147" s="282"/>
      <c r="H147" s="606"/>
      <c r="I147" s="606"/>
      <c r="J147" s="606"/>
      <c r="K147" s="606"/>
      <c r="L147" s="606"/>
      <c r="M147" s="606"/>
      <c r="N147" s="606"/>
      <c r="O147" s="606"/>
      <c r="P147" s="606"/>
      <c r="Q147" s="606"/>
      <c r="R147" s="282"/>
      <c r="S147" s="201"/>
      <c r="T147" s="395" t="s">
        <v>1089</v>
      </c>
    </row>
    <row r="148" spans="1:32" ht="18" hidden="1" outlineLevel="1">
      <c r="C148" s="282"/>
      <c r="D148" s="362" t="s">
        <v>966</v>
      </c>
      <c r="E148" s="360" t="s">
        <v>1543</v>
      </c>
      <c r="F148" s="200"/>
      <c r="G148" s="282"/>
      <c r="H148" s="527" t="s">
        <v>6</v>
      </c>
      <c r="I148" s="527"/>
      <c r="J148" s="527" t="s">
        <v>7</v>
      </c>
      <c r="K148" s="527"/>
      <c r="L148" s="527" t="s">
        <v>8</v>
      </c>
      <c r="M148" s="527"/>
      <c r="N148" s="527" t="s">
        <v>14</v>
      </c>
      <c r="O148" s="527"/>
      <c r="P148" s="527" t="s">
        <v>128</v>
      </c>
      <c r="Q148" s="527"/>
      <c r="R148" s="282"/>
      <c r="S148" s="201"/>
      <c r="T148" s="395" t="s">
        <v>1089</v>
      </c>
    </row>
    <row r="149" spans="1:32" hidden="1" outlineLevel="1">
      <c r="C149" s="282"/>
      <c r="D149" s="200"/>
      <c r="E149" s="626" t="s">
        <v>970</v>
      </c>
      <c r="F149" s="627"/>
      <c r="G149" s="628"/>
      <c r="H149" s="624"/>
      <c r="I149" s="625"/>
      <c r="J149" s="624"/>
      <c r="K149" s="625"/>
      <c r="L149" s="624"/>
      <c r="M149" s="625"/>
      <c r="N149" s="624"/>
      <c r="O149" s="625"/>
      <c r="P149" s="624"/>
      <c r="Q149" s="625"/>
      <c r="R149" s="348"/>
      <c r="S149" s="201"/>
      <c r="T149" s="395" t="s">
        <v>1089</v>
      </c>
    </row>
    <row r="150" spans="1:32" hidden="1" outlineLevel="1">
      <c r="C150" s="282"/>
      <c r="D150" s="200"/>
      <c r="E150" s="288" t="s">
        <v>131</v>
      </c>
      <c r="F150" s="289"/>
      <c r="G150" s="277"/>
      <c r="H150" s="565">
        <f>IFERROR(RIGHT(H149,1)+1,0)</f>
        <v>0</v>
      </c>
      <c r="I150" s="521"/>
      <c r="J150" s="565">
        <f t="shared" ref="J150" si="64">IFERROR(RIGHT(J149,1)+1,0)</f>
        <v>0</v>
      </c>
      <c r="K150" s="521"/>
      <c r="L150" s="565">
        <f t="shared" ref="L150" si="65">IFERROR(RIGHT(L149,1)+1,0)</f>
        <v>0</v>
      </c>
      <c r="M150" s="521"/>
      <c r="N150" s="565">
        <f t="shared" ref="N150" si="66">IFERROR(RIGHT(N149,1)+1,0)</f>
        <v>0</v>
      </c>
      <c r="O150" s="521"/>
      <c r="P150" s="565">
        <f t="shared" ref="P150" si="67">IFERROR(RIGHT(P149,1)+1,0)</f>
        <v>0</v>
      </c>
      <c r="Q150" s="521"/>
      <c r="R150" s="200"/>
      <c r="S150" s="201"/>
      <c r="T150" s="395" t="s">
        <v>1089</v>
      </c>
    </row>
    <row r="151" spans="1:32" hidden="1" outlineLevel="1">
      <c r="C151" s="282"/>
      <c r="D151" s="200"/>
      <c r="E151" s="288" t="s">
        <v>1100</v>
      </c>
      <c r="F151" s="289"/>
      <c r="G151" s="277"/>
      <c r="H151" s="565" t="str">
        <f>IF(OR(H149&lt;&gt;H122,H149="none"),"Accepted!","Primary and secondary pool cannot be the same.")</f>
        <v>Accepted!</v>
      </c>
      <c r="I151" s="521"/>
      <c r="J151" s="565" t="str">
        <f>IF(OR(J149&lt;&gt;J122,J149="none"),"Accepted!","Primary and secondary pool cannot be the same.")</f>
        <v>Accepted!</v>
      </c>
      <c r="K151" s="521"/>
      <c r="L151" s="565" t="str">
        <f>IF(OR(L149&lt;&gt;L122,L149="none"),"Accepted!","Primary and secondary pool cannot be the same.")</f>
        <v>Accepted!</v>
      </c>
      <c r="M151" s="521"/>
      <c r="N151" s="565" t="str">
        <f>IF(OR(N149&lt;&gt;N122,N149="none"),"Accepted!","Primary and secondary pool cannot be the same.")</f>
        <v>Accepted!</v>
      </c>
      <c r="O151" s="521"/>
      <c r="P151" s="565" t="str">
        <f>IF(OR(P149&lt;&gt;P122,P149="none"),"Accepted!","Primary and secondary pool cannot be the same.")</f>
        <v>Accepted!</v>
      </c>
      <c r="Q151" s="521"/>
      <c r="R151" s="200"/>
      <c r="S151" s="201"/>
      <c r="T151" s="395" t="b">
        <f>IF(OR(H151&lt;&gt;"Accepted!",J151&lt;&gt;"Accepted!",L151&lt;&gt;"Accepted!",N151&lt;&gt;"Accepted!",P151&lt;&gt;"Accepted!"),FALSE,TRUE)</f>
        <v>1</v>
      </c>
    </row>
    <row r="152" spans="1:32" s="199" customFormat="1" ht="13.5" hidden="1" customHeight="1" outlineLevel="1">
      <c r="A152" s="390"/>
      <c r="D152" s="200"/>
      <c r="E152" s="220"/>
      <c r="F152" s="220"/>
      <c r="G152" s="200"/>
      <c r="H152" s="202"/>
      <c r="I152" s="202"/>
      <c r="J152" s="202"/>
      <c r="K152" s="202"/>
      <c r="L152" s="202"/>
      <c r="M152" s="202"/>
      <c r="N152" s="202"/>
      <c r="O152" s="202"/>
      <c r="P152" s="202"/>
      <c r="Q152" s="202"/>
      <c r="R152" s="220"/>
      <c r="S152" s="343"/>
      <c r="T152" s="395" t="s">
        <v>1089</v>
      </c>
    </row>
    <row r="153" spans="1:32" s="199" customFormat="1" ht="18" hidden="1" outlineLevel="1">
      <c r="A153" s="390"/>
      <c r="D153" s="362" t="s">
        <v>977</v>
      </c>
      <c r="E153" s="360" t="s">
        <v>1544</v>
      </c>
      <c r="F153" s="220"/>
      <c r="G153" s="200"/>
      <c r="H153" s="202"/>
      <c r="I153" s="202"/>
      <c r="J153" s="202"/>
      <c r="K153" s="202"/>
      <c r="L153" s="202"/>
      <c r="M153" s="202"/>
      <c r="N153" s="202"/>
      <c r="O153" s="202"/>
      <c r="P153" s="202"/>
      <c r="Q153" s="202"/>
      <c r="R153" s="220"/>
      <c r="S153" s="343"/>
      <c r="T153" s="395" t="s">
        <v>1089</v>
      </c>
    </row>
    <row r="154" spans="1:32" hidden="1" outlineLevel="1">
      <c r="C154" s="199"/>
      <c r="D154" s="200"/>
      <c r="E154" s="629" t="s">
        <v>968</v>
      </c>
      <c r="F154" s="629"/>
      <c r="G154" s="629"/>
      <c r="H154" s="524">
        <v>1</v>
      </c>
      <c r="I154" s="524"/>
      <c r="J154" s="524">
        <v>0</v>
      </c>
      <c r="K154" s="524"/>
      <c r="L154" s="524">
        <v>0</v>
      </c>
      <c r="M154" s="524"/>
      <c r="N154" s="524">
        <v>0</v>
      </c>
      <c r="O154" s="524"/>
      <c r="P154" s="524">
        <v>0</v>
      </c>
      <c r="Q154" s="524"/>
      <c r="R154" s="220" t="s">
        <v>2</v>
      </c>
      <c r="S154" s="343"/>
      <c r="T154" s="395" t="s">
        <v>1089</v>
      </c>
    </row>
    <row r="155" spans="1:32" hidden="1" outlineLevel="1">
      <c r="C155" s="282"/>
      <c r="D155" s="200"/>
      <c r="E155" s="200"/>
      <c r="F155" s="200"/>
      <c r="G155" s="200"/>
      <c r="H155" s="200"/>
      <c r="I155" s="200"/>
      <c r="J155" s="200"/>
      <c r="K155" s="200"/>
      <c r="L155" s="200"/>
      <c r="M155" s="200"/>
      <c r="N155" s="200"/>
      <c r="O155" s="200"/>
      <c r="P155" s="200"/>
      <c r="Q155" s="200"/>
      <c r="R155" s="220"/>
      <c r="S155" s="349"/>
      <c r="T155" s="395" t="s">
        <v>1089</v>
      </c>
    </row>
    <row r="156" spans="1:32" s="199" customFormat="1" ht="15.75" hidden="1" outlineLevel="1">
      <c r="A156" s="390"/>
      <c r="D156" s="200"/>
      <c r="E156" s="220"/>
      <c r="F156" s="220"/>
      <c r="G156" s="200"/>
      <c r="H156" s="608" t="s">
        <v>973</v>
      </c>
      <c r="I156" s="608"/>
      <c r="J156" s="608"/>
      <c r="K156" s="608"/>
      <c r="L156" s="608"/>
      <c r="M156" s="608"/>
      <c r="N156" s="608"/>
      <c r="O156" s="608"/>
      <c r="P156" s="608"/>
      <c r="Q156" s="608"/>
      <c r="R156" s="220"/>
      <c r="S156" s="343"/>
      <c r="T156" s="395" t="s">
        <v>1089</v>
      </c>
    </row>
    <row r="157" spans="1:32" hidden="1" outlineLevel="1">
      <c r="C157" s="199"/>
      <c r="D157" s="200"/>
      <c r="E157" s="270" t="s">
        <v>112</v>
      </c>
      <c r="F157" s="271"/>
      <c r="G157" s="363" t="s">
        <v>130</v>
      </c>
      <c r="H157" s="567">
        <f>H130</f>
        <v>0</v>
      </c>
      <c r="I157" s="567"/>
      <c r="J157" s="567">
        <f t="shared" ref="J157" si="68">J130</f>
        <v>0</v>
      </c>
      <c r="K157" s="567"/>
      <c r="L157" s="567">
        <f t="shared" ref="L157" si="69">L130</f>
        <v>0</v>
      </c>
      <c r="M157" s="567"/>
      <c r="N157" s="567">
        <f t="shared" ref="N157" si="70">N130</f>
        <v>0</v>
      </c>
      <c r="O157" s="567"/>
      <c r="P157" s="567">
        <f t="shared" ref="P157" si="71">P130</f>
        <v>0</v>
      </c>
      <c r="Q157" s="567"/>
      <c r="R157" s="220" t="s">
        <v>30</v>
      </c>
      <c r="S157" s="343"/>
      <c r="T157" s="395" t="s">
        <v>1089</v>
      </c>
    </row>
    <row r="158" spans="1:32" hidden="1" outlineLevel="1">
      <c r="B158" s="390"/>
      <c r="C158" s="390"/>
      <c r="D158" s="200"/>
      <c r="E158" s="272" t="s">
        <v>113</v>
      </c>
      <c r="F158" s="226"/>
      <c r="G158" s="364" t="s">
        <v>130</v>
      </c>
      <c r="H158" s="567">
        <f>H131</f>
        <v>0</v>
      </c>
      <c r="I158" s="567"/>
      <c r="J158" s="567">
        <f t="shared" ref="J158" si="72">J131</f>
        <v>0</v>
      </c>
      <c r="K158" s="567"/>
      <c r="L158" s="567">
        <f t="shared" ref="L158" si="73">L131</f>
        <v>0</v>
      </c>
      <c r="M158" s="567"/>
      <c r="N158" s="567">
        <f t="shared" ref="N158" si="74">N131</f>
        <v>0</v>
      </c>
      <c r="O158" s="567"/>
      <c r="P158" s="567">
        <f t="shared" ref="P158" si="75">P131</f>
        <v>0</v>
      </c>
      <c r="Q158" s="567"/>
      <c r="R158" s="220" t="s">
        <v>13</v>
      </c>
      <c r="S158" s="343"/>
      <c r="T158" s="395" t="s">
        <v>1089</v>
      </c>
      <c r="U158" s="390"/>
      <c r="V158" s="390"/>
      <c r="W158" s="390"/>
      <c r="X158" s="390"/>
      <c r="Y158" s="390"/>
      <c r="Z158" s="390"/>
      <c r="AA158" s="390"/>
      <c r="AB158" s="390"/>
      <c r="AC158" s="390"/>
      <c r="AD158" s="390"/>
      <c r="AE158" s="390"/>
      <c r="AF158" s="390"/>
    </row>
    <row r="159" spans="1:32" hidden="1" outlineLevel="1">
      <c r="C159" s="199"/>
      <c r="D159" s="200"/>
      <c r="E159" s="272" t="s">
        <v>115</v>
      </c>
      <c r="F159" s="226"/>
      <c r="G159" s="364" t="s">
        <v>130</v>
      </c>
      <c r="H159" s="567">
        <f>H132</f>
        <v>0</v>
      </c>
      <c r="I159" s="567"/>
      <c r="J159" s="567">
        <f>J132</f>
        <v>150</v>
      </c>
      <c r="K159" s="567"/>
      <c r="L159" s="567">
        <f>L132</f>
        <v>150</v>
      </c>
      <c r="M159" s="567"/>
      <c r="N159" s="567">
        <f>N132</f>
        <v>150</v>
      </c>
      <c r="O159" s="567"/>
      <c r="P159" s="567">
        <f>P132</f>
        <v>150</v>
      </c>
      <c r="Q159" s="567"/>
      <c r="R159" s="220" t="s">
        <v>13</v>
      </c>
      <c r="S159" s="343"/>
      <c r="T159" s="395" t="s">
        <v>1089</v>
      </c>
    </row>
    <row r="160" spans="1:32" hidden="1" outlineLevel="1">
      <c r="C160" s="199"/>
      <c r="D160" s="200"/>
      <c r="E160" s="273" t="s">
        <v>114</v>
      </c>
      <c r="F160" s="274"/>
      <c r="G160" s="365" t="s">
        <v>130</v>
      </c>
      <c r="H160" s="610">
        <f>IF(ISERROR(((H159*H157)+(24-H157)*H112)/(24*H112)),1,((H159*H157)+(24-H157)*H112)/(24*H112))</f>
        <v>1</v>
      </c>
      <c r="I160" s="610"/>
      <c r="J160" s="610">
        <f>J133</f>
        <v>1</v>
      </c>
      <c r="K160" s="610"/>
      <c r="L160" s="610">
        <f>L133</f>
        <v>1</v>
      </c>
      <c r="M160" s="610"/>
      <c r="N160" s="610">
        <f>N133</f>
        <v>1</v>
      </c>
      <c r="O160" s="610"/>
      <c r="P160" s="610">
        <f>P133</f>
        <v>1</v>
      </c>
      <c r="Q160" s="610"/>
      <c r="R160" s="220"/>
      <c r="S160" s="343"/>
      <c r="T160" s="395" t="s">
        <v>1089</v>
      </c>
    </row>
    <row r="161" spans="1:20" s="199" customFormat="1" ht="14.25" hidden="1" customHeight="1" outlineLevel="1">
      <c r="A161" s="390"/>
      <c r="D161" s="362"/>
      <c r="E161" s="360"/>
      <c r="F161" s="220"/>
      <c r="G161" s="200"/>
      <c r="H161" s="202"/>
      <c r="I161" s="202"/>
      <c r="J161" s="202"/>
      <c r="K161" s="202"/>
      <c r="L161" s="202"/>
      <c r="M161" s="202"/>
      <c r="N161" s="202"/>
      <c r="O161" s="202"/>
      <c r="P161" s="202"/>
      <c r="Q161" s="202"/>
      <c r="R161" s="220"/>
      <c r="S161" s="343"/>
      <c r="T161" s="395" t="s">
        <v>1089</v>
      </c>
    </row>
    <row r="162" spans="1:20" s="199" customFormat="1" ht="18" hidden="1" outlineLevel="1">
      <c r="A162" s="390"/>
      <c r="D162" s="362"/>
      <c r="E162" s="360"/>
      <c r="F162" s="220"/>
      <c r="G162" s="200"/>
      <c r="H162" s="608" t="s">
        <v>976</v>
      </c>
      <c r="I162" s="608"/>
      <c r="J162" s="608"/>
      <c r="K162" s="608"/>
      <c r="L162" s="608"/>
      <c r="M162" s="608"/>
      <c r="N162" s="608"/>
      <c r="O162" s="608"/>
      <c r="P162" s="608"/>
      <c r="Q162" s="608"/>
      <c r="R162" s="220"/>
      <c r="S162" s="343"/>
      <c r="T162" s="395" t="s">
        <v>1089</v>
      </c>
    </row>
    <row r="163" spans="1:20" hidden="1" outlineLevel="1">
      <c r="C163" s="199"/>
      <c r="D163" s="200"/>
      <c r="E163" s="259" t="s">
        <v>967</v>
      </c>
      <c r="F163" s="368"/>
      <c r="G163" s="369"/>
      <c r="H163" s="520">
        <f>IF(OR(H149="",H149="none"),0,H98)</f>
        <v>0</v>
      </c>
      <c r="I163" s="520"/>
      <c r="J163" s="520">
        <f t="shared" ref="J163" si="76">IF(OR(J149="",J149="none"),0,J98)</f>
        <v>0</v>
      </c>
      <c r="K163" s="520"/>
      <c r="L163" s="520">
        <f t="shared" ref="L163" si="77">IF(OR(L149="",L149="none"),0,L98)</f>
        <v>0</v>
      </c>
      <c r="M163" s="520"/>
      <c r="N163" s="520">
        <f t="shared" ref="N163" si="78">IF(OR(N149="",N149="none"),0,N98)</f>
        <v>0</v>
      </c>
      <c r="O163" s="520"/>
      <c r="P163" s="520">
        <f t="shared" ref="P163" si="79">IF(OR(P149="",P149="none"),0,P98)</f>
        <v>0</v>
      </c>
      <c r="Q163" s="520"/>
      <c r="R163" s="208" t="s">
        <v>2</v>
      </c>
      <c r="S163" s="343"/>
      <c r="T163" s="395" t="s">
        <v>1089</v>
      </c>
    </row>
    <row r="164" spans="1:20" hidden="1" outlineLevel="1">
      <c r="C164" s="199"/>
      <c r="D164" s="200"/>
      <c r="E164" s="281" t="s">
        <v>139</v>
      </c>
      <c r="F164" s="226"/>
      <c r="G164" s="200"/>
      <c r="H164" s="520">
        <f>SUM(H109,IF(H110="Yes(G.711)",150,0),IF(H111="Yes",150,0),IF(H110="Yes(L16)",640,0),IF(H110="Yes(AAC)",80,0))</f>
        <v>0</v>
      </c>
      <c r="I164" s="520"/>
      <c r="J164" s="520">
        <f>SUM(J109,IF(J110="Yes(G.711)",150,0),IF(J111="Yes",150,0),IF(J110="Yes(L16)",640,0),IF(J110="Yes(AAC)",80,0))</f>
        <v>150</v>
      </c>
      <c r="K164" s="520"/>
      <c r="L164" s="520">
        <f>SUM(L109,IF(L110="Yes(G.711)",150,0),IF(L111="Yes",150,0),IF(L110="Yes(L16)",640,0),IF(L110="Yes(AAC)",80,0))</f>
        <v>150</v>
      </c>
      <c r="M164" s="520"/>
      <c r="N164" s="520">
        <f>SUM(N109,IF(N110="Yes(G.711)",150,0),IF(N111="Yes",150,0),IF(N110="Yes(L16)",640,0),IF(N110="Yes(AAC)",80,0))</f>
        <v>150</v>
      </c>
      <c r="O164" s="520"/>
      <c r="P164" s="520">
        <f>SUM(P109,IF(P110="Yes(G.711)",150,0),IF(P111="Yes",150,0),IF(P110="Yes(L16)",640,0),IF(P110="Yes(AAC)",80,0))</f>
        <v>150</v>
      </c>
      <c r="Q164" s="520"/>
      <c r="R164" s="220" t="s">
        <v>13</v>
      </c>
      <c r="S164" s="343"/>
      <c r="T164" s="395" t="s">
        <v>1089</v>
      </c>
    </row>
    <row r="165" spans="1:20" hidden="1" outlineLevel="1">
      <c r="C165" s="199"/>
      <c r="D165" s="200"/>
      <c r="E165" s="272" t="s">
        <v>139</v>
      </c>
      <c r="F165" s="226"/>
      <c r="G165" s="264"/>
      <c r="H165" s="564">
        <f>H113</f>
        <v>0</v>
      </c>
      <c r="I165" s="564"/>
      <c r="J165" s="564">
        <f>J113</f>
        <v>0.146484375</v>
      </c>
      <c r="K165" s="564"/>
      <c r="L165" s="564">
        <f>L113</f>
        <v>0.146484375</v>
      </c>
      <c r="M165" s="564"/>
      <c r="N165" s="564">
        <f>N113</f>
        <v>0.146484375</v>
      </c>
      <c r="O165" s="564"/>
      <c r="P165" s="564">
        <f>P113</f>
        <v>0.146484375</v>
      </c>
      <c r="Q165" s="564"/>
      <c r="R165" s="220" t="s">
        <v>1</v>
      </c>
      <c r="S165" s="343"/>
      <c r="T165" s="395" t="s">
        <v>1089</v>
      </c>
    </row>
    <row r="166" spans="1:20" hidden="1" outlineLevel="1">
      <c r="C166" s="199"/>
      <c r="D166" s="200"/>
      <c r="E166" s="272" t="s">
        <v>135</v>
      </c>
      <c r="F166" s="226"/>
      <c r="G166" s="264"/>
      <c r="H166" s="520">
        <f>IF(H102&lt;&gt;"Group off",H165*H191*H163,0)</f>
        <v>0</v>
      </c>
      <c r="I166" s="520"/>
      <c r="J166" s="521">
        <f>IF(J102&lt;&gt;"Group off",J165*J191*J163,0)</f>
        <v>0</v>
      </c>
      <c r="K166" s="520"/>
      <c r="L166" s="521">
        <f>IF(L102&lt;&gt;"Group off",L165*L191*L163,0)</f>
        <v>0</v>
      </c>
      <c r="M166" s="520"/>
      <c r="N166" s="521">
        <f>IF(N102&lt;&gt;"Group off",N165*N191*N163,0)</f>
        <v>0</v>
      </c>
      <c r="O166" s="520"/>
      <c r="P166" s="521">
        <f>IF(P102&lt;&gt;"Group off",P165*P191*P163,0)</f>
        <v>0</v>
      </c>
      <c r="Q166" s="520"/>
      <c r="R166" s="220" t="s">
        <v>1</v>
      </c>
      <c r="S166" s="343"/>
      <c r="T166" s="395" t="s">
        <v>1089</v>
      </c>
    </row>
    <row r="167" spans="1:20" ht="15.75" hidden="1" customHeight="1" outlineLevel="1">
      <c r="C167" s="199"/>
      <c r="D167" s="200"/>
      <c r="E167" s="273" t="s">
        <v>136</v>
      </c>
      <c r="F167" s="274"/>
      <c r="G167" s="275"/>
      <c r="H167" s="630">
        <f>SUM(H166:Q166)</f>
        <v>0</v>
      </c>
      <c r="I167" s="631"/>
      <c r="J167" s="631"/>
      <c r="K167" s="631"/>
      <c r="L167" s="631"/>
      <c r="M167" s="631"/>
      <c r="N167" s="631"/>
      <c r="O167" s="631"/>
      <c r="P167" s="631"/>
      <c r="Q167" s="632"/>
      <c r="R167" s="220" t="s">
        <v>1</v>
      </c>
      <c r="S167" s="343"/>
      <c r="T167" s="395" t="s">
        <v>1089</v>
      </c>
    </row>
    <row r="168" spans="1:20" hidden="1" outlineLevel="1">
      <c r="C168" s="282"/>
      <c r="D168" s="282"/>
      <c r="E168" s="282"/>
      <c r="F168" s="282"/>
      <c r="G168" s="282"/>
      <c r="H168" s="282"/>
      <c r="I168" s="282"/>
      <c r="J168" s="282"/>
      <c r="K168" s="282"/>
      <c r="L168" s="282"/>
      <c r="M168" s="282"/>
      <c r="N168" s="282"/>
      <c r="O168" s="282"/>
      <c r="P168" s="282"/>
      <c r="Q168" s="282"/>
      <c r="R168" s="220"/>
      <c r="S168" s="201"/>
      <c r="T168" s="395" t="s">
        <v>1089</v>
      </c>
    </row>
    <row r="169" spans="1:20" hidden="1" outlineLevel="1">
      <c r="C169" s="199"/>
      <c r="D169" s="200"/>
      <c r="E169" s="278" t="s">
        <v>0</v>
      </c>
      <c r="F169" s="368"/>
      <c r="G169" s="369"/>
      <c r="H169" s="573">
        <f>IF(H102="Group off",0,H160*((H165*3600*24)/8)*1.05)/1024</f>
        <v>0</v>
      </c>
      <c r="I169" s="574"/>
      <c r="J169" s="573">
        <f>IF(J102="Group off",0,J160*((J165*3600*24)/8)*1.05)/1024</f>
        <v>0</v>
      </c>
      <c r="K169" s="574"/>
      <c r="L169" s="573">
        <f>IF(L102="Group off",0,L160*((L165*3600*24)/8)*1.05)/1024</f>
        <v>0</v>
      </c>
      <c r="M169" s="574"/>
      <c r="N169" s="573">
        <f>IF(N102="Group off",0,N160*((N165*3600*24)/8)*1.05)/1024</f>
        <v>0</v>
      </c>
      <c r="O169" s="574"/>
      <c r="P169" s="573">
        <f>IF(P102="Group off",0,P160*((P165*3600*24)/8)*1.05)/1024</f>
        <v>0</v>
      </c>
      <c r="Q169" s="574"/>
      <c r="R169" s="220" t="s">
        <v>978</v>
      </c>
      <c r="S169" s="343"/>
      <c r="T169" s="395" t="s">
        <v>1089</v>
      </c>
    </row>
    <row r="170" spans="1:20" hidden="1" outlineLevel="1">
      <c r="C170" s="199"/>
      <c r="D170" s="200"/>
      <c r="E170" s="272" t="s">
        <v>149</v>
      </c>
      <c r="F170" s="226"/>
      <c r="G170" s="264"/>
      <c r="H170" s="565">
        <f>IF(OR(H154&lt;$H$118,H154&lt;$H$119),H154,MAX($H$118,$H$119))</f>
        <v>1</v>
      </c>
      <c r="I170" s="521"/>
      <c r="J170" s="565">
        <f>IF(OR(J154&lt;$H$118,J154&lt;$H$119),J154,MAX($H$118,$H$119))</f>
        <v>0</v>
      </c>
      <c r="K170" s="521"/>
      <c r="L170" s="565">
        <f>IF(OR(L154&lt;$H$118,L154&lt;$H$119),L154,MAX($H$118,$H$119))</f>
        <v>0</v>
      </c>
      <c r="M170" s="521"/>
      <c r="N170" s="565">
        <f>IF(OR(N154&lt;$H$118,N154&lt;$H$119),N154,MAX($H$118,$H$119))</f>
        <v>0</v>
      </c>
      <c r="O170" s="521"/>
      <c r="P170" s="565">
        <f>IF(OR(P154&lt;$H$118,P154&lt;$H$119),P154,MAX($H$118,$H$119))</f>
        <v>0</v>
      </c>
      <c r="Q170" s="521"/>
      <c r="R170" s="220" t="s">
        <v>150</v>
      </c>
      <c r="S170" s="343"/>
      <c r="T170" s="395" t="s">
        <v>1089</v>
      </c>
    </row>
    <row r="171" spans="1:20" hidden="1" outlineLevel="1">
      <c r="C171" s="199"/>
      <c r="D171" s="200"/>
      <c r="E171" s="272" t="s">
        <v>983</v>
      </c>
      <c r="F171" s="226"/>
      <c r="G171" s="264"/>
      <c r="H171" s="590">
        <f>H170*H169</f>
        <v>0</v>
      </c>
      <c r="I171" s="571">
        <f>H169*H170</f>
        <v>0</v>
      </c>
      <c r="J171" s="590">
        <f t="shared" ref="J171" si="80">J170*J169</f>
        <v>0</v>
      </c>
      <c r="K171" s="571">
        <f t="shared" ref="K171" si="81">J169*J170</f>
        <v>0</v>
      </c>
      <c r="L171" s="590">
        <f t="shared" ref="L171" si="82">L170*L169</f>
        <v>0</v>
      </c>
      <c r="M171" s="571">
        <f t="shared" ref="M171" si="83">L169*L170</f>
        <v>0</v>
      </c>
      <c r="N171" s="590">
        <f t="shared" ref="N171" si="84">N170*N169</f>
        <v>0</v>
      </c>
      <c r="O171" s="571">
        <f t="shared" ref="O171" si="85">N169*N170</f>
        <v>0</v>
      </c>
      <c r="P171" s="590">
        <f t="shared" ref="P171" si="86">P170*P169</f>
        <v>0</v>
      </c>
      <c r="Q171" s="571">
        <f t="shared" ref="Q171" si="87">P169*P170</f>
        <v>0</v>
      </c>
      <c r="R171" s="220"/>
      <c r="S171" s="343"/>
      <c r="T171" s="395" t="s">
        <v>1089</v>
      </c>
    </row>
    <row r="172" spans="1:20" hidden="1" outlineLevel="1">
      <c r="C172" s="199"/>
      <c r="D172" s="200"/>
      <c r="E172" s="272" t="s">
        <v>124</v>
      </c>
      <c r="F172" s="226"/>
      <c r="G172" s="264"/>
      <c r="H172" s="521">
        <f>ROUNDUP(((H171)/0.75)*H$191,0)</f>
        <v>0</v>
      </c>
      <c r="I172" s="520"/>
      <c r="J172" s="521">
        <f>ROUNDUP(((J171)/0.75)*J$191,0)</f>
        <v>0</v>
      </c>
      <c r="K172" s="520"/>
      <c r="L172" s="521">
        <f>ROUNDUP(((L171)/0.75)*L$191,0)</f>
        <v>0</v>
      </c>
      <c r="M172" s="520"/>
      <c r="N172" s="521">
        <f>ROUNDUP(((N171)/0.75)*N$191,0)</f>
        <v>0</v>
      </c>
      <c r="O172" s="520"/>
      <c r="P172" s="521">
        <f>ROUNDUP(((P171)/0.75)*P$191,0)</f>
        <v>0</v>
      </c>
      <c r="Q172" s="520"/>
      <c r="R172" s="220" t="s">
        <v>979</v>
      </c>
      <c r="S172" s="343"/>
      <c r="T172" s="395" t="s">
        <v>1089</v>
      </c>
    </row>
    <row r="173" spans="1:20" hidden="1" outlineLevel="1">
      <c r="C173" s="199"/>
      <c r="D173" s="200"/>
      <c r="E173" s="272" t="s">
        <v>123</v>
      </c>
      <c r="F173" s="226"/>
      <c r="G173" s="264"/>
      <c r="H173" s="565">
        <f>H139</f>
        <v>512</v>
      </c>
      <c r="I173" s="521"/>
      <c r="J173" s="565">
        <f>J139</f>
        <v>512</v>
      </c>
      <c r="K173" s="521"/>
      <c r="L173" s="565">
        <f>L139</f>
        <v>512</v>
      </c>
      <c r="M173" s="521"/>
      <c r="N173" s="565">
        <f>N139</f>
        <v>512</v>
      </c>
      <c r="O173" s="521"/>
      <c r="P173" s="565">
        <f>IF(ISERR(4096/P98),4096,MAX(4096/P98,128))</f>
        <v>4096</v>
      </c>
      <c r="Q173" s="521"/>
      <c r="R173" s="220"/>
      <c r="S173" s="330"/>
      <c r="T173" s="395" t="s">
        <v>1089</v>
      </c>
    </row>
    <row r="174" spans="1:20" hidden="1" outlineLevel="1">
      <c r="C174" s="199"/>
      <c r="D174" s="200"/>
      <c r="E174" s="273" t="s">
        <v>125</v>
      </c>
      <c r="F174" s="274"/>
      <c r="G174" s="275"/>
      <c r="H174" s="565">
        <f>H140</f>
        <v>0</v>
      </c>
      <c r="I174" s="521"/>
      <c r="J174" s="565">
        <f>J140</f>
        <v>0</v>
      </c>
      <c r="K174" s="521"/>
      <c r="L174" s="565">
        <f>L140</f>
        <v>0</v>
      </c>
      <c r="M174" s="521"/>
      <c r="N174" s="565">
        <f>N140</f>
        <v>0</v>
      </c>
      <c r="O174" s="521"/>
      <c r="P174" s="565">
        <f>P140</f>
        <v>2</v>
      </c>
      <c r="Q174" s="521"/>
      <c r="R174" s="220" t="s">
        <v>979</v>
      </c>
      <c r="S174" s="330"/>
      <c r="T174" s="395" t="s">
        <v>1089</v>
      </c>
    </row>
    <row r="175" spans="1:20" hidden="1" outlineLevel="1">
      <c r="C175" s="282"/>
      <c r="D175" s="282"/>
      <c r="E175" s="282"/>
      <c r="F175" s="282"/>
      <c r="G175" s="282"/>
      <c r="H175" s="282"/>
      <c r="I175" s="282"/>
      <c r="J175" s="282"/>
      <c r="K175" s="282"/>
      <c r="L175" s="282"/>
      <c r="M175" s="282"/>
      <c r="N175" s="282"/>
      <c r="O175" s="282"/>
      <c r="P175" s="282"/>
      <c r="Q175" s="282"/>
      <c r="R175" s="220"/>
      <c r="S175" s="201"/>
      <c r="T175" s="395" t="s">
        <v>1089</v>
      </c>
    </row>
    <row r="176" spans="1:20" hidden="1" outlineLevel="1">
      <c r="C176" s="282"/>
      <c r="D176" s="200"/>
      <c r="E176" s="284" t="s">
        <v>78</v>
      </c>
      <c r="F176" s="271"/>
      <c r="G176" s="366" t="s">
        <v>196</v>
      </c>
      <c r="H176" s="564">
        <f>IF(H102="Group off",0,((H169*H154*H163)+(H172*H163)))</f>
        <v>0</v>
      </c>
      <c r="I176" s="564"/>
      <c r="J176" s="564">
        <f t="shared" ref="J176" si="88">IF(J102="Group off",0,((J169*J154*J163)+(J172*J163)))</f>
        <v>0</v>
      </c>
      <c r="K176" s="564"/>
      <c r="L176" s="564">
        <f t="shared" ref="L176" si="89">IF(L102="Group off",0,((L169*L154*L163)+(L172*L163)))</f>
        <v>0</v>
      </c>
      <c r="M176" s="564"/>
      <c r="N176" s="564">
        <f t="shared" ref="N176" si="90">IF(N102="Group off",0,((N169*N154*N163)+(N172*N163)))</f>
        <v>0</v>
      </c>
      <c r="O176" s="564"/>
      <c r="P176" s="564">
        <f t="shared" ref="P176" si="91">IF(P102="Group off",0,((P169*P154*P163)+(P172*P163)))</f>
        <v>0</v>
      </c>
      <c r="Q176" s="564"/>
      <c r="R176" s="220" t="s">
        <v>980</v>
      </c>
      <c r="S176" s="343"/>
      <c r="T176" s="395" t="s">
        <v>1089</v>
      </c>
    </row>
    <row r="177" spans="2:32" hidden="1" outlineLevel="1">
      <c r="C177" s="282"/>
      <c r="D177" s="200"/>
      <c r="E177" s="285"/>
      <c r="F177" s="200"/>
      <c r="G177" s="367" t="s">
        <v>981</v>
      </c>
      <c r="H177" s="572">
        <f>H176/1024</f>
        <v>0</v>
      </c>
      <c r="I177" s="572"/>
      <c r="J177" s="572">
        <f t="shared" ref="J177" si="92">J176/1024</f>
        <v>0</v>
      </c>
      <c r="K177" s="572"/>
      <c r="L177" s="572">
        <f t="shared" ref="L177" si="93">L176/1024</f>
        <v>0</v>
      </c>
      <c r="M177" s="572"/>
      <c r="N177" s="572">
        <f t="shared" ref="N177" si="94">N176/1024</f>
        <v>0</v>
      </c>
      <c r="O177" s="572"/>
      <c r="P177" s="572">
        <f t="shared" ref="P177" si="95">P176/1024</f>
        <v>0</v>
      </c>
      <c r="Q177" s="572"/>
      <c r="R177" s="220" t="s">
        <v>982</v>
      </c>
      <c r="S177" s="343"/>
      <c r="T177" s="395" t="s">
        <v>1089</v>
      </c>
    </row>
    <row r="178" spans="2:32" ht="15.75" hidden="1" outlineLevel="1">
      <c r="C178" s="199"/>
      <c r="D178" s="200"/>
      <c r="E178" s="285"/>
      <c r="F178" s="200"/>
      <c r="G178" s="264"/>
      <c r="H178" s="599">
        <f>SUM(H176:Q176)</f>
        <v>0</v>
      </c>
      <c r="I178" s="600"/>
      <c r="J178" s="600"/>
      <c r="K178" s="600"/>
      <c r="L178" s="600"/>
      <c r="M178" s="600"/>
      <c r="N178" s="600"/>
      <c r="O178" s="600"/>
      <c r="P178" s="600"/>
      <c r="Q178" s="601"/>
      <c r="R178" s="220" t="s">
        <v>980</v>
      </c>
      <c r="S178" s="343"/>
      <c r="T178" s="395" t="s">
        <v>1089</v>
      </c>
    </row>
    <row r="179" spans="2:32" ht="15.75" hidden="1" outlineLevel="1">
      <c r="C179" s="199"/>
      <c r="D179" s="200"/>
      <c r="E179" s="286"/>
      <c r="F179" s="287"/>
      <c r="G179" s="275"/>
      <c r="H179" s="603">
        <f>SUM(H177:Q177)</f>
        <v>0</v>
      </c>
      <c r="I179" s="604"/>
      <c r="J179" s="604"/>
      <c r="K179" s="604"/>
      <c r="L179" s="604"/>
      <c r="M179" s="604"/>
      <c r="N179" s="604"/>
      <c r="O179" s="604"/>
      <c r="P179" s="604"/>
      <c r="Q179" s="605"/>
      <c r="R179" s="220" t="s">
        <v>982</v>
      </c>
      <c r="S179" s="343"/>
      <c r="T179" s="395" t="s">
        <v>1089</v>
      </c>
    </row>
    <row r="180" spans="2:32" hidden="1" outlineLevel="1">
      <c r="B180" s="390"/>
      <c r="C180" s="282"/>
      <c r="D180" s="282"/>
      <c r="E180" s="282"/>
      <c r="F180" s="200"/>
      <c r="G180" s="282"/>
      <c r="H180" s="282"/>
      <c r="I180" s="282"/>
      <c r="J180" s="282"/>
      <c r="K180" s="282"/>
      <c r="L180" s="282"/>
      <c r="M180" s="282"/>
      <c r="N180" s="282"/>
      <c r="O180" s="282"/>
      <c r="P180" s="282"/>
      <c r="Q180" s="282"/>
      <c r="R180" s="220"/>
      <c r="S180" s="201"/>
      <c r="T180" s="395" t="s">
        <v>1089</v>
      </c>
      <c r="U180" s="390"/>
      <c r="V180" s="390"/>
      <c r="W180" s="390"/>
      <c r="X180" s="390"/>
      <c r="Y180" s="390"/>
      <c r="Z180" s="390"/>
      <c r="AA180" s="390"/>
      <c r="AB180" s="390"/>
      <c r="AC180" s="390"/>
      <c r="AD180" s="390"/>
      <c r="AE180" s="390"/>
      <c r="AF180" s="390"/>
    </row>
    <row r="181" spans="2:32" ht="15.75" collapsed="1">
      <c r="C181" s="282"/>
      <c r="D181" s="282"/>
      <c r="E181" s="591" t="s">
        <v>1507</v>
      </c>
      <c r="F181" s="591"/>
      <c r="G181" s="591"/>
      <c r="H181" s="591"/>
      <c r="I181" s="591"/>
      <c r="J181" s="591"/>
      <c r="K181" s="591"/>
      <c r="L181" s="591"/>
      <c r="M181" s="591"/>
      <c r="N181" s="591"/>
      <c r="O181" s="282"/>
      <c r="P181" s="282"/>
      <c r="Q181" s="282"/>
      <c r="R181" s="220"/>
      <c r="S181" s="201"/>
      <c r="T181" s="395" t="s">
        <v>1089</v>
      </c>
    </row>
    <row r="182" spans="2:32" ht="15.75">
      <c r="B182" s="390"/>
      <c r="C182" s="282"/>
      <c r="D182" s="282"/>
      <c r="E182" s="437"/>
      <c r="F182" s="437"/>
      <c r="G182" s="437"/>
      <c r="H182" s="437"/>
      <c r="I182" s="437"/>
      <c r="J182" s="437"/>
      <c r="K182" s="437"/>
      <c r="L182" s="437"/>
      <c r="M182" s="437"/>
      <c r="N182" s="437"/>
      <c r="O182" s="282"/>
      <c r="P182" s="282"/>
      <c r="Q182" s="282"/>
      <c r="R182" s="220"/>
      <c r="S182" s="201"/>
      <c r="T182" s="395" t="s">
        <v>1089</v>
      </c>
      <c r="U182" s="390"/>
      <c r="V182" s="390"/>
      <c r="W182" s="390"/>
      <c r="X182" s="390"/>
      <c r="Y182" s="390"/>
      <c r="Z182" s="390"/>
      <c r="AA182" s="390"/>
      <c r="AB182" s="390"/>
      <c r="AC182" s="390"/>
      <c r="AD182" s="390"/>
      <c r="AE182" s="390"/>
      <c r="AF182" s="390"/>
    </row>
    <row r="183" spans="2:32" ht="18">
      <c r="B183" s="390"/>
      <c r="C183" s="282"/>
      <c r="D183" s="362" t="s">
        <v>1096</v>
      </c>
      <c r="E183" s="360" t="s">
        <v>1095</v>
      </c>
      <c r="F183" s="200"/>
      <c r="G183" s="282"/>
      <c r="H183" s="282"/>
      <c r="I183" s="282"/>
      <c r="J183" s="282"/>
      <c r="K183" s="282"/>
      <c r="L183" s="282"/>
      <c r="M183" s="282"/>
      <c r="N183" s="282"/>
      <c r="O183" s="282"/>
      <c r="P183" s="282"/>
      <c r="Q183" s="282"/>
      <c r="R183" s="220"/>
      <c r="S183" s="201"/>
      <c r="T183" s="402" t="s">
        <v>1089</v>
      </c>
      <c r="U183" s="390"/>
      <c r="V183" s="390"/>
      <c r="W183" s="390"/>
      <c r="X183" s="390"/>
      <c r="Y183" s="390"/>
      <c r="Z183" s="390"/>
      <c r="AA183" s="390"/>
      <c r="AB183" s="390"/>
      <c r="AC183" s="390"/>
      <c r="AD183" s="390"/>
      <c r="AE183" s="390"/>
      <c r="AF183" s="390"/>
    </row>
    <row r="184" spans="2:32">
      <c r="C184" s="282"/>
      <c r="D184" s="200"/>
      <c r="E184" s="278" t="s">
        <v>9</v>
      </c>
      <c r="F184" s="441"/>
      <c r="G184" s="379" t="s">
        <v>1692</v>
      </c>
      <c r="H184" s="290" t="s">
        <v>137</v>
      </c>
      <c r="I184" s="290"/>
      <c r="J184" s="290"/>
      <c r="K184" s="290"/>
      <c r="L184" s="290" t="s">
        <v>137</v>
      </c>
      <c r="M184" s="290"/>
      <c r="N184" s="290"/>
      <c r="O184" s="290"/>
      <c r="P184" s="290" t="s">
        <v>138</v>
      </c>
      <c r="Q184" s="291"/>
      <c r="R184" s="428"/>
      <c r="S184" s="201"/>
      <c r="T184" s="395" t="s">
        <v>1089</v>
      </c>
    </row>
    <row r="185" spans="2:32" ht="15.75">
      <c r="C185" s="282"/>
      <c r="D185" s="200"/>
      <c r="E185" s="281" t="s">
        <v>219</v>
      </c>
      <c r="F185" s="445"/>
      <c r="G185" s="436" t="s">
        <v>958</v>
      </c>
      <c r="H185" s="568">
        <f>SUMIF($H$123:$Q$123,"=1",$H$142:$Q$142)+SUMIF($H$150:$Q$150,"=1",$H$176:$Q$176)</f>
        <v>0</v>
      </c>
      <c r="I185" s="570"/>
      <c r="J185" s="226" t="s">
        <v>980</v>
      </c>
      <c r="K185" s="446">
        <f>SUMIF($H$123:$Q$123,"=1",$H$98:$Q$98)+SUMIF($H$150:$Q$150,"=1",$H$98:$Q$98)</f>
        <v>0</v>
      </c>
      <c r="L185" s="568">
        <f>H185/1024</f>
        <v>0</v>
      </c>
      <c r="M185" s="570"/>
      <c r="N185" s="226" t="s">
        <v>982</v>
      </c>
      <c r="O185" s="226"/>
      <c r="P185" s="633">
        <f>SUMIF($H$123:$Q$123,"=1",$H$114:$Q$114)+SUMIF($H$150:$Q$150,"=1",$H$166:$Q$166)</f>
        <v>0</v>
      </c>
      <c r="Q185" s="634"/>
      <c r="R185" s="430" t="s">
        <v>1</v>
      </c>
      <c r="S185" s="201"/>
      <c r="T185" s="395" t="s">
        <v>1089</v>
      </c>
    </row>
    <row r="186" spans="2:32" ht="15.75">
      <c r="C186" s="282"/>
      <c r="D186" s="200"/>
      <c r="E186" s="281" t="s">
        <v>220</v>
      </c>
      <c r="F186" s="442"/>
      <c r="G186" s="436" t="s">
        <v>958</v>
      </c>
      <c r="H186" s="568">
        <f>SUMIF($H$123:$Q$123,"=2",$H$142:$Q$142)+SUMIF($H$150:$Q$150,"=2",$H$176:$Q$176)</f>
        <v>0</v>
      </c>
      <c r="I186" s="570"/>
      <c r="J186" s="226" t="s">
        <v>980</v>
      </c>
      <c r="K186" s="446">
        <f>SUMIF($H$123:$Q$123,"=2",$H$98:$Q$98)+SUMIF($H$150:$Q$150,"=2",$H$98:$Q$98)</f>
        <v>0</v>
      </c>
      <c r="L186" s="568">
        <f t="shared" ref="L186:L188" si="96">H186/1024</f>
        <v>0</v>
      </c>
      <c r="M186" s="570"/>
      <c r="N186" s="226" t="s">
        <v>982</v>
      </c>
      <c r="O186" s="226"/>
      <c r="P186" s="633">
        <f>SUMIF($H$123:$Q$123,"=2",$H$114:$Q$114)+SUMIF($H$150:$Q$150,"=2",$H$166:$Q$166)</f>
        <v>0</v>
      </c>
      <c r="Q186" s="634"/>
      <c r="R186" s="430" t="s">
        <v>1</v>
      </c>
      <c r="S186" s="201"/>
      <c r="T186" s="395" t="s">
        <v>1089</v>
      </c>
    </row>
    <row r="187" spans="2:32" ht="15.75">
      <c r="C187" s="282"/>
      <c r="D187" s="200"/>
      <c r="E187" s="281" t="s">
        <v>221</v>
      </c>
      <c r="F187" s="443"/>
      <c r="G187" s="436" t="s">
        <v>958</v>
      </c>
      <c r="H187" s="568">
        <f>SUMIF($H$123:$Q$123,"=3",$H$142:$Q$142)+SUMIF($H$150:$Q$150,"=3",$H$176:$Q$176)</f>
        <v>0</v>
      </c>
      <c r="I187" s="570"/>
      <c r="J187" s="226" t="s">
        <v>980</v>
      </c>
      <c r="K187" s="446">
        <f>SUMIF($H$123:$Q$123,"=3",$H$98:$Q$98)+SUMIF($H$150:$Q$150,"=3",$H$98:$Q$98)</f>
        <v>0</v>
      </c>
      <c r="L187" s="568">
        <f t="shared" si="96"/>
        <v>0</v>
      </c>
      <c r="M187" s="570"/>
      <c r="N187" s="226" t="s">
        <v>982</v>
      </c>
      <c r="O187" s="226"/>
      <c r="P187" s="633">
        <f>SUMIF($H$123:$Q$123,"=3",$H$114:$Q$114)+SUMIF($H$150:$Q$150,"=3",$H$166:$Q$166)</f>
        <v>0</v>
      </c>
      <c r="Q187" s="634"/>
      <c r="R187" s="430" t="s">
        <v>1</v>
      </c>
      <c r="S187" s="201"/>
      <c r="T187" s="395" t="s">
        <v>1089</v>
      </c>
    </row>
    <row r="188" spans="2:32" ht="15.75">
      <c r="C188" s="282"/>
      <c r="D188" s="200"/>
      <c r="E188" s="273" t="s">
        <v>222</v>
      </c>
      <c r="F188" s="444"/>
      <c r="G188" s="436" t="s">
        <v>958</v>
      </c>
      <c r="H188" s="568">
        <f>SUMIF($H$123:$Q$123,"=4",$H$142:$Q$142)+SUMIF($H$150:$Q$150,"=4",$H$176:$Q$176)</f>
        <v>0</v>
      </c>
      <c r="I188" s="570"/>
      <c r="J188" s="274" t="s">
        <v>980</v>
      </c>
      <c r="K188" s="447">
        <f>SUMIF($H$123:$Q$123,"=4",$H$98:$Q$98)+SUMIF($H$150:$Q$150,"=4",$H$98:$Q$98)</f>
        <v>0</v>
      </c>
      <c r="L188" s="568">
        <f t="shared" si="96"/>
        <v>0</v>
      </c>
      <c r="M188" s="570"/>
      <c r="N188" s="274" t="s">
        <v>982</v>
      </c>
      <c r="O188" s="274"/>
      <c r="P188" s="633">
        <f>SUMIF($H$123:$Q$123,"=4",$H$114:$Q$114)+SUMIF($H$150:$Q$150,"=4",$H$166:$Q$166)</f>
        <v>0</v>
      </c>
      <c r="Q188" s="634"/>
      <c r="R188" s="431" t="s">
        <v>1</v>
      </c>
      <c r="S188" s="201"/>
      <c r="T188" s="395" t="s">
        <v>1089</v>
      </c>
    </row>
    <row r="189" spans="2:32">
      <c r="C189" s="282"/>
      <c r="D189" s="200"/>
      <c r="E189" s="226"/>
      <c r="F189" s="200"/>
      <c r="G189" s="200"/>
      <c r="H189" s="200"/>
      <c r="I189" s="200"/>
      <c r="J189" s="200"/>
      <c r="K189" s="200"/>
      <c r="L189" s="200"/>
      <c r="M189" s="342"/>
      <c r="N189" s="200"/>
      <c r="O189" s="200"/>
      <c r="P189" s="200"/>
      <c r="Q189" s="200"/>
      <c r="R189" s="200"/>
      <c r="S189" s="201"/>
      <c r="T189" s="395" t="s">
        <v>1089</v>
      </c>
    </row>
    <row r="190" spans="2:32" ht="12.75" hidden="1" customHeight="1" outlineLevel="1">
      <c r="C190" s="282"/>
      <c r="D190" s="200"/>
      <c r="E190" s="226"/>
      <c r="F190" s="200"/>
      <c r="G190" s="200"/>
      <c r="H190" s="200" t="s">
        <v>133</v>
      </c>
      <c r="I190" s="342"/>
      <c r="J190" s="200" t="s">
        <v>133</v>
      </c>
      <c r="K190" s="342"/>
      <c r="L190" s="200" t="s">
        <v>133</v>
      </c>
      <c r="M190" s="342"/>
      <c r="N190" s="200" t="s">
        <v>133</v>
      </c>
      <c r="O190" s="342"/>
      <c r="P190" s="200" t="s">
        <v>133</v>
      </c>
      <c r="Q190" s="342"/>
      <c r="R190" s="200" t="s">
        <v>132</v>
      </c>
      <c r="S190" s="201"/>
      <c r="T190" s="395" t="s">
        <v>1089</v>
      </c>
    </row>
    <row r="191" spans="2:32" ht="12.75" hidden="1" customHeight="1" outlineLevel="1">
      <c r="C191" s="282"/>
      <c r="D191" s="200"/>
      <c r="E191" s="270" t="s">
        <v>4</v>
      </c>
      <c r="F191" s="271"/>
      <c r="G191" s="279"/>
      <c r="H191" s="370">
        <f>IF(H102="Group off",0,$H$64)</f>
        <v>0</v>
      </c>
      <c r="I191" s="342"/>
      <c r="J191" s="370">
        <f>IF(J102="Group off",0,$J$64)</f>
        <v>0</v>
      </c>
      <c r="K191" s="342"/>
      <c r="L191" s="370">
        <f>IF(L102="Group off",0,L64)</f>
        <v>0</v>
      </c>
      <c r="M191" s="342"/>
      <c r="N191" s="370">
        <f>IF(N102="Group off",0,N64)</f>
        <v>0</v>
      </c>
      <c r="O191" s="342"/>
      <c r="P191" s="370">
        <v>1</v>
      </c>
      <c r="Q191" s="342"/>
      <c r="R191" s="220"/>
      <c r="S191" s="201"/>
      <c r="T191" s="395" t="s">
        <v>1089</v>
      </c>
    </row>
    <row r="192" spans="2:32" ht="12.75" hidden="1" customHeight="1" outlineLevel="1">
      <c r="C192" s="282"/>
      <c r="D192" s="200"/>
      <c r="E192" s="273" t="s">
        <v>5</v>
      </c>
      <c r="F192" s="274"/>
      <c r="G192" s="275"/>
      <c r="H192" s="370">
        <v>0</v>
      </c>
      <c r="I192" s="342"/>
      <c r="J192" s="370">
        <v>0</v>
      </c>
      <c r="K192" s="342"/>
      <c r="L192" s="370">
        <v>0</v>
      </c>
      <c r="M192" s="342"/>
      <c r="N192" s="370">
        <v>0</v>
      </c>
      <c r="O192" s="342"/>
      <c r="P192" s="370">
        <v>0</v>
      </c>
      <c r="Q192" s="342"/>
      <c r="R192" s="220"/>
      <c r="S192" s="201"/>
      <c r="T192" s="395" t="s">
        <v>1089</v>
      </c>
    </row>
    <row r="193" spans="3:20" ht="12.75" hidden="1" customHeight="1" outlineLevel="1">
      <c r="C193" s="282">
        <v>1</v>
      </c>
      <c r="D193" s="226">
        <v>1</v>
      </c>
      <c r="E193" s="220" t="s">
        <v>33</v>
      </c>
      <c r="F193" s="220"/>
      <c r="G193" s="200"/>
      <c r="H193" s="370">
        <f>MIN((H$191*2+H$192*2),$C193)</f>
        <v>0</v>
      </c>
      <c r="I193" s="342"/>
      <c r="J193" s="370">
        <f>MIN((J$191*2+J$192*2),$C193)</f>
        <v>0</v>
      </c>
      <c r="K193" s="342"/>
      <c r="L193" s="370">
        <f>MIN((L$191*2+L$192*2),$C193)</f>
        <v>0</v>
      </c>
      <c r="M193" s="342"/>
      <c r="N193" s="370">
        <f>MIN((N$191*2+N$192*2),$C193)</f>
        <v>0</v>
      </c>
      <c r="O193" s="342"/>
      <c r="P193" s="370">
        <f>MIN((P$191*2+P$192*2),$C193)</f>
        <v>1</v>
      </c>
      <c r="Q193" s="342"/>
      <c r="R193" s="220">
        <f t="shared" ref="R193:R200" si="97">$H193*$H$98+$J193*$J$98+$L193*$L$98+$N193*$N$98+$P193*$P$98</f>
        <v>0</v>
      </c>
      <c r="S193" s="201"/>
      <c r="T193" s="395" t="s">
        <v>1089</v>
      </c>
    </row>
    <row r="194" spans="3:20" ht="12.75" hidden="1" customHeight="1" outlineLevel="1">
      <c r="C194" s="282">
        <v>1</v>
      </c>
      <c r="D194" s="226">
        <v>2</v>
      </c>
      <c r="E194" s="220" t="s">
        <v>34</v>
      </c>
      <c r="F194" s="220"/>
      <c r="G194" s="200"/>
      <c r="H194" s="370">
        <f>MIN((H$191*2+H$192*2),$C194)</f>
        <v>0</v>
      </c>
      <c r="I194" s="342"/>
      <c r="J194" s="370">
        <f t="shared" ref="J194:J200" si="98">MIN((J$191*2+J$192*2),$C194)</f>
        <v>0</v>
      </c>
      <c r="K194" s="342"/>
      <c r="L194" s="370">
        <f t="shared" ref="L194:L200" si="99">MIN((L$191*2+L$192*2),$C194)</f>
        <v>0</v>
      </c>
      <c r="M194" s="342"/>
      <c r="N194" s="370">
        <f t="shared" ref="N194:N200" si="100">MIN((N$191*2+N$192*2),$C194)</f>
        <v>0</v>
      </c>
      <c r="O194" s="342"/>
      <c r="P194" s="370">
        <f t="shared" ref="P194:P200" si="101">MIN((P$191*2+P$192*2),$C194)</f>
        <v>1</v>
      </c>
      <c r="Q194" s="342"/>
      <c r="R194" s="220">
        <f t="shared" si="97"/>
        <v>0</v>
      </c>
      <c r="S194" s="201"/>
      <c r="T194" s="395" t="s">
        <v>1089</v>
      </c>
    </row>
    <row r="195" spans="3:20" ht="12.75" hidden="1" customHeight="1" outlineLevel="1">
      <c r="C195" s="282">
        <v>1</v>
      </c>
      <c r="D195" s="226">
        <v>3</v>
      </c>
      <c r="E195" s="220" t="s">
        <v>35</v>
      </c>
      <c r="F195" s="220"/>
      <c r="G195" s="200"/>
      <c r="H195" s="370">
        <f t="shared" ref="H195:H200" si="102">MIN((H$191*2+H$192*2),$C195)</f>
        <v>0</v>
      </c>
      <c r="I195" s="342"/>
      <c r="J195" s="370">
        <f>MIN((J$191*2+J$192*2),$C195)</f>
        <v>0</v>
      </c>
      <c r="K195" s="342"/>
      <c r="L195" s="370">
        <f t="shared" si="99"/>
        <v>0</v>
      </c>
      <c r="M195" s="342"/>
      <c r="N195" s="370">
        <f t="shared" si="100"/>
        <v>0</v>
      </c>
      <c r="O195" s="342"/>
      <c r="P195" s="370">
        <f t="shared" si="101"/>
        <v>1</v>
      </c>
      <c r="Q195" s="342"/>
      <c r="R195" s="220">
        <f t="shared" si="97"/>
        <v>0</v>
      </c>
      <c r="S195" s="201"/>
      <c r="T195" s="395" t="s">
        <v>1089</v>
      </c>
    </row>
    <row r="196" spans="3:20" ht="12.75" hidden="1" customHeight="1" outlineLevel="1">
      <c r="C196" s="282">
        <v>1</v>
      </c>
      <c r="D196" s="226">
        <v>4</v>
      </c>
      <c r="E196" s="220" t="s">
        <v>36</v>
      </c>
      <c r="F196" s="220"/>
      <c r="G196" s="200"/>
      <c r="H196" s="370">
        <f t="shared" si="102"/>
        <v>0</v>
      </c>
      <c r="I196" s="342"/>
      <c r="J196" s="370">
        <f t="shared" si="98"/>
        <v>0</v>
      </c>
      <c r="K196" s="342"/>
      <c r="L196" s="370">
        <f t="shared" si="99"/>
        <v>0</v>
      </c>
      <c r="M196" s="342"/>
      <c r="N196" s="370">
        <f t="shared" si="100"/>
        <v>0</v>
      </c>
      <c r="O196" s="342"/>
      <c r="P196" s="370">
        <f t="shared" si="101"/>
        <v>1</v>
      </c>
      <c r="Q196" s="342"/>
      <c r="R196" s="220">
        <f t="shared" si="97"/>
        <v>0</v>
      </c>
      <c r="S196" s="201"/>
      <c r="T196" s="395" t="s">
        <v>1089</v>
      </c>
    </row>
    <row r="197" spans="3:20" ht="12.75" hidden="1" customHeight="1" outlineLevel="1">
      <c r="C197" s="282">
        <v>1</v>
      </c>
      <c r="D197" s="226">
        <v>5</v>
      </c>
      <c r="E197" s="220" t="s">
        <v>37</v>
      </c>
      <c r="F197" s="220"/>
      <c r="G197" s="200"/>
      <c r="H197" s="370">
        <f t="shared" si="102"/>
        <v>0</v>
      </c>
      <c r="I197" s="342"/>
      <c r="J197" s="370">
        <f t="shared" si="98"/>
        <v>0</v>
      </c>
      <c r="K197" s="342"/>
      <c r="L197" s="370">
        <f t="shared" si="99"/>
        <v>0</v>
      </c>
      <c r="M197" s="342"/>
      <c r="N197" s="370">
        <f t="shared" si="100"/>
        <v>0</v>
      </c>
      <c r="O197" s="342"/>
      <c r="P197" s="370">
        <f t="shared" si="101"/>
        <v>1</v>
      </c>
      <c r="Q197" s="342"/>
      <c r="R197" s="220">
        <f t="shared" si="97"/>
        <v>0</v>
      </c>
      <c r="S197" s="201"/>
      <c r="T197" s="395" t="s">
        <v>1089</v>
      </c>
    </row>
    <row r="198" spans="3:20" ht="12.75" hidden="1" customHeight="1" outlineLevel="1">
      <c r="C198" s="282">
        <v>1</v>
      </c>
      <c r="D198" s="226">
        <v>6</v>
      </c>
      <c r="E198" s="220" t="s">
        <v>38</v>
      </c>
      <c r="F198" s="220"/>
      <c r="G198" s="200"/>
      <c r="H198" s="370">
        <f t="shared" si="102"/>
        <v>0</v>
      </c>
      <c r="I198" s="342"/>
      <c r="J198" s="370">
        <f t="shared" si="98"/>
        <v>0</v>
      </c>
      <c r="K198" s="342"/>
      <c r="L198" s="370">
        <f t="shared" si="99"/>
        <v>0</v>
      </c>
      <c r="M198" s="342"/>
      <c r="N198" s="370">
        <f t="shared" si="100"/>
        <v>0</v>
      </c>
      <c r="O198" s="342"/>
      <c r="P198" s="370">
        <f t="shared" si="101"/>
        <v>1</v>
      </c>
      <c r="Q198" s="342"/>
      <c r="R198" s="220">
        <f t="shared" si="97"/>
        <v>0</v>
      </c>
      <c r="S198" s="201"/>
      <c r="T198" s="395" t="s">
        <v>1089</v>
      </c>
    </row>
    <row r="199" spans="3:20" ht="12.75" hidden="1" customHeight="1" outlineLevel="1">
      <c r="C199" s="282">
        <v>1</v>
      </c>
      <c r="D199" s="226">
        <v>7</v>
      </c>
      <c r="E199" s="220" t="s">
        <v>39</v>
      </c>
      <c r="F199" s="220"/>
      <c r="G199" s="200"/>
      <c r="H199" s="370">
        <f t="shared" si="102"/>
        <v>0</v>
      </c>
      <c r="I199" s="342"/>
      <c r="J199" s="370">
        <f t="shared" si="98"/>
        <v>0</v>
      </c>
      <c r="K199" s="342"/>
      <c r="L199" s="370">
        <f t="shared" si="99"/>
        <v>0</v>
      </c>
      <c r="M199" s="342"/>
      <c r="N199" s="370">
        <f t="shared" si="100"/>
        <v>0</v>
      </c>
      <c r="O199" s="342"/>
      <c r="P199" s="370">
        <f t="shared" si="101"/>
        <v>1</v>
      </c>
      <c r="Q199" s="342"/>
      <c r="R199" s="220">
        <f t="shared" si="97"/>
        <v>0</v>
      </c>
      <c r="S199" s="201"/>
      <c r="T199" s="395" t="s">
        <v>1089</v>
      </c>
    </row>
    <row r="200" spans="3:20" ht="12.75" hidden="1" customHeight="1" outlineLevel="1">
      <c r="C200" s="282">
        <v>1</v>
      </c>
      <c r="D200" s="226">
        <v>8</v>
      </c>
      <c r="E200" s="220" t="s">
        <v>40</v>
      </c>
      <c r="F200" s="220"/>
      <c r="G200" s="200"/>
      <c r="H200" s="370">
        <f t="shared" si="102"/>
        <v>0</v>
      </c>
      <c r="I200" s="342"/>
      <c r="J200" s="370">
        <f t="shared" si="98"/>
        <v>0</v>
      </c>
      <c r="K200" s="342"/>
      <c r="L200" s="370">
        <f t="shared" si="99"/>
        <v>0</v>
      </c>
      <c r="M200" s="342"/>
      <c r="N200" s="370">
        <f t="shared" si="100"/>
        <v>0</v>
      </c>
      <c r="O200" s="342"/>
      <c r="P200" s="370">
        <f t="shared" si="101"/>
        <v>1</v>
      </c>
      <c r="Q200" s="342"/>
      <c r="R200" s="220">
        <f t="shared" si="97"/>
        <v>0</v>
      </c>
      <c r="S200" s="201"/>
      <c r="T200" s="395" t="s">
        <v>1089</v>
      </c>
    </row>
    <row r="201" spans="3:20" ht="12.75" hidden="1" customHeight="1" outlineLevel="1">
      <c r="C201" s="282"/>
      <c r="D201" s="226"/>
      <c r="E201" s="220"/>
      <c r="F201" s="220"/>
      <c r="G201" s="200"/>
      <c r="H201" s="371"/>
      <c r="I201" s="342"/>
      <c r="J201" s="342"/>
      <c r="K201" s="342"/>
      <c r="L201" s="342"/>
      <c r="M201" s="342"/>
      <c r="N201" s="342"/>
      <c r="O201" s="342"/>
      <c r="P201" s="342"/>
      <c r="Q201" s="342"/>
      <c r="R201" s="220"/>
      <c r="S201" s="201"/>
      <c r="T201" s="395" t="s">
        <v>1089</v>
      </c>
    </row>
    <row r="202" spans="3:20" ht="12.75" hidden="1" customHeight="1" outlineLevel="1">
      <c r="C202" s="282"/>
      <c r="D202" s="226"/>
      <c r="E202" s="220"/>
      <c r="F202" s="220"/>
      <c r="G202" s="200"/>
      <c r="H202" s="200" t="s">
        <v>134</v>
      </c>
      <c r="I202" s="342"/>
      <c r="J202" s="200" t="s">
        <v>134</v>
      </c>
      <c r="K202" s="342"/>
      <c r="L202" s="200" t="s">
        <v>134</v>
      </c>
      <c r="M202" s="342"/>
      <c r="N202" s="200" t="s">
        <v>134</v>
      </c>
      <c r="O202" s="342"/>
      <c r="P202" s="200" t="s">
        <v>134</v>
      </c>
      <c r="Q202" s="342"/>
      <c r="R202" s="220"/>
      <c r="S202" s="201"/>
      <c r="T202" s="395" t="s">
        <v>1089</v>
      </c>
    </row>
    <row r="203" spans="3:20" ht="12.75" hidden="1" customHeight="1" outlineLevel="1">
      <c r="C203" s="282"/>
      <c r="D203" s="226"/>
      <c r="E203" s="220"/>
      <c r="F203" s="220"/>
      <c r="G203" s="200"/>
      <c r="H203" s="370"/>
      <c r="I203" s="342"/>
      <c r="J203" s="370"/>
      <c r="K203" s="342"/>
      <c r="L203" s="370"/>
      <c r="M203" s="342"/>
      <c r="N203" s="370"/>
      <c r="O203" s="342"/>
      <c r="P203" s="370"/>
      <c r="Q203" s="342"/>
      <c r="R203" s="220"/>
      <c r="S203" s="201"/>
      <c r="T203" s="395" t="s">
        <v>1089</v>
      </c>
    </row>
    <row r="204" spans="3:20" ht="12.75" hidden="1" customHeight="1" outlineLevel="1">
      <c r="C204" s="282"/>
      <c r="D204" s="226"/>
      <c r="E204" s="220"/>
      <c r="F204" s="220"/>
      <c r="G204" s="200"/>
      <c r="H204" s="370"/>
      <c r="I204" s="342"/>
      <c r="J204" s="370"/>
      <c r="K204" s="342"/>
      <c r="L204" s="370"/>
      <c r="M204" s="342"/>
      <c r="N204" s="370"/>
      <c r="O204" s="342"/>
      <c r="P204" s="370"/>
      <c r="Q204" s="342"/>
      <c r="R204" s="220"/>
      <c r="S204" s="201"/>
      <c r="T204" s="395" t="s">
        <v>1089</v>
      </c>
    </row>
    <row r="205" spans="3:20" ht="12.75" hidden="1" customHeight="1" outlineLevel="1">
      <c r="C205" s="282"/>
      <c r="D205" s="226"/>
      <c r="E205" s="220"/>
      <c r="F205" s="220"/>
      <c r="G205" s="200"/>
      <c r="H205" s="370">
        <f t="shared" ref="H205:H212" si="103">$H$98*H193</f>
        <v>0</v>
      </c>
      <c r="I205" s="342"/>
      <c r="J205" s="370">
        <f t="shared" ref="J205:J212" si="104">$J193*$J$98</f>
        <v>0</v>
      </c>
      <c r="K205" s="342"/>
      <c r="L205" s="370">
        <f t="shared" ref="L205:L212" si="105">$L193*$L$98</f>
        <v>0</v>
      </c>
      <c r="M205" s="342"/>
      <c r="N205" s="370">
        <f t="shared" ref="N205:N212" si="106">$N193*$N$98</f>
        <v>0</v>
      </c>
      <c r="O205" s="342"/>
      <c r="P205" s="370">
        <f t="shared" ref="P205:P212" si="107">$P193*$P$98</f>
        <v>0</v>
      </c>
      <c r="Q205" s="342"/>
      <c r="R205" s="220"/>
      <c r="S205" s="201"/>
      <c r="T205" s="395" t="s">
        <v>1089</v>
      </c>
    </row>
    <row r="206" spans="3:20" ht="12.75" hidden="1" customHeight="1" outlineLevel="1">
      <c r="C206" s="282"/>
      <c r="D206" s="226"/>
      <c r="E206" s="220"/>
      <c r="F206" s="220"/>
      <c r="G206" s="200"/>
      <c r="H206" s="370">
        <f>$H$98*H194</f>
        <v>0</v>
      </c>
      <c r="I206" s="342"/>
      <c r="J206" s="370">
        <f t="shared" si="104"/>
        <v>0</v>
      </c>
      <c r="K206" s="342"/>
      <c r="L206" s="370">
        <f t="shared" si="105"/>
        <v>0</v>
      </c>
      <c r="M206" s="342"/>
      <c r="N206" s="370">
        <f t="shared" si="106"/>
        <v>0</v>
      </c>
      <c r="O206" s="342"/>
      <c r="P206" s="370">
        <f t="shared" si="107"/>
        <v>0</v>
      </c>
      <c r="Q206" s="342"/>
      <c r="R206" s="220"/>
      <c r="S206" s="201"/>
      <c r="T206" s="395" t="s">
        <v>1089</v>
      </c>
    </row>
    <row r="207" spans="3:20" ht="12.75" hidden="1" customHeight="1" outlineLevel="1">
      <c r="C207" s="282"/>
      <c r="D207" s="226"/>
      <c r="E207" s="220"/>
      <c r="F207" s="220"/>
      <c r="G207" s="200"/>
      <c r="H207" s="370">
        <f t="shared" si="103"/>
        <v>0</v>
      </c>
      <c r="I207" s="342"/>
      <c r="J207" s="370">
        <f t="shared" si="104"/>
        <v>0</v>
      </c>
      <c r="K207" s="342"/>
      <c r="L207" s="370">
        <f t="shared" si="105"/>
        <v>0</v>
      </c>
      <c r="M207" s="342"/>
      <c r="N207" s="370">
        <f t="shared" si="106"/>
        <v>0</v>
      </c>
      <c r="O207" s="342"/>
      <c r="P207" s="370">
        <f t="shared" si="107"/>
        <v>0</v>
      </c>
      <c r="Q207" s="342"/>
      <c r="R207" s="220"/>
      <c r="S207" s="201"/>
      <c r="T207" s="395" t="s">
        <v>1089</v>
      </c>
    </row>
    <row r="208" spans="3:20" ht="12.75" hidden="1" customHeight="1" outlineLevel="1">
      <c r="C208" s="282"/>
      <c r="D208" s="226"/>
      <c r="E208" s="220"/>
      <c r="F208" s="220"/>
      <c r="G208" s="200"/>
      <c r="H208" s="370">
        <f t="shared" si="103"/>
        <v>0</v>
      </c>
      <c r="I208" s="342"/>
      <c r="J208" s="370">
        <f t="shared" si="104"/>
        <v>0</v>
      </c>
      <c r="K208" s="342"/>
      <c r="L208" s="370">
        <f t="shared" si="105"/>
        <v>0</v>
      </c>
      <c r="M208" s="342"/>
      <c r="N208" s="370">
        <f t="shared" si="106"/>
        <v>0</v>
      </c>
      <c r="O208" s="342"/>
      <c r="P208" s="370">
        <f t="shared" si="107"/>
        <v>0</v>
      </c>
      <c r="Q208" s="342"/>
      <c r="R208" s="220"/>
      <c r="S208" s="201"/>
      <c r="T208" s="395" t="s">
        <v>1089</v>
      </c>
    </row>
    <row r="209" spans="3:20" ht="12.75" hidden="1" customHeight="1" outlineLevel="1">
      <c r="C209" s="282"/>
      <c r="D209" s="226"/>
      <c r="E209" s="220"/>
      <c r="F209" s="220"/>
      <c r="G209" s="200"/>
      <c r="H209" s="370">
        <f t="shared" si="103"/>
        <v>0</v>
      </c>
      <c r="I209" s="342"/>
      <c r="J209" s="370">
        <f t="shared" si="104"/>
        <v>0</v>
      </c>
      <c r="K209" s="342"/>
      <c r="L209" s="370">
        <f t="shared" si="105"/>
        <v>0</v>
      </c>
      <c r="M209" s="342"/>
      <c r="N209" s="370">
        <f t="shared" si="106"/>
        <v>0</v>
      </c>
      <c r="O209" s="342"/>
      <c r="P209" s="370">
        <f t="shared" si="107"/>
        <v>0</v>
      </c>
      <c r="Q209" s="342"/>
      <c r="R209" s="220"/>
      <c r="S209" s="201"/>
      <c r="T209" s="395" t="s">
        <v>1089</v>
      </c>
    </row>
    <row r="210" spans="3:20" ht="12.75" hidden="1" customHeight="1" outlineLevel="1">
      <c r="C210" s="282"/>
      <c r="D210" s="226"/>
      <c r="E210" s="220"/>
      <c r="F210" s="220"/>
      <c r="G210" s="200"/>
      <c r="H210" s="370">
        <f t="shared" si="103"/>
        <v>0</v>
      </c>
      <c r="I210" s="342"/>
      <c r="J210" s="370">
        <f t="shared" si="104"/>
        <v>0</v>
      </c>
      <c r="K210" s="342"/>
      <c r="L210" s="370">
        <f t="shared" si="105"/>
        <v>0</v>
      </c>
      <c r="M210" s="342"/>
      <c r="N210" s="370">
        <f t="shared" si="106"/>
        <v>0</v>
      </c>
      <c r="O210" s="342"/>
      <c r="P210" s="370">
        <f t="shared" si="107"/>
        <v>0</v>
      </c>
      <c r="Q210" s="342"/>
      <c r="R210" s="220"/>
      <c r="S210" s="201"/>
      <c r="T210" s="395" t="s">
        <v>1089</v>
      </c>
    </row>
    <row r="211" spans="3:20" ht="12.75" hidden="1" customHeight="1" outlineLevel="1">
      <c r="C211" s="282"/>
      <c r="D211" s="226"/>
      <c r="E211" s="220"/>
      <c r="F211" s="220"/>
      <c r="G211" s="200"/>
      <c r="H211" s="370">
        <f t="shared" si="103"/>
        <v>0</v>
      </c>
      <c r="I211" s="342"/>
      <c r="J211" s="370">
        <f t="shared" si="104"/>
        <v>0</v>
      </c>
      <c r="K211" s="342"/>
      <c r="L211" s="370">
        <f t="shared" si="105"/>
        <v>0</v>
      </c>
      <c r="M211" s="342"/>
      <c r="N211" s="370">
        <f t="shared" si="106"/>
        <v>0</v>
      </c>
      <c r="O211" s="342"/>
      <c r="P211" s="370">
        <f t="shared" si="107"/>
        <v>0</v>
      </c>
      <c r="Q211" s="342"/>
      <c r="R211" s="220"/>
      <c r="S211" s="201"/>
      <c r="T211" s="395" t="s">
        <v>1089</v>
      </c>
    </row>
    <row r="212" spans="3:20" ht="12.75" hidden="1" customHeight="1" outlineLevel="1">
      <c r="C212" s="282"/>
      <c r="D212" s="282"/>
      <c r="E212" s="282"/>
      <c r="F212" s="282"/>
      <c r="G212" s="282"/>
      <c r="H212" s="370">
        <f t="shared" si="103"/>
        <v>0</v>
      </c>
      <c r="I212" s="342"/>
      <c r="J212" s="370">
        <f t="shared" si="104"/>
        <v>0</v>
      </c>
      <c r="K212" s="342"/>
      <c r="L212" s="370">
        <f t="shared" si="105"/>
        <v>0</v>
      </c>
      <c r="M212" s="342"/>
      <c r="N212" s="370">
        <f t="shared" si="106"/>
        <v>0</v>
      </c>
      <c r="O212" s="342"/>
      <c r="P212" s="370">
        <f t="shared" si="107"/>
        <v>0</v>
      </c>
      <c r="Q212" s="282"/>
      <c r="R212" s="282"/>
      <c r="S212" s="344"/>
      <c r="T212" s="395" t="s">
        <v>1089</v>
      </c>
    </row>
    <row r="213" spans="3:20" ht="12.75" hidden="1" customHeight="1" outlineLevel="1">
      <c r="C213" s="282"/>
      <c r="D213" s="282"/>
      <c r="E213" s="282"/>
      <c r="F213" s="282"/>
      <c r="G213" s="282"/>
      <c r="H213" s="342"/>
      <c r="I213" s="342"/>
      <c r="J213" s="342"/>
      <c r="K213" s="342"/>
      <c r="L213" s="342"/>
      <c r="M213" s="342"/>
      <c r="N213" s="342"/>
      <c r="O213" s="342"/>
      <c r="P213" s="342"/>
      <c r="Q213" s="282"/>
      <c r="R213" s="282"/>
      <c r="S213" s="344"/>
      <c r="T213" s="395" t="s">
        <v>1089</v>
      </c>
    </row>
    <row r="214" spans="3:20" ht="12.75" hidden="1" customHeight="1" outlineLevel="1">
      <c r="C214" s="282"/>
      <c r="D214" s="200"/>
      <c r="E214" s="226"/>
      <c r="F214" s="200"/>
      <c r="G214" s="200"/>
      <c r="H214" s="226" t="s">
        <v>141</v>
      </c>
      <c r="I214" s="342"/>
      <c r="J214" s="226" t="s">
        <v>142</v>
      </c>
      <c r="K214" s="342"/>
      <c r="L214" s="226" t="s">
        <v>143</v>
      </c>
      <c r="M214" s="342"/>
      <c r="N214" s="226" t="s">
        <v>144</v>
      </c>
      <c r="O214" s="342"/>
      <c r="P214" s="226" t="s">
        <v>132</v>
      </c>
      <c r="Q214" s="226"/>
      <c r="R214" s="200"/>
      <c r="S214" s="344"/>
      <c r="T214" s="395" t="s">
        <v>1089</v>
      </c>
    </row>
    <row r="215" spans="3:20" ht="12.75" hidden="1" customHeight="1" outlineLevel="1">
      <c r="C215" s="282"/>
      <c r="D215" s="200"/>
      <c r="E215" s="270" t="s">
        <v>4</v>
      </c>
      <c r="F215" s="271"/>
      <c r="G215" s="279"/>
      <c r="H215" s="370"/>
      <c r="I215" s="342"/>
      <c r="J215" s="370"/>
      <c r="K215" s="342"/>
      <c r="L215" s="370"/>
      <c r="M215" s="342"/>
      <c r="N215" s="370"/>
      <c r="O215" s="342"/>
      <c r="P215" s="200"/>
      <c r="Q215" s="226"/>
      <c r="R215" s="220"/>
      <c r="S215" s="344"/>
      <c r="T215" s="395" t="s">
        <v>1089</v>
      </c>
    </row>
    <row r="216" spans="3:20" ht="12.75" hidden="1" customHeight="1" outlineLevel="1">
      <c r="C216" s="282"/>
      <c r="D216" s="200"/>
      <c r="E216" s="273" t="s">
        <v>5</v>
      </c>
      <c r="F216" s="274"/>
      <c r="G216" s="275"/>
      <c r="H216" s="370"/>
      <c r="I216" s="342"/>
      <c r="J216" s="370"/>
      <c r="K216" s="342"/>
      <c r="L216" s="370"/>
      <c r="M216" s="342"/>
      <c r="N216" s="370"/>
      <c r="O216" s="342"/>
      <c r="P216" s="200"/>
      <c r="Q216" s="226"/>
      <c r="R216" s="220"/>
      <c r="S216" s="344"/>
      <c r="T216" s="395" t="s">
        <v>1089</v>
      </c>
    </row>
    <row r="217" spans="3:20" ht="12.75" hidden="1" customHeight="1" outlineLevel="1">
      <c r="C217" s="282"/>
      <c r="D217" s="226">
        <v>1</v>
      </c>
      <c r="E217" s="220" t="s">
        <v>33</v>
      </c>
      <c r="F217" s="220"/>
      <c r="G217" s="200"/>
      <c r="H217" s="370">
        <f t="shared" ref="H217:H223" ca="1" si="108">SUMIF($H$123:$Q$123,"=1",H205:P205)</f>
        <v>0</v>
      </c>
      <c r="I217" s="342"/>
      <c r="J217" s="370">
        <f t="shared" ref="J217:J224" ca="1" si="109">SUMIF($H$123:$Q$123,"=2",$H205:$P205)</f>
        <v>0</v>
      </c>
      <c r="K217" s="342"/>
      <c r="L217" s="370">
        <f t="shared" ref="L217:L224" ca="1" si="110">SUMIF($H$123:$Q$123,"=3",$H205:$P205)</f>
        <v>0</v>
      </c>
      <c r="M217" s="342"/>
      <c r="N217" s="370">
        <f t="shared" ref="N217:N224" ca="1" si="111">SUMIF($H$123:$Q$123,"=4",$H205:$P205)</f>
        <v>0</v>
      </c>
      <c r="O217" s="342"/>
      <c r="P217" s="200">
        <f t="shared" ref="P217:P224" ca="1" si="112">SUM(H217:N217)</f>
        <v>0</v>
      </c>
      <c r="Q217" s="226"/>
      <c r="R217" s="220"/>
      <c r="S217" s="344"/>
      <c r="T217" s="395" t="s">
        <v>1089</v>
      </c>
    </row>
    <row r="218" spans="3:20" ht="12.75" hidden="1" customHeight="1" outlineLevel="1">
      <c r="C218" s="282"/>
      <c r="D218" s="226">
        <v>2</v>
      </c>
      <c r="E218" s="220" t="s">
        <v>34</v>
      </c>
      <c r="F218" s="220"/>
      <c r="G218" s="200"/>
      <c r="H218" s="370">
        <f t="shared" ca="1" si="108"/>
        <v>0</v>
      </c>
      <c r="I218" s="342"/>
      <c r="J218" s="370">
        <f t="shared" ca="1" si="109"/>
        <v>0</v>
      </c>
      <c r="K218" s="342"/>
      <c r="L218" s="370">
        <f t="shared" ca="1" si="110"/>
        <v>0</v>
      </c>
      <c r="M218" s="342"/>
      <c r="N218" s="370">
        <f t="shared" ca="1" si="111"/>
        <v>0</v>
      </c>
      <c r="O218" s="342"/>
      <c r="P218" s="200">
        <f t="shared" ca="1" si="112"/>
        <v>0</v>
      </c>
      <c r="Q218" s="226"/>
      <c r="R218" s="220"/>
      <c r="S218" s="344"/>
      <c r="T218" s="395" t="s">
        <v>1089</v>
      </c>
    </row>
    <row r="219" spans="3:20" ht="12.75" hidden="1" customHeight="1" outlineLevel="1">
      <c r="C219" s="282"/>
      <c r="D219" s="226">
        <v>3</v>
      </c>
      <c r="E219" s="220" t="s">
        <v>35</v>
      </c>
      <c r="F219" s="220"/>
      <c r="G219" s="200"/>
      <c r="H219" s="370">
        <f t="shared" ca="1" si="108"/>
        <v>0</v>
      </c>
      <c r="I219" s="342"/>
      <c r="J219" s="370">
        <f t="shared" ca="1" si="109"/>
        <v>0</v>
      </c>
      <c r="K219" s="342"/>
      <c r="L219" s="370">
        <f t="shared" ca="1" si="110"/>
        <v>0</v>
      </c>
      <c r="M219" s="342"/>
      <c r="N219" s="370">
        <f t="shared" ca="1" si="111"/>
        <v>0</v>
      </c>
      <c r="O219" s="342"/>
      <c r="P219" s="200">
        <f t="shared" ca="1" si="112"/>
        <v>0</v>
      </c>
      <c r="Q219" s="226"/>
      <c r="R219" s="220"/>
      <c r="S219" s="344"/>
      <c r="T219" s="395" t="s">
        <v>1089</v>
      </c>
    </row>
    <row r="220" spans="3:20" ht="12.75" hidden="1" customHeight="1" outlineLevel="1">
      <c r="C220" s="282"/>
      <c r="D220" s="226">
        <v>4</v>
      </c>
      <c r="E220" s="220" t="s">
        <v>36</v>
      </c>
      <c r="F220" s="220"/>
      <c r="G220" s="200"/>
      <c r="H220" s="370">
        <f t="shared" ca="1" si="108"/>
        <v>0</v>
      </c>
      <c r="I220" s="342"/>
      <c r="J220" s="370">
        <f t="shared" ca="1" si="109"/>
        <v>0</v>
      </c>
      <c r="K220" s="342"/>
      <c r="L220" s="370">
        <f t="shared" ca="1" si="110"/>
        <v>0</v>
      </c>
      <c r="M220" s="342"/>
      <c r="N220" s="370">
        <f t="shared" ca="1" si="111"/>
        <v>0</v>
      </c>
      <c r="O220" s="342"/>
      <c r="P220" s="200">
        <f t="shared" ca="1" si="112"/>
        <v>0</v>
      </c>
      <c r="Q220" s="226"/>
      <c r="R220" s="220"/>
      <c r="S220" s="344"/>
      <c r="T220" s="395" t="s">
        <v>1089</v>
      </c>
    </row>
    <row r="221" spans="3:20" ht="12.75" hidden="1" customHeight="1" outlineLevel="1">
      <c r="C221" s="282"/>
      <c r="D221" s="226">
        <v>5</v>
      </c>
      <c r="E221" s="220" t="s">
        <v>37</v>
      </c>
      <c r="F221" s="220"/>
      <c r="G221" s="200"/>
      <c r="H221" s="370">
        <f t="shared" ca="1" si="108"/>
        <v>0</v>
      </c>
      <c r="I221" s="342"/>
      <c r="J221" s="370">
        <f t="shared" ca="1" si="109"/>
        <v>0</v>
      </c>
      <c r="K221" s="342"/>
      <c r="L221" s="370">
        <f t="shared" ca="1" si="110"/>
        <v>0</v>
      </c>
      <c r="M221" s="342"/>
      <c r="N221" s="370">
        <f t="shared" ca="1" si="111"/>
        <v>0</v>
      </c>
      <c r="O221" s="342"/>
      <c r="P221" s="200">
        <f t="shared" ca="1" si="112"/>
        <v>0</v>
      </c>
      <c r="Q221" s="226"/>
      <c r="R221" s="220"/>
      <c r="S221" s="344"/>
      <c r="T221" s="395" t="s">
        <v>1089</v>
      </c>
    </row>
    <row r="222" spans="3:20" ht="12.75" hidden="1" customHeight="1" outlineLevel="1">
      <c r="C222" s="282"/>
      <c r="D222" s="226">
        <v>6</v>
      </c>
      <c r="E222" s="220" t="s">
        <v>38</v>
      </c>
      <c r="F222" s="220"/>
      <c r="G222" s="200"/>
      <c r="H222" s="370">
        <f t="shared" ca="1" si="108"/>
        <v>0</v>
      </c>
      <c r="I222" s="342"/>
      <c r="J222" s="370">
        <f t="shared" ca="1" si="109"/>
        <v>0</v>
      </c>
      <c r="K222" s="342"/>
      <c r="L222" s="370">
        <f t="shared" ca="1" si="110"/>
        <v>0</v>
      </c>
      <c r="M222" s="342"/>
      <c r="N222" s="370">
        <f t="shared" ca="1" si="111"/>
        <v>0</v>
      </c>
      <c r="O222" s="342"/>
      <c r="P222" s="200">
        <f t="shared" ca="1" si="112"/>
        <v>0</v>
      </c>
      <c r="Q222" s="226"/>
      <c r="R222" s="220"/>
      <c r="S222" s="344"/>
      <c r="T222" s="395" t="s">
        <v>1089</v>
      </c>
    </row>
    <row r="223" spans="3:20" ht="12.75" hidden="1" customHeight="1" outlineLevel="1">
      <c r="C223" s="282"/>
      <c r="D223" s="226">
        <v>7</v>
      </c>
      <c r="E223" s="220" t="s">
        <v>39</v>
      </c>
      <c r="F223" s="220"/>
      <c r="G223" s="200"/>
      <c r="H223" s="370">
        <f t="shared" ca="1" si="108"/>
        <v>0</v>
      </c>
      <c r="I223" s="342"/>
      <c r="J223" s="370">
        <f t="shared" ca="1" si="109"/>
        <v>0</v>
      </c>
      <c r="K223" s="342"/>
      <c r="L223" s="370">
        <f t="shared" ca="1" si="110"/>
        <v>0</v>
      </c>
      <c r="M223" s="342"/>
      <c r="N223" s="370">
        <f t="shared" ca="1" si="111"/>
        <v>0</v>
      </c>
      <c r="O223" s="342"/>
      <c r="P223" s="200">
        <f t="shared" ca="1" si="112"/>
        <v>0</v>
      </c>
      <c r="Q223" s="226"/>
      <c r="R223" s="220"/>
      <c r="S223" s="344"/>
      <c r="T223" s="395" t="s">
        <v>1089</v>
      </c>
    </row>
    <row r="224" spans="3:20" ht="12.75" hidden="1" customHeight="1" outlineLevel="1">
      <c r="C224" s="282"/>
      <c r="D224" s="226">
        <v>8</v>
      </c>
      <c r="E224" s="220" t="s">
        <v>40</v>
      </c>
      <c r="F224" s="220"/>
      <c r="G224" s="200"/>
      <c r="H224" s="370">
        <f ca="1">SUMIF($H$123:$Q$123,"=1",H212:P212)</f>
        <v>0</v>
      </c>
      <c r="I224" s="342"/>
      <c r="J224" s="370">
        <f t="shared" ca="1" si="109"/>
        <v>0</v>
      </c>
      <c r="K224" s="342"/>
      <c r="L224" s="370">
        <f t="shared" ca="1" si="110"/>
        <v>0</v>
      </c>
      <c r="M224" s="342"/>
      <c r="N224" s="370">
        <f t="shared" ca="1" si="111"/>
        <v>0</v>
      </c>
      <c r="O224" s="342"/>
      <c r="P224" s="200">
        <f t="shared" ca="1" si="112"/>
        <v>0</v>
      </c>
      <c r="Q224" s="226"/>
      <c r="R224" s="220"/>
      <c r="S224" s="344"/>
      <c r="T224" s="395" t="s">
        <v>1089</v>
      </c>
    </row>
    <row r="225" spans="2:32" hidden="1" outlineLevel="1">
      <c r="C225" s="282"/>
      <c r="D225" s="226"/>
      <c r="E225" s="220"/>
      <c r="F225" s="220"/>
      <c r="G225" s="200"/>
      <c r="H225" s="342"/>
      <c r="I225" s="342"/>
      <c r="J225" s="342"/>
      <c r="K225" s="342"/>
      <c r="L225" s="342"/>
      <c r="M225" s="342"/>
      <c r="N225" s="342"/>
      <c r="O225" s="342"/>
      <c r="P225" s="200"/>
      <c r="Q225" s="226"/>
      <c r="R225" s="220"/>
      <c r="S225" s="201"/>
      <c r="T225" s="395" t="s">
        <v>1089</v>
      </c>
    </row>
    <row r="226" spans="2:32" hidden="1" outlineLevel="1">
      <c r="B226" s="390"/>
      <c r="C226" s="282"/>
      <c r="D226" s="226"/>
      <c r="E226" s="220"/>
      <c r="F226" s="220"/>
      <c r="G226" s="200"/>
      <c r="H226" s="342"/>
      <c r="I226" s="342"/>
      <c r="J226" s="342"/>
      <c r="K226" s="342"/>
      <c r="L226" s="342"/>
      <c r="M226" s="342"/>
      <c r="N226" s="342"/>
      <c r="O226" s="342"/>
      <c r="P226" s="200"/>
      <c r="Q226" s="226"/>
      <c r="R226" s="220"/>
      <c r="S226" s="201"/>
      <c r="T226" s="402" t="s">
        <v>1089</v>
      </c>
      <c r="U226" s="390"/>
      <c r="V226" s="390"/>
      <c r="W226" s="390"/>
      <c r="X226" s="390"/>
      <c r="Y226" s="390"/>
      <c r="Z226" s="390"/>
      <c r="AA226" s="390"/>
      <c r="AB226" s="390"/>
      <c r="AC226" s="390"/>
      <c r="AD226" s="390"/>
      <c r="AE226" s="390"/>
      <c r="AF226" s="390"/>
    </row>
    <row r="227" spans="2:32" ht="18" collapsed="1">
      <c r="C227" s="282"/>
      <c r="D227" s="362" t="s">
        <v>1098</v>
      </c>
      <c r="E227" s="360" t="s">
        <v>1097</v>
      </c>
      <c r="F227" s="226"/>
      <c r="G227" s="202"/>
      <c r="H227" s="372"/>
      <c r="I227" s="342"/>
      <c r="J227" s="372"/>
      <c r="K227" s="372"/>
      <c r="L227" s="372"/>
      <c r="M227" s="342"/>
      <c r="N227" s="372"/>
      <c r="O227" s="372"/>
      <c r="P227" s="372"/>
      <c r="Q227" s="372"/>
      <c r="R227" s="220"/>
      <c r="S227" s="201"/>
      <c r="T227" s="395" t="s">
        <v>1089</v>
      </c>
    </row>
    <row r="228" spans="2:32" ht="15">
      <c r="C228" s="282"/>
      <c r="D228" s="200"/>
      <c r="E228" s="226"/>
      <c r="F228" s="226"/>
      <c r="G228" s="202"/>
      <c r="H228" s="494" t="s">
        <v>1602</v>
      </c>
      <c r="I228" s="494"/>
      <c r="J228" s="494"/>
      <c r="K228" s="494"/>
      <c r="L228" s="494"/>
      <c r="M228" s="482"/>
      <c r="N228" s="372"/>
      <c r="O228" s="372"/>
      <c r="P228" s="372"/>
      <c r="Q228" s="372"/>
      <c r="R228" s="220"/>
      <c r="S228" s="201"/>
      <c r="T228" s="395" t="s">
        <v>1089</v>
      </c>
    </row>
    <row r="229" spans="2:32" ht="15.75">
      <c r="B229" s="390"/>
      <c r="C229" s="282"/>
      <c r="D229" s="200"/>
      <c r="E229" s="226"/>
      <c r="F229" s="226"/>
      <c r="G229" s="294" t="s">
        <v>1114</v>
      </c>
      <c r="H229" s="587" t="str">
        <f ca="1">IFERROR(IFERROR(VLOOKUP(MIN(StorageDevices!$S$13:$S$1019),StorageDevices!$S$13:$Z$1019,8,TRUE),"Multiple options possible. Lowest overhead: " &amp; ROUND(MIN(StorageDevices!$S$13:$S$1019)*100,2) &amp;"%"),"n/a")</f>
        <v>n/a</v>
      </c>
      <c r="I229" s="588"/>
      <c r="J229" s="588"/>
      <c r="K229" s="588"/>
      <c r="L229" s="589"/>
      <c r="M229" s="485" t="s">
        <v>1604</v>
      </c>
      <c r="N229" s="484">
        <f ca="1">IFERROR(VLOOKUP(H230,StorageDevices!Z13:AH1019,8,FALSE),0)</f>
        <v>0</v>
      </c>
      <c r="O229" s="372"/>
      <c r="P229" s="372"/>
      <c r="Q229" s="372"/>
      <c r="R229" s="220"/>
      <c r="S229" s="201"/>
      <c r="T229" s="395" t="s">
        <v>1089</v>
      </c>
      <c r="U229" s="390"/>
      <c r="V229" s="390"/>
      <c r="W229" s="390"/>
      <c r="X229" s="390"/>
      <c r="Y229" s="390"/>
      <c r="Z229" s="390"/>
      <c r="AA229" s="390"/>
      <c r="AB229" s="390"/>
      <c r="AC229" s="390"/>
      <c r="AD229" s="390"/>
      <c r="AE229" s="390"/>
      <c r="AF229" s="390"/>
    </row>
    <row r="230" spans="2:32" ht="25.5">
      <c r="C230" s="282"/>
      <c r="D230" s="282"/>
      <c r="E230" s="292" t="s">
        <v>230</v>
      </c>
      <c r="F230" s="293"/>
      <c r="G230" s="294" t="s">
        <v>1116</v>
      </c>
      <c r="H230" s="635" t="s">
        <v>55</v>
      </c>
      <c r="I230" s="636"/>
      <c r="J230" s="636"/>
      <c r="K230" s="636"/>
      <c r="L230" s="637"/>
      <c r="M230" s="248" t="s">
        <v>49</v>
      </c>
      <c r="N230" s="22">
        <f ca="1">IFERROR(VLOOKUP(H230,StorageDevices!Z13:AH1019,3,FALSE),0)</f>
        <v>0</v>
      </c>
      <c r="O230" s="347" t="s">
        <v>145</v>
      </c>
      <c r="P230" s="30">
        <f ca="1">IFERROR(VLOOKUP(H230,StorageDevices!Z13:AH1019,4,FALSE),0)</f>
        <v>0</v>
      </c>
      <c r="Q230" s="346" t="s">
        <v>1082</v>
      </c>
      <c r="R230" s="30">
        <f ca="1">IFERROR(VLOOKUP(H230,StorageDevices!Z13:AH1019,5,FALSE)/1024,0)</f>
        <v>0</v>
      </c>
      <c r="S230" s="201"/>
      <c r="T230" s="395" t="b">
        <f ca="1">IF(OR(AND($H$185&lt;&gt;0,$H$230&lt;&gt;"None",N230&lt;&gt;0),$H$185=0),TRUE,FALSE)</f>
        <v>1</v>
      </c>
    </row>
    <row r="231" spans="2:32" ht="12.75" customHeight="1">
      <c r="C231" s="282"/>
      <c r="D231" s="200"/>
      <c r="E231" s="293"/>
      <c r="F231" s="293"/>
      <c r="G231" s="293"/>
      <c r="H231" s="200"/>
      <c r="I231" s="200"/>
      <c r="J231" s="226"/>
      <c r="K231" s="226"/>
      <c r="L231" s="200"/>
      <c r="M231" s="200"/>
      <c r="N231" s="200"/>
      <c r="O231" s="200"/>
      <c r="P231" s="200"/>
      <c r="Q231" s="200"/>
      <c r="R231" s="200"/>
      <c r="S231" s="345"/>
      <c r="T231" s="395" t="s">
        <v>1089</v>
      </c>
    </row>
    <row r="232" spans="2:32" ht="13.5" customHeight="1">
      <c r="C232" s="282"/>
      <c r="D232" s="282"/>
      <c r="E232" s="295"/>
      <c r="F232" s="295"/>
      <c r="G232" s="295"/>
      <c r="H232" s="282"/>
      <c r="I232" s="282"/>
      <c r="J232" s="226"/>
      <c r="K232" s="226"/>
      <c r="L232" s="200"/>
      <c r="M232" s="200"/>
      <c r="N232" s="200"/>
      <c r="O232" s="200"/>
      <c r="P232" s="200"/>
      <c r="Q232" s="200"/>
      <c r="R232" s="200"/>
      <c r="S232" s="345"/>
      <c r="T232" s="395" t="s">
        <v>1089</v>
      </c>
    </row>
    <row r="233" spans="2:32">
      <c r="C233" s="282"/>
      <c r="D233" s="200"/>
      <c r="E233" s="226"/>
      <c r="F233" s="226"/>
      <c r="G233" s="202"/>
      <c r="H233" s="372"/>
      <c r="I233" s="342"/>
      <c r="J233" s="372"/>
      <c r="K233" s="372"/>
      <c r="L233" s="372"/>
      <c r="M233" s="342"/>
      <c r="N233" s="372"/>
      <c r="O233" s="372"/>
      <c r="P233" s="372"/>
      <c r="Q233" s="372"/>
      <c r="R233" s="220"/>
      <c r="S233" s="201"/>
      <c r="T233" s="395" t="s">
        <v>1089</v>
      </c>
    </row>
    <row r="234" spans="2:32" ht="15">
      <c r="C234" s="282"/>
      <c r="D234" s="200"/>
      <c r="E234" s="226"/>
      <c r="F234" s="226"/>
      <c r="G234" s="202"/>
      <c r="H234" s="494" t="s">
        <v>1602</v>
      </c>
      <c r="I234" s="494"/>
      <c r="J234" s="494"/>
      <c r="K234" s="494"/>
      <c r="L234" s="494"/>
      <c r="M234" s="342"/>
      <c r="N234" s="372"/>
      <c r="O234" s="372"/>
      <c r="P234" s="372"/>
      <c r="Q234" s="372"/>
      <c r="R234" s="220"/>
      <c r="S234" s="201"/>
      <c r="T234" s="395" t="s">
        <v>1089</v>
      </c>
    </row>
    <row r="235" spans="2:32" ht="15.75">
      <c r="B235" s="390"/>
      <c r="C235" s="282"/>
      <c r="D235" s="200"/>
      <c r="E235" s="226"/>
      <c r="F235" s="226"/>
      <c r="G235" s="294" t="s">
        <v>1114</v>
      </c>
      <c r="H235" s="587" t="str">
        <f ca="1">IFERROR(IFERROR(VLOOKUP(MIN(StorageDevices!$AN$13:$AN$1019),StorageDevices!$AN$13:$AU$1019,8,TRUE),"Multiple options possible. Lowest overhead: " &amp; ROUND(MIN(StorageDevices!$AN$13:$AN$1019)*100,2) &amp;"%"),"n/a")</f>
        <v>n/a</v>
      </c>
      <c r="I235" s="588"/>
      <c r="J235" s="588"/>
      <c r="K235" s="588"/>
      <c r="L235" s="589"/>
      <c r="M235" s="485" t="s">
        <v>1604</v>
      </c>
      <c r="N235" s="484">
        <f ca="1">IFERROR(VLOOKUP(H236,StorageDevices!AU13:BC1028,8,FALSE),0)</f>
        <v>0</v>
      </c>
      <c r="O235" s="372"/>
      <c r="P235" s="372"/>
      <c r="Q235" s="372"/>
      <c r="R235" s="220"/>
      <c r="S235" s="201"/>
      <c r="T235" s="395" t="s">
        <v>1089</v>
      </c>
      <c r="U235" s="390"/>
      <c r="V235" s="390"/>
      <c r="W235" s="390"/>
      <c r="X235" s="390"/>
      <c r="Y235" s="390"/>
      <c r="Z235" s="390"/>
      <c r="AA235" s="390"/>
      <c r="AB235" s="390"/>
      <c r="AC235" s="390"/>
      <c r="AD235" s="390"/>
      <c r="AE235" s="390"/>
      <c r="AF235" s="390"/>
    </row>
    <row r="236" spans="2:32" ht="25.5">
      <c r="C236" s="282"/>
      <c r="D236" s="282"/>
      <c r="E236" s="292" t="s">
        <v>231</v>
      </c>
      <c r="F236" s="293"/>
      <c r="G236" s="294" t="s">
        <v>1116</v>
      </c>
      <c r="H236" s="635" t="s">
        <v>55</v>
      </c>
      <c r="I236" s="636"/>
      <c r="J236" s="636"/>
      <c r="K236" s="636"/>
      <c r="L236" s="637"/>
      <c r="M236" s="248" t="s">
        <v>49</v>
      </c>
      <c r="N236" s="22">
        <f ca="1">IFERROR(VLOOKUP(H236,StorageDevices!AU13:BC1028,3,FALSE),0)</f>
        <v>0</v>
      </c>
      <c r="O236" s="347" t="s">
        <v>145</v>
      </c>
      <c r="P236" s="30">
        <f ca="1">IFERROR(VLOOKUP(H236,StorageDevices!AU13:BC1028,4,FALSE),0)</f>
        <v>0</v>
      </c>
      <c r="Q236" s="346" t="s">
        <v>1082</v>
      </c>
      <c r="R236" s="30">
        <f ca="1">IFERROR(VLOOKUP(H236,StorageDevices!AU13:BC1028,5,FALSE)/1024,0)</f>
        <v>0</v>
      </c>
      <c r="S236" s="201"/>
      <c r="T236" s="395" t="b">
        <f ca="1">IF(OR(AND($H$186&lt;&gt;0,$H$236&lt;&gt;"None"),N236&lt;&gt;0,$H$186=0),TRUE,FALSE)</f>
        <v>1</v>
      </c>
      <c r="U236" s="354"/>
    </row>
    <row r="237" spans="2:32" ht="12.75" customHeight="1">
      <c r="C237" s="282"/>
      <c r="D237" s="200"/>
      <c r="E237" s="293"/>
      <c r="F237" s="293"/>
      <c r="G237" s="293"/>
      <c r="H237" s="200"/>
      <c r="I237" s="200"/>
      <c r="J237" s="226"/>
      <c r="K237" s="226"/>
      <c r="L237" s="200"/>
      <c r="M237" s="200"/>
      <c r="N237" s="200"/>
      <c r="O237" s="200"/>
      <c r="P237" s="200"/>
      <c r="Q237" s="200"/>
      <c r="R237" s="200"/>
      <c r="S237" s="345"/>
      <c r="T237" s="395" t="s">
        <v>1089</v>
      </c>
    </row>
    <row r="238" spans="2:32" ht="15" customHeight="1" collapsed="1">
      <c r="C238" s="296"/>
      <c r="D238" s="199"/>
      <c r="E238" s="297"/>
      <c r="F238" s="297"/>
      <c r="G238" s="297"/>
      <c r="H238" s="199"/>
      <c r="I238" s="199"/>
      <c r="J238" s="199"/>
      <c r="K238" s="199"/>
      <c r="L238" s="199"/>
      <c r="M238" s="199"/>
      <c r="N238" s="199"/>
      <c r="O238" s="199"/>
      <c r="P238" s="199"/>
      <c r="Q238" s="199"/>
      <c r="R238" s="326"/>
      <c r="S238" s="211"/>
      <c r="T238" s="395" t="s">
        <v>1089</v>
      </c>
    </row>
    <row r="239" spans="2:32">
      <c r="C239" s="282"/>
      <c r="D239" s="200"/>
      <c r="E239" s="226"/>
      <c r="F239" s="226"/>
      <c r="G239" s="202"/>
      <c r="H239" s="372"/>
      <c r="I239" s="342"/>
      <c r="J239" s="372"/>
      <c r="K239" s="372"/>
      <c r="L239" s="372"/>
      <c r="M239" s="342"/>
      <c r="N239" s="372"/>
      <c r="O239" s="372"/>
      <c r="P239" s="372"/>
      <c r="Q239" s="372"/>
      <c r="R239" s="220"/>
      <c r="S239" s="201"/>
      <c r="T239" s="395" t="s">
        <v>1089</v>
      </c>
    </row>
    <row r="240" spans="2:32" ht="15">
      <c r="C240" s="282"/>
      <c r="D240" s="200"/>
      <c r="E240" s="226"/>
      <c r="F240" s="226"/>
      <c r="G240" s="202"/>
      <c r="H240" s="494" t="s">
        <v>1602</v>
      </c>
      <c r="I240" s="494"/>
      <c r="J240" s="494"/>
      <c r="K240" s="494"/>
      <c r="L240" s="494"/>
      <c r="M240" s="342"/>
      <c r="N240" s="372"/>
      <c r="O240" s="372"/>
      <c r="P240" s="372"/>
      <c r="Q240" s="372"/>
      <c r="R240" s="220"/>
      <c r="S240" s="201"/>
      <c r="T240" s="395" t="s">
        <v>1089</v>
      </c>
    </row>
    <row r="241" spans="2:43" ht="15.75">
      <c r="B241" s="390"/>
      <c r="C241" s="282"/>
      <c r="D241" s="200"/>
      <c r="E241" s="226"/>
      <c r="F241" s="226"/>
      <c r="G241" s="294" t="s">
        <v>1114</v>
      </c>
      <c r="H241" s="587" t="str">
        <f ca="1">IFERROR(IFERROR(VLOOKUP(MIN(StorageDevices!$BI$13:$BI$1019),StorageDevices!$BI$13:$BP$1019,8,TRUE),"Multiple options possible. Lowest overhead: " &amp; ROUND(MIN(StorageDevices!$BI$13:$BI$1019)*100,2) &amp;"%"),"n/a")</f>
        <v>n/a</v>
      </c>
      <c r="I241" s="588"/>
      <c r="J241" s="588"/>
      <c r="K241" s="588"/>
      <c r="L241" s="589"/>
      <c r="M241" s="485" t="s">
        <v>1604</v>
      </c>
      <c r="N241" s="484">
        <f ca="1">IFERROR(VLOOKUP(H242,StorageDevices!BP13:BX1028,8,FALSE),0)</f>
        <v>0</v>
      </c>
      <c r="O241" s="372"/>
      <c r="P241" s="372"/>
      <c r="Q241" s="372"/>
      <c r="R241" s="220"/>
      <c r="S241" s="201"/>
      <c r="T241" s="395" t="s">
        <v>1089</v>
      </c>
      <c r="U241" s="390"/>
      <c r="V241" s="390"/>
      <c r="W241" s="390"/>
      <c r="X241" s="390"/>
      <c r="Y241" s="390"/>
      <c r="Z241" s="390"/>
      <c r="AA241" s="390"/>
      <c r="AB241" s="390"/>
      <c r="AC241" s="390"/>
      <c r="AD241" s="390"/>
      <c r="AE241" s="390"/>
      <c r="AF241" s="390"/>
    </row>
    <row r="242" spans="2:43" ht="25.5">
      <c r="C242" s="282"/>
      <c r="D242" s="282"/>
      <c r="E242" s="292" t="s">
        <v>232</v>
      </c>
      <c r="F242" s="293"/>
      <c r="G242" s="294" t="s">
        <v>1116</v>
      </c>
      <c r="H242" s="497" t="s">
        <v>55</v>
      </c>
      <c r="I242" s="498"/>
      <c r="J242" s="498"/>
      <c r="K242" s="498"/>
      <c r="L242" s="499"/>
      <c r="M242" s="248" t="s">
        <v>49</v>
      </c>
      <c r="N242" s="22">
        <f ca="1">IFERROR(VLOOKUP(H242,StorageDevices!BP13:BX1028,3,FALSE),0)</f>
        <v>0</v>
      </c>
      <c r="O242" s="347" t="s">
        <v>145</v>
      </c>
      <c r="P242" s="30">
        <f ca="1">IFERROR(VLOOKUP(H242,StorageDevices!BP13:BX1028,4,FALSE),0)</f>
        <v>0</v>
      </c>
      <c r="Q242" s="346" t="s">
        <v>1082</v>
      </c>
      <c r="R242" s="30">
        <f ca="1">IFERROR(VLOOKUP(H242,StorageDevices!BP13:BX1028,5,FALSE)/1024,0)</f>
        <v>0</v>
      </c>
      <c r="S242" s="201"/>
      <c r="T242" s="395" t="b">
        <f ca="1">IF(OR(AND($H$187&lt;&gt;0,$H$242&lt;&gt;"None",N242&lt;&gt;0),$H$187=0),TRUE,FALSE)</f>
        <v>1</v>
      </c>
    </row>
    <row r="243" spans="2:43" ht="12.75" customHeight="1">
      <c r="C243" s="282"/>
      <c r="D243" s="200"/>
      <c r="E243" s="293"/>
      <c r="F243" s="293"/>
      <c r="G243" s="293"/>
      <c r="H243" s="200"/>
      <c r="I243" s="200"/>
      <c r="J243" s="226"/>
      <c r="K243" s="226"/>
      <c r="L243" s="200"/>
      <c r="M243" s="200"/>
      <c r="N243" s="200"/>
      <c r="O243" s="200"/>
      <c r="P243" s="200"/>
      <c r="Q243" s="200"/>
      <c r="R243" s="200"/>
      <c r="S243" s="345"/>
      <c r="T243" s="395" t="s">
        <v>1089</v>
      </c>
    </row>
    <row r="244" spans="2:43" ht="15" customHeight="1" collapsed="1">
      <c r="C244" s="296"/>
      <c r="D244" s="199"/>
      <c r="E244" s="297"/>
      <c r="F244" s="297"/>
      <c r="G244" s="297"/>
      <c r="H244" s="199"/>
      <c r="I244" s="199"/>
      <c r="J244" s="199"/>
      <c r="K244" s="199"/>
      <c r="L244" s="199"/>
      <c r="M244" s="199"/>
      <c r="N244" s="199"/>
      <c r="O244" s="199"/>
      <c r="P244" s="199"/>
      <c r="Q244" s="199"/>
      <c r="R244" s="326"/>
      <c r="S244" s="211"/>
      <c r="T244" s="395" t="s">
        <v>1089</v>
      </c>
    </row>
    <row r="245" spans="2:43">
      <c r="C245" s="282"/>
      <c r="D245" s="200"/>
      <c r="E245" s="226"/>
      <c r="F245" s="226"/>
      <c r="G245" s="202"/>
      <c r="H245" s="372"/>
      <c r="I245" s="342"/>
      <c r="J245" s="372"/>
      <c r="K245" s="372"/>
      <c r="L245" s="372"/>
      <c r="M245" s="342"/>
      <c r="N245" s="372"/>
      <c r="O245" s="372"/>
      <c r="P245" s="372"/>
      <c r="Q245" s="372"/>
      <c r="R245" s="220"/>
      <c r="S245" s="201"/>
      <c r="T245" s="395" t="s">
        <v>1089</v>
      </c>
    </row>
    <row r="246" spans="2:43" ht="12.75" customHeight="1">
      <c r="C246" s="282"/>
      <c r="D246" s="200"/>
      <c r="E246" s="293"/>
      <c r="F246" s="293"/>
      <c r="G246" s="293"/>
      <c r="H246" s="494" t="s">
        <v>1602</v>
      </c>
      <c r="I246" s="494"/>
      <c r="J246" s="494"/>
      <c r="K246" s="494"/>
      <c r="L246" s="494"/>
      <c r="M246" s="342"/>
      <c r="N246" s="372"/>
      <c r="O246" s="372"/>
      <c r="P246" s="372"/>
      <c r="Q246" s="372"/>
      <c r="R246" s="372"/>
      <c r="S246" s="201"/>
      <c r="T246" s="395" t="s">
        <v>1089</v>
      </c>
    </row>
    <row r="247" spans="2:43" ht="15.75">
      <c r="B247" s="390"/>
      <c r="C247" s="282"/>
      <c r="D247" s="200"/>
      <c r="E247" s="293"/>
      <c r="F247" s="293"/>
      <c r="G247" s="294" t="s">
        <v>1114</v>
      </c>
      <c r="H247" s="587" t="str">
        <f ca="1">IFERROR(IFERROR(VLOOKUP(MIN(StorageDevices!$CD$13:$CD$1019),StorageDevices!$CD$13:$CK$1019,8,TRUE),"Multiple options possible. Lowest overhead: " &amp; ROUND(MIN(StorageDevices!$CD$13:$CD$1019)*100,2) &amp;"%"),"n/a")</f>
        <v>n/a</v>
      </c>
      <c r="I247" s="588"/>
      <c r="J247" s="588"/>
      <c r="K247" s="588"/>
      <c r="L247" s="589"/>
      <c r="M247" s="485" t="s">
        <v>1604</v>
      </c>
      <c r="N247" s="484">
        <f ca="1">IFERROR(VLOOKUP(H248,StorageDevices!CK13:CS1028,8,FALSE),0)</f>
        <v>0</v>
      </c>
      <c r="O247" s="372"/>
      <c r="P247" s="372"/>
      <c r="Q247" s="372"/>
      <c r="R247" s="372"/>
      <c r="S247" s="201"/>
      <c r="T247" s="395" t="s">
        <v>1089</v>
      </c>
      <c r="U247" s="390"/>
      <c r="V247" s="390"/>
      <c r="W247" s="390"/>
      <c r="X247" s="390"/>
      <c r="Y247" s="390"/>
      <c r="Z247" s="390"/>
      <c r="AA247" s="390"/>
      <c r="AB247" s="390"/>
      <c r="AC247" s="390"/>
      <c r="AD247" s="390"/>
      <c r="AE247" s="390"/>
      <c r="AF247" s="390"/>
    </row>
    <row r="248" spans="2:43" ht="25.5">
      <c r="C248" s="282"/>
      <c r="D248" s="282"/>
      <c r="E248" s="292" t="s">
        <v>233</v>
      </c>
      <c r="F248" s="293"/>
      <c r="G248" s="294" t="s">
        <v>1116</v>
      </c>
      <c r="H248" s="497" t="s">
        <v>55</v>
      </c>
      <c r="I248" s="498"/>
      <c r="J248" s="498"/>
      <c r="K248" s="498"/>
      <c r="L248" s="499"/>
      <c r="M248" s="248" t="s">
        <v>49</v>
      </c>
      <c r="N248" s="22">
        <f ca="1">IFERROR(VLOOKUP(H248,StorageDevices!CK13:CS1028,3,FALSE),0)</f>
        <v>0</v>
      </c>
      <c r="O248" s="347" t="s">
        <v>145</v>
      </c>
      <c r="P248" s="30">
        <f ca="1">IFERROR(VLOOKUP(H248,StorageDevices!CK13:CS1028,4,FALSE),0)</f>
        <v>0</v>
      </c>
      <c r="Q248" s="346" t="s">
        <v>1082</v>
      </c>
      <c r="R248" s="30">
        <f ca="1">IFERROR(VLOOKUP(H248,StorageDevices!CK13:CS1028,5,FALSE)/1024,0)</f>
        <v>0</v>
      </c>
      <c r="S248" s="201"/>
      <c r="T248" s="395" t="b">
        <f ca="1">IF(OR(AND($H$188&lt;&gt;0,$H$248&lt;&gt;"None",N248&lt;&gt;0),$H$188=0),TRUE,FALSE)</f>
        <v>1</v>
      </c>
    </row>
    <row r="249" spans="2:43" ht="12.75" customHeight="1">
      <c r="C249" s="282"/>
      <c r="D249" s="200"/>
      <c r="E249" s="200"/>
      <c r="F249" s="200"/>
      <c r="G249" s="200"/>
      <c r="H249" s="282"/>
      <c r="I249" s="282"/>
      <c r="J249" s="282"/>
      <c r="K249" s="282"/>
      <c r="L249" s="282"/>
      <c r="M249" s="282"/>
      <c r="N249" s="282"/>
      <c r="O249" s="282"/>
      <c r="P249" s="282"/>
      <c r="Q249" s="282"/>
      <c r="R249" s="282"/>
      <c r="S249" s="345"/>
      <c r="T249" s="395" t="s">
        <v>1089</v>
      </c>
    </row>
    <row r="250" spans="2:43" collapsed="1">
      <c r="C250" s="296"/>
      <c r="D250" s="199"/>
      <c r="E250" s="199"/>
      <c r="F250" s="199"/>
      <c r="G250" s="199"/>
      <c r="H250" s="199"/>
      <c r="I250" s="199"/>
      <c r="J250" s="199"/>
      <c r="K250" s="199"/>
      <c r="L250" s="199"/>
      <c r="M250" s="199"/>
      <c r="N250" s="199"/>
      <c r="O250" s="199"/>
      <c r="P250" s="199"/>
      <c r="Q250" s="199"/>
      <c r="R250" s="326"/>
      <c r="S250" s="211"/>
      <c r="T250" s="395" t="s">
        <v>1089</v>
      </c>
    </row>
    <row r="251" spans="2:43" ht="15">
      <c r="C251" s="296"/>
      <c r="D251" s="199"/>
      <c r="E251" s="199"/>
      <c r="F251" s="199"/>
      <c r="G251" s="199"/>
      <c r="H251" s="494" t="str">
        <f>IF(K260+K261&lt;500,"VRM and BVMS management server can run on the same system.","")</f>
        <v>VRM and BVMS management server can run on the same system.</v>
      </c>
      <c r="I251" s="494"/>
      <c r="J251" s="494"/>
      <c r="K251" s="494"/>
      <c r="L251" s="494"/>
      <c r="M251" s="199"/>
      <c r="N251" s="199"/>
      <c r="O251" s="199"/>
      <c r="P251" s="199"/>
      <c r="Q251" s="199"/>
      <c r="R251" s="326"/>
      <c r="S251" s="211"/>
      <c r="T251" s="395" t="s">
        <v>1089</v>
      </c>
    </row>
    <row r="252" spans="2:43" ht="18">
      <c r="C252" s="296"/>
      <c r="D252" s="199"/>
      <c r="E252" s="199"/>
      <c r="F252" s="495" t="s">
        <v>217</v>
      </c>
      <c r="G252" s="496"/>
      <c r="H252" s="500" t="s">
        <v>55</v>
      </c>
      <c r="I252" s="501"/>
      <c r="J252" s="501"/>
      <c r="K252" s="501"/>
      <c r="L252" s="502"/>
      <c r="M252" s="312"/>
      <c r="N252" s="216" t="s">
        <v>49</v>
      </c>
      <c r="O252" s="192">
        <v>0</v>
      </c>
      <c r="P252" s="199"/>
      <c r="Q252" s="327"/>
      <c r="R252" s="211"/>
      <c r="S252" s="211"/>
      <c r="T252" s="395" t="b">
        <f>IF(OR(H252="",O252="",O252=0),IF(L256&lt;501,TRUE,FALSE),TRUE)</f>
        <v>1</v>
      </c>
      <c r="AN252"/>
      <c r="AO252"/>
      <c r="AP252"/>
      <c r="AQ252"/>
    </row>
    <row r="253" spans="2:43" ht="18">
      <c r="C253" s="296"/>
      <c r="D253" s="199"/>
      <c r="E253" s="199"/>
      <c r="F253" s="495" t="s">
        <v>218</v>
      </c>
      <c r="G253" s="496"/>
      <c r="H253" s="500" t="s">
        <v>55</v>
      </c>
      <c r="I253" s="501"/>
      <c r="J253" s="501"/>
      <c r="K253" s="501"/>
      <c r="L253" s="502"/>
      <c r="M253" s="312"/>
      <c r="N253" s="216" t="s">
        <v>49</v>
      </c>
      <c r="O253" s="192">
        <v>0</v>
      </c>
      <c r="P253" s="199"/>
      <c r="Q253" s="327"/>
      <c r="R253" s="211"/>
      <c r="S253" s="211"/>
      <c r="T253" s="395" t="b">
        <f>IF(OR(AND(H149="",J149="",N149="",L149="",P149=""),AND(H253&lt;&gt;"",H253&lt;&gt;"none",O253&gt;0)),TRUE,FALSE)</f>
        <v>1</v>
      </c>
      <c r="AN253"/>
      <c r="AO253"/>
      <c r="AP253"/>
      <c r="AQ253"/>
    </row>
    <row r="254" spans="2:43" ht="13.5" thickBot="1">
      <c r="C254" s="296"/>
      <c r="D254" s="199"/>
      <c r="E254" s="199"/>
      <c r="F254" s="298"/>
      <c r="G254" s="299"/>
      <c r="H254" s="298"/>
      <c r="I254" s="298"/>
      <c r="J254" s="298"/>
      <c r="K254" s="298"/>
      <c r="L254" s="298"/>
      <c r="M254" s="298"/>
      <c r="N254" s="298"/>
      <c r="O254" s="298"/>
      <c r="P254" s="300"/>
      <c r="Q254" s="328"/>
      <c r="R254" s="328"/>
      <c r="S254" s="211"/>
      <c r="T254" s="395" t="s">
        <v>1089</v>
      </c>
      <c r="AF254" s="239"/>
      <c r="AG254"/>
      <c r="AH254"/>
      <c r="AI254"/>
      <c r="AJ254"/>
      <c r="AK254"/>
      <c r="AL254"/>
      <c r="AM254"/>
      <c r="AN254"/>
      <c r="AO254"/>
      <c r="AP254"/>
      <c r="AQ254"/>
    </row>
    <row r="255" spans="2:43">
      <c r="C255" s="296"/>
      <c r="D255" s="199"/>
      <c r="E255" s="199"/>
      <c r="F255" s="300"/>
      <c r="G255" s="301"/>
      <c r="H255" s="300"/>
      <c r="I255" s="300"/>
      <c r="J255" s="300"/>
      <c r="K255" s="300"/>
      <c r="L255" s="300"/>
      <c r="M255" s="300"/>
      <c r="N255" s="300"/>
      <c r="O255" s="300"/>
      <c r="P255" s="300"/>
      <c r="Q255" s="300"/>
      <c r="R255" s="199"/>
      <c r="S255" s="211"/>
      <c r="T255" s="395" t="s">
        <v>1089</v>
      </c>
      <c r="U255" s="239"/>
      <c r="V255" s="239"/>
      <c r="W255" s="239"/>
      <c r="X255" s="239"/>
      <c r="Y255" s="239"/>
      <c r="Z255" s="239"/>
      <c r="AA255" s="239"/>
      <c r="AB255" s="239"/>
      <c r="AC255" s="239"/>
      <c r="AD255" s="239"/>
      <c r="AE255" s="239"/>
      <c r="AF255" s="239"/>
      <c r="AG255"/>
      <c r="AH255"/>
      <c r="AI255"/>
      <c r="AJ255"/>
      <c r="AK255"/>
      <c r="AL255"/>
      <c r="AM255"/>
      <c r="AN255"/>
      <c r="AO255"/>
      <c r="AP255"/>
      <c r="AQ255"/>
    </row>
    <row r="256" spans="2:43" ht="18">
      <c r="C256" s="296"/>
      <c r="D256" s="362" t="s">
        <v>1099</v>
      </c>
      <c r="E256" s="362"/>
      <c r="F256" s="360" t="s">
        <v>50</v>
      </c>
      <c r="G256" s="301"/>
      <c r="H256" s="405" t="s">
        <v>919</v>
      </c>
      <c r="I256" s="405"/>
      <c r="J256" s="405"/>
      <c r="K256" s="405"/>
      <c r="L256" s="586">
        <f>SUM(H98:Q98)+K261</f>
        <v>0</v>
      </c>
      <c r="M256" s="586"/>
      <c r="N256" s="300"/>
      <c r="O256" s="300"/>
      <c r="P256" s="300"/>
      <c r="Q256" s="300"/>
      <c r="R256" s="199"/>
      <c r="S256" s="211"/>
      <c r="T256" s="395" t="s">
        <v>1089</v>
      </c>
      <c r="U256" s="239"/>
      <c r="V256" s="239"/>
      <c r="W256" s="239"/>
      <c r="X256" s="239"/>
      <c r="Y256" s="239"/>
      <c r="Z256" s="239"/>
      <c r="AA256" s="239"/>
      <c r="AB256" s="239"/>
      <c r="AC256" s="239"/>
      <c r="AD256" s="239"/>
      <c r="AE256" s="239"/>
      <c r="AF256" s="239"/>
      <c r="AG256"/>
      <c r="AH256"/>
      <c r="AI256"/>
      <c r="AJ256"/>
      <c r="AK256"/>
      <c r="AL256"/>
      <c r="AM256"/>
      <c r="AN256"/>
      <c r="AO256"/>
      <c r="AP256"/>
      <c r="AQ256"/>
    </row>
    <row r="257" spans="2:43">
      <c r="C257" s="296"/>
      <c r="D257" s="199"/>
      <c r="E257" s="390"/>
      <c r="F257" s="302"/>
      <c r="G257" s="301"/>
      <c r="H257" s="405" t="s">
        <v>920</v>
      </c>
      <c r="I257" s="405"/>
      <c r="J257" s="405"/>
      <c r="K257" s="405"/>
      <c r="L257" s="586" t="str">
        <f>IF(L256&lt;43,"BVMS Lite",IF(L256&lt;257,"BVMS Plus", IF(L256&lt;2000,"BVMS Professional","BVMS Enterprise")))</f>
        <v>BVMS Lite</v>
      </c>
      <c r="M257" s="586"/>
      <c r="N257" s="300"/>
      <c r="O257" s="300"/>
      <c r="P257" s="300"/>
      <c r="Q257" s="300"/>
      <c r="R257" s="199"/>
      <c r="S257" s="211"/>
      <c r="T257" s="395" t="s">
        <v>1089</v>
      </c>
      <c r="U257" s="239"/>
      <c r="V257" s="239"/>
      <c r="W257" s="239"/>
      <c r="X257" s="239"/>
      <c r="Y257" s="239"/>
      <c r="Z257" s="239"/>
      <c r="AA257" s="239"/>
      <c r="AB257" s="239"/>
      <c r="AC257" s="239"/>
      <c r="AD257" s="239"/>
      <c r="AE257" s="239"/>
      <c r="AF257" s="239"/>
      <c r="AG257"/>
      <c r="AH257"/>
      <c r="AI257"/>
      <c r="AJ257"/>
      <c r="AK257"/>
      <c r="AL257"/>
      <c r="AM257"/>
      <c r="AN257"/>
      <c r="AO257"/>
      <c r="AP257"/>
      <c r="AQ257"/>
    </row>
    <row r="258" spans="2:43">
      <c r="C258" s="296"/>
      <c r="D258" s="199"/>
      <c r="E258" s="390"/>
      <c r="F258" s="302"/>
      <c r="G258" s="301"/>
      <c r="H258" s="300"/>
      <c r="I258" s="300"/>
      <c r="J258" s="300"/>
      <c r="K258" s="300"/>
      <c r="L258" s="300"/>
      <c r="M258" s="300"/>
      <c r="N258" s="300"/>
      <c r="O258" s="300"/>
      <c r="P258" s="300"/>
      <c r="Q258" s="300"/>
      <c r="R258" s="199"/>
      <c r="S258" s="211"/>
      <c r="T258" s="395" t="s">
        <v>1089</v>
      </c>
      <c r="U258" s="239"/>
      <c r="V258" s="239"/>
      <c r="W258" s="239"/>
      <c r="X258" s="239"/>
      <c r="Y258" s="239"/>
      <c r="Z258" s="239"/>
      <c r="AA258" s="239"/>
      <c r="AB258" s="239"/>
      <c r="AC258" s="239"/>
      <c r="AD258" s="239"/>
      <c r="AE258" s="239"/>
      <c r="AF258" s="239"/>
      <c r="AG258"/>
      <c r="AH258"/>
      <c r="AI258"/>
      <c r="AJ258"/>
      <c r="AK258"/>
      <c r="AL258"/>
      <c r="AM258"/>
      <c r="AN258"/>
      <c r="AO258"/>
      <c r="AP258"/>
      <c r="AQ258"/>
    </row>
    <row r="259" spans="2:43">
      <c r="C259" s="296"/>
      <c r="D259" s="199"/>
      <c r="E259" s="390"/>
      <c r="F259" s="303"/>
      <c r="G259" s="304"/>
      <c r="H259" s="506" t="s">
        <v>1980</v>
      </c>
      <c r="I259" s="506"/>
      <c r="J259" s="506"/>
      <c r="K259" s="503"/>
      <c r="L259" s="585" t="str">
        <f>IF(SUM(H98:Q98)+R282-IFERROR(VLOOKUP(H259,BVMS_Base!A1:E29,3,FALSE),0)&gt;VLOOKUP(H259,BVMS_Base!A2:J29,10,FALSE),"The selected licenses cannot satisfy the number of cameras.","")</f>
        <v/>
      </c>
      <c r="M259" s="585"/>
      <c r="N259" s="407"/>
      <c r="O259" s="407"/>
      <c r="P259" s="329"/>
      <c r="Q259" s="452"/>
      <c r="R259" s="452"/>
      <c r="S259" s="211"/>
      <c r="T259" s="395" t="b">
        <f>AND(NOT(H259=""),L259="")</f>
        <v>1</v>
      </c>
      <c r="U259" s="239"/>
      <c r="V259" s="239"/>
      <c r="W259" s="239"/>
      <c r="X259" s="239"/>
      <c r="Y259" s="239"/>
      <c r="Z259" s="239"/>
      <c r="AA259" s="239"/>
      <c r="AB259" s="239"/>
      <c r="AC259" s="239"/>
      <c r="AD259" s="239"/>
      <c r="AE259" s="239"/>
      <c r="AF259" s="239"/>
      <c r="AG259"/>
      <c r="AH259"/>
      <c r="AI259"/>
      <c r="AJ259"/>
      <c r="AK259"/>
      <c r="AL259"/>
      <c r="AM259"/>
      <c r="AN259"/>
      <c r="AO259"/>
      <c r="AP259"/>
      <c r="AQ259"/>
    </row>
    <row r="260" spans="2:43">
      <c r="C260" s="296"/>
      <c r="D260" s="199"/>
      <c r="E260" s="390"/>
      <c r="F260" s="305"/>
      <c r="G260" s="306"/>
      <c r="H260" s="486" t="str">
        <f>"License Camera/decoder expansion (" &amp; VLOOKUP(H259,BVMS_Base!A1:E29,3,FALSE) &amp;" included)"</f>
        <v>License Camera/decoder expansion (8 included)</v>
      </c>
      <c r="I260" s="312"/>
      <c r="J260" s="242" t="s">
        <v>49</v>
      </c>
      <c r="K260" s="404">
        <f>ROUNDUP(IF(SUM(H98:Q98)+R282-IFERROR(VLOOKUP(H259,BVMS_Base!A1:E29,3,FALSE),0)&lt;0,0,SUM(H98:Q98)+R283+R282-IFERROR(VLOOKUP(H259,BVMS_Base!A1:E29,3,FALSE),0))/VLOOKUP(H259,BVMS_Base!A2:J29,9,FALSE),0)</f>
        <v>0</v>
      </c>
      <c r="L260" s="339" t="s">
        <v>1123</v>
      </c>
      <c r="M260" s="340"/>
      <c r="N260" s="307"/>
      <c r="O260" s="307"/>
      <c r="P260" s="300"/>
      <c r="Q260" s="300"/>
      <c r="R260" s="283"/>
      <c r="S260" s="211"/>
      <c r="T260" s="395" t="b">
        <f>NOT(OR(K260=""))</f>
        <v>1</v>
      </c>
      <c r="U260" s="239"/>
      <c r="V260" s="239"/>
      <c r="W260" s="239"/>
      <c r="X260" s="239"/>
      <c r="Y260" s="239"/>
      <c r="Z260" s="239"/>
      <c r="AA260" s="239"/>
      <c r="AB260" s="239"/>
      <c r="AC260" s="239"/>
      <c r="AD260" s="239"/>
      <c r="AE260" s="239"/>
      <c r="AF260" s="239"/>
      <c r="AG260"/>
      <c r="AH260"/>
      <c r="AI260"/>
      <c r="AJ260"/>
      <c r="AK260"/>
      <c r="AL260"/>
      <c r="AM260"/>
      <c r="AN260"/>
      <c r="AO260"/>
      <c r="AP260"/>
      <c r="AQ260"/>
    </row>
    <row r="261" spans="2:43">
      <c r="B261" s="390"/>
      <c r="C261" s="296"/>
      <c r="D261" s="390"/>
      <c r="E261" s="390"/>
      <c r="F261" s="305"/>
      <c r="G261" s="306"/>
      <c r="H261" s="486" t="s">
        <v>1616</v>
      </c>
      <c r="I261" s="312"/>
      <c r="J261" s="242" t="s">
        <v>49</v>
      </c>
      <c r="K261" s="475">
        <v>0</v>
      </c>
      <c r="L261" s="339"/>
      <c r="M261" s="340"/>
      <c r="N261" s="307"/>
      <c r="O261" s="307"/>
      <c r="P261" s="300"/>
      <c r="Q261" s="300"/>
      <c r="R261" s="283"/>
      <c r="S261" s="211"/>
      <c r="T261" s="395" t="b">
        <v>1</v>
      </c>
      <c r="U261" s="239"/>
      <c r="V261" s="239"/>
      <c r="W261" s="239"/>
      <c r="X261" s="239"/>
      <c r="Y261" s="239"/>
      <c r="Z261" s="239"/>
      <c r="AA261" s="239"/>
      <c r="AB261" s="239"/>
      <c r="AC261" s="239"/>
      <c r="AD261" s="239"/>
      <c r="AE261" s="239"/>
      <c r="AF261" s="239"/>
      <c r="AG261"/>
      <c r="AH261"/>
      <c r="AI261"/>
      <c r="AJ261"/>
      <c r="AK261"/>
      <c r="AL261"/>
      <c r="AM261"/>
      <c r="AN261"/>
      <c r="AO261"/>
      <c r="AP261"/>
      <c r="AQ261"/>
    </row>
    <row r="262" spans="2:43" ht="12.75" customHeight="1">
      <c r="C262" s="296"/>
      <c r="D262" s="199"/>
      <c r="E262" s="390"/>
      <c r="F262" s="307"/>
      <c r="G262" s="306"/>
      <c r="H262" s="320" t="str">
        <f>"License Workstation expansion (" &amp; VLOOKUP(H259,BVMS_Base!A1:E29,2,FALSE) &amp;" included)"</f>
        <v>License Workstation expansion (5 included)</v>
      </c>
      <c r="I262" s="312"/>
      <c r="J262" s="242" t="s">
        <v>49</v>
      </c>
      <c r="K262" s="404">
        <f>IF(O273-IFERROR(VLOOKUP(H259,BVMS_Base!A1:E29,2,FALSE),0)&lt;0,0,O273-IFERROR(VLOOKUP(H259,BVMS_Base!A1:E29,2,FALSE),0))</f>
        <v>0</v>
      </c>
      <c r="L262" s="339" t="s">
        <v>2010</v>
      </c>
      <c r="M262" s="320"/>
      <c r="N262" s="307"/>
      <c r="O262" s="407"/>
      <c r="P262" s="300"/>
      <c r="Q262" s="300"/>
      <c r="R262" s="265"/>
      <c r="S262" s="211"/>
      <c r="T262" s="395" t="b">
        <f t="shared" ref="T262:T266" si="113">NOT(OR(K262="",O262=""))</f>
        <v>0</v>
      </c>
      <c r="U262" s="239"/>
      <c r="V262" s="239"/>
      <c r="W262" s="239"/>
      <c r="X262" s="239"/>
      <c r="Y262" s="239"/>
      <c r="Z262" s="239"/>
      <c r="AA262" s="239"/>
      <c r="AB262" s="239"/>
      <c r="AC262" s="239"/>
      <c r="AD262" s="239"/>
      <c r="AE262" s="239"/>
      <c r="AF262" s="239"/>
      <c r="AG262"/>
      <c r="AH262"/>
      <c r="AI262"/>
      <c r="AJ262"/>
      <c r="AK262"/>
      <c r="AL262"/>
      <c r="AM262"/>
      <c r="AN262"/>
      <c r="AO262"/>
      <c r="AP262"/>
      <c r="AQ262"/>
    </row>
    <row r="263" spans="2:43">
      <c r="C263" s="296"/>
      <c r="D263" s="199"/>
      <c r="E263" s="390"/>
      <c r="F263" s="307"/>
      <c r="G263" s="308" t="str">
        <f>IF(AND(OR((LEFT(H259,6)="BVMS L"),(LEFT(H259,14)="DIVAR IP AiO L")),K263&lt;&gt;0),"Enterprise not supported for the selected license type","")</f>
        <v/>
      </c>
      <c r="H263" s="320" t="s">
        <v>930</v>
      </c>
      <c r="I263" s="312"/>
      <c r="J263" s="242" t="s">
        <v>49</v>
      </c>
      <c r="K263" s="195">
        <v>0</v>
      </c>
      <c r="L263" s="306"/>
      <c r="M263" s="320"/>
      <c r="N263" s="307"/>
      <c r="O263" s="407"/>
      <c r="P263" s="300"/>
      <c r="Q263" s="300"/>
      <c r="R263" s="283"/>
      <c r="S263" s="330"/>
      <c r="T263" s="395" t="b">
        <f t="shared" si="113"/>
        <v>0</v>
      </c>
      <c r="U263" s="239"/>
      <c r="V263" s="239"/>
      <c r="W263" s="239"/>
      <c r="X263" s="239"/>
      <c r="Y263" s="239"/>
      <c r="Z263" s="239"/>
      <c r="AA263" s="239"/>
      <c r="AB263" s="239"/>
      <c r="AC263" s="239"/>
      <c r="AD263" s="239"/>
      <c r="AE263" s="239"/>
      <c r="AF263" s="239"/>
      <c r="AG263"/>
      <c r="AH263"/>
      <c r="AI263"/>
      <c r="AJ263"/>
      <c r="AK263"/>
      <c r="AL263"/>
      <c r="AM263"/>
      <c r="AN263"/>
      <c r="AO263"/>
      <c r="AP263"/>
      <c r="AQ263"/>
    </row>
    <row r="264" spans="2:43" ht="15">
      <c r="C264" s="296"/>
      <c r="D264" s="199"/>
      <c r="E264" s="390"/>
      <c r="F264" s="307"/>
      <c r="G264" s="308" t="str">
        <f>IF(AND(OR((LEFT(H259,6)="BVMS L"),(LEFT(H259,14)="DIVAR IP AiO L")),J264&lt;&gt;"None"),"Enterprise not supported for the selected license type","")</f>
        <v/>
      </c>
      <c r="H264" s="320" t="s">
        <v>931</v>
      </c>
      <c r="I264" s="312"/>
      <c r="J264" s="497" t="s">
        <v>55</v>
      </c>
      <c r="K264" s="499"/>
      <c r="L264" s="306"/>
      <c r="M264" s="320"/>
      <c r="N264" s="300"/>
      <c r="O264" s="407"/>
      <c r="P264" s="300"/>
      <c r="Q264" s="300"/>
      <c r="R264" s="331"/>
      <c r="S264" s="211"/>
      <c r="T264" s="395" t="b">
        <f>NOT(OR(J264="",O264=""))</f>
        <v>0</v>
      </c>
      <c r="U264" s="239"/>
      <c r="V264" s="239"/>
      <c r="W264" s="239"/>
      <c r="X264" s="239"/>
      <c r="Y264" s="239"/>
      <c r="Z264" s="239"/>
      <c r="AA264" s="239"/>
      <c r="AB264" s="239"/>
      <c r="AC264" s="239"/>
      <c r="AD264" s="239"/>
      <c r="AE264" s="239"/>
      <c r="AF264" s="239"/>
      <c r="AG264"/>
      <c r="AH264"/>
      <c r="AI264"/>
      <c r="AJ264"/>
      <c r="AK264"/>
      <c r="AL264"/>
      <c r="AM264"/>
      <c r="AN264"/>
      <c r="AO264"/>
      <c r="AP264"/>
      <c r="AQ264"/>
    </row>
    <row r="265" spans="2:43">
      <c r="C265" s="296"/>
      <c r="D265" s="199"/>
      <c r="E265" s="390"/>
      <c r="F265" s="307"/>
      <c r="G265" s="308"/>
      <c r="H265" s="320" t="s">
        <v>921</v>
      </c>
      <c r="I265" s="312"/>
      <c r="J265" s="242" t="s">
        <v>49</v>
      </c>
      <c r="K265" s="404">
        <f>IFERROR(IF(SUM(H163:Q163)&gt;VLOOKUP(H259,BVMS_Base!A2:E8,4,FALSE),SUM(H163:Q163)-VLOOKUP(H259,BVMS_Base!A2:E8,4,FALSE),0),0)</f>
        <v>0</v>
      </c>
      <c r="L265" s="406" t="s">
        <v>1500</v>
      </c>
      <c r="M265" s="320"/>
      <c r="N265" s="307"/>
      <c r="O265" s="407"/>
      <c r="P265" s="300"/>
      <c r="Q265" s="300"/>
      <c r="R265" s="300"/>
      <c r="S265" s="211"/>
      <c r="T265" s="395" t="b">
        <f t="shared" si="113"/>
        <v>0</v>
      </c>
      <c r="U265" s="239"/>
      <c r="V265" s="239"/>
      <c r="W265" s="239"/>
      <c r="X265" s="239"/>
      <c r="Y265" s="239"/>
      <c r="Z265" s="239"/>
      <c r="AA265" s="239"/>
      <c r="AB265" s="239"/>
      <c r="AC265" s="239"/>
      <c r="AD265" s="239"/>
      <c r="AE265" s="239"/>
      <c r="AF265" s="239"/>
      <c r="AG265"/>
      <c r="AH265"/>
      <c r="AI265"/>
      <c r="AJ265"/>
      <c r="AK265"/>
      <c r="AL265"/>
      <c r="AM265"/>
      <c r="AN265"/>
      <c r="AO265"/>
      <c r="AP265"/>
      <c r="AQ265"/>
    </row>
    <row r="266" spans="2:43" ht="15">
      <c r="C266" s="296"/>
      <c r="D266" s="199"/>
      <c r="E266" s="390"/>
      <c r="F266" s="307"/>
      <c r="G266" s="308"/>
      <c r="H266" s="320" t="s">
        <v>933</v>
      </c>
      <c r="I266" s="312"/>
      <c r="J266" s="242" t="s">
        <v>49</v>
      </c>
      <c r="K266" s="192">
        <v>0</v>
      </c>
      <c r="L266" s="306"/>
      <c r="M266" s="320" t="s">
        <v>1800</v>
      </c>
      <c r="N266" s="307" t="s">
        <v>49</v>
      </c>
      <c r="O266" s="192">
        <v>0</v>
      </c>
      <c r="P266" s="300"/>
      <c r="Q266" s="300"/>
      <c r="R266" s="331"/>
      <c r="S266" s="211"/>
      <c r="T266" s="395" t="b">
        <f t="shared" si="113"/>
        <v>1</v>
      </c>
      <c r="U266" s="239"/>
      <c r="V266" s="239"/>
      <c r="W266" s="239"/>
      <c r="X266" s="239"/>
      <c r="Y266" s="239"/>
      <c r="Z266" s="239"/>
      <c r="AA266" s="239"/>
      <c r="AB266" s="239"/>
      <c r="AC266" s="239"/>
      <c r="AD266" s="239"/>
      <c r="AE266" s="239"/>
      <c r="AF266" s="239"/>
      <c r="AG266"/>
      <c r="AH266"/>
      <c r="AI266"/>
      <c r="AJ266"/>
      <c r="AK266"/>
      <c r="AL266"/>
      <c r="AM266"/>
      <c r="AN266"/>
      <c r="AO266"/>
      <c r="AP266"/>
      <c r="AQ266"/>
    </row>
    <row r="267" spans="2:43" ht="15">
      <c r="C267" s="296"/>
      <c r="D267" s="199"/>
      <c r="E267" s="390"/>
      <c r="F267" s="307"/>
      <c r="G267" s="308"/>
      <c r="H267" s="320" t="s">
        <v>927</v>
      </c>
      <c r="I267" s="312"/>
      <c r="J267" s="242" t="s">
        <v>49</v>
      </c>
      <c r="K267" s="192">
        <v>0</v>
      </c>
      <c r="L267" s="306"/>
      <c r="M267" s="320" t="s">
        <v>1978</v>
      </c>
      <c r="N267" s="320" t="s">
        <v>1977</v>
      </c>
      <c r="O267" s="490" t="s">
        <v>10</v>
      </c>
      <c r="P267" s="300"/>
      <c r="Q267" s="300"/>
      <c r="R267" s="331"/>
      <c r="S267" s="211"/>
      <c r="T267" s="395" t="b">
        <f>NOT(OR(K267=""))</f>
        <v>1</v>
      </c>
      <c r="U267" s="239"/>
      <c r="V267" s="239"/>
      <c r="W267" s="239"/>
      <c r="X267" s="239"/>
      <c r="Y267" s="239"/>
      <c r="Z267" s="239"/>
      <c r="AA267" s="239"/>
      <c r="AB267" s="239"/>
      <c r="AC267" s="239"/>
      <c r="AD267" s="239"/>
      <c r="AE267" s="239"/>
      <c r="AF267" s="239"/>
      <c r="AG267"/>
      <c r="AH267"/>
      <c r="AI267"/>
      <c r="AJ267"/>
      <c r="AK267"/>
      <c r="AL267"/>
      <c r="AM267"/>
      <c r="AN267"/>
      <c r="AO267"/>
      <c r="AP267"/>
      <c r="AQ267"/>
    </row>
    <row r="268" spans="2:43" ht="15">
      <c r="B268" s="390"/>
      <c r="C268" s="296"/>
      <c r="D268" s="390"/>
      <c r="E268" s="390"/>
      <c r="F268" s="307"/>
      <c r="G268" s="308"/>
      <c r="H268" s="320"/>
      <c r="I268" s="312"/>
      <c r="J268" s="320"/>
      <c r="K268" s="490"/>
      <c r="L268" s="306"/>
      <c r="M268" s="406" t="s">
        <v>1979</v>
      </c>
      <c r="N268" s="320" t="s">
        <v>1977</v>
      </c>
      <c r="O268" s="490" t="s">
        <v>10</v>
      </c>
      <c r="P268" s="300"/>
      <c r="Q268" s="300"/>
      <c r="R268" s="331"/>
      <c r="S268" s="211"/>
      <c r="T268" s="395" t="b">
        <f>NOT(OR(K268=""))</f>
        <v>0</v>
      </c>
      <c r="U268" s="239"/>
      <c r="V268" s="239"/>
      <c r="W268" s="239"/>
      <c r="X268" s="239"/>
      <c r="Y268" s="239"/>
      <c r="Z268" s="239"/>
      <c r="AA268" s="239"/>
      <c r="AB268" s="239"/>
      <c r="AC268" s="239"/>
      <c r="AD268" s="239"/>
      <c r="AE268" s="239"/>
      <c r="AF268" s="239"/>
      <c r="AG268"/>
      <c r="AH268"/>
      <c r="AI268"/>
      <c r="AJ268"/>
      <c r="AK268"/>
      <c r="AL268"/>
      <c r="AM268"/>
      <c r="AN268"/>
      <c r="AO268"/>
      <c r="AP268"/>
      <c r="AQ268"/>
    </row>
    <row r="269" spans="2:43" ht="13.5" thickBot="1">
      <c r="B269" s="390"/>
      <c r="C269" s="296"/>
      <c r="D269" s="390"/>
      <c r="E269" s="390"/>
      <c r="F269" s="298"/>
      <c r="G269" s="299"/>
      <c r="H269" s="298"/>
      <c r="I269" s="298"/>
      <c r="J269" s="298"/>
      <c r="K269" s="298"/>
      <c r="L269" s="298"/>
      <c r="M269" s="298"/>
      <c r="N269" s="298"/>
      <c r="O269" s="298"/>
      <c r="P269" s="300"/>
      <c r="Q269" s="328"/>
      <c r="R269" s="328"/>
      <c r="S269" s="211"/>
      <c r="T269" s="395" t="s">
        <v>1089</v>
      </c>
      <c r="U269" s="390"/>
      <c r="V269" s="390"/>
      <c r="W269" s="390"/>
      <c r="X269" s="390"/>
      <c r="Y269" s="390"/>
      <c r="Z269" s="390"/>
      <c r="AA269" s="390"/>
      <c r="AB269" s="390"/>
      <c r="AC269" s="390"/>
      <c r="AD269" s="390"/>
      <c r="AE269" s="390"/>
      <c r="AF269" s="239"/>
      <c r="AG269"/>
      <c r="AH269"/>
      <c r="AI269"/>
      <c r="AJ269"/>
      <c r="AK269"/>
      <c r="AL269"/>
      <c r="AM269"/>
      <c r="AN269"/>
      <c r="AO269"/>
      <c r="AP269"/>
      <c r="AQ269"/>
    </row>
    <row r="270" spans="2:43">
      <c r="B270" s="390"/>
      <c r="C270" s="296"/>
      <c r="D270" s="390"/>
      <c r="E270" s="390"/>
      <c r="F270" s="300"/>
      <c r="G270" s="301"/>
      <c r="H270" s="300"/>
      <c r="I270" s="300"/>
      <c r="J270" s="300"/>
      <c r="K270" s="300"/>
      <c r="L270" s="300"/>
      <c r="M270" s="300"/>
      <c r="N270" s="300"/>
      <c r="O270" s="300"/>
      <c r="P270" s="300"/>
      <c r="Q270" s="328"/>
      <c r="R270" s="328"/>
      <c r="S270" s="211"/>
      <c r="T270" s="395" t="s">
        <v>1089</v>
      </c>
      <c r="U270" s="390"/>
      <c r="V270" s="390"/>
      <c r="W270" s="390"/>
      <c r="X270" s="390"/>
      <c r="Y270" s="390"/>
      <c r="Z270" s="390"/>
      <c r="AA270" s="390"/>
      <c r="AB270" s="390"/>
      <c r="AC270" s="390"/>
      <c r="AD270" s="390"/>
      <c r="AE270" s="390"/>
      <c r="AF270" s="239"/>
      <c r="AG270"/>
      <c r="AH270"/>
      <c r="AI270"/>
      <c r="AJ270"/>
      <c r="AK270"/>
      <c r="AL270"/>
      <c r="AM270"/>
      <c r="AN270"/>
      <c r="AO270"/>
      <c r="AP270"/>
      <c r="AQ270"/>
    </row>
    <row r="271" spans="2:43" ht="18">
      <c r="B271" s="390"/>
      <c r="C271" s="296"/>
      <c r="D271" s="362" t="s">
        <v>1099</v>
      </c>
      <c r="E271" s="362"/>
      <c r="F271" s="360" t="s">
        <v>1118</v>
      </c>
      <c r="G271" s="301"/>
      <c r="H271" s="300"/>
      <c r="I271" s="300"/>
      <c r="J271" s="300"/>
      <c r="K271" s="300"/>
      <c r="L271" s="300"/>
      <c r="M271" s="300"/>
      <c r="N271" s="300"/>
      <c r="O271" s="300"/>
      <c r="P271" s="300"/>
      <c r="Q271" s="328"/>
      <c r="R271" s="328"/>
      <c r="S271" s="211"/>
      <c r="T271" s="395" t="s">
        <v>1089</v>
      </c>
      <c r="U271" s="390"/>
      <c r="V271" s="390"/>
      <c r="W271" s="390"/>
      <c r="X271" s="390"/>
      <c r="Y271" s="390"/>
      <c r="Z271" s="390"/>
      <c r="AA271" s="390"/>
      <c r="AB271" s="390"/>
      <c r="AC271" s="390"/>
      <c r="AD271" s="390"/>
      <c r="AE271" s="390"/>
      <c r="AF271" s="239"/>
      <c r="AG271"/>
      <c r="AH271"/>
      <c r="AI271"/>
      <c r="AJ271"/>
      <c r="AK271"/>
      <c r="AL271"/>
      <c r="AM271"/>
      <c r="AN271"/>
      <c r="AO271"/>
      <c r="AP271"/>
      <c r="AQ271"/>
    </row>
    <row r="272" spans="2:43">
      <c r="B272" s="390"/>
      <c r="C272" s="296"/>
      <c r="D272" s="390"/>
      <c r="E272" s="390"/>
      <c r="F272" s="300"/>
      <c r="G272" s="301"/>
      <c r="H272" s="300"/>
      <c r="I272" s="300"/>
      <c r="J272" s="300"/>
      <c r="K272" s="300"/>
      <c r="L272" s="300"/>
      <c r="M272" s="300"/>
      <c r="N272" s="300"/>
      <c r="O272" s="300"/>
      <c r="P272" s="300"/>
      <c r="Q272" s="300"/>
      <c r="R272" s="390"/>
      <c r="S272" s="211"/>
      <c r="T272" s="395" t="s">
        <v>1089</v>
      </c>
      <c r="U272" s="239"/>
      <c r="V272" s="239"/>
      <c r="W272" s="239"/>
      <c r="X272" s="239"/>
      <c r="Y272" s="239"/>
      <c r="Z272" s="239"/>
      <c r="AA272" s="239"/>
      <c r="AB272" s="239"/>
      <c r="AC272" s="239"/>
      <c r="AD272" s="239"/>
      <c r="AE272" s="239"/>
      <c r="AF272" s="239"/>
      <c r="AG272"/>
      <c r="AH272"/>
      <c r="AI272"/>
      <c r="AJ272"/>
      <c r="AK272"/>
      <c r="AL272"/>
      <c r="AM272"/>
      <c r="AN272"/>
      <c r="AO272"/>
      <c r="AP272"/>
      <c r="AQ272"/>
    </row>
    <row r="273" spans="2:43">
      <c r="C273" s="296"/>
      <c r="D273" s="199"/>
      <c r="E273" s="390"/>
      <c r="F273" s="307" t="s">
        <v>53</v>
      </c>
      <c r="G273" s="309"/>
      <c r="H273" s="500"/>
      <c r="I273" s="501"/>
      <c r="J273" s="501"/>
      <c r="K273" s="501"/>
      <c r="L273" s="502"/>
      <c r="M273" s="340"/>
      <c r="N273" s="246" t="s">
        <v>49</v>
      </c>
      <c r="O273" s="192">
        <v>0</v>
      </c>
      <c r="P273" s="300"/>
      <c r="Q273" s="300"/>
      <c r="R273" s="265"/>
      <c r="S273" s="211"/>
      <c r="T273" s="395" t="b">
        <f>NOT(OR(H273="",O273="",O273=0))</f>
        <v>0</v>
      </c>
      <c r="U273" s="239"/>
      <c r="V273" s="239"/>
      <c r="W273" s="239"/>
      <c r="X273" s="239"/>
      <c r="Y273" s="239"/>
      <c r="Z273" s="239"/>
      <c r="AA273" s="239"/>
      <c r="AB273" s="239"/>
      <c r="AC273" s="239"/>
      <c r="AD273" s="239"/>
      <c r="AE273" s="239"/>
      <c r="AF273" s="239"/>
      <c r="AG273"/>
      <c r="AH273"/>
      <c r="AI273"/>
      <c r="AJ273"/>
      <c r="AK273"/>
      <c r="AL273"/>
      <c r="AM273"/>
      <c r="AN273"/>
      <c r="AO273"/>
      <c r="AP273"/>
      <c r="AQ273"/>
    </row>
    <row r="274" spans="2:43">
      <c r="C274" s="296"/>
      <c r="D274" s="199"/>
      <c r="E274" s="390"/>
      <c r="F274" s="302"/>
      <c r="G274" s="301"/>
      <c r="H274" s="300"/>
      <c r="I274" s="300"/>
      <c r="J274" s="300"/>
      <c r="K274" s="300"/>
      <c r="L274" s="300"/>
      <c r="M274" s="300"/>
      <c r="N274" s="300"/>
      <c r="O274" s="300"/>
      <c r="P274" s="300"/>
      <c r="Q274" s="300"/>
      <c r="R274" s="199"/>
      <c r="S274" s="211"/>
      <c r="T274" s="395" t="s">
        <v>1089</v>
      </c>
      <c r="U274" s="239"/>
      <c r="V274" s="239"/>
      <c r="W274" s="239"/>
      <c r="X274" s="239"/>
      <c r="Y274" s="239"/>
      <c r="Z274" s="239"/>
      <c r="AA274" s="239"/>
      <c r="AB274" s="239"/>
      <c r="AC274" s="239"/>
      <c r="AD274" s="239"/>
      <c r="AE274" s="239"/>
      <c r="AF274" s="239"/>
      <c r="AG274"/>
      <c r="AH274"/>
      <c r="AI274"/>
      <c r="AJ274"/>
      <c r="AK274"/>
      <c r="AL274"/>
      <c r="AM274"/>
      <c r="AN274"/>
      <c r="AO274"/>
      <c r="AP274"/>
      <c r="AQ274"/>
    </row>
    <row r="275" spans="2:43">
      <c r="C275" s="296"/>
      <c r="D275" s="199"/>
      <c r="E275" s="390"/>
      <c r="F275" s="310" t="s">
        <v>54</v>
      </c>
      <c r="G275" s="311"/>
      <c r="H275" s="500"/>
      <c r="I275" s="501"/>
      <c r="J275" s="501"/>
      <c r="K275" s="501"/>
      <c r="L275" s="501"/>
      <c r="M275" s="502"/>
      <c r="N275" s="341" t="s">
        <v>49</v>
      </c>
      <c r="O275" s="192">
        <v>0</v>
      </c>
      <c r="P275" s="300"/>
      <c r="Q275" s="300"/>
      <c r="R275" s="332"/>
      <c r="S275" s="211"/>
      <c r="T275" s="395" t="b">
        <f>NOT(OR(H275="",O275="",O275=0))</f>
        <v>0</v>
      </c>
      <c r="U275" s="239"/>
      <c r="V275" s="239"/>
      <c r="W275" s="239"/>
      <c r="X275" s="239"/>
      <c r="Y275" s="239"/>
      <c r="Z275" s="239"/>
      <c r="AA275" s="239"/>
      <c r="AB275" s="239"/>
      <c r="AC275" s="239"/>
      <c r="AD275" s="239"/>
      <c r="AE275" s="239"/>
      <c r="AF275" s="239"/>
      <c r="AG275"/>
      <c r="AH275"/>
      <c r="AI275"/>
      <c r="AJ275"/>
      <c r="AK275"/>
      <c r="AL275"/>
      <c r="AM275"/>
      <c r="AN275"/>
      <c r="AO275"/>
      <c r="AP275"/>
      <c r="AQ275"/>
    </row>
    <row r="276" spans="2:43">
      <c r="C276" s="296"/>
      <c r="D276" s="199"/>
      <c r="E276" s="390"/>
      <c r="F276" s="312"/>
      <c r="G276" s="311"/>
      <c r="H276" s="336"/>
      <c r="I276" s="242"/>
      <c r="J276" s="321"/>
      <c r="K276" s="321"/>
      <c r="L276" s="321"/>
      <c r="M276" s="321"/>
      <c r="N276" s="321"/>
      <c r="O276" s="199"/>
      <c r="P276" s="199"/>
      <c r="Q276" s="199"/>
      <c r="R276" s="332" t="str">
        <f>IF($H$273="Same as Central server as this in an All-in-one system","  &lt;-- Fill in 1 here","")</f>
        <v/>
      </c>
      <c r="S276" s="211"/>
      <c r="T276" s="395" t="s">
        <v>1089</v>
      </c>
      <c r="U276" s="239"/>
      <c r="V276" s="239"/>
      <c r="W276" s="239"/>
      <c r="X276" s="239"/>
      <c r="Y276" s="239"/>
      <c r="Z276" s="239"/>
      <c r="AA276" s="239"/>
      <c r="AB276" s="239"/>
      <c r="AC276" s="239"/>
      <c r="AD276" s="239"/>
      <c r="AE276" s="239"/>
      <c r="AF276" s="239"/>
      <c r="AG276"/>
      <c r="AH276"/>
      <c r="AI276"/>
      <c r="AJ276"/>
      <c r="AK276"/>
      <c r="AL276"/>
      <c r="AM276"/>
      <c r="AN276"/>
      <c r="AO276"/>
      <c r="AP276"/>
      <c r="AQ276"/>
    </row>
    <row r="277" spans="2:43" ht="13.5" thickBot="1">
      <c r="C277" s="296"/>
      <c r="D277" s="199"/>
      <c r="E277" s="390"/>
      <c r="F277" s="313"/>
      <c r="G277" s="314"/>
      <c r="H277" s="313"/>
      <c r="I277" s="313"/>
      <c r="J277" s="313"/>
      <c r="K277" s="313"/>
      <c r="L277" s="313"/>
      <c r="M277" s="313"/>
      <c r="N277" s="313"/>
      <c r="O277" s="313"/>
      <c r="P277" s="210"/>
      <c r="Q277" s="210"/>
      <c r="R277" s="199"/>
      <c r="S277" s="211"/>
      <c r="T277" s="395" t="s">
        <v>1089</v>
      </c>
      <c r="U277" s="239"/>
      <c r="V277" s="239"/>
      <c r="W277" s="239"/>
      <c r="X277" s="239"/>
      <c r="Y277" s="239"/>
      <c r="Z277" s="239"/>
      <c r="AA277" s="239"/>
      <c r="AB277" s="239"/>
      <c r="AC277" s="239"/>
      <c r="AD277" s="239"/>
      <c r="AE277" s="239"/>
      <c r="AF277" s="239"/>
      <c r="AG277"/>
      <c r="AH277"/>
      <c r="AI277"/>
      <c r="AJ277"/>
      <c r="AK277"/>
      <c r="AL277"/>
      <c r="AM277"/>
      <c r="AN277"/>
      <c r="AO277"/>
      <c r="AP277"/>
      <c r="AQ277"/>
    </row>
    <row r="278" spans="2:43">
      <c r="C278" s="296"/>
      <c r="D278" s="199"/>
      <c r="E278" s="390"/>
      <c r="F278" s="210"/>
      <c r="G278" s="315"/>
      <c r="H278" s="210"/>
      <c r="I278" s="210"/>
      <c r="J278" s="210"/>
      <c r="K278" s="210"/>
      <c r="L278" s="210"/>
      <c r="M278" s="210"/>
      <c r="N278" s="210"/>
      <c r="O278" s="210"/>
      <c r="P278" s="210"/>
      <c r="Q278" s="210"/>
      <c r="R278" s="199"/>
      <c r="S278" s="211"/>
      <c r="T278" s="395" t="s">
        <v>1089</v>
      </c>
      <c r="U278" s="239"/>
      <c r="V278" s="239"/>
      <c r="W278" s="239"/>
      <c r="X278" s="239"/>
      <c r="Y278" s="239"/>
      <c r="Z278" s="239"/>
      <c r="AA278" s="239"/>
      <c r="AB278" s="239"/>
      <c r="AC278" s="239"/>
      <c r="AD278" s="239"/>
      <c r="AE278" s="239"/>
      <c r="AF278" s="239"/>
      <c r="AG278"/>
      <c r="AH278"/>
      <c r="AI278"/>
      <c r="AJ278"/>
      <c r="AK278"/>
      <c r="AL278"/>
      <c r="AM278"/>
      <c r="AN278"/>
      <c r="AO278"/>
      <c r="AP278"/>
      <c r="AQ278"/>
    </row>
    <row r="279" spans="2:43" ht="18">
      <c r="C279" s="296"/>
      <c r="D279" s="362" t="s">
        <v>1119</v>
      </c>
      <c r="E279" s="362"/>
      <c r="F279" s="360" t="s">
        <v>56</v>
      </c>
      <c r="G279" s="301"/>
      <c r="H279" s="337" t="str">
        <f>IF(OR(H282="VIP-XD",H282="VIP-XDA"),IF(#REF!,"VIP-XD doesn’t support HD video",""),"")</f>
        <v/>
      </c>
      <c r="I279" s="300"/>
      <c r="J279" s="300"/>
      <c r="K279" s="300"/>
      <c r="L279" s="300"/>
      <c r="M279" s="300"/>
      <c r="N279" s="300"/>
      <c r="O279" s="300"/>
      <c r="P279" s="300"/>
      <c r="Q279" s="333"/>
      <c r="R279" s="199"/>
      <c r="S279" s="211"/>
      <c r="T279" s="395" t="s">
        <v>1089</v>
      </c>
      <c r="U279" s="239"/>
      <c r="V279" s="239"/>
      <c r="W279" s="239"/>
      <c r="X279" s="239"/>
      <c r="Y279" s="239"/>
      <c r="Z279" s="239"/>
      <c r="AA279" s="239"/>
      <c r="AB279" s="239"/>
      <c r="AC279" s="239"/>
      <c r="AD279" s="239"/>
      <c r="AE279" s="239"/>
      <c r="AF279" s="239"/>
      <c r="AG279"/>
      <c r="AH279"/>
      <c r="AI279"/>
      <c r="AJ279"/>
      <c r="AK279"/>
      <c r="AL279"/>
      <c r="AM279"/>
      <c r="AN279"/>
      <c r="AO279"/>
      <c r="AP279"/>
      <c r="AQ279"/>
    </row>
    <row r="280" spans="2:43">
      <c r="C280" s="296"/>
      <c r="D280" s="199"/>
      <c r="E280" s="390"/>
      <c r="F280" s="316"/>
      <c r="G280" s="316"/>
      <c r="H280" s="338" t="str">
        <f>IF(OR(H282="VIP-XD",H282="VIP-XDA"),IF(#REF!,"VIP XD requires BP+ stream. ARM platform max 1.2Mbps / XFM4 platform max 2.5 Mbps",""),"")</f>
        <v/>
      </c>
      <c r="I280" s="316"/>
      <c r="J280" s="316"/>
      <c r="K280" s="316"/>
      <c r="L280" s="316"/>
      <c r="M280" s="316"/>
      <c r="N280" s="316"/>
      <c r="O280" s="316"/>
      <c r="P280" s="316"/>
      <c r="Q280" s="334"/>
      <c r="R280" s="199"/>
      <c r="S280" s="211"/>
      <c r="T280" s="395" t="s">
        <v>1089</v>
      </c>
      <c r="U280" s="239"/>
      <c r="V280" s="239"/>
      <c r="W280" s="239"/>
      <c r="X280" s="239"/>
      <c r="Y280" s="239"/>
      <c r="Z280" s="239"/>
      <c r="AA280" s="239"/>
      <c r="AB280" s="239"/>
      <c r="AC280" s="239"/>
      <c r="AD280" s="239"/>
      <c r="AE280" s="239"/>
      <c r="AF280" s="239"/>
      <c r="AG280"/>
      <c r="AH280"/>
      <c r="AI280"/>
      <c r="AJ280"/>
      <c r="AK280"/>
      <c r="AL280"/>
      <c r="AM280"/>
      <c r="AN280"/>
      <c r="AO280"/>
      <c r="AP280"/>
      <c r="AQ280"/>
    </row>
    <row r="281" spans="2:43">
      <c r="C281" s="296"/>
      <c r="D281" s="199"/>
      <c r="E281" s="390"/>
      <c r="F281" s="316" t="s">
        <v>146</v>
      </c>
      <c r="G281" s="316"/>
      <c r="H281" s="500" t="s">
        <v>55</v>
      </c>
      <c r="I281" s="501"/>
      <c r="J281" s="501"/>
      <c r="K281" s="501"/>
      <c r="L281" s="502"/>
      <c r="M281" s="312"/>
      <c r="N281" s="216" t="s">
        <v>49</v>
      </c>
      <c r="O281" s="192">
        <v>0</v>
      </c>
      <c r="P281" s="316"/>
      <c r="Q281" s="334"/>
      <c r="R281" s="199"/>
      <c r="S281" s="211"/>
      <c r="T281" s="395" t="b">
        <f>NOT(OR(H281="",O281=""))</f>
        <v>1</v>
      </c>
      <c r="U281" s="239"/>
      <c r="V281" s="239"/>
      <c r="W281" s="239"/>
      <c r="X281" s="239"/>
      <c r="Y281" s="239"/>
      <c r="Z281" s="239"/>
      <c r="AA281" s="239"/>
      <c r="AB281" s="239"/>
      <c r="AC281" s="239"/>
      <c r="AD281" s="239"/>
      <c r="AE281" s="239"/>
      <c r="AF281" s="239"/>
      <c r="AG281"/>
      <c r="AH281"/>
      <c r="AI281"/>
      <c r="AJ281"/>
      <c r="AK281"/>
      <c r="AL281"/>
      <c r="AM281"/>
      <c r="AN281"/>
      <c r="AO281"/>
      <c r="AP281"/>
      <c r="AQ281"/>
    </row>
    <row r="282" spans="2:43">
      <c r="C282" s="296"/>
      <c r="D282" s="199"/>
      <c r="E282" s="390"/>
      <c r="F282" s="316" t="s">
        <v>1549</v>
      </c>
      <c r="G282" s="316"/>
      <c r="H282" s="503" t="s">
        <v>55</v>
      </c>
      <c r="I282" s="504"/>
      <c r="J282" s="504"/>
      <c r="K282" s="504"/>
      <c r="L282" s="505"/>
      <c r="M282" s="312"/>
      <c r="N282" s="216" t="s">
        <v>49</v>
      </c>
      <c r="O282" s="438">
        <v>0</v>
      </c>
      <c r="P282" s="584" t="s">
        <v>1502</v>
      </c>
      <c r="Q282" s="584"/>
      <c r="R282" s="439">
        <f>VLOOKUP(H282,DECODERS,2,FALSE)*O282</f>
        <v>0</v>
      </c>
      <c r="S282" s="335"/>
      <c r="T282" s="395" t="b">
        <f>NOT(OR(H282="",O282=""))</f>
        <v>1</v>
      </c>
      <c r="U282" s="239"/>
      <c r="V282" s="239"/>
      <c r="W282" s="239"/>
      <c r="X282" s="239"/>
      <c r="Y282" s="239"/>
      <c r="Z282" s="239"/>
      <c r="AA282" s="239"/>
      <c r="AB282" s="239"/>
      <c r="AC282" s="239"/>
      <c r="AD282" s="239"/>
      <c r="AE282" s="239"/>
      <c r="AF282" s="239"/>
      <c r="AG282"/>
      <c r="AH282"/>
      <c r="AI282"/>
      <c r="AJ282"/>
      <c r="AK282"/>
      <c r="AL282"/>
      <c r="AM282"/>
      <c r="AN282"/>
      <c r="AO282"/>
      <c r="AP282"/>
      <c r="AQ282"/>
    </row>
    <row r="283" spans="2:43">
      <c r="B283" s="390"/>
      <c r="C283" s="296"/>
      <c r="D283" s="390"/>
      <c r="E283" s="390"/>
      <c r="F283" s="455" t="s">
        <v>1550</v>
      </c>
      <c r="G283" s="455"/>
      <c r="H283" s="503" t="s">
        <v>55</v>
      </c>
      <c r="I283" s="504"/>
      <c r="J283" s="504"/>
      <c r="K283" s="504"/>
      <c r="L283" s="505"/>
      <c r="M283" s="312"/>
      <c r="N283" s="216" t="s">
        <v>49</v>
      </c>
      <c r="O283" s="454">
        <v>0</v>
      </c>
      <c r="P283" s="584" t="s">
        <v>1502</v>
      </c>
      <c r="Q283" s="584"/>
      <c r="R283" s="439">
        <f>VLOOKUP(H283,DECODERS,2,FALSE)*O283</f>
        <v>0</v>
      </c>
      <c r="S283" s="335"/>
      <c r="T283" s="395" t="b">
        <f>NOT(OR(H283="",O283=""))</f>
        <v>1</v>
      </c>
      <c r="U283" s="239"/>
      <c r="V283" s="239"/>
      <c r="W283" s="239"/>
      <c r="X283" s="239"/>
      <c r="Y283" s="239"/>
      <c r="Z283" s="239"/>
      <c r="AA283" s="239"/>
      <c r="AB283" s="239"/>
      <c r="AC283" s="239"/>
      <c r="AD283" s="239"/>
      <c r="AE283" s="239"/>
      <c r="AF283" s="239"/>
      <c r="AG283"/>
      <c r="AH283"/>
      <c r="AI283"/>
      <c r="AJ283"/>
      <c r="AK283"/>
      <c r="AL283"/>
      <c r="AM283"/>
      <c r="AN283"/>
      <c r="AO283"/>
      <c r="AP283"/>
      <c r="AQ283"/>
    </row>
    <row r="284" spans="2:43">
      <c r="C284" s="199"/>
      <c r="D284" s="199"/>
      <c r="E284" s="390"/>
      <c r="F284" s="316"/>
      <c r="G284" s="316"/>
      <c r="H284" s="335" t="str">
        <f>IF(H282="VIP-XD","Note: VIP XD not compaTBle to all cameras!","")</f>
        <v/>
      </c>
      <c r="I284" s="316"/>
      <c r="J284" s="316"/>
      <c r="K284" s="316"/>
      <c r="L284" s="316"/>
      <c r="M284" s="316"/>
      <c r="N284" s="316"/>
      <c r="O284" s="316"/>
      <c r="P284" s="316"/>
      <c r="Q284" s="316"/>
      <c r="R284" s="199"/>
      <c r="S284" s="211"/>
      <c r="T284" s="395" t="s">
        <v>1089</v>
      </c>
      <c r="U284" s="239"/>
      <c r="V284" s="239"/>
      <c r="W284" s="239"/>
      <c r="X284" s="239"/>
      <c r="Y284" s="239"/>
      <c r="Z284" s="239"/>
      <c r="AA284" s="239"/>
      <c r="AB284" s="239"/>
      <c r="AC284" s="239"/>
      <c r="AD284" s="239"/>
      <c r="AE284" s="239"/>
      <c r="AF284" s="239"/>
      <c r="AG284"/>
      <c r="AH284"/>
      <c r="AI284"/>
      <c r="AJ284"/>
      <c r="AK284"/>
      <c r="AL284"/>
      <c r="AM284"/>
      <c r="AN284"/>
      <c r="AO284"/>
      <c r="AP284"/>
      <c r="AQ284"/>
    </row>
    <row r="285" spans="2:43">
      <c r="C285" s="199"/>
      <c r="D285" s="199"/>
      <c r="E285" s="390"/>
      <c r="F285" s="316" t="s">
        <v>57</v>
      </c>
      <c r="G285" s="316"/>
      <c r="H285" s="394" t="s">
        <v>55</v>
      </c>
      <c r="I285" s="316"/>
      <c r="J285" s="316"/>
      <c r="K285" s="316"/>
      <c r="L285" s="316"/>
      <c r="M285" s="316"/>
      <c r="N285" s="316"/>
      <c r="O285" s="316"/>
      <c r="P285" s="316"/>
      <c r="Q285" s="316"/>
      <c r="R285" s="199"/>
      <c r="S285" s="211"/>
      <c r="T285" s="395" t="b">
        <f>NOT(H285="")</f>
        <v>1</v>
      </c>
      <c r="U285" s="239"/>
      <c r="V285" s="239"/>
      <c r="W285" s="239"/>
      <c r="X285" s="239"/>
      <c r="Y285" s="239"/>
      <c r="Z285" s="239"/>
      <c r="AA285" s="239"/>
      <c r="AB285" s="239"/>
      <c r="AC285" s="239"/>
      <c r="AD285" s="239"/>
      <c r="AE285" s="239"/>
      <c r="AF285" s="239"/>
      <c r="AG285"/>
      <c r="AH285"/>
      <c r="AI285"/>
      <c r="AJ285"/>
      <c r="AK285"/>
      <c r="AL285"/>
      <c r="AM285"/>
      <c r="AN285"/>
      <c r="AO285"/>
      <c r="AP285"/>
      <c r="AQ285"/>
    </row>
    <row r="286" spans="2:43">
      <c r="C286" s="199"/>
      <c r="D286" s="199"/>
      <c r="E286" s="390"/>
      <c r="F286" s="316"/>
      <c r="G286" s="316"/>
      <c r="H286" s="316"/>
      <c r="I286" s="316"/>
      <c r="J286" s="316"/>
      <c r="K286" s="316"/>
      <c r="L286" s="316"/>
      <c r="M286" s="316"/>
      <c r="N286" s="316"/>
      <c r="O286" s="316"/>
      <c r="P286" s="316"/>
      <c r="Q286" s="316"/>
      <c r="R286" s="199"/>
      <c r="S286" s="211"/>
      <c r="T286" s="395" t="s">
        <v>1089</v>
      </c>
      <c r="U286" s="239"/>
      <c r="V286" s="239"/>
      <c r="W286" s="239"/>
      <c r="X286" s="239"/>
      <c r="Y286" s="239"/>
      <c r="Z286" s="239"/>
      <c r="AA286" s="239"/>
      <c r="AB286" s="239"/>
      <c r="AC286" s="239"/>
      <c r="AD286" s="239"/>
      <c r="AE286" s="239"/>
      <c r="AF286" s="239"/>
      <c r="AG286"/>
      <c r="AH286"/>
      <c r="AI286"/>
      <c r="AJ286"/>
      <c r="AK286"/>
      <c r="AL286"/>
      <c r="AM286"/>
      <c r="AN286"/>
      <c r="AO286"/>
      <c r="AP286"/>
      <c r="AQ286"/>
    </row>
    <row r="287" spans="2:43">
      <c r="C287" s="199"/>
      <c r="D287" s="199"/>
      <c r="E287" s="390"/>
      <c r="F287" s="310" t="s">
        <v>58</v>
      </c>
      <c r="G287" s="312"/>
      <c r="H287" s="310" t="s">
        <v>59</v>
      </c>
      <c r="I287" s="197"/>
      <c r="J287" s="310" t="s">
        <v>60</v>
      </c>
      <c r="K287" s="198"/>
      <c r="L287" s="310" t="s">
        <v>61</v>
      </c>
      <c r="M287" s="196"/>
      <c r="N287" s="310" t="s">
        <v>62</v>
      </c>
      <c r="O287" s="196"/>
      <c r="P287" s="316"/>
      <c r="Q287" s="316"/>
      <c r="R287" s="199"/>
      <c r="S287" s="211"/>
      <c r="T287" s="395" t="s">
        <v>1089</v>
      </c>
      <c r="U287" s="239"/>
      <c r="V287" s="239"/>
      <c r="W287" s="239"/>
      <c r="X287" s="239"/>
      <c r="Y287" s="239"/>
      <c r="Z287" s="239"/>
      <c r="AA287" s="239"/>
      <c r="AB287" s="239"/>
      <c r="AC287" s="239"/>
      <c r="AD287" s="239"/>
      <c r="AE287" s="239"/>
      <c r="AF287" s="239"/>
      <c r="AG287"/>
      <c r="AH287"/>
      <c r="AI287"/>
      <c r="AJ287"/>
      <c r="AK287"/>
      <c r="AL287"/>
      <c r="AM287"/>
      <c r="AN287"/>
      <c r="AO287"/>
      <c r="AP287"/>
      <c r="AQ287"/>
    </row>
    <row r="288" spans="2:43">
      <c r="C288" s="199"/>
      <c r="D288" s="199"/>
      <c r="E288" s="390"/>
      <c r="F288" s="312"/>
      <c r="G288" s="312"/>
      <c r="H288" s="312"/>
      <c r="I288" s="312"/>
      <c r="J288" s="312"/>
      <c r="K288" s="312"/>
      <c r="L288" s="312"/>
      <c r="M288" s="312"/>
      <c r="N288" s="312"/>
      <c r="O288" s="312"/>
      <c r="P288" s="316"/>
      <c r="Q288" s="316"/>
      <c r="R288" s="199"/>
      <c r="S288" s="211"/>
      <c r="T288" s="395" t="s">
        <v>1089</v>
      </c>
      <c r="U288" s="239"/>
      <c r="V288" s="239"/>
      <c r="W288" s="239"/>
      <c r="X288" s="239"/>
      <c r="Y288" s="239"/>
      <c r="Z288" s="239"/>
      <c r="AA288" s="239"/>
      <c r="AB288" s="239"/>
      <c r="AC288" s="239"/>
      <c r="AD288" s="239"/>
      <c r="AE288" s="239"/>
      <c r="AF288" s="239"/>
      <c r="AG288"/>
      <c r="AH288"/>
      <c r="AI288"/>
      <c r="AJ288"/>
      <c r="AK288"/>
      <c r="AL288"/>
      <c r="AM288"/>
      <c r="AN288"/>
      <c r="AO288"/>
      <c r="AP288"/>
      <c r="AQ288"/>
    </row>
    <row r="289" spans="2:43">
      <c r="C289" s="199"/>
      <c r="D289" s="199"/>
      <c r="E289" s="390"/>
      <c r="F289" s="237" t="s">
        <v>63</v>
      </c>
      <c r="G289" s="317"/>
      <c r="H289" s="492"/>
      <c r="I289" s="492"/>
      <c r="J289" s="492"/>
      <c r="K289" s="492"/>
      <c r="L289" s="492"/>
      <c r="M289" s="492"/>
      <c r="N289" s="492"/>
      <c r="O289" s="492"/>
      <c r="P289" s="316"/>
      <c r="Q289" s="316"/>
      <c r="R289" s="199"/>
      <c r="S289" s="211"/>
      <c r="T289" s="395" t="s">
        <v>1089</v>
      </c>
      <c r="U289" s="239"/>
      <c r="V289" s="239"/>
      <c r="W289" s="239"/>
      <c r="X289" s="239"/>
      <c r="Y289" s="239"/>
      <c r="Z289" s="239"/>
      <c r="AA289" s="239"/>
      <c r="AB289" s="239"/>
      <c r="AC289" s="239"/>
      <c r="AD289" s="239"/>
      <c r="AE289" s="239"/>
      <c r="AF289" s="239"/>
      <c r="AG289"/>
      <c r="AH289"/>
      <c r="AI289"/>
      <c r="AJ289"/>
      <c r="AK289"/>
      <c r="AL289"/>
      <c r="AM289"/>
      <c r="AN289"/>
      <c r="AO289"/>
      <c r="AP289"/>
      <c r="AQ289"/>
    </row>
    <row r="290" spans="2:43">
      <c r="C290" s="199"/>
      <c r="D290" s="199"/>
      <c r="E290" s="390"/>
      <c r="F290" s="237"/>
      <c r="G290" s="317"/>
      <c r="H290" s="493"/>
      <c r="I290" s="493"/>
      <c r="J290" s="493"/>
      <c r="K290" s="493"/>
      <c r="L290" s="493"/>
      <c r="M290" s="493"/>
      <c r="N290" s="493"/>
      <c r="O290" s="493"/>
      <c r="P290" s="316"/>
      <c r="Q290" s="316"/>
      <c r="R290" s="199"/>
      <c r="S290" s="211"/>
      <c r="T290" s="395" t="s">
        <v>1089</v>
      </c>
      <c r="U290" s="239"/>
      <c r="V290" s="239"/>
      <c r="W290" s="239"/>
      <c r="X290" s="239"/>
      <c r="Y290" s="239"/>
      <c r="Z290" s="239"/>
      <c r="AA290" s="239"/>
      <c r="AB290" s="239"/>
      <c r="AC290" s="239"/>
      <c r="AD290" s="239"/>
      <c r="AE290" s="239"/>
      <c r="AF290" s="239"/>
      <c r="AG290"/>
      <c r="AH290"/>
      <c r="AI290"/>
      <c r="AJ290"/>
      <c r="AK290"/>
      <c r="AL290"/>
      <c r="AM290"/>
      <c r="AN290"/>
      <c r="AO290"/>
      <c r="AP290"/>
      <c r="AQ290"/>
    </row>
    <row r="291" spans="2:43">
      <c r="C291" s="199"/>
      <c r="D291" s="199"/>
      <c r="E291" s="390"/>
      <c r="F291" s="318"/>
      <c r="G291" s="247"/>
      <c r="H291" s="493"/>
      <c r="I291" s="493"/>
      <c r="J291" s="493"/>
      <c r="K291" s="493"/>
      <c r="L291" s="493"/>
      <c r="M291" s="493"/>
      <c r="N291" s="493"/>
      <c r="O291" s="493"/>
      <c r="P291" s="316"/>
      <c r="Q291" s="316"/>
      <c r="R291" s="199"/>
      <c r="S291" s="211"/>
      <c r="T291" s="395" t="s">
        <v>1089</v>
      </c>
      <c r="U291" s="239"/>
      <c r="V291" s="239"/>
      <c r="W291" s="239"/>
      <c r="X291" s="239"/>
      <c r="Y291" s="239"/>
      <c r="Z291" s="239"/>
      <c r="AA291" s="239"/>
      <c r="AB291" s="239"/>
      <c r="AC291" s="239"/>
      <c r="AD291" s="239"/>
      <c r="AE291" s="239"/>
      <c r="AF291" s="239"/>
      <c r="AG291"/>
      <c r="AH291"/>
      <c r="AI291"/>
      <c r="AJ291"/>
      <c r="AK291"/>
      <c r="AL291"/>
      <c r="AM291"/>
      <c r="AN291"/>
      <c r="AO291"/>
      <c r="AP291"/>
      <c r="AQ291"/>
    </row>
    <row r="292" spans="2:43">
      <c r="C292" s="199"/>
      <c r="D292" s="199"/>
      <c r="E292" s="390"/>
      <c r="F292" s="237"/>
      <c r="G292" s="317"/>
      <c r="H292" s="493"/>
      <c r="I292" s="493"/>
      <c r="J292" s="493"/>
      <c r="K292" s="493"/>
      <c r="L292" s="493"/>
      <c r="M292" s="493"/>
      <c r="N292" s="493"/>
      <c r="O292" s="493"/>
      <c r="P292" s="316"/>
      <c r="Q292" s="316"/>
      <c r="R292" s="199"/>
      <c r="S292" s="211"/>
      <c r="T292" s="395" t="s">
        <v>1089</v>
      </c>
      <c r="U292" s="239"/>
      <c r="V292" s="239"/>
      <c r="W292" s="239"/>
      <c r="X292" s="239"/>
      <c r="Y292" s="239"/>
      <c r="Z292" s="239"/>
      <c r="AA292" s="239"/>
      <c r="AB292" s="239"/>
      <c r="AC292" s="239"/>
      <c r="AD292" s="239"/>
      <c r="AE292" s="239"/>
      <c r="AF292" s="239"/>
      <c r="AG292"/>
      <c r="AH292"/>
      <c r="AI292"/>
      <c r="AJ292"/>
      <c r="AK292"/>
      <c r="AL292"/>
      <c r="AM292"/>
      <c r="AN292"/>
      <c r="AO292"/>
      <c r="AP292"/>
      <c r="AQ292"/>
    </row>
    <row r="293" spans="2:43">
      <c r="C293" s="199"/>
      <c r="D293" s="199"/>
      <c r="E293" s="390"/>
      <c r="F293" s="237"/>
      <c r="G293" s="317"/>
      <c r="H293" s="307"/>
      <c r="I293" s="307"/>
      <c r="J293" s="242"/>
      <c r="K293" s="312"/>
      <c r="L293" s="312"/>
      <c r="M293" s="312"/>
      <c r="N293" s="312"/>
      <c r="O293" s="312"/>
      <c r="P293" s="312"/>
      <c r="Q293" s="312"/>
      <c r="R293" s="199"/>
      <c r="S293" s="211"/>
      <c r="T293" s="395" t="s">
        <v>1089</v>
      </c>
      <c r="U293" s="239"/>
      <c r="V293" s="239"/>
      <c r="W293" s="239"/>
      <c r="X293" s="239"/>
      <c r="Y293" s="239"/>
      <c r="Z293" s="239"/>
      <c r="AA293" s="239"/>
      <c r="AB293" s="239"/>
      <c r="AC293" s="239"/>
      <c r="AD293" s="239"/>
      <c r="AE293" s="239"/>
      <c r="AF293" s="239"/>
      <c r="AG293"/>
      <c r="AH293"/>
      <c r="AI293"/>
      <c r="AJ293"/>
      <c r="AK293"/>
      <c r="AL293"/>
      <c r="AM293"/>
      <c r="AN293"/>
      <c r="AO293"/>
      <c r="AP293"/>
      <c r="AQ293"/>
    </row>
    <row r="294" spans="2:43">
      <c r="C294" s="199"/>
      <c r="D294" s="199"/>
      <c r="E294" s="390"/>
      <c r="F294" s="237" t="s">
        <v>64</v>
      </c>
      <c r="G294" s="317"/>
      <c r="H294" s="492"/>
      <c r="I294" s="492"/>
      <c r="J294" s="492"/>
      <c r="K294" s="492"/>
      <c r="L294" s="492"/>
      <c r="M294" s="492"/>
      <c r="N294" s="492"/>
      <c r="O294" s="492"/>
      <c r="P294" s="237"/>
      <c r="Q294" s="237"/>
      <c r="R294" s="199"/>
      <c r="S294" s="211"/>
      <c r="T294" s="395" t="s">
        <v>1089</v>
      </c>
      <c r="U294" s="239"/>
      <c r="V294" s="239"/>
      <c r="W294" s="239"/>
      <c r="X294" s="239"/>
      <c r="Y294" s="239"/>
      <c r="Z294" s="239"/>
      <c r="AA294" s="239"/>
      <c r="AB294" s="239"/>
      <c r="AC294" s="239"/>
      <c r="AD294" s="239"/>
      <c r="AE294" s="239"/>
      <c r="AF294" s="239"/>
      <c r="AG294"/>
      <c r="AH294"/>
      <c r="AI294"/>
      <c r="AJ294"/>
      <c r="AK294"/>
      <c r="AL294"/>
      <c r="AM294"/>
      <c r="AN294"/>
      <c r="AO294"/>
      <c r="AP294"/>
      <c r="AQ294"/>
    </row>
    <row r="295" spans="2:43">
      <c r="C295" s="199"/>
      <c r="D295" s="199"/>
      <c r="E295" s="390"/>
      <c r="F295" s="237"/>
      <c r="G295" s="317"/>
      <c r="H295" s="493"/>
      <c r="I295" s="493"/>
      <c r="J295" s="493"/>
      <c r="K295" s="493"/>
      <c r="L295" s="493"/>
      <c r="M295" s="493"/>
      <c r="N295" s="493"/>
      <c r="O295" s="493"/>
      <c r="P295" s="237"/>
      <c r="Q295" s="237"/>
      <c r="R295" s="199"/>
      <c r="S295" s="211"/>
      <c r="T295" s="395" t="s">
        <v>1089</v>
      </c>
      <c r="U295" s="239"/>
      <c r="V295" s="239"/>
      <c r="W295" s="239"/>
      <c r="X295" s="239"/>
      <c r="Y295" s="239"/>
      <c r="Z295" s="239"/>
      <c r="AA295" s="239"/>
      <c r="AB295" s="239"/>
      <c r="AC295" s="239"/>
      <c r="AD295" s="239"/>
      <c r="AE295" s="239"/>
      <c r="AF295" s="239"/>
      <c r="AG295"/>
      <c r="AH295"/>
      <c r="AI295"/>
      <c r="AJ295"/>
      <c r="AK295"/>
      <c r="AL295"/>
      <c r="AM295"/>
      <c r="AN295"/>
      <c r="AO295"/>
      <c r="AP295"/>
      <c r="AQ295"/>
    </row>
    <row r="296" spans="2:43">
      <c r="C296" s="199"/>
      <c r="D296" s="199"/>
      <c r="E296" s="390"/>
      <c r="F296" s="312"/>
      <c r="G296" s="318"/>
      <c r="H296" s="493"/>
      <c r="I296" s="493"/>
      <c r="J296" s="493"/>
      <c r="K296" s="493"/>
      <c r="L296" s="493"/>
      <c r="M296" s="493"/>
      <c r="N296" s="493"/>
      <c r="O296" s="493"/>
      <c r="P296" s="237"/>
      <c r="Q296" s="237"/>
      <c r="R296" s="199"/>
      <c r="S296" s="211"/>
      <c r="T296" s="395" t="s">
        <v>1089</v>
      </c>
      <c r="U296" s="239"/>
      <c r="V296" s="239"/>
      <c r="W296" s="239"/>
      <c r="X296" s="239"/>
      <c r="Y296" s="239"/>
      <c r="Z296" s="239"/>
      <c r="AA296" s="239"/>
      <c r="AB296" s="239"/>
      <c r="AC296" s="239"/>
      <c r="AD296" s="239"/>
      <c r="AE296" s="239"/>
      <c r="AF296" s="239"/>
      <c r="AG296"/>
      <c r="AH296"/>
      <c r="AI296"/>
      <c r="AJ296"/>
      <c r="AK296"/>
      <c r="AL296"/>
      <c r="AM296"/>
      <c r="AN296"/>
      <c r="AO296"/>
      <c r="AP296"/>
      <c r="AQ296"/>
    </row>
    <row r="297" spans="2:43">
      <c r="C297" s="199"/>
      <c r="D297" s="199"/>
      <c r="E297" s="390"/>
      <c r="F297" s="237"/>
      <c r="G297" s="319"/>
      <c r="H297" s="493"/>
      <c r="I297" s="493"/>
      <c r="J297" s="493"/>
      <c r="K297" s="493"/>
      <c r="L297" s="493"/>
      <c r="M297" s="493"/>
      <c r="N297" s="493"/>
      <c r="O297" s="493"/>
      <c r="P297" s="237"/>
      <c r="Q297" s="237"/>
      <c r="R297" s="199"/>
      <c r="S297" s="211"/>
      <c r="T297" s="395" t="s">
        <v>1089</v>
      </c>
      <c r="U297" s="239"/>
      <c r="V297" s="239"/>
      <c r="W297" s="239"/>
      <c r="X297" s="239"/>
      <c r="Y297" s="239"/>
      <c r="Z297" s="239"/>
      <c r="AA297" s="239"/>
      <c r="AB297" s="239"/>
      <c r="AC297" s="239"/>
      <c r="AD297" s="239"/>
      <c r="AE297" s="239"/>
      <c r="AF297" s="239"/>
      <c r="AG297"/>
      <c r="AH297"/>
      <c r="AI297"/>
      <c r="AJ297"/>
      <c r="AK297"/>
      <c r="AL297"/>
      <c r="AM297"/>
      <c r="AN297"/>
      <c r="AO297"/>
      <c r="AP297"/>
      <c r="AQ297"/>
    </row>
    <row r="298" spans="2:43">
      <c r="C298" s="199"/>
      <c r="D298" s="199"/>
      <c r="E298" s="390"/>
      <c r="F298" s="237"/>
      <c r="G298" s="319"/>
      <c r="H298" s="247"/>
      <c r="I298" s="247"/>
      <c r="J298" s="245"/>
      <c r="K298" s="312"/>
      <c r="L298" s="312"/>
      <c r="M298" s="312"/>
      <c r="N298" s="312"/>
      <c r="O298" s="312"/>
      <c r="P298" s="312"/>
      <c r="Q298" s="312"/>
      <c r="R298" s="199"/>
      <c r="S298" s="211"/>
      <c r="T298" s="395" t="s">
        <v>1089</v>
      </c>
      <c r="U298" s="239"/>
      <c r="V298" s="239"/>
      <c r="W298" s="239"/>
      <c r="X298" s="239"/>
      <c r="Y298" s="239"/>
      <c r="Z298" s="239"/>
      <c r="AA298" s="239"/>
      <c r="AB298" s="239"/>
      <c r="AC298" s="239"/>
      <c r="AD298" s="239"/>
      <c r="AE298" s="239"/>
      <c r="AF298" s="239"/>
      <c r="AG298"/>
      <c r="AH298"/>
      <c r="AI298"/>
      <c r="AJ298"/>
      <c r="AK298"/>
      <c r="AL298"/>
      <c r="AM298"/>
    </row>
    <row r="299" spans="2:43" ht="13.5" thickBot="1">
      <c r="B299" s="390"/>
      <c r="C299" s="296"/>
      <c r="D299" s="390"/>
      <c r="E299" s="390"/>
      <c r="F299" s="313"/>
      <c r="G299" s="314"/>
      <c r="H299" s="313"/>
      <c r="I299" s="313"/>
      <c r="J299" s="313"/>
      <c r="K299" s="313"/>
      <c r="L299" s="313"/>
      <c r="M299" s="313"/>
      <c r="N299" s="313"/>
      <c r="O299" s="313"/>
      <c r="P299" s="210"/>
      <c r="Q299" s="210"/>
      <c r="R299" s="390"/>
      <c r="S299" s="211"/>
      <c r="T299" s="395" t="s">
        <v>1089</v>
      </c>
      <c r="U299" s="239"/>
      <c r="V299" s="239"/>
      <c r="W299" s="239"/>
      <c r="X299" s="239"/>
      <c r="Y299" s="239"/>
      <c r="Z299" s="239"/>
      <c r="AA299" s="239"/>
      <c r="AB299" s="239"/>
      <c r="AC299" s="239"/>
      <c r="AD299" s="239"/>
      <c r="AE299" s="239"/>
      <c r="AF299" s="239"/>
      <c r="AG299"/>
      <c r="AH299"/>
      <c r="AI299"/>
      <c r="AJ299"/>
      <c r="AK299"/>
      <c r="AL299"/>
      <c r="AM299"/>
      <c r="AN299"/>
      <c r="AO299"/>
      <c r="AP299"/>
      <c r="AQ299"/>
    </row>
    <row r="300" spans="2:43">
      <c r="B300" s="390"/>
      <c r="C300" s="296"/>
      <c r="D300" s="390"/>
      <c r="E300" s="390"/>
      <c r="F300" s="210"/>
      <c r="G300" s="315"/>
      <c r="H300" s="210"/>
      <c r="I300" s="210"/>
      <c r="J300" s="210"/>
      <c r="K300" s="210"/>
      <c r="L300" s="210"/>
      <c r="M300" s="210"/>
      <c r="N300" s="210"/>
      <c r="O300" s="210"/>
      <c r="P300" s="210"/>
      <c r="Q300" s="210"/>
      <c r="R300" s="390"/>
      <c r="S300" s="211"/>
      <c r="T300" s="395" t="s">
        <v>1089</v>
      </c>
      <c r="U300" s="239"/>
      <c r="V300" s="239"/>
      <c r="W300" s="239"/>
      <c r="X300" s="239"/>
      <c r="Y300" s="239"/>
      <c r="Z300" s="239"/>
      <c r="AA300" s="239"/>
      <c r="AB300" s="239"/>
      <c r="AC300" s="239"/>
      <c r="AD300" s="239"/>
      <c r="AE300" s="239"/>
      <c r="AF300" s="239"/>
      <c r="AG300"/>
      <c r="AH300"/>
      <c r="AI300"/>
      <c r="AJ300"/>
      <c r="AK300"/>
      <c r="AL300"/>
      <c r="AM300"/>
      <c r="AN300"/>
      <c r="AO300"/>
      <c r="AP300"/>
      <c r="AQ300"/>
    </row>
    <row r="301" spans="2:43" ht="18">
      <c r="B301" s="390"/>
      <c r="C301" s="296"/>
      <c r="D301" s="362" t="s">
        <v>1120</v>
      </c>
      <c r="E301" s="362"/>
      <c r="F301" s="360" t="s">
        <v>1121</v>
      </c>
      <c r="G301" s="315"/>
      <c r="H301" s="210"/>
      <c r="I301" s="210"/>
      <c r="J301" s="210"/>
      <c r="K301" s="210"/>
      <c r="L301" s="210"/>
      <c r="M301" s="210"/>
      <c r="N301" s="210"/>
      <c r="O301" s="210"/>
      <c r="P301" s="210"/>
      <c r="Q301" s="210"/>
      <c r="R301" s="390"/>
      <c r="S301" s="211"/>
      <c r="T301" s="395" t="s">
        <v>1089</v>
      </c>
      <c r="U301" s="239"/>
      <c r="V301" s="239"/>
      <c r="W301" s="239"/>
      <c r="X301" s="239"/>
      <c r="Y301" s="239"/>
      <c r="Z301" s="239"/>
      <c r="AA301" s="239"/>
      <c r="AB301" s="239"/>
      <c r="AC301" s="239"/>
      <c r="AD301" s="239"/>
      <c r="AE301" s="239"/>
      <c r="AF301" s="239"/>
      <c r="AG301"/>
      <c r="AH301"/>
      <c r="AI301"/>
      <c r="AJ301"/>
      <c r="AK301"/>
      <c r="AL301"/>
      <c r="AM301"/>
      <c r="AN301"/>
      <c r="AO301"/>
      <c r="AP301"/>
      <c r="AQ301"/>
    </row>
    <row r="302" spans="2:43">
      <c r="B302" s="390"/>
      <c r="C302" s="390"/>
      <c r="D302" s="390"/>
      <c r="E302" s="390"/>
      <c r="F302" s="237"/>
      <c r="G302" s="319"/>
      <c r="H302" s="247"/>
      <c r="I302" s="247"/>
      <c r="J302" s="245"/>
      <c r="K302" s="312"/>
      <c r="L302" s="312"/>
      <c r="M302" s="312"/>
      <c r="N302" s="312"/>
      <c r="O302" s="312"/>
      <c r="P302" s="312"/>
      <c r="Q302" s="312"/>
      <c r="R302" s="390"/>
      <c r="S302" s="211"/>
      <c r="T302" s="395" t="s">
        <v>1089</v>
      </c>
      <c r="U302" s="239"/>
      <c r="V302" s="239"/>
      <c r="W302" s="239"/>
      <c r="X302" s="239"/>
      <c r="Y302" s="239"/>
      <c r="Z302" s="239"/>
      <c r="AA302" s="239"/>
      <c r="AB302" s="239"/>
      <c r="AC302" s="239"/>
      <c r="AD302" s="239"/>
      <c r="AE302" s="239"/>
      <c r="AF302" s="239"/>
      <c r="AG302"/>
      <c r="AH302"/>
      <c r="AI302"/>
      <c r="AJ302"/>
      <c r="AK302"/>
      <c r="AL302"/>
      <c r="AM302"/>
    </row>
    <row r="303" spans="2:43">
      <c r="C303" s="199"/>
      <c r="D303" s="199"/>
      <c r="E303" s="199"/>
      <c r="F303" s="320" t="s">
        <v>2115</v>
      </c>
      <c r="G303" s="247"/>
      <c r="H303" s="247"/>
      <c r="I303" s="247"/>
      <c r="J303" s="245"/>
      <c r="K303" s="321"/>
      <c r="L303" s="321"/>
      <c r="M303" s="321"/>
      <c r="N303" s="321"/>
      <c r="O303" s="321"/>
      <c r="P303" s="321"/>
      <c r="Q303" s="321"/>
      <c r="R303" s="199"/>
      <c r="S303" s="211"/>
      <c r="T303" s="395" t="s">
        <v>1089</v>
      </c>
    </row>
    <row r="304" spans="2:43">
      <c r="C304" s="199"/>
      <c r="D304" s="199"/>
      <c r="E304" s="199"/>
      <c r="F304" s="319"/>
      <c r="G304" s="319"/>
      <c r="H304" s="247"/>
      <c r="I304" s="247"/>
      <c r="J304" s="245"/>
      <c r="K304" s="321"/>
      <c r="L304" s="321"/>
      <c r="M304" s="321"/>
      <c r="N304" s="321"/>
      <c r="O304" s="321"/>
      <c r="P304" s="321"/>
      <c r="Q304" s="321"/>
      <c r="R304" s="199"/>
      <c r="S304" s="211"/>
      <c r="T304" s="395" t="s">
        <v>1089</v>
      </c>
    </row>
    <row r="305" spans="3:20">
      <c r="C305" s="199"/>
      <c r="D305" s="199"/>
      <c r="E305" s="199"/>
      <c r="F305" s="237"/>
      <c r="G305" s="319"/>
      <c r="H305" s="247"/>
      <c r="I305" s="247"/>
      <c r="J305" s="247"/>
      <c r="K305" s="321"/>
      <c r="L305" s="321"/>
      <c r="M305" s="321"/>
      <c r="N305" s="321"/>
      <c r="O305" s="321"/>
      <c r="P305" s="321"/>
      <c r="Q305" s="321"/>
      <c r="R305" s="199"/>
      <c r="S305" s="211"/>
      <c r="T305" s="395" t="s">
        <v>1089</v>
      </c>
    </row>
    <row r="306" spans="3:20">
      <c r="C306" s="199"/>
      <c r="D306" s="199"/>
      <c r="E306" s="199"/>
      <c r="F306" s="322"/>
      <c r="G306" s="322"/>
      <c r="H306" s="247"/>
      <c r="I306" s="247" t="s">
        <v>65</v>
      </c>
      <c r="J306" s="322"/>
      <c r="K306" s="323"/>
      <c r="L306" s="321"/>
      <c r="M306" s="321"/>
      <c r="N306" s="321"/>
      <c r="O306" s="321"/>
      <c r="P306" s="321"/>
      <c r="Q306" s="321"/>
      <c r="R306" s="199"/>
      <c r="S306" s="211"/>
      <c r="T306" s="395" t="s">
        <v>1089</v>
      </c>
    </row>
    <row r="307" spans="3:20">
      <c r="C307" s="199"/>
      <c r="D307" s="199"/>
      <c r="E307" s="199"/>
      <c r="F307" s="242"/>
      <c r="G307" s="247"/>
      <c r="H307" s="247"/>
      <c r="I307" s="247"/>
      <c r="J307" s="247"/>
      <c r="K307" s="321"/>
      <c r="L307" s="321"/>
      <c r="M307" s="321"/>
      <c r="N307" s="321"/>
      <c r="O307" s="321"/>
      <c r="P307" s="321"/>
      <c r="Q307" s="321"/>
      <c r="R307" s="199"/>
      <c r="S307" s="211"/>
      <c r="T307" s="395" t="s">
        <v>1089</v>
      </c>
    </row>
    <row r="308" spans="3:20" ht="35.25" customHeight="1">
      <c r="C308" s="199"/>
      <c r="D308" s="239" t="str">
        <f>E25&amp;" "&amp;E26&amp;" - Rev. V15.0 (24 Oct 2025)"</f>
        <v>BVMS project checklist  - Rev. V15.0 (24 Oct 2025)</v>
      </c>
      <c r="E308" s="324"/>
      <c r="F308" s="199"/>
      <c r="G308" s="199"/>
      <c r="H308" s="199"/>
      <c r="I308" s="199"/>
      <c r="J308" s="200"/>
      <c r="K308" s="200"/>
      <c r="L308" s="200"/>
      <c r="M308" s="200"/>
      <c r="N308" s="200"/>
      <c r="O308" s="200"/>
      <c r="P308" s="200"/>
      <c r="Q308" s="200"/>
      <c r="R308" s="199"/>
      <c r="S308" s="211"/>
      <c r="T308" s="395" t="s">
        <v>1089</v>
      </c>
    </row>
    <row r="309" spans="3:20" hidden="1">
      <c r="C309" s="199"/>
      <c r="D309" s="325" t="s">
        <v>126</v>
      </c>
      <c r="E309" s="199"/>
      <c r="F309" s="199"/>
      <c r="G309" s="580" t="s">
        <v>127</v>
      </c>
      <c r="H309" s="580"/>
      <c r="I309" s="580"/>
      <c r="J309" s="200"/>
      <c r="K309" s="200"/>
      <c r="L309" s="200"/>
      <c r="M309" s="200"/>
      <c r="N309" s="200"/>
      <c r="O309" s="200"/>
      <c r="P309" s="200"/>
      <c r="Q309" s="200"/>
      <c r="R309" s="200"/>
      <c r="S309" s="211"/>
      <c r="T309" s="395" t="s">
        <v>1089</v>
      </c>
    </row>
    <row r="310" spans="3:20" ht="13.5" hidden="1" customHeight="1">
      <c r="J310" s="19"/>
      <c r="K310" s="19"/>
      <c r="L310" s="19"/>
      <c r="M310" s="19"/>
      <c r="N310" s="19"/>
      <c r="O310" s="19"/>
      <c r="P310" s="19"/>
      <c r="Q310" s="19"/>
      <c r="R310" s="19"/>
      <c r="T310" s="395" t="s">
        <v>1089</v>
      </c>
    </row>
    <row r="311" spans="3:20" ht="12.75" hidden="1" customHeight="1">
      <c r="J311" s="19"/>
      <c r="K311" s="19"/>
      <c r="L311" s="19"/>
      <c r="M311" s="19"/>
      <c r="N311" s="19"/>
      <c r="O311" s="19"/>
      <c r="P311" s="19"/>
      <c r="Q311" s="19"/>
      <c r="T311" s="395" t="s">
        <v>1089</v>
      </c>
    </row>
    <row r="312" spans="3:20" ht="12.75" hidden="1" customHeight="1">
      <c r="G312"/>
      <c r="H312"/>
      <c r="I312"/>
      <c r="J312"/>
      <c r="K312"/>
      <c r="L312"/>
      <c r="M312"/>
      <c r="N312"/>
      <c r="O312"/>
      <c r="P312"/>
      <c r="Q312"/>
      <c r="T312" s="395" t="s">
        <v>1089</v>
      </c>
    </row>
    <row r="313" spans="3:20" ht="12.75" hidden="1" customHeight="1">
      <c r="G313"/>
      <c r="H313"/>
      <c r="I313"/>
      <c r="J313"/>
      <c r="K313"/>
      <c r="L313"/>
      <c r="M313"/>
      <c r="N313"/>
      <c r="O313"/>
      <c r="P313"/>
      <c r="Q313"/>
      <c r="T313" s="395" t="s">
        <v>1089</v>
      </c>
    </row>
    <row r="314" spans="3:20" ht="12.75" hidden="1" customHeight="1">
      <c r="T314" s="395" t="s">
        <v>1089</v>
      </c>
    </row>
    <row r="315" spans="3:20" ht="12.75" hidden="1" customHeight="1">
      <c r="T315" s="395" t="s">
        <v>1089</v>
      </c>
    </row>
    <row r="316" spans="3:20" ht="12.75" hidden="1" customHeight="1">
      <c r="T316" s="395" t="s">
        <v>1089</v>
      </c>
    </row>
    <row r="317" spans="3:20" ht="12.75" hidden="1" customHeight="1">
      <c r="T317" s="395" t="s">
        <v>1089</v>
      </c>
    </row>
    <row r="318" spans="3:20" ht="12.75" hidden="1" customHeight="1">
      <c r="T318" s="395" t="s">
        <v>1089</v>
      </c>
    </row>
    <row r="319" spans="3:20" ht="12.75" hidden="1" customHeight="1">
      <c r="S319" s="1"/>
      <c r="T319" s="395" t="s">
        <v>1089</v>
      </c>
    </row>
    <row r="320" spans="3:20" ht="12.75" hidden="1" customHeight="1">
      <c r="S320" s="1"/>
      <c r="T320" s="395" t="s">
        <v>1089</v>
      </c>
    </row>
    <row r="321" spans="5:43" ht="12.75" hidden="1" customHeight="1">
      <c r="S321" s="1"/>
      <c r="T321" s="395" t="s">
        <v>1089</v>
      </c>
    </row>
    <row r="322" spans="5:43" ht="12.75" hidden="1" customHeight="1">
      <c r="E322" s="3" t="s">
        <v>95</v>
      </c>
      <c r="F322" s="3"/>
      <c r="S322" s="1"/>
      <c r="T322" s="395" t="s">
        <v>1089</v>
      </c>
    </row>
    <row r="323" spans="5:43" ht="12.75" hidden="1" customHeight="1">
      <c r="E323" s="3">
        <v>2010</v>
      </c>
      <c r="F323" s="3">
        <v>1</v>
      </c>
      <c r="I323" s="4"/>
      <c r="L323" s="4"/>
      <c r="M323" s="4"/>
      <c r="N323" s="4"/>
      <c r="O323" s="4"/>
      <c r="S323" s="1"/>
      <c r="T323" s="395" t="s">
        <v>1089</v>
      </c>
    </row>
    <row r="324" spans="5:43" ht="12.75" hidden="1" customHeight="1">
      <c r="E324" s="3">
        <v>2011</v>
      </c>
      <c r="F324" s="3">
        <v>2</v>
      </c>
      <c r="I324" s="4"/>
      <c r="L324" s="4"/>
      <c r="M324" s="4"/>
      <c r="N324" s="4"/>
      <c r="O324" s="4"/>
      <c r="S324" s="1"/>
      <c r="T324" s="395" t="s">
        <v>1089</v>
      </c>
    </row>
    <row r="325" spans="5:43" ht="12.75" hidden="1" customHeight="1">
      <c r="E325" s="3">
        <v>2012</v>
      </c>
      <c r="F325" s="3">
        <v>3</v>
      </c>
      <c r="G325" s="3" t="s">
        <v>82</v>
      </c>
      <c r="H325" s="3"/>
      <c r="I325" s="4"/>
      <c r="L325" s="4"/>
      <c r="M325" s="4"/>
      <c r="N325" s="4"/>
      <c r="O325" s="4"/>
      <c r="S325" s="1"/>
      <c r="T325" s="395" t="s">
        <v>1089</v>
      </c>
    </row>
    <row r="326" spans="5:43" ht="12.75" hidden="1" customHeight="1">
      <c r="E326" s="3">
        <v>2013</v>
      </c>
      <c r="F326" s="3">
        <v>4</v>
      </c>
      <c r="G326" s="3" t="s">
        <v>96</v>
      </c>
      <c r="H326" s="3"/>
      <c r="I326" s="4"/>
      <c r="L326" s="4"/>
      <c r="M326" s="4"/>
      <c r="N326" s="4"/>
      <c r="O326" s="4"/>
      <c r="S326" s="1"/>
      <c r="T326" s="395" t="s">
        <v>1089</v>
      </c>
    </row>
    <row r="327" spans="5:43" ht="12.75" hidden="1" customHeight="1">
      <c r="E327" s="3">
        <v>2014</v>
      </c>
      <c r="F327" s="3">
        <v>5</v>
      </c>
      <c r="G327" s="3" t="s">
        <v>83</v>
      </c>
      <c r="H327" s="3">
        <v>1</v>
      </c>
      <c r="I327" s="4"/>
      <c r="L327" s="4"/>
      <c r="M327" s="4"/>
      <c r="N327" s="4"/>
      <c r="O327" s="4"/>
      <c r="S327" s="1"/>
      <c r="T327" s="395" t="s">
        <v>1089</v>
      </c>
      <c r="AC327" s="355"/>
      <c r="AD327" s="355"/>
      <c r="AE327" s="355"/>
      <c r="AF327" s="355"/>
      <c r="AG327" s="29"/>
      <c r="AH327" s="29"/>
      <c r="AI327" s="29"/>
      <c r="AJ327" s="29"/>
      <c r="AK327" s="29"/>
      <c r="AL327" s="29"/>
      <c r="AM327" s="27"/>
      <c r="AN327" s="27"/>
      <c r="AO327" s="27"/>
      <c r="AP327" s="27"/>
      <c r="AQ327" s="27"/>
    </row>
    <row r="328" spans="5:43" ht="12.75" hidden="1" customHeight="1">
      <c r="E328" s="3">
        <v>2015</v>
      </c>
      <c r="F328" s="3">
        <v>6</v>
      </c>
      <c r="G328" s="3" t="s">
        <v>84</v>
      </c>
      <c r="H328" s="3">
        <v>2</v>
      </c>
      <c r="I328" s="4"/>
      <c r="L328" s="4"/>
      <c r="M328" s="4"/>
      <c r="N328" s="4"/>
      <c r="O328" s="4"/>
      <c r="S328" s="1"/>
      <c r="T328" s="395" t="s">
        <v>1089</v>
      </c>
      <c r="AE328" s="208"/>
      <c r="AF328" s="208"/>
      <c r="AG328" s="5"/>
      <c r="AH328" s="5"/>
      <c r="AI328" s="5"/>
      <c r="AJ328" s="5"/>
      <c r="AK328" s="5"/>
      <c r="AL328" s="5"/>
      <c r="AM328" s="29"/>
      <c r="AN328" s="5"/>
      <c r="AO328" s="5"/>
      <c r="AP328" s="5"/>
      <c r="AQ328" s="5"/>
    </row>
    <row r="329" spans="5:43" ht="12.75" hidden="1" customHeight="1">
      <c r="E329" s="3">
        <v>2016</v>
      </c>
      <c r="F329" s="3">
        <v>7</v>
      </c>
      <c r="G329" s="3" t="s">
        <v>85</v>
      </c>
      <c r="H329" s="3">
        <v>3</v>
      </c>
      <c r="I329" s="4"/>
      <c r="L329" s="4"/>
      <c r="M329" s="4"/>
      <c r="N329" s="4"/>
      <c r="O329" s="4"/>
      <c r="S329" s="1"/>
      <c r="T329" s="395" t="s">
        <v>1089</v>
      </c>
      <c r="AM329" s="2"/>
      <c r="AN329" s="2"/>
      <c r="AO329" s="27"/>
      <c r="AP329" s="27"/>
      <c r="AQ329" s="27"/>
    </row>
    <row r="330" spans="5:43" ht="12.75" hidden="1" customHeight="1">
      <c r="E330" s="3">
        <v>2017</v>
      </c>
      <c r="F330" s="3">
        <v>8</v>
      </c>
      <c r="G330" s="3" t="s">
        <v>86</v>
      </c>
      <c r="H330" s="3">
        <v>4</v>
      </c>
      <c r="I330" s="4"/>
      <c r="L330" s="4"/>
      <c r="M330" s="4"/>
      <c r="N330" s="4"/>
      <c r="O330" s="4"/>
      <c r="S330" s="1"/>
      <c r="T330" s="395" t="s">
        <v>1089</v>
      </c>
      <c r="AM330" s="2"/>
      <c r="AO330" s="27"/>
    </row>
    <row r="331" spans="5:43" ht="12.75" hidden="1" customHeight="1">
      <c r="E331" s="3">
        <v>2018</v>
      </c>
      <c r="F331" s="3">
        <v>9</v>
      </c>
      <c r="G331" s="3" t="s">
        <v>87</v>
      </c>
      <c r="H331" s="3">
        <v>5</v>
      </c>
      <c r="I331" s="4"/>
      <c r="L331" s="4"/>
      <c r="M331" s="4"/>
      <c r="N331" s="4"/>
      <c r="O331" s="4"/>
      <c r="S331" s="1"/>
      <c r="T331" s="395" t="s">
        <v>1089</v>
      </c>
      <c r="AO331" s="27"/>
    </row>
    <row r="332" spans="5:43" ht="12.75" hidden="1" customHeight="1">
      <c r="E332" s="3">
        <v>2019</v>
      </c>
      <c r="F332" s="3">
        <v>10</v>
      </c>
      <c r="G332" s="3" t="s">
        <v>88</v>
      </c>
      <c r="H332" s="3">
        <v>6</v>
      </c>
      <c r="I332" s="4"/>
      <c r="L332" s="4"/>
      <c r="M332" s="4"/>
      <c r="N332" s="4"/>
      <c r="O332" s="4"/>
      <c r="S332" s="1"/>
      <c r="T332" s="395" t="s">
        <v>1089</v>
      </c>
      <c r="AO332" s="27"/>
    </row>
    <row r="333" spans="5:43" ht="12.75" hidden="1" customHeight="1">
      <c r="E333" s="3">
        <v>2020</v>
      </c>
      <c r="F333" s="3">
        <v>11</v>
      </c>
      <c r="G333" s="3" t="s">
        <v>89</v>
      </c>
      <c r="H333" s="3">
        <v>7</v>
      </c>
      <c r="I333" s="4"/>
      <c r="L333" s="4"/>
      <c r="M333" s="4"/>
      <c r="N333" s="4"/>
      <c r="O333" s="4"/>
      <c r="S333" s="1"/>
      <c r="T333" s="395" t="s">
        <v>1089</v>
      </c>
    </row>
    <row r="334" spans="5:43" ht="12.75" hidden="1" customHeight="1">
      <c r="E334" s="3">
        <v>2021</v>
      </c>
      <c r="F334" s="3">
        <v>12</v>
      </c>
      <c r="G334" s="3" t="s">
        <v>90</v>
      </c>
      <c r="H334" s="3">
        <v>8</v>
      </c>
      <c r="I334" s="4"/>
      <c r="L334" s="4"/>
      <c r="M334" s="4"/>
      <c r="N334" s="4"/>
      <c r="O334" s="4"/>
      <c r="S334" s="1"/>
      <c r="T334" s="395" t="s">
        <v>1089</v>
      </c>
      <c r="AC334" s="355"/>
      <c r="AD334" s="355"/>
      <c r="AE334" s="355"/>
      <c r="AF334" s="208"/>
      <c r="AG334" s="31"/>
      <c r="AH334" s="29"/>
      <c r="AI334" s="29"/>
      <c r="AJ334" s="27"/>
      <c r="AK334" s="29"/>
      <c r="AL334" s="29"/>
      <c r="AM334" s="27"/>
      <c r="AN334" s="27"/>
      <c r="AO334" s="27"/>
      <c r="AP334" s="27"/>
      <c r="AQ334" s="27"/>
    </row>
    <row r="335" spans="5:43" ht="12.75" hidden="1" customHeight="1">
      <c r="E335" s="3">
        <v>2022</v>
      </c>
      <c r="F335" s="3">
        <v>13</v>
      </c>
      <c r="G335" s="3" t="s">
        <v>91</v>
      </c>
      <c r="H335" s="3">
        <v>9</v>
      </c>
      <c r="I335" s="4"/>
      <c r="L335" s="4"/>
      <c r="M335" s="4"/>
      <c r="N335" s="4"/>
      <c r="O335" s="4"/>
      <c r="S335" s="1"/>
      <c r="T335" s="395" t="s">
        <v>1089</v>
      </c>
      <c r="AC335" s="220"/>
      <c r="AD335" s="220"/>
      <c r="AE335" s="220"/>
      <c r="AF335" s="220"/>
      <c r="AG335" s="2"/>
      <c r="AH335" s="2"/>
      <c r="AI335" s="5"/>
      <c r="AJ335" s="2"/>
      <c r="AK335" s="2"/>
      <c r="AL335" s="2"/>
      <c r="AM335" s="2"/>
      <c r="AN335" s="2"/>
      <c r="AO335" s="5"/>
      <c r="AP335" s="5"/>
      <c r="AQ335" s="5"/>
    </row>
    <row r="336" spans="5:43" ht="12.75" hidden="1" customHeight="1">
      <c r="E336" s="3">
        <v>2023</v>
      </c>
      <c r="F336" s="3">
        <v>14</v>
      </c>
      <c r="G336" s="3" t="s">
        <v>92</v>
      </c>
      <c r="H336" s="3">
        <v>10</v>
      </c>
      <c r="I336" s="4"/>
      <c r="L336" s="4"/>
      <c r="M336" s="4"/>
      <c r="N336" s="4"/>
      <c r="O336" s="4"/>
      <c r="S336" s="1"/>
      <c r="T336" s="395" t="s">
        <v>1089</v>
      </c>
      <c r="AE336" s="208"/>
      <c r="AF336" s="208"/>
      <c r="AG336" s="5"/>
      <c r="AI336" s="5"/>
      <c r="AK336" s="5"/>
      <c r="AL336" s="5"/>
      <c r="AM336" s="5"/>
      <c r="AN336" s="5"/>
      <c r="AO336" s="5"/>
      <c r="AP336" s="5"/>
      <c r="AQ336" s="5"/>
    </row>
    <row r="337" spans="2:43" ht="12.75" hidden="1" customHeight="1">
      <c r="E337" s="3">
        <v>2024</v>
      </c>
      <c r="F337" s="3">
        <v>15</v>
      </c>
      <c r="G337" s="3" t="s">
        <v>93</v>
      </c>
      <c r="H337" s="3">
        <v>11</v>
      </c>
      <c r="I337" s="4"/>
      <c r="L337" s="4"/>
      <c r="M337" s="4"/>
      <c r="N337" s="4"/>
      <c r="O337" s="4"/>
      <c r="S337" s="1"/>
      <c r="T337" s="395" t="s">
        <v>1089</v>
      </c>
      <c r="AE337" s="208"/>
      <c r="AF337" s="208"/>
      <c r="AG337" s="5"/>
      <c r="AI337" s="5"/>
      <c r="AM337" s="5"/>
      <c r="AN337" s="5"/>
      <c r="AO337" s="27"/>
      <c r="AP337" s="27"/>
      <c r="AQ337" s="27"/>
    </row>
    <row r="338" spans="2:43" ht="12.75" hidden="1" customHeight="1">
      <c r="E338" s="3">
        <v>2025</v>
      </c>
      <c r="F338" s="3">
        <v>16</v>
      </c>
      <c r="G338" s="3" t="s">
        <v>94</v>
      </c>
      <c r="H338" s="3">
        <v>12</v>
      </c>
      <c r="I338" s="4"/>
      <c r="L338" s="4"/>
      <c r="M338" s="4"/>
      <c r="N338" s="4"/>
      <c r="O338" s="4"/>
      <c r="S338" s="1"/>
      <c r="T338" s="395" t="s">
        <v>1089</v>
      </c>
      <c r="AE338" s="208"/>
      <c r="AF338" s="208"/>
      <c r="AG338" s="5"/>
      <c r="AI338" s="5"/>
      <c r="AM338" s="5"/>
      <c r="AN338" s="5"/>
      <c r="AO338" s="27"/>
      <c r="AP338" s="27"/>
      <c r="AQ338" s="27"/>
    </row>
    <row r="339" spans="2:43" ht="12.75" hidden="1" customHeight="1">
      <c r="B339" s="390"/>
      <c r="E339" s="3">
        <v>2026</v>
      </c>
      <c r="F339" s="3">
        <v>17</v>
      </c>
      <c r="G339" s="3"/>
      <c r="H339" s="3"/>
      <c r="I339" s="4"/>
      <c r="L339" s="4"/>
      <c r="M339" s="4"/>
      <c r="N339" s="4"/>
      <c r="O339" s="4"/>
      <c r="S339" s="1"/>
      <c r="T339" s="395" t="s">
        <v>1089</v>
      </c>
      <c r="U339" s="390"/>
      <c r="V339" s="390"/>
      <c r="W339" s="390"/>
      <c r="X339" s="390"/>
      <c r="Y339" s="390"/>
      <c r="Z339" s="390"/>
      <c r="AA339" s="390"/>
      <c r="AB339" s="390"/>
      <c r="AC339" s="390"/>
      <c r="AD339" s="390"/>
      <c r="AE339" s="208"/>
      <c r="AF339" s="208"/>
      <c r="AG339" s="5"/>
      <c r="AI339" s="5"/>
      <c r="AM339" s="5"/>
      <c r="AN339" s="5"/>
      <c r="AO339" s="27"/>
      <c r="AP339" s="27"/>
      <c r="AQ339" s="27"/>
    </row>
    <row r="340" spans="2:43" ht="12.75" hidden="1" customHeight="1">
      <c r="B340" s="390"/>
      <c r="E340" s="3">
        <v>2027</v>
      </c>
      <c r="F340" s="3">
        <v>18</v>
      </c>
      <c r="G340" s="3"/>
      <c r="H340" s="3"/>
      <c r="I340" s="4"/>
      <c r="L340" s="4"/>
      <c r="M340" s="4"/>
      <c r="N340" s="4"/>
      <c r="O340" s="4"/>
      <c r="S340" s="1"/>
      <c r="T340" s="395" t="s">
        <v>1089</v>
      </c>
      <c r="U340" s="390"/>
      <c r="V340" s="390"/>
      <c r="W340" s="390"/>
      <c r="X340" s="390"/>
      <c r="Y340" s="390"/>
      <c r="Z340" s="390"/>
      <c r="AA340" s="390"/>
      <c r="AB340" s="390"/>
      <c r="AC340" s="390"/>
      <c r="AD340" s="390"/>
      <c r="AE340" s="208"/>
      <c r="AF340" s="208"/>
      <c r="AG340" s="5"/>
      <c r="AI340" s="5"/>
      <c r="AM340" s="5"/>
      <c r="AN340" s="5"/>
      <c r="AO340" s="27"/>
      <c r="AP340" s="27"/>
      <c r="AQ340" s="27"/>
    </row>
    <row r="341" spans="2:43" ht="12.75" hidden="1" customHeight="1" thickBot="1">
      <c r="B341" s="390"/>
      <c r="E341" s="3">
        <v>2028</v>
      </c>
      <c r="F341" s="3">
        <v>19</v>
      </c>
      <c r="G341" s="3"/>
      <c r="H341" s="3"/>
      <c r="I341" s="4"/>
      <c r="L341" s="4"/>
      <c r="M341" s="4"/>
      <c r="N341" s="4"/>
      <c r="O341" s="4"/>
      <c r="S341" s="1"/>
      <c r="T341" s="395" t="s">
        <v>1089</v>
      </c>
      <c r="U341" s="390"/>
      <c r="V341" s="390"/>
      <c r="W341" s="390"/>
      <c r="X341" s="390"/>
      <c r="Y341" s="390"/>
      <c r="Z341" s="390"/>
      <c r="AA341" s="390"/>
      <c r="AB341" s="390"/>
      <c r="AC341" s="390"/>
      <c r="AD341" s="390"/>
      <c r="AE341" s="208"/>
      <c r="AF341" s="208"/>
      <c r="AG341" s="5"/>
      <c r="AI341" s="5"/>
      <c r="AM341" s="5"/>
      <c r="AN341" s="5"/>
      <c r="AO341" s="27"/>
      <c r="AP341" s="27"/>
      <c r="AQ341" s="27"/>
    </row>
    <row r="342" spans="2:43" ht="13.5" hidden="1" customHeight="1" thickBot="1">
      <c r="E342" s="3"/>
      <c r="F342" s="23" t="e">
        <f>VLOOKUP($I$42,$E$323:$F$341,2,FALSE)</f>
        <v>#N/A</v>
      </c>
      <c r="G342" s="3"/>
      <c r="H342" s="23" t="e">
        <f>VLOOKUP($K$42,$G$327:$H$338,2,FALSE)</f>
        <v>#N/A</v>
      </c>
      <c r="I342" s="4"/>
      <c r="L342" s="4"/>
      <c r="M342" s="4"/>
      <c r="N342" s="4"/>
      <c r="O342" s="4"/>
      <c r="S342" s="1"/>
      <c r="T342" s="395" t="s">
        <v>1089</v>
      </c>
      <c r="AE342" s="208"/>
      <c r="AF342" s="208"/>
      <c r="AG342" s="5"/>
      <c r="AI342" s="5"/>
      <c r="AM342" s="5"/>
      <c r="AN342" s="5"/>
      <c r="AO342" s="27"/>
      <c r="AP342" s="27"/>
      <c r="AQ342" s="27"/>
    </row>
    <row r="343" spans="2:43" ht="12.75" hidden="1" customHeight="1">
      <c r="E343" s="3"/>
      <c r="F343" s="3"/>
      <c r="G343" s="3"/>
      <c r="H343" s="3"/>
      <c r="I343" s="4"/>
      <c r="L343" s="4"/>
      <c r="M343" s="4"/>
      <c r="N343" s="4"/>
      <c r="O343" s="4"/>
      <c r="S343" s="1"/>
      <c r="T343" s="395" t="s">
        <v>1089</v>
      </c>
      <c r="AE343" s="208"/>
      <c r="AF343" s="208"/>
      <c r="AG343" s="5"/>
      <c r="AM343" s="5"/>
      <c r="AO343" s="27"/>
    </row>
    <row r="344" spans="2:43" ht="12.75" hidden="1" customHeight="1">
      <c r="I344" s="4"/>
      <c r="L344" s="4"/>
      <c r="M344" s="4"/>
      <c r="N344" s="4"/>
      <c r="O344" s="4"/>
      <c r="S344" s="1"/>
      <c r="T344" s="395" t="s">
        <v>1089</v>
      </c>
      <c r="AE344" s="208"/>
      <c r="AF344" s="208"/>
      <c r="AG344" s="5"/>
      <c r="AM344" s="5"/>
    </row>
    <row r="345" spans="2:43" ht="12.75" hidden="1" customHeight="1">
      <c r="S345" s="1"/>
      <c r="T345" s="395" t="s">
        <v>1089</v>
      </c>
      <c r="AE345" s="208"/>
      <c r="AF345" s="208"/>
      <c r="AG345" s="5"/>
      <c r="AM345" s="5"/>
    </row>
    <row r="346" spans="2:43" ht="12.75" hidden="1" customHeight="1">
      <c r="S346" s="1"/>
      <c r="T346" s="395" t="s">
        <v>1089</v>
      </c>
    </row>
    <row r="347" spans="2:43" ht="12.75" hidden="1" customHeight="1">
      <c r="T347" s="395" t="s">
        <v>1089</v>
      </c>
    </row>
    <row r="348" spans="2:43" ht="12.75" hidden="1" customHeight="1">
      <c r="J348" s="2" t="s">
        <v>117</v>
      </c>
      <c r="K348" s="2"/>
      <c r="L348" s="3"/>
      <c r="M348" s="3"/>
      <c r="N348" s="3">
        <v>0</v>
      </c>
      <c r="T348" s="395" t="s">
        <v>1089</v>
      </c>
    </row>
    <row r="349" spans="2:43" ht="12.75" hidden="1" customHeight="1">
      <c r="J349" s="2" t="s">
        <v>67</v>
      </c>
      <c r="K349" s="2"/>
      <c r="L349" s="3"/>
      <c r="M349" s="3"/>
      <c r="N349" s="3">
        <v>1</v>
      </c>
      <c r="T349" s="395" t="s">
        <v>1089</v>
      </c>
    </row>
    <row r="350" spans="2:43" ht="12.75" hidden="1" customHeight="1">
      <c r="J350" s="3" t="s">
        <v>66</v>
      </c>
      <c r="K350" s="2"/>
      <c r="L350" s="3"/>
      <c r="M350" s="3"/>
      <c r="N350" s="3">
        <v>2</v>
      </c>
      <c r="T350" s="395" t="s">
        <v>1089</v>
      </c>
    </row>
    <row r="351" spans="2:43" ht="12.75" hidden="1" customHeight="1" thickBot="1">
      <c r="J351" s="3" t="s">
        <v>107</v>
      </c>
      <c r="K351" s="2"/>
      <c r="L351" s="3"/>
      <c r="M351" s="3"/>
      <c r="N351" s="3">
        <v>3</v>
      </c>
      <c r="T351" s="395" t="s">
        <v>1089</v>
      </c>
    </row>
    <row r="352" spans="2:43" ht="13.5" hidden="1" customHeight="1" thickBot="1">
      <c r="J352" s="2"/>
      <c r="K352" s="2"/>
      <c r="L352" s="3"/>
      <c r="M352" s="3"/>
      <c r="N352" s="23">
        <f>VLOOKUP($H$51,$J$348:$N$351,5,FALSE)</f>
        <v>1</v>
      </c>
      <c r="T352" s="395" t="s">
        <v>1089</v>
      </c>
    </row>
    <row r="353" spans="1:20" ht="12.75" hidden="1" customHeight="1">
      <c r="T353" s="395" t="s">
        <v>1089</v>
      </c>
    </row>
    <row r="354" spans="1:20" s="199" customFormat="1">
      <c r="A354" s="390"/>
      <c r="J354" s="220"/>
      <c r="K354" s="220"/>
      <c r="S354" s="211"/>
      <c r="T354" s="395" t="s">
        <v>1089</v>
      </c>
    </row>
    <row r="355" spans="1:20" s="199" customFormat="1">
      <c r="A355" s="390"/>
      <c r="J355" s="220"/>
      <c r="K355" s="220"/>
      <c r="S355" s="211"/>
      <c r="T355" s="390"/>
    </row>
    <row r="356" spans="1:20" s="199" customFormat="1">
      <c r="A356" s="390"/>
      <c r="J356" s="220"/>
      <c r="K356" s="220"/>
      <c r="S356" s="211"/>
      <c r="T356" s="390"/>
    </row>
    <row r="357" spans="1:20" s="199" customFormat="1">
      <c r="A357" s="390"/>
      <c r="J357" s="220"/>
      <c r="K357" s="220"/>
      <c r="S357" s="211"/>
      <c r="T357" s="390"/>
    </row>
    <row r="358" spans="1:20" s="199" customFormat="1">
      <c r="A358" s="390"/>
      <c r="J358" s="220"/>
      <c r="K358" s="220"/>
      <c r="S358" s="211"/>
      <c r="T358" s="390"/>
    </row>
    <row r="359" spans="1:20" s="199" customFormat="1">
      <c r="A359" s="390"/>
      <c r="J359" s="220"/>
      <c r="K359" s="220"/>
      <c r="S359" s="211"/>
      <c r="T359" s="390"/>
    </row>
    <row r="360" spans="1:20" s="199" customFormat="1">
      <c r="A360" s="390"/>
      <c r="J360" s="220"/>
      <c r="K360" s="220"/>
      <c r="S360" s="211"/>
      <c r="T360" s="390"/>
    </row>
    <row r="361" spans="1:20" s="199" customFormat="1">
      <c r="A361" s="390"/>
      <c r="J361" s="220"/>
      <c r="K361" s="220"/>
      <c r="S361" s="211"/>
      <c r="T361" s="390"/>
    </row>
    <row r="362" spans="1:20" s="199" customFormat="1">
      <c r="A362" s="390"/>
      <c r="J362" s="220"/>
      <c r="K362" s="220"/>
      <c r="S362" s="211"/>
      <c r="T362" s="390"/>
    </row>
    <row r="363" spans="1:20" s="199" customFormat="1">
      <c r="A363" s="390"/>
      <c r="J363" s="208"/>
      <c r="K363" s="220"/>
      <c r="S363" s="211"/>
      <c r="T363" s="390"/>
    </row>
    <row r="364" spans="1:20" s="199" customFormat="1">
      <c r="A364" s="390"/>
      <c r="H364" s="208"/>
      <c r="J364" s="220"/>
      <c r="K364" s="220"/>
      <c r="S364" s="211"/>
      <c r="T364" s="390"/>
    </row>
    <row r="365" spans="1:20" s="199" customFormat="1">
      <c r="A365" s="390"/>
      <c r="J365" s="220"/>
      <c r="K365" s="220"/>
      <c r="S365" s="211"/>
      <c r="T365" s="390"/>
    </row>
    <row r="366" spans="1:20" s="199" customFormat="1">
      <c r="A366" s="390"/>
      <c r="J366" s="220"/>
      <c r="K366" s="220"/>
      <c r="S366" s="211"/>
      <c r="T366" s="390"/>
    </row>
    <row r="367" spans="1:20" s="199" customFormat="1">
      <c r="A367" s="390"/>
      <c r="J367" s="220"/>
      <c r="K367" s="220"/>
      <c r="S367" s="211"/>
      <c r="T367" s="390"/>
    </row>
    <row r="368" spans="1:20" s="199" customFormat="1">
      <c r="A368" s="390"/>
      <c r="J368" s="220"/>
      <c r="K368" s="220"/>
      <c r="S368" s="211"/>
      <c r="T368" s="390"/>
    </row>
    <row r="369" spans="1:20" s="199" customFormat="1">
      <c r="A369" s="390"/>
      <c r="J369" s="220"/>
      <c r="K369" s="220"/>
      <c r="S369" s="211"/>
      <c r="T369" s="390"/>
    </row>
    <row r="370" spans="1:20" s="199" customFormat="1">
      <c r="A370" s="390"/>
      <c r="J370" s="220"/>
      <c r="K370" s="220"/>
      <c r="S370" s="211"/>
      <c r="T370" s="390"/>
    </row>
    <row r="371" spans="1:20" s="199" customFormat="1">
      <c r="A371" s="390"/>
      <c r="J371" s="220"/>
      <c r="K371" s="220"/>
      <c r="S371" s="211"/>
      <c r="T371" s="390"/>
    </row>
    <row r="372" spans="1:20" s="199" customFormat="1">
      <c r="A372" s="390"/>
      <c r="J372" s="220"/>
      <c r="K372" s="220"/>
      <c r="S372" s="211"/>
      <c r="T372" s="390"/>
    </row>
    <row r="373" spans="1:20" s="199" customFormat="1">
      <c r="A373" s="390"/>
      <c r="J373" s="220"/>
      <c r="K373" s="220"/>
      <c r="S373" s="211"/>
      <c r="T373" s="390"/>
    </row>
    <row r="374" spans="1:20" s="199" customFormat="1">
      <c r="A374" s="390"/>
      <c r="J374" s="220"/>
      <c r="K374" s="220"/>
      <c r="S374" s="211"/>
      <c r="T374" s="390"/>
    </row>
    <row r="375" spans="1:20" s="199" customFormat="1">
      <c r="A375" s="390"/>
      <c r="J375" s="220"/>
      <c r="K375" s="220"/>
      <c r="S375" s="211"/>
      <c r="T375" s="390"/>
    </row>
    <row r="376" spans="1:20" s="199" customFormat="1">
      <c r="A376" s="390"/>
      <c r="J376" s="220"/>
      <c r="K376" s="220"/>
      <c r="S376" s="211"/>
      <c r="T376" s="390"/>
    </row>
    <row r="377" spans="1:20" s="199" customFormat="1">
      <c r="A377" s="390"/>
      <c r="J377" s="220"/>
      <c r="K377" s="220"/>
      <c r="S377" s="211"/>
      <c r="T377" s="390"/>
    </row>
    <row r="378" spans="1:20" s="199" customFormat="1">
      <c r="A378" s="390"/>
      <c r="J378" s="220"/>
      <c r="K378" s="220"/>
      <c r="S378" s="211"/>
      <c r="T378" s="390"/>
    </row>
    <row r="379" spans="1:20" s="199" customFormat="1">
      <c r="A379" s="390"/>
      <c r="J379" s="220"/>
      <c r="K379" s="220"/>
      <c r="S379" s="211"/>
      <c r="T379" s="390"/>
    </row>
    <row r="380" spans="1:20" s="199" customFormat="1">
      <c r="A380" s="390"/>
      <c r="J380" s="220"/>
      <c r="K380" s="220"/>
      <c r="S380" s="211"/>
      <c r="T380" s="390"/>
    </row>
    <row r="381" spans="1:20" s="199" customFormat="1">
      <c r="A381" s="390"/>
      <c r="J381" s="220"/>
      <c r="K381" s="220"/>
      <c r="S381" s="211"/>
      <c r="T381" s="390"/>
    </row>
    <row r="382" spans="1:20" s="199" customFormat="1">
      <c r="A382" s="390"/>
      <c r="J382" s="220"/>
      <c r="K382" s="220"/>
      <c r="S382" s="211"/>
      <c r="T382" s="390"/>
    </row>
    <row r="383" spans="1:20" s="199" customFormat="1">
      <c r="A383" s="390"/>
      <c r="J383" s="220"/>
      <c r="K383" s="220"/>
      <c r="S383" s="211"/>
      <c r="T383" s="390"/>
    </row>
    <row r="384" spans="1:20" s="199" customFormat="1">
      <c r="A384" s="390"/>
      <c r="J384" s="220"/>
      <c r="K384" s="220"/>
      <c r="S384" s="211"/>
      <c r="T384" s="390"/>
    </row>
    <row r="385" spans="1:20" s="199" customFormat="1">
      <c r="A385" s="390"/>
      <c r="J385" s="220"/>
      <c r="K385" s="220"/>
      <c r="S385" s="211"/>
      <c r="T385" s="390"/>
    </row>
    <row r="389" spans="1:20">
      <c r="F389" s="24"/>
      <c r="G389" s="24"/>
    </row>
    <row r="390" spans="1:20">
      <c r="F390" s="24"/>
      <c r="G390" s="24"/>
    </row>
    <row r="391" spans="1:20">
      <c r="F391" s="24"/>
      <c r="G391" s="24"/>
    </row>
    <row r="392" spans="1:20">
      <c r="F392" s="24"/>
      <c r="G392" s="24"/>
    </row>
    <row r="393" spans="1:20">
      <c r="F393" s="24"/>
      <c r="G393" s="24"/>
    </row>
    <row r="394" spans="1:20">
      <c r="F394" s="24"/>
      <c r="G394" s="24"/>
    </row>
    <row r="395" spans="1:20">
      <c r="F395" s="24"/>
      <c r="G395" s="24"/>
    </row>
    <row r="396" spans="1:20">
      <c r="F396" s="24"/>
      <c r="G396" s="24"/>
    </row>
    <row r="397" spans="1:20">
      <c r="F397" s="24"/>
      <c r="G397" s="24"/>
    </row>
    <row r="398" spans="1:20">
      <c r="F398" s="24"/>
      <c r="G398" s="24"/>
    </row>
    <row r="399" spans="1:20">
      <c r="F399" s="24"/>
      <c r="G399" s="24"/>
    </row>
    <row r="400" spans="1:20">
      <c r="F400" s="24"/>
      <c r="G400" s="24"/>
    </row>
    <row r="401" spans="6:7">
      <c r="F401" s="24"/>
      <c r="G401" s="24"/>
    </row>
    <row r="402" spans="6:7">
      <c r="F402" s="24"/>
      <c r="G402" s="24"/>
    </row>
    <row r="403" spans="6:7">
      <c r="F403" s="24"/>
      <c r="G403" s="24"/>
    </row>
    <row r="404" spans="6:7">
      <c r="F404" s="24"/>
      <c r="G404" s="24"/>
    </row>
    <row r="405" spans="6:7">
      <c r="F405" s="24"/>
      <c r="G405" s="24"/>
    </row>
    <row r="406" spans="6:7">
      <c r="F406" s="24"/>
      <c r="G406" s="24"/>
    </row>
    <row r="407" spans="6:7">
      <c r="F407" s="24"/>
      <c r="G407" s="24"/>
    </row>
    <row r="408" spans="6:7">
      <c r="F408" s="24"/>
      <c r="G408" s="24"/>
    </row>
    <row r="409" spans="6:7">
      <c r="F409" s="24"/>
      <c r="G409" s="24"/>
    </row>
    <row r="410" spans="6:7">
      <c r="F410" s="24"/>
      <c r="G410" s="24"/>
    </row>
    <row r="411" spans="6:7">
      <c r="F411" s="24"/>
      <c r="G411" s="24"/>
    </row>
    <row r="412" spans="6:7">
      <c r="F412" s="24"/>
      <c r="G412" s="24"/>
    </row>
    <row r="413" spans="6:7">
      <c r="F413" s="24"/>
      <c r="G413" s="24"/>
    </row>
    <row r="414" spans="6:7">
      <c r="F414" s="24"/>
      <c r="G414" s="24"/>
    </row>
    <row r="415" spans="6:7">
      <c r="F415" s="24"/>
      <c r="G415" s="24"/>
    </row>
    <row r="416" spans="6:7">
      <c r="F416" s="24"/>
      <c r="G416" s="24"/>
    </row>
    <row r="417" spans="6:7">
      <c r="F417" s="24"/>
      <c r="G417" s="24"/>
    </row>
    <row r="418" spans="6:7">
      <c r="F418" s="24"/>
      <c r="G418" s="24"/>
    </row>
    <row r="419" spans="6:7">
      <c r="F419" s="24"/>
      <c r="G419" s="24"/>
    </row>
    <row r="420" spans="6:7">
      <c r="F420" s="24"/>
      <c r="G420" s="24"/>
    </row>
    <row r="421" spans="6:7">
      <c r="F421" s="24"/>
      <c r="G421" s="24"/>
    </row>
    <row r="422" spans="6:7">
      <c r="F422" s="24"/>
      <c r="G422" s="24"/>
    </row>
    <row r="423" spans="6:7">
      <c r="F423" s="24"/>
      <c r="G423" s="24"/>
    </row>
    <row r="424" spans="6:7">
      <c r="F424" s="24"/>
      <c r="G424" s="24"/>
    </row>
    <row r="425" spans="6:7">
      <c r="F425" s="24"/>
      <c r="G425" s="24"/>
    </row>
    <row r="426" spans="6:7">
      <c r="F426" s="24"/>
      <c r="G426" s="24"/>
    </row>
    <row r="427" spans="6:7">
      <c r="F427" s="24"/>
      <c r="G427" s="24"/>
    </row>
    <row r="428" spans="6:7">
      <c r="F428" s="24"/>
      <c r="G428" s="24"/>
    </row>
    <row r="429" spans="6:7">
      <c r="F429" s="24"/>
      <c r="G429" s="24"/>
    </row>
    <row r="430" spans="6:7">
      <c r="F430" s="24"/>
      <c r="G430" s="24"/>
    </row>
    <row r="431" spans="6:7">
      <c r="F431" s="24"/>
      <c r="G431" s="24"/>
    </row>
    <row r="432" spans="6:7">
      <c r="F432" s="24"/>
      <c r="G432" s="24"/>
    </row>
    <row r="433" spans="6:7">
      <c r="F433" s="24"/>
      <c r="G433" s="24"/>
    </row>
    <row r="434" spans="6:7">
      <c r="F434" s="24"/>
      <c r="G434" s="24"/>
    </row>
    <row r="435" spans="6:7">
      <c r="F435" s="24"/>
      <c r="G435" s="24"/>
    </row>
    <row r="436" spans="6:7">
      <c r="F436" s="24"/>
      <c r="G436" s="24"/>
    </row>
    <row r="437" spans="6:7">
      <c r="F437" s="24"/>
      <c r="G437" s="24"/>
    </row>
    <row r="438" spans="6:7">
      <c r="F438" s="24"/>
      <c r="G438" s="24"/>
    </row>
    <row r="439" spans="6:7">
      <c r="F439" s="24"/>
      <c r="G439" s="24"/>
    </row>
    <row r="440" spans="6:7">
      <c r="F440" s="24"/>
      <c r="G440" s="24"/>
    </row>
    <row r="441" spans="6:7">
      <c r="F441" s="24"/>
      <c r="G441" s="24"/>
    </row>
    <row r="442" spans="6:7">
      <c r="F442" s="24"/>
      <c r="G442" s="24"/>
    </row>
    <row r="443" spans="6:7">
      <c r="F443" s="24"/>
      <c r="G443" s="24"/>
    </row>
    <row r="444" spans="6:7">
      <c r="F444" s="24"/>
      <c r="G444" s="24"/>
    </row>
    <row r="445" spans="6:7">
      <c r="F445" s="24"/>
      <c r="G445" s="24"/>
    </row>
    <row r="446" spans="6:7">
      <c r="F446" s="24"/>
      <c r="G446" s="24"/>
    </row>
    <row r="447" spans="6:7">
      <c r="F447" s="24"/>
      <c r="G447" s="24"/>
    </row>
    <row r="448" spans="6:7">
      <c r="F448" s="24"/>
      <c r="G448" s="24"/>
    </row>
    <row r="449" spans="6:7">
      <c r="F449" s="24"/>
      <c r="G449" s="24"/>
    </row>
    <row r="450" spans="6:7">
      <c r="F450" s="24"/>
      <c r="G450" s="24"/>
    </row>
    <row r="451" spans="6:7">
      <c r="F451" s="24"/>
      <c r="G451" s="24"/>
    </row>
    <row r="452" spans="6:7">
      <c r="F452" s="24"/>
      <c r="G452" s="24"/>
    </row>
    <row r="453" spans="6:7">
      <c r="F453" s="24"/>
      <c r="G453" s="24"/>
    </row>
    <row r="454" spans="6:7">
      <c r="F454" s="24"/>
      <c r="G454" s="24"/>
    </row>
    <row r="455" spans="6:7">
      <c r="F455" s="24"/>
      <c r="G455" s="24"/>
    </row>
    <row r="456" spans="6:7">
      <c r="F456" s="24"/>
      <c r="G456" s="24"/>
    </row>
    <row r="457" spans="6:7">
      <c r="F457" s="24"/>
      <c r="G457" s="24"/>
    </row>
    <row r="458" spans="6:7">
      <c r="F458" s="24"/>
      <c r="G458" s="24"/>
    </row>
    <row r="459" spans="6:7">
      <c r="F459" s="24"/>
      <c r="G459" s="24"/>
    </row>
    <row r="460" spans="6:7">
      <c r="F460" s="24"/>
      <c r="G460" s="24"/>
    </row>
    <row r="461" spans="6:7">
      <c r="F461" s="24"/>
      <c r="G461" s="24"/>
    </row>
    <row r="462" spans="6:7">
      <c r="F462" s="24"/>
      <c r="G462" s="24"/>
    </row>
    <row r="463" spans="6:7">
      <c r="F463" s="24"/>
      <c r="G463" s="24"/>
    </row>
    <row r="464" spans="6:7">
      <c r="F464" s="24"/>
      <c r="G464" s="24"/>
    </row>
  </sheetData>
  <sheetProtection algorithmName="SHA-512" hashValue="Iu8n0ZKf3t3UmNoDctb86Pf5Abj9MBIkOUXLl924Ui7CcEzpo7DVuiNgL/X0q4hMxVyme3nFFDpqF5hjQMEsgQ==" saltValue="U1Ff99uUnbU19exBn3Hb4A==" spinCount="100000" sheet="1" formatCells="0" formatColumns="0" formatRows="0"/>
  <dataConsolidate/>
  <mergeCells count="557">
    <mergeCell ref="P282:Q282"/>
    <mergeCell ref="N106:O106"/>
    <mergeCell ref="P106:Q106"/>
    <mergeCell ref="L85:M85"/>
    <mergeCell ref="P65:Q65"/>
    <mergeCell ref="P66:Q66"/>
    <mergeCell ref="P70:Q70"/>
    <mergeCell ref="P71:Q71"/>
    <mergeCell ref="P72:Q72"/>
    <mergeCell ref="P73:Q73"/>
    <mergeCell ref="P74:Q74"/>
    <mergeCell ref="P67:Q67"/>
    <mergeCell ref="N98:O98"/>
    <mergeCell ref="P159:Q159"/>
    <mergeCell ref="N160:O160"/>
    <mergeCell ref="P160:Q160"/>
    <mergeCell ref="H246:L246"/>
    <mergeCell ref="H236:L236"/>
    <mergeCell ref="N177:O177"/>
    <mergeCell ref="H230:L230"/>
    <mergeCell ref="L70:M70"/>
    <mergeCell ref="H235:L235"/>
    <mergeCell ref="H179:Q179"/>
    <mergeCell ref="L172:M172"/>
    <mergeCell ref="H171:I171"/>
    <mergeCell ref="H177:I177"/>
    <mergeCell ref="J177:K177"/>
    <mergeCell ref="L177:M177"/>
    <mergeCell ref="J170:K170"/>
    <mergeCell ref="J169:K169"/>
    <mergeCell ref="H173:I173"/>
    <mergeCell ref="H167:Q167"/>
    <mergeCell ref="P188:Q188"/>
    <mergeCell ref="P187:Q187"/>
    <mergeCell ref="H187:I187"/>
    <mergeCell ref="L188:M188"/>
    <mergeCell ref="H188:I188"/>
    <mergeCell ref="H186:I186"/>
    <mergeCell ref="L186:M186"/>
    <mergeCell ref="L185:M185"/>
    <mergeCell ref="H185:I185"/>
    <mergeCell ref="P185:Q185"/>
    <mergeCell ref="P186:Q186"/>
    <mergeCell ref="P172:Q172"/>
    <mergeCell ref="P78:Q78"/>
    <mergeCell ref="P84:Q84"/>
    <mergeCell ref="P91:Q91"/>
    <mergeCell ref="P92:Q92"/>
    <mergeCell ref="L86:M86"/>
    <mergeCell ref="L87:M87"/>
    <mergeCell ref="L88:M88"/>
    <mergeCell ref="P90:Q90"/>
    <mergeCell ref="L187:M187"/>
    <mergeCell ref="P177:Q177"/>
    <mergeCell ref="P171:Q171"/>
    <mergeCell ref="H178:Q178"/>
    <mergeCell ref="P169:Q169"/>
    <mergeCell ref="H170:I170"/>
    <mergeCell ref="P174:Q174"/>
    <mergeCell ref="N173:O173"/>
    <mergeCell ref="P176:Q176"/>
    <mergeCell ref="P173:Q173"/>
    <mergeCell ref="H176:I176"/>
    <mergeCell ref="L174:M174"/>
    <mergeCell ref="H174:I174"/>
    <mergeCell ref="J176:K176"/>
    <mergeCell ref="L176:M176"/>
    <mergeCell ref="J174:K174"/>
    <mergeCell ref="H165:I165"/>
    <mergeCell ref="J165:K165"/>
    <mergeCell ref="L165:M165"/>
    <mergeCell ref="L166:M166"/>
    <mergeCell ref="L72:M72"/>
    <mergeCell ref="L73:M73"/>
    <mergeCell ref="L74:M74"/>
    <mergeCell ref="L75:M75"/>
    <mergeCell ref="H76:I76"/>
    <mergeCell ref="H133:I133"/>
    <mergeCell ref="H140:I140"/>
    <mergeCell ref="J140:K140"/>
    <mergeCell ref="J138:K138"/>
    <mergeCell ref="J73:K73"/>
    <mergeCell ref="J72:K72"/>
    <mergeCell ref="J92:K92"/>
    <mergeCell ref="H105:Q105"/>
    <mergeCell ref="L106:M106"/>
    <mergeCell ref="N72:O72"/>
    <mergeCell ref="N73:O73"/>
    <mergeCell ref="N74:O74"/>
    <mergeCell ref="N75:O75"/>
    <mergeCell ref="P76:Q76"/>
    <mergeCell ref="P77:Q77"/>
    <mergeCell ref="E149:G149"/>
    <mergeCell ref="E154:G154"/>
    <mergeCell ref="J150:K150"/>
    <mergeCell ref="L150:M150"/>
    <mergeCell ref="N150:O150"/>
    <mergeCell ref="P151:Q151"/>
    <mergeCell ref="P149:Q149"/>
    <mergeCell ref="J166:K166"/>
    <mergeCell ref="J159:K159"/>
    <mergeCell ref="L159:M159"/>
    <mergeCell ref="H160:I160"/>
    <mergeCell ref="J160:K160"/>
    <mergeCell ref="L160:M160"/>
    <mergeCell ref="H162:Q162"/>
    <mergeCell ref="H158:I158"/>
    <mergeCell ref="J158:K158"/>
    <mergeCell ref="L158:M158"/>
    <mergeCell ref="N158:O158"/>
    <mergeCell ref="N163:O163"/>
    <mergeCell ref="N166:O166"/>
    <mergeCell ref="P166:Q166"/>
    <mergeCell ref="N164:O164"/>
    <mergeCell ref="P164:Q164"/>
    <mergeCell ref="L164:M164"/>
    <mergeCell ref="N151:O151"/>
    <mergeCell ref="H157:I157"/>
    <mergeCell ref="H159:I159"/>
    <mergeCell ref="N159:O159"/>
    <mergeCell ref="H148:I148"/>
    <mergeCell ref="J148:K148"/>
    <mergeCell ref="L148:M148"/>
    <mergeCell ref="N148:O148"/>
    <mergeCell ref="P148:Q148"/>
    <mergeCell ref="P158:Q158"/>
    <mergeCell ref="H156:Q156"/>
    <mergeCell ref="H149:I149"/>
    <mergeCell ref="J149:K149"/>
    <mergeCell ref="L149:M149"/>
    <mergeCell ref="H150:I150"/>
    <mergeCell ref="N149:O149"/>
    <mergeCell ref="J157:K157"/>
    <mergeCell ref="L157:M157"/>
    <mergeCell ref="P150:Q150"/>
    <mergeCell ref="H151:I151"/>
    <mergeCell ref="J151:K151"/>
    <mergeCell ref="L151:M151"/>
    <mergeCell ref="P157:Q157"/>
    <mergeCell ref="P136:Q136"/>
    <mergeCell ref="H139:I139"/>
    <mergeCell ref="N139:O139"/>
    <mergeCell ref="H138:I138"/>
    <mergeCell ref="J139:K139"/>
    <mergeCell ref="N133:O133"/>
    <mergeCell ref="L133:M133"/>
    <mergeCell ref="J133:K133"/>
    <mergeCell ref="L138:M138"/>
    <mergeCell ref="N136:O136"/>
    <mergeCell ref="N137:O137"/>
    <mergeCell ref="L136:M136"/>
    <mergeCell ref="N135:O135"/>
    <mergeCell ref="H135:I135"/>
    <mergeCell ref="L139:M139"/>
    <mergeCell ref="H136:I136"/>
    <mergeCell ref="N138:O138"/>
    <mergeCell ref="H137:I137"/>
    <mergeCell ref="J137:K137"/>
    <mergeCell ref="L137:M137"/>
    <mergeCell ref="L135:M135"/>
    <mergeCell ref="N114:O114"/>
    <mergeCell ref="H111:I111"/>
    <mergeCell ref="H102:I102"/>
    <mergeCell ref="H109:I109"/>
    <mergeCell ref="L112:M112"/>
    <mergeCell ref="H114:I114"/>
    <mergeCell ref="N122:O122"/>
    <mergeCell ref="H118:Q118"/>
    <mergeCell ref="P121:Q121"/>
    <mergeCell ref="P122:Q122"/>
    <mergeCell ref="J114:K114"/>
    <mergeCell ref="L114:M114"/>
    <mergeCell ref="P114:Q114"/>
    <mergeCell ref="H113:I113"/>
    <mergeCell ref="J113:K113"/>
    <mergeCell ref="J112:K112"/>
    <mergeCell ref="N111:O111"/>
    <mergeCell ref="P112:Q112"/>
    <mergeCell ref="P113:Q113"/>
    <mergeCell ref="P102:Q102"/>
    <mergeCell ref="P109:Q109"/>
    <mergeCell ref="P110:Q110"/>
    <mergeCell ref="J108:K108"/>
    <mergeCell ref="H106:I106"/>
    <mergeCell ref="H107:I107"/>
    <mergeCell ref="J107:K107"/>
    <mergeCell ref="L107:M107"/>
    <mergeCell ref="N107:O107"/>
    <mergeCell ref="P107:Q107"/>
    <mergeCell ref="N112:O112"/>
    <mergeCell ref="L113:M113"/>
    <mergeCell ref="N113:O113"/>
    <mergeCell ref="J106:K106"/>
    <mergeCell ref="N108:O108"/>
    <mergeCell ref="N102:O102"/>
    <mergeCell ref="H112:I112"/>
    <mergeCell ref="N109:O109"/>
    <mergeCell ref="R51:S52"/>
    <mergeCell ref="H37:O37"/>
    <mergeCell ref="H51:O52"/>
    <mergeCell ref="H100:I100"/>
    <mergeCell ref="P98:Q98"/>
    <mergeCell ref="J100:K100"/>
    <mergeCell ref="J55:K55"/>
    <mergeCell ref="H64:I64"/>
    <mergeCell ref="L61:M61"/>
    <mergeCell ref="J70:K70"/>
    <mergeCell ref="P59:Q59"/>
    <mergeCell ref="H67:I67"/>
    <mergeCell ref="J67:K67"/>
    <mergeCell ref="L67:M67"/>
    <mergeCell ref="P85:Q85"/>
    <mergeCell ref="P86:Q86"/>
    <mergeCell ref="P87:Q87"/>
    <mergeCell ref="P88:Q88"/>
    <mergeCell ref="P89:Q89"/>
    <mergeCell ref="H90:I90"/>
    <mergeCell ref="H91:I91"/>
    <mergeCell ref="L97:M97"/>
    <mergeCell ref="H92:I92"/>
    <mergeCell ref="L66:M66"/>
    <mergeCell ref="N62:O62"/>
    <mergeCell ref="N63:O63"/>
    <mergeCell ref="H101:Q101"/>
    <mergeCell ref="P111:Q111"/>
    <mergeCell ref="H108:I108"/>
    <mergeCell ref="J111:K111"/>
    <mergeCell ref="L109:M109"/>
    <mergeCell ref="P108:Q108"/>
    <mergeCell ref="J62:K62"/>
    <mergeCell ref="L108:M108"/>
    <mergeCell ref="J109:K109"/>
    <mergeCell ref="H110:I110"/>
    <mergeCell ref="N110:O110"/>
    <mergeCell ref="H98:I98"/>
    <mergeCell ref="H99:I99"/>
    <mergeCell ref="J99:K99"/>
    <mergeCell ref="L99:M99"/>
    <mergeCell ref="N99:O99"/>
    <mergeCell ref="L111:M111"/>
    <mergeCell ref="L110:M110"/>
    <mergeCell ref="J110:K110"/>
    <mergeCell ref="P75:Q75"/>
    <mergeCell ref="J71:K71"/>
    <mergeCell ref="E61:G61"/>
    <mergeCell ref="E59:G59"/>
    <mergeCell ref="E60:G60"/>
    <mergeCell ref="E58:G58"/>
    <mergeCell ref="E57:G57"/>
    <mergeCell ref="J56:K56"/>
    <mergeCell ref="H60:I60"/>
    <mergeCell ref="J63:K63"/>
    <mergeCell ref="H63:I63"/>
    <mergeCell ref="H61:I61"/>
    <mergeCell ref="H62:I62"/>
    <mergeCell ref="J61:K61"/>
    <mergeCell ref="E62:G62"/>
    <mergeCell ref="E63:G63"/>
    <mergeCell ref="J57:K57"/>
    <mergeCell ref="J58:K58"/>
    <mergeCell ref="J59:K59"/>
    <mergeCell ref="J60:K60"/>
    <mergeCell ref="H56:I56"/>
    <mergeCell ref="P57:Q57"/>
    <mergeCell ref="P58:Q58"/>
    <mergeCell ref="L60:M60"/>
    <mergeCell ref="L142:M142"/>
    <mergeCell ref="L143:M143"/>
    <mergeCell ref="N130:O130"/>
    <mergeCell ref="H129:Q129"/>
    <mergeCell ref="L126:M126"/>
    <mergeCell ref="L130:M130"/>
    <mergeCell ref="J131:K131"/>
    <mergeCell ref="P132:Q132"/>
    <mergeCell ref="L132:M132"/>
    <mergeCell ref="N132:O132"/>
    <mergeCell ref="H132:I132"/>
    <mergeCell ref="H131:I131"/>
    <mergeCell ref="N131:O131"/>
    <mergeCell ref="E128:N128"/>
    <mergeCell ref="H126:I126"/>
    <mergeCell ref="P138:Q138"/>
    <mergeCell ref="J126:K126"/>
    <mergeCell ref="J130:K130"/>
    <mergeCell ref="P130:Q130"/>
    <mergeCell ref="H130:I130"/>
    <mergeCell ref="P133:Q133"/>
    <mergeCell ref="P135:Q135"/>
    <mergeCell ref="P137:Q137"/>
    <mergeCell ref="P140:Q140"/>
    <mergeCell ref="H241:L241"/>
    <mergeCell ref="L170:M170"/>
    <mergeCell ref="N169:O169"/>
    <mergeCell ref="H229:L229"/>
    <mergeCell ref="N176:O176"/>
    <mergeCell ref="P142:Q142"/>
    <mergeCell ref="P143:Q143"/>
    <mergeCell ref="H144:Q144"/>
    <mergeCell ref="H142:I142"/>
    <mergeCell ref="N142:O142"/>
    <mergeCell ref="H143:I143"/>
    <mergeCell ref="H145:Q145"/>
    <mergeCell ref="J142:K142"/>
    <mergeCell ref="L163:M163"/>
    <mergeCell ref="H154:I154"/>
    <mergeCell ref="J154:K154"/>
    <mergeCell ref="H147:Q147"/>
    <mergeCell ref="J143:K143"/>
    <mergeCell ref="J173:K173"/>
    <mergeCell ref="N172:O172"/>
    <mergeCell ref="N174:O174"/>
    <mergeCell ref="H172:I172"/>
    <mergeCell ref="L173:M173"/>
    <mergeCell ref="N157:O157"/>
    <mergeCell ref="J123:K123"/>
    <mergeCell ref="P123:Q123"/>
    <mergeCell ref="H123:I123"/>
    <mergeCell ref="H122:I122"/>
    <mergeCell ref="J122:K122"/>
    <mergeCell ref="N121:O121"/>
    <mergeCell ref="H119:Q119"/>
    <mergeCell ref="L122:M122"/>
    <mergeCell ref="L121:M121"/>
    <mergeCell ref="L123:M123"/>
    <mergeCell ref="H121:I121"/>
    <mergeCell ref="J121:K121"/>
    <mergeCell ref="N123:O123"/>
    <mergeCell ref="G309:I309"/>
    <mergeCell ref="N143:O143"/>
    <mergeCell ref="P139:Q139"/>
    <mergeCell ref="P154:Q154"/>
    <mergeCell ref="P165:Q165"/>
    <mergeCell ref="P283:Q283"/>
    <mergeCell ref="L259:M259"/>
    <mergeCell ref="L256:M256"/>
    <mergeCell ref="L257:M257"/>
    <mergeCell ref="H247:L247"/>
    <mergeCell ref="H248:L248"/>
    <mergeCell ref="J172:K172"/>
    <mergeCell ref="H228:L228"/>
    <mergeCell ref="H234:L234"/>
    <mergeCell ref="H240:L240"/>
    <mergeCell ref="J171:K171"/>
    <mergeCell ref="L171:M171"/>
    <mergeCell ref="E181:N181"/>
    <mergeCell ref="N171:O171"/>
    <mergeCell ref="H253:L253"/>
    <mergeCell ref="H297:O297"/>
    <mergeCell ref="H294:O294"/>
    <mergeCell ref="H296:O296"/>
    <mergeCell ref="H295:O295"/>
    <mergeCell ref="N165:O165"/>
    <mergeCell ref="N170:O170"/>
    <mergeCell ref="P170:Q170"/>
    <mergeCell ref="N154:O154"/>
    <mergeCell ref="P163:Q163"/>
    <mergeCell ref="J136:K136"/>
    <mergeCell ref="J132:K132"/>
    <mergeCell ref="H115:Q115"/>
    <mergeCell ref="N126:O126"/>
    <mergeCell ref="P126:Q126"/>
    <mergeCell ref="J135:K135"/>
    <mergeCell ref="H163:I163"/>
    <mergeCell ref="J163:K163"/>
    <mergeCell ref="L154:M154"/>
    <mergeCell ref="H164:I164"/>
    <mergeCell ref="J164:K164"/>
    <mergeCell ref="H166:I166"/>
    <mergeCell ref="L169:M169"/>
    <mergeCell ref="L140:M140"/>
    <mergeCell ref="N140:O140"/>
    <mergeCell ref="H169:I169"/>
    <mergeCell ref="L131:M131"/>
    <mergeCell ref="P131:Q131"/>
    <mergeCell ref="H117:Q117"/>
    <mergeCell ref="G5:P5"/>
    <mergeCell ref="G7:P7"/>
    <mergeCell ref="G8:P8"/>
    <mergeCell ref="G9:P9"/>
    <mergeCell ref="G10:P10"/>
    <mergeCell ref="G12:P12"/>
    <mergeCell ref="G11:P11"/>
    <mergeCell ref="L55:M55"/>
    <mergeCell ref="N55:O55"/>
    <mergeCell ref="P55:Q55"/>
    <mergeCell ref="K25:L25"/>
    <mergeCell ref="K26:L26"/>
    <mergeCell ref="K28:L28"/>
    <mergeCell ref="K30:L30"/>
    <mergeCell ref="K29:L29"/>
    <mergeCell ref="K27:L27"/>
    <mergeCell ref="E25:J25"/>
    <mergeCell ref="H47:O47"/>
    <mergeCell ref="E40:F40"/>
    <mergeCell ref="H40:O40"/>
    <mergeCell ref="E43:F43"/>
    <mergeCell ref="E42:F42"/>
    <mergeCell ref="H46:O46"/>
    <mergeCell ref="L45:O45"/>
    <mergeCell ref="G14:P14"/>
    <mergeCell ref="G15:P15"/>
    <mergeCell ref="G16:P16"/>
    <mergeCell ref="G17:P17"/>
    <mergeCell ref="G18:P18"/>
    <mergeCell ref="G19:P19"/>
    <mergeCell ref="G20:P20"/>
    <mergeCell ref="G21:P21"/>
    <mergeCell ref="G22:P22"/>
    <mergeCell ref="G34:H34"/>
    <mergeCell ref="H58:I58"/>
    <mergeCell ref="H59:I59"/>
    <mergeCell ref="G33:H33"/>
    <mergeCell ref="H39:O39"/>
    <mergeCell ref="G46:G47"/>
    <mergeCell ref="E56:G56"/>
    <mergeCell ref="E37:F37"/>
    <mergeCell ref="E38:F38"/>
    <mergeCell ref="H38:O38"/>
    <mergeCell ref="E39:F39"/>
    <mergeCell ref="N59:O59"/>
    <mergeCell ref="H55:I55"/>
    <mergeCell ref="L56:M56"/>
    <mergeCell ref="N56:O56"/>
    <mergeCell ref="H57:I57"/>
    <mergeCell ref="N57:O57"/>
    <mergeCell ref="N58:O58"/>
    <mergeCell ref="L59:M59"/>
    <mergeCell ref="J33:O33"/>
    <mergeCell ref="J34:O34"/>
    <mergeCell ref="L57:M57"/>
    <mergeCell ref="L58:M58"/>
    <mergeCell ref="J35:O35"/>
    <mergeCell ref="H97:I97"/>
    <mergeCell ref="J97:K97"/>
    <mergeCell ref="H89:I89"/>
    <mergeCell ref="J88:K88"/>
    <mergeCell ref="J89:K89"/>
    <mergeCell ref="P56:Q56"/>
    <mergeCell ref="J64:K64"/>
    <mergeCell ref="L64:M64"/>
    <mergeCell ref="N67:O67"/>
    <mergeCell ref="N66:O66"/>
    <mergeCell ref="H65:I65"/>
    <mergeCell ref="H66:I66"/>
    <mergeCell ref="N64:O64"/>
    <mergeCell ref="P61:Q61"/>
    <mergeCell ref="P62:Q62"/>
    <mergeCell ref="P63:Q63"/>
    <mergeCell ref="N60:O60"/>
    <mergeCell ref="L62:M62"/>
    <mergeCell ref="L63:M63"/>
    <mergeCell ref="J65:K65"/>
    <mergeCell ref="L65:M65"/>
    <mergeCell ref="N65:O65"/>
    <mergeCell ref="J66:K66"/>
    <mergeCell ref="P64:Q64"/>
    <mergeCell ref="N88:O88"/>
    <mergeCell ref="N76:O76"/>
    <mergeCell ref="N77:O77"/>
    <mergeCell ref="N78:O78"/>
    <mergeCell ref="J86:K86"/>
    <mergeCell ref="J87:K87"/>
    <mergeCell ref="H77:I77"/>
    <mergeCell ref="J85:K85"/>
    <mergeCell ref="L76:M76"/>
    <mergeCell ref="L77:M77"/>
    <mergeCell ref="L78:M78"/>
    <mergeCell ref="H85:I85"/>
    <mergeCell ref="H86:I86"/>
    <mergeCell ref="N61:O61"/>
    <mergeCell ref="P100:Q100"/>
    <mergeCell ref="L98:M98"/>
    <mergeCell ref="J98:K98"/>
    <mergeCell ref="L91:M91"/>
    <mergeCell ref="L92:M92"/>
    <mergeCell ref="N89:O89"/>
    <mergeCell ref="N90:O90"/>
    <mergeCell ref="N91:O91"/>
    <mergeCell ref="N92:O92"/>
    <mergeCell ref="L89:M89"/>
    <mergeCell ref="L90:M90"/>
    <mergeCell ref="N100:O100"/>
    <mergeCell ref="J90:K90"/>
    <mergeCell ref="P99:Q99"/>
    <mergeCell ref="L100:M100"/>
    <mergeCell ref="N97:O97"/>
    <mergeCell ref="P97:Q97"/>
    <mergeCell ref="J91:K91"/>
    <mergeCell ref="N70:O70"/>
    <mergeCell ref="L71:M71"/>
    <mergeCell ref="N71:O71"/>
    <mergeCell ref="N85:O85"/>
    <mergeCell ref="N86:O86"/>
    <mergeCell ref="P60:Q60"/>
    <mergeCell ref="E70:G70"/>
    <mergeCell ref="E71:G71"/>
    <mergeCell ref="E79:G79"/>
    <mergeCell ref="E72:G72"/>
    <mergeCell ref="E73:F73"/>
    <mergeCell ref="E74:F74"/>
    <mergeCell ref="E75:F75"/>
    <mergeCell ref="E76:F76"/>
    <mergeCell ref="E77:F77"/>
    <mergeCell ref="E78:F78"/>
    <mergeCell ref="H71:I71"/>
    <mergeCell ref="H72:I72"/>
    <mergeCell ref="H73:I73"/>
    <mergeCell ref="H74:I74"/>
    <mergeCell ref="J74:K74"/>
    <mergeCell ref="J75:K75"/>
    <mergeCell ref="J76:K76"/>
    <mergeCell ref="J77:K77"/>
    <mergeCell ref="H78:I78"/>
    <mergeCell ref="H75:I75"/>
    <mergeCell ref="J78:K78"/>
    <mergeCell ref="E65:G65"/>
    <mergeCell ref="E66:G66"/>
    <mergeCell ref="E67:G67"/>
    <mergeCell ref="E100:G100"/>
    <mergeCell ref="H84:I84"/>
    <mergeCell ref="J84:K84"/>
    <mergeCell ref="L84:M84"/>
    <mergeCell ref="N84:O84"/>
    <mergeCell ref="L102:M102"/>
    <mergeCell ref="J102:K102"/>
    <mergeCell ref="E101:G101"/>
    <mergeCell ref="E95:G95"/>
    <mergeCell ref="E93:G93"/>
    <mergeCell ref="E84:G84"/>
    <mergeCell ref="E85:G85"/>
    <mergeCell ref="E86:G86"/>
    <mergeCell ref="E87:F87"/>
    <mergeCell ref="E88:F88"/>
    <mergeCell ref="E89:F89"/>
    <mergeCell ref="E90:F90"/>
    <mergeCell ref="E91:F91"/>
    <mergeCell ref="E92:F92"/>
    <mergeCell ref="H87:I87"/>
    <mergeCell ref="H70:I70"/>
    <mergeCell ref="H88:I88"/>
    <mergeCell ref="N87:O87"/>
    <mergeCell ref="H289:O289"/>
    <mergeCell ref="H290:O290"/>
    <mergeCell ref="H291:O291"/>
    <mergeCell ref="H292:O292"/>
    <mergeCell ref="H251:L251"/>
    <mergeCell ref="F252:G252"/>
    <mergeCell ref="F253:G253"/>
    <mergeCell ref="H242:L242"/>
    <mergeCell ref="H252:L252"/>
    <mergeCell ref="H282:L282"/>
    <mergeCell ref="H275:M275"/>
    <mergeCell ref="H273:L273"/>
    <mergeCell ref="H281:L281"/>
    <mergeCell ref="J264:K264"/>
    <mergeCell ref="H283:L283"/>
    <mergeCell ref="H259:K259"/>
  </mergeCells>
  <phoneticPr fontId="14" type="noConversion"/>
  <conditionalFormatting sqref="A1:A354">
    <cfRule type="expression" dxfId="73" priority="1">
      <formula>T1=FALSE</formula>
    </cfRule>
    <cfRule type="expression" dxfId="72" priority="2">
      <formula>T1=TRUE</formula>
    </cfRule>
  </conditionalFormatting>
  <conditionalFormatting sqref="G34">
    <cfRule type="cellIs" dxfId="71" priority="2123" stopIfTrue="1" operator="equal">
      <formula>"OK"</formula>
    </cfRule>
  </conditionalFormatting>
  <conditionalFormatting sqref="G33:H33">
    <cfRule type="cellIs" dxfId="70" priority="2124" stopIfTrue="1" operator="equal">
      <formula>"OK"</formula>
    </cfRule>
    <cfRule type="expression" dxfId="69" priority="2125" stopIfTrue="1">
      <formula>IF(OR(G33="check manually by BU-ESS expert",G33="HD used, RSO needs to check"),TRUE,FALSE)</formula>
    </cfRule>
    <cfRule type="cellIs" dxfId="68" priority="2126" stopIfTrue="1" operator="equal">
      <formula>"Not Approved"</formula>
    </cfRule>
  </conditionalFormatting>
  <conditionalFormatting sqref="H119">
    <cfRule type="expression" dxfId="67" priority="18995" stopIfTrue="1">
      <formula>#REF!</formula>
    </cfRule>
  </conditionalFormatting>
  <conditionalFormatting sqref="H136:H137">
    <cfRule type="expression" dxfId="66" priority="53" stopIfTrue="1">
      <formula>IF(H$138&gt;H$140,TRUE,FALSE)</formula>
    </cfRule>
  </conditionalFormatting>
  <conditionalFormatting sqref="H140 J140 L140 N140 P140">
    <cfRule type="expression" dxfId="65" priority="4631" stopIfTrue="1">
      <formula>OR(I141:I141)</formula>
    </cfRule>
  </conditionalFormatting>
  <conditionalFormatting sqref="H170:H171">
    <cfRule type="expression" dxfId="64" priority="51" stopIfTrue="1">
      <formula>IF(H$138&gt;H$140,TRUE,FALSE)</formula>
    </cfRule>
  </conditionalFormatting>
  <conditionalFormatting sqref="H51:O52">
    <cfRule type="expression" dxfId="63" priority="18868" stopIfTrue="1">
      <formula>IF(#REF!,TRUE,FALSE)</formula>
    </cfRule>
  </conditionalFormatting>
  <conditionalFormatting sqref="H67:Q67">
    <cfRule type="notContainsText" dxfId="62" priority="18" operator="notContains" text="Accepted!">
      <formula>ISERROR(SEARCH("Accepted!",H67))</formula>
    </cfRule>
    <cfRule type="containsText" dxfId="61" priority="19" operator="containsText" text="Accepted!">
      <formula>NOT(ISERROR(SEARCH("Accepted!",H67)))</formula>
    </cfRule>
  </conditionalFormatting>
  <conditionalFormatting sqref="H68:Q68">
    <cfRule type="expression" dxfId="60" priority="39" stopIfTrue="1">
      <formula>NOT(OR(H68="N.A.",H68=""))</formula>
    </cfRule>
  </conditionalFormatting>
  <conditionalFormatting sqref="H107:Q107">
    <cfRule type="cellIs" dxfId="59" priority="30" operator="equal">
      <formula>"Enter manually"</formula>
    </cfRule>
  </conditionalFormatting>
  <conditionalFormatting sqref="H108:Q108">
    <cfRule type="cellIs" dxfId="58" priority="14" operator="equal">
      <formula>"Accepted!"</formula>
    </cfRule>
    <cfRule type="cellIs" dxfId="57" priority="15" operator="equal">
      <formula>"Not Accepted!"</formula>
    </cfRule>
  </conditionalFormatting>
  <conditionalFormatting sqref="H109:Q109">
    <cfRule type="cellIs" dxfId="56" priority="34" operator="equal">
      <formula>"Enter manually"</formula>
    </cfRule>
  </conditionalFormatting>
  <conditionalFormatting sqref="H123:Q123 J136:Q136 J137 L137 N137 P137 H138:Q138 H150:Q150 J170:J171 L170:L171 N170:N171 P170:P171 H172:Q172">
    <cfRule type="expression" dxfId="55" priority="4526" stopIfTrue="1">
      <formula>IF(H$138&gt;H$140,TRUE,FALSE)</formula>
    </cfRule>
  </conditionalFormatting>
  <conditionalFormatting sqref="H149:Q149">
    <cfRule type="expression" dxfId="54" priority="21564">
      <formula>IF(H$123=#REF!,TRUE,FALSE)</formula>
    </cfRule>
  </conditionalFormatting>
  <conditionalFormatting sqref="H151:Q151">
    <cfRule type="expression" dxfId="53" priority="47">
      <formula>(H151="Accepted!")</formula>
    </cfRule>
    <cfRule type="expression" dxfId="52" priority="48">
      <formula>(H151&lt;&gt;"Accepted!")</formula>
    </cfRule>
  </conditionalFormatting>
  <conditionalFormatting sqref="I79">
    <cfRule type="expression" dxfId="51" priority="5">
      <formula>(I79="Align framerate!")</formula>
    </cfRule>
    <cfRule type="expression" dxfId="50" priority="6">
      <formula>(I79="Accepted!")</formula>
    </cfRule>
  </conditionalFormatting>
  <conditionalFormatting sqref="I93">
    <cfRule type="expression" dxfId="49" priority="3">
      <formula>(I93="Align framerate!")</formula>
    </cfRule>
    <cfRule type="expression" dxfId="48" priority="4">
      <formula>(I93="Accepted!")</formula>
    </cfRule>
  </conditionalFormatting>
  <conditionalFormatting sqref="J140">
    <cfRule type="expression" dxfId="47" priority="4636" stopIfTrue="1">
      <formula>OR($K$141:$K$141)</formula>
    </cfRule>
  </conditionalFormatting>
  <conditionalFormatting sqref="K79">
    <cfRule type="expression" dxfId="46" priority="193">
      <formula>(K79="Align framerate!")</formula>
    </cfRule>
    <cfRule type="expression" dxfId="45" priority="194">
      <formula>(K79="Accepted!")</formula>
    </cfRule>
  </conditionalFormatting>
  <conditionalFormatting sqref="K93">
    <cfRule type="expression" dxfId="44" priority="73">
      <formula>(K93="Align framerate!")</formula>
    </cfRule>
    <cfRule type="expression" dxfId="43" priority="74">
      <formula>(K93="Accepted!")</formula>
    </cfRule>
  </conditionalFormatting>
  <conditionalFormatting sqref="L140">
    <cfRule type="expression" dxfId="42" priority="4637" stopIfTrue="1">
      <formula>OR($M$141:$M$141)</formula>
    </cfRule>
  </conditionalFormatting>
  <conditionalFormatting sqref="M43 O43">
    <cfRule type="expression" dxfId="41" priority="2100" stopIfTrue="1">
      <formula>NOT(OR(M43="N.A.",M43=""))</formula>
    </cfRule>
  </conditionalFormatting>
  <conditionalFormatting sqref="M79">
    <cfRule type="expression" dxfId="40" priority="71">
      <formula>(M79="Align framerate!")</formula>
    </cfRule>
    <cfRule type="expression" dxfId="39" priority="72">
      <formula>(M79="Accepted!")</formula>
    </cfRule>
  </conditionalFormatting>
  <conditionalFormatting sqref="M93">
    <cfRule type="expression" dxfId="38" priority="69">
      <formula>(M93="Align framerate!")</formula>
    </cfRule>
    <cfRule type="expression" dxfId="37" priority="70">
      <formula>(M93="Accepted!")</formula>
    </cfRule>
  </conditionalFormatting>
  <conditionalFormatting sqref="N140 P140:Q140">
    <cfRule type="expression" dxfId="36" priority="4638" stopIfTrue="1">
      <formula>OR($O$141:$O$141)</formula>
    </cfRule>
  </conditionalFormatting>
  <conditionalFormatting sqref="N229:N230">
    <cfRule type="cellIs" dxfId="35" priority="10" stopIfTrue="1" operator="greaterThan">
      <formula>120</formula>
    </cfRule>
  </conditionalFormatting>
  <conditionalFormatting sqref="N235:N236">
    <cfRule type="cellIs" dxfId="34" priority="9" stopIfTrue="1" operator="greaterThan">
      <formula>120</formula>
    </cfRule>
  </conditionalFormatting>
  <conditionalFormatting sqref="N241:N242">
    <cfRule type="cellIs" dxfId="33" priority="8" stopIfTrue="1" operator="greaterThan">
      <formula>120</formula>
    </cfRule>
  </conditionalFormatting>
  <conditionalFormatting sqref="N247:N248">
    <cfRule type="cellIs" dxfId="32" priority="7" stopIfTrue="1" operator="greaterThan">
      <formula>120</formula>
    </cfRule>
  </conditionalFormatting>
  <conditionalFormatting sqref="O79">
    <cfRule type="expression" dxfId="31" priority="67">
      <formula>(O79="Align framerate!")</formula>
    </cfRule>
    <cfRule type="expression" dxfId="30" priority="68">
      <formula>(O79="Accepted!")</formula>
    </cfRule>
  </conditionalFormatting>
  <conditionalFormatting sqref="O93">
    <cfRule type="expression" dxfId="29" priority="65">
      <formula>(O93="Align framerate!")</formula>
    </cfRule>
    <cfRule type="expression" dxfId="28" priority="66">
      <formula>(O93="Accepted!")</formula>
    </cfRule>
  </conditionalFormatting>
  <conditionalFormatting sqref="Q79">
    <cfRule type="expression" dxfId="27" priority="37">
      <formula>(Q79="Align framerate!")</formula>
    </cfRule>
    <cfRule type="expression" dxfId="26" priority="38">
      <formula>(Q79="Accepted!")</formula>
    </cfRule>
  </conditionalFormatting>
  <conditionalFormatting sqref="Q93">
    <cfRule type="expression" dxfId="25" priority="35">
      <formula>(Q93="Align framerate!")</formula>
    </cfRule>
    <cfRule type="expression" dxfId="24" priority="36">
      <formula>(Q93="Accepted!")</formula>
    </cfRule>
  </conditionalFormatting>
  <dataValidations count="48">
    <dataValidation type="decimal" allowBlank="1" showInputMessage="1" showErrorMessage="1" error="needs to be between 0 and 24 hours" sqref="H130:Q130 H157:Q157" xr:uid="{00000000-0002-0000-0000-000000000000}">
      <formula1>0</formula1>
      <formula2>24</formula2>
    </dataValidation>
    <dataValidation type="list" allowBlank="1" showInputMessage="1" showErrorMessage="1" sqref="G46 O287 G185:G188 H111:Q111" xr:uid="{00000000-0002-0000-0000-000001000000}">
      <formula1>"Yes,No"</formula1>
    </dataValidation>
    <dataValidation type="whole" allowBlank="1" showInputMessage="1" showErrorMessage="1" errorTitle="integer please" error="_x000a_integer please" sqref="K265:K267 O265:O266" xr:uid="{00000000-0002-0000-0000-000002000000}">
      <formula1>0</formula1>
      <formula2>10000</formula2>
    </dataValidation>
    <dataValidation type="whole" allowBlank="1" showInputMessage="1" showErrorMessage="1" errorTitle="Maximum channels" error="Maximum 500 channels on 1 CS" sqref="K48:K49 O269:O272" xr:uid="{00000000-0002-0000-0000-000003000000}">
      <formula1>0</formula1>
      <formula2>1000</formula2>
    </dataValidation>
    <dataValidation type="whole" allowBlank="1" showInputMessage="1" showErrorMessage="1" errorTitle="Maximum workstations" error="Maximum 100 workstations on 1 CS." sqref="K262" xr:uid="{00000000-0002-0000-0000-000004000000}">
      <formula1>0</formula1>
      <formula2>100</formula2>
    </dataValidation>
    <dataValidation type="list" allowBlank="1" showInputMessage="1" showErrorMessage="1" sqref="H282:L283" xr:uid="{00000000-0002-0000-0000-000005000000}">
      <formula1>OFFSET(DECODERS,0,0,ROWS(DECODERS),1)</formula1>
    </dataValidation>
    <dataValidation type="list" allowBlank="1" showInputMessage="1" showErrorMessage="1" sqref="M287" xr:uid="{00000000-0002-0000-0000-000006000000}">
      <formula1>SPEED</formula1>
    </dataValidation>
    <dataValidation type="list" allowBlank="1" showInputMessage="1" showErrorMessage="1" sqref="H285" xr:uid="{00000000-0002-0000-0000-000007000000}">
      <formula1>"None,One way,Two way"</formula1>
    </dataValidation>
    <dataValidation type="list" allowBlank="1" showInputMessage="1" showErrorMessage="1" sqref="H275:M275 H252:L253" xr:uid="{00000000-0002-0000-0000-000008000000}">
      <formula1>CentralServer</formula1>
    </dataValidation>
    <dataValidation type="list" allowBlank="1" showInputMessage="1" showErrorMessage="1" sqref="H273" xr:uid="{00000000-0002-0000-0000-000009000000}">
      <formula1>WORKSTATION</formula1>
    </dataValidation>
    <dataValidation type="list" allowBlank="1" showInputMessage="1" showErrorMessage="1" sqref="H259:K259" xr:uid="{00000000-0002-0000-0000-00000A000000}">
      <formula1>BVMS</formula1>
    </dataValidation>
    <dataValidation type="whole" allowBlank="1" showInputMessage="1" showErrorMessage="1" errorTitle="Maximum channels" error="Maximum 50 DVR's on 1 CS. Approval requests limited to 100." sqref="O263:O264" xr:uid="{00000000-0002-0000-0000-00000B000000}">
      <formula1>0</formula1>
      <formula2>100</formula2>
    </dataValidation>
    <dataValidation type="whole" allowBlank="1" showInputMessage="1" showErrorMessage="1" errorTitle="Maximum 1992 exp. channels" error="Maximum 2000 channels on 1 CS_x000a_giving a maximum expansion capacity of 1992 channels as the base license has already 8 channels" sqref="K260:K261" xr:uid="{00000000-0002-0000-0000-00000C000000}">
      <formula1>0</formula1>
      <formula2>1992</formula2>
    </dataValidation>
    <dataValidation type="list" allowBlank="1" showInputMessage="1" showErrorMessage="1" sqref="G309:I309" xr:uid="{00000000-0002-0000-0000-00000D000000}">
      <formula1>"Automatic mode (new since VRM 2.20),Unrestricted(All)"</formula1>
    </dataValidation>
    <dataValidation type="whole" allowBlank="1" showInputMessage="1" showErrorMessage="1" errorTitle="Maximum KBDs" error="Maximum workstation keyboards is 100_x000a_Maximum decoder keyboards is 60_x000a_" sqref="O262" xr:uid="{00000000-0002-0000-0000-00000E000000}">
      <formula1>0</formula1>
      <formula2>100</formula2>
    </dataValidation>
    <dataValidation type="whole" allowBlank="1" showInputMessage="1" showErrorMessage="1" errorTitle="maximum" error="maximum 128 decoders supported" sqref="O281:O283" xr:uid="{00000000-0002-0000-0000-00000F000000}">
      <formula1>0</formula1>
      <formula2>128</formula2>
    </dataValidation>
    <dataValidation type="whole" allowBlank="1" showInputMessage="1" showErrorMessage="1" errorTitle="More than 128!" error="BVMS supports maximum up to 128 VRM servers._x000a_When using secondary VRM server: BVMS supports a maximum of 128 VRM servers (Primary VRM + secondary VRM)." sqref="O252:O253" xr:uid="{00000000-0002-0000-0000-000010000000}">
      <formula1>0</formula1>
      <formula2>128</formula2>
    </dataValidation>
    <dataValidation type="whole" allowBlank="1" showInputMessage="1" showErrorMessage="1" errorTitle="Maximum subsystems" error="Typically 10 per Enterprise User group; 30 per Enterprise User group _x000a__x000a_" sqref="K263" xr:uid="{00000000-0002-0000-0000-000011000000}">
      <formula1>0</formula1>
      <formula2>48</formula2>
    </dataValidation>
    <dataValidation type="list" allowBlank="1" showInputMessage="1" showErrorMessage="1" sqref="H281:L281" xr:uid="{00000000-0002-0000-0000-000012000000}">
      <formula1>transcoders</formula1>
    </dataValidation>
    <dataValidation type="list" allowBlank="1" showInputMessage="1" showErrorMessage="1" errorTitle="Maximum 10 subsystems" error="Maximum 10 subsystems on 1 enterprise" sqref="J264:K264" xr:uid="{00000000-0002-0000-0000-000013000000}">
      <formula1>"None,Combination,DIVAR IP, DIVAR IP AIO, BVMS Lite, BVMS Plus, BVMS Professional"</formula1>
    </dataValidation>
    <dataValidation type="whole" allowBlank="1" showInputMessage="1" showErrorMessage="1" errorTitle="limited" error="Needs to be between 1 and 7 days" sqref="H119 H118:Q118" xr:uid="{00000000-0002-0000-0000-000014000000}">
      <formula1>1</formula1>
      <formula2>7</formula2>
    </dataValidation>
    <dataValidation type="whole" allowBlank="1" showInputMessage="1" showErrorMessage="1" errorTitle="Maximum KBDs" error="Maximum 20 KBD on 1 CS" sqref="O49" xr:uid="{00000000-0002-0000-0000-000015000000}">
      <formula1>0</formula1>
      <formula2>20</formula2>
    </dataValidation>
    <dataValidation type="list" allowBlank="1" showInputMessage="1" showErrorMessage="1" sqref="H51:O52" xr:uid="{00000000-0002-0000-0000-000016000000}">
      <formula1>$J$348:$J$351</formula1>
    </dataValidation>
    <dataValidation type="list" allowBlank="1" showInputMessage="1" showErrorMessage="1" sqref="I43" xr:uid="{00000000-0002-0000-0000-000017000000}">
      <formula1>"N.A.,2023,2024,2025,2026,2027,2028,2029,2030"</formula1>
    </dataValidation>
    <dataValidation type="list" allowBlank="1" showInputMessage="1" showErrorMessage="1" sqref="K42" xr:uid="{00000000-0002-0000-0000-000018000000}">
      <formula1>$G$327:$G$338</formula1>
    </dataValidation>
    <dataValidation type="list" allowBlank="1" showInputMessage="1" showErrorMessage="1" sqref="K43" xr:uid="{00000000-0002-0000-0000-00001A000000}">
      <formula1>$G$326:$G$338</formula1>
    </dataValidation>
    <dataValidation type="whole" allowBlank="1" showInputMessage="1" showErrorMessage="1" sqref="M43" xr:uid="{00000000-0002-0000-0000-00001B000000}">
      <formula1>0</formula1>
      <formula2>20000</formula2>
    </dataValidation>
    <dataValidation type="whole" allowBlank="1" showInputMessage="1" showErrorMessage="1" sqref="O43" xr:uid="{00000000-0002-0000-0000-00001C000000}">
      <formula1>0</formula1>
      <formula2>500</formula2>
    </dataValidation>
    <dataValidation type="list" allowBlank="1" showInputMessage="1" showErrorMessage="1" sqref="H122:Q122 H181:N182 H128:N128 H152:Q153 H149:Q149" xr:uid="{00000000-0002-0000-0000-00001D000000}">
      <formula1>$E$184:$E$188</formula1>
    </dataValidation>
    <dataValidation allowBlank="1" errorTitle="Max number of VRM servers!" error="BVMS supports maximum up to 128 VRM servers._x000a_When using secondary recording: In total 128 VRM's are supported (Primary VRM + secondary VRM)." sqref="P253" xr:uid="{00000000-0002-0000-0000-00001E000000}"/>
    <dataValidation type="list" allowBlank="1" showInputMessage="1" showErrorMessage="1" errorTitle="integer please" error="_x000a_integer please" sqref="K272" xr:uid="{00000000-0002-0000-0000-00001F000000}">
      <formula1>"0,1,2,3,4,5,6,7,8"</formula1>
    </dataValidation>
    <dataValidation type="list" allowBlank="1" showInputMessage="1" showErrorMessage="1" sqref="H70 P70 N70 J70 L70" xr:uid="{00000000-0002-0000-0000-000020000000}">
      <formula1>H62:H63</formula1>
    </dataValidation>
    <dataValidation type="list" allowBlank="1" showInputMessage="1" showErrorMessage="1" sqref="P93 L93 J93 J79 H79 L79 N79 N93 P79 H93" xr:uid="{00000000-0002-0000-0000-000021000000}">
      <formula1>H72:H78</formula1>
    </dataValidation>
    <dataValidation type="list" allowBlank="1" showInputMessage="1" showErrorMessage="1" sqref="H84 P84 N84 L84 J84" xr:uid="{00000000-0002-0000-0000-000022000000}">
      <formula1>H62:H63</formula1>
    </dataValidation>
    <dataValidation type="list" allowBlank="1" showInputMessage="1" showErrorMessage="1" sqref="N65 L65 J65 H65 P65" xr:uid="{00000000-0002-0000-0000-000023000000}">
      <formula1>BVMS_Standard_Profiles</formula1>
    </dataValidation>
    <dataValidation type="list" allowBlank="1" showInputMessage="1" showErrorMessage="1" sqref="H66 N66 J66 L66 P66" xr:uid="{00000000-0002-0000-0000-000024000000}">
      <formula1>"h_264,h_265"</formula1>
    </dataValidation>
    <dataValidation type="list" allowBlank="1" showInputMessage="1" showErrorMessage="1" sqref="H230:L230" xr:uid="{00000000-0002-0000-0000-000025000000}">
      <formula1>GROUP1</formula1>
    </dataValidation>
    <dataValidation type="list" allowBlank="1" showInputMessage="1" showErrorMessage="1" sqref="H236:L236" xr:uid="{00000000-0002-0000-0000-000026000000}">
      <formula1>GROUP2</formula1>
    </dataValidation>
    <dataValidation type="list" allowBlank="1" showInputMessage="1" showErrorMessage="1" sqref="H242:L242" xr:uid="{00000000-0002-0000-0000-000027000000}">
      <formula1>GROUP3</formula1>
    </dataValidation>
    <dataValidation type="list" allowBlank="1" showInputMessage="1" showErrorMessage="1" sqref="H248:L248" xr:uid="{00000000-0002-0000-0000-000028000000}">
      <formula1>GROUP4</formula1>
    </dataValidation>
    <dataValidation type="list" allowBlank="1" showInputMessage="1" showErrorMessage="1" sqref="I287" xr:uid="{00000000-0002-0000-0000-000029000000}">
      <formula1>Network</formula1>
    </dataValidation>
    <dataValidation type="list" allowBlank="1" showInputMessage="1" showErrorMessage="1" sqref="H110:Q110" xr:uid="{00000000-0002-0000-0000-00002A000000}">
      <formula1>"No,Yes(G.711),Yes(L16),Yes(AAC),"</formula1>
    </dataValidation>
    <dataValidation type="list" allowBlank="1" showInputMessage="1" showErrorMessage="1" sqref="H56:Q56" xr:uid="{00000000-0002-0000-0000-00002B000000}">
      <formula1>CAMERAS</formula1>
    </dataValidation>
    <dataValidation allowBlank="1" showInputMessage="1" showErrorMessage="1" errorTitle="integer please" error="_x000a_integer please" sqref="K269:K271" xr:uid="{00000000-0002-0000-0000-00002D000000}"/>
    <dataValidation type="whole" allowBlank="1" showInputMessage="1" showErrorMessage="1" sqref="H163:Q163" xr:uid="{00000000-0002-0000-0000-00002E000000}">
      <formula1>0</formula1>
      <formula2>2000</formula2>
    </dataValidation>
    <dataValidation type="whole" allowBlank="1" showInputMessage="1" showErrorMessage="1" sqref="H158:Q158" xr:uid="{00000000-0002-0000-0000-00002F000000}">
      <formula1>0</formula1>
      <formula2>40000</formula2>
    </dataValidation>
    <dataValidation type="list" allowBlank="1" showInputMessage="1" showErrorMessage="1" errorTitle="integer please" error="_x000a_integer please" sqref="K268 O267:O268" xr:uid="{3861CC93-3817-4283-A7FE-649D7AADFDDE}">
      <formula1>"Yes,No"</formula1>
    </dataValidation>
    <dataValidation type="list" allowBlank="1" showInputMessage="1" showErrorMessage="1" sqref="I42" xr:uid="{00000000-0002-0000-0000-000019000000}">
      <formula1>$E$324:$E$341</formula1>
    </dataValidation>
  </dataValidations>
  <hyperlinks>
    <hyperlink ref="G7:P7" r:id="rId1" display="Full comply to the latest BVMS System design guide: link" xr:uid="{00000000-0004-0000-0000-000000000000}"/>
    <hyperlink ref="E65:G65" r:id="rId2" display="Profile (click to download example videos)" xr:uid="{00000000-0004-0000-0000-000001000000}"/>
  </hyperlinks>
  <pageMargins left="0.75" right="0.75" top="1" bottom="1" header="0.5" footer="0.5"/>
  <pageSetup paperSize="9" scale="25" orientation="portrait" horizontalDpi="300" verticalDpi="300" r:id="rId3"/>
  <headerFooter alignWithMargins="0"/>
  <customProperties>
    <customPr name="_pios_id" r:id="rId4"/>
  </customProperties>
  <cellWatches>
    <cellWatch r="G33"/>
  </cellWatches>
  <ignoredErrors>
    <ignoredError sqref="T264 P80:P81" formula="1"/>
  </ignoredErrors>
  <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30000000}">
          <x14:formula1>
            <xm:f>OFFSET(CameraPerformance!$P$1,H59,0,H60)</xm:f>
          </x14:formula1>
          <xm:sqref>H61:Q61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M32"/>
  <sheetViews>
    <sheetView workbookViewId="0">
      <selection activeCell="C23" sqref="C23"/>
    </sheetView>
  </sheetViews>
  <sheetFormatPr defaultColWidth="11.42578125" defaultRowHeight="12.75"/>
  <cols>
    <col min="1" max="1" width="5.5703125" style="36" customWidth="1"/>
    <col min="2" max="2" width="35.7109375" style="36" bestFit="1" customWidth="1"/>
    <col min="3" max="3" width="12.7109375" style="36" customWidth="1"/>
    <col min="4" max="6" width="11.42578125" style="36"/>
    <col min="7" max="7" width="11.42578125" style="36" hidden="1" customWidth="1"/>
    <col min="8" max="16384" width="11.42578125" style="36"/>
  </cols>
  <sheetData>
    <row r="1" spans="1:7">
      <c r="A1" s="40"/>
      <c r="B1" s="40"/>
      <c r="C1" s="40"/>
      <c r="D1" s="40"/>
    </row>
    <row r="2" spans="1:7" ht="18">
      <c r="A2" s="41" t="s">
        <v>250</v>
      </c>
      <c r="B2" s="40"/>
      <c r="C2" s="40"/>
      <c r="D2" s="40"/>
    </row>
    <row r="3" spans="1:7">
      <c r="A3" s="40"/>
      <c r="B3" s="40"/>
      <c r="C3" s="40"/>
      <c r="D3" s="40"/>
      <c r="G3" s="36" t="s">
        <v>249</v>
      </c>
    </row>
    <row r="4" spans="1:7">
      <c r="A4" s="40" t="s">
        <v>248</v>
      </c>
      <c r="B4" s="40"/>
      <c r="C4" s="40"/>
      <c r="D4" s="40"/>
      <c r="G4" s="37">
        <v>1</v>
      </c>
    </row>
    <row r="5" spans="1:7">
      <c r="A5" s="40"/>
      <c r="B5" s="40"/>
      <c r="C5" s="40"/>
      <c r="D5" s="40"/>
      <c r="G5" s="37">
        <v>2</v>
      </c>
    </row>
    <row r="6" spans="1:7">
      <c r="A6" s="40"/>
      <c r="B6" s="40" t="s">
        <v>247</v>
      </c>
      <c r="C6" s="42">
        <v>32</v>
      </c>
      <c r="D6" s="40" t="s">
        <v>196</v>
      </c>
      <c r="G6" s="37">
        <v>4</v>
      </c>
    </row>
    <row r="7" spans="1:7">
      <c r="A7" s="40"/>
      <c r="B7" s="40"/>
      <c r="C7" s="40"/>
      <c r="D7" s="40"/>
      <c r="G7" s="37">
        <v>8</v>
      </c>
    </row>
    <row r="8" spans="1:7">
      <c r="A8" s="43"/>
      <c r="B8" s="40" t="s">
        <v>246</v>
      </c>
      <c r="C8" s="44">
        <v>2000</v>
      </c>
      <c r="D8" s="40"/>
      <c r="G8" s="37">
        <v>16</v>
      </c>
    </row>
    <row r="9" spans="1:7">
      <c r="A9" s="43"/>
      <c r="B9" s="40"/>
      <c r="C9" s="40"/>
      <c r="D9" s="40"/>
      <c r="G9" s="37">
        <v>32</v>
      </c>
    </row>
    <row r="10" spans="1:7">
      <c r="A10" s="40"/>
      <c r="B10" s="40" t="s">
        <v>245</v>
      </c>
      <c r="C10" s="44">
        <v>6000</v>
      </c>
      <c r="D10" s="40" t="s">
        <v>244</v>
      </c>
      <c r="G10" s="37">
        <v>64</v>
      </c>
    </row>
    <row r="11" spans="1:7">
      <c r="A11" s="40"/>
      <c r="B11" s="40"/>
      <c r="C11" s="45"/>
      <c r="D11" s="40"/>
    </row>
    <row r="12" spans="1:7">
      <c r="A12" s="40"/>
      <c r="B12" s="40"/>
      <c r="C12" s="46" t="s">
        <v>243</v>
      </c>
      <c r="D12" s="40"/>
    </row>
    <row r="13" spans="1:7">
      <c r="A13" s="40"/>
      <c r="B13" s="40"/>
      <c r="C13" s="40"/>
      <c r="D13" s="40"/>
      <c r="G13" s="38"/>
    </row>
    <row r="14" spans="1:7" ht="13.5" thickBot="1">
      <c r="A14" s="40"/>
      <c r="B14" s="47" t="s">
        <v>242</v>
      </c>
      <c r="C14" s="40"/>
      <c r="D14" s="40"/>
      <c r="G14" s="38"/>
    </row>
    <row r="15" spans="1:7">
      <c r="A15" s="40"/>
      <c r="B15" s="48" t="s">
        <v>241</v>
      </c>
      <c r="C15" s="49">
        <f>C23/24</f>
        <v>987.65432098765416</v>
      </c>
      <c r="D15" s="40"/>
      <c r="G15" s="38"/>
    </row>
    <row r="16" spans="1:7">
      <c r="A16" s="40"/>
      <c r="B16" s="50" t="s">
        <v>240</v>
      </c>
      <c r="C16" s="51">
        <f>C15/7</f>
        <v>141.09347442680775</v>
      </c>
      <c r="D16" s="40"/>
    </row>
    <row r="17" spans="1:13" ht="13.5" thickBot="1">
      <c r="A17" s="40"/>
      <c r="B17" s="52" t="s">
        <v>239</v>
      </c>
      <c r="C17" s="53">
        <f>C15/30</f>
        <v>32.92181069958847</v>
      </c>
      <c r="D17" s="40"/>
    </row>
    <row r="18" spans="1:13">
      <c r="A18" s="40"/>
      <c r="B18" s="40"/>
      <c r="C18" s="40"/>
      <c r="D18" s="40"/>
    </row>
    <row r="19" spans="1:13">
      <c r="A19" s="40"/>
      <c r="B19" s="40"/>
      <c r="C19" s="40"/>
      <c r="D19" s="40"/>
    </row>
    <row r="20" spans="1:13">
      <c r="A20" s="40"/>
      <c r="B20" s="54" t="s">
        <v>238</v>
      </c>
      <c r="C20" s="55">
        <f>C10/8*1000</f>
        <v>750000</v>
      </c>
      <c r="D20" s="40"/>
      <c r="G20" s="37"/>
    </row>
    <row r="21" spans="1:13">
      <c r="A21" s="40"/>
      <c r="B21" s="54"/>
      <c r="C21" s="40"/>
      <c r="D21" s="40"/>
      <c r="G21" s="37"/>
    </row>
    <row r="22" spans="1:13">
      <c r="A22" s="40"/>
      <c r="B22" s="54" t="s">
        <v>237</v>
      </c>
      <c r="C22" s="56">
        <f>C6*1000000000/C20*C8</f>
        <v>85333333.333333328</v>
      </c>
      <c r="D22" s="40"/>
    </row>
    <row r="23" spans="1:13">
      <c r="A23" s="40"/>
      <c r="B23" s="54" t="s">
        <v>236</v>
      </c>
      <c r="C23" s="56">
        <f>C22/3600</f>
        <v>23703.703703703701</v>
      </c>
      <c r="D23" s="40"/>
    </row>
    <row r="32" spans="1:13">
      <c r="M32" s="39"/>
    </row>
  </sheetData>
  <dataConsolidate/>
  <dataValidations count="1">
    <dataValidation type="list" showInputMessage="1" showErrorMessage="1" sqref="C6" xr:uid="{00000000-0002-0000-0900-000000000000}">
      <formula1>$G$4:$G$10</formula1>
    </dataValidation>
  </dataValidations>
  <pageMargins left="0.7" right="0.7" top="0.78740157499999996" bottom="0.78740157499999996"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F13"/>
  <sheetViews>
    <sheetView workbookViewId="0">
      <selection activeCell="A22" sqref="A22:XFD22"/>
    </sheetView>
  </sheetViews>
  <sheetFormatPr defaultColWidth="9.28515625" defaultRowHeight="12.75"/>
  <cols>
    <col min="2" max="2" width="26.7109375" bestFit="1" customWidth="1"/>
    <col min="3" max="3" width="9.28515625" bestFit="1" customWidth="1"/>
  </cols>
  <sheetData>
    <row r="1" spans="1:6" ht="15.75">
      <c r="A1" s="6" t="s">
        <v>118</v>
      </c>
    </row>
    <row r="4" spans="1:6">
      <c r="B4" s="7" t="s">
        <v>119</v>
      </c>
      <c r="C4" s="8"/>
      <c r="D4" s="8"/>
      <c r="E4" s="8"/>
      <c r="F4" s="8"/>
    </row>
    <row r="5" spans="1:6">
      <c r="B5" s="8" t="s">
        <v>15</v>
      </c>
      <c r="C5" s="9">
        <v>6000</v>
      </c>
      <c r="D5" s="8" t="s">
        <v>16</v>
      </c>
      <c r="E5" s="8"/>
      <c r="F5" s="8"/>
    </row>
    <row r="6" spans="1:6">
      <c r="B6" s="8" t="s">
        <v>120</v>
      </c>
      <c r="C6" s="10">
        <v>40</v>
      </c>
      <c r="D6" s="8" t="s">
        <v>17</v>
      </c>
      <c r="E6" s="8"/>
      <c r="F6" s="8"/>
    </row>
    <row r="7" spans="1:6">
      <c r="B7" s="11" t="s">
        <v>18</v>
      </c>
      <c r="C7" s="12">
        <v>1</v>
      </c>
      <c r="D7" s="8"/>
      <c r="E7" s="8"/>
      <c r="F7" s="8"/>
    </row>
    <row r="9" spans="1:6">
      <c r="B9" s="8" t="s">
        <v>19</v>
      </c>
      <c r="C9" s="13">
        <f>INT(C12/60/60/24)</f>
        <v>0</v>
      </c>
      <c r="D9" s="8" t="s">
        <v>20</v>
      </c>
      <c r="E9" s="14">
        <f>(C12-C9*24*60*60)/60/60</f>
        <v>14.757736296296295</v>
      </c>
      <c r="F9" s="8" t="s">
        <v>21</v>
      </c>
    </row>
    <row r="12" spans="1:6">
      <c r="B12" s="15" t="s">
        <v>22</v>
      </c>
      <c r="C12" s="16">
        <f>C6*C13*1024*1024*8/C5/C7</f>
        <v>53127.850666666665</v>
      </c>
      <c r="D12" s="8" t="s">
        <v>23</v>
      </c>
    </row>
    <row r="13" spans="1:6">
      <c r="B13" s="17" t="s">
        <v>24</v>
      </c>
      <c r="C13" s="18">
        <v>0.95</v>
      </c>
    </row>
  </sheetData>
  <phoneticPr fontId="14" type="noConversion"/>
  <pageMargins left="0.75" right="0.75" top="1" bottom="1" header="0.5" footer="0.5"/>
  <pageSetup paperSize="9" scale="80" orientation="portrait" r:id="rId1"/>
  <headerFooter alignWithMargins="0"/>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
  <dimension ref="A1:HT459"/>
  <sheetViews>
    <sheetView showGridLines="0" topLeftCell="A169" zoomScaleNormal="100" workbookViewId="0">
      <selection activeCell="E20" sqref="E20"/>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checklist'!H65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checklist'!H57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checklist'!H66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checklist'!H71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checklist'!H79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77"/>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02"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ref="G103:G135" si="70">D103&amp;E103&amp;F103</f>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70"/>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70"/>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70"/>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70"/>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70"/>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70"/>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70"/>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70"/>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70"/>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70"/>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70"/>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70"/>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70"/>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70"/>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70"/>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70"/>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70"/>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70"/>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70"/>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70"/>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70"/>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70"/>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70"/>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70"/>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70"/>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70"/>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70"/>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70"/>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70"/>
        <v>19201080CPP_7_3</v>
      </c>
      <c r="H132" s="60" t="s">
        <v>797</v>
      </c>
      <c r="I132" s="60">
        <v>30</v>
      </c>
    </row>
    <row r="133" spans="3:181">
      <c r="C133" s="65">
        <v>30</v>
      </c>
      <c r="D133" s="65">
        <v>2592</v>
      </c>
      <c r="E133" s="65">
        <v>1680</v>
      </c>
      <c r="F133" s="65" t="s">
        <v>582</v>
      </c>
      <c r="G133" s="65" t="str">
        <f t="shared" si="70"/>
        <v>25921680CPP_7_3</v>
      </c>
      <c r="H133" s="60" t="s">
        <v>797</v>
      </c>
      <c r="I133" s="60">
        <v>20</v>
      </c>
      <c r="M133" s="57" t="s">
        <v>778</v>
      </c>
    </row>
    <row r="134" spans="3:181">
      <c r="C134" s="65">
        <v>30</v>
      </c>
      <c r="D134" s="65">
        <v>3840</v>
      </c>
      <c r="E134" s="65">
        <v>2160</v>
      </c>
      <c r="F134" s="65" t="s">
        <v>582</v>
      </c>
      <c r="G134" s="65" t="str">
        <f t="shared" si="70"/>
        <v>38402160CPP_7_3</v>
      </c>
      <c r="H134" s="60"/>
      <c r="I134" s="60"/>
      <c r="M134"/>
    </row>
    <row r="135" spans="3:181">
      <c r="C135" s="65">
        <v>20</v>
      </c>
      <c r="D135" s="65">
        <v>4000</v>
      </c>
      <c r="E135" s="65">
        <v>3000</v>
      </c>
      <c r="F135" s="65" t="s">
        <v>582</v>
      </c>
      <c r="G135" s="65" t="str">
        <f t="shared" si="70"/>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02" si="71">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1"/>
        <v>bitrate optimized quietCPP_4SD</v>
      </c>
      <c r="B172" s="57" t="str">
        <f t="shared" ref="B172:B225" si="72">C172&amp;D172&amp;E172&amp;F172</f>
        <v>bitrate optimized quietCPP_4704288</v>
      </c>
      <c r="C172" s="71" t="s">
        <v>620</v>
      </c>
      <c r="D172" s="25" t="s">
        <v>586</v>
      </c>
      <c r="E172" s="25">
        <v>704</v>
      </c>
      <c r="F172" s="25">
        <v>288</v>
      </c>
      <c r="I172" s="57" t="str">
        <f t="shared" ref="I172:I224" si="73">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1"/>
        <v>bitrate optimized quietCPP_5SD</v>
      </c>
      <c r="B173" s="57" t="str">
        <f t="shared" si="72"/>
        <v>bitrate optimized quietCPP_5704288</v>
      </c>
      <c r="C173" s="71" t="s">
        <v>620</v>
      </c>
      <c r="D173" s="25" t="s">
        <v>585</v>
      </c>
      <c r="E173" s="25">
        <v>704</v>
      </c>
      <c r="F173" s="25">
        <v>288</v>
      </c>
      <c r="I173" s="57" t="str">
        <f t="shared" si="73"/>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1"/>
        <v>bitrate optimized quietCPP_6SD</v>
      </c>
      <c r="B174" s="57" t="str">
        <f t="shared" si="72"/>
        <v>bitrate optimized quietCPP_6768432</v>
      </c>
      <c r="C174" s="71" t="s">
        <v>620</v>
      </c>
      <c r="D174" s="25" t="s">
        <v>584</v>
      </c>
      <c r="E174" s="25">
        <v>768</v>
      </c>
      <c r="F174" s="25">
        <v>432</v>
      </c>
      <c r="I174" s="57" t="str">
        <f t="shared" si="73"/>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1"/>
        <v>bitrate optimized quietCPP_7SD</v>
      </c>
      <c r="B175" s="57" t="str">
        <f t="shared" si="72"/>
        <v>bitrate optimized quietCPP_7768432</v>
      </c>
      <c r="C175" s="71" t="s">
        <v>620</v>
      </c>
      <c r="D175" s="25" t="s">
        <v>583</v>
      </c>
      <c r="E175" s="25">
        <v>768</v>
      </c>
      <c r="F175" s="25">
        <v>432</v>
      </c>
      <c r="I175" s="57" t="str">
        <f t="shared" si="73"/>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1"/>
        <v>bitrate optimized quietCPP_7_3SD</v>
      </c>
      <c r="B176" s="57" t="str">
        <f t="shared" si="72"/>
        <v>bitrate optimized quietCPP_7_3768432</v>
      </c>
      <c r="C176" s="71" t="s">
        <v>620</v>
      </c>
      <c r="D176" s="25" t="s">
        <v>582</v>
      </c>
      <c r="E176" s="25">
        <v>768</v>
      </c>
      <c r="F176" s="25">
        <v>432</v>
      </c>
      <c r="I176" s="57" t="str">
        <f t="shared" si="73"/>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1"/>
        <v>bitrate optimized standardCPP_3SD</v>
      </c>
      <c r="B177" s="57" t="str">
        <f t="shared" si="72"/>
        <v>bitrate optimized standardCPP_3704288</v>
      </c>
      <c r="C177" s="71" t="s">
        <v>617</v>
      </c>
      <c r="D177" s="25" t="s">
        <v>587</v>
      </c>
      <c r="E177" s="25">
        <v>704</v>
      </c>
      <c r="F177" s="25">
        <v>288</v>
      </c>
      <c r="I177" s="57" t="str">
        <f t="shared" si="73"/>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1"/>
        <v>bitrate optimized standardCPP_4SD</v>
      </c>
      <c r="B178" s="57" t="str">
        <f t="shared" si="72"/>
        <v>bitrate optimized standardCPP_4704288</v>
      </c>
      <c r="C178" s="71" t="s">
        <v>617</v>
      </c>
      <c r="D178" s="25" t="s">
        <v>586</v>
      </c>
      <c r="E178" s="25">
        <v>704</v>
      </c>
      <c r="F178" s="25">
        <v>288</v>
      </c>
      <c r="I178" s="57" t="str">
        <f t="shared" si="73"/>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1"/>
        <v>bitrate optimized standardCPP_5SD</v>
      </c>
      <c r="B179" s="57" t="str">
        <f t="shared" si="72"/>
        <v>bitrate optimized standardCPP_5704288</v>
      </c>
      <c r="C179" s="71" t="s">
        <v>617</v>
      </c>
      <c r="D179" s="25" t="s">
        <v>585</v>
      </c>
      <c r="E179" s="25">
        <v>704</v>
      </c>
      <c r="F179" s="25">
        <v>288</v>
      </c>
      <c r="I179" s="57" t="str">
        <f t="shared" si="73"/>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1"/>
        <v>bitrate optimized standardCPP_6SD</v>
      </c>
      <c r="B180" s="57" t="str">
        <f t="shared" si="72"/>
        <v>bitrate optimized standardCPP_6768432</v>
      </c>
      <c r="C180" s="71" t="s">
        <v>617</v>
      </c>
      <c r="D180" s="25" t="s">
        <v>584</v>
      </c>
      <c r="E180" s="25">
        <v>768</v>
      </c>
      <c r="F180" s="25">
        <v>432</v>
      </c>
      <c r="H180" s="60"/>
      <c r="I180" s="57" t="str">
        <f t="shared" si="73"/>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1"/>
        <v>bitrate optimized standardCPP_7SD</v>
      </c>
      <c r="B181" s="57" t="str">
        <f t="shared" si="72"/>
        <v>bitrate optimized standardCPP_7768432</v>
      </c>
      <c r="C181" s="71" t="s">
        <v>617</v>
      </c>
      <c r="D181" s="25" t="s">
        <v>583</v>
      </c>
      <c r="E181" s="25">
        <v>768</v>
      </c>
      <c r="F181" s="25">
        <v>432</v>
      </c>
      <c r="H181" s="60"/>
      <c r="I181" s="57" t="str">
        <f t="shared" si="73"/>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1"/>
        <v>bitrate optimized standardCPP_7_3SD</v>
      </c>
      <c r="B182" s="57" t="str">
        <f t="shared" si="72"/>
        <v>bitrate optimized standardCPP_7_3768432</v>
      </c>
      <c r="C182" s="71" t="s">
        <v>617</v>
      </c>
      <c r="D182" s="25" t="s">
        <v>582</v>
      </c>
      <c r="E182" s="25">
        <v>768</v>
      </c>
      <c r="F182" s="25">
        <v>432</v>
      </c>
      <c r="H182" s="60"/>
      <c r="I182" s="57" t="str">
        <f t="shared" si="73"/>
        <v>768432</v>
      </c>
      <c r="M182"/>
    </row>
    <row r="183" spans="1:184">
      <c r="A183" s="57" t="str">
        <f t="shared" si="71"/>
        <v>bitrate optimized busyCPP_3SD</v>
      </c>
      <c r="B183" s="57" t="str">
        <f t="shared" si="72"/>
        <v>bitrate optimized busyCPP_3704288</v>
      </c>
      <c r="C183" s="71" t="s">
        <v>614</v>
      </c>
      <c r="D183" s="25" t="s">
        <v>587</v>
      </c>
      <c r="E183" s="25">
        <v>704</v>
      </c>
      <c r="F183" s="25">
        <v>288</v>
      </c>
      <c r="H183" s="60"/>
      <c r="I183" s="57" t="str">
        <f t="shared" si="73"/>
        <v>704288</v>
      </c>
      <c r="M183"/>
    </row>
    <row r="184" spans="1:184">
      <c r="A184" s="57" t="str">
        <f t="shared" si="71"/>
        <v>bitrate optimized busyCPP_4SD</v>
      </c>
      <c r="B184" s="57" t="str">
        <f t="shared" si="72"/>
        <v>bitrate optimized busyCPP_4704288</v>
      </c>
      <c r="C184" s="71" t="s">
        <v>614</v>
      </c>
      <c r="D184" s="25" t="s">
        <v>586</v>
      </c>
      <c r="E184" s="25">
        <v>704</v>
      </c>
      <c r="F184" s="25">
        <v>288</v>
      </c>
      <c r="H184" s="60"/>
      <c r="I184" s="57" t="str">
        <f t="shared" si="73"/>
        <v>704288</v>
      </c>
      <c r="M184"/>
    </row>
    <row r="185" spans="1:184">
      <c r="A185" s="57" t="str">
        <f t="shared" si="71"/>
        <v>bitrate optimized busyCPP_5SD</v>
      </c>
      <c r="B185" s="57" t="str">
        <f t="shared" si="72"/>
        <v>bitrate optimized busyCPP_5704288</v>
      </c>
      <c r="C185" s="71" t="s">
        <v>614</v>
      </c>
      <c r="D185" s="25" t="s">
        <v>585</v>
      </c>
      <c r="E185" s="25">
        <v>704</v>
      </c>
      <c r="F185" s="25">
        <v>288</v>
      </c>
      <c r="H185" s="60"/>
      <c r="I185" s="57" t="str">
        <f t="shared" si="73"/>
        <v>704288</v>
      </c>
      <c r="M185"/>
    </row>
    <row r="186" spans="1:184">
      <c r="A186" s="57" t="str">
        <f t="shared" si="71"/>
        <v>bitrate optimized busyCPP_6SD</v>
      </c>
      <c r="B186" s="57" t="str">
        <f t="shared" si="72"/>
        <v>bitrate optimized busyCPP_6768432</v>
      </c>
      <c r="C186" s="71" t="s">
        <v>614</v>
      </c>
      <c r="D186" s="25" t="s">
        <v>584</v>
      </c>
      <c r="E186" s="25">
        <v>768</v>
      </c>
      <c r="F186" s="25">
        <v>432</v>
      </c>
      <c r="I186" s="57" t="str">
        <f t="shared" si="73"/>
        <v>768432</v>
      </c>
      <c r="M186"/>
    </row>
    <row r="187" spans="1:184">
      <c r="A187" s="57" t="str">
        <f t="shared" si="71"/>
        <v>bitrate optimized busyCPP_7SD</v>
      </c>
      <c r="B187" s="57" t="str">
        <f t="shared" si="72"/>
        <v>bitrate optimized busyCPP_7768432</v>
      </c>
      <c r="C187" s="71" t="s">
        <v>614</v>
      </c>
      <c r="D187" s="25" t="s">
        <v>583</v>
      </c>
      <c r="E187" s="25">
        <v>768</v>
      </c>
      <c r="F187" s="25">
        <v>432</v>
      </c>
      <c r="I187" s="57" t="str">
        <f t="shared" si="73"/>
        <v>768432</v>
      </c>
      <c r="M187"/>
    </row>
    <row r="188" spans="1:184">
      <c r="A188" s="57" t="str">
        <f t="shared" si="71"/>
        <v>bitrate optimized busyCPP_7_3SD</v>
      </c>
      <c r="B188" s="57" t="str">
        <f t="shared" si="72"/>
        <v>bitrate optimized busyCPP_7_3768432</v>
      </c>
      <c r="C188" s="71" t="s">
        <v>614</v>
      </c>
      <c r="D188" s="25" t="s">
        <v>582</v>
      </c>
      <c r="E188" s="25">
        <v>768</v>
      </c>
      <c r="F188" s="25">
        <v>432</v>
      </c>
      <c r="H188" s="60"/>
      <c r="I188" s="57" t="str">
        <f t="shared" si="73"/>
        <v>768432</v>
      </c>
      <c r="M188"/>
    </row>
    <row r="189" spans="1:184">
      <c r="A189" s="57" t="str">
        <f t="shared" si="71"/>
        <v>balanced quietCPP_3SD</v>
      </c>
      <c r="B189" s="57" t="str">
        <f t="shared" si="72"/>
        <v>balanced quietCPP_3704288</v>
      </c>
      <c r="C189" s="71" t="s">
        <v>612</v>
      </c>
      <c r="D189" s="25" t="s">
        <v>587</v>
      </c>
      <c r="E189" s="25">
        <v>704</v>
      </c>
      <c r="F189" s="25">
        <v>288</v>
      </c>
      <c r="H189" s="60"/>
      <c r="I189" s="57" t="str">
        <f t="shared" si="73"/>
        <v>704288</v>
      </c>
      <c r="M189"/>
    </row>
    <row r="190" spans="1:184">
      <c r="A190" s="57" t="str">
        <f t="shared" si="71"/>
        <v>balanced quietCPP_4SD</v>
      </c>
      <c r="B190" s="57" t="str">
        <f t="shared" si="72"/>
        <v>balanced quietCPP_4704288</v>
      </c>
      <c r="C190" s="71" t="s">
        <v>612</v>
      </c>
      <c r="D190" s="25" t="s">
        <v>586</v>
      </c>
      <c r="E190" s="25">
        <v>704</v>
      </c>
      <c r="F190" s="25">
        <v>288</v>
      </c>
      <c r="H190" s="60"/>
      <c r="I190" s="57" t="str">
        <f t="shared" si="73"/>
        <v>704288</v>
      </c>
      <c r="M190"/>
    </row>
    <row r="191" spans="1:184">
      <c r="A191" s="57" t="str">
        <f t="shared" si="71"/>
        <v>balanced quietCPP_5SD</v>
      </c>
      <c r="B191" s="57" t="str">
        <f t="shared" si="72"/>
        <v>balanced quietCPP_5704288</v>
      </c>
      <c r="C191" s="71" t="s">
        <v>612</v>
      </c>
      <c r="D191" s="25" t="s">
        <v>585</v>
      </c>
      <c r="E191" s="25">
        <v>704</v>
      </c>
      <c r="F191" s="25">
        <v>288</v>
      </c>
      <c r="H191" s="60"/>
      <c r="I191" s="57" t="str">
        <f t="shared" si="73"/>
        <v>704288</v>
      </c>
      <c r="M191"/>
    </row>
    <row r="192" spans="1:184">
      <c r="A192" s="57" t="str">
        <f t="shared" si="71"/>
        <v>balanced quietCPP_6SD</v>
      </c>
      <c r="B192" s="57" t="str">
        <f t="shared" si="72"/>
        <v>balanced quietCPP_6768432</v>
      </c>
      <c r="C192" s="71" t="s">
        <v>612</v>
      </c>
      <c r="D192" s="25" t="s">
        <v>584</v>
      </c>
      <c r="E192" s="25">
        <v>768</v>
      </c>
      <c r="F192" s="25">
        <v>432</v>
      </c>
      <c r="H192" s="60"/>
      <c r="I192" s="57" t="str">
        <f t="shared" si="73"/>
        <v>768432</v>
      </c>
      <c r="M192"/>
    </row>
    <row r="193" spans="1:13">
      <c r="A193" s="57" t="str">
        <f t="shared" si="71"/>
        <v>balanced quietCPP_7SD</v>
      </c>
      <c r="B193" s="57" t="str">
        <f t="shared" si="72"/>
        <v>balanced quietCPP_7768432</v>
      </c>
      <c r="C193" s="71" t="s">
        <v>612</v>
      </c>
      <c r="D193" s="25" t="s">
        <v>583</v>
      </c>
      <c r="E193" s="25">
        <v>768</v>
      </c>
      <c r="F193" s="25">
        <v>432</v>
      </c>
      <c r="H193" s="60"/>
      <c r="I193" s="57" t="str">
        <f t="shared" si="73"/>
        <v>768432</v>
      </c>
      <c r="M193"/>
    </row>
    <row r="194" spans="1:13">
      <c r="A194" s="57" t="str">
        <f t="shared" si="71"/>
        <v>balanced quietCPP_7_3SD</v>
      </c>
      <c r="B194" s="57" t="str">
        <f t="shared" si="72"/>
        <v>balanced quietCPP_7_3768432</v>
      </c>
      <c r="C194" s="71" t="s">
        <v>612</v>
      </c>
      <c r="D194" s="25" t="s">
        <v>582</v>
      </c>
      <c r="E194" s="25">
        <v>768</v>
      </c>
      <c r="F194" s="25">
        <v>432</v>
      </c>
      <c r="H194" s="60"/>
      <c r="I194" s="57" t="str">
        <f t="shared" si="73"/>
        <v>768432</v>
      </c>
      <c r="M194"/>
    </row>
    <row r="195" spans="1:13">
      <c r="A195" s="57" t="str">
        <f t="shared" si="71"/>
        <v>balanced standardCPP_3SD</v>
      </c>
      <c r="B195" s="57" t="str">
        <f t="shared" si="72"/>
        <v>balanced standardCPP_3704288</v>
      </c>
      <c r="C195" s="71" t="s">
        <v>599</v>
      </c>
      <c r="D195" s="25" t="s">
        <v>587</v>
      </c>
      <c r="E195" s="25">
        <v>704</v>
      </c>
      <c r="F195" s="25">
        <v>288</v>
      </c>
      <c r="H195" s="60"/>
      <c r="I195" s="57" t="str">
        <f t="shared" si="73"/>
        <v>704288</v>
      </c>
      <c r="M195"/>
    </row>
    <row r="196" spans="1:13">
      <c r="A196" s="57" t="str">
        <f t="shared" si="71"/>
        <v>balanced standardCPP_4SD</v>
      </c>
      <c r="B196" s="57" t="str">
        <f t="shared" si="72"/>
        <v>balanced standardCPP_4704288</v>
      </c>
      <c r="C196" s="71" t="s">
        <v>599</v>
      </c>
      <c r="D196" s="25" t="s">
        <v>586</v>
      </c>
      <c r="E196" s="25">
        <v>704</v>
      </c>
      <c r="F196" s="25">
        <v>288</v>
      </c>
      <c r="H196" s="60"/>
      <c r="I196" s="57" t="str">
        <f t="shared" si="73"/>
        <v>704288</v>
      </c>
      <c r="M196"/>
    </row>
    <row r="197" spans="1:13">
      <c r="A197" s="57" t="str">
        <f t="shared" si="71"/>
        <v>balanced standardCPP_5SD</v>
      </c>
      <c r="B197" s="57" t="str">
        <f t="shared" si="72"/>
        <v>balanced standardCPP_5704288</v>
      </c>
      <c r="C197" s="71" t="s">
        <v>599</v>
      </c>
      <c r="D197" s="25" t="s">
        <v>585</v>
      </c>
      <c r="E197" s="25">
        <v>704</v>
      </c>
      <c r="F197" s="25">
        <v>288</v>
      </c>
      <c r="G197" s="180">
        <v>2000000</v>
      </c>
      <c r="H197" s="180">
        <v>2000000</v>
      </c>
      <c r="I197" s="57" t="str">
        <f t="shared" si="73"/>
        <v>704288</v>
      </c>
      <c r="M197"/>
    </row>
    <row r="198" spans="1:13">
      <c r="A198" s="57" t="str">
        <f t="shared" si="71"/>
        <v>balanced standardCPP_6SD</v>
      </c>
      <c r="B198" s="57" t="str">
        <f t="shared" si="72"/>
        <v>balanced standardCPP_6768432</v>
      </c>
      <c r="C198" s="71" t="s">
        <v>599</v>
      </c>
      <c r="D198" s="25" t="s">
        <v>584</v>
      </c>
      <c r="E198" s="25">
        <v>768</v>
      </c>
      <c r="F198" s="25">
        <v>432</v>
      </c>
      <c r="H198" s="60"/>
      <c r="I198" s="57" t="str">
        <f t="shared" si="73"/>
        <v>768432</v>
      </c>
      <c r="M198"/>
    </row>
    <row r="199" spans="1:13">
      <c r="A199" s="57" t="str">
        <f t="shared" si="71"/>
        <v>balanced standardCPP_7SD</v>
      </c>
      <c r="B199" s="57" t="str">
        <f t="shared" si="72"/>
        <v>balanced standardCPP_7768432</v>
      </c>
      <c r="C199" s="71" t="s">
        <v>599</v>
      </c>
      <c r="D199" s="25" t="s">
        <v>583</v>
      </c>
      <c r="E199" s="25">
        <v>768</v>
      </c>
      <c r="F199" s="25">
        <v>432</v>
      </c>
      <c r="H199" s="60"/>
      <c r="I199" s="57" t="str">
        <f t="shared" si="73"/>
        <v>768432</v>
      </c>
      <c r="M199"/>
    </row>
    <row r="200" spans="1:13">
      <c r="A200" s="57" t="str">
        <f t="shared" si="71"/>
        <v>balanced standardCPP_7_3SD</v>
      </c>
      <c r="B200" s="57" t="str">
        <f t="shared" si="72"/>
        <v>balanced standardCPP_7_3768432</v>
      </c>
      <c r="C200" s="71" t="s">
        <v>599</v>
      </c>
      <c r="D200" s="25" t="s">
        <v>582</v>
      </c>
      <c r="E200" s="25">
        <v>768</v>
      </c>
      <c r="F200" s="25">
        <v>432</v>
      </c>
      <c r="H200" s="60"/>
      <c r="I200" s="57" t="str">
        <f t="shared" si="73"/>
        <v>768432</v>
      </c>
      <c r="M200"/>
    </row>
    <row r="201" spans="1:13">
      <c r="A201" s="57" t="str">
        <f t="shared" si="71"/>
        <v>balanced busyCPP_3SD</v>
      </c>
      <c r="B201" s="57" t="str">
        <f t="shared" si="72"/>
        <v>balanced busyCPP_3704288</v>
      </c>
      <c r="C201" s="71" t="s">
        <v>609</v>
      </c>
      <c r="D201" s="25" t="s">
        <v>587</v>
      </c>
      <c r="E201" s="25">
        <v>704</v>
      </c>
      <c r="F201" s="25">
        <v>288</v>
      </c>
      <c r="H201" s="60"/>
      <c r="I201" s="57" t="str">
        <f t="shared" si="73"/>
        <v>704288</v>
      </c>
      <c r="M201"/>
    </row>
    <row r="202" spans="1:13">
      <c r="A202" s="57" t="str">
        <f t="shared" si="71"/>
        <v>balanced busyCPP_4SD</v>
      </c>
      <c r="B202" s="57" t="str">
        <f t="shared" si="72"/>
        <v>balanced busyCPP_4704288</v>
      </c>
      <c r="C202" s="71" t="s">
        <v>609</v>
      </c>
      <c r="D202" s="25" t="s">
        <v>586</v>
      </c>
      <c r="E202" s="25">
        <v>704</v>
      </c>
      <c r="F202" s="25">
        <v>288</v>
      </c>
      <c r="H202" s="60"/>
      <c r="I202" s="57" t="str">
        <f t="shared" si="73"/>
        <v>704288</v>
      </c>
      <c r="M202"/>
    </row>
    <row r="203" spans="1:13">
      <c r="A203" s="57" t="str">
        <f t="shared" ref="A203:A230" si="74">C203&amp;D203&amp;$D$170</f>
        <v>balanced busyCPP_5SD</v>
      </c>
      <c r="B203" s="57" t="str">
        <f t="shared" si="72"/>
        <v>balanced busyCPP_5704288</v>
      </c>
      <c r="C203" s="71" t="s">
        <v>609</v>
      </c>
      <c r="D203" s="25" t="s">
        <v>585</v>
      </c>
      <c r="E203" s="25">
        <v>704</v>
      </c>
      <c r="F203" s="25">
        <v>288</v>
      </c>
      <c r="G203" s="180">
        <v>2000000</v>
      </c>
      <c r="H203" s="180">
        <v>2000000</v>
      </c>
      <c r="I203" s="57" t="str">
        <f t="shared" si="73"/>
        <v>704288</v>
      </c>
      <c r="M203"/>
    </row>
    <row r="204" spans="1:13">
      <c r="A204" s="57" t="str">
        <f t="shared" si="74"/>
        <v>balanced busyCPP_6SD</v>
      </c>
      <c r="B204" s="57" t="str">
        <f t="shared" si="72"/>
        <v>balanced busyCPP_6768432</v>
      </c>
      <c r="C204" s="71" t="s">
        <v>609</v>
      </c>
      <c r="D204" s="25" t="s">
        <v>584</v>
      </c>
      <c r="E204" s="25">
        <v>768</v>
      </c>
      <c r="F204" s="25">
        <v>432</v>
      </c>
      <c r="H204" s="60"/>
      <c r="I204" s="57" t="str">
        <f t="shared" si="73"/>
        <v>768432</v>
      </c>
      <c r="M204"/>
    </row>
    <row r="205" spans="1:13">
      <c r="A205" s="57" t="str">
        <f t="shared" si="74"/>
        <v>balanced busyCPP_7SD</v>
      </c>
      <c r="B205" s="57" t="str">
        <f t="shared" si="72"/>
        <v>balanced busyCPP_7768432</v>
      </c>
      <c r="C205" s="71" t="s">
        <v>609</v>
      </c>
      <c r="D205" s="25" t="s">
        <v>583</v>
      </c>
      <c r="E205" s="25">
        <v>768</v>
      </c>
      <c r="F205" s="25">
        <v>432</v>
      </c>
      <c r="H205" s="60"/>
      <c r="I205" s="57" t="str">
        <f t="shared" si="73"/>
        <v>768432</v>
      </c>
      <c r="M205"/>
    </row>
    <row r="206" spans="1:13">
      <c r="A206" s="57" t="str">
        <f t="shared" si="74"/>
        <v>balanced busyCPP_7_3SD</v>
      </c>
      <c r="B206" s="57" t="str">
        <f t="shared" si="72"/>
        <v>balanced busyCPP_7_3768432</v>
      </c>
      <c r="C206" s="71" t="s">
        <v>609</v>
      </c>
      <c r="D206" s="25" t="s">
        <v>582</v>
      </c>
      <c r="E206" s="25">
        <v>768</v>
      </c>
      <c r="F206" s="25">
        <v>432</v>
      </c>
      <c r="H206" s="60"/>
      <c r="I206" s="57" t="str">
        <f t="shared" si="73"/>
        <v>768432</v>
      </c>
      <c r="M206"/>
    </row>
    <row r="207" spans="1:13">
      <c r="A207" s="57" t="str">
        <f t="shared" si="74"/>
        <v>image optimized quietCPP_3SD</v>
      </c>
      <c r="B207" s="57" t="str">
        <f t="shared" si="72"/>
        <v>image optimized quietCPP_3704576</v>
      </c>
      <c r="C207" s="71" t="s">
        <v>607</v>
      </c>
      <c r="D207" s="32" t="s">
        <v>587</v>
      </c>
      <c r="E207" s="25">
        <v>704</v>
      </c>
      <c r="F207" s="25">
        <v>576</v>
      </c>
      <c r="G207" s="180">
        <v>4858053</v>
      </c>
      <c r="H207" s="180">
        <v>6000000</v>
      </c>
      <c r="I207" s="57" t="str">
        <f t="shared" si="73"/>
        <v>704576</v>
      </c>
      <c r="M207"/>
    </row>
    <row r="208" spans="1:13">
      <c r="A208" s="57" t="str">
        <f t="shared" si="74"/>
        <v>image optimized quietCPP_4SD</v>
      </c>
      <c r="B208" s="57" t="str">
        <f t="shared" si="72"/>
        <v>image optimized quietCPP_4704576</v>
      </c>
      <c r="C208" s="71" t="s">
        <v>607</v>
      </c>
      <c r="D208" s="25" t="s">
        <v>586</v>
      </c>
      <c r="E208" s="25">
        <v>704</v>
      </c>
      <c r="F208" s="25">
        <v>576</v>
      </c>
      <c r="G208" s="180">
        <v>2859061</v>
      </c>
      <c r="H208" s="180">
        <v>5718122</v>
      </c>
      <c r="I208" s="57" t="str">
        <f t="shared" si="73"/>
        <v>704576</v>
      </c>
      <c r="M208"/>
    </row>
    <row r="209" spans="1:13">
      <c r="A209" s="57" t="str">
        <f t="shared" si="74"/>
        <v>image optimized quietCPP_5SD</v>
      </c>
      <c r="B209" s="57" t="str">
        <f t="shared" si="72"/>
        <v>image optimized quietCPP_5704576</v>
      </c>
      <c r="C209" s="71" t="s">
        <v>607</v>
      </c>
      <c r="D209" s="25" t="s">
        <v>585</v>
      </c>
      <c r="E209" s="25">
        <v>704</v>
      </c>
      <c r="F209" s="25">
        <v>576</v>
      </c>
      <c r="G209" s="180">
        <v>2000000</v>
      </c>
      <c r="H209" s="180">
        <v>2000000</v>
      </c>
      <c r="I209" s="57" t="str">
        <f t="shared" si="73"/>
        <v>704576</v>
      </c>
      <c r="M209"/>
    </row>
    <row r="210" spans="1:13">
      <c r="A210" s="57" t="str">
        <f t="shared" si="74"/>
        <v>image optimized quietCPP_6SD</v>
      </c>
      <c r="B210" s="57" t="str">
        <f t="shared" si="72"/>
        <v>image optimized quietCPP_6768432</v>
      </c>
      <c r="C210" s="71" t="s">
        <v>607</v>
      </c>
      <c r="D210" s="25" t="s">
        <v>584</v>
      </c>
      <c r="E210" s="25">
        <v>768</v>
      </c>
      <c r="F210" s="25">
        <v>432</v>
      </c>
      <c r="H210" s="60"/>
      <c r="I210" s="57" t="str">
        <f t="shared" si="73"/>
        <v>768432</v>
      </c>
      <c r="M210"/>
    </row>
    <row r="211" spans="1:13">
      <c r="A211" s="57" t="str">
        <f t="shared" si="74"/>
        <v>image optimized quietCPP_7SD</v>
      </c>
      <c r="B211" s="57" t="str">
        <f t="shared" si="72"/>
        <v>image optimized quietCPP_7768432</v>
      </c>
      <c r="C211" s="71" t="s">
        <v>607</v>
      </c>
      <c r="D211" s="25" t="s">
        <v>583</v>
      </c>
      <c r="E211" s="25">
        <v>768</v>
      </c>
      <c r="F211" s="25">
        <v>432</v>
      </c>
      <c r="H211" s="60"/>
      <c r="I211" s="57" t="str">
        <f t="shared" si="73"/>
        <v>768432</v>
      </c>
      <c r="M211"/>
    </row>
    <row r="212" spans="1:13">
      <c r="A212" s="57" t="str">
        <f t="shared" si="74"/>
        <v>image optimized quietCPP_7_3SD</v>
      </c>
      <c r="B212" s="57" t="str">
        <f t="shared" si="72"/>
        <v>image optimized quietCPP_7_3768432</v>
      </c>
      <c r="C212" s="71" t="s">
        <v>607</v>
      </c>
      <c r="D212" s="25" t="s">
        <v>582</v>
      </c>
      <c r="E212" s="25">
        <v>768</v>
      </c>
      <c r="F212" s="25">
        <v>432</v>
      </c>
      <c r="H212" s="60"/>
      <c r="I212" s="57" t="str">
        <f t="shared" si="73"/>
        <v>768432</v>
      </c>
      <c r="M212"/>
    </row>
    <row r="213" spans="1:13">
      <c r="A213" s="57" t="str">
        <f t="shared" si="74"/>
        <v>image optimized standardCPP_3SD</v>
      </c>
      <c r="B213" s="57" t="str">
        <f t="shared" si="72"/>
        <v>image optimized standardCPP_3704576</v>
      </c>
      <c r="C213" s="71" t="s">
        <v>605</v>
      </c>
      <c r="D213" s="32" t="s">
        <v>587</v>
      </c>
      <c r="E213" s="25">
        <v>704</v>
      </c>
      <c r="F213" s="25">
        <v>576</v>
      </c>
      <c r="G213" s="180">
        <v>5294.51</v>
      </c>
      <c r="H213" s="180">
        <v>6000</v>
      </c>
      <c r="I213" s="57" t="str">
        <f t="shared" si="73"/>
        <v>704576</v>
      </c>
      <c r="M213"/>
    </row>
    <row r="214" spans="1:13">
      <c r="A214" s="57" t="str">
        <f t="shared" si="74"/>
        <v>image optimized standardCPP_4SD</v>
      </c>
      <c r="B214" s="57" t="str">
        <f t="shared" si="72"/>
        <v>image optimized standardCPP_4704576</v>
      </c>
      <c r="C214" s="71" t="s">
        <v>605</v>
      </c>
      <c r="D214" s="25" t="s">
        <v>586</v>
      </c>
      <c r="E214" s="25">
        <v>704</v>
      </c>
      <c r="F214" s="25">
        <v>576</v>
      </c>
      <c r="G214" s="180">
        <v>3355739</v>
      </c>
      <c r="H214" s="180">
        <v>6711477</v>
      </c>
      <c r="I214" s="57" t="str">
        <f t="shared" si="73"/>
        <v>704576</v>
      </c>
      <c r="M214"/>
    </row>
    <row r="215" spans="1:13">
      <c r="A215" s="57" t="str">
        <f t="shared" si="74"/>
        <v>image optimized standardCPP_5SD</v>
      </c>
      <c r="B215" s="57" t="str">
        <f t="shared" si="72"/>
        <v>image optimized standardCPP_5704576</v>
      </c>
      <c r="C215" s="71" t="s">
        <v>605</v>
      </c>
      <c r="D215" s="25" t="s">
        <v>585</v>
      </c>
      <c r="E215" s="25">
        <v>704</v>
      </c>
      <c r="F215" s="25">
        <v>576</v>
      </c>
      <c r="G215" s="180">
        <v>2000000</v>
      </c>
      <c r="H215" s="180">
        <v>2000000</v>
      </c>
      <c r="I215" s="57" t="str">
        <f t="shared" si="73"/>
        <v>704576</v>
      </c>
      <c r="M215"/>
    </row>
    <row r="216" spans="1:13">
      <c r="A216" s="57" t="str">
        <f t="shared" si="74"/>
        <v>image optimized standardCPP_6SD</v>
      </c>
      <c r="B216" s="57" t="str">
        <f t="shared" si="72"/>
        <v>image optimized standardCPP_6768432</v>
      </c>
      <c r="C216" s="71" t="s">
        <v>605</v>
      </c>
      <c r="D216" s="25" t="s">
        <v>584</v>
      </c>
      <c r="E216" s="25">
        <v>768</v>
      </c>
      <c r="F216" s="25">
        <v>432</v>
      </c>
      <c r="H216" s="60"/>
      <c r="I216" s="57" t="str">
        <f t="shared" si="73"/>
        <v>768432</v>
      </c>
      <c r="M216"/>
    </row>
    <row r="217" spans="1:13">
      <c r="A217" s="57" t="str">
        <f t="shared" si="74"/>
        <v>image optimized standardCPP_7SD</v>
      </c>
      <c r="B217" s="57" t="str">
        <f t="shared" si="72"/>
        <v>image optimized standardCPP_7768432</v>
      </c>
      <c r="C217" s="71" t="s">
        <v>605</v>
      </c>
      <c r="D217" s="25" t="s">
        <v>583</v>
      </c>
      <c r="E217" s="25">
        <v>768</v>
      </c>
      <c r="F217" s="25">
        <v>432</v>
      </c>
      <c r="H217" s="60"/>
      <c r="I217" s="57" t="str">
        <f t="shared" si="73"/>
        <v>768432</v>
      </c>
      <c r="M217"/>
    </row>
    <row r="218" spans="1:13">
      <c r="A218" s="57" t="str">
        <f t="shared" si="74"/>
        <v>image optimized standardCPP_7_3SD</v>
      </c>
      <c r="B218" s="57" t="str">
        <f t="shared" si="72"/>
        <v>image optimized standardCPP_7_3768432</v>
      </c>
      <c r="C218" s="71" t="s">
        <v>605</v>
      </c>
      <c r="D218" s="25" t="s">
        <v>582</v>
      </c>
      <c r="E218" s="25">
        <v>768</v>
      </c>
      <c r="F218" s="25">
        <v>432</v>
      </c>
      <c r="H218" s="60"/>
      <c r="I218" s="57" t="str">
        <f t="shared" si="73"/>
        <v>768432</v>
      </c>
      <c r="M218"/>
    </row>
    <row r="219" spans="1:13">
      <c r="A219" s="57" t="str">
        <f t="shared" si="74"/>
        <v>image optimized busyCPP_3SD</v>
      </c>
      <c r="B219" s="57" t="str">
        <f t="shared" si="72"/>
        <v>image optimized busyCPP_3704576</v>
      </c>
      <c r="C219" s="71" t="s">
        <v>603</v>
      </c>
      <c r="D219" s="32" t="s">
        <v>587</v>
      </c>
      <c r="E219" s="25">
        <v>704</v>
      </c>
      <c r="F219" s="25">
        <v>576</v>
      </c>
      <c r="G219" s="180">
        <v>6000</v>
      </c>
      <c r="H219" s="180">
        <v>6000</v>
      </c>
      <c r="I219" s="57" t="str">
        <f t="shared" si="73"/>
        <v>704576</v>
      </c>
      <c r="M219"/>
    </row>
    <row r="220" spans="1:13">
      <c r="A220" s="57" t="str">
        <f t="shared" si="74"/>
        <v>image optimized busyCPP_4SD</v>
      </c>
      <c r="B220" s="57" t="str">
        <f t="shared" si="72"/>
        <v>image optimized busyCPP_4704576</v>
      </c>
      <c r="C220" s="71" t="s">
        <v>603</v>
      </c>
      <c r="D220" s="25" t="s">
        <v>586</v>
      </c>
      <c r="E220" s="25">
        <v>704</v>
      </c>
      <c r="F220" s="25">
        <v>576</v>
      </c>
      <c r="G220" s="180">
        <v>4614387</v>
      </c>
      <c r="H220" s="180">
        <v>92282775</v>
      </c>
      <c r="I220" s="57" t="str">
        <f t="shared" si="73"/>
        <v>704576</v>
      </c>
      <c r="M220"/>
    </row>
    <row r="221" spans="1:13">
      <c r="A221" s="57" t="str">
        <f t="shared" si="74"/>
        <v>image optimized busyCPP_5SD</v>
      </c>
      <c r="B221" s="57" t="str">
        <f t="shared" si="72"/>
        <v>image optimized busyCPP_5704576</v>
      </c>
      <c r="C221" s="71" t="s">
        <v>603</v>
      </c>
      <c r="D221" s="25" t="s">
        <v>585</v>
      </c>
      <c r="E221" s="25">
        <v>704</v>
      </c>
      <c r="F221" s="25">
        <v>576</v>
      </c>
      <c r="G221" s="180">
        <v>2000000</v>
      </c>
      <c r="H221" s="180">
        <v>2000000</v>
      </c>
      <c r="I221" s="57" t="str">
        <f t="shared" si="73"/>
        <v>704576</v>
      </c>
      <c r="M221"/>
    </row>
    <row r="222" spans="1:13">
      <c r="A222" s="57" t="str">
        <f t="shared" si="74"/>
        <v>image optimized busyCPP_6SD</v>
      </c>
      <c r="B222" s="57" t="str">
        <f t="shared" si="72"/>
        <v>image optimized busyCPP_6768432</v>
      </c>
      <c r="C222" s="71" t="s">
        <v>603</v>
      </c>
      <c r="D222" s="25" t="s">
        <v>584</v>
      </c>
      <c r="E222" s="25">
        <v>768</v>
      </c>
      <c r="F222" s="25">
        <v>432</v>
      </c>
      <c r="I222" s="57" t="str">
        <f t="shared" si="73"/>
        <v>768432</v>
      </c>
      <c r="M222"/>
    </row>
    <row r="223" spans="1:13">
      <c r="A223" s="57" t="str">
        <f t="shared" si="74"/>
        <v>image optimized busyCPP_7SD</v>
      </c>
      <c r="B223" s="57" t="str">
        <f t="shared" si="72"/>
        <v>image optimized busyCPP_7768432</v>
      </c>
      <c r="C223" s="71" t="s">
        <v>603</v>
      </c>
      <c r="D223" s="25" t="s">
        <v>583</v>
      </c>
      <c r="E223" s="25">
        <v>768</v>
      </c>
      <c r="F223" s="25">
        <v>432</v>
      </c>
      <c r="I223" s="57" t="str">
        <f t="shared" si="73"/>
        <v>768432</v>
      </c>
      <c r="M223"/>
    </row>
    <row r="224" spans="1:13">
      <c r="A224" s="57" t="str">
        <f t="shared" si="74"/>
        <v>image optimized busyCPP_7_3SD</v>
      </c>
      <c r="B224" s="57" t="str">
        <f t="shared" si="72"/>
        <v>image optimized busyCPP_7_3768432</v>
      </c>
      <c r="C224" s="71" t="s">
        <v>603</v>
      </c>
      <c r="D224" s="25" t="s">
        <v>582</v>
      </c>
      <c r="E224" s="25">
        <v>768</v>
      </c>
      <c r="F224" s="25">
        <v>432</v>
      </c>
      <c r="H224" s="60"/>
      <c r="I224" s="57" t="str">
        <f t="shared" si="73"/>
        <v>768432</v>
      </c>
      <c r="M224"/>
    </row>
    <row r="225" spans="1:15">
      <c r="A225" s="57" t="str">
        <f t="shared" si="74"/>
        <v>PTZ optimizedCPP_3SD</v>
      </c>
      <c r="B225" s="57" t="str">
        <f t="shared" si="72"/>
        <v>PTZ optimizedCPP_3704576</v>
      </c>
      <c r="C225" s="60" t="s">
        <v>601</v>
      </c>
      <c r="D225" s="32" t="s">
        <v>587</v>
      </c>
      <c r="E225" s="25">
        <v>704</v>
      </c>
      <c r="F225" s="25">
        <v>576</v>
      </c>
      <c r="G225" s="180">
        <v>6000</v>
      </c>
      <c r="H225" s="180">
        <v>6000</v>
      </c>
      <c r="I225" s="57" t="str">
        <f t="shared" ref="I225:I230" si="75">E225&amp;F225</f>
        <v>704576</v>
      </c>
      <c r="M225"/>
    </row>
    <row r="226" spans="1:15">
      <c r="A226" s="57" t="str">
        <f t="shared" si="74"/>
        <v>PTZ optimizedCPP_4SD</v>
      </c>
      <c r="C226" s="60" t="s">
        <v>601</v>
      </c>
      <c r="D226" s="25" t="s">
        <v>586</v>
      </c>
      <c r="E226" s="25">
        <v>704</v>
      </c>
      <c r="F226" s="25">
        <v>576</v>
      </c>
      <c r="G226" s="180">
        <v>4614387</v>
      </c>
      <c r="H226" s="180">
        <v>92282775</v>
      </c>
      <c r="I226" s="57" t="str">
        <f t="shared" si="75"/>
        <v>704576</v>
      </c>
      <c r="M226"/>
    </row>
    <row r="227" spans="1:15">
      <c r="A227" s="57" t="str">
        <f t="shared" si="74"/>
        <v>PTZ optimizedCPP_5SD</v>
      </c>
      <c r="C227" s="60" t="s">
        <v>601</v>
      </c>
      <c r="D227" s="25" t="s">
        <v>585</v>
      </c>
      <c r="E227" s="25">
        <v>704</v>
      </c>
      <c r="F227" s="25">
        <v>576</v>
      </c>
      <c r="G227" s="180">
        <v>2000000</v>
      </c>
      <c r="H227" s="180">
        <v>2000000</v>
      </c>
      <c r="I227" s="57" t="str">
        <f t="shared" si="75"/>
        <v>704576</v>
      </c>
      <c r="M227"/>
    </row>
    <row r="228" spans="1:15">
      <c r="A228" s="57" t="str">
        <f t="shared" si="74"/>
        <v>PTZ optimizedCPP_6SD</v>
      </c>
      <c r="C228" s="60" t="s">
        <v>601</v>
      </c>
      <c r="D228" s="25" t="s">
        <v>584</v>
      </c>
      <c r="E228" s="25">
        <v>768</v>
      </c>
      <c r="F228" s="25">
        <v>432</v>
      </c>
      <c r="I228" s="57" t="str">
        <f t="shared" si="75"/>
        <v>768432</v>
      </c>
      <c r="M228"/>
    </row>
    <row r="229" spans="1:15">
      <c r="A229" s="57" t="str">
        <f t="shared" si="74"/>
        <v>PTZ optimizedCPP_7SD</v>
      </c>
      <c r="C229" s="60" t="s">
        <v>601</v>
      </c>
      <c r="D229" s="25" t="s">
        <v>583</v>
      </c>
      <c r="E229" s="25">
        <v>768</v>
      </c>
      <c r="F229" s="25">
        <v>432</v>
      </c>
      <c r="I229" s="57" t="str">
        <f t="shared" si="75"/>
        <v>768432</v>
      </c>
      <c r="M229"/>
    </row>
    <row r="230" spans="1:15">
      <c r="A230" s="57" t="str">
        <f t="shared" si="74"/>
        <v>PTZ optimizedCPP_7_3SD</v>
      </c>
      <c r="C230" s="60" t="s">
        <v>601</v>
      </c>
      <c r="D230" s="25" t="s">
        <v>582</v>
      </c>
      <c r="E230" s="25">
        <v>768</v>
      </c>
      <c r="F230" s="25">
        <v>432</v>
      </c>
      <c r="H230" s="60"/>
      <c r="I230" s="57" t="str">
        <f t="shared" si="75"/>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C2:G2"/>
    <mergeCell ref="C77:M77"/>
    <mergeCell ref="HH77:HM77"/>
    <mergeCell ref="HD77:HE77"/>
    <mergeCell ref="C3:G3"/>
    <mergeCell ref="C15:F15"/>
    <mergeCell ref="C6:G6"/>
    <mergeCell ref="C14:G14"/>
    <mergeCell ref="C7:G7"/>
    <mergeCell ref="C11:G11"/>
    <mergeCell ref="C13:G13"/>
    <mergeCell ref="C4:G4"/>
    <mergeCell ref="C5:G5"/>
    <mergeCell ref="C8:G8"/>
    <mergeCell ref="C9:G9"/>
    <mergeCell ref="C10:G10"/>
    <mergeCell ref="C12:G12"/>
    <mergeCell ref="HO77:HT77"/>
    <mergeCell ref="C56:D56"/>
  </mergeCells>
  <conditionalFormatting sqref="E20">
    <cfRule type="expression" dxfId="19" priority="19">
      <formula>E38&lt;1</formula>
    </cfRule>
  </conditionalFormatting>
  <conditionalFormatting sqref="F19:F22">
    <cfRule type="cellIs" dxfId="18" priority="1" operator="between">
      <formula>"not supported"</formula>
      <formula>"not supported"</formula>
    </cfRule>
    <cfRule type="cellIs" dxfId="17" priority="2" operator="between">
      <formula>"supported"</formula>
      <formula>"supported"</formula>
    </cfRule>
  </conditionalFormatting>
  <conditionalFormatting sqref="HC20">
    <cfRule type="expression" dxfId="16" priority="17">
      <formula>E39&lt;1</formula>
    </cfRule>
  </conditionalFormatting>
  <dataValidations count="20">
    <dataValidation type="list" allowBlank="1" showInputMessage="1" showErrorMessage="1" sqref="E59" xr:uid="{00000000-0002-0000-0B00-000000000000}">
      <formula1>Saftey_factor</formula1>
    </dataValidation>
    <dataValidation type="list" allowBlank="1" showInputMessage="1" showErrorMessage="1" sqref="E67" xr:uid="{00000000-0002-0000-0B00-000001000000}">
      <formula1>Video_Codec</formula1>
    </dataValidation>
    <dataValidation type="list" allowBlank="1" showInputMessage="1" showErrorMessage="1" sqref="E62" xr:uid="{00000000-0002-0000-0B00-000002000000}">
      <formula1>Encoding_Interval</formula1>
    </dataValidation>
    <dataValidation type="list" allowBlank="1" showInputMessage="1" showErrorMessage="1" sqref="E64" xr:uid="{00000000-0002-0000-0B00-000003000000}">
      <formula1>I_Frame_distance</formula1>
    </dataValidation>
    <dataValidation type="list" allowBlank="1" showInputMessage="1" showErrorMessage="1" sqref="E63" xr:uid="{00000000-0002-0000-0B00-000004000000}">
      <formula1>GOP_type</formula1>
    </dataValidation>
    <dataValidation type="list" allowBlank="1" showInputMessage="1" showErrorMessage="1" sqref="E60" xr:uid="{00000000-0002-0000-0B00-000005000000}">
      <formula1>Bit_rate_optimization</formula1>
    </dataValidation>
    <dataValidation type="list" allowBlank="1" showInputMessage="1" showErrorMessage="1" sqref="E58" xr:uid="{00000000-0002-0000-0B00-000006000000}">
      <formula1>dynamic_scene_typ</formula1>
    </dataValidation>
    <dataValidation type="list" allowBlank="1" showInputMessage="1" showErrorMessage="1" sqref="E57" xr:uid="{00000000-0002-0000-0B00-000007000000}">
      <formula1>Static_scene_type</formula1>
    </dataValidation>
    <dataValidation type="list" allowBlank="1" showInputMessage="1" showErrorMessage="1" sqref="I103" xr:uid="{00000000-0002-0000-0B00-000008000000}">
      <formula1>Frame_rate</formula1>
    </dataValidation>
    <dataValidation type="list" allowBlank="1" showInputMessage="1" showErrorMessage="1" sqref="E66 I101" xr:uid="{00000000-0002-0000-0B00-000009000000}">
      <formula1>platform_neu</formula1>
    </dataValidation>
    <dataValidation type="list" allowBlank="1" showInputMessage="1" showErrorMessage="1" sqref="E65 I102" xr:uid="{00000000-0002-0000-0B00-00000A000000}">
      <formula1>Resolution_neu</formula1>
    </dataValidation>
    <dataValidation type="list" allowBlank="1" showInputMessage="1" showErrorMessage="1" sqref="I99:I100" xr:uid="{00000000-0002-0000-0B00-00000B000000}">
      <formula1>BVMS_Standard_Profiles</formula1>
    </dataValidation>
    <dataValidation type="list" allowBlank="1" showInputMessage="1" showErrorMessage="1" sqref="M75:M76 AA73 EM73 CG73 M73 AA75:AA76 EM75:EM76 CG75:CG76 AA54 M54 CG54 EM54 F99:F135" xr:uid="{00000000-0002-0000-0B00-00000C000000}">
      <formula1>PlatForm</formula1>
    </dataValidation>
    <dataValidation type="list" allowBlank="1" showInputMessage="1" showErrorMessage="1" sqref="F75:F76 EC73 BW73 Q73 EC75:EC76 BW75:BW76 Q75:Q76 EC54 F54 Q54 BW54" xr:uid="{00000000-0002-0000-0B00-00000D000000}">
      <formula1>#REF!</formula1>
    </dataValidation>
    <dataValidation type="list" allowBlank="1" showInputMessage="1" showErrorMessage="1" sqref="L153" xr:uid="{00000000-0002-0000-0B00-00000E000000}">
      <formula1>INDIRECT(K152)</formula1>
    </dataValidation>
    <dataValidation type="list" allowBlank="1" showInputMessage="1" showErrorMessage="1" sqref="K152" xr:uid="{00000000-0002-0000-0B00-00000F000000}">
      <formula1>$H$151:$I$151</formula1>
    </dataValidation>
    <dataValidation type="list" allowBlank="1" showInputMessage="1" showErrorMessage="1" sqref="L152" xr:uid="{00000000-0002-0000-0B00-000010000000}">
      <formula1>INDIRECT(K152)</formula1>
    </dataValidation>
    <dataValidation type="list" allowBlank="1" showInputMessage="1" showErrorMessage="1" sqref="J20" xr:uid="{00000000-0002-0000-0B00-000011000000}">
      <formula1>Resolution_neu_2</formula1>
    </dataValidation>
    <dataValidation type="list" allowBlank="1" showInputMessage="1" showErrorMessage="1" sqref="K110" xr:uid="{00000000-0002-0000-0B00-000012000000}">
      <formula1>OFFSET(C99,MATCH(I101,F99:F134,0)-1,0,COUNTIF(C99:F135,I101),1)</formula1>
    </dataValidation>
    <dataValidation type="list" allowBlank="1" showInputMessage="1" showErrorMessage="1" sqref="J115" xr:uid="{00000000-0002-0000-0B00-000013000000}">
      <formula1>OFFSET(C99,MATCH(L102,G99:G135,0)-1,0,COUNTIF(C99:G133,L102),1)</formula1>
    </dataValidation>
  </dataValidations>
  <hyperlinks>
    <hyperlink ref="C9:G9" r:id="rId1" display="Example scene 1 static" xr:uid="{00000000-0004-0000-0B00-000000000000}"/>
    <hyperlink ref="C10:G10" r:id="rId2" display="Example scene 2 normal" xr:uid="{00000000-0004-0000-0B00-000001000000}"/>
    <hyperlink ref="C12:G12" r:id="rId3" display="Example scene 4 crowded" xr:uid="{00000000-0004-0000-0B00-000002000000}"/>
    <hyperlink ref="C14:G14" r:id="rId4" display="Download .zip for customers from BVMS Presales Community" xr:uid="{00000000-0004-0000-0B00-000003000000}"/>
    <hyperlink ref="C11:G11" r:id="rId5" display="Example scene 3 busy" xr:uid="{00000000-0004-0000-0B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
  <dimension ref="A1:HT459"/>
  <sheetViews>
    <sheetView showGridLines="0" topLeftCell="A7" zoomScaleNormal="100" workbookViewId="0">
      <selection activeCell="G45" sqref="G45"/>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checklist'!J65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checklist'!J57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checklist'!J66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checklist'!J71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checklist'!J79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190"/>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HO77:HT77"/>
    <mergeCell ref="C14:G14"/>
    <mergeCell ref="C15:F15"/>
    <mergeCell ref="C56:D56"/>
    <mergeCell ref="C77:M77"/>
    <mergeCell ref="HD77:HE77"/>
    <mergeCell ref="HH77:HM77"/>
    <mergeCell ref="C13:G13"/>
    <mergeCell ref="C2:G2"/>
    <mergeCell ref="C3:G3"/>
    <mergeCell ref="C4:G4"/>
    <mergeCell ref="C5:G5"/>
    <mergeCell ref="C6:G6"/>
    <mergeCell ref="C7:G7"/>
    <mergeCell ref="C8:G8"/>
    <mergeCell ref="C9:G9"/>
    <mergeCell ref="C10:G10"/>
    <mergeCell ref="C11:G11"/>
    <mergeCell ref="C12:G12"/>
  </mergeCells>
  <conditionalFormatting sqref="E20">
    <cfRule type="expression" dxfId="15" priority="8">
      <formula>E38&lt;1</formula>
    </cfRule>
  </conditionalFormatting>
  <conditionalFormatting sqref="F19:F22">
    <cfRule type="cellIs" dxfId="14" priority="1" operator="between">
      <formula>"not supported"</formula>
      <formula>"not supported"</formula>
    </cfRule>
    <cfRule type="cellIs" dxfId="13" priority="2" operator="between">
      <formula>"supported"</formula>
      <formula>"supported"</formula>
    </cfRule>
  </conditionalFormatting>
  <conditionalFormatting sqref="HC20">
    <cfRule type="expression" dxfId="12" priority="7">
      <formula>E39&lt;1</formula>
    </cfRule>
  </conditionalFormatting>
  <dataValidations count="20">
    <dataValidation type="list" allowBlank="1" showInputMessage="1" showErrorMessage="1" sqref="J115" xr:uid="{00000000-0002-0000-0C00-000000000000}">
      <formula1>OFFSET(C99,MATCH(L102,G99:G135,0)-1,0,COUNTIF(C99:G133,L102),1)</formula1>
    </dataValidation>
    <dataValidation type="list" allowBlank="1" showInputMessage="1" showErrorMessage="1" sqref="K110" xr:uid="{00000000-0002-0000-0C00-000001000000}">
      <formula1>OFFSET(C99,MATCH(I101,F99:F134,0)-1,0,COUNTIF(C99:F135,I101),1)</formula1>
    </dataValidation>
    <dataValidation type="list" allowBlank="1" showInputMessage="1" showErrorMessage="1" sqref="J20" xr:uid="{00000000-0002-0000-0C00-000002000000}">
      <formula1>Resolution_neu_2</formula1>
    </dataValidation>
    <dataValidation type="list" allowBlank="1" showInputMessage="1" showErrorMessage="1" sqref="L152" xr:uid="{00000000-0002-0000-0C00-000003000000}">
      <formula1>INDIRECT(K152)</formula1>
    </dataValidation>
    <dataValidation type="list" allowBlank="1" showInputMessage="1" showErrorMessage="1" sqref="K152" xr:uid="{00000000-0002-0000-0C00-000004000000}">
      <formula1>$H$151:$I$151</formula1>
    </dataValidation>
    <dataValidation type="list" allowBlank="1" showInputMessage="1" showErrorMessage="1" sqref="L153" xr:uid="{00000000-0002-0000-0C00-000005000000}">
      <formula1>INDIRECT(K152)</formula1>
    </dataValidation>
    <dataValidation type="list" allowBlank="1" showInputMessage="1" showErrorMessage="1" sqref="F75:F76 EC73 BW73 Q73 EC75:EC76 BW75:BW76 Q75:Q76 EC54 F54 Q54 BW54" xr:uid="{00000000-0002-0000-0C00-000006000000}">
      <formula1>#REF!</formula1>
    </dataValidation>
    <dataValidation type="list" allowBlank="1" showInputMessage="1" showErrorMessage="1" sqref="M75:M76 AA73 EM73 CG73 M73 AA75:AA76 EM75:EM76 CG75:CG76 AA54 M54 CG54 EM54 F99:F135" xr:uid="{00000000-0002-0000-0C00-000007000000}">
      <formula1>PlatForm</formula1>
    </dataValidation>
    <dataValidation type="list" allowBlank="1" showInputMessage="1" showErrorMessage="1" sqref="I99:I100" xr:uid="{00000000-0002-0000-0C00-000008000000}">
      <formula1>BVMS_Standard_Profiles</formula1>
    </dataValidation>
    <dataValidation type="list" allowBlank="1" showInputMessage="1" showErrorMessage="1" sqref="E65 I102" xr:uid="{00000000-0002-0000-0C00-000009000000}">
      <formula1>Resolution_neu</formula1>
    </dataValidation>
    <dataValidation type="list" allowBlank="1" showInputMessage="1" showErrorMessage="1" sqref="E66 I101" xr:uid="{00000000-0002-0000-0C00-00000A000000}">
      <formula1>platform_neu</formula1>
    </dataValidation>
    <dataValidation type="list" allowBlank="1" showInputMessage="1" showErrorMessage="1" sqref="I103" xr:uid="{00000000-0002-0000-0C00-00000B000000}">
      <formula1>Frame_rate</formula1>
    </dataValidation>
    <dataValidation type="list" allowBlank="1" showInputMessage="1" showErrorMessage="1" sqref="E57" xr:uid="{00000000-0002-0000-0C00-00000C000000}">
      <formula1>Static_scene_type</formula1>
    </dataValidation>
    <dataValidation type="list" allowBlank="1" showInputMessage="1" showErrorMessage="1" sqref="E58" xr:uid="{00000000-0002-0000-0C00-00000D000000}">
      <formula1>dynamic_scene_typ</formula1>
    </dataValidation>
    <dataValidation type="list" allowBlank="1" showInputMessage="1" showErrorMessage="1" sqref="E60" xr:uid="{00000000-0002-0000-0C00-00000E000000}">
      <formula1>Bit_rate_optimization</formula1>
    </dataValidation>
    <dataValidation type="list" allowBlank="1" showInputMessage="1" showErrorMessage="1" sqref="E63" xr:uid="{00000000-0002-0000-0C00-00000F000000}">
      <formula1>GOP_type</formula1>
    </dataValidation>
    <dataValidation type="list" allowBlank="1" showInputMessage="1" showErrorMessage="1" sqref="E64" xr:uid="{00000000-0002-0000-0C00-000010000000}">
      <formula1>I_Frame_distance</formula1>
    </dataValidation>
    <dataValidation type="list" allowBlank="1" showInputMessage="1" showErrorMessage="1" sqref="E62" xr:uid="{00000000-0002-0000-0C00-000011000000}">
      <formula1>Encoding_Interval</formula1>
    </dataValidation>
    <dataValidation type="list" allowBlank="1" showInputMessage="1" showErrorMessage="1" sqref="E67" xr:uid="{00000000-0002-0000-0C00-000012000000}">
      <formula1>Video_Codec</formula1>
    </dataValidation>
    <dataValidation type="list" allowBlank="1" showInputMessage="1" showErrorMessage="1" sqref="E59" xr:uid="{00000000-0002-0000-0C00-000013000000}">
      <formula1>Saftey_factor</formula1>
    </dataValidation>
  </dataValidations>
  <hyperlinks>
    <hyperlink ref="C9:G9" r:id="rId1" display="Example scene 1 static" xr:uid="{00000000-0004-0000-0C00-000000000000}"/>
    <hyperlink ref="C10:G10" r:id="rId2" display="Example scene 2 normal" xr:uid="{00000000-0004-0000-0C00-000001000000}"/>
    <hyperlink ref="C12:G12" r:id="rId3" display="Example scene 4 crowded" xr:uid="{00000000-0004-0000-0C00-000002000000}"/>
    <hyperlink ref="C14:G14" r:id="rId4" display="Download .zip for customers from BVMS Presales Community" xr:uid="{00000000-0004-0000-0C00-000003000000}"/>
    <hyperlink ref="C11:G11" r:id="rId5" display="Example scene 3 busy" xr:uid="{00000000-0004-0000-0C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dimension ref="A1:HT459"/>
  <sheetViews>
    <sheetView showGridLines="0" topLeftCell="A7" zoomScaleNormal="100" workbookViewId="0">
      <selection activeCell="E22" sqref="E22"/>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checklist'!L65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checklist'!L57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checklist'!L66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checklist'!L71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checklist'!L79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190"/>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HO77:HT77"/>
    <mergeCell ref="C14:G14"/>
    <mergeCell ref="C15:F15"/>
    <mergeCell ref="C56:D56"/>
    <mergeCell ref="C77:M77"/>
    <mergeCell ref="HD77:HE77"/>
    <mergeCell ref="HH77:HM77"/>
    <mergeCell ref="C13:G13"/>
    <mergeCell ref="C2:G2"/>
    <mergeCell ref="C3:G3"/>
    <mergeCell ref="C4:G4"/>
    <mergeCell ref="C5:G5"/>
    <mergeCell ref="C6:G6"/>
    <mergeCell ref="C7:G7"/>
    <mergeCell ref="C8:G8"/>
    <mergeCell ref="C9:G9"/>
    <mergeCell ref="C10:G10"/>
    <mergeCell ref="C11:G11"/>
    <mergeCell ref="C12:G12"/>
  </mergeCells>
  <conditionalFormatting sqref="E20">
    <cfRule type="expression" dxfId="11" priority="8">
      <formula>E38&lt;1</formula>
    </cfRule>
  </conditionalFormatting>
  <conditionalFormatting sqref="F19:F22">
    <cfRule type="cellIs" dxfId="10" priority="1" operator="between">
      <formula>"not supported"</formula>
      <formula>"not supported"</formula>
    </cfRule>
    <cfRule type="cellIs" dxfId="9" priority="2" operator="between">
      <formula>"supported"</formula>
      <formula>"supported"</formula>
    </cfRule>
  </conditionalFormatting>
  <conditionalFormatting sqref="HC20">
    <cfRule type="expression" dxfId="8" priority="7">
      <formula>E39&lt;1</formula>
    </cfRule>
  </conditionalFormatting>
  <dataValidations count="20">
    <dataValidation type="list" allowBlank="1" showInputMessage="1" showErrorMessage="1" sqref="E59" xr:uid="{00000000-0002-0000-0D00-000000000000}">
      <formula1>Saftey_factor</formula1>
    </dataValidation>
    <dataValidation type="list" allowBlank="1" showInputMessage="1" showErrorMessage="1" sqref="E67" xr:uid="{00000000-0002-0000-0D00-000001000000}">
      <formula1>Video_Codec</formula1>
    </dataValidation>
    <dataValidation type="list" allowBlank="1" showInputMessage="1" showErrorMessage="1" sqref="E62" xr:uid="{00000000-0002-0000-0D00-000002000000}">
      <formula1>Encoding_Interval</formula1>
    </dataValidation>
    <dataValidation type="list" allowBlank="1" showInputMessage="1" showErrorMessage="1" sqref="E64" xr:uid="{00000000-0002-0000-0D00-000003000000}">
      <formula1>I_Frame_distance</formula1>
    </dataValidation>
    <dataValidation type="list" allowBlank="1" showInputMessage="1" showErrorMessage="1" sqref="E63" xr:uid="{00000000-0002-0000-0D00-000004000000}">
      <formula1>GOP_type</formula1>
    </dataValidation>
    <dataValidation type="list" allowBlank="1" showInputMessage="1" showErrorMessage="1" sqref="E60" xr:uid="{00000000-0002-0000-0D00-000005000000}">
      <formula1>Bit_rate_optimization</formula1>
    </dataValidation>
    <dataValidation type="list" allowBlank="1" showInputMessage="1" showErrorMessage="1" sqref="E58" xr:uid="{00000000-0002-0000-0D00-000006000000}">
      <formula1>dynamic_scene_typ</formula1>
    </dataValidation>
    <dataValidation type="list" allowBlank="1" showInputMessage="1" showErrorMessage="1" sqref="E57" xr:uid="{00000000-0002-0000-0D00-000007000000}">
      <formula1>Static_scene_type</formula1>
    </dataValidation>
    <dataValidation type="list" allowBlank="1" showInputMessage="1" showErrorMessage="1" sqref="I103" xr:uid="{00000000-0002-0000-0D00-000008000000}">
      <formula1>Frame_rate</formula1>
    </dataValidation>
    <dataValidation type="list" allowBlank="1" showInputMessage="1" showErrorMessage="1" sqref="E66 I101" xr:uid="{00000000-0002-0000-0D00-000009000000}">
      <formula1>platform_neu</formula1>
    </dataValidation>
    <dataValidation type="list" allowBlank="1" showInputMessage="1" showErrorMessage="1" sqref="E65 I102" xr:uid="{00000000-0002-0000-0D00-00000A000000}">
      <formula1>Resolution_neu</formula1>
    </dataValidation>
    <dataValidation type="list" allowBlank="1" showInputMessage="1" showErrorMessage="1" sqref="I99:I100" xr:uid="{00000000-0002-0000-0D00-00000B000000}">
      <formula1>BVMS_Standard_Profiles</formula1>
    </dataValidation>
    <dataValidation type="list" allowBlank="1" showInputMessage="1" showErrorMessage="1" sqref="M75:M76 AA73 EM73 CG73 M73 AA75:AA76 EM75:EM76 CG75:CG76 AA54 M54 CG54 EM54 F99:F135" xr:uid="{00000000-0002-0000-0D00-00000C000000}">
      <formula1>PlatForm</formula1>
    </dataValidation>
    <dataValidation type="list" allowBlank="1" showInputMessage="1" showErrorMessage="1" sqref="F75:F76 EC73 BW73 Q73 EC75:EC76 BW75:BW76 Q75:Q76 EC54 F54 Q54 BW54" xr:uid="{00000000-0002-0000-0D00-00000D000000}">
      <formula1>#REF!</formula1>
    </dataValidation>
    <dataValidation type="list" allowBlank="1" showInputMessage="1" showErrorMessage="1" sqref="L153" xr:uid="{00000000-0002-0000-0D00-00000E000000}">
      <formula1>INDIRECT(K152)</formula1>
    </dataValidation>
    <dataValidation type="list" allowBlank="1" showInputMessage="1" showErrorMessage="1" sqref="K152" xr:uid="{00000000-0002-0000-0D00-00000F000000}">
      <formula1>$H$151:$I$151</formula1>
    </dataValidation>
    <dataValidation type="list" allowBlank="1" showInputMessage="1" showErrorMessage="1" sqref="L152" xr:uid="{00000000-0002-0000-0D00-000010000000}">
      <formula1>INDIRECT(K152)</formula1>
    </dataValidation>
    <dataValidation type="list" allowBlank="1" showInputMessage="1" showErrorMessage="1" sqref="J20" xr:uid="{00000000-0002-0000-0D00-000011000000}">
      <formula1>Resolution_neu_2</formula1>
    </dataValidation>
    <dataValidation type="list" allowBlank="1" showInputMessage="1" showErrorMessage="1" sqref="K110" xr:uid="{00000000-0002-0000-0D00-000012000000}">
      <formula1>OFFSET(C99,MATCH(I101,F99:F134,0)-1,0,COUNTIF(C99:F135,I101),1)</formula1>
    </dataValidation>
    <dataValidation type="list" allowBlank="1" showInputMessage="1" showErrorMessage="1" sqref="J115" xr:uid="{00000000-0002-0000-0D00-000013000000}">
      <formula1>OFFSET(C99,MATCH(L102,G99:G135,0)-1,0,COUNTIF(C99:G133,L102),1)</formula1>
    </dataValidation>
  </dataValidations>
  <hyperlinks>
    <hyperlink ref="C9:G9" r:id="rId1" display="Example scene 1 static" xr:uid="{00000000-0004-0000-0D00-000000000000}"/>
    <hyperlink ref="C10:G10" r:id="rId2" display="Example scene 2 normal" xr:uid="{00000000-0004-0000-0D00-000001000000}"/>
    <hyperlink ref="C12:G12" r:id="rId3" display="Example scene 4 crowded" xr:uid="{00000000-0004-0000-0D00-000002000000}"/>
    <hyperlink ref="C14:G14" r:id="rId4" display="Download .zip for customers from BVMS Presales Community" xr:uid="{00000000-0004-0000-0D00-000003000000}"/>
    <hyperlink ref="C11:G11" r:id="rId5" display="Example scene 3 busy" xr:uid="{00000000-0004-0000-0D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dimension ref="A1:HT459"/>
  <sheetViews>
    <sheetView showGridLines="0" topLeftCell="A7" zoomScaleNormal="100" workbookViewId="0">
      <selection activeCell="E22" sqref="E22"/>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checklist'!N65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165" t="str">
        <f>'BVMS checklist'!N57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checklist'!N66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165" t="str">
        <f>'BVMS checklist'!N71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checklist'!N79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190"/>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HO77:HT77"/>
    <mergeCell ref="C14:G14"/>
    <mergeCell ref="C15:F15"/>
    <mergeCell ref="C56:D56"/>
    <mergeCell ref="C77:M77"/>
    <mergeCell ref="HD77:HE77"/>
    <mergeCell ref="HH77:HM77"/>
    <mergeCell ref="C13:G13"/>
    <mergeCell ref="C2:G2"/>
    <mergeCell ref="C3:G3"/>
    <mergeCell ref="C4:G4"/>
    <mergeCell ref="C5:G5"/>
    <mergeCell ref="C6:G6"/>
    <mergeCell ref="C7:G7"/>
    <mergeCell ref="C8:G8"/>
    <mergeCell ref="C9:G9"/>
    <mergeCell ref="C10:G10"/>
    <mergeCell ref="C11:G11"/>
    <mergeCell ref="C12:G12"/>
  </mergeCells>
  <conditionalFormatting sqref="E20">
    <cfRule type="expression" dxfId="7" priority="8">
      <formula>E38&lt;1</formula>
    </cfRule>
  </conditionalFormatting>
  <conditionalFormatting sqref="F19:F22">
    <cfRule type="cellIs" dxfId="6" priority="1" operator="between">
      <formula>"not supported"</formula>
      <formula>"not supported"</formula>
    </cfRule>
    <cfRule type="cellIs" dxfId="5" priority="2" operator="between">
      <formula>"supported"</formula>
      <formula>"supported"</formula>
    </cfRule>
  </conditionalFormatting>
  <conditionalFormatting sqref="HC20">
    <cfRule type="expression" dxfId="4" priority="7">
      <formula>E39&lt;1</formula>
    </cfRule>
  </conditionalFormatting>
  <dataValidations count="20">
    <dataValidation type="list" allowBlank="1" showInputMessage="1" showErrorMessage="1" sqref="J115" xr:uid="{00000000-0002-0000-0E00-000000000000}">
      <formula1>OFFSET(C99,MATCH(L102,G99:G135,0)-1,0,COUNTIF(C99:G133,L102),1)</formula1>
    </dataValidation>
    <dataValidation type="list" allowBlank="1" showInputMessage="1" showErrorMessage="1" sqref="K110" xr:uid="{00000000-0002-0000-0E00-000001000000}">
      <formula1>OFFSET(C99,MATCH(I101,F99:F134,0)-1,0,COUNTIF(C99:F135,I101),1)</formula1>
    </dataValidation>
    <dataValidation type="list" allowBlank="1" showInputMessage="1" showErrorMessage="1" sqref="J20" xr:uid="{00000000-0002-0000-0E00-000002000000}">
      <formula1>Resolution_neu_2</formula1>
    </dataValidation>
    <dataValidation type="list" allowBlank="1" showInputMessage="1" showErrorMessage="1" sqref="L152" xr:uid="{00000000-0002-0000-0E00-000003000000}">
      <formula1>INDIRECT(K152)</formula1>
    </dataValidation>
    <dataValidation type="list" allowBlank="1" showInputMessage="1" showErrorMessage="1" sqref="K152" xr:uid="{00000000-0002-0000-0E00-000004000000}">
      <formula1>$H$151:$I$151</formula1>
    </dataValidation>
    <dataValidation type="list" allowBlank="1" showInputMessage="1" showErrorMessage="1" sqref="L153" xr:uid="{00000000-0002-0000-0E00-000005000000}">
      <formula1>INDIRECT(K152)</formula1>
    </dataValidation>
    <dataValidation type="list" allowBlank="1" showInputMessage="1" showErrorMessage="1" sqref="F75:F76 EC73 BW73 Q73 EC75:EC76 BW75:BW76 Q75:Q76 EC54 F54 Q54 BW54" xr:uid="{00000000-0002-0000-0E00-000006000000}">
      <formula1>#REF!</formula1>
    </dataValidation>
    <dataValidation type="list" allowBlank="1" showInputMessage="1" showErrorMessage="1" sqref="M75:M76 AA73 EM73 CG73 M73 AA75:AA76 EM75:EM76 CG75:CG76 AA54 M54 CG54 EM54 F99:F135" xr:uid="{00000000-0002-0000-0E00-000007000000}">
      <formula1>PlatForm</formula1>
    </dataValidation>
    <dataValidation type="list" allowBlank="1" showInputMessage="1" showErrorMessage="1" sqref="I99:I100" xr:uid="{00000000-0002-0000-0E00-000008000000}">
      <formula1>BVMS_Standard_Profiles</formula1>
    </dataValidation>
    <dataValidation type="list" allowBlank="1" showInputMessage="1" showErrorMessage="1" sqref="E65 I102" xr:uid="{00000000-0002-0000-0E00-000009000000}">
      <formula1>Resolution_neu</formula1>
    </dataValidation>
    <dataValidation type="list" allowBlank="1" showInputMessage="1" showErrorMessage="1" sqref="E66 I101" xr:uid="{00000000-0002-0000-0E00-00000A000000}">
      <formula1>platform_neu</formula1>
    </dataValidation>
    <dataValidation type="list" allowBlank="1" showInputMessage="1" showErrorMessage="1" sqref="I103" xr:uid="{00000000-0002-0000-0E00-00000B000000}">
      <formula1>Frame_rate</formula1>
    </dataValidation>
    <dataValidation type="list" allowBlank="1" showInputMessage="1" showErrorMessage="1" sqref="E57" xr:uid="{00000000-0002-0000-0E00-00000C000000}">
      <formula1>Static_scene_type</formula1>
    </dataValidation>
    <dataValidation type="list" allowBlank="1" showInputMessage="1" showErrorMessage="1" sqref="E58" xr:uid="{00000000-0002-0000-0E00-00000D000000}">
      <formula1>dynamic_scene_typ</formula1>
    </dataValidation>
    <dataValidation type="list" allowBlank="1" showInputMessage="1" showErrorMessage="1" sqref="E60" xr:uid="{00000000-0002-0000-0E00-00000E000000}">
      <formula1>Bit_rate_optimization</formula1>
    </dataValidation>
    <dataValidation type="list" allowBlank="1" showInputMessage="1" showErrorMessage="1" sqref="E63" xr:uid="{00000000-0002-0000-0E00-00000F000000}">
      <formula1>GOP_type</formula1>
    </dataValidation>
    <dataValidation type="list" allowBlank="1" showInputMessage="1" showErrorMessage="1" sqref="E64" xr:uid="{00000000-0002-0000-0E00-000010000000}">
      <formula1>I_Frame_distance</formula1>
    </dataValidation>
    <dataValidation type="list" allowBlank="1" showInputMessage="1" showErrorMessage="1" sqref="E62" xr:uid="{00000000-0002-0000-0E00-000011000000}">
      <formula1>Encoding_Interval</formula1>
    </dataValidation>
    <dataValidation type="list" allowBlank="1" showInputMessage="1" showErrorMessage="1" sqref="E67" xr:uid="{00000000-0002-0000-0E00-000012000000}">
      <formula1>Video_Codec</formula1>
    </dataValidation>
    <dataValidation type="list" allowBlank="1" showInputMessage="1" showErrorMessage="1" sqref="E59" xr:uid="{00000000-0002-0000-0E00-000013000000}">
      <formula1>Saftey_factor</formula1>
    </dataValidation>
  </dataValidations>
  <hyperlinks>
    <hyperlink ref="C9:G9" r:id="rId1" display="Example scene 1 static" xr:uid="{00000000-0004-0000-0E00-000000000000}"/>
    <hyperlink ref="C10:G10" r:id="rId2" display="Example scene 2 normal" xr:uid="{00000000-0004-0000-0E00-000001000000}"/>
    <hyperlink ref="C12:G12" r:id="rId3" display="Example scene 4 crowded" xr:uid="{00000000-0004-0000-0E00-000002000000}"/>
    <hyperlink ref="C14:G14" r:id="rId4" display="Download .zip for customers from BVMS Presales Community" xr:uid="{00000000-0004-0000-0E00-000003000000}"/>
    <hyperlink ref="C11:G11" r:id="rId5" display="Example scene 3 busy" xr:uid="{00000000-0004-0000-0E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C10"/>
  <sheetViews>
    <sheetView workbookViewId="0">
      <selection activeCell="C1" sqref="C1:C10"/>
    </sheetView>
  </sheetViews>
  <sheetFormatPr defaultColWidth="9.140625" defaultRowHeight="12.75"/>
  <cols>
    <col min="1" max="1" width="21.5703125" customWidth="1"/>
  </cols>
  <sheetData>
    <row r="1" spans="1:3">
      <c r="A1" s="20" t="s">
        <v>939</v>
      </c>
      <c r="C1" t="s">
        <v>945</v>
      </c>
    </row>
    <row r="2" spans="1:3">
      <c r="A2" s="20" t="s">
        <v>940</v>
      </c>
      <c r="C2" t="s">
        <v>944</v>
      </c>
    </row>
    <row r="3" spans="1:3">
      <c r="A3" s="20" t="s">
        <v>938</v>
      </c>
      <c r="C3" t="s">
        <v>952</v>
      </c>
    </row>
    <row r="4" spans="1:3">
      <c r="A4" s="20" t="s">
        <v>941</v>
      </c>
      <c r="C4" t="s">
        <v>946</v>
      </c>
    </row>
    <row r="5" spans="1:3">
      <c r="A5" s="20" t="s">
        <v>942</v>
      </c>
      <c r="C5" t="s">
        <v>947</v>
      </c>
    </row>
    <row r="6" spans="1:3">
      <c r="A6" s="20" t="s">
        <v>943</v>
      </c>
      <c r="C6" t="s">
        <v>948</v>
      </c>
    </row>
    <row r="7" spans="1:3">
      <c r="C7" t="s">
        <v>949</v>
      </c>
    </row>
    <row r="8" spans="1:3">
      <c r="C8" t="s">
        <v>950</v>
      </c>
    </row>
    <row r="9" spans="1:3">
      <c r="C9" t="s">
        <v>951</v>
      </c>
    </row>
    <row r="10" spans="1:3">
      <c r="C10" t="s">
        <v>953</v>
      </c>
    </row>
  </sheetData>
  <pageMargins left="0.7" right="0.7" top="0.75" bottom="0.75" header="0.3" footer="0.3"/>
  <pageSetup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B14"/>
  <sheetViews>
    <sheetView workbookViewId="0">
      <selection activeCell="A2" sqref="A2"/>
    </sheetView>
  </sheetViews>
  <sheetFormatPr defaultColWidth="9.140625" defaultRowHeight="12.75"/>
  <cols>
    <col min="1" max="1" width="61" customWidth="1"/>
  </cols>
  <sheetData>
    <row r="1" spans="1:2">
      <c r="A1" s="21" t="s">
        <v>55</v>
      </c>
      <c r="B1" s="20">
        <v>0</v>
      </c>
    </row>
    <row r="2" spans="1:2">
      <c r="A2" s="29" t="s">
        <v>936</v>
      </c>
      <c r="B2" s="20">
        <v>1</v>
      </c>
    </row>
    <row r="3" spans="1:2">
      <c r="A3" s="29" t="s">
        <v>937</v>
      </c>
      <c r="B3" s="20">
        <v>2</v>
      </c>
    </row>
    <row r="4" spans="1:2">
      <c r="A4" s="20" t="s">
        <v>286</v>
      </c>
      <c r="B4" s="20">
        <v>1</v>
      </c>
    </row>
    <row r="5" spans="1:2">
      <c r="A5" s="20" t="s">
        <v>287</v>
      </c>
      <c r="B5" s="20">
        <v>2</v>
      </c>
    </row>
    <row r="6" spans="1:2">
      <c r="A6" s="20" t="s">
        <v>284</v>
      </c>
      <c r="B6" s="20">
        <v>1</v>
      </c>
    </row>
    <row r="7" spans="1:2">
      <c r="A7" s="20" t="s">
        <v>285</v>
      </c>
      <c r="B7" s="20">
        <v>2</v>
      </c>
    </row>
    <row r="8" spans="1:2">
      <c r="A8" s="21" t="s">
        <v>281</v>
      </c>
      <c r="B8" s="20">
        <v>1</v>
      </c>
    </row>
    <row r="9" spans="1:2">
      <c r="A9" s="20" t="s">
        <v>282</v>
      </c>
      <c r="B9" s="20">
        <v>1</v>
      </c>
    </row>
    <row r="10" spans="1:2">
      <c r="A10" s="20" t="s">
        <v>283</v>
      </c>
      <c r="B10" s="20">
        <v>2</v>
      </c>
    </row>
    <row r="11" spans="1:2">
      <c r="A11" s="20" t="s">
        <v>863</v>
      </c>
      <c r="B11" s="20">
        <v>1</v>
      </c>
    </row>
    <row r="12" spans="1:2">
      <c r="A12" s="20" t="s">
        <v>864</v>
      </c>
      <c r="B12" s="20">
        <v>1</v>
      </c>
    </row>
    <row r="13" spans="1:2">
      <c r="A13" s="21" t="s">
        <v>97</v>
      </c>
      <c r="B13" s="20">
        <v>4</v>
      </c>
    </row>
    <row r="14" spans="1:2">
      <c r="A14" s="20" t="s">
        <v>935</v>
      </c>
      <c r="B14" s="356">
        <v>1</v>
      </c>
    </row>
  </sheetData>
  <pageMargins left="0.7" right="0.7" top="0.75" bottom="0.75" header="0.3" footer="0.3"/>
  <pageSetup orientation="portrait" r:id="rId1"/>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A4"/>
  <sheetViews>
    <sheetView workbookViewId="0">
      <selection activeCell="A2" sqref="A2"/>
    </sheetView>
  </sheetViews>
  <sheetFormatPr defaultColWidth="9.140625" defaultRowHeight="12.75"/>
  <cols>
    <col min="1" max="1" width="20.7109375" customWidth="1"/>
  </cols>
  <sheetData>
    <row r="1" spans="1:1">
      <c r="A1" s="20" t="s">
        <v>55</v>
      </c>
    </row>
    <row r="2" spans="1:1">
      <c r="A2" s="20" t="s">
        <v>147</v>
      </c>
    </row>
    <row r="3" spans="1:1">
      <c r="A3" s="20" t="s">
        <v>148</v>
      </c>
    </row>
    <row r="4" spans="1:1">
      <c r="A4" s="356" t="s">
        <v>934</v>
      </c>
    </row>
  </sheetData>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A9"/>
  <sheetViews>
    <sheetView workbookViewId="0">
      <selection activeCell="A4" sqref="A4"/>
    </sheetView>
  </sheetViews>
  <sheetFormatPr defaultColWidth="9.140625" defaultRowHeight="12.75"/>
  <cols>
    <col min="1" max="1" width="67.28515625" bestFit="1" customWidth="1"/>
  </cols>
  <sheetData>
    <row r="1" spans="1:1">
      <c r="A1" t="s">
        <v>55</v>
      </c>
    </row>
    <row r="2" spans="1:1">
      <c r="A2" s="20" t="s">
        <v>77</v>
      </c>
    </row>
    <row r="3" spans="1:1">
      <c r="A3" s="20" t="s">
        <v>862</v>
      </c>
    </row>
    <row r="4" spans="1:1">
      <c r="A4" s="20" t="s">
        <v>1476</v>
      </c>
    </row>
    <row r="5" spans="1:1">
      <c r="A5" s="20" t="s">
        <v>1477</v>
      </c>
    </row>
    <row r="6" spans="1:1">
      <c r="A6" s="20" t="s">
        <v>1478</v>
      </c>
    </row>
    <row r="7" spans="1:1">
      <c r="A7" s="20" t="s">
        <v>1479</v>
      </c>
    </row>
    <row r="8" spans="1:1">
      <c r="A8" s="356" t="s">
        <v>1605</v>
      </c>
    </row>
    <row r="9" spans="1:1">
      <c r="A9" s="356" t="s">
        <v>1606</v>
      </c>
    </row>
  </sheetData>
  <pageMargins left="0.7" right="0.7" top="0.75" bottom="0.75" header="0.3" footer="0.3"/>
  <pageSetup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32"/>
  <sheetViews>
    <sheetView view="pageLayout" zoomScaleNormal="100" workbookViewId="0">
      <selection activeCell="A22" sqref="A22:XFD22"/>
    </sheetView>
  </sheetViews>
  <sheetFormatPr defaultColWidth="9.140625" defaultRowHeight="12.75"/>
  <cols>
    <col min="1" max="1" width="18.7109375" customWidth="1"/>
    <col min="2" max="2" width="18" bestFit="1" customWidth="1"/>
    <col min="3" max="3" width="20.28515625" customWidth="1"/>
    <col min="4" max="4" width="9.42578125" customWidth="1"/>
    <col min="5" max="5" width="62.85546875" style="423" customWidth="1"/>
    <col min="6" max="6" width="13" customWidth="1"/>
  </cols>
  <sheetData>
    <row r="1" spans="1:6">
      <c r="A1" s="639" t="s">
        <v>1273</v>
      </c>
      <c r="B1" s="639"/>
      <c r="C1" s="639"/>
      <c r="D1" s="639"/>
      <c r="E1" s="639"/>
    </row>
    <row r="2" spans="1:6">
      <c r="A2" s="639"/>
      <c r="B2" s="639"/>
      <c r="C2" s="639"/>
      <c r="D2" s="639"/>
      <c r="E2" s="639"/>
    </row>
    <row r="4" spans="1:6" ht="15">
      <c r="A4" s="415" t="s">
        <v>1128</v>
      </c>
      <c r="B4" s="416"/>
      <c r="C4" s="415" t="s">
        <v>1129</v>
      </c>
      <c r="D4" s="640">
        <f>'BVMS checklist'!H39</f>
        <v>0</v>
      </c>
      <c r="E4" s="640"/>
      <c r="F4" s="425"/>
    </row>
    <row r="5" spans="1:6" ht="15">
      <c r="A5" s="415" t="s">
        <v>65</v>
      </c>
      <c r="B5" s="432">
        <f ca="1">TODAY()</f>
        <v>45954</v>
      </c>
      <c r="C5" s="415" t="s">
        <v>1130</v>
      </c>
      <c r="D5" s="641">
        <f>'BVMS checklist'!H37</f>
        <v>0</v>
      </c>
      <c r="E5" s="641"/>
      <c r="F5" s="425"/>
    </row>
    <row r="6" spans="1:6" ht="15">
      <c r="C6" s="415" t="s">
        <v>1135</v>
      </c>
      <c r="D6" s="640" t="s">
        <v>2110</v>
      </c>
      <c r="E6" s="640"/>
      <c r="F6" s="424"/>
    </row>
    <row r="7" spans="1:6" ht="15">
      <c r="C7" s="415" t="s">
        <v>1138</v>
      </c>
      <c r="D7" s="641" t="str">
        <f>'BVMS checklist'!H259</f>
        <v>BVMS Professional (8 channels, up to 2000 channels)</v>
      </c>
      <c r="E7" s="641"/>
      <c r="F7" s="424"/>
    </row>
    <row r="9" spans="1:6" ht="15">
      <c r="A9" s="417" t="s">
        <v>108</v>
      </c>
      <c r="B9" s="417" t="s">
        <v>1131</v>
      </c>
      <c r="C9" s="417" t="s">
        <v>1133</v>
      </c>
      <c r="D9" s="417" t="s">
        <v>1259</v>
      </c>
      <c r="E9" s="418" t="s">
        <v>1134</v>
      </c>
      <c r="F9" s="417" t="s">
        <v>1132</v>
      </c>
    </row>
    <row r="10" spans="1:6" ht="15">
      <c r="A10" s="638" t="s">
        <v>1140</v>
      </c>
      <c r="B10" s="638"/>
      <c r="C10" s="638"/>
      <c r="D10" s="638"/>
      <c r="E10" s="638"/>
      <c r="F10" s="638"/>
    </row>
    <row r="11" spans="1:6">
      <c r="A11" s="419" t="str">
        <f>IFERROR(VLOOKUP(C11&amp;D11&amp;E11,OrderingData!$A$1:$E$8780,3,FALSE),"n/a")</f>
        <v>MBV-BPRO</v>
      </c>
      <c r="B11" s="419" t="str">
        <f>IFERROR(VLOOKUP(C11&amp;D11&amp;E11,OrderingData!$A$1:$E$8780,2,FALSE),"n/a")</f>
        <v>F.01U.393.647</v>
      </c>
      <c r="C11" s="419" t="str">
        <f>IFERROR(VLOOKUP($D$7,BVMS_Base!$A$2:$G$8,6,FALSE),"")</f>
        <v>BVMS Professional</v>
      </c>
      <c r="D11" s="420" t="str">
        <f>IF(OR(C11="DIVAR IP Expansion",C11="DIVAR IP Expansion OLD")," "," "&amp;$D$6&amp;" ")</f>
        <v xml:space="preserve"> 13.0 </v>
      </c>
      <c r="E11" s="419" t="str">
        <f>IFERROR(VLOOKUP($D$7,BVMS_Base!$A$2:$G$8,7,FALSE),"")</f>
        <v>License Professional base</v>
      </c>
      <c r="F11" s="419">
        <v>1</v>
      </c>
    </row>
    <row r="12" spans="1:6" ht="15">
      <c r="A12" s="638" t="s">
        <v>1139</v>
      </c>
      <c r="B12" s="638"/>
      <c r="C12" s="638"/>
      <c r="D12" s="638"/>
      <c r="E12" s="638"/>
      <c r="F12" s="638"/>
    </row>
    <row r="13" spans="1:6">
      <c r="A13" s="419" t="str">
        <f>IFERROR(VLOOKUP(C13&amp;D13&amp;E13,OrderingData!$A$1:$E$8780,3,FALSE),"n/a")</f>
        <v>MBV-XSUBPRO</v>
      </c>
      <c r="B13" s="419" t="str">
        <f>IFERROR(VLOOKUP(C13&amp;D13&amp;E13,OrderingData!$A$1:$E$8780,2,FALSE),"n/a")</f>
        <v>F.01U.393.654</v>
      </c>
      <c r="C13" s="419" t="str">
        <f>IFERROR(VLOOKUP($E$11,BVMS_Base!$G$2:$H$8,2,FALSE),"")</f>
        <v>BVMS Professional</v>
      </c>
      <c r="D13" s="420" t="str">
        <f>IF(OR(C13="DIVAR IP Expansion",C13="DIVAR IP Expansion OLD")," "," "&amp;$D$6&amp;" ")</f>
        <v xml:space="preserve"> 13.0 </v>
      </c>
      <c r="E13" s="419" t="s">
        <v>930</v>
      </c>
      <c r="F13" s="421">
        <f>IF(B13&lt;&gt;"n/a",'BVMS checklist'!K263,"n/a")</f>
        <v>0</v>
      </c>
    </row>
    <row r="14" spans="1:6">
      <c r="A14" s="419" t="str">
        <f>IFERROR(VLOOKUP(C14&amp;D14&amp;E14,OrderingData!$A$1:$E$8780,3,FALSE),"n/a")</f>
        <v>MBV-XFOVPRO</v>
      </c>
      <c r="B14" s="419" t="str">
        <f>IFERROR(VLOOKUP(C14&amp;D14&amp;E14,OrderingData!$A$1:$E$8780,2,FALSE),"n/a")</f>
        <v>F.01U.393.655</v>
      </c>
      <c r="C14" s="419" t="str">
        <f>IFERROR(VLOOKUP($E$11,BVMS_Base!$G$2:$H$8,2,FALSE),"")</f>
        <v>BVMS Professional</v>
      </c>
      <c r="D14" s="420" t="str">
        <f t="shared" ref="D14:D18" si="0">IF(OR(C14="DIVAR IP Expansion",C14="DIVAR IP Expansion OLD")," "," "&amp;$D$6&amp;" ")</f>
        <v xml:space="preserve"> 13.0 </v>
      </c>
      <c r="E14" s="419" t="s">
        <v>933</v>
      </c>
      <c r="F14" s="421">
        <f>IF(B14&lt;&gt;"n/a",'BVMS checklist'!K266,"n/a")</f>
        <v>0</v>
      </c>
    </row>
    <row r="15" spans="1:6">
      <c r="A15" s="419" t="str">
        <f>IFERROR(VLOOKUP(C15&amp;D15&amp;E15,OrderingData!$A$1:$E$8780,3,FALSE),"n/a")</f>
        <v>MBV-XDURPRO</v>
      </c>
      <c r="B15" s="419" t="str">
        <f>IFERROR(VLOOKUP(C15&amp;D15&amp;E15,OrderingData!$A$1:$E$8780,2,FALSE),"n/a")</f>
        <v>F.01U.393.656</v>
      </c>
      <c r="C15" s="419" t="str">
        <f>IFERROR(VLOOKUP($E$11,BVMS_Base!$G$2:$H$8,2,FALSE),"")</f>
        <v>BVMS Professional</v>
      </c>
      <c r="D15" s="420" t="str">
        <f t="shared" si="0"/>
        <v xml:space="preserve"> 13.0 </v>
      </c>
      <c r="E15" s="419" t="s">
        <v>921</v>
      </c>
      <c r="F15" s="421">
        <f>IF(B15&lt;&gt;"n/a",'BVMS checklist'!K265,"n/a")</f>
        <v>0</v>
      </c>
    </row>
    <row r="16" spans="1:6">
      <c r="A16" s="419" t="str">
        <f>IFERROR(VLOOKUP(C16&amp;D16&amp;E16,OrderingData!$A$1:$E$8780,3,FALSE),"n/a")</f>
        <v>MBV-XWSTPRO</v>
      </c>
      <c r="B16" s="419" t="str">
        <f>IFERROR(VLOOKUP(C16&amp;D16&amp;E16,OrderingData!$A$1:$E$8780,2,FALSE),"n/a")</f>
        <v>F.01U.393.659</v>
      </c>
      <c r="C16" s="419" t="str">
        <f>IFERROR(VLOOKUP($E$11,BVMS_Base!$G$2:$H$8,2,FALSE),"")</f>
        <v>BVMS Professional</v>
      </c>
      <c r="D16" s="420" t="str">
        <f t="shared" si="0"/>
        <v xml:space="preserve"> 13.0 </v>
      </c>
      <c r="E16" s="419" t="s">
        <v>922</v>
      </c>
      <c r="F16" s="421">
        <f>IF(B16&lt;&gt;"n/a",'BVMS checklist'!K262,"n/a")</f>
        <v>0</v>
      </c>
    </row>
    <row r="17" spans="1:6">
      <c r="A17" s="419" t="str">
        <f>IFERROR(VLOOKUP(C17&amp;D17&amp;E17,OrderingData!$A$1:$E$8780,3,FALSE),"n/a")</f>
        <v>MBV-XSITEPRO</v>
      </c>
      <c r="B17" s="419" t="str">
        <f>IFERROR(VLOOKUP(C17&amp;D17&amp;E17,OrderingData!$A$1:$E$8780,2,FALSE),"n/a")</f>
        <v>F.01U.393.657</v>
      </c>
      <c r="C17" s="419" t="str">
        <f>IFERROR(VLOOKUP($E$11,BVMS_Base!$G$2:$H$8,2,FALSE),"")</f>
        <v>BVMS Professional</v>
      </c>
      <c r="D17" s="420" t="str">
        <f t="shared" si="0"/>
        <v xml:space="preserve"> 13.0 </v>
      </c>
      <c r="E17" s="419" t="s">
        <v>927</v>
      </c>
      <c r="F17" s="421">
        <f>IF(B17&lt;&gt;"n/a",'BVMS checklist'!K267,"n/a")</f>
        <v>0</v>
      </c>
    </row>
    <row r="18" spans="1:6">
      <c r="A18" s="419" t="str">
        <f>IFERROR(VLOOKUP(C18&amp;D18&amp;E18,OrderingData!$A$1:$E$8780,3,FALSE),"n/a")</f>
        <v>MBV-XCHANPRO</v>
      </c>
      <c r="B18" s="419" t="str">
        <f>IFERROR(VLOOKUP(C18&amp;D18&amp;E18,OrderingData!$A$1:$E$8780,2,FALSE),"n/a")</f>
        <v>F.01U.393.658</v>
      </c>
      <c r="C18" s="419" t="str">
        <f>IFERROR(VLOOKUP($E$11,BVMS_Base!$G$2:$H$8,2,FALSE),"")</f>
        <v>BVMS Professional</v>
      </c>
      <c r="D18" s="420" t="str">
        <f t="shared" si="0"/>
        <v xml:space="preserve"> 13.0 </v>
      </c>
      <c r="E18" s="419" t="s">
        <v>928</v>
      </c>
      <c r="F18" s="421">
        <f>IF(B18&lt;&gt;"n/a",'BVMS checklist'!K260+'BVMS checklist'!K261,"n/a")</f>
        <v>0</v>
      </c>
    </row>
    <row r="19" spans="1:6">
      <c r="A19" s="419" t="str">
        <f>IFERROR(VLOOKUP(C19&amp;D19&amp;E19,OrderingData!$A$1:$E$8780,3,FALSE),"n/a")</f>
        <v>MBV-XLPRPRO</v>
      </c>
      <c r="B19" s="419" t="str">
        <f>IFERROR(VLOOKUP(C19&amp;D19&amp;E19,OrderingData!$A$1:$E$8780,2,FALSE),"n/a")</f>
        <v>F.01U.393.665</v>
      </c>
      <c r="C19" s="419" t="str">
        <f>IFERROR(VLOOKUP($E$11,BVMS_Base!$G$2:$H$8,2,FALSE),"")</f>
        <v>BVMS Professional</v>
      </c>
      <c r="D19" s="420" t="str">
        <f t="shared" ref="D19:D21" si="1">IF(OR(C19="DIVAR IP Expansion",C19="DIVAR IP Expansion OLD")," "," "&amp;$D$6&amp;" ")</f>
        <v xml:space="preserve"> 13.0 </v>
      </c>
      <c r="E19" s="419" t="s">
        <v>1792</v>
      </c>
      <c r="F19" s="421">
        <f>IF(B19&lt;&gt;"n/a",'BVMS checklist'!O266,"n/a")</f>
        <v>0</v>
      </c>
    </row>
    <row r="20" spans="1:6">
      <c r="A20" s="419" t="str">
        <f>IFERROR(VLOOKUP(C20&amp;D20&amp;E20,OrderingData!$A$1:$E$8780,3,FALSE),"n/a")</f>
        <v>MBV-FOBJPRO</v>
      </c>
      <c r="B20" s="419" t="str">
        <f>IFERROR(VLOOKUP(C20&amp;D20&amp;E20,OrderingData!$A$1:$E$8780,2,FALSE),"n/a")</f>
        <v>F.01U.393.651</v>
      </c>
      <c r="C20" s="419" t="str">
        <f>IFERROR(VLOOKUP($E$11,BVMS_Base!$G$2:$H$8,2,FALSE),"")</f>
        <v>BVMS Professional</v>
      </c>
      <c r="D20" s="420" t="str">
        <f t="shared" si="1"/>
        <v xml:space="preserve"> 13.0 </v>
      </c>
      <c r="E20" s="419" t="s">
        <v>2026</v>
      </c>
      <c r="F20" s="421">
        <f>IF(B20&lt;&gt;"n/a",IF('BVMS checklist'!O267="Yes",1,0),"n/a")</f>
        <v>0</v>
      </c>
    </row>
    <row r="21" spans="1:6">
      <c r="A21" s="419" t="str">
        <f>IFERROR(VLOOKUP(C21&amp;D21&amp;E21,OrderingData!$A$1:$E$8780,3,FALSE),"n/a")</f>
        <v>MBV-FMAPPRO</v>
      </c>
      <c r="B21" s="419" t="str">
        <f>IFERROR(VLOOKUP(C21&amp;D21&amp;E21,OrderingData!$A$1:$E$8780,2,FALSE),"n/a")</f>
        <v>F.01U.395.078</v>
      </c>
      <c r="C21" s="419" t="str">
        <f>IFERROR(VLOOKUP($E$11,BVMS_Base!$G$2:$H$8,2,FALSE),"")</f>
        <v>BVMS Professional</v>
      </c>
      <c r="D21" s="420" t="str">
        <f t="shared" si="1"/>
        <v xml:space="preserve"> 13.0 </v>
      </c>
      <c r="E21" s="419" t="s">
        <v>2027</v>
      </c>
      <c r="F21" s="421">
        <f>IF(B21&lt;&gt;"n/a",IF('BVMS checklist'!O268="Yes",1,0),"n/a")</f>
        <v>0</v>
      </c>
    </row>
    <row r="23" spans="1:6" ht="15">
      <c r="A23" s="638" t="s">
        <v>1518</v>
      </c>
      <c r="B23" s="638"/>
      <c r="C23" s="638"/>
      <c r="D23" s="638"/>
      <c r="E23" s="638"/>
      <c r="F23" s="638"/>
    </row>
    <row r="24" spans="1:6" ht="15">
      <c r="A24" s="417" t="s">
        <v>1519</v>
      </c>
      <c r="B24" s="417" t="s">
        <v>957</v>
      </c>
      <c r="C24" s="417" t="s">
        <v>1522</v>
      </c>
      <c r="D24" s="417" t="s">
        <v>652</v>
      </c>
      <c r="E24" s="417" t="s">
        <v>1520</v>
      </c>
      <c r="F24" s="417" t="s">
        <v>1521</v>
      </c>
    </row>
    <row r="25" spans="1:6">
      <c r="A25" s="448" t="str">
        <f>'BVMS checklist'!E185</f>
        <v>VRM 1 / Storage Pool 0</v>
      </c>
      <c r="B25" s="449">
        <f>'BVMS checklist'!K185</f>
        <v>0</v>
      </c>
      <c r="C25" s="450">
        <f>'BVMS checklist'!H185</f>
        <v>0</v>
      </c>
      <c r="D25" s="450">
        <f>'BVMS checklist'!P185</f>
        <v>0</v>
      </c>
      <c r="E25" s="451" t="str">
        <f>'BVMS checklist'!H230</f>
        <v>None</v>
      </c>
      <c r="F25" s="448">
        <f ca="1">'BVMS checklist'!N230</f>
        <v>0</v>
      </c>
    </row>
    <row r="26" spans="1:6">
      <c r="A26" s="448" t="str">
        <f>'BVMS checklist'!E186</f>
        <v>VRM 2 / Storage Pool 1</v>
      </c>
      <c r="B26" s="449">
        <f>'BVMS checklist'!K186</f>
        <v>0</v>
      </c>
      <c r="C26" s="450">
        <f>'BVMS checklist'!H186</f>
        <v>0</v>
      </c>
      <c r="D26" s="450">
        <f>'BVMS checklist'!P186</f>
        <v>0</v>
      </c>
      <c r="E26" s="451" t="str">
        <f>'BVMS checklist'!H236</f>
        <v>None</v>
      </c>
      <c r="F26" s="448">
        <f ca="1">'BVMS checklist'!N236</f>
        <v>0</v>
      </c>
    </row>
    <row r="27" spans="1:6">
      <c r="A27" s="448" t="str">
        <f>'BVMS checklist'!E187</f>
        <v>VRM 3 / Storage Pool 2</v>
      </c>
      <c r="B27" s="449">
        <f>'BVMS checklist'!K187</f>
        <v>0</v>
      </c>
      <c r="C27" s="450">
        <f>'BVMS checklist'!H187</f>
        <v>0</v>
      </c>
      <c r="D27" s="450">
        <f>'BVMS checklist'!P187</f>
        <v>0</v>
      </c>
      <c r="E27" s="451" t="str">
        <f>'BVMS checklist'!H242</f>
        <v>None</v>
      </c>
      <c r="F27" s="448">
        <f ca="1">'BVMS checklist'!N242</f>
        <v>0</v>
      </c>
    </row>
    <row r="28" spans="1:6">
      <c r="A28" s="448" t="str">
        <f>'BVMS checklist'!E188</f>
        <v>VRM 4 / Storage Pool 3</v>
      </c>
      <c r="B28" s="449">
        <f>'BVMS checklist'!K188</f>
        <v>0</v>
      </c>
      <c r="C28" s="450">
        <f>'BVMS checklist'!H188</f>
        <v>0</v>
      </c>
      <c r="D28" s="450">
        <f>'BVMS checklist'!P188</f>
        <v>0</v>
      </c>
      <c r="E28" s="451" t="str">
        <f>'BVMS checklist'!H248</f>
        <v>None</v>
      </c>
      <c r="F28" s="448">
        <f ca="1">'BVMS checklist'!N248</f>
        <v>0</v>
      </c>
    </row>
    <row r="32" spans="1:6">
      <c r="A32" s="422"/>
    </row>
  </sheetData>
  <sheetProtection algorithmName="SHA-512" hashValue="FJzvl4FGRa0BrljnUJQ1FNhHSYMTf5xIdGQ8ib5hmW36JZ8Pav0n2MCFjTo0ZH1hdUIdWc6OwvwJX3MNDIeJww==" saltValue="g5E2zyKsePUACbCSNXUTpQ==" spinCount="100000" sheet="1" objects="1" scenarios="1"/>
  <mergeCells count="8">
    <mergeCell ref="A23:F23"/>
    <mergeCell ref="A1:E2"/>
    <mergeCell ref="D4:E4"/>
    <mergeCell ref="D5:E5"/>
    <mergeCell ref="D6:E6"/>
    <mergeCell ref="D7:E7"/>
    <mergeCell ref="A12:F12"/>
    <mergeCell ref="A10:F10"/>
  </mergeCells>
  <pageMargins left="0.25" right="0.25" top="0.75" bottom="0.75" header="0.3" footer="0.3"/>
  <pageSetup paperSize="9" orientation="landscape" r:id="rId1"/>
  <headerFooter>
    <oddHeader>&amp;CPage &amp;P of &amp;N&amp;R&amp;G</oddHeader>
    <oddFooter>&amp;L&amp;8Copyright Robert Bosch GmbH. All rights reserved, also regarding any disposal, exploration, reproduction, editing, distribution, as well as in the event of applications for industrial property rights.</oddFooter>
  </headerFooter>
  <customProperties>
    <customPr name="_pios_id" r:id="rId2"/>
  </customProperties>
  <legacyDrawingHF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8"/>
  <dimension ref="A1:HT459"/>
  <sheetViews>
    <sheetView showGridLines="0" topLeftCell="A7" zoomScaleNormal="100" workbookViewId="0">
      <selection activeCell="E21" sqref="E21"/>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22.7109375" style="57" customWidth="1"/>
    <col min="8"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855</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848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t="s">
        <v>849</v>
      </c>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t="s">
        <v>850</v>
      </c>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t="s">
        <v>856</v>
      </c>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ht="34.5" customHeight="1">
      <c r="C13" s="658" t="s">
        <v>851</v>
      </c>
      <c r="D13" s="675"/>
      <c r="E13" s="675"/>
      <c r="F13" s="675"/>
      <c r="G13" s="676"/>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82"/>
      <c r="AW13" s="68"/>
      <c r="AX13" s="68"/>
      <c r="AY13" s="68"/>
      <c r="AZ13" s="68"/>
      <c r="BA13" s="68"/>
      <c r="BB13" s="68"/>
      <c r="BC13" s="68"/>
      <c r="BD13" s="68"/>
      <c r="BE13" s="68"/>
      <c r="BF13" s="68"/>
      <c r="BG13" s="68"/>
      <c r="BH13" s="82"/>
      <c r="BI13" s="68"/>
      <c r="BJ13" s="68"/>
      <c r="BK13" s="68"/>
      <c r="BL13" s="187"/>
      <c r="BM13" s="187"/>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82"/>
      <c r="DC13" s="68"/>
      <c r="DD13" s="68"/>
      <c r="DE13" s="68"/>
      <c r="DF13" s="68"/>
      <c r="DG13" s="68"/>
      <c r="DH13" s="68"/>
      <c r="DI13" s="68"/>
      <c r="DJ13" s="68"/>
      <c r="DK13" s="68"/>
      <c r="DL13" s="68"/>
      <c r="DM13" s="68"/>
      <c r="DN13" s="82"/>
      <c r="DO13" s="68"/>
      <c r="DP13" s="68"/>
      <c r="DQ13" s="68"/>
      <c r="DR13" s="187"/>
      <c r="DS13" s="187"/>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82"/>
      <c r="FI13" s="68"/>
      <c r="FJ13" s="68"/>
      <c r="FK13" s="68"/>
      <c r="FL13" s="68"/>
      <c r="FM13" s="68"/>
      <c r="FN13" s="68"/>
      <c r="FO13" s="68"/>
      <c r="FP13" s="68"/>
      <c r="FQ13" s="68"/>
      <c r="FR13" s="68"/>
      <c r="FS13" s="68"/>
      <c r="FT13" s="82"/>
      <c r="FU13" s="68"/>
      <c r="FV13" s="68"/>
      <c r="FW13" s="68"/>
      <c r="FX13" s="187"/>
      <c r="FY13" s="187"/>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row>
    <row r="14" spans="3:213" ht="15" customHeight="1">
      <c r="C14" s="646" t="s">
        <v>852</v>
      </c>
      <c r="D14" s="673"/>
      <c r="E14" s="673"/>
      <c r="F14" s="673"/>
      <c r="G14" s="674"/>
      <c r="H14" s="68"/>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82"/>
      <c r="AW14" s="68"/>
      <c r="AX14" s="68"/>
      <c r="AY14" s="68"/>
      <c r="AZ14" s="68"/>
      <c r="BA14" s="68"/>
      <c r="BB14" s="68"/>
      <c r="BC14" s="68"/>
      <c r="BD14" s="68"/>
      <c r="BE14" s="68"/>
      <c r="BF14" s="68"/>
      <c r="BG14" s="68"/>
      <c r="BH14" s="82"/>
      <c r="BI14" s="68"/>
      <c r="BJ14" s="68"/>
      <c r="BK14" s="68"/>
      <c r="BL14" s="187"/>
      <c r="BM14" s="187"/>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82"/>
      <c r="DC14" s="68"/>
      <c r="DD14" s="68"/>
      <c r="DE14" s="68"/>
      <c r="DF14" s="68"/>
      <c r="DG14" s="68"/>
      <c r="DH14" s="68"/>
      <c r="DI14" s="68"/>
      <c r="DJ14" s="68"/>
      <c r="DK14" s="68"/>
      <c r="DL14" s="68"/>
      <c r="DM14" s="68"/>
      <c r="DN14" s="82"/>
      <c r="DO14" s="68"/>
      <c r="DP14" s="68"/>
      <c r="DQ14" s="68"/>
      <c r="DR14" s="187"/>
      <c r="DS14" s="187"/>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82"/>
      <c r="FI14" s="68"/>
      <c r="FJ14" s="68"/>
      <c r="FK14" s="68"/>
      <c r="FL14" s="68"/>
      <c r="FM14" s="68"/>
      <c r="FN14" s="68"/>
      <c r="FO14" s="68"/>
      <c r="FP14" s="68"/>
      <c r="FQ14" s="68"/>
      <c r="FR14" s="68"/>
      <c r="FS14" s="68"/>
      <c r="FT14" s="82"/>
      <c r="FU14" s="68"/>
      <c r="FV14" s="68"/>
      <c r="FW14" s="68"/>
      <c r="FX14" s="187"/>
      <c r="FY14" s="187"/>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row>
    <row r="15" spans="3:213" s="70" customFormat="1" ht="20.100000000000001" customHeight="1" thickBot="1">
      <c r="C15" s="664" t="s">
        <v>847</v>
      </c>
      <c r="D15" s="665"/>
      <c r="E15" s="665"/>
      <c r="F15" s="665"/>
      <c r="G15" s="186"/>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row>
    <row r="16" spans="3:213" s="70" customFormat="1" ht="15.75" thickBot="1">
      <c r="C16" s="166"/>
      <c r="D16" s="150"/>
      <c r="E16" s="150"/>
      <c r="F16" s="150"/>
      <c r="G16" s="167"/>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63" t="s">
        <v>600</v>
      </c>
      <c r="E17" s="164" t="str">
        <f>'BVMS checklist'!P65</f>
        <v>balanced standard</v>
      </c>
      <c r="F17" s="176"/>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598</v>
      </c>
      <c r="E18" s="427" t="str">
        <f>'BVMS checklist'!P57</f>
        <v/>
      </c>
      <c r="F18" s="177"/>
      <c r="G18" s="167"/>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29</v>
      </c>
      <c r="E19" s="165" t="str">
        <f>'BVMS checklist'!P66</f>
        <v>h_264</v>
      </c>
      <c r="F19" s="177" t="str">
        <f>IF(E46=0,"not supported","supported")</f>
        <v>not 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5.75">
      <c r="C20" s="166"/>
      <c r="D20" s="153" t="s">
        <v>27</v>
      </c>
      <c r="E20" s="427" t="str">
        <f>'BVMS checklist'!P71</f>
        <v/>
      </c>
      <c r="F20" s="177" t="str">
        <f>IF(E38=0,"not supported","supported")</f>
        <v>not supported</v>
      </c>
      <c r="G20" s="167" t="e">
        <f>IF(E36="704288","Note: only 2 CIF supported","")</f>
        <v>#N/A</v>
      </c>
      <c r="H20" s="148"/>
      <c r="I20" s="182" t="s">
        <v>830</v>
      </c>
      <c r="J20" s="148" t="s">
        <v>110</v>
      </c>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c r="C21" s="166"/>
      <c r="D21" s="153" t="s">
        <v>28</v>
      </c>
      <c r="E21" s="165">
        <f>'BVMS checklist'!P79</f>
        <v>0</v>
      </c>
      <c r="F21" s="177" t="str">
        <f>IF(E47=1,"not supported","supported")</f>
        <v>supported</v>
      </c>
      <c r="G21" s="167"/>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838</v>
      </c>
      <c r="E22" s="185" t="e">
        <f>IF(E48=1,E25*0.89,IF(E49=1,E25*0.89,HO54))</f>
        <v>#N/A</v>
      </c>
      <c r="F22" s="177"/>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c r="C23" s="166"/>
      <c r="D23" s="153" t="s">
        <v>831</v>
      </c>
      <c r="E23" s="154" t="e">
        <f>HO54</f>
        <v>#N/A</v>
      </c>
      <c r="F23" s="178" t="s">
        <v>630</v>
      </c>
      <c r="G23" s="167"/>
      <c r="H23" s="149"/>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780</v>
      </c>
      <c r="E24" s="162" t="e">
        <f>E22/1000</f>
        <v>#N/A</v>
      </c>
      <c r="F24" s="179"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5.75">
      <c r="C25" s="166"/>
      <c r="D25" s="173" t="s">
        <v>796</v>
      </c>
      <c r="E25" s="174" t="e">
        <f>HQ54</f>
        <v>#N/A</v>
      </c>
      <c r="F25" s="175" t="s">
        <v>630</v>
      </c>
      <c r="G25" s="184"/>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6.5" thickBot="1">
      <c r="C26" s="166"/>
      <c r="D26" s="155" t="s">
        <v>796</v>
      </c>
      <c r="E26" s="162" t="e">
        <f>E25/1000</f>
        <v>#N/A</v>
      </c>
      <c r="F26" s="161" t="s">
        <v>781</v>
      </c>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ht="16.5" thickBot="1">
      <c r="C27" s="166"/>
      <c r="D27" s="145"/>
      <c r="E27" s="146"/>
      <c r="F27" s="151"/>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ht="15.75">
      <c r="C28" s="166"/>
      <c r="D28" s="156" t="s">
        <v>794</v>
      </c>
      <c r="E28" s="157"/>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682</v>
      </c>
      <c r="E29" s="159" t="str">
        <f>P54</f>
        <v>medium</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c r="C30" s="166"/>
      <c r="D30" s="158" t="s">
        <v>795</v>
      </c>
      <c r="E30" s="159" t="str">
        <f>G54</f>
        <v>IBP</v>
      </c>
      <c r="F30" s="152"/>
      <c r="G30" s="167"/>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c r="C31" s="166"/>
      <c r="D31" s="158" t="s">
        <v>679</v>
      </c>
      <c r="E31" s="159" t="str">
        <f>H54</f>
        <v>60</v>
      </c>
      <c r="F31" s="152"/>
      <c r="G31" s="167"/>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s="70" customFormat="1" ht="15.75" thickBot="1">
      <c r="C32" s="166"/>
      <c r="D32" s="160" t="s">
        <v>796</v>
      </c>
      <c r="E32" s="181" t="e">
        <f>E25/1000</f>
        <v>#N/A</v>
      </c>
      <c r="F32" s="152"/>
      <c r="G32" s="167"/>
      <c r="H32" s="148"/>
      <c r="I32" s="148"/>
      <c r="J32" s="148" t="e">
        <f>IF(E37="704288CPP_5",2000000,E25/1000)</f>
        <v>#N/A</v>
      </c>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c r="BZ32" s="148"/>
      <c r="CA32" s="148"/>
      <c r="CB32" s="148"/>
      <c r="CC32" s="148"/>
      <c r="CD32" s="148"/>
      <c r="CE32" s="148"/>
      <c r="CF32" s="148"/>
      <c r="CG32" s="148"/>
      <c r="CH32" s="148"/>
      <c r="CI32" s="148"/>
      <c r="CJ32" s="148"/>
      <c r="CK32" s="148"/>
      <c r="CL32" s="148"/>
      <c r="CM32" s="148"/>
      <c r="CN32" s="148"/>
      <c r="CO32" s="148"/>
      <c r="CP32" s="148"/>
      <c r="CQ32" s="148"/>
      <c r="CR32" s="148"/>
      <c r="CS32" s="148"/>
      <c r="CT32" s="148"/>
      <c r="CU32" s="148"/>
      <c r="CV32" s="148"/>
      <c r="CW32" s="148"/>
      <c r="CX32" s="148"/>
      <c r="CY32" s="148"/>
      <c r="CZ32" s="148"/>
      <c r="DA32" s="148"/>
      <c r="DB32" s="148"/>
      <c r="DC32" s="148"/>
      <c r="DD32" s="148"/>
      <c r="DE32" s="148"/>
      <c r="DF32" s="148"/>
      <c r="DG32" s="148"/>
      <c r="DH32" s="148"/>
      <c r="DI32" s="148"/>
      <c r="DJ32" s="148"/>
      <c r="DK32" s="148"/>
      <c r="DL32" s="148"/>
      <c r="DM32" s="148"/>
      <c r="DN32" s="148"/>
      <c r="DO32" s="148"/>
      <c r="DP32" s="148"/>
      <c r="DQ32" s="148"/>
      <c r="DR32" s="148"/>
      <c r="DS32" s="148"/>
      <c r="DT32" s="148"/>
      <c r="DU32" s="148"/>
      <c r="DV32" s="148"/>
      <c r="DW32" s="148"/>
      <c r="DX32" s="148"/>
      <c r="DY32" s="148"/>
      <c r="DZ32" s="148"/>
      <c r="EA32" s="148"/>
      <c r="EB32" s="148"/>
      <c r="EC32" s="148"/>
      <c r="ED32" s="148"/>
      <c r="EE32" s="148"/>
      <c r="EF32" s="148"/>
      <c r="EG32" s="148"/>
      <c r="EH32" s="148"/>
      <c r="EI32" s="148"/>
      <c r="EJ32" s="148"/>
      <c r="EK32" s="148"/>
      <c r="EL32" s="148"/>
      <c r="EM32" s="148"/>
      <c r="EN32" s="148"/>
      <c r="EO32" s="148"/>
      <c r="EP32" s="148"/>
      <c r="EQ32" s="148"/>
      <c r="ER32" s="148"/>
      <c r="ES32" s="148"/>
      <c r="ET32" s="148"/>
      <c r="EU32" s="148"/>
      <c r="EV32" s="148"/>
      <c r="EW32" s="148"/>
      <c r="EX32" s="148"/>
      <c r="EY32" s="148"/>
      <c r="EZ32" s="148"/>
      <c r="FA32" s="148"/>
      <c r="FB32" s="148"/>
      <c r="FC32" s="148"/>
      <c r="FD32" s="148"/>
      <c r="FE32" s="148"/>
      <c r="FF32" s="148"/>
      <c r="FG32" s="148"/>
      <c r="FH32" s="148"/>
      <c r="FI32" s="148"/>
      <c r="FJ32" s="148"/>
      <c r="FK32" s="148"/>
      <c r="FL32" s="148"/>
      <c r="FM32" s="148"/>
      <c r="FN32" s="148"/>
      <c r="FO32" s="148"/>
      <c r="FP32" s="148"/>
      <c r="FQ32" s="148"/>
      <c r="FR32" s="148"/>
      <c r="FS32" s="148"/>
      <c r="FT32" s="148"/>
      <c r="FU32" s="148"/>
      <c r="FV32" s="148"/>
      <c r="FW32" s="148"/>
      <c r="FX32" s="148"/>
      <c r="FY32" s="148"/>
      <c r="FZ32" s="148"/>
      <c r="GA32" s="148"/>
      <c r="GB32" s="148"/>
      <c r="GC32" s="148"/>
      <c r="GD32" s="148"/>
      <c r="GE32" s="148"/>
      <c r="GF32" s="148"/>
      <c r="GG32" s="148"/>
      <c r="GH32" s="148"/>
      <c r="GI32" s="148"/>
      <c r="GJ32" s="148"/>
      <c r="GK32" s="148"/>
      <c r="GL32" s="148"/>
      <c r="GM32" s="148"/>
      <c r="GN32" s="148"/>
      <c r="GO32" s="148"/>
      <c r="GP32" s="148"/>
      <c r="GQ32" s="148"/>
      <c r="GR32" s="148"/>
      <c r="GS32" s="148"/>
      <c r="GT32" s="148"/>
      <c r="GU32" s="148"/>
      <c r="GV32" s="148"/>
      <c r="GW32" s="148"/>
      <c r="GX32" s="148"/>
      <c r="GY32" s="148"/>
      <c r="GZ32" s="148"/>
      <c r="HA32" s="148"/>
      <c r="HB32" s="148"/>
      <c r="HC32" s="148"/>
      <c r="HD32" s="148"/>
      <c r="HE32" s="148"/>
    </row>
    <row r="33" spans="3:213" s="70" customFormat="1" ht="15.75" thickBot="1">
      <c r="C33" s="168"/>
      <c r="D33" s="169"/>
      <c r="E33" s="170"/>
      <c r="F33" s="171"/>
      <c r="G33" s="172"/>
      <c r="H33" s="148"/>
      <c r="I33" s="148"/>
      <c r="J33" s="148" t="e">
        <f>IF(E48=1,E25*0.89,IF(E49=1,E25*0.89,HO54))</f>
        <v>#N/A</v>
      </c>
      <c r="K33" s="148"/>
      <c r="L33" s="148"/>
      <c r="M33" s="148"/>
      <c r="N33" s="148"/>
      <c r="O33" s="148"/>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148"/>
      <c r="DG33" s="148"/>
      <c r="DH33" s="148"/>
      <c r="DI33" s="148"/>
      <c r="DJ33" s="148"/>
      <c r="DK33" s="148"/>
      <c r="DL33" s="148"/>
      <c r="DM33" s="148"/>
      <c r="DN33" s="148"/>
      <c r="DO33" s="148"/>
      <c r="DP33" s="148"/>
      <c r="DQ33" s="148"/>
      <c r="DR33" s="148"/>
      <c r="DS33" s="148"/>
      <c r="DT33" s="148"/>
      <c r="DU33" s="148"/>
      <c r="DV33" s="148"/>
      <c r="DW33" s="148"/>
      <c r="DX33" s="148"/>
      <c r="DY33" s="148"/>
      <c r="DZ33" s="148"/>
      <c r="EA33" s="148"/>
      <c r="EB33" s="148"/>
      <c r="EC33" s="148"/>
      <c r="ED33" s="148"/>
      <c r="EE33" s="148"/>
      <c r="EF33" s="148"/>
      <c r="EG33" s="148"/>
      <c r="EH33" s="148"/>
      <c r="EI33" s="148"/>
      <c r="EJ33" s="148"/>
      <c r="EK33" s="148"/>
      <c r="EL33" s="148"/>
      <c r="EM33" s="148"/>
      <c r="EN33" s="148"/>
      <c r="EO33" s="148"/>
      <c r="EP33" s="148"/>
      <c r="EQ33" s="148"/>
      <c r="ER33" s="148"/>
      <c r="ES33" s="148"/>
      <c r="ET33" s="148"/>
      <c r="EU33" s="148"/>
      <c r="EV33" s="148"/>
      <c r="EW33" s="148"/>
      <c r="EX33" s="148"/>
      <c r="EY33" s="148"/>
      <c r="EZ33" s="148"/>
      <c r="FA33" s="148"/>
      <c r="FB33" s="148"/>
      <c r="FC33" s="148"/>
      <c r="FD33" s="148"/>
      <c r="FE33" s="148"/>
      <c r="FF33" s="148"/>
      <c r="FG33" s="148"/>
      <c r="FH33" s="148"/>
      <c r="FI33" s="148"/>
      <c r="FJ33" s="148"/>
      <c r="FK33" s="148"/>
      <c r="FL33" s="148"/>
      <c r="FM33" s="148"/>
      <c r="FN33" s="148"/>
      <c r="FO33" s="148"/>
      <c r="FP33" s="148"/>
      <c r="FQ33" s="148"/>
      <c r="FR33" s="148"/>
      <c r="FS33" s="148"/>
      <c r="FT33" s="148"/>
      <c r="FU33" s="148"/>
      <c r="FV33" s="148"/>
      <c r="FW33" s="148"/>
      <c r="FX33" s="148"/>
      <c r="FY33" s="148"/>
      <c r="FZ33" s="148"/>
      <c r="GA33" s="148"/>
      <c r="GB33" s="148"/>
      <c r="GC33" s="148"/>
      <c r="GD33" s="148"/>
      <c r="GE33" s="148"/>
      <c r="GF33" s="148"/>
      <c r="GG33" s="148"/>
      <c r="GH33" s="148"/>
      <c r="GI33" s="148"/>
      <c r="GJ33" s="148"/>
      <c r="GK33" s="148"/>
      <c r="GL33" s="148"/>
      <c r="GM33" s="148"/>
      <c r="GN33" s="148"/>
      <c r="GO33" s="148"/>
      <c r="GP33" s="148"/>
      <c r="GQ33" s="148"/>
      <c r="GR33" s="148"/>
      <c r="GS33" s="148"/>
      <c r="GT33" s="148"/>
      <c r="GU33" s="148"/>
      <c r="GV33" s="148"/>
      <c r="GW33" s="148"/>
      <c r="GX33" s="148"/>
      <c r="GY33" s="148"/>
      <c r="GZ33" s="148"/>
      <c r="HA33" s="148"/>
      <c r="HB33" s="148"/>
      <c r="HC33" s="148"/>
      <c r="HD33" s="148"/>
      <c r="HE33" s="148"/>
    </row>
    <row r="34" spans="3:213" ht="15.75" customHeight="1">
      <c r="D34" s="57" t="s">
        <v>772</v>
      </c>
      <c r="E34" s="57" t="str">
        <f>VLOOKUP(E17,F88:G97,2,FALSE)</f>
        <v>mediumBalanced</v>
      </c>
    </row>
    <row r="35" spans="3:213">
      <c r="D35" s="57" t="s">
        <v>773</v>
      </c>
      <c r="E35" s="57" t="str">
        <f>E18</f>
        <v/>
      </c>
      <c r="J35" s="57" t="e">
        <f>IF(E48=1,E25*0.89,IF(E49=1,E25*0.89,HO54))</f>
        <v>#N/A</v>
      </c>
    </row>
    <row r="36" spans="3:213">
      <c r="D36" s="57" t="s">
        <v>774</v>
      </c>
      <c r="E36" s="57" t="e">
        <f>IF(E51=1,VLOOKUP(E50,A171:I230,9,FALSE),VLOOKUP(E20,L82:M87,2,FALSE))</f>
        <v>#N/A</v>
      </c>
      <c r="G36" s="183" t="e">
        <f>IF(E51=1,VLOOKUP(E50,A171:I230,9,FALSE),VLOOKUP(E20,L82:M87,2,FALSE))</f>
        <v>#N/A</v>
      </c>
    </row>
    <row r="37" spans="3:213">
      <c r="D37" s="57" t="s">
        <v>775</v>
      </c>
      <c r="E37" s="57" t="e">
        <f>E36&amp;E35</f>
        <v>#N/A</v>
      </c>
    </row>
    <row r="38" spans="3:213">
      <c r="D38" s="57" t="s">
        <v>776</v>
      </c>
      <c r="E38" s="57">
        <f>COUNTIF(G99:G135,E37)</f>
        <v>0</v>
      </c>
    </row>
    <row r="39" spans="3:213">
      <c r="D39" s="57" t="s">
        <v>777</v>
      </c>
      <c r="E39" s="57" t="e">
        <f>E21&amp;E36&amp;E35</f>
        <v>#N/A</v>
      </c>
    </row>
    <row r="40" spans="3:213">
      <c r="D40" s="57" t="s">
        <v>782</v>
      </c>
      <c r="E40" s="57" t="str">
        <f>VLOOKUP(E17,F88:I97,3,FALSE)</f>
        <v>medium</v>
      </c>
    </row>
    <row r="41" spans="3:213">
      <c r="D41" s="57" t="s">
        <v>783</v>
      </c>
      <c r="E41" s="57" t="str">
        <f>VLOOKUP(E17,F88:I97,4,FALSE)</f>
        <v>balanced</v>
      </c>
    </row>
    <row r="42" spans="3:213">
      <c r="D42" s="57" t="s">
        <v>834</v>
      </c>
      <c r="E42" s="57" t="e">
        <f>IF(E51=1,VLOOKUP(E50,A171:I230,5,FALSE),VLOOKUP(E20,L82:O87,3,FALSE))</f>
        <v>#N/A</v>
      </c>
    </row>
    <row r="43" spans="3:213">
      <c r="D43" s="57" t="s">
        <v>835</v>
      </c>
      <c r="E43" s="57" t="e">
        <f>IF(E51=1,VLOOKUP(E50,A171:I230,6,FALSE),VLOOKUP(E20,L82:O87,4,FALSE))</f>
        <v>#N/A</v>
      </c>
    </row>
    <row r="44" spans="3:213">
      <c r="D44" s="57" t="s">
        <v>833</v>
      </c>
      <c r="E44" s="57">
        <f>IF(E18="CPP_7_3",1,0)</f>
        <v>0</v>
      </c>
    </row>
    <row r="45" spans="3:213">
      <c r="D45" s="57" t="s">
        <v>832</v>
      </c>
      <c r="E45" s="57" t="str">
        <f>E18&amp;E19</f>
        <v>h_264</v>
      </c>
    </row>
    <row r="46" spans="3:213">
      <c r="D46" s="57" t="s">
        <v>793</v>
      </c>
      <c r="E46" s="57">
        <f>COUNTIF(H160:H166,E45)</f>
        <v>0</v>
      </c>
    </row>
    <row r="47" spans="3:213">
      <c r="D47" s="57" t="s">
        <v>798</v>
      </c>
      <c r="E47" s="57">
        <f>COUNTIF(G138:G153,E39)</f>
        <v>0</v>
      </c>
      <c r="G47" s="57" t="str">
        <f>IF(E47="1"&amp;E35="CPP4",12,"not supported")</f>
        <v>not supported</v>
      </c>
    </row>
    <row r="48" spans="3:213">
      <c r="D48" s="57" t="s">
        <v>840</v>
      </c>
      <c r="E48" s="57" t="e">
        <f>IF(AND(E23=E25,HS54="OFF"),1,0)</f>
        <v>#N/A</v>
      </c>
      <c r="G48" s="57" t="e">
        <f>IF(AND(E23=E25&gt;0.9,HS54="OFF"),1,0)</f>
        <v>#N/A</v>
      </c>
      <c r="H48" s="57" t="e">
        <f>IF(E23=E25,1,0)</f>
        <v>#N/A</v>
      </c>
    </row>
    <row r="49" spans="3:228">
      <c r="D49" s="57" t="s">
        <v>829</v>
      </c>
      <c r="E49" s="57" t="e">
        <f>IF(AND(E23/E25&gt;0.9,HS54="OFF"),1,0)</f>
        <v>#N/A</v>
      </c>
      <c r="G49" s="57" t="e">
        <f>IF(AND(E23/E25&gt;0.9,HS54="OFF"),1,0)</f>
        <v>#N/A</v>
      </c>
    </row>
    <row r="50" spans="3:228">
      <c r="D50" s="57" t="s">
        <v>836</v>
      </c>
      <c r="E50" s="57" t="str">
        <f>E17&amp;E18&amp;E20</f>
        <v>balanced standard</v>
      </c>
    </row>
    <row r="51" spans="3:228">
      <c r="D51" s="57" t="s">
        <v>837</v>
      </c>
      <c r="E51" s="57">
        <f>COUNTIF(A171:A230,E50)</f>
        <v>0</v>
      </c>
    </row>
    <row r="52" spans="3:228">
      <c r="J52" s="57">
        <f>IF(AND(E21=30,OR(E50="balanced standardCPP_5SD",E50="balanced busyCPP_5SD",E50="image optimized quietCPP_5SD",E50="image optimized standardCPP_5SD",E50="image optimized busyCPP_5SD")),1,0)</f>
        <v>0</v>
      </c>
    </row>
    <row r="53" spans="3:228" ht="15.75" thickBot="1">
      <c r="C53" s="75" t="s">
        <v>686</v>
      </c>
      <c r="D53" s="74" t="s">
        <v>685</v>
      </c>
      <c r="E53" s="74" t="s">
        <v>684</v>
      </c>
      <c r="F53" s="74" t="s">
        <v>681</v>
      </c>
      <c r="G53" s="74" t="s">
        <v>680</v>
      </c>
      <c r="H53" s="74" t="s">
        <v>679</v>
      </c>
      <c r="I53" s="74" t="s">
        <v>678</v>
      </c>
      <c r="J53" s="74" t="s">
        <v>618</v>
      </c>
      <c r="K53" s="74" t="s">
        <v>677</v>
      </c>
      <c r="L53" s="74" t="s">
        <v>676</v>
      </c>
      <c r="M53" s="73" t="s">
        <v>598</v>
      </c>
      <c r="O53" s="75" t="s">
        <v>683</v>
      </c>
      <c r="P53" s="73" t="s">
        <v>682</v>
      </c>
      <c r="Q53" s="76"/>
      <c r="R53" s="75" t="s">
        <v>681</v>
      </c>
      <c r="S53" s="74" t="s">
        <v>680</v>
      </c>
      <c r="T53" s="74" t="s">
        <v>679</v>
      </c>
      <c r="U53" s="74" t="s">
        <v>678</v>
      </c>
      <c r="V53" s="74" t="s">
        <v>618</v>
      </c>
      <c r="W53" s="74" t="s">
        <v>677</v>
      </c>
      <c r="X53" s="74" t="s">
        <v>676</v>
      </c>
      <c r="Y53" s="74" t="s">
        <v>598</v>
      </c>
      <c r="Z53" s="73" t="s">
        <v>675</v>
      </c>
      <c r="AA53" s="68"/>
      <c r="AB53" s="57" t="s">
        <v>674</v>
      </c>
      <c r="AC53" s="57" t="s">
        <v>661</v>
      </c>
      <c r="AD53" s="57" t="s">
        <v>662</v>
      </c>
      <c r="AE53" s="57" t="s">
        <v>673</v>
      </c>
      <c r="AF53" s="57" t="s">
        <v>672</v>
      </c>
      <c r="AG53" s="57" t="s">
        <v>671</v>
      </c>
      <c r="AH53" s="57" t="s">
        <v>670</v>
      </c>
      <c r="AI53" s="57" t="s">
        <v>669</v>
      </c>
      <c r="AJ53" s="57" t="s">
        <v>661</v>
      </c>
      <c r="AK53" s="57" t="s">
        <v>660</v>
      </c>
      <c r="AL53" s="57" t="s">
        <v>659</v>
      </c>
      <c r="AM53" s="57" t="s">
        <v>668</v>
      </c>
      <c r="AN53" s="57" t="s">
        <v>667</v>
      </c>
      <c r="AO53" s="57" t="s">
        <v>661</v>
      </c>
      <c r="AP53" s="57" t="s">
        <v>661</v>
      </c>
      <c r="AQ53" s="57" t="s">
        <v>664</v>
      </c>
      <c r="AR53" s="57" t="s">
        <v>663</v>
      </c>
      <c r="AS53" s="57" t="s">
        <v>662</v>
      </c>
      <c r="AT53" s="57" t="s">
        <v>658</v>
      </c>
      <c r="AU53" s="57" t="s">
        <v>661</v>
      </c>
      <c r="AV53" s="57" t="s">
        <v>660</v>
      </c>
      <c r="AW53" s="57" t="s">
        <v>659</v>
      </c>
      <c r="AX53" s="57" t="s">
        <v>658</v>
      </c>
      <c r="AY53" s="59" t="s">
        <v>666</v>
      </c>
      <c r="AZ53" s="57" t="s">
        <v>665</v>
      </c>
      <c r="BA53" s="57" t="s">
        <v>661</v>
      </c>
      <c r="BB53" s="57" t="s">
        <v>661</v>
      </c>
      <c r="BC53" s="57" t="s">
        <v>664</v>
      </c>
      <c r="BD53" s="57" t="s">
        <v>663</v>
      </c>
      <c r="BE53" s="57" t="s">
        <v>662</v>
      </c>
      <c r="BF53" s="57" t="s">
        <v>658</v>
      </c>
      <c r="BG53" s="57" t="s">
        <v>661</v>
      </c>
      <c r="BH53" s="57" t="s">
        <v>660</v>
      </c>
      <c r="BI53" s="57" t="s">
        <v>659</v>
      </c>
      <c r="BJ53" s="57" t="s">
        <v>658</v>
      </c>
      <c r="BK53" s="59" t="s">
        <v>657</v>
      </c>
      <c r="BL53" s="58" t="s">
        <v>656</v>
      </c>
      <c r="BM53" s="58" t="s">
        <v>655</v>
      </c>
      <c r="BN53" s="57" t="s">
        <v>652</v>
      </c>
      <c r="BO53" s="57" t="s">
        <v>654</v>
      </c>
      <c r="BP53" s="57" t="s">
        <v>653</v>
      </c>
      <c r="BR53" s="57" t="s">
        <v>652</v>
      </c>
      <c r="BU53" s="75" t="s">
        <v>683</v>
      </c>
      <c r="BV53" s="73" t="s">
        <v>682</v>
      </c>
      <c r="BW53" s="76"/>
      <c r="BX53" s="75" t="s">
        <v>681</v>
      </c>
      <c r="BY53" s="74" t="s">
        <v>680</v>
      </c>
      <c r="BZ53" s="74" t="s">
        <v>679</v>
      </c>
      <c r="CA53" s="74" t="s">
        <v>678</v>
      </c>
      <c r="CB53" s="74" t="s">
        <v>618</v>
      </c>
      <c r="CC53" s="74" t="s">
        <v>677</v>
      </c>
      <c r="CD53" s="74" t="s">
        <v>676</v>
      </c>
      <c r="CE53" s="74" t="s">
        <v>598</v>
      </c>
      <c r="CF53" s="73" t="s">
        <v>675</v>
      </c>
      <c r="CG53" s="68"/>
      <c r="CH53" s="57" t="s">
        <v>674</v>
      </c>
      <c r="CI53" s="57" t="s">
        <v>661</v>
      </c>
      <c r="CJ53" s="57" t="s">
        <v>662</v>
      </c>
      <c r="CK53" s="57" t="s">
        <v>673</v>
      </c>
      <c r="CL53" s="57" t="s">
        <v>672</v>
      </c>
      <c r="CM53" s="57" t="s">
        <v>671</v>
      </c>
      <c r="CN53" s="57" t="s">
        <v>670</v>
      </c>
      <c r="CO53" s="57" t="s">
        <v>669</v>
      </c>
      <c r="CP53" s="57" t="s">
        <v>661</v>
      </c>
      <c r="CQ53" s="57" t="s">
        <v>660</v>
      </c>
      <c r="CR53" s="57" t="s">
        <v>659</v>
      </c>
      <c r="CS53" s="57" t="s">
        <v>668</v>
      </c>
      <c r="CT53" s="57" t="s">
        <v>667</v>
      </c>
      <c r="CU53" s="57" t="s">
        <v>661</v>
      </c>
      <c r="CV53" s="57" t="s">
        <v>661</v>
      </c>
      <c r="CW53" s="57" t="s">
        <v>664</v>
      </c>
      <c r="CX53" s="57" t="s">
        <v>663</v>
      </c>
      <c r="CY53" s="57" t="s">
        <v>662</v>
      </c>
      <c r="CZ53" s="57" t="s">
        <v>658</v>
      </c>
      <c r="DA53" s="57" t="s">
        <v>661</v>
      </c>
      <c r="DB53" s="57" t="s">
        <v>660</v>
      </c>
      <c r="DC53" s="57" t="s">
        <v>659</v>
      </c>
      <c r="DD53" s="57" t="s">
        <v>658</v>
      </c>
      <c r="DE53" s="59" t="s">
        <v>666</v>
      </c>
      <c r="DF53" s="57" t="s">
        <v>665</v>
      </c>
      <c r="DG53" s="57" t="s">
        <v>661</v>
      </c>
      <c r="DH53" s="57" t="s">
        <v>661</v>
      </c>
      <c r="DI53" s="57" t="s">
        <v>664</v>
      </c>
      <c r="DJ53" s="57" t="s">
        <v>663</v>
      </c>
      <c r="DK53" s="57" t="s">
        <v>662</v>
      </c>
      <c r="DL53" s="57" t="s">
        <v>658</v>
      </c>
      <c r="DM53" s="57" t="s">
        <v>661</v>
      </c>
      <c r="DN53" s="57" t="s">
        <v>660</v>
      </c>
      <c r="DO53" s="57" t="s">
        <v>659</v>
      </c>
      <c r="DP53" s="57" t="s">
        <v>658</v>
      </c>
      <c r="DQ53" s="59" t="s">
        <v>657</v>
      </c>
      <c r="DR53" s="58" t="s">
        <v>656</v>
      </c>
      <c r="DS53" s="58" t="s">
        <v>655</v>
      </c>
      <c r="DT53" s="57" t="s">
        <v>652</v>
      </c>
      <c r="DU53" s="57" t="s">
        <v>654</v>
      </c>
      <c r="DV53" s="57" t="s">
        <v>653</v>
      </c>
      <c r="DX53" s="57" t="s">
        <v>652</v>
      </c>
      <c r="EA53" s="75" t="s">
        <v>683</v>
      </c>
      <c r="EB53" s="73" t="s">
        <v>682</v>
      </c>
      <c r="EC53" s="76"/>
      <c r="ED53" s="75" t="s">
        <v>681</v>
      </c>
      <c r="EE53" s="74" t="s">
        <v>680</v>
      </c>
      <c r="EF53" s="74" t="s">
        <v>679</v>
      </c>
      <c r="EG53" s="74" t="s">
        <v>678</v>
      </c>
      <c r="EH53" s="74" t="s">
        <v>618</v>
      </c>
      <c r="EI53" s="74" t="s">
        <v>677</v>
      </c>
      <c r="EJ53" s="74" t="s">
        <v>676</v>
      </c>
      <c r="EK53" s="74" t="s">
        <v>598</v>
      </c>
      <c r="EL53" s="73" t="s">
        <v>675</v>
      </c>
      <c r="EM53" s="68"/>
      <c r="EN53" s="57" t="s">
        <v>674</v>
      </c>
      <c r="EO53" s="57" t="s">
        <v>661</v>
      </c>
      <c r="EP53" s="57" t="s">
        <v>662</v>
      </c>
      <c r="EQ53" s="57" t="s">
        <v>673</v>
      </c>
      <c r="ER53" s="57" t="s">
        <v>672</v>
      </c>
      <c r="ES53" s="57" t="s">
        <v>671</v>
      </c>
      <c r="ET53" s="57" t="s">
        <v>670</v>
      </c>
      <c r="EU53" s="57" t="s">
        <v>669</v>
      </c>
      <c r="EV53" s="57" t="s">
        <v>661</v>
      </c>
      <c r="EW53" s="57" t="s">
        <v>660</v>
      </c>
      <c r="EX53" s="57" t="s">
        <v>659</v>
      </c>
      <c r="EY53" s="57" t="s">
        <v>668</v>
      </c>
      <c r="EZ53" s="57" t="s">
        <v>667</v>
      </c>
      <c r="FA53" s="57" t="s">
        <v>661</v>
      </c>
      <c r="FB53" s="57" t="s">
        <v>661</v>
      </c>
      <c r="FC53" s="57" t="s">
        <v>664</v>
      </c>
      <c r="FD53" s="57" t="s">
        <v>663</v>
      </c>
      <c r="FE53" s="57" t="s">
        <v>662</v>
      </c>
      <c r="FF53" s="57" t="s">
        <v>658</v>
      </c>
      <c r="FG53" s="57" t="s">
        <v>661</v>
      </c>
      <c r="FH53" s="57" t="s">
        <v>660</v>
      </c>
      <c r="FI53" s="57" t="s">
        <v>659</v>
      </c>
      <c r="FJ53" s="57" t="s">
        <v>658</v>
      </c>
      <c r="FK53" s="59" t="s">
        <v>666</v>
      </c>
      <c r="FL53" s="57" t="s">
        <v>665</v>
      </c>
      <c r="FM53" s="57" t="s">
        <v>661</v>
      </c>
      <c r="FN53" s="57" t="s">
        <v>661</v>
      </c>
      <c r="FO53" s="57" t="s">
        <v>664</v>
      </c>
      <c r="FP53" s="57" t="s">
        <v>663</v>
      </c>
      <c r="FQ53" s="57" t="s">
        <v>662</v>
      </c>
      <c r="FR53" s="57" t="s">
        <v>658</v>
      </c>
      <c r="FS53" s="57" t="s">
        <v>661</v>
      </c>
      <c r="FT53" s="57" t="s">
        <v>660</v>
      </c>
      <c r="FU53" s="57" t="s">
        <v>659</v>
      </c>
      <c r="FV53" s="57" t="s">
        <v>658</v>
      </c>
      <c r="FW53" s="59" t="s">
        <v>657</v>
      </c>
      <c r="FX53" s="58" t="s">
        <v>656</v>
      </c>
      <c r="FY53" s="58" t="s">
        <v>655</v>
      </c>
      <c r="FZ53" s="57" t="s">
        <v>652</v>
      </c>
      <c r="GA53" s="57" t="s">
        <v>654</v>
      </c>
      <c r="GB53" s="57" t="s">
        <v>653</v>
      </c>
      <c r="GD53" s="57" t="s">
        <v>652</v>
      </c>
      <c r="GG53" s="76" t="s">
        <v>651</v>
      </c>
      <c r="GH53" s="76" t="s">
        <v>650</v>
      </c>
      <c r="GI53" s="76" t="s">
        <v>649</v>
      </c>
      <c r="GK53" s="76" t="s">
        <v>648</v>
      </c>
      <c r="GM53" s="76" t="s">
        <v>647</v>
      </c>
      <c r="GO53" s="76" t="s">
        <v>646</v>
      </c>
      <c r="GR53" s="75" t="s">
        <v>645</v>
      </c>
      <c r="GU53" s="75" t="s">
        <v>644</v>
      </c>
      <c r="GW53" s="72" t="s">
        <v>643</v>
      </c>
      <c r="GY53" s="72" t="s">
        <v>642</v>
      </c>
      <c r="GZ53" s="72" t="s">
        <v>641</v>
      </c>
      <c r="HA53" s="72" t="s">
        <v>640</v>
      </c>
      <c r="HD53" s="75" t="s">
        <v>639</v>
      </c>
      <c r="HE53" s="73"/>
      <c r="HG53" s="75" t="s">
        <v>638</v>
      </c>
      <c r="HH53" s="74" t="s">
        <v>263</v>
      </c>
      <c r="HI53" s="74"/>
      <c r="HJ53" s="74" t="s">
        <v>637</v>
      </c>
      <c r="HK53" s="74"/>
      <c r="HL53" s="74" t="s">
        <v>636</v>
      </c>
      <c r="HM53" s="73" t="s">
        <v>635</v>
      </c>
      <c r="HO53" s="75" t="s">
        <v>263</v>
      </c>
      <c r="HP53" s="74"/>
      <c r="HQ53" s="74" t="s">
        <v>637</v>
      </c>
      <c r="HR53" s="74"/>
      <c r="HS53" s="74" t="s">
        <v>636</v>
      </c>
      <c r="HT53" s="73" t="s">
        <v>635</v>
      </c>
    </row>
    <row r="54" spans="3:228">
      <c r="C54" s="70" t="str">
        <f>E40</f>
        <v>medium</v>
      </c>
      <c r="D54" s="60" t="str">
        <f>E41</f>
        <v>balanced</v>
      </c>
      <c r="E54" s="60"/>
      <c r="F54" s="60" t="s">
        <v>632</v>
      </c>
      <c r="G54" s="69" t="str">
        <f>IF(D54="bitrate optimized","IBBP",IF(D54="balanced","IBP",IF(D54="image optimized","IP",IF(D54="balancedPTZ","IP","Error"))))</f>
        <v>IBP</v>
      </c>
      <c r="H54" s="60" t="str">
        <f>IF(D54="bitrate optimized","255",IF(D54="balanced","60",IF(D54="image optimized","30",IF(D54="balancedPTZ","255","Error"))))</f>
        <v>60</v>
      </c>
      <c r="I54" s="60">
        <f>E21</f>
        <v>0</v>
      </c>
      <c r="J54" s="60" t="e">
        <f>E42</f>
        <v>#N/A</v>
      </c>
      <c r="K54" s="60" t="e">
        <f>E43</f>
        <v>#N/A</v>
      </c>
      <c r="L54" s="60" t="str">
        <f>E19</f>
        <v>h_264</v>
      </c>
      <c r="M54" s="60" t="str">
        <f>E18</f>
        <v/>
      </c>
      <c r="O54" s="68" t="str">
        <f>IF(C54=DataBase!$J$49,DataBase!$K$49,IF(C54=DataBase!$J$50,DataBase!$K$50,IF(C54=DataBase!$J$51,DataBase!$K$51,IF(C54=DataBase!$J$52,DataBase!$K$52))))</f>
        <v>static</v>
      </c>
      <c r="P54" s="57" t="str">
        <f>IF(D54="bitrate optimized","medium",IF(D54="balanced","medium",IF(D54="image optimized","high qual",IF(D54="balancedPTZ","medium","Error"))))</f>
        <v>medium</v>
      </c>
      <c r="Q54" s="68"/>
      <c r="R54" s="68" t="str">
        <f t="shared" ref="R54" si="0">$F54</f>
        <v>normale z.B. typische parkplatz Straßenszene</v>
      </c>
      <c r="S54" s="68" t="str">
        <f t="shared" ref="S54" si="1">$G54</f>
        <v>IBP</v>
      </c>
      <c r="T54" s="68" t="str">
        <f t="shared" ref="T54" si="2">$H54</f>
        <v>60</v>
      </c>
      <c r="U54" s="68">
        <f t="shared" ref="U54" si="3">$I54</f>
        <v>0</v>
      </c>
      <c r="V54" s="68" t="e">
        <f t="shared" ref="V54" si="4">$J54</f>
        <v>#N/A</v>
      </c>
      <c r="W54" s="68" t="e">
        <f t="shared" ref="W54" si="5">$K54</f>
        <v>#N/A</v>
      </c>
      <c r="X54" s="68" t="str">
        <f t="shared" ref="X54" si="6">$L54</f>
        <v>h_264</v>
      </c>
      <c r="Y54" s="68" t="str">
        <f t="shared" ref="Y54" si="7">$M54</f>
        <v/>
      </c>
      <c r="Z54" s="68">
        <f t="shared" ref="Z54" si="8">$E54</f>
        <v>0</v>
      </c>
      <c r="AB54" s="57">
        <f t="shared" ref="AB54" si="9">1/T54*U54</f>
        <v>0</v>
      </c>
      <c r="AC54" s="57">
        <f>IF(R54=DataBase!$B$14,DataBase!$C$14,IF(R54=DataBase!$B$15,DataBase!$C$15,IF(R54=DataBase!$B$16,DataBase!$C$16)))</f>
        <v>300000</v>
      </c>
      <c r="AD54" s="57">
        <f>IF(P54=DataBase!$B$30,DataBase!$C$30,IF(P54=DataBase!$B$31,DataBase!$C$31,IF(P54=DataBase!$B$32,DataBase!$C$32,IF(P54=DataBase!$B$33,DataBase!$C$33,IF(P54=DataBase!$B$34,DataBase!$C$34)))))</f>
        <v>1</v>
      </c>
      <c r="AE54" s="57">
        <f t="shared" ref="AE54" si="10">AC54*AD54</f>
        <v>300000</v>
      </c>
      <c r="AF54" s="57">
        <f>IF(R54=DataBase!$B$14,DataBase!$G$14,IF(R54=DataBase!$B$15,DataBase!$G$15,IF(R54=DataBase!$B$16,DataBase!$G$16)))</f>
        <v>200</v>
      </c>
      <c r="AG54" s="57">
        <f>IF(Z54=DataBase!$K$20,1,IF(Z54=DataBase!$K$21,1,0))</f>
        <v>0</v>
      </c>
      <c r="AH54" s="57">
        <f>IF(Z54=DataBase!$K$20,DataBase!$M$20,IF(Z54=DataBase!$K$21,DataBase!$M$21,0))</f>
        <v>0</v>
      </c>
      <c r="AI54" s="57">
        <f t="shared" ref="AI54" si="11">IF(AG54=1,IF(AH54&lt;&gt;0,AH54,AF54),AF54)</f>
        <v>200</v>
      </c>
      <c r="AJ54" s="57">
        <f>IF(P54=DataBase!$B$30,DataBase!$H$30,IF(P54=DataBase!$B$31,DataBase!$H$31,IF(P54=DataBase!$B$32,DataBase!$H$32,IF(P54=DataBase!$B$33,DataBase!$H$33,IF(P54=DataBase!$B$34,DataBase!$H$34)))))</f>
        <v>1</v>
      </c>
      <c r="AK54" s="57">
        <f>IF(O54=DataBase!$B$21,DataBase!$G$21,IF(O54=DataBase!$B$22,DataBase!$G$22,IF(O54=DataBase!$B$23,DataBase!$G$23,IF(O54=DataBase!$B$24,DataBase!$G$24,IF(O54=DataBase!$B$25,DataBase!$G$25)))))</f>
        <v>1</v>
      </c>
      <c r="AL54" s="57">
        <f>IF(Y54=DataBase!$B$44,DataBase!$G$44,IF($F54=DataBase!$B$45,DataBase!$G$45,IF(Y54=DataBase!$B$46,DataBase!$G$46,IF(Y54=DataBase!$B$47,DataBase!$G$47,IF(Y54=DataBase!$B$48,DataBase!$G$48,IF(Y54=DataBase!$B$49,DataBase!$G$49))))))+AI54*AJ54*AK54</f>
        <v>200</v>
      </c>
      <c r="AM54" s="57">
        <f t="shared" ref="AM54" si="12">AL54+AE54*BL54</f>
        <v>200</v>
      </c>
      <c r="AN54" s="57">
        <f>((T54-1)/T54)/IF(S54=DataBase!$B$8,DataBase!$C$8,IF(S54=DataBase!$B$9,DataBase!$C$9,IF(S54=DataBase!$B$10,DataBase!$C$10)))*U54</f>
        <v>0</v>
      </c>
      <c r="AO54" s="57">
        <f>IF(R54=DataBase!$B$14,DataBase!$E$14,IF(R54=DataBase!$B$15,DataBase!$E$15,IF(R54=DataBase!$B$16,DataBase!$E$16)))</f>
        <v>125</v>
      </c>
      <c r="AP54" s="57">
        <f>IF(O54=DataBase!$B$21,DataBase!$E$21,IF(O54=DataBase!$B$22,DataBase!$E$22,IF(O54=DataBase!$B$23,DataBase!$E$23,IF(O54=DataBase!$B$24,DataBase!$E$24,IF(O54=DataBase!$B$25,DataBase!$E$25)))))</f>
        <v>0</v>
      </c>
      <c r="AQ54" s="57">
        <f>IF(S54=DataBase!$B$8,DataBase!$C$8,IF(S54=DataBase!$B$9,DataBase!$C$9,IF(S54=DataBase!$B$10,DataBase!$C$10)))</f>
        <v>2</v>
      </c>
      <c r="AR54" s="67" t="e">
        <f>POWER(U54/((DataBase!$F$5*AQ54)),DataBase!$E$52)*DataBase!$F$5*AQ54/U54</f>
        <v>#DIV/0!</v>
      </c>
      <c r="AS54" s="57">
        <f>IF(P54=DataBase!$B$30,DataBase!$F$30,IF(P54=DataBase!$B$31,DataBase!$F$31,IF(P54=DataBase!$B$32,DataBase!$F$32,IF(P54=DataBase!$B$33,DataBase!$F$33,IF(P54=DataBase!$B$34,DataBase!$F$34)))))</f>
        <v>1</v>
      </c>
      <c r="AT54" s="57" t="e">
        <f t="shared" ref="AT54" si="13">AP54*AR54*AS54*BM54</f>
        <v>#DIV/0!</v>
      </c>
      <c r="AU54" s="57">
        <f>IF(R54=DataBase!$B$14,DataBase!$H$14,IF(R54=DataBase!$B$15,DataBase!$H$15,IF(R54=DataBase!$B$16,DataBase!$H$16)))*AI54</f>
        <v>100</v>
      </c>
      <c r="AV54" s="57">
        <f>IF(P54=DataBase!$B$30,DataBase!$H$30,IF(P54=DataBase!$B$31,DataBase!$H$31,IF(P54=DataBase!$B$32,DataBase!$H$32,IF(P54=DataBase!$B$33,DataBase!$H$33,IF(P54=DataBase!$B$34,DataBase!$H$34)))))</f>
        <v>1</v>
      </c>
      <c r="AW54" s="57">
        <f>IF(O54=DataBase!$B$21,DataBase!$G$21,IF(O54=DataBase!$B$22,DataBase!$G$22,IF(O54=DataBase!$B$23,DataBase!$G$23,IF(O54=DataBase!$B$24,DataBase!$G$24,IF(O54=DataBase!$B$25,DataBase!$G$25)))))</f>
        <v>1</v>
      </c>
      <c r="AX54" s="57">
        <f>AU54*AV54*AW54+IF(Y54=DataBase!$B$44,DataBase!$G$44,IF(Y54=DataBase!$B$45,DataBase!$G$45,IF(Y54=DataBase!$B$46,DataBase!$G$46,IF(Y54=DataBase!$B$47,DataBase!$G$47,IF(Y54=DataBase!$B$48,DataBase!$G$48,IF(Y54=DataBase!$B$49,DataBase!$G$49))))))</f>
        <v>100</v>
      </c>
      <c r="AY54" s="59" t="e">
        <f t="shared" ref="AY54" si="14">AO54+AT54+AX54</f>
        <v>#DIV/0!</v>
      </c>
      <c r="AZ54" s="57">
        <f>IF(S54=DataBase!$B$8,0,((T54-1)/T54)/IF(S54=DataBase!$B$9,2,IF(S54=DataBase!$B$10,3/2))*U54)</f>
        <v>0</v>
      </c>
      <c r="BA54" s="57">
        <f>IF(R54=DataBase!$B$14,DataBase!$F$14,IF(R54=DataBase!$B$15,DataBase!$F$15,IF(R54=DataBase!$B$16,DataBase!$F$16)))</f>
        <v>125</v>
      </c>
      <c r="BB54" s="57">
        <f>IF(O54=DataBase!$B$21,DataBase!$F$21,IF(O54=DataBase!$B$22,DataBase!$F$22,IF(O54=DataBase!$B$23,DataBase!$F$23,IF(O54=DataBase!$B$24,DataBase!$F$24,IF(O54=DataBase!$B$25,DataBase!$F$25)))))</f>
        <v>0</v>
      </c>
      <c r="BC54" s="57">
        <f>IF(S54=DataBase!$B$8,DataBase!$E$8,IF(S54=DataBase!$B$9,DataBase!$E$9,IF(S54=DataBase!$B$10,DataBase!$E$10)))</f>
        <v>1</v>
      </c>
      <c r="BD54" s="67" t="e">
        <f>IF(BC54=0,0,POWER(U54/((DataBase!$F$5*BC54)),DataBase!$E$52)*DataBase!$F$5*BC54/U54)</f>
        <v>#DIV/0!</v>
      </c>
      <c r="BE54" s="57">
        <f>IF(P54=DataBase!$B$30,DataBase!$G$30,IF(P54=DataBase!$B$31,DataBase!$G$31,IF(P54=DataBase!$B$32,DataBase!$G$32,IF(P54=DataBase!$B$33,DataBase!$G$33,IF(P54=DataBase!$B$34,DataBase!$G$34)))))</f>
        <v>1</v>
      </c>
      <c r="BF54" s="57" t="e">
        <f t="shared" ref="BF54" si="15">BB54*BD54*BE54*BM54</f>
        <v>#DIV/0!</v>
      </c>
      <c r="BG54" s="57">
        <f>IF(R54=DataBase!$B$14,DataBase!$J$14,IF(R54=DataBase!$B$15,DataBase!$J$15,IF(R54=DataBase!$B$16,DataBase!$J$16)))*AI54</f>
        <v>50</v>
      </c>
      <c r="BH54" s="57">
        <f>IF(P54=DataBase!$B$30,DataBase!$H$30,IF(P54=DataBase!$B$31,DataBase!$H$31,IF(P54=DataBase!$B$32,DataBase!$H$32,IF(P54=DataBase!$B$33,DataBase!$H$33,IF(P54=DataBase!$B$34,DataBase!$H$34)))))</f>
        <v>1</v>
      </c>
      <c r="BI54" s="57">
        <f>IF(O54=DataBase!$B$21,DataBase!$G$21,IF(O54=DataBase!$B$22,DataBase!$G$22,IF(O54=DataBase!$B$23,DataBase!$G$23,IF(O54=DataBase!$B$24,DataBase!$G$24,IF(O54=DataBase!$B$25,DataBase!$G$25)))))</f>
        <v>1</v>
      </c>
      <c r="BJ54" s="57">
        <f>BG54*BH54*BI54+IF(Y54=DataBase!$B$44,DataBase!$G$44,IF(Y54=DataBase!$B$45,DataBase!$G$45,IF(Y54=DataBase!$B$46,DataBase!$G$46,IF(Y54=DataBase!$B$47,DataBase!$G$47,IF(Y54=DataBase!$B$48,DataBase!$G$48,IF(Y54=DataBase!$B$49,DataBase!$G$49))))))</f>
        <v>50</v>
      </c>
      <c r="BK54" s="59" t="e">
        <f t="shared" ref="BK54" si="16">BA54+BF54+BJ54</f>
        <v>#DIV/0!</v>
      </c>
      <c r="BL54" s="58" t="b">
        <f>IF(Y54=DataBase!$B$44,DataBase!$C$44,IF(Y54=DataBase!$B$45,DataBase!$C$45,IF(Y54=DataBase!$B$46,DataBase!$C$46,IF(Y54=DataBase!$B$47,DataBase!$C$47,IF(Y54=DataBase!$B$48,DataBase!$C$48,IF(Y54=DataBase!$B$49,DataBase!$C$49))))))</f>
        <v>0</v>
      </c>
      <c r="BM54" s="58" t="b">
        <f>IF(Y54=DataBase!$B$44,DataBase!$D$44,IF(Y54=DataBase!$B$45,DataBase!$D$45,IF(Y54=DataBase!$B$46,DataBase!$D$46,IF(Y54=DataBase!$B$47,DataBase!$D$47,IF(Y54=DataBase!$B$48,DataBase!$D$48,IF(Y54=DataBase!$B$49,DataBase!$D$49))))))</f>
        <v>0</v>
      </c>
      <c r="BN54" s="57" t="e">
        <f t="shared" ref="BN54" si="17">BK54*8*AZ54+AY54*8*AN54+AM54*AB54*8</f>
        <v>#DIV/0!</v>
      </c>
      <c r="BO54" s="57" t="e">
        <f>POWER(((DataBase!$C$5*DataBase!$E$5)/(V54*W54)),DataBase!$E$53)</f>
        <v>#N/A</v>
      </c>
      <c r="BP54" s="57">
        <f>IF(X54=DataBase!$B$37,DataBase!$C$37,IF(X54=DataBase!$B$38,DataBase!$C$38))</f>
        <v>1</v>
      </c>
      <c r="BR54" s="66" t="e">
        <f t="shared" ref="BR54" si="18">BP54*BO54*BN54</f>
        <v>#N/A</v>
      </c>
      <c r="BS54" s="57" t="s">
        <v>630</v>
      </c>
      <c r="BU54" s="68" t="str">
        <f>IF(C54=DataBase!$J$49,DataBase!$M$49,IF(C54=DataBase!$J$50,DataBase!$M$50,IF(C54=DataBase!$J$51,DataBase!$M$51,IF(C54=DataBase!$J$52,DataBase!$M$52))))</f>
        <v>standard</v>
      </c>
      <c r="BV54" s="57" t="str">
        <f>IF(D54=DataBase!$J$44,DataBase!$L$44,IF(D54=DataBase!$J$45,DataBase!$L$45,IF(D54=DataBase!$J$46,DataBase!$L$46,IF(D54=DataBase!$J$47,DataBase!$L$47))))</f>
        <v>medium</v>
      </c>
      <c r="BW54" s="68"/>
      <c r="BX54" s="68" t="str">
        <f t="shared" ref="BX54" si="19">$F54</f>
        <v>normale z.B. typische parkplatz Straßenszene</v>
      </c>
      <c r="BY54" s="68" t="str">
        <f t="shared" ref="BY54" si="20">$G54</f>
        <v>IBP</v>
      </c>
      <c r="BZ54" s="68" t="str">
        <f t="shared" ref="BZ54" si="21">$H54</f>
        <v>60</v>
      </c>
      <c r="CA54" s="68">
        <f t="shared" ref="CA54" si="22">$I54</f>
        <v>0</v>
      </c>
      <c r="CB54" s="68" t="e">
        <f t="shared" ref="CB54" si="23">$J54</f>
        <v>#N/A</v>
      </c>
      <c r="CC54" s="68" t="e">
        <f t="shared" ref="CC54" si="24">$K54</f>
        <v>#N/A</v>
      </c>
      <c r="CD54" s="68" t="str">
        <f t="shared" ref="CD54" si="25">$L54</f>
        <v>h_264</v>
      </c>
      <c r="CE54" s="68" t="str">
        <f t="shared" ref="CE54" si="26">$M54</f>
        <v/>
      </c>
      <c r="CF54" s="68">
        <f t="shared" ref="CF54" si="27">$E54</f>
        <v>0</v>
      </c>
      <c r="CH54" s="57">
        <f t="shared" ref="CH54" si="28">1/BZ54*CA54</f>
        <v>0</v>
      </c>
      <c r="CI54" s="57">
        <f>IF(BX54=DataBase!$B$14,DataBase!$C$14,IF(BX54=DataBase!$B$15,DataBase!$C$15,IF(BX54=DataBase!$B$16,DataBase!$C$16)))</f>
        <v>300000</v>
      </c>
      <c r="CJ54" s="57">
        <f>IF(BV54=DataBase!$B$30,DataBase!$C$30,IF(BV54=DataBase!$B$31,DataBase!$C$31,IF(BV54=DataBase!$B$32,DataBase!$C$32,IF(BV54=DataBase!$B$33,DataBase!$C$33,IF(BV54=DataBase!$B$34,DataBase!$C$34)))))</f>
        <v>1</v>
      </c>
      <c r="CK54" s="57">
        <f t="shared" ref="CK54" si="29">CI54*CJ54</f>
        <v>300000</v>
      </c>
      <c r="CL54" s="57">
        <f>IF(BX54=DataBase!$B$14,DataBase!$G$14,IF(BX54=DataBase!$B$15,DataBase!$G$15,IF(BX54=DataBase!$B$16,DataBase!$G$16)))</f>
        <v>200</v>
      </c>
      <c r="CM54" s="57">
        <f>IF(CF54=DataBase!$K$20,1,IF(CF54=DataBase!$K$21,1,0))</f>
        <v>0</v>
      </c>
      <c r="CN54" s="57">
        <f>IF(CF54=DataBase!$K$20,DataBase!$M$20,IF(CF54=DataBase!$K$21,DataBase!$M$21,0))</f>
        <v>0</v>
      </c>
      <c r="CO54" s="57">
        <f t="shared" ref="CO54" si="30">IF(CM54=1,IF(CN54&lt;&gt;0,CN54,CL54),CL54)</f>
        <v>200</v>
      </c>
      <c r="CP54" s="57">
        <f>IF(BV54=DataBase!$B$30,DataBase!$H$30,IF(BV54=DataBase!$B$31,DataBase!$H$31,IF(BV54=DataBase!$B$32,DataBase!$H$32,IF(BV54=DataBase!$B$33,DataBase!$H$33,IF(BV54=DataBase!$B$34,DataBase!$H$34)))))</f>
        <v>1</v>
      </c>
      <c r="CQ54" s="57">
        <f>IF(BU54=DataBase!$B$21,DataBase!$G$21,IF(BU54=DataBase!$B$22,DataBase!$G$22,IF(BU54=DataBase!$B$23,DataBase!$G$23,IF(BU54=DataBase!$B$24,DataBase!$G$24,IF(BU54=DataBase!$B$25,DataBase!$G$25)))))</f>
        <v>1.4</v>
      </c>
      <c r="CR54" s="57">
        <f>IF(CE54=DataBase!$B$44,DataBase!$G$44,IF($F54=DataBase!$B$45,DataBase!$G$45,IF(CE54=DataBase!$B$46,DataBase!$G$46,IF(CE54=DataBase!$B$47,DataBase!$G$47,IF(CE54=DataBase!$B$48,DataBase!$G$48,IF(CE54=DataBase!$B$49,DataBase!$G$49))))))+CO54*CP54*CQ54</f>
        <v>280</v>
      </c>
      <c r="CS54" s="57">
        <f t="shared" ref="CS54" si="31">CR54+CK54*DR54</f>
        <v>280</v>
      </c>
      <c r="CT54" s="57">
        <f>((BZ54-1)/BZ54)/IF(BY54=DataBase!$B$8,DataBase!$C$8,IF(BY54=DataBase!$B$9,DataBase!$C$9,IF(BY54=DataBase!$B$10,DataBase!$C$10)))*CA54</f>
        <v>0</v>
      </c>
      <c r="CU54" s="57">
        <f>IF(BX54=DataBase!$B$14,DataBase!$E$14,IF(BX54=DataBase!$B$15,DataBase!$E$15,IF(BX54=DataBase!$B$16,DataBase!$E$16)))</f>
        <v>125</v>
      </c>
      <c r="CV54" s="57">
        <f>IF(BU54=DataBase!$B$21,DataBase!$E$21,IF(BU54=DataBase!$B$22,DataBase!$E$22,IF(BU54=DataBase!$B$23,DataBase!$E$23,IF(BU54=DataBase!$B$24,DataBase!$E$24,IF(BU54=DataBase!$B$25,DataBase!$E$25)))))</f>
        <v>2000</v>
      </c>
      <c r="CW54" s="57">
        <f>IF(BY54=DataBase!$B$8,DataBase!$C$8,IF(BY54=DataBase!$B$9,DataBase!$C$9,IF(BY54=DataBase!$B$10,DataBase!$C$10)))</f>
        <v>2</v>
      </c>
      <c r="CX54" s="67" t="e">
        <f>POWER(CA54/((DataBase!$F$5*CW54)),DataBase!$E$52)*DataBase!$F$5*CW54/CA54</f>
        <v>#DIV/0!</v>
      </c>
      <c r="CY54" s="57">
        <f>IF(BV54=DataBase!$B$30,DataBase!$F$30,IF(BV54=DataBase!$B$31,DataBase!$F$31,IF(BV54=DataBase!$B$32,DataBase!$F$32,IF(BV54=DataBase!$B$33,DataBase!$F$33,IF(BV54=DataBase!$B$34,DataBase!$F$34)))))</f>
        <v>1</v>
      </c>
      <c r="CZ54" s="57" t="e">
        <f t="shared" ref="CZ54" si="32">CV54*CX54*CY54*DS54</f>
        <v>#DIV/0!</v>
      </c>
      <c r="DA54" s="57">
        <f>IF(BX54=DataBase!$B$14,DataBase!$H$14,IF(BX54=DataBase!$B$15,DataBase!$H$15,IF(BX54=DataBase!$B$16,DataBase!$H$16)))*CO54</f>
        <v>100</v>
      </c>
      <c r="DB54" s="57">
        <f>IF(BV54=DataBase!$B$30,DataBase!$H$30,IF(BV54=DataBase!$B$31,DataBase!$H$31,IF(BV54=DataBase!$B$32,DataBase!$H$32,IF(BV54=DataBase!$B$33,DataBase!$H$33,IF(BV54=DataBase!$B$34,DataBase!$H$34)))))</f>
        <v>1</v>
      </c>
      <c r="DC54" s="57">
        <f>IF(BU54=DataBase!$B$21,DataBase!$G$21,IF(BU54=DataBase!$B$22,DataBase!$G$22,IF(BU54=DataBase!$B$23,DataBase!$G$23,IF(BU54=DataBase!$B$24,DataBase!$G$24,IF(BU54=DataBase!$B$25,DataBase!$G$25)))))</f>
        <v>1.4</v>
      </c>
      <c r="DD54" s="57">
        <f>DA54*DB54*DC54+IF(CE54=DataBase!$B$44,DataBase!$G$44,IF(CE54=DataBase!$B$45,DataBase!$G$45,IF(CE54=DataBase!$B$46,DataBase!$G$46,IF(CE54=DataBase!$B$47,DataBase!$G$47,IF(CE54=DataBase!$B$48,DataBase!$G$48,IF(CE54=DataBase!$B$49,DataBase!$G$49))))))</f>
        <v>140</v>
      </c>
      <c r="DE54" s="59" t="e">
        <f t="shared" ref="DE54" si="33">CU54+CZ54+DD54</f>
        <v>#DIV/0!</v>
      </c>
      <c r="DF54" s="57">
        <f>IF(BY54=DataBase!$B$8,0,((BZ54-1)/BZ54)/IF(BY54=DataBase!$B$9,2,IF(BY54=DataBase!$B$10,3/2))*CA54)</f>
        <v>0</v>
      </c>
      <c r="DG54" s="57">
        <f>IF(BX54=DataBase!$B$14,DataBase!$F$14,IF(BX54=DataBase!$B$15,DataBase!$F$15,IF(BX54=DataBase!$B$16,DataBase!$F$16)))</f>
        <v>125</v>
      </c>
      <c r="DH54" s="57">
        <f>IF(BU54=DataBase!$B$21,DataBase!$F$21,IF(BU54=DataBase!$B$22,DataBase!$F$22,IF(BU54=DataBase!$B$23,DataBase!$F$23,IF(BU54=DataBase!$B$24,DataBase!$F$24,IF(BU54=DataBase!$B$25,DataBase!$F$25)))))</f>
        <v>579</v>
      </c>
      <c r="DI54" s="57">
        <f>IF(BY54=DataBase!$B$8,DataBase!$E$8,IF(BY54=DataBase!$B$9,DataBase!$E$9,IF(BY54=DataBase!$B$10,DataBase!$E$10)))</f>
        <v>1</v>
      </c>
      <c r="DJ54" s="67" t="e">
        <f>IF(DI54=0,0,POWER(CA54/((DataBase!$F$5*DI54)),DataBase!$E$52)*DataBase!$F$5*DI54/CA54)</f>
        <v>#DIV/0!</v>
      </c>
      <c r="DK54" s="57">
        <f>IF(BV54=DataBase!$B$30,DataBase!$G$30,IF(BV54=DataBase!$B$31,DataBase!$G$31,IF(BV54=DataBase!$B$32,DataBase!$G$32,IF(BV54=DataBase!$B$33,DataBase!$G$33,IF(BV54=DataBase!$B$34,DataBase!$G$34)))))</f>
        <v>1</v>
      </c>
      <c r="DL54" s="57" t="e">
        <f t="shared" ref="DL54" si="34">DH54*DJ54*DK54*DS54</f>
        <v>#DIV/0!</v>
      </c>
      <c r="DM54" s="57">
        <f>IF(BX54=DataBase!$B$14,DataBase!$J$14,IF(BX54=DataBase!$B$15,DataBase!$J$15,IF(BX54=DataBase!$B$16,DataBase!$J$16)))*CO54</f>
        <v>50</v>
      </c>
      <c r="DN54" s="57">
        <f>IF(BV54=DataBase!$B$30,DataBase!$H$30,IF(BV54=DataBase!$B$31,DataBase!$H$31,IF(BV54=DataBase!$B$32,DataBase!$H$32,IF(BV54=DataBase!$B$33,DataBase!$H$33,IF(BV54=DataBase!$B$34,DataBase!$H$34)))))</f>
        <v>1</v>
      </c>
      <c r="DO54" s="57">
        <f>IF(BU54=DataBase!$B$21,DataBase!$G$21,IF(BU54=DataBase!$B$22,DataBase!$G$22,IF(BU54=DataBase!$B$23,DataBase!$G$23,IF(BU54=DataBase!$B$24,DataBase!$G$24,IF(BU54=DataBase!$B$25,DataBase!$G$25)))))</f>
        <v>1.4</v>
      </c>
      <c r="DP54" s="57">
        <f>DM54*DN54*DO54+IF(CE54=DataBase!$B$44,DataBase!$G$44,IF(CE54=DataBase!$B$45,DataBase!$G$45,IF(CE54=DataBase!$B$46,DataBase!$G$46,IF(CE54=DataBase!$B$47,DataBase!$G$47,IF(CE54=DataBase!$B$48,DataBase!$G$48,IF(CE54=DataBase!$B$49,DataBase!$G$49))))))</f>
        <v>70</v>
      </c>
      <c r="DQ54" s="59" t="e">
        <f t="shared" ref="DQ54" si="35">DG54+DL54+DP54</f>
        <v>#DIV/0!</v>
      </c>
      <c r="DR54" s="58" t="b">
        <f>IF(CE54=DataBase!$B$44,DataBase!$C$44,IF(CE54=DataBase!$B$45,DataBase!$C$45,IF(CE54=DataBase!$B$46,DataBase!$C$46,IF(CE54=DataBase!$B$47,DataBase!$C$47,IF(CE54=DataBase!$B$48,DataBase!$C$48,IF(CE54=DataBase!$B$49,DataBase!$C$49))))))</f>
        <v>0</v>
      </c>
      <c r="DS54" s="58" t="b">
        <f>IF(CE54=DataBase!$B$44,DataBase!$D$44,IF(CE54=DataBase!$B$45,DataBase!$D$45,IF(CE54=DataBase!$B$46,DataBase!$D$46,IF(CE54=DataBase!$B$47,DataBase!$D$47,IF(CE54=DataBase!$B$48,DataBase!$D$48,IF(CE54=DataBase!$B$49,DataBase!$D$49))))))</f>
        <v>0</v>
      </c>
      <c r="DT54" s="57" t="e">
        <f t="shared" ref="DT54" si="36">DQ54*8*DF54+DE54*8*CT54+CS54*CH54*8</f>
        <v>#DIV/0!</v>
      </c>
      <c r="DU54" s="57" t="e">
        <f>POWER(((DataBase!$C$5*DataBase!$E$5)/(CB54*CC54)),DataBase!$E$53)</f>
        <v>#N/A</v>
      </c>
      <c r="DV54" s="57">
        <f>IF(CD54=DataBase!$B$37,DataBase!$C$37,IF(CD54=DataBase!$B$38,DataBase!$C$38))</f>
        <v>1</v>
      </c>
      <c r="DX54" s="66" t="e">
        <f t="shared" ref="DX54" si="37">DV54*DU54*DT54</f>
        <v>#N/A</v>
      </c>
      <c r="DY54" s="57" t="s">
        <v>630</v>
      </c>
      <c r="EA54" s="68" t="str">
        <f>IF(C54=DataBase!$J$49,DataBase!$O$49,IF(C54=DataBase!$J$50,DataBase!$O$50,IF(C54=DataBase!$J$51,DataBase!$O$51,IF(C54=DataBase!$J$52,DataBase!$O$52))))</f>
        <v>crowd</v>
      </c>
      <c r="EB54" s="57" t="str">
        <f>IF(D54=DataBase!$J$44,DataBase!$L$44,IF(D54=DataBase!$J$45,DataBase!$L$45,IF(D54=DataBase!$J$46,DataBase!$L$46,IF(D54=DataBase!$J$47,DataBase!$L$47))))</f>
        <v>medium</v>
      </c>
      <c r="EC54" s="68"/>
      <c r="ED54" s="68" t="str">
        <f t="shared" ref="ED54" si="38">$F54</f>
        <v>normale z.B. typische parkplatz Straßenszene</v>
      </c>
      <c r="EE54" s="68" t="str">
        <f t="shared" ref="EE54" si="39">$G54</f>
        <v>IBP</v>
      </c>
      <c r="EF54" s="68" t="str">
        <f t="shared" ref="EF54" si="40">$H54</f>
        <v>60</v>
      </c>
      <c r="EG54" s="68">
        <f t="shared" ref="EG54" si="41">$I54</f>
        <v>0</v>
      </c>
      <c r="EH54" s="68" t="e">
        <f t="shared" ref="EH54" si="42">$J54</f>
        <v>#N/A</v>
      </c>
      <c r="EI54" s="68" t="e">
        <f t="shared" ref="EI54" si="43">$K54</f>
        <v>#N/A</v>
      </c>
      <c r="EJ54" s="68" t="str">
        <f t="shared" ref="EJ54" si="44">$L54</f>
        <v>h_264</v>
      </c>
      <c r="EK54" s="68" t="str">
        <f t="shared" ref="EK54" si="45">$M54</f>
        <v/>
      </c>
      <c r="EL54" s="68">
        <f t="shared" ref="EL54" si="46">$E54</f>
        <v>0</v>
      </c>
      <c r="EN54" s="57">
        <f t="shared" ref="EN54" si="47">1/EF54*EG54</f>
        <v>0</v>
      </c>
      <c r="EO54" s="57">
        <f>IF(ED54=DataBase!$B$14,DataBase!$C$14,IF(ED54=DataBase!$B$15,DataBase!$C$15,IF(ED54=DataBase!$B$16,DataBase!$C$16)))</f>
        <v>300000</v>
      </c>
      <c r="EP54" s="57">
        <f>IF(EB54=DataBase!$B$30,DataBase!$C$30,IF(EB54=DataBase!$B$31,DataBase!$C$31,IF(EB54=DataBase!$B$32,DataBase!$C$32,IF(EB54=DataBase!$B$33,DataBase!$C$33,IF(EB54=DataBase!$B$34,DataBase!$C$34)))))</f>
        <v>1</v>
      </c>
      <c r="EQ54" s="57">
        <f t="shared" ref="EQ54" si="48">EO54*EP54</f>
        <v>300000</v>
      </c>
      <c r="ER54" s="57">
        <f>IF(ED54=DataBase!$B$14,DataBase!$G$14,IF(ED54=DataBase!$B$15,DataBase!$G$15,IF(ED54=DataBase!$B$16,DataBase!$G$16)))</f>
        <v>200</v>
      </c>
      <c r="ES54" s="57">
        <f>IF(EL54=DataBase!$K$20,1,IF(EL54=DataBase!$K$21,1,0))</f>
        <v>0</v>
      </c>
      <c r="ET54" s="57">
        <f>IF(EL54=DataBase!$K$20,DataBase!$M$20,IF(EL54=DataBase!$K$21,DataBase!$M$21,0))</f>
        <v>0</v>
      </c>
      <c r="EU54" s="57">
        <f t="shared" ref="EU54" si="49">IF(ES54=1,IF(ET54&lt;&gt;0,ET54,ER54),ER54)</f>
        <v>200</v>
      </c>
      <c r="EV54" s="57">
        <f>IF(EB54=DataBase!$B$30,DataBase!$H$30,IF(EB54=DataBase!$B$31,DataBase!$H$31,IF(EB54=DataBase!$B$32,DataBase!$H$32,IF(EB54=DataBase!$B$33,DataBase!$H$33,IF(EB54=DataBase!$B$34,DataBase!$H$34)))))</f>
        <v>1</v>
      </c>
      <c r="EW54" s="57">
        <f>IF(EA54=DataBase!$B$21,DataBase!$G$21,IF(EA54=DataBase!$B$22,DataBase!$G$22,IF(EA54=DataBase!$B$23,DataBase!$G$23,IF(EA54=DataBase!$B$24,DataBase!$G$24,IF(EA54=DataBase!$B$25,DataBase!$G$25)))))</f>
        <v>2</v>
      </c>
      <c r="EX54" s="57">
        <f>IF(EK54=DataBase!$B$44,DataBase!$G$44,IF($F54=DataBase!$B$45,DataBase!$G$45,IF(EK54=DataBase!$B$46,DataBase!$G$46,IF(EK54=DataBase!$B$47,DataBase!$G$47,IF(EK54=DataBase!$B$48,DataBase!$G$48,IF(EK54=DataBase!$B$49,DataBase!$G$49))))))+EU54*EV54*EW54</f>
        <v>400</v>
      </c>
      <c r="EY54" s="57">
        <f t="shared" ref="EY54" si="50">EX54+EQ54*FX54</f>
        <v>400</v>
      </c>
      <c r="EZ54" s="57">
        <f>((EF54-1)/EF54)/IF(EE54=DataBase!$B$8,DataBase!$C$8,IF(EE54=DataBase!$B$9,DataBase!$C$9,IF(EE54=DataBase!$B$10,DataBase!$C$10)))*EG54</f>
        <v>0</v>
      </c>
      <c r="FA54" s="57">
        <f>IF(ED54=DataBase!$B$14,DataBase!$E$14,IF(ED54=DataBase!$B$15,DataBase!$E$15,IF(ED54=DataBase!$B$16,DataBase!$E$16)))</f>
        <v>125</v>
      </c>
      <c r="FB54" s="57">
        <f>IF(EA54=DataBase!$B$21,DataBase!$E$21,IF(EA54=DataBase!$B$22,DataBase!$E$22,IF(EA54=DataBase!$B$23,DataBase!$E$23,IF(EA54=DataBase!$B$24,DataBase!$E$24,IF(EA54=DataBase!$B$25,DataBase!$E$25)))))</f>
        <v>15780</v>
      </c>
      <c r="FC54" s="57">
        <f>IF(EE54=DataBase!$B$8,DataBase!$C$8,IF(EE54=DataBase!$B$9,DataBase!$C$9,IF(EE54=DataBase!$B$10,DataBase!$C$10)))</f>
        <v>2</v>
      </c>
      <c r="FD54" s="67" t="e">
        <f>POWER(EG54/((DataBase!$F$5*FC54)),DataBase!$E$52)*DataBase!$F$5*FC54/EG54</f>
        <v>#DIV/0!</v>
      </c>
      <c r="FE54" s="57">
        <f>IF(EB54=DataBase!$B$30,DataBase!$F$30,IF(EB54=DataBase!$B$31,DataBase!$F$31,IF(EB54=DataBase!$B$32,DataBase!$F$32,IF(EB54=DataBase!$B$33,DataBase!$F$33,IF(EB54=DataBase!$B$34,DataBase!$F$34)))))</f>
        <v>1</v>
      </c>
      <c r="FF54" s="57" t="e">
        <f t="shared" ref="FF54" si="51">FB54*FD54*FE54*FY54</f>
        <v>#DIV/0!</v>
      </c>
      <c r="FG54" s="57">
        <f>IF(ED54=DataBase!$B$14,DataBase!$H$14,IF(ED54=DataBase!$B$15,DataBase!$H$15,IF(ED54=DataBase!$B$16,DataBase!$H$16)))*EU54</f>
        <v>100</v>
      </c>
      <c r="FH54" s="57">
        <f>IF(EB54=DataBase!$B$30,DataBase!$H$30,IF(EB54=DataBase!$B$31,DataBase!$H$31,IF(EB54=DataBase!$B$32,DataBase!$H$32,IF(EB54=DataBase!$B$33,DataBase!$H$33,IF(EB54=DataBase!$B$34,DataBase!$H$34)))))</f>
        <v>1</v>
      </c>
      <c r="FI54" s="57">
        <f>IF(EA54=DataBase!$B$21,DataBase!$G$21,IF(EA54=DataBase!$B$22,DataBase!$G$22,IF(EA54=DataBase!$B$23,DataBase!$G$23,IF(EA54=DataBase!$B$24,DataBase!$G$24,IF(EA54=DataBase!$B$25,DataBase!$G$25)))))</f>
        <v>2</v>
      </c>
      <c r="FJ54" s="57">
        <f>FG54*FH54*FI54+IF(EK54=DataBase!$B$44,DataBase!$G$44,IF(EK54=DataBase!$B$45,DataBase!$G$45,IF(EK54=DataBase!$B$46,DataBase!$G$46,IF(EK54=DataBase!$B$47,DataBase!$G$47,IF(EK54=DataBase!$B$48,DataBase!$G$48,IF(EK54=DataBase!$B$49,DataBase!$G$49))))))</f>
        <v>200</v>
      </c>
      <c r="FK54" s="59" t="e">
        <f t="shared" ref="FK54" si="52">FA54+FF54+FJ54</f>
        <v>#DIV/0!</v>
      </c>
      <c r="FL54" s="57">
        <f>IF(EE54=DataBase!$B$8,0,((EF54-1)/EF54)/IF(EE54=DataBase!$B$9,2,IF(EE54=DataBase!$B$10,3/2))*EG54)</f>
        <v>0</v>
      </c>
      <c r="FM54" s="57">
        <f>IF(ED54=DataBase!$B$14,DataBase!$F$14,IF(ED54=DataBase!$B$15,DataBase!$F$15,IF(ED54=DataBase!$B$16,DataBase!$F$16)))</f>
        <v>125</v>
      </c>
      <c r="FN54" s="57">
        <f>IF(EA54=DataBase!$B$21,DataBase!$F$21,IF(EA54=DataBase!$B$22,DataBase!$F$22,IF(EA54=DataBase!$B$23,DataBase!$F$23,IF(EA54=DataBase!$B$24,DataBase!$F$24,IF(EA54=DataBase!$B$25,DataBase!$F$25)))))</f>
        <v>3964</v>
      </c>
      <c r="FO54" s="57">
        <f>IF(EE54=DataBase!$B$8,DataBase!$E$8,IF(EE54=DataBase!$B$9,DataBase!$E$9,IF(EE54=DataBase!$B$10,DataBase!$E$10)))</f>
        <v>1</v>
      </c>
      <c r="FP54" s="67" t="e">
        <f>IF(FO54=0,0,POWER(EG54/((DataBase!$F$5*FO54)),DataBase!$E$52)*DataBase!$F$5*FO54/EG54)</f>
        <v>#DIV/0!</v>
      </c>
      <c r="FQ54" s="57">
        <f>IF(EB54=DataBase!$B$30,DataBase!$G$30,IF(EB54=DataBase!$B$31,DataBase!$G$31,IF(EB54=DataBase!$B$32,DataBase!$G$32,IF(EB54=DataBase!$B$33,DataBase!$G$33,IF(EB54=DataBase!$B$34,DataBase!$G$34)))))</f>
        <v>1</v>
      </c>
      <c r="FR54" s="57" t="e">
        <f t="shared" ref="FR54" si="53">FN54*FP54*FQ54*FY54</f>
        <v>#DIV/0!</v>
      </c>
      <c r="FS54" s="57">
        <f>IF(ED54=DataBase!$B$14,DataBase!$J$14,IF(ED54=DataBase!$B$15,DataBase!$J$15,IF(ED54=DataBase!$B$16,DataBase!$J$16)))*EU54</f>
        <v>50</v>
      </c>
      <c r="FT54" s="57">
        <f>IF(EB54=DataBase!$B$30,DataBase!$H$30,IF(EB54=DataBase!$B$31,DataBase!$H$31,IF(EB54=DataBase!$B$32,DataBase!$H$32,IF(EB54=DataBase!$B$33,DataBase!$H$33,IF(EB54=DataBase!$B$34,DataBase!$H$34)))))</f>
        <v>1</v>
      </c>
      <c r="FU54" s="57">
        <f>IF(EA54=DataBase!$B$21,DataBase!$G$21,IF(EA54=DataBase!$B$22,DataBase!$G$22,IF(EA54=DataBase!$B$23,DataBase!$G$23,IF(EA54=DataBase!$B$24,DataBase!$G$24,IF(EA54=DataBase!$B$25,DataBase!$G$25)))))</f>
        <v>2</v>
      </c>
      <c r="FV54" s="57">
        <f>FS54*FT54*FU54+IF(EK54=DataBase!$B$44,DataBase!$G$44,IF(EK54=DataBase!$B$45,DataBase!$G$45,IF(EK54=DataBase!$B$46,DataBase!$G$46,IF(EK54=DataBase!$B$47,DataBase!$G$47,IF(EK54=DataBase!$B$48,DataBase!$G$48,IF(EK54=DataBase!$B$49,DataBase!$G$49))))))</f>
        <v>100</v>
      </c>
      <c r="FW54" s="59" t="e">
        <f t="shared" ref="FW54" si="54">FM54+FR54+FV54</f>
        <v>#DIV/0!</v>
      </c>
      <c r="FX54" s="58" t="b">
        <f>IF(EK54=DataBase!$B$44,DataBase!$C$44,IF(EK54=DataBase!$B$45,DataBase!$C$45,IF(EK54=DataBase!$B$46,DataBase!$C$46,IF(EK54=DataBase!$B$47,DataBase!$C$47,IF(EK54=DataBase!$B$48,DataBase!$C$48,IF(EK54=DataBase!$B$49,DataBase!$C$49))))))</f>
        <v>0</v>
      </c>
      <c r="FY54" s="58" t="b">
        <f>IF(EK54=DataBase!$B$44,DataBase!$D$44,IF(EK54=DataBase!$B$45,DataBase!$D$45,IF(EK54=DataBase!$B$46,DataBase!$D$46,IF(EK54=DataBase!$B$47,DataBase!$D$47,IF(EK54=DataBase!$B$48,DataBase!$D$48,IF(EK54=DataBase!$B$49,DataBase!$D$49))))))</f>
        <v>0</v>
      </c>
      <c r="FZ54" s="57" t="e">
        <f t="shared" ref="FZ54" si="55">FW54*8*FL54+FK54*8*EZ54+EY54*EN54*8</f>
        <v>#DIV/0!</v>
      </c>
      <c r="GA54" s="57" t="e">
        <f>POWER(((DataBase!$C$5*DataBase!$E$5)/(EH54*EI54)),DataBase!$E$53)</f>
        <v>#N/A</v>
      </c>
      <c r="GB54" s="57">
        <f>IF(EJ54=DataBase!$B$37,DataBase!$C$37,IF(EJ54=DataBase!$B$38,DataBase!$C$38))</f>
        <v>1</v>
      </c>
      <c r="GD54" s="66" t="e">
        <f t="shared" ref="GD54" si="56">GB54*GA54*FZ54</f>
        <v>#N/A</v>
      </c>
      <c r="GE54" s="57" t="s">
        <v>630</v>
      </c>
      <c r="GG54" s="57">
        <f>IF($C54=DataBase!$J$49,DataBase!$L$49,IF($C54=DataBase!$J$50,DataBase!$L$50,IF($C54=DataBase!$J$51,DataBase!$L$51,IF($C54=DataBase!$J$52,DataBase!$L$52))))</f>
        <v>0.54</v>
      </c>
      <c r="GH54" s="57">
        <f>IF($C54=DataBase!$J$49,DataBase!$N$49,IF($C54=DataBase!$J$50,DataBase!$N$50,IF($C54=DataBase!$J$51,DataBase!$N$51,IF($C54=DataBase!$J$52,DataBase!$N$52))))</f>
        <v>0.35</v>
      </c>
      <c r="GI54" s="57">
        <f>IF($C54=DataBase!$J$49,DataBase!$P$49,IF($C54=DataBase!$J$50,DataBase!$P$50,IF($C54=DataBase!$J$51,DataBase!$P$51,IF($C54=DataBase!$J$52,DataBase!$P$52))))</f>
        <v>0.10999999999999999</v>
      </c>
      <c r="GK54" s="66" t="e">
        <f t="shared" ref="GK54" si="57">$GG54*BR54</f>
        <v>#N/A</v>
      </c>
      <c r="GL54" s="57" t="s">
        <v>630</v>
      </c>
      <c r="GM54" s="66" t="e">
        <f t="shared" ref="GM54" si="58">$DX54*GH54</f>
        <v>#N/A</v>
      </c>
      <c r="GN54" s="57" t="s">
        <v>630</v>
      </c>
      <c r="GO54" s="66" t="e">
        <f t="shared" ref="GO54" si="59">$GD54*GI54</f>
        <v>#N/A</v>
      </c>
      <c r="GP54" s="57" t="s">
        <v>630</v>
      </c>
      <c r="GR54" s="66" t="e">
        <f t="shared" ref="GR54" si="60">GO54+GM54+GK54</f>
        <v>#N/A</v>
      </c>
      <c r="GS54" s="57" t="s">
        <v>630</v>
      </c>
      <c r="GU54" s="66" t="e">
        <f t="shared" ref="GU54" si="61">MAX($GD54,$DX54,$BR54)</f>
        <v>#N/A</v>
      </c>
      <c r="GV54" s="57" t="s">
        <v>630</v>
      </c>
      <c r="GW54" s="57" t="b">
        <f>IF($M54=DataBase!$B$44,DataBase!$E$44,IF($M54=DataBase!$B$45,DataBase!$E$45,IF($M54=DataBase!$B$46,DataBase!$E$46,IF($M54=DataBase!$B$47,DataBase!$E$47,IF($M54=DataBase!$B$48,DataBase!$E$48,IF($M54=DataBase!$B$49,DataBase!$E$49))))))</f>
        <v>0</v>
      </c>
      <c r="GY54" s="57">
        <f>IF($D54=DataBase!$J$44,DataBase!$M$44,IF($D54=DataBase!$J$45,DataBase!$M$45,IF($D54=DataBase!$J$46,DataBase!$M$46,IF($D54=DataBase!$J$47,DataBase!$M$47))))</f>
        <v>4</v>
      </c>
      <c r="GZ54" s="57">
        <f>IF($D54=DataBase!$J$44,DataBase!$K$44,IF($D54=DataBase!$J$45,DataBase!$K$45,IF($D54=DataBase!$J$46,DataBase!$K$46,IF($D54=DataBase!$J$47,DataBase!$K$47))))</f>
        <v>2</v>
      </c>
      <c r="HA54" s="57" t="b">
        <f>IF($M54=DataBase!$B$44,DataBase!$F$44,IF($M54=DataBase!$B$45,DataBase!$F$45,IF($M54=DataBase!$B$46,DataBase!$F$46,IF($M54=DataBase!$B$47,DataBase!$F$47,IF($M54=DataBase!$B$48,DataBase!$F$48,IF($M54=DataBase!$B$49,DataBase!$F$49))))))</f>
        <v>0</v>
      </c>
      <c r="HB54" s="57" t="s">
        <v>630</v>
      </c>
      <c r="HC54" s="57" t="e">
        <f>C54&amp;D54&amp;I54&amp;J54&amp;K54&amp;L54&amp;M54</f>
        <v>#N/A</v>
      </c>
      <c r="HD54" s="66">
        <f t="shared" ref="HD54" si="62">MIN(HA54,MAX(GZ54*IF(0=GW54,GR54,IF(1=GW54,GR54,IF(2=GW54,GU54)))))</f>
        <v>0</v>
      </c>
      <c r="HE54" s="57" t="s">
        <v>630</v>
      </c>
      <c r="HG54" s="57" t="str">
        <f t="shared" ref="HG54" si="63">IF(GW54=1,"SUPPORTED","NOT SUPPORTED")</f>
        <v>NOT SUPPORTED</v>
      </c>
      <c r="HH54" s="66" t="e">
        <f t="shared" ref="HH54" si="64">HJ54</f>
        <v>#N/A</v>
      </c>
      <c r="HI54" s="57" t="s">
        <v>630</v>
      </c>
      <c r="HJ54" s="66" t="e">
        <f t="shared" ref="HJ54" si="65">MIN(HA54,GZ54*IF(GW54=0,2*GR54,GU54))</f>
        <v>#N/A</v>
      </c>
      <c r="HK54" s="57" t="s">
        <v>630</v>
      </c>
      <c r="HL54" s="57" t="str">
        <f>IF(GW54=1,IF($D54=DataBase!$J$44,DataBase!$L$44,IF($D54=DataBase!$J$45,DataBase!$L$45,IF($D54=DataBase!$J$46,DataBase!$L$46))),"OFF")</f>
        <v>OFF</v>
      </c>
      <c r="HM54" s="57">
        <f>0</f>
        <v>0</v>
      </c>
      <c r="HO54" s="66" t="e">
        <f t="shared" ref="HO54" si="66">MIN(HA54,MAX(HQ54/GY54,GZ54*IF(0=GW54,GR54,IF(1=GW54,GR54,IF(2=GW54,GU54)))))</f>
        <v>#N/A</v>
      </c>
      <c r="HP54" s="57" t="s">
        <v>630</v>
      </c>
      <c r="HQ54" s="66" t="e">
        <f t="shared" ref="HQ54" si="67">MIN(HA54,GZ54*IF(GW54=0,2*GR54,GU54))</f>
        <v>#N/A</v>
      </c>
      <c r="HR54" s="57" t="s">
        <v>630</v>
      </c>
      <c r="HS54" s="57" t="str">
        <f>IF(GW54=1,IF($D54=DataBase!$J$44,DataBase!$L$44,IF($D54=DataBase!$J$45,DataBase!$L$45,IF($D54=DataBase!$J$46,DataBase!$L$46))),"OFF")</f>
        <v>OFF</v>
      </c>
      <c r="HT54" s="57">
        <f t="shared" ref="HT54" si="68">IF(GW54=1,3600*24*GW54,0)</f>
        <v>0</v>
      </c>
    </row>
    <row r="55" spans="3:228">
      <c r="C55" s="57" t="str">
        <f>E40</f>
        <v>medium</v>
      </c>
    </row>
    <row r="56" spans="3:228" s="132" customFormat="1" ht="23.25">
      <c r="C56" s="666" t="s">
        <v>713</v>
      </c>
      <c r="D56" s="667"/>
      <c r="G56" s="132" t="s">
        <v>712</v>
      </c>
      <c r="H56" s="132" t="s">
        <v>711</v>
      </c>
      <c r="AV56" s="133"/>
      <c r="BH56" s="133"/>
      <c r="BL56" s="134"/>
      <c r="BM56" s="134"/>
      <c r="DB56" s="133"/>
      <c r="DN56" s="133"/>
      <c r="DR56" s="134"/>
      <c r="DS56" s="134"/>
      <c r="FH56" s="133"/>
      <c r="FT56" s="133"/>
      <c r="FX56" s="134"/>
      <c r="FY56" s="134"/>
    </row>
    <row r="57" spans="3:228" s="132" customFormat="1">
      <c r="C57" s="132" t="s">
        <v>709</v>
      </c>
      <c r="D57" s="132" t="s">
        <v>710</v>
      </c>
      <c r="E57" s="135" t="s">
        <v>632</v>
      </c>
      <c r="G57" s="136" t="e">
        <f>HO73</f>
        <v>#N/A</v>
      </c>
      <c r="H57" s="136" t="e">
        <f>HQ73</f>
        <v>#N/A</v>
      </c>
      <c r="AV57" s="133"/>
      <c r="BH57" s="133"/>
      <c r="BL57" s="134"/>
      <c r="BM57" s="134"/>
      <c r="DB57" s="133"/>
      <c r="DN57" s="133"/>
      <c r="DR57" s="134"/>
      <c r="DS57" s="134"/>
      <c r="FH57" s="133"/>
      <c r="FT57" s="133"/>
      <c r="FX57" s="134"/>
      <c r="FY57" s="134"/>
    </row>
    <row r="58" spans="3:228" s="132" customFormat="1">
      <c r="C58" s="132" t="s">
        <v>709</v>
      </c>
      <c r="D58" s="132" t="s">
        <v>683</v>
      </c>
      <c r="E58" s="135" t="s">
        <v>727</v>
      </c>
      <c r="AV58" s="133"/>
      <c r="BH58" s="133"/>
      <c r="BL58" s="134"/>
      <c r="BM58" s="134"/>
      <c r="DB58" s="133"/>
      <c r="DN58" s="133"/>
      <c r="DR58" s="134"/>
      <c r="DS58" s="134"/>
      <c r="FH58" s="133"/>
      <c r="FT58" s="133"/>
      <c r="FX58" s="134"/>
      <c r="FY58" s="134"/>
    </row>
    <row r="59" spans="3:228" s="132" customFormat="1">
      <c r="D59" s="132" t="s">
        <v>779</v>
      </c>
      <c r="E59" s="135" t="s">
        <v>588</v>
      </c>
      <c r="AV59" s="133"/>
      <c r="BH59" s="133"/>
      <c r="BL59" s="134"/>
      <c r="BM59" s="134"/>
      <c r="DB59" s="133"/>
      <c r="DN59" s="133"/>
      <c r="DR59" s="134"/>
      <c r="DS59" s="134"/>
      <c r="FH59" s="133"/>
      <c r="FT59" s="133"/>
      <c r="FX59" s="134"/>
      <c r="FY59" s="134"/>
    </row>
    <row r="60" spans="3:228" s="132" customFormat="1">
      <c r="C60" s="132" t="s">
        <v>705</v>
      </c>
      <c r="D60" s="132" t="s">
        <v>596</v>
      </c>
      <c r="E60" s="135" t="s">
        <v>25</v>
      </c>
      <c r="AV60" s="133"/>
      <c r="BH60" s="133"/>
      <c r="BL60" s="134"/>
      <c r="BM60" s="134"/>
      <c r="DB60" s="133"/>
      <c r="DN60" s="133"/>
      <c r="DR60" s="134"/>
      <c r="DS60" s="134"/>
      <c r="FH60" s="133"/>
      <c r="FT60" s="133"/>
      <c r="FX60" s="134"/>
      <c r="FY60" s="134"/>
    </row>
    <row r="61" spans="3:228" s="132" customFormat="1">
      <c r="C61" s="132" t="s">
        <v>708</v>
      </c>
      <c r="D61" s="132" t="s">
        <v>707</v>
      </c>
      <c r="E61" s="135">
        <v>86400</v>
      </c>
      <c r="AV61" s="133"/>
      <c r="BH61" s="133"/>
      <c r="BL61" s="134"/>
      <c r="BM61" s="134"/>
      <c r="DB61" s="133"/>
      <c r="DN61" s="133"/>
      <c r="DR61" s="134"/>
      <c r="DS61" s="134"/>
      <c r="FH61" s="133"/>
      <c r="FT61" s="133"/>
      <c r="FX61" s="134"/>
      <c r="FY61" s="134"/>
    </row>
    <row r="62" spans="3:228" s="132" customFormat="1">
      <c r="C62" s="132" t="s">
        <v>678</v>
      </c>
      <c r="D62" s="132" t="s">
        <v>597</v>
      </c>
      <c r="E62" s="135">
        <v>60</v>
      </c>
      <c r="AV62" s="133"/>
      <c r="BH62" s="133"/>
      <c r="BL62" s="134"/>
      <c r="BM62" s="134"/>
      <c r="DB62" s="133"/>
      <c r="DN62" s="133"/>
      <c r="DR62" s="134"/>
      <c r="DS62" s="134"/>
      <c r="FH62" s="133"/>
      <c r="FT62" s="133"/>
      <c r="FX62" s="134"/>
      <c r="FY62" s="134"/>
    </row>
    <row r="63" spans="3:228" s="132" customFormat="1">
      <c r="C63" s="132" t="s">
        <v>705</v>
      </c>
      <c r="D63" s="132" t="s">
        <v>706</v>
      </c>
      <c r="E63" s="135" t="s">
        <v>633</v>
      </c>
      <c r="AV63" s="133"/>
      <c r="BH63" s="133"/>
      <c r="BL63" s="134"/>
      <c r="BM63" s="134"/>
      <c r="DB63" s="133"/>
      <c r="DN63" s="133"/>
      <c r="DR63" s="134"/>
      <c r="DS63" s="134"/>
      <c r="FH63" s="133"/>
      <c r="FT63" s="133"/>
      <c r="FX63" s="134"/>
      <c r="FY63" s="134"/>
    </row>
    <row r="64" spans="3:228" s="132" customFormat="1">
      <c r="C64" s="132" t="s">
        <v>705</v>
      </c>
      <c r="D64" s="132" t="s">
        <v>679</v>
      </c>
      <c r="E64" s="135">
        <v>255</v>
      </c>
      <c r="AV64" s="133"/>
      <c r="BH64" s="133"/>
      <c r="BL64" s="134"/>
      <c r="BM64" s="134"/>
      <c r="DB64" s="133"/>
      <c r="DN64" s="133"/>
      <c r="DR64" s="134"/>
      <c r="DS64" s="134"/>
      <c r="FH64" s="133"/>
      <c r="FT64" s="133"/>
      <c r="FX64" s="134"/>
      <c r="FY64" s="134"/>
    </row>
    <row r="65" spans="3:228" s="132" customFormat="1">
      <c r="C65" s="132" t="s">
        <v>703</v>
      </c>
      <c r="D65" s="132" t="s">
        <v>27</v>
      </c>
      <c r="E65" s="135" t="s">
        <v>110</v>
      </c>
      <c r="F65" s="132" t="s">
        <v>704</v>
      </c>
      <c r="AV65" s="133"/>
      <c r="BH65" s="133"/>
      <c r="BL65" s="134"/>
      <c r="BM65" s="134"/>
      <c r="DB65" s="133"/>
      <c r="DN65" s="133"/>
      <c r="DR65" s="134"/>
      <c r="DS65" s="134"/>
      <c r="FH65" s="133"/>
      <c r="FT65" s="133"/>
      <c r="FX65" s="134"/>
      <c r="FY65" s="134"/>
    </row>
    <row r="66" spans="3:228" s="132" customFormat="1">
      <c r="C66" s="132" t="s">
        <v>703</v>
      </c>
      <c r="D66" s="132" t="s">
        <v>598</v>
      </c>
      <c r="E66" s="135" t="s">
        <v>582</v>
      </c>
      <c r="AV66" s="133"/>
      <c r="BH66" s="133"/>
      <c r="BL66" s="134"/>
      <c r="BM66" s="134"/>
      <c r="DB66" s="133"/>
      <c r="DN66" s="133"/>
      <c r="DR66" s="134"/>
      <c r="DS66" s="134"/>
      <c r="FH66" s="133"/>
      <c r="FT66" s="133"/>
      <c r="FX66" s="134"/>
      <c r="FY66" s="134"/>
    </row>
    <row r="67" spans="3:228" s="132" customFormat="1">
      <c r="C67" s="132" t="s">
        <v>703</v>
      </c>
      <c r="D67" s="132" t="s">
        <v>702</v>
      </c>
      <c r="E67" s="135" t="s">
        <v>593</v>
      </c>
      <c r="AV67" s="133"/>
      <c r="BH67" s="133"/>
      <c r="BL67" s="134"/>
      <c r="BM67" s="134"/>
      <c r="DB67" s="133"/>
      <c r="DN67" s="133"/>
      <c r="DR67" s="134"/>
      <c r="DS67" s="134"/>
      <c r="FH67" s="133"/>
      <c r="FT67" s="133"/>
      <c r="FX67" s="134"/>
      <c r="FY67" s="134"/>
    </row>
    <row r="68" spans="3:228" s="132" customFormat="1">
      <c r="AV68" s="133"/>
      <c r="BH68" s="133"/>
      <c r="BL68" s="134"/>
      <c r="BM68" s="134"/>
      <c r="DB68" s="133"/>
      <c r="DN68" s="133"/>
      <c r="DR68" s="134"/>
      <c r="DS68" s="134"/>
      <c r="FH68" s="133"/>
      <c r="FT68" s="133"/>
      <c r="FX68" s="134"/>
      <c r="FY68" s="134"/>
    </row>
    <row r="69" spans="3:228" s="132" customFormat="1">
      <c r="C69" s="132" t="s">
        <v>701</v>
      </c>
      <c r="D69" s="132">
        <f>VLOOKUP(E65,L82:O87,3,0)</f>
        <v>1920</v>
      </c>
      <c r="AV69" s="133"/>
      <c r="BH69" s="133"/>
      <c r="BL69" s="134"/>
      <c r="BM69" s="134"/>
      <c r="DB69" s="133"/>
      <c r="DN69" s="133"/>
      <c r="DR69" s="134"/>
      <c r="DS69" s="134"/>
      <c r="FH69" s="133"/>
      <c r="FT69" s="133"/>
      <c r="FX69" s="134"/>
      <c r="FY69" s="134"/>
    </row>
    <row r="70" spans="3:228" s="132" customFormat="1">
      <c r="C70" s="132" t="s">
        <v>700</v>
      </c>
      <c r="D70" s="132">
        <f>VLOOKUP(E65,L82:O87,4,0)</f>
        <v>1080</v>
      </c>
      <c r="AV70" s="133"/>
      <c r="BH70" s="133"/>
      <c r="BL70" s="134"/>
      <c r="BM70" s="134"/>
      <c r="DB70" s="133"/>
      <c r="DN70" s="133"/>
      <c r="DR70" s="134"/>
      <c r="DS70" s="134"/>
      <c r="FH70" s="133"/>
      <c r="FT70" s="133"/>
      <c r="FX70" s="134"/>
      <c r="FY70" s="134"/>
    </row>
    <row r="71" spans="3:228" s="132" customFormat="1">
      <c r="C71" s="132" t="s">
        <v>699</v>
      </c>
      <c r="D71" s="132" t="e">
        <f>VLOOKUP(E59,G142:I144,2,0)</f>
        <v>#N/A</v>
      </c>
      <c r="AV71" s="133"/>
      <c r="BH71" s="133"/>
      <c r="BL71" s="134"/>
      <c r="BM71" s="134"/>
      <c r="DB71" s="133"/>
      <c r="DN71" s="133"/>
      <c r="DR71" s="134"/>
      <c r="DS71" s="134"/>
      <c r="FH71" s="133"/>
      <c r="FT71" s="133"/>
      <c r="FX71" s="134"/>
      <c r="FY71" s="134"/>
    </row>
    <row r="72" spans="3:228" s="132" customFormat="1">
      <c r="C72" s="132" t="s">
        <v>698</v>
      </c>
      <c r="D72" s="132" t="e">
        <f>VLOOKUP(E59,G142:I144,3,0)</f>
        <v>#N/A</v>
      </c>
      <c r="AV72" s="133"/>
      <c r="BH72" s="133"/>
      <c r="BL72" s="134"/>
      <c r="BM72" s="134"/>
      <c r="DB72" s="133"/>
      <c r="DN72" s="133"/>
      <c r="DR72" s="134"/>
      <c r="DS72" s="134"/>
      <c r="FH72" s="133"/>
      <c r="FT72" s="133"/>
      <c r="FX72" s="134"/>
      <c r="FY72" s="134"/>
    </row>
    <row r="73" spans="3:228" s="132" customFormat="1">
      <c r="C73" s="137" t="str">
        <f>E58</f>
        <v>crowded</v>
      </c>
      <c r="D73" s="137" t="str">
        <f>E60</f>
        <v>medium</v>
      </c>
      <c r="E73" s="138"/>
      <c r="F73" s="138" t="str">
        <f>E57</f>
        <v>normale z.B. typische parkplatz Straßenszene</v>
      </c>
      <c r="G73" s="139" t="str">
        <f>E63</f>
        <v>IBBP</v>
      </c>
      <c r="H73" s="138">
        <f>E64</f>
        <v>255</v>
      </c>
      <c r="I73" s="138">
        <f>E62</f>
        <v>60</v>
      </c>
      <c r="J73" s="138">
        <f>D69</f>
        <v>1920</v>
      </c>
      <c r="K73" s="138">
        <f>D70</f>
        <v>1080</v>
      </c>
      <c r="L73" s="138" t="str">
        <f>E67</f>
        <v>h_265</v>
      </c>
      <c r="M73" s="138" t="str">
        <f>E66</f>
        <v>CPP_7_3</v>
      </c>
      <c r="O73" s="137" t="str">
        <f>IF(C73=DataBase!$J$49,DataBase!$K$49,IF(C73=DataBase!$J$50,DataBase!$K$50,IF(C73=DataBase!$J$51,DataBase!$K$51,IF(C73=DataBase!$J$52,DataBase!$K$52))))</f>
        <v>standard</v>
      </c>
      <c r="P73" s="132" t="str">
        <f>E60</f>
        <v>medium</v>
      </c>
      <c r="Q73" s="137"/>
      <c r="R73" s="137" t="str">
        <f>$F73</f>
        <v>normale z.B. typische parkplatz Straßenszene</v>
      </c>
      <c r="S73" s="137" t="str">
        <f>$G73</f>
        <v>IBBP</v>
      </c>
      <c r="T73" s="137">
        <f>$H73</f>
        <v>255</v>
      </c>
      <c r="U73" s="137">
        <f>$I73</f>
        <v>60</v>
      </c>
      <c r="V73" s="137">
        <f>$J73</f>
        <v>1920</v>
      </c>
      <c r="W73" s="137">
        <f>$K73</f>
        <v>1080</v>
      </c>
      <c r="X73" s="137" t="str">
        <f>$L73</f>
        <v>h_265</v>
      </c>
      <c r="Y73" s="137" t="str">
        <f>$M73</f>
        <v>CPP_7_3</v>
      </c>
      <c r="Z73" s="137">
        <f>$E73</f>
        <v>0</v>
      </c>
      <c r="AB73" s="132">
        <f>1/T73*U73</f>
        <v>0.23529411764705882</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1.4</v>
      </c>
      <c r="AL73" s="132">
        <f>IF(Y73=DataBase!$B$44,DataBase!$G$44,IF($F73=DataBase!$B$45,DataBase!$G$45,IF(Y73=DataBase!$B$46,DataBase!$G$46,IF(Y73=DataBase!$B$47,DataBase!$G$47,IF(Y73=DataBase!$B$48,DataBase!$G$48,IF(Y73=DataBase!$B$49,DataBase!$G$49))))))+AI73*AJ73*AK73</f>
        <v>280</v>
      </c>
      <c r="AM73" s="132">
        <f>AL73+AE73*BL73</f>
        <v>360280</v>
      </c>
      <c r="AN73" s="132">
        <f>((T73-1)/T73)/IF(S73=DataBase!$B$8,DataBase!$C$8,IF(S73=DataBase!$B$9,DataBase!$C$9,IF(S73=DataBase!$B$10,DataBase!$C$10)))*U73</f>
        <v>19.921568627450981</v>
      </c>
      <c r="AO73" s="132">
        <f>IF(R73=DataBase!$B$14,DataBase!$E$14,IF(R73=DataBase!$B$15,DataBase!$E$15,IF(R73=DataBase!$B$16,DataBase!$E$16)))</f>
        <v>125</v>
      </c>
      <c r="AP73" s="132">
        <f>IF(O73=DataBase!$B$21,DataBase!$E$21,IF(O73=DataBase!$B$22,DataBase!$E$22,IF(O73=DataBase!$B$23,DataBase!$E$23,IF(O73=DataBase!$B$24,DataBase!$E$24,IF(O73=DataBase!$B$25,DataBase!$E$25)))))</f>
        <v>2000</v>
      </c>
      <c r="AQ73" s="132">
        <f>IF(S73=DataBase!$B$8,DataBase!$C$8,IF(S73=DataBase!$B$9,DataBase!$C$9,IF(S73=DataBase!$B$10,DataBase!$C$10)))</f>
        <v>3</v>
      </c>
      <c r="AR73" s="140">
        <f>POWER(U73/((DataBase!$F$5*AQ73)),DataBase!$E$52)*DataBase!$F$5*AQ73/U73</f>
        <v>1.1394328171664916</v>
      </c>
      <c r="AS73" s="132">
        <f>IF(P73=DataBase!$B$30,DataBase!$F$30,IF(P73=DataBase!$B$31,DataBase!$F$31,IF(P73=DataBase!$B$32,DataBase!$F$32,IF(P73=DataBase!$B$33,DataBase!$F$33,IF(P73=DataBase!$B$34,DataBase!$F$34)))))</f>
        <v>1</v>
      </c>
      <c r="AT73" s="132">
        <f>AP73*AR73*AS73*BM73</f>
        <v>3190.4118880661763</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1.4</v>
      </c>
      <c r="AX73" s="132">
        <f>AU73*AV73*AW73+IF(Y73=DataBase!$B$44,DataBase!$G$44,IF(Y73=DataBase!$B$45,DataBase!$G$45,IF(Y73=DataBase!$B$46,DataBase!$G$46,IF(Y73=DataBase!$B$47,DataBase!$G$47,IF(Y73=DataBase!$B$48,DataBase!$G$48,IF(Y73=DataBase!$B$49,DataBase!$G$49))))))</f>
        <v>140</v>
      </c>
      <c r="AY73" s="133">
        <f>AO73+AT73+AX73</f>
        <v>3455.4118880661763</v>
      </c>
      <c r="AZ73" s="132">
        <f>IF(S73=DataBase!$B$8,0,((T73-1)/T73)/IF(S73=DataBase!$B$9,2,IF(S73=DataBase!$B$10,3/2))*U73)</f>
        <v>39.843137254901961</v>
      </c>
      <c r="BA73" s="132">
        <f>IF(R73=DataBase!$B$14,DataBase!$F$14,IF(R73=DataBase!$B$15,DataBase!$F$15,IF(R73=DataBase!$B$16,DataBase!$F$16)))</f>
        <v>125</v>
      </c>
      <c r="BB73" s="132">
        <f>IF(O73=DataBase!$B$21,DataBase!$F$21,IF(O73=DataBase!$B$22,DataBase!$F$22,IF(O73=DataBase!$B$23,DataBase!$F$23,IF(O73=DataBase!$B$24,DataBase!$F$24,IF(O73=DataBase!$B$25,DataBase!$F$25)))))</f>
        <v>579</v>
      </c>
      <c r="BC73" s="132">
        <f>IF(S73=DataBase!$B$8,DataBase!$E$8,IF(S73=DataBase!$B$9,DataBase!$E$9,IF(S73=DataBase!$B$10,DataBase!$E$10)))</f>
        <v>2</v>
      </c>
      <c r="BD73" s="140">
        <f>IF(BC73=0,0,POWER(U73/((DataBase!$F$5*BC73)),DataBase!$E$52)*DataBase!$F$5*BC73/U73)</f>
        <v>1</v>
      </c>
      <c r="BE73" s="132">
        <f>IF(P73=DataBase!$B$30,DataBase!$G$30,IF(P73=DataBase!$B$31,DataBase!$G$31,IF(P73=DataBase!$B$32,DataBase!$G$32,IF(P73=DataBase!$B$33,DataBase!$G$33,IF(P73=DataBase!$B$34,DataBase!$G$34)))))</f>
        <v>1</v>
      </c>
      <c r="BF73" s="132">
        <f>BB73*BD73*BE73*BM73</f>
        <v>810.59999999999991</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1.4</v>
      </c>
      <c r="BJ73" s="132">
        <f>BG73*BH73*BI73+IF(Y73=DataBase!$B$44,DataBase!$G$44,IF(Y73=DataBase!$B$45,DataBase!$G$45,IF(Y73=DataBase!$B$46,DataBase!$G$46,IF(Y73=DataBase!$B$47,DataBase!$G$47,IF(Y73=DataBase!$B$48,DataBase!$G$48,IF(Y73=DataBase!$B$49,DataBase!$G$49))))))</f>
        <v>70</v>
      </c>
      <c r="BK73" s="133">
        <f>BA73+BF73+BJ73</f>
        <v>1005.5999999999999</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1549401.9887490566</v>
      </c>
      <c r="BO73" s="132">
        <f>POWER(((DataBase!$C$5*DataBase!$E$5)/(V73*W73)),DataBase!$E$53)</f>
        <v>1</v>
      </c>
      <c r="BP73" s="132">
        <f>IF(X73=DataBase!$B$37,DataBase!$C$37,IF(X73=DataBase!$B$38,DataBase!$C$38))</f>
        <v>0.75</v>
      </c>
      <c r="BR73" s="136">
        <f>BP73*BO73*BN73</f>
        <v>1162051.4915617923</v>
      </c>
      <c r="BS73" s="132" t="s">
        <v>630</v>
      </c>
      <c r="BU73" s="137" t="str">
        <f>IF(C73=DataBase!$J$49,DataBase!$M$49,IF(C73=DataBase!$J$50,DataBase!$M$50,IF(C73=DataBase!$J$51,DataBase!$M$51,IF(C73=DataBase!$J$52,DataBase!$M$52))))</f>
        <v>crowd</v>
      </c>
      <c r="BV73" s="132" t="str">
        <f>E60</f>
        <v>medium</v>
      </c>
      <c r="BW73" s="137"/>
      <c r="BX73" s="137" t="str">
        <f>$F73</f>
        <v>normale z.B. typische parkplatz Straßenszene</v>
      </c>
      <c r="BY73" s="137" t="str">
        <f>$G73</f>
        <v>IBBP</v>
      </c>
      <c r="BZ73" s="137">
        <f>$H73</f>
        <v>255</v>
      </c>
      <c r="CA73" s="137">
        <f>$I73</f>
        <v>60</v>
      </c>
      <c r="CB73" s="137">
        <f>$J73</f>
        <v>1920</v>
      </c>
      <c r="CC73" s="137">
        <f>$K73</f>
        <v>1080</v>
      </c>
      <c r="CD73" s="137" t="str">
        <f>$L73</f>
        <v>h_265</v>
      </c>
      <c r="CE73" s="137" t="str">
        <f>$M73</f>
        <v>CPP_7_3</v>
      </c>
      <c r="CF73" s="137">
        <f>$E73</f>
        <v>0</v>
      </c>
      <c r="CH73" s="132">
        <f>1/BZ73*CA73</f>
        <v>0.23529411764705882</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2</v>
      </c>
      <c r="CR73" s="132">
        <f>IF(CE73=DataBase!$B$44,DataBase!$G$44,IF($F73=DataBase!$B$45,DataBase!$G$45,IF(CE73=DataBase!$B$46,DataBase!$G$46,IF(CE73=DataBase!$B$47,DataBase!$G$47,IF(CE73=DataBase!$B$48,DataBase!$G$48,IF(CE73=DataBase!$B$49,DataBase!$G$49))))))+CO73*CP73*CQ73</f>
        <v>400</v>
      </c>
      <c r="CS73" s="132">
        <f>CR73+CK73*DR73</f>
        <v>360400</v>
      </c>
      <c r="CT73" s="132">
        <f>((BZ73-1)/BZ73)/IF(BY73=DataBase!$B$8,DataBase!$C$8,IF(BY73=DataBase!$B$9,DataBase!$C$9,IF(BY73=DataBase!$B$10,DataBase!$C$10)))*CA73</f>
        <v>19.921568627450981</v>
      </c>
      <c r="CU73" s="132">
        <f>IF(BX73=DataBase!$B$14,DataBase!$E$14,IF(BX73=DataBase!$B$15,DataBase!$E$15,IF(BX73=DataBase!$B$16,DataBase!$E$16)))</f>
        <v>125</v>
      </c>
      <c r="CV73" s="132">
        <f>IF(BU73=DataBase!$B$21,DataBase!$E$21,IF(BU73=DataBase!$B$22,DataBase!$E$22,IF(BU73=DataBase!$B$23,DataBase!$E$23,IF(BU73=DataBase!$B$24,DataBase!$E$24,IF(BU73=DataBase!$B$25,DataBase!$E$25)))))</f>
        <v>15780</v>
      </c>
      <c r="CW73" s="132">
        <f>IF(BY73=DataBase!$B$8,DataBase!$C$8,IF(BY73=DataBase!$B$9,DataBase!$C$9,IF(BY73=DataBase!$B$10,DataBase!$C$10)))</f>
        <v>3</v>
      </c>
      <c r="CX73" s="140">
        <f>POWER(CA73/((DataBase!$F$5*CW73)),DataBase!$E$52)*DataBase!$F$5*CW73/CA73</f>
        <v>1.1394328171664916</v>
      </c>
      <c r="CY73" s="132">
        <f>IF(BV73=DataBase!$B$30,DataBase!$F$30,IF(BV73=DataBase!$B$31,DataBase!$F$31,IF(BV73=DataBase!$B$32,DataBase!$F$32,IF(BV73=DataBase!$B$33,DataBase!$F$33,IF(BV73=DataBase!$B$34,DataBase!$F$34)))))</f>
        <v>1</v>
      </c>
      <c r="CZ73" s="132">
        <f>CV73*CX73*CY73*DS73</f>
        <v>25172.349796842129</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2</v>
      </c>
      <c r="DD73" s="132">
        <f>DA73*DB73*DC73+IF(CE73=DataBase!$B$44,DataBase!$G$44,IF(CE73=DataBase!$B$45,DataBase!$G$45,IF(CE73=DataBase!$B$46,DataBase!$G$46,IF(CE73=DataBase!$B$47,DataBase!$G$47,IF(CE73=DataBase!$B$48,DataBase!$G$48,IF(CE73=DataBase!$B$49,DataBase!$G$49))))))</f>
        <v>200</v>
      </c>
      <c r="DE73" s="133">
        <f>CU73+CZ73+DD73</f>
        <v>25497.349796842129</v>
      </c>
      <c r="DF73" s="132">
        <f>IF(BY73=DataBase!$B$8,0,((BZ73-1)/BZ73)/IF(BY73=DataBase!$B$9,2,IF(BY73=DataBase!$B$10,3/2))*CA73)</f>
        <v>39.843137254901961</v>
      </c>
      <c r="DG73" s="132">
        <f>IF(BX73=DataBase!$B$14,DataBase!$F$14,IF(BX73=DataBase!$B$15,DataBase!$F$15,IF(BX73=DataBase!$B$16,DataBase!$F$16)))</f>
        <v>125</v>
      </c>
      <c r="DH73" s="132">
        <f>IF(BU73=DataBase!$B$21,DataBase!$F$21,IF(BU73=DataBase!$B$22,DataBase!$F$22,IF(BU73=DataBase!$B$23,DataBase!$F$23,IF(BU73=DataBase!$B$24,DataBase!$F$24,IF(BU73=DataBase!$B$25,DataBase!$F$25)))))</f>
        <v>3964</v>
      </c>
      <c r="DI73" s="132">
        <f>IF(BY73=DataBase!$B$8,DataBase!$E$8,IF(BY73=DataBase!$B$9,DataBase!$E$9,IF(BY73=DataBase!$B$10,DataBase!$E$10)))</f>
        <v>2</v>
      </c>
      <c r="DJ73" s="140">
        <f>IF(DI73=0,0,POWER(CA73/((DataBase!$F$5*DI73)),DataBase!$E$52)*DataBase!$F$5*DI73/CA73)</f>
        <v>1</v>
      </c>
      <c r="DK73" s="132">
        <f>IF(BV73=DataBase!$B$30,DataBase!$G$30,IF(BV73=DataBase!$B$31,DataBase!$G$31,IF(BV73=DataBase!$B$32,DataBase!$G$32,IF(BV73=DataBase!$B$33,DataBase!$G$33,IF(BV73=DataBase!$B$34,DataBase!$G$34)))))</f>
        <v>1</v>
      </c>
      <c r="DL73" s="132">
        <f>DH73*DJ73*DK73*DS73</f>
        <v>5549.5999999999995</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2</v>
      </c>
      <c r="DP73" s="132">
        <f>DM73*DN73*DO73+IF(CE73=DataBase!$B$44,DataBase!$G$44,IF(CE73=DataBase!$B$45,DataBase!$G$45,IF(CE73=DataBase!$B$46,DataBase!$G$46,IF(CE73=DataBase!$B$47,DataBase!$G$47,IF(CE73=DataBase!$B$48,DataBase!$G$48,IF(CE73=DataBase!$B$49,DataBase!$G$49))))))</f>
        <v>100</v>
      </c>
      <c r="DQ73" s="133">
        <f>DG73+DL73+DP73</f>
        <v>5774.5999999999995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6582603.0735045653</v>
      </c>
      <c r="DU73" s="132">
        <f>POWER(((DataBase!$C$5*DataBase!$E$5)/(CB73*CC73)),DataBase!$E$53)</f>
        <v>1</v>
      </c>
      <c r="DV73" s="132">
        <f>IF(CD73=DataBase!$B$37,DataBase!$C$37,IF(CD73=DataBase!$B$38,DataBase!$C$38))</f>
        <v>0.75</v>
      </c>
      <c r="DX73" s="136">
        <f>DV73*DU73*DT73</f>
        <v>4936952.3051284235</v>
      </c>
      <c r="DY73" s="132" t="s">
        <v>630</v>
      </c>
      <c r="EA73" s="137" t="str">
        <f>IF(C73=DataBase!$J$49,DataBase!$O$49,IF(C73=DataBase!$J$50,DataBase!$O$50,IF(C73=DataBase!$J$51,DataBase!$O$51,IF(C73=DataBase!$J$52,DataBase!$O$52))))</f>
        <v>escape</v>
      </c>
      <c r="EB73" s="132" t="str">
        <f>E60</f>
        <v>medium</v>
      </c>
      <c r="EC73" s="137"/>
      <c r="ED73" s="137" t="str">
        <f>$F73</f>
        <v>normale z.B. typische parkplatz Straßenszene</v>
      </c>
      <c r="EE73" s="137" t="str">
        <f>$G73</f>
        <v>IBBP</v>
      </c>
      <c r="EF73" s="137">
        <f>$H73</f>
        <v>255</v>
      </c>
      <c r="EG73" s="137">
        <f>$I73</f>
        <v>60</v>
      </c>
      <c r="EH73" s="137">
        <f>$J73</f>
        <v>1920</v>
      </c>
      <c r="EI73" s="137">
        <f>$K73</f>
        <v>1080</v>
      </c>
      <c r="EJ73" s="137" t="str">
        <f>$L73</f>
        <v>h_265</v>
      </c>
      <c r="EK73" s="137" t="str">
        <f>$M73</f>
        <v>CPP_7_3</v>
      </c>
      <c r="EL73" s="137">
        <f>$E73</f>
        <v>0</v>
      </c>
      <c r="EN73" s="132">
        <f>1/EF73*EG73</f>
        <v>0.23529411764705882</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19.921568627450981</v>
      </c>
      <c r="FA73" s="132">
        <f>IF(ED73=DataBase!$B$14,DataBase!$E$14,IF(ED73=DataBase!$B$15,DataBase!$E$15,IF(ED73=DataBase!$B$16,DataBase!$E$16)))</f>
        <v>125</v>
      </c>
      <c r="FB73" s="132">
        <f>IF(EA73=DataBase!$B$21,DataBase!$E$21,IF(EA73=DataBase!$B$22,DataBase!$E$22,IF(EA73=DataBase!$B$23,DataBase!$E$23,IF(EA73=DataBase!$B$24,DataBase!$E$24,IF(EA73=DataBase!$B$25,DataBase!$E$25)))))</f>
        <v>34839</v>
      </c>
      <c r="FC73" s="132">
        <f>IF(EE73=DataBase!$B$8,DataBase!$C$8,IF(EE73=DataBase!$B$9,DataBase!$C$9,IF(EE73=DataBase!$B$10,DataBase!$C$10)))</f>
        <v>3</v>
      </c>
      <c r="FD73" s="140">
        <f>POWER(EG73/((DataBase!$F$5*FC73)),DataBase!$E$52)*DataBase!$F$5*FC73/EG73</f>
        <v>1.1394328171664916</v>
      </c>
      <c r="FE73" s="132">
        <f>IF(EB73=DataBase!$B$30,DataBase!$F$30,IF(EB73=DataBase!$B$31,DataBase!$F$31,IF(EB73=DataBase!$B$32,DataBase!$F$32,IF(EB73=DataBase!$B$33,DataBase!$F$33,IF(EB73=DataBase!$B$34,DataBase!$F$34)))))</f>
        <v>1</v>
      </c>
      <c r="FF73" s="132">
        <f>FB73*FD73*FE73*FY73</f>
        <v>55575.37988416876</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55900.37988416876</v>
      </c>
      <c r="FL73" s="132">
        <f>IF(EE73=DataBase!$B$8,0,((EF73-1)/EF73)/IF(EE73=DataBase!$B$9,2,IF(EE73=DataBase!$B$10,3/2))*EG73)</f>
        <v>39.843137254901961</v>
      </c>
      <c r="FM73" s="132">
        <f>IF(ED73=DataBase!$B$14,DataBase!$F$14,IF(ED73=DataBase!$B$15,DataBase!$F$15,IF(ED73=DataBase!$B$16,DataBase!$F$16)))</f>
        <v>125</v>
      </c>
      <c r="FN73" s="132">
        <f>IF(EA73=DataBase!$B$21,DataBase!$F$21,IF(EA73=DataBase!$B$22,DataBase!$F$22,IF(EA73=DataBase!$B$23,DataBase!$F$23,IF(EA73=DataBase!$B$24,DataBase!$F$24,IF(EA73=DataBase!$B$25,DataBase!$F$25)))))</f>
        <v>11264</v>
      </c>
      <c r="FO73" s="132">
        <f>IF(EE73=DataBase!$B$8,DataBase!$E$8,IF(EE73=DataBase!$B$9,DataBase!$E$9,IF(EE73=DataBase!$B$10,DataBase!$E$10)))</f>
        <v>2</v>
      </c>
      <c r="FP73" s="140">
        <f>IF(FO73=0,0,POWER(EG73/((DataBase!$F$5*FO73)),DataBase!$E$52)*DataBase!$F$5*FO73/EG73)</f>
        <v>1</v>
      </c>
      <c r="FQ73" s="132">
        <f>IF(EB73=DataBase!$B$30,DataBase!$G$30,IF(EB73=DataBase!$B$31,DataBase!$G$31,IF(EB73=DataBase!$B$32,DataBase!$G$32,IF(EB73=DataBase!$B$33,DataBase!$G$33,IF(EB73=DataBase!$B$34,DataBase!$G$34)))))</f>
        <v>1</v>
      </c>
      <c r="FR73" s="132">
        <f>FN73*FP73*FQ73*FY73</f>
        <v>15769.599999999999</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15994.599999999999</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14685586.378402425</v>
      </c>
      <c r="GA73" s="132">
        <f>POWER(((DataBase!$C$5*DataBase!$E$5)/(EH73*EI73)),DataBase!$E$53)</f>
        <v>1</v>
      </c>
      <c r="GB73" s="132">
        <f>IF(EJ73=DataBase!$B$37,DataBase!$C$37,IF(EJ73=DataBase!$B$38,DataBase!$C$38))</f>
        <v>0.75</v>
      </c>
      <c r="GD73" s="136">
        <f>GB73*GA73*FZ73</f>
        <v>11014189.783801818</v>
      </c>
      <c r="GE73" s="132" t="s">
        <v>630</v>
      </c>
      <c r="GG73" s="132">
        <f>IF($C73=DataBase!$J$49,DataBase!$L$49,IF($C73=DataBase!$J$50,DataBase!$L$50,IF($C73=DataBase!$J$51,DataBase!$L$51,IF($C73=DataBase!$J$52,DataBase!$L$52))))</f>
        <v>0.3</v>
      </c>
      <c r="GH73" s="132">
        <f>IF($C73=DataBase!$J$49,DataBase!$N$49,IF($C73=DataBase!$J$50,DataBase!$N$50,IF($C73=DataBase!$J$51,DataBase!$N$51,IF($C73=DataBase!$J$52,DataBase!$N$52))))</f>
        <v>0.3</v>
      </c>
      <c r="GI73" s="132">
        <f>IF($C73=DataBase!$J$49,DataBase!$P$49,IF($C73=DataBase!$J$50,DataBase!$P$50,IF($C73=DataBase!$J$51,DataBase!$P$51,IF($C73=DataBase!$J$52,DataBase!$P$52))))</f>
        <v>0.39999999999999997</v>
      </c>
      <c r="GK73" s="136">
        <f>$GG73*BR73</f>
        <v>348615.44746853766</v>
      </c>
      <c r="GL73" s="132" t="s">
        <v>630</v>
      </c>
      <c r="GM73" s="136">
        <f>$DX73*GH73</f>
        <v>1481085.6915385269</v>
      </c>
      <c r="GN73" s="132" t="s">
        <v>630</v>
      </c>
      <c r="GO73" s="136">
        <f>$GD73*GI73</f>
        <v>4405675.9135207273</v>
      </c>
      <c r="GP73" s="132" t="s">
        <v>630</v>
      </c>
      <c r="GR73" s="136">
        <f>GO73+GM73+GK73</f>
        <v>6235377.0525277918</v>
      </c>
      <c r="GS73" s="132" t="s">
        <v>630</v>
      </c>
      <c r="GU73" s="136">
        <f>MAX($GD73,$DX73,$BR73)</f>
        <v>11014189.783801818</v>
      </c>
      <c r="GV73" s="132" t="s">
        <v>630</v>
      </c>
      <c r="GW73" s="132">
        <f>IF($M73=DataBase!$B$44,DataBase!$E$44,IF($M73=DataBase!$B$45,DataBase!$E$45,IF($M73=DataBase!$B$46,DataBase!$E$46,IF($M73=DataBase!$B$47,DataBase!$E$47,IF($M73=DataBase!$B$48,DataBase!$E$48,IF($M73=DataBase!$B$49,DataBase!$E$49))))))</f>
        <v>1</v>
      </c>
      <c r="GY73" s="132" t="e">
        <f>D71</f>
        <v>#N/A</v>
      </c>
      <c r="GZ73" s="132" t="e">
        <f>D72</f>
        <v>#N/A</v>
      </c>
      <c r="HA73" s="132">
        <f>IF($M73=DataBase!$B$44,DataBase!$F$44,IF($M73=DataBase!$B$45,DataBase!$F$45,IF($M73=DataBase!$B$46,DataBase!$F$46,IF($M73=DataBase!$B$47,DataBase!$F$47,IF($M73=DataBase!$B$48,DataBase!$F$48,IF($M73=DataBase!$B$49,DataBase!$F$49))))))</f>
        <v>32000000</v>
      </c>
      <c r="HB73" s="132" t="s">
        <v>630</v>
      </c>
      <c r="HC73" s="132" t="str">
        <f>C73&amp;D73&amp;I73&amp;J73&amp;K73&amp;M73</f>
        <v>crowdedmedium6019201080CPP_7_3</v>
      </c>
      <c r="HD73" s="136" t="e">
        <f>MIN(HA73,MAX(GZ73*IF(0=GW73,GR73,IF(1=GW73,GR73,IF(2=GW73,GU73)))))</f>
        <v>#N/A</v>
      </c>
      <c r="HE73" s="132" t="s">
        <v>630</v>
      </c>
      <c r="HG73" s="132" t="str">
        <f>IF(GW73=1,"SUPPORTED","NOT SUPPORTED")</f>
        <v>SUPPORTED</v>
      </c>
      <c r="HH73" s="136" t="e">
        <f>HJ73</f>
        <v>#N/A</v>
      </c>
      <c r="HI73" s="132" t="s">
        <v>630</v>
      </c>
      <c r="HJ73" s="136" t="e">
        <f>MIN(HA73,GZ73*IF(GW73=0,2*GR73,GU73))</f>
        <v>#N/A</v>
      </c>
      <c r="HK73" s="132" t="s">
        <v>630</v>
      </c>
      <c r="HL73" s="132" t="str">
        <f>E60</f>
        <v>medium</v>
      </c>
      <c r="HM73" s="132">
        <f>0</f>
        <v>0</v>
      </c>
      <c r="HO73" s="136" t="e">
        <f>MIN(HA73,MAX(HQ73/GY73,GZ73*IF(0=GW73,GR73,IF(1=GW73,GR73,IF(2=GW73,GU73)))))</f>
        <v>#N/A</v>
      </c>
      <c r="HP73" s="132" t="s">
        <v>630</v>
      </c>
      <c r="HQ73" s="136" t="e">
        <f>MIN(HA73,GZ73*IF(GW73=0,2*GR73,GU73))</f>
        <v>#N/A</v>
      </c>
      <c r="HR73" s="132" t="s">
        <v>630</v>
      </c>
      <c r="HS73" s="132" t="str">
        <f>E60</f>
        <v>medium</v>
      </c>
      <c r="HT73" s="132">
        <f>IF(GW73=1,3600*24*GW73,0)</f>
        <v>86400</v>
      </c>
    </row>
    <row r="74" spans="3:228" s="132" customFormat="1">
      <c r="AV74" s="133"/>
      <c r="BH74" s="133"/>
      <c r="BL74" s="134"/>
      <c r="BM74" s="134"/>
      <c r="DB74" s="133"/>
      <c r="DN74" s="133"/>
      <c r="DR74" s="134"/>
      <c r="DS74" s="134"/>
      <c r="FH74" s="133"/>
      <c r="FT74" s="133"/>
      <c r="FX74" s="134"/>
      <c r="FY74" s="134"/>
    </row>
    <row r="75" spans="3:228" s="132" customFormat="1">
      <c r="C75" s="137" t="s">
        <v>581</v>
      </c>
      <c r="D75" s="137" t="s">
        <v>629</v>
      </c>
      <c r="E75" s="138"/>
      <c r="F75" s="138" t="s">
        <v>632</v>
      </c>
      <c r="G75" s="139" t="s">
        <v>633</v>
      </c>
      <c r="H75" s="138">
        <v>255</v>
      </c>
      <c r="I75" s="138">
        <v>30</v>
      </c>
      <c r="J75" s="138">
        <v>1920</v>
      </c>
      <c r="K75" s="138">
        <v>1080</v>
      </c>
      <c r="L75" s="138" t="s">
        <v>595</v>
      </c>
      <c r="M75" s="138" t="s">
        <v>582</v>
      </c>
      <c r="O75" s="137" t="str">
        <f>IF(C75=DataBase!$J$49,DataBase!$K$49,IF(C75=DataBase!$J$50,DataBase!$K$50,IF(C75=DataBase!$J$51,DataBase!$K$51,IF(C75=DataBase!$J$52,DataBase!$K$52))))</f>
        <v>static</v>
      </c>
      <c r="P75" s="132" t="str">
        <f>IF(D75=DataBase!$J$44,DataBase!$L$44,IF(D75=DataBase!$J$45,DataBase!$L$45,IF(D75=DataBase!$J$46,DataBase!$L$46)))</f>
        <v>medium</v>
      </c>
      <c r="Q75" s="137"/>
      <c r="R75" s="137" t="str">
        <f>$F75</f>
        <v>normale z.B. typische parkplatz Straßenszene</v>
      </c>
      <c r="S75" s="137" t="str">
        <f>$G75</f>
        <v>IBBP</v>
      </c>
      <c r="T75" s="137">
        <f>$H75</f>
        <v>255</v>
      </c>
      <c r="U75" s="137">
        <f>$I75</f>
        <v>30</v>
      </c>
      <c r="V75" s="137">
        <f>$J75</f>
        <v>1920</v>
      </c>
      <c r="W75" s="137">
        <f>$K75</f>
        <v>1080</v>
      </c>
      <c r="X75" s="137" t="str">
        <f>$L75</f>
        <v>h_264</v>
      </c>
      <c r="Y75" s="137" t="str">
        <f>$M75</f>
        <v>CPP_7_3</v>
      </c>
      <c r="Z75" s="137">
        <f>$E75</f>
        <v>0</v>
      </c>
      <c r="AB75" s="132">
        <f>1/T75*U75</f>
        <v>0.11764705882352941</v>
      </c>
      <c r="AC75" s="132">
        <f>IF(R75=DataBase!$B$14,DataBase!$C$14,IF(R75=DataBase!$B$15,DataBase!$C$15,IF(R75=DataBase!$B$16,DataBase!$C$16)))</f>
        <v>300000</v>
      </c>
      <c r="AD75" s="132">
        <f>IF(P75=DataBase!$B$30,DataBase!$C$30,IF(P75=DataBase!$B$31,DataBase!$C$31,IF(P75=DataBase!$B$32,DataBase!$C$32,IF(P75=DataBase!$B$33,DataBase!$C$33,IF(P75=DataBase!$B$34,DataBase!$C$34)))))</f>
        <v>1</v>
      </c>
      <c r="AE75" s="132">
        <f>AC75*AD75</f>
        <v>300000</v>
      </c>
      <c r="AF75" s="132">
        <f>IF(R75=DataBase!$B$14,DataBase!$G$14,IF(R75=DataBase!$B$15,DataBase!$G$15,IF(R75=DataBase!$B$16,DataBase!$G$16)))</f>
        <v>200</v>
      </c>
      <c r="AG75" s="132">
        <f>IF(Z75=DataBase!$K$20,1,IF(Z75=DataBase!$K$21,1,0))</f>
        <v>0</v>
      </c>
      <c r="AH75" s="132">
        <f>IF(Z75=DataBase!$K$20,DataBase!$M$20,IF(Z75=DataBase!$K$21,DataBase!$M$21,0))</f>
        <v>0</v>
      </c>
      <c r="AI75" s="132">
        <f>IF(AG75=1,IF(AH75&lt;&gt;0,AH75,AF75),AF75)</f>
        <v>200</v>
      </c>
      <c r="AJ75" s="132">
        <f>IF(P75=DataBase!$B$30,DataBase!$H$30,IF(P75=DataBase!$B$31,DataBase!$H$31,IF(P75=DataBase!$B$32,DataBase!$H$32,IF(P75=DataBase!$B$33,DataBase!$H$33,IF(P75=DataBase!$B$34,DataBase!$H$34)))))</f>
        <v>1</v>
      </c>
      <c r="AK75" s="132">
        <f>IF(O75=DataBase!$B$21,DataBase!$G$21,IF(O75=DataBase!$B$22,DataBase!$G$22,IF(O75=DataBase!$B$23,DataBase!$G$23,IF(O75=DataBase!$B$24,DataBase!$G$24,IF(O75=DataBase!$B$25,DataBase!$G$25)))))</f>
        <v>1</v>
      </c>
      <c r="AL75" s="132">
        <f>IF(Y75=DataBase!$B$44,DataBase!$G$44,IF($F75=DataBase!$B$45,DataBase!$G$45,IF(Y75=DataBase!$B$46,DataBase!$G$46,IF(Y75=DataBase!$B$47,DataBase!$G$47,IF(Y75=DataBase!$B$48,DataBase!$G$48,IF(Y75=DataBase!$B$49,DataBase!$G$49))))))+AI75*AJ75*AK75</f>
        <v>200</v>
      </c>
      <c r="AM75" s="132">
        <f>AL75+AE75*BL75</f>
        <v>360200</v>
      </c>
      <c r="AN75" s="132">
        <f>((T75-1)/T75)/IF(S75=DataBase!$B$8,DataBase!$C$8,IF(S75=DataBase!$B$9,DataBase!$C$9,IF(S75=DataBase!$B$10,DataBase!$C$10)))*U75</f>
        <v>9.9607843137254903</v>
      </c>
      <c r="AO75" s="132">
        <f>IF(R75=DataBase!$B$14,DataBase!$E$14,IF(R75=DataBase!$B$15,DataBase!$E$15,IF(R75=DataBase!$B$16,DataBase!$E$16)))</f>
        <v>125</v>
      </c>
      <c r="AP75" s="132">
        <f>IF(O75=DataBase!$B$21,DataBase!$E$21,IF(O75=DataBase!$B$22,DataBase!$E$22,IF(O75=DataBase!$B$23,DataBase!$E$23,IF(O75=DataBase!$B$24,DataBase!$E$24,IF(O75=DataBase!$B$25,DataBase!$E$25)))))</f>
        <v>0</v>
      </c>
      <c r="AQ75" s="132">
        <f>IF(S75=DataBase!$B$8,DataBase!$C$8,IF(S75=DataBase!$B$9,DataBase!$C$9,IF(S75=DataBase!$B$10,DataBase!$C$10)))</f>
        <v>3</v>
      </c>
      <c r="AR75" s="140">
        <f>POWER(U75/((DataBase!$F$5*AQ75)),DataBase!$E$52)*DataBase!$F$5*AQ75/U75</f>
        <v>1.4242910214581144</v>
      </c>
      <c r="AS75" s="132">
        <f>IF(P75=DataBase!$B$30,DataBase!$F$30,IF(P75=DataBase!$B$31,DataBase!$F$31,IF(P75=DataBase!$B$32,DataBase!$F$32,IF(P75=DataBase!$B$33,DataBase!$F$33,IF(P75=DataBase!$B$34,DataBase!$F$34)))))</f>
        <v>1</v>
      </c>
      <c r="AT75" s="132">
        <f>AP75*AR75*AS75*BM75</f>
        <v>0</v>
      </c>
      <c r="AU75" s="132">
        <f>IF(R75=DataBase!$B$14,DataBase!$H$14,IF(R75=DataBase!$B$15,DataBase!$H$15,IF(R75=DataBase!$B$16,DataBase!$H$16)))*AI75</f>
        <v>100</v>
      </c>
      <c r="AV75" s="132">
        <f>IF(P75=DataBase!$B$30,DataBase!$H$30,IF(P75=DataBase!$B$31,DataBase!$H$31,IF(P75=DataBase!$B$32,DataBase!$H$32,IF(P75=DataBase!$B$33,DataBase!$H$33,IF(P75=DataBase!$B$34,DataBase!$H$34)))))</f>
        <v>1</v>
      </c>
      <c r="AW75" s="132">
        <f>IF(O75=DataBase!$B$21,DataBase!$G$21,IF(O75=DataBase!$B$22,DataBase!$G$22,IF(O75=DataBase!$B$23,DataBase!$G$23,IF(O75=DataBase!$B$24,DataBase!$G$24,IF(O75=DataBase!$B$25,DataBase!$G$25)))))</f>
        <v>1</v>
      </c>
      <c r="AX75" s="132">
        <f>AU75*AV75*AW75+IF(Y75=DataBase!$B$44,DataBase!$G$44,IF(Y75=DataBase!$B$45,DataBase!$G$45,IF(Y75=DataBase!$B$46,DataBase!$G$46,IF(Y75=DataBase!$B$47,DataBase!$G$47,IF(Y75=DataBase!$B$48,DataBase!$G$48,IF(Y75=DataBase!$B$49,DataBase!$G$49))))))</f>
        <v>100</v>
      </c>
      <c r="AY75" s="133">
        <f>AO75+AT75+AX75</f>
        <v>225</v>
      </c>
      <c r="AZ75" s="132">
        <f>IF(S75=DataBase!$B$8,0,((T75-1)/T75)/IF(S75=DataBase!$B$9,2,IF(S75=DataBase!$B$10,3/2))*U75)</f>
        <v>19.921568627450981</v>
      </c>
      <c r="BA75" s="132">
        <f>IF(R75=DataBase!$B$14,DataBase!$F$14,IF(R75=DataBase!$B$15,DataBase!$F$15,IF(R75=DataBase!$B$16,DataBase!$F$16)))</f>
        <v>125</v>
      </c>
      <c r="BB75" s="132">
        <f>IF(O75=DataBase!$B$21,DataBase!$F$21,IF(O75=DataBase!$B$22,DataBase!$F$22,IF(O75=DataBase!$B$23,DataBase!$F$23,IF(O75=DataBase!$B$24,DataBase!$F$24,IF(O75=DataBase!$B$25,DataBase!$F$25)))))</f>
        <v>0</v>
      </c>
      <c r="BC75" s="132">
        <f>IF(S75=DataBase!$B$8,DataBase!$E$8,IF(S75=DataBase!$B$9,DataBase!$E$9,IF(S75=DataBase!$B$10,DataBase!$E$10)))</f>
        <v>2</v>
      </c>
      <c r="BD75" s="140">
        <f>IF(BC75=0,0,POWER(U75/((DataBase!$F$5*BC75)),DataBase!$E$52)*DataBase!$F$5*BC75/U75)</f>
        <v>1.25</v>
      </c>
      <c r="BE75" s="132">
        <f>IF(P75=DataBase!$B$30,DataBase!$G$30,IF(P75=DataBase!$B$31,DataBase!$G$31,IF(P75=DataBase!$B$32,DataBase!$G$32,IF(P75=DataBase!$B$33,DataBase!$G$33,IF(P75=DataBase!$B$34,DataBase!$G$34)))))</f>
        <v>1</v>
      </c>
      <c r="BF75" s="132">
        <f>BB75*BD75*BE75*BM75</f>
        <v>0</v>
      </c>
      <c r="BG75" s="132">
        <f>IF(R75=DataBase!$B$14,DataBase!$J$14,IF(R75=DataBase!$B$15,DataBase!$J$15,IF(R75=DataBase!$B$16,DataBase!$J$16)))*AI75</f>
        <v>50</v>
      </c>
      <c r="BH75" s="132">
        <f>IF(P75=DataBase!$B$30,DataBase!$H$30,IF(P75=DataBase!$B$31,DataBase!$H$31,IF(P75=DataBase!$B$32,DataBase!$H$32,IF(P75=DataBase!$B$33,DataBase!$H$33,IF(P75=DataBase!$B$34,DataBase!$H$34)))))</f>
        <v>1</v>
      </c>
      <c r="BI75" s="132">
        <f>IF(O75=DataBase!$B$21,DataBase!$G$21,IF(O75=DataBase!$B$22,DataBase!$G$22,IF(O75=DataBase!$B$23,DataBase!$G$23,IF(O75=DataBase!$B$24,DataBase!$G$24,IF(O75=DataBase!$B$25,DataBase!$G$25)))))</f>
        <v>1</v>
      </c>
      <c r="BJ75" s="132">
        <f>BG75*BH75*BI75+IF(Y75=DataBase!$B$44,DataBase!$G$44,IF(Y75=DataBase!$B$45,DataBase!$G$45,IF(Y75=DataBase!$B$46,DataBase!$G$46,IF(Y75=DataBase!$B$47,DataBase!$G$47,IF(Y75=DataBase!$B$48,DataBase!$G$48,IF(Y75=DataBase!$B$49,DataBase!$G$49))))))</f>
        <v>50</v>
      </c>
      <c r="BK75" s="133">
        <f>BA75+BF75+BJ75</f>
        <v>175</v>
      </c>
      <c r="BL75" s="134">
        <f>IF(Y75=DataBase!$B$44,DataBase!$C$44,IF(Y75=DataBase!$B$45,DataBase!$C$45,IF(Y75=DataBase!$B$46,DataBase!$C$46,IF(Y75=DataBase!$B$47,DataBase!$C$47,IF(Y75=DataBase!$B$48,DataBase!$C$48,IF(Y75=DataBase!$B$49,DataBase!$C$49))))))</f>
        <v>1.2</v>
      </c>
      <c r="BM75" s="134">
        <f>IF(Y75=DataBase!$B$44,DataBase!$D$44,IF(Y75=DataBase!$B$45,DataBase!$D$45,IF(Y75=DataBase!$B$46,DataBase!$D$46,IF(Y75=DataBase!$B$47,DataBase!$D$47,IF(Y75=DataBase!$B$48,DataBase!$D$48,IF(Y75=DataBase!$B$49,DataBase!$D$49))))))</f>
        <v>1.4</v>
      </c>
      <c r="BN75" s="132">
        <f>BK75*8*AZ75+AY75*8*AN75+AM75*AB75*8</f>
        <v>384831.37254901964</v>
      </c>
      <c r="BO75" s="132">
        <f>POWER(((DataBase!$C$5*DataBase!$E$5)/(V75*W75)),DataBase!$E$53)</f>
        <v>1</v>
      </c>
      <c r="BP75" s="132">
        <f>IF(X75=DataBase!$B$37,DataBase!$C$37,IF(X75=DataBase!$B$38,DataBase!$C$38))</f>
        <v>1</v>
      </c>
      <c r="BR75" s="136">
        <f>BP75*BO75*BN75</f>
        <v>384831.37254901964</v>
      </c>
      <c r="BS75" s="132" t="s">
        <v>630</v>
      </c>
      <c r="BU75" s="137" t="str">
        <f>IF(C75=DataBase!$J$49,DataBase!$M$49,IF(C75=DataBase!$J$50,DataBase!$M$50,IF(C75=DataBase!$J$51,DataBase!$M$51,IF(C75=DataBase!$J$52,DataBase!$M$52))))</f>
        <v>standard</v>
      </c>
      <c r="BV75" s="132" t="str">
        <f>IF(D75=DataBase!$J$44,DataBase!$L$44,IF(D75=DataBase!$J$45,DataBase!$L$45,IF(D75=DataBase!$J$46,DataBase!$L$46)))</f>
        <v>medium</v>
      </c>
      <c r="BW75" s="137"/>
      <c r="BX75" s="137" t="str">
        <f>$F75</f>
        <v>normale z.B. typische parkplatz Straßenszene</v>
      </c>
      <c r="BY75" s="137" t="str">
        <f>$G75</f>
        <v>IBBP</v>
      </c>
      <c r="BZ75" s="137">
        <f>$H75</f>
        <v>255</v>
      </c>
      <c r="CA75" s="137">
        <f>$I75</f>
        <v>30</v>
      </c>
      <c r="CB75" s="137">
        <f>$J75</f>
        <v>1920</v>
      </c>
      <c r="CC75" s="137">
        <f>$K75</f>
        <v>1080</v>
      </c>
      <c r="CD75" s="137" t="str">
        <f>$L75</f>
        <v>h_264</v>
      </c>
      <c r="CE75" s="137" t="str">
        <f>$M75</f>
        <v>CPP_7_3</v>
      </c>
      <c r="CF75" s="137">
        <f>$E75</f>
        <v>0</v>
      </c>
      <c r="CH75" s="132">
        <f>1/BZ75*CA75</f>
        <v>0.11764705882352941</v>
      </c>
      <c r="CI75" s="132">
        <f>IF(BX75=DataBase!$B$14,DataBase!$C$14,IF(BX75=DataBase!$B$15,DataBase!$C$15,IF(BX75=DataBase!$B$16,DataBase!$C$16)))</f>
        <v>300000</v>
      </c>
      <c r="CJ75" s="132">
        <f>IF(BV75=DataBase!$B$30,DataBase!$C$30,IF(BV75=DataBase!$B$31,DataBase!$C$31,IF(BV75=DataBase!$B$32,DataBase!$C$32,IF(BV75=DataBase!$B$33,DataBase!$C$33,IF(BV75=DataBase!$B$34,DataBase!$C$34)))))</f>
        <v>1</v>
      </c>
      <c r="CK75" s="132">
        <f>CI75*CJ75</f>
        <v>300000</v>
      </c>
      <c r="CL75" s="132">
        <f>IF(BX75=DataBase!$B$14,DataBase!$G$14,IF(BX75=DataBase!$B$15,DataBase!$G$15,IF(BX75=DataBase!$B$16,DataBase!$G$16)))</f>
        <v>200</v>
      </c>
      <c r="CM75" s="132">
        <f>IF(CF75=DataBase!$K$20,1,IF(CF75=DataBase!$K$21,1,0))</f>
        <v>0</v>
      </c>
      <c r="CN75" s="132">
        <f>IF(CF75=DataBase!$K$20,DataBase!$M$20,IF(CF75=DataBase!$K$21,DataBase!$M$21,0))</f>
        <v>0</v>
      </c>
      <c r="CO75" s="132">
        <f>IF(CM75=1,IF(CN75&lt;&gt;0,CN75,CL75),CL75)</f>
        <v>200</v>
      </c>
      <c r="CP75" s="132">
        <f>IF(BV75=DataBase!$B$30,DataBase!$H$30,IF(BV75=DataBase!$B$31,DataBase!$H$31,IF(BV75=DataBase!$B$32,DataBase!$H$32,IF(BV75=DataBase!$B$33,DataBase!$H$33,IF(BV75=DataBase!$B$34,DataBase!$H$34)))))</f>
        <v>1</v>
      </c>
      <c r="CQ75" s="132">
        <f>IF(BU75=DataBase!$B$21,DataBase!$G$21,IF(BU75=DataBase!$B$22,DataBase!$G$22,IF(BU75=DataBase!$B$23,DataBase!$G$23,IF(BU75=DataBase!$B$24,DataBase!$G$24,IF(BU75=DataBase!$B$25,DataBase!$G$25)))))</f>
        <v>1.4</v>
      </c>
      <c r="CR75" s="132">
        <f>IF(CE75=DataBase!$B$44,DataBase!$G$44,IF($F75=DataBase!$B$45,DataBase!$G$45,IF(CE75=DataBase!$B$46,DataBase!$G$46,IF(CE75=DataBase!$B$47,DataBase!$G$47,IF(CE75=DataBase!$B$48,DataBase!$G$48,IF(CE75=DataBase!$B$49,DataBase!$G$49))))))+CO75*CP75*CQ75</f>
        <v>280</v>
      </c>
      <c r="CS75" s="132">
        <f>CR75+CK75*DR75</f>
        <v>360280</v>
      </c>
      <c r="CT75" s="132">
        <f>((BZ75-1)/BZ75)/IF(BY75=DataBase!$B$8,DataBase!$C$8,IF(BY75=DataBase!$B$9,DataBase!$C$9,IF(BY75=DataBase!$B$10,DataBase!$C$10)))*CA75</f>
        <v>9.9607843137254903</v>
      </c>
      <c r="CU75" s="132">
        <f>IF(BX75=DataBase!$B$14,DataBase!$E$14,IF(BX75=DataBase!$B$15,DataBase!$E$15,IF(BX75=DataBase!$B$16,DataBase!$E$16)))</f>
        <v>125</v>
      </c>
      <c r="CV75" s="132">
        <f>IF(BU75=DataBase!$B$21,DataBase!$E$21,IF(BU75=DataBase!$B$22,DataBase!$E$22,IF(BU75=DataBase!$B$23,DataBase!$E$23,IF(BU75=DataBase!$B$24,DataBase!$E$24,IF(BU75=DataBase!$B$25,DataBase!$E$25)))))</f>
        <v>2000</v>
      </c>
      <c r="CW75" s="132">
        <f>IF(BY75=DataBase!$B$8,DataBase!$C$8,IF(BY75=DataBase!$B$9,DataBase!$C$9,IF(BY75=DataBase!$B$10,DataBase!$C$10)))</f>
        <v>3</v>
      </c>
      <c r="CX75" s="140">
        <f>POWER(CA75/((DataBase!$F$5*CW75)),DataBase!$E$52)*DataBase!$F$5*CW75/CA75</f>
        <v>1.4242910214581144</v>
      </c>
      <c r="CY75" s="132">
        <f>IF(BV75=DataBase!$B$30,DataBase!$F$30,IF(BV75=DataBase!$B$31,DataBase!$F$31,IF(BV75=DataBase!$B$32,DataBase!$F$32,IF(BV75=DataBase!$B$33,DataBase!$F$33,IF(BV75=DataBase!$B$34,DataBase!$F$34)))))</f>
        <v>1</v>
      </c>
      <c r="CZ75" s="132">
        <f>CV75*CX75*CY75*DS75</f>
        <v>3988.0148600827197</v>
      </c>
      <c r="DA75" s="132">
        <f>IF(BX75=DataBase!$B$14,DataBase!$H$14,IF(BX75=DataBase!$B$15,DataBase!$H$15,IF(BX75=DataBase!$B$16,DataBase!$H$16)))*CO75</f>
        <v>100</v>
      </c>
      <c r="DB75" s="132">
        <f>IF(BV75=DataBase!$B$30,DataBase!$H$30,IF(BV75=DataBase!$B$31,DataBase!$H$31,IF(BV75=DataBase!$B$32,DataBase!$H$32,IF(BV75=DataBase!$B$33,DataBase!$H$33,IF(BV75=DataBase!$B$34,DataBase!$H$34)))))</f>
        <v>1</v>
      </c>
      <c r="DC75" s="132">
        <f>IF(BU75=DataBase!$B$21,DataBase!$G$21,IF(BU75=DataBase!$B$22,DataBase!$G$22,IF(BU75=DataBase!$B$23,DataBase!$G$23,IF(BU75=DataBase!$B$24,DataBase!$G$24,IF(BU75=DataBase!$B$25,DataBase!$G$25)))))</f>
        <v>1.4</v>
      </c>
      <c r="DD75" s="132">
        <f>DA75*DB75*DC75+IF(CE75=DataBase!$B$44,DataBase!$G$44,IF(CE75=DataBase!$B$45,DataBase!$G$45,IF(CE75=DataBase!$B$46,DataBase!$G$46,IF(CE75=DataBase!$B$47,DataBase!$G$47,IF(CE75=DataBase!$B$48,DataBase!$G$48,IF(CE75=DataBase!$B$49,DataBase!$G$49))))))</f>
        <v>140</v>
      </c>
      <c r="DE75" s="133">
        <f>CU75+CZ75+DD75</f>
        <v>4253.0148600827197</v>
      </c>
      <c r="DF75" s="132">
        <f>IF(BY75=DataBase!$B$8,0,((BZ75-1)/BZ75)/IF(BY75=DataBase!$B$9,2,IF(BY75=DataBase!$B$10,3/2))*CA75)</f>
        <v>19.921568627450981</v>
      </c>
      <c r="DG75" s="132">
        <f>IF(BX75=DataBase!$B$14,DataBase!$F$14,IF(BX75=DataBase!$B$15,DataBase!$F$15,IF(BX75=DataBase!$B$16,DataBase!$F$16)))</f>
        <v>125</v>
      </c>
      <c r="DH75" s="132">
        <f>IF(BU75=DataBase!$B$21,DataBase!$F$21,IF(BU75=DataBase!$B$22,DataBase!$F$22,IF(BU75=DataBase!$B$23,DataBase!$F$23,IF(BU75=DataBase!$B$24,DataBase!$F$24,IF(BU75=DataBase!$B$25,DataBase!$F$25)))))</f>
        <v>579</v>
      </c>
      <c r="DI75" s="132">
        <f>IF(BY75=DataBase!$B$8,DataBase!$E$8,IF(BY75=DataBase!$B$9,DataBase!$E$9,IF(BY75=DataBase!$B$10,DataBase!$E$10)))</f>
        <v>2</v>
      </c>
      <c r="DJ75" s="140">
        <f>IF(DI75=0,0,POWER(CA75/((DataBase!$F$5*DI75)),DataBase!$E$52)*DataBase!$F$5*DI75/CA75)</f>
        <v>1.25</v>
      </c>
      <c r="DK75" s="132">
        <f>IF(BV75=DataBase!$B$30,DataBase!$G$30,IF(BV75=DataBase!$B$31,DataBase!$G$31,IF(BV75=DataBase!$B$32,DataBase!$G$32,IF(BV75=DataBase!$B$33,DataBase!$G$33,IF(BV75=DataBase!$B$34,DataBase!$G$34)))))</f>
        <v>1</v>
      </c>
      <c r="DL75" s="132">
        <f>DH75*DJ75*DK75*DS75</f>
        <v>1013.2499999999999</v>
      </c>
      <c r="DM75" s="132">
        <f>IF(BX75=DataBase!$B$14,DataBase!$J$14,IF(BX75=DataBase!$B$15,DataBase!$J$15,IF(BX75=DataBase!$B$16,DataBase!$J$16)))*CO75</f>
        <v>50</v>
      </c>
      <c r="DN75" s="132">
        <f>IF(BV75=DataBase!$B$30,DataBase!$H$30,IF(BV75=DataBase!$B$31,DataBase!$H$31,IF(BV75=DataBase!$B$32,DataBase!$H$32,IF(BV75=DataBase!$B$33,DataBase!$H$33,IF(BV75=DataBase!$B$34,DataBase!$H$34)))))</f>
        <v>1</v>
      </c>
      <c r="DO75" s="132">
        <f>IF(BU75=DataBase!$B$21,DataBase!$G$21,IF(BU75=DataBase!$B$22,DataBase!$G$22,IF(BU75=DataBase!$B$23,DataBase!$G$23,IF(BU75=DataBase!$B$24,DataBase!$G$24,IF(BU75=DataBase!$B$25,DataBase!$G$25)))))</f>
        <v>1.4</v>
      </c>
      <c r="DP75" s="132">
        <f>DM75*DN75*DO75+IF(CE75=DataBase!$B$44,DataBase!$G$44,IF(CE75=DataBase!$B$45,DataBase!$G$45,IF(CE75=DataBase!$B$46,DataBase!$G$46,IF(CE75=DataBase!$B$47,DataBase!$G$47,IF(CE75=DataBase!$B$48,DataBase!$G$48,IF(CE75=DataBase!$B$49,DataBase!$G$49))))))</f>
        <v>70</v>
      </c>
      <c r="DQ75" s="133">
        <f>DG75+DL75+DP75</f>
        <v>1208.25</v>
      </c>
      <c r="DR75" s="134">
        <f>IF(CE75=DataBase!$B$44,DataBase!$C$44,IF(CE75=DataBase!$B$45,DataBase!$C$45,IF(CE75=DataBase!$B$46,DataBase!$C$46,IF(CE75=DataBase!$B$47,DataBase!$C$47,IF(CE75=DataBase!$B$48,DataBase!$C$48,IF(CE75=DataBase!$B$49,DataBase!$C$49))))))</f>
        <v>1.2</v>
      </c>
      <c r="DS75" s="134">
        <f>IF(CE75=DataBase!$B$44,DataBase!$D$44,IF(CE75=DataBase!$B$45,DataBase!$D$45,IF(CE75=DataBase!$B$46,DataBase!$D$46,IF(CE75=DataBase!$B$47,DataBase!$D$47,IF(CE75=DataBase!$B$48,DataBase!$D$48,IF(CE75=DataBase!$B$49,DataBase!$D$49))))))</f>
        <v>1.4</v>
      </c>
      <c r="DT75" s="132">
        <f>DQ75*8*DF75+DE75*8*CT75+CS75*CH75*8</f>
        <v>870555.85081129754</v>
      </c>
      <c r="DU75" s="132">
        <f>POWER(((DataBase!$C$5*DataBase!$E$5)/(CB75*CC75)),DataBase!$E$53)</f>
        <v>1</v>
      </c>
      <c r="DV75" s="132">
        <f>IF(CD75=DataBase!$B$37,DataBase!$C$37,IF(CD75=DataBase!$B$38,DataBase!$C$38))</f>
        <v>1</v>
      </c>
      <c r="DX75" s="136">
        <f>DV75*DU75*DT75</f>
        <v>870555.85081129754</v>
      </c>
      <c r="DY75" s="132" t="s">
        <v>630</v>
      </c>
      <c r="EA75" s="137" t="str">
        <f>IF(C75=DataBase!$J$49,DataBase!$O$49,IF(C75=DataBase!$J$50,DataBase!$O$50,IF(C75=DataBase!$J$51,DataBase!$O$51,IF(C75=DataBase!$J$52,DataBase!$O$52))))</f>
        <v>busy</v>
      </c>
      <c r="EB75" s="132" t="str">
        <f>IF(D75=DataBase!$J$44,DataBase!$L$44,IF(D75=DataBase!$J$45,DataBase!$L$45,IF(D75=DataBase!$J$46,DataBase!$L$46)))</f>
        <v>medium</v>
      </c>
      <c r="EC75" s="137"/>
      <c r="ED75" s="137" t="str">
        <f>$F75</f>
        <v>normale z.B. typische parkplatz Straßenszene</v>
      </c>
      <c r="EE75" s="137" t="str">
        <f>$G75</f>
        <v>IBBP</v>
      </c>
      <c r="EF75" s="137">
        <f>$H75</f>
        <v>255</v>
      </c>
      <c r="EG75" s="137">
        <f>$I75</f>
        <v>30</v>
      </c>
      <c r="EH75" s="137">
        <f>$J75</f>
        <v>1920</v>
      </c>
      <c r="EI75" s="137">
        <f>$K75</f>
        <v>1080</v>
      </c>
      <c r="EJ75" s="137" t="str">
        <f>$L75</f>
        <v>h_264</v>
      </c>
      <c r="EK75" s="137" t="str">
        <f>$M75</f>
        <v>CPP_7_3</v>
      </c>
      <c r="EL75" s="137">
        <f>$E75</f>
        <v>0</v>
      </c>
      <c r="EN75" s="132">
        <f>1/EF75*EG75</f>
        <v>0.11764705882352941</v>
      </c>
      <c r="EO75" s="132">
        <f>IF(ED75=DataBase!$B$14,DataBase!$C$14,IF(ED75=DataBase!$B$15,DataBase!$C$15,IF(ED75=DataBase!$B$16,DataBase!$C$16)))</f>
        <v>300000</v>
      </c>
      <c r="EP75" s="132">
        <f>IF(EB75=DataBase!$B$30,DataBase!$C$30,IF(EB75=DataBase!$B$31,DataBase!$C$31,IF(EB75=DataBase!$B$32,DataBase!$C$32,IF(EB75=DataBase!$B$33,DataBase!$C$33,IF(EB75=DataBase!$B$34,DataBase!$C$34)))))</f>
        <v>1</v>
      </c>
      <c r="EQ75" s="132">
        <f>EO75*EP75</f>
        <v>300000</v>
      </c>
      <c r="ER75" s="132">
        <f>IF(ED75=DataBase!$B$14,DataBase!$G$14,IF(ED75=DataBase!$B$15,DataBase!$G$15,IF(ED75=DataBase!$B$16,DataBase!$G$16)))</f>
        <v>200</v>
      </c>
      <c r="ES75" s="132">
        <f>IF(EL75=DataBase!$K$20,1,IF(EL75=DataBase!$K$21,1,0))</f>
        <v>0</v>
      </c>
      <c r="ET75" s="132">
        <f>IF(EL75=DataBase!$K$20,DataBase!$M$20,IF(EL75=DataBase!$K$21,DataBase!$M$21,0))</f>
        <v>0</v>
      </c>
      <c r="EU75" s="132">
        <f>IF(ES75=1,IF(ET75&lt;&gt;0,ET75,ER75),ER75)</f>
        <v>200</v>
      </c>
      <c r="EV75" s="132">
        <f>IF(EB75=DataBase!$B$30,DataBase!$H$30,IF(EB75=DataBase!$B$31,DataBase!$H$31,IF(EB75=DataBase!$B$32,DataBase!$H$32,IF(EB75=DataBase!$B$33,DataBase!$H$33,IF(EB75=DataBase!$B$34,DataBase!$H$34)))))</f>
        <v>1</v>
      </c>
      <c r="EW75" s="132">
        <f>IF(EA75=DataBase!$B$21,DataBase!$G$21,IF(EA75=DataBase!$B$22,DataBase!$G$22,IF(EA75=DataBase!$B$23,DataBase!$G$23,IF(EA75=DataBase!$B$24,DataBase!$G$24,IF(EA75=DataBase!$B$25,DataBase!$G$25)))))</f>
        <v>2</v>
      </c>
      <c r="EX75" s="132">
        <f>IF(EK75=DataBase!$B$44,DataBase!$G$44,IF($F75=DataBase!$B$45,DataBase!$G$45,IF(EK75=DataBase!$B$46,DataBase!$G$46,IF(EK75=DataBase!$B$47,DataBase!$G$47,IF(EK75=DataBase!$B$48,DataBase!$G$48,IF(EK75=DataBase!$B$49,DataBase!$G$49))))))+EU75*EV75*EW75</f>
        <v>400</v>
      </c>
      <c r="EY75" s="132">
        <f>EX75+EQ75*FX75</f>
        <v>360400</v>
      </c>
      <c r="EZ75" s="132">
        <f>((EF75-1)/EF75)/IF(EE75=DataBase!$B$8,DataBase!$C$8,IF(EE75=DataBase!$B$9,DataBase!$C$9,IF(EE75=DataBase!$B$10,DataBase!$C$10)))*EG75</f>
        <v>9.9607843137254903</v>
      </c>
      <c r="FA75" s="132">
        <f>IF(ED75=DataBase!$B$14,DataBase!$E$14,IF(ED75=DataBase!$B$15,DataBase!$E$15,IF(ED75=DataBase!$B$16,DataBase!$E$16)))</f>
        <v>125</v>
      </c>
      <c r="FB75" s="132">
        <f>IF(EA75=DataBase!$B$21,DataBase!$E$21,IF(EA75=DataBase!$B$22,DataBase!$E$22,IF(EA75=DataBase!$B$23,DataBase!$E$23,IF(EA75=DataBase!$B$24,DataBase!$E$24,IF(EA75=DataBase!$B$25,DataBase!$E$25)))))</f>
        <v>10000</v>
      </c>
      <c r="FC75" s="132">
        <f>IF(EE75=DataBase!$B$8,DataBase!$C$8,IF(EE75=DataBase!$B$9,DataBase!$C$9,IF(EE75=DataBase!$B$10,DataBase!$C$10)))</f>
        <v>3</v>
      </c>
      <c r="FD75" s="140">
        <f>POWER(EG75/((DataBase!$F$5*FC75)),DataBase!$E$52)*DataBase!$F$5*FC75/EG75</f>
        <v>1.4242910214581144</v>
      </c>
      <c r="FE75" s="132">
        <f>IF(EB75=DataBase!$B$30,DataBase!$F$30,IF(EB75=DataBase!$B$31,DataBase!$F$31,IF(EB75=DataBase!$B$32,DataBase!$F$32,IF(EB75=DataBase!$B$33,DataBase!$F$33,IF(EB75=DataBase!$B$34,DataBase!$F$34)))))</f>
        <v>1</v>
      </c>
      <c r="FF75" s="132">
        <f>FB75*FD75*FE75*FY75</f>
        <v>19940.074300413598</v>
      </c>
      <c r="FG75" s="132">
        <f>IF(ED75=DataBase!$B$14,DataBase!$H$14,IF(ED75=DataBase!$B$15,DataBase!$H$15,IF(ED75=DataBase!$B$16,DataBase!$H$16)))*EU75</f>
        <v>100</v>
      </c>
      <c r="FH75" s="132">
        <f>IF(EB75=DataBase!$B$30,DataBase!$H$30,IF(EB75=DataBase!$B$31,DataBase!$H$31,IF(EB75=DataBase!$B$32,DataBase!$H$32,IF(EB75=DataBase!$B$33,DataBase!$H$33,IF(EB75=DataBase!$B$34,DataBase!$H$34)))))</f>
        <v>1</v>
      </c>
      <c r="FI75" s="132">
        <f>IF(EA75=DataBase!$B$21,DataBase!$G$21,IF(EA75=DataBase!$B$22,DataBase!$G$22,IF(EA75=DataBase!$B$23,DataBase!$G$23,IF(EA75=DataBase!$B$24,DataBase!$G$24,IF(EA75=DataBase!$B$25,DataBase!$G$25)))))</f>
        <v>2</v>
      </c>
      <c r="FJ75" s="132">
        <f>FG75*FH75*FI75+IF(EK75=DataBase!$B$44,DataBase!$G$44,IF(EK75=DataBase!$B$45,DataBase!$G$45,IF(EK75=DataBase!$B$46,DataBase!$G$46,IF(EK75=DataBase!$B$47,DataBase!$G$47,IF(EK75=DataBase!$B$48,DataBase!$G$48,IF(EK75=DataBase!$B$49,DataBase!$G$49))))))</f>
        <v>200</v>
      </c>
      <c r="FK75" s="133">
        <f>FA75+FF75+FJ75</f>
        <v>20265.074300413598</v>
      </c>
      <c r="FL75" s="132">
        <f>IF(EE75=DataBase!$B$8,0,((EF75-1)/EF75)/IF(EE75=DataBase!$B$9,2,IF(EE75=DataBase!$B$10,3/2))*EG75)</f>
        <v>19.921568627450981</v>
      </c>
      <c r="FM75" s="132">
        <f>IF(ED75=DataBase!$B$14,DataBase!$F$14,IF(ED75=DataBase!$B$15,DataBase!$F$15,IF(ED75=DataBase!$B$16,DataBase!$F$16)))</f>
        <v>125</v>
      </c>
      <c r="FN75" s="132">
        <f>IF(EA75=DataBase!$B$21,DataBase!$F$21,IF(EA75=DataBase!$B$22,DataBase!$F$22,IF(EA75=DataBase!$B$23,DataBase!$F$23,IF(EA75=DataBase!$B$24,DataBase!$F$24,IF(EA75=DataBase!$B$25,DataBase!$F$25)))))</f>
        <v>2500</v>
      </c>
      <c r="FO75" s="132">
        <f>IF(EE75=DataBase!$B$8,DataBase!$E$8,IF(EE75=DataBase!$B$9,DataBase!$E$9,IF(EE75=DataBase!$B$10,DataBase!$E$10)))</f>
        <v>2</v>
      </c>
      <c r="FP75" s="140">
        <f>IF(FO75=0,0,POWER(EG75/((DataBase!$F$5*FO75)),DataBase!$E$52)*DataBase!$F$5*FO75/EG75)</f>
        <v>1.25</v>
      </c>
      <c r="FQ75" s="132">
        <f>IF(EB75=DataBase!$B$30,DataBase!$G$30,IF(EB75=DataBase!$B$31,DataBase!$G$31,IF(EB75=DataBase!$B$32,DataBase!$G$32,IF(EB75=DataBase!$B$33,DataBase!$G$33,IF(EB75=DataBase!$B$34,DataBase!$G$34)))))</f>
        <v>1</v>
      </c>
      <c r="FR75" s="132">
        <f>FN75*FP75*FQ75*FY75</f>
        <v>4375</v>
      </c>
      <c r="FS75" s="132">
        <f>IF(ED75=DataBase!$B$14,DataBase!$J$14,IF(ED75=DataBase!$B$15,DataBase!$J$15,IF(ED75=DataBase!$B$16,DataBase!$J$16)))*EU75</f>
        <v>50</v>
      </c>
      <c r="FT75" s="132">
        <f>IF(EB75=DataBase!$B$30,DataBase!$H$30,IF(EB75=DataBase!$B$31,DataBase!$H$31,IF(EB75=DataBase!$B$32,DataBase!$H$32,IF(EB75=DataBase!$B$33,DataBase!$H$33,IF(EB75=DataBase!$B$34,DataBase!$H$34)))))</f>
        <v>1</v>
      </c>
      <c r="FU75" s="132">
        <f>IF(EA75=DataBase!$B$21,DataBase!$G$21,IF(EA75=DataBase!$B$22,DataBase!$G$22,IF(EA75=DataBase!$B$23,DataBase!$G$23,IF(EA75=DataBase!$B$24,DataBase!$G$24,IF(EA75=DataBase!$B$25,DataBase!$G$25)))))</f>
        <v>2</v>
      </c>
      <c r="FV75" s="132">
        <f>FS75*FT75*FU75+IF(EK75=DataBase!$B$44,DataBase!$G$44,IF(EK75=DataBase!$B$45,DataBase!$G$45,IF(EK75=DataBase!$B$46,DataBase!$G$46,IF(EK75=DataBase!$B$47,DataBase!$G$47,IF(EK75=DataBase!$B$48,DataBase!$G$48,IF(EK75=DataBase!$B$49,DataBase!$G$49))))))</f>
        <v>100</v>
      </c>
      <c r="FW75" s="133">
        <f>FM75+FR75+FV75</f>
        <v>4600</v>
      </c>
      <c r="FX75" s="134">
        <f>IF(EK75=DataBase!$B$44,DataBase!$C$44,IF(EK75=DataBase!$B$45,DataBase!$C$45,IF(EK75=DataBase!$B$46,DataBase!$C$46,IF(EK75=DataBase!$B$47,DataBase!$C$47,IF(EK75=DataBase!$B$48,DataBase!$C$48,IF(EK75=DataBase!$B$49,DataBase!$C$49))))))</f>
        <v>1.2</v>
      </c>
      <c r="FY75" s="134">
        <f>IF(EK75=DataBase!$B$44,DataBase!$D$44,IF(EK75=DataBase!$B$45,DataBase!$D$45,IF(EK75=DataBase!$B$46,DataBase!$D$46,IF(EK75=DataBase!$B$47,DataBase!$D$47,IF(EK75=DataBase!$B$48,DataBase!$D$48,IF(EK75=DataBase!$B$49,DataBase!$D$49))))))</f>
        <v>1.4</v>
      </c>
      <c r="FZ75" s="132">
        <f>FW75*8*FL75+FK75*8*EZ75+EY75*EN75*8</f>
        <v>2687161.9991545267</v>
      </c>
      <c r="GA75" s="132">
        <f>POWER(((DataBase!$C$5*DataBase!$E$5)/(EH75*EI75)),DataBase!$E$53)</f>
        <v>1</v>
      </c>
      <c r="GB75" s="132">
        <f>IF(EJ75=DataBase!$B$37,DataBase!$C$37,IF(EJ75=DataBase!$B$38,DataBase!$C$38))</f>
        <v>1</v>
      </c>
      <c r="GD75" s="136">
        <f>GB75*GA75*FZ75</f>
        <v>2687161.9991545267</v>
      </c>
      <c r="GE75" s="132" t="s">
        <v>630</v>
      </c>
      <c r="GG75" s="132">
        <f>IF($C75=DataBase!$J$49,DataBase!$L$49,IF($C75=DataBase!$J$50,DataBase!$L$50,IF($C75=DataBase!$J$51,DataBase!$L$51,IF($C75=DataBase!$J$52,DataBase!$L$52))))</f>
        <v>0.89</v>
      </c>
      <c r="GH75" s="132">
        <f>IF($C75=DataBase!$J$49,DataBase!$N$49,IF($C75=DataBase!$J$50,DataBase!$N$50,IF($C75=DataBase!$J$51,DataBase!$N$51,IF($C75=DataBase!$J$52,DataBase!$N$52))))</f>
        <v>0.1</v>
      </c>
      <c r="GI75" s="132">
        <f>IF($C75=DataBase!$J$49,DataBase!$P$49,IF($C75=DataBase!$J$50,DataBase!$P$50,IF($C75=DataBase!$J$51,DataBase!$P$51,IF($C75=DataBase!$J$52,DataBase!$P$52))))</f>
        <v>9.9999999999999811E-3</v>
      </c>
      <c r="GK75" s="136">
        <f>$GG75*BR75</f>
        <v>342499.92156862747</v>
      </c>
      <c r="GL75" s="132" t="s">
        <v>630</v>
      </c>
      <c r="GM75" s="136">
        <f>$DX75*GH75</f>
        <v>87055.585081129757</v>
      </c>
      <c r="GN75" s="132" t="s">
        <v>630</v>
      </c>
      <c r="GO75" s="136">
        <f>$GD75*GI75</f>
        <v>26871.619991545216</v>
      </c>
      <c r="GP75" s="132" t="s">
        <v>630</v>
      </c>
      <c r="GR75" s="136">
        <f>GO75+GM75+GK75</f>
        <v>456427.12664130243</v>
      </c>
      <c r="GS75" s="132" t="s">
        <v>630</v>
      </c>
      <c r="GU75" s="136">
        <f>MAX($GD75,$DX75,$BR75)</f>
        <v>2687161.9991545267</v>
      </c>
      <c r="GV75" s="132" t="s">
        <v>630</v>
      </c>
      <c r="GW75" s="132">
        <f>IF($M75=DataBase!$B$44,DataBase!$E$44,IF($M75=DataBase!$B$45,DataBase!$E$45,IF($M75=DataBase!$B$46,DataBase!$E$46,IF($M75=DataBase!$B$47,DataBase!$E$47,IF($M75=DataBase!$B$48,DataBase!$E$48,IF($M75=DataBase!$B$49,DataBase!$E$49))))))</f>
        <v>1</v>
      </c>
      <c r="GY75" s="132">
        <f>IF($D75=DataBase!$J$44,DataBase!$M$44,IF($D75=DataBase!$J$45,DataBase!$M$45,IF($D75=DataBase!$J$46,DataBase!$M$46)))</f>
        <v>4</v>
      </c>
      <c r="GZ75" s="132">
        <f>IF($D75=DataBase!$J$44,DataBase!$K$44,IF($D75=DataBase!$J$45,DataBase!$K$45,IF($D75=DataBase!$J$46,DataBase!$K$46)))</f>
        <v>1</v>
      </c>
      <c r="HA75" s="132">
        <f>IF($M75=DataBase!$B$44,DataBase!$F$44,IF($M75=DataBase!$B$45,DataBase!$F$45,IF($M75=DataBase!$B$46,DataBase!$F$46,IF($M75=DataBase!$B$47,DataBase!$F$47,IF($M75=DataBase!$B$48,DataBase!$F$48,IF($M75=DataBase!$B$49,DataBase!$F$49))))))</f>
        <v>32000000</v>
      </c>
      <c r="HB75" s="132" t="s">
        <v>630</v>
      </c>
      <c r="HC75" s="132" t="str">
        <f>C75&amp;D75&amp;I75&amp;J75&amp;K75&amp;M75</f>
        <v>staticbitrate optimized3019201080CPP_7_3</v>
      </c>
      <c r="HD75" s="136">
        <f>MIN(HA75,MAX(GZ75*IF(0=GW75,GR75,IF(1=GW75,GR75,IF(2=GW75,GU75)))))</f>
        <v>456427.12664130243</v>
      </c>
      <c r="HE75" s="132" t="s">
        <v>630</v>
      </c>
      <c r="HG75" s="132" t="str">
        <f>IF(GW75=1,"SUPPORTED","NOT SUPPORTED")</f>
        <v>SUPPORTED</v>
      </c>
      <c r="HH75" s="136">
        <f>HJ75</f>
        <v>2687161.9991545267</v>
      </c>
      <c r="HI75" s="132" t="s">
        <v>630</v>
      </c>
      <c r="HJ75" s="136">
        <f>MIN(HA75,GZ75*IF(GW75=0,2*GR75,GU75))</f>
        <v>2687161.9991545267</v>
      </c>
      <c r="HK75" s="132" t="s">
        <v>630</v>
      </c>
      <c r="HL75" s="132" t="str">
        <f>IF(GW75=1,IF($D75=DataBase!$J$44,DataBase!$L$44,IF($D75=DataBase!$J$45,DataBase!$L$45,IF($D75=DataBase!$J$46,DataBase!$L$46))),"OFF")</f>
        <v>medium</v>
      </c>
      <c r="HM75" s="132">
        <f>0</f>
        <v>0</v>
      </c>
      <c r="HO75" s="136">
        <f>MIN(HA75,MAX(HQ75/GY75,GZ75*IF(0=GW75,GR75,IF(1=GW75,GR75,IF(2=GW75,GU75)))))</f>
        <v>671790.49978863169</v>
      </c>
      <c r="HP75" s="132" t="s">
        <v>630</v>
      </c>
      <c r="HQ75" s="136">
        <f>MIN(HA75,GZ75*IF(GW75=0,2*GR75,GU75))</f>
        <v>2687161.9991545267</v>
      </c>
      <c r="HR75" s="132" t="s">
        <v>630</v>
      </c>
      <c r="HS75" s="132" t="str">
        <f>IF(GW75=1,IF($D75=DataBase!$J$44,DataBase!$L$44,IF($D75=DataBase!$J$45,DataBase!$L$45,IF($D75=DataBase!$J$46,DataBase!$L$46))),"OFF")</f>
        <v>medium</v>
      </c>
      <c r="HT75" s="132">
        <f>IF(GW75=1,3600*24*GW75,0)</f>
        <v>86400</v>
      </c>
    </row>
    <row r="76" spans="3:228" s="132" customFormat="1" ht="15.75" thickBot="1">
      <c r="C76" s="137" t="s">
        <v>581</v>
      </c>
      <c r="D76" s="137" t="s">
        <v>629</v>
      </c>
      <c r="E76" s="138"/>
      <c r="F76" s="138" t="s">
        <v>632</v>
      </c>
      <c r="G76" s="139" t="s">
        <v>633</v>
      </c>
      <c r="H76" s="138">
        <v>255</v>
      </c>
      <c r="I76" s="138">
        <v>60</v>
      </c>
      <c r="J76" s="138">
        <v>1920</v>
      </c>
      <c r="K76" s="138">
        <v>1080</v>
      </c>
      <c r="L76" s="138" t="s">
        <v>595</v>
      </c>
      <c r="M76" s="138" t="s">
        <v>582</v>
      </c>
      <c r="O76" s="137" t="str">
        <f>IF(C76=DataBase!$J$49,DataBase!$K$49,IF(C76=DataBase!$J$50,DataBase!$K$50,IF(C76=DataBase!$J$51,DataBase!$K$51,IF(C76=DataBase!$J$52,DataBase!$K$52))))</f>
        <v>static</v>
      </c>
      <c r="P76" s="132" t="str">
        <f>IF(D76=DataBase!$J$44,DataBase!$L$44,IF(D76=DataBase!$J$45,DataBase!$L$45,IF(D76=DataBase!$J$46,DataBase!$L$46)))</f>
        <v>medium</v>
      </c>
      <c r="Q76" s="137"/>
      <c r="R76" s="137" t="str">
        <f>$F76</f>
        <v>normale z.B. typische parkplatz Straßenszene</v>
      </c>
      <c r="S76" s="137" t="str">
        <f>$G76</f>
        <v>IBBP</v>
      </c>
      <c r="T76" s="137">
        <f>$H76</f>
        <v>255</v>
      </c>
      <c r="U76" s="137">
        <f>$I76</f>
        <v>60</v>
      </c>
      <c r="V76" s="137">
        <f>$J76</f>
        <v>1920</v>
      </c>
      <c r="W76" s="137">
        <f>$K76</f>
        <v>1080</v>
      </c>
      <c r="X76" s="137" t="str">
        <f>$L76</f>
        <v>h_264</v>
      </c>
      <c r="Y76" s="137" t="str">
        <f>$M76</f>
        <v>CPP_7_3</v>
      </c>
      <c r="Z76" s="137">
        <f>$E76</f>
        <v>0</v>
      </c>
      <c r="AB76" s="132">
        <f>1/T76*U76</f>
        <v>0.23529411764705882</v>
      </c>
      <c r="AC76" s="132">
        <f>IF(R76=DataBase!$B$14,DataBase!$C$14,IF(R76=DataBase!$B$15,DataBase!$C$15,IF(R76=DataBase!$B$16,DataBase!$C$16)))</f>
        <v>300000</v>
      </c>
      <c r="AD76" s="132">
        <f>IF(P76=DataBase!$B$30,DataBase!$C$30,IF(P76=DataBase!$B$31,DataBase!$C$31,IF(P76=DataBase!$B$32,DataBase!$C$32,IF(P76=DataBase!$B$33,DataBase!$C$33,IF(P76=DataBase!$B$34,DataBase!$C$34)))))</f>
        <v>1</v>
      </c>
      <c r="AE76" s="132">
        <f>AC76*AD76</f>
        <v>300000</v>
      </c>
      <c r="AF76" s="132">
        <f>IF(R76=DataBase!$B$14,DataBase!$G$14,IF(R76=DataBase!$B$15,DataBase!$G$15,IF(R76=DataBase!$B$16,DataBase!$G$16)))</f>
        <v>200</v>
      </c>
      <c r="AG76" s="132">
        <f>IF(Z76=DataBase!$K$20,1,IF(Z76=DataBase!$K$21,1,0))</f>
        <v>0</v>
      </c>
      <c r="AH76" s="132">
        <f>IF(Z76=DataBase!$K$20,DataBase!$M$20,IF(Z76=DataBase!$K$21,DataBase!$M$21,0))</f>
        <v>0</v>
      </c>
      <c r="AI76" s="132">
        <f>IF(AG76=1,IF(AH76&lt;&gt;0,AH76,AF76),AF76)</f>
        <v>200</v>
      </c>
      <c r="AJ76" s="132">
        <f>IF(P76=DataBase!$B$30,DataBase!$H$30,IF(P76=DataBase!$B$31,DataBase!$H$31,IF(P76=DataBase!$B$32,DataBase!$H$32,IF(P76=DataBase!$B$33,DataBase!$H$33,IF(P76=DataBase!$B$34,DataBase!$H$34)))))</f>
        <v>1</v>
      </c>
      <c r="AK76" s="132">
        <f>IF(O76=DataBase!$B$21,DataBase!$G$21,IF(O76=DataBase!$B$22,DataBase!$G$22,IF(O76=DataBase!$B$23,DataBase!$G$23,IF(O76=DataBase!$B$24,DataBase!$G$24,IF(O76=DataBase!$B$25,DataBase!$G$25)))))</f>
        <v>1</v>
      </c>
      <c r="AL76" s="132">
        <f>IF(Y76=DataBase!$B$44,DataBase!$G$44,IF($F76=DataBase!$B$45,DataBase!$G$45,IF(Y76=DataBase!$B$46,DataBase!$G$46,IF(Y76=DataBase!$B$47,DataBase!$G$47,IF(Y76=DataBase!$B$48,DataBase!$G$48,IF(Y76=DataBase!$B$49,DataBase!$G$49))))))+AI76*AJ76*AK76</f>
        <v>200</v>
      </c>
      <c r="AM76" s="132">
        <f>AL76+AE76*BL76</f>
        <v>360200</v>
      </c>
      <c r="AN76" s="132">
        <f>((T76-1)/T76)/IF(S76=DataBase!$B$8,DataBase!$C$8,IF(S76=DataBase!$B$9,DataBase!$C$9,IF(S76=DataBase!$B$10,DataBase!$C$10)))*U76</f>
        <v>19.921568627450981</v>
      </c>
      <c r="AO76" s="132">
        <f>IF(R76=DataBase!$B$14,DataBase!$E$14,IF(R76=DataBase!$B$15,DataBase!$E$15,IF(R76=DataBase!$B$16,DataBase!$E$16)))</f>
        <v>125</v>
      </c>
      <c r="AP76" s="132">
        <f>IF(O76=DataBase!$B$21,DataBase!$E$21,IF(O76=DataBase!$B$22,DataBase!$E$22,IF(O76=DataBase!$B$23,DataBase!$E$23,IF(O76=DataBase!$B$24,DataBase!$E$24,IF(O76=DataBase!$B$25,DataBase!$E$25)))))</f>
        <v>0</v>
      </c>
      <c r="AQ76" s="132">
        <f>IF(S76=DataBase!$B$8,DataBase!$C$8,IF(S76=DataBase!$B$9,DataBase!$C$9,IF(S76=DataBase!$B$10,DataBase!$C$10)))</f>
        <v>3</v>
      </c>
      <c r="AR76" s="140">
        <f>POWER(U76/((DataBase!$F$5*AQ76)),DataBase!$E$52)*DataBase!$F$5*AQ76/U76</f>
        <v>1.1394328171664916</v>
      </c>
      <c r="AS76" s="132">
        <f>IF(P76=DataBase!$B$30,DataBase!$F$30,IF(P76=DataBase!$B$31,DataBase!$F$31,IF(P76=DataBase!$B$32,DataBase!$F$32,IF(P76=DataBase!$B$33,DataBase!$F$33,IF(P76=DataBase!$B$34,DataBase!$F$34)))))</f>
        <v>1</v>
      </c>
      <c r="AT76" s="132">
        <f>AP76*AR76*AS76*BM76</f>
        <v>0</v>
      </c>
      <c r="AU76" s="132">
        <f>IF(R76=DataBase!$B$14,DataBase!$H$14,IF(R76=DataBase!$B$15,DataBase!$H$15,IF(R76=DataBase!$B$16,DataBase!$H$16)))*AI76</f>
        <v>100</v>
      </c>
      <c r="AV76" s="132">
        <f>IF(P76=DataBase!$B$30,DataBase!$H$30,IF(P76=DataBase!$B$31,DataBase!$H$31,IF(P76=DataBase!$B$32,DataBase!$H$32,IF(P76=DataBase!$B$33,DataBase!$H$33,IF(P76=DataBase!$B$34,DataBase!$H$34)))))</f>
        <v>1</v>
      </c>
      <c r="AW76" s="132">
        <f>IF(O76=DataBase!$B$21,DataBase!$G$21,IF(O76=DataBase!$B$22,DataBase!$G$22,IF(O76=DataBase!$B$23,DataBase!$G$23,IF(O76=DataBase!$B$24,DataBase!$G$24,IF(O76=DataBase!$B$25,DataBase!$G$25)))))</f>
        <v>1</v>
      </c>
      <c r="AX76" s="132">
        <f>AU76*AV76*AW76+IF(Y76=DataBase!$B$44,DataBase!$G$44,IF(Y76=DataBase!$B$45,DataBase!$G$45,IF(Y76=DataBase!$B$46,DataBase!$G$46,IF(Y76=DataBase!$B$47,DataBase!$G$47,IF(Y76=DataBase!$B$48,DataBase!$G$48,IF(Y76=DataBase!$B$49,DataBase!$G$49))))))</f>
        <v>100</v>
      </c>
      <c r="AY76" s="133">
        <f>AO76+AT76+AX76</f>
        <v>225</v>
      </c>
      <c r="AZ76" s="132">
        <f>IF(S76=DataBase!$B$8,0,((T76-1)/T76)/IF(S76=DataBase!$B$9,2,IF(S76=DataBase!$B$10,3/2))*U76)</f>
        <v>39.843137254901961</v>
      </c>
      <c r="BA76" s="132">
        <f>IF(R76=DataBase!$B$14,DataBase!$F$14,IF(R76=DataBase!$B$15,DataBase!$F$15,IF(R76=DataBase!$B$16,DataBase!$F$16)))</f>
        <v>125</v>
      </c>
      <c r="BB76" s="132">
        <f>IF(O76=DataBase!$B$21,DataBase!$F$21,IF(O76=DataBase!$B$22,DataBase!$F$22,IF(O76=DataBase!$B$23,DataBase!$F$23,IF(O76=DataBase!$B$24,DataBase!$F$24,IF(O76=DataBase!$B$25,DataBase!$F$25)))))</f>
        <v>0</v>
      </c>
      <c r="BC76" s="132">
        <f>IF(S76=DataBase!$B$8,DataBase!$E$8,IF(S76=DataBase!$B$9,DataBase!$E$9,IF(S76=DataBase!$B$10,DataBase!$E$10)))</f>
        <v>2</v>
      </c>
      <c r="BD76" s="140">
        <f>IF(BC76=0,0,POWER(U76/((DataBase!$F$5*BC76)),DataBase!$E$52)*DataBase!$F$5*BC76/U76)</f>
        <v>1</v>
      </c>
      <c r="BE76" s="132">
        <f>IF(P76=DataBase!$B$30,DataBase!$G$30,IF(P76=DataBase!$B$31,DataBase!$G$31,IF(P76=DataBase!$B$32,DataBase!$G$32,IF(P76=DataBase!$B$33,DataBase!$G$33,IF(P76=DataBase!$B$34,DataBase!$G$34)))))</f>
        <v>1</v>
      </c>
      <c r="BF76" s="132">
        <f>BB76*BD76*BE76*BM76</f>
        <v>0</v>
      </c>
      <c r="BG76" s="132">
        <f>IF(R76=DataBase!$B$14,DataBase!$J$14,IF(R76=DataBase!$B$15,DataBase!$J$15,IF(R76=DataBase!$B$16,DataBase!$J$16)))*AI76</f>
        <v>50</v>
      </c>
      <c r="BH76" s="132">
        <f>IF(P76=DataBase!$B$30,DataBase!$H$30,IF(P76=DataBase!$B$31,DataBase!$H$31,IF(P76=DataBase!$B$32,DataBase!$H$32,IF(P76=DataBase!$B$33,DataBase!$H$33,IF(P76=DataBase!$B$34,DataBase!$H$34)))))</f>
        <v>1</v>
      </c>
      <c r="BI76" s="132">
        <f>IF(O76=DataBase!$B$21,DataBase!$G$21,IF(O76=DataBase!$B$22,DataBase!$G$22,IF(O76=DataBase!$B$23,DataBase!$G$23,IF(O76=DataBase!$B$24,DataBase!$G$24,IF(O76=DataBase!$B$25,DataBase!$G$25)))))</f>
        <v>1</v>
      </c>
      <c r="BJ76" s="132">
        <f>BG76*BH76*BI76+IF(Y76=DataBase!$B$44,DataBase!$G$44,IF(Y76=DataBase!$B$45,DataBase!$G$45,IF(Y76=DataBase!$B$46,DataBase!$G$46,IF(Y76=DataBase!$B$47,DataBase!$G$47,IF(Y76=DataBase!$B$48,DataBase!$G$48,IF(Y76=DataBase!$B$49,DataBase!$G$49))))))</f>
        <v>50</v>
      </c>
      <c r="BK76" s="133">
        <f>BA76+BF76+BJ76</f>
        <v>175</v>
      </c>
      <c r="BL76" s="134">
        <f>IF(Y76=DataBase!$B$44,DataBase!$C$44,IF(Y76=DataBase!$B$45,DataBase!$C$45,IF(Y76=DataBase!$B$46,DataBase!$C$46,IF(Y76=DataBase!$B$47,DataBase!$C$47,IF(Y76=DataBase!$B$48,DataBase!$C$48,IF(Y76=DataBase!$B$49,DataBase!$C$49))))))</f>
        <v>1.2</v>
      </c>
      <c r="BM76" s="134">
        <f>IF(Y76=DataBase!$B$44,DataBase!$D$44,IF(Y76=DataBase!$B$45,DataBase!$D$45,IF(Y76=DataBase!$B$46,DataBase!$D$46,IF(Y76=DataBase!$B$47,DataBase!$D$47,IF(Y76=DataBase!$B$48,DataBase!$D$48,IF(Y76=DataBase!$B$49,DataBase!$D$49))))))</f>
        <v>1.4</v>
      </c>
      <c r="BN76" s="132">
        <f>BK76*8*AZ76+AY76*8*AN76+AM76*AB76*8</f>
        <v>769662.74509803928</v>
      </c>
      <c r="BO76" s="132">
        <f>POWER(((DataBase!$C$5*DataBase!$E$5)/(V76*W76)),DataBase!$E$53)</f>
        <v>1</v>
      </c>
      <c r="BP76" s="132">
        <f>IF(X76=DataBase!$B$37,DataBase!$C$37,IF(X76=DataBase!$B$38,DataBase!$C$38))</f>
        <v>1</v>
      </c>
      <c r="BR76" s="136">
        <f>BP76*BO76*BN76</f>
        <v>769662.74509803928</v>
      </c>
      <c r="BS76" s="132" t="s">
        <v>630</v>
      </c>
      <c r="BU76" s="137" t="str">
        <f>IF(C76=DataBase!$J$49,DataBase!$M$49,IF(C76=DataBase!$J$50,DataBase!$M$50,IF(C76=DataBase!$J$51,DataBase!$M$51,IF(C76=DataBase!$J$52,DataBase!$M$52))))</f>
        <v>standard</v>
      </c>
      <c r="BV76" s="132" t="str">
        <f>IF(D76=DataBase!$J$44,DataBase!$L$44,IF(D76=DataBase!$J$45,DataBase!$L$45,IF(D76=DataBase!$J$46,DataBase!$L$46)))</f>
        <v>medium</v>
      </c>
      <c r="BW76" s="137"/>
      <c r="BX76" s="137" t="str">
        <f>$F76</f>
        <v>normale z.B. typische parkplatz Straßenszene</v>
      </c>
      <c r="BY76" s="137" t="str">
        <f>$G76</f>
        <v>IBBP</v>
      </c>
      <c r="BZ76" s="137">
        <f>$H76</f>
        <v>255</v>
      </c>
      <c r="CA76" s="137">
        <f>$I76</f>
        <v>60</v>
      </c>
      <c r="CB76" s="137">
        <f>$J76</f>
        <v>1920</v>
      </c>
      <c r="CC76" s="137">
        <f>$K76</f>
        <v>1080</v>
      </c>
      <c r="CD76" s="137" t="str">
        <f>$L76</f>
        <v>h_264</v>
      </c>
      <c r="CE76" s="137" t="str">
        <f>$M76</f>
        <v>CPP_7_3</v>
      </c>
      <c r="CF76" s="137">
        <f>$E76</f>
        <v>0</v>
      </c>
      <c r="CH76" s="132">
        <f>1/BZ76*CA76</f>
        <v>0.23529411764705882</v>
      </c>
      <c r="CI76" s="132">
        <f>IF(BX76=DataBase!$B$14,DataBase!$C$14,IF(BX76=DataBase!$B$15,DataBase!$C$15,IF(BX76=DataBase!$B$16,DataBase!$C$16)))</f>
        <v>300000</v>
      </c>
      <c r="CJ76" s="132">
        <f>IF(BV76=DataBase!$B$30,DataBase!$C$30,IF(BV76=DataBase!$B$31,DataBase!$C$31,IF(BV76=DataBase!$B$32,DataBase!$C$32,IF(BV76=DataBase!$B$33,DataBase!$C$33,IF(BV76=DataBase!$B$34,DataBase!$C$34)))))</f>
        <v>1</v>
      </c>
      <c r="CK76" s="132">
        <f>CI76*CJ76</f>
        <v>300000</v>
      </c>
      <c r="CL76" s="132">
        <f>IF(BX76=DataBase!$B$14,DataBase!$G$14,IF(BX76=DataBase!$B$15,DataBase!$G$15,IF(BX76=DataBase!$B$16,DataBase!$G$16)))</f>
        <v>200</v>
      </c>
      <c r="CM76" s="132">
        <f>IF(CF76=DataBase!$K$20,1,IF(CF76=DataBase!$K$21,1,0))</f>
        <v>0</v>
      </c>
      <c r="CN76" s="132">
        <f>IF(CF76=DataBase!$K$20,DataBase!$M$20,IF(CF76=DataBase!$K$21,DataBase!$M$21,0))</f>
        <v>0</v>
      </c>
      <c r="CO76" s="132">
        <f>IF(CM76=1,IF(CN76&lt;&gt;0,CN76,CL76),CL76)</f>
        <v>200</v>
      </c>
      <c r="CP76" s="132">
        <f>IF(BV76=DataBase!$B$30,DataBase!$H$30,IF(BV76=DataBase!$B$31,DataBase!$H$31,IF(BV76=DataBase!$B$32,DataBase!$H$32,IF(BV76=DataBase!$B$33,DataBase!$H$33,IF(BV76=DataBase!$B$34,DataBase!$H$34)))))</f>
        <v>1</v>
      </c>
      <c r="CQ76" s="132">
        <f>IF(BU76=DataBase!$B$21,DataBase!$G$21,IF(BU76=DataBase!$B$22,DataBase!$G$22,IF(BU76=DataBase!$B$23,DataBase!$G$23,IF(BU76=DataBase!$B$24,DataBase!$G$24,IF(BU76=DataBase!$B$25,DataBase!$G$25)))))</f>
        <v>1.4</v>
      </c>
      <c r="CR76" s="132">
        <f>IF(CE76=DataBase!$B$44,DataBase!$G$44,IF($F76=DataBase!$B$45,DataBase!$G$45,IF(CE76=DataBase!$B$46,DataBase!$G$46,IF(CE76=DataBase!$B$47,DataBase!$G$47,IF(CE76=DataBase!$B$48,DataBase!$G$48,IF(CE76=DataBase!$B$49,DataBase!$G$49))))))+CO76*CP76*CQ76</f>
        <v>280</v>
      </c>
      <c r="CS76" s="132">
        <f>CR76+CK76*DR76</f>
        <v>360280</v>
      </c>
      <c r="CT76" s="132">
        <f>((BZ76-1)/BZ76)/IF(BY76=DataBase!$B$8,DataBase!$C$8,IF(BY76=DataBase!$B$9,DataBase!$C$9,IF(BY76=DataBase!$B$10,DataBase!$C$10)))*CA76</f>
        <v>19.921568627450981</v>
      </c>
      <c r="CU76" s="132">
        <f>IF(BX76=DataBase!$B$14,DataBase!$E$14,IF(BX76=DataBase!$B$15,DataBase!$E$15,IF(BX76=DataBase!$B$16,DataBase!$E$16)))</f>
        <v>125</v>
      </c>
      <c r="CV76" s="132">
        <f>IF(BU76=DataBase!$B$21,DataBase!$E$21,IF(BU76=DataBase!$B$22,DataBase!$E$22,IF(BU76=DataBase!$B$23,DataBase!$E$23,IF(BU76=DataBase!$B$24,DataBase!$E$24,IF(BU76=DataBase!$B$25,DataBase!$E$25)))))</f>
        <v>2000</v>
      </c>
      <c r="CW76" s="132">
        <f>IF(BY76=DataBase!$B$8,DataBase!$C$8,IF(BY76=DataBase!$B$9,DataBase!$C$9,IF(BY76=DataBase!$B$10,DataBase!$C$10)))</f>
        <v>3</v>
      </c>
      <c r="CX76" s="140">
        <f>POWER(CA76/((DataBase!$F$5*CW76)),DataBase!$E$52)*DataBase!$F$5*CW76/CA76</f>
        <v>1.1394328171664916</v>
      </c>
      <c r="CY76" s="132">
        <f>IF(BV76=DataBase!$B$30,DataBase!$F$30,IF(BV76=DataBase!$B$31,DataBase!$F$31,IF(BV76=DataBase!$B$32,DataBase!$F$32,IF(BV76=DataBase!$B$33,DataBase!$F$33,IF(BV76=DataBase!$B$34,DataBase!$F$34)))))</f>
        <v>1</v>
      </c>
      <c r="CZ76" s="132">
        <f>CV76*CX76*CY76*DS76</f>
        <v>3190.4118880661763</v>
      </c>
      <c r="DA76" s="132">
        <f>IF(BX76=DataBase!$B$14,DataBase!$H$14,IF(BX76=DataBase!$B$15,DataBase!$H$15,IF(BX76=DataBase!$B$16,DataBase!$H$16)))*CO76</f>
        <v>100</v>
      </c>
      <c r="DB76" s="132">
        <f>IF(BV76=DataBase!$B$30,DataBase!$H$30,IF(BV76=DataBase!$B$31,DataBase!$H$31,IF(BV76=DataBase!$B$32,DataBase!$H$32,IF(BV76=DataBase!$B$33,DataBase!$H$33,IF(BV76=DataBase!$B$34,DataBase!$H$34)))))</f>
        <v>1</v>
      </c>
      <c r="DC76" s="132">
        <f>IF(BU76=DataBase!$B$21,DataBase!$G$21,IF(BU76=DataBase!$B$22,DataBase!$G$22,IF(BU76=DataBase!$B$23,DataBase!$G$23,IF(BU76=DataBase!$B$24,DataBase!$G$24,IF(BU76=DataBase!$B$25,DataBase!$G$25)))))</f>
        <v>1.4</v>
      </c>
      <c r="DD76" s="132">
        <f>DA76*DB76*DC76+IF(CE76=DataBase!$B$44,DataBase!$G$44,IF(CE76=DataBase!$B$45,DataBase!$G$45,IF(CE76=DataBase!$B$46,DataBase!$G$46,IF(CE76=DataBase!$B$47,DataBase!$G$47,IF(CE76=DataBase!$B$48,DataBase!$G$48,IF(CE76=DataBase!$B$49,DataBase!$G$49))))))</f>
        <v>140</v>
      </c>
      <c r="DE76" s="133">
        <f>CU76+CZ76+DD76</f>
        <v>3455.4118880661763</v>
      </c>
      <c r="DF76" s="132">
        <f>IF(BY76=DataBase!$B$8,0,((BZ76-1)/BZ76)/IF(BY76=DataBase!$B$9,2,IF(BY76=DataBase!$B$10,3/2))*CA76)</f>
        <v>39.843137254901961</v>
      </c>
      <c r="DG76" s="132">
        <f>IF(BX76=DataBase!$B$14,DataBase!$F$14,IF(BX76=DataBase!$B$15,DataBase!$F$15,IF(BX76=DataBase!$B$16,DataBase!$F$16)))</f>
        <v>125</v>
      </c>
      <c r="DH76" s="132">
        <f>IF(BU76=DataBase!$B$21,DataBase!$F$21,IF(BU76=DataBase!$B$22,DataBase!$F$22,IF(BU76=DataBase!$B$23,DataBase!$F$23,IF(BU76=DataBase!$B$24,DataBase!$F$24,IF(BU76=DataBase!$B$25,DataBase!$F$25)))))</f>
        <v>579</v>
      </c>
      <c r="DI76" s="132">
        <f>IF(BY76=DataBase!$B$8,DataBase!$E$8,IF(BY76=DataBase!$B$9,DataBase!$E$9,IF(BY76=DataBase!$B$10,DataBase!$E$10)))</f>
        <v>2</v>
      </c>
      <c r="DJ76" s="140">
        <f>IF(DI76=0,0,POWER(CA76/((DataBase!$F$5*DI76)),DataBase!$E$52)*DataBase!$F$5*DI76/CA76)</f>
        <v>1</v>
      </c>
      <c r="DK76" s="132">
        <f>IF(BV76=DataBase!$B$30,DataBase!$G$30,IF(BV76=DataBase!$B$31,DataBase!$G$31,IF(BV76=DataBase!$B$32,DataBase!$G$32,IF(BV76=DataBase!$B$33,DataBase!$G$33,IF(BV76=DataBase!$B$34,DataBase!$G$34)))))</f>
        <v>1</v>
      </c>
      <c r="DL76" s="132">
        <f>DH76*DJ76*DK76*DS76</f>
        <v>810.59999999999991</v>
      </c>
      <c r="DM76" s="132">
        <f>IF(BX76=DataBase!$B$14,DataBase!$J$14,IF(BX76=DataBase!$B$15,DataBase!$J$15,IF(BX76=DataBase!$B$16,DataBase!$J$16)))*CO76</f>
        <v>50</v>
      </c>
      <c r="DN76" s="132">
        <f>IF(BV76=DataBase!$B$30,DataBase!$H$30,IF(BV76=DataBase!$B$31,DataBase!$H$31,IF(BV76=DataBase!$B$32,DataBase!$H$32,IF(BV76=DataBase!$B$33,DataBase!$H$33,IF(BV76=DataBase!$B$34,DataBase!$H$34)))))</f>
        <v>1</v>
      </c>
      <c r="DO76" s="132">
        <f>IF(BU76=DataBase!$B$21,DataBase!$G$21,IF(BU76=DataBase!$B$22,DataBase!$G$22,IF(BU76=DataBase!$B$23,DataBase!$G$23,IF(BU76=DataBase!$B$24,DataBase!$G$24,IF(BU76=DataBase!$B$25,DataBase!$G$25)))))</f>
        <v>1.4</v>
      </c>
      <c r="DP76" s="132">
        <f>DM76*DN76*DO76+IF(CE76=DataBase!$B$44,DataBase!$G$44,IF(CE76=DataBase!$B$45,DataBase!$G$45,IF(CE76=DataBase!$B$46,DataBase!$G$46,IF(CE76=DataBase!$B$47,DataBase!$G$47,IF(CE76=DataBase!$B$48,DataBase!$G$48,IF(CE76=DataBase!$B$49,DataBase!$G$49))))))</f>
        <v>70</v>
      </c>
      <c r="DQ76" s="133">
        <f>DG76+DL76+DP76</f>
        <v>1005.5999999999999</v>
      </c>
      <c r="DR76" s="134">
        <f>IF(CE76=DataBase!$B$44,DataBase!$C$44,IF(CE76=DataBase!$B$45,DataBase!$C$45,IF(CE76=DataBase!$B$46,DataBase!$C$46,IF(CE76=DataBase!$B$47,DataBase!$C$47,IF(CE76=DataBase!$B$48,DataBase!$C$48,IF(CE76=DataBase!$B$49,DataBase!$C$49))))))</f>
        <v>1.2</v>
      </c>
      <c r="DS76" s="134">
        <f>IF(CE76=DataBase!$B$44,DataBase!$D$44,IF(CE76=DataBase!$B$45,DataBase!$D$45,IF(CE76=DataBase!$B$46,DataBase!$D$46,IF(CE76=DataBase!$B$47,DataBase!$D$47,IF(CE76=DataBase!$B$48,DataBase!$D$48,IF(CE76=DataBase!$B$49,DataBase!$D$49))))))</f>
        <v>1.4</v>
      </c>
      <c r="DT76" s="132">
        <f>DQ76*8*DF76+DE76*8*CT76+CS76*CH76*8</f>
        <v>1549401.9887490566</v>
      </c>
      <c r="DU76" s="132">
        <f>POWER(((DataBase!$C$5*DataBase!$E$5)/(CB76*CC76)),DataBase!$E$53)</f>
        <v>1</v>
      </c>
      <c r="DV76" s="132">
        <f>IF(CD76=DataBase!$B$37,DataBase!$C$37,IF(CD76=DataBase!$B$38,DataBase!$C$38))</f>
        <v>1</v>
      </c>
      <c r="DX76" s="136">
        <f>DV76*DU76*DT76</f>
        <v>1549401.9887490566</v>
      </c>
      <c r="DY76" s="132" t="s">
        <v>630</v>
      </c>
      <c r="EA76" s="137" t="str">
        <f>IF(C76=DataBase!$J$49,DataBase!$O$49,IF(C76=DataBase!$J$50,DataBase!$O$50,IF(C76=DataBase!$J$51,DataBase!$O$51,IF(C76=DataBase!$J$52,DataBase!$O$52))))</f>
        <v>busy</v>
      </c>
      <c r="EB76" s="132" t="str">
        <f>IF(D76=DataBase!$J$44,DataBase!$L$44,IF(D76=DataBase!$J$45,DataBase!$L$45,IF(D76=DataBase!$J$46,DataBase!$L$46)))</f>
        <v>medium</v>
      </c>
      <c r="EC76" s="137"/>
      <c r="ED76" s="137" t="str">
        <f>$F76</f>
        <v>normale z.B. typische parkplatz Straßenszene</v>
      </c>
      <c r="EE76" s="137" t="str">
        <f>$G76</f>
        <v>IBBP</v>
      </c>
      <c r="EF76" s="137">
        <f>$H76</f>
        <v>255</v>
      </c>
      <c r="EG76" s="137">
        <f>$I76</f>
        <v>60</v>
      </c>
      <c r="EH76" s="137">
        <f>$J76</f>
        <v>1920</v>
      </c>
      <c r="EI76" s="137">
        <f>$K76</f>
        <v>1080</v>
      </c>
      <c r="EJ76" s="137" t="str">
        <f>$L76</f>
        <v>h_264</v>
      </c>
      <c r="EK76" s="137" t="str">
        <f>$M76</f>
        <v>CPP_7_3</v>
      </c>
      <c r="EL76" s="137">
        <f>$E76</f>
        <v>0</v>
      </c>
      <c r="EN76" s="132">
        <f>1/EF76*EG76</f>
        <v>0.23529411764705882</v>
      </c>
      <c r="EO76" s="132">
        <f>IF(ED76=DataBase!$B$14,DataBase!$C$14,IF(ED76=DataBase!$B$15,DataBase!$C$15,IF(ED76=DataBase!$B$16,DataBase!$C$16)))</f>
        <v>300000</v>
      </c>
      <c r="EP76" s="132">
        <f>IF(EB76=DataBase!$B$30,DataBase!$C$30,IF(EB76=DataBase!$B$31,DataBase!$C$31,IF(EB76=DataBase!$B$32,DataBase!$C$32,IF(EB76=DataBase!$B$33,DataBase!$C$33,IF(EB76=DataBase!$B$34,DataBase!$C$34)))))</f>
        <v>1</v>
      </c>
      <c r="EQ76" s="132">
        <f>EO76*EP76</f>
        <v>300000</v>
      </c>
      <c r="ER76" s="132">
        <f>IF(ED76=DataBase!$B$14,DataBase!$G$14,IF(ED76=DataBase!$B$15,DataBase!$G$15,IF(ED76=DataBase!$B$16,DataBase!$G$16)))</f>
        <v>200</v>
      </c>
      <c r="ES76" s="132">
        <f>IF(EL76=DataBase!$K$20,1,IF(EL76=DataBase!$K$21,1,0))</f>
        <v>0</v>
      </c>
      <c r="ET76" s="132">
        <f>IF(EL76=DataBase!$K$20,DataBase!$M$20,IF(EL76=DataBase!$K$21,DataBase!$M$21,0))</f>
        <v>0</v>
      </c>
      <c r="EU76" s="132">
        <f>IF(ES76=1,IF(ET76&lt;&gt;0,ET76,ER76),ER76)</f>
        <v>200</v>
      </c>
      <c r="EV76" s="132">
        <f>IF(EB76=DataBase!$B$30,DataBase!$H$30,IF(EB76=DataBase!$B$31,DataBase!$H$31,IF(EB76=DataBase!$B$32,DataBase!$H$32,IF(EB76=DataBase!$B$33,DataBase!$H$33,IF(EB76=DataBase!$B$34,DataBase!$H$34)))))</f>
        <v>1</v>
      </c>
      <c r="EW76" s="132">
        <f>IF(EA76=DataBase!$B$21,DataBase!$G$21,IF(EA76=DataBase!$B$22,DataBase!$G$22,IF(EA76=DataBase!$B$23,DataBase!$G$23,IF(EA76=DataBase!$B$24,DataBase!$G$24,IF(EA76=DataBase!$B$25,DataBase!$G$25)))))</f>
        <v>2</v>
      </c>
      <c r="EX76" s="132">
        <f>IF(EK76=DataBase!$B$44,DataBase!$G$44,IF($F76=DataBase!$B$45,DataBase!$G$45,IF(EK76=DataBase!$B$46,DataBase!$G$46,IF(EK76=DataBase!$B$47,DataBase!$G$47,IF(EK76=DataBase!$B$48,DataBase!$G$48,IF(EK76=DataBase!$B$49,DataBase!$G$49))))))+EU76*EV76*EW76</f>
        <v>400</v>
      </c>
      <c r="EY76" s="132">
        <f>EX76+EQ76*FX76</f>
        <v>360400</v>
      </c>
      <c r="EZ76" s="132">
        <f>((EF76-1)/EF76)/IF(EE76=DataBase!$B$8,DataBase!$C$8,IF(EE76=DataBase!$B$9,DataBase!$C$9,IF(EE76=DataBase!$B$10,DataBase!$C$10)))*EG76</f>
        <v>19.921568627450981</v>
      </c>
      <c r="FA76" s="132">
        <f>IF(ED76=DataBase!$B$14,DataBase!$E$14,IF(ED76=DataBase!$B$15,DataBase!$E$15,IF(ED76=DataBase!$B$16,DataBase!$E$16)))</f>
        <v>125</v>
      </c>
      <c r="FB76" s="132">
        <f>IF(EA76=DataBase!$B$21,DataBase!$E$21,IF(EA76=DataBase!$B$22,DataBase!$E$22,IF(EA76=DataBase!$B$23,DataBase!$E$23,IF(EA76=DataBase!$B$24,DataBase!$E$24,IF(EA76=DataBase!$B$25,DataBase!$E$25)))))</f>
        <v>10000</v>
      </c>
      <c r="FC76" s="132">
        <f>IF(EE76=DataBase!$B$8,DataBase!$C$8,IF(EE76=DataBase!$B$9,DataBase!$C$9,IF(EE76=DataBase!$B$10,DataBase!$C$10)))</f>
        <v>3</v>
      </c>
      <c r="FD76" s="140">
        <f>POWER(EG76/((DataBase!$F$5*FC76)),DataBase!$E$52)*DataBase!$F$5*FC76/EG76</f>
        <v>1.1394328171664916</v>
      </c>
      <c r="FE76" s="132">
        <f>IF(EB76=DataBase!$B$30,DataBase!$F$30,IF(EB76=DataBase!$B$31,DataBase!$F$31,IF(EB76=DataBase!$B$32,DataBase!$F$32,IF(EB76=DataBase!$B$33,DataBase!$F$33,IF(EB76=DataBase!$B$34,DataBase!$F$34)))))</f>
        <v>1</v>
      </c>
      <c r="FF76" s="132">
        <f>FB76*FD76*FE76*FY76</f>
        <v>15952.059440330882</v>
      </c>
      <c r="FG76" s="132">
        <f>IF(ED76=DataBase!$B$14,DataBase!$H$14,IF(ED76=DataBase!$B$15,DataBase!$H$15,IF(ED76=DataBase!$B$16,DataBase!$H$16)))*EU76</f>
        <v>100</v>
      </c>
      <c r="FH76" s="132">
        <f>IF(EB76=DataBase!$B$30,DataBase!$H$30,IF(EB76=DataBase!$B$31,DataBase!$H$31,IF(EB76=DataBase!$B$32,DataBase!$H$32,IF(EB76=DataBase!$B$33,DataBase!$H$33,IF(EB76=DataBase!$B$34,DataBase!$H$34)))))</f>
        <v>1</v>
      </c>
      <c r="FI76" s="132">
        <f>IF(EA76=DataBase!$B$21,DataBase!$G$21,IF(EA76=DataBase!$B$22,DataBase!$G$22,IF(EA76=DataBase!$B$23,DataBase!$G$23,IF(EA76=DataBase!$B$24,DataBase!$G$24,IF(EA76=DataBase!$B$25,DataBase!$G$25)))))</f>
        <v>2</v>
      </c>
      <c r="FJ76" s="132">
        <f>FG76*FH76*FI76+IF(EK76=DataBase!$B$44,DataBase!$G$44,IF(EK76=DataBase!$B$45,DataBase!$G$45,IF(EK76=DataBase!$B$46,DataBase!$G$46,IF(EK76=DataBase!$B$47,DataBase!$G$47,IF(EK76=DataBase!$B$48,DataBase!$G$48,IF(EK76=DataBase!$B$49,DataBase!$G$49))))))</f>
        <v>200</v>
      </c>
      <c r="FK76" s="133">
        <f>FA76+FF76+FJ76</f>
        <v>16277.059440330882</v>
      </c>
      <c r="FL76" s="132">
        <f>IF(EE76=DataBase!$B$8,0,((EF76-1)/EF76)/IF(EE76=DataBase!$B$9,2,IF(EE76=DataBase!$B$10,3/2))*EG76)</f>
        <v>39.843137254901961</v>
      </c>
      <c r="FM76" s="132">
        <f>IF(ED76=DataBase!$B$14,DataBase!$F$14,IF(ED76=DataBase!$B$15,DataBase!$F$15,IF(ED76=DataBase!$B$16,DataBase!$F$16)))</f>
        <v>125</v>
      </c>
      <c r="FN76" s="132">
        <f>IF(EA76=DataBase!$B$21,DataBase!$F$21,IF(EA76=DataBase!$B$22,DataBase!$F$22,IF(EA76=DataBase!$B$23,DataBase!$F$23,IF(EA76=DataBase!$B$24,DataBase!$F$24,IF(EA76=DataBase!$B$25,DataBase!$F$25)))))</f>
        <v>2500</v>
      </c>
      <c r="FO76" s="132">
        <f>IF(EE76=DataBase!$B$8,DataBase!$E$8,IF(EE76=DataBase!$B$9,DataBase!$E$9,IF(EE76=DataBase!$B$10,DataBase!$E$10)))</f>
        <v>2</v>
      </c>
      <c r="FP76" s="140">
        <f>IF(FO76=0,0,POWER(EG76/((DataBase!$F$5*FO76)),DataBase!$E$52)*DataBase!$F$5*FO76/EG76)</f>
        <v>1</v>
      </c>
      <c r="FQ76" s="132">
        <f>IF(EB76=DataBase!$B$30,DataBase!$G$30,IF(EB76=DataBase!$B$31,DataBase!$G$31,IF(EB76=DataBase!$B$32,DataBase!$G$32,IF(EB76=DataBase!$B$33,DataBase!$G$33,IF(EB76=DataBase!$B$34,DataBase!$G$34)))))</f>
        <v>1</v>
      </c>
      <c r="FR76" s="132">
        <f>FN76*FP76*FQ76*FY76</f>
        <v>3500</v>
      </c>
      <c r="FS76" s="132">
        <f>IF(ED76=DataBase!$B$14,DataBase!$J$14,IF(ED76=DataBase!$B$15,DataBase!$J$15,IF(ED76=DataBase!$B$16,DataBase!$J$16)))*EU76</f>
        <v>50</v>
      </c>
      <c r="FT76" s="132">
        <f>IF(EB76=DataBase!$B$30,DataBase!$H$30,IF(EB76=DataBase!$B$31,DataBase!$H$31,IF(EB76=DataBase!$B$32,DataBase!$H$32,IF(EB76=DataBase!$B$33,DataBase!$H$33,IF(EB76=DataBase!$B$34,DataBase!$H$34)))))</f>
        <v>1</v>
      </c>
      <c r="FU76" s="132">
        <f>IF(EA76=DataBase!$B$21,DataBase!$G$21,IF(EA76=DataBase!$B$22,DataBase!$G$22,IF(EA76=DataBase!$B$23,DataBase!$G$23,IF(EA76=DataBase!$B$24,DataBase!$G$24,IF(EA76=DataBase!$B$25,DataBase!$G$25)))))</f>
        <v>2</v>
      </c>
      <c r="FV76" s="132">
        <f>FS76*FT76*FU76+IF(EK76=DataBase!$B$44,DataBase!$G$44,IF(EK76=DataBase!$B$45,DataBase!$G$45,IF(EK76=DataBase!$B$46,DataBase!$G$46,IF(EK76=DataBase!$B$47,DataBase!$G$47,IF(EK76=DataBase!$B$48,DataBase!$G$48,IF(EK76=DataBase!$B$49,DataBase!$G$49))))))</f>
        <v>100</v>
      </c>
      <c r="FW76" s="133">
        <f>FM76+FR76+FV76</f>
        <v>3725</v>
      </c>
      <c r="FX76" s="134">
        <f>IF(EK76=DataBase!$B$44,DataBase!$C$44,IF(EK76=DataBase!$B$45,DataBase!$C$45,IF(EK76=DataBase!$B$46,DataBase!$C$46,IF(EK76=DataBase!$B$47,DataBase!$C$47,IF(EK76=DataBase!$B$48,DataBase!$C$48,IF(EK76=DataBase!$B$49,DataBase!$C$49))))))</f>
        <v>1.2</v>
      </c>
      <c r="FY76" s="134">
        <f>IF(EK76=DataBase!$B$44,DataBase!$D$44,IF(EK76=DataBase!$B$45,DataBase!$D$45,IF(EK76=DataBase!$B$46,DataBase!$D$46,IF(EK76=DataBase!$B$47,DataBase!$D$47,IF(EK76=DataBase!$B$48,DataBase!$D$48,IF(EK76=DataBase!$B$49,DataBase!$D$49))))))</f>
        <v>1.4</v>
      </c>
      <c r="FZ76" s="132">
        <f>FW76*8*FL76+FK76*8*EZ76+EY76*EN76*8</f>
        <v>4459841.9437452834</v>
      </c>
      <c r="GA76" s="132">
        <f>POWER(((DataBase!$C$5*DataBase!$E$5)/(EH76*EI76)),DataBase!$E$53)</f>
        <v>1</v>
      </c>
      <c r="GB76" s="132">
        <f>IF(EJ76=DataBase!$B$37,DataBase!$C$37,IF(EJ76=DataBase!$B$38,DataBase!$C$38))</f>
        <v>1</v>
      </c>
      <c r="GD76" s="136">
        <f>GB76*GA76*FZ76</f>
        <v>4459841.9437452834</v>
      </c>
      <c r="GE76" s="132" t="s">
        <v>630</v>
      </c>
      <c r="GG76" s="132">
        <f>IF($C76=DataBase!$J$49,DataBase!$L$49,IF($C76=DataBase!$J$50,DataBase!$L$50,IF($C76=DataBase!$J$51,DataBase!$L$51,IF($C76=DataBase!$J$52,DataBase!$L$52))))</f>
        <v>0.89</v>
      </c>
      <c r="GH76" s="132">
        <f>IF($C76=DataBase!$J$49,DataBase!$N$49,IF($C76=DataBase!$J$50,DataBase!$N$50,IF($C76=DataBase!$J$51,DataBase!$N$51,IF($C76=DataBase!$J$52,DataBase!$N$52))))</f>
        <v>0.1</v>
      </c>
      <c r="GI76" s="132">
        <f>IF($C76=DataBase!$J$49,DataBase!$P$49,IF($C76=DataBase!$J$50,DataBase!$P$50,IF($C76=DataBase!$J$51,DataBase!$P$51,IF($C76=DataBase!$J$52,DataBase!$P$52))))</f>
        <v>9.9999999999999811E-3</v>
      </c>
      <c r="GK76" s="136">
        <f>$GG76*BR76</f>
        <v>684999.84313725494</v>
      </c>
      <c r="GL76" s="132" t="s">
        <v>630</v>
      </c>
      <c r="GM76" s="136">
        <f>$DX76*GH76</f>
        <v>154940.19887490568</v>
      </c>
      <c r="GN76" s="132" t="s">
        <v>630</v>
      </c>
      <c r="GO76" s="136">
        <f>$GD76*GI76</f>
        <v>44598.419437452751</v>
      </c>
      <c r="GP76" s="132" t="s">
        <v>630</v>
      </c>
      <c r="GR76" s="136">
        <f>GO76+GM76+GK76</f>
        <v>884538.46144961333</v>
      </c>
      <c r="GS76" s="132" t="s">
        <v>630</v>
      </c>
      <c r="GU76" s="136">
        <f>MAX($GD76,$DX76,$BR76)</f>
        <v>4459841.9437452834</v>
      </c>
      <c r="GV76" s="132" t="s">
        <v>630</v>
      </c>
      <c r="GW76" s="132">
        <f>IF($M76=DataBase!$B$44,DataBase!$E$44,IF($M76=DataBase!$B$45,DataBase!$E$45,IF($M76=DataBase!$B$46,DataBase!$E$46,IF($M76=DataBase!$B$47,DataBase!$E$47,IF($M76=DataBase!$B$48,DataBase!$E$48,IF($M76=DataBase!$B$49,DataBase!$E$49))))))</f>
        <v>1</v>
      </c>
      <c r="GY76" s="132">
        <f>IF($D76=DataBase!$J$44,DataBase!$M$44,IF($D76=DataBase!$J$45,DataBase!$M$45,IF($D76=DataBase!$J$46,DataBase!$M$46)))</f>
        <v>4</v>
      </c>
      <c r="GZ76" s="132">
        <f>IF($D76=DataBase!$J$44,DataBase!$K$44,IF($D76=DataBase!$J$45,DataBase!$K$45,IF($D76=DataBase!$J$46,DataBase!$K$46)))</f>
        <v>1</v>
      </c>
      <c r="HA76" s="132">
        <f>IF($M76=DataBase!$B$44,DataBase!$F$44,IF($M76=DataBase!$B$45,DataBase!$F$45,IF($M76=DataBase!$B$46,DataBase!$F$46,IF($M76=DataBase!$B$47,DataBase!$F$47,IF($M76=DataBase!$B$48,DataBase!$F$48,IF($M76=DataBase!$B$49,DataBase!$F$49))))))</f>
        <v>32000000</v>
      </c>
      <c r="HB76" s="132" t="s">
        <v>630</v>
      </c>
      <c r="HC76" s="132" t="str">
        <f>C76&amp;D76&amp;I76&amp;J76&amp;K76&amp;M76</f>
        <v>staticbitrate optimized6019201080CPP_7_3</v>
      </c>
      <c r="HD76" s="136">
        <f>MIN(HA76,MAX(GZ76*IF(0=GW76,GR76,IF(1=GW76,GR76,IF(2=GW76,GU76)))))</f>
        <v>884538.46144961333</v>
      </c>
      <c r="HE76" s="132" t="s">
        <v>630</v>
      </c>
      <c r="HG76" s="132" t="str">
        <f>IF(GW76=1,"SUPPORTED","NOT SUPPORTED")</f>
        <v>SUPPORTED</v>
      </c>
      <c r="HH76" s="136">
        <f>HJ76</f>
        <v>4459841.9437452834</v>
      </c>
      <c r="HI76" s="132" t="s">
        <v>630</v>
      </c>
      <c r="HJ76" s="136">
        <f>MIN(HA76,GZ76*IF(GW76=0,2*GR76,GU76))</f>
        <v>4459841.9437452834</v>
      </c>
      <c r="HK76" s="132" t="s">
        <v>630</v>
      </c>
      <c r="HL76" s="132" t="str">
        <f>IF(GW76=1,IF($D76=DataBase!$J$44,DataBase!$L$44,IF($D76=DataBase!$J$45,DataBase!$L$45,IF($D76=DataBase!$J$46,DataBase!$L$46))),"OFF")</f>
        <v>medium</v>
      </c>
      <c r="HM76" s="132">
        <f>0</f>
        <v>0</v>
      </c>
      <c r="HO76" s="136">
        <f>MIN(HA76,MAX(HQ76/GY76,GZ76*IF(0=GW76,GR76,IF(1=GW76,GR76,IF(2=GW76,GU76)))))</f>
        <v>1114960.4859363209</v>
      </c>
      <c r="HP76" s="132" t="s">
        <v>630</v>
      </c>
      <c r="HQ76" s="136">
        <f>MIN(HA76,GZ76*IF(GW76=0,2*GR76,GU76))</f>
        <v>4459841.9437452834</v>
      </c>
      <c r="HR76" s="132" t="s">
        <v>630</v>
      </c>
      <c r="HS76" s="132" t="str">
        <f>IF(GW76=1,IF($D76=DataBase!$J$44,DataBase!$L$44,IF($D76=DataBase!$J$45,DataBase!$L$45,IF($D76=DataBase!$J$46,DataBase!$L$46))),"OFF")</f>
        <v>medium</v>
      </c>
      <c r="HT76" s="132">
        <f>IF(GW76=1,3600*24*GW76,0)</f>
        <v>86400</v>
      </c>
    </row>
    <row r="77" spans="3:228" ht="24" thickBot="1">
      <c r="C77" s="668" t="s">
        <v>697</v>
      </c>
      <c r="D77" s="669"/>
      <c r="E77" s="669"/>
      <c r="F77" s="669"/>
      <c r="G77" s="669"/>
      <c r="H77" s="669"/>
      <c r="I77" s="669"/>
      <c r="J77" s="669"/>
      <c r="K77" s="669"/>
      <c r="L77" s="669"/>
      <c r="M77" s="670"/>
      <c r="O77" s="86" t="s">
        <v>696</v>
      </c>
      <c r="P77" s="83"/>
      <c r="Q77" s="68"/>
      <c r="R77" s="85"/>
      <c r="S77" s="84"/>
      <c r="T77" s="84"/>
      <c r="U77" s="84"/>
      <c r="V77" s="84"/>
      <c r="W77" s="84"/>
      <c r="X77" s="84"/>
      <c r="Y77" s="84"/>
      <c r="Z77" s="83"/>
      <c r="AA77" s="68"/>
      <c r="AC77" s="79" t="s">
        <v>695</v>
      </c>
      <c r="AD77" s="78"/>
      <c r="AE77" s="80"/>
      <c r="AF77" s="78" t="s">
        <v>694</v>
      </c>
      <c r="AG77" s="78"/>
      <c r="AH77" s="78"/>
      <c r="AI77" s="78"/>
      <c r="AJ77" s="78"/>
      <c r="AK77" s="78"/>
      <c r="AL77" s="80"/>
      <c r="AO77" s="81" t="s">
        <v>693</v>
      </c>
      <c r="AP77" s="79" t="s">
        <v>692</v>
      </c>
      <c r="AQ77" s="78"/>
      <c r="AR77" s="78"/>
      <c r="AS77" s="78"/>
      <c r="AT77" s="78"/>
      <c r="AU77" s="79" t="s">
        <v>691</v>
      </c>
      <c r="AV77" s="78"/>
      <c r="AW77" s="78"/>
      <c r="AX77" s="80"/>
      <c r="AY77" s="82"/>
      <c r="BA77" s="81" t="s">
        <v>693</v>
      </c>
      <c r="BB77" s="79" t="s">
        <v>692</v>
      </c>
      <c r="BC77" s="78"/>
      <c r="BD77" s="78"/>
      <c r="BE77" s="78"/>
      <c r="BF77" s="78"/>
      <c r="BG77" s="79" t="s">
        <v>691</v>
      </c>
      <c r="BH77" s="78"/>
      <c r="BI77" s="78"/>
      <c r="BJ77" s="80"/>
      <c r="BK77" s="59"/>
      <c r="BO77" s="79" t="s">
        <v>690</v>
      </c>
      <c r="BP77" s="78"/>
      <c r="BU77" s="86" t="s">
        <v>696</v>
      </c>
      <c r="BV77" s="83"/>
      <c r="BW77" s="68"/>
      <c r="BX77" s="85"/>
      <c r="BY77" s="84"/>
      <c r="BZ77" s="84"/>
      <c r="CA77" s="84"/>
      <c r="CB77" s="84"/>
      <c r="CC77" s="84"/>
      <c r="CD77" s="84"/>
      <c r="CE77" s="84"/>
      <c r="CF77" s="83"/>
      <c r="CG77" s="68"/>
      <c r="CI77" s="79" t="s">
        <v>695</v>
      </c>
      <c r="CJ77" s="78"/>
      <c r="CK77" s="80"/>
      <c r="CL77" s="78" t="s">
        <v>694</v>
      </c>
      <c r="CM77" s="78"/>
      <c r="CN77" s="78"/>
      <c r="CO77" s="78"/>
      <c r="CP77" s="78"/>
      <c r="CQ77" s="78"/>
      <c r="CR77" s="80"/>
      <c r="CU77" s="81" t="s">
        <v>693</v>
      </c>
      <c r="CV77" s="79" t="s">
        <v>692</v>
      </c>
      <c r="CW77" s="78"/>
      <c r="CX77" s="78"/>
      <c r="CY77" s="78"/>
      <c r="CZ77" s="78"/>
      <c r="DA77" s="79" t="s">
        <v>691</v>
      </c>
      <c r="DB77" s="78"/>
      <c r="DC77" s="78"/>
      <c r="DD77" s="80"/>
      <c r="DE77" s="82"/>
      <c r="DG77" s="81" t="s">
        <v>693</v>
      </c>
      <c r="DH77" s="79" t="s">
        <v>692</v>
      </c>
      <c r="DI77" s="78"/>
      <c r="DJ77" s="78"/>
      <c r="DK77" s="78"/>
      <c r="DL77" s="78"/>
      <c r="DM77" s="79" t="s">
        <v>691</v>
      </c>
      <c r="DN77" s="78"/>
      <c r="DO77" s="78"/>
      <c r="DP77" s="80"/>
      <c r="DQ77" s="59"/>
      <c r="DU77" s="79" t="s">
        <v>690</v>
      </c>
      <c r="DV77" s="78"/>
      <c r="EA77" s="86" t="s">
        <v>696</v>
      </c>
      <c r="EB77" s="83"/>
      <c r="EC77" s="68"/>
      <c r="ED77" s="85"/>
      <c r="EE77" s="84"/>
      <c r="EF77" s="84"/>
      <c r="EG77" s="84"/>
      <c r="EH77" s="84"/>
      <c r="EI77" s="84"/>
      <c r="EJ77" s="84"/>
      <c r="EK77" s="84"/>
      <c r="EL77" s="83"/>
      <c r="EM77" s="68"/>
      <c r="EO77" s="79" t="s">
        <v>695</v>
      </c>
      <c r="EP77" s="78"/>
      <c r="EQ77" s="80"/>
      <c r="ER77" s="78" t="s">
        <v>694</v>
      </c>
      <c r="ES77" s="78"/>
      <c r="ET77" s="78"/>
      <c r="EU77" s="78"/>
      <c r="EV77" s="78"/>
      <c r="EW77" s="78"/>
      <c r="EX77" s="80"/>
      <c r="FA77" s="81" t="s">
        <v>693</v>
      </c>
      <c r="FB77" s="79" t="s">
        <v>692</v>
      </c>
      <c r="FC77" s="78"/>
      <c r="FD77" s="78"/>
      <c r="FE77" s="78"/>
      <c r="FF77" s="78"/>
      <c r="FG77" s="79" t="s">
        <v>691</v>
      </c>
      <c r="FH77" s="78"/>
      <c r="FI77" s="78"/>
      <c r="FJ77" s="80"/>
      <c r="FK77" s="82"/>
      <c r="FM77" s="81" t="s">
        <v>693</v>
      </c>
      <c r="FN77" s="79" t="s">
        <v>692</v>
      </c>
      <c r="FO77" s="78"/>
      <c r="FP77" s="78"/>
      <c r="FQ77" s="78"/>
      <c r="FR77" s="78"/>
      <c r="FS77" s="79" t="s">
        <v>691</v>
      </c>
      <c r="FT77" s="78"/>
      <c r="FU77" s="78"/>
      <c r="FV77" s="80"/>
      <c r="FW77" s="59"/>
      <c r="GA77" s="79" t="s">
        <v>690</v>
      </c>
      <c r="GB77" s="78"/>
      <c r="HD77" s="671" t="s">
        <v>689</v>
      </c>
      <c r="HE77" s="672"/>
      <c r="HG77" s="426"/>
      <c r="HH77" s="662" t="s">
        <v>688</v>
      </c>
      <c r="HI77" s="662"/>
      <c r="HJ77" s="662"/>
      <c r="HK77" s="662"/>
      <c r="HL77" s="662"/>
      <c r="HM77" s="663"/>
      <c r="HO77" s="661" t="s">
        <v>687</v>
      </c>
      <c r="HP77" s="662"/>
      <c r="HQ77" s="662"/>
      <c r="HR77" s="662"/>
      <c r="HS77" s="662"/>
      <c r="HT77" s="663"/>
    </row>
    <row r="78" spans="3:228" ht="15.75" thickBot="1">
      <c r="C78" s="75" t="s">
        <v>686</v>
      </c>
      <c r="D78" s="74" t="s">
        <v>685</v>
      </c>
      <c r="E78" s="74" t="s">
        <v>684</v>
      </c>
      <c r="F78" s="74" t="s">
        <v>681</v>
      </c>
      <c r="G78" s="74" t="s">
        <v>680</v>
      </c>
      <c r="H78" s="74" t="s">
        <v>679</v>
      </c>
      <c r="I78" s="74" t="s">
        <v>678</v>
      </c>
      <c r="J78" s="74" t="s">
        <v>618</v>
      </c>
      <c r="K78" s="74" t="s">
        <v>677</v>
      </c>
      <c r="L78" s="74" t="s">
        <v>676</v>
      </c>
      <c r="M78" s="73" t="s">
        <v>598</v>
      </c>
      <c r="O78" s="75" t="s">
        <v>683</v>
      </c>
      <c r="P78" s="73" t="s">
        <v>682</v>
      </c>
      <c r="Q78" s="76"/>
      <c r="R78" s="75" t="s">
        <v>681</v>
      </c>
      <c r="S78" s="74" t="s">
        <v>680</v>
      </c>
      <c r="T78" s="74" t="s">
        <v>679</v>
      </c>
      <c r="U78" s="74" t="s">
        <v>678</v>
      </c>
      <c r="V78" s="74" t="s">
        <v>618</v>
      </c>
      <c r="W78" s="74" t="s">
        <v>677</v>
      </c>
      <c r="X78" s="74" t="s">
        <v>676</v>
      </c>
      <c r="Y78" s="74" t="s">
        <v>598</v>
      </c>
      <c r="Z78" s="73" t="s">
        <v>675</v>
      </c>
      <c r="AA78" s="68"/>
      <c r="AB78" s="57" t="s">
        <v>674</v>
      </c>
      <c r="AC78" s="57" t="s">
        <v>661</v>
      </c>
      <c r="AD78" s="57" t="s">
        <v>662</v>
      </c>
      <c r="AE78" s="57" t="s">
        <v>673</v>
      </c>
      <c r="AF78" s="57" t="s">
        <v>672</v>
      </c>
      <c r="AG78" s="57" t="s">
        <v>671</v>
      </c>
      <c r="AH78" s="57" t="s">
        <v>670</v>
      </c>
      <c r="AI78" s="57" t="s">
        <v>669</v>
      </c>
      <c r="AJ78" s="57" t="s">
        <v>661</v>
      </c>
      <c r="AK78" s="57" t="s">
        <v>660</v>
      </c>
      <c r="AL78" s="57" t="s">
        <v>659</v>
      </c>
      <c r="AM78" s="57" t="s">
        <v>668</v>
      </c>
      <c r="AN78" s="57" t="s">
        <v>667</v>
      </c>
      <c r="AO78" s="57" t="s">
        <v>661</v>
      </c>
      <c r="AP78" s="57" t="s">
        <v>661</v>
      </c>
      <c r="AQ78" s="57" t="s">
        <v>664</v>
      </c>
      <c r="AR78" s="57" t="s">
        <v>663</v>
      </c>
      <c r="AS78" s="57" t="s">
        <v>662</v>
      </c>
      <c r="AT78" s="57" t="s">
        <v>658</v>
      </c>
      <c r="AU78" s="57" t="s">
        <v>661</v>
      </c>
      <c r="AV78" s="57" t="s">
        <v>660</v>
      </c>
      <c r="AW78" s="57" t="s">
        <v>659</v>
      </c>
      <c r="AX78" s="57" t="s">
        <v>658</v>
      </c>
      <c r="AY78" s="59" t="s">
        <v>666</v>
      </c>
      <c r="AZ78" s="57" t="s">
        <v>665</v>
      </c>
      <c r="BA78" s="57" t="s">
        <v>661</v>
      </c>
      <c r="BB78" s="57" t="s">
        <v>661</v>
      </c>
      <c r="BC78" s="57" t="s">
        <v>664</v>
      </c>
      <c r="BD78" s="57" t="s">
        <v>663</v>
      </c>
      <c r="BE78" s="57" t="s">
        <v>662</v>
      </c>
      <c r="BF78" s="57" t="s">
        <v>658</v>
      </c>
      <c r="BG78" s="57" t="s">
        <v>661</v>
      </c>
      <c r="BH78" s="57" t="s">
        <v>660</v>
      </c>
      <c r="BI78" s="57" t="s">
        <v>659</v>
      </c>
      <c r="BJ78" s="57" t="s">
        <v>658</v>
      </c>
      <c r="BK78" s="59" t="s">
        <v>657</v>
      </c>
      <c r="BL78" s="58" t="s">
        <v>656</v>
      </c>
      <c r="BM78" s="58" t="s">
        <v>655</v>
      </c>
      <c r="BN78" s="57" t="s">
        <v>652</v>
      </c>
      <c r="BO78" s="57" t="s">
        <v>654</v>
      </c>
      <c r="BP78" s="57" t="s">
        <v>653</v>
      </c>
      <c r="BR78" s="57" t="s">
        <v>652</v>
      </c>
      <c r="BU78" s="75" t="s">
        <v>683</v>
      </c>
      <c r="BV78" s="73" t="s">
        <v>682</v>
      </c>
      <c r="BW78" s="76"/>
      <c r="BX78" s="75" t="s">
        <v>681</v>
      </c>
      <c r="BY78" s="74" t="s">
        <v>680</v>
      </c>
      <c r="BZ78" s="74" t="s">
        <v>679</v>
      </c>
      <c r="CA78" s="74" t="s">
        <v>678</v>
      </c>
      <c r="CB78" s="74" t="s">
        <v>618</v>
      </c>
      <c r="CC78" s="74" t="s">
        <v>677</v>
      </c>
      <c r="CD78" s="74" t="s">
        <v>676</v>
      </c>
      <c r="CE78" s="74" t="s">
        <v>598</v>
      </c>
      <c r="CF78" s="73" t="s">
        <v>675</v>
      </c>
      <c r="CG78" s="68"/>
      <c r="CH78" s="57" t="s">
        <v>674</v>
      </c>
      <c r="CI78" s="57" t="s">
        <v>661</v>
      </c>
      <c r="CJ78" s="57" t="s">
        <v>662</v>
      </c>
      <c r="CK78" s="57" t="s">
        <v>673</v>
      </c>
      <c r="CL78" s="57" t="s">
        <v>672</v>
      </c>
      <c r="CM78" s="57" t="s">
        <v>671</v>
      </c>
      <c r="CN78" s="57" t="s">
        <v>670</v>
      </c>
      <c r="CO78" s="57" t="s">
        <v>669</v>
      </c>
      <c r="CP78" s="57" t="s">
        <v>661</v>
      </c>
      <c r="CQ78" s="57" t="s">
        <v>660</v>
      </c>
      <c r="CR78" s="57" t="s">
        <v>659</v>
      </c>
      <c r="CS78" s="57" t="s">
        <v>668</v>
      </c>
      <c r="CT78" s="57" t="s">
        <v>667</v>
      </c>
      <c r="CU78" s="57" t="s">
        <v>661</v>
      </c>
      <c r="CV78" s="57" t="s">
        <v>661</v>
      </c>
      <c r="CW78" s="57" t="s">
        <v>664</v>
      </c>
      <c r="CX78" s="57" t="s">
        <v>663</v>
      </c>
      <c r="CY78" s="57" t="s">
        <v>662</v>
      </c>
      <c r="CZ78" s="57" t="s">
        <v>658</v>
      </c>
      <c r="DA78" s="57" t="s">
        <v>661</v>
      </c>
      <c r="DB78" s="57" t="s">
        <v>660</v>
      </c>
      <c r="DC78" s="57" t="s">
        <v>659</v>
      </c>
      <c r="DD78" s="57" t="s">
        <v>658</v>
      </c>
      <c r="DE78" s="59" t="s">
        <v>666</v>
      </c>
      <c r="DF78" s="57" t="s">
        <v>665</v>
      </c>
      <c r="DG78" s="57" t="s">
        <v>661</v>
      </c>
      <c r="DH78" s="57" t="s">
        <v>661</v>
      </c>
      <c r="DI78" s="57" t="s">
        <v>664</v>
      </c>
      <c r="DJ78" s="57" t="s">
        <v>663</v>
      </c>
      <c r="DK78" s="57" t="s">
        <v>662</v>
      </c>
      <c r="DL78" s="57" t="s">
        <v>658</v>
      </c>
      <c r="DM78" s="57" t="s">
        <v>661</v>
      </c>
      <c r="DN78" s="57" t="s">
        <v>660</v>
      </c>
      <c r="DO78" s="57" t="s">
        <v>659</v>
      </c>
      <c r="DP78" s="57" t="s">
        <v>658</v>
      </c>
      <c r="DQ78" s="59" t="s">
        <v>657</v>
      </c>
      <c r="DR78" s="58" t="s">
        <v>656</v>
      </c>
      <c r="DS78" s="58" t="s">
        <v>655</v>
      </c>
      <c r="DT78" s="57" t="s">
        <v>652</v>
      </c>
      <c r="DU78" s="57" t="s">
        <v>654</v>
      </c>
      <c r="DV78" s="57" t="s">
        <v>653</v>
      </c>
      <c r="DX78" s="57" t="s">
        <v>652</v>
      </c>
      <c r="EA78" s="75" t="s">
        <v>683</v>
      </c>
      <c r="EB78" s="73" t="s">
        <v>682</v>
      </c>
      <c r="EC78" s="76"/>
      <c r="ED78" s="75" t="s">
        <v>681</v>
      </c>
      <c r="EE78" s="74" t="s">
        <v>680</v>
      </c>
      <c r="EF78" s="74" t="s">
        <v>679</v>
      </c>
      <c r="EG78" s="74" t="s">
        <v>678</v>
      </c>
      <c r="EH78" s="74" t="s">
        <v>618</v>
      </c>
      <c r="EI78" s="74" t="s">
        <v>677</v>
      </c>
      <c r="EJ78" s="74" t="s">
        <v>676</v>
      </c>
      <c r="EK78" s="74" t="s">
        <v>598</v>
      </c>
      <c r="EL78" s="73" t="s">
        <v>675</v>
      </c>
      <c r="EM78" s="68"/>
      <c r="EN78" s="57" t="s">
        <v>674</v>
      </c>
      <c r="EO78" s="57" t="s">
        <v>661</v>
      </c>
      <c r="EP78" s="57" t="s">
        <v>662</v>
      </c>
      <c r="EQ78" s="57" t="s">
        <v>673</v>
      </c>
      <c r="ER78" s="57" t="s">
        <v>672</v>
      </c>
      <c r="ES78" s="57" t="s">
        <v>671</v>
      </c>
      <c r="ET78" s="57" t="s">
        <v>670</v>
      </c>
      <c r="EU78" s="57" t="s">
        <v>669</v>
      </c>
      <c r="EV78" s="57" t="s">
        <v>661</v>
      </c>
      <c r="EW78" s="57" t="s">
        <v>660</v>
      </c>
      <c r="EX78" s="57" t="s">
        <v>659</v>
      </c>
      <c r="EY78" s="57" t="s">
        <v>668</v>
      </c>
      <c r="EZ78" s="57" t="s">
        <v>667</v>
      </c>
      <c r="FA78" s="57" t="s">
        <v>661</v>
      </c>
      <c r="FB78" s="57" t="s">
        <v>661</v>
      </c>
      <c r="FC78" s="57" t="s">
        <v>664</v>
      </c>
      <c r="FD78" s="57" t="s">
        <v>663</v>
      </c>
      <c r="FE78" s="57" t="s">
        <v>662</v>
      </c>
      <c r="FF78" s="57" t="s">
        <v>658</v>
      </c>
      <c r="FG78" s="57" t="s">
        <v>661</v>
      </c>
      <c r="FH78" s="57" t="s">
        <v>660</v>
      </c>
      <c r="FI78" s="57" t="s">
        <v>659</v>
      </c>
      <c r="FJ78" s="57" t="s">
        <v>658</v>
      </c>
      <c r="FK78" s="59" t="s">
        <v>666</v>
      </c>
      <c r="FL78" s="57" t="s">
        <v>665</v>
      </c>
      <c r="FM78" s="57" t="s">
        <v>661</v>
      </c>
      <c r="FN78" s="57" t="s">
        <v>661</v>
      </c>
      <c r="FO78" s="57" t="s">
        <v>664</v>
      </c>
      <c r="FP78" s="57" t="s">
        <v>663</v>
      </c>
      <c r="FQ78" s="57" t="s">
        <v>662</v>
      </c>
      <c r="FR78" s="57" t="s">
        <v>658</v>
      </c>
      <c r="FS78" s="57" t="s">
        <v>661</v>
      </c>
      <c r="FT78" s="57" t="s">
        <v>660</v>
      </c>
      <c r="FU78" s="57" t="s">
        <v>659</v>
      </c>
      <c r="FV78" s="57" t="s">
        <v>658</v>
      </c>
      <c r="FW78" s="59" t="s">
        <v>657</v>
      </c>
      <c r="FX78" s="58" t="s">
        <v>656</v>
      </c>
      <c r="FY78" s="58" t="s">
        <v>655</v>
      </c>
      <c r="FZ78" s="57" t="s">
        <v>652</v>
      </c>
      <c r="GA78" s="57" t="s">
        <v>654</v>
      </c>
      <c r="GB78" s="57" t="s">
        <v>653</v>
      </c>
      <c r="GD78" s="57" t="s">
        <v>652</v>
      </c>
      <c r="GG78" s="76" t="s">
        <v>651</v>
      </c>
      <c r="GH78" s="76" t="s">
        <v>650</v>
      </c>
      <c r="GI78" s="76" t="s">
        <v>649</v>
      </c>
      <c r="GK78" s="76" t="s">
        <v>648</v>
      </c>
      <c r="GM78" s="76" t="s">
        <v>647</v>
      </c>
      <c r="GO78" s="76" t="s">
        <v>646</v>
      </c>
      <c r="GR78" s="75" t="s">
        <v>645</v>
      </c>
      <c r="GU78" s="75" t="s">
        <v>644</v>
      </c>
      <c r="GW78" s="72" t="s">
        <v>643</v>
      </c>
      <c r="GY78" s="72" t="s">
        <v>642</v>
      </c>
      <c r="GZ78" s="72" t="s">
        <v>641</v>
      </c>
      <c r="HA78" s="72" t="s">
        <v>640</v>
      </c>
      <c r="HD78" s="75" t="s">
        <v>639</v>
      </c>
      <c r="HE78" s="73"/>
      <c r="HG78" s="75" t="s">
        <v>638</v>
      </c>
      <c r="HH78" s="74" t="s">
        <v>263</v>
      </c>
      <c r="HI78" s="74"/>
      <c r="HJ78" s="74" t="s">
        <v>637</v>
      </c>
      <c r="HK78" s="74"/>
      <c r="HL78" s="74" t="s">
        <v>636</v>
      </c>
      <c r="HM78" s="73" t="s">
        <v>635</v>
      </c>
      <c r="HO78" s="75" t="s">
        <v>263</v>
      </c>
      <c r="HP78" s="74"/>
      <c r="HQ78" s="74" t="s">
        <v>637</v>
      </c>
      <c r="HR78" s="74"/>
      <c r="HS78" s="74" t="s">
        <v>636</v>
      </c>
      <c r="HT78" s="73" t="s">
        <v>635</v>
      </c>
    </row>
    <row r="79" spans="3:228" ht="20.25" customHeight="1">
      <c r="C79" s="70"/>
      <c r="D79" s="60"/>
      <c r="E79" s="60"/>
      <c r="F79" s="60"/>
      <c r="G79" s="60"/>
      <c r="H79" s="60"/>
      <c r="I79" s="60"/>
      <c r="J79" s="60"/>
      <c r="K79" s="60"/>
      <c r="L79" s="60"/>
      <c r="M79" s="60"/>
      <c r="O79" s="68"/>
      <c r="Q79" s="68"/>
      <c r="R79" s="68"/>
      <c r="S79" s="68"/>
      <c r="T79" s="68"/>
      <c r="U79" s="68"/>
      <c r="V79" s="68"/>
      <c r="W79" s="68"/>
      <c r="X79" s="68"/>
      <c r="Y79" s="68"/>
      <c r="Z79" s="68"/>
      <c r="AR79" s="67"/>
      <c r="AV79" s="57"/>
      <c r="AY79" s="59"/>
      <c r="BD79" s="67"/>
      <c r="BH79" s="57"/>
      <c r="BK79" s="59"/>
      <c r="BR79" s="66"/>
      <c r="BU79" s="68"/>
      <c r="BW79" s="68"/>
      <c r="BX79" s="68"/>
      <c r="BY79" s="68"/>
      <c r="BZ79" s="68"/>
      <c r="CA79" s="68"/>
      <c r="CB79" s="68"/>
      <c r="CC79" s="68"/>
      <c r="CD79" s="68"/>
      <c r="CE79" s="68"/>
      <c r="CF79" s="68"/>
      <c r="CX79" s="67"/>
      <c r="DB79" s="57"/>
      <c r="DE79" s="59"/>
      <c r="DJ79" s="67"/>
      <c r="DN79" s="57"/>
      <c r="DQ79" s="59"/>
      <c r="DX79" s="66"/>
      <c r="EA79" s="68"/>
      <c r="EC79" s="68"/>
      <c r="ED79" s="68"/>
      <c r="EE79" s="68"/>
      <c r="EF79" s="68"/>
      <c r="EG79" s="68"/>
      <c r="EH79" s="68"/>
      <c r="EI79" s="68"/>
      <c r="EJ79" s="68"/>
      <c r="EK79" s="68"/>
      <c r="EL79" s="68"/>
      <c r="FD79" s="67"/>
      <c r="FH79" s="57"/>
      <c r="FK79" s="59"/>
      <c r="FP79" s="67"/>
      <c r="FT79" s="57"/>
      <c r="FW79" s="59"/>
      <c r="GD79" s="66"/>
      <c r="GK79" s="66"/>
      <c r="GM79" s="66"/>
      <c r="GO79" s="66"/>
      <c r="GR79" s="66"/>
      <c r="GU79" s="66"/>
      <c r="HO79" s="66"/>
      <c r="HQ79" s="66"/>
    </row>
    <row r="80" spans="3:228">
      <c r="HC80" s="57" t="str">
        <f>C80&amp;D80&amp;K80&amp;M80</f>
        <v/>
      </c>
    </row>
    <row r="82" spans="4:212">
      <c r="D82" s="60"/>
      <c r="E82" s="60"/>
      <c r="F82" s="60"/>
      <c r="H82" s="60"/>
      <c r="I82" s="60"/>
      <c r="K82" s="71" t="s">
        <v>628</v>
      </c>
      <c r="L82" s="71" t="s">
        <v>110</v>
      </c>
      <c r="M82" s="71">
        <v>19201080</v>
      </c>
      <c r="N82" s="71">
        <v>1920</v>
      </c>
      <c r="O82" s="71">
        <v>1080</v>
      </c>
      <c r="HC82" s="57">
        <v>1920</v>
      </c>
      <c r="HD82" s="57">
        <v>1080</v>
      </c>
    </row>
    <row r="83" spans="4:212">
      <c r="D83" s="60"/>
      <c r="E83" s="60"/>
      <c r="F83" s="60"/>
      <c r="H83" s="60"/>
      <c r="I83" s="60"/>
      <c r="K83" s="71" t="s">
        <v>626</v>
      </c>
      <c r="L83" s="71" t="s">
        <v>109</v>
      </c>
      <c r="M83" s="71">
        <v>1280720</v>
      </c>
      <c r="N83" s="71">
        <v>1280</v>
      </c>
      <c r="O83" s="71">
        <v>720</v>
      </c>
      <c r="HC83" s="57">
        <v>1280</v>
      </c>
      <c r="HD83" s="57">
        <v>720</v>
      </c>
    </row>
    <row r="84" spans="4:212">
      <c r="E84" s="60"/>
      <c r="F84" s="60"/>
      <c r="H84" s="60"/>
      <c r="I84" s="60"/>
      <c r="K84" s="71"/>
      <c r="L84" s="71" t="s">
        <v>111</v>
      </c>
      <c r="M84" s="71"/>
      <c r="N84" s="71"/>
      <c r="O84" s="71"/>
      <c r="HC84" s="57">
        <v>2592</v>
      </c>
      <c r="HD84" s="57">
        <v>1680</v>
      </c>
    </row>
    <row r="85" spans="4:212">
      <c r="E85" s="60"/>
      <c r="F85" s="60"/>
      <c r="H85" s="60"/>
      <c r="I85" s="60"/>
      <c r="K85" s="71" t="s">
        <v>624</v>
      </c>
      <c r="L85" s="71" t="s">
        <v>623</v>
      </c>
      <c r="M85" s="71">
        <v>25921680</v>
      </c>
      <c r="N85" s="71">
        <v>2592</v>
      </c>
      <c r="O85" s="71">
        <v>1680</v>
      </c>
      <c r="HC85" s="57">
        <v>3840</v>
      </c>
      <c r="HD85" s="57">
        <v>2160</v>
      </c>
    </row>
    <row r="86" spans="4:212">
      <c r="E86" s="60"/>
      <c r="F86" s="60"/>
      <c r="H86" s="60"/>
      <c r="I86" s="60"/>
      <c r="K86" s="71" t="s">
        <v>194</v>
      </c>
      <c r="L86" s="71" t="s">
        <v>622</v>
      </c>
      <c r="M86" s="71">
        <v>38402160</v>
      </c>
      <c r="N86" s="71">
        <v>3840</v>
      </c>
      <c r="O86" s="71">
        <v>2160</v>
      </c>
      <c r="HC86" s="57">
        <v>4000</v>
      </c>
      <c r="HD86" s="57">
        <v>3000</v>
      </c>
    </row>
    <row r="87" spans="4:212">
      <c r="H87" s="60"/>
      <c r="I87" s="60"/>
      <c r="K87" s="71" t="s">
        <v>195</v>
      </c>
      <c r="L87" s="71" t="s">
        <v>621</v>
      </c>
      <c r="M87" s="71">
        <v>40003000</v>
      </c>
      <c r="N87" s="71">
        <v>4000</v>
      </c>
      <c r="O87" s="71">
        <v>3000</v>
      </c>
    </row>
    <row r="88" spans="4:212">
      <c r="F88" s="71" t="s">
        <v>620</v>
      </c>
      <c r="G88" s="65" t="s">
        <v>619</v>
      </c>
      <c r="H88" s="65" t="s">
        <v>581</v>
      </c>
      <c r="I88" s="65" t="s">
        <v>629</v>
      </c>
    </row>
    <row r="89" spans="4:212">
      <c r="F89" s="71" t="s">
        <v>617</v>
      </c>
      <c r="G89" s="65" t="s">
        <v>616</v>
      </c>
      <c r="H89" s="65" t="s">
        <v>25</v>
      </c>
      <c r="I89" s="65" t="s">
        <v>629</v>
      </c>
      <c r="K89" s="57" t="s">
        <v>111</v>
      </c>
      <c r="L89" s="57" t="s">
        <v>618</v>
      </c>
      <c r="M89" s="57">
        <f>VLOOKUP(K89,L82:O87,3,0)</f>
        <v>0</v>
      </c>
    </row>
    <row r="90" spans="4:212">
      <c r="F90" s="71" t="s">
        <v>614</v>
      </c>
      <c r="G90" s="65" t="s">
        <v>613</v>
      </c>
      <c r="H90" s="65" t="s">
        <v>625</v>
      </c>
      <c r="I90" s="65" t="s">
        <v>629</v>
      </c>
      <c r="L90" s="57" t="s">
        <v>615</v>
      </c>
      <c r="M90" s="57">
        <f>VLOOKUP(K89,L82:O87,4,0)</f>
        <v>0</v>
      </c>
    </row>
    <row r="91" spans="4:212">
      <c r="F91" s="71" t="s">
        <v>612</v>
      </c>
      <c r="G91" s="65" t="s">
        <v>611</v>
      </c>
      <c r="H91" s="65" t="s">
        <v>581</v>
      </c>
      <c r="I91" s="65" t="s">
        <v>733</v>
      </c>
    </row>
    <row r="92" spans="4:212">
      <c r="F92" s="71" t="s">
        <v>599</v>
      </c>
      <c r="G92" s="65" t="s">
        <v>610</v>
      </c>
      <c r="H92" s="65" t="s">
        <v>25</v>
      </c>
      <c r="I92" s="65" t="s">
        <v>733</v>
      </c>
    </row>
    <row r="93" spans="4:212">
      <c r="F93" s="71" t="s">
        <v>609</v>
      </c>
      <c r="G93" s="65" t="s">
        <v>608</v>
      </c>
      <c r="H93" s="65" t="s">
        <v>625</v>
      </c>
      <c r="I93" s="65" t="s">
        <v>733</v>
      </c>
    </row>
    <row r="94" spans="4:212">
      <c r="F94" s="71" t="s">
        <v>607</v>
      </c>
      <c r="G94" s="65" t="s">
        <v>606</v>
      </c>
      <c r="H94" s="65" t="s">
        <v>581</v>
      </c>
      <c r="I94" s="65" t="s">
        <v>627</v>
      </c>
    </row>
    <row r="95" spans="4:212">
      <c r="F95" s="71" t="s">
        <v>605</v>
      </c>
      <c r="G95" s="65" t="s">
        <v>604</v>
      </c>
      <c r="H95" s="65" t="s">
        <v>25</v>
      </c>
      <c r="I95" s="65" t="s">
        <v>627</v>
      </c>
    </row>
    <row r="96" spans="4:212">
      <c r="F96" s="71" t="s">
        <v>603</v>
      </c>
      <c r="G96" s="65" t="s">
        <v>602</v>
      </c>
      <c r="H96" s="65" t="s">
        <v>625</v>
      </c>
      <c r="I96" s="65" t="s">
        <v>627</v>
      </c>
    </row>
    <row r="97" spans="3:181">
      <c r="F97" s="57" t="s">
        <v>601</v>
      </c>
      <c r="G97" s="57" t="s">
        <v>610</v>
      </c>
      <c r="H97" s="60" t="s">
        <v>25</v>
      </c>
      <c r="I97" s="60" t="s">
        <v>869</v>
      </c>
    </row>
    <row r="98" spans="3:181">
      <c r="G98" s="71" t="s">
        <v>580</v>
      </c>
      <c r="H98" s="60"/>
      <c r="I98" s="60"/>
    </row>
    <row r="99" spans="3:181">
      <c r="C99" s="65">
        <v>30</v>
      </c>
      <c r="D99" s="65">
        <v>704</v>
      </c>
      <c r="E99" s="65">
        <v>288</v>
      </c>
      <c r="F99" s="65" t="s">
        <v>587</v>
      </c>
      <c r="G99" s="65" t="str">
        <f t="shared" ref="G99:G135" si="69">D99&amp;E99&amp;F99</f>
        <v>704288CPP_3</v>
      </c>
      <c r="AU99" s="59"/>
      <c r="AV99" s="57"/>
      <c r="BG99" s="59"/>
      <c r="BH99" s="57"/>
      <c r="BK99" s="58"/>
      <c r="BM99" s="57"/>
      <c r="DA99" s="59"/>
      <c r="DB99" s="57"/>
      <c r="DM99" s="59"/>
      <c r="DN99" s="57"/>
      <c r="DQ99" s="58"/>
      <c r="DS99" s="57"/>
      <c r="FG99" s="59"/>
      <c r="FH99" s="57"/>
      <c r="FS99" s="59"/>
      <c r="FT99" s="57"/>
      <c r="FW99" s="58"/>
      <c r="FY99" s="57"/>
    </row>
    <row r="100" spans="3:181">
      <c r="C100" s="65">
        <v>30</v>
      </c>
      <c r="D100" s="65">
        <v>704</v>
      </c>
      <c r="E100" s="65">
        <v>576</v>
      </c>
      <c r="F100" s="65" t="s">
        <v>587</v>
      </c>
      <c r="G100" s="65" t="str">
        <f t="shared" si="69"/>
        <v>704576CPP_3</v>
      </c>
      <c r="AU100" s="59"/>
      <c r="AV100" s="57"/>
      <c r="BG100" s="59"/>
      <c r="BH100" s="57"/>
      <c r="BK100" s="58"/>
      <c r="BM100" s="57"/>
      <c r="DA100" s="59"/>
      <c r="DB100" s="57"/>
      <c r="DM100" s="59"/>
      <c r="DN100" s="57"/>
      <c r="DQ100" s="58"/>
      <c r="DS100" s="57"/>
      <c r="FG100" s="59"/>
      <c r="FH100" s="57"/>
      <c r="FS100" s="59"/>
      <c r="FT100" s="57"/>
      <c r="FW100" s="58"/>
      <c r="FY100" s="57"/>
    </row>
    <row r="101" spans="3:181">
      <c r="C101" s="65">
        <v>30</v>
      </c>
      <c r="D101" s="65">
        <v>1280</v>
      </c>
      <c r="E101" s="65">
        <v>720</v>
      </c>
      <c r="F101" s="65" t="s">
        <v>587</v>
      </c>
      <c r="G101" s="65" t="str">
        <f t="shared" si="69"/>
        <v>1280720CPP_3</v>
      </c>
      <c r="AU101" s="59"/>
      <c r="AV101" s="57"/>
      <c r="BG101" s="59"/>
      <c r="BH101" s="57"/>
      <c r="BK101" s="58"/>
      <c r="BM101" s="57"/>
      <c r="DA101" s="59"/>
      <c r="DB101" s="57"/>
      <c r="DM101" s="59"/>
      <c r="DN101" s="57"/>
      <c r="DQ101" s="58"/>
      <c r="DS101" s="57"/>
      <c r="FG101" s="59"/>
      <c r="FH101" s="57"/>
      <c r="FS101" s="59"/>
      <c r="FT101" s="57"/>
      <c r="FW101" s="58"/>
      <c r="FY101" s="57"/>
    </row>
    <row r="102" spans="3:181">
      <c r="C102" s="65">
        <v>30</v>
      </c>
      <c r="D102" s="65">
        <v>1920</v>
      </c>
      <c r="E102" s="65">
        <v>1080</v>
      </c>
      <c r="F102" s="65" t="s">
        <v>587</v>
      </c>
      <c r="G102" s="65" t="str">
        <f t="shared" si="69"/>
        <v>19201080CPP_3</v>
      </c>
      <c r="AU102" s="59"/>
      <c r="AV102" s="57"/>
      <c r="BG102" s="59"/>
      <c r="BH102" s="57"/>
      <c r="BK102" s="58"/>
      <c r="BM102" s="57"/>
      <c r="DA102" s="59"/>
      <c r="DB102" s="57"/>
      <c r="DM102" s="59"/>
      <c r="DN102" s="57"/>
      <c r="DQ102" s="58"/>
      <c r="DS102" s="57"/>
      <c r="FG102" s="59"/>
      <c r="FH102" s="57"/>
      <c r="FS102" s="59"/>
      <c r="FT102" s="57"/>
      <c r="FW102" s="58"/>
      <c r="FY102" s="57"/>
    </row>
    <row r="103" spans="3:181">
      <c r="C103" s="65">
        <v>30</v>
      </c>
      <c r="D103" s="65">
        <v>704</v>
      </c>
      <c r="E103" s="65">
        <v>288</v>
      </c>
      <c r="F103" s="65" t="s">
        <v>586</v>
      </c>
      <c r="G103" s="65" t="str">
        <f t="shared" si="69"/>
        <v>704288CPP_4</v>
      </c>
      <c r="L103" s="71" t="s">
        <v>620</v>
      </c>
      <c r="AU103" s="59"/>
      <c r="AV103" s="57"/>
      <c r="BG103" s="59"/>
      <c r="BH103" s="57"/>
      <c r="BK103" s="58"/>
      <c r="BM103" s="57"/>
      <c r="DA103" s="59"/>
      <c r="DB103" s="57"/>
      <c r="DM103" s="59"/>
      <c r="DN103" s="57"/>
      <c r="DQ103" s="58"/>
      <c r="DS103" s="57"/>
      <c r="FG103" s="59"/>
      <c r="FH103" s="57"/>
      <c r="FS103" s="59"/>
      <c r="FT103" s="57"/>
      <c r="FW103" s="58"/>
      <c r="FY103" s="57"/>
    </row>
    <row r="104" spans="3:181">
      <c r="C104" s="65">
        <v>30</v>
      </c>
      <c r="D104" s="65">
        <v>704</v>
      </c>
      <c r="E104" s="65">
        <v>576</v>
      </c>
      <c r="F104" s="65" t="s">
        <v>586</v>
      </c>
      <c r="G104" s="65" t="str">
        <f t="shared" si="69"/>
        <v>704576CPP_4</v>
      </c>
      <c r="H104" s="60"/>
      <c r="L104" s="71" t="s">
        <v>617</v>
      </c>
      <c r="AU104" s="59"/>
      <c r="AV104" s="57"/>
      <c r="BG104" s="59"/>
      <c r="BH104" s="57"/>
      <c r="BK104" s="58"/>
      <c r="BM104" s="57"/>
      <c r="DA104" s="59"/>
      <c r="DB104" s="57"/>
      <c r="DM104" s="59"/>
      <c r="DN104" s="57"/>
      <c r="DQ104" s="58"/>
      <c r="DS104" s="57"/>
      <c r="FG104" s="59"/>
      <c r="FH104" s="57"/>
      <c r="FS104" s="59"/>
      <c r="FT104" s="57"/>
      <c r="FW104" s="58"/>
      <c r="FY104" s="57"/>
    </row>
    <row r="105" spans="3:181">
      <c r="C105" s="65">
        <v>30</v>
      </c>
      <c r="D105" s="65">
        <v>1280</v>
      </c>
      <c r="E105" s="65">
        <v>720</v>
      </c>
      <c r="F105" s="65" t="s">
        <v>586</v>
      </c>
      <c r="G105" s="65" t="str">
        <f t="shared" si="69"/>
        <v>1280720CPP_4</v>
      </c>
      <c r="H105" s="60"/>
      <c r="L105" s="71" t="s">
        <v>614</v>
      </c>
      <c r="AU105" s="59"/>
      <c r="AV105" s="57"/>
      <c r="BG105" s="59"/>
      <c r="BH105" s="57"/>
      <c r="BK105" s="58"/>
      <c r="BM105" s="57"/>
      <c r="DA105" s="59"/>
      <c r="DB105" s="57"/>
      <c r="DM105" s="59"/>
      <c r="DN105" s="57"/>
      <c r="DQ105" s="58"/>
      <c r="DS105" s="57"/>
      <c r="FG105" s="59"/>
      <c r="FH105" s="57"/>
      <c r="FS105" s="59"/>
      <c r="FT105" s="57"/>
      <c r="FW105" s="58"/>
      <c r="FY105" s="57"/>
    </row>
    <row r="106" spans="3:181">
      <c r="C106" s="65">
        <v>60</v>
      </c>
      <c r="D106" s="65">
        <v>1280</v>
      </c>
      <c r="E106" s="65">
        <v>720</v>
      </c>
      <c r="F106" s="65" t="s">
        <v>586</v>
      </c>
      <c r="G106" s="65" t="str">
        <f t="shared" si="69"/>
        <v>1280720CPP_4</v>
      </c>
      <c r="H106" s="60"/>
      <c r="L106" s="71" t="s">
        <v>612</v>
      </c>
      <c r="AU106" s="59"/>
      <c r="AV106" s="57"/>
      <c r="BG106" s="59"/>
      <c r="BH106" s="57"/>
      <c r="BK106" s="58"/>
      <c r="BM106" s="57"/>
      <c r="DA106" s="59"/>
      <c r="DB106" s="57"/>
      <c r="DM106" s="59"/>
      <c r="DN106" s="57"/>
      <c r="DQ106" s="58"/>
      <c r="DS106" s="57"/>
      <c r="FG106" s="59"/>
      <c r="FH106" s="57"/>
      <c r="FS106" s="59"/>
      <c r="FT106" s="57"/>
      <c r="FW106" s="58"/>
      <c r="FY106" s="57"/>
    </row>
    <row r="107" spans="3:181">
      <c r="C107" s="65">
        <v>30</v>
      </c>
      <c r="D107" s="65">
        <v>1920</v>
      </c>
      <c r="E107" s="65">
        <v>1080</v>
      </c>
      <c r="F107" s="65" t="s">
        <v>586</v>
      </c>
      <c r="G107" s="65" t="str">
        <f t="shared" si="69"/>
        <v>19201080CPP_4</v>
      </c>
      <c r="H107" s="60"/>
      <c r="L107" s="71" t="s">
        <v>599</v>
      </c>
      <c r="AU107" s="59"/>
      <c r="AV107" s="57"/>
      <c r="BG107" s="59"/>
      <c r="BH107" s="57"/>
      <c r="BK107" s="58"/>
      <c r="BM107" s="57"/>
      <c r="DA107" s="59"/>
      <c r="DB107" s="57"/>
      <c r="DM107" s="59"/>
      <c r="DN107" s="57"/>
      <c r="DQ107" s="58"/>
      <c r="DS107" s="57"/>
      <c r="FG107" s="59"/>
      <c r="FH107" s="57"/>
      <c r="FS107" s="59"/>
      <c r="FT107" s="57"/>
      <c r="FW107" s="58"/>
      <c r="FY107" s="57"/>
    </row>
    <row r="108" spans="3:181">
      <c r="C108" s="65">
        <v>60</v>
      </c>
      <c r="D108" s="65">
        <v>1920</v>
      </c>
      <c r="E108" s="65">
        <v>1080</v>
      </c>
      <c r="F108" s="65" t="s">
        <v>586</v>
      </c>
      <c r="G108" s="65" t="str">
        <f t="shared" si="69"/>
        <v>19201080CPP_4</v>
      </c>
      <c r="H108" s="57" t="s">
        <v>797</v>
      </c>
      <c r="I108" s="57">
        <v>12</v>
      </c>
      <c r="L108" s="71" t="s">
        <v>609</v>
      </c>
      <c r="AU108" s="59"/>
      <c r="AV108" s="57"/>
      <c r="BG108" s="59"/>
      <c r="BH108" s="57"/>
      <c r="BK108" s="58"/>
      <c r="BM108" s="57"/>
      <c r="DA108" s="59"/>
      <c r="DB108" s="57"/>
      <c r="DM108" s="59"/>
      <c r="DN108" s="57"/>
      <c r="DQ108" s="58"/>
      <c r="DS108" s="57"/>
      <c r="FG108" s="59"/>
      <c r="FH108" s="57"/>
      <c r="FS108" s="59"/>
      <c r="FT108" s="57"/>
      <c r="FW108" s="58"/>
      <c r="FY108" s="57"/>
    </row>
    <row r="109" spans="3:181">
      <c r="C109" s="65">
        <v>12</v>
      </c>
      <c r="D109" s="65">
        <v>2592</v>
      </c>
      <c r="E109" s="65">
        <v>1680</v>
      </c>
      <c r="F109" s="65" t="s">
        <v>586</v>
      </c>
      <c r="G109" s="65" t="str">
        <f t="shared" si="69"/>
        <v>25921680CPP_4</v>
      </c>
      <c r="H109" s="60"/>
      <c r="L109" s="71" t="s">
        <v>607</v>
      </c>
      <c r="AU109" s="59"/>
      <c r="AV109" s="57"/>
      <c r="BG109" s="59"/>
      <c r="BH109" s="57"/>
      <c r="BK109" s="58"/>
      <c r="BM109" s="57"/>
      <c r="DA109" s="59"/>
      <c r="DB109" s="57"/>
      <c r="DM109" s="59"/>
      <c r="DN109" s="57"/>
      <c r="DQ109" s="58"/>
      <c r="DS109" s="57"/>
      <c r="FG109" s="59"/>
      <c r="FH109" s="57"/>
      <c r="FS109" s="59"/>
      <c r="FT109" s="57"/>
      <c r="FW109" s="58"/>
      <c r="FY109" s="57"/>
    </row>
    <row r="110" spans="3:181">
      <c r="C110" s="65">
        <v>30</v>
      </c>
      <c r="D110" s="65">
        <v>704</v>
      </c>
      <c r="E110" s="65">
        <v>288</v>
      </c>
      <c r="F110" s="65" t="s">
        <v>585</v>
      </c>
      <c r="G110" s="65" t="str">
        <f t="shared" si="69"/>
        <v>704288CPP_5</v>
      </c>
      <c r="H110" s="60"/>
      <c r="L110" s="71" t="s">
        <v>605</v>
      </c>
      <c r="AU110" s="59"/>
      <c r="AV110" s="57"/>
      <c r="BG110" s="59"/>
      <c r="BH110" s="57"/>
      <c r="BK110" s="58"/>
      <c r="BM110" s="57"/>
      <c r="DA110" s="59"/>
      <c r="DB110" s="57"/>
      <c r="DM110" s="59"/>
      <c r="DN110" s="57"/>
      <c r="DQ110" s="58"/>
      <c r="DS110" s="57"/>
      <c r="FG110" s="59"/>
      <c r="FH110" s="57"/>
      <c r="FS110" s="59"/>
      <c r="FT110" s="57"/>
      <c r="FW110" s="58"/>
      <c r="FY110" s="57"/>
    </row>
    <row r="111" spans="3:181">
      <c r="C111" s="65">
        <v>30</v>
      </c>
      <c r="D111" s="65">
        <v>704</v>
      </c>
      <c r="E111" s="65">
        <v>576</v>
      </c>
      <c r="F111" s="65" t="s">
        <v>585</v>
      </c>
      <c r="G111" s="65" t="str">
        <f t="shared" si="69"/>
        <v>704576CPP_5</v>
      </c>
      <c r="H111" s="60"/>
      <c r="L111" s="71" t="s">
        <v>603</v>
      </c>
      <c r="AU111" s="59"/>
      <c r="AV111" s="57"/>
      <c r="BG111" s="59"/>
      <c r="BH111" s="57"/>
      <c r="BK111" s="58"/>
      <c r="BM111" s="57"/>
      <c r="DA111" s="59"/>
      <c r="DB111" s="57"/>
      <c r="DM111" s="59"/>
      <c r="DN111" s="57"/>
      <c r="DQ111" s="58"/>
      <c r="DS111" s="57"/>
      <c r="FG111" s="59"/>
      <c r="FH111" s="57"/>
      <c r="FS111" s="59"/>
      <c r="FT111" s="57"/>
      <c r="FW111" s="58"/>
      <c r="FY111" s="57"/>
    </row>
    <row r="112" spans="3:181">
      <c r="C112" s="65">
        <v>30</v>
      </c>
      <c r="D112" s="65">
        <v>768</v>
      </c>
      <c r="E112" s="65">
        <v>432</v>
      </c>
      <c r="F112" s="65" t="s">
        <v>584</v>
      </c>
      <c r="G112" s="65" t="str">
        <f t="shared" si="69"/>
        <v>768432CPP_6</v>
      </c>
      <c r="H112" s="60"/>
      <c r="AU112" s="59"/>
      <c r="AV112" s="57"/>
      <c r="BG112" s="59"/>
      <c r="BH112" s="57"/>
      <c r="BK112" s="58"/>
      <c r="BM112" s="57"/>
      <c r="DA112" s="59"/>
      <c r="DB112" s="57"/>
      <c r="DM112" s="59"/>
      <c r="DN112" s="57"/>
      <c r="DQ112" s="58"/>
      <c r="DS112" s="57"/>
      <c r="FG112" s="59"/>
      <c r="FH112" s="57"/>
      <c r="FS112" s="59"/>
      <c r="FT112" s="57"/>
      <c r="FW112" s="58"/>
      <c r="FY112" s="57"/>
    </row>
    <row r="113" spans="3:181">
      <c r="C113" s="65">
        <v>30</v>
      </c>
      <c r="D113" s="65">
        <v>1280</v>
      </c>
      <c r="E113" s="65">
        <v>720</v>
      </c>
      <c r="F113" s="65" t="s">
        <v>584</v>
      </c>
      <c r="G113" s="65" t="str">
        <f t="shared" si="69"/>
        <v>1280720CPP_6</v>
      </c>
      <c r="H113" s="60"/>
      <c r="AU113" s="59"/>
      <c r="AV113" s="57"/>
      <c r="BG113" s="59"/>
      <c r="BH113" s="57"/>
      <c r="BK113" s="58"/>
      <c r="BM113" s="57"/>
      <c r="DA113" s="59"/>
      <c r="DB113" s="57"/>
      <c r="DM113" s="59"/>
      <c r="DN113" s="57"/>
      <c r="DQ113" s="58"/>
      <c r="DS113" s="57"/>
      <c r="FG113" s="59"/>
      <c r="FH113" s="57"/>
      <c r="FS113" s="59"/>
      <c r="FT113" s="57"/>
      <c r="FW113" s="58"/>
      <c r="FY113" s="57"/>
    </row>
    <row r="114" spans="3:181">
      <c r="C114" s="65">
        <v>60</v>
      </c>
      <c r="D114" s="65">
        <v>1280</v>
      </c>
      <c r="E114" s="65">
        <v>720</v>
      </c>
      <c r="F114" s="65" t="s">
        <v>584</v>
      </c>
      <c r="G114" s="65" t="str">
        <f t="shared" si="69"/>
        <v>1280720CPP_6</v>
      </c>
      <c r="H114" s="60"/>
      <c r="AU114" s="59"/>
      <c r="AV114" s="57"/>
      <c r="BG114" s="59"/>
      <c r="BH114" s="57"/>
      <c r="BK114" s="58"/>
      <c r="BM114" s="57"/>
      <c r="DA114" s="59"/>
      <c r="DB114" s="57"/>
      <c r="DM114" s="59"/>
      <c r="DN114" s="57"/>
      <c r="DQ114" s="58"/>
      <c r="DS114" s="57"/>
      <c r="FG114" s="59"/>
      <c r="FH114" s="57"/>
      <c r="FS114" s="59"/>
      <c r="FT114" s="57"/>
      <c r="FW114" s="58"/>
      <c r="FY114" s="57"/>
    </row>
    <row r="115" spans="3:181">
      <c r="C115" s="65">
        <v>30</v>
      </c>
      <c r="D115" s="65">
        <v>1920</v>
      </c>
      <c r="E115" s="65">
        <v>1080</v>
      </c>
      <c r="F115" s="65" t="s">
        <v>584</v>
      </c>
      <c r="G115" s="65" t="str">
        <f t="shared" si="69"/>
        <v>19201080CPP_6</v>
      </c>
      <c r="H115" s="57" t="s">
        <v>797</v>
      </c>
      <c r="I115" s="57">
        <v>30</v>
      </c>
      <c r="AU115" s="59"/>
      <c r="AV115" s="57"/>
      <c r="BG115" s="59"/>
      <c r="BH115" s="57"/>
      <c r="BK115" s="58"/>
      <c r="BM115" s="57"/>
      <c r="DA115" s="59"/>
      <c r="DB115" s="57"/>
      <c r="DM115" s="59"/>
      <c r="DN115" s="57"/>
      <c r="DQ115" s="58"/>
      <c r="DS115" s="57"/>
      <c r="FG115" s="59"/>
      <c r="FH115" s="57"/>
      <c r="FS115" s="59"/>
      <c r="FT115" s="57"/>
      <c r="FW115" s="58"/>
      <c r="FY115" s="57"/>
    </row>
    <row r="116" spans="3:181">
      <c r="C116" s="65">
        <v>60</v>
      </c>
      <c r="D116" s="65">
        <v>1920</v>
      </c>
      <c r="E116" s="65">
        <v>1080</v>
      </c>
      <c r="F116" s="65" t="s">
        <v>584</v>
      </c>
      <c r="G116" s="65" t="str">
        <f t="shared" si="69"/>
        <v>19201080CPP_6</v>
      </c>
      <c r="H116" s="60" t="s">
        <v>797</v>
      </c>
      <c r="I116" s="57">
        <v>30</v>
      </c>
      <c r="AU116" s="59"/>
      <c r="AV116" s="57"/>
      <c r="BG116" s="59"/>
      <c r="BH116" s="57"/>
      <c r="BK116" s="58"/>
      <c r="BM116" s="57"/>
      <c r="DA116" s="59"/>
      <c r="DB116" s="57"/>
      <c r="DM116" s="59"/>
      <c r="DN116" s="57"/>
      <c r="DQ116" s="58"/>
      <c r="DS116" s="57"/>
      <c r="FG116" s="59"/>
      <c r="FH116" s="57"/>
      <c r="FS116" s="59"/>
      <c r="FT116" s="57"/>
      <c r="FW116" s="58"/>
      <c r="FY116" s="57"/>
    </row>
    <row r="117" spans="3:181">
      <c r="C117" s="65">
        <v>30</v>
      </c>
      <c r="D117" s="65">
        <v>2592</v>
      </c>
      <c r="E117" s="65">
        <v>1680</v>
      </c>
      <c r="F117" s="65" t="s">
        <v>584</v>
      </c>
      <c r="G117" s="65" t="str">
        <f t="shared" si="69"/>
        <v>25921680CPP_6</v>
      </c>
      <c r="H117" s="60" t="s">
        <v>797</v>
      </c>
      <c r="I117" s="57">
        <v>20</v>
      </c>
      <c r="AU117" s="59"/>
      <c r="AV117" s="57"/>
      <c r="BG117" s="59"/>
      <c r="BH117" s="57"/>
      <c r="BK117" s="58"/>
      <c r="BM117" s="57"/>
      <c r="DA117" s="59"/>
      <c r="DB117" s="57"/>
      <c r="DM117" s="59"/>
      <c r="DN117" s="57"/>
      <c r="DQ117" s="58"/>
      <c r="DS117" s="57"/>
      <c r="FG117" s="59"/>
      <c r="FH117" s="57"/>
      <c r="FS117" s="59"/>
      <c r="FT117" s="57"/>
      <c r="FW117" s="58"/>
      <c r="FY117" s="57"/>
    </row>
    <row r="118" spans="3:181">
      <c r="C118" s="65">
        <v>30</v>
      </c>
      <c r="D118" s="65">
        <v>3840</v>
      </c>
      <c r="E118" s="65">
        <v>2160</v>
      </c>
      <c r="F118" s="65" t="s">
        <v>584</v>
      </c>
      <c r="G118" s="65" t="str">
        <f t="shared" si="69"/>
        <v>38402160CPP_6</v>
      </c>
      <c r="H118" s="60"/>
      <c r="AU118" s="59"/>
      <c r="AV118" s="57"/>
      <c r="BG118" s="59"/>
      <c r="BH118" s="57"/>
      <c r="BK118" s="58"/>
      <c r="BM118" s="57"/>
      <c r="DA118" s="59"/>
      <c r="DB118" s="57"/>
      <c r="DM118" s="59"/>
      <c r="DN118" s="57"/>
      <c r="DQ118" s="58"/>
      <c r="DS118" s="57"/>
      <c r="FG118" s="59"/>
      <c r="FH118" s="57"/>
      <c r="FS118" s="59"/>
      <c r="FT118" s="57"/>
      <c r="FW118" s="58"/>
      <c r="FY118" s="57"/>
    </row>
    <row r="119" spans="3:181">
      <c r="C119" s="65">
        <v>20</v>
      </c>
      <c r="D119" s="65">
        <v>4000</v>
      </c>
      <c r="E119" s="65">
        <v>3000</v>
      </c>
      <c r="F119" s="65" t="s">
        <v>584</v>
      </c>
      <c r="G119" s="65" t="str">
        <f t="shared" si="69"/>
        <v>40003000CPP_6</v>
      </c>
      <c r="H119" s="60"/>
      <c r="AU119" s="59"/>
      <c r="AV119" s="57"/>
      <c r="BG119" s="59"/>
      <c r="BH119" s="57"/>
      <c r="BK119" s="58"/>
      <c r="BM119" s="57"/>
      <c r="DA119" s="59"/>
      <c r="DB119" s="57"/>
      <c r="DM119" s="59"/>
      <c r="DN119" s="57"/>
      <c r="DQ119" s="58"/>
      <c r="DS119" s="57"/>
      <c r="FG119" s="59"/>
      <c r="FH119" s="57"/>
      <c r="FS119" s="59"/>
      <c r="FT119" s="57"/>
      <c r="FW119" s="58"/>
      <c r="FY119" s="57"/>
    </row>
    <row r="120" spans="3:181">
      <c r="C120" s="65">
        <v>30</v>
      </c>
      <c r="D120" s="65">
        <v>768</v>
      </c>
      <c r="E120" s="65">
        <v>432</v>
      </c>
      <c r="F120" s="65" t="s">
        <v>583</v>
      </c>
      <c r="G120" s="65" t="str">
        <f t="shared" si="69"/>
        <v>768432CPP_7</v>
      </c>
      <c r="H120" s="60"/>
      <c r="AU120" s="59"/>
      <c r="AV120" s="57"/>
      <c r="BG120" s="59"/>
      <c r="BH120" s="57"/>
      <c r="BK120" s="58"/>
      <c r="BM120" s="57"/>
      <c r="DA120" s="59"/>
      <c r="DB120" s="57"/>
      <c r="DM120" s="59"/>
      <c r="DN120" s="57"/>
      <c r="DQ120" s="58"/>
      <c r="DS120" s="57"/>
      <c r="FG120" s="59"/>
      <c r="FH120" s="57"/>
      <c r="FS120" s="59"/>
      <c r="FT120" s="57"/>
      <c r="FW120" s="58"/>
      <c r="FY120" s="57"/>
    </row>
    <row r="121" spans="3:181">
      <c r="C121" s="65">
        <v>30</v>
      </c>
      <c r="D121" s="65">
        <v>1280</v>
      </c>
      <c r="E121" s="65">
        <v>720</v>
      </c>
      <c r="F121" s="65" t="s">
        <v>583</v>
      </c>
      <c r="G121" s="65" t="str">
        <f t="shared" si="69"/>
        <v>1280720CPP_7</v>
      </c>
      <c r="H121" s="60"/>
      <c r="AU121" s="59"/>
      <c r="AV121" s="57"/>
      <c r="BG121" s="59"/>
      <c r="BH121" s="57"/>
      <c r="BK121" s="58"/>
      <c r="BM121" s="57"/>
      <c r="DA121" s="59"/>
      <c r="DB121" s="57"/>
      <c r="DM121" s="59"/>
      <c r="DN121" s="57"/>
      <c r="DQ121" s="58"/>
      <c r="DS121" s="57"/>
      <c r="FG121" s="59"/>
      <c r="FH121" s="57"/>
      <c r="FS121" s="59"/>
      <c r="FT121" s="57"/>
      <c r="FW121" s="58"/>
      <c r="FY121" s="57"/>
    </row>
    <row r="122" spans="3:181">
      <c r="C122" s="65">
        <v>60</v>
      </c>
      <c r="D122" s="65">
        <v>1280</v>
      </c>
      <c r="E122" s="65">
        <v>720</v>
      </c>
      <c r="F122" s="65" t="s">
        <v>583</v>
      </c>
      <c r="G122" s="65" t="str">
        <f t="shared" si="69"/>
        <v>1280720CPP_7</v>
      </c>
      <c r="AU122" s="59"/>
      <c r="AV122" s="57"/>
      <c r="BG122" s="59"/>
      <c r="BH122" s="57"/>
      <c r="BK122" s="58"/>
      <c r="BM122" s="57"/>
      <c r="DA122" s="59"/>
      <c r="DB122" s="57"/>
      <c r="DM122" s="59"/>
      <c r="DN122" s="57"/>
      <c r="DQ122" s="58"/>
      <c r="DS122" s="57"/>
      <c r="FG122" s="59"/>
      <c r="FH122" s="57"/>
      <c r="FS122" s="59"/>
      <c r="FT122" s="57"/>
      <c r="FW122" s="58"/>
      <c r="FY122" s="57"/>
    </row>
    <row r="123" spans="3:181">
      <c r="C123" s="65">
        <v>30</v>
      </c>
      <c r="D123" s="65">
        <v>1920</v>
      </c>
      <c r="E123" s="65">
        <v>1080</v>
      </c>
      <c r="F123" s="65" t="s">
        <v>583</v>
      </c>
      <c r="G123" s="65" t="str">
        <f t="shared" si="69"/>
        <v>19201080CPP_7</v>
      </c>
      <c r="H123" s="57" t="s">
        <v>797</v>
      </c>
      <c r="I123" s="57">
        <v>30</v>
      </c>
      <c r="AU123" s="59"/>
      <c r="AV123" s="57"/>
      <c r="BG123" s="59"/>
      <c r="BH123" s="57"/>
      <c r="BK123" s="58"/>
      <c r="BM123" s="57"/>
      <c r="DA123" s="59"/>
      <c r="DB123" s="57"/>
      <c r="DM123" s="59"/>
      <c r="DN123" s="57"/>
      <c r="DQ123" s="58"/>
      <c r="DS123" s="57"/>
      <c r="FG123" s="59"/>
      <c r="FH123" s="57"/>
      <c r="FS123" s="59"/>
      <c r="FT123" s="57"/>
      <c r="FW123" s="58"/>
      <c r="FY123" s="57"/>
    </row>
    <row r="124" spans="3:181">
      <c r="C124" s="65">
        <v>60</v>
      </c>
      <c r="D124" s="65">
        <v>1920</v>
      </c>
      <c r="E124" s="65">
        <v>1080</v>
      </c>
      <c r="F124" s="65" t="s">
        <v>583</v>
      </c>
      <c r="G124" s="65" t="str">
        <f t="shared" si="69"/>
        <v>19201080CPP_7</v>
      </c>
      <c r="H124" s="57" t="s">
        <v>797</v>
      </c>
      <c r="I124" s="57">
        <v>30</v>
      </c>
      <c r="AU124" s="59"/>
      <c r="AV124" s="57"/>
      <c r="BG124" s="59"/>
      <c r="BH124" s="57"/>
      <c r="BK124" s="58"/>
      <c r="BM124" s="57"/>
      <c r="DA124" s="59"/>
      <c r="DB124" s="57"/>
      <c r="DM124" s="59"/>
      <c r="DN124" s="57"/>
      <c r="DQ124" s="58"/>
      <c r="DS124" s="57"/>
      <c r="FG124" s="59"/>
      <c r="FH124" s="57"/>
      <c r="FS124" s="59"/>
      <c r="FT124" s="57"/>
      <c r="FW124" s="58"/>
      <c r="FY124" s="57"/>
    </row>
    <row r="125" spans="3:181">
      <c r="C125" s="65">
        <v>30</v>
      </c>
      <c r="D125" s="65">
        <v>2592</v>
      </c>
      <c r="E125" s="65">
        <v>1680</v>
      </c>
      <c r="F125" s="65" t="s">
        <v>583</v>
      </c>
      <c r="G125" s="65" t="str">
        <f t="shared" si="69"/>
        <v>25921680CPP_7</v>
      </c>
      <c r="H125" s="60" t="s">
        <v>797</v>
      </c>
      <c r="I125" s="57">
        <v>20</v>
      </c>
      <c r="AU125" s="59"/>
      <c r="AV125" s="57"/>
      <c r="BG125" s="59"/>
      <c r="BH125" s="57"/>
      <c r="BK125" s="58"/>
      <c r="BM125" s="57"/>
      <c r="DA125" s="59"/>
      <c r="DB125" s="57"/>
      <c r="DM125" s="59"/>
      <c r="DN125" s="57"/>
      <c r="DQ125" s="58"/>
      <c r="DS125" s="57"/>
      <c r="FG125" s="59"/>
      <c r="FH125" s="57"/>
      <c r="FS125" s="59"/>
      <c r="FT125" s="57"/>
      <c r="FW125" s="58"/>
      <c r="FY125" s="57"/>
    </row>
    <row r="126" spans="3:181">
      <c r="C126" s="65">
        <v>30</v>
      </c>
      <c r="D126" s="65">
        <v>3840</v>
      </c>
      <c r="E126" s="65">
        <v>2160</v>
      </c>
      <c r="F126" s="65" t="s">
        <v>583</v>
      </c>
      <c r="G126" s="65" t="str">
        <f t="shared" si="69"/>
        <v>38402160CPP_7</v>
      </c>
      <c r="H126" s="60"/>
      <c r="AU126" s="59"/>
      <c r="AV126" s="57"/>
      <c r="BG126" s="59"/>
      <c r="BH126" s="57"/>
      <c r="BK126" s="58"/>
      <c r="BM126" s="57"/>
      <c r="DA126" s="59"/>
      <c r="DB126" s="57"/>
      <c r="DM126" s="59"/>
      <c r="DN126" s="57"/>
      <c r="DQ126" s="58"/>
      <c r="DS126" s="57"/>
      <c r="FG126" s="59"/>
      <c r="FH126" s="57"/>
      <c r="FS126" s="59"/>
      <c r="FT126" s="57"/>
      <c r="FW126" s="58"/>
      <c r="FY126" s="57"/>
    </row>
    <row r="127" spans="3:181">
      <c r="C127" s="65">
        <v>20</v>
      </c>
      <c r="D127" s="65">
        <v>4000</v>
      </c>
      <c r="E127" s="65">
        <v>3000</v>
      </c>
      <c r="F127" s="65" t="s">
        <v>583</v>
      </c>
      <c r="G127" s="65" t="str">
        <f t="shared" si="69"/>
        <v>40003000CPP_7</v>
      </c>
      <c r="H127" s="60"/>
      <c r="AU127" s="59"/>
      <c r="AV127" s="57"/>
      <c r="BG127" s="59"/>
      <c r="BH127" s="57"/>
      <c r="BK127" s="58"/>
      <c r="BM127" s="57"/>
      <c r="DA127" s="59"/>
      <c r="DB127" s="57"/>
      <c r="DM127" s="59"/>
      <c r="DN127" s="57"/>
      <c r="DQ127" s="58"/>
      <c r="DS127" s="57"/>
      <c r="FG127" s="59"/>
      <c r="FH127" s="57"/>
      <c r="FS127" s="59"/>
      <c r="FT127" s="57"/>
      <c r="FW127" s="58"/>
      <c r="FY127" s="57"/>
    </row>
    <row r="128" spans="3:181">
      <c r="C128" s="65">
        <v>30</v>
      </c>
      <c r="D128" s="65">
        <v>768</v>
      </c>
      <c r="E128" s="65">
        <v>432</v>
      </c>
      <c r="F128" s="65" t="s">
        <v>582</v>
      </c>
      <c r="G128" s="65" t="str">
        <f t="shared" si="69"/>
        <v>768432CPP_7_3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c r="C129" s="65">
        <v>30</v>
      </c>
      <c r="D129" s="65">
        <v>1280</v>
      </c>
      <c r="E129" s="65">
        <v>720</v>
      </c>
      <c r="F129" s="65" t="s">
        <v>582</v>
      </c>
      <c r="G129" s="65" t="str">
        <f t="shared" si="69"/>
        <v>1280720CPP_7_3</v>
      </c>
      <c r="H129" s="60"/>
      <c r="AU129" s="59"/>
      <c r="AV129" s="57"/>
      <c r="BG129" s="59"/>
      <c r="BH129" s="57"/>
      <c r="BK129" s="58"/>
      <c r="BM129" s="57"/>
      <c r="DA129" s="59"/>
      <c r="DB129" s="57"/>
      <c r="DM129" s="59"/>
      <c r="DN129" s="57"/>
      <c r="DQ129" s="58"/>
      <c r="DS129" s="57"/>
      <c r="FG129" s="59"/>
      <c r="FH129" s="57"/>
      <c r="FS129" s="59"/>
      <c r="FT129" s="57"/>
      <c r="FW129" s="58"/>
      <c r="FY129" s="57"/>
    </row>
    <row r="130" spans="3:181">
      <c r="C130" s="65">
        <v>60</v>
      </c>
      <c r="D130" s="65">
        <v>1280</v>
      </c>
      <c r="E130" s="65">
        <v>720</v>
      </c>
      <c r="F130" s="65" t="s">
        <v>582</v>
      </c>
      <c r="G130" s="65" t="str">
        <f t="shared" si="69"/>
        <v>1280720CPP_7_3</v>
      </c>
      <c r="H130" s="60"/>
      <c r="AU130" s="59"/>
      <c r="AV130" s="57"/>
      <c r="BG130" s="59"/>
      <c r="BH130" s="57"/>
      <c r="BK130" s="58"/>
      <c r="BM130" s="57"/>
      <c r="DA130" s="59"/>
      <c r="DB130" s="57"/>
      <c r="DM130" s="59"/>
      <c r="DN130" s="57"/>
      <c r="DQ130" s="58"/>
      <c r="DS130" s="57"/>
      <c r="FG130" s="59"/>
      <c r="FH130" s="57"/>
      <c r="FS130" s="59"/>
      <c r="FT130" s="57"/>
      <c r="FW130" s="58"/>
      <c r="FY130" s="57"/>
    </row>
    <row r="131" spans="3:181">
      <c r="C131" s="65">
        <v>30</v>
      </c>
      <c r="D131" s="65">
        <v>1920</v>
      </c>
      <c r="E131" s="65">
        <v>1080</v>
      </c>
      <c r="F131" s="65" t="s">
        <v>582</v>
      </c>
      <c r="G131" s="65" t="str">
        <f t="shared" si="69"/>
        <v>19201080CPP_7_3</v>
      </c>
      <c r="H131" s="60" t="s">
        <v>797</v>
      </c>
      <c r="I131" s="57">
        <v>30</v>
      </c>
      <c r="AU131" s="59"/>
      <c r="AV131" s="57"/>
      <c r="BG131" s="59"/>
      <c r="BH131" s="57"/>
      <c r="BK131" s="58"/>
      <c r="BM131" s="57"/>
      <c r="DA131" s="59"/>
      <c r="DB131" s="57"/>
      <c r="DM131" s="59"/>
      <c r="DN131" s="57"/>
      <c r="DQ131" s="58"/>
      <c r="DS131" s="57"/>
      <c r="FG131" s="59"/>
      <c r="FH131" s="57"/>
      <c r="FS131" s="59"/>
      <c r="FT131" s="57"/>
      <c r="FW131" s="58"/>
      <c r="FY131" s="57"/>
    </row>
    <row r="132" spans="3:181">
      <c r="C132" s="65">
        <v>60</v>
      </c>
      <c r="D132" s="65">
        <v>1920</v>
      </c>
      <c r="E132" s="65">
        <v>1080</v>
      </c>
      <c r="F132" s="65" t="s">
        <v>582</v>
      </c>
      <c r="G132" s="65" t="str">
        <f t="shared" si="69"/>
        <v>19201080CPP_7_3</v>
      </c>
      <c r="H132" s="60" t="s">
        <v>797</v>
      </c>
      <c r="I132" s="60">
        <v>30</v>
      </c>
    </row>
    <row r="133" spans="3:181">
      <c r="C133" s="65">
        <v>30</v>
      </c>
      <c r="D133" s="65">
        <v>2592</v>
      </c>
      <c r="E133" s="65">
        <v>1680</v>
      </c>
      <c r="F133" s="65" t="s">
        <v>582</v>
      </c>
      <c r="G133" s="65" t="str">
        <f t="shared" si="69"/>
        <v>25921680CPP_7_3</v>
      </c>
      <c r="H133" s="60" t="s">
        <v>797</v>
      </c>
      <c r="I133" s="60">
        <v>20</v>
      </c>
      <c r="M133" s="57" t="s">
        <v>778</v>
      </c>
    </row>
    <row r="134" spans="3:181">
      <c r="C134" s="65">
        <v>30</v>
      </c>
      <c r="D134" s="65">
        <v>3840</v>
      </c>
      <c r="E134" s="65">
        <v>2160</v>
      </c>
      <c r="F134" s="65" t="s">
        <v>582</v>
      </c>
      <c r="G134" s="65" t="str">
        <f t="shared" si="69"/>
        <v>38402160CPP_7_3</v>
      </c>
      <c r="H134" s="60"/>
      <c r="I134" s="60"/>
      <c r="M134"/>
    </row>
    <row r="135" spans="3:181">
      <c r="C135" s="65">
        <v>20</v>
      </c>
      <c r="D135" s="65">
        <v>4000</v>
      </c>
      <c r="E135" s="65">
        <v>3000</v>
      </c>
      <c r="F135" s="65" t="s">
        <v>582</v>
      </c>
      <c r="G135" s="65" t="str">
        <f t="shared" si="69"/>
        <v>40003000CPP_7_3</v>
      </c>
      <c r="H135" s="60"/>
      <c r="I135" s="60"/>
      <c r="M135"/>
    </row>
    <row r="136" spans="3:181">
      <c r="H136" s="60"/>
      <c r="I136" s="60"/>
      <c r="M136"/>
    </row>
    <row r="137" spans="3:181">
      <c r="E137" s="71" t="s">
        <v>597</v>
      </c>
      <c r="F137" s="60"/>
      <c r="G137" s="57" t="s">
        <v>815</v>
      </c>
      <c r="H137" s="60"/>
      <c r="I137" s="60"/>
      <c r="M137"/>
    </row>
    <row r="138" spans="3:181">
      <c r="C138" s="60"/>
      <c r="E138" s="65">
        <v>60</v>
      </c>
      <c r="F138" s="60"/>
      <c r="G138" s="57" t="s">
        <v>799</v>
      </c>
      <c r="H138" s="60"/>
      <c r="I138" s="60"/>
      <c r="M138"/>
    </row>
    <row r="139" spans="3:181">
      <c r="C139" s="60"/>
      <c r="E139" s="65">
        <v>30</v>
      </c>
      <c r="F139" s="60"/>
      <c r="G139" s="57" t="s">
        <v>800</v>
      </c>
      <c r="H139" s="60"/>
      <c r="I139" s="60"/>
      <c r="M139"/>
    </row>
    <row r="140" spans="3:181">
      <c r="C140" s="60"/>
      <c r="E140" s="65">
        <v>20</v>
      </c>
      <c r="G140" s="57" t="s">
        <v>801</v>
      </c>
      <c r="H140" s="60"/>
      <c r="I140" s="60"/>
      <c r="M140"/>
    </row>
    <row r="141" spans="3:181">
      <c r="C141" s="60"/>
      <c r="E141" s="65">
        <v>15</v>
      </c>
      <c r="G141" s="57" t="s">
        <v>802</v>
      </c>
      <c r="H141" s="62"/>
      <c r="I141" s="62"/>
      <c r="J141" s="62"/>
      <c r="M141"/>
    </row>
    <row r="142" spans="3:181">
      <c r="C142" s="60"/>
      <c r="E142" s="65">
        <v>12</v>
      </c>
      <c r="G142" s="57" t="s">
        <v>803</v>
      </c>
      <c r="H142" s="61"/>
      <c r="I142" s="61"/>
      <c r="J142" s="62"/>
      <c r="K142" s="62"/>
      <c r="L142" s="62"/>
      <c r="M142"/>
    </row>
    <row r="143" spans="3:181">
      <c r="C143" s="60"/>
      <c r="E143" s="65">
        <v>10</v>
      </c>
      <c r="G143" s="57" t="s">
        <v>804</v>
      </c>
      <c r="H143" s="61"/>
      <c r="I143" s="61"/>
      <c r="J143" s="64"/>
      <c r="K143" s="61"/>
      <c r="L143" s="61"/>
      <c r="M143"/>
    </row>
    <row r="144" spans="3:181">
      <c r="C144" s="60"/>
      <c r="E144" s="65">
        <v>7.5</v>
      </c>
      <c r="G144" s="57" t="s">
        <v>805</v>
      </c>
      <c r="H144" s="61"/>
      <c r="I144" s="61"/>
      <c r="J144" s="64"/>
      <c r="K144" s="63"/>
      <c r="L144" s="63"/>
      <c r="M144"/>
    </row>
    <row r="145" spans="3:13">
      <c r="C145" s="60"/>
      <c r="E145" s="65">
        <v>6</v>
      </c>
      <c r="G145" s="57" t="s">
        <v>806</v>
      </c>
      <c r="H145" s="60"/>
      <c r="I145" s="60"/>
      <c r="J145" s="64"/>
      <c r="K145" s="63"/>
      <c r="L145" s="63"/>
      <c r="M145"/>
    </row>
    <row r="146" spans="3:13">
      <c r="C146" s="60"/>
      <c r="E146" s="65">
        <v>5</v>
      </c>
      <c r="G146" s="57" t="s">
        <v>807</v>
      </c>
      <c r="H146" s="60"/>
      <c r="I146" s="60"/>
      <c r="J146" s="62"/>
      <c r="K146" s="63"/>
      <c r="L146" s="63"/>
      <c r="M146"/>
    </row>
    <row r="147" spans="3:13">
      <c r="C147" s="60"/>
      <c r="E147" s="65">
        <v>4</v>
      </c>
      <c r="G147" s="57" t="s">
        <v>808</v>
      </c>
      <c r="H147" s="60"/>
      <c r="I147" s="60"/>
      <c r="J147" s="62"/>
      <c r="K147" s="61"/>
      <c r="L147" s="61"/>
      <c r="M147"/>
    </row>
    <row r="148" spans="3:13">
      <c r="C148" s="60"/>
      <c r="E148" s="65">
        <v>3</v>
      </c>
      <c r="G148" s="57" t="s">
        <v>809</v>
      </c>
      <c r="H148" s="60"/>
      <c r="I148" s="60"/>
      <c r="K148" s="61"/>
      <c r="L148" s="61"/>
      <c r="M148"/>
    </row>
    <row r="149" spans="3:13">
      <c r="C149" s="60"/>
      <c r="E149" s="65">
        <v>2</v>
      </c>
      <c r="G149" s="57" t="s">
        <v>810</v>
      </c>
      <c r="H149" s="60"/>
      <c r="I149" s="60"/>
      <c r="M149"/>
    </row>
    <row r="150" spans="3:13">
      <c r="C150" s="60"/>
      <c r="E150" s="65">
        <v>1</v>
      </c>
      <c r="G150" s="62" t="s">
        <v>811</v>
      </c>
      <c r="H150" s="60"/>
      <c r="I150" s="60"/>
      <c r="M150"/>
    </row>
    <row r="151" spans="3:13">
      <c r="C151" s="60"/>
      <c r="G151" s="62" t="s">
        <v>812</v>
      </c>
      <c r="H151" s="60" t="s">
        <v>595</v>
      </c>
      <c r="I151" s="60" t="s">
        <v>593</v>
      </c>
      <c r="M151"/>
    </row>
    <row r="152" spans="3:13">
      <c r="C152" s="60"/>
      <c r="G152" s="62" t="s">
        <v>813</v>
      </c>
      <c r="H152" s="60" t="s">
        <v>587</v>
      </c>
      <c r="I152" s="60" t="s">
        <v>582</v>
      </c>
      <c r="K152" s="57" t="s">
        <v>595</v>
      </c>
      <c r="L152" s="57" t="s">
        <v>582</v>
      </c>
    </row>
    <row r="153" spans="3:13">
      <c r="C153" s="60"/>
      <c r="F153" s="142"/>
      <c r="G153" s="62" t="s">
        <v>814</v>
      </c>
      <c r="H153" s="60" t="s">
        <v>586</v>
      </c>
      <c r="I153" s="141"/>
      <c r="M153"/>
    </row>
    <row r="154" spans="3:13">
      <c r="C154" s="60"/>
      <c r="H154" s="57" t="s">
        <v>585</v>
      </c>
      <c r="M154"/>
    </row>
    <row r="155" spans="3:13">
      <c r="C155" s="60"/>
      <c r="H155" s="57" t="s">
        <v>584</v>
      </c>
      <c r="M155"/>
    </row>
    <row r="156" spans="3:13">
      <c r="C156" s="60"/>
      <c r="H156" s="60" t="s">
        <v>583</v>
      </c>
      <c r="I156" s="60"/>
      <c r="M156"/>
    </row>
    <row r="157" spans="3:13">
      <c r="C157" s="60"/>
      <c r="H157" s="60" t="s">
        <v>582</v>
      </c>
      <c r="I157" s="60"/>
      <c r="M157"/>
    </row>
    <row r="158" spans="3:13">
      <c r="C158" s="60"/>
      <c r="H158" s="60"/>
      <c r="I158" s="60"/>
      <c r="M158"/>
    </row>
    <row r="159" spans="3:13">
      <c r="C159" s="60"/>
      <c r="H159" s="60"/>
      <c r="I159" s="60"/>
      <c r="M159"/>
    </row>
    <row r="160" spans="3:13">
      <c r="C160" s="60"/>
      <c r="H160" s="60" t="s">
        <v>786</v>
      </c>
      <c r="I160" s="60"/>
      <c r="M160"/>
    </row>
    <row r="161" spans="1:184">
      <c r="C161" s="60"/>
      <c r="H161" s="60" t="s">
        <v>787</v>
      </c>
      <c r="I161" s="60"/>
      <c r="M161"/>
    </row>
    <row r="162" spans="1:184">
      <c r="C162" s="60"/>
      <c r="H162" s="60" t="s">
        <v>788</v>
      </c>
      <c r="I162" s="60"/>
      <c r="M162"/>
    </row>
    <row r="163" spans="1:184">
      <c r="C163" s="60"/>
      <c r="H163" s="60" t="s">
        <v>789</v>
      </c>
      <c r="I163" s="60"/>
      <c r="M163"/>
    </row>
    <row r="164" spans="1:184">
      <c r="C164" s="60"/>
      <c r="H164" s="60" t="s">
        <v>790</v>
      </c>
      <c r="I164" s="60"/>
      <c r="M164"/>
    </row>
    <row r="165" spans="1:184">
      <c r="C165" s="60"/>
      <c r="H165" s="60" t="s">
        <v>791</v>
      </c>
      <c r="I165" s="60"/>
      <c r="M165"/>
    </row>
    <row r="166" spans="1:184">
      <c r="C166" s="60"/>
      <c r="H166" s="60" t="s">
        <v>792</v>
      </c>
      <c r="I166" s="60"/>
      <c r="M166"/>
    </row>
    <row r="167" spans="1:184">
      <c r="C167" s="60"/>
      <c r="H167" s="60"/>
      <c r="I167" s="60"/>
      <c r="M167"/>
    </row>
    <row r="168" spans="1:184">
      <c r="C168" s="60"/>
      <c r="H168" s="60"/>
      <c r="I168" s="60"/>
      <c r="M168"/>
    </row>
    <row r="169" spans="1:184">
      <c r="C169" s="60"/>
      <c r="I169" s="60"/>
      <c r="M169"/>
    </row>
    <row r="170" spans="1:184">
      <c r="C170" s="60"/>
      <c r="D170" s="57" t="s">
        <v>111</v>
      </c>
      <c r="K170" s="60" t="s">
        <v>825</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c r="A171" s="57" t="str">
        <f t="shared" ref="A171:A230" si="70">C171&amp;D171&amp;$D$170</f>
        <v>bitrate optimized quietCPP_3SD</v>
      </c>
      <c r="B171" s="57" t="str">
        <f>C171&amp;D171&amp;E171&amp;F171</f>
        <v>bitrate optimized quietCPP_3704288</v>
      </c>
      <c r="C171" s="71" t="s">
        <v>620</v>
      </c>
      <c r="D171" s="25" t="s">
        <v>587</v>
      </c>
      <c r="E171" s="25">
        <v>704</v>
      </c>
      <c r="F171" s="25">
        <v>288</v>
      </c>
      <c r="I171" s="57" t="str">
        <f>E171&amp;F171</f>
        <v>704288</v>
      </c>
      <c r="K171" s="60" t="s">
        <v>817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c r="A172" s="57" t="str">
        <f t="shared" si="70"/>
        <v>bitrate optimized quietCPP_4SD</v>
      </c>
      <c r="B172" s="57" t="str">
        <f t="shared" ref="B172:B225" si="71">C172&amp;D172&amp;E172&amp;F172</f>
        <v>bitrate optimized quietCPP_4704288</v>
      </c>
      <c r="C172" s="71" t="s">
        <v>620</v>
      </c>
      <c r="D172" s="25" t="s">
        <v>586</v>
      </c>
      <c r="E172" s="25">
        <v>704</v>
      </c>
      <c r="F172" s="25">
        <v>288</v>
      </c>
      <c r="I172" s="57" t="str">
        <f t="shared" ref="I172:I230" si="72">E172&amp;F172</f>
        <v>704288</v>
      </c>
      <c r="K172" s="60" t="s">
        <v>818</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c r="A173" s="57" t="str">
        <f t="shared" si="70"/>
        <v>bitrate optimized quietCPP_5SD</v>
      </c>
      <c r="B173" s="57" t="str">
        <f t="shared" si="71"/>
        <v>bitrate optimized quietCPP_5704288</v>
      </c>
      <c r="C173" s="71" t="s">
        <v>620</v>
      </c>
      <c r="D173" s="25" t="s">
        <v>585</v>
      </c>
      <c r="E173" s="25">
        <v>704</v>
      </c>
      <c r="F173" s="25">
        <v>288</v>
      </c>
      <c r="I173" s="57" t="str">
        <f t="shared" si="72"/>
        <v>704288</v>
      </c>
      <c r="K173" s="60" t="s">
        <v>827</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c r="A174" s="57" t="str">
        <f t="shared" si="70"/>
        <v>bitrate optimized quietCPP_6SD</v>
      </c>
      <c r="B174" s="57" t="str">
        <f t="shared" si="71"/>
        <v>bitrate optimized quietCPP_6768432</v>
      </c>
      <c r="C174" s="71" t="s">
        <v>620</v>
      </c>
      <c r="D174" s="25" t="s">
        <v>584</v>
      </c>
      <c r="E174" s="25">
        <v>768</v>
      </c>
      <c r="F174" s="25">
        <v>432</v>
      </c>
      <c r="I174" s="57" t="str">
        <f t="shared" si="72"/>
        <v>768432</v>
      </c>
      <c r="K174" s="60" t="s">
        <v>819</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c r="A175" s="57" t="str">
        <f t="shared" si="70"/>
        <v>bitrate optimized quietCPP_7SD</v>
      </c>
      <c r="B175" s="57" t="str">
        <f t="shared" si="71"/>
        <v>bitrate optimized quietCPP_7768432</v>
      </c>
      <c r="C175" s="71" t="s">
        <v>620</v>
      </c>
      <c r="D175" s="25" t="s">
        <v>583</v>
      </c>
      <c r="E175" s="25">
        <v>768</v>
      </c>
      <c r="F175" s="25">
        <v>432</v>
      </c>
      <c r="I175" s="57" t="str">
        <f t="shared" si="72"/>
        <v>768432</v>
      </c>
      <c r="K175" s="60" t="s">
        <v>820</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c r="A176" s="57" t="str">
        <f t="shared" si="70"/>
        <v>bitrate optimized quietCPP_7_3SD</v>
      </c>
      <c r="B176" s="57" t="str">
        <f t="shared" si="71"/>
        <v>bitrate optimized quietCPP_7_3768432</v>
      </c>
      <c r="C176" s="71" t="s">
        <v>620</v>
      </c>
      <c r="D176" s="25" t="s">
        <v>582</v>
      </c>
      <c r="E176" s="25">
        <v>768</v>
      </c>
      <c r="F176" s="25">
        <v>432</v>
      </c>
      <c r="I176" s="57" t="str">
        <f t="shared" si="72"/>
        <v>768432</v>
      </c>
      <c r="K176" s="60" t="s">
        <v>828</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c r="A177" s="57" t="str">
        <f t="shared" si="70"/>
        <v>bitrate optimized standardCPP_3SD</v>
      </c>
      <c r="B177" s="57" t="str">
        <f t="shared" si="71"/>
        <v>bitrate optimized standardCPP_3704288</v>
      </c>
      <c r="C177" s="71" t="s">
        <v>617</v>
      </c>
      <c r="D177" s="25" t="s">
        <v>587</v>
      </c>
      <c r="E177" s="25">
        <v>704</v>
      </c>
      <c r="F177" s="25">
        <v>288</v>
      </c>
      <c r="I177" s="57" t="str">
        <f t="shared" si="72"/>
        <v>704288</v>
      </c>
      <c r="K177" s="60" t="s">
        <v>821</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c r="A178" s="57" t="str">
        <f t="shared" si="70"/>
        <v>bitrate optimized standardCPP_4SD</v>
      </c>
      <c r="B178" s="57" t="str">
        <f t="shared" si="71"/>
        <v>bitrate optimized standardCPP_4704288</v>
      </c>
      <c r="C178" s="71" t="s">
        <v>617</v>
      </c>
      <c r="D178" s="25" t="s">
        <v>586</v>
      </c>
      <c r="E178" s="25">
        <v>704</v>
      </c>
      <c r="F178" s="25">
        <v>288</v>
      </c>
      <c r="I178" s="57" t="str">
        <f t="shared" si="72"/>
        <v>704288</v>
      </c>
      <c r="K178" s="60" t="s">
        <v>822</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c r="A179" s="57" t="str">
        <f t="shared" si="70"/>
        <v>bitrate optimized standardCPP_5SD</v>
      </c>
      <c r="B179" s="57" t="str">
        <f t="shared" si="71"/>
        <v>bitrate optimized standardCPP_5704288</v>
      </c>
      <c r="C179" s="71" t="s">
        <v>617</v>
      </c>
      <c r="D179" s="25" t="s">
        <v>585</v>
      </c>
      <c r="E179" s="25">
        <v>704</v>
      </c>
      <c r="F179" s="25">
        <v>288</v>
      </c>
      <c r="I179" s="57" t="str">
        <f t="shared" si="72"/>
        <v>704288</v>
      </c>
      <c r="K179" s="60" t="s">
        <v>826</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c r="A180" s="57" t="str">
        <f t="shared" si="70"/>
        <v>bitrate optimized standardCPP_6SD</v>
      </c>
      <c r="B180" s="57" t="str">
        <f t="shared" si="71"/>
        <v>bitrate optimized standardCPP_6768432</v>
      </c>
      <c r="C180" s="71" t="s">
        <v>617</v>
      </c>
      <c r="D180" s="25" t="s">
        <v>584</v>
      </c>
      <c r="E180" s="25">
        <v>768</v>
      </c>
      <c r="F180" s="25">
        <v>432</v>
      </c>
      <c r="H180" s="60"/>
      <c r="I180" s="57" t="str">
        <f t="shared" si="72"/>
        <v>768432</v>
      </c>
      <c r="K180" s="60" t="s">
        <v>823</v>
      </c>
      <c r="L180" s="60"/>
      <c r="P180"/>
      <c r="AV180" s="57"/>
      <c r="AY180" s="59"/>
      <c r="BH180" s="57"/>
      <c r="BK180" s="59"/>
      <c r="BL180" s="57"/>
      <c r="BM180" s="57"/>
      <c r="BO180" s="58"/>
      <c r="BP180" s="58"/>
      <c r="DB180" s="57"/>
      <c r="DE180" s="59"/>
      <c r="DN180" s="57"/>
      <c r="DQ180" s="59"/>
      <c r="DR180" s="57"/>
      <c r="DS180" s="57"/>
      <c r="DU180" s="58"/>
      <c r="DV180" s="58"/>
      <c r="FH180" s="57"/>
      <c r="FK180" s="59"/>
      <c r="FT180" s="57"/>
      <c r="FW180" s="59"/>
      <c r="FX180" s="57"/>
      <c r="FY180" s="57"/>
      <c r="GA180" s="58"/>
      <c r="GB180" s="58"/>
    </row>
    <row r="181" spans="1:184">
      <c r="A181" s="57" t="str">
        <f t="shared" si="70"/>
        <v>bitrate optimized standardCPP_7SD</v>
      </c>
      <c r="B181" s="57" t="str">
        <f t="shared" si="71"/>
        <v>bitrate optimized standardCPP_7768432</v>
      </c>
      <c r="C181" s="71" t="s">
        <v>617</v>
      </c>
      <c r="D181" s="25" t="s">
        <v>583</v>
      </c>
      <c r="E181" s="25">
        <v>768</v>
      </c>
      <c r="F181" s="25">
        <v>432</v>
      </c>
      <c r="H181" s="60"/>
      <c r="I181" s="57" t="str">
        <f t="shared" si="72"/>
        <v>768432</v>
      </c>
      <c r="K181" s="60" t="s">
        <v>824</v>
      </c>
      <c r="L181" s="60"/>
      <c r="P181"/>
      <c r="AV181" s="57"/>
      <c r="AY181" s="59"/>
      <c r="BH181" s="57"/>
      <c r="BK181" s="59"/>
      <c r="BL181" s="57"/>
      <c r="BM181" s="57"/>
      <c r="BO181" s="58"/>
      <c r="BP181" s="58"/>
      <c r="DB181" s="57"/>
      <c r="DE181" s="59"/>
      <c r="DN181" s="57"/>
      <c r="DQ181" s="59"/>
      <c r="DR181" s="57"/>
      <c r="DS181" s="57"/>
      <c r="DU181" s="58"/>
      <c r="DV181" s="58"/>
      <c r="FH181" s="57"/>
      <c r="FK181" s="59"/>
      <c r="FT181" s="57"/>
      <c r="FW181" s="59"/>
      <c r="FX181" s="57"/>
      <c r="FY181" s="57"/>
      <c r="GA181" s="58"/>
      <c r="GB181" s="58"/>
    </row>
    <row r="182" spans="1:184">
      <c r="A182" s="57" t="str">
        <f t="shared" si="70"/>
        <v>bitrate optimized standardCPP_7_3SD</v>
      </c>
      <c r="B182" s="57" t="str">
        <f t="shared" si="71"/>
        <v>bitrate optimized standardCPP_7_3768432</v>
      </c>
      <c r="C182" s="71" t="s">
        <v>617</v>
      </c>
      <c r="D182" s="25" t="s">
        <v>582</v>
      </c>
      <c r="E182" s="25">
        <v>768</v>
      </c>
      <c r="F182" s="25">
        <v>432</v>
      </c>
      <c r="H182" s="60"/>
      <c r="I182" s="57" t="str">
        <f t="shared" si="72"/>
        <v>768432</v>
      </c>
      <c r="M182"/>
    </row>
    <row r="183" spans="1:184">
      <c r="A183" s="57" t="str">
        <f t="shared" si="70"/>
        <v>bitrate optimized busyCPP_3SD</v>
      </c>
      <c r="B183" s="57" t="str">
        <f t="shared" si="71"/>
        <v>bitrate optimized busyCPP_3704288</v>
      </c>
      <c r="C183" s="71" t="s">
        <v>614</v>
      </c>
      <c r="D183" s="25" t="s">
        <v>587</v>
      </c>
      <c r="E183" s="25">
        <v>704</v>
      </c>
      <c r="F183" s="25">
        <v>288</v>
      </c>
      <c r="H183" s="60"/>
      <c r="I183" s="57" t="str">
        <f t="shared" si="72"/>
        <v>704288</v>
      </c>
      <c r="M183"/>
    </row>
    <row r="184" spans="1:184">
      <c r="A184" s="57" t="str">
        <f t="shared" si="70"/>
        <v>bitrate optimized busyCPP_4SD</v>
      </c>
      <c r="B184" s="57" t="str">
        <f t="shared" si="71"/>
        <v>bitrate optimized busyCPP_4704288</v>
      </c>
      <c r="C184" s="71" t="s">
        <v>614</v>
      </c>
      <c r="D184" s="25" t="s">
        <v>586</v>
      </c>
      <c r="E184" s="25">
        <v>704</v>
      </c>
      <c r="F184" s="25">
        <v>288</v>
      </c>
      <c r="H184" s="60"/>
      <c r="I184" s="57" t="str">
        <f t="shared" si="72"/>
        <v>704288</v>
      </c>
      <c r="M184"/>
    </row>
    <row r="185" spans="1:184">
      <c r="A185" s="57" t="str">
        <f t="shared" si="70"/>
        <v>bitrate optimized busyCPP_5SD</v>
      </c>
      <c r="B185" s="57" t="str">
        <f t="shared" si="71"/>
        <v>bitrate optimized busyCPP_5704288</v>
      </c>
      <c r="C185" s="71" t="s">
        <v>614</v>
      </c>
      <c r="D185" s="25" t="s">
        <v>585</v>
      </c>
      <c r="E185" s="25">
        <v>704</v>
      </c>
      <c r="F185" s="25">
        <v>288</v>
      </c>
      <c r="H185" s="60"/>
      <c r="I185" s="57" t="str">
        <f t="shared" si="72"/>
        <v>704288</v>
      </c>
      <c r="M185"/>
    </row>
    <row r="186" spans="1:184">
      <c r="A186" s="57" t="str">
        <f t="shared" si="70"/>
        <v>bitrate optimized busyCPP_6SD</v>
      </c>
      <c r="B186" s="57" t="str">
        <f t="shared" si="71"/>
        <v>bitrate optimized busyCPP_6768432</v>
      </c>
      <c r="C186" s="71" t="s">
        <v>614</v>
      </c>
      <c r="D186" s="25" t="s">
        <v>584</v>
      </c>
      <c r="E186" s="25">
        <v>768</v>
      </c>
      <c r="F186" s="25">
        <v>432</v>
      </c>
      <c r="I186" s="57" t="str">
        <f t="shared" si="72"/>
        <v>768432</v>
      </c>
      <c r="M186"/>
    </row>
    <row r="187" spans="1:184">
      <c r="A187" s="57" t="str">
        <f t="shared" si="70"/>
        <v>bitrate optimized busyCPP_7SD</v>
      </c>
      <c r="B187" s="57" t="str">
        <f t="shared" si="71"/>
        <v>bitrate optimized busyCPP_7768432</v>
      </c>
      <c r="C187" s="71" t="s">
        <v>614</v>
      </c>
      <c r="D187" s="25" t="s">
        <v>583</v>
      </c>
      <c r="E187" s="25">
        <v>768</v>
      </c>
      <c r="F187" s="25">
        <v>432</v>
      </c>
      <c r="I187" s="57" t="str">
        <f t="shared" si="72"/>
        <v>768432</v>
      </c>
      <c r="M187"/>
    </row>
    <row r="188" spans="1:184">
      <c r="A188" s="57" t="str">
        <f t="shared" si="70"/>
        <v>bitrate optimized busyCPP_7_3SD</v>
      </c>
      <c r="B188" s="57" t="str">
        <f t="shared" si="71"/>
        <v>bitrate optimized busyCPP_7_3768432</v>
      </c>
      <c r="C188" s="71" t="s">
        <v>614</v>
      </c>
      <c r="D188" s="25" t="s">
        <v>582</v>
      </c>
      <c r="E188" s="25">
        <v>768</v>
      </c>
      <c r="F188" s="25">
        <v>432</v>
      </c>
      <c r="H188" s="60"/>
      <c r="I188" s="57" t="str">
        <f t="shared" si="72"/>
        <v>768432</v>
      </c>
      <c r="M188"/>
    </row>
    <row r="189" spans="1:184">
      <c r="A189" s="57" t="str">
        <f t="shared" si="70"/>
        <v>balanced quietCPP_3SD</v>
      </c>
      <c r="B189" s="57" t="str">
        <f t="shared" si="71"/>
        <v>balanced quietCPP_3704288</v>
      </c>
      <c r="C189" s="71" t="s">
        <v>612</v>
      </c>
      <c r="D189" s="25" t="s">
        <v>587</v>
      </c>
      <c r="E189" s="25">
        <v>704</v>
      </c>
      <c r="F189" s="25">
        <v>288</v>
      </c>
      <c r="H189" s="60"/>
      <c r="I189" s="57" t="str">
        <f t="shared" si="72"/>
        <v>704288</v>
      </c>
      <c r="M189"/>
    </row>
    <row r="190" spans="1:184">
      <c r="A190" s="57" t="str">
        <f t="shared" si="70"/>
        <v>balanced quietCPP_4SD</v>
      </c>
      <c r="B190" s="57" t="str">
        <f t="shared" si="71"/>
        <v>balanced quietCPP_4704288</v>
      </c>
      <c r="C190" s="71" t="s">
        <v>612</v>
      </c>
      <c r="D190" s="25" t="s">
        <v>586</v>
      </c>
      <c r="E190" s="25">
        <v>704</v>
      </c>
      <c r="F190" s="25">
        <v>288</v>
      </c>
      <c r="H190" s="60"/>
      <c r="I190" s="57" t="str">
        <f t="shared" si="72"/>
        <v>704288</v>
      </c>
      <c r="M190"/>
    </row>
    <row r="191" spans="1:184">
      <c r="A191" s="57" t="str">
        <f t="shared" si="70"/>
        <v>balanced quietCPP_5SD</v>
      </c>
      <c r="B191" s="57" t="str">
        <f t="shared" si="71"/>
        <v>balanced quietCPP_5704288</v>
      </c>
      <c r="C191" s="71" t="s">
        <v>612</v>
      </c>
      <c r="D191" s="25" t="s">
        <v>585</v>
      </c>
      <c r="E191" s="25">
        <v>704</v>
      </c>
      <c r="F191" s="25">
        <v>288</v>
      </c>
      <c r="H191" s="60"/>
      <c r="I191" s="57" t="str">
        <f t="shared" si="72"/>
        <v>704288</v>
      </c>
      <c r="M191"/>
    </row>
    <row r="192" spans="1:184">
      <c r="A192" s="57" t="str">
        <f t="shared" si="70"/>
        <v>balanced quietCPP_6SD</v>
      </c>
      <c r="B192" s="57" t="str">
        <f t="shared" si="71"/>
        <v>balanced quietCPP_6768432</v>
      </c>
      <c r="C192" s="71" t="s">
        <v>612</v>
      </c>
      <c r="D192" s="25" t="s">
        <v>584</v>
      </c>
      <c r="E192" s="25">
        <v>768</v>
      </c>
      <c r="F192" s="25">
        <v>432</v>
      </c>
      <c r="H192" s="60"/>
      <c r="I192" s="57" t="str">
        <f t="shared" si="72"/>
        <v>768432</v>
      </c>
      <c r="M192"/>
    </row>
    <row r="193" spans="1:13">
      <c r="A193" s="57" t="str">
        <f t="shared" si="70"/>
        <v>balanced quietCPP_7SD</v>
      </c>
      <c r="B193" s="57" t="str">
        <f t="shared" si="71"/>
        <v>balanced quietCPP_7768432</v>
      </c>
      <c r="C193" s="71" t="s">
        <v>612</v>
      </c>
      <c r="D193" s="25" t="s">
        <v>583</v>
      </c>
      <c r="E193" s="25">
        <v>768</v>
      </c>
      <c r="F193" s="25">
        <v>432</v>
      </c>
      <c r="H193" s="60"/>
      <c r="I193" s="57" t="str">
        <f t="shared" si="72"/>
        <v>768432</v>
      </c>
      <c r="M193"/>
    </row>
    <row r="194" spans="1:13">
      <c r="A194" s="57" t="str">
        <f t="shared" si="70"/>
        <v>balanced quietCPP_7_3SD</v>
      </c>
      <c r="B194" s="57" t="str">
        <f t="shared" si="71"/>
        <v>balanced quietCPP_7_3768432</v>
      </c>
      <c r="C194" s="71" t="s">
        <v>612</v>
      </c>
      <c r="D194" s="25" t="s">
        <v>582</v>
      </c>
      <c r="E194" s="25">
        <v>768</v>
      </c>
      <c r="F194" s="25">
        <v>432</v>
      </c>
      <c r="H194" s="60"/>
      <c r="I194" s="57" t="str">
        <f t="shared" si="72"/>
        <v>768432</v>
      </c>
      <c r="M194"/>
    </row>
    <row r="195" spans="1:13">
      <c r="A195" s="57" t="str">
        <f t="shared" si="70"/>
        <v>balanced standardCPP_3SD</v>
      </c>
      <c r="B195" s="57" t="str">
        <f t="shared" si="71"/>
        <v>balanced standardCPP_3704288</v>
      </c>
      <c r="C195" s="71" t="s">
        <v>599</v>
      </c>
      <c r="D195" s="25" t="s">
        <v>587</v>
      </c>
      <c r="E195" s="25">
        <v>704</v>
      </c>
      <c r="F195" s="25">
        <v>288</v>
      </c>
      <c r="H195" s="60"/>
      <c r="I195" s="57" t="str">
        <f t="shared" si="72"/>
        <v>704288</v>
      </c>
      <c r="M195"/>
    </row>
    <row r="196" spans="1:13">
      <c r="A196" s="57" t="str">
        <f t="shared" si="70"/>
        <v>balanced standardCPP_4SD</v>
      </c>
      <c r="B196" s="57" t="str">
        <f t="shared" si="71"/>
        <v>balanced standardCPP_4704288</v>
      </c>
      <c r="C196" s="71" t="s">
        <v>599</v>
      </c>
      <c r="D196" s="25" t="s">
        <v>586</v>
      </c>
      <c r="E196" s="25">
        <v>704</v>
      </c>
      <c r="F196" s="25">
        <v>288</v>
      </c>
      <c r="H196" s="60"/>
      <c r="I196" s="57" t="str">
        <f t="shared" si="72"/>
        <v>704288</v>
      </c>
      <c r="M196"/>
    </row>
    <row r="197" spans="1:13">
      <c r="A197" s="57" t="str">
        <f t="shared" si="70"/>
        <v>balanced standardCPP_5SD</v>
      </c>
      <c r="B197" s="57" t="str">
        <f t="shared" si="71"/>
        <v>balanced standardCPP_5704288</v>
      </c>
      <c r="C197" s="71" t="s">
        <v>599</v>
      </c>
      <c r="D197" s="25" t="s">
        <v>585</v>
      </c>
      <c r="E197" s="25">
        <v>704</v>
      </c>
      <c r="F197" s="25">
        <v>288</v>
      </c>
      <c r="G197" s="180">
        <v>2000000</v>
      </c>
      <c r="H197" s="180">
        <v>2000000</v>
      </c>
      <c r="I197" s="57" t="str">
        <f t="shared" si="72"/>
        <v>704288</v>
      </c>
      <c r="M197"/>
    </row>
    <row r="198" spans="1:13">
      <c r="A198" s="57" t="str">
        <f t="shared" si="70"/>
        <v>balanced standardCPP_6SD</v>
      </c>
      <c r="B198" s="57" t="str">
        <f t="shared" si="71"/>
        <v>balanced standardCPP_6768432</v>
      </c>
      <c r="C198" s="71" t="s">
        <v>599</v>
      </c>
      <c r="D198" s="25" t="s">
        <v>584</v>
      </c>
      <c r="E198" s="25">
        <v>768</v>
      </c>
      <c r="F198" s="25">
        <v>432</v>
      </c>
      <c r="H198" s="60"/>
      <c r="I198" s="57" t="str">
        <f t="shared" si="72"/>
        <v>768432</v>
      </c>
      <c r="M198"/>
    </row>
    <row r="199" spans="1:13">
      <c r="A199" s="57" t="str">
        <f t="shared" si="70"/>
        <v>balanced standardCPP_7SD</v>
      </c>
      <c r="B199" s="57" t="str">
        <f t="shared" si="71"/>
        <v>balanced standardCPP_7768432</v>
      </c>
      <c r="C199" s="71" t="s">
        <v>599</v>
      </c>
      <c r="D199" s="25" t="s">
        <v>583</v>
      </c>
      <c r="E199" s="25">
        <v>768</v>
      </c>
      <c r="F199" s="25">
        <v>432</v>
      </c>
      <c r="H199" s="60"/>
      <c r="I199" s="57" t="str">
        <f t="shared" si="72"/>
        <v>768432</v>
      </c>
      <c r="M199"/>
    </row>
    <row r="200" spans="1:13">
      <c r="A200" s="57" t="str">
        <f t="shared" si="70"/>
        <v>balanced standardCPP_7_3SD</v>
      </c>
      <c r="B200" s="57" t="str">
        <f t="shared" si="71"/>
        <v>balanced standardCPP_7_3768432</v>
      </c>
      <c r="C200" s="71" t="s">
        <v>599</v>
      </c>
      <c r="D200" s="25" t="s">
        <v>582</v>
      </c>
      <c r="E200" s="25">
        <v>768</v>
      </c>
      <c r="F200" s="25">
        <v>432</v>
      </c>
      <c r="H200" s="60"/>
      <c r="I200" s="57" t="str">
        <f t="shared" si="72"/>
        <v>768432</v>
      </c>
      <c r="M200"/>
    </row>
    <row r="201" spans="1:13">
      <c r="A201" s="57" t="str">
        <f t="shared" si="70"/>
        <v>balanced busyCPP_3SD</v>
      </c>
      <c r="B201" s="57" t="str">
        <f t="shared" si="71"/>
        <v>balanced busyCPP_3704288</v>
      </c>
      <c r="C201" s="71" t="s">
        <v>609</v>
      </c>
      <c r="D201" s="25" t="s">
        <v>587</v>
      </c>
      <c r="E201" s="25">
        <v>704</v>
      </c>
      <c r="F201" s="25">
        <v>288</v>
      </c>
      <c r="H201" s="60"/>
      <c r="I201" s="57" t="str">
        <f t="shared" si="72"/>
        <v>704288</v>
      </c>
      <c r="M201"/>
    </row>
    <row r="202" spans="1:13">
      <c r="A202" s="57" t="str">
        <f t="shared" si="70"/>
        <v>balanced busyCPP_4SD</v>
      </c>
      <c r="B202" s="57" t="str">
        <f t="shared" si="71"/>
        <v>balanced busyCPP_4704288</v>
      </c>
      <c r="C202" s="71" t="s">
        <v>609</v>
      </c>
      <c r="D202" s="25" t="s">
        <v>586</v>
      </c>
      <c r="E202" s="25">
        <v>704</v>
      </c>
      <c r="F202" s="25">
        <v>288</v>
      </c>
      <c r="H202" s="60"/>
      <c r="I202" s="57" t="str">
        <f t="shared" si="72"/>
        <v>704288</v>
      </c>
      <c r="M202"/>
    </row>
    <row r="203" spans="1:13">
      <c r="A203" s="57" t="str">
        <f t="shared" si="70"/>
        <v>balanced busyCPP_5SD</v>
      </c>
      <c r="B203" s="57" t="str">
        <f t="shared" si="71"/>
        <v>balanced busyCPP_5704288</v>
      </c>
      <c r="C203" s="71" t="s">
        <v>609</v>
      </c>
      <c r="D203" s="25" t="s">
        <v>585</v>
      </c>
      <c r="E203" s="25">
        <v>704</v>
      </c>
      <c r="F203" s="25">
        <v>288</v>
      </c>
      <c r="G203" s="180">
        <v>2000000</v>
      </c>
      <c r="H203" s="180">
        <v>2000000</v>
      </c>
      <c r="I203" s="57" t="str">
        <f t="shared" si="72"/>
        <v>704288</v>
      </c>
      <c r="M203"/>
    </row>
    <row r="204" spans="1:13">
      <c r="A204" s="57" t="str">
        <f t="shared" si="70"/>
        <v>balanced busyCPP_6SD</v>
      </c>
      <c r="B204" s="57" t="str">
        <f t="shared" si="71"/>
        <v>balanced busyCPP_6768432</v>
      </c>
      <c r="C204" s="71" t="s">
        <v>609</v>
      </c>
      <c r="D204" s="25" t="s">
        <v>584</v>
      </c>
      <c r="E204" s="25">
        <v>768</v>
      </c>
      <c r="F204" s="25">
        <v>432</v>
      </c>
      <c r="H204" s="60"/>
      <c r="I204" s="57" t="str">
        <f t="shared" si="72"/>
        <v>768432</v>
      </c>
      <c r="M204"/>
    </row>
    <row r="205" spans="1:13">
      <c r="A205" s="57" t="str">
        <f t="shared" si="70"/>
        <v>balanced busyCPP_7SD</v>
      </c>
      <c r="B205" s="57" t="str">
        <f t="shared" si="71"/>
        <v>balanced busyCPP_7768432</v>
      </c>
      <c r="C205" s="71" t="s">
        <v>609</v>
      </c>
      <c r="D205" s="25" t="s">
        <v>583</v>
      </c>
      <c r="E205" s="25">
        <v>768</v>
      </c>
      <c r="F205" s="25">
        <v>432</v>
      </c>
      <c r="H205" s="60"/>
      <c r="I205" s="57" t="str">
        <f t="shared" si="72"/>
        <v>768432</v>
      </c>
      <c r="M205"/>
    </row>
    <row r="206" spans="1:13">
      <c r="A206" s="57" t="str">
        <f t="shared" si="70"/>
        <v>balanced busyCPP_7_3SD</v>
      </c>
      <c r="B206" s="57" t="str">
        <f t="shared" si="71"/>
        <v>balanced busyCPP_7_3768432</v>
      </c>
      <c r="C206" s="71" t="s">
        <v>609</v>
      </c>
      <c r="D206" s="25" t="s">
        <v>582</v>
      </c>
      <c r="E206" s="25">
        <v>768</v>
      </c>
      <c r="F206" s="25">
        <v>432</v>
      </c>
      <c r="H206" s="60"/>
      <c r="I206" s="57" t="str">
        <f t="shared" si="72"/>
        <v>768432</v>
      </c>
      <c r="M206"/>
    </row>
    <row r="207" spans="1:13">
      <c r="A207" s="57" t="str">
        <f t="shared" si="70"/>
        <v>image optimized quietCPP_3SD</v>
      </c>
      <c r="B207" s="57" t="str">
        <f t="shared" si="71"/>
        <v>image optimized quietCPP_3704576</v>
      </c>
      <c r="C207" s="71" t="s">
        <v>607</v>
      </c>
      <c r="D207" s="32" t="s">
        <v>587</v>
      </c>
      <c r="E207" s="25">
        <v>704</v>
      </c>
      <c r="F207" s="25">
        <v>576</v>
      </c>
      <c r="G207" s="180">
        <v>4858053</v>
      </c>
      <c r="H207" s="180">
        <v>6000000</v>
      </c>
      <c r="I207" s="57" t="str">
        <f t="shared" si="72"/>
        <v>704576</v>
      </c>
      <c r="M207"/>
    </row>
    <row r="208" spans="1:13">
      <c r="A208" s="57" t="str">
        <f t="shared" si="70"/>
        <v>image optimized quietCPP_4SD</v>
      </c>
      <c r="B208" s="57" t="str">
        <f t="shared" si="71"/>
        <v>image optimized quietCPP_4704576</v>
      </c>
      <c r="C208" s="71" t="s">
        <v>607</v>
      </c>
      <c r="D208" s="25" t="s">
        <v>586</v>
      </c>
      <c r="E208" s="25">
        <v>704</v>
      </c>
      <c r="F208" s="25">
        <v>576</v>
      </c>
      <c r="G208" s="180">
        <v>2859061</v>
      </c>
      <c r="H208" s="180">
        <v>5718122</v>
      </c>
      <c r="I208" s="57" t="str">
        <f t="shared" si="72"/>
        <v>704576</v>
      </c>
      <c r="M208"/>
    </row>
    <row r="209" spans="1:13">
      <c r="A209" s="57" t="str">
        <f t="shared" si="70"/>
        <v>image optimized quietCPP_5SD</v>
      </c>
      <c r="B209" s="57" t="str">
        <f t="shared" si="71"/>
        <v>image optimized quietCPP_5704576</v>
      </c>
      <c r="C209" s="71" t="s">
        <v>607</v>
      </c>
      <c r="D209" s="25" t="s">
        <v>585</v>
      </c>
      <c r="E209" s="25">
        <v>704</v>
      </c>
      <c r="F209" s="25">
        <v>576</v>
      </c>
      <c r="G209" s="180">
        <v>2000000</v>
      </c>
      <c r="H209" s="180">
        <v>2000000</v>
      </c>
      <c r="I209" s="57" t="str">
        <f t="shared" si="72"/>
        <v>704576</v>
      </c>
      <c r="M209"/>
    </row>
    <row r="210" spans="1:13">
      <c r="A210" s="57" t="str">
        <f t="shared" si="70"/>
        <v>image optimized quietCPP_6SD</v>
      </c>
      <c r="B210" s="57" t="str">
        <f t="shared" si="71"/>
        <v>image optimized quietCPP_6768432</v>
      </c>
      <c r="C210" s="71" t="s">
        <v>607</v>
      </c>
      <c r="D210" s="25" t="s">
        <v>584</v>
      </c>
      <c r="E210" s="25">
        <v>768</v>
      </c>
      <c r="F210" s="25">
        <v>432</v>
      </c>
      <c r="H210" s="60"/>
      <c r="I210" s="57" t="str">
        <f t="shared" si="72"/>
        <v>768432</v>
      </c>
      <c r="M210"/>
    </row>
    <row r="211" spans="1:13">
      <c r="A211" s="57" t="str">
        <f t="shared" si="70"/>
        <v>image optimized quietCPP_7SD</v>
      </c>
      <c r="B211" s="57" t="str">
        <f t="shared" si="71"/>
        <v>image optimized quietCPP_7768432</v>
      </c>
      <c r="C211" s="71" t="s">
        <v>607</v>
      </c>
      <c r="D211" s="25" t="s">
        <v>583</v>
      </c>
      <c r="E211" s="25">
        <v>768</v>
      </c>
      <c r="F211" s="25">
        <v>432</v>
      </c>
      <c r="H211" s="60"/>
      <c r="I211" s="57" t="str">
        <f t="shared" si="72"/>
        <v>768432</v>
      </c>
      <c r="M211"/>
    </row>
    <row r="212" spans="1:13">
      <c r="A212" s="57" t="str">
        <f t="shared" si="70"/>
        <v>image optimized quietCPP_7_3SD</v>
      </c>
      <c r="B212" s="57" t="str">
        <f t="shared" si="71"/>
        <v>image optimized quietCPP_7_3768432</v>
      </c>
      <c r="C212" s="71" t="s">
        <v>607</v>
      </c>
      <c r="D212" s="25" t="s">
        <v>582</v>
      </c>
      <c r="E212" s="25">
        <v>768</v>
      </c>
      <c r="F212" s="25">
        <v>432</v>
      </c>
      <c r="H212" s="60"/>
      <c r="I212" s="57" t="str">
        <f t="shared" si="72"/>
        <v>768432</v>
      </c>
      <c r="M212"/>
    </row>
    <row r="213" spans="1:13">
      <c r="A213" s="57" t="str">
        <f t="shared" si="70"/>
        <v>image optimized standardCPP_3SD</v>
      </c>
      <c r="B213" s="57" t="str">
        <f t="shared" si="71"/>
        <v>image optimized standardCPP_3704576</v>
      </c>
      <c r="C213" s="71" t="s">
        <v>605</v>
      </c>
      <c r="D213" s="32" t="s">
        <v>587</v>
      </c>
      <c r="E213" s="25">
        <v>704</v>
      </c>
      <c r="F213" s="25">
        <v>576</v>
      </c>
      <c r="G213" s="180">
        <v>5294.51</v>
      </c>
      <c r="H213" s="180">
        <v>6000</v>
      </c>
      <c r="I213" s="57" t="str">
        <f t="shared" si="72"/>
        <v>704576</v>
      </c>
      <c r="M213"/>
    </row>
    <row r="214" spans="1:13">
      <c r="A214" s="57" t="str">
        <f t="shared" si="70"/>
        <v>image optimized standardCPP_4SD</v>
      </c>
      <c r="B214" s="57" t="str">
        <f t="shared" si="71"/>
        <v>image optimized standardCPP_4704576</v>
      </c>
      <c r="C214" s="71" t="s">
        <v>605</v>
      </c>
      <c r="D214" s="25" t="s">
        <v>586</v>
      </c>
      <c r="E214" s="25">
        <v>704</v>
      </c>
      <c r="F214" s="25">
        <v>576</v>
      </c>
      <c r="G214" s="180">
        <v>3355739</v>
      </c>
      <c r="H214" s="180">
        <v>6711477</v>
      </c>
      <c r="I214" s="57" t="str">
        <f t="shared" si="72"/>
        <v>704576</v>
      </c>
      <c r="M214"/>
    </row>
    <row r="215" spans="1:13">
      <c r="A215" s="57" t="str">
        <f t="shared" si="70"/>
        <v>image optimized standardCPP_5SD</v>
      </c>
      <c r="B215" s="57" t="str">
        <f t="shared" si="71"/>
        <v>image optimized standardCPP_5704576</v>
      </c>
      <c r="C215" s="71" t="s">
        <v>605</v>
      </c>
      <c r="D215" s="25" t="s">
        <v>585</v>
      </c>
      <c r="E215" s="25">
        <v>704</v>
      </c>
      <c r="F215" s="25">
        <v>576</v>
      </c>
      <c r="G215" s="180">
        <v>2000000</v>
      </c>
      <c r="H215" s="180">
        <v>2000000</v>
      </c>
      <c r="I215" s="57" t="str">
        <f t="shared" si="72"/>
        <v>704576</v>
      </c>
      <c r="M215"/>
    </row>
    <row r="216" spans="1:13">
      <c r="A216" s="57" t="str">
        <f t="shared" si="70"/>
        <v>image optimized standardCPP_6SD</v>
      </c>
      <c r="B216" s="57" t="str">
        <f t="shared" si="71"/>
        <v>image optimized standardCPP_6768432</v>
      </c>
      <c r="C216" s="71" t="s">
        <v>605</v>
      </c>
      <c r="D216" s="25" t="s">
        <v>584</v>
      </c>
      <c r="E216" s="25">
        <v>768</v>
      </c>
      <c r="F216" s="25">
        <v>432</v>
      </c>
      <c r="H216" s="60"/>
      <c r="I216" s="57" t="str">
        <f t="shared" si="72"/>
        <v>768432</v>
      </c>
      <c r="M216"/>
    </row>
    <row r="217" spans="1:13">
      <c r="A217" s="57" t="str">
        <f t="shared" si="70"/>
        <v>image optimized standardCPP_7SD</v>
      </c>
      <c r="B217" s="57" t="str">
        <f t="shared" si="71"/>
        <v>image optimized standardCPP_7768432</v>
      </c>
      <c r="C217" s="71" t="s">
        <v>605</v>
      </c>
      <c r="D217" s="25" t="s">
        <v>583</v>
      </c>
      <c r="E217" s="25">
        <v>768</v>
      </c>
      <c r="F217" s="25">
        <v>432</v>
      </c>
      <c r="H217" s="60"/>
      <c r="I217" s="57" t="str">
        <f t="shared" si="72"/>
        <v>768432</v>
      </c>
      <c r="M217"/>
    </row>
    <row r="218" spans="1:13">
      <c r="A218" s="57" t="str">
        <f t="shared" si="70"/>
        <v>image optimized standardCPP_7_3SD</v>
      </c>
      <c r="B218" s="57" t="str">
        <f t="shared" si="71"/>
        <v>image optimized standardCPP_7_3768432</v>
      </c>
      <c r="C218" s="71" t="s">
        <v>605</v>
      </c>
      <c r="D218" s="25" t="s">
        <v>582</v>
      </c>
      <c r="E218" s="25">
        <v>768</v>
      </c>
      <c r="F218" s="25">
        <v>432</v>
      </c>
      <c r="H218" s="60"/>
      <c r="I218" s="57" t="str">
        <f t="shared" si="72"/>
        <v>768432</v>
      </c>
      <c r="M218"/>
    </row>
    <row r="219" spans="1:13">
      <c r="A219" s="57" t="str">
        <f t="shared" si="70"/>
        <v>image optimized busyCPP_3SD</v>
      </c>
      <c r="B219" s="57" t="str">
        <f t="shared" si="71"/>
        <v>image optimized busyCPP_3704576</v>
      </c>
      <c r="C219" s="71" t="s">
        <v>603</v>
      </c>
      <c r="D219" s="32" t="s">
        <v>587</v>
      </c>
      <c r="E219" s="25">
        <v>704</v>
      </c>
      <c r="F219" s="25">
        <v>576</v>
      </c>
      <c r="G219" s="180">
        <v>6000</v>
      </c>
      <c r="H219" s="180">
        <v>6000</v>
      </c>
      <c r="I219" s="57" t="str">
        <f t="shared" si="72"/>
        <v>704576</v>
      </c>
      <c r="M219"/>
    </row>
    <row r="220" spans="1:13">
      <c r="A220" s="57" t="str">
        <f t="shared" si="70"/>
        <v>image optimized busyCPP_4SD</v>
      </c>
      <c r="B220" s="57" t="str">
        <f t="shared" si="71"/>
        <v>image optimized busyCPP_4704576</v>
      </c>
      <c r="C220" s="71" t="s">
        <v>603</v>
      </c>
      <c r="D220" s="25" t="s">
        <v>586</v>
      </c>
      <c r="E220" s="25">
        <v>704</v>
      </c>
      <c r="F220" s="25">
        <v>576</v>
      </c>
      <c r="G220" s="180">
        <v>4614387</v>
      </c>
      <c r="H220" s="180">
        <v>92282775</v>
      </c>
      <c r="I220" s="57" t="str">
        <f t="shared" si="72"/>
        <v>704576</v>
      </c>
      <c r="M220"/>
    </row>
    <row r="221" spans="1:13">
      <c r="A221" s="57" t="str">
        <f t="shared" si="70"/>
        <v>image optimized busyCPP_5SD</v>
      </c>
      <c r="B221" s="57" t="str">
        <f t="shared" si="71"/>
        <v>image optimized busyCPP_5704576</v>
      </c>
      <c r="C221" s="71" t="s">
        <v>603</v>
      </c>
      <c r="D221" s="25" t="s">
        <v>585</v>
      </c>
      <c r="E221" s="25">
        <v>704</v>
      </c>
      <c r="F221" s="25">
        <v>576</v>
      </c>
      <c r="G221" s="180">
        <v>2000000</v>
      </c>
      <c r="H221" s="180">
        <v>2000000</v>
      </c>
      <c r="I221" s="57" t="str">
        <f t="shared" si="72"/>
        <v>704576</v>
      </c>
      <c r="M221"/>
    </row>
    <row r="222" spans="1:13">
      <c r="A222" s="57" t="str">
        <f t="shared" si="70"/>
        <v>image optimized busyCPP_6SD</v>
      </c>
      <c r="B222" s="57" t="str">
        <f t="shared" si="71"/>
        <v>image optimized busyCPP_6768432</v>
      </c>
      <c r="C222" s="71" t="s">
        <v>603</v>
      </c>
      <c r="D222" s="25" t="s">
        <v>584</v>
      </c>
      <c r="E222" s="25">
        <v>768</v>
      </c>
      <c r="F222" s="25">
        <v>432</v>
      </c>
      <c r="I222" s="57" t="str">
        <f t="shared" si="72"/>
        <v>768432</v>
      </c>
      <c r="M222"/>
    </row>
    <row r="223" spans="1:13">
      <c r="A223" s="57" t="str">
        <f t="shared" si="70"/>
        <v>image optimized busyCPP_7SD</v>
      </c>
      <c r="B223" s="57" t="str">
        <f t="shared" si="71"/>
        <v>image optimized busyCPP_7768432</v>
      </c>
      <c r="C223" s="71" t="s">
        <v>603</v>
      </c>
      <c r="D223" s="25" t="s">
        <v>583</v>
      </c>
      <c r="E223" s="25">
        <v>768</v>
      </c>
      <c r="F223" s="25">
        <v>432</v>
      </c>
      <c r="I223" s="57" t="str">
        <f t="shared" si="72"/>
        <v>768432</v>
      </c>
      <c r="M223"/>
    </row>
    <row r="224" spans="1:13">
      <c r="A224" s="57" t="str">
        <f t="shared" si="70"/>
        <v>image optimized busyCPP_7_3SD</v>
      </c>
      <c r="B224" s="57" t="str">
        <f t="shared" si="71"/>
        <v>image optimized busyCPP_7_3768432</v>
      </c>
      <c r="C224" s="71" t="s">
        <v>603</v>
      </c>
      <c r="D224" s="25" t="s">
        <v>582</v>
      </c>
      <c r="E224" s="25">
        <v>768</v>
      </c>
      <c r="F224" s="25">
        <v>432</v>
      </c>
      <c r="H224" s="60"/>
      <c r="I224" s="57" t="str">
        <f t="shared" si="72"/>
        <v>768432</v>
      </c>
      <c r="M224"/>
    </row>
    <row r="225" spans="1:15">
      <c r="A225" s="57" t="str">
        <f t="shared" si="70"/>
        <v>PTZ optimizedCPP_3SD</v>
      </c>
      <c r="B225" s="57" t="str">
        <f t="shared" si="71"/>
        <v>PTZ optimizedCPP_3704576</v>
      </c>
      <c r="C225" s="60" t="s">
        <v>601</v>
      </c>
      <c r="D225" s="32" t="s">
        <v>587</v>
      </c>
      <c r="E225" s="25">
        <v>704</v>
      </c>
      <c r="F225" s="25">
        <v>576</v>
      </c>
      <c r="G225" s="180">
        <v>6000</v>
      </c>
      <c r="H225" s="180">
        <v>6000</v>
      </c>
      <c r="I225" s="57" t="str">
        <f t="shared" si="72"/>
        <v>704576</v>
      </c>
      <c r="M225"/>
    </row>
    <row r="226" spans="1:15">
      <c r="A226" s="57" t="str">
        <f t="shared" si="70"/>
        <v>PTZ optimizedCPP_4SD</v>
      </c>
      <c r="C226" s="60" t="s">
        <v>601</v>
      </c>
      <c r="D226" s="25" t="s">
        <v>586</v>
      </c>
      <c r="E226" s="25">
        <v>704</v>
      </c>
      <c r="F226" s="25">
        <v>576</v>
      </c>
      <c r="G226" s="180">
        <v>4614387</v>
      </c>
      <c r="H226" s="180">
        <v>92282775</v>
      </c>
      <c r="I226" s="57" t="str">
        <f t="shared" si="72"/>
        <v>704576</v>
      </c>
      <c r="M226"/>
    </row>
    <row r="227" spans="1:15">
      <c r="A227" s="57" t="str">
        <f t="shared" si="70"/>
        <v>PTZ optimizedCPP_5SD</v>
      </c>
      <c r="C227" s="60" t="s">
        <v>601</v>
      </c>
      <c r="D227" s="25" t="s">
        <v>585</v>
      </c>
      <c r="E227" s="25">
        <v>704</v>
      </c>
      <c r="F227" s="25">
        <v>576</v>
      </c>
      <c r="G227" s="180">
        <v>2000000</v>
      </c>
      <c r="H227" s="180">
        <v>2000000</v>
      </c>
      <c r="I227" s="57" t="str">
        <f t="shared" si="72"/>
        <v>704576</v>
      </c>
      <c r="M227"/>
    </row>
    <row r="228" spans="1:15">
      <c r="A228" s="57" t="str">
        <f t="shared" si="70"/>
        <v>PTZ optimizedCPP_6SD</v>
      </c>
      <c r="C228" s="60" t="s">
        <v>601</v>
      </c>
      <c r="D228" s="25" t="s">
        <v>584</v>
      </c>
      <c r="E228" s="25">
        <v>768</v>
      </c>
      <c r="F228" s="25">
        <v>432</v>
      </c>
      <c r="I228" s="57" t="str">
        <f t="shared" si="72"/>
        <v>768432</v>
      </c>
      <c r="M228"/>
    </row>
    <row r="229" spans="1:15">
      <c r="A229" s="57" t="str">
        <f t="shared" si="70"/>
        <v>PTZ optimizedCPP_7SD</v>
      </c>
      <c r="C229" s="60" t="s">
        <v>601</v>
      </c>
      <c r="D229" s="25" t="s">
        <v>583</v>
      </c>
      <c r="E229" s="25">
        <v>768</v>
      </c>
      <c r="F229" s="25">
        <v>432</v>
      </c>
      <c r="I229" s="57" t="str">
        <f t="shared" si="72"/>
        <v>768432</v>
      </c>
      <c r="M229"/>
    </row>
    <row r="230" spans="1:15">
      <c r="A230" s="57" t="str">
        <f t="shared" si="70"/>
        <v>PTZ optimizedCPP_7_3SD</v>
      </c>
      <c r="C230" s="60" t="s">
        <v>601</v>
      </c>
      <c r="D230" s="25" t="s">
        <v>582</v>
      </c>
      <c r="E230" s="25">
        <v>768</v>
      </c>
      <c r="F230" s="25">
        <v>432</v>
      </c>
      <c r="H230" s="60"/>
      <c r="I230" s="57" t="str">
        <f t="shared" si="72"/>
        <v>768432</v>
      </c>
      <c r="M230"/>
    </row>
    <row r="231" spans="1:15">
      <c r="C231" s="60"/>
      <c r="H231" s="60"/>
      <c r="I231" s="60"/>
      <c r="M231"/>
    </row>
    <row r="232" spans="1:15">
      <c r="C232" s="60"/>
      <c r="H232" s="60"/>
      <c r="I232" s="60"/>
      <c r="M232"/>
    </row>
    <row r="233" spans="1:15">
      <c r="C233" s="60"/>
      <c r="H233" s="60"/>
      <c r="I233" s="60"/>
      <c r="K233" s="71" t="s">
        <v>628</v>
      </c>
      <c r="L233" s="71" t="s">
        <v>110</v>
      </c>
      <c r="M233" s="71">
        <v>19201080</v>
      </c>
      <c r="N233" s="71">
        <v>1920</v>
      </c>
      <c r="O233" s="71">
        <v>1080</v>
      </c>
    </row>
    <row r="234" spans="1:15">
      <c r="C234" s="60"/>
      <c r="H234" s="60"/>
      <c r="I234" s="60"/>
      <c r="K234" s="71" t="s">
        <v>626</v>
      </c>
      <c r="L234" s="71" t="s">
        <v>109</v>
      </c>
      <c r="M234" s="71">
        <v>1280720</v>
      </c>
      <c r="N234" s="71">
        <v>1280</v>
      </c>
      <c r="O234" s="71">
        <v>720</v>
      </c>
    </row>
    <row r="235" spans="1:15">
      <c r="C235" s="60"/>
      <c r="H235" s="60"/>
      <c r="I235" s="60"/>
      <c r="K235" s="71"/>
      <c r="L235" s="71" t="s">
        <v>111</v>
      </c>
      <c r="M235" s="71"/>
      <c r="N235" s="71"/>
      <c r="O235" s="71"/>
    </row>
    <row r="236" spans="1:15">
      <c r="C236" s="60"/>
      <c r="H236" s="60"/>
      <c r="I236" s="60"/>
      <c r="K236" s="71" t="s">
        <v>624</v>
      </c>
      <c r="L236" s="71" t="s">
        <v>623</v>
      </c>
      <c r="M236" s="71">
        <v>25921680</v>
      </c>
      <c r="N236" s="71">
        <v>2592</v>
      </c>
      <c r="O236" s="71">
        <v>1680</v>
      </c>
    </row>
    <row r="237" spans="1:15">
      <c r="C237" s="60"/>
      <c r="H237" s="60"/>
      <c r="I237" s="60"/>
      <c r="K237" s="71" t="s">
        <v>194</v>
      </c>
      <c r="L237" s="71" t="s">
        <v>622</v>
      </c>
      <c r="M237" s="71">
        <v>38402160</v>
      </c>
      <c r="N237" s="71">
        <v>3840</v>
      </c>
      <c r="O237" s="71">
        <v>2160</v>
      </c>
    </row>
    <row r="238" spans="1:15">
      <c r="C238" s="60"/>
      <c r="H238" s="60"/>
      <c r="I238" s="60"/>
      <c r="K238" s="71" t="s">
        <v>195</v>
      </c>
      <c r="L238" s="71" t="s">
        <v>621</v>
      </c>
      <c r="M238" s="71">
        <v>40003000</v>
      </c>
      <c r="N238" s="71">
        <v>4000</v>
      </c>
      <c r="O238" s="71">
        <v>3000</v>
      </c>
    </row>
    <row r="239" spans="1:15">
      <c r="C239" s="60"/>
      <c r="H239" s="60"/>
      <c r="I239" s="60"/>
      <c r="M239"/>
    </row>
    <row r="240" spans="1:15">
      <c r="C240" s="60"/>
      <c r="H240" s="60"/>
      <c r="I240" s="60"/>
      <c r="M240"/>
    </row>
    <row r="241" spans="3:13">
      <c r="C241" s="60"/>
      <c r="H241" s="60"/>
      <c r="I241" s="60"/>
      <c r="M241"/>
    </row>
    <row r="242" spans="3:13">
      <c r="C242" s="60"/>
      <c r="H242" s="60"/>
      <c r="I242" s="60"/>
      <c r="M242"/>
    </row>
    <row r="243" spans="3:13">
      <c r="C243" s="60"/>
      <c r="H243" s="60"/>
      <c r="I243" s="60"/>
      <c r="M243"/>
    </row>
    <row r="244" spans="3:13">
      <c r="C244" s="60"/>
      <c r="H244" s="60"/>
      <c r="I244" s="60"/>
      <c r="M244"/>
    </row>
    <row r="245" spans="3:13">
      <c r="C245" s="60"/>
      <c r="H245" s="60"/>
      <c r="I245" s="60"/>
      <c r="M245"/>
    </row>
    <row r="246" spans="3:13">
      <c r="C246" s="60"/>
      <c r="H246" s="60"/>
      <c r="I246" s="60"/>
      <c r="M246"/>
    </row>
    <row r="247" spans="3:13">
      <c r="C247" s="60"/>
      <c r="H247" s="60"/>
      <c r="I247" s="60"/>
      <c r="M247"/>
    </row>
    <row r="248" spans="3:13">
      <c r="C248" s="60"/>
      <c r="H248" s="60"/>
      <c r="I248" s="60"/>
      <c r="M248"/>
    </row>
    <row r="249" spans="3:13">
      <c r="C249" s="60"/>
      <c r="H249" s="60"/>
      <c r="I249" s="60"/>
      <c r="M249"/>
    </row>
    <row r="250" spans="3:13">
      <c r="C250" s="60"/>
      <c r="H250" s="60"/>
      <c r="I250" s="60"/>
      <c r="M250"/>
    </row>
    <row r="251" spans="3:13">
      <c r="C251" s="60"/>
      <c r="H251" s="60"/>
      <c r="I251" s="60"/>
      <c r="M251"/>
    </row>
    <row r="252" spans="3:13">
      <c r="C252" s="60"/>
      <c r="H252" s="60"/>
      <c r="I252" s="60"/>
      <c r="M252"/>
    </row>
    <row r="253" spans="3:13">
      <c r="C253" s="60"/>
      <c r="H253" s="60"/>
      <c r="I253" s="60"/>
      <c r="M253"/>
    </row>
    <row r="254" spans="3:13">
      <c r="C254" s="60"/>
      <c r="H254" s="60"/>
      <c r="I254" s="60"/>
      <c r="M254"/>
    </row>
    <row r="255" spans="3:13">
      <c r="C255" s="60"/>
      <c r="H255" s="60"/>
      <c r="I255" s="60"/>
      <c r="M255"/>
    </row>
    <row r="256" spans="3:13">
      <c r="C256" s="60"/>
      <c r="M256"/>
    </row>
    <row r="257" spans="3:13">
      <c r="C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H288" s="60"/>
      <c r="I288" s="60"/>
      <c r="M288"/>
    </row>
    <row r="289" spans="3:13">
      <c r="C289" s="60"/>
      <c r="H289" s="60"/>
      <c r="I289" s="60"/>
      <c r="M289"/>
    </row>
    <row r="290" spans="3:13">
      <c r="C290" s="60"/>
      <c r="M290"/>
    </row>
    <row r="291" spans="3:13">
      <c r="C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H322" s="60"/>
      <c r="I322" s="60"/>
      <c r="M322"/>
    </row>
    <row r="323" spans="3:13">
      <c r="C323" s="60"/>
      <c r="H323" s="60"/>
      <c r="I323" s="60"/>
      <c r="M323"/>
    </row>
    <row r="324" spans="3:13">
      <c r="C324" s="60"/>
      <c r="M324"/>
    </row>
    <row r="325" spans="3:13">
      <c r="C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H356" s="60"/>
      <c r="I356" s="60"/>
      <c r="M356"/>
    </row>
    <row r="357" spans="3:13">
      <c r="C357" s="60"/>
      <c r="H357" s="60"/>
      <c r="I357" s="60"/>
      <c r="M357"/>
    </row>
    <row r="358" spans="3:13">
      <c r="C358" s="60"/>
      <c r="M358"/>
    </row>
    <row r="359" spans="3:13">
      <c r="C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C389" s="60"/>
      <c r="H389" s="60"/>
      <c r="I389" s="60"/>
      <c r="M389"/>
    </row>
    <row r="390" spans="3:13">
      <c r="C390" s="60"/>
      <c r="H390" s="60"/>
      <c r="I390" s="60"/>
      <c r="M390"/>
    </row>
    <row r="391" spans="3:13">
      <c r="H391" s="60"/>
      <c r="I391" s="60"/>
      <c r="M391"/>
    </row>
    <row r="392" spans="3:13">
      <c r="M392"/>
    </row>
    <row r="393" spans="3:13">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H424" s="60"/>
      <c r="I424" s="60"/>
      <c r="M424"/>
    </row>
    <row r="425" spans="8:13">
      <c r="H425" s="60"/>
      <c r="I425" s="60"/>
      <c r="M425"/>
    </row>
    <row r="426" spans="8:13">
      <c r="M426"/>
    </row>
    <row r="427" spans="8:13">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c r="M436"/>
    </row>
    <row r="437" spans="8:13">
      <c r="H437" s="60"/>
      <c r="I437" s="60"/>
      <c r="M437"/>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row r="458" spans="8:9">
      <c r="H458" s="60"/>
      <c r="I458" s="60"/>
    </row>
    <row r="459" spans="8:9">
      <c r="H459" s="60"/>
      <c r="I459" s="60"/>
    </row>
  </sheetData>
  <mergeCells count="19">
    <mergeCell ref="HO77:HT77"/>
    <mergeCell ref="C14:G14"/>
    <mergeCell ref="C15:F15"/>
    <mergeCell ref="C56:D56"/>
    <mergeCell ref="C77:M77"/>
    <mergeCell ref="HD77:HE77"/>
    <mergeCell ref="HH77:HM77"/>
    <mergeCell ref="C13:G13"/>
    <mergeCell ref="C2:G2"/>
    <mergeCell ref="C3:G3"/>
    <mergeCell ref="C4:G4"/>
    <mergeCell ref="C5:G5"/>
    <mergeCell ref="C6:G6"/>
    <mergeCell ref="C7:G7"/>
    <mergeCell ref="C8:G8"/>
    <mergeCell ref="C9:G9"/>
    <mergeCell ref="C10:G10"/>
    <mergeCell ref="C11:G11"/>
    <mergeCell ref="C12:G12"/>
  </mergeCells>
  <conditionalFormatting sqref="E20">
    <cfRule type="expression" dxfId="3" priority="8">
      <formula>E38&lt;1</formula>
    </cfRule>
  </conditionalFormatting>
  <conditionalFormatting sqref="F19:F22">
    <cfRule type="cellIs" dxfId="2" priority="1" operator="between">
      <formula>"not supported"</formula>
      <formula>"not supported"</formula>
    </cfRule>
    <cfRule type="cellIs" dxfId="1" priority="2" operator="between">
      <formula>"supported"</formula>
      <formula>"supported"</formula>
    </cfRule>
  </conditionalFormatting>
  <conditionalFormatting sqref="HC20">
    <cfRule type="expression" dxfId="0" priority="7">
      <formula>E39&lt;1</formula>
    </cfRule>
  </conditionalFormatting>
  <dataValidations count="20">
    <dataValidation type="list" allowBlank="1" showInputMessage="1" showErrorMessage="1" sqref="E59" xr:uid="{00000000-0002-0000-1300-000000000000}">
      <formula1>Saftey_factor</formula1>
    </dataValidation>
    <dataValidation type="list" allowBlank="1" showInputMessage="1" showErrorMessage="1" sqref="E67" xr:uid="{00000000-0002-0000-1300-000001000000}">
      <formula1>Video_Codec</formula1>
    </dataValidation>
    <dataValidation type="list" allowBlank="1" showInputMessage="1" showErrorMessage="1" sqref="E62" xr:uid="{00000000-0002-0000-1300-000002000000}">
      <formula1>Encoding_Interval</formula1>
    </dataValidation>
    <dataValidation type="list" allowBlank="1" showInputMessage="1" showErrorMessage="1" sqref="E64" xr:uid="{00000000-0002-0000-1300-000003000000}">
      <formula1>I_Frame_distance</formula1>
    </dataValidation>
    <dataValidation type="list" allowBlank="1" showInputMessage="1" showErrorMessage="1" sqref="E63" xr:uid="{00000000-0002-0000-1300-000004000000}">
      <formula1>GOP_type</formula1>
    </dataValidation>
    <dataValidation type="list" allowBlank="1" showInputMessage="1" showErrorMessage="1" sqref="E60" xr:uid="{00000000-0002-0000-1300-000005000000}">
      <formula1>Bit_rate_optimization</formula1>
    </dataValidation>
    <dataValidation type="list" allowBlank="1" showInputMessage="1" showErrorMessage="1" sqref="E58" xr:uid="{00000000-0002-0000-1300-000006000000}">
      <formula1>dynamic_scene_typ</formula1>
    </dataValidation>
    <dataValidation type="list" allowBlank="1" showInputMessage="1" showErrorMessage="1" sqref="E57" xr:uid="{00000000-0002-0000-1300-000007000000}">
      <formula1>Static_scene_type</formula1>
    </dataValidation>
    <dataValidation type="list" allowBlank="1" showInputMessage="1" showErrorMessage="1" sqref="I103" xr:uid="{00000000-0002-0000-1300-000008000000}">
      <formula1>Frame_rate</formula1>
    </dataValidation>
    <dataValidation type="list" allowBlank="1" showInputMessage="1" showErrorMessage="1" sqref="E66 I101" xr:uid="{00000000-0002-0000-1300-000009000000}">
      <formula1>platform_neu</formula1>
    </dataValidation>
    <dataValidation type="list" allowBlank="1" showInputMessage="1" showErrorMessage="1" sqref="E65 I102" xr:uid="{00000000-0002-0000-1300-00000A000000}">
      <formula1>Resolution_neu</formula1>
    </dataValidation>
    <dataValidation type="list" allowBlank="1" showInputMessage="1" showErrorMessage="1" sqref="I99:I100" xr:uid="{00000000-0002-0000-1300-00000B000000}">
      <formula1>BVMS_Standard_Profiles</formula1>
    </dataValidation>
    <dataValidation type="list" allowBlank="1" showInputMessage="1" showErrorMessage="1" sqref="M75:M76 AA73 EM73 CG73 M73 AA75:AA76 EM75:EM76 CG75:CG76 AA54 M54 CG54 EM54 F99:F135" xr:uid="{00000000-0002-0000-1300-00000C000000}">
      <formula1>PlatForm</formula1>
    </dataValidation>
    <dataValidation type="list" allowBlank="1" showInputMessage="1" showErrorMessage="1" sqref="F75:F76 EC73 BW73 Q73 EC75:EC76 BW75:BW76 Q75:Q76 EC54 F54 Q54 BW54" xr:uid="{00000000-0002-0000-1300-00000D000000}">
      <formula1>#REF!</formula1>
    </dataValidation>
    <dataValidation type="list" allowBlank="1" showInputMessage="1" showErrorMessage="1" sqref="L153" xr:uid="{00000000-0002-0000-1300-00000E000000}">
      <formula1>INDIRECT(K152)</formula1>
    </dataValidation>
    <dataValidation type="list" allowBlank="1" showInputMessage="1" showErrorMessage="1" sqref="K152" xr:uid="{00000000-0002-0000-1300-00000F000000}">
      <formula1>$H$151:$I$151</formula1>
    </dataValidation>
    <dataValidation type="list" allowBlank="1" showInputMessage="1" showErrorMessage="1" sqref="L152" xr:uid="{00000000-0002-0000-1300-000010000000}">
      <formula1>INDIRECT(K152)</formula1>
    </dataValidation>
    <dataValidation type="list" allowBlank="1" showInputMessage="1" showErrorMessage="1" sqref="J20" xr:uid="{00000000-0002-0000-1300-000011000000}">
      <formula1>Resolution_neu_2</formula1>
    </dataValidation>
    <dataValidation type="list" allowBlank="1" showInputMessage="1" showErrorMessage="1" sqref="K110" xr:uid="{00000000-0002-0000-1300-000012000000}">
      <formula1>OFFSET(C99,MATCH(I101,F99:F134,0)-1,0,COUNTIF(C99:F135,I101),1)</formula1>
    </dataValidation>
    <dataValidation type="list" allowBlank="1" showInputMessage="1" showErrorMessage="1" sqref="J115" xr:uid="{00000000-0002-0000-1300-000013000000}">
      <formula1>OFFSET(C99,MATCH(L102,G99:G135,0)-1,0,COUNTIF(C99:G133,L102),1)</formula1>
    </dataValidation>
  </dataValidations>
  <hyperlinks>
    <hyperlink ref="C9:G9" r:id="rId1" display="Example scene 1 static" xr:uid="{00000000-0004-0000-1300-000000000000}"/>
    <hyperlink ref="C10:G10" r:id="rId2" display="Example scene 2 normal" xr:uid="{00000000-0004-0000-1300-000001000000}"/>
    <hyperlink ref="C12:G12" r:id="rId3" display="Example scene 4 crowded" xr:uid="{00000000-0004-0000-1300-000002000000}"/>
    <hyperlink ref="C14:G14" r:id="rId4" display="Download .zip for customers from BVMS Presales Community" xr:uid="{00000000-0004-0000-1300-000003000000}"/>
    <hyperlink ref="C11:G11" r:id="rId5" display="Example scene 3 busy" xr:uid="{00000000-0004-0000-1300-000004000000}"/>
  </hyperlinks>
  <pageMargins left="0.7" right="0.7" top="0.78740157499999996" bottom="0.78740157499999996" header="0.3" footer="0.3"/>
  <pageSetup orientation="portrait" horizontalDpi="90" verticalDpi="90" r:id="rId6"/>
  <customProperties>
    <customPr name="_pios_id" r:id="rId7"/>
  </customProperties>
  <legacyDrawing r:id="rId8"/>
  <tableParts count="2">
    <tablePart r:id="rId9"/>
    <tablePart r:id="rId10"/>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dimension ref="A1:A6"/>
  <sheetViews>
    <sheetView workbookViewId="0">
      <selection activeCell="A5" sqref="A5"/>
    </sheetView>
  </sheetViews>
  <sheetFormatPr defaultColWidth="9.140625" defaultRowHeight="12.75"/>
  <cols>
    <col min="1" max="1" width="65.28515625" bestFit="1" customWidth="1"/>
  </cols>
  <sheetData>
    <row r="1" spans="1:1">
      <c r="A1" t="s">
        <v>77</v>
      </c>
    </row>
    <row r="2" spans="1:1">
      <c r="A2" t="s">
        <v>76</v>
      </c>
    </row>
    <row r="3" spans="1:1">
      <c r="A3" s="20" t="s">
        <v>1804</v>
      </c>
    </row>
    <row r="4" spans="1:1">
      <c r="A4" s="20" t="s">
        <v>1807</v>
      </c>
    </row>
    <row r="5" spans="1:1">
      <c r="A5" s="20" t="s">
        <v>1805</v>
      </c>
    </row>
    <row r="6" spans="1:1">
      <c r="A6" s="20" t="s">
        <v>1806</v>
      </c>
    </row>
  </sheetData>
  <pageMargins left="0.7" right="0.7" top="0.75" bottom="0.75" header="0.3" footer="0.3"/>
  <pageSetup orientation="portrait"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J8"/>
  <sheetViews>
    <sheetView workbookViewId="0">
      <selection activeCell="H22" sqref="H22"/>
    </sheetView>
  </sheetViews>
  <sheetFormatPr defaultColWidth="9.140625" defaultRowHeight="12.75"/>
  <cols>
    <col min="1" max="1" width="74.5703125" customWidth="1"/>
    <col min="2" max="2" width="12.42578125" customWidth="1"/>
    <col min="4" max="4" width="16.5703125" customWidth="1"/>
    <col min="6" max="6" width="22.5703125" customWidth="1"/>
    <col min="7" max="7" width="40.85546875" customWidth="1"/>
    <col min="8" max="8" width="24.28515625" customWidth="1"/>
    <col min="9" max="9" width="21.5703125" customWidth="1"/>
    <col min="10" max="10" width="19.5703125" customWidth="1"/>
  </cols>
  <sheetData>
    <row r="1" spans="1:10">
      <c r="A1" s="189"/>
      <c r="B1" s="20" t="s">
        <v>51</v>
      </c>
      <c r="C1" s="20" t="s">
        <v>264</v>
      </c>
      <c r="D1" s="20" t="s">
        <v>1501</v>
      </c>
      <c r="E1" s="20" t="s">
        <v>52</v>
      </c>
      <c r="F1" s="356" t="s">
        <v>904</v>
      </c>
      <c r="G1" s="356" t="s">
        <v>1134</v>
      </c>
      <c r="I1" s="356" t="s">
        <v>1528</v>
      </c>
      <c r="J1" s="356" t="s">
        <v>1530</v>
      </c>
    </row>
    <row r="2" spans="1:10">
      <c r="A2" s="188" t="s">
        <v>1934</v>
      </c>
      <c r="B2" s="20">
        <v>5</v>
      </c>
      <c r="C2" s="20">
        <v>32</v>
      </c>
      <c r="D2" s="20">
        <v>0</v>
      </c>
      <c r="E2" s="20">
        <v>5</v>
      </c>
      <c r="F2" s="29" t="s">
        <v>1142</v>
      </c>
      <c r="G2" t="s">
        <v>1935</v>
      </c>
      <c r="H2" t="str">
        <f>F2</f>
        <v>BVMS Plus</v>
      </c>
      <c r="I2">
        <v>1</v>
      </c>
      <c r="J2">
        <v>256</v>
      </c>
    </row>
    <row r="3" spans="1:10">
      <c r="A3" s="188" t="s">
        <v>1983</v>
      </c>
      <c r="B3" s="20">
        <v>5</v>
      </c>
      <c r="C3" s="20">
        <v>32</v>
      </c>
      <c r="D3" s="20">
        <v>0</v>
      </c>
      <c r="E3" s="20">
        <v>5</v>
      </c>
      <c r="F3" s="29" t="s">
        <v>1142</v>
      </c>
      <c r="G3" t="s">
        <v>1984</v>
      </c>
      <c r="H3" t="str">
        <f>F3</f>
        <v>BVMS Plus</v>
      </c>
      <c r="I3">
        <v>1</v>
      </c>
      <c r="J3">
        <v>64</v>
      </c>
    </row>
    <row r="4" spans="1:10">
      <c r="A4" s="188" t="s">
        <v>1531</v>
      </c>
      <c r="B4" s="20">
        <v>2</v>
      </c>
      <c r="C4" s="20">
        <v>32</v>
      </c>
      <c r="D4" s="20">
        <v>0</v>
      </c>
      <c r="E4" s="20">
        <v>2</v>
      </c>
      <c r="F4" s="29" t="s">
        <v>1141</v>
      </c>
      <c r="G4" t="s">
        <v>1239</v>
      </c>
      <c r="H4" t="str">
        <f t="shared" ref="H4:H8" si="0">F4</f>
        <v>BVMS Lite</v>
      </c>
      <c r="I4">
        <v>1</v>
      </c>
      <c r="J4">
        <v>42</v>
      </c>
    </row>
    <row r="5" spans="1:10">
      <c r="A5" s="188" t="s">
        <v>1985</v>
      </c>
      <c r="B5" s="20">
        <v>2</v>
      </c>
      <c r="C5" s="20">
        <v>32</v>
      </c>
      <c r="D5" s="20">
        <v>0</v>
      </c>
      <c r="E5" s="20">
        <v>2</v>
      </c>
      <c r="F5" s="29" t="s">
        <v>1141</v>
      </c>
      <c r="G5" t="s">
        <v>2007</v>
      </c>
      <c r="H5" t="str">
        <f t="shared" ref="H5" si="1">F5</f>
        <v>BVMS Lite</v>
      </c>
      <c r="I5">
        <v>1</v>
      </c>
      <c r="J5">
        <v>32</v>
      </c>
    </row>
    <row r="6" spans="1:10">
      <c r="A6" s="188" t="s">
        <v>1982</v>
      </c>
      <c r="B6" s="20">
        <v>2</v>
      </c>
      <c r="C6" s="20">
        <v>8</v>
      </c>
      <c r="D6" s="20">
        <v>8</v>
      </c>
      <c r="E6" s="20">
        <v>2</v>
      </c>
      <c r="F6" s="29" t="s">
        <v>1141</v>
      </c>
      <c r="G6" t="s">
        <v>1217</v>
      </c>
      <c r="H6" t="str">
        <f t="shared" si="0"/>
        <v>BVMS Lite</v>
      </c>
      <c r="I6">
        <v>1</v>
      </c>
      <c r="J6">
        <v>42</v>
      </c>
    </row>
    <row r="7" spans="1:10">
      <c r="A7" s="28" t="s">
        <v>1981</v>
      </c>
      <c r="B7" s="20">
        <v>5</v>
      </c>
      <c r="C7" s="20">
        <v>8</v>
      </c>
      <c r="D7" s="20">
        <v>8</v>
      </c>
      <c r="E7" s="20">
        <v>5</v>
      </c>
      <c r="F7" s="29" t="s">
        <v>1142</v>
      </c>
      <c r="G7" t="s">
        <v>1184</v>
      </c>
      <c r="H7" t="str">
        <f t="shared" si="0"/>
        <v>BVMS Plus</v>
      </c>
      <c r="I7">
        <v>1</v>
      </c>
      <c r="J7">
        <v>256</v>
      </c>
    </row>
    <row r="8" spans="1:10">
      <c r="A8" s="28" t="s">
        <v>1980</v>
      </c>
      <c r="B8" s="20">
        <v>5</v>
      </c>
      <c r="C8" s="20">
        <v>8</v>
      </c>
      <c r="D8" s="20">
        <v>8</v>
      </c>
      <c r="E8" s="20">
        <v>5</v>
      </c>
      <c r="F8" s="29" t="s">
        <v>1143</v>
      </c>
      <c r="G8" t="s">
        <v>1147</v>
      </c>
      <c r="H8" t="str">
        <f t="shared" si="0"/>
        <v>BVMS Professional</v>
      </c>
      <c r="I8">
        <v>1</v>
      </c>
      <c r="J8">
        <v>2000</v>
      </c>
    </row>
  </sheetData>
  <pageMargins left="0.7" right="0.7" top="0.75" bottom="0.75" header="0.3" footer="0.3"/>
  <pageSetup orientation="portrait" r:id="rId1"/>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T211"/>
  <sheetViews>
    <sheetView workbookViewId="0">
      <selection activeCell="A22" sqref="A22:XFD22"/>
    </sheetView>
  </sheetViews>
  <sheetFormatPr defaultColWidth="9.28515625" defaultRowHeight="12.75"/>
  <cols>
    <col min="1" max="1" width="10.28515625" bestFit="1" customWidth="1"/>
    <col min="2" max="2" width="12.7109375" customWidth="1"/>
    <col min="3" max="3" width="126.5703125" customWidth="1"/>
    <col min="4" max="4" width="18.28515625" customWidth="1"/>
  </cols>
  <sheetData>
    <row r="1" spans="1:4">
      <c r="A1" s="29" t="s">
        <v>177</v>
      </c>
      <c r="B1" s="29" t="s">
        <v>1104</v>
      </c>
      <c r="C1" s="29" t="s">
        <v>1105</v>
      </c>
      <c r="D1" s="29" t="s">
        <v>1106</v>
      </c>
    </row>
    <row r="2" spans="1:4">
      <c r="A2" s="29" t="s">
        <v>2066</v>
      </c>
      <c r="B2" s="34">
        <v>45954</v>
      </c>
      <c r="C2" s="29" t="s">
        <v>2100</v>
      </c>
      <c r="D2" s="29" t="s">
        <v>1849</v>
      </c>
    </row>
    <row r="3" spans="1:4">
      <c r="A3" s="29"/>
      <c r="B3" s="34"/>
      <c r="C3" s="29" t="s">
        <v>2101</v>
      </c>
      <c r="D3" s="29"/>
    </row>
    <row r="4" spans="1:4">
      <c r="A4" s="29"/>
      <c r="B4" s="34"/>
      <c r="C4" s="29" t="s">
        <v>2102</v>
      </c>
      <c r="D4" s="29"/>
    </row>
    <row r="5" spans="1:4">
      <c r="A5" s="29"/>
      <c r="B5" s="34"/>
      <c r="C5" s="29" t="s">
        <v>2103</v>
      </c>
      <c r="D5" s="29"/>
    </row>
    <row r="6" spans="1:4">
      <c r="A6" s="29"/>
      <c r="B6" s="34"/>
      <c r="C6" s="29" t="s">
        <v>2104</v>
      </c>
      <c r="D6" s="29"/>
    </row>
    <row r="7" spans="1:4">
      <c r="A7" s="29"/>
      <c r="B7" s="34"/>
      <c r="C7" s="29" t="s">
        <v>2111</v>
      </c>
      <c r="D7" s="29"/>
    </row>
    <row r="8" spans="1:4">
      <c r="A8" s="29"/>
      <c r="B8" s="34"/>
      <c r="C8" s="29" t="s">
        <v>2112</v>
      </c>
      <c r="D8" s="29"/>
    </row>
    <row r="9" spans="1:4">
      <c r="A9" s="29"/>
      <c r="B9" s="34"/>
      <c r="C9" s="29" t="s">
        <v>2113</v>
      </c>
      <c r="D9" s="29"/>
    </row>
    <row r="10" spans="1:4">
      <c r="A10" s="29"/>
      <c r="B10" s="34"/>
      <c r="C10" s="29" t="s">
        <v>2114</v>
      </c>
      <c r="D10" s="29"/>
    </row>
    <row r="11" spans="1:4">
      <c r="A11" s="491" t="s">
        <v>2050</v>
      </c>
      <c r="B11" s="34">
        <v>45544</v>
      </c>
      <c r="C11" s="29" t="s">
        <v>2051</v>
      </c>
      <c r="D11" s="29" t="s">
        <v>1849</v>
      </c>
    </row>
    <row r="12" spans="1:4">
      <c r="A12" s="491" t="s">
        <v>2047</v>
      </c>
      <c r="B12" s="34">
        <v>45399</v>
      </c>
      <c r="C12" s="29" t="s">
        <v>2049</v>
      </c>
      <c r="D12" s="29" t="s">
        <v>1849</v>
      </c>
    </row>
    <row r="13" spans="1:4">
      <c r="A13" s="491"/>
      <c r="B13" s="34"/>
      <c r="C13" s="29" t="s">
        <v>2048</v>
      </c>
      <c r="D13" s="29"/>
    </row>
    <row r="14" spans="1:4">
      <c r="A14" s="491" t="s">
        <v>2040</v>
      </c>
      <c r="B14" s="34">
        <v>45168</v>
      </c>
      <c r="C14" s="29" t="s">
        <v>2041</v>
      </c>
      <c r="D14" s="29" t="s">
        <v>1849</v>
      </c>
    </row>
    <row r="15" spans="1:4">
      <c r="A15" s="491" t="s">
        <v>1986</v>
      </c>
      <c r="B15" s="34">
        <v>45166</v>
      </c>
      <c r="C15" s="29" t="s">
        <v>1988</v>
      </c>
      <c r="D15" s="29" t="s">
        <v>1849</v>
      </c>
    </row>
    <row r="16" spans="1:4">
      <c r="A16" s="491"/>
      <c r="B16" s="34"/>
      <c r="C16" s="29" t="s">
        <v>1987</v>
      </c>
      <c r="D16" s="29"/>
    </row>
    <row r="17" spans="1:4">
      <c r="A17" s="491"/>
      <c r="B17" s="34"/>
      <c r="C17" s="29" t="s">
        <v>1994</v>
      </c>
      <c r="D17" s="29"/>
    </row>
    <row r="18" spans="1:4">
      <c r="A18" s="491"/>
      <c r="B18" s="34"/>
      <c r="C18" s="29" t="s">
        <v>2011</v>
      </c>
      <c r="D18" s="29"/>
    </row>
    <row r="19" spans="1:4">
      <c r="A19" s="491"/>
      <c r="B19" s="34"/>
      <c r="C19" s="29" t="s">
        <v>2016</v>
      </c>
      <c r="D19" s="29"/>
    </row>
    <row r="20" spans="1:4">
      <c r="A20" s="491"/>
      <c r="B20" s="34"/>
      <c r="C20" s="29" t="s">
        <v>2012</v>
      </c>
      <c r="D20" s="29"/>
    </row>
    <row r="21" spans="1:4">
      <c r="A21" s="491"/>
      <c r="B21" s="34"/>
      <c r="C21" s="29" t="s">
        <v>1976</v>
      </c>
      <c r="D21" s="29"/>
    </row>
    <row r="22" spans="1:4">
      <c r="A22" s="29" t="s">
        <v>1971</v>
      </c>
      <c r="B22" s="34">
        <v>45090</v>
      </c>
      <c r="C22" s="29" t="s">
        <v>1972</v>
      </c>
      <c r="D22" s="29" t="s">
        <v>1849</v>
      </c>
    </row>
    <row r="23" spans="1:4">
      <c r="A23" s="29"/>
      <c r="B23" s="34"/>
      <c r="C23" s="29" t="s">
        <v>1973</v>
      </c>
      <c r="D23" s="29"/>
    </row>
    <row r="24" spans="1:4">
      <c r="A24" s="29"/>
      <c r="B24" s="34"/>
      <c r="C24" s="29" t="s">
        <v>1974</v>
      </c>
      <c r="D24" s="29"/>
    </row>
    <row r="25" spans="1:4">
      <c r="A25" s="29"/>
      <c r="B25" s="34"/>
      <c r="C25" s="29" t="s">
        <v>1975</v>
      </c>
      <c r="D25" s="29"/>
    </row>
    <row r="26" spans="1:4">
      <c r="A26" s="29" t="s">
        <v>1938</v>
      </c>
      <c r="B26" s="34">
        <v>44376</v>
      </c>
      <c r="C26" s="29" t="s">
        <v>1939</v>
      </c>
      <c r="D26" s="29" t="s">
        <v>1849</v>
      </c>
    </row>
    <row r="27" spans="1:4">
      <c r="A27" s="29" t="s">
        <v>1848</v>
      </c>
      <c r="B27" s="34">
        <v>44371</v>
      </c>
      <c r="C27" s="29" t="s">
        <v>1929</v>
      </c>
      <c r="D27" s="29" t="s">
        <v>1849</v>
      </c>
    </row>
    <row r="28" spans="1:4">
      <c r="A28" s="29"/>
      <c r="B28" s="34"/>
      <c r="C28" s="29" t="s">
        <v>1932</v>
      </c>
      <c r="D28" s="29"/>
    </row>
    <row r="29" spans="1:4">
      <c r="A29" s="29"/>
      <c r="B29" s="34"/>
      <c r="C29" s="29" t="s">
        <v>1933</v>
      </c>
      <c r="D29" s="29"/>
    </row>
    <row r="30" spans="1:4">
      <c r="A30" s="29"/>
      <c r="B30" s="34"/>
      <c r="C30" s="29" t="s">
        <v>1552</v>
      </c>
      <c r="D30" s="29"/>
    </row>
    <row r="31" spans="1:4">
      <c r="A31" s="29"/>
      <c r="B31" s="34"/>
      <c r="C31" s="29" t="s">
        <v>1937</v>
      </c>
      <c r="D31" s="29"/>
    </row>
    <row r="32" spans="1:4">
      <c r="A32" s="29" t="s">
        <v>1846</v>
      </c>
      <c r="B32" s="34">
        <v>44163</v>
      </c>
      <c r="C32" s="29" t="s">
        <v>1847</v>
      </c>
      <c r="D32" s="29" t="s">
        <v>1845</v>
      </c>
    </row>
    <row r="33" spans="1:4">
      <c r="A33" s="29" t="s">
        <v>1843</v>
      </c>
      <c r="B33" s="34">
        <v>44162</v>
      </c>
      <c r="C33" s="29" t="s">
        <v>1844</v>
      </c>
      <c r="D33" s="29" t="s">
        <v>1845</v>
      </c>
    </row>
    <row r="34" spans="1:4">
      <c r="A34" s="29" t="s">
        <v>1841</v>
      </c>
      <c r="B34" s="34">
        <v>44125</v>
      </c>
      <c r="C34" s="29" t="s">
        <v>1842</v>
      </c>
      <c r="D34" s="29" t="s">
        <v>1107</v>
      </c>
    </row>
    <row r="35" spans="1:4">
      <c r="A35" s="29" t="s">
        <v>1832</v>
      </c>
      <c r="B35" s="34">
        <v>44077</v>
      </c>
      <c r="C35" s="29" t="s">
        <v>1833</v>
      </c>
      <c r="D35" s="29" t="s">
        <v>1107</v>
      </c>
    </row>
    <row r="36" spans="1:4">
      <c r="A36" s="29"/>
      <c r="B36" s="34"/>
      <c r="C36" s="29" t="s">
        <v>1834</v>
      </c>
      <c r="D36" s="29"/>
    </row>
    <row r="37" spans="1:4">
      <c r="A37" s="29" t="s">
        <v>1822</v>
      </c>
      <c r="B37" s="34">
        <v>44071</v>
      </c>
      <c r="C37" s="29" t="s">
        <v>1821</v>
      </c>
      <c r="D37" s="29" t="s">
        <v>1107</v>
      </c>
    </row>
    <row r="38" spans="1:4">
      <c r="A38" s="29"/>
      <c r="B38" s="29"/>
      <c r="C38" s="29" t="s">
        <v>1831</v>
      </c>
      <c r="D38" s="29"/>
    </row>
    <row r="39" spans="1:4">
      <c r="A39" s="29" t="s">
        <v>1819</v>
      </c>
      <c r="B39" s="34">
        <v>44069</v>
      </c>
      <c r="C39" s="29" t="s">
        <v>1820</v>
      </c>
      <c r="D39" s="29" t="s">
        <v>1107</v>
      </c>
    </row>
    <row r="40" spans="1:4">
      <c r="A40" s="29" t="s">
        <v>1691</v>
      </c>
      <c r="B40" s="34">
        <v>44027</v>
      </c>
      <c r="C40" s="29" t="s">
        <v>1801</v>
      </c>
      <c r="D40" s="29" t="s">
        <v>1107</v>
      </c>
    </row>
    <row r="41" spans="1:4">
      <c r="A41" s="29"/>
      <c r="B41" s="34"/>
      <c r="C41" s="29" t="s">
        <v>1802</v>
      </c>
      <c r="D41" s="29"/>
    </row>
    <row r="42" spans="1:4">
      <c r="A42" s="29"/>
      <c r="B42" s="34"/>
      <c r="C42" s="29" t="s">
        <v>1803</v>
      </c>
      <c r="D42" s="29"/>
    </row>
    <row r="43" spans="1:4">
      <c r="A43" s="29"/>
      <c r="B43" s="34"/>
      <c r="C43" s="29" t="s">
        <v>1808</v>
      </c>
      <c r="D43" s="29"/>
    </row>
    <row r="44" spans="1:4">
      <c r="A44" s="29"/>
      <c r="B44" s="34"/>
      <c r="C44" s="29" t="s">
        <v>1809</v>
      </c>
      <c r="D44" s="29"/>
    </row>
    <row r="45" spans="1:4">
      <c r="A45" s="29" t="s">
        <v>1607</v>
      </c>
      <c r="B45" s="34">
        <v>43955</v>
      </c>
      <c r="C45" s="29" t="s">
        <v>1608</v>
      </c>
      <c r="D45" s="29" t="s">
        <v>1107</v>
      </c>
    </row>
    <row r="46" spans="1:4">
      <c r="A46" s="29"/>
      <c r="B46" s="34"/>
      <c r="C46" s="29" t="s">
        <v>1612</v>
      </c>
      <c r="D46" s="29"/>
    </row>
    <row r="47" spans="1:4">
      <c r="A47" s="29"/>
      <c r="B47" s="34"/>
      <c r="C47" s="29" t="s">
        <v>1613</v>
      </c>
      <c r="D47" s="29"/>
    </row>
    <row r="48" spans="1:4">
      <c r="A48" s="29"/>
      <c r="B48" s="34"/>
      <c r="C48" s="29" t="s">
        <v>1614</v>
      </c>
      <c r="D48" s="29"/>
    </row>
    <row r="49" spans="1:4">
      <c r="A49" s="29"/>
      <c r="B49" s="34"/>
      <c r="C49" s="29" t="s">
        <v>1615</v>
      </c>
      <c r="D49" s="29"/>
    </row>
    <row r="50" spans="1:4">
      <c r="A50" s="29"/>
      <c r="B50" s="34"/>
      <c r="C50" s="29" t="s">
        <v>1690</v>
      </c>
      <c r="D50" s="29"/>
    </row>
    <row r="51" spans="1:4">
      <c r="A51" s="29" t="s">
        <v>1551</v>
      </c>
      <c r="B51" s="34">
        <v>43928</v>
      </c>
      <c r="C51" s="29" t="s">
        <v>1552</v>
      </c>
      <c r="D51" s="29" t="s">
        <v>1107</v>
      </c>
    </row>
    <row r="52" spans="1:4">
      <c r="A52" s="29" t="s">
        <v>1547</v>
      </c>
      <c r="B52" s="34">
        <v>43928</v>
      </c>
      <c r="C52" s="29" t="s">
        <v>1548</v>
      </c>
      <c r="D52" s="29" t="s">
        <v>1107</v>
      </c>
    </row>
    <row r="53" spans="1:4">
      <c r="A53" s="29" t="s">
        <v>1510</v>
      </c>
      <c r="B53" s="34">
        <v>43880</v>
      </c>
      <c r="C53" s="29" t="s">
        <v>1511</v>
      </c>
      <c r="D53" s="29" t="s">
        <v>1107</v>
      </c>
    </row>
    <row r="54" spans="1:4">
      <c r="A54" s="29"/>
      <c r="B54" s="34"/>
      <c r="C54" s="29" t="s">
        <v>1532</v>
      </c>
      <c r="D54" s="29"/>
    </row>
    <row r="55" spans="1:4">
      <c r="A55" s="29"/>
      <c r="B55" s="34"/>
      <c r="C55" s="29" t="s">
        <v>1541</v>
      </c>
      <c r="D55" s="29"/>
    </row>
    <row r="56" spans="1:4">
      <c r="A56" s="29"/>
      <c r="B56" s="34"/>
      <c r="C56" s="29" t="s">
        <v>1542</v>
      </c>
      <c r="D56" s="29"/>
    </row>
    <row r="57" spans="1:4">
      <c r="A57" s="29"/>
      <c r="B57" s="34"/>
      <c r="C57" s="29" t="s">
        <v>1545</v>
      </c>
      <c r="D57" s="29"/>
    </row>
    <row r="58" spans="1:4">
      <c r="A58" s="29"/>
      <c r="B58" s="34"/>
      <c r="C58" s="29" t="s">
        <v>1546</v>
      </c>
      <c r="D58" s="29"/>
    </row>
    <row r="59" spans="1:4">
      <c r="A59" s="29" t="s">
        <v>1505</v>
      </c>
      <c r="B59" s="34">
        <v>43858</v>
      </c>
      <c r="C59" s="29" t="s">
        <v>1506</v>
      </c>
      <c r="D59" s="29" t="s">
        <v>1107</v>
      </c>
    </row>
    <row r="60" spans="1:4">
      <c r="A60" s="29"/>
      <c r="B60" s="34"/>
      <c r="C60" s="29" t="s">
        <v>1508</v>
      </c>
      <c r="D60" s="29"/>
    </row>
    <row r="61" spans="1:4">
      <c r="A61" s="29"/>
      <c r="B61" s="34"/>
      <c r="C61" s="29" t="s">
        <v>1509</v>
      </c>
      <c r="D61" s="29"/>
    </row>
    <row r="62" spans="1:4">
      <c r="A62" s="29" t="s">
        <v>1503</v>
      </c>
      <c r="B62" s="34">
        <v>43857</v>
      </c>
      <c r="C62" s="29" t="s">
        <v>1504</v>
      </c>
      <c r="D62" s="29" t="s">
        <v>1107</v>
      </c>
    </row>
    <row r="63" spans="1:4">
      <c r="A63" s="29" t="s">
        <v>1497</v>
      </c>
      <c r="B63" s="34">
        <v>43844</v>
      </c>
      <c r="C63" s="29" t="s">
        <v>1495</v>
      </c>
      <c r="D63" s="29" t="s">
        <v>1107</v>
      </c>
    </row>
    <row r="64" spans="1:4">
      <c r="A64" s="29"/>
      <c r="B64" s="34"/>
      <c r="C64" s="29" t="s">
        <v>1494</v>
      </c>
      <c r="D64" s="29"/>
    </row>
    <row r="65" spans="1:4">
      <c r="A65" s="29"/>
      <c r="B65" s="29"/>
      <c r="C65" s="29" t="s">
        <v>1493</v>
      </c>
      <c r="D65" s="29"/>
    </row>
    <row r="66" spans="1:4">
      <c r="A66" s="29"/>
      <c r="B66" s="29"/>
      <c r="C66" s="29" t="s">
        <v>1496</v>
      </c>
      <c r="D66" s="29"/>
    </row>
    <row r="67" spans="1:4">
      <c r="A67" s="29"/>
      <c r="B67" s="29"/>
      <c r="C67" s="29" t="s">
        <v>1498</v>
      </c>
      <c r="D67" s="29"/>
    </row>
    <row r="68" spans="1:4">
      <c r="A68" s="29" t="s">
        <v>1491</v>
      </c>
      <c r="B68" s="34">
        <v>43840</v>
      </c>
      <c r="C68" s="29" t="s">
        <v>1492</v>
      </c>
      <c r="D68" s="29" t="s">
        <v>1107</v>
      </c>
    </row>
    <row r="69" spans="1:4">
      <c r="A69" s="29" t="s">
        <v>1486</v>
      </c>
      <c r="B69" s="34">
        <v>43833</v>
      </c>
      <c r="C69" t="s">
        <v>1487</v>
      </c>
      <c r="D69" s="29" t="s">
        <v>1107</v>
      </c>
    </row>
    <row r="70" spans="1:4">
      <c r="A70" s="29"/>
      <c r="B70" s="29"/>
      <c r="C70" t="s">
        <v>1488</v>
      </c>
      <c r="D70" s="29"/>
    </row>
    <row r="71" spans="1:4">
      <c r="A71" s="29"/>
      <c r="B71" s="29"/>
      <c r="C71" t="s">
        <v>1489</v>
      </c>
      <c r="D71" s="29"/>
    </row>
    <row r="72" spans="1:4">
      <c r="A72" s="29"/>
      <c r="B72" s="29"/>
      <c r="C72" t="s">
        <v>1490</v>
      </c>
      <c r="D72" s="29"/>
    </row>
    <row r="73" spans="1:4">
      <c r="A73" s="29" t="s">
        <v>1480</v>
      </c>
      <c r="B73" s="34">
        <v>43832</v>
      </c>
      <c r="C73" s="29" t="s">
        <v>1481</v>
      </c>
      <c r="D73" s="29" t="s">
        <v>1107</v>
      </c>
    </row>
    <row r="74" spans="1:4">
      <c r="A74" s="29"/>
      <c r="B74" s="34"/>
      <c r="C74" s="29" t="s">
        <v>1482</v>
      </c>
      <c r="D74" s="29"/>
    </row>
    <row r="75" spans="1:4">
      <c r="A75" s="29"/>
      <c r="B75" s="34"/>
      <c r="C75" s="29" t="s">
        <v>1483</v>
      </c>
      <c r="D75" s="29"/>
    </row>
    <row r="76" spans="1:4">
      <c r="A76" s="29"/>
      <c r="B76" s="34"/>
      <c r="C76" s="29" t="s">
        <v>1484</v>
      </c>
      <c r="D76" s="29"/>
    </row>
    <row r="77" spans="1:4">
      <c r="A77" s="29"/>
      <c r="B77" s="34"/>
      <c r="C77" s="29" t="s">
        <v>1485</v>
      </c>
      <c r="D77" s="29"/>
    </row>
    <row r="78" spans="1:4">
      <c r="A78" s="29" t="s">
        <v>1468</v>
      </c>
      <c r="B78" s="34">
        <v>43819</v>
      </c>
      <c r="C78" s="29" t="s">
        <v>1469</v>
      </c>
      <c r="D78" s="29" t="s">
        <v>1107</v>
      </c>
    </row>
    <row r="79" spans="1:4">
      <c r="A79" s="29" t="s">
        <v>1351</v>
      </c>
      <c r="B79" s="34">
        <v>43801</v>
      </c>
      <c r="C79" s="29" t="s">
        <v>1352</v>
      </c>
      <c r="D79" s="29" t="s">
        <v>1107</v>
      </c>
    </row>
    <row r="80" spans="1:4">
      <c r="A80" s="29" t="s">
        <v>1274</v>
      </c>
      <c r="B80" s="34">
        <v>43767</v>
      </c>
      <c r="C80" s="29" t="s">
        <v>1275</v>
      </c>
      <c r="D80" s="29" t="s">
        <v>1107</v>
      </c>
    </row>
    <row r="81" spans="1:4">
      <c r="A81" s="29" t="s">
        <v>1112</v>
      </c>
      <c r="B81" s="34">
        <v>43756</v>
      </c>
      <c r="C81" s="29" t="s">
        <v>1113</v>
      </c>
      <c r="D81" s="29" t="s">
        <v>1107</v>
      </c>
    </row>
    <row r="82" spans="1:4">
      <c r="A82" s="29"/>
      <c r="B82" s="34"/>
      <c r="C82" s="29" t="s">
        <v>1115</v>
      </c>
      <c r="D82" s="29"/>
    </row>
    <row r="83" spans="1:4">
      <c r="A83" s="29" t="s">
        <v>1102</v>
      </c>
      <c r="B83" s="35">
        <v>43749</v>
      </c>
      <c r="C83" s="29" t="s">
        <v>1103</v>
      </c>
      <c r="D83" s="29" t="s">
        <v>1107</v>
      </c>
    </row>
    <row r="84" spans="1:4">
      <c r="A84" s="29" t="s">
        <v>898</v>
      </c>
      <c r="B84" s="35">
        <v>43691</v>
      </c>
      <c r="C84" s="29" t="s">
        <v>899</v>
      </c>
      <c r="D84" s="29" t="s">
        <v>1108</v>
      </c>
    </row>
    <row r="85" spans="1:4">
      <c r="A85" s="29" t="s">
        <v>897</v>
      </c>
      <c r="B85" s="35">
        <v>43678</v>
      </c>
      <c r="C85" s="29" t="s">
        <v>896</v>
      </c>
      <c r="D85" s="29" t="s">
        <v>1108</v>
      </c>
    </row>
    <row r="86" spans="1:4">
      <c r="A86" s="29" t="s">
        <v>893</v>
      </c>
      <c r="B86" s="35">
        <v>43675</v>
      </c>
      <c r="C86" s="29" t="s">
        <v>894</v>
      </c>
      <c r="D86" s="29" t="s">
        <v>1108</v>
      </c>
    </row>
    <row r="87" spans="1:4">
      <c r="A87" s="29" t="s">
        <v>881</v>
      </c>
      <c r="B87" s="35">
        <v>43669</v>
      </c>
      <c r="C87" s="29" t="s">
        <v>882</v>
      </c>
      <c r="D87" s="29" t="s">
        <v>1108</v>
      </c>
    </row>
    <row r="88" spans="1:4">
      <c r="A88" s="29" t="s">
        <v>883</v>
      </c>
      <c r="B88" s="35">
        <v>43668</v>
      </c>
      <c r="C88" s="29" t="s">
        <v>884</v>
      </c>
      <c r="D88" s="29" t="s">
        <v>1108</v>
      </c>
    </row>
    <row r="89" spans="1:4">
      <c r="A89" s="29" t="s">
        <v>867</v>
      </c>
      <c r="B89" s="35">
        <v>43614</v>
      </c>
      <c r="C89" s="29" t="s">
        <v>868</v>
      </c>
      <c r="D89" s="29" t="s">
        <v>1108</v>
      </c>
    </row>
    <row r="90" spans="1:4">
      <c r="A90" s="29" t="s">
        <v>865</v>
      </c>
      <c r="B90" s="35">
        <v>43347</v>
      </c>
      <c r="C90" s="29" t="s">
        <v>866</v>
      </c>
      <c r="D90" s="29" t="s">
        <v>1108</v>
      </c>
    </row>
    <row r="91" spans="1:4">
      <c r="A91" s="29" t="s">
        <v>861</v>
      </c>
      <c r="B91" s="35">
        <v>43339</v>
      </c>
      <c r="C91" s="29" t="s">
        <v>562</v>
      </c>
      <c r="D91" s="29" t="s">
        <v>1108</v>
      </c>
    </row>
    <row r="92" spans="1:4">
      <c r="A92" s="29" t="s">
        <v>860</v>
      </c>
      <c r="B92" s="35">
        <v>43328</v>
      </c>
      <c r="C92" s="29" t="s">
        <v>562</v>
      </c>
      <c r="D92" s="29" t="s">
        <v>1108</v>
      </c>
    </row>
    <row r="93" spans="1:4">
      <c r="A93" s="29" t="s">
        <v>853</v>
      </c>
      <c r="B93" s="35">
        <v>43326</v>
      </c>
      <c r="C93" s="29" t="s">
        <v>854</v>
      </c>
      <c r="D93" s="29" t="s">
        <v>1108</v>
      </c>
    </row>
    <row r="94" spans="1:4">
      <c r="A94" s="29" t="s">
        <v>844</v>
      </c>
      <c r="B94" s="35">
        <v>43325</v>
      </c>
      <c r="C94" s="29" t="s">
        <v>845</v>
      </c>
      <c r="D94" s="29" t="s">
        <v>1108</v>
      </c>
    </row>
    <row r="95" spans="1:4">
      <c r="A95" s="29" t="s">
        <v>841</v>
      </c>
      <c r="B95" s="35">
        <v>43320</v>
      </c>
      <c r="C95" s="29" t="s">
        <v>842</v>
      </c>
      <c r="D95" s="29" t="s">
        <v>1108</v>
      </c>
    </row>
    <row r="96" spans="1:4">
      <c r="A96" s="29" t="s">
        <v>839</v>
      </c>
      <c r="B96" s="35">
        <v>43312</v>
      </c>
      <c r="C96" s="29" t="s">
        <v>843</v>
      </c>
      <c r="D96" s="29" t="s">
        <v>1108</v>
      </c>
    </row>
    <row r="97" spans="1:20">
      <c r="A97" s="29" t="s">
        <v>784</v>
      </c>
      <c r="B97" s="35">
        <v>43294</v>
      </c>
      <c r="C97" s="29" t="s">
        <v>785</v>
      </c>
      <c r="D97" s="29" t="s">
        <v>1108</v>
      </c>
    </row>
    <row r="98" spans="1:20">
      <c r="A98" s="29" t="s">
        <v>578</v>
      </c>
      <c r="B98" s="35">
        <v>43158</v>
      </c>
      <c r="C98" s="29" t="s">
        <v>579</v>
      </c>
      <c r="D98" s="29" t="s">
        <v>1108</v>
      </c>
    </row>
    <row r="99" spans="1:20">
      <c r="A99" s="29" t="s">
        <v>576</v>
      </c>
      <c r="B99" s="35">
        <v>43126</v>
      </c>
      <c r="C99" s="29" t="s">
        <v>577</v>
      </c>
      <c r="D99" s="29" t="s">
        <v>1108</v>
      </c>
    </row>
    <row r="100" spans="1:20">
      <c r="A100" s="29" t="s">
        <v>568</v>
      </c>
      <c r="B100" s="35">
        <v>43115</v>
      </c>
      <c r="C100" s="29" t="s">
        <v>569</v>
      </c>
      <c r="D100" s="29" t="s">
        <v>1108</v>
      </c>
    </row>
    <row r="101" spans="1:20">
      <c r="A101" s="29" t="s">
        <v>566</v>
      </c>
      <c r="B101" s="35">
        <v>43070</v>
      </c>
      <c r="C101" s="29" t="s">
        <v>567</v>
      </c>
      <c r="D101" s="29" t="s">
        <v>1108</v>
      </c>
    </row>
    <row r="102" spans="1:20">
      <c r="A102" s="29" t="s">
        <v>565</v>
      </c>
      <c r="B102" s="35">
        <v>43060</v>
      </c>
      <c r="C102" s="29" t="s">
        <v>564</v>
      </c>
      <c r="D102" s="29" t="s">
        <v>1108</v>
      </c>
    </row>
    <row r="103" spans="1:20">
      <c r="A103" s="29" t="s">
        <v>563</v>
      </c>
      <c r="B103" s="35">
        <v>43047</v>
      </c>
      <c r="C103" s="29" t="s">
        <v>562</v>
      </c>
      <c r="D103" s="29" t="s">
        <v>1108</v>
      </c>
    </row>
    <row r="104" spans="1:20">
      <c r="A104" s="29" t="s">
        <v>561</v>
      </c>
      <c r="B104" s="34">
        <v>43042</v>
      </c>
      <c r="C104" s="29" t="s">
        <v>562</v>
      </c>
      <c r="D104" s="29" t="s">
        <v>1108</v>
      </c>
    </row>
    <row r="105" spans="1:20">
      <c r="A105" s="29" t="s">
        <v>559</v>
      </c>
      <c r="B105" s="35">
        <v>43013</v>
      </c>
      <c r="C105" s="29" t="s">
        <v>560</v>
      </c>
      <c r="D105" s="29" t="s">
        <v>1108</v>
      </c>
      <c r="T105" s="208"/>
    </row>
    <row r="106" spans="1:20">
      <c r="A106" s="29" t="s">
        <v>557</v>
      </c>
      <c r="B106" s="35">
        <v>43000</v>
      </c>
      <c r="C106" s="29" t="s">
        <v>558</v>
      </c>
      <c r="D106" s="29" t="s">
        <v>1108</v>
      </c>
    </row>
    <row r="107" spans="1:20">
      <c r="A107" s="29" t="s">
        <v>555</v>
      </c>
      <c r="B107" s="35">
        <v>42963</v>
      </c>
      <c r="C107" s="29" t="s">
        <v>556</v>
      </c>
      <c r="D107" s="29" t="s">
        <v>1108</v>
      </c>
    </row>
    <row r="108" spans="1:20">
      <c r="A108" s="29" t="s">
        <v>553</v>
      </c>
      <c r="B108" s="35">
        <v>42958</v>
      </c>
      <c r="C108" s="29" t="s">
        <v>554</v>
      </c>
      <c r="D108" s="29" t="s">
        <v>1108</v>
      </c>
    </row>
    <row r="109" spans="1:20">
      <c r="A109" s="29" t="s">
        <v>551</v>
      </c>
      <c r="B109" s="35">
        <v>42956</v>
      </c>
      <c r="C109" s="29" t="s">
        <v>552</v>
      </c>
      <c r="D109" s="29" t="s">
        <v>1108</v>
      </c>
    </row>
    <row r="110" spans="1:20">
      <c r="A110" s="29" t="s">
        <v>549</v>
      </c>
      <c r="B110" s="35">
        <v>42955</v>
      </c>
      <c r="C110" s="29" t="s">
        <v>550</v>
      </c>
      <c r="D110" s="29" t="s">
        <v>1108</v>
      </c>
    </row>
    <row r="111" spans="1:20">
      <c r="A111" s="29" t="s">
        <v>547</v>
      </c>
      <c r="B111" s="35">
        <v>42944</v>
      </c>
      <c r="C111" s="29" t="s">
        <v>548</v>
      </c>
      <c r="D111" s="29" t="s">
        <v>1108</v>
      </c>
    </row>
    <row r="112" spans="1:20">
      <c r="A112" s="29" t="s">
        <v>545</v>
      </c>
      <c r="B112" s="35">
        <v>42829</v>
      </c>
      <c r="C112" s="29" t="s">
        <v>546</v>
      </c>
      <c r="D112" s="29" t="s">
        <v>1108</v>
      </c>
    </row>
    <row r="113" spans="1:4">
      <c r="A113" s="29" t="s">
        <v>543</v>
      </c>
      <c r="B113" s="35">
        <v>42817</v>
      </c>
      <c r="C113" s="29" t="s">
        <v>544</v>
      </c>
      <c r="D113" s="29" t="s">
        <v>1108</v>
      </c>
    </row>
    <row r="114" spans="1:4">
      <c r="A114" s="29" t="s">
        <v>541</v>
      </c>
      <c r="B114" s="35">
        <v>42796</v>
      </c>
      <c r="C114" s="29" t="s">
        <v>542</v>
      </c>
      <c r="D114" s="29" t="s">
        <v>1108</v>
      </c>
    </row>
    <row r="115" spans="1:4">
      <c r="A115" s="29" t="s">
        <v>539</v>
      </c>
      <c r="B115" s="35">
        <v>42786</v>
      </c>
      <c r="C115" s="29" t="s">
        <v>540</v>
      </c>
      <c r="D115" s="29" t="s">
        <v>1108</v>
      </c>
    </row>
    <row r="116" spans="1:4">
      <c r="A116" s="29" t="s">
        <v>538</v>
      </c>
      <c r="B116" s="35">
        <v>42774</v>
      </c>
      <c r="C116" s="29" t="s">
        <v>537</v>
      </c>
      <c r="D116" s="29" t="s">
        <v>1108</v>
      </c>
    </row>
    <row r="117" spans="1:4">
      <c r="A117" s="29" t="s">
        <v>535</v>
      </c>
      <c r="B117" s="35">
        <v>42773</v>
      </c>
      <c r="C117" s="29" t="s">
        <v>536</v>
      </c>
      <c r="D117" s="29" t="s">
        <v>1108</v>
      </c>
    </row>
    <row r="118" spans="1:4">
      <c r="A118" s="29" t="s">
        <v>464</v>
      </c>
      <c r="B118" s="35">
        <v>42769</v>
      </c>
      <c r="C118" s="29" t="s">
        <v>465</v>
      </c>
      <c r="D118" s="29" t="s">
        <v>1108</v>
      </c>
    </row>
    <row r="119" spans="1:4">
      <c r="A119" s="29" t="s">
        <v>455</v>
      </c>
      <c r="B119" s="35">
        <v>42769</v>
      </c>
      <c r="C119" s="29" t="s">
        <v>466</v>
      </c>
    </row>
    <row r="120" spans="1:4">
      <c r="A120" s="29" t="s">
        <v>386</v>
      </c>
      <c r="B120" s="35">
        <v>42696</v>
      </c>
      <c r="C120" s="29" t="s">
        <v>385</v>
      </c>
    </row>
    <row r="121" spans="1:4">
      <c r="A121" s="29" t="s">
        <v>383</v>
      </c>
      <c r="B121" s="35">
        <v>42688</v>
      </c>
      <c r="C121" s="29" t="s">
        <v>384</v>
      </c>
    </row>
    <row r="122" spans="1:4">
      <c r="A122" s="29" t="s">
        <v>381</v>
      </c>
      <c r="B122" s="35">
        <v>42662</v>
      </c>
      <c r="C122" s="29" t="s">
        <v>382</v>
      </c>
    </row>
    <row r="123" spans="1:4">
      <c r="A123" s="29" t="s">
        <v>379</v>
      </c>
      <c r="B123" s="35">
        <v>42627</v>
      </c>
      <c r="C123" s="29" t="s">
        <v>380</v>
      </c>
    </row>
    <row r="124" spans="1:4">
      <c r="A124" s="29" t="s">
        <v>377</v>
      </c>
      <c r="B124" s="35">
        <v>42522</v>
      </c>
      <c r="C124" s="29" t="s">
        <v>378</v>
      </c>
    </row>
    <row r="125" spans="1:4">
      <c r="A125" s="29" t="s">
        <v>376</v>
      </c>
      <c r="B125" s="35">
        <v>42521</v>
      </c>
      <c r="C125" s="29" t="s">
        <v>216</v>
      </c>
    </row>
    <row r="126" spans="1:4">
      <c r="A126" s="29" t="s">
        <v>373</v>
      </c>
      <c r="B126" s="35">
        <v>42513</v>
      </c>
      <c r="C126" s="29" t="s">
        <v>374</v>
      </c>
    </row>
    <row r="127" spans="1:4">
      <c r="A127" s="29" t="s">
        <v>340</v>
      </c>
      <c r="B127" s="35">
        <v>42503</v>
      </c>
      <c r="C127" s="29" t="s">
        <v>375</v>
      </c>
    </row>
    <row r="128" spans="1:4">
      <c r="A128" s="29" t="s">
        <v>321</v>
      </c>
      <c r="B128" s="35">
        <v>42501</v>
      </c>
      <c r="C128" s="29" t="s">
        <v>322</v>
      </c>
    </row>
    <row r="129" spans="1:3">
      <c r="A129" s="29" t="s">
        <v>319</v>
      </c>
      <c r="B129" s="35">
        <v>42494</v>
      </c>
      <c r="C129" s="29" t="s">
        <v>320</v>
      </c>
    </row>
    <row r="130" spans="1:3">
      <c r="A130" s="29" t="s">
        <v>317</v>
      </c>
      <c r="B130" s="35">
        <v>42480</v>
      </c>
      <c r="C130" s="29" t="s">
        <v>318</v>
      </c>
    </row>
    <row r="131" spans="1:3">
      <c r="A131" s="29" t="s">
        <v>309</v>
      </c>
      <c r="B131" s="35">
        <v>42472</v>
      </c>
      <c r="C131" s="29" t="s">
        <v>310</v>
      </c>
    </row>
    <row r="132" spans="1:3">
      <c r="A132" s="29" t="s">
        <v>307</v>
      </c>
      <c r="B132" s="35">
        <v>42384</v>
      </c>
      <c r="C132" s="29" t="s">
        <v>308</v>
      </c>
    </row>
    <row r="133" spans="1:3">
      <c r="A133" s="29" t="s">
        <v>305</v>
      </c>
      <c r="B133" s="35">
        <v>42341</v>
      </c>
      <c r="C133" s="29" t="s">
        <v>306</v>
      </c>
    </row>
    <row r="134" spans="1:3">
      <c r="A134" s="29" t="s">
        <v>301</v>
      </c>
      <c r="B134" s="35">
        <v>42333</v>
      </c>
      <c r="C134" s="29" t="s">
        <v>302</v>
      </c>
    </row>
    <row r="135" spans="1:3">
      <c r="A135" s="29"/>
      <c r="C135" s="29" t="s">
        <v>303</v>
      </c>
    </row>
    <row r="136" spans="1:3">
      <c r="A136" s="29"/>
      <c r="C136" s="29" t="s">
        <v>304</v>
      </c>
    </row>
    <row r="137" spans="1:3">
      <c r="A137" s="29" t="s">
        <v>279</v>
      </c>
      <c r="B137" s="35">
        <v>42310</v>
      </c>
      <c r="C137" s="29" t="s">
        <v>294</v>
      </c>
    </row>
    <row r="138" spans="1:3">
      <c r="A138" s="29"/>
      <c r="C138" s="29" t="s">
        <v>295</v>
      </c>
    </row>
    <row r="139" spans="1:3">
      <c r="A139" s="29"/>
      <c r="C139" s="29" t="s">
        <v>280</v>
      </c>
    </row>
    <row r="140" spans="1:3">
      <c r="A140" s="29"/>
      <c r="C140" s="29" t="s">
        <v>293</v>
      </c>
    </row>
    <row r="141" spans="1:3">
      <c r="A141" s="29"/>
      <c r="C141" s="29" t="s">
        <v>290</v>
      </c>
    </row>
    <row r="142" spans="1:3">
      <c r="A142" s="29"/>
      <c r="C142" s="29" t="s">
        <v>291</v>
      </c>
    </row>
    <row r="143" spans="1:3">
      <c r="A143" s="29"/>
      <c r="C143" s="29" t="s">
        <v>216</v>
      </c>
    </row>
    <row r="144" spans="1:3">
      <c r="A144" s="29"/>
      <c r="C144" s="29" t="s">
        <v>292</v>
      </c>
    </row>
    <row r="145" spans="1:3">
      <c r="A145" s="29" t="s">
        <v>277</v>
      </c>
      <c r="B145" s="35">
        <v>42236</v>
      </c>
      <c r="C145" s="29" t="s">
        <v>276</v>
      </c>
    </row>
    <row r="146" spans="1:3">
      <c r="A146" s="29" t="s">
        <v>273</v>
      </c>
      <c r="B146" s="35">
        <v>42236</v>
      </c>
      <c r="C146" s="29" t="s">
        <v>278</v>
      </c>
    </row>
    <row r="147" spans="1:3">
      <c r="A147" s="29" t="s">
        <v>274</v>
      </c>
      <c r="B147" s="35">
        <v>42197</v>
      </c>
      <c r="C147" s="29" t="s">
        <v>275</v>
      </c>
    </row>
    <row r="148" spans="1:3">
      <c r="A148" s="29" t="s">
        <v>270</v>
      </c>
      <c r="B148" s="35">
        <v>42083</v>
      </c>
      <c r="C148" s="29" t="s">
        <v>272</v>
      </c>
    </row>
    <row r="149" spans="1:3">
      <c r="A149" s="29" t="s">
        <v>270</v>
      </c>
      <c r="B149" s="35">
        <v>42065</v>
      </c>
      <c r="C149" s="29" t="s">
        <v>271</v>
      </c>
    </row>
    <row r="150" spans="1:3">
      <c r="A150" s="29" t="s">
        <v>268</v>
      </c>
      <c r="B150" s="35">
        <v>42026</v>
      </c>
      <c r="C150" s="29" t="s">
        <v>269</v>
      </c>
    </row>
    <row r="151" spans="1:3">
      <c r="A151" s="29" t="s">
        <v>260</v>
      </c>
      <c r="B151" s="34">
        <v>42011</v>
      </c>
      <c r="C151" s="29" t="s">
        <v>261</v>
      </c>
    </row>
    <row r="152" spans="1:3">
      <c r="A152" s="29"/>
      <c r="B152" s="34"/>
      <c r="C152" s="29" t="s">
        <v>262</v>
      </c>
    </row>
    <row r="153" spans="1:3">
      <c r="A153" s="29" t="s">
        <v>251</v>
      </c>
      <c r="B153" s="34">
        <v>41984</v>
      </c>
      <c r="C153" s="29" t="s">
        <v>252</v>
      </c>
    </row>
    <row r="154" spans="1:3">
      <c r="A154" s="29"/>
      <c r="B154" s="34"/>
      <c r="C154" s="29" t="s">
        <v>253</v>
      </c>
    </row>
    <row r="155" spans="1:3">
      <c r="A155" s="29"/>
      <c r="B155" s="34"/>
      <c r="C155" s="29" t="s">
        <v>254</v>
      </c>
    </row>
    <row r="156" spans="1:3">
      <c r="A156" s="29"/>
      <c r="B156" s="34"/>
      <c r="C156" s="29" t="s">
        <v>255</v>
      </c>
    </row>
    <row r="157" spans="1:3">
      <c r="A157" s="29"/>
      <c r="B157" s="34"/>
      <c r="C157" s="29" t="s">
        <v>256</v>
      </c>
    </row>
    <row r="158" spans="1:3">
      <c r="A158" s="29"/>
      <c r="B158" s="34"/>
      <c r="C158" s="29" t="s">
        <v>257</v>
      </c>
    </row>
    <row r="159" spans="1:3">
      <c r="A159" s="29"/>
      <c r="B159" s="34"/>
      <c r="C159" s="29" t="s">
        <v>258</v>
      </c>
    </row>
    <row r="160" spans="1:3">
      <c r="A160" s="29"/>
      <c r="B160" s="34"/>
      <c r="C160" s="29" t="s">
        <v>259</v>
      </c>
    </row>
    <row r="161" spans="1:3">
      <c r="A161" s="29" t="s">
        <v>212</v>
      </c>
      <c r="B161" s="34">
        <v>41948</v>
      </c>
      <c r="C161" s="29" t="s">
        <v>213</v>
      </c>
    </row>
    <row r="162" spans="1:3">
      <c r="A162" s="29"/>
      <c r="B162" s="34"/>
      <c r="C162" s="29" t="s">
        <v>234</v>
      </c>
    </row>
    <row r="163" spans="1:3">
      <c r="A163" s="29"/>
      <c r="B163" s="29"/>
      <c r="C163" s="29" t="s">
        <v>214</v>
      </c>
    </row>
    <row r="164" spans="1:3">
      <c r="A164" s="29"/>
      <c r="B164" s="29"/>
      <c r="C164" s="29" t="s">
        <v>215</v>
      </c>
    </row>
    <row r="165" spans="1:3">
      <c r="A165" s="29"/>
      <c r="B165" s="29"/>
      <c r="C165" s="29" t="s">
        <v>216</v>
      </c>
    </row>
    <row r="166" spans="1:3">
      <c r="A166" s="29"/>
      <c r="B166" s="29"/>
      <c r="C166" s="29" t="s">
        <v>223</v>
      </c>
    </row>
    <row r="167" spans="1:3">
      <c r="A167" s="29"/>
      <c r="B167" s="29"/>
      <c r="C167" s="29" t="s">
        <v>224</v>
      </c>
    </row>
    <row r="168" spans="1:3">
      <c r="A168" s="29"/>
      <c r="B168" s="29"/>
      <c r="C168" s="29" t="s">
        <v>225</v>
      </c>
    </row>
    <row r="169" spans="1:3">
      <c r="A169" s="29"/>
      <c r="B169" s="29"/>
      <c r="C169" s="29" t="s">
        <v>226</v>
      </c>
    </row>
    <row r="170" spans="1:3">
      <c r="A170" s="29"/>
      <c r="B170" s="29"/>
      <c r="C170" s="29" t="s">
        <v>227</v>
      </c>
    </row>
    <row r="171" spans="1:3">
      <c r="A171" s="29"/>
      <c r="B171" s="29"/>
      <c r="C171" s="29" t="s">
        <v>228</v>
      </c>
    </row>
    <row r="172" spans="1:3">
      <c r="A172" s="29"/>
      <c r="B172" s="29"/>
      <c r="C172" s="29" t="s">
        <v>229</v>
      </c>
    </row>
    <row r="173" spans="1:3">
      <c r="A173" s="29"/>
      <c r="B173" s="29"/>
      <c r="C173" s="29" t="s">
        <v>235</v>
      </c>
    </row>
    <row r="174" spans="1:3">
      <c r="A174" s="29" t="s">
        <v>205</v>
      </c>
      <c r="B174" s="34">
        <v>41922</v>
      </c>
      <c r="C174" s="29" t="s">
        <v>210</v>
      </c>
    </row>
    <row r="175" spans="1:3">
      <c r="A175" s="29"/>
      <c r="B175" s="34"/>
      <c r="C175" s="29" t="s">
        <v>209</v>
      </c>
    </row>
    <row r="176" spans="1:3">
      <c r="C176" s="29" t="s">
        <v>206</v>
      </c>
    </row>
    <row r="177" spans="1:3">
      <c r="A177" s="29"/>
      <c r="B177" s="34"/>
      <c r="C177" s="29" t="s">
        <v>207</v>
      </c>
    </row>
    <row r="178" spans="1:3">
      <c r="A178" s="29"/>
      <c r="B178" s="34"/>
      <c r="C178" s="29" t="s">
        <v>208</v>
      </c>
    </row>
    <row r="179" spans="1:3">
      <c r="A179" s="29"/>
      <c r="B179" s="34"/>
      <c r="C179" s="29" t="s">
        <v>211</v>
      </c>
    </row>
    <row r="180" spans="1:3">
      <c r="A180" s="29" t="s">
        <v>193</v>
      </c>
      <c r="B180" s="34">
        <v>41523</v>
      </c>
      <c r="C180" s="29" t="s">
        <v>192</v>
      </c>
    </row>
    <row r="181" spans="1:3">
      <c r="A181" s="29" t="s">
        <v>189</v>
      </c>
      <c r="B181" s="34">
        <v>41522</v>
      </c>
      <c r="C181" s="29" t="s">
        <v>191</v>
      </c>
    </row>
    <row r="182" spans="1:3">
      <c r="A182" s="29" t="s">
        <v>189</v>
      </c>
      <c r="B182" s="34">
        <v>41522</v>
      </c>
      <c r="C182" s="29" t="s">
        <v>190</v>
      </c>
    </row>
    <row r="183" spans="1:3">
      <c r="A183" s="29" t="s">
        <v>187</v>
      </c>
      <c r="B183" s="34">
        <v>41516</v>
      </c>
      <c r="C183" s="29" t="s">
        <v>186</v>
      </c>
    </row>
    <row r="184" spans="1:3">
      <c r="A184" s="29" t="s">
        <v>184</v>
      </c>
      <c r="B184" s="34">
        <v>41516</v>
      </c>
      <c r="C184" s="29" t="s">
        <v>188</v>
      </c>
    </row>
    <row r="185" spans="1:3">
      <c r="A185" s="29" t="s">
        <v>183</v>
      </c>
      <c r="B185" s="34">
        <v>41515</v>
      </c>
      <c r="C185" s="29" t="s">
        <v>185</v>
      </c>
    </row>
    <row r="186" spans="1:3">
      <c r="A186" s="29" t="s">
        <v>175</v>
      </c>
      <c r="B186" s="34">
        <v>41509</v>
      </c>
      <c r="C186" s="29" t="s">
        <v>176</v>
      </c>
    </row>
    <row r="187" spans="1:3">
      <c r="A187" s="29" t="s">
        <v>173</v>
      </c>
      <c r="B187" s="34">
        <v>41509</v>
      </c>
      <c r="C187" s="29" t="s">
        <v>174</v>
      </c>
    </row>
    <row r="188" spans="1:3">
      <c r="A188" s="29" t="s">
        <v>171</v>
      </c>
      <c r="B188" s="34">
        <v>41509</v>
      </c>
      <c r="C188" s="29" t="s">
        <v>172</v>
      </c>
    </row>
    <row r="189" spans="1:3">
      <c r="A189" s="29" t="s">
        <v>169</v>
      </c>
      <c r="B189" s="34">
        <v>41459</v>
      </c>
      <c r="C189" s="29" t="s">
        <v>170</v>
      </c>
    </row>
    <row r="190" spans="1:3">
      <c r="A190" s="29" t="s">
        <v>151</v>
      </c>
      <c r="B190" s="34">
        <v>41456</v>
      </c>
      <c r="C190" t="s">
        <v>152</v>
      </c>
    </row>
    <row r="191" spans="1:3">
      <c r="C191" t="s">
        <v>153</v>
      </c>
    </row>
    <row r="192" spans="1:3">
      <c r="C192" t="s">
        <v>154</v>
      </c>
    </row>
    <row r="193" spans="1:3">
      <c r="C193" t="s">
        <v>155</v>
      </c>
    </row>
    <row r="194" spans="1:3">
      <c r="C194" t="s">
        <v>156</v>
      </c>
    </row>
    <row r="195" spans="1:3">
      <c r="C195" t="s">
        <v>157</v>
      </c>
    </row>
    <row r="196" spans="1:3">
      <c r="C196" t="s">
        <v>158</v>
      </c>
    </row>
    <row r="197" spans="1:3">
      <c r="C197" t="s">
        <v>159</v>
      </c>
    </row>
    <row r="198" spans="1:3">
      <c r="C198" t="s">
        <v>160</v>
      </c>
    </row>
    <row r="199" spans="1:3">
      <c r="C199" t="s">
        <v>161</v>
      </c>
    </row>
    <row r="200" spans="1:3">
      <c r="C200" t="s">
        <v>162</v>
      </c>
    </row>
    <row r="201" spans="1:3">
      <c r="C201" t="s">
        <v>163</v>
      </c>
    </row>
    <row r="202" spans="1:3">
      <c r="C202" t="s">
        <v>164</v>
      </c>
    </row>
    <row r="203" spans="1:3">
      <c r="C203" t="s">
        <v>165</v>
      </c>
    </row>
    <row r="204" spans="1:3">
      <c r="A204" s="29" t="s">
        <v>178</v>
      </c>
      <c r="B204" s="35">
        <v>41409</v>
      </c>
      <c r="C204" t="s">
        <v>166</v>
      </c>
    </row>
    <row r="205" spans="1:3">
      <c r="C205" t="s">
        <v>167</v>
      </c>
    </row>
    <row r="206" spans="1:3">
      <c r="C206" t="s">
        <v>168</v>
      </c>
    </row>
    <row r="207" spans="1:3">
      <c r="A207" s="29" t="s">
        <v>179</v>
      </c>
      <c r="B207" s="35">
        <v>41107</v>
      </c>
      <c r="C207" t="s">
        <v>180</v>
      </c>
    </row>
    <row r="208" spans="1:3">
      <c r="C208" s="29" t="s">
        <v>182</v>
      </c>
    </row>
    <row r="209" spans="3:3">
      <c r="C209" t="s">
        <v>181</v>
      </c>
    </row>
    <row r="211" spans="3:3">
      <c r="C211" s="33"/>
    </row>
  </sheetData>
  <pageMargins left="0.7" right="0.7" top="0.75" bottom="0.75" header="0.3" footer="0.3"/>
  <pageSetup orientation="portrait" horizontalDpi="1200" verticalDpi="1200" r:id="rId1"/>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E45"/>
  <sheetViews>
    <sheetView workbookViewId="0">
      <selection activeCell="D5" sqref="D5"/>
    </sheetView>
  </sheetViews>
  <sheetFormatPr defaultColWidth="9.140625" defaultRowHeight="12.75"/>
  <cols>
    <col min="1" max="1" width="37.28515625" customWidth="1"/>
    <col min="2" max="5" width="52.5703125" customWidth="1"/>
    <col min="6" max="6" width="33.7109375" customWidth="1"/>
    <col min="7" max="7" width="25.28515625" customWidth="1"/>
  </cols>
  <sheetData>
    <row r="1" spans="1:5" ht="18">
      <c r="A1" s="360" t="s">
        <v>1559</v>
      </c>
      <c r="B1" s="360" t="s">
        <v>1560</v>
      </c>
    </row>
    <row r="2" spans="1:5">
      <c r="A2" s="469" t="s">
        <v>1562</v>
      </c>
      <c r="B2" s="462">
        <v>100</v>
      </c>
      <c r="C2" s="471" t="s">
        <v>1579</v>
      </c>
      <c r="D2" t="s">
        <v>1594</v>
      </c>
      <c r="E2" t="s">
        <v>1595</v>
      </c>
    </row>
    <row r="3" spans="1:5">
      <c r="A3" s="469" t="s">
        <v>1561</v>
      </c>
      <c r="B3" s="462">
        <v>0.22</v>
      </c>
      <c r="C3" s="471" t="s">
        <v>1580</v>
      </c>
      <c r="D3" t="s">
        <v>1596</v>
      </c>
    </row>
    <row r="4" spans="1:5">
      <c r="A4" s="469" t="s">
        <v>1598</v>
      </c>
      <c r="B4" s="462"/>
      <c r="C4" s="471"/>
      <c r="D4" t="s">
        <v>1599</v>
      </c>
    </row>
    <row r="5" spans="1:5">
      <c r="A5" s="469" t="s">
        <v>1597</v>
      </c>
      <c r="B5" s="462"/>
      <c r="C5" s="471"/>
    </row>
    <row r="6" spans="1:5">
      <c r="A6" s="461"/>
      <c r="B6" s="461"/>
      <c r="C6" s="461"/>
      <c r="D6" s="461"/>
      <c r="E6" s="461"/>
    </row>
    <row r="7" spans="1:5" ht="18">
      <c r="B7" s="460" t="s">
        <v>1563</v>
      </c>
      <c r="C7" s="460" t="s">
        <v>1553</v>
      </c>
      <c r="D7" s="460" t="s">
        <v>1554</v>
      </c>
      <c r="E7" s="460" t="s">
        <v>1555</v>
      </c>
    </row>
    <row r="8" spans="1:5">
      <c r="A8" s="464" t="s">
        <v>1564</v>
      </c>
      <c r="B8" s="468">
        <f>'BVMS checklist'!P185</f>
        <v>0</v>
      </c>
      <c r="C8" s="468">
        <f>'BVMS checklist'!P186</f>
        <v>0</v>
      </c>
      <c r="D8" s="468">
        <f>'BVMS checklist'!P187</f>
        <v>0</v>
      </c>
      <c r="E8" s="468">
        <f>'BVMS checklist'!P188</f>
        <v>0</v>
      </c>
    </row>
    <row r="9" spans="1:5">
      <c r="A9" s="464" t="s">
        <v>1565</v>
      </c>
      <c r="B9" s="468">
        <f>'BVMS checklist'!L185</f>
        <v>0</v>
      </c>
      <c r="C9" s="468">
        <f>'BVMS checklist'!L186</f>
        <v>0</v>
      </c>
      <c r="D9" s="468">
        <f>'BVMS checklist'!L187</f>
        <v>0</v>
      </c>
      <c r="E9" s="468">
        <f>'BVMS checklist'!L188</f>
        <v>0</v>
      </c>
    </row>
    <row r="10" spans="1:5">
      <c r="A10" s="461"/>
      <c r="B10" s="461"/>
      <c r="C10" s="461"/>
      <c r="D10" s="461"/>
      <c r="E10" s="461"/>
    </row>
    <row r="11" spans="1:5" ht="18">
      <c r="A11" s="527" t="s">
        <v>1574</v>
      </c>
      <c r="B11" s="527"/>
      <c r="C11" s="527"/>
      <c r="D11" s="527"/>
      <c r="E11" s="527"/>
    </row>
    <row r="12" spans="1:5">
      <c r="A12" s="464" t="s">
        <v>1556</v>
      </c>
      <c r="B12" s="465" t="str">
        <f>'BVMS checklist'!H230</f>
        <v>None</v>
      </c>
      <c r="C12" s="465" t="str">
        <f>'BVMS checklist'!H236</f>
        <v>None</v>
      </c>
      <c r="D12" s="465" t="str">
        <f>'BVMS checklist'!H242</f>
        <v>None</v>
      </c>
      <c r="E12" s="465" t="str">
        <f>'BVMS checklist'!H248</f>
        <v>None</v>
      </c>
    </row>
    <row r="13" spans="1:5">
      <c r="A13" s="464" t="s">
        <v>1557</v>
      </c>
      <c r="B13" s="466">
        <f ca="1">'BVMS checklist'!N230</f>
        <v>0</v>
      </c>
      <c r="C13" s="466">
        <f ca="1">'BVMS checklist'!N236</f>
        <v>0</v>
      </c>
      <c r="D13" s="466">
        <f ca="1">'BVMS checklist'!N242</f>
        <v>0</v>
      </c>
      <c r="E13" s="466">
        <f ca="1">'BVMS checklist'!N248</f>
        <v>0</v>
      </c>
    </row>
    <row r="14" spans="1:5">
      <c r="A14" s="464"/>
      <c r="B14" s="464"/>
      <c r="C14" s="464"/>
      <c r="D14" s="464"/>
      <c r="E14" s="464"/>
    </row>
    <row r="15" spans="1:5">
      <c r="A15" s="464" t="s">
        <v>1582</v>
      </c>
      <c r="B15" s="464" t="e">
        <f ca="1">VLOOKUP(B12,StorageDevices!Z13:AE2013,6,FALSE)</f>
        <v>#N/A</v>
      </c>
      <c r="C15" s="464" t="e">
        <f ca="1">VLOOKUP(C12,StorageDevices!AU13:AZ2013,6,FALSE)</f>
        <v>#N/A</v>
      </c>
      <c r="D15" s="464" t="e">
        <f ca="1">VLOOKUP(D12,StorageDevices!BP13:BU2013,6,FALSE)</f>
        <v>#N/A</v>
      </c>
      <c r="E15" s="464" t="e">
        <f ca="1">VLOOKUP(E12,StorageDevices!CK13:CP2013,6,FALSE)</f>
        <v>#N/A</v>
      </c>
    </row>
    <row r="16" spans="1:5">
      <c r="A16" s="464" t="s">
        <v>1569</v>
      </c>
      <c r="B16" s="464" t="e">
        <f ca="1">B13*B15/1000</f>
        <v>#N/A</v>
      </c>
      <c r="C16" s="464" t="e">
        <f t="shared" ref="C16:E16" ca="1" si="0">C13*C15/1000</f>
        <v>#N/A</v>
      </c>
      <c r="D16" s="464" t="e">
        <f t="shared" ca="1" si="0"/>
        <v>#N/A</v>
      </c>
      <c r="E16" s="464" t="e">
        <f t="shared" ca="1" si="0"/>
        <v>#N/A</v>
      </c>
    </row>
    <row r="17" spans="1:5">
      <c r="A17" s="464" t="s">
        <v>1568</v>
      </c>
      <c r="B17" s="467" t="e">
        <f ca="1">$B$3*B16*24*365</f>
        <v>#N/A</v>
      </c>
      <c r="C17" s="467" t="e">
        <f t="shared" ref="C17:E17" ca="1" si="1">$B$3*C16*24*365</f>
        <v>#N/A</v>
      </c>
      <c r="D17" s="467" t="e">
        <f t="shared" ca="1" si="1"/>
        <v>#N/A</v>
      </c>
      <c r="E17" s="467" t="e">
        <f t="shared" ca="1" si="1"/>
        <v>#N/A</v>
      </c>
    </row>
    <row r="18" spans="1:5">
      <c r="A18" s="464"/>
      <c r="B18" s="467"/>
      <c r="C18" s="467"/>
      <c r="D18" s="467"/>
      <c r="E18" s="467"/>
    </row>
    <row r="19" spans="1:5">
      <c r="A19" s="464" t="s">
        <v>1572</v>
      </c>
      <c r="B19" s="464" t="e">
        <f ca="1">VLOOKUP(B12,StorageDevices!Z13:AF2013,7,FALSE)</f>
        <v>#N/A</v>
      </c>
      <c r="C19" s="464" t="e">
        <f ca="1">VLOOKUP(C12,StorageDevices!AU13:BA2013,7,FALSE)</f>
        <v>#N/A</v>
      </c>
      <c r="D19" s="464" t="e">
        <f ca="1">VLOOKUP(D12,StorageDevices!BP13:BV2013,7,FALSE)</f>
        <v>#N/A</v>
      </c>
      <c r="E19" s="464" t="e">
        <f ca="1">VLOOKUP(E12,StorageDevices!CK13:CS2013,7,FALSE)</f>
        <v>#N/A</v>
      </c>
    </row>
    <row r="20" spans="1:5">
      <c r="A20" s="464" t="s">
        <v>1558</v>
      </c>
      <c r="B20" s="467" t="e">
        <f ca="1">$B$2*B13*B19</f>
        <v>#N/A</v>
      </c>
      <c r="C20" s="467" t="e">
        <f ca="1">$B$2*C13*C19</f>
        <v>#N/A</v>
      </c>
      <c r="D20" s="467" t="e">
        <f ca="1">$B$2*D13*D19</f>
        <v>#N/A</v>
      </c>
      <c r="E20" s="467" t="e">
        <f ca="1">$B$2*E13*E19</f>
        <v>#N/A</v>
      </c>
    </row>
    <row r="21" spans="1:5">
      <c r="A21" s="472"/>
      <c r="B21" s="473"/>
      <c r="C21" s="473"/>
      <c r="D21" s="473"/>
      <c r="E21" s="474"/>
    </row>
    <row r="22" spans="1:5">
      <c r="A22" s="464" t="s">
        <v>1583</v>
      </c>
      <c r="B22" s="681">
        <v>500</v>
      </c>
      <c r="C22" s="682"/>
      <c r="D22" s="682"/>
      <c r="E22" s="683"/>
    </row>
    <row r="23" spans="1:5">
      <c r="A23" s="464" t="s">
        <v>1584</v>
      </c>
      <c r="B23" s="677">
        <f>$B$2*16*('BVMS checklist'!O252+'BVMS checklist'!O253)</f>
        <v>0</v>
      </c>
      <c r="C23" s="678"/>
      <c r="D23" s="678"/>
      <c r="E23" s="679"/>
    </row>
    <row r="24" spans="1:5">
      <c r="A24" s="464" t="s">
        <v>1585</v>
      </c>
      <c r="B24" s="677">
        <f>($B$22/1000)*24*365*$B$3*('BVMS checklist'!O252+'BVMS checklist'!O253)</f>
        <v>0</v>
      </c>
      <c r="C24" s="678"/>
      <c r="D24" s="678"/>
      <c r="E24" s="679"/>
    </row>
    <row r="25" spans="1:5">
      <c r="A25" s="685"/>
      <c r="B25" s="686"/>
      <c r="C25" s="686"/>
      <c r="D25" s="686"/>
      <c r="E25" s="687"/>
    </row>
    <row r="26" spans="1:5">
      <c r="A26" s="464" t="s">
        <v>1573</v>
      </c>
      <c r="B26" s="467" t="e">
        <f ca="1">B17+B20+$B$24</f>
        <v>#N/A</v>
      </c>
      <c r="C26" s="467" t="e">
        <f t="shared" ref="C26:E26" ca="1" si="2">C17+C20+$B$24</f>
        <v>#N/A</v>
      </c>
      <c r="D26" s="467" t="e">
        <f t="shared" ca="1" si="2"/>
        <v>#N/A</v>
      </c>
      <c r="E26" s="467" t="e">
        <f t="shared" ca="1" si="2"/>
        <v>#N/A</v>
      </c>
    </row>
    <row r="27" spans="1:5">
      <c r="B27" s="690" t="s">
        <v>1586</v>
      </c>
      <c r="C27" s="690"/>
      <c r="D27" s="690"/>
      <c r="E27" s="690"/>
    </row>
    <row r="29" spans="1:5" ht="18">
      <c r="A29" s="527" t="s">
        <v>66</v>
      </c>
      <c r="B29" s="527"/>
      <c r="C29" s="527"/>
      <c r="D29" s="527"/>
      <c r="E29" s="527"/>
    </row>
    <row r="30" spans="1:5" ht="18">
      <c r="A30" s="460"/>
      <c r="B30" s="689" t="s">
        <v>1581</v>
      </c>
      <c r="C30" s="689"/>
      <c r="D30" s="689"/>
      <c r="E30" s="689"/>
    </row>
    <row r="31" spans="1:5">
      <c r="A31" s="464" t="s">
        <v>1576</v>
      </c>
      <c r="B31" s="680">
        <v>600</v>
      </c>
      <c r="C31" s="680"/>
      <c r="D31" s="680"/>
      <c r="E31" s="680"/>
    </row>
    <row r="32" spans="1:5">
      <c r="A32" s="464" t="s">
        <v>1578</v>
      </c>
      <c r="B32" s="680">
        <v>180</v>
      </c>
      <c r="C32" s="680"/>
      <c r="D32" s="680"/>
      <c r="E32" s="680"/>
    </row>
    <row r="33" spans="1:5">
      <c r="A33" s="464" t="s">
        <v>1590</v>
      </c>
      <c r="B33" s="680">
        <v>16</v>
      </c>
      <c r="C33" s="680"/>
      <c r="D33" s="680"/>
      <c r="E33" s="680"/>
    </row>
    <row r="34" spans="1:5">
      <c r="A34" s="464" t="s">
        <v>1591</v>
      </c>
      <c r="B34" s="680">
        <v>450</v>
      </c>
      <c r="C34" s="680"/>
      <c r="D34" s="680"/>
      <c r="E34" s="680"/>
    </row>
    <row r="36" spans="1:5">
      <c r="A36" s="464" t="s">
        <v>1575</v>
      </c>
      <c r="B36" s="464">
        <f>MAX(ROUNDUP(B9/$B$32,0),ROUNDUP(B8/$B$31,0))</f>
        <v>0</v>
      </c>
      <c r="C36" s="464">
        <f>MAX(ROUNDUP(C9/$B$32,0),ROUNDUP(C8/$B$31,0))</f>
        <v>0</v>
      </c>
      <c r="D36" s="464">
        <f>MAX(ROUNDUP(D9/$B$32,0),ROUNDUP(D8/$B$31,0))</f>
        <v>0</v>
      </c>
      <c r="E36" s="464">
        <f>MAX(ROUNDUP(E9/$B$32,0),ROUNDUP(E8/$B$31,0))</f>
        <v>0</v>
      </c>
    </row>
    <row r="37" spans="1:5">
      <c r="A37" s="464" t="s">
        <v>1569</v>
      </c>
      <c r="B37" s="464">
        <f>B36*$B$34/1000</f>
        <v>0</v>
      </c>
      <c r="C37" s="464">
        <f t="shared" ref="C37:E37" si="3">C36*$B$34/1000</f>
        <v>0</v>
      </c>
      <c r="D37" s="464">
        <f t="shared" si="3"/>
        <v>0</v>
      </c>
      <c r="E37" s="464">
        <f t="shared" si="3"/>
        <v>0</v>
      </c>
    </row>
    <row r="38" spans="1:5">
      <c r="A38" s="464" t="s">
        <v>1568</v>
      </c>
      <c r="B38" s="470">
        <f>B37*24*365*$B$3</f>
        <v>0</v>
      </c>
      <c r="C38" s="470">
        <f t="shared" ref="C38:E38" si="4">C37*24*365*$B$3</f>
        <v>0</v>
      </c>
      <c r="D38" s="470">
        <f t="shared" si="4"/>
        <v>0</v>
      </c>
      <c r="E38" s="470">
        <f t="shared" si="4"/>
        <v>0</v>
      </c>
    </row>
    <row r="39" spans="1:5">
      <c r="A39" s="464" t="s">
        <v>1558</v>
      </c>
      <c r="B39" s="470">
        <f>B36*$B$33*$B$2</f>
        <v>0</v>
      </c>
      <c r="C39" s="470">
        <f>C36*$B$33*$B$2</f>
        <v>0</v>
      </c>
      <c r="D39" s="470">
        <f>D36*$B$33*$B$2</f>
        <v>0</v>
      </c>
      <c r="E39" s="470">
        <f>E36*$B$33*$B$2</f>
        <v>0</v>
      </c>
    </row>
    <row r="40" spans="1:5">
      <c r="A40" s="688"/>
      <c r="B40" s="688"/>
      <c r="C40" s="688"/>
      <c r="D40" s="688"/>
      <c r="E40" s="688"/>
    </row>
    <row r="41" spans="1:5">
      <c r="A41" s="464" t="s">
        <v>1573</v>
      </c>
      <c r="B41" s="470">
        <f>B38+B39</f>
        <v>0</v>
      </c>
      <c r="C41" s="470">
        <f>C38+C39</f>
        <v>0</v>
      </c>
      <c r="D41" s="470">
        <f>D38+D39</f>
        <v>0</v>
      </c>
      <c r="E41" s="470">
        <f>E38+E39</f>
        <v>0</v>
      </c>
    </row>
    <row r="42" spans="1:5" ht="18">
      <c r="A42" s="684" t="s">
        <v>1592</v>
      </c>
      <c r="B42" s="684"/>
      <c r="C42" s="684"/>
      <c r="D42" s="684"/>
      <c r="E42" s="684"/>
    </row>
    <row r="43" spans="1:5">
      <c r="A43" s="191" t="s">
        <v>1593</v>
      </c>
      <c r="B43" s="463" t="e">
        <f ca="1">B26</f>
        <v>#N/A</v>
      </c>
      <c r="C43" s="463" t="e">
        <f ca="1">C26</f>
        <v>#N/A</v>
      </c>
      <c r="D43" s="463" t="e">
        <f ca="1">D26</f>
        <v>#N/A</v>
      </c>
      <c r="E43" s="463" t="e">
        <f ca="1">E26</f>
        <v>#N/A</v>
      </c>
    </row>
    <row r="44" spans="1:5">
      <c r="A44" s="191" t="s">
        <v>66</v>
      </c>
      <c r="B44" s="463">
        <f>B41</f>
        <v>0</v>
      </c>
      <c r="C44" s="463">
        <f t="shared" ref="C44:E44" si="5">C41</f>
        <v>0</v>
      </c>
      <c r="D44" s="463">
        <f t="shared" si="5"/>
        <v>0</v>
      </c>
      <c r="E44" s="463">
        <f t="shared" si="5"/>
        <v>0</v>
      </c>
    </row>
    <row r="45" spans="1:5">
      <c r="A45" s="191" t="s">
        <v>1577</v>
      </c>
      <c r="B45" s="463" t="e">
        <f ca="1">B44-B43</f>
        <v>#N/A</v>
      </c>
      <c r="C45" s="463" t="e">
        <f t="shared" ref="C45:E45" ca="1" si="6">C44-C43</f>
        <v>#N/A</v>
      </c>
      <c r="D45" s="463" t="e">
        <f t="shared" ca="1" si="6"/>
        <v>#N/A</v>
      </c>
      <c r="E45" s="463" t="e">
        <f t="shared" ca="1" si="6"/>
        <v>#N/A</v>
      </c>
    </row>
  </sheetData>
  <mergeCells count="14">
    <mergeCell ref="B34:E34"/>
    <mergeCell ref="A42:E42"/>
    <mergeCell ref="B32:E32"/>
    <mergeCell ref="A25:E25"/>
    <mergeCell ref="A40:E40"/>
    <mergeCell ref="B30:E30"/>
    <mergeCell ref="B27:E27"/>
    <mergeCell ref="A29:E29"/>
    <mergeCell ref="A11:E11"/>
    <mergeCell ref="B24:E24"/>
    <mergeCell ref="B31:E31"/>
    <mergeCell ref="B33:E33"/>
    <mergeCell ref="B22:E22"/>
    <mergeCell ref="B23:E23"/>
  </mergeCells>
  <pageMargins left="0.7" right="0.7" top="0.75" bottom="0.75" header="0.3" footer="0.3"/>
  <pageSetup paperSize="9" orientation="portrait" r:id="rId1"/>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B101"/>
  <sheetViews>
    <sheetView workbookViewId="0">
      <selection activeCell="E98" sqref="E98"/>
    </sheetView>
  </sheetViews>
  <sheetFormatPr defaultColWidth="9.140625" defaultRowHeight="12.75"/>
  <cols>
    <col min="1" max="1" width="32.42578125" customWidth="1"/>
  </cols>
  <sheetData>
    <row r="1" spans="1:2">
      <c r="A1" t="s">
        <v>1617</v>
      </c>
      <c r="B1" t="s">
        <v>110</v>
      </c>
    </row>
    <row r="2" spans="1:2">
      <c r="A2" t="s">
        <v>1634</v>
      </c>
      <c r="B2" t="s">
        <v>109</v>
      </c>
    </row>
    <row r="3" spans="1:2">
      <c r="A3" t="s">
        <v>1633</v>
      </c>
      <c r="B3" t="s">
        <v>109</v>
      </c>
    </row>
    <row r="4" spans="1:2">
      <c r="A4" t="s">
        <v>1632</v>
      </c>
      <c r="B4" t="s">
        <v>622</v>
      </c>
    </row>
    <row r="5" spans="1:2">
      <c r="A5" t="s">
        <v>1631</v>
      </c>
      <c r="B5" t="s">
        <v>622</v>
      </c>
    </row>
    <row r="6" spans="1:2">
      <c r="A6" t="s">
        <v>1630</v>
      </c>
      <c r="B6" t="s">
        <v>111</v>
      </c>
    </row>
    <row r="7" spans="1:2">
      <c r="A7" t="s">
        <v>1629</v>
      </c>
      <c r="B7" t="s">
        <v>623</v>
      </c>
    </row>
    <row r="8" spans="1:2">
      <c r="A8" t="s">
        <v>1628</v>
      </c>
      <c r="B8" t="s">
        <v>623</v>
      </c>
    </row>
    <row r="9" spans="1:2">
      <c r="A9" t="s">
        <v>1627</v>
      </c>
      <c r="B9" t="s">
        <v>623</v>
      </c>
    </row>
    <row r="10" spans="1:2">
      <c r="A10" t="s">
        <v>1626</v>
      </c>
      <c r="B10" t="s">
        <v>623</v>
      </c>
    </row>
    <row r="11" spans="1:2">
      <c r="A11" t="s">
        <v>1625</v>
      </c>
      <c r="B11" t="s">
        <v>110</v>
      </c>
    </row>
    <row r="12" spans="1:2">
      <c r="A12" t="s">
        <v>1624</v>
      </c>
      <c r="B12" t="s">
        <v>623</v>
      </c>
    </row>
    <row r="13" spans="1:2">
      <c r="A13" t="s">
        <v>1623</v>
      </c>
      <c r="B13" t="s">
        <v>623</v>
      </c>
    </row>
    <row r="14" spans="1:2">
      <c r="A14" t="s">
        <v>1622</v>
      </c>
      <c r="B14" t="s">
        <v>623</v>
      </c>
    </row>
    <row r="15" spans="1:2">
      <c r="A15" t="s">
        <v>1930</v>
      </c>
      <c r="B15" t="s">
        <v>623</v>
      </c>
    </row>
    <row r="16" spans="1:2">
      <c r="A16" t="s">
        <v>1621</v>
      </c>
      <c r="B16" t="s">
        <v>621</v>
      </c>
    </row>
    <row r="17" spans="1:2">
      <c r="A17" t="s">
        <v>1620</v>
      </c>
      <c r="B17" t="s">
        <v>622</v>
      </c>
    </row>
    <row r="18" spans="1:2">
      <c r="A18" t="s">
        <v>1619</v>
      </c>
      <c r="B18" t="s">
        <v>622</v>
      </c>
    </row>
    <row r="19" spans="1:2">
      <c r="A19" t="s">
        <v>1635</v>
      </c>
      <c r="B19" t="s">
        <v>110</v>
      </c>
    </row>
    <row r="20" spans="1:2">
      <c r="A20" t="s">
        <v>1636</v>
      </c>
      <c r="B20" t="s">
        <v>109</v>
      </c>
    </row>
    <row r="21" spans="1:2">
      <c r="A21" t="s">
        <v>1637</v>
      </c>
      <c r="B21" t="s">
        <v>622</v>
      </c>
    </row>
    <row r="22" spans="1:2">
      <c r="A22" t="s">
        <v>1638</v>
      </c>
      <c r="B22" t="s">
        <v>623</v>
      </c>
    </row>
    <row r="23" spans="1:2">
      <c r="A23" t="s">
        <v>1639</v>
      </c>
      <c r="B23" t="s">
        <v>622</v>
      </c>
    </row>
    <row r="24" spans="1:2">
      <c r="A24" t="s">
        <v>1640</v>
      </c>
      <c r="B24" t="s">
        <v>110</v>
      </c>
    </row>
    <row r="25" spans="1:2">
      <c r="A25" t="s">
        <v>1641</v>
      </c>
      <c r="B25" t="s">
        <v>622</v>
      </c>
    </row>
    <row r="26" spans="1:2">
      <c r="A26" t="s">
        <v>1642</v>
      </c>
      <c r="B26" t="s">
        <v>622</v>
      </c>
    </row>
    <row r="27" spans="1:2">
      <c r="A27" t="s">
        <v>1643</v>
      </c>
      <c r="B27" t="s">
        <v>622</v>
      </c>
    </row>
    <row r="28" spans="1:2">
      <c r="A28" t="s">
        <v>1644</v>
      </c>
      <c r="B28" t="s">
        <v>623</v>
      </c>
    </row>
    <row r="29" spans="1:2">
      <c r="A29" t="s">
        <v>1645</v>
      </c>
      <c r="B29" t="s">
        <v>109</v>
      </c>
    </row>
    <row r="30" spans="1:2">
      <c r="A30" t="s">
        <v>1646</v>
      </c>
      <c r="B30" t="s">
        <v>623</v>
      </c>
    </row>
    <row r="31" spans="1:2">
      <c r="A31" t="s">
        <v>1647</v>
      </c>
      <c r="B31" t="s">
        <v>623</v>
      </c>
    </row>
    <row r="32" spans="1:2">
      <c r="A32" t="s">
        <v>1648</v>
      </c>
      <c r="B32" t="s">
        <v>622</v>
      </c>
    </row>
    <row r="33" spans="1:2">
      <c r="A33" t="s">
        <v>1649</v>
      </c>
      <c r="B33" t="s">
        <v>622</v>
      </c>
    </row>
    <row r="34" spans="1:2">
      <c r="A34" t="s">
        <v>1650</v>
      </c>
      <c r="B34" t="s">
        <v>622</v>
      </c>
    </row>
    <row r="35" spans="1:2">
      <c r="A35" t="s">
        <v>1688</v>
      </c>
      <c r="B35" t="s">
        <v>111</v>
      </c>
    </row>
    <row r="36" spans="1:2">
      <c r="A36" t="s">
        <v>1687</v>
      </c>
      <c r="B36" t="s">
        <v>111</v>
      </c>
    </row>
    <row r="37" spans="1:2">
      <c r="A37" t="s">
        <v>1651</v>
      </c>
      <c r="B37" t="s">
        <v>110</v>
      </c>
    </row>
    <row r="38" spans="1:2">
      <c r="A38" t="s">
        <v>1652</v>
      </c>
      <c r="B38" t="s">
        <v>109</v>
      </c>
    </row>
    <row r="39" spans="1:2">
      <c r="A39" t="s">
        <v>1618</v>
      </c>
      <c r="B39" t="s">
        <v>110</v>
      </c>
    </row>
    <row r="40" spans="1:2">
      <c r="A40" t="s">
        <v>1653</v>
      </c>
      <c r="B40" t="s">
        <v>109</v>
      </c>
    </row>
    <row r="41" spans="1:2">
      <c r="A41" t="s">
        <v>1654</v>
      </c>
      <c r="B41" t="s">
        <v>109</v>
      </c>
    </row>
    <row r="42" spans="1:2">
      <c r="A42" t="s">
        <v>1655</v>
      </c>
      <c r="B42" t="s">
        <v>622</v>
      </c>
    </row>
    <row r="43" spans="1:2">
      <c r="A43" t="s">
        <v>1656</v>
      </c>
      <c r="B43" t="s">
        <v>622</v>
      </c>
    </row>
    <row r="44" spans="1:2">
      <c r="A44" t="s">
        <v>1657</v>
      </c>
      <c r="B44" t="s">
        <v>111</v>
      </c>
    </row>
    <row r="45" spans="1:2">
      <c r="A45" t="s">
        <v>1658</v>
      </c>
      <c r="B45" t="s">
        <v>623</v>
      </c>
    </row>
    <row r="46" spans="1:2">
      <c r="A46" t="s">
        <v>1659</v>
      </c>
      <c r="B46" t="s">
        <v>623</v>
      </c>
    </row>
    <row r="47" spans="1:2">
      <c r="A47" t="s">
        <v>1660</v>
      </c>
      <c r="B47" t="s">
        <v>623</v>
      </c>
    </row>
    <row r="48" spans="1:2">
      <c r="A48" t="s">
        <v>1661</v>
      </c>
      <c r="B48" t="s">
        <v>623</v>
      </c>
    </row>
    <row r="49" spans="1:2">
      <c r="A49" t="s">
        <v>1662</v>
      </c>
      <c r="B49" t="s">
        <v>110</v>
      </c>
    </row>
    <row r="50" spans="1:2">
      <c r="A50" t="s">
        <v>1663</v>
      </c>
      <c r="B50" t="s">
        <v>623</v>
      </c>
    </row>
    <row r="51" spans="1:2">
      <c r="A51" t="s">
        <v>1664</v>
      </c>
      <c r="B51" t="s">
        <v>623</v>
      </c>
    </row>
    <row r="52" spans="1:2">
      <c r="A52" t="s">
        <v>1665</v>
      </c>
      <c r="B52" t="s">
        <v>623</v>
      </c>
    </row>
    <row r="53" spans="1:2">
      <c r="A53" t="s">
        <v>1931</v>
      </c>
      <c r="B53" t="s">
        <v>623</v>
      </c>
    </row>
    <row r="54" spans="1:2">
      <c r="A54" t="s">
        <v>1666</v>
      </c>
      <c r="B54" t="s">
        <v>621</v>
      </c>
    </row>
    <row r="55" spans="1:2">
      <c r="A55" t="s">
        <v>1667</v>
      </c>
      <c r="B55" t="s">
        <v>622</v>
      </c>
    </row>
    <row r="56" spans="1:2">
      <c r="A56" t="s">
        <v>1668</v>
      </c>
      <c r="B56" t="s">
        <v>622</v>
      </c>
    </row>
    <row r="57" spans="1:2">
      <c r="A57" t="s">
        <v>1669</v>
      </c>
      <c r="B57" t="s">
        <v>110</v>
      </c>
    </row>
    <row r="58" spans="1:2">
      <c r="A58" t="s">
        <v>1670</v>
      </c>
      <c r="B58" t="s">
        <v>109</v>
      </c>
    </row>
    <row r="59" spans="1:2">
      <c r="A59" t="s">
        <v>1671</v>
      </c>
      <c r="B59" t="s">
        <v>622</v>
      </c>
    </row>
    <row r="60" spans="1:2">
      <c r="A60" t="s">
        <v>1672</v>
      </c>
      <c r="B60" t="s">
        <v>623</v>
      </c>
    </row>
    <row r="61" spans="1:2">
      <c r="A61" t="s">
        <v>1673</v>
      </c>
      <c r="B61" t="s">
        <v>622</v>
      </c>
    </row>
    <row r="62" spans="1:2">
      <c r="A62" t="s">
        <v>1674</v>
      </c>
      <c r="B62" t="s">
        <v>110</v>
      </c>
    </row>
    <row r="63" spans="1:2">
      <c r="A63" t="s">
        <v>1675</v>
      </c>
      <c r="B63" t="s">
        <v>622</v>
      </c>
    </row>
    <row r="64" spans="1:2">
      <c r="A64" t="s">
        <v>1676</v>
      </c>
      <c r="B64" t="s">
        <v>622</v>
      </c>
    </row>
    <row r="65" spans="1:2">
      <c r="A65" t="s">
        <v>1677</v>
      </c>
      <c r="B65" t="s">
        <v>622</v>
      </c>
    </row>
    <row r="66" spans="1:2">
      <c r="A66" t="s">
        <v>1678</v>
      </c>
      <c r="B66" t="s">
        <v>623</v>
      </c>
    </row>
    <row r="67" spans="1:2">
      <c r="A67" t="s">
        <v>1679</v>
      </c>
      <c r="B67" t="s">
        <v>109</v>
      </c>
    </row>
    <row r="68" spans="1:2">
      <c r="A68" t="s">
        <v>1680</v>
      </c>
      <c r="B68" t="s">
        <v>623</v>
      </c>
    </row>
    <row r="69" spans="1:2">
      <c r="A69" t="s">
        <v>1681</v>
      </c>
      <c r="B69" t="s">
        <v>623</v>
      </c>
    </row>
    <row r="70" spans="1:2">
      <c r="A70" t="s">
        <v>1682</v>
      </c>
      <c r="B70" t="s">
        <v>622</v>
      </c>
    </row>
    <row r="71" spans="1:2">
      <c r="A71" t="s">
        <v>1683</v>
      </c>
      <c r="B71" t="s">
        <v>622</v>
      </c>
    </row>
    <row r="72" spans="1:2">
      <c r="A72" t="s">
        <v>1684</v>
      </c>
      <c r="B72" t="s">
        <v>622</v>
      </c>
    </row>
    <row r="73" spans="1:2">
      <c r="A73" t="s">
        <v>1685</v>
      </c>
      <c r="B73" t="s">
        <v>110</v>
      </c>
    </row>
    <row r="74" spans="1:2">
      <c r="A74" t="s">
        <v>1686</v>
      </c>
      <c r="B74" t="s">
        <v>109</v>
      </c>
    </row>
    <row r="75" spans="1:2">
      <c r="A75" t="s">
        <v>1962</v>
      </c>
      <c r="B75" t="s">
        <v>623</v>
      </c>
    </row>
    <row r="76" spans="1:2">
      <c r="A76" t="s">
        <v>1961</v>
      </c>
      <c r="B76" t="s">
        <v>623</v>
      </c>
    </row>
    <row r="77" spans="1:2">
      <c r="A77" t="s">
        <v>1963</v>
      </c>
      <c r="B77" t="s">
        <v>623</v>
      </c>
    </row>
    <row r="78" spans="1:2">
      <c r="A78" t="s">
        <v>1964</v>
      </c>
      <c r="B78" t="s">
        <v>623</v>
      </c>
    </row>
    <row r="79" spans="1:2">
      <c r="A79" t="s">
        <v>1966</v>
      </c>
      <c r="B79" t="s">
        <v>110</v>
      </c>
    </row>
    <row r="80" spans="1:2">
      <c r="A80" t="s">
        <v>1967</v>
      </c>
      <c r="B80" t="s">
        <v>110</v>
      </c>
    </row>
    <row r="81" spans="1:2">
      <c r="A81" t="s">
        <v>1968</v>
      </c>
      <c r="B81" t="s">
        <v>109</v>
      </c>
    </row>
    <row r="82" spans="1:2">
      <c r="A82" t="s">
        <v>1969</v>
      </c>
      <c r="B82" t="s">
        <v>109</v>
      </c>
    </row>
    <row r="83" spans="1:2">
      <c r="A83" t="s">
        <v>1960</v>
      </c>
      <c r="B83" t="s">
        <v>622</v>
      </c>
    </row>
    <row r="84" spans="1:2">
      <c r="A84" t="s">
        <v>1970</v>
      </c>
      <c r="B84" t="s">
        <v>622</v>
      </c>
    </row>
    <row r="85" spans="1:2">
      <c r="A85" t="s">
        <v>1992</v>
      </c>
      <c r="B85" t="s">
        <v>622</v>
      </c>
    </row>
    <row r="86" spans="1:2">
      <c r="A86" t="s">
        <v>1993</v>
      </c>
      <c r="B86" t="s">
        <v>622</v>
      </c>
    </row>
    <row r="87" spans="1:2">
      <c r="A87" t="s">
        <v>2001</v>
      </c>
      <c r="B87" t="s">
        <v>623</v>
      </c>
    </row>
    <row r="88" spans="1:2">
      <c r="A88" t="s">
        <v>2002</v>
      </c>
      <c r="B88" t="s">
        <v>623</v>
      </c>
    </row>
    <row r="89" spans="1:2">
      <c r="A89" t="s">
        <v>2004</v>
      </c>
      <c r="B89" t="s">
        <v>110</v>
      </c>
    </row>
    <row r="90" spans="1:2">
      <c r="A90" t="s">
        <v>2003</v>
      </c>
      <c r="B90" t="s">
        <v>110</v>
      </c>
    </row>
    <row r="91" spans="1:2">
      <c r="A91" t="s">
        <v>2056</v>
      </c>
      <c r="B91" t="s">
        <v>622</v>
      </c>
    </row>
    <row r="92" spans="1:2">
      <c r="A92" t="s">
        <v>2057</v>
      </c>
      <c r="B92" t="s">
        <v>622</v>
      </c>
    </row>
    <row r="93" spans="1:2">
      <c r="A93" t="s">
        <v>2060</v>
      </c>
      <c r="B93" t="s">
        <v>623</v>
      </c>
    </row>
    <row r="94" spans="1:2">
      <c r="A94" t="s">
        <v>2061</v>
      </c>
      <c r="B94" t="s">
        <v>623</v>
      </c>
    </row>
    <row r="95" spans="1:2">
      <c r="A95" t="s">
        <v>2062</v>
      </c>
      <c r="B95" t="s">
        <v>110</v>
      </c>
    </row>
    <row r="96" spans="1:2">
      <c r="A96" t="s">
        <v>2063</v>
      </c>
      <c r="B96" t="s">
        <v>110</v>
      </c>
    </row>
    <row r="97" spans="1:2">
      <c r="A97" t="s">
        <v>2064</v>
      </c>
      <c r="B97" t="s">
        <v>109</v>
      </c>
    </row>
    <row r="98" spans="1:2">
      <c r="A98" t="s">
        <v>2065</v>
      </c>
      <c r="B98" t="s">
        <v>109</v>
      </c>
    </row>
    <row r="101" spans="1:2">
      <c r="A101" t="s">
        <v>1965</v>
      </c>
    </row>
  </sheetData>
  <pageMargins left="0.7" right="0.7" top="0.75" bottom="0.75" header="0.3" footer="0.3"/>
  <pageSetup orientation="portrait" r:id="rId1"/>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
  <dimension ref="B1:Q78"/>
  <sheetViews>
    <sheetView workbookViewId="0">
      <selection activeCell="A47" sqref="A47"/>
    </sheetView>
  </sheetViews>
  <sheetFormatPr defaultColWidth="11.42578125" defaultRowHeight="15"/>
  <cols>
    <col min="1" max="1" width="11.42578125" style="57"/>
    <col min="2" max="2" width="77.42578125" style="57" bestFit="1" customWidth="1"/>
    <col min="3" max="3" width="17.5703125" style="57" bestFit="1" customWidth="1"/>
    <col min="4" max="4" width="20.28515625" style="57" bestFit="1" customWidth="1"/>
    <col min="5" max="5" width="22.28515625" style="57" bestFit="1" customWidth="1"/>
    <col min="6" max="6" width="22.7109375" style="57" bestFit="1" customWidth="1"/>
    <col min="7" max="7" width="30.28515625" style="57" bestFit="1" customWidth="1"/>
    <col min="8" max="9" width="24.7109375" style="57" bestFit="1" customWidth="1"/>
    <col min="10" max="10" width="26.28515625" style="57" bestFit="1" customWidth="1"/>
    <col min="11" max="11" width="29" style="57" customWidth="1"/>
    <col min="12" max="12" width="19.42578125" style="57" customWidth="1"/>
    <col min="13" max="13" width="15.28515625" style="57" customWidth="1"/>
    <col min="14" max="15" width="17.42578125" style="57" customWidth="1"/>
    <col min="16" max="16384" width="11.42578125" style="57"/>
  </cols>
  <sheetData>
    <row r="1" spans="2:16" ht="15.75" thickBot="1"/>
    <row r="2" spans="2:16" ht="27" thickBot="1">
      <c r="B2" s="691" t="s">
        <v>771</v>
      </c>
      <c r="C2" s="692"/>
      <c r="D2" s="692"/>
      <c r="E2" s="692"/>
      <c r="F2" s="692"/>
      <c r="G2" s="692"/>
      <c r="H2" s="692"/>
      <c r="I2" s="692"/>
      <c r="J2" s="692"/>
      <c r="K2" s="692"/>
      <c r="L2" s="692"/>
      <c r="M2" s="692"/>
      <c r="N2" s="692"/>
      <c r="O2" s="692"/>
      <c r="P2" s="693"/>
    </row>
    <row r="3" spans="2:16">
      <c r="B3" s="85"/>
      <c r="C3" s="84"/>
      <c r="D3" s="84"/>
      <c r="E3" s="84"/>
      <c r="F3" s="84"/>
      <c r="G3" s="84"/>
      <c r="H3" s="84"/>
      <c r="I3" s="84"/>
      <c r="J3" s="84"/>
      <c r="K3" s="84"/>
      <c r="L3" s="84"/>
      <c r="M3" s="84"/>
      <c r="N3" s="84"/>
      <c r="O3" s="84"/>
      <c r="P3" s="83"/>
    </row>
    <row r="4" spans="2:16">
      <c r="B4" s="131" t="s">
        <v>770</v>
      </c>
      <c r="C4" s="130" t="s">
        <v>618</v>
      </c>
      <c r="D4" s="130"/>
      <c r="E4" s="130" t="s">
        <v>677</v>
      </c>
      <c r="F4" s="130" t="s">
        <v>678</v>
      </c>
      <c r="G4" s="68"/>
      <c r="H4" s="68"/>
      <c r="I4" s="68"/>
      <c r="J4" s="68"/>
      <c r="K4" s="68"/>
      <c r="L4" s="68"/>
      <c r="M4" s="68"/>
      <c r="N4" s="68"/>
      <c r="O4" s="68"/>
      <c r="P4" s="102"/>
    </row>
    <row r="5" spans="2:16">
      <c r="B5" s="69"/>
      <c r="C5" s="68">
        <v>1920</v>
      </c>
      <c r="D5" s="68"/>
      <c r="E5" s="68">
        <v>1080</v>
      </c>
      <c r="F5" s="68">
        <v>30</v>
      </c>
      <c r="G5" s="68"/>
      <c r="H5" s="68"/>
      <c r="I5" s="68"/>
      <c r="J5" s="68"/>
      <c r="K5" s="68"/>
      <c r="L5" s="68"/>
      <c r="M5" s="68"/>
      <c r="N5" s="68"/>
      <c r="O5" s="68"/>
      <c r="P5" s="102"/>
    </row>
    <row r="6" spans="2:16">
      <c r="B6" s="69"/>
      <c r="C6" s="68"/>
      <c r="D6" s="68"/>
      <c r="E6" s="68"/>
      <c r="F6" s="68"/>
      <c r="G6" s="68"/>
      <c r="H6" s="68"/>
      <c r="I6" s="68"/>
      <c r="J6" s="68"/>
      <c r="K6" s="68"/>
      <c r="L6" s="68"/>
      <c r="M6" s="68"/>
      <c r="N6" s="68"/>
      <c r="O6" s="68"/>
      <c r="P6" s="102"/>
    </row>
    <row r="7" spans="2:16">
      <c r="B7" s="131" t="s">
        <v>680</v>
      </c>
      <c r="C7" s="130" t="s">
        <v>769</v>
      </c>
      <c r="D7" s="130"/>
      <c r="E7" s="130" t="s">
        <v>768</v>
      </c>
      <c r="F7" s="68"/>
      <c r="G7" s="68"/>
      <c r="H7" s="68"/>
      <c r="I7" s="68"/>
      <c r="J7" s="68"/>
      <c r="K7" s="68"/>
      <c r="L7" s="68"/>
      <c r="M7" s="68"/>
      <c r="N7" s="68"/>
      <c r="O7" s="68"/>
      <c r="P7" s="102"/>
    </row>
    <row r="8" spans="2:16">
      <c r="B8" s="69" t="s">
        <v>631</v>
      </c>
      <c r="C8" s="68">
        <v>1</v>
      </c>
      <c r="D8" s="68"/>
      <c r="E8" s="68">
        <v>0</v>
      </c>
      <c r="F8" s="68"/>
      <c r="G8" s="68"/>
      <c r="H8" s="68"/>
      <c r="I8" s="68"/>
      <c r="J8" s="68"/>
      <c r="K8" s="68"/>
      <c r="L8" s="68"/>
      <c r="M8" s="68"/>
      <c r="N8" s="68"/>
      <c r="O8" s="68"/>
      <c r="P8" s="102"/>
    </row>
    <row r="9" spans="2:16">
      <c r="B9" s="69" t="s">
        <v>634</v>
      </c>
      <c r="C9" s="68">
        <v>2</v>
      </c>
      <c r="D9" s="68"/>
      <c r="E9" s="68">
        <v>1</v>
      </c>
      <c r="F9" s="68"/>
      <c r="G9" s="68"/>
      <c r="H9" s="68"/>
      <c r="I9" s="68"/>
      <c r="J9" s="68"/>
      <c r="K9" s="68"/>
      <c r="L9" s="68"/>
      <c r="M9" s="68"/>
      <c r="N9" s="68"/>
      <c r="O9" s="68"/>
      <c r="P9" s="102"/>
    </row>
    <row r="10" spans="2:16">
      <c r="B10" s="69" t="s">
        <v>633</v>
      </c>
      <c r="C10" s="68">
        <v>3</v>
      </c>
      <c r="D10" s="68"/>
      <c r="E10" s="68">
        <v>2</v>
      </c>
      <c r="F10" s="68"/>
      <c r="G10" s="68"/>
      <c r="H10" s="68"/>
      <c r="I10" s="68"/>
      <c r="J10" s="68"/>
      <c r="K10" s="68"/>
      <c r="L10" s="68"/>
      <c r="M10" s="68"/>
      <c r="N10" s="68"/>
      <c r="O10" s="68"/>
      <c r="P10" s="102"/>
    </row>
    <row r="11" spans="2:16">
      <c r="B11" s="69"/>
      <c r="C11" s="68"/>
      <c r="D11" s="68"/>
      <c r="E11" s="68"/>
      <c r="F11" s="68"/>
      <c r="G11" s="68"/>
      <c r="H11" s="68"/>
      <c r="I11" s="68"/>
      <c r="J11" s="68"/>
      <c r="K11" s="68"/>
      <c r="L11" s="68"/>
      <c r="M11" s="68"/>
      <c r="N11" s="68"/>
      <c r="O11" s="68"/>
      <c r="P11" s="102"/>
    </row>
    <row r="12" spans="2:16">
      <c r="B12" s="69"/>
      <c r="C12" s="68"/>
      <c r="D12" s="68"/>
      <c r="E12" s="68"/>
      <c r="F12" s="68"/>
      <c r="G12" s="68"/>
      <c r="H12" s="68"/>
      <c r="I12" s="68"/>
      <c r="J12" s="68"/>
      <c r="K12" s="68"/>
      <c r="L12" s="68"/>
      <c r="M12" s="68"/>
      <c r="N12" s="68"/>
      <c r="O12" s="68"/>
      <c r="P12" s="102"/>
    </row>
    <row r="13" spans="2:16">
      <c r="B13" s="131" t="s">
        <v>767</v>
      </c>
      <c r="C13" s="130" t="s">
        <v>766</v>
      </c>
      <c r="D13" s="130"/>
      <c r="E13" s="130" t="s">
        <v>755</v>
      </c>
      <c r="F13" s="130" t="s">
        <v>754</v>
      </c>
      <c r="G13" s="130" t="s">
        <v>765</v>
      </c>
      <c r="H13" s="130" t="s">
        <v>764</v>
      </c>
      <c r="I13" s="130"/>
      <c r="J13" s="130" t="s">
        <v>763</v>
      </c>
      <c r="K13" s="68"/>
      <c r="L13" s="68"/>
      <c r="M13" s="68"/>
      <c r="N13" s="68"/>
      <c r="O13" s="68"/>
      <c r="P13" s="102"/>
    </row>
    <row r="14" spans="2:16">
      <c r="B14" s="69" t="s">
        <v>762</v>
      </c>
      <c r="C14" s="68">
        <v>500000</v>
      </c>
      <c r="D14" s="68"/>
      <c r="E14" s="68">
        <v>125</v>
      </c>
      <c r="F14" s="68">
        <v>125</v>
      </c>
      <c r="G14" s="68">
        <v>400</v>
      </c>
      <c r="H14" s="68">
        <v>0.5</v>
      </c>
      <c r="I14" s="68"/>
      <c r="J14" s="68">
        <v>0.25</v>
      </c>
      <c r="K14" s="68"/>
      <c r="L14" s="68"/>
      <c r="M14" s="68"/>
      <c r="N14" s="68"/>
      <c r="O14" s="68"/>
      <c r="P14" s="102"/>
    </row>
    <row r="15" spans="2:16">
      <c r="B15" s="69" t="s">
        <v>632</v>
      </c>
      <c r="C15" s="68">
        <v>300000</v>
      </c>
      <c r="D15" s="68"/>
      <c r="E15" s="68">
        <v>125</v>
      </c>
      <c r="F15" s="68">
        <v>125</v>
      </c>
      <c r="G15" s="68">
        <v>200</v>
      </c>
      <c r="H15" s="68">
        <v>0.5</v>
      </c>
      <c r="I15" s="68"/>
      <c r="J15" s="68">
        <v>0.25</v>
      </c>
      <c r="K15" s="68"/>
      <c r="L15" s="68"/>
      <c r="M15" s="68"/>
      <c r="N15" s="68"/>
      <c r="O15" s="68"/>
      <c r="P15" s="102"/>
    </row>
    <row r="16" spans="2:16">
      <c r="B16" s="69" t="s">
        <v>761</v>
      </c>
      <c r="C16" s="68">
        <v>190000</v>
      </c>
      <c r="D16" s="68"/>
      <c r="E16" s="68">
        <v>125</v>
      </c>
      <c r="F16" s="68">
        <v>125</v>
      </c>
      <c r="G16" s="68">
        <v>100</v>
      </c>
      <c r="H16" s="68">
        <v>0.5</v>
      </c>
      <c r="I16" s="68"/>
      <c r="J16" s="68">
        <v>0.25</v>
      </c>
      <c r="K16" s="68"/>
      <c r="L16" s="68"/>
      <c r="M16" s="68"/>
      <c r="N16" s="68"/>
      <c r="O16" s="68"/>
      <c r="P16" s="102"/>
    </row>
    <row r="17" spans="2:16">
      <c r="B17" s="69"/>
      <c r="C17" s="68"/>
      <c r="D17" s="68"/>
      <c r="E17" s="68"/>
      <c r="F17" s="68"/>
      <c r="G17" s="68"/>
      <c r="H17" s="68"/>
      <c r="I17" s="68"/>
      <c r="J17" s="68"/>
      <c r="K17" s="68"/>
      <c r="L17" s="68"/>
      <c r="M17" s="68"/>
      <c r="N17" s="68"/>
      <c r="O17" s="68"/>
      <c r="P17" s="102"/>
    </row>
    <row r="18" spans="2:16">
      <c r="B18" s="69"/>
      <c r="C18" s="68"/>
      <c r="D18" s="68"/>
      <c r="E18" s="68"/>
      <c r="F18" s="68"/>
      <c r="G18" s="68"/>
      <c r="H18" s="68"/>
      <c r="I18" s="68"/>
      <c r="J18" s="68"/>
      <c r="K18" s="68"/>
      <c r="L18" s="68" t="s">
        <v>760</v>
      </c>
      <c r="M18" s="68"/>
      <c r="N18" s="68"/>
      <c r="O18" s="68"/>
      <c r="P18" s="102"/>
    </row>
    <row r="19" spans="2:16">
      <c r="B19" s="69"/>
      <c r="C19" s="68"/>
      <c r="D19" s="68"/>
      <c r="E19" s="68"/>
      <c r="F19" s="68"/>
      <c r="G19" s="68"/>
      <c r="H19" s="68"/>
      <c r="I19" s="68"/>
      <c r="J19" s="68"/>
      <c r="K19" s="68" t="s">
        <v>759</v>
      </c>
      <c r="L19" s="68" t="s">
        <v>758</v>
      </c>
      <c r="M19" s="68" t="s">
        <v>757</v>
      </c>
      <c r="N19" s="68"/>
      <c r="O19" s="68"/>
      <c r="P19" s="102"/>
    </row>
    <row r="20" spans="2:16">
      <c r="B20" s="131" t="s">
        <v>756</v>
      </c>
      <c r="C20" s="130"/>
      <c r="D20" s="130"/>
      <c r="E20" s="130" t="s">
        <v>755</v>
      </c>
      <c r="F20" s="130" t="s">
        <v>754</v>
      </c>
      <c r="G20" s="130" t="s">
        <v>753</v>
      </c>
      <c r="H20" s="68"/>
      <c r="I20" s="68"/>
      <c r="J20" s="68"/>
      <c r="K20" s="68" t="s">
        <v>752</v>
      </c>
      <c r="L20" s="68"/>
      <c r="M20" s="68">
        <v>46000</v>
      </c>
      <c r="N20" s="68"/>
      <c r="O20" s="68"/>
      <c r="P20" s="102"/>
    </row>
    <row r="21" spans="2:16">
      <c r="B21" s="69" t="s">
        <v>581</v>
      </c>
      <c r="C21" s="68"/>
      <c r="D21" s="68"/>
      <c r="E21" s="68">
        <v>0</v>
      </c>
      <c r="F21" s="68">
        <v>0</v>
      </c>
      <c r="G21" s="68">
        <v>1</v>
      </c>
      <c r="H21" s="68"/>
      <c r="I21" s="68"/>
      <c r="J21" s="68"/>
      <c r="K21" s="68" t="s">
        <v>751</v>
      </c>
      <c r="L21" s="68">
        <v>0</v>
      </c>
      <c r="M21" s="68"/>
      <c r="N21" s="68"/>
      <c r="O21" s="68"/>
      <c r="P21" s="102"/>
    </row>
    <row r="22" spans="2:16">
      <c r="B22" s="69" t="s">
        <v>750</v>
      </c>
      <c r="C22" s="68"/>
      <c r="D22" s="68"/>
      <c r="E22" s="68">
        <v>2000</v>
      </c>
      <c r="F22" s="68">
        <v>579</v>
      </c>
      <c r="G22" s="68">
        <v>1.4</v>
      </c>
      <c r="H22" s="68"/>
      <c r="I22" s="68"/>
      <c r="J22" s="68"/>
      <c r="K22" s="68" t="s">
        <v>749</v>
      </c>
      <c r="L22" s="68"/>
      <c r="M22" s="68"/>
      <c r="N22" s="68"/>
      <c r="O22" s="68"/>
      <c r="P22" s="102"/>
    </row>
    <row r="23" spans="2:16">
      <c r="B23" s="69" t="s">
        <v>625</v>
      </c>
      <c r="C23" s="68"/>
      <c r="D23" s="68"/>
      <c r="E23" s="68">
        <v>10000</v>
      </c>
      <c r="F23" s="68">
        <v>2500</v>
      </c>
      <c r="G23" s="68">
        <v>2</v>
      </c>
      <c r="H23" s="68"/>
      <c r="I23" s="68"/>
      <c r="J23" s="68"/>
      <c r="K23" s="68"/>
      <c r="L23" s="68"/>
      <c r="M23" s="68"/>
      <c r="N23" s="68"/>
      <c r="O23" s="68"/>
      <c r="P23" s="102"/>
    </row>
    <row r="24" spans="2:16">
      <c r="B24" s="69" t="s">
        <v>717</v>
      </c>
      <c r="C24" s="68"/>
      <c r="D24" s="68"/>
      <c r="E24" s="68">
        <v>15780</v>
      </c>
      <c r="F24" s="68">
        <v>3964</v>
      </c>
      <c r="G24" s="70">
        <v>2</v>
      </c>
      <c r="H24" s="68"/>
      <c r="I24" s="68"/>
      <c r="J24" s="68"/>
      <c r="K24" s="68"/>
      <c r="L24" s="68"/>
      <c r="M24" s="68"/>
      <c r="N24" s="68"/>
      <c r="O24" s="68"/>
      <c r="P24" s="102"/>
    </row>
    <row r="25" spans="2:16">
      <c r="B25" s="69" t="s">
        <v>716</v>
      </c>
      <c r="C25" s="68"/>
      <c r="D25" s="68"/>
      <c r="E25" s="68">
        <v>34839</v>
      </c>
      <c r="F25" s="68">
        <v>11264</v>
      </c>
      <c r="G25" s="70">
        <v>2</v>
      </c>
      <c r="H25" s="68"/>
      <c r="I25" s="68"/>
      <c r="J25" s="68"/>
      <c r="K25" s="68"/>
      <c r="L25" s="68"/>
      <c r="M25" s="68"/>
      <c r="N25" s="68"/>
      <c r="O25" s="68"/>
      <c r="P25" s="102"/>
    </row>
    <row r="26" spans="2:16">
      <c r="B26" s="69"/>
      <c r="C26" s="68"/>
      <c r="D26" s="68"/>
      <c r="E26" s="68"/>
      <c r="F26" s="68"/>
      <c r="G26" s="68"/>
      <c r="H26" s="68"/>
      <c r="I26" s="68"/>
      <c r="J26" s="68"/>
      <c r="K26" s="68"/>
      <c r="L26" s="68"/>
      <c r="M26" s="68"/>
      <c r="N26" s="68"/>
      <c r="O26" s="68"/>
      <c r="P26" s="102"/>
    </row>
    <row r="27" spans="2:16">
      <c r="B27" s="69"/>
      <c r="C27" s="68"/>
      <c r="D27" s="68"/>
      <c r="E27" s="68"/>
      <c r="F27" s="68"/>
      <c r="G27" s="68"/>
      <c r="H27" s="68"/>
      <c r="I27" s="68"/>
      <c r="J27" s="68"/>
      <c r="K27" s="68"/>
      <c r="L27" s="68"/>
      <c r="M27" s="68"/>
      <c r="N27" s="68"/>
      <c r="O27" s="68"/>
      <c r="P27" s="102"/>
    </row>
    <row r="28" spans="2:16">
      <c r="B28" s="129"/>
      <c r="C28" s="694" t="s">
        <v>748</v>
      </c>
      <c r="D28" s="695"/>
      <c r="E28" s="696"/>
      <c r="F28" s="694" t="s">
        <v>747</v>
      </c>
      <c r="G28" s="696"/>
      <c r="H28" s="128" t="s">
        <v>746</v>
      </c>
      <c r="K28" s="68"/>
      <c r="L28" s="68"/>
      <c r="M28" s="68"/>
      <c r="N28" s="68"/>
      <c r="O28" s="68"/>
      <c r="P28" s="102"/>
    </row>
    <row r="29" spans="2:16">
      <c r="B29" s="127" t="s">
        <v>682</v>
      </c>
      <c r="C29" s="125" t="s">
        <v>722</v>
      </c>
      <c r="D29" s="126" t="s">
        <v>721</v>
      </c>
      <c r="E29" s="124" t="s">
        <v>720</v>
      </c>
      <c r="F29" s="125" t="s">
        <v>721</v>
      </c>
      <c r="G29" s="124" t="s">
        <v>720</v>
      </c>
      <c r="H29" s="123" t="s">
        <v>745</v>
      </c>
      <c r="K29" s="68"/>
      <c r="L29" s="68"/>
      <c r="M29" s="68"/>
      <c r="N29" s="68"/>
      <c r="O29" s="68"/>
      <c r="P29" s="102"/>
    </row>
    <row r="30" spans="2:16">
      <c r="B30" s="122" t="s">
        <v>594</v>
      </c>
      <c r="C30" s="121">
        <v>1.5988204969584494</v>
      </c>
      <c r="D30" s="68">
        <v>5.1630468995908085</v>
      </c>
      <c r="E30" s="120">
        <v>3.5742971887550201</v>
      </c>
      <c r="F30" s="121">
        <v>1.3944673588394254</v>
      </c>
      <c r="G30" s="120">
        <v>1.737587793654638</v>
      </c>
      <c r="H30" s="119">
        <v>20</v>
      </c>
      <c r="K30" s="68"/>
      <c r="L30" s="68"/>
      <c r="M30" s="68"/>
      <c r="N30" s="68"/>
      <c r="O30" s="68"/>
      <c r="P30" s="102"/>
    </row>
    <row r="31" spans="2:16">
      <c r="B31" s="122" t="s">
        <v>592</v>
      </c>
      <c r="C31" s="121">
        <v>1.2645685840244836</v>
      </c>
      <c r="D31" s="68">
        <v>1.8174512055109071</v>
      </c>
      <c r="E31" s="120">
        <v>1.5149892933618843</v>
      </c>
      <c r="F31" s="121">
        <v>1.2123663681017047</v>
      </c>
      <c r="G31" s="120">
        <v>1.249793996468511</v>
      </c>
      <c r="H31" s="119">
        <v>6</v>
      </c>
      <c r="K31" s="68"/>
      <c r="L31" s="68"/>
      <c r="M31" s="68"/>
      <c r="N31" s="68"/>
      <c r="O31" s="68"/>
      <c r="P31" s="102"/>
    </row>
    <row r="32" spans="2:16">
      <c r="B32" s="122" t="s">
        <v>25</v>
      </c>
      <c r="C32" s="121">
        <v>1</v>
      </c>
      <c r="D32" s="68">
        <v>1</v>
      </c>
      <c r="E32" s="120">
        <v>1</v>
      </c>
      <c r="F32" s="121">
        <v>1</v>
      </c>
      <c r="G32" s="120">
        <v>1</v>
      </c>
      <c r="H32" s="119">
        <v>1</v>
      </c>
      <c r="K32" s="68"/>
      <c r="L32" s="68"/>
      <c r="M32" s="68"/>
      <c r="N32" s="68"/>
      <c r="O32" s="68"/>
      <c r="P32" s="102"/>
    </row>
    <row r="33" spans="2:16">
      <c r="B33" s="122" t="s">
        <v>591</v>
      </c>
      <c r="C33" s="121">
        <v>0.73749569920865443</v>
      </c>
      <c r="D33" s="68">
        <v>0.60753623188405792</v>
      </c>
      <c r="E33" s="120">
        <v>0.56378600823045266</v>
      </c>
      <c r="F33" s="121">
        <v>0.62814362552696612</v>
      </c>
      <c r="G33" s="120">
        <v>0.50915211445402908</v>
      </c>
      <c r="H33" s="119">
        <v>0.5</v>
      </c>
      <c r="K33" s="68"/>
      <c r="L33" s="68"/>
      <c r="M33" s="68"/>
      <c r="N33" s="68"/>
      <c r="O33" s="68"/>
      <c r="P33" s="102"/>
    </row>
    <row r="34" spans="2:16">
      <c r="B34" s="118" t="s">
        <v>590</v>
      </c>
      <c r="C34" s="116">
        <v>0.44979014329278288</v>
      </c>
      <c r="D34" s="117">
        <v>0.33615669666490205</v>
      </c>
      <c r="E34" s="115">
        <v>0.36406995230524641</v>
      </c>
      <c r="F34" s="116">
        <v>0.40352683166987424</v>
      </c>
      <c r="G34" s="115">
        <v>0.30263660680168131</v>
      </c>
      <c r="H34" s="114">
        <v>0.25</v>
      </c>
      <c r="K34" s="68"/>
      <c r="L34" s="68"/>
      <c r="M34" s="68"/>
      <c r="N34" s="68"/>
      <c r="O34" s="68"/>
      <c r="P34" s="102"/>
    </row>
    <row r="35" spans="2:16">
      <c r="B35" s="69"/>
      <c r="C35" s="68"/>
      <c r="D35" s="68"/>
      <c r="E35" s="68"/>
      <c r="F35" s="68"/>
      <c r="G35" s="68"/>
      <c r="H35" s="68"/>
      <c r="I35" s="68"/>
      <c r="J35" s="68"/>
      <c r="K35" s="68"/>
      <c r="L35" s="68"/>
      <c r="M35" s="68"/>
      <c r="N35" s="68"/>
      <c r="O35" s="68"/>
      <c r="P35" s="102"/>
    </row>
    <row r="36" spans="2:16">
      <c r="B36" s="97" t="s">
        <v>744</v>
      </c>
      <c r="C36" s="113"/>
      <c r="D36" s="113"/>
      <c r="E36" s="68"/>
      <c r="F36" s="68"/>
      <c r="G36" s="68"/>
      <c r="H36" s="68"/>
      <c r="I36" s="68"/>
      <c r="J36" s="68"/>
      <c r="K36" s="68"/>
      <c r="L36" s="68"/>
      <c r="M36" s="68"/>
      <c r="N36" s="68"/>
      <c r="O36" s="68"/>
      <c r="P36" s="102"/>
    </row>
    <row r="37" spans="2:16">
      <c r="B37" s="69" t="s">
        <v>595</v>
      </c>
      <c r="C37" s="70">
        <v>1</v>
      </c>
      <c r="D37" s="70"/>
      <c r="F37" s="68"/>
      <c r="G37" s="68"/>
      <c r="H37" s="68"/>
      <c r="I37" s="68"/>
      <c r="J37" s="68"/>
      <c r="K37" s="68"/>
      <c r="L37" s="68"/>
      <c r="M37" s="68"/>
      <c r="N37" s="68"/>
      <c r="O37" s="68"/>
      <c r="P37" s="102"/>
    </row>
    <row r="38" spans="2:16">
      <c r="B38" s="69" t="s">
        <v>593</v>
      </c>
      <c r="C38" s="70">
        <v>0.75</v>
      </c>
      <c r="D38" s="70"/>
      <c r="F38" s="68"/>
      <c r="G38" s="68"/>
      <c r="H38" s="68"/>
      <c r="I38" s="68"/>
      <c r="J38" s="68"/>
      <c r="K38" s="68"/>
      <c r="L38" s="68"/>
      <c r="M38" s="68"/>
      <c r="N38" s="68"/>
      <c r="O38" s="68"/>
      <c r="P38" s="102"/>
    </row>
    <row r="39" spans="2:16">
      <c r="B39" s="69"/>
      <c r="E39" s="112" t="s">
        <v>743</v>
      </c>
      <c r="F39" s="111" t="s">
        <v>742</v>
      </c>
      <c r="G39" s="68"/>
      <c r="H39" s="68"/>
      <c r="I39" s="68"/>
      <c r="J39" s="68"/>
      <c r="K39" s="68"/>
      <c r="L39" s="68"/>
      <c r="M39" s="68"/>
      <c r="N39" s="68"/>
      <c r="O39" s="68"/>
      <c r="P39" s="102"/>
    </row>
    <row r="40" spans="2:16">
      <c r="B40" s="69"/>
      <c r="E40" s="110" t="s">
        <v>741</v>
      </c>
      <c r="F40" s="109" t="s">
        <v>740</v>
      </c>
      <c r="G40" s="68"/>
      <c r="H40" s="68"/>
      <c r="I40" s="68"/>
      <c r="J40" s="68"/>
      <c r="K40" s="68"/>
      <c r="L40" s="68"/>
      <c r="M40" s="68"/>
      <c r="N40" s="68"/>
      <c r="O40" s="68"/>
      <c r="P40" s="102"/>
    </row>
    <row r="41" spans="2:16">
      <c r="B41" s="69"/>
      <c r="C41" s="106"/>
      <c r="D41" s="106"/>
      <c r="E41" s="108" t="s">
        <v>739</v>
      </c>
      <c r="F41" s="107" t="s">
        <v>738</v>
      </c>
      <c r="G41" s="68"/>
      <c r="H41" s="68"/>
      <c r="I41" s="68"/>
      <c r="J41" s="68"/>
      <c r="K41" s="68"/>
      <c r="L41" s="68"/>
      <c r="M41" s="68"/>
      <c r="N41" s="68"/>
      <c r="O41" s="68"/>
      <c r="P41" s="102"/>
    </row>
    <row r="42" spans="2:16">
      <c r="B42" s="69"/>
      <c r="C42" s="106"/>
      <c r="D42" s="106"/>
      <c r="E42" s="105"/>
      <c r="F42" s="68"/>
      <c r="G42" s="68"/>
      <c r="H42" s="68"/>
      <c r="I42" s="68"/>
      <c r="J42" s="68"/>
      <c r="K42" s="68"/>
      <c r="L42" s="68"/>
      <c r="M42" s="68"/>
      <c r="N42" s="68"/>
      <c r="O42" s="68"/>
      <c r="P42" s="102"/>
    </row>
    <row r="43" spans="2:16">
      <c r="B43" s="97" t="s">
        <v>598</v>
      </c>
      <c r="C43" s="96" t="s">
        <v>737</v>
      </c>
      <c r="D43" s="96" t="s">
        <v>736</v>
      </c>
      <c r="E43" s="96" t="s">
        <v>735</v>
      </c>
      <c r="F43" s="96" t="s">
        <v>637</v>
      </c>
      <c r="G43" s="96" t="s">
        <v>669</v>
      </c>
      <c r="J43" s="76" t="s">
        <v>685</v>
      </c>
      <c r="K43" s="96" t="s">
        <v>589</v>
      </c>
      <c r="L43" s="96" t="s">
        <v>636</v>
      </c>
      <c r="M43" s="96" t="s">
        <v>734</v>
      </c>
      <c r="N43" s="68"/>
      <c r="O43" s="68"/>
      <c r="P43" s="102"/>
    </row>
    <row r="44" spans="2:16">
      <c r="B44" s="104" t="s">
        <v>582</v>
      </c>
      <c r="C44" s="99">
        <v>1.2</v>
      </c>
      <c r="D44" s="99">
        <v>1.4</v>
      </c>
      <c r="E44" s="68">
        <v>1</v>
      </c>
      <c r="F44" s="68">
        <v>32000000</v>
      </c>
      <c r="G44" s="70">
        <v>0</v>
      </c>
      <c r="H44" s="70"/>
      <c r="J44" s="68" t="s">
        <v>627</v>
      </c>
      <c r="K44" s="68">
        <v>2</v>
      </c>
      <c r="L44" s="68" t="str">
        <f>B31</f>
        <v>high qual</v>
      </c>
      <c r="M44" s="68">
        <v>3</v>
      </c>
      <c r="N44" s="68"/>
      <c r="O44" s="68"/>
      <c r="P44" s="102"/>
    </row>
    <row r="45" spans="2:16">
      <c r="B45" s="104" t="s">
        <v>583</v>
      </c>
      <c r="C45" s="99">
        <v>1</v>
      </c>
      <c r="D45" s="99">
        <v>1.1000000000000001</v>
      </c>
      <c r="E45" s="68">
        <v>1</v>
      </c>
      <c r="F45" s="57">
        <v>16000000</v>
      </c>
      <c r="G45" s="57">
        <v>0</v>
      </c>
      <c r="J45" s="68" t="s">
        <v>733</v>
      </c>
      <c r="K45" s="68">
        <v>2</v>
      </c>
      <c r="L45" s="68" t="str">
        <f>B32</f>
        <v>medium</v>
      </c>
      <c r="M45" s="68">
        <v>4</v>
      </c>
      <c r="N45" s="68"/>
      <c r="O45" s="68"/>
      <c r="P45" s="102"/>
    </row>
    <row r="46" spans="2:16">
      <c r="B46" s="69" t="s">
        <v>584</v>
      </c>
      <c r="C46" s="99">
        <v>1</v>
      </c>
      <c r="D46" s="99">
        <v>1.4</v>
      </c>
      <c r="E46" s="68">
        <v>1</v>
      </c>
      <c r="F46" s="68">
        <v>32000000</v>
      </c>
      <c r="G46" s="70">
        <v>0</v>
      </c>
      <c r="H46" s="70"/>
      <c r="J46" s="70" t="s">
        <v>629</v>
      </c>
      <c r="K46" s="68">
        <v>1</v>
      </c>
      <c r="L46" s="103" t="str">
        <f>B32</f>
        <v>medium</v>
      </c>
      <c r="M46" s="103">
        <v>4</v>
      </c>
      <c r="N46" s="68"/>
      <c r="O46" s="68"/>
      <c r="P46" s="102"/>
    </row>
    <row r="47" spans="2:16">
      <c r="B47" s="69" t="s">
        <v>585</v>
      </c>
      <c r="C47" s="99">
        <v>1</v>
      </c>
      <c r="D47" s="98">
        <v>1.2</v>
      </c>
      <c r="E47" s="68">
        <v>2</v>
      </c>
      <c r="F47" s="70">
        <v>2000000</v>
      </c>
      <c r="G47" s="70">
        <v>12000</v>
      </c>
      <c r="H47" s="70"/>
      <c r="J47" s="68" t="s">
        <v>869</v>
      </c>
      <c r="K47" s="68">
        <v>2</v>
      </c>
      <c r="L47" s="68" t="s">
        <v>25</v>
      </c>
      <c r="M47" s="68">
        <v>4</v>
      </c>
      <c r="N47" s="68"/>
      <c r="O47" s="68"/>
      <c r="P47" s="102"/>
    </row>
    <row r="48" spans="2:16">
      <c r="B48" s="69" t="s">
        <v>586</v>
      </c>
      <c r="C48" s="99">
        <v>1.6</v>
      </c>
      <c r="D48" s="98">
        <v>1.6</v>
      </c>
      <c r="E48" s="68">
        <v>0</v>
      </c>
      <c r="F48" s="70">
        <v>12000000</v>
      </c>
      <c r="G48" s="70">
        <v>2200</v>
      </c>
      <c r="H48" s="70"/>
      <c r="J48" s="76" t="s">
        <v>686</v>
      </c>
      <c r="K48" s="101" t="s">
        <v>732</v>
      </c>
      <c r="L48" s="101" t="s">
        <v>731</v>
      </c>
      <c r="M48" s="101" t="s">
        <v>732</v>
      </c>
      <c r="N48" s="101" t="s">
        <v>731</v>
      </c>
      <c r="O48" s="101" t="s">
        <v>732</v>
      </c>
      <c r="P48" s="100" t="s">
        <v>731</v>
      </c>
    </row>
    <row r="49" spans="2:17">
      <c r="B49" s="69" t="s">
        <v>587</v>
      </c>
      <c r="C49" s="99">
        <v>1.6</v>
      </c>
      <c r="D49" s="98">
        <v>1.4</v>
      </c>
      <c r="E49" s="68">
        <v>0</v>
      </c>
      <c r="F49" s="70">
        <v>6000000</v>
      </c>
      <c r="G49" s="70">
        <v>18888</v>
      </c>
      <c r="H49" s="70"/>
      <c r="J49" s="70" t="s">
        <v>581</v>
      </c>
      <c r="K49" s="91" t="str">
        <f>B21</f>
        <v>static</v>
      </c>
      <c r="L49" s="91">
        <v>0.89</v>
      </c>
      <c r="M49" s="91" t="str">
        <f>B22</f>
        <v>standard</v>
      </c>
      <c r="N49" s="91">
        <v>0.1</v>
      </c>
      <c r="O49" s="91" t="s">
        <v>625</v>
      </c>
      <c r="P49" s="90">
        <f>1-L49-N49</f>
        <v>9.9999999999999811E-3</v>
      </c>
    </row>
    <row r="50" spans="2:17">
      <c r="B50" s="69"/>
      <c r="C50" s="68"/>
      <c r="D50" s="70"/>
      <c r="E50" s="68"/>
      <c r="F50" s="68"/>
      <c r="J50" s="70" t="s">
        <v>25</v>
      </c>
      <c r="K50" s="91" t="str">
        <f>B21</f>
        <v>static</v>
      </c>
      <c r="L50" s="91">
        <v>0.54</v>
      </c>
      <c r="M50" s="91" t="str">
        <f>B22</f>
        <v>standard</v>
      </c>
      <c r="N50" s="91">
        <v>0.35</v>
      </c>
      <c r="O50" s="91" t="s">
        <v>717</v>
      </c>
      <c r="P50" s="90">
        <f>1-L50-N50</f>
        <v>0.10999999999999999</v>
      </c>
    </row>
    <row r="51" spans="2:17">
      <c r="B51" s="97" t="s">
        <v>730</v>
      </c>
      <c r="C51" s="96"/>
      <c r="D51" s="96"/>
      <c r="E51" s="95" t="s">
        <v>729</v>
      </c>
      <c r="F51" s="68"/>
      <c r="J51" s="70" t="s">
        <v>625</v>
      </c>
      <c r="K51" s="91" t="str">
        <f>B21</f>
        <v>static</v>
      </c>
      <c r="L51" s="91">
        <v>0.3</v>
      </c>
      <c r="M51" s="91" t="str">
        <f>B23</f>
        <v>busy</v>
      </c>
      <c r="N51" s="91">
        <v>0.55000000000000004</v>
      </c>
      <c r="O51" s="91" t="s">
        <v>717</v>
      </c>
      <c r="P51" s="90">
        <f>1-L51-N51</f>
        <v>0.14999999999999991</v>
      </c>
    </row>
    <row r="52" spans="2:17">
      <c r="B52" s="94" t="s">
        <v>728</v>
      </c>
      <c r="C52" s="93">
        <v>1.6</v>
      </c>
      <c r="D52" s="93"/>
      <c r="E52" s="68">
        <v>0.67807190511263782</v>
      </c>
      <c r="F52" s="68"/>
      <c r="G52" s="57">
        <f>4^E52</f>
        <v>2.5600000000000005</v>
      </c>
      <c r="J52" s="70" t="s">
        <v>727</v>
      </c>
      <c r="K52" s="91" t="str">
        <f>B22</f>
        <v>standard</v>
      </c>
      <c r="L52" s="92">
        <v>0.3</v>
      </c>
      <c r="M52" s="91" t="str">
        <f>B24</f>
        <v>crowd</v>
      </c>
      <c r="N52" s="92">
        <v>0.3</v>
      </c>
      <c r="O52" s="91" t="str">
        <f>B25</f>
        <v>escape</v>
      </c>
      <c r="P52" s="90">
        <f>1-L52-N52</f>
        <v>0.39999999999999997</v>
      </c>
      <c r="Q52" s="57" t="s">
        <v>726</v>
      </c>
    </row>
    <row r="53" spans="2:17">
      <c r="B53" s="94" t="s">
        <v>725</v>
      </c>
      <c r="C53" s="93">
        <v>1.8</v>
      </c>
      <c r="D53" s="93"/>
      <c r="E53" s="68">
        <v>-0.84799690655494997</v>
      </c>
      <c r="F53" s="68"/>
      <c r="G53" s="68"/>
      <c r="H53" s="68"/>
      <c r="I53" s="68"/>
      <c r="J53" s="70"/>
      <c r="K53" s="91"/>
      <c r="L53" s="92"/>
      <c r="M53" s="91"/>
      <c r="N53" s="92"/>
      <c r="O53" s="91"/>
      <c r="P53" s="90"/>
    </row>
    <row r="54" spans="2:17" ht="15.75" thickBot="1">
      <c r="B54" s="89"/>
      <c r="C54" s="88"/>
      <c r="D54" s="88"/>
      <c r="E54" s="88"/>
      <c r="F54" s="88"/>
      <c r="G54" s="88"/>
      <c r="H54" s="88"/>
      <c r="I54" s="88"/>
      <c r="J54" s="88"/>
      <c r="K54" s="88"/>
      <c r="L54" s="88"/>
      <c r="M54" s="88"/>
      <c r="N54" s="88"/>
      <c r="O54" s="88"/>
      <c r="P54" s="87"/>
    </row>
    <row r="57" spans="2:17">
      <c r="E57" s="68"/>
      <c r="F57" s="68" t="s">
        <v>724</v>
      </c>
      <c r="G57" s="68"/>
      <c r="H57" s="68"/>
      <c r="I57" s="68"/>
      <c r="J57" s="68"/>
      <c r="K57" s="68" t="s">
        <v>723</v>
      </c>
      <c r="L57" s="68"/>
      <c r="M57" s="68"/>
      <c r="N57" s="68"/>
      <c r="O57" s="68"/>
    </row>
    <row r="58" spans="2:17">
      <c r="E58" s="68"/>
      <c r="F58" s="68" t="s">
        <v>722</v>
      </c>
      <c r="G58" s="68" t="s">
        <v>721</v>
      </c>
      <c r="H58" s="68" t="s">
        <v>720</v>
      </c>
      <c r="I58" s="68"/>
      <c r="J58" s="68"/>
      <c r="K58" s="68" t="s">
        <v>722</v>
      </c>
      <c r="L58" s="68" t="s">
        <v>721</v>
      </c>
      <c r="M58" s="68" t="s">
        <v>720</v>
      </c>
      <c r="N58" s="68"/>
      <c r="O58" s="68"/>
    </row>
    <row r="59" spans="2:17">
      <c r="E59" s="68" t="s">
        <v>719</v>
      </c>
      <c r="F59" s="68">
        <v>296927</v>
      </c>
      <c r="G59" s="68">
        <v>372</v>
      </c>
      <c r="H59" s="68">
        <v>283</v>
      </c>
      <c r="I59" s="68"/>
      <c r="J59" s="68"/>
      <c r="K59" s="68">
        <v>234630</v>
      </c>
      <c r="L59" s="68">
        <v>83</v>
      </c>
      <c r="M59" s="68">
        <v>64</v>
      </c>
      <c r="N59" s="68"/>
      <c r="O59" s="68"/>
    </row>
    <row r="60" spans="2:17">
      <c r="E60" s="68" t="s">
        <v>718</v>
      </c>
      <c r="F60" s="68">
        <v>290826</v>
      </c>
      <c r="G60" s="68">
        <v>2000</v>
      </c>
      <c r="H60" s="68">
        <v>579</v>
      </c>
      <c r="I60" s="68"/>
      <c r="J60" s="68"/>
      <c r="K60" s="68">
        <v>222525</v>
      </c>
      <c r="L60" s="68">
        <v>1586</v>
      </c>
      <c r="M60" s="68">
        <v>263</v>
      </c>
      <c r="N60" s="68"/>
      <c r="O60" s="68"/>
    </row>
    <row r="61" spans="2:17">
      <c r="E61" s="68" t="s">
        <v>25</v>
      </c>
      <c r="F61" s="68">
        <v>298000</v>
      </c>
      <c r="G61" s="68">
        <v>3343</v>
      </c>
      <c r="H61" s="68">
        <v>700</v>
      </c>
      <c r="I61" s="68"/>
      <c r="J61" s="68"/>
      <c r="K61" s="68">
        <v>226172</v>
      </c>
      <c r="L61" s="68">
        <v>2744</v>
      </c>
      <c r="M61" s="68">
        <v>267</v>
      </c>
      <c r="N61" s="68"/>
      <c r="O61" s="68"/>
    </row>
    <row r="62" spans="2:17">
      <c r="E62" s="68" t="s">
        <v>717</v>
      </c>
      <c r="F62" s="68">
        <v>305000</v>
      </c>
      <c r="G62" s="68">
        <v>15780</v>
      </c>
      <c r="H62" s="68">
        <v>3964</v>
      </c>
      <c r="I62" s="68"/>
      <c r="J62" s="68"/>
      <c r="K62" s="68">
        <v>229446</v>
      </c>
      <c r="L62" s="68">
        <v>15021</v>
      </c>
      <c r="M62" s="68">
        <v>207</v>
      </c>
      <c r="N62" s="68"/>
      <c r="O62" s="68"/>
    </row>
    <row r="63" spans="2:17">
      <c r="E63" s="68" t="s">
        <v>716</v>
      </c>
      <c r="F63" s="68">
        <v>309342</v>
      </c>
      <c r="G63" s="68">
        <v>34839</v>
      </c>
      <c r="H63" s="68">
        <v>11264</v>
      </c>
      <c r="I63" s="68"/>
      <c r="J63" s="68"/>
      <c r="K63" s="68">
        <v>227627</v>
      </c>
      <c r="L63" s="68">
        <v>31090</v>
      </c>
      <c r="M63" s="68">
        <v>9301</v>
      </c>
      <c r="N63" s="68"/>
      <c r="O63" s="68"/>
    </row>
    <row r="64" spans="2:17">
      <c r="E64" s="68" t="s">
        <v>715</v>
      </c>
      <c r="F64" s="68">
        <v>353083</v>
      </c>
      <c r="G64" s="68">
        <v>11697</v>
      </c>
      <c r="H64" s="68">
        <v>1081</v>
      </c>
      <c r="I64" s="68"/>
      <c r="J64" s="68"/>
      <c r="K64" s="68">
        <v>301138</v>
      </c>
      <c r="L64" s="68">
        <v>3203</v>
      </c>
      <c r="M64" s="68">
        <v>206</v>
      </c>
      <c r="N64" s="68"/>
      <c r="O64" s="68"/>
    </row>
    <row r="65" spans="5:9">
      <c r="E65" s="57" t="s">
        <v>714</v>
      </c>
      <c r="F65" s="57">
        <v>307277</v>
      </c>
      <c r="G65" s="57">
        <v>9414</v>
      </c>
      <c r="H65" s="57">
        <v>2098</v>
      </c>
    </row>
    <row r="70" spans="5:9">
      <c r="G70" s="68">
        <v>372</v>
      </c>
      <c r="H70" s="68">
        <v>283</v>
      </c>
      <c r="I70" s="68"/>
    </row>
    <row r="71" spans="5:9">
      <c r="G71" s="68">
        <v>2000</v>
      </c>
      <c r="H71" s="68">
        <v>579</v>
      </c>
      <c r="I71" s="68"/>
    </row>
    <row r="72" spans="5:9">
      <c r="G72" s="68">
        <v>3343</v>
      </c>
      <c r="H72" s="68">
        <v>700</v>
      </c>
      <c r="I72" s="68"/>
    </row>
    <row r="73" spans="5:9">
      <c r="G73" s="68">
        <v>15780</v>
      </c>
      <c r="H73" s="68">
        <v>3964</v>
      </c>
      <c r="I73" s="68"/>
    </row>
    <row r="74" spans="5:9">
      <c r="G74" s="68">
        <v>34839</v>
      </c>
      <c r="H74" s="68">
        <v>11264</v>
      </c>
      <c r="I74" s="68"/>
    </row>
    <row r="76" spans="5:9">
      <c r="E76" s="57">
        <f>2992*1680</f>
        <v>5026560</v>
      </c>
      <c r="F76" s="57">
        <v>625</v>
      </c>
      <c r="G76" s="57">
        <v>32</v>
      </c>
      <c r="H76" s="57">
        <v>6.8</v>
      </c>
    </row>
    <row r="77" spans="5:9">
      <c r="E77" s="57">
        <f>1920*1080</f>
        <v>2073600</v>
      </c>
      <c r="F77" s="57">
        <v>275</v>
      </c>
      <c r="G77" s="57">
        <v>10.226000000000001</v>
      </c>
      <c r="H77" s="57">
        <v>2.6269999999999998</v>
      </c>
    </row>
    <row r="78" spans="5:9">
      <c r="E78" s="57">
        <f>E76/E77</f>
        <v>2.424074074074074</v>
      </c>
      <c r="F78" s="57">
        <f>F76/F77</f>
        <v>2.2727272727272729</v>
      </c>
      <c r="G78" s="57">
        <f>G76/G77</f>
        <v>3.1292783101897124</v>
      </c>
      <c r="H78" s="57">
        <f>H76/H77</f>
        <v>2.5885039969547012</v>
      </c>
    </row>
  </sheetData>
  <mergeCells count="3">
    <mergeCell ref="B2:P2"/>
    <mergeCell ref="C28:E28"/>
    <mergeCell ref="F28:G28"/>
  </mergeCells>
  <dataValidations count="1">
    <dataValidation type="list" allowBlank="1" showInputMessage="1" showErrorMessage="1" sqref="C21:D21" xr:uid="{00000000-0002-0000-1900-000000000000}">
      <formula1>#REF!</formula1>
    </dataValidation>
  </dataValidations>
  <pageMargins left="0.7" right="0.7" top="0.78740157499999996" bottom="0.78740157499999996" header="0.3" footer="0.3"/>
  <pageSetup orientation="portrait" horizontalDpi="90" verticalDpi="90"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33"/>
  <sheetViews>
    <sheetView workbookViewId="0">
      <selection activeCell="A22" sqref="A22:XFD22"/>
    </sheetView>
  </sheetViews>
  <sheetFormatPr defaultColWidth="9.140625" defaultRowHeight="12.75"/>
  <cols>
    <col min="1" max="1" width="17.28515625" style="35" customWidth="1"/>
    <col min="2" max="2" width="18.28515625" style="403" customWidth="1"/>
    <col min="3" max="3" width="25.28515625" customWidth="1"/>
    <col min="4" max="5" width="35.42578125" style="403" customWidth="1"/>
    <col min="6" max="6" width="81.28515625" customWidth="1"/>
  </cols>
  <sheetData>
    <row r="1" spans="1:6">
      <c r="A1" s="409" t="s">
        <v>1104</v>
      </c>
      <c r="B1" s="410" t="s">
        <v>1111</v>
      </c>
      <c r="C1" s="411" t="s">
        <v>1109</v>
      </c>
      <c r="D1" s="410" t="s">
        <v>1126</v>
      </c>
      <c r="E1" s="410" t="s">
        <v>1127</v>
      </c>
      <c r="F1" s="411" t="s">
        <v>1110</v>
      </c>
    </row>
    <row r="2" spans="1:6" ht="38.25" customHeight="1">
      <c r="A2" s="412">
        <f ca="1">TODAY()</f>
        <v>45954</v>
      </c>
      <c r="B2" s="413">
        <v>1</v>
      </c>
      <c r="C2" s="414"/>
      <c r="D2" s="413">
        <f>'BVMS checklist'!H101</f>
        <v>0</v>
      </c>
      <c r="E2" s="413">
        <f>'BVMS checklist'!O273</f>
        <v>0</v>
      </c>
      <c r="F2" s="414"/>
    </row>
    <row r="3" spans="1:6" ht="38.25" customHeight="1">
      <c r="A3" s="412"/>
      <c r="B3" s="413"/>
      <c r="C3" s="414"/>
      <c r="D3" s="413"/>
      <c r="E3" s="413"/>
      <c r="F3" s="414"/>
    </row>
    <row r="4" spans="1:6" ht="38.25" customHeight="1">
      <c r="A4" s="412"/>
      <c r="B4" s="413"/>
      <c r="C4" s="414"/>
      <c r="D4" s="413"/>
      <c r="E4" s="413"/>
      <c r="F4" s="414"/>
    </row>
    <row r="5" spans="1:6" ht="38.25" customHeight="1">
      <c r="A5" s="412"/>
      <c r="B5" s="413"/>
      <c r="C5" s="414"/>
      <c r="D5" s="413"/>
      <c r="E5" s="413"/>
      <c r="F5" s="414"/>
    </row>
    <row r="6" spans="1:6" ht="38.25" customHeight="1">
      <c r="A6" s="412"/>
      <c r="B6" s="413"/>
      <c r="C6" s="414"/>
      <c r="D6" s="413"/>
      <c r="E6" s="413"/>
      <c r="F6" s="414"/>
    </row>
    <row r="7" spans="1:6" ht="38.25" customHeight="1">
      <c r="A7" s="412"/>
      <c r="B7" s="413"/>
      <c r="C7" s="414"/>
      <c r="D7" s="413"/>
      <c r="E7" s="413"/>
      <c r="F7" s="414"/>
    </row>
    <row r="8" spans="1:6" ht="38.25" customHeight="1">
      <c r="A8" s="412"/>
      <c r="B8" s="413"/>
      <c r="C8" s="414"/>
      <c r="D8" s="413"/>
      <c r="E8" s="413"/>
      <c r="F8" s="414"/>
    </row>
    <row r="9" spans="1:6" ht="38.25" customHeight="1">
      <c r="A9" s="412"/>
      <c r="B9" s="413"/>
      <c r="C9" s="414"/>
      <c r="D9" s="413"/>
      <c r="E9" s="413"/>
      <c r="F9" s="414"/>
    </row>
    <row r="10" spans="1:6" ht="38.25" customHeight="1">
      <c r="A10" s="412"/>
      <c r="B10" s="413"/>
      <c r="C10" s="414"/>
      <c r="D10" s="413"/>
      <c r="E10" s="413"/>
      <c r="F10" s="414"/>
    </row>
    <row r="11" spans="1:6" ht="38.25" customHeight="1">
      <c r="A11" s="412"/>
      <c r="B11" s="413"/>
      <c r="C11" s="414"/>
      <c r="D11" s="413"/>
      <c r="E11" s="413"/>
      <c r="F11" s="414"/>
    </row>
    <row r="12" spans="1:6" ht="38.25" customHeight="1">
      <c r="A12" s="412"/>
      <c r="B12" s="413"/>
      <c r="C12" s="414"/>
      <c r="D12" s="413"/>
      <c r="E12" s="413"/>
      <c r="F12" s="414"/>
    </row>
    <row r="13" spans="1:6" ht="38.25" customHeight="1">
      <c r="A13" s="412"/>
      <c r="B13" s="413"/>
      <c r="C13" s="414"/>
      <c r="D13" s="413"/>
      <c r="E13" s="413"/>
      <c r="F13" s="414"/>
    </row>
    <row r="14" spans="1:6" ht="38.25" customHeight="1">
      <c r="A14" s="412"/>
      <c r="B14" s="413"/>
      <c r="C14" s="414"/>
      <c r="D14" s="413"/>
      <c r="E14" s="413"/>
      <c r="F14" s="414"/>
    </row>
    <row r="15" spans="1:6" ht="38.25" customHeight="1">
      <c r="A15" s="412"/>
      <c r="B15" s="413"/>
      <c r="C15" s="414"/>
      <c r="D15" s="413"/>
      <c r="E15" s="413"/>
      <c r="F15" s="414"/>
    </row>
    <row r="16" spans="1:6" ht="38.25" customHeight="1">
      <c r="A16" s="412"/>
      <c r="B16" s="413"/>
      <c r="C16" s="414"/>
      <c r="D16" s="413"/>
      <c r="E16" s="413"/>
      <c r="F16" s="414"/>
    </row>
    <row r="17" spans="1:6" ht="38.25" customHeight="1">
      <c r="A17" s="412"/>
      <c r="B17" s="413"/>
      <c r="C17" s="414"/>
      <c r="D17" s="413"/>
      <c r="E17" s="413"/>
      <c r="F17" s="414"/>
    </row>
    <row r="18" spans="1:6" ht="38.25" customHeight="1">
      <c r="A18" s="412"/>
      <c r="B18" s="413"/>
      <c r="C18" s="414"/>
      <c r="D18" s="413"/>
      <c r="E18" s="413"/>
      <c r="F18" s="414"/>
    </row>
    <row r="19" spans="1:6" ht="38.25" customHeight="1">
      <c r="A19" s="412"/>
      <c r="B19" s="413"/>
      <c r="C19" s="414"/>
      <c r="D19" s="413"/>
      <c r="E19" s="413"/>
      <c r="F19" s="414"/>
    </row>
    <row r="20" spans="1:6" ht="38.25" customHeight="1">
      <c r="A20" s="412"/>
      <c r="B20" s="413"/>
      <c r="C20" s="414"/>
      <c r="D20" s="413"/>
      <c r="E20" s="413"/>
      <c r="F20" s="414"/>
    </row>
    <row r="21" spans="1:6" ht="38.25" customHeight="1">
      <c r="A21" s="412"/>
      <c r="B21" s="413"/>
      <c r="C21" s="414"/>
      <c r="D21" s="413"/>
      <c r="E21" s="413"/>
      <c r="F21" s="414"/>
    </row>
    <row r="22" spans="1:6" ht="38.25" customHeight="1">
      <c r="A22" s="412"/>
      <c r="B22" s="413"/>
      <c r="C22" s="414"/>
      <c r="D22" s="413"/>
      <c r="E22" s="413"/>
      <c r="F22" s="414"/>
    </row>
    <row r="23" spans="1:6" ht="38.25" customHeight="1">
      <c r="A23" s="412"/>
      <c r="B23" s="413"/>
      <c r="C23" s="414"/>
      <c r="D23" s="413"/>
      <c r="E23" s="413"/>
      <c r="F23" s="414"/>
    </row>
    <row r="24" spans="1:6" ht="38.25" customHeight="1">
      <c r="A24" s="412"/>
      <c r="B24" s="413"/>
      <c r="C24" s="414"/>
      <c r="D24" s="413"/>
      <c r="E24" s="413"/>
      <c r="F24" s="414"/>
    </row>
    <row r="25" spans="1:6" ht="38.25" customHeight="1">
      <c r="A25" s="412"/>
      <c r="B25" s="413"/>
      <c r="C25" s="414"/>
      <c r="D25" s="413"/>
      <c r="E25" s="413"/>
      <c r="F25" s="414"/>
    </row>
    <row r="26" spans="1:6" ht="38.25" customHeight="1">
      <c r="A26" s="412"/>
      <c r="B26" s="413"/>
      <c r="C26" s="414"/>
      <c r="D26" s="413"/>
      <c r="E26" s="413"/>
      <c r="F26" s="414"/>
    </row>
    <row r="27" spans="1:6" ht="38.25" customHeight="1">
      <c r="A27" s="412"/>
      <c r="B27" s="413"/>
      <c r="C27" s="414"/>
      <c r="D27" s="413"/>
      <c r="E27" s="413"/>
      <c r="F27" s="414"/>
    </row>
    <row r="28" spans="1:6" ht="38.25" customHeight="1">
      <c r="A28" s="412"/>
      <c r="B28" s="413"/>
      <c r="C28" s="414"/>
      <c r="D28" s="413"/>
      <c r="E28" s="413"/>
      <c r="F28" s="414"/>
    </row>
    <row r="29" spans="1:6" ht="38.25" customHeight="1">
      <c r="A29" s="412"/>
      <c r="B29" s="413"/>
      <c r="C29" s="414"/>
      <c r="D29" s="413"/>
      <c r="E29" s="413"/>
      <c r="F29" s="414"/>
    </row>
    <row r="30" spans="1:6" ht="38.25" customHeight="1">
      <c r="A30" s="412"/>
      <c r="B30" s="413"/>
      <c r="C30" s="414"/>
      <c r="D30" s="413"/>
      <c r="E30" s="413"/>
      <c r="F30" s="414"/>
    </row>
    <row r="31" spans="1:6" ht="38.25" customHeight="1">
      <c r="A31" s="412"/>
      <c r="B31" s="413"/>
      <c r="C31" s="414"/>
      <c r="D31" s="413"/>
      <c r="E31" s="413"/>
      <c r="F31" s="414"/>
    </row>
    <row r="32" spans="1:6" ht="38.25" customHeight="1">
      <c r="A32" s="412"/>
      <c r="B32" s="413"/>
      <c r="C32" s="414"/>
      <c r="D32" s="413"/>
      <c r="E32" s="413"/>
      <c r="F32" s="414"/>
    </row>
    <row r="33" spans="1:6" ht="38.25" customHeight="1">
      <c r="A33" s="412"/>
      <c r="B33" s="413"/>
      <c r="C33" s="414"/>
      <c r="D33" s="413"/>
      <c r="E33" s="413"/>
      <c r="F33" s="414"/>
    </row>
  </sheetData>
  <pageMargins left="0.7" right="0.7" top="0.75" bottom="0.75" header="0.3" footer="0.3"/>
  <pageSetup paperSize="9"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F201"/>
  <sheetViews>
    <sheetView topLeftCell="A161" workbookViewId="0">
      <selection activeCell="A190" sqref="A190"/>
    </sheetView>
  </sheetViews>
  <sheetFormatPr defaultColWidth="9.140625" defaultRowHeight="12.75"/>
  <cols>
    <col min="1" max="1" width="62.28515625" customWidth="1"/>
    <col min="2" max="2" width="21.5703125" customWidth="1"/>
    <col min="3" max="3" width="19.28515625" bestFit="1" customWidth="1"/>
    <col min="4" max="4" width="30.7109375" customWidth="1"/>
    <col min="5" max="5" width="41.7109375" bestFit="1" customWidth="1"/>
  </cols>
  <sheetData>
    <row r="1" spans="1:5">
      <c r="A1" t="str">
        <f>D1&amp;" "&amp;E1</f>
        <v>BVMS Professional 10.0 License Professional base</v>
      </c>
      <c r="B1" t="s">
        <v>1144</v>
      </c>
      <c r="C1" t="s">
        <v>1145</v>
      </c>
      <c r="D1" t="s">
        <v>1146</v>
      </c>
      <c r="E1" t="s">
        <v>1147</v>
      </c>
    </row>
    <row r="2" spans="1:5">
      <c r="A2" t="str">
        <f t="shared" ref="A2:A57" si="0">D2&amp;" "&amp;E2</f>
        <v>BVMS Professional 10.0 License Enterprise base</v>
      </c>
      <c r="B2" t="s">
        <v>1148</v>
      </c>
      <c r="C2" t="s">
        <v>1149</v>
      </c>
      <c r="D2" t="s">
        <v>1146</v>
      </c>
      <c r="E2" t="s">
        <v>1150</v>
      </c>
    </row>
    <row r="3" spans="1:5">
      <c r="A3" t="str">
        <f t="shared" si="0"/>
        <v>BVMS Professional 10.0 License Enterprise subsystem expansion</v>
      </c>
      <c r="B3" t="s">
        <v>1151</v>
      </c>
      <c r="C3" t="s">
        <v>1152</v>
      </c>
      <c r="D3" t="s">
        <v>1146</v>
      </c>
      <c r="E3" t="s">
        <v>930</v>
      </c>
    </row>
    <row r="4" spans="1:5">
      <c r="A4" t="str">
        <f t="shared" si="0"/>
        <v>BVMS Professional 10.0 License VRM Failover channel expansion</v>
      </c>
      <c r="B4" t="s">
        <v>1153</v>
      </c>
      <c r="C4" t="s">
        <v>1154</v>
      </c>
      <c r="D4" t="s">
        <v>1146</v>
      </c>
      <c r="E4" t="s">
        <v>933</v>
      </c>
    </row>
    <row r="5" spans="1:5">
      <c r="A5" t="str">
        <f t="shared" si="0"/>
        <v>BVMS Professional 10.0 License Camera dual recording expansion</v>
      </c>
      <c r="B5" t="s">
        <v>1155</v>
      </c>
      <c r="C5" t="s">
        <v>1156</v>
      </c>
      <c r="D5" t="s">
        <v>1146</v>
      </c>
      <c r="E5" t="s">
        <v>921</v>
      </c>
    </row>
    <row r="6" spans="1:5">
      <c r="A6" t="str">
        <f t="shared" si="0"/>
        <v>BVMS Professional 10.0 License Workstation expansion</v>
      </c>
      <c r="B6" t="s">
        <v>1157</v>
      </c>
      <c r="C6" t="s">
        <v>1158</v>
      </c>
      <c r="D6" t="s">
        <v>1146</v>
      </c>
      <c r="E6" t="s">
        <v>922</v>
      </c>
    </row>
    <row r="7" spans="1:5">
      <c r="A7" t="str">
        <f t="shared" si="0"/>
        <v>BVMS Professional 10.0 License Workstation expansion</v>
      </c>
      <c r="B7" t="s">
        <v>1159</v>
      </c>
      <c r="C7" t="s">
        <v>1160</v>
      </c>
      <c r="D7" t="s">
        <v>1146</v>
      </c>
      <c r="E7" t="s">
        <v>922</v>
      </c>
    </row>
    <row r="8" spans="1:5">
      <c r="A8" t="str">
        <f t="shared" si="0"/>
        <v>BVMS Professional 10.0 License DVR expansion</v>
      </c>
      <c r="B8" t="s">
        <v>1161</v>
      </c>
      <c r="C8" t="s">
        <v>1162</v>
      </c>
      <c r="D8" t="s">
        <v>1146</v>
      </c>
      <c r="E8" t="s">
        <v>923</v>
      </c>
    </row>
    <row r="9" spans="1:5">
      <c r="A9" t="str">
        <f t="shared" si="0"/>
        <v>BVMS Professional 10.0 License Keyboard expansion</v>
      </c>
      <c r="B9" t="s">
        <v>1163</v>
      </c>
      <c r="C9" t="s">
        <v>1164</v>
      </c>
      <c r="D9" t="s">
        <v>1146</v>
      </c>
      <c r="E9" t="s">
        <v>924</v>
      </c>
    </row>
    <row r="10" spans="1:5">
      <c r="A10" t="str">
        <f t="shared" si="0"/>
        <v>BVMS Professional 10.0 License Mobile video service expansion</v>
      </c>
      <c r="B10" t="s">
        <v>1165</v>
      </c>
      <c r="C10" t="s">
        <v>1166</v>
      </c>
      <c r="D10" t="s">
        <v>1146</v>
      </c>
      <c r="E10" t="s">
        <v>925</v>
      </c>
    </row>
    <row r="11" spans="1:5">
      <c r="A11" t="str">
        <f t="shared" si="0"/>
        <v>BVMS Professional 10.0 License Intrusion panel expansion</v>
      </c>
      <c r="B11" t="s">
        <v>1167</v>
      </c>
      <c r="C11" t="s">
        <v>1168</v>
      </c>
      <c r="D11" t="s">
        <v>1146</v>
      </c>
      <c r="E11" t="s">
        <v>926</v>
      </c>
    </row>
    <row r="12" spans="1:5">
      <c r="A12" t="str">
        <f t="shared" si="0"/>
        <v>BVMS Professional 10.0 License Site expansion</v>
      </c>
      <c r="B12" t="s">
        <v>1169</v>
      </c>
      <c r="C12" t="s">
        <v>1170</v>
      </c>
      <c r="D12" t="s">
        <v>1146</v>
      </c>
      <c r="E12" t="s">
        <v>927</v>
      </c>
    </row>
    <row r="13" spans="1:5">
      <c r="A13" t="str">
        <f t="shared" si="0"/>
        <v>BVMS Professional 10.0 License Stitching channel expansion</v>
      </c>
      <c r="B13" t="s">
        <v>1171</v>
      </c>
      <c r="C13" t="s">
        <v>1172</v>
      </c>
      <c r="D13" t="s">
        <v>1146</v>
      </c>
      <c r="E13" t="s">
        <v>1136</v>
      </c>
    </row>
    <row r="14" spans="1:5">
      <c r="A14" t="str">
        <f t="shared" si="0"/>
        <v>BVMS Professional 10.0 License Augmented reality expansion</v>
      </c>
      <c r="B14" t="s">
        <v>1173</v>
      </c>
      <c r="C14" t="s">
        <v>1174</v>
      </c>
      <c r="D14" t="s">
        <v>1146</v>
      </c>
      <c r="E14" t="s">
        <v>1137</v>
      </c>
    </row>
    <row r="15" spans="1:5">
      <c r="A15" t="str">
        <f t="shared" si="0"/>
        <v>BVMS Professional 10.0 License Person identification channel expansion</v>
      </c>
      <c r="B15" t="s">
        <v>1175</v>
      </c>
      <c r="C15" t="s">
        <v>1176</v>
      </c>
      <c r="D15" t="s">
        <v>1146</v>
      </c>
      <c r="E15" t="s">
        <v>932</v>
      </c>
    </row>
    <row r="16" spans="1:5">
      <c r="A16" t="str">
        <f t="shared" si="0"/>
        <v>BVMS Professional 10.0 License Camera/decoder expansion</v>
      </c>
      <c r="B16" t="s">
        <v>1177</v>
      </c>
      <c r="C16" t="s">
        <v>1178</v>
      </c>
      <c r="D16" t="s">
        <v>1146</v>
      </c>
      <c r="E16" t="s">
        <v>928</v>
      </c>
    </row>
    <row r="17" spans="1:5">
      <c r="A17" t="str">
        <f t="shared" si="0"/>
        <v>BVMS Professional 10.0 Upgrade Professional to Enterprise</v>
      </c>
      <c r="B17" t="s">
        <v>1179</v>
      </c>
      <c r="C17" t="s">
        <v>1180</v>
      </c>
      <c r="D17" t="s">
        <v>1146</v>
      </c>
      <c r="E17" t="s">
        <v>929</v>
      </c>
    </row>
    <row r="18" spans="1:5">
      <c r="A18" t="str">
        <f t="shared" si="0"/>
        <v>BVMS Plus 10.0 License Plus base</v>
      </c>
      <c r="B18" t="s">
        <v>1182</v>
      </c>
      <c r="C18" t="s">
        <v>1183</v>
      </c>
      <c r="D18" t="s">
        <v>1181</v>
      </c>
      <c r="E18" t="s">
        <v>1184</v>
      </c>
    </row>
    <row r="19" spans="1:5">
      <c r="A19" t="str">
        <f t="shared" si="0"/>
        <v>BVMS Plus 10.0 License Camera/decoder expansion</v>
      </c>
      <c r="B19" t="s">
        <v>1185</v>
      </c>
      <c r="C19" t="s">
        <v>1186</v>
      </c>
      <c r="D19" t="s">
        <v>1181</v>
      </c>
      <c r="E19" t="s">
        <v>928</v>
      </c>
    </row>
    <row r="20" spans="1:5">
      <c r="A20" t="str">
        <f t="shared" si="0"/>
        <v>BVMS Plus 10.0 License Person identification channel expansion</v>
      </c>
      <c r="B20" t="s">
        <v>1187</v>
      </c>
      <c r="C20" t="s">
        <v>1188</v>
      </c>
      <c r="D20" t="s">
        <v>1181</v>
      </c>
      <c r="E20" t="s">
        <v>932</v>
      </c>
    </row>
    <row r="21" spans="1:5">
      <c r="A21" t="str">
        <f t="shared" si="0"/>
        <v>BVMS Plus 10.0 License Workstation expansion</v>
      </c>
      <c r="B21" t="s">
        <v>1189</v>
      </c>
      <c r="C21" t="s">
        <v>1190</v>
      </c>
      <c r="D21" t="s">
        <v>1181</v>
      </c>
      <c r="E21" t="s">
        <v>922</v>
      </c>
    </row>
    <row r="22" spans="1:5">
      <c r="A22" t="str">
        <f t="shared" si="0"/>
        <v>BVMS Plus 10.0 License DVR expansion</v>
      </c>
      <c r="B22" t="s">
        <v>1191</v>
      </c>
      <c r="C22" t="s">
        <v>1192</v>
      </c>
      <c r="D22" t="s">
        <v>1181</v>
      </c>
      <c r="E22" t="s">
        <v>923</v>
      </c>
    </row>
    <row r="23" spans="1:5">
      <c r="A23" t="str">
        <f t="shared" si="0"/>
        <v>BVMS Plus 10.0 License Keyboard expansion</v>
      </c>
      <c r="B23" t="s">
        <v>1193</v>
      </c>
      <c r="C23" t="s">
        <v>1194</v>
      </c>
      <c r="D23" t="s">
        <v>1181</v>
      </c>
      <c r="E23" t="s">
        <v>924</v>
      </c>
    </row>
    <row r="24" spans="1:5">
      <c r="A24" t="str">
        <f t="shared" si="0"/>
        <v>BVMS Plus 10.0 License Mobile video service expansion</v>
      </c>
      <c r="B24" t="s">
        <v>1195</v>
      </c>
      <c r="C24" t="s">
        <v>1196</v>
      </c>
      <c r="D24" t="s">
        <v>1181</v>
      </c>
      <c r="E24" t="s">
        <v>925</v>
      </c>
    </row>
    <row r="25" spans="1:5">
      <c r="A25" t="str">
        <f t="shared" si="0"/>
        <v>BVMS Plus 10.0 License VRM Failover channel expansion</v>
      </c>
      <c r="B25" t="s">
        <v>1197</v>
      </c>
      <c r="C25" t="s">
        <v>1198</v>
      </c>
      <c r="D25" t="s">
        <v>1181</v>
      </c>
      <c r="E25" t="s">
        <v>933</v>
      </c>
    </row>
    <row r="26" spans="1:5">
      <c r="A26" t="str">
        <f t="shared" si="0"/>
        <v>BVMS Plus 10.0 License Camera dual recording expansion</v>
      </c>
      <c r="B26" t="s">
        <v>1199</v>
      </c>
      <c r="C26" t="s">
        <v>1200</v>
      </c>
      <c r="D26" t="s">
        <v>1181</v>
      </c>
      <c r="E26" t="s">
        <v>921</v>
      </c>
    </row>
    <row r="27" spans="1:5">
      <c r="A27" t="str">
        <f t="shared" si="0"/>
        <v>BVMS Plus 10.0 License Stitching channel expansion</v>
      </c>
      <c r="B27" t="s">
        <v>1201</v>
      </c>
      <c r="C27" t="s">
        <v>1202</v>
      </c>
      <c r="D27" t="s">
        <v>1181</v>
      </c>
      <c r="E27" t="s">
        <v>1136</v>
      </c>
    </row>
    <row r="28" spans="1:5">
      <c r="A28" t="str">
        <f t="shared" si="0"/>
        <v>BVMS Plus 10.0 License Augmented reality expansion</v>
      </c>
      <c r="B28" t="s">
        <v>1203</v>
      </c>
      <c r="C28" t="s">
        <v>1204</v>
      </c>
      <c r="D28" t="s">
        <v>1181</v>
      </c>
      <c r="E28" t="s">
        <v>1137</v>
      </c>
    </row>
    <row r="29" spans="1:5">
      <c r="A29" t="str">
        <f t="shared" si="0"/>
        <v>BVMS Plus 10.0 License Intrusion panel expansion</v>
      </c>
      <c r="B29" t="s">
        <v>1205</v>
      </c>
      <c r="C29" t="s">
        <v>1206</v>
      </c>
      <c r="D29" t="s">
        <v>1181</v>
      </c>
      <c r="E29" t="s">
        <v>926</v>
      </c>
    </row>
    <row r="30" spans="1:5">
      <c r="A30" t="str">
        <f t="shared" si="0"/>
        <v>BVMS Plus 9.0 License Camera/decoder expansion</v>
      </c>
      <c r="B30" t="s">
        <v>1207</v>
      </c>
      <c r="C30" t="s">
        <v>1208</v>
      </c>
      <c r="D30" t="s">
        <v>1209</v>
      </c>
      <c r="E30" t="s">
        <v>928</v>
      </c>
    </row>
    <row r="31" spans="1:5">
      <c r="A31" t="str">
        <f t="shared" si="0"/>
        <v>BVMS Plus 9.0 License Camera dual recording expansion</v>
      </c>
      <c r="B31" t="s">
        <v>1210</v>
      </c>
      <c r="C31" t="s">
        <v>1211</v>
      </c>
      <c r="D31" t="s">
        <v>1209</v>
      </c>
      <c r="E31" t="s">
        <v>921</v>
      </c>
    </row>
    <row r="32" spans="1:5">
      <c r="A32" t="str">
        <f t="shared" si="0"/>
        <v>BVMS Plus 9.0 License VRM Failover channel expansion</v>
      </c>
      <c r="B32" t="s">
        <v>1212</v>
      </c>
      <c r="C32" t="s">
        <v>1213</v>
      </c>
      <c r="D32" t="s">
        <v>1209</v>
      </c>
      <c r="E32" t="s">
        <v>933</v>
      </c>
    </row>
    <row r="33" spans="1:5">
      <c r="A33" t="str">
        <f t="shared" si="0"/>
        <v>BVMS Lite 10.0 License Lite base</v>
      </c>
      <c r="B33" t="s">
        <v>1215</v>
      </c>
      <c r="C33" t="s">
        <v>1216</v>
      </c>
      <c r="D33" t="s">
        <v>1214</v>
      </c>
      <c r="E33" t="s">
        <v>1217</v>
      </c>
    </row>
    <row r="34" spans="1:5">
      <c r="A34" t="str">
        <f t="shared" si="0"/>
        <v>BVMS Lite 10.0 License DVR expansion</v>
      </c>
      <c r="B34" t="s">
        <v>1218</v>
      </c>
      <c r="C34" t="s">
        <v>1219</v>
      </c>
      <c r="D34" t="s">
        <v>1214</v>
      </c>
      <c r="E34" t="s">
        <v>923</v>
      </c>
    </row>
    <row r="35" spans="1:5">
      <c r="A35" t="str">
        <f t="shared" si="0"/>
        <v>BVMS Lite 10.0 License Workstation expansion</v>
      </c>
      <c r="B35" t="s">
        <v>1220</v>
      </c>
      <c r="C35" t="s">
        <v>1221</v>
      </c>
      <c r="D35" t="s">
        <v>1214</v>
      </c>
      <c r="E35" t="s">
        <v>922</v>
      </c>
    </row>
    <row r="36" spans="1:5">
      <c r="A36" t="str">
        <f t="shared" si="0"/>
        <v>BVMS Lite 10.0 License Keyboard expansion</v>
      </c>
      <c r="B36" t="s">
        <v>1222</v>
      </c>
      <c r="C36" t="s">
        <v>1223</v>
      </c>
      <c r="D36" t="s">
        <v>1214</v>
      </c>
      <c r="E36" t="s">
        <v>924</v>
      </c>
    </row>
    <row r="37" spans="1:5">
      <c r="A37" t="str">
        <f t="shared" si="0"/>
        <v>BVMS Lite 10.0 License VRM Failover channel expansion</v>
      </c>
      <c r="B37" t="s">
        <v>1224</v>
      </c>
      <c r="C37" t="s">
        <v>1225</v>
      </c>
      <c r="D37" t="s">
        <v>1214</v>
      </c>
      <c r="E37" t="s">
        <v>933</v>
      </c>
    </row>
    <row r="38" spans="1:5">
      <c r="A38" t="str">
        <f t="shared" si="0"/>
        <v>BVMS Lite 10.0 License Camera dual recording expansion</v>
      </c>
      <c r="B38" t="s">
        <v>1226</v>
      </c>
      <c r="C38" t="s">
        <v>1227</v>
      </c>
      <c r="D38" t="s">
        <v>1214</v>
      </c>
      <c r="E38" t="s">
        <v>921</v>
      </c>
    </row>
    <row r="39" spans="1:5">
      <c r="A39" t="str">
        <f t="shared" si="0"/>
        <v>BVMS Lite 10.0 License Intrusion panel expansion</v>
      </c>
      <c r="B39" t="s">
        <v>1228</v>
      </c>
      <c r="C39" t="s">
        <v>1229</v>
      </c>
      <c r="D39" t="s">
        <v>1214</v>
      </c>
      <c r="E39" t="s">
        <v>926</v>
      </c>
    </row>
    <row r="40" spans="1:5">
      <c r="A40" t="str">
        <f t="shared" si="0"/>
        <v>BVMS Lite 10.0 License Person identification channel expansion</v>
      </c>
      <c r="B40" t="s">
        <v>1230</v>
      </c>
      <c r="C40" t="s">
        <v>1231</v>
      </c>
      <c r="D40" t="s">
        <v>1214</v>
      </c>
      <c r="E40" t="s">
        <v>932</v>
      </c>
    </row>
    <row r="41" spans="1:5">
      <c r="A41" t="str">
        <f t="shared" si="0"/>
        <v>BVMS Lite 10.0 License Camera/decoder expansion</v>
      </c>
      <c r="B41" t="s">
        <v>1232</v>
      </c>
      <c r="C41" t="s">
        <v>1233</v>
      </c>
      <c r="D41" t="s">
        <v>1214</v>
      </c>
      <c r="E41" t="s">
        <v>928</v>
      </c>
    </row>
    <row r="42" spans="1:5">
      <c r="A42" t="str">
        <f t="shared" si="0"/>
        <v>DIVAR IP Expansion License Allegiant feature</v>
      </c>
      <c r="B42" t="s">
        <v>1260</v>
      </c>
      <c r="C42" t="s">
        <v>1241</v>
      </c>
      <c r="D42" t="s">
        <v>1234</v>
      </c>
      <c r="E42" t="s">
        <v>1235</v>
      </c>
    </row>
    <row r="43" spans="1:5">
      <c r="A43" t="str">
        <f t="shared" si="0"/>
        <v>DIVAR IP Expansion License ATM/POS feature</v>
      </c>
      <c r="B43" t="s">
        <v>1261</v>
      </c>
      <c r="C43" t="s">
        <v>1242</v>
      </c>
      <c r="D43" t="s">
        <v>1234</v>
      </c>
      <c r="E43" t="s">
        <v>1236</v>
      </c>
    </row>
    <row r="44" spans="1:5">
      <c r="A44" t="str">
        <f t="shared" si="0"/>
        <v>DIVAR IP Expansion License OPC feature</v>
      </c>
      <c r="B44" t="s">
        <v>1262</v>
      </c>
      <c r="C44" t="s">
        <v>1243</v>
      </c>
      <c r="D44" t="s">
        <v>1234</v>
      </c>
      <c r="E44" t="s">
        <v>1237</v>
      </c>
    </row>
    <row r="45" spans="1:5">
      <c r="A45" t="str">
        <f t="shared" si="0"/>
        <v>DIVAR IP Expansion License Workstation expansion</v>
      </c>
      <c r="B45" t="s">
        <v>1263</v>
      </c>
      <c r="C45" t="s">
        <v>1244</v>
      </c>
      <c r="D45" t="s">
        <v>1234</v>
      </c>
      <c r="E45" t="s">
        <v>922</v>
      </c>
    </row>
    <row r="46" spans="1:5">
      <c r="A46" t="str">
        <f t="shared" si="0"/>
        <v>DIVAR IP Expansion License DVR expansion</v>
      </c>
      <c r="B46" t="s">
        <v>1264</v>
      </c>
      <c r="C46" t="s">
        <v>1245</v>
      </c>
      <c r="D46" t="s">
        <v>1234</v>
      </c>
      <c r="E46" t="s">
        <v>923</v>
      </c>
    </row>
    <row r="47" spans="1:5">
      <c r="A47" t="str">
        <f t="shared" si="0"/>
        <v>DIVAR IP Expansion License Keyboard expansion</v>
      </c>
      <c r="B47" t="s">
        <v>1265</v>
      </c>
      <c r="C47" t="s">
        <v>1246</v>
      </c>
      <c r="D47" t="s">
        <v>1234</v>
      </c>
      <c r="E47" t="s">
        <v>924</v>
      </c>
    </row>
    <row r="48" spans="1:5">
      <c r="A48" t="str">
        <f t="shared" si="0"/>
        <v>DIVAR IP Expansion License Forensic search expansion</v>
      </c>
      <c r="B48" t="s">
        <v>1266</v>
      </c>
      <c r="C48" t="s">
        <v>1247</v>
      </c>
      <c r="D48" t="s">
        <v>1234</v>
      </c>
      <c r="E48" t="s">
        <v>1238</v>
      </c>
    </row>
    <row r="49" spans="1:5">
      <c r="A49" t="str">
        <f t="shared" si="0"/>
        <v>DIVAR IP Expansion License Mobile video service expansion</v>
      </c>
      <c r="B49" t="s">
        <v>1267</v>
      </c>
      <c r="C49" t="s">
        <v>1248</v>
      </c>
      <c r="D49" t="s">
        <v>1234</v>
      </c>
      <c r="E49" t="s">
        <v>925</v>
      </c>
    </row>
    <row r="50" spans="1:5">
      <c r="A50" t="str">
        <f t="shared" si="0"/>
        <v>DIVAR IP Expansion License Intrusion panel expansion</v>
      </c>
      <c r="B50" t="s">
        <v>1268</v>
      </c>
      <c r="C50" t="s">
        <v>1249</v>
      </c>
      <c r="D50" t="s">
        <v>1234</v>
      </c>
      <c r="E50" t="s">
        <v>926</v>
      </c>
    </row>
    <row r="51" spans="1:5">
      <c r="A51" t="str">
        <f t="shared" si="0"/>
        <v>DIVAR IP Expansion License VRM Failover channel expansion</v>
      </c>
      <c r="B51" t="s">
        <v>1269</v>
      </c>
      <c r="C51" t="s">
        <v>1250</v>
      </c>
      <c r="D51" t="s">
        <v>1234</v>
      </c>
      <c r="E51" t="s">
        <v>933</v>
      </c>
    </row>
    <row r="52" spans="1:5">
      <c r="A52" t="str">
        <f t="shared" si="0"/>
        <v>DIVAR IP Expansion License Camera dual recording expansion</v>
      </c>
      <c r="B52" t="s">
        <v>1270</v>
      </c>
      <c r="C52" t="s">
        <v>1251</v>
      </c>
      <c r="D52" t="s">
        <v>1234</v>
      </c>
      <c r="E52" t="s">
        <v>921</v>
      </c>
    </row>
    <row r="53" spans="1:5">
      <c r="A53" t="str">
        <f t="shared" si="0"/>
        <v>DIVAR IP Expansion License Lite base for DIVAR IP AIO 5000</v>
      </c>
      <c r="B53" t="s">
        <v>1255</v>
      </c>
      <c r="C53" t="s">
        <v>1252</v>
      </c>
      <c r="D53" t="s">
        <v>1234</v>
      </c>
      <c r="E53" t="s">
        <v>1239</v>
      </c>
    </row>
    <row r="54" spans="1:5">
      <c r="A54" t="str">
        <f t="shared" si="0"/>
        <v>DIVAR IP Expansion License Camera/decoder expansion</v>
      </c>
      <c r="B54" t="s">
        <v>1271</v>
      </c>
      <c r="C54" t="s">
        <v>1253</v>
      </c>
      <c r="D54" t="s">
        <v>1234</v>
      </c>
      <c r="E54" t="s">
        <v>928</v>
      </c>
    </row>
    <row r="55" spans="1:5">
      <c r="A55" t="str">
        <f t="shared" si="0"/>
        <v>DIVAR IP Expansion License Person ident. channel expansion</v>
      </c>
      <c r="B55" t="s">
        <v>1272</v>
      </c>
      <c r="C55" t="s">
        <v>1254</v>
      </c>
      <c r="D55" t="s">
        <v>1234</v>
      </c>
      <c r="E55" t="s">
        <v>1240</v>
      </c>
    </row>
    <row r="56" spans="1:5">
      <c r="A56" t="str">
        <f t="shared" si="0"/>
        <v>DIVAR IP Expansion License Lite base for DIVAR IP AIO 5000</v>
      </c>
      <c r="B56" t="s">
        <v>1255</v>
      </c>
      <c r="C56" t="s">
        <v>1252</v>
      </c>
      <c r="D56" t="s">
        <v>1234</v>
      </c>
      <c r="E56" t="s">
        <v>1239</v>
      </c>
    </row>
    <row r="57" spans="1:5">
      <c r="A57" t="str">
        <f t="shared" si="0"/>
        <v>DIVAR IP Expansion License Plus base for DIP AIO 6000-7000</v>
      </c>
      <c r="B57" t="s">
        <v>1257</v>
      </c>
      <c r="C57" t="s">
        <v>1256</v>
      </c>
      <c r="D57" t="s">
        <v>1234</v>
      </c>
      <c r="E57" t="s">
        <v>1258</v>
      </c>
    </row>
    <row r="58" spans="1:5">
      <c r="A58" t="str">
        <f t="shared" ref="A58:A110" si="1">D58&amp;" "&amp;E58</f>
        <v>DIVAR IP Expansion OLD License Camera/decoder expansion</v>
      </c>
      <c r="B58" t="s">
        <v>1534</v>
      </c>
      <c r="C58" t="s">
        <v>1533</v>
      </c>
      <c r="D58" s="29" t="s">
        <v>1537</v>
      </c>
      <c r="E58" t="s">
        <v>928</v>
      </c>
    </row>
    <row r="59" spans="1:5">
      <c r="A59" t="str">
        <f t="shared" si="1"/>
        <v>DIVAR IP Expansion OLD License Upgrade to maximum 128 channels</v>
      </c>
      <c r="B59" s="29" t="s">
        <v>1536</v>
      </c>
      <c r="C59" t="s">
        <v>1535</v>
      </c>
      <c r="D59" s="29" t="s">
        <v>1537</v>
      </c>
      <c r="E59" t="s">
        <v>1529</v>
      </c>
    </row>
    <row r="60" spans="1:5">
      <c r="A60" t="str">
        <f t="shared" si="1"/>
        <v>DIVAR IP Expansion OLD License Workstation expansion</v>
      </c>
      <c r="B60" t="s">
        <v>1263</v>
      </c>
      <c r="C60" t="s">
        <v>1244</v>
      </c>
      <c r="D60" s="29" t="s">
        <v>1537</v>
      </c>
      <c r="E60" t="s">
        <v>922</v>
      </c>
    </row>
    <row r="61" spans="1:5">
      <c r="A61" t="str">
        <f t="shared" si="1"/>
        <v>DIVAR IP Expansion OLD License DVR expansion</v>
      </c>
      <c r="B61" t="s">
        <v>1264</v>
      </c>
      <c r="C61" t="s">
        <v>1245</v>
      </c>
      <c r="D61" s="29" t="s">
        <v>1537</v>
      </c>
      <c r="E61" t="s">
        <v>923</v>
      </c>
    </row>
    <row r="62" spans="1:5">
      <c r="A62" t="str">
        <f t="shared" si="1"/>
        <v>DIVAR IP Expansion OLD License Keyboard expansion</v>
      </c>
      <c r="B62" t="s">
        <v>1265</v>
      </c>
      <c r="C62" t="s">
        <v>1246</v>
      </c>
      <c r="D62" s="29" t="s">
        <v>1537</v>
      </c>
      <c r="E62" t="s">
        <v>924</v>
      </c>
    </row>
    <row r="63" spans="1:5">
      <c r="A63" t="str">
        <f t="shared" si="1"/>
        <v>DIVAR IP Expansion OLD License Mobile video service expansion</v>
      </c>
      <c r="B63" t="s">
        <v>1267</v>
      </c>
      <c r="C63" t="s">
        <v>1248</v>
      </c>
      <c r="D63" s="29" t="s">
        <v>1537</v>
      </c>
      <c r="E63" t="s">
        <v>925</v>
      </c>
    </row>
    <row r="64" spans="1:5">
      <c r="A64" t="str">
        <f t="shared" si="1"/>
        <v>DIVAR IP Expansion OLD License Intrusion panel expansion</v>
      </c>
      <c r="B64" t="s">
        <v>1268</v>
      </c>
      <c r="C64" t="s">
        <v>1249</v>
      </c>
      <c r="D64" s="29" t="s">
        <v>1537</v>
      </c>
      <c r="E64" t="s">
        <v>926</v>
      </c>
    </row>
    <row r="65" spans="1:5">
      <c r="A65" t="str">
        <f t="shared" si="1"/>
        <v>DIVAR IP Expansion License Site expansion</v>
      </c>
      <c r="B65" s="29" t="s">
        <v>1539</v>
      </c>
      <c r="C65" s="29" t="s">
        <v>1538</v>
      </c>
      <c r="D65" t="s">
        <v>1234</v>
      </c>
      <c r="E65" t="s">
        <v>927</v>
      </c>
    </row>
    <row r="66" spans="1:5">
      <c r="A66" t="str">
        <f t="shared" si="1"/>
        <v>BVMS Lite 10.1 License Lite base</v>
      </c>
      <c r="B66" t="s">
        <v>1740</v>
      </c>
      <c r="C66" t="s">
        <v>1693</v>
      </c>
      <c r="D66" t="s">
        <v>1787</v>
      </c>
      <c r="E66" t="s">
        <v>1217</v>
      </c>
    </row>
    <row r="67" spans="1:5">
      <c r="A67" t="str">
        <f t="shared" si="1"/>
        <v>BVMS Lite 10.1 License DVR expansion</v>
      </c>
      <c r="B67" t="s">
        <v>1741</v>
      </c>
      <c r="C67" t="s">
        <v>1694</v>
      </c>
      <c r="D67" t="s">
        <v>1787</v>
      </c>
      <c r="E67" t="s">
        <v>923</v>
      </c>
    </row>
    <row r="68" spans="1:5">
      <c r="A68" t="str">
        <f t="shared" si="1"/>
        <v>BVMS Lite 10.1 License Camera/decoder expansion</v>
      </c>
      <c r="B68" t="s">
        <v>1742</v>
      </c>
      <c r="C68" t="s">
        <v>1695</v>
      </c>
      <c r="D68" t="s">
        <v>1787</v>
      </c>
      <c r="E68" t="s">
        <v>928</v>
      </c>
    </row>
    <row r="69" spans="1:5">
      <c r="A69" t="str">
        <f t="shared" si="1"/>
        <v>BVMS Lite 10.1 License Camera dual recording expansion</v>
      </c>
      <c r="B69" t="s">
        <v>1743</v>
      </c>
      <c r="C69" t="s">
        <v>1696</v>
      </c>
      <c r="D69" t="s">
        <v>1787</v>
      </c>
      <c r="E69" t="s">
        <v>921</v>
      </c>
    </row>
    <row r="70" spans="1:5">
      <c r="A70" t="str">
        <f t="shared" si="1"/>
        <v>BVMS Lite 10.1 License VRM Failover channel expansion</v>
      </c>
      <c r="B70" t="s">
        <v>1744</v>
      </c>
      <c r="C70" t="s">
        <v>1697</v>
      </c>
      <c r="D70" t="s">
        <v>1787</v>
      </c>
      <c r="E70" t="s">
        <v>933</v>
      </c>
    </row>
    <row r="71" spans="1:5">
      <c r="A71" t="str">
        <f t="shared" si="1"/>
        <v>BVMS Lite 10.1 License Intrusion panel expansion</v>
      </c>
      <c r="B71" t="s">
        <v>1745</v>
      </c>
      <c r="C71" t="s">
        <v>1698</v>
      </c>
      <c r="D71" t="s">
        <v>1787</v>
      </c>
      <c r="E71" t="s">
        <v>926</v>
      </c>
    </row>
    <row r="72" spans="1:5">
      <c r="A72" t="str">
        <f t="shared" si="1"/>
        <v>BVMS Lite 10.1 License Keyboard expansion</v>
      </c>
      <c r="B72" t="s">
        <v>1746</v>
      </c>
      <c r="C72" t="s">
        <v>1699</v>
      </c>
      <c r="D72" t="s">
        <v>1787</v>
      </c>
      <c r="E72" t="s">
        <v>924</v>
      </c>
    </row>
    <row r="73" spans="1:5">
      <c r="A73" t="str">
        <f t="shared" si="1"/>
        <v>BVMS Lite 10.1 License Workstation expansion</v>
      </c>
      <c r="B73" t="s">
        <v>1747</v>
      </c>
      <c r="C73" t="s">
        <v>1700</v>
      </c>
      <c r="D73" t="s">
        <v>1787</v>
      </c>
      <c r="E73" t="s">
        <v>922</v>
      </c>
    </row>
    <row r="74" spans="1:5">
      <c r="A74" t="str">
        <f t="shared" si="1"/>
        <v>BVMS Lite 10.1 License Person ident. channel expansion</v>
      </c>
      <c r="B74" t="s">
        <v>1748</v>
      </c>
      <c r="C74" t="s">
        <v>1701</v>
      </c>
      <c r="D74" t="s">
        <v>1787</v>
      </c>
      <c r="E74" t="s">
        <v>1240</v>
      </c>
    </row>
    <row r="75" spans="1:5">
      <c r="A75" t="str">
        <f t="shared" si="1"/>
        <v>BVMS Lite 10.1 License Site expansion</v>
      </c>
      <c r="B75" t="s">
        <v>1749</v>
      </c>
      <c r="C75" t="s">
        <v>1702</v>
      </c>
      <c r="D75" t="s">
        <v>1787</v>
      </c>
      <c r="E75" t="s">
        <v>927</v>
      </c>
    </row>
    <row r="76" spans="1:5">
      <c r="A76" t="str">
        <f t="shared" si="1"/>
        <v>BVMS Lite 10.1 License LPR camera expansion</v>
      </c>
      <c r="B76" t="s">
        <v>1750</v>
      </c>
      <c r="C76" t="s">
        <v>1703</v>
      </c>
      <c r="D76" t="s">
        <v>1787</v>
      </c>
      <c r="E76" t="s">
        <v>1792</v>
      </c>
    </row>
    <row r="77" spans="1:5">
      <c r="A77" t="str">
        <f t="shared" si="1"/>
        <v>BVMS Software Maintenance License for MBV-XLPRLIT-*, 1yr</v>
      </c>
      <c r="B77" t="s">
        <v>1751</v>
      </c>
      <c r="C77" t="s">
        <v>1704</v>
      </c>
      <c r="D77" t="s">
        <v>1788</v>
      </c>
      <c r="E77" t="s">
        <v>1793</v>
      </c>
    </row>
    <row r="78" spans="1:5">
      <c r="A78" t="str">
        <f t="shared" si="1"/>
        <v>BVMS Plus 10.1 License Plus base</v>
      </c>
      <c r="B78" t="s">
        <v>1752</v>
      </c>
      <c r="C78" t="s">
        <v>1705</v>
      </c>
      <c r="D78" t="s">
        <v>1789</v>
      </c>
      <c r="E78" t="s">
        <v>1184</v>
      </c>
    </row>
    <row r="79" spans="1:5">
      <c r="A79" t="str">
        <f t="shared" si="1"/>
        <v>BVMS Plus 10.1 License DVR expansion</v>
      </c>
      <c r="B79" t="s">
        <v>1753</v>
      </c>
      <c r="C79" t="s">
        <v>1706</v>
      </c>
      <c r="D79" t="s">
        <v>1789</v>
      </c>
      <c r="E79" t="s">
        <v>923</v>
      </c>
    </row>
    <row r="80" spans="1:5">
      <c r="A80" t="str">
        <f t="shared" si="1"/>
        <v>BVMS Plus 10.1 License Camera/decoder expansion</v>
      </c>
      <c r="B80" t="s">
        <v>1754</v>
      </c>
      <c r="C80" t="s">
        <v>1707</v>
      </c>
      <c r="D80" t="s">
        <v>1789</v>
      </c>
      <c r="E80" t="s">
        <v>928</v>
      </c>
    </row>
    <row r="81" spans="1:5">
      <c r="A81" t="str">
        <f t="shared" si="1"/>
        <v>BVMS Plus 10.1 License Camera dual recording expansion</v>
      </c>
      <c r="B81" t="s">
        <v>1755</v>
      </c>
      <c r="C81" t="s">
        <v>1708</v>
      </c>
      <c r="D81" t="s">
        <v>1789</v>
      </c>
      <c r="E81" t="s">
        <v>921</v>
      </c>
    </row>
    <row r="82" spans="1:5">
      <c r="A82" t="str">
        <f t="shared" si="1"/>
        <v>BVMS Plus 10.1 License VRM Failover channel expansion</v>
      </c>
      <c r="B82" t="s">
        <v>1756</v>
      </c>
      <c r="C82" t="s">
        <v>1709</v>
      </c>
      <c r="D82" t="s">
        <v>1789</v>
      </c>
      <c r="E82" t="s">
        <v>933</v>
      </c>
    </row>
    <row r="83" spans="1:5">
      <c r="A83" t="str">
        <f t="shared" si="1"/>
        <v>BVMS Plus 10.1 License Intrusion panel expansion</v>
      </c>
      <c r="B83" t="s">
        <v>1757</v>
      </c>
      <c r="C83" t="s">
        <v>1710</v>
      </c>
      <c r="D83" t="s">
        <v>1789</v>
      </c>
      <c r="E83" t="s">
        <v>926</v>
      </c>
    </row>
    <row r="84" spans="1:5">
      <c r="A84" t="str">
        <f t="shared" si="1"/>
        <v>BVMS Plus 10.1 License Keyboard expansion</v>
      </c>
      <c r="B84" t="s">
        <v>1758</v>
      </c>
      <c r="C84" t="s">
        <v>1711</v>
      </c>
      <c r="D84" t="s">
        <v>1789</v>
      </c>
      <c r="E84" t="s">
        <v>924</v>
      </c>
    </row>
    <row r="85" spans="1:5">
      <c r="A85" t="str">
        <f t="shared" si="1"/>
        <v>BVMS Plus 10.1 License Workstation expansion</v>
      </c>
      <c r="B85" t="s">
        <v>1759</v>
      </c>
      <c r="C85" t="s">
        <v>1712</v>
      </c>
      <c r="D85" t="s">
        <v>1789</v>
      </c>
      <c r="E85" t="s">
        <v>922</v>
      </c>
    </row>
    <row r="86" spans="1:5">
      <c r="A86" t="str">
        <f t="shared" si="1"/>
        <v>BVMS Plus 10.1 License Person ident. channel expansion</v>
      </c>
      <c r="B86" t="s">
        <v>1760</v>
      </c>
      <c r="C86" t="s">
        <v>1713</v>
      </c>
      <c r="D86" t="s">
        <v>1789</v>
      </c>
      <c r="E86" t="s">
        <v>1240</v>
      </c>
    </row>
    <row r="87" spans="1:5">
      <c r="A87" t="str">
        <f t="shared" si="1"/>
        <v>BVMS Plus 10.1 License Site expansion</v>
      </c>
      <c r="B87" t="s">
        <v>1761</v>
      </c>
      <c r="C87" t="s">
        <v>1714</v>
      </c>
      <c r="D87" t="s">
        <v>1789</v>
      </c>
      <c r="E87" t="s">
        <v>927</v>
      </c>
    </row>
    <row r="88" spans="1:5">
      <c r="A88" t="str">
        <f t="shared" si="1"/>
        <v>BVMS Plus 10.1 License Subsystem expansion</v>
      </c>
      <c r="B88" t="s">
        <v>1762</v>
      </c>
      <c r="C88" t="s">
        <v>1715</v>
      </c>
      <c r="D88" t="s">
        <v>1789</v>
      </c>
      <c r="E88" t="s">
        <v>1794</v>
      </c>
    </row>
    <row r="89" spans="1:5">
      <c r="A89" t="str">
        <f t="shared" si="1"/>
        <v>BVMS Plus 10.1 License LPR camera expansion</v>
      </c>
      <c r="B89" t="s">
        <v>1763</v>
      </c>
      <c r="C89" t="s">
        <v>1716</v>
      </c>
      <c r="D89" t="s">
        <v>1789</v>
      </c>
      <c r="E89" t="s">
        <v>1792</v>
      </c>
    </row>
    <row r="90" spans="1:5">
      <c r="A90" t="str">
        <f t="shared" si="1"/>
        <v>BVMS Plus 10.1 License Mobile video service expansion</v>
      </c>
      <c r="B90" t="s">
        <v>1764</v>
      </c>
      <c r="C90" t="s">
        <v>1717</v>
      </c>
      <c r="D90" t="s">
        <v>1789</v>
      </c>
      <c r="E90" t="s">
        <v>925</v>
      </c>
    </row>
    <row r="91" spans="1:5">
      <c r="A91" t="str">
        <f t="shared" si="1"/>
        <v>BVMS Software Maintenance License for MBV-XSUBPLU-*, 1yr</v>
      </c>
      <c r="B91" t="s">
        <v>1765</v>
      </c>
      <c r="C91" t="s">
        <v>1718</v>
      </c>
      <c r="D91" t="s">
        <v>1788</v>
      </c>
      <c r="E91" t="s">
        <v>1795</v>
      </c>
    </row>
    <row r="92" spans="1:5">
      <c r="A92" t="str">
        <f t="shared" si="1"/>
        <v>BVMS Software Maintenance License for MBV-XLPRPLU-*, 1yr</v>
      </c>
      <c r="B92" t="s">
        <v>1766</v>
      </c>
      <c r="C92" t="s">
        <v>1719</v>
      </c>
      <c r="D92" t="s">
        <v>1788</v>
      </c>
      <c r="E92" t="s">
        <v>1796</v>
      </c>
    </row>
    <row r="93" spans="1:5">
      <c r="A93" t="str">
        <f t="shared" si="1"/>
        <v>BVMS Professional 10.1 License Professional base</v>
      </c>
      <c r="B93" t="s">
        <v>1767</v>
      </c>
      <c r="C93" t="s">
        <v>1720</v>
      </c>
      <c r="D93" t="s">
        <v>1790</v>
      </c>
      <c r="E93" t="s">
        <v>1147</v>
      </c>
    </row>
    <row r="94" spans="1:5">
      <c r="A94" t="str">
        <f t="shared" si="1"/>
        <v>BVMS Professional 10.1 License DVR expansion</v>
      </c>
      <c r="B94" t="s">
        <v>1768</v>
      </c>
      <c r="C94" t="s">
        <v>1721</v>
      </c>
      <c r="D94" t="s">
        <v>1790</v>
      </c>
      <c r="E94" t="s">
        <v>923</v>
      </c>
    </row>
    <row r="95" spans="1:5">
      <c r="A95" t="str">
        <f t="shared" si="1"/>
        <v>BVMS Professional 10.1 License Camera/decoder expansion</v>
      </c>
      <c r="B95" t="s">
        <v>1769</v>
      </c>
      <c r="C95" t="s">
        <v>1722</v>
      </c>
      <c r="D95" t="s">
        <v>1790</v>
      </c>
      <c r="E95" t="s">
        <v>928</v>
      </c>
    </row>
    <row r="96" spans="1:5">
      <c r="A96" t="str">
        <f t="shared" si="1"/>
        <v>BVMS Professional 10.1 License Camera dual recording expansion</v>
      </c>
      <c r="B96" t="s">
        <v>1770</v>
      </c>
      <c r="C96" t="s">
        <v>1723</v>
      </c>
      <c r="D96" t="s">
        <v>1790</v>
      </c>
      <c r="E96" t="s">
        <v>921</v>
      </c>
    </row>
    <row r="97" spans="1:5">
      <c r="A97" t="str">
        <f t="shared" si="1"/>
        <v>BVMS Professional 10.1 License VRM Failover channel expansion</v>
      </c>
      <c r="B97" t="s">
        <v>1771</v>
      </c>
      <c r="C97" t="s">
        <v>1724</v>
      </c>
      <c r="D97" t="s">
        <v>1790</v>
      </c>
      <c r="E97" t="s">
        <v>933</v>
      </c>
    </row>
    <row r="98" spans="1:5">
      <c r="A98" t="str">
        <f t="shared" si="1"/>
        <v>BVMS Professional 10.1 License Intrusion panel expansion</v>
      </c>
      <c r="B98" t="s">
        <v>1772</v>
      </c>
      <c r="C98" t="s">
        <v>1725</v>
      </c>
      <c r="D98" t="s">
        <v>1790</v>
      </c>
      <c r="E98" t="s">
        <v>926</v>
      </c>
    </row>
    <row r="99" spans="1:5">
      <c r="A99" t="str">
        <f t="shared" si="1"/>
        <v>BVMS Professional 10.1 License Keyboard expansion</v>
      </c>
      <c r="B99" t="s">
        <v>1773</v>
      </c>
      <c r="C99" t="s">
        <v>1726</v>
      </c>
      <c r="D99" t="s">
        <v>1790</v>
      </c>
      <c r="E99" t="s">
        <v>924</v>
      </c>
    </row>
    <row r="100" spans="1:5">
      <c r="A100" t="str">
        <f t="shared" si="1"/>
        <v>BVMS Professional 10.1 License Workstation expansion</v>
      </c>
      <c r="B100" t="s">
        <v>1774</v>
      </c>
      <c r="C100" t="s">
        <v>1727</v>
      </c>
      <c r="D100" t="s">
        <v>1790</v>
      </c>
      <c r="E100" t="s">
        <v>922</v>
      </c>
    </row>
    <row r="101" spans="1:5">
      <c r="A101" t="str">
        <f t="shared" si="1"/>
        <v>BVMS Professional 10.1 License Person ident. channel expansion</v>
      </c>
      <c r="B101" t="s">
        <v>1775</v>
      </c>
      <c r="C101" t="s">
        <v>1728</v>
      </c>
      <c r="D101" t="s">
        <v>1790</v>
      </c>
      <c r="E101" t="s">
        <v>1240</v>
      </c>
    </row>
    <row r="102" spans="1:5">
      <c r="A102" t="str">
        <f t="shared" si="1"/>
        <v>BVMS Professional 10.1 License Site expansion</v>
      </c>
      <c r="B102" t="s">
        <v>1776</v>
      </c>
      <c r="C102" t="s">
        <v>1729</v>
      </c>
      <c r="D102" t="s">
        <v>1790</v>
      </c>
      <c r="E102" t="s">
        <v>927</v>
      </c>
    </row>
    <row r="103" spans="1:5">
      <c r="A103" t="str">
        <f t="shared" si="1"/>
        <v>BVMS Professional 10.1 License Enterprise subsystem expansion</v>
      </c>
      <c r="B103" t="s">
        <v>1777</v>
      </c>
      <c r="C103" t="s">
        <v>1730</v>
      </c>
      <c r="D103" t="s">
        <v>1790</v>
      </c>
      <c r="E103" t="s">
        <v>930</v>
      </c>
    </row>
    <row r="104" spans="1:5">
      <c r="A104" t="str">
        <f t="shared" si="1"/>
        <v>BVMS Professional 10.1 License LPR camera expansion</v>
      </c>
      <c r="B104" t="s">
        <v>1778</v>
      </c>
      <c r="C104" t="s">
        <v>1731</v>
      </c>
      <c r="D104" t="s">
        <v>1790</v>
      </c>
      <c r="E104" t="s">
        <v>1792</v>
      </c>
    </row>
    <row r="105" spans="1:5">
      <c r="A105" t="str">
        <f t="shared" si="1"/>
        <v>BVMS Professional 10.1 License Mobile video service expansion</v>
      </c>
      <c r="B105" t="s">
        <v>1779</v>
      </c>
      <c r="C105" t="s">
        <v>1732</v>
      </c>
      <c r="D105" t="s">
        <v>1790</v>
      </c>
      <c r="E105" t="s">
        <v>925</v>
      </c>
    </row>
    <row r="106" spans="1:5">
      <c r="A106" t="str">
        <f t="shared" si="1"/>
        <v>BVMS Professional 10.1 License Workstation expansion</v>
      </c>
      <c r="B106" t="s">
        <v>1780</v>
      </c>
      <c r="C106" t="s">
        <v>1733</v>
      </c>
      <c r="D106" t="s">
        <v>1790</v>
      </c>
      <c r="E106" t="s">
        <v>922</v>
      </c>
    </row>
    <row r="107" spans="1:5">
      <c r="A107" t="str">
        <f t="shared" si="1"/>
        <v>BVMS Professional 10.1 License Enterprise base</v>
      </c>
      <c r="B107" t="s">
        <v>1781</v>
      </c>
      <c r="C107" t="s">
        <v>1734</v>
      </c>
      <c r="D107" t="s">
        <v>1790</v>
      </c>
      <c r="E107" t="s">
        <v>1150</v>
      </c>
    </row>
    <row r="108" spans="1:5">
      <c r="A108" t="str">
        <f t="shared" si="1"/>
        <v>BVMS Software Maintenance License for MBV-XLPR-*, 1yr</v>
      </c>
      <c r="B108" t="s">
        <v>1782</v>
      </c>
      <c r="C108" t="s">
        <v>1735</v>
      </c>
      <c r="D108" t="s">
        <v>1788</v>
      </c>
      <c r="E108" t="s">
        <v>1797</v>
      </c>
    </row>
    <row r="109" spans="1:5">
      <c r="A109" t="str">
        <f t="shared" si="1"/>
        <v>BVMS Viewer 10.1 License Viewer base</v>
      </c>
      <c r="B109" t="s">
        <v>1783</v>
      </c>
      <c r="C109" t="s">
        <v>1736</v>
      </c>
      <c r="D109" t="s">
        <v>1791</v>
      </c>
      <c r="E109" t="s">
        <v>1798</v>
      </c>
    </row>
    <row r="110" spans="1:5">
      <c r="A110" t="str">
        <f t="shared" si="1"/>
        <v>BVMS Software Maintenance License for MBV-BWVR-*, 1yr</v>
      </c>
      <c r="B110" t="s">
        <v>1784</v>
      </c>
      <c r="C110" t="s">
        <v>1737</v>
      </c>
      <c r="D110" t="s">
        <v>1788</v>
      </c>
      <c r="E110" t="s">
        <v>1799</v>
      </c>
    </row>
    <row r="111" spans="1:5">
      <c r="A111" t="str">
        <f t="shared" ref="A111:A152" si="2">D111&amp;" "&amp;E111</f>
        <v>DIVAR IP Expansion License LPR camera expansion</v>
      </c>
      <c r="B111" t="s">
        <v>1785</v>
      </c>
      <c r="C111" t="s">
        <v>1738</v>
      </c>
      <c r="D111" t="s">
        <v>1234</v>
      </c>
      <c r="E111" t="s">
        <v>1792</v>
      </c>
    </row>
    <row r="112" spans="1:5">
      <c r="A112" t="str">
        <f t="shared" si="2"/>
        <v>DIVAR IP Expansion License Subsystem expansion</v>
      </c>
      <c r="B112" t="s">
        <v>1786</v>
      </c>
      <c r="C112" t="s">
        <v>1739</v>
      </c>
      <c r="D112" t="s">
        <v>1234</v>
      </c>
      <c r="E112" t="s">
        <v>1794</v>
      </c>
    </row>
    <row r="113" spans="1:6">
      <c r="A113" t="str">
        <f t="shared" si="2"/>
        <v>BVMS Lite 11.0 License Lite base for DIVAR IP AIO 5000</v>
      </c>
      <c r="B113" t="s">
        <v>1255</v>
      </c>
      <c r="C113" t="s">
        <v>1252</v>
      </c>
      <c r="D113" t="s">
        <v>1851</v>
      </c>
      <c r="E113" t="s">
        <v>1239</v>
      </c>
      <c r="F113" s="239"/>
    </row>
    <row r="114" spans="1:6">
      <c r="A114" t="str">
        <f t="shared" si="2"/>
        <v>BVMS Lite 11.0 License Lite base</v>
      </c>
      <c r="B114" t="s">
        <v>1855</v>
      </c>
      <c r="C114" t="s">
        <v>1854</v>
      </c>
      <c r="D114" t="s">
        <v>1851</v>
      </c>
      <c r="E114" t="s">
        <v>1217</v>
      </c>
      <c r="F114" s="239"/>
    </row>
    <row r="115" spans="1:6">
      <c r="A115" t="str">
        <f t="shared" si="2"/>
        <v>BVMS Lite 11.0 License DVR expansion</v>
      </c>
      <c r="B115" t="s">
        <v>1858</v>
      </c>
      <c r="C115" t="s">
        <v>1856</v>
      </c>
      <c r="D115" t="s">
        <v>1851</v>
      </c>
      <c r="E115" t="s">
        <v>923</v>
      </c>
      <c r="F115" s="239"/>
    </row>
    <row r="116" spans="1:6">
      <c r="A116" t="str">
        <f t="shared" si="2"/>
        <v>BVMS Lite 11.0 License Camera/decoder expansion</v>
      </c>
      <c r="B116" t="s">
        <v>1859</v>
      </c>
      <c r="C116" t="s">
        <v>1860</v>
      </c>
      <c r="D116" t="s">
        <v>1851</v>
      </c>
      <c r="E116" t="s">
        <v>928</v>
      </c>
      <c r="F116" s="239"/>
    </row>
    <row r="117" spans="1:6">
      <c r="A117" t="str">
        <f t="shared" si="2"/>
        <v>BVMS Lite 11.0 License Camera dual recording expansion</v>
      </c>
      <c r="B117" t="s">
        <v>1883</v>
      </c>
      <c r="C117" t="s">
        <v>1861</v>
      </c>
      <c r="D117" t="s">
        <v>1851</v>
      </c>
      <c r="E117" t="s">
        <v>921</v>
      </c>
      <c r="F117" s="239"/>
    </row>
    <row r="118" spans="1:6">
      <c r="A118" t="str">
        <f t="shared" si="2"/>
        <v>BVMS Lite 11.0 License VRM Failover channel expansion</v>
      </c>
      <c r="B118" t="s">
        <v>1884</v>
      </c>
      <c r="C118" t="s">
        <v>1862</v>
      </c>
      <c r="D118" t="s">
        <v>1851</v>
      </c>
      <c r="E118" t="s">
        <v>933</v>
      </c>
      <c r="F118" s="239"/>
    </row>
    <row r="119" spans="1:6">
      <c r="A119" t="str">
        <f t="shared" si="2"/>
        <v>BVMS Lite 11.0 License Intrusion panel expansion</v>
      </c>
      <c r="B119" t="s">
        <v>1885</v>
      </c>
      <c r="C119" t="s">
        <v>1863</v>
      </c>
      <c r="D119" t="s">
        <v>1851</v>
      </c>
      <c r="E119" t="s">
        <v>926</v>
      </c>
      <c r="F119" s="239"/>
    </row>
    <row r="120" spans="1:6">
      <c r="A120" t="str">
        <f t="shared" si="2"/>
        <v>BVMS Lite 11.0 License Keyboard expansion</v>
      </c>
      <c r="B120" t="s">
        <v>1886</v>
      </c>
      <c r="C120" t="s">
        <v>1864</v>
      </c>
      <c r="D120" t="s">
        <v>1851</v>
      </c>
      <c r="E120" t="s">
        <v>924</v>
      </c>
      <c r="F120" s="239"/>
    </row>
    <row r="121" spans="1:6">
      <c r="A121" t="str">
        <f t="shared" si="2"/>
        <v>BVMS Lite 11.0 License Workstation expansion</v>
      </c>
      <c r="B121" t="s">
        <v>1887</v>
      </c>
      <c r="C121" t="s">
        <v>1865</v>
      </c>
      <c r="D121" t="s">
        <v>1851</v>
      </c>
      <c r="E121" t="s">
        <v>922</v>
      </c>
      <c r="F121" s="239"/>
    </row>
    <row r="122" spans="1:6">
      <c r="A122" t="str">
        <f t="shared" si="2"/>
        <v>BVMS Lite 11.0 License Person ident. channel expansion</v>
      </c>
      <c r="B122" t="s">
        <v>1888</v>
      </c>
      <c r="C122" t="s">
        <v>1866</v>
      </c>
      <c r="D122" t="s">
        <v>1851</v>
      </c>
      <c r="E122" t="s">
        <v>1240</v>
      </c>
      <c r="F122" s="239"/>
    </row>
    <row r="123" spans="1:6">
      <c r="A123" t="str">
        <f t="shared" si="2"/>
        <v>BVMS Lite 11.0 License LPR camera expansion</v>
      </c>
      <c r="B123" t="s">
        <v>1889</v>
      </c>
      <c r="C123" t="s">
        <v>1867</v>
      </c>
      <c r="D123" t="s">
        <v>1851</v>
      </c>
      <c r="E123" t="s">
        <v>1792</v>
      </c>
      <c r="F123" s="239"/>
    </row>
    <row r="124" spans="1:6">
      <c r="A124" t="str">
        <f t="shared" si="2"/>
        <v>BVMS Plus 11.0 License Plus base for DIVAR IP AIO 7000</v>
      </c>
      <c r="B124" t="s">
        <v>1936</v>
      </c>
      <c r="C124" t="s">
        <v>1256</v>
      </c>
      <c r="D124" t="s">
        <v>1852</v>
      </c>
      <c r="E124" t="s">
        <v>1935</v>
      </c>
      <c r="F124" s="239"/>
    </row>
    <row r="125" spans="1:6">
      <c r="A125" t="str">
        <f t="shared" si="2"/>
        <v>BVMS Plus 11.0 License Plus base</v>
      </c>
      <c r="B125" t="s">
        <v>1890</v>
      </c>
      <c r="C125" t="s">
        <v>1868</v>
      </c>
      <c r="D125" t="s">
        <v>1852</v>
      </c>
      <c r="E125" t="s">
        <v>1184</v>
      </c>
      <c r="F125" s="239"/>
    </row>
    <row r="126" spans="1:6">
      <c r="A126" t="str">
        <f t="shared" si="2"/>
        <v>BVMS Plus 11.0 License DVR expansion</v>
      </c>
      <c r="B126" t="s">
        <v>1857</v>
      </c>
      <c r="C126" t="s">
        <v>1869</v>
      </c>
      <c r="D126" t="s">
        <v>1852</v>
      </c>
      <c r="E126" t="s">
        <v>923</v>
      </c>
      <c r="F126" s="239"/>
    </row>
    <row r="127" spans="1:6">
      <c r="A127" t="str">
        <f t="shared" si="2"/>
        <v>BVMS Plus 11.0 License Camera/decoder expansion</v>
      </c>
      <c r="B127" t="s">
        <v>1891</v>
      </c>
      <c r="C127" t="s">
        <v>1870</v>
      </c>
      <c r="D127" t="s">
        <v>1852</v>
      </c>
      <c r="E127" t="s">
        <v>928</v>
      </c>
      <c r="F127" s="239"/>
    </row>
    <row r="128" spans="1:6">
      <c r="A128" t="str">
        <f t="shared" si="2"/>
        <v>BVMS Plus 11.0 License Camera dual recording expansion</v>
      </c>
      <c r="B128" t="s">
        <v>1892</v>
      </c>
      <c r="C128" t="s">
        <v>1871</v>
      </c>
      <c r="D128" t="s">
        <v>1852</v>
      </c>
      <c r="E128" t="s">
        <v>921</v>
      </c>
      <c r="F128" s="239"/>
    </row>
    <row r="129" spans="1:6">
      <c r="A129" t="str">
        <f t="shared" si="2"/>
        <v>BVMS Plus 11.0 License VRM Failover channel expansion</v>
      </c>
      <c r="B129" t="s">
        <v>1893</v>
      </c>
      <c r="C129" t="s">
        <v>1872</v>
      </c>
      <c r="D129" t="s">
        <v>1852</v>
      </c>
      <c r="E129" t="s">
        <v>933</v>
      </c>
      <c r="F129" s="239"/>
    </row>
    <row r="130" spans="1:6">
      <c r="A130" t="str">
        <f t="shared" si="2"/>
        <v>BVMS Plus 11.0 License Intrusion panel expansion</v>
      </c>
      <c r="B130" t="s">
        <v>1894</v>
      </c>
      <c r="C130" t="s">
        <v>1873</v>
      </c>
      <c r="D130" t="s">
        <v>1852</v>
      </c>
      <c r="E130" t="s">
        <v>926</v>
      </c>
      <c r="F130" s="239"/>
    </row>
    <row r="131" spans="1:6">
      <c r="A131" t="str">
        <f t="shared" si="2"/>
        <v>BVMS Plus 11.0 License Keyboard expansion</v>
      </c>
      <c r="B131" t="s">
        <v>1895</v>
      </c>
      <c r="C131" t="s">
        <v>1874</v>
      </c>
      <c r="D131" t="s">
        <v>1852</v>
      </c>
      <c r="E131" t="s">
        <v>924</v>
      </c>
      <c r="F131" s="239"/>
    </row>
    <row r="132" spans="1:6">
      <c r="A132" t="str">
        <f t="shared" si="2"/>
        <v>BVMS Plus 11.0 License Workstation expansion</v>
      </c>
      <c r="B132" t="s">
        <v>1896</v>
      </c>
      <c r="C132" t="s">
        <v>1875</v>
      </c>
      <c r="D132" t="s">
        <v>1852</v>
      </c>
      <c r="E132" t="s">
        <v>922</v>
      </c>
      <c r="F132" s="239"/>
    </row>
    <row r="133" spans="1:6">
      <c r="A133" t="str">
        <f t="shared" si="2"/>
        <v>BVMS Plus 11.0 License Person ident. channel expansion</v>
      </c>
      <c r="B133" t="s">
        <v>1897</v>
      </c>
      <c r="C133" t="s">
        <v>1876</v>
      </c>
      <c r="D133" t="s">
        <v>1852</v>
      </c>
      <c r="E133" t="s">
        <v>1240</v>
      </c>
      <c r="F133" s="239"/>
    </row>
    <row r="134" spans="1:6">
      <c r="A134" t="str">
        <f t="shared" si="2"/>
        <v>BVMS Plus 11.0 License Site expansion</v>
      </c>
      <c r="B134" t="s">
        <v>1898</v>
      </c>
      <c r="C134" t="s">
        <v>1877</v>
      </c>
      <c r="D134" t="s">
        <v>1852</v>
      </c>
      <c r="E134" t="s">
        <v>927</v>
      </c>
      <c r="F134" s="239"/>
    </row>
    <row r="135" spans="1:6">
      <c r="A135" t="str">
        <f t="shared" si="2"/>
        <v>BVMS Plus 11.0 License Enterprise subsystem expansion</v>
      </c>
      <c r="B135" t="s">
        <v>1899</v>
      </c>
      <c r="C135" t="s">
        <v>1878</v>
      </c>
      <c r="D135" t="s">
        <v>1852</v>
      </c>
      <c r="E135" t="s">
        <v>930</v>
      </c>
      <c r="F135" s="239"/>
    </row>
    <row r="136" spans="1:6">
      <c r="A136" t="str">
        <f t="shared" si="2"/>
        <v>BVMS Plus 11.0 License LPR camera expansion</v>
      </c>
      <c r="B136" t="s">
        <v>1900</v>
      </c>
      <c r="C136" t="s">
        <v>1879</v>
      </c>
      <c r="D136" t="s">
        <v>1852</v>
      </c>
      <c r="E136" t="s">
        <v>1792</v>
      </c>
      <c r="F136" s="239"/>
    </row>
    <row r="137" spans="1:6">
      <c r="A137" t="str">
        <f t="shared" si="2"/>
        <v>BVMS Plus 11.0 License Mobile video service expansion</v>
      </c>
      <c r="B137" t="s">
        <v>1901</v>
      </c>
      <c r="C137" t="s">
        <v>1880</v>
      </c>
      <c r="D137" t="s">
        <v>1852</v>
      </c>
      <c r="E137" t="s">
        <v>925</v>
      </c>
      <c r="F137" s="239"/>
    </row>
    <row r="138" spans="1:6">
      <c r="A138" t="str">
        <f t="shared" si="2"/>
        <v>BVMS Professional 11.0 License Professional base</v>
      </c>
      <c r="B138" t="s">
        <v>1902</v>
      </c>
      <c r="C138" t="s">
        <v>1881</v>
      </c>
      <c r="D138" t="s">
        <v>1850</v>
      </c>
      <c r="E138" t="s">
        <v>1147</v>
      </c>
      <c r="F138" s="239"/>
    </row>
    <row r="139" spans="1:6">
      <c r="A139" t="str">
        <f t="shared" si="2"/>
        <v>BVMS Professional 11.0 License DVR expansion</v>
      </c>
      <c r="B139" t="s">
        <v>1903</v>
      </c>
      <c r="C139" t="s">
        <v>1904</v>
      </c>
      <c r="D139" t="s">
        <v>1850</v>
      </c>
      <c r="E139" t="s">
        <v>923</v>
      </c>
      <c r="F139" s="239"/>
    </row>
    <row r="140" spans="1:6">
      <c r="A140" t="str">
        <f t="shared" si="2"/>
        <v>BVMS Professional 11.0 License Camera/decoder expansion</v>
      </c>
      <c r="B140" t="s">
        <v>1917</v>
      </c>
      <c r="C140" t="s">
        <v>1905</v>
      </c>
      <c r="D140" t="s">
        <v>1850</v>
      </c>
      <c r="E140" t="s">
        <v>928</v>
      </c>
      <c r="F140" s="239"/>
    </row>
    <row r="141" spans="1:6">
      <c r="A141" t="str">
        <f t="shared" si="2"/>
        <v>BVMS Professional 11.0 License Camera dual recording expansion</v>
      </c>
      <c r="B141" t="s">
        <v>1918</v>
      </c>
      <c r="C141" t="s">
        <v>1906</v>
      </c>
      <c r="D141" t="s">
        <v>1850</v>
      </c>
      <c r="E141" t="s">
        <v>921</v>
      </c>
      <c r="F141" s="239"/>
    </row>
    <row r="142" spans="1:6">
      <c r="A142" t="str">
        <f t="shared" si="2"/>
        <v>BVMS Professional 11.0 License VRM Failover channel expansion</v>
      </c>
      <c r="B142" t="s">
        <v>1919</v>
      </c>
      <c r="C142" t="s">
        <v>1907</v>
      </c>
      <c r="D142" t="s">
        <v>1850</v>
      </c>
      <c r="E142" t="s">
        <v>933</v>
      </c>
      <c r="F142" s="239"/>
    </row>
    <row r="143" spans="1:6">
      <c r="A143" t="str">
        <f t="shared" si="2"/>
        <v>BVMS Professional 11.0 License Intrusion panel expansion</v>
      </c>
      <c r="B143" t="s">
        <v>1920</v>
      </c>
      <c r="C143" t="s">
        <v>1908</v>
      </c>
      <c r="D143" t="s">
        <v>1850</v>
      </c>
      <c r="E143" t="s">
        <v>926</v>
      </c>
      <c r="F143" s="239"/>
    </row>
    <row r="144" spans="1:6">
      <c r="A144" t="str">
        <f t="shared" si="2"/>
        <v>BVMS Professional 11.0 License Keyboard expansion</v>
      </c>
      <c r="B144" t="s">
        <v>1921</v>
      </c>
      <c r="C144" t="s">
        <v>1909</v>
      </c>
      <c r="D144" t="s">
        <v>1850</v>
      </c>
      <c r="E144" t="s">
        <v>924</v>
      </c>
      <c r="F144" s="239"/>
    </row>
    <row r="145" spans="1:6">
      <c r="A145" t="str">
        <f t="shared" si="2"/>
        <v>BVMS Professional 11.0 License Workstation expansion</v>
      </c>
      <c r="B145" t="s">
        <v>1922</v>
      </c>
      <c r="C145" t="s">
        <v>1910</v>
      </c>
      <c r="D145" t="s">
        <v>1850</v>
      </c>
      <c r="E145" t="s">
        <v>922</v>
      </c>
      <c r="F145" s="239"/>
    </row>
    <row r="146" spans="1:6">
      <c r="A146" t="str">
        <f t="shared" si="2"/>
        <v>BVMS Professional 11.0 License Person ident. channel expansion</v>
      </c>
      <c r="B146" t="s">
        <v>1923</v>
      </c>
      <c r="C146" t="s">
        <v>1911</v>
      </c>
      <c r="D146" t="s">
        <v>1850</v>
      </c>
      <c r="E146" t="s">
        <v>1240</v>
      </c>
      <c r="F146" s="239"/>
    </row>
    <row r="147" spans="1:6">
      <c r="A147" t="str">
        <f t="shared" si="2"/>
        <v>BVMS Professional 11.0 License Site expansion</v>
      </c>
      <c r="B147" t="s">
        <v>1924</v>
      </c>
      <c r="C147" t="s">
        <v>1912</v>
      </c>
      <c r="D147" t="s">
        <v>1850</v>
      </c>
      <c r="E147" t="s">
        <v>927</v>
      </c>
      <c r="F147" s="239"/>
    </row>
    <row r="148" spans="1:6">
      <c r="A148" t="str">
        <f t="shared" si="2"/>
        <v>BVMS Professional 11.0 License Enterprise subsystem expansion</v>
      </c>
      <c r="B148" t="s">
        <v>1925</v>
      </c>
      <c r="C148" t="s">
        <v>1913</v>
      </c>
      <c r="D148" t="s">
        <v>1850</v>
      </c>
      <c r="E148" t="s">
        <v>930</v>
      </c>
      <c r="F148" s="239"/>
    </row>
    <row r="149" spans="1:6">
      <c r="A149" t="str">
        <f t="shared" si="2"/>
        <v>BVMS Professional 11.0 License LPR camera expansion</v>
      </c>
      <c r="B149" t="s">
        <v>1926</v>
      </c>
      <c r="C149" t="s">
        <v>1914</v>
      </c>
      <c r="D149" t="s">
        <v>1850</v>
      </c>
      <c r="E149" t="s">
        <v>1792</v>
      </c>
      <c r="F149" s="239"/>
    </row>
    <row r="150" spans="1:6">
      <c r="A150" t="str">
        <f t="shared" si="2"/>
        <v>BVMS Professional 11.0 License Mobile video service expansion</v>
      </c>
      <c r="B150" t="s">
        <v>1927</v>
      </c>
      <c r="C150" t="s">
        <v>1915</v>
      </c>
      <c r="D150" t="s">
        <v>1850</v>
      </c>
      <c r="E150" t="s">
        <v>925</v>
      </c>
      <c r="F150" s="239"/>
    </row>
    <row r="151" spans="1:6">
      <c r="A151" t="str">
        <f t="shared" si="2"/>
        <v>BVMS Professional 11.0 License Workstation expansion</v>
      </c>
      <c r="B151" t="s">
        <v>1922</v>
      </c>
      <c r="C151" t="s">
        <v>1916</v>
      </c>
      <c r="D151" t="s">
        <v>1850</v>
      </c>
      <c r="E151" t="s">
        <v>922</v>
      </c>
      <c r="F151" s="239"/>
    </row>
    <row r="152" spans="1:6">
      <c r="A152" t="str">
        <f t="shared" si="2"/>
        <v>BVMS Viewer 11.0 License Viewer base</v>
      </c>
      <c r="B152" t="s">
        <v>1928</v>
      </c>
      <c r="C152" t="s">
        <v>1882</v>
      </c>
      <c r="D152" t="s">
        <v>1853</v>
      </c>
      <c r="E152" t="s">
        <v>1798</v>
      </c>
      <c r="F152" s="239"/>
    </row>
    <row r="153" spans="1:6">
      <c r="A153" t="str">
        <f t="shared" ref="A153:A201" si="3">D153&amp;" "&amp;E153</f>
        <v>BVMS Lite 13.0 License Lite base for DIVAR IP AIO 5000</v>
      </c>
      <c r="B153" t="s">
        <v>2105</v>
      </c>
      <c r="C153" t="s">
        <v>1252</v>
      </c>
      <c r="D153" t="s">
        <v>2106</v>
      </c>
      <c r="E153" t="s">
        <v>1239</v>
      </c>
      <c r="F153" s="489"/>
    </row>
    <row r="154" spans="1:6">
      <c r="A154" t="str">
        <f t="shared" si="3"/>
        <v>BVMS Lite 13.0 License Lite base</v>
      </c>
      <c r="B154" t="s">
        <v>1855</v>
      </c>
      <c r="C154" t="s">
        <v>1854</v>
      </c>
      <c r="D154" t="s">
        <v>2106</v>
      </c>
      <c r="E154" t="s">
        <v>1217</v>
      </c>
      <c r="F154" s="489"/>
    </row>
    <row r="155" spans="1:6">
      <c r="A155" t="str">
        <f t="shared" si="3"/>
        <v>BVMS Lite 13.0 License DVR expansion</v>
      </c>
      <c r="B155" t="s">
        <v>1858</v>
      </c>
      <c r="C155" t="s">
        <v>1856</v>
      </c>
      <c r="D155" t="s">
        <v>2106</v>
      </c>
      <c r="E155" t="s">
        <v>923</v>
      </c>
      <c r="F155" s="489"/>
    </row>
    <row r="156" spans="1:6">
      <c r="A156" t="str">
        <f t="shared" si="3"/>
        <v>BVMS Lite 13.0 License Camera/decoder expansion</v>
      </c>
      <c r="B156" t="s">
        <v>1859</v>
      </c>
      <c r="C156" t="s">
        <v>1860</v>
      </c>
      <c r="D156" t="s">
        <v>2106</v>
      </c>
      <c r="E156" t="s">
        <v>928</v>
      </c>
      <c r="F156" s="489"/>
    </row>
    <row r="157" spans="1:6">
      <c r="A157" t="str">
        <f t="shared" si="3"/>
        <v>BVMS Lite 13.0 License Camera dual recording expansion</v>
      </c>
      <c r="B157" t="s">
        <v>1883</v>
      </c>
      <c r="C157" t="s">
        <v>1861</v>
      </c>
      <c r="D157" t="s">
        <v>2106</v>
      </c>
      <c r="E157" t="s">
        <v>921</v>
      </c>
      <c r="F157" s="489"/>
    </row>
    <row r="158" spans="1:6">
      <c r="A158" t="str">
        <f t="shared" si="3"/>
        <v>BVMS Lite 13.0 License VRM Failover channel expansion</v>
      </c>
      <c r="B158" t="s">
        <v>1884</v>
      </c>
      <c r="C158" t="s">
        <v>1862</v>
      </c>
      <c r="D158" t="s">
        <v>2106</v>
      </c>
      <c r="E158" t="s">
        <v>933</v>
      </c>
      <c r="F158" s="489"/>
    </row>
    <row r="159" spans="1:6">
      <c r="A159" t="str">
        <f t="shared" si="3"/>
        <v>BVMS Lite 13.0 License Intrusion panel expansion</v>
      </c>
      <c r="B159" t="s">
        <v>1885</v>
      </c>
      <c r="C159" t="s">
        <v>1863</v>
      </c>
      <c r="D159" t="s">
        <v>2106</v>
      </c>
      <c r="E159" t="s">
        <v>926</v>
      </c>
      <c r="F159" s="489"/>
    </row>
    <row r="160" spans="1:6">
      <c r="A160" t="str">
        <f t="shared" si="3"/>
        <v>BVMS Lite 13.0 License Keyboard expansion</v>
      </c>
      <c r="B160" t="s">
        <v>1886</v>
      </c>
      <c r="C160" t="s">
        <v>1864</v>
      </c>
      <c r="D160" t="s">
        <v>2106</v>
      </c>
      <c r="E160" t="s">
        <v>924</v>
      </c>
      <c r="F160" s="489"/>
    </row>
    <row r="161" spans="1:6">
      <c r="A161" t="str">
        <f t="shared" si="3"/>
        <v>BVMS Lite 13.0 License Workstation expansion</v>
      </c>
      <c r="B161" t="s">
        <v>1887</v>
      </c>
      <c r="C161" t="s">
        <v>1865</v>
      </c>
      <c r="D161" t="s">
        <v>2106</v>
      </c>
      <c r="E161" t="s">
        <v>922</v>
      </c>
      <c r="F161" s="489"/>
    </row>
    <row r="162" spans="1:6">
      <c r="A162" t="str">
        <f t="shared" si="3"/>
        <v>BVMS Lite 13.0 License Person ident. channel expansion</v>
      </c>
      <c r="B162" t="s">
        <v>1888</v>
      </c>
      <c r="C162" t="s">
        <v>1866</v>
      </c>
      <c r="D162" t="s">
        <v>2106</v>
      </c>
      <c r="E162" t="s">
        <v>1240</v>
      </c>
      <c r="F162" s="489"/>
    </row>
    <row r="163" spans="1:6">
      <c r="A163" t="str">
        <f t="shared" si="3"/>
        <v>BVMS Lite 13.0 License LPR camera expansion</v>
      </c>
      <c r="B163" t="s">
        <v>1889</v>
      </c>
      <c r="C163" t="s">
        <v>1867</v>
      </c>
      <c r="D163" t="s">
        <v>2106</v>
      </c>
      <c r="E163" t="s">
        <v>1792</v>
      </c>
      <c r="F163" s="489"/>
    </row>
    <row r="164" spans="1:6">
      <c r="A164" t="str">
        <f t="shared" si="3"/>
        <v>BVMS Plus 13.0 License Plus base for DIVAR IP AIO 7000</v>
      </c>
      <c r="B164" t="s">
        <v>1936</v>
      </c>
      <c r="C164" t="s">
        <v>1256</v>
      </c>
      <c r="D164" t="s">
        <v>2107</v>
      </c>
      <c r="E164" t="s">
        <v>1935</v>
      </c>
      <c r="F164" s="489"/>
    </row>
    <row r="165" spans="1:6">
      <c r="A165" t="str">
        <f t="shared" si="3"/>
        <v>BVMS Plus 13.0 License Plus base</v>
      </c>
      <c r="B165" t="s">
        <v>1890</v>
      </c>
      <c r="C165" t="s">
        <v>1868</v>
      </c>
      <c r="D165" t="s">
        <v>2107</v>
      </c>
      <c r="E165" t="s">
        <v>1184</v>
      </c>
      <c r="F165" s="489"/>
    </row>
    <row r="166" spans="1:6">
      <c r="A166" t="str">
        <f t="shared" si="3"/>
        <v>BVMS Plus 13.0 License DVR expansion</v>
      </c>
      <c r="B166" t="s">
        <v>1857</v>
      </c>
      <c r="C166" t="s">
        <v>1869</v>
      </c>
      <c r="D166" t="s">
        <v>2107</v>
      </c>
      <c r="E166" t="s">
        <v>923</v>
      </c>
      <c r="F166" s="489"/>
    </row>
    <row r="167" spans="1:6">
      <c r="A167" t="str">
        <f t="shared" si="3"/>
        <v>BVMS Plus 13.0 License Camera/decoder expansion</v>
      </c>
      <c r="B167" t="s">
        <v>1891</v>
      </c>
      <c r="C167" t="s">
        <v>1870</v>
      </c>
      <c r="D167" t="s">
        <v>2107</v>
      </c>
      <c r="E167" t="s">
        <v>928</v>
      </c>
      <c r="F167" s="489"/>
    </row>
    <row r="168" spans="1:6">
      <c r="A168" t="str">
        <f t="shared" si="3"/>
        <v>BVMS Plus 13.0 License Camera dual recording expansion</v>
      </c>
      <c r="B168" t="s">
        <v>1892</v>
      </c>
      <c r="C168" t="s">
        <v>1871</v>
      </c>
      <c r="D168" t="s">
        <v>2107</v>
      </c>
      <c r="E168" t="s">
        <v>921</v>
      </c>
      <c r="F168" s="489"/>
    </row>
    <row r="169" spans="1:6">
      <c r="A169" t="str">
        <f t="shared" si="3"/>
        <v>BVMS Plus 13.0 License VRM Failover channel expansion</v>
      </c>
      <c r="B169" t="s">
        <v>1893</v>
      </c>
      <c r="C169" t="s">
        <v>1872</v>
      </c>
      <c r="D169" t="s">
        <v>2107</v>
      </c>
      <c r="E169" t="s">
        <v>933</v>
      </c>
      <c r="F169" s="489"/>
    </row>
    <row r="170" spans="1:6">
      <c r="A170" t="str">
        <f t="shared" si="3"/>
        <v>BVMS Plus 13.0 License Intrusion panel expansion</v>
      </c>
      <c r="B170" t="s">
        <v>1894</v>
      </c>
      <c r="C170" t="s">
        <v>1873</v>
      </c>
      <c r="D170" t="s">
        <v>2107</v>
      </c>
      <c r="E170" t="s">
        <v>926</v>
      </c>
      <c r="F170" s="489"/>
    </row>
    <row r="171" spans="1:6">
      <c r="A171" t="str">
        <f t="shared" si="3"/>
        <v>BVMS Plus 13.0 License Keyboard expansion</v>
      </c>
      <c r="B171" t="s">
        <v>1895</v>
      </c>
      <c r="C171" t="s">
        <v>1874</v>
      </c>
      <c r="D171" t="s">
        <v>2107</v>
      </c>
      <c r="E171" t="s">
        <v>924</v>
      </c>
      <c r="F171" s="489"/>
    </row>
    <row r="172" spans="1:6">
      <c r="A172" t="str">
        <f t="shared" si="3"/>
        <v>BVMS Plus 13.0 License Workstation expansion</v>
      </c>
      <c r="B172" t="s">
        <v>1896</v>
      </c>
      <c r="C172" t="s">
        <v>1875</v>
      </c>
      <c r="D172" t="s">
        <v>2107</v>
      </c>
      <c r="E172" t="s">
        <v>922</v>
      </c>
      <c r="F172" s="489"/>
    </row>
    <row r="173" spans="1:6">
      <c r="A173" t="str">
        <f t="shared" si="3"/>
        <v>BVMS Plus 13.0 License Person ident. channel expansion</v>
      </c>
      <c r="B173" t="s">
        <v>1897</v>
      </c>
      <c r="C173" t="s">
        <v>1876</v>
      </c>
      <c r="D173" t="s">
        <v>2107</v>
      </c>
      <c r="E173" t="s">
        <v>1240</v>
      </c>
      <c r="F173" s="489"/>
    </row>
    <row r="174" spans="1:6">
      <c r="A174" t="str">
        <f t="shared" si="3"/>
        <v>BVMS Plus 13.0 License Site expansion</v>
      </c>
      <c r="B174" t="s">
        <v>1898</v>
      </c>
      <c r="C174" t="s">
        <v>1877</v>
      </c>
      <c r="D174" t="s">
        <v>2107</v>
      </c>
      <c r="E174" t="s">
        <v>927</v>
      </c>
      <c r="F174" s="489"/>
    </row>
    <row r="175" spans="1:6">
      <c r="A175" t="str">
        <f t="shared" si="3"/>
        <v>BVMS Plus 13.0 License Enterprise subsystem expansion</v>
      </c>
      <c r="B175" t="s">
        <v>1899</v>
      </c>
      <c r="C175" t="s">
        <v>1878</v>
      </c>
      <c r="D175" t="s">
        <v>2107</v>
      </c>
      <c r="E175" t="s">
        <v>930</v>
      </c>
      <c r="F175" s="489"/>
    </row>
    <row r="176" spans="1:6">
      <c r="A176" t="str">
        <f t="shared" si="3"/>
        <v>BVMS Plus 13.0 License LPR camera expansion</v>
      </c>
      <c r="B176" t="s">
        <v>1900</v>
      </c>
      <c r="C176" t="s">
        <v>1879</v>
      </c>
      <c r="D176" t="s">
        <v>2107</v>
      </c>
      <c r="E176" t="s">
        <v>1792</v>
      </c>
      <c r="F176" s="489"/>
    </row>
    <row r="177" spans="1:6">
      <c r="A177" t="str">
        <f t="shared" si="3"/>
        <v>BVMS Plus 13.0 License Mobile video service expansion</v>
      </c>
      <c r="B177" t="s">
        <v>1901</v>
      </c>
      <c r="C177" t="s">
        <v>1880</v>
      </c>
      <c r="D177" t="s">
        <v>2107</v>
      </c>
      <c r="E177" t="s">
        <v>925</v>
      </c>
      <c r="F177" s="489"/>
    </row>
    <row r="178" spans="1:6">
      <c r="A178" t="str">
        <f t="shared" si="3"/>
        <v>BVMS Professional 13.0 License Professional base</v>
      </c>
      <c r="B178" t="s">
        <v>1902</v>
      </c>
      <c r="C178" t="s">
        <v>1881</v>
      </c>
      <c r="D178" t="s">
        <v>2108</v>
      </c>
      <c r="E178" t="s">
        <v>1147</v>
      </c>
      <c r="F178" s="489"/>
    </row>
    <row r="179" spans="1:6">
      <c r="A179" t="str">
        <f t="shared" si="3"/>
        <v>BVMS Professional 13.0 License DVR expansion</v>
      </c>
      <c r="B179" t="s">
        <v>1903</v>
      </c>
      <c r="C179" t="s">
        <v>1904</v>
      </c>
      <c r="D179" t="s">
        <v>2108</v>
      </c>
      <c r="E179" t="s">
        <v>923</v>
      </c>
      <c r="F179" s="489"/>
    </row>
    <row r="180" spans="1:6">
      <c r="A180" t="str">
        <f t="shared" si="3"/>
        <v>BVMS Professional 13.0 License Camera/decoder expansion</v>
      </c>
      <c r="B180" t="s">
        <v>1917</v>
      </c>
      <c r="C180" t="s">
        <v>1905</v>
      </c>
      <c r="D180" t="s">
        <v>2108</v>
      </c>
      <c r="E180" t="s">
        <v>928</v>
      </c>
      <c r="F180" s="489"/>
    </row>
    <row r="181" spans="1:6">
      <c r="A181" t="str">
        <f t="shared" si="3"/>
        <v>BVMS Professional 13.0 License Camera dual recording expansion</v>
      </c>
      <c r="B181" t="s">
        <v>1918</v>
      </c>
      <c r="C181" t="s">
        <v>1906</v>
      </c>
      <c r="D181" t="s">
        <v>2108</v>
      </c>
      <c r="E181" t="s">
        <v>921</v>
      </c>
      <c r="F181" s="489"/>
    </row>
    <row r="182" spans="1:6">
      <c r="A182" t="str">
        <f t="shared" si="3"/>
        <v>BVMS Professional 13.0 License VRM Failover channel expansion</v>
      </c>
      <c r="B182" t="s">
        <v>1919</v>
      </c>
      <c r="C182" t="s">
        <v>1907</v>
      </c>
      <c r="D182" t="s">
        <v>2108</v>
      </c>
      <c r="E182" t="s">
        <v>933</v>
      </c>
      <c r="F182" s="489"/>
    </row>
    <row r="183" spans="1:6">
      <c r="A183" t="str">
        <f t="shared" si="3"/>
        <v>BVMS Professional 13.0 License Intrusion panel expansion</v>
      </c>
      <c r="B183" t="s">
        <v>1920</v>
      </c>
      <c r="C183" t="s">
        <v>1908</v>
      </c>
      <c r="D183" t="s">
        <v>2108</v>
      </c>
      <c r="E183" t="s">
        <v>926</v>
      </c>
      <c r="F183" s="489"/>
    </row>
    <row r="184" spans="1:6">
      <c r="A184" t="str">
        <f t="shared" si="3"/>
        <v>BVMS Professional 13.0 License Keyboard expansion</v>
      </c>
      <c r="B184" t="s">
        <v>1921</v>
      </c>
      <c r="C184" t="s">
        <v>1909</v>
      </c>
      <c r="D184" t="s">
        <v>2108</v>
      </c>
      <c r="E184" t="s">
        <v>924</v>
      </c>
      <c r="F184" s="489"/>
    </row>
    <row r="185" spans="1:6">
      <c r="A185" t="str">
        <f t="shared" si="3"/>
        <v>BVMS Professional 13.0 License Workstation expansion</v>
      </c>
      <c r="B185" t="s">
        <v>1922</v>
      </c>
      <c r="C185" t="s">
        <v>1910</v>
      </c>
      <c r="D185" t="s">
        <v>2108</v>
      </c>
      <c r="E185" t="s">
        <v>922</v>
      </c>
      <c r="F185" s="489"/>
    </row>
    <row r="186" spans="1:6">
      <c r="A186" t="str">
        <f t="shared" si="3"/>
        <v>BVMS Professional 13.0 License Person ident. channel expansion</v>
      </c>
      <c r="B186" t="s">
        <v>1923</v>
      </c>
      <c r="C186" t="s">
        <v>1911</v>
      </c>
      <c r="D186" t="s">
        <v>2108</v>
      </c>
      <c r="E186" t="s">
        <v>1240</v>
      </c>
      <c r="F186" s="489"/>
    </row>
    <row r="187" spans="1:6">
      <c r="A187" t="str">
        <f t="shared" si="3"/>
        <v>BVMS Professional 13.0 License Site expansion</v>
      </c>
      <c r="B187" t="s">
        <v>1924</v>
      </c>
      <c r="C187" t="s">
        <v>1912</v>
      </c>
      <c r="D187" t="s">
        <v>2108</v>
      </c>
      <c r="E187" t="s">
        <v>927</v>
      </c>
      <c r="F187" s="489"/>
    </row>
    <row r="188" spans="1:6">
      <c r="A188" t="str">
        <f t="shared" si="3"/>
        <v>BVMS Professional 13.0 License Enterprise subsystem expansion</v>
      </c>
      <c r="B188" t="s">
        <v>1925</v>
      </c>
      <c r="C188" t="s">
        <v>1913</v>
      </c>
      <c r="D188" t="s">
        <v>2108</v>
      </c>
      <c r="E188" t="s">
        <v>930</v>
      </c>
      <c r="F188" s="489"/>
    </row>
    <row r="189" spans="1:6">
      <c r="A189" t="str">
        <f t="shared" si="3"/>
        <v>BVMS Professional 13.0 License LPR camera expansion</v>
      </c>
      <c r="B189" t="s">
        <v>1926</v>
      </c>
      <c r="C189" t="s">
        <v>1914</v>
      </c>
      <c r="D189" t="s">
        <v>2108</v>
      </c>
      <c r="E189" t="s">
        <v>1792</v>
      </c>
      <c r="F189" s="489"/>
    </row>
    <row r="190" spans="1:6">
      <c r="A190" t="str">
        <f t="shared" si="3"/>
        <v>BVMS Professional 13.0 License Mobile video service expansion</v>
      </c>
      <c r="B190" t="s">
        <v>1927</v>
      </c>
      <c r="C190" t="s">
        <v>1915</v>
      </c>
      <c r="D190" t="s">
        <v>2108</v>
      </c>
      <c r="E190" t="s">
        <v>925</v>
      </c>
      <c r="F190" s="489"/>
    </row>
    <row r="191" spans="1:6">
      <c r="A191" t="str">
        <f t="shared" si="3"/>
        <v>BVMS Professional 13.0 License Workstation expansion</v>
      </c>
      <c r="B191" t="s">
        <v>1922</v>
      </c>
      <c r="C191" t="s">
        <v>1916</v>
      </c>
      <c r="D191" t="s">
        <v>2108</v>
      </c>
      <c r="E191" t="s">
        <v>922</v>
      </c>
      <c r="F191" s="489"/>
    </row>
    <row r="192" spans="1:6">
      <c r="A192" t="str">
        <f t="shared" si="3"/>
        <v>BVMS Viewer 13.0 License Viewer base</v>
      </c>
      <c r="B192" t="s">
        <v>1928</v>
      </c>
      <c r="C192" t="s">
        <v>1882</v>
      </c>
      <c r="D192" t="s">
        <v>2109</v>
      </c>
      <c r="E192" t="s">
        <v>1798</v>
      </c>
      <c r="F192" s="489"/>
    </row>
    <row r="193" spans="1:6">
      <c r="A193" t="str">
        <f t="shared" si="3"/>
        <v>BVMS Lite 13.0 License privacy overlay</v>
      </c>
      <c r="B193" t="s">
        <v>2019</v>
      </c>
      <c r="C193" t="s">
        <v>2022</v>
      </c>
      <c r="D193" t="s">
        <v>2106</v>
      </c>
      <c r="E193" t="s">
        <v>2025</v>
      </c>
      <c r="F193" s="489"/>
    </row>
    <row r="194" spans="1:6">
      <c r="A194" t="str">
        <f t="shared" si="3"/>
        <v>BVMS Plus 13.0 License privacy overlay</v>
      </c>
      <c r="B194" t="s">
        <v>2020</v>
      </c>
      <c r="C194" t="s">
        <v>2023</v>
      </c>
      <c r="D194" t="s">
        <v>2107</v>
      </c>
      <c r="E194" t="s">
        <v>2025</v>
      </c>
      <c r="F194" s="489"/>
    </row>
    <row r="195" spans="1:6">
      <c r="A195" t="str">
        <f t="shared" si="3"/>
        <v>BVMS Professional 13.0 License privacy overlay</v>
      </c>
      <c r="B195" t="s">
        <v>2021</v>
      </c>
      <c r="C195" t="s">
        <v>2024</v>
      </c>
      <c r="D195" t="s">
        <v>2108</v>
      </c>
      <c r="E195" t="s">
        <v>2025</v>
      </c>
      <c r="F195" s="489"/>
    </row>
    <row r="196" spans="1:6">
      <c r="A196" t="str">
        <f t="shared" si="3"/>
        <v>BVMS Professional 13.0 License Map-based tracking assistant</v>
      </c>
      <c r="B196" t="s">
        <v>2034</v>
      </c>
      <c r="C196" t="s">
        <v>2028</v>
      </c>
      <c r="D196" t="s">
        <v>2108</v>
      </c>
      <c r="E196" t="s">
        <v>2026</v>
      </c>
      <c r="F196" s="489"/>
    </row>
    <row r="197" spans="1:6">
      <c r="A197" t="str">
        <f t="shared" si="3"/>
        <v>BVMS Plus 13.0 License Map-based tracking assistant</v>
      </c>
      <c r="B197" t="s">
        <v>2035</v>
      </c>
      <c r="C197" t="s">
        <v>2029</v>
      </c>
      <c r="D197" t="s">
        <v>2107</v>
      </c>
      <c r="E197" t="s">
        <v>2026</v>
      </c>
      <c r="F197" s="489"/>
    </row>
    <row r="198" spans="1:6">
      <c r="A198" t="str">
        <f t="shared" si="3"/>
        <v>BVMS Lite 13.0 License Map-based tracking assistant</v>
      </c>
      <c r="B198" t="s">
        <v>2036</v>
      </c>
      <c r="C198" t="s">
        <v>2030</v>
      </c>
      <c r="D198" t="s">
        <v>2106</v>
      </c>
      <c r="E198" t="s">
        <v>2026</v>
      </c>
      <c r="F198" s="489"/>
    </row>
    <row r="199" spans="1:6">
      <c r="A199" t="str">
        <f t="shared" si="3"/>
        <v>BVMS Professional 13.0 License Online map functionality</v>
      </c>
      <c r="B199" t="s">
        <v>2037</v>
      </c>
      <c r="C199" t="s">
        <v>2031</v>
      </c>
      <c r="D199" t="s">
        <v>2108</v>
      </c>
      <c r="E199" t="s">
        <v>2027</v>
      </c>
      <c r="F199" s="489"/>
    </row>
    <row r="200" spans="1:6">
      <c r="A200" t="str">
        <f t="shared" si="3"/>
        <v>BVMS Plus 13.0 License Online map functionality</v>
      </c>
      <c r="B200" t="s">
        <v>2038</v>
      </c>
      <c r="C200" t="s">
        <v>2032</v>
      </c>
      <c r="D200" t="s">
        <v>2107</v>
      </c>
      <c r="E200" t="s">
        <v>2027</v>
      </c>
      <c r="F200" s="489"/>
    </row>
    <row r="201" spans="1:6">
      <c r="A201" t="str">
        <f t="shared" si="3"/>
        <v>BVMS Lite 13.0 License Online map functionality</v>
      </c>
      <c r="B201" t="s">
        <v>2039</v>
      </c>
      <c r="C201" t="s">
        <v>2033</v>
      </c>
      <c r="D201" t="s">
        <v>2106</v>
      </c>
      <c r="E201" t="s">
        <v>2027</v>
      </c>
      <c r="F201" s="489"/>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H74"/>
  <sheetViews>
    <sheetView topLeftCell="A43" workbookViewId="0">
      <selection activeCell="G9" sqref="G9"/>
    </sheetView>
  </sheetViews>
  <sheetFormatPr defaultColWidth="9.140625" defaultRowHeight="12.75"/>
  <cols>
    <col min="1" max="1" width="62.7109375" customWidth="1"/>
    <col min="2" max="2" width="16.7109375" customWidth="1"/>
  </cols>
  <sheetData>
    <row r="1" spans="1:8">
      <c r="A1" s="29" t="s">
        <v>55</v>
      </c>
      <c r="B1" s="29">
        <v>0</v>
      </c>
      <c r="C1">
        <v>0</v>
      </c>
      <c r="D1" s="29">
        <v>0</v>
      </c>
      <c r="E1">
        <v>0</v>
      </c>
    </row>
    <row r="2" spans="1:8">
      <c r="A2" s="29"/>
      <c r="B2" s="29"/>
      <c r="D2" s="29"/>
    </row>
    <row r="3" spans="1:8">
      <c r="A3" t="str">
        <f>IF(IF(OR(AND('BVMS checklist'!$D$3="A",F3="Amazon"),'BVMS checklist'!$D$3&lt;&gt;"A"),TRUE,FALSE),IFERROR(VLOOKUP($E3,CameraPerformance!$R$2:$V$21449,2,FALSE),""),"")</f>
        <v>AUTODOME 7100i IR (NDP-7604-Z12L)</v>
      </c>
      <c r="B3" t="str">
        <f>VLOOKUP($E3,CameraPerformance!$R$2:$V$21449,3,FALSE)</f>
        <v>NDP-7604-Z12L</v>
      </c>
      <c r="C3">
        <f>VLOOKUP($E3,CameraPerformance!$R$2:$V$21449,4,FALSE)</f>
        <v>1</v>
      </c>
      <c r="D3" t="str">
        <f>VLOOKUP($E3,CameraPerformance!$R$2:$V$21449,5,FALSE)</f>
        <v>CPP_7_3</v>
      </c>
      <c r="E3">
        <v>50</v>
      </c>
    </row>
    <row r="4" spans="1:8">
      <c r="A4" t="str">
        <f>IF(IF(OR(AND('BVMS checklist'!$D$3="A",F4="Amazon"),'BVMS checklist'!$D$3&lt;&gt;"A"),TRUE,FALSE),IFERROR(VLOOKUP($E4,CameraPerformance!$R$2:$V$21449,2,FALSE),""),"")</f>
        <v>AUTODOME 7100i IR (NDP-7602-Z40x)</v>
      </c>
      <c r="B4" t="str">
        <f>VLOOKUP($E4,CameraPerformance!$R$2:$V$21449,3,FALSE)</f>
        <v>NDP-7602-Z40x</v>
      </c>
      <c r="C4">
        <f>VLOOKUP($E4,CameraPerformance!$R$2:$V$21449,4,FALSE)</f>
        <v>1</v>
      </c>
      <c r="D4" t="str">
        <f>VLOOKUP($E4,CameraPerformance!$R$2:$V$21449,5,FALSE)</f>
        <v>CPP_7_3</v>
      </c>
      <c r="E4">
        <v>51</v>
      </c>
    </row>
    <row r="5" spans="1:8">
      <c r="A5" t="str">
        <f>IF(IF(OR(AND('BVMS checklist'!$D$3="A",F5="Amazon"),'BVMS checklist'!$D$3&lt;&gt;"A"),TRUE,FALSE),IFERROR(VLOOKUP($E5,CameraPerformance!$R$2:$V$21449,2,FALSE),""),"")</f>
        <v>AUTODOME 7100i IR (NDP-7804-Z12)</v>
      </c>
      <c r="B5" t="str">
        <f>VLOOKUP($E5,CameraPerformance!$R$2:$V$21449,3,FALSE)</f>
        <v>NDP-7804-Z12</v>
      </c>
      <c r="C5">
        <f>VLOOKUP($E5,CameraPerformance!$R$2:$V$21449,4,FALSE)</f>
        <v>1</v>
      </c>
      <c r="D5" t="str">
        <f>VLOOKUP($E5,CameraPerformance!$R$2:$V$21449,5,FALSE)</f>
        <v>CPP_7_3</v>
      </c>
      <c r="E5">
        <v>71</v>
      </c>
    </row>
    <row r="6" spans="1:8">
      <c r="A6" t="str">
        <f>IF(IF(OR(AND('BVMS checklist'!$D$3="A",F6="Amazon"),'BVMS checklist'!$D$3&lt;&gt;"A"),TRUE,FALSE),IFERROR(VLOOKUP($E6,CameraPerformance!$R$2:$V$21449,2,FALSE),""),"")</f>
        <v>AUTODOME 7100i IR (NDP-7802-Z40x)</v>
      </c>
      <c r="B6" t="str">
        <f>VLOOKUP($E6,CameraPerformance!$R$2:$V$21449,3,FALSE)</f>
        <v>NDP-7802-Z40x</v>
      </c>
      <c r="C6">
        <f>VLOOKUP($E6,CameraPerformance!$R$2:$V$21449,4,FALSE)</f>
        <v>1</v>
      </c>
      <c r="D6" t="str">
        <f>VLOOKUP($E6,CameraPerformance!$R$2:$V$21449,5,FALSE)</f>
        <v>CPP_7_3</v>
      </c>
      <c r="E6">
        <v>72</v>
      </c>
    </row>
    <row r="7" spans="1:8">
      <c r="A7" t="str">
        <f>IF(IF(OR(AND('BVMS checklist'!$D$3="A",F7="Amazon"),'BVMS checklist'!$D$3&lt;&gt;"A"),TRUE,FALSE),IFERROR(VLOOKUP($E7,CameraPerformance!$R$2:$V$21449,2,FALSE),""),"")</f>
        <v>AUTODOME IP 4000i (NDP-4502-Z12C)</v>
      </c>
      <c r="B7" t="str">
        <f>VLOOKUP($E7,CameraPerformance!$R$2:$V$21449,3,FALSE)</f>
        <v>NDP-4502-Z12C</v>
      </c>
      <c r="C7">
        <f>VLOOKUP($E7,CameraPerformance!$R$2:$V$21449,4,FALSE)</f>
        <v>1</v>
      </c>
      <c r="D7" t="str">
        <f>VLOOKUP($E7,CameraPerformance!$R$2:$V$21449,5,FALSE)</f>
        <v>CPP_7_3</v>
      </c>
      <c r="E7">
        <v>25</v>
      </c>
    </row>
    <row r="8" spans="1:8">
      <c r="A8" t="str">
        <f>IF(IF(OR(AND('BVMS checklist'!$D$3="A",F8="Amazon"),'BVMS checklist'!$D$3&lt;&gt;"A"),TRUE,FALSE),IFERROR(VLOOKUP($E8,CameraPerformance!$R$2:$V$21449,2,FALSE),""),"")</f>
        <v>AUTODOME IP 5000i (NDP-5502-Z30)</v>
      </c>
      <c r="B8" t="str">
        <f>VLOOKUP($E8,CameraPerformance!$R$2:$V$21449,3,FALSE)</f>
        <v>NDP-5502-Z30</v>
      </c>
      <c r="C8">
        <f>VLOOKUP($E8,CameraPerformance!$R$2:$V$21449,4,FALSE)</f>
        <v>1</v>
      </c>
      <c r="D8" t="str">
        <f>VLOOKUP($E8,CameraPerformance!$R$2:$V$21449,5,FALSE)</f>
        <v>CPP_7_3</v>
      </c>
      <c r="E8">
        <v>26</v>
      </c>
      <c r="F8" s="29" t="s">
        <v>1540</v>
      </c>
    </row>
    <row r="9" spans="1:8">
      <c r="A9" t="str">
        <f>IF(IF(OR(AND('BVMS checklist'!$D$3="A",F9="Amazon"),'BVMS checklist'!$D$3&lt;&gt;"A"),TRUE,FALSE),IFERROR(VLOOKUP($E9,CameraPerformance!$R$2:$V$21449,2,FALSE),""),"")</f>
        <v>AUTODOME IP starlight 7000i (NDP-7512-Z30C)</v>
      </c>
      <c r="B9" t="str">
        <f>VLOOKUP($E9,CameraPerformance!$R$2:$V$21449,3,FALSE)</f>
        <v>NDP-7512-Z30C</v>
      </c>
      <c r="C9">
        <f>VLOOKUP($E9,CameraPerformance!$R$2:$V$21449,4,FALSE)</f>
        <v>1</v>
      </c>
      <c r="D9" t="str">
        <f>VLOOKUP($E9,CameraPerformance!$R$2:$V$21449,5,FALSE)</f>
        <v>CPP_7_3</v>
      </c>
      <c r="E9">
        <v>27</v>
      </c>
    </row>
    <row r="10" spans="1:8">
      <c r="A10" t="str">
        <f>IF(IF(OR(AND('BVMS checklist'!$D$3="A",F10="Amazon"),'BVMS checklist'!$D$3&lt;&gt;"A"),TRUE,FALSE),IFERROR(VLOOKUP($E10,CameraPerformance!$R$2:$V$21449,2,FALSE),""),"")</f>
        <v>AVIOTEC IP starlight 8000 (FCS-8000-VFD-B)</v>
      </c>
      <c r="B10" t="str">
        <f>VLOOKUP($E10,CameraPerformance!$R$2:$V$21449,3,FALSE)</f>
        <v>FCS-8000-VFD-B</v>
      </c>
      <c r="C10">
        <f>VLOOKUP($E10,CameraPerformance!$R$2:$V$21449,4,FALSE)</f>
        <v>1</v>
      </c>
      <c r="D10" t="str">
        <f>VLOOKUP($E10,CameraPerformance!$R$2:$V$21449,5,FALSE)</f>
        <v>CPP_6</v>
      </c>
      <c r="E10">
        <v>1</v>
      </c>
      <c r="H10" t="str">
        <f>IFERROR(IF(AND('BVMS checklist'!D3="A",F10="Amazon"),VLOOKUP($E10,CameraPerformance!$R$2:$V$21449,2,FALSE),""),"")</f>
        <v/>
      </c>
    </row>
    <row r="11" spans="1:8">
      <c r="A11" t="str">
        <f>IF(IF(OR(AND('BVMS checklist'!$D$3="A",F11="Amazon"),'BVMS checklist'!$D$3&lt;&gt;"A"),TRUE,FALSE),IFERROR(VLOOKUP($E11,CameraPerformance!$R$2:$V$21449,2,FALSE),""),"")</f>
        <v>DINION 3100i IR (NBE-3702-AL)</v>
      </c>
      <c r="B11" t="str">
        <f>VLOOKUP($E11,CameraPerformance!$R$2:$V$21449,3,FALSE)</f>
        <v>NBE-3702-AL</v>
      </c>
      <c r="C11">
        <f>VLOOKUP($E11,CameraPerformance!$R$2:$V$21449,4,FALSE)</f>
        <v>1</v>
      </c>
      <c r="D11" t="str">
        <f>VLOOKUP($E11,CameraPerformance!$R$2:$V$21449,5,FALSE)</f>
        <v>CPP_7_3</v>
      </c>
      <c r="E11">
        <v>59</v>
      </c>
    </row>
    <row r="12" spans="1:8">
      <c r="A12" t="str">
        <f>IF(IF(OR(AND('BVMS checklist'!$D$3="A",F12="Amazon"),'BVMS checklist'!$D$3&lt;&gt;"A"),TRUE,FALSE),IFERROR(VLOOKUP($E12,CameraPerformance!$R$2:$V$21449,2,FALSE),""),"")</f>
        <v>DINION 3100i IR (NBE-3703-AL)</v>
      </c>
      <c r="B12" t="str">
        <f>VLOOKUP($E12,CameraPerformance!$R$2:$V$21449,3,FALSE)</f>
        <v>NBE-3703-AL</v>
      </c>
      <c r="C12">
        <f>VLOOKUP($E12,CameraPerformance!$R$2:$V$21449,4,FALSE)</f>
        <v>1</v>
      </c>
      <c r="D12" t="str">
        <f>VLOOKUP($E12,CameraPerformance!$R$2:$V$21449,5,FALSE)</f>
        <v>CPP_7_3</v>
      </c>
      <c r="E12">
        <v>60</v>
      </c>
    </row>
    <row r="13" spans="1:8">
      <c r="A13" t="str">
        <f>IF(IF(OR(AND('BVMS checklist'!$D$3="A",F13="Amazon"),'BVMS checklist'!$D$3&lt;&gt;"A"),TRUE,FALSE),IFERROR(VLOOKUP($E13,CameraPerformance!$R$2:$V$21449,2,FALSE),""),"")</f>
        <v>DINION 5100i IR (NDE-5702-AL)</v>
      </c>
      <c r="B13" t="str">
        <f>VLOOKUP($E13,CameraPerformance!$R$2:$V$21449,3,FALSE)</f>
        <v>NDE-5702-AL</v>
      </c>
      <c r="C13">
        <f>VLOOKUP($E13,CameraPerformance!$R$2:$V$21449,4,FALSE)</f>
        <v>1</v>
      </c>
      <c r="D13" t="str">
        <f>VLOOKUP($E13,CameraPerformance!$R$2:$V$21449,5,FALSE)</f>
        <v>CPP_7_3</v>
      </c>
      <c r="E13">
        <v>64</v>
      </c>
    </row>
    <row r="14" spans="1:8">
      <c r="A14" t="str">
        <f>IF(IF(OR(AND('BVMS checklist'!$D$3="A",F14="Amazon"),'BVMS checklist'!$D$3&lt;&gt;"A"),TRUE,FALSE),IFERROR(VLOOKUP($E14,CameraPerformance!$R$2:$V$21449,2,FALSE),""),"")</f>
        <v>DINION 5100i IR (NDE-5703-AL)</v>
      </c>
      <c r="B14" t="str">
        <f>VLOOKUP($E14,CameraPerformance!$R$2:$V$21449,3,FALSE)</f>
        <v>NDE-5703-AL</v>
      </c>
      <c r="C14">
        <f>VLOOKUP($E14,CameraPerformance!$R$2:$V$21449,4,FALSE)</f>
        <v>1</v>
      </c>
      <c r="D14" t="str">
        <f>VLOOKUP($E14,CameraPerformance!$R$2:$V$21449,5,FALSE)</f>
        <v>CPP_7_3</v>
      </c>
      <c r="E14">
        <v>65</v>
      </c>
    </row>
    <row r="15" spans="1:8">
      <c r="A15" t="str">
        <f>IF(IF(OR(AND('BVMS checklist'!$D$3="A",F15="Amazon"),'BVMS checklist'!$D$3&lt;&gt;"A"),TRUE,FALSE),IFERROR(VLOOKUP($E15,CameraPerformance!$R$2:$V$21449,2,FALSE),""),"")</f>
        <v>DINION 5100i IR (NDE-5704-AL)</v>
      </c>
      <c r="B15" t="str">
        <f>VLOOKUP($E15,CameraPerformance!$R$2:$V$21449,3,FALSE)</f>
        <v>NDE-5704-AL</v>
      </c>
      <c r="C15">
        <f>VLOOKUP($E15,CameraPerformance!$R$2:$V$21449,4,FALSE)</f>
        <v>1</v>
      </c>
      <c r="D15" t="str">
        <f>VLOOKUP($E15,CameraPerformance!$R$2:$V$21449,5,FALSE)</f>
        <v>CPP_7_3</v>
      </c>
      <c r="E15">
        <v>66</v>
      </c>
    </row>
    <row r="16" spans="1:8">
      <c r="A16" t="str">
        <f>IF(IF(OR(AND('BVMS checklist'!$D$3="A",F16="Amazon"),'BVMS checklist'!$D$3&lt;&gt;"A"),TRUE,FALSE),IFERROR(VLOOKUP($E16,CameraPerformance!$R$2:$V$21449,2,FALSE),""),"")</f>
        <v>DINION 7100i IR (NBE-7702-ALX)</v>
      </c>
      <c r="B16" t="str">
        <f>VLOOKUP($E16,CameraPerformance!$R$2:$V$21449,3,FALSE)</f>
        <v>NBE-7702-ALX</v>
      </c>
      <c r="C16">
        <f>VLOOKUP($E16,CameraPerformance!$R$2:$V$21449,4,FALSE)</f>
        <v>1</v>
      </c>
      <c r="D16" t="str">
        <f>VLOOKUP($E16,CameraPerformance!$R$2:$V$21449,5,FALSE)</f>
        <v>CPP_7_3</v>
      </c>
      <c r="E16">
        <v>47</v>
      </c>
    </row>
    <row r="17" spans="1:6">
      <c r="A17" t="str">
        <f>IF(IF(OR(AND('BVMS checklist'!$D$3="A",F17="Amazon"),'BVMS checklist'!$D$3&lt;&gt;"A"),TRUE,FALSE),IFERROR(VLOOKUP($E17,CameraPerformance!$R$2:$V$21449,2,FALSE),""),"")</f>
        <v>DINION 7100i IR (NBE-7703-ALX)</v>
      </c>
      <c r="B17" t="str">
        <f>VLOOKUP($E17,CameraPerformance!$R$2:$V$21449,3,FALSE)</f>
        <v>NBE-7703-ALX</v>
      </c>
      <c r="C17">
        <f>VLOOKUP($E17,CameraPerformance!$R$2:$V$21449,4,FALSE)</f>
        <v>1</v>
      </c>
      <c r="D17" t="str">
        <f>VLOOKUP($E17,CameraPerformance!$R$2:$V$21449,5,FALSE)</f>
        <v>CPP_7_3</v>
      </c>
      <c r="E17">
        <v>48</v>
      </c>
    </row>
    <row r="18" spans="1:6">
      <c r="A18" t="str">
        <f>IF(IF(OR(AND('BVMS checklist'!$D$3="A",F18="Amazon"),'BVMS checklist'!$D$3&lt;&gt;"A"),TRUE,FALSE),IFERROR(VLOOKUP($E18,CameraPerformance!$R$2:$V$21449,2,FALSE),""),"")</f>
        <v>DINION 7100i IR (NBE-7704-AL)</v>
      </c>
      <c r="B18" t="str">
        <f>VLOOKUP($E18,CameraPerformance!$R$2:$V$21449,3,FALSE)</f>
        <v>NBE-7704-AL</v>
      </c>
      <c r="C18">
        <f>VLOOKUP($E18,CameraPerformance!$R$2:$V$21449,4,FALSE)</f>
        <v>1</v>
      </c>
      <c r="D18" t="str">
        <f>VLOOKUP($E18,CameraPerformance!$R$2:$V$21449,5,FALSE)</f>
        <v>CPP_7_3</v>
      </c>
      <c r="E18">
        <v>49</v>
      </c>
    </row>
    <row r="19" spans="1:6">
      <c r="A19" t="str">
        <f>IF(IF(OR(AND('BVMS checklist'!$D$3="A",F19="Amazon"),'BVMS checklist'!$D$3&lt;&gt;"A"),TRUE,FALSE),IFERROR(VLOOKUP($E19,CameraPerformance!$R$2:$V$21449,2,FALSE),""),"")</f>
        <v>DINION thermal 8100i (NBT-8701)</v>
      </c>
      <c r="B19" t="str">
        <f>VLOOKUP($E19,CameraPerformance!$R$2:$V$21449,3,FALSE)</f>
        <v>NBT-8701</v>
      </c>
      <c r="C19">
        <f>VLOOKUP($E19,CameraPerformance!$R$2:$V$21449,4,FALSE)</f>
        <v>1</v>
      </c>
      <c r="D19" t="str">
        <f>VLOOKUP($E19,CameraPerformance!$R$2:$V$21449,5,FALSE)</f>
        <v>CPP_7_3</v>
      </c>
      <c r="E19">
        <v>73</v>
      </c>
    </row>
    <row r="20" spans="1:6">
      <c r="A20" t="str">
        <f>IF(IF(OR(AND('BVMS checklist'!$D$3="A",F20="Amazon"),'BVMS checklist'!$D$3&lt;&gt;"A"),TRUE,FALSE),IFERROR(VLOOKUP($E20,CameraPerformance!$R$2:$V$21449,2,FALSE),""),"")</f>
        <v>DINION IP 3000i IR (NBE-3502-AL)</v>
      </c>
      <c r="B20" t="str">
        <f>VLOOKUP($E20,CameraPerformance!$R$2:$V$21449,3,FALSE)</f>
        <v>NBE-3502-AL</v>
      </c>
      <c r="C20">
        <f>VLOOKUP($E20,CameraPerformance!$R$2:$V$21449,4,FALSE)</f>
        <v>1</v>
      </c>
      <c r="D20" t="str">
        <f>VLOOKUP($E20,CameraPerformance!$R$2:$V$21449,5,FALSE)</f>
        <v>CPP_7_3</v>
      </c>
      <c r="E20">
        <v>5</v>
      </c>
    </row>
    <row r="21" spans="1:6">
      <c r="A21" t="str">
        <f>IF(IF(OR(AND('BVMS checklist'!$D$3="A",F21="Amazon"),'BVMS checklist'!$D$3&lt;&gt;"A"),TRUE,FALSE),IFERROR(VLOOKUP($E21,CameraPerformance!$R$2:$V$21449,2,FALSE),""),"")</f>
        <v>DINION IP 3000i IR (NBE-3503-AL)</v>
      </c>
      <c r="B21" t="str">
        <f>VLOOKUP($E21,CameraPerformance!$R$2:$V$21449,3,FALSE)</f>
        <v>NBE-3503-AL</v>
      </c>
      <c r="C21">
        <f>VLOOKUP($E21,CameraPerformance!$R$2:$V$21449,4,FALSE)</f>
        <v>1</v>
      </c>
      <c r="D21" t="str">
        <f>VLOOKUP($E21,CameraPerformance!$R$2:$V$21449,5,FALSE)</f>
        <v>CPP_7_3</v>
      </c>
      <c r="E21">
        <v>6</v>
      </c>
    </row>
    <row r="22" spans="1:6">
      <c r="A22" t="str">
        <f>IF(IF(OR(AND('BVMS checklist'!$D$3="A",F22="Amazon"),'BVMS checklist'!$D$3&lt;&gt;"A"),TRUE,FALSE),IFERROR(VLOOKUP($E22,CameraPerformance!$R$2:$V$21449,2,FALSE),""),"")</f>
        <v>DINION IP 3000i Turret IR (NTV-3502-F03L)</v>
      </c>
      <c r="B22" t="str">
        <f>VLOOKUP($E22,CameraPerformance!$R$2:$V$21449,3,FALSE)</f>
        <v>NTV-3502-F03L</v>
      </c>
      <c r="C22">
        <f>VLOOKUP($E22,CameraPerformance!$R$2:$V$21449,4,FALSE)</f>
        <v>1</v>
      </c>
      <c r="D22" t="str">
        <f>VLOOKUP($E22,CameraPerformance!$R$2:$V$21449,5,FALSE)</f>
        <v>CPP_7_3</v>
      </c>
      <c r="E22">
        <v>36</v>
      </c>
    </row>
    <row r="23" spans="1:6">
      <c r="A23" t="str">
        <f>IF(IF(OR(AND('BVMS checklist'!$D$3="A",F23="Amazon"),'BVMS checklist'!$D$3&lt;&gt;"A"),TRUE,FALSE),IFERROR(VLOOKUP($E23,CameraPerformance!$R$2:$V$21449,2,FALSE),""),"")</f>
        <v>DINION IP 3000i Turret IR (NTV-3503-F03L)</v>
      </c>
      <c r="B23" t="str">
        <f>VLOOKUP($E23,CameraPerformance!$R$2:$V$21449,3,FALSE)</f>
        <v>NTV-3503-F03L</v>
      </c>
      <c r="C23">
        <f>VLOOKUP($E23,CameraPerformance!$R$2:$V$21449,4,FALSE)</f>
        <v>1</v>
      </c>
      <c r="D23" t="str">
        <f>VLOOKUP($E23,CameraPerformance!$R$2:$V$21449,5,FALSE)</f>
        <v>CPP_7_3</v>
      </c>
      <c r="E23">
        <v>37</v>
      </c>
    </row>
    <row r="24" spans="1:6">
      <c r="A24" t="str">
        <f>IF(IF(OR(AND('BVMS checklist'!$D$3="A",F24="Amazon"),'BVMS checklist'!$D$3&lt;&gt;"A"),TRUE,FALSE),IFERROR(VLOOKUP($E24,CameraPerformance!$R$2:$V$21449,2,FALSE),""),"")</f>
        <v>DINION IP 4000i IR (NBE-4502-AL)</v>
      </c>
      <c r="B24" t="str">
        <f>VLOOKUP($E24,CameraPerformance!$R$2:$V$21449,3,FALSE)</f>
        <v>NBE-4502-AL</v>
      </c>
      <c r="C24">
        <f>VLOOKUP($E24,CameraPerformance!$R$2:$V$21449,4,FALSE)</f>
        <v>1</v>
      </c>
      <c r="D24" t="str">
        <f>VLOOKUP($E24,CameraPerformance!$R$2:$V$21449,5,FALSE)</f>
        <v>CPP_7_3</v>
      </c>
      <c r="E24">
        <v>7</v>
      </c>
    </row>
    <row r="25" spans="1:6">
      <c r="A25" t="str">
        <f>IF(IF(OR(AND('BVMS checklist'!$D$3="A",F25="Amazon"),'BVMS checklist'!$D$3&lt;&gt;"A"),TRUE,FALSE),IFERROR(VLOOKUP($E25,CameraPerformance!$R$2:$V$21449,2,FALSE),""),"")</f>
        <v>DINION IP 5000i IR (NBE-5503-AL)</v>
      </c>
      <c r="B25" t="str">
        <f>VLOOKUP($E25,CameraPerformance!$R$2:$V$21449,3,FALSE)</f>
        <v>NBE-5503-AL</v>
      </c>
      <c r="C25">
        <f>VLOOKUP($E25,CameraPerformance!$R$2:$V$21449,4,FALSE)</f>
        <v>1</v>
      </c>
      <c r="D25" t="str">
        <f>VLOOKUP($E25,CameraPerformance!$R$2:$V$21449,5,FALSE)</f>
        <v>CPP_7_3</v>
      </c>
      <c r="E25">
        <v>8</v>
      </c>
    </row>
    <row r="26" spans="1:6">
      <c r="A26" t="str">
        <f>IF(IF(OR(AND('BVMS checklist'!$D$3="A",F26="Amazon"),'BVMS checklist'!$D$3&lt;&gt;"A"),TRUE,FALSE),IFERROR(VLOOKUP($E26,CameraPerformance!$R$2:$V$21449,2,FALSE),""),"")</f>
        <v>DINION IP starlight 6000i IR (NBE-6502-AL)</v>
      </c>
      <c r="B26" t="str">
        <f>VLOOKUP($E26,CameraPerformance!$R$2:$V$21449,3,FALSE)</f>
        <v>NBE-6502-AL</v>
      </c>
      <c r="C26">
        <f>VLOOKUP($E26,CameraPerformance!$R$2:$V$21449,4,FALSE)</f>
        <v>1</v>
      </c>
      <c r="D26" t="str">
        <f>VLOOKUP($E26,CameraPerformance!$R$2:$V$21449,5,FALSE)</f>
        <v>CPP_7_3</v>
      </c>
      <c r="E26">
        <v>9</v>
      </c>
    </row>
    <row r="27" spans="1:6">
      <c r="A27" t="str">
        <f>IF(IF(OR(AND('BVMS checklist'!$D$3="A",F27="Amazon"),'BVMS checklist'!$D$3&lt;&gt;"A"),TRUE,FALSE),IFERROR(VLOOKUP($E27,CameraPerformance!$R$2:$V$21449,2,FALSE),""),"")</f>
        <v>DINION IP starlight 6000 HD (NBN-63013-B)</v>
      </c>
      <c r="B27" t="str">
        <f>VLOOKUP($E27,CameraPerformance!$R$2:$V$21449,3,FALSE)</f>
        <v>NBN-63013-B</v>
      </c>
      <c r="C27">
        <f>VLOOKUP($E27,CameraPerformance!$R$2:$V$21449,4,FALSE)</f>
        <v>1</v>
      </c>
      <c r="D27" t="str">
        <f>VLOOKUP($E27,CameraPerformance!$R$2:$V$21449,5,FALSE)</f>
        <v>CPP_7</v>
      </c>
      <c r="E27">
        <v>10</v>
      </c>
    </row>
    <row r="28" spans="1:6">
      <c r="A28" t="str">
        <f>IF(IF(OR(AND('BVMS checklist'!$D$3="A",F28="Amazon"),'BVMS checklist'!$D$3&lt;&gt;"A"),TRUE,FALSE),IFERROR(VLOOKUP($E28,CameraPerformance!$R$2:$V$21449,2,FALSE),""),"")</f>
        <v>DINION IP starlight 6000 HD (NBN-6x023-B)</v>
      </c>
      <c r="B28" t="str">
        <f>VLOOKUP($E28,CameraPerformance!$R$2:$V$21449,3,FALSE)</f>
        <v>NBN-6x023-B</v>
      </c>
      <c r="C28">
        <f>VLOOKUP($E28,CameraPerformance!$R$2:$V$21449,4,FALSE)</f>
        <v>1</v>
      </c>
      <c r="D28" t="str">
        <f>VLOOKUP($E28,CameraPerformance!$R$2:$V$21449,5,FALSE)</f>
        <v>CPP_7</v>
      </c>
      <c r="E28">
        <v>11</v>
      </c>
      <c r="F28" s="29" t="s">
        <v>1540</v>
      </c>
    </row>
    <row r="29" spans="1:6">
      <c r="A29" t="str">
        <f>IF(IF(OR(AND('BVMS checklist'!$D$3="A",F29="Amazon"),'BVMS checklist'!$D$3&lt;&gt;"A"),TRUE,FALSE),IFERROR(VLOOKUP($E29,CameraPerformance!$R$2:$V$21449,2,FALSE),""),"")</f>
        <v>DINION IP starlight 7000 HD (NBN-73013-BA)</v>
      </c>
      <c r="B29" t="str">
        <f>VLOOKUP($E29,CameraPerformance!$R$2:$V$21449,3,FALSE)</f>
        <v>NBN-73013-BA</v>
      </c>
      <c r="C29">
        <f>VLOOKUP($E29,CameraPerformance!$R$2:$V$21449,4,FALSE)</f>
        <v>1</v>
      </c>
      <c r="D29" t="str">
        <f>VLOOKUP($E29,CameraPerformance!$R$2:$V$21449,5,FALSE)</f>
        <v>CPP_7</v>
      </c>
      <c r="E29">
        <v>12</v>
      </c>
    </row>
    <row r="30" spans="1:6">
      <c r="A30" t="str">
        <f>IF(IF(OR(AND('BVMS checklist'!$D$3="A",F30="Amazon"),'BVMS checklist'!$D$3&lt;&gt;"A"),TRUE,FALSE),IFERROR(VLOOKUP($E30,CameraPerformance!$R$2:$V$21449,2,FALSE),""),"")</f>
        <v>DINION IP starlight 7000 HD (NBN-7x023-BA)</v>
      </c>
      <c r="B30" t="str">
        <f>VLOOKUP($E30,CameraPerformance!$R$2:$V$21449,3,FALSE)</f>
        <v>NBN-7x023-BA</v>
      </c>
      <c r="C30">
        <f>VLOOKUP($E30,CameraPerformance!$R$2:$V$21449,4,FALSE)</f>
        <v>1</v>
      </c>
      <c r="D30" t="str">
        <f>VLOOKUP($E30,CameraPerformance!$R$2:$V$21449,5,FALSE)</f>
        <v>CPP_7</v>
      </c>
      <c r="E30">
        <v>13</v>
      </c>
      <c r="F30" s="29" t="s">
        <v>1540</v>
      </c>
    </row>
    <row r="31" spans="1:6">
      <c r="A31" t="str">
        <f>IF(IF(OR(AND('BVMS checklist'!$D$3="A",F31="Amazon"),'BVMS checklist'!$D$3&lt;&gt;"A"),TRUE,FALSE),IFERROR(VLOOKUP($E31,CameraPerformance!$R$2:$V$21449,2,FALSE),""),"")</f>
        <v>DINION IP starlight 8000 MP (NBN-80052-BA)</v>
      </c>
      <c r="B31" t="str">
        <f>VLOOKUP($E31,CameraPerformance!$R$2:$V$21449,3,FALSE)</f>
        <v>NBN-80052-BA</v>
      </c>
      <c r="C31">
        <f>VLOOKUP($E31,CameraPerformance!$R$2:$V$21449,4,FALSE)</f>
        <v>1</v>
      </c>
      <c r="D31" t="str">
        <f>VLOOKUP($E31,CameraPerformance!$R$2:$V$21449,5,FALSE)</f>
        <v>CPP_6</v>
      </c>
      <c r="E31">
        <v>14</v>
      </c>
      <c r="F31" t="s">
        <v>1540</v>
      </c>
    </row>
    <row r="32" spans="1:6">
      <c r="A32" t="str">
        <f>IF(IF(OR(AND('BVMS checklist'!$D$3="A",F32="Amazon"),'BVMS checklist'!$D$3&lt;&gt;"A"),TRUE,FALSE),IFERROR(VLOOKUP($E32,CameraPerformance!$R$2:$V$21449,2,FALSE),""),"")</f>
        <v>DINION IP ultra 8000 MP (NBN-80122-CA)</v>
      </c>
      <c r="B32" t="str">
        <f>VLOOKUP($E32,CameraPerformance!$R$2:$V$21449,3,FALSE)</f>
        <v>NBN-80122-CA</v>
      </c>
      <c r="C32">
        <f>VLOOKUP($E32,CameraPerformance!$R$2:$V$21449,4,FALSE)</f>
        <v>1</v>
      </c>
      <c r="D32" t="str">
        <f>VLOOKUP($E32,CameraPerformance!$R$2:$V$21449,5,FALSE)</f>
        <v>CPP_6</v>
      </c>
      <c r="E32">
        <v>15</v>
      </c>
    </row>
    <row r="33" spans="1:5">
      <c r="A33" t="str">
        <f>IF(IF(OR(AND('BVMS checklist'!$D$3="A",F33="Amazon"),'BVMS checklist'!$D$3&lt;&gt;"A"),TRUE,FALSE),IFERROR(VLOOKUP($E33,CameraPerformance!$R$2:$V$21449,2,FALSE),""),"")</f>
        <v>DINION IP thermal 8000 (NHT-8001-F35VF)</v>
      </c>
      <c r="B33" t="str">
        <f>VLOOKUP($E33,CameraPerformance!$R$2:$V$21449,3,FALSE)</f>
        <v>NHT-8001-F35VF</v>
      </c>
      <c r="C33">
        <f>VLOOKUP($E33,CameraPerformance!$R$2:$V$21449,4,FALSE)</f>
        <v>1</v>
      </c>
      <c r="D33" t="str">
        <f>VLOOKUP($E33,CameraPerformance!$R$2:$V$21449,5,FALSE)</f>
        <v>CPP_7</v>
      </c>
      <c r="E33">
        <v>29</v>
      </c>
    </row>
    <row r="34" spans="1:5">
      <c r="A34" t="str">
        <f>IF(IF(OR(AND('BVMS checklist'!$D$3="A",F34="Amazon"),'BVMS checklist'!$D$3&lt;&gt;"A"),TRUE,FALSE),IFERROR(VLOOKUP($E34,CameraPerformance!$R$2:$V$21449,2,FALSE),""),"")</f>
        <v>DINION IP thermal 8000 (NHT-8001-F65VS)</v>
      </c>
      <c r="B34" t="str">
        <f>VLOOKUP($E34,CameraPerformance!$R$2:$V$21449,3,FALSE)</f>
        <v>NHT-8001-F65VS</v>
      </c>
      <c r="C34">
        <f>VLOOKUP($E34,CameraPerformance!$R$2:$V$21449,4,FALSE)</f>
        <v>1</v>
      </c>
      <c r="D34" t="str">
        <f>VLOOKUP($E34,CameraPerformance!$R$2:$V$21449,5,FALSE)</f>
        <v>CPP_7</v>
      </c>
      <c r="E34">
        <v>30</v>
      </c>
    </row>
    <row r="35" spans="1:5">
      <c r="A35" t="str">
        <f>IF(IF(OR(AND('BVMS checklist'!$D$3="A",F35="Amazon"),'BVMS checklist'!$D$3&lt;&gt;"A"),TRUE,FALSE),IFERROR(VLOOKUP($E35,CameraPerformance!$R$2:$V$21449,2,FALSE),""),"")</f>
        <v>FLEXIDOME 3100i (NDI-3702-A)</v>
      </c>
      <c r="B35" t="str">
        <f>VLOOKUP($E35,CameraPerformance!$R$2:$V$21449,3,FALSE)</f>
        <v>NDI-3702-A</v>
      </c>
      <c r="C35">
        <f>VLOOKUP($E35,CameraPerformance!$R$2:$V$21449,4,FALSE)</f>
        <v>1</v>
      </c>
      <c r="D35" t="str">
        <f>VLOOKUP($E35,CameraPerformance!$R$2:$V$21449,5,FALSE)</f>
        <v>CPP_7_3</v>
      </c>
      <c r="E35">
        <v>55</v>
      </c>
    </row>
    <row r="36" spans="1:5">
      <c r="A36" t="str">
        <f>IF(IF(OR(AND('BVMS checklist'!$D$3="A",F36="Amazon"),'BVMS checklist'!$D$3&lt;&gt;"A"),TRUE,FALSE),IFERROR(VLOOKUP($E36,CameraPerformance!$R$2:$V$21449,2,FALSE),""),"")</f>
        <v>FLEXIDOME 3100i (NDI-3703-A)</v>
      </c>
      <c r="B36" t="str">
        <f>VLOOKUP($E36,CameraPerformance!$R$2:$V$21449,3,FALSE)</f>
        <v>NDI-3703-A</v>
      </c>
      <c r="C36">
        <f>VLOOKUP($E36,CameraPerformance!$R$2:$V$21449,4,FALSE)</f>
        <v>1</v>
      </c>
      <c r="D36" t="str">
        <f>VLOOKUP($E36,CameraPerformance!$R$2:$V$21449,5,FALSE)</f>
        <v>CPP_7_3</v>
      </c>
      <c r="E36">
        <v>53</v>
      </c>
    </row>
    <row r="37" spans="1:5">
      <c r="A37" t="str">
        <f>IF(IF(OR(AND('BVMS checklist'!$D$3="A",F37="Amazon"),'BVMS checklist'!$D$3&lt;&gt;"A"),TRUE,FALSE),IFERROR(VLOOKUP($E37,CameraPerformance!$R$2:$V$21449,2,FALSE),""),"")</f>
        <v>FLEXIDOME 3100i IR (NDI-3702-AL)</v>
      </c>
      <c r="B37" t="str">
        <f>VLOOKUP($E37,CameraPerformance!$R$2:$V$21449,3,FALSE)</f>
        <v>NDI-3702-AL</v>
      </c>
      <c r="C37">
        <f>VLOOKUP($E37,CameraPerformance!$R$2:$V$21449,4,FALSE)</f>
        <v>1</v>
      </c>
      <c r="D37" t="str">
        <f>VLOOKUP($E37,CameraPerformance!$R$2:$V$21449,5,FALSE)</f>
        <v>CPP_7_3</v>
      </c>
      <c r="E37">
        <v>56</v>
      </c>
    </row>
    <row r="38" spans="1:5">
      <c r="A38" t="str">
        <f>IF(IF(OR(AND('BVMS checklist'!$D$3="A",F38="Amazon"),'BVMS checklist'!$D$3&lt;&gt;"A"),TRUE,FALSE),IFERROR(VLOOKUP($E38,CameraPerformance!$R$2:$V$21449,2,FALSE),""),"")</f>
        <v>FLEXIDOME 3100i IR (NDE-3703-AL)</v>
      </c>
      <c r="B38" t="str">
        <f>VLOOKUP($E38,CameraPerformance!$R$2:$V$21449,3,FALSE)</f>
        <v>NDE-3703-AL</v>
      </c>
      <c r="C38">
        <f>VLOOKUP($E38,CameraPerformance!$R$2:$V$21449,4,FALSE)</f>
        <v>1</v>
      </c>
      <c r="D38" t="str">
        <f>VLOOKUP($E38,CameraPerformance!$R$2:$V$21449,5,FALSE)</f>
        <v>CPP_7_3</v>
      </c>
      <c r="E38">
        <v>54</v>
      </c>
    </row>
    <row r="39" spans="1:5">
      <c r="A39" t="str">
        <f>IF(IF(OR(AND('BVMS checklist'!$D$3="A",F39="Amazon"),'BVMS checklist'!$D$3&lt;&gt;"A"),TRUE,FALSE),IFERROR(VLOOKUP($E39,CameraPerformance!$R$2:$V$21449,2,FALSE),""),"")</f>
        <v>FLEXIDOME micro 3100i (NUV-3702)</v>
      </c>
      <c r="B39" t="str">
        <f>VLOOKUP($E39,CameraPerformance!$R$2:$V$21449,3,FALSE)</f>
        <v>NUV-3702</v>
      </c>
      <c r="C39">
        <f>VLOOKUP($E39,CameraPerformance!$R$2:$V$21449,4,FALSE)</f>
        <v>1</v>
      </c>
      <c r="D39" t="str">
        <f>VLOOKUP($E39,CameraPerformance!$R$2:$V$21449,5,FALSE)</f>
        <v>CPP_7_3</v>
      </c>
      <c r="E39">
        <v>57</v>
      </c>
    </row>
    <row r="40" spans="1:5">
      <c r="A40" t="str">
        <f>IF(IF(OR(AND('BVMS checklist'!$D$3="A",F40="Amazon"),'BVMS checklist'!$D$3&lt;&gt;"A"),TRUE,FALSE),IFERROR(VLOOKUP($E40,CameraPerformance!$R$2:$V$21449,2,FALSE),""),"")</f>
        <v>FLEXIDOME micro 3100i (NUV-3703)</v>
      </c>
      <c r="B40" t="str">
        <f>VLOOKUP($E40,CameraPerformance!$R$2:$V$21449,3,FALSE)</f>
        <v>NUV-3703</v>
      </c>
      <c r="C40">
        <f>VLOOKUP($E40,CameraPerformance!$R$2:$V$21449,4,FALSE)</f>
        <v>1</v>
      </c>
      <c r="D40" t="str">
        <f>VLOOKUP($E40,CameraPerformance!$R$2:$V$21449,5,FALSE)</f>
        <v>CPP_7_3</v>
      </c>
      <c r="E40">
        <v>58</v>
      </c>
    </row>
    <row r="41" spans="1:5">
      <c r="A41" t="str">
        <f>IF(IF(OR(AND('BVMS checklist'!$D$3="A",F41="Amazon"),'BVMS checklist'!$D$3&lt;&gt;"A"),TRUE,FALSE),IFERROR(VLOOKUP($E41,CameraPerformance!$R$2:$V$21449,2,FALSE),""),"")</f>
        <v>FLEXIDOME 5100i (NDE-5702-A)</v>
      </c>
      <c r="B41" t="str">
        <f>VLOOKUP($E41,CameraPerformance!$R$2:$V$21449,3,FALSE)</f>
        <v>NDE-5702-A</v>
      </c>
      <c r="C41">
        <f>VLOOKUP($E41,CameraPerformance!$R$2:$V$21449,4,FALSE)</f>
        <v>1</v>
      </c>
      <c r="D41" t="str">
        <f>VLOOKUP($E41,CameraPerformance!$R$2:$V$21449,5,FALSE)</f>
        <v>CPP_7_3</v>
      </c>
      <c r="E41">
        <v>61</v>
      </c>
    </row>
    <row r="42" spans="1:5">
      <c r="A42" t="str">
        <f>IF(IF(OR(AND('BVMS checklist'!$D$3="A",F42="Amazon"),'BVMS checklist'!$D$3&lt;&gt;"A"),TRUE,FALSE),IFERROR(VLOOKUP($E42,CameraPerformance!$R$2:$V$21449,2,FALSE),""),"")</f>
        <v>FLEXIDOME 5100i (NDE-5703-A)</v>
      </c>
      <c r="B42" t="str">
        <f>VLOOKUP($E42,CameraPerformance!$R$2:$V$21449,3,FALSE)</f>
        <v>NDE-5703-A</v>
      </c>
      <c r="C42">
        <f>VLOOKUP($E42,CameraPerformance!$R$2:$V$21449,4,FALSE)</f>
        <v>1</v>
      </c>
      <c r="D42" t="str">
        <f>VLOOKUP($E42,CameraPerformance!$R$2:$V$21449,5,FALSE)</f>
        <v>CPP_7_3</v>
      </c>
      <c r="E42">
        <v>62</v>
      </c>
    </row>
    <row r="43" spans="1:5">
      <c r="A43" t="str">
        <f>IF(IF(OR(AND('BVMS checklist'!$D$3="A",F43="Amazon"),'BVMS checklist'!$D$3&lt;&gt;"A"),TRUE,FALSE),IFERROR(VLOOKUP($E43,CameraPerformance!$R$2:$V$21449,2,FALSE),""),"")</f>
        <v>FLEXIDOME 5100i (NDE-5704-A)</v>
      </c>
      <c r="B43" t="str">
        <f>VLOOKUP($E43,CameraPerformance!$R$2:$V$21449,3,FALSE)</f>
        <v>NDE-5704-A</v>
      </c>
      <c r="C43">
        <f>VLOOKUP($E43,CameraPerformance!$R$2:$V$21449,4,FALSE)</f>
        <v>1</v>
      </c>
      <c r="D43" t="str">
        <f>VLOOKUP($E43,CameraPerformance!$R$2:$V$21449,5,FALSE)</f>
        <v>CPP_7_3</v>
      </c>
      <c r="E43">
        <v>63</v>
      </c>
    </row>
    <row r="44" spans="1:5">
      <c r="A44" t="str">
        <f>IF(IF(OR(AND('BVMS checklist'!$D$3="A",F44="Amazon"),'BVMS checklist'!$D$3&lt;&gt;"A"),TRUE,FALSE),IFERROR(VLOOKUP($E44,CameraPerformance!$R$2:$V$21449,2,FALSE),""),"")</f>
        <v>FLEXIDOME corner 7100i IR (NCE-7703-FK)</v>
      </c>
      <c r="B44" t="str">
        <f>VLOOKUP($E44,CameraPerformance!$R$2:$V$21449,3,FALSE)</f>
        <v>NCE-7703-FK</v>
      </c>
      <c r="C44">
        <f>VLOOKUP($E44,CameraPerformance!$R$2:$V$21449,4,FALSE)</f>
        <v>1</v>
      </c>
      <c r="D44" t="str">
        <f>VLOOKUP($E44,CameraPerformance!$R$2:$V$21449,5,FALSE)</f>
        <v>CPP_7_3</v>
      </c>
      <c r="E44">
        <v>52</v>
      </c>
    </row>
    <row r="45" spans="1:5">
      <c r="A45" t="str">
        <f>IF(IF(OR(AND('BVMS checklist'!$D$3="A",F45="Amazon"),'BVMS checklist'!$D$3&lt;&gt;"A"),TRUE,FALSE),IFERROR(VLOOKUP($E45,CameraPerformance!$R$2:$V$21449,2,FALSE),""),"")</f>
        <v>FLEXIDOME 8100i (NDE-8702-RX)</v>
      </c>
      <c r="B45" t="str">
        <f>VLOOKUP($E45,CameraPerformance!$R$2:$V$21449,3,FALSE)</f>
        <v>NDE-8702-RX</v>
      </c>
      <c r="C45">
        <f>VLOOKUP($E45,CameraPerformance!$R$2:$V$21449,4,FALSE)</f>
        <v>1</v>
      </c>
      <c r="D45" t="str">
        <f>VLOOKUP($E45,CameraPerformance!$R$2:$V$21449,5,FALSE)</f>
        <v>CPP_7_3</v>
      </c>
      <c r="E45">
        <v>67</v>
      </c>
    </row>
    <row r="46" spans="1:5">
      <c r="A46" t="str">
        <f>IF(IF(OR(AND('BVMS checklist'!$D$3="A",F46="Amazon"),'BVMS checklist'!$D$3&lt;&gt;"A"),TRUE,FALSE),IFERROR(VLOOKUP($E46,CameraPerformance!$R$2:$V$21449,2,FALSE),""),"")</f>
        <v>FLEXIDOME 8100i (NDE-8703-RX)</v>
      </c>
      <c r="B46" t="str">
        <f>VLOOKUP($E46,CameraPerformance!$R$2:$V$21449,3,FALSE)</f>
        <v>NDE-8703-RX</v>
      </c>
      <c r="C46">
        <f>VLOOKUP($E46,CameraPerformance!$R$2:$V$21449,4,FALSE)</f>
        <v>1</v>
      </c>
      <c r="D46" t="str">
        <f>VLOOKUP($E46,CameraPerformance!$R$2:$V$21449,5,FALSE)</f>
        <v>CPP_7_3</v>
      </c>
      <c r="E46">
        <v>68</v>
      </c>
    </row>
    <row r="47" spans="1:5">
      <c r="A47" t="str">
        <f>IF(IF(OR(AND('BVMS checklist'!$D$3="A",F47="Amazon"),'BVMS checklist'!$D$3&lt;&gt;"A"),TRUE,FALSE),IFERROR(VLOOKUP($E47,CameraPerformance!$R$2:$V$21449,2,FALSE),""),"")</f>
        <v>FLEXIDOME 8100i (NDE-8703-R)</v>
      </c>
      <c r="B47" t="str">
        <f>VLOOKUP($E47,CameraPerformance!$R$2:$V$21449,3,FALSE)</f>
        <v>NDE-8703-R</v>
      </c>
      <c r="C47">
        <f>VLOOKUP($E47,CameraPerformance!$R$2:$V$21449,4,FALSE)</f>
        <v>1</v>
      </c>
      <c r="D47" t="str">
        <f>VLOOKUP($E47,CameraPerformance!$R$2:$V$21449,5,FALSE)</f>
        <v>CPP_7_3</v>
      </c>
      <c r="E47">
        <v>70</v>
      </c>
    </row>
    <row r="48" spans="1:5">
      <c r="A48" t="str">
        <f>IF(IF(OR(AND('BVMS checklist'!$D$3="A",F48="Amazon"),'BVMS checklist'!$D$3&lt;&gt;"A"),TRUE,FALSE),IFERROR(VLOOKUP($E48,CameraPerformance!$R$2:$V$21449,2,FALSE),""),"")</f>
        <v>FLEXIDOME 8100i (NDE-8704-RX)</v>
      </c>
      <c r="B48" t="str">
        <f>VLOOKUP($E48,CameraPerformance!$R$2:$V$21449,3,FALSE)</f>
        <v>NDE-8704-RX</v>
      </c>
      <c r="C48">
        <f>VLOOKUP($E48,CameraPerformance!$R$2:$V$21449,4,FALSE)</f>
        <v>1</v>
      </c>
      <c r="D48" t="str">
        <f>VLOOKUP($E48,CameraPerformance!$R$2:$V$21449,5,FALSE)</f>
        <v>CPP_7_3</v>
      </c>
      <c r="E48">
        <v>69</v>
      </c>
    </row>
    <row r="49" spans="1:6">
      <c r="A49" t="str">
        <f>IF(IF(OR(AND('BVMS checklist'!$D$3="A",F49="Amazon"),'BVMS checklist'!$D$3&lt;&gt;"A"),TRUE,FALSE),IFERROR(VLOOKUP($E49,CameraPerformance!$R$2:$V$21449,2,FALSE),""),"")</f>
        <v>FLEXIDOME IP 3000i IR (NDE-3502-AL)</v>
      </c>
      <c r="B49" t="str">
        <f>VLOOKUP($E49,CameraPerformance!$R$2:$V$21449,3,FALSE)</f>
        <v>NDE-3502-AL</v>
      </c>
      <c r="C49">
        <f>VLOOKUP($E49,CameraPerformance!$R$2:$V$21449,4,FALSE)</f>
        <v>1</v>
      </c>
      <c r="D49" t="str">
        <f>VLOOKUP($E49,CameraPerformance!$R$2:$V$21449,5,FALSE)</f>
        <v>CPP_7_3</v>
      </c>
      <c r="E49">
        <v>16</v>
      </c>
    </row>
    <row r="50" spans="1:6">
      <c r="A50" t="str">
        <f>IF(IF(OR(AND('BVMS checklist'!$D$3="A",F50="Amazon"),'BVMS checklist'!$D$3&lt;&gt;"A"),TRUE,FALSE),IFERROR(VLOOKUP($E50,CameraPerformance!$R$2:$V$21449,2,FALSE),""),"")</f>
        <v>FLEXIDOME IP 3000i IR (NDE-3503-AL)</v>
      </c>
      <c r="B50" t="str">
        <f>VLOOKUP($E50,CameraPerformance!$R$2:$V$21449,3,FALSE)</f>
        <v>NDE-3503-AL</v>
      </c>
      <c r="C50">
        <f>VLOOKUP($E50,CameraPerformance!$R$2:$V$21449,4,FALSE)</f>
        <v>1</v>
      </c>
      <c r="D50" t="str">
        <f>VLOOKUP($E50,CameraPerformance!$R$2:$V$21449,5,FALSE)</f>
        <v>CPP_7_3</v>
      </c>
      <c r="E50">
        <v>17</v>
      </c>
      <c r="F50" s="29" t="s">
        <v>1540</v>
      </c>
    </row>
    <row r="51" spans="1:6">
      <c r="A51" t="str">
        <f>IF(IF(OR(AND('BVMS checklist'!$D$3="A",F51="Amazon"),'BVMS checklist'!$D$3&lt;&gt;"A"),TRUE,FALSE),IFERROR(VLOOKUP($E51,CameraPerformance!$R$2:$V$21449,2,FALSE),""),"")</f>
        <v>FLEXIDOME IP micro 3000i (NDV-3503-F02)</v>
      </c>
      <c r="B51" t="str">
        <f>VLOOKUP($E51,CameraPerformance!$R$2:$V$21449,3,FALSE)</f>
        <v>NDV-3503-F02</v>
      </c>
      <c r="C51">
        <f>VLOOKUP($E51,CameraPerformance!$R$2:$V$21449,4,FALSE)</f>
        <v>1</v>
      </c>
      <c r="D51" t="str">
        <f>VLOOKUP($E51,CameraPerformance!$R$2:$V$21449,5,FALSE)</f>
        <v>CPP_7_3</v>
      </c>
      <c r="E51">
        <v>28</v>
      </c>
      <c r="F51" s="29" t="s">
        <v>1540</v>
      </c>
    </row>
    <row r="52" spans="1:6">
      <c r="A52" t="str">
        <f>IF(IF(OR(AND('BVMS checklist'!$D$3="A",F52="Amazon"),'BVMS checklist'!$D$3&lt;&gt;"A"),TRUE,FALSE),IFERROR(VLOOKUP($E52,CameraPerformance!$R$2:$V$21449,2,FALSE),""),"")</f>
        <v>FLEXIDOME IP 4000i IR (NDE-4502-AL)</v>
      </c>
      <c r="B52" t="str">
        <f>VLOOKUP($E52,CameraPerformance!$R$2:$V$21449,3,FALSE)</f>
        <v>NDE-4502-AL</v>
      </c>
      <c r="C52">
        <f>VLOOKUP($E52,CameraPerformance!$R$2:$V$21449,4,FALSE)</f>
        <v>1</v>
      </c>
      <c r="D52" t="str">
        <f>VLOOKUP($E52,CameraPerformance!$R$2:$V$21449,5,FALSE)</f>
        <v>CPP_7_3</v>
      </c>
      <c r="E52">
        <v>18</v>
      </c>
      <c r="F52" s="29" t="s">
        <v>1540</v>
      </c>
    </row>
    <row r="53" spans="1:6">
      <c r="A53" t="str">
        <f>IF(IF(OR(AND('BVMS checklist'!$D$3="A",F53="Amazon"),'BVMS checklist'!$D$3&lt;&gt;"A"),TRUE,FALSE),IFERROR(VLOOKUP($E53,CameraPerformance!$R$2:$V$21449,2,FALSE),""),"")</f>
        <v>FLEXIDOME IP 4000i (NDI-4502-A)</v>
      </c>
      <c r="B53" t="str">
        <f>VLOOKUP($E53,CameraPerformance!$R$2:$V$21449,3,FALSE)</f>
        <v>NDI-4502-A</v>
      </c>
      <c r="C53">
        <f>VLOOKUP($E53,CameraPerformance!$R$2:$V$21449,4,FALSE)</f>
        <v>1</v>
      </c>
      <c r="D53" t="str">
        <f>VLOOKUP($E53,CameraPerformance!$R$2:$V$21449,5,FALSE)</f>
        <v>CPP_7_3</v>
      </c>
      <c r="E53">
        <v>22</v>
      </c>
      <c r="F53" s="29" t="s">
        <v>1540</v>
      </c>
    </row>
    <row r="54" spans="1:6">
      <c r="A54" t="str">
        <f>IF(IF(OR(AND('BVMS checklist'!$D$3="A",F54="Amazon"),'BVMS checklist'!$D$3&lt;&gt;"A"),TRUE,FALSE),IFERROR(VLOOKUP($E54,CameraPerformance!$R$2:$V$21449,2,FALSE),""),"")</f>
        <v>FLEXIDOME IP 5000i IR (NDI-5503-AL)</v>
      </c>
      <c r="B54" t="str">
        <f>VLOOKUP($E54,CameraPerformance!$R$2:$V$21449,3,FALSE)</f>
        <v>NDI-5503-AL</v>
      </c>
      <c r="C54">
        <f>VLOOKUP($E54,CameraPerformance!$R$2:$V$21449,4,FALSE)</f>
        <v>1</v>
      </c>
      <c r="D54" t="str">
        <f>VLOOKUP($E54,CameraPerformance!$R$2:$V$21449,5,FALSE)</f>
        <v>CPP_7_3</v>
      </c>
      <c r="E54">
        <v>23</v>
      </c>
    </row>
    <row r="55" spans="1:6">
      <c r="A55" t="str">
        <f>IF(IF(OR(AND('BVMS checklist'!$D$3="A",F55="Amazon"),'BVMS checklist'!$D$3&lt;&gt;"A"),TRUE,FALSE),IFERROR(VLOOKUP($E55,CameraPerformance!$R$2:$V$21449,2,FALSE),""),"")</f>
        <v>FLEXIDOME IP 5000i (NDI-5503-A)</v>
      </c>
      <c r="B55" t="str">
        <f>VLOOKUP($E55,CameraPerformance!$R$2:$V$21449,3,FALSE)</f>
        <v>NDI-5503-A</v>
      </c>
      <c r="C55">
        <f>VLOOKUP($E55,CameraPerformance!$R$2:$V$21449,4,FALSE)</f>
        <v>1</v>
      </c>
      <c r="D55" t="str">
        <f>VLOOKUP($E55,CameraPerformance!$R$2:$V$21449,5,FALSE)</f>
        <v>CPP_7_3</v>
      </c>
      <c r="E55">
        <v>24</v>
      </c>
      <c r="F55" s="29" t="s">
        <v>1540</v>
      </c>
    </row>
    <row r="56" spans="1:6">
      <c r="A56" t="str">
        <f>IF(IF(OR(AND('BVMS checklist'!$D$3="A",F56="Amazon"),'BVMS checklist'!$D$3&lt;&gt;"A"),TRUE,FALSE),IFERROR(VLOOKUP($E56,CameraPerformance!$R$2:$V$21449,2,FALSE),""),"")</f>
        <v>FLEXIDOME IP starlight 6000 VR (NIN-63013-Ax)</v>
      </c>
      <c r="B56" t="str">
        <f>VLOOKUP($E56,CameraPerformance!$R$2:$V$21449,3,FALSE)</f>
        <v>NIN-63013-Ax</v>
      </c>
      <c r="C56">
        <f>VLOOKUP($E56,CameraPerformance!$R$2:$V$21449,4,FALSE)</f>
        <v>1</v>
      </c>
      <c r="D56" t="str">
        <f>VLOOKUP($E56,CameraPerformance!$R$2:$V$21449,5,FALSE)</f>
        <v>CPP_7</v>
      </c>
      <c r="E56">
        <v>31</v>
      </c>
    </row>
    <row r="57" spans="1:6">
      <c r="A57" t="str">
        <f>IF(IF(OR(AND('BVMS checklist'!$D$3="A",F57="Amazon"),'BVMS checklist'!$D$3&lt;&gt;"A"),TRUE,FALSE),IFERROR(VLOOKUP($E57,CameraPerformance!$R$2:$V$21449,2,FALSE),""),"")</f>
        <v>FLEXIDOME IP panoramic 5100i (NDS-5703-F360)</v>
      </c>
      <c r="B57" t="str">
        <f>VLOOKUP($E57,CameraPerformance!$R$2:$V$21449,3,FALSE)</f>
        <v>NDS-5703-F360</v>
      </c>
      <c r="C57">
        <f>VLOOKUP($E57,CameraPerformance!$R$2:$V$21449,4,FALSE)</f>
        <v>1</v>
      </c>
      <c r="D57" t="str">
        <f>VLOOKUP($E57,CameraPerformance!$R$2:$V$21449,5,FALSE)</f>
        <v>CPP_7_3</v>
      </c>
      <c r="E57">
        <v>45</v>
      </c>
    </row>
    <row r="58" spans="1:6">
      <c r="A58" t="str">
        <f>IF(IF(OR(AND('BVMS checklist'!$D$3="A",F58="Amazon"),'BVMS checklist'!$D$3&lt;&gt;"A"),TRUE,FALSE),IFERROR(VLOOKUP($E58,CameraPerformance!$R$2:$V$21449,2,FALSE),""),"")</f>
        <v>FLEXIDOME IP panoramic 5100i (NDS-5704-F360)</v>
      </c>
      <c r="B58" t="str">
        <f>VLOOKUP($E58,CameraPerformance!$R$2:$V$21449,3,FALSE)</f>
        <v>NDS-5704-F360</v>
      </c>
      <c r="C58">
        <f>VLOOKUP($E58,CameraPerformance!$R$2:$V$21449,4,FALSE)</f>
        <v>1</v>
      </c>
      <c r="D58" t="str">
        <f>VLOOKUP($E58,CameraPerformance!$R$2:$V$21449,5,FALSE)</f>
        <v>CPP_7_3</v>
      </c>
      <c r="E58">
        <v>46</v>
      </c>
    </row>
    <row r="59" spans="1:6">
      <c r="A59" t="str">
        <f>IF(IF(OR(AND('BVMS checklist'!$D$3="A",F59="Amazon"),'BVMS checklist'!$D$3&lt;&gt;"A"),TRUE,FALSE),IFERROR(VLOOKUP($E59,CameraPerformance!$R$2:$V$21449,2,FALSE),""),"")</f>
        <v>FLEXIDOME IP panoramic 7000 MP (360) (NIN-70122-F0A)</v>
      </c>
      <c r="B59" t="str">
        <f>VLOOKUP($E59,CameraPerformance!$R$2:$V$21449,3,FALSE)</f>
        <v>NIN-70122-F0A</v>
      </c>
      <c r="C59">
        <f>VLOOKUP($E59,CameraPerformance!$R$2:$V$21449,4,FALSE)</f>
        <v>1</v>
      </c>
      <c r="D59" t="str">
        <f>VLOOKUP($E59,CameraPerformance!$R$2:$V$21449,5,FALSE)</f>
        <v>CPP_6</v>
      </c>
      <c r="E59">
        <v>32</v>
      </c>
      <c r="F59" s="29" t="s">
        <v>1540</v>
      </c>
    </row>
    <row r="60" spans="1:6">
      <c r="A60" t="str">
        <f>IF(IF(OR(AND('BVMS checklist'!$D$3="A",F60="Amazon"),'BVMS checklist'!$D$3&lt;&gt;"A"),TRUE,FALSE),IFERROR(VLOOKUP($E60,CameraPerformance!$R$2:$V$21449,2,FALSE),""),"")</f>
        <v>FLEXIDOME IP panoramic 7000 MP (180) (NIN-70122-F1A)</v>
      </c>
      <c r="B60" t="str">
        <f>VLOOKUP($E60,CameraPerformance!$R$2:$V$21449,3,FALSE)</f>
        <v>NIN-70122-F1A</v>
      </c>
      <c r="C60">
        <f>VLOOKUP($E60,CameraPerformance!$R$2:$V$21449,4,FALSE)</f>
        <v>1</v>
      </c>
      <c r="D60" t="str">
        <f>VLOOKUP($E60,CameraPerformance!$R$2:$V$21449,5,FALSE)</f>
        <v>CPP_6</v>
      </c>
      <c r="E60">
        <v>33</v>
      </c>
      <c r="F60" s="29" t="s">
        <v>1540</v>
      </c>
    </row>
    <row r="61" spans="1:6">
      <c r="A61" t="str">
        <f>IF(IF(OR(AND('BVMS checklist'!$D$3="A",F61="Amazon"),'BVMS checklist'!$D$3&lt;&gt;"A"),TRUE,FALSE),IFERROR(VLOOKUP($E61,CameraPerformance!$R$2:$V$21449,2,FALSE),""),"")</f>
        <v>FLEXIDOME IP panoramic 6000 MP (360) (NFN-60122-F2)</v>
      </c>
      <c r="B61" t="str">
        <f>VLOOKUP($E61,CameraPerformance!$R$2:$V$21449,3,FALSE)</f>
        <v>NFN-60122-F2</v>
      </c>
      <c r="C61">
        <f>VLOOKUP($E61,CameraPerformance!$R$2:$V$21449,4,FALSE)</f>
        <v>1</v>
      </c>
      <c r="D61" t="str">
        <f>VLOOKUP($E61,CameraPerformance!$R$2:$V$21449,5,FALSE)</f>
        <v>CPP_6</v>
      </c>
      <c r="E61">
        <v>34</v>
      </c>
    </row>
    <row r="62" spans="1:6">
      <c r="A62" t="str">
        <f>IF(IF(OR(AND('BVMS checklist'!$D$3="A",F62="Amazon"),'BVMS checklist'!$D$3&lt;&gt;"A"),TRUE,FALSE),IFERROR(VLOOKUP($E62,CameraPerformance!$R$2:$V$21449,2,FALSE),""),"")</f>
        <v>FLEXIDOME IP panoramic 6000 MP (180) (NFN-60122-F0)</v>
      </c>
      <c r="B62" t="str">
        <f>VLOOKUP($E62,CameraPerformance!$R$2:$V$21449,3,FALSE)</f>
        <v>NFN-60122-F0</v>
      </c>
      <c r="C62">
        <f>VLOOKUP($E62,CameraPerformance!$R$2:$V$21449,4,FALSE)</f>
        <v>1</v>
      </c>
      <c r="D62" t="str">
        <f>VLOOKUP($E62,CameraPerformance!$R$2:$V$21449,5,FALSE)</f>
        <v>CPP_6</v>
      </c>
      <c r="E62">
        <v>35</v>
      </c>
    </row>
    <row r="63" spans="1:6">
      <c r="A63" t="str">
        <f>IF(IF(OR(AND('BVMS checklist'!$D$3="A",F63="Amazon"),'BVMS checklist'!$D$3&lt;&gt;"A"),TRUE,FALSE),IFERROR(VLOOKUP($E63,CameraPerformance!$R$2:$V$21449,2,FALSE),""),"")</f>
        <v>FLEXIDOME IP multi 7000i (NDM-7702-A)</v>
      </c>
      <c r="B63" t="str">
        <f>VLOOKUP($E63,CameraPerformance!$R$2:$V$21449,3,FALSE)</f>
        <v>NDM-7702-A</v>
      </c>
      <c r="C63">
        <f>VLOOKUP($E63,CameraPerformance!$R$2:$V$21449,4,FALSE)</f>
        <v>4</v>
      </c>
      <c r="D63" t="str">
        <f>VLOOKUP($E63,CameraPerformance!$R$2:$V$21449,5,FALSE)</f>
        <v>CPP_7_3</v>
      </c>
      <c r="E63">
        <v>43</v>
      </c>
    </row>
    <row r="64" spans="1:6">
      <c r="A64" t="str">
        <f>IF(IF(OR(AND('BVMS checklist'!$D$3="A",F64="Amazon"),'BVMS checklist'!$D$3&lt;&gt;"A"),TRUE,FALSE),IFERROR(VLOOKUP($E64,CameraPerformance!$R$2:$V$21449,2,FALSE),""),"")</f>
        <v>FLEXIDOME IP multi 7000i (NDM-7703-A)</v>
      </c>
      <c r="B64" t="str">
        <f>VLOOKUP($E64,CameraPerformance!$R$2:$V$21449,3,FALSE)</f>
        <v>NDM-7703-A</v>
      </c>
      <c r="C64">
        <f>VLOOKUP($E64,CameraPerformance!$R$2:$V$21449,4,FALSE)</f>
        <v>4</v>
      </c>
      <c r="D64" t="str">
        <f>VLOOKUP($E64,CameraPerformance!$R$2:$V$21449,5,FALSE)</f>
        <v>CPP_7_3</v>
      </c>
      <c r="E64">
        <v>44</v>
      </c>
    </row>
    <row r="65" spans="1:7">
      <c r="A65" t="str">
        <f>IF(IF(OR(AND('BVMS checklist'!$D$3="A",F65="Amazon"),'BVMS checklist'!$D$3&lt;&gt;"A"),TRUE,FALSE),IFERROR(VLOOKUP($E65,CameraPerformance!$R$2:$V$21449,2,FALSE),""),"")</f>
        <v>FLEXIDOME IP starlight 8000i (NDE-8502-R)</v>
      </c>
      <c r="B65" t="str">
        <f>VLOOKUP($E65,CameraPerformance!$R$2:$V$21449,3,FALSE)</f>
        <v>NDE-8502-R</v>
      </c>
      <c r="C65">
        <f>VLOOKUP($E65,CameraPerformance!$R$2:$V$21449,4,FALSE)</f>
        <v>1</v>
      </c>
      <c r="D65" t="str">
        <f>VLOOKUP($E65,CameraPerformance!$R$2:$V$21449,5,FALSE)</f>
        <v>CPP_7_3</v>
      </c>
      <c r="E65">
        <v>19</v>
      </c>
    </row>
    <row r="66" spans="1:7">
      <c r="A66" t="str">
        <f>IF(IF(OR(AND('BVMS checklist'!$D$3="A",F66="Amazon"),'BVMS checklist'!$D$3&lt;&gt;"A"),TRUE,FALSE),IFERROR(VLOOKUP($E66,CameraPerformance!$R$2:$V$21449,2,FALSE),""),"")</f>
        <v>FLEXIDOME IP starlight 8000i (NDE-8503-RT)</v>
      </c>
      <c r="B66" t="str">
        <f>VLOOKUP($E66,CameraPerformance!$R$2:$V$21449,3,FALSE)</f>
        <v>NDE-8503-RT</v>
      </c>
      <c r="C66">
        <f>VLOOKUP($E66,CameraPerformance!$R$2:$V$21449,4,FALSE)</f>
        <v>1</v>
      </c>
      <c r="D66" t="str">
        <f>VLOOKUP($E66,CameraPerformance!$R$2:$V$21449,5,FALSE)</f>
        <v>CPP_7_3</v>
      </c>
      <c r="E66">
        <v>20</v>
      </c>
    </row>
    <row r="67" spans="1:7">
      <c r="A67" t="str">
        <f>IF(IF(OR(AND('BVMS checklist'!$D$3="A",F67="Amazon"),'BVMS checklist'!$D$3&lt;&gt;"A"),TRUE,FALSE),IFERROR(VLOOKUP($E67,CameraPerformance!$R$2:$V$21449,2,FALSE),""),"")</f>
        <v>FLEXIDOME IP starlight 8000i (NDE-8504-R)</v>
      </c>
      <c r="B67" t="str">
        <f>VLOOKUP($E67,CameraPerformance!$R$2:$V$21449,3,FALSE)</f>
        <v>NDE-8504-R</v>
      </c>
      <c r="C67">
        <f>VLOOKUP($E67,CameraPerformance!$R$2:$V$21449,4,FALSE)</f>
        <v>1</v>
      </c>
      <c r="D67" t="str">
        <f>VLOOKUP($E67,CameraPerformance!$R$2:$V$21449,5,FALSE)</f>
        <v>CPP_7_3</v>
      </c>
      <c r="E67">
        <v>21</v>
      </c>
    </row>
    <row r="68" spans="1:7">
      <c r="A68" t="str">
        <f>IF(IF(OR(AND('BVMS checklist'!$D$3="A",F68="Amazon"),'BVMS checklist'!$D$3&lt;&gt;"A"),TRUE,FALSE),IFERROR(VLOOKUP($E68,CameraPerformance!$R$2:$V$21449,2,FALSE),""),"")</f>
        <v>MIC IP starlight 7000i (MIC-7502-Z30x)</v>
      </c>
      <c r="B68" t="str">
        <f>VLOOKUP($E68,CameraPerformance!$R$2:$V$21449,3,FALSE)</f>
        <v>MIC-7502-Z30x</v>
      </c>
      <c r="C68">
        <f>VLOOKUP($E68,CameraPerformance!$R$2:$V$21449,4,FALSE)</f>
        <v>1</v>
      </c>
      <c r="D68" t="str">
        <f>VLOOKUP($E68,CameraPerformance!$R$2:$V$21449,5,FALSE)</f>
        <v>CPP_7_3</v>
      </c>
      <c r="E68">
        <v>2</v>
      </c>
    </row>
    <row r="69" spans="1:7">
      <c r="A69" t="str">
        <f>IF(IF(OR(AND('BVMS checklist'!$D$3="A",F69="Amazon"),'BVMS checklist'!$D$3&lt;&gt;"A"),TRUE,FALSE),IFERROR(VLOOKUP($E69,CameraPerformance!$R$2:$V$21449,2,FALSE),""),"")</f>
        <v>MIC IP starlight 7100i (MIC-7522-Z30x)</v>
      </c>
      <c r="B69" t="str">
        <f>VLOOKUP($E69,CameraPerformance!$R$2:$V$21449,3,FALSE)</f>
        <v>MIC-7522-Z30x</v>
      </c>
      <c r="C69">
        <f>VLOOKUP($E69,CameraPerformance!$R$2:$V$21449,4,FALSE)</f>
        <v>1</v>
      </c>
      <c r="D69" t="str">
        <f>VLOOKUP($E69,CameraPerformance!$R$2:$V$21449,5,FALSE)</f>
        <v>CPP_7_3</v>
      </c>
      <c r="E69">
        <v>38</v>
      </c>
    </row>
    <row r="70" spans="1:7">
      <c r="A70" t="str">
        <f>IF(IF(OR(AND('BVMS checklist'!$D$3="A",F70="Amazon"),'BVMS checklist'!$D$3&lt;&gt;"A"),TRUE,FALSE),IFERROR(VLOOKUP($E70,CameraPerformance!$R$2:$V$21449,2,FALSE),""),"")</f>
        <v>MIC IP starlight 7100i (MIC-7522-Z30xR)</v>
      </c>
      <c r="B70" t="str">
        <f>VLOOKUP($E70,CameraPerformance!$R$2:$V$21449,3,FALSE)</f>
        <v>MIC-7522-Z30xR</v>
      </c>
      <c r="C70">
        <f>VLOOKUP($E70,CameraPerformance!$R$2:$V$21449,4,FALSE)</f>
        <v>1</v>
      </c>
      <c r="D70" t="str">
        <f>VLOOKUP($E70,CameraPerformance!$R$2:$V$21449,5,FALSE)</f>
        <v>CPP_7_3</v>
      </c>
      <c r="E70">
        <v>39</v>
      </c>
    </row>
    <row r="71" spans="1:7">
      <c r="A71" t="str">
        <f>IF(IF(OR(AND('BVMS checklist'!$D$3="A",F71="Amazon"),'BVMS checklist'!$D$3&lt;&gt;"A"),TRUE,FALSE),IFERROR(VLOOKUP($E71,CameraPerformance!$R$2:$V$21449,2,FALSE),""),"")</f>
        <v>MIC IP ultra 7100i (MIC-7504-Z12xR)</v>
      </c>
      <c r="B71" t="str">
        <f>VLOOKUP($E71,CameraPerformance!$R$2:$V$21449,3,FALSE)</f>
        <v>MIC-7504-Z12xR</v>
      </c>
      <c r="C71">
        <f>VLOOKUP($E71,CameraPerformance!$R$2:$V$21449,4,FALSE)</f>
        <v>1</v>
      </c>
      <c r="D71" t="str">
        <f>VLOOKUP($E71,CameraPerformance!$R$2:$V$21449,5,FALSE)</f>
        <v>CPP_7_3</v>
      </c>
      <c r="E71">
        <v>3</v>
      </c>
    </row>
    <row r="72" spans="1:7">
      <c r="A72" t="str">
        <f>IF(IF(OR(AND('BVMS checklist'!$D$3="A",F72="Amazon"),'BVMS checklist'!$D$3&lt;&gt;"A"),TRUE,FALSE),IFERROR(VLOOKUP($E72,CameraPerformance!$R$2:$V$21449,2,FALSE),""),"")</f>
        <v>MIC IP fusion 9000i (MIC-9502-Z30xQS)</v>
      </c>
      <c r="B72" t="str">
        <f>VLOOKUP($E72,CameraPerformance!$R$2:$V$21449,3,FALSE)</f>
        <v>MIC-9502-Z30xQS</v>
      </c>
      <c r="C72">
        <f>VLOOKUP($E72,CameraPerformance!$R$2:$V$21449,4,FALSE)</f>
        <v>1</v>
      </c>
      <c r="D72" t="str">
        <f>VLOOKUP($E72,CameraPerformance!$R$2:$V$21449,5,FALSE)</f>
        <v>CPP_7_3</v>
      </c>
      <c r="E72">
        <v>4</v>
      </c>
    </row>
    <row r="73" spans="1:7">
      <c r="A73" t="str">
        <f>IF(IF(OR(AND('BVMS checklist'!$D$3="A",F73="Amazon"),'BVMS checklist'!$D$3&lt;&gt;"A"),TRUE,FALSE),IFERROR(VLOOKUP($E73,CameraPerformance!$R$2:$V$21449,2,FALSE),""),"")</f>
        <v>MIC inteox 7000i (MIC-7604-Z12xR)</v>
      </c>
      <c r="B73" t="str">
        <f>VLOOKUP($E73,CameraPerformance!$R$2:$V$21449,3,FALSE)</f>
        <v>MIC-7604-Z12xR</v>
      </c>
      <c r="C73">
        <f>VLOOKUP($E73,CameraPerformance!$R$2:$V$21449,4,FALSE)</f>
        <v>1</v>
      </c>
      <c r="D73" t="str">
        <f>VLOOKUP($E73,CameraPerformance!$R$2:$V$21449,5,FALSE)</f>
        <v>CPP_7_3</v>
      </c>
      <c r="E73">
        <v>40</v>
      </c>
    </row>
    <row r="74" spans="1:7">
      <c r="A74" t="str">
        <f>IF(IF(OR(AND('BVMS checklist'!$D$3="A",F74="Amazon"),'BVMS checklist'!$D$3&lt;&gt;"A"),TRUE,FALSE),IFERROR(VLOOKUP($E74,CameraPerformance!$R$2:$V$21449,2,FALSE),""),"")</f>
        <v>Other Bosch or ONVIF (OTH)</v>
      </c>
      <c r="B74" t="str">
        <f>VLOOKUP($E74,CameraPerformance!$R$2:$V$21449,3,FALSE)</f>
        <v>OTH</v>
      </c>
      <c r="C74">
        <f>VLOOKUP($E74,CameraPerformance!$R$2:$V$21449,4,FALSE)</f>
        <v>1</v>
      </c>
      <c r="D74">
        <f>VLOOKUP($E74,CameraPerformance!$R$2:$V$21449,5,FALSE)</f>
        <v>0</v>
      </c>
      <c r="E74">
        <v>74</v>
      </c>
      <c r="G74" s="697" t="s">
        <v>2086</v>
      </c>
    </row>
  </sheetData>
  <pageMargins left="0.7" right="0.7" top="0.75" bottom="0.75" header="0.3" footer="0.3"/>
  <pageSetup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V7805"/>
  <sheetViews>
    <sheetView topLeftCell="A88" zoomScale="85" zoomScaleNormal="85" workbookViewId="0">
      <selection activeCell="E7807" sqref="E7807"/>
    </sheetView>
  </sheetViews>
  <sheetFormatPr defaultColWidth="9.140625" defaultRowHeight="12.75"/>
  <cols>
    <col min="1" max="1" width="38.5703125" customWidth="1"/>
    <col min="2" max="2" width="47.5703125" customWidth="1"/>
    <col min="3" max="3" width="11.28515625" customWidth="1"/>
    <col min="4" max="4" width="16.7109375" customWidth="1"/>
    <col min="5" max="5" width="40" customWidth="1"/>
    <col min="6" max="6" width="18.5703125" customWidth="1"/>
    <col min="7" max="7" width="11.28515625" customWidth="1"/>
    <col min="8" max="8" width="13.5703125" bestFit="1" customWidth="1"/>
    <col min="9" max="9" width="11.28515625" customWidth="1"/>
    <col min="10" max="10" width="21.7109375" customWidth="1"/>
    <col min="11" max="11" width="13.5703125" bestFit="1" customWidth="1"/>
    <col min="12" max="12" width="22.28515625" customWidth="1"/>
    <col min="13" max="13" width="65.28515625" bestFit="1" customWidth="1"/>
    <col min="14" max="15" width="12.28515625" customWidth="1"/>
    <col min="16" max="16" width="52.7109375" customWidth="1"/>
    <col min="18" max="18" width="11.42578125" customWidth="1"/>
    <col min="19" max="19" width="42.5703125" customWidth="1"/>
    <col min="20" max="20" width="22.7109375" customWidth="1"/>
    <col min="21" max="21" width="11.28515625" customWidth="1"/>
  </cols>
  <sheetData>
    <row r="1" spans="1:22">
      <c r="A1" s="191" t="s">
        <v>910</v>
      </c>
      <c r="B1" s="191" t="s">
        <v>911</v>
      </c>
      <c r="C1" s="191" t="s">
        <v>1333</v>
      </c>
      <c r="D1" s="191" t="s">
        <v>1334</v>
      </c>
      <c r="E1" s="191" t="s">
        <v>1335</v>
      </c>
      <c r="F1" s="191" t="s">
        <v>1336</v>
      </c>
      <c r="G1" s="191" t="s">
        <v>1337</v>
      </c>
      <c r="H1" s="191" t="s">
        <v>1338</v>
      </c>
      <c r="I1" s="191" t="s">
        <v>1339</v>
      </c>
      <c r="J1" s="191" t="s">
        <v>1340</v>
      </c>
      <c r="K1" s="191" t="s">
        <v>1341</v>
      </c>
      <c r="L1" s="191" t="s">
        <v>1342</v>
      </c>
      <c r="M1" s="191" t="s">
        <v>1343</v>
      </c>
      <c r="N1" s="191" t="s">
        <v>1344</v>
      </c>
      <c r="O1" s="191" t="s">
        <v>1345</v>
      </c>
      <c r="P1" s="191" t="s">
        <v>1332</v>
      </c>
      <c r="Q1" s="191" t="s">
        <v>1346</v>
      </c>
      <c r="R1" t="s">
        <v>1347</v>
      </c>
      <c r="S1" s="29" t="s">
        <v>1348</v>
      </c>
      <c r="T1" s="29" t="s">
        <v>108</v>
      </c>
      <c r="U1" s="29" t="s">
        <v>264</v>
      </c>
      <c r="V1" s="29" t="s">
        <v>1350</v>
      </c>
    </row>
    <row r="2" spans="1:22">
      <c r="A2" t="str">
        <f t="shared" ref="A2:A65" si="0">IF(AND(G2&lt;&gt;"rotate 90°"),D2,"")</f>
        <v>FCS-8000-VFD-B</v>
      </c>
      <c r="B2" s="403" t="s">
        <v>1354</v>
      </c>
      <c r="C2" s="403" t="s">
        <v>584</v>
      </c>
      <c r="D2" s="403" t="s">
        <v>1355</v>
      </c>
      <c r="E2" s="403" t="s">
        <v>778</v>
      </c>
      <c r="F2" s="403" t="s">
        <v>1286</v>
      </c>
      <c r="G2" s="403" t="s">
        <v>1466</v>
      </c>
      <c r="H2" s="403" t="s">
        <v>1276</v>
      </c>
      <c r="I2" s="403">
        <v>1</v>
      </c>
      <c r="J2" s="403" t="s">
        <v>110</v>
      </c>
      <c r="K2" s="403">
        <v>1920</v>
      </c>
      <c r="L2" s="403">
        <v>1080</v>
      </c>
      <c r="M2" s="403" t="s">
        <v>111</v>
      </c>
      <c r="N2" s="403">
        <v>768</v>
      </c>
      <c r="O2" s="403">
        <v>432</v>
      </c>
      <c r="P2" t="str">
        <f t="shared" ref="P2:P65" si="1">LEFT(F2,5)&amp;" "&amp;J2&amp;" - "&amp;M2</f>
        <v>30fps 1080p - SD</v>
      </c>
      <c r="Q2">
        <f t="shared" ref="Q2:Q65" si="2">IF(A1=A2,Q1,Q1+1)</f>
        <v>1</v>
      </c>
      <c r="R2">
        <f t="shared" ref="R2:R65" si="3">IF(Q1&lt;&gt;Q2,Q2,"")</f>
        <v>1</v>
      </c>
      <c r="S2" t="str">
        <f t="shared" ref="S2:S65" si="4">IF(R2&lt;&gt;"",B2&amp;" ("&amp;D2&amp;")","")</f>
        <v>AVIOTEC IP starlight 8000 (FCS-8000-VFD-B)</v>
      </c>
      <c r="T2" t="str">
        <f t="shared" ref="T2:T65" si="5">D2</f>
        <v>FCS-8000-VFD-B</v>
      </c>
      <c r="U2">
        <f t="shared" ref="U2:U65" si="6">I2</f>
        <v>1</v>
      </c>
      <c r="V2" t="str">
        <f t="shared" ref="V2:V65" si="7">C2</f>
        <v>CPP_6</v>
      </c>
    </row>
    <row r="3" spans="1:22">
      <c r="A3" t="str">
        <f t="shared" si="0"/>
        <v>FCS-8000-VFD-B</v>
      </c>
      <c r="B3" s="403" t="s">
        <v>1354</v>
      </c>
      <c r="C3" s="403" t="s">
        <v>584</v>
      </c>
      <c r="D3" s="403" t="s">
        <v>1355</v>
      </c>
      <c r="E3" s="403" t="s">
        <v>778</v>
      </c>
      <c r="F3" s="403" t="s">
        <v>1286</v>
      </c>
      <c r="G3" s="403" t="s">
        <v>1466</v>
      </c>
      <c r="H3" s="403" t="s">
        <v>1276</v>
      </c>
      <c r="I3" s="403">
        <v>1</v>
      </c>
      <c r="J3" s="403" t="s">
        <v>110</v>
      </c>
      <c r="K3" s="403">
        <v>1920</v>
      </c>
      <c r="L3" s="403">
        <v>1080</v>
      </c>
      <c r="M3" s="403" t="s">
        <v>110</v>
      </c>
      <c r="N3" s="403">
        <v>1920</v>
      </c>
      <c r="O3" s="403">
        <v>1080</v>
      </c>
      <c r="P3" t="str">
        <f t="shared" si="1"/>
        <v>30fps 1080p - 1080p</v>
      </c>
      <c r="Q3">
        <f t="shared" si="2"/>
        <v>1</v>
      </c>
      <c r="R3" t="str">
        <f t="shared" si="3"/>
        <v/>
      </c>
      <c r="S3" t="str">
        <f t="shared" si="4"/>
        <v/>
      </c>
      <c r="T3" s="403" t="str">
        <f t="shared" si="5"/>
        <v>FCS-8000-VFD-B</v>
      </c>
      <c r="U3" s="403">
        <f t="shared" si="6"/>
        <v>1</v>
      </c>
      <c r="V3" s="403" t="str">
        <f t="shared" si="7"/>
        <v>CPP_6</v>
      </c>
    </row>
    <row r="4" spans="1:22">
      <c r="A4" t="str">
        <f t="shared" si="0"/>
        <v>FCS-8000-VFD-B</v>
      </c>
      <c r="B4" s="403" t="s">
        <v>1354</v>
      </c>
      <c r="C4" s="403" t="s">
        <v>584</v>
      </c>
      <c r="D4" s="403" t="s">
        <v>1355</v>
      </c>
      <c r="E4" s="403" t="s">
        <v>778</v>
      </c>
      <c r="F4" s="403" t="s">
        <v>1286</v>
      </c>
      <c r="G4" s="403" t="s">
        <v>1466</v>
      </c>
      <c r="H4" s="403" t="s">
        <v>1276</v>
      </c>
      <c r="I4" s="403">
        <v>1</v>
      </c>
      <c r="J4" s="403" t="s">
        <v>110</v>
      </c>
      <c r="K4" s="403">
        <v>1920</v>
      </c>
      <c r="L4" s="403">
        <v>1080</v>
      </c>
      <c r="M4" s="403" t="s">
        <v>109</v>
      </c>
      <c r="N4" s="403">
        <v>1280</v>
      </c>
      <c r="O4" s="403">
        <v>720</v>
      </c>
      <c r="P4" t="str">
        <f t="shared" si="1"/>
        <v>30fps 1080p - 720p</v>
      </c>
      <c r="Q4">
        <f t="shared" si="2"/>
        <v>1</v>
      </c>
      <c r="R4" t="str">
        <f t="shared" si="3"/>
        <v/>
      </c>
      <c r="S4" t="str">
        <f t="shared" si="4"/>
        <v/>
      </c>
      <c r="T4" s="403" t="str">
        <f t="shared" si="5"/>
        <v>FCS-8000-VFD-B</v>
      </c>
      <c r="U4" s="403">
        <f t="shared" si="6"/>
        <v>1</v>
      </c>
      <c r="V4" s="403" t="str">
        <f t="shared" si="7"/>
        <v>CPP_6</v>
      </c>
    </row>
    <row r="5" spans="1:22">
      <c r="A5" t="str">
        <f t="shared" si="0"/>
        <v>FCS-8000-VFD-B</v>
      </c>
      <c r="B5" s="403" t="s">
        <v>1354</v>
      </c>
      <c r="C5" s="403" t="s">
        <v>584</v>
      </c>
      <c r="D5" s="403" t="s">
        <v>1355</v>
      </c>
      <c r="E5" s="403" t="s">
        <v>778</v>
      </c>
      <c r="F5" s="403" t="s">
        <v>1286</v>
      </c>
      <c r="G5" s="403" t="s">
        <v>1466</v>
      </c>
      <c r="H5" s="403" t="s">
        <v>1276</v>
      </c>
      <c r="I5" s="403">
        <v>1</v>
      </c>
      <c r="J5" s="403" t="s">
        <v>110</v>
      </c>
      <c r="K5" s="403">
        <v>1920</v>
      </c>
      <c r="L5" s="403">
        <v>1080</v>
      </c>
      <c r="M5" s="403" t="s">
        <v>1279</v>
      </c>
      <c r="N5" s="403">
        <v>768</v>
      </c>
      <c r="O5" s="403">
        <v>432</v>
      </c>
      <c r="P5" t="str">
        <f t="shared" si="1"/>
        <v>30fps 1080p - SD ROI PTZ</v>
      </c>
      <c r="Q5">
        <f t="shared" si="2"/>
        <v>1</v>
      </c>
      <c r="R5" t="str">
        <f t="shared" si="3"/>
        <v/>
      </c>
      <c r="S5" t="str">
        <f t="shared" si="4"/>
        <v/>
      </c>
      <c r="T5" s="403" t="str">
        <f t="shared" si="5"/>
        <v>FCS-8000-VFD-B</v>
      </c>
      <c r="U5" s="403">
        <f t="shared" si="6"/>
        <v>1</v>
      </c>
      <c r="V5" s="403" t="str">
        <f t="shared" si="7"/>
        <v>CPP_6</v>
      </c>
    </row>
    <row r="6" spans="1:22">
      <c r="A6" t="str">
        <f t="shared" si="0"/>
        <v>FCS-8000-VFD-B</v>
      </c>
      <c r="B6" s="403" t="s">
        <v>1354</v>
      </c>
      <c r="C6" s="403" t="s">
        <v>584</v>
      </c>
      <c r="D6" s="403" t="s">
        <v>1355</v>
      </c>
      <c r="E6" s="403" t="s">
        <v>778</v>
      </c>
      <c r="F6" s="403" t="s">
        <v>1286</v>
      </c>
      <c r="G6" s="403" t="s">
        <v>1466</v>
      </c>
      <c r="H6" s="403" t="s">
        <v>1276</v>
      </c>
      <c r="I6" s="403">
        <v>1</v>
      </c>
      <c r="J6" s="403" t="s">
        <v>110</v>
      </c>
      <c r="K6" s="403">
        <v>1920</v>
      </c>
      <c r="L6" s="403">
        <v>1080</v>
      </c>
      <c r="M6" s="403" t="s">
        <v>1302</v>
      </c>
      <c r="N6" s="403">
        <v>400</v>
      </c>
      <c r="O6" s="403">
        <v>720</v>
      </c>
      <c r="P6" t="str">
        <f t="shared" si="1"/>
        <v>30fps 1080p - 400x720 upright (cropped)</v>
      </c>
      <c r="Q6">
        <f t="shared" si="2"/>
        <v>1</v>
      </c>
      <c r="R6" t="str">
        <f t="shared" si="3"/>
        <v/>
      </c>
      <c r="S6" t="str">
        <f t="shared" si="4"/>
        <v/>
      </c>
      <c r="T6" s="403" t="str">
        <f t="shared" si="5"/>
        <v>FCS-8000-VFD-B</v>
      </c>
      <c r="U6" s="403">
        <f t="shared" si="6"/>
        <v>1</v>
      </c>
      <c r="V6" s="403" t="str">
        <f t="shared" si="7"/>
        <v>CPP_6</v>
      </c>
    </row>
    <row r="7" spans="1:22">
      <c r="A7" t="str">
        <f t="shared" si="0"/>
        <v>FCS-8000-VFD-B</v>
      </c>
      <c r="B7" s="403" t="s">
        <v>1354</v>
      </c>
      <c r="C7" s="403" t="s">
        <v>584</v>
      </c>
      <c r="D7" s="403" t="s">
        <v>1355</v>
      </c>
      <c r="E7" s="403" t="s">
        <v>778</v>
      </c>
      <c r="F7" s="403" t="s">
        <v>1286</v>
      </c>
      <c r="G7" s="403" t="s">
        <v>1466</v>
      </c>
      <c r="H7" s="403" t="s">
        <v>1276</v>
      </c>
      <c r="I7" s="403">
        <v>1</v>
      </c>
      <c r="J7" s="403" t="s">
        <v>110</v>
      </c>
      <c r="K7" s="403">
        <v>1920</v>
      </c>
      <c r="L7" s="403">
        <v>1080</v>
      </c>
      <c r="M7" s="403" t="s">
        <v>1283</v>
      </c>
      <c r="N7" s="403">
        <v>704</v>
      </c>
      <c r="O7" s="403">
        <v>480</v>
      </c>
      <c r="P7" t="str">
        <f t="shared" si="1"/>
        <v>30fps 1080p - SD 4CIF resolution 4:3 format (cropped)</v>
      </c>
      <c r="Q7">
        <f t="shared" si="2"/>
        <v>1</v>
      </c>
      <c r="R7" t="str">
        <f t="shared" si="3"/>
        <v/>
      </c>
      <c r="S7" t="str">
        <f t="shared" si="4"/>
        <v/>
      </c>
      <c r="T7" s="403" t="str">
        <f t="shared" si="5"/>
        <v>FCS-8000-VFD-B</v>
      </c>
      <c r="U7" s="403">
        <f t="shared" si="6"/>
        <v>1</v>
      </c>
      <c r="V7" s="403" t="str">
        <f t="shared" si="7"/>
        <v>CPP_6</v>
      </c>
    </row>
    <row r="8" spans="1:22">
      <c r="A8" t="str">
        <f t="shared" si="0"/>
        <v>FCS-8000-VFD-B</v>
      </c>
      <c r="B8" s="403" t="s">
        <v>1354</v>
      </c>
      <c r="C8" s="403" t="s">
        <v>584</v>
      </c>
      <c r="D8" s="403" t="s">
        <v>1355</v>
      </c>
      <c r="E8" s="403" t="s">
        <v>778</v>
      </c>
      <c r="F8" s="403" t="s">
        <v>1286</v>
      </c>
      <c r="G8" s="403" t="s">
        <v>1466</v>
      </c>
      <c r="H8" s="403" t="s">
        <v>1276</v>
      </c>
      <c r="I8" s="403">
        <v>1</v>
      </c>
      <c r="J8" s="403" t="s">
        <v>110</v>
      </c>
      <c r="K8" s="403">
        <v>1920</v>
      </c>
      <c r="L8" s="403">
        <v>1080</v>
      </c>
      <c r="M8" s="403" t="s">
        <v>1284</v>
      </c>
      <c r="N8" s="403">
        <v>640</v>
      </c>
      <c r="O8" s="403">
        <v>480</v>
      </c>
      <c r="P8" t="str">
        <f t="shared" si="1"/>
        <v>30fps 1080p - SD VGA (cropped)</v>
      </c>
      <c r="Q8">
        <f t="shared" si="2"/>
        <v>1</v>
      </c>
      <c r="R8" t="str">
        <f t="shared" si="3"/>
        <v/>
      </c>
      <c r="S8" t="str">
        <f t="shared" si="4"/>
        <v/>
      </c>
      <c r="T8" s="403" t="str">
        <f t="shared" si="5"/>
        <v>FCS-8000-VFD-B</v>
      </c>
      <c r="U8" s="403">
        <f t="shared" si="6"/>
        <v>1</v>
      </c>
      <c r="V8" s="403" t="str">
        <f t="shared" si="7"/>
        <v>CPP_6</v>
      </c>
    </row>
    <row r="9" spans="1:22">
      <c r="A9" t="str">
        <f t="shared" si="0"/>
        <v>FCS-8000-VFD-B</v>
      </c>
      <c r="B9" s="403" t="s">
        <v>1354</v>
      </c>
      <c r="C9" s="403" t="s">
        <v>584</v>
      </c>
      <c r="D9" s="403" t="s">
        <v>1355</v>
      </c>
      <c r="E9" s="403" t="s">
        <v>778</v>
      </c>
      <c r="F9" s="403" t="s">
        <v>1286</v>
      </c>
      <c r="G9" s="403" t="s">
        <v>1466</v>
      </c>
      <c r="H9" s="403" t="s">
        <v>1276</v>
      </c>
      <c r="I9" s="403">
        <v>1</v>
      </c>
      <c r="J9" s="403" t="s">
        <v>110</v>
      </c>
      <c r="K9" s="403">
        <v>1920</v>
      </c>
      <c r="L9" s="403">
        <v>1080</v>
      </c>
      <c r="M9" s="403" t="s">
        <v>1298</v>
      </c>
      <c r="N9" s="403">
        <v>768</v>
      </c>
      <c r="O9" s="403">
        <v>432</v>
      </c>
      <c r="P9" t="str">
        <f t="shared" si="1"/>
        <v>30fps 1080p - SD dual stream with independent ROI PTZ</v>
      </c>
      <c r="Q9">
        <f t="shared" si="2"/>
        <v>1</v>
      </c>
      <c r="R9" t="str">
        <f t="shared" si="3"/>
        <v/>
      </c>
      <c r="S9" t="str">
        <f t="shared" si="4"/>
        <v/>
      </c>
      <c r="T9" s="403" t="str">
        <f t="shared" si="5"/>
        <v>FCS-8000-VFD-B</v>
      </c>
      <c r="U9" s="403">
        <f t="shared" si="6"/>
        <v>1</v>
      </c>
      <c r="V9" s="403" t="str">
        <f t="shared" si="7"/>
        <v>CPP_6</v>
      </c>
    </row>
    <row r="10" spans="1:22">
      <c r="A10" t="str">
        <f t="shared" si="0"/>
        <v>MIC-7502-Z30x</v>
      </c>
      <c r="B10" s="403" t="s">
        <v>1356</v>
      </c>
      <c r="C10" s="403" t="s">
        <v>582</v>
      </c>
      <c r="D10" s="403" t="s">
        <v>1357</v>
      </c>
      <c r="E10" s="403" t="s">
        <v>1356</v>
      </c>
      <c r="F10" s="403" t="s">
        <v>1287</v>
      </c>
      <c r="G10" s="403" t="s">
        <v>1466</v>
      </c>
      <c r="H10" s="403" t="s">
        <v>1276</v>
      </c>
      <c r="I10" s="403">
        <v>1</v>
      </c>
      <c r="J10" s="403" t="s">
        <v>110</v>
      </c>
      <c r="K10" s="403">
        <v>1920</v>
      </c>
      <c r="L10" s="403">
        <v>1080</v>
      </c>
      <c r="M10" s="403" t="s">
        <v>111</v>
      </c>
      <c r="N10" s="403">
        <v>768</v>
      </c>
      <c r="O10" s="403">
        <v>432</v>
      </c>
      <c r="P10" t="str">
        <f t="shared" si="1"/>
        <v>25fps 1080p - SD</v>
      </c>
      <c r="Q10">
        <f t="shared" si="2"/>
        <v>2</v>
      </c>
      <c r="R10">
        <f t="shared" si="3"/>
        <v>2</v>
      </c>
      <c r="S10" t="str">
        <f t="shared" si="4"/>
        <v>MIC IP starlight 7000i (MIC-7502-Z30x)</v>
      </c>
      <c r="T10" s="403" t="str">
        <f t="shared" si="5"/>
        <v>MIC-7502-Z30x</v>
      </c>
      <c r="U10" s="403">
        <f t="shared" si="6"/>
        <v>1</v>
      </c>
      <c r="V10" s="403" t="str">
        <f t="shared" si="7"/>
        <v>CPP_7_3</v>
      </c>
    </row>
    <row r="11" spans="1:22">
      <c r="A11" t="str">
        <f t="shared" si="0"/>
        <v>MIC-7502-Z30x</v>
      </c>
      <c r="B11" s="403" t="s">
        <v>1356</v>
      </c>
      <c r="C11" s="403" t="s">
        <v>582</v>
      </c>
      <c r="D11" s="403" t="s">
        <v>1357</v>
      </c>
      <c r="E11" s="403" t="s">
        <v>1356</v>
      </c>
      <c r="F11" s="403" t="s">
        <v>1287</v>
      </c>
      <c r="G11" s="403" t="s">
        <v>1466</v>
      </c>
      <c r="H11" s="403" t="s">
        <v>1276</v>
      </c>
      <c r="I11" s="403">
        <v>1</v>
      </c>
      <c r="J11" s="403" t="s">
        <v>110</v>
      </c>
      <c r="K11" s="403">
        <v>1920</v>
      </c>
      <c r="L11" s="403">
        <v>1080</v>
      </c>
      <c r="M11" s="403" t="s">
        <v>110</v>
      </c>
      <c r="N11" s="403">
        <v>1920</v>
      </c>
      <c r="O11" s="403">
        <v>1080</v>
      </c>
      <c r="P11" t="str">
        <f t="shared" si="1"/>
        <v>25fps 1080p - 1080p</v>
      </c>
      <c r="Q11">
        <f t="shared" si="2"/>
        <v>2</v>
      </c>
      <c r="R11" t="str">
        <f t="shared" si="3"/>
        <v/>
      </c>
      <c r="S11" t="str">
        <f t="shared" si="4"/>
        <v/>
      </c>
      <c r="T11" s="403" t="str">
        <f t="shared" si="5"/>
        <v>MIC-7502-Z30x</v>
      </c>
      <c r="U11" s="403">
        <f t="shared" si="6"/>
        <v>1</v>
      </c>
      <c r="V11" s="403" t="str">
        <f t="shared" si="7"/>
        <v>CPP_7_3</v>
      </c>
    </row>
    <row r="12" spans="1:22">
      <c r="A12" t="str">
        <f t="shared" si="0"/>
        <v>MIC-7502-Z30x</v>
      </c>
      <c r="B12" s="403" t="s">
        <v>1356</v>
      </c>
      <c r="C12" s="403" t="s">
        <v>582</v>
      </c>
      <c r="D12" s="403" t="s">
        <v>1357</v>
      </c>
      <c r="E12" s="403" t="s">
        <v>1356</v>
      </c>
      <c r="F12" s="403" t="s">
        <v>1287</v>
      </c>
      <c r="G12" s="403" t="s">
        <v>1466</v>
      </c>
      <c r="H12" s="403" t="s">
        <v>1276</v>
      </c>
      <c r="I12" s="403">
        <v>1</v>
      </c>
      <c r="J12" s="403" t="s">
        <v>110</v>
      </c>
      <c r="K12" s="403">
        <v>1920</v>
      </c>
      <c r="L12" s="403">
        <v>1080</v>
      </c>
      <c r="M12" s="403" t="s">
        <v>109</v>
      </c>
      <c r="N12" s="403">
        <v>1280</v>
      </c>
      <c r="O12" s="403">
        <v>720</v>
      </c>
      <c r="P12" t="str">
        <f t="shared" si="1"/>
        <v>25fps 1080p - 720p</v>
      </c>
      <c r="Q12">
        <f t="shared" si="2"/>
        <v>2</v>
      </c>
      <c r="R12" t="str">
        <f t="shared" si="3"/>
        <v/>
      </c>
      <c r="S12" t="str">
        <f t="shared" si="4"/>
        <v/>
      </c>
      <c r="T12" s="403" t="str">
        <f t="shared" si="5"/>
        <v>MIC-7502-Z30x</v>
      </c>
      <c r="U12" s="403">
        <f t="shared" si="6"/>
        <v>1</v>
      </c>
      <c r="V12" s="403" t="str">
        <f t="shared" si="7"/>
        <v>CPP_7_3</v>
      </c>
    </row>
    <row r="13" spans="1:22">
      <c r="A13" t="str">
        <f t="shared" si="0"/>
        <v>MIC-7502-Z30x</v>
      </c>
      <c r="B13" s="403" t="s">
        <v>1356</v>
      </c>
      <c r="C13" s="403" t="s">
        <v>582</v>
      </c>
      <c r="D13" s="403" t="s">
        <v>1357</v>
      </c>
      <c r="E13" s="403" t="s">
        <v>1356</v>
      </c>
      <c r="F13" s="403" t="s">
        <v>1287</v>
      </c>
      <c r="G13" s="403" t="s">
        <v>1466</v>
      </c>
      <c r="H13" s="403" t="s">
        <v>1276</v>
      </c>
      <c r="I13" s="403">
        <v>1</v>
      </c>
      <c r="J13" s="403" t="s">
        <v>110</v>
      </c>
      <c r="K13" s="403">
        <v>1920</v>
      </c>
      <c r="L13" s="403">
        <v>1080</v>
      </c>
      <c r="M13" s="403" t="s">
        <v>1285</v>
      </c>
      <c r="N13" s="403">
        <v>1280</v>
      </c>
      <c r="O13" s="403">
        <v>1024</v>
      </c>
      <c r="P13" t="str">
        <f t="shared" si="1"/>
        <v>25fps 1080p - 1280x1024 5:4 (cropped)</v>
      </c>
      <c r="Q13">
        <f t="shared" si="2"/>
        <v>2</v>
      </c>
      <c r="R13" t="str">
        <f t="shared" si="3"/>
        <v/>
      </c>
      <c r="S13" t="str">
        <f t="shared" si="4"/>
        <v/>
      </c>
      <c r="T13" s="403" t="str">
        <f t="shared" si="5"/>
        <v>MIC-7502-Z30x</v>
      </c>
      <c r="U13" s="403">
        <f t="shared" si="6"/>
        <v>1</v>
      </c>
      <c r="V13" s="403" t="str">
        <f t="shared" si="7"/>
        <v>CPP_7_3</v>
      </c>
    </row>
    <row r="14" spans="1:22">
      <c r="A14" t="str">
        <f t="shared" si="0"/>
        <v>MIC-7502-Z30x</v>
      </c>
      <c r="B14" s="403" t="s">
        <v>1356</v>
      </c>
      <c r="C14" s="403" t="s">
        <v>582</v>
      </c>
      <c r="D14" s="403" t="s">
        <v>1357</v>
      </c>
      <c r="E14" s="403" t="s">
        <v>1356</v>
      </c>
      <c r="F14" s="403" t="s">
        <v>1287</v>
      </c>
      <c r="G14" s="403" t="s">
        <v>1466</v>
      </c>
      <c r="H14" s="403" t="s">
        <v>1276</v>
      </c>
      <c r="I14" s="403">
        <v>1</v>
      </c>
      <c r="J14" s="403" t="s">
        <v>110</v>
      </c>
      <c r="K14" s="403">
        <v>1920</v>
      </c>
      <c r="L14" s="403">
        <v>1080</v>
      </c>
      <c r="M14" s="403" t="s">
        <v>1283</v>
      </c>
      <c r="N14" s="403">
        <v>720</v>
      </c>
      <c r="O14" s="403">
        <v>576</v>
      </c>
      <c r="P14" t="str">
        <f t="shared" si="1"/>
        <v>25fps 1080p - SD 4CIF resolution 4:3 format (cropped)</v>
      </c>
      <c r="Q14">
        <f t="shared" si="2"/>
        <v>2</v>
      </c>
      <c r="R14" t="str">
        <f t="shared" si="3"/>
        <v/>
      </c>
      <c r="S14" t="str">
        <f t="shared" si="4"/>
        <v/>
      </c>
      <c r="T14" s="403" t="str">
        <f t="shared" si="5"/>
        <v>MIC-7502-Z30x</v>
      </c>
      <c r="U14" s="403">
        <f t="shared" si="6"/>
        <v>1</v>
      </c>
      <c r="V14" s="403" t="str">
        <f t="shared" si="7"/>
        <v>CPP_7_3</v>
      </c>
    </row>
    <row r="15" spans="1:22">
      <c r="A15" t="str">
        <f t="shared" si="0"/>
        <v>MIC-7502-Z30x</v>
      </c>
      <c r="B15" s="403" t="s">
        <v>1356</v>
      </c>
      <c r="C15" s="403" t="s">
        <v>582</v>
      </c>
      <c r="D15" s="403" t="s">
        <v>1357</v>
      </c>
      <c r="E15" s="403" t="s">
        <v>1356</v>
      </c>
      <c r="F15" s="403" t="s">
        <v>1287</v>
      </c>
      <c r="G15" s="403" t="s">
        <v>1466</v>
      </c>
      <c r="H15" s="403" t="s">
        <v>1276</v>
      </c>
      <c r="I15" s="403">
        <v>1</v>
      </c>
      <c r="J15" s="403" t="s">
        <v>110</v>
      </c>
      <c r="K15" s="403">
        <v>1920</v>
      </c>
      <c r="L15" s="403">
        <v>1080</v>
      </c>
      <c r="M15" s="403" t="s">
        <v>1284</v>
      </c>
      <c r="N15" s="403">
        <v>640</v>
      </c>
      <c r="O15" s="403">
        <v>480</v>
      </c>
      <c r="P15" t="str">
        <f t="shared" si="1"/>
        <v>25fps 1080p - SD VGA (cropped)</v>
      </c>
      <c r="Q15">
        <f t="shared" si="2"/>
        <v>2</v>
      </c>
      <c r="R15" t="str">
        <f t="shared" si="3"/>
        <v/>
      </c>
      <c r="S15" t="str">
        <f t="shared" si="4"/>
        <v/>
      </c>
      <c r="T15" s="403" t="str">
        <f t="shared" si="5"/>
        <v>MIC-7502-Z30x</v>
      </c>
      <c r="U15" s="403">
        <f t="shared" si="6"/>
        <v>1</v>
      </c>
      <c r="V15" s="403" t="str">
        <f t="shared" si="7"/>
        <v>CPP_7_3</v>
      </c>
    </row>
    <row r="16" spans="1:22">
      <c r="A16" t="str">
        <f t="shared" si="0"/>
        <v>MIC-7502-Z30x</v>
      </c>
      <c r="B16" s="403" t="s">
        <v>1356</v>
      </c>
      <c r="C16" s="403" t="s">
        <v>582</v>
      </c>
      <c r="D16" s="403" t="s">
        <v>1357</v>
      </c>
      <c r="E16" s="403" t="s">
        <v>1356</v>
      </c>
      <c r="F16" s="403" t="s">
        <v>1287</v>
      </c>
      <c r="G16" s="403" t="s">
        <v>1466</v>
      </c>
      <c r="H16" s="403" t="s">
        <v>1276</v>
      </c>
      <c r="I16" s="403">
        <v>1</v>
      </c>
      <c r="J16" s="403" t="s">
        <v>109</v>
      </c>
      <c r="K16" s="403">
        <v>1280</v>
      </c>
      <c r="L16" s="403">
        <v>720</v>
      </c>
      <c r="M16" s="403" t="s">
        <v>109</v>
      </c>
      <c r="N16" s="403">
        <v>1280</v>
      </c>
      <c r="O16" s="403">
        <v>720</v>
      </c>
      <c r="P16" t="str">
        <f t="shared" si="1"/>
        <v>25fps 720p - 720p</v>
      </c>
      <c r="Q16">
        <f t="shared" si="2"/>
        <v>2</v>
      </c>
      <c r="R16" t="str">
        <f t="shared" si="3"/>
        <v/>
      </c>
      <c r="S16" t="str">
        <f t="shared" si="4"/>
        <v/>
      </c>
      <c r="T16" s="403" t="str">
        <f t="shared" si="5"/>
        <v>MIC-7502-Z30x</v>
      </c>
      <c r="U16" s="403">
        <f t="shared" si="6"/>
        <v>1</v>
      </c>
      <c r="V16" s="403" t="str">
        <f t="shared" si="7"/>
        <v>CPP_7_3</v>
      </c>
    </row>
    <row r="17" spans="1:22">
      <c r="A17" t="str">
        <f t="shared" si="0"/>
        <v>MIC-7502-Z30x</v>
      </c>
      <c r="B17" s="403" t="s">
        <v>1356</v>
      </c>
      <c r="C17" s="403" t="s">
        <v>582</v>
      </c>
      <c r="D17" s="403" t="s">
        <v>1357</v>
      </c>
      <c r="E17" s="403" t="s">
        <v>1356</v>
      </c>
      <c r="F17" s="403" t="s">
        <v>1287</v>
      </c>
      <c r="G17" s="403" t="s">
        <v>1466</v>
      </c>
      <c r="H17" s="403" t="s">
        <v>1276</v>
      </c>
      <c r="I17" s="403">
        <v>1</v>
      </c>
      <c r="J17" s="403" t="s">
        <v>109</v>
      </c>
      <c r="K17" s="403">
        <v>1280</v>
      </c>
      <c r="L17" s="403">
        <v>720</v>
      </c>
      <c r="M17" s="403" t="s">
        <v>111</v>
      </c>
      <c r="N17" s="403">
        <v>768</v>
      </c>
      <c r="O17" s="403">
        <v>432</v>
      </c>
      <c r="P17" t="str">
        <f t="shared" si="1"/>
        <v>25fps 720p - SD</v>
      </c>
      <c r="Q17">
        <f t="shared" si="2"/>
        <v>2</v>
      </c>
      <c r="R17" t="str">
        <f t="shared" si="3"/>
        <v/>
      </c>
      <c r="S17" t="str">
        <f t="shared" si="4"/>
        <v/>
      </c>
      <c r="T17" s="403" t="str">
        <f t="shared" si="5"/>
        <v>MIC-7502-Z30x</v>
      </c>
      <c r="U17" s="403">
        <f t="shared" si="6"/>
        <v>1</v>
      </c>
      <c r="V17" s="403" t="str">
        <f t="shared" si="7"/>
        <v>CPP_7_3</v>
      </c>
    </row>
    <row r="18" spans="1:22">
      <c r="A18" t="str">
        <f t="shared" si="0"/>
        <v>MIC-7502-Z30x</v>
      </c>
      <c r="B18" s="403" t="s">
        <v>1356</v>
      </c>
      <c r="C18" s="403" t="s">
        <v>582</v>
      </c>
      <c r="D18" s="403" t="s">
        <v>1357</v>
      </c>
      <c r="E18" s="403" t="s">
        <v>1356</v>
      </c>
      <c r="F18" s="403" t="s">
        <v>1287</v>
      </c>
      <c r="G18" s="403" t="s">
        <v>1466</v>
      </c>
      <c r="H18" s="403" t="s">
        <v>1276</v>
      </c>
      <c r="I18" s="403">
        <v>1</v>
      </c>
      <c r="J18" s="403" t="s">
        <v>109</v>
      </c>
      <c r="K18" s="403">
        <v>1280</v>
      </c>
      <c r="L18" s="403">
        <v>720</v>
      </c>
      <c r="M18" s="403" t="s">
        <v>1283</v>
      </c>
      <c r="N18" s="403">
        <v>720</v>
      </c>
      <c r="O18" s="403">
        <v>576</v>
      </c>
      <c r="P18" t="str">
        <f t="shared" si="1"/>
        <v>25fps 720p - SD 4CIF resolution 4:3 format (cropped)</v>
      </c>
      <c r="Q18">
        <f t="shared" si="2"/>
        <v>2</v>
      </c>
      <c r="R18" t="str">
        <f t="shared" si="3"/>
        <v/>
      </c>
      <c r="S18" t="str">
        <f t="shared" si="4"/>
        <v/>
      </c>
      <c r="T18" s="403" t="str">
        <f t="shared" si="5"/>
        <v>MIC-7502-Z30x</v>
      </c>
      <c r="U18" s="403">
        <f t="shared" si="6"/>
        <v>1</v>
      </c>
      <c r="V18" s="403" t="str">
        <f t="shared" si="7"/>
        <v>CPP_7_3</v>
      </c>
    </row>
    <row r="19" spans="1:22">
      <c r="A19" t="str">
        <f t="shared" si="0"/>
        <v>MIC-7502-Z30x</v>
      </c>
      <c r="B19" s="403" t="s">
        <v>1356</v>
      </c>
      <c r="C19" s="403" t="s">
        <v>582</v>
      </c>
      <c r="D19" s="403" t="s">
        <v>1357</v>
      </c>
      <c r="E19" s="403" t="s">
        <v>1356</v>
      </c>
      <c r="F19" s="403" t="s">
        <v>1287</v>
      </c>
      <c r="G19" s="403" t="s">
        <v>1466</v>
      </c>
      <c r="H19" s="403" t="s">
        <v>1276</v>
      </c>
      <c r="I19" s="403">
        <v>1</v>
      </c>
      <c r="J19" s="403" t="s">
        <v>109</v>
      </c>
      <c r="K19" s="403">
        <v>1280</v>
      </c>
      <c r="L19" s="403">
        <v>720</v>
      </c>
      <c r="M19" s="403" t="s">
        <v>1284</v>
      </c>
      <c r="N19" s="403">
        <v>640</v>
      </c>
      <c r="O19" s="403">
        <v>480</v>
      </c>
      <c r="P19" t="str">
        <f t="shared" si="1"/>
        <v>25fps 720p - SD VGA (cropped)</v>
      </c>
      <c r="Q19">
        <f t="shared" si="2"/>
        <v>2</v>
      </c>
      <c r="R19" t="str">
        <f t="shared" si="3"/>
        <v/>
      </c>
      <c r="S19" t="str">
        <f t="shared" si="4"/>
        <v/>
      </c>
      <c r="T19" s="403" t="str">
        <f t="shared" si="5"/>
        <v>MIC-7502-Z30x</v>
      </c>
      <c r="U19" s="403">
        <f t="shared" si="6"/>
        <v>1</v>
      </c>
      <c r="V19" s="403" t="str">
        <f t="shared" si="7"/>
        <v>CPP_7_3</v>
      </c>
    </row>
    <row r="20" spans="1:22">
      <c r="A20" t="str">
        <f t="shared" si="0"/>
        <v>MIC-7502-Z30x</v>
      </c>
      <c r="B20" s="403" t="s">
        <v>1356</v>
      </c>
      <c r="C20" s="403" t="s">
        <v>582</v>
      </c>
      <c r="D20" s="403" t="s">
        <v>1357</v>
      </c>
      <c r="E20" s="403" t="s">
        <v>1356</v>
      </c>
      <c r="F20" s="403" t="s">
        <v>1287</v>
      </c>
      <c r="G20" s="403" t="s">
        <v>1466</v>
      </c>
      <c r="H20" s="403" t="s">
        <v>1281</v>
      </c>
      <c r="I20" s="403">
        <v>1</v>
      </c>
      <c r="J20" s="403" t="s">
        <v>110</v>
      </c>
      <c r="K20" s="403">
        <v>1920</v>
      </c>
      <c r="L20" s="403">
        <v>1080</v>
      </c>
      <c r="M20" s="403" t="s">
        <v>111</v>
      </c>
      <c r="N20" s="403">
        <v>768</v>
      </c>
      <c r="O20" s="403">
        <v>432</v>
      </c>
      <c r="P20" t="str">
        <f t="shared" si="1"/>
        <v>25fps 1080p - SD</v>
      </c>
      <c r="Q20">
        <f t="shared" si="2"/>
        <v>2</v>
      </c>
      <c r="R20" t="str">
        <f t="shared" si="3"/>
        <v/>
      </c>
      <c r="S20" t="str">
        <f t="shared" si="4"/>
        <v/>
      </c>
      <c r="T20" s="403" t="str">
        <f t="shared" si="5"/>
        <v>MIC-7502-Z30x</v>
      </c>
      <c r="U20" s="403">
        <f t="shared" si="6"/>
        <v>1</v>
      </c>
      <c r="V20" s="403" t="str">
        <f t="shared" si="7"/>
        <v>CPP_7_3</v>
      </c>
    </row>
    <row r="21" spans="1:22">
      <c r="A21" t="str">
        <f t="shared" si="0"/>
        <v>MIC-7502-Z30x</v>
      </c>
      <c r="B21" s="403" t="s">
        <v>1356</v>
      </c>
      <c r="C21" s="403" t="s">
        <v>582</v>
      </c>
      <c r="D21" s="403" t="s">
        <v>1357</v>
      </c>
      <c r="E21" s="403" t="s">
        <v>1356</v>
      </c>
      <c r="F21" s="403" t="s">
        <v>1287</v>
      </c>
      <c r="G21" s="403" t="s">
        <v>1466</v>
      </c>
      <c r="H21" s="403" t="s">
        <v>1281</v>
      </c>
      <c r="I21" s="403">
        <v>1</v>
      </c>
      <c r="J21" s="403" t="s">
        <v>110</v>
      </c>
      <c r="K21" s="403">
        <v>1920</v>
      </c>
      <c r="L21" s="403">
        <v>1080</v>
      </c>
      <c r="M21" s="403" t="s">
        <v>110</v>
      </c>
      <c r="N21" s="403">
        <v>1920</v>
      </c>
      <c r="O21" s="403">
        <v>1080</v>
      </c>
      <c r="P21" t="str">
        <f t="shared" si="1"/>
        <v>25fps 1080p - 1080p</v>
      </c>
      <c r="Q21">
        <f t="shared" si="2"/>
        <v>2</v>
      </c>
      <c r="R21" t="str">
        <f t="shared" si="3"/>
        <v/>
      </c>
      <c r="S21" t="str">
        <f t="shared" si="4"/>
        <v/>
      </c>
      <c r="T21" s="403" t="str">
        <f t="shared" si="5"/>
        <v>MIC-7502-Z30x</v>
      </c>
      <c r="U21" s="403">
        <f t="shared" si="6"/>
        <v>1</v>
      </c>
      <c r="V21" s="403" t="str">
        <f t="shared" si="7"/>
        <v>CPP_7_3</v>
      </c>
    </row>
    <row r="22" spans="1:22">
      <c r="A22" t="str">
        <f t="shared" si="0"/>
        <v>MIC-7502-Z30x</v>
      </c>
      <c r="B22" s="403" t="s">
        <v>1356</v>
      </c>
      <c r="C22" s="403" t="s">
        <v>582</v>
      </c>
      <c r="D22" s="403" t="s">
        <v>1357</v>
      </c>
      <c r="E22" s="403" t="s">
        <v>1356</v>
      </c>
      <c r="F22" s="403" t="s">
        <v>1287</v>
      </c>
      <c r="G22" s="403" t="s">
        <v>1466</v>
      </c>
      <c r="H22" s="403" t="s">
        <v>1281</v>
      </c>
      <c r="I22" s="403">
        <v>1</v>
      </c>
      <c r="J22" s="403" t="s">
        <v>110</v>
      </c>
      <c r="K22" s="403">
        <v>1920</v>
      </c>
      <c r="L22" s="403">
        <v>1080</v>
      </c>
      <c r="M22" s="403" t="s">
        <v>109</v>
      </c>
      <c r="N22" s="403">
        <v>1280</v>
      </c>
      <c r="O22" s="403">
        <v>720</v>
      </c>
      <c r="P22" t="str">
        <f t="shared" si="1"/>
        <v>25fps 1080p - 720p</v>
      </c>
      <c r="Q22">
        <f t="shared" si="2"/>
        <v>2</v>
      </c>
      <c r="R22" t="str">
        <f t="shared" si="3"/>
        <v/>
      </c>
      <c r="S22" t="str">
        <f t="shared" si="4"/>
        <v/>
      </c>
      <c r="T22" s="403" t="str">
        <f t="shared" si="5"/>
        <v>MIC-7502-Z30x</v>
      </c>
      <c r="U22" s="403">
        <f t="shared" si="6"/>
        <v>1</v>
      </c>
      <c r="V22" s="403" t="str">
        <f t="shared" si="7"/>
        <v>CPP_7_3</v>
      </c>
    </row>
    <row r="23" spans="1:22">
      <c r="A23" t="str">
        <f t="shared" si="0"/>
        <v>MIC-7502-Z30x</v>
      </c>
      <c r="B23" s="403" t="s">
        <v>1356</v>
      </c>
      <c r="C23" s="403" t="s">
        <v>582</v>
      </c>
      <c r="D23" s="403" t="s">
        <v>1357</v>
      </c>
      <c r="E23" s="403" t="s">
        <v>1356</v>
      </c>
      <c r="F23" s="403" t="s">
        <v>1287</v>
      </c>
      <c r="G23" s="403" t="s">
        <v>1466</v>
      </c>
      <c r="H23" s="403" t="s">
        <v>1281</v>
      </c>
      <c r="I23" s="403">
        <v>1</v>
      </c>
      <c r="J23" s="403" t="s">
        <v>110</v>
      </c>
      <c r="K23" s="403">
        <v>1920</v>
      </c>
      <c r="L23" s="403">
        <v>1080</v>
      </c>
      <c r="M23" s="403" t="s">
        <v>1285</v>
      </c>
      <c r="N23" s="403">
        <v>1280</v>
      </c>
      <c r="O23" s="403">
        <v>1024</v>
      </c>
      <c r="P23" t="str">
        <f t="shared" si="1"/>
        <v>25fps 1080p - 1280x1024 5:4 (cropped)</v>
      </c>
      <c r="Q23">
        <f t="shared" si="2"/>
        <v>2</v>
      </c>
      <c r="R23" t="str">
        <f t="shared" si="3"/>
        <v/>
      </c>
      <c r="S23" t="str">
        <f t="shared" si="4"/>
        <v/>
      </c>
      <c r="T23" s="403" t="str">
        <f t="shared" si="5"/>
        <v>MIC-7502-Z30x</v>
      </c>
      <c r="U23" s="403">
        <f t="shared" si="6"/>
        <v>1</v>
      </c>
      <c r="V23" s="403" t="str">
        <f t="shared" si="7"/>
        <v>CPP_7_3</v>
      </c>
    </row>
    <row r="24" spans="1:22">
      <c r="A24" t="str">
        <f t="shared" si="0"/>
        <v>MIC-7502-Z30x</v>
      </c>
      <c r="B24" s="403" t="s">
        <v>1356</v>
      </c>
      <c r="C24" s="403" t="s">
        <v>582</v>
      </c>
      <c r="D24" s="403" t="s">
        <v>1357</v>
      </c>
      <c r="E24" s="403" t="s">
        <v>1356</v>
      </c>
      <c r="F24" s="403" t="s">
        <v>1287</v>
      </c>
      <c r="G24" s="403" t="s">
        <v>1466</v>
      </c>
      <c r="H24" s="403" t="s">
        <v>1281</v>
      </c>
      <c r="I24" s="403">
        <v>1</v>
      </c>
      <c r="J24" s="403" t="s">
        <v>110</v>
      </c>
      <c r="K24" s="403">
        <v>1920</v>
      </c>
      <c r="L24" s="403">
        <v>1080</v>
      </c>
      <c r="M24" s="403" t="s">
        <v>1283</v>
      </c>
      <c r="N24" s="403">
        <v>720</v>
      </c>
      <c r="O24" s="403">
        <v>576</v>
      </c>
      <c r="P24" t="str">
        <f t="shared" si="1"/>
        <v>25fps 1080p - SD 4CIF resolution 4:3 format (cropped)</v>
      </c>
      <c r="Q24">
        <f t="shared" si="2"/>
        <v>2</v>
      </c>
      <c r="R24" t="str">
        <f t="shared" si="3"/>
        <v/>
      </c>
      <c r="S24" t="str">
        <f t="shared" si="4"/>
        <v/>
      </c>
      <c r="T24" s="403" t="str">
        <f t="shared" si="5"/>
        <v>MIC-7502-Z30x</v>
      </c>
      <c r="U24" s="403">
        <f t="shared" si="6"/>
        <v>1</v>
      </c>
      <c r="V24" s="403" t="str">
        <f t="shared" si="7"/>
        <v>CPP_7_3</v>
      </c>
    </row>
    <row r="25" spans="1:22">
      <c r="A25" t="str">
        <f t="shared" si="0"/>
        <v>MIC-7502-Z30x</v>
      </c>
      <c r="B25" s="403" t="s">
        <v>1356</v>
      </c>
      <c r="C25" s="403" t="s">
        <v>582</v>
      </c>
      <c r="D25" s="403" t="s">
        <v>1357</v>
      </c>
      <c r="E25" s="403" t="s">
        <v>1356</v>
      </c>
      <c r="F25" s="403" t="s">
        <v>1287</v>
      </c>
      <c r="G25" s="403" t="s">
        <v>1466</v>
      </c>
      <c r="H25" s="403" t="s">
        <v>1281</v>
      </c>
      <c r="I25" s="403">
        <v>1</v>
      </c>
      <c r="J25" s="403" t="s">
        <v>110</v>
      </c>
      <c r="K25" s="403">
        <v>1920</v>
      </c>
      <c r="L25" s="403">
        <v>1080</v>
      </c>
      <c r="M25" s="403" t="s">
        <v>1284</v>
      </c>
      <c r="N25" s="403">
        <v>640</v>
      </c>
      <c r="O25" s="403">
        <v>480</v>
      </c>
      <c r="P25" t="str">
        <f t="shared" si="1"/>
        <v>25fps 1080p - SD VGA (cropped)</v>
      </c>
      <c r="Q25">
        <f t="shared" si="2"/>
        <v>2</v>
      </c>
      <c r="R25" t="str">
        <f t="shared" si="3"/>
        <v/>
      </c>
      <c r="S25" t="str">
        <f t="shared" si="4"/>
        <v/>
      </c>
      <c r="T25" s="403" t="str">
        <f t="shared" si="5"/>
        <v>MIC-7502-Z30x</v>
      </c>
      <c r="U25" s="403">
        <f t="shared" si="6"/>
        <v>1</v>
      </c>
      <c r="V25" s="403" t="str">
        <f t="shared" si="7"/>
        <v>CPP_7_3</v>
      </c>
    </row>
    <row r="26" spans="1:22">
      <c r="A26" t="str">
        <f t="shared" si="0"/>
        <v>MIC-7502-Z30x</v>
      </c>
      <c r="B26" s="403" t="s">
        <v>1356</v>
      </c>
      <c r="C26" s="403" t="s">
        <v>582</v>
      </c>
      <c r="D26" s="403" t="s">
        <v>1357</v>
      </c>
      <c r="E26" s="403" t="s">
        <v>1356</v>
      </c>
      <c r="F26" s="403" t="s">
        <v>1287</v>
      </c>
      <c r="G26" s="403" t="s">
        <v>1466</v>
      </c>
      <c r="H26" s="403" t="s">
        <v>1281</v>
      </c>
      <c r="I26" s="403">
        <v>1</v>
      </c>
      <c r="J26" s="403" t="s">
        <v>109</v>
      </c>
      <c r="K26" s="403">
        <v>1280</v>
      </c>
      <c r="L26" s="403">
        <v>720</v>
      </c>
      <c r="M26" s="403" t="s">
        <v>109</v>
      </c>
      <c r="N26" s="403">
        <v>1280</v>
      </c>
      <c r="O26" s="403">
        <v>720</v>
      </c>
      <c r="P26" t="str">
        <f t="shared" si="1"/>
        <v>25fps 720p - 720p</v>
      </c>
      <c r="Q26">
        <f t="shared" si="2"/>
        <v>2</v>
      </c>
      <c r="R26" t="str">
        <f t="shared" si="3"/>
        <v/>
      </c>
      <c r="S26" t="str">
        <f t="shared" si="4"/>
        <v/>
      </c>
      <c r="T26" s="403" t="str">
        <f t="shared" si="5"/>
        <v>MIC-7502-Z30x</v>
      </c>
      <c r="U26" s="403">
        <f t="shared" si="6"/>
        <v>1</v>
      </c>
      <c r="V26" s="403" t="str">
        <f t="shared" si="7"/>
        <v>CPP_7_3</v>
      </c>
    </row>
    <row r="27" spans="1:22">
      <c r="A27" t="str">
        <f t="shared" si="0"/>
        <v>MIC-7502-Z30x</v>
      </c>
      <c r="B27" s="403" t="s">
        <v>1356</v>
      </c>
      <c r="C27" s="403" t="s">
        <v>582</v>
      </c>
      <c r="D27" s="403" t="s">
        <v>1357</v>
      </c>
      <c r="E27" s="403" t="s">
        <v>1356</v>
      </c>
      <c r="F27" s="403" t="s">
        <v>1287</v>
      </c>
      <c r="G27" s="403" t="s">
        <v>1466</v>
      </c>
      <c r="H27" s="403" t="s">
        <v>1281</v>
      </c>
      <c r="I27" s="403">
        <v>1</v>
      </c>
      <c r="J27" s="403" t="s">
        <v>109</v>
      </c>
      <c r="K27" s="403">
        <v>1280</v>
      </c>
      <c r="L27" s="403">
        <v>720</v>
      </c>
      <c r="M27" s="403" t="s">
        <v>111</v>
      </c>
      <c r="N27" s="403">
        <v>768</v>
      </c>
      <c r="O27" s="403">
        <v>432</v>
      </c>
      <c r="P27" t="str">
        <f t="shared" si="1"/>
        <v>25fps 720p - SD</v>
      </c>
      <c r="Q27">
        <f t="shared" si="2"/>
        <v>2</v>
      </c>
      <c r="R27" t="str">
        <f t="shared" si="3"/>
        <v/>
      </c>
      <c r="S27" t="str">
        <f t="shared" si="4"/>
        <v/>
      </c>
      <c r="T27" s="403" t="str">
        <f t="shared" si="5"/>
        <v>MIC-7502-Z30x</v>
      </c>
      <c r="U27" s="403">
        <f t="shared" si="6"/>
        <v>1</v>
      </c>
      <c r="V27" s="403" t="str">
        <f t="shared" si="7"/>
        <v>CPP_7_3</v>
      </c>
    </row>
    <row r="28" spans="1:22">
      <c r="A28" t="str">
        <f t="shared" si="0"/>
        <v>MIC-7502-Z30x</v>
      </c>
      <c r="B28" s="403" t="s">
        <v>1356</v>
      </c>
      <c r="C28" s="403" t="s">
        <v>582</v>
      </c>
      <c r="D28" s="403" t="s">
        <v>1357</v>
      </c>
      <c r="E28" s="403" t="s">
        <v>1356</v>
      </c>
      <c r="F28" s="403" t="s">
        <v>1287</v>
      </c>
      <c r="G28" s="403" t="s">
        <v>1466</v>
      </c>
      <c r="H28" s="403" t="s">
        <v>1281</v>
      </c>
      <c r="I28" s="403">
        <v>1</v>
      </c>
      <c r="J28" s="403" t="s">
        <v>109</v>
      </c>
      <c r="K28" s="403">
        <v>1280</v>
      </c>
      <c r="L28" s="403">
        <v>720</v>
      </c>
      <c r="M28" s="403" t="s">
        <v>1283</v>
      </c>
      <c r="N28" s="403">
        <v>720</v>
      </c>
      <c r="O28" s="403">
        <v>576</v>
      </c>
      <c r="P28" t="str">
        <f t="shared" si="1"/>
        <v>25fps 720p - SD 4CIF resolution 4:3 format (cropped)</v>
      </c>
      <c r="Q28">
        <f t="shared" si="2"/>
        <v>2</v>
      </c>
      <c r="R28" t="str">
        <f t="shared" si="3"/>
        <v/>
      </c>
      <c r="S28" t="str">
        <f t="shared" si="4"/>
        <v/>
      </c>
      <c r="T28" s="403" t="str">
        <f t="shared" si="5"/>
        <v>MIC-7502-Z30x</v>
      </c>
      <c r="U28" s="403">
        <f t="shared" si="6"/>
        <v>1</v>
      </c>
      <c r="V28" s="403" t="str">
        <f t="shared" si="7"/>
        <v>CPP_7_3</v>
      </c>
    </row>
    <row r="29" spans="1:22">
      <c r="A29" t="str">
        <f t="shared" si="0"/>
        <v>MIC-7502-Z30x</v>
      </c>
      <c r="B29" s="403" t="s">
        <v>1356</v>
      </c>
      <c r="C29" s="403" t="s">
        <v>582</v>
      </c>
      <c r="D29" s="403" t="s">
        <v>1357</v>
      </c>
      <c r="E29" s="403" t="s">
        <v>1356</v>
      </c>
      <c r="F29" s="403" t="s">
        <v>1287</v>
      </c>
      <c r="G29" s="403" t="s">
        <v>1466</v>
      </c>
      <c r="H29" s="403" t="s">
        <v>1281</v>
      </c>
      <c r="I29" s="403">
        <v>1</v>
      </c>
      <c r="J29" s="403" t="s">
        <v>109</v>
      </c>
      <c r="K29" s="403">
        <v>1280</v>
      </c>
      <c r="L29" s="403">
        <v>720</v>
      </c>
      <c r="M29" s="403" t="s">
        <v>1284</v>
      </c>
      <c r="N29" s="403">
        <v>640</v>
      </c>
      <c r="O29" s="403">
        <v>480</v>
      </c>
      <c r="P29" t="str">
        <f t="shared" si="1"/>
        <v>25fps 720p - SD VGA (cropped)</v>
      </c>
      <c r="Q29">
        <f t="shared" si="2"/>
        <v>2</v>
      </c>
      <c r="R29" t="str">
        <f t="shared" si="3"/>
        <v/>
      </c>
      <c r="S29" t="str">
        <f t="shared" si="4"/>
        <v/>
      </c>
      <c r="T29" s="403" t="str">
        <f t="shared" si="5"/>
        <v>MIC-7502-Z30x</v>
      </c>
      <c r="U29" s="403">
        <f t="shared" si="6"/>
        <v>1</v>
      </c>
      <c r="V29" s="403" t="str">
        <f t="shared" si="7"/>
        <v>CPP_7_3</v>
      </c>
    </row>
    <row r="30" spans="1:22">
      <c r="A30" t="str">
        <f t="shared" si="0"/>
        <v>MIC-7502-Z30x</v>
      </c>
      <c r="B30" s="403" t="s">
        <v>1356</v>
      </c>
      <c r="C30" s="403" t="s">
        <v>582</v>
      </c>
      <c r="D30" s="403" t="s">
        <v>1357</v>
      </c>
      <c r="E30" s="403" t="s">
        <v>1356</v>
      </c>
      <c r="F30" s="403" t="s">
        <v>1287</v>
      </c>
      <c r="G30" s="403" t="s">
        <v>1466</v>
      </c>
      <c r="H30" s="403" t="s">
        <v>1281</v>
      </c>
      <c r="I30" s="403">
        <v>1</v>
      </c>
      <c r="J30" s="403" t="s">
        <v>110</v>
      </c>
      <c r="K30" s="403">
        <v>1920</v>
      </c>
      <c r="L30" s="403">
        <v>1080</v>
      </c>
      <c r="M30" s="403" t="s">
        <v>111</v>
      </c>
      <c r="N30" s="403">
        <v>768</v>
      </c>
      <c r="O30" s="403">
        <v>432</v>
      </c>
      <c r="P30" t="str">
        <f t="shared" si="1"/>
        <v>25fps 1080p - SD</v>
      </c>
      <c r="Q30">
        <f t="shared" si="2"/>
        <v>2</v>
      </c>
      <c r="R30" t="str">
        <f t="shared" si="3"/>
        <v/>
      </c>
      <c r="S30" t="str">
        <f t="shared" si="4"/>
        <v/>
      </c>
      <c r="T30" s="403" t="str">
        <f t="shared" si="5"/>
        <v>MIC-7502-Z30x</v>
      </c>
      <c r="U30" s="403">
        <f t="shared" si="6"/>
        <v>1</v>
      </c>
      <c r="V30" s="403" t="str">
        <f t="shared" si="7"/>
        <v>CPP_7_3</v>
      </c>
    </row>
    <row r="31" spans="1:22">
      <c r="A31" t="str">
        <f t="shared" si="0"/>
        <v>MIC-7502-Z30x</v>
      </c>
      <c r="B31" s="403" t="s">
        <v>1356</v>
      </c>
      <c r="C31" s="403" t="s">
        <v>582</v>
      </c>
      <c r="D31" s="403" t="s">
        <v>1357</v>
      </c>
      <c r="E31" s="403" t="s">
        <v>1356</v>
      </c>
      <c r="F31" s="403" t="s">
        <v>1287</v>
      </c>
      <c r="G31" s="403" t="s">
        <v>1466</v>
      </c>
      <c r="H31" s="403" t="s">
        <v>1281</v>
      </c>
      <c r="I31" s="403">
        <v>1</v>
      </c>
      <c r="J31" s="403" t="s">
        <v>110</v>
      </c>
      <c r="K31" s="403">
        <v>1920</v>
      </c>
      <c r="L31" s="403">
        <v>1080</v>
      </c>
      <c r="M31" s="403" t="s">
        <v>110</v>
      </c>
      <c r="N31" s="403">
        <v>1920</v>
      </c>
      <c r="O31" s="403">
        <v>1080</v>
      </c>
      <c r="P31" t="str">
        <f t="shared" si="1"/>
        <v>25fps 1080p - 1080p</v>
      </c>
      <c r="Q31">
        <f t="shared" si="2"/>
        <v>2</v>
      </c>
      <c r="R31" t="str">
        <f t="shared" si="3"/>
        <v/>
      </c>
      <c r="S31" t="str">
        <f t="shared" si="4"/>
        <v/>
      </c>
      <c r="T31" s="403" t="str">
        <f t="shared" si="5"/>
        <v>MIC-7502-Z30x</v>
      </c>
      <c r="U31" s="403">
        <f t="shared" si="6"/>
        <v>1</v>
      </c>
      <c r="V31" s="403" t="str">
        <f t="shared" si="7"/>
        <v>CPP_7_3</v>
      </c>
    </row>
    <row r="32" spans="1:22">
      <c r="A32" t="str">
        <f t="shared" si="0"/>
        <v>MIC-7502-Z30x</v>
      </c>
      <c r="B32" s="403" t="s">
        <v>1356</v>
      </c>
      <c r="C32" s="403" t="s">
        <v>582</v>
      </c>
      <c r="D32" s="403" t="s">
        <v>1357</v>
      </c>
      <c r="E32" s="403" t="s">
        <v>1356</v>
      </c>
      <c r="F32" s="403" t="s">
        <v>1287</v>
      </c>
      <c r="G32" s="403" t="s">
        <v>1466</v>
      </c>
      <c r="H32" s="403" t="s">
        <v>1281</v>
      </c>
      <c r="I32" s="403">
        <v>1</v>
      </c>
      <c r="J32" s="403" t="s">
        <v>110</v>
      </c>
      <c r="K32" s="403">
        <v>1920</v>
      </c>
      <c r="L32" s="403">
        <v>1080</v>
      </c>
      <c r="M32" s="403" t="s">
        <v>109</v>
      </c>
      <c r="N32" s="403">
        <v>1280</v>
      </c>
      <c r="O32" s="403">
        <v>720</v>
      </c>
      <c r="P32" t="str">
        <f t="shared" si="1"/>
        <v>25fps 1080p - 720p</v>
      </c>
      <c r="Q32">
        <f t="shared" si="2"/>
        <v>2</v>
      </c>
      <c r="R32" t="str">
        <f t="shared" si="3"/>
        <v/>
      </c>
      <c r="S32" t="str">
        <f t="shared" si="4"/>
        <v/>
      </c>
      <c r="T32" s="403" t="str">
        <f t="shared" si="5"/>
        <v>MIC-7502-Z30x</v>
      </c>
      <c r="U32" s="403">
        <f t="shared" si="6"/>
        <v>1</v>
      </c>
      <c r="V32" s="403" t="str">
        <f t="shared" si="7"/>
        <v>CPP_7_3</v>
      </c>
    </row>
    <row r="33" spans="1:22">
      <c r="A33" t="str">
        <f t="shared" si="0"/>
        <v>MIC-7502-Z30x</v>
      </c>
      <c r="B33" s="403" t="s">
        <v>1356</v>
      </c>
      <c r="C33" s="403" t="s">
        <v>582</v>
      </c>
      <c r="D33" s="403" t="s">
        <v>1357</v>
      </c>
      <c r="E33" s="403" t="s">
        <v>1356</v>
      </c>
      <c r="F33" s="403" t="s">
        <v>1287</v>
      </c>
      <c r="G33" s="403" t="s">
        <v>1466</v>
      </c>
      <c r="H33" s="403" t="s">
        <v>1281</v>
      </c>
      <c r="I33" s="403">
        <v>1</v>
      </c>
      <c r="J33" s="403" t="s">
        <v>110</v>
      </c>
      <c r="K33" s="403">
        <v>1920</v>
      </c>
      <c r="L33" s="403">
        <v>1080</v>
      </c>
      <c r="M33" s="403" t="s">
        <v>1285</v>
      </c>
      <c r="N33" s="403">
        <v>1280</v>
      </c>
      <c r="O33" s="403">
        <v>1024</v>
      </c>
      <c r="P33" t="str">
        <f t="shared" si="1"/>
        <v>25fps 1080p - 1280x1024 5:4 (cropped)</v>
      </c>
      <c r="Q33">
        <f t="shared" si="2"/>
        <v>2</v>
      </c>
      <c r="R33" t="str">
        <f t="shared" si="3"/>
        <v/>
      </c>
      <c r="S33" t="str">
        <f t="shared" si="4"/>
        <v/>
      </c>
      <c r="T33" s="403" t="str">
        <f t="shared" si="5"/>
        <v>MIC-7502-Z30x</v>
      </c>
      <c r="U33" s="403">
        <f t="shared" si="6"/>
        <v>1</v>
      </c>
      <c r="V33" s="403" t="str">
        <f t="shared" si="7"/>
        <v>CPP_7_3</v>
      </c>
    </row>
    <row r="34" spans="1:22">
      <c r="A34" t="str">
        <f t="shared" si="0"/>
        <v>MIC-7502-Z30x</v>
      </c>
      <c r="B34" s="403" t="s">
        <v>1356</v>
      </c>
      <c r="C34" s="403" t="s">
        <v>582</v>
      </c>
      <c r="D34" s="403" t="s">
        <v>1357</v>
      </c>
      <c r="E34" s="403" t="s">
        <v>1356</v>
      </c>
      <c r="F34" s="403" t="s">
        <v>1287</v>
      </c>
      <c r="G34" s="403" t="s">
        <v>1466</v>
      </c>
      <c r="H34" s="403" t="s">
        <v>1281</v>
      </c>
      <c r="I34" s="403">
        <v>1</v>
      </c>
      <c r="J34" s="403" t="s">
        <v>110</v>
      </c>
      <c r="K34" s="403">
        <v>1920</v>
      </c>
      <c r="L34" s="403">
        <v>1080</v>
      </c>
      <c r="M34" s="403" t="s">
        <v>1283</v>
      </c>
      <c r="N34" s="403">
        <v>720</v>
      </c>
      <c r="O34" s="403">
        <v>576</v>
      </c>
      <c r="P34" t="str">
        <f t="shared" si="1"/>
        <v>25fps 1080p - SD 4CIF resolution 4:3 format (cropped)</v>
      </c>
      <c r="Q34">
        <f t="shared" si="2"/>
        <v>2</v>
      </c>
      <c r="R34" t="str">
        <f t="shared" si="3"/>
        <v/>
      </c>
      <c r="S34" t="str">
        <f t="shared" si="4"/>
        <v/>
      </c>
      <c r="T34" s="403" t="str">
        <f t="shared" si="5"/>
        <v>MIC-7502-Z30x</v>
      </c>
      <c r="U34" s="403">
        <f t="shared" si="6"/>
        <v>1</v>
      </c>
      <c r="V34" s="403" t="str">
        <f t="shared" si="7"/>
        <v>CPP_7_3</v>
      </c>
    </row>
    <row r="35" spans="1:22">
      <c r="A35" t="str">
        <f t="shared" si="0"/>
        <v>MIC-7502-Z30x</v>
      </c>
      <c r="B35" s="403" t="s">
        <v>1356</v>
      </c>
      <c r="C35" s="403" t="s">
        <v>582</v>
      </c>
      <c r="D35" s="403" t="s">
        <v>1357</v>
      </c>
      <c r="E35" s="403" t="s">
        <v>1356</v>
      </c>
      <c r="F35" s="403" t="s">
        <v>1287</v>
      </c>
      <c r="G35" s="403" t="s">
        <v>1466</v>
      </c>
      <c r="H35" s="403" t="s">
        <v>1281</v>
      </c>
      <c r="I35" s="403">
        <v>1</v>
      </c>
      <c r="J35" s="403" t="s">
        <v>110</v>
      </c>
      <c r="K35" s="403">
        <v>1920</v>
      </c>
      <c r="L35" s="403">
        <v>1080</v>
      </c>
      <c r="M35" s="403" t="s">
        <v>1284</v>
      </c>
      <c r="N35" s="403">
        <v>640</v>
      </c>
      <c r="O35" s="403">
        <v>480</v>
      </c>
      <c r="P35" t="str">
        <f t="shared" si="1"/>
        <v>25fps 1080p - SD VGA (cropped)</v>
      </c>
      <c r="Q35">
        <f t="shared" si="2"/>
        <v>2</v>
      </c>
      <c r="R35" t="str">
        <f t="shared" si="3"/>
        <v/>
      </c>
      <c r="S35" t="str">
        <f t="shared" si="4"/>
        <v/>
      </c>
      <c r="T35" s="403" t="str">
        <f t="shared" si="5"/>
        <v>MIC-7502-Z30x</v>
      </c>
      <c r="U35" s="403">
        <f t="shared" si="6"/>
        <v>1</v>
      </c>
      <c r="V35" s="403" t="str">
        <f t="shared" si="7"/>
        <v>CPP_7_3</v>
      </c>
    </row>
    <row r="36" spans="1:22">
      <c r="A36" t="str">
        <f t="shared" si="0"/>
        <v>MIC-7502-Z30x</v>
      </c>
      <c r="B36" s="403" t="s">
        <v>1356</v>
      </c>
      <c r="C36" s="403" t="s">
        <v>582</v>
      </c>
      <c r="D36" s="403" t="s">
        <v>1357</v>
      </c>
      <c r="E36" s="403" t="s">
        <v>1356</v>
      </c>
      <c r="F36" s="403" t="s">
        <v>1287</v>
      </c>
      <c r="G36" s="403" t="s">
        <v>1466</v>
      </c>
      <c r="H36" s="403" t="s">
        <v>1281</v>
      </c>
      <c r="I36" s="403">
        <v>1</v>
      </c>
      <c r="J36" s="403" t="s">
        <v>109</v>
      </c>
      <c r="K36" s="403">
        <v>1280</v>
      </c>
      <c r="L36" s="403">
        <v>720</v>
      </c>
      <c r="M36" s="403" t="s">
        <v>109</v>
      </c>
      <c r="N36" s="403">
        <v>1280</v>
      </c>
      <c r="O36" s="403">
        <v>720</v>
      </c>
      <c r="P36" t="str">
        <f t="shared" si="1"/>
        <v>25fps 720p - 720p</v>
      </c>
      <c r="Q36">
        <f t="shared" si="2"/>
        <v>2</v>
      </c>
      <c r="R36" t="str">
        <f t="shared" si="3"/>
        <v/>
      </c>
      <c r="S36" t="str">
        <f t="shared" si="4"/>
        <v/>
      </c>
      <c r="T36" s="403" t="str">
        <f t="shared" si="5"/>
        <v>MIC-7502-Z30x</v>
      </c>
      <c r="U36" s="403">
        <f t="shared" si="6"/>
        <v>1</v>
      </c>
      <c r="V36" s="403" t="str">
        <f t="shared" si="7"/>
        <v>CPP_7_3</v>
      </c>
    </row>
    <row r="37" spans="1:22">
      <c r="A37" t="str">
        <f t="shared" si="0"/>
        <v>MIC-7502-Z30x</v>
      </c>
      <c r="B37" s="403" t="s">
        <v>1356</v>
      </c>
      <c r="C37" s="403" t="s">
        <v>582</v>
      </c>
      <c r="D37" s="403" t="s">
        <v>1357</v>
      </c>
      <c r="E37" s="403" t="s">
        <v>1356</v>
      </c>
      <c r="F37" s="403" t="s">
        <v>1287</v>
      </c>
      <c r="G37" s="403" t="s">
        <v>1466</v>
      </c>
      <c r="H37" s="403" t="s">
        <v>1281</v>
      </c>
      <c r="I37" s="403">
        <v>1</v>
      </c>
      <c r="J37" s="403" t="s">
        <v>109</v>
      </c>
      <c r="K37" s="403">
        <v>1280</v>
      </c>
      <c r="L37" s="403">
        <v>720</v>
      </c>
      <c r="M37" s="403" t="s">
        <v>111</v>
      </c>
      <c r="N37" s="403">
        <v>768</v>
      </c>
      <c r="O37" s="403">
        <v>432</v>
      </c>
      <c r="P37" t="str">
        <f t="shared" si="1"/>
        <v>25fps 720p - SD</v>
      </c>
      <c r="Q37">
        <f t="shared" si="2"/>
        <v>2</v>
      </c>
      <c r="R37" t="str">
        <f t="shared" si="3"/>
        <v/>
      </c>
      <c r="S37" t="str">
        <f t="shared" si="4"/>
        <v/>
      </c>
      <c r="T37" s="403" t="str">
        <f t="shared" si="5"/>
        <v>MIC-7502-Z30x</v>
      </c>
      <c r="U37" s="403">
        <f t="shared" si="6"/>
        <v>1</v>
      </c>
      <c r="V37" s="403" t="str">
        <f t="shared" si="7"/>
        <v>CPP_7_3</v>
      </c>
    </row>
    <row r="38" spans="1:22">
      <c r="A38" t="str">
        <f t="shared" si="0"/>
        <v>MIC-7502-Z30x</v>
      </c>
      <c r="B38" s="403" t="s">
        <v>1356</v>
      </c>
      <c r="C38" s="403" t="s">
        <v>582</v>
      </c>
      <c r="D38" s="403" t="s">
        <v>1357</v>
      </c>
      <c r="E38" s="403" t="s">
        <v>1356</v>
      </c>
      <c r="F38" s="403" t="s">
        <v>1287</v>
      </c>
      <c r="G38" s="403" t="s">
        <v>1466</v>
      </c>
      <c r="H38" s="403" t="s">
        <v>1281</v>
      </c>
      <c r="I38" s="403">
        <v>1</v>
      </c>
      <c r="J38" s="403" t="s">
        <v>109</v>
      </c>
      <c r="K38" s="403">
        <v>1280</v>
      </c>
      <c r="L38" s="403">
        <v>720</v>
      </c>
      <c r="M38" s="403" t="s">
        <v>1283</v>
      </c>
      <c r="N38" s="403">
        <v>720</v>
      </c>
      <c r="O38" s="403">
        <v>576</v>
      </c>
      <c r="P38" t="str">
        <f t="shared" si="1"/>
        <v>25fps 720p - SD 4CIF resolution 4:3 format (cropped)</v>
      </c>
      <c r="Q38">
        <f t="shared" si="2"/>
        <v>2</v>
      </c>
      <c r="R38" t="str">
        <f t="shared" si="3"/>
        <v/>
      </c>
      <c r="S38" t="str">
        <f t="shared" si="4"/>
        <v/>
      </c>
      <c r="T38" s="403" t="str">
        <f t="shared" si="5"/>
        <v>MIC-7502-Z30x</v>
      </c>
      <c r="U38" s="403">
        <f t="shared" si="6"/>
        <v>1</v>
      </c>
      <c r="V38" s="403" t="str">
        <f t="shared" si="7"/>
        <v>CPP_7_3</v>
      </c>
    </row>
    <row r="39" spans="1:22">
      <c r="A39" t="str">
        <f t="shared" si="0"/>
        <v>MIC-7502-Z30x</v>
      </c>
      <c r="B39" s="403" t="s">
        <v>1356</v>
      </c>
      <c r="C39" s="403" t="s">
        <v>582</v>
      </c>
      <c r="D39" s="403" t="s">
        <v>1357</v>
      </c>
      <c r="E39" s="403" t="s">
        <v>1356</v>
      </c>
      <c r="F39" s="403" t="s">
        <v>1287</v>
      </c>
      <c r="G39" s="403" t="s">
        <v>1466</v>
      </c>
      <c r="H39" s="403" t="s">
        <v>1281</v>
      </c>
      <c r="I39" s="403">
        <v>1</v>
      </c>
      <c r="J39" s="403" t="s">
        <v>109</v>
      </c>
      <c r="K39" s="403">
        <v>1280</v>
      </c>
      <c r="L39" s="403">
        <v>720</v>
      </c>
      <c r="M39" s="403" t="s">
        <v>1284</v>
      </c>
      <c r="N39" s="403">
        <v>640</v>
      </c>
      <c r="O39" s="403">
        <v>480</v>
      </c>
      <c r="P39" t="str">
        <f t="shared" si="1"/>
        <v>25fps 720p - SD VGA (cropped)</v>
      </c>
      <c r="Q39">
        <f t="shared" si="2"/>
        <v>2</v>
      </c>
      <c r="R39" t="str">
        <f t="shared" si="3"/>
        <v/>
      </c>
      <c r="S39" t="str">
        <f t="shared" si="4"/>
        <v/>
      </c>
      <c r="T39" s="403" t="str">
        <f t="shared" si="5"/>
        <v>MIC-7502-Z30x</v>
      </c>
      <c r="U39" s="403">
        <f t="shared" si="6"/>
        <v>1</v>
      </c>
      <c r="V39" s="403" t="str">
        <f t="shared" si="7"/>
        <v>CPP_7_3</v>
      </c>
    </row>
    <row r="40" spans="1:22">
      <c r="A40" t="str">
        <f t="shared" si="0"/>
        <v>MIC-7502-Z30x</v>
      </c>
      <c r="B40" s="403" t="s">
        <v>1356</v>
      </c>
      <c r="C40" s="403" t="s">
        <v>582</v>
      </c>
      <c r="D40" s="403" t="s">
        <v>1357</v>
      </c>
      <c r="E40" s="403" t="s">
        <v>1356</v>
      </c>
      <c r="F40" s="403" t="s">
        <v>1286</v>
      </c>
      <c r="G40" s="403" t="s">
        <v>1466</v>
      </c>
      <c r="H40" s="403" t="s">
        <v>1276</v>
      </c>
      <c r="I40" s="403">
        <v>1</v>
      </c>
      <c r="J40" s="403" t="s">
        <v>110</v>
      </c>
      <c r="K40" s="403">
        <v>1920</v>
      </c>
      <c r="L40" s="403">
        <v>1080</v>
      </c>
      <c r="M40" s="403" t="s">
        <v>111</v>
      </c>
      <c r="N40" s="403">
        <v>768</v>
      </c>
      <c r="O40" s="403">
        <v>432</v>
      </c>
      <c r="P40" t="str">
        <f t="shared" si="1"/>
        <v>30fps 1080p - SD</v>
      </c>
      <c r="Q40">
        <f t="shared" si="2"/>
        <v>2</v>
      </c>
      <c r="R40" t="str">
        <f t="shared" si="3"/>
        <v/>
      </c>
      <c r="S40" t="str">
        <f t="shared" si="4"/>
        <v/>
      </c>
      <c r="T40" s="403" t="str">
        <f t="shared" si="5"/>
        <v>MIC-7502-Z30x</v>
      </c>
      <c r="U40" s="403">
        <f t="shared" si="6"/>
        <v>1</v>
      </c>
      <c r="V40" s="403" t="str">
        <f t="shared" si="7"/>
        <v>CPP_7_3</v>
      </c>
    </row>
    <row r="41" spans="1:22">
      <c r="A41" t="str">
        <f t="shared" si="0"/>
        <v>MIC-7502-Z30x</v>
      </c>
      <c r="B41" s="403" t="s">
        <v>1356</v>
      </c>
      <c r="C41" s="403" t="s">
        <v>582</v>
      </c>
      <c r="D41" s="403" t="s">
        <v>1357</v>
      </c>
      <c r="E41" s="403" t="s">
        <v>1356</v>
      </c>
      <c r="F41" s="403" t="s">
        <v>1286</v>
      </c>
      <c r="G41" s="403" t="s">
        <v>1466</v>
      </c>
      <c r="H41" s="403" t="s">
        <v>1276</v>
      </c>
      <c r="I41" s="403">
        <v>1</v>
      </c>
      <c r="J41" s="403" t="s">
        <v>110</v>
      </c>
      <c r="K41" s="403">
        <v>1920</v>
      </c>
      <c r="L41" s="403">
        <v>1080</v>
      </c>
      <c r="M41" s="403" t="s">
        <v>110</v>
      </c>
      <c r="N41" s="403">
        <v>1920</v>
      </c>
      <c r="O41" s="403">
        <v>1080</v>
      </c>
      <c r="P41" t="str">
        <f t="shared" si="1"/>
        <v>30fps 1080p - 1080p</v>
      </c>
      <c r="Q41">
        <f t="shared" si="2"/>
        <v>2</v>
      </c>
      <c r="R41" t="str">
        <f t="shared" si="3"/>
        <v/>
      </c>
      <c r="S41" t="str">
        <f t="shared" si="4"/>
        <v/>
      </c>
      <c r="T41" s="403" t="str">
        <f t="shared" si="5"/>
        <v>MIC-7502-Z30x</v>
      </c>
      <c r="U41" s="403">
        <f t="shared" si="6"/>
        <v>1</v>
      </c>
      <c r="V41" s="403" t="str">
        <f t="shared" si="7"/>
        <v>CPP_7_3</v>
      </c>
    </row>
    <row r="42" spans="1:22">
      <c r="A42" t="str">
        <f t="shared" si="0"/>
        <v>MIC-7502-Z30x</v>
      </c>
      <c r="B42" s="403" t="s">
        <v>1356</v>
      </c>
      <c r="C42" s="403" t="s">
        <v>582</v>
      </c>
      <c r="D42" s="403" t="s">
        <v>1357</v>
      </c>
      <c r="E42" s="403" t="s">
        <v>1356</v>
      </c>
      <c r="F42" s="403" t="s">
        <v>1286</v>
      </c>
      <c r="G42" s="403" t="s">
        <v>1466</v>
      </c>
      <c r="H42" s="403" t="s">
        <v>1276</v>
      </c>
      <c r="I42" s="403">
        <v>1</v>
      </c>
      <c r="J42" s="403" t="s">
        <v>110</v>
      </c>
      <c r="K42" s="403">
        <v>1920</v>
      </c>
      <c r="L42" s="403">
        <v>1080</v>
      </c>
      <c r="M42" s="403" t="s">
        <v>109</v>
      </c>
      <c r="N42" s="403">
        <v>1280</v>
      </c>
      <c r="O42" s="403">
        <v>720</v>
      </c>
      <c r="P42" t="str">
        <f t="shared" si="1"/>
        <v>30fps 1080p - 720p</v>
      </c>
      <c r="Q42">
        <f t="shared" si="2"/>
        <v>2</v>
      </c>
      <c r="R42" t="str">
        <f t="shared" si="3"/>
        <v/>
      </c>
      <c r="S42" t="str">
        <f t="shared" si="4"/>
        <v/>
      </c>
      <c r="T42" s="403" t="str">
        <f t="shared" si="5"/>
        <v>MIC-7502-Z30x</v>
      </c>
      <c r="U42" s="403">
        <f t="shared" si="6"/>
        <v>1</v>
      </c>
      <c r="V42" s="403" t="str">
        <f t="shared" si="7"/>
        <v>CPP_7_3</v>
      </c>
    </row>
    <row r="43" spans="1:22">
      <c r="A43" t="str">
        <f t="shared" si="0"/>
        <v>MIC-7502-Z30x</v>
      </c>
      <c r="B43" s="403" t="s">
        <v>1356</v>
      </c>
      <c r="C43" s="403" t="s">
        <v>582</v>
      </c>
      <c r="D43" s="403" t="s">
        <v>1357</v>
      </c>
      <c r="E43" s="403" t="s">
        <v>1356</v>
      </c>
      <c r="F43" s="403" t="s">
        <v>1286</v>
      </c>
      <c r="G43" s="403" t="s">
        <v>1466</v>
      </c>
      <c r="H43" s="403" t="s">
        <v>1276</v>
      </c>
      <c r="I43" s="403">
        <v>1</v>
      </c>
      <c r="J43" s="403" t="s">
        <v>110</v>
      </c>
      <c r="K43" s="403">
        <v>1920</v>
      </c>
      <c r="L43" s="403">
        <v>1080</v>
      </c>
      <c r="M43" s="403" t="s">
        <v>1285</v>
      </c>
      <c r="N43" s="403">
        <v>1280</v>
      </c>
      <c r="O43" s="403">
        <v>1024</v>
      </c>
      <c r="P43" t="str">
        <f t="shared" si="1"/>
        <v>30fps 1080p - 1280x1024 5:4 (cropped)</v>
      </c>
      <c r="Q43">
        <f t="shared" si="2"/>
        <v>2</v>
      </c>
      <c r="R43" t="str">
        <f t="shared" si="3"/>
        <v/>
      </c>
      <c r="S43" t="str">
        <f t="shared" si="4"/>
        <v/>
      </c>
      <c r="T43" s="403" t="str">
        <f t="shared" si="5"/>
        <v>MIC-7502-Z30x</v>
      </c>
      <c r="U43" s="403">
        <f t="shared" si="6"/>
        <v>1</v>
      </c>
      <c r="V43" s="403" t="str">
        <f t="shared" si="7"/>
        <v>CPP_7_3</v>
      </c>
    </row>
    <row r="44" spans="1:22">
      <c r="A44" t="str">
        <f t="shared" si="0"/>
        <v>MIC-7502-Z30x</v>
      </c>
      <c r="B44" s="403" t="s">
        <v>1356</v>
      </c>
      <c r="C44" s="403" t="s">
        <v>582</v>
      </c>
      <c r="D44" s="403" t="s">
        <v>1357</v>
      </c>
      <c r="E44" s="403" t="s">
        <v>1356</v>
      </c>
      <c r="F44" s="403" t="s">
        <v>1286</v>
      </c>
      <c r="G44" s="403" t="s">
        <v>1466</v>
      </c>
      <c r="H44" s="403" t="s">
        <v>1276</v>
      </c>
      <c r="I44" s="403">
        <v>1</v>
      </c>
      <c r="J44" s="403" t="s">
        <v>110</v>
      </c>
      <c r="K44" s="403">
        <v>1920</v>
      </c>
      <c r="L44" s="403">
        <v>1080</v>
      </c>
      <c r="M44" s="403" t="s">
        <v>1283</v>
      </c>
      <c r="N44" s="403">
        <v>720</v>
      </c>
      <c r="O44" s="403">
        <v>480</v>
      </c>
      <c r="P44" t="str">
        <f t="shared" si="1"/>
        <v>30fps 1080p - SD 4CIF resolution 4:3 format (cropped)</v>
      </c>
      <c r="Q44">
        <f t="shared" si="2"/>
        <v>2</v>
      </c>
      <c r="R44" t="str">
        <f t="shared" si="3"/>
        <v/>
      </c>
      <c r="S44" t="str">
        <f t="shared" si="4"/>
        <v/>
      </c>
      <c r="T44" s="403" t="str">
        <f t="shared" si="5"/>
        <v>MIC-7502-Z30x</v>
      </c>
      <c r="U44" s="403">
        <f t="shared" si="6"/>
        <v>1</v>
      </c>
      <c r="V44" s="403" t="str">
        <f t="shared" si="7"/>
        <v>CPP_7_3</v>
      </c>
    </row>
    <row r="45" spans="1:22">
      <c r="A45" t="str">
        <f t="shared" si="0"/>
        <v>MIC-7502-Z30x</v>
      </c>
      <c r="B45" s="403" t="s">
        <v>1356</v>
      </c>
      <c r="C45" s="403" t="s">
        <v>582</v>
      </c>
      <c r="D45" s="403" t="s">
        <v>1357</v>
      </c>
      <c r="E45" s="403" t="s">
        <v>1356</v>
      </c>
      <c r="F45" s="403" t="s">
        <v>1286</v>
      </c>
      <c r="G45" s="403" t="s">
        <v>1466</v>
      </c>
      <c r="H45" s="403" t="s">
        <v>1276</v>
      </c>
      <c r="I45" s="403">
        <v>1</v>
      </c>
      <c r="J45" s="403" t="s">
        <v>110</v>
      </c>
      <c r="K45" s="403">
        <v>1920</v>
      </c>
      <c r="L45" s="403">
        <v>1080</v>
      </c>
      <c r="M45" s="403" t="s">
        <v>1284</v>
      </c>
      <c r="N45" s="403">
        <v>640</v>
      </c>
      <c r="O45" s="403">
        <v>480</v>
      </c>
      <c r="P45" t="str">
        <f t="shared" si="1"/>
        <v>30fps 1080p - SD VGA (cropped)</v>
      </c>
      <c r="Q45">
        <f t="shared" si="2"/>
        <v>2</v>
      </c>
      <c r="R45" t="str">
        <f t="shared" si="3"/>
        <v/>
      </c>
      <c r="S45" t="str">
        <f t="shared" si="4"/>
        <v/>
      </c>
      <c r="T45" s="403" t="str">
        <f t="shared" si="5"/>
        <v>MIC-7502-Z30x</v>
      </c>
      <c r="U45" s="403">
        <f t="shared" si="6"/>
        <v>1</v>
      </c>
      <c r="V45" s="403" t="str">
        <f t="shared" si="7"/>
        <v>CPP_7_3</v>
      </c>
    </row>
    <row r="46" spans="1:22">
      <c r="A46" t="str">
        <f t="shared" si="0"/>
        <v>MIC-7502-Z30x</v>
      </c>
      <c r="B46" s="403" t="s">
        <v>1356</v>
      </c>
      <c r="C46" s="403" t="s">
        <v>582</v>
      </c>
      <c r="D46" s="403" t="s">
        <v>1357</v>
      </c>
      <c r="E46" s="403" t="s">
        <v>1356</v>
      </c>
      <c r="F46" s="403" t="s">
        <v>1286</v>
      </c>
      <c r="G46" s="403" t="s">
        <v>1466</v>
      </c>
      <c r="H46" s="403" t="s">
        <v>1276</v>
      </c>
      <c r="I46" s="403">
        <v>1</v>
      </c>
      <c r="J46" s="403" t="s">
        <v>109</v>
      </c>
      <c r="K46" s="403">
        <v>1280</v>
      </c>
      <c r="L46" s="403">
        <v>720</v>
      </c>
      <c r="M46" s="403" t="s">
        <v>109</v>
      </c>
      <c r="N46" s="403">
        <v>1280</v>
      </c>
      <c r="O46" s="403">
        <v>720</v>
      </c>
      <c r="P46" t="str">
        <f t="shared" si="1"/>
        <v>30fps 720p - 720p</v>
      </c>
      <c r="Q46">
        <f t="shared" si="2"/>
        <v>2</v>
      </c>
      <c r="R46" t="str">
        <f t="shared" si="3"/>
        <v/>
      </c>
      <c r="S46" t="str">
        <f t="shared" si="4"/>
        <v/>
      </c>
      <c r="T46" s="403" t="str">
        <f t="shared" si="5"/>
        <v>MIC-7502-Z30x</v>
      </c>
      <c r="U46" s="403">
        <f t="shared" si="6"/>
        <v>1</v>
      </c>
      <c r="V46" s="403" t="str">
        <f t="shared" si="7"/>
        <v>CPP_7_3</v>
      </c>
    </row>
    <row r="47" spans="1:22">
      <c r="A47" t="str">
        <f t="shared" si="0"/>
        <v>MIC-7502-Z30x</v>
      </c>
      <c r="B47" s="403" t="s">
        <v>1356</v>
      </c>
      <c r="C47" s="403" t="s">
        <v>582</v>
      </c>
      <c r="D47" s="403" t="s">
        <v>1357</v>
      </c>
      <c r="E47" s="403" t="s">
        <v>1356</v>
      </c>
      <c r="F47" s="403" t="s">
        <v>1286</v>
      </c>
      <c r="G47" s="403" t="s">
        <v>1466</v>
      </c>
      <c r="H47" s="403" t="s">
        <v>1276</v>
      </c>
      <c r="I47" s="403">
        <v>1</v>
      </c>
      <c r="J47" s="403" t="s">
        <v>109</v>
      </c>
      <c r="K47" s="403">
        <v>1280</v>
      </c>
      <c r="L47" s="403">
        <v>720</v>
      </c>
      <c r="M47" s="403" t="s">
        <v>111</v>
      </c>
      <c r="N47" s="403">
        <v>768</v>
      </c>
      <c r="O47" s="403">
        <v>432</v>
      </c>
      <c r="P47" t="str">
        <f t="shared" si="1"/>
        <v>30fps 720p - SD</v>
      </c>
      <c r="Q47">
        <f t="shared" si="2"/>
        <v>2</v>
      </c>
      <c r="R47" t="str">
        <f t="shared" si="3"/>
        <v/>
      </c>
      <c r="S47" t="str">
        <f t="shared" si="4"/>
        <v/>
      </c>
      <c r="T47" s="403" t="str">
        <f t="shared" si="5"/>
        <v>MIC-7502-Z30x</v>
      </c>
      <c r="U47" s="403">
        <f t="shared" si="6"/>
        <v>1</v>
      </c>
      <c r="V47" s="403" t="str">
        <f t="shared" si="7"/>
        <v>CPP_7_3</v>
      </c>
    </row>
    <row r="48" spans="1:22">
      <c r="A48" t="str">
        <f t="shared" si="0"/>
        <v>MIC-7502-Z30x</v>
      </c>
      <c r="B48" s="403" t="s">
        <v>1356</v>
      </c>
      <c r="C48" s="403" t="s">
        <v>582</v>
      </c>
      <c r="D48" s="403" t="s">
        <v>1357</v>
      </c>
      <c r="E48" s="403" t="s">
        <v>1356</v>
      </c>
      <c r="F48" s="403" t="s">
        <v>1286</v>
      </c>
      <c r="G48" s="403" t="s">
        <v>1466</v>
      </c>
      <c r="H48" s="403" t="s">
        <v>1276</v>
      </c>
      <c r="I48" s="403">
        <v>1</v>
      </c>
      <c r="J48" s="403" t="s">
        <v>109</v>
      </c>
      <c r="K48" s="403">
        <v>1280</v>
      </c>
      <c r="L48" s="403">
        <v>720</v>
      </c>
      <c r="M48" s="403" t="s">
        <v>1283</v>
      </c>
      <c r="N48" s="403">
        <v>720</v>
      </c>
      <c r="O48" s="403">
        <v>480</v>
      </c>
      <c r="P48" t="str">
        <f t="shared" si="1"/>
        <v>30fps 720p - SD 4CIF resolution 4:3 format (cropped)</v>
      </c>
      <c r="Q48">
        <f t="shared" si="2"/>
        <v>2</v>
      </c>
      <c r="R48" t="str">
        <f t="shared" si="3"/>
        <v/>
      </c>
      <c r="S48" t="str">
        <f t="shared" si="4"/>
        <v/>
      </c>
      <c r="T48" s="403" t="str">
        <f t="shared" si="5"/>
        <v>MIC-7502-Z30x</v>
      </c>
      <c r="U48" s="403">
        <f t="shared" si="6"/>
        <v>1</v>
      </c>
      <c r="V48" s="403" t="str">
        <f t="shared" si="7"/>
        <v>CPP_7_3</v>
      </c>
    </row>
    <row r="49" spans="1:22">
      <c r="A49" t="str">
        <f t="shared" si="0"/>
        <v>MIC-7502-Z30x</v>
      </c>
      <c r="B49" s="403" t="s">
        <v>1356</v>
      </c>
      <c r="C49" s="403" t="s">
        <v>582</v>
      </c>
      <c r="D49" s="403" t="s">
        <v>1357</v>
      </c>
      <c r="E49" s="403" t="s">
        <v>1356</v>
      </c>
      <c r="F49" s="403" t="s">
        <v>1286</v>
      </c>
      <c r="G49" s="403" t="s">
        <v>1466</v>
      </c>
      <c r="H49" s="403" t="s">
        <v>1276</v>
      </c>
      <c r="I49" s="403">
        <v>1</v>
      </c>
      <c r="J49" s="403" t="s">
        <v>109</v>
      </c>
      <c r="K49" s="403">
        <v>1280</v>
      </c>
      <c r="L49" s="403">
        <v>720</v>
      </c>
      <c r="M49" s="403" t="s">
        <v>1284</v>
      </c>
      <c r="N49" s="403">
        <v>640</v>
      </c>
      <c r="O49" s="403">
        <v>480</v>
      </c>
      <c r="P49" t="str">
        <f t="shared" si="1"/>
        <v>30fps 720p - SD VGA (cropped)</v>
      </c>
      <c r="Q49">
        <f t="shared" si="2"/>
        <v>2</v>
      </c>
      <c r="R49" t="str">
        <f t="shared" si="3"/>
        <v/>
      </c>
      <c r="S49" t="str">
        <f t="shared" si="4"/>
        <v/>
      </c>
      <c r="T49" s="403" t="str">
        <f t="shared" si="5"/>
        <v>MIC-7502-Z30x</v>
      </c>
      <c r="U49" s="403">
        <f t="shared" si="6"/>
        <v>1</v>
      </c>
      <c r="V49" s="403" t="str">
        <f t="shared" si="7"/>
        <v>CPP_7_3</v>
      </c>
    </row>
    <row r="50" spans="1:22">
      <c r="A50" t="str">
        <f t="shared" si="0"/>
        <v>MIC-7502-Z30x</v>
      </c>
      <c r="B50" s="403" t="s">
        <v>1356</v>
      </c>
      <c r="C50" s="403" t="s">
        <v>582</v>
      </c>
      <c r="D50" s="403" t="s">
        <v>1357</v>
      </c>
      <c r="E50" s="403" t="s">
        <v>1356</v>
      </c>
      <c r="F50" s="403" t="s">
        <v>1286</v>
      </c>
      <c r="G50" s="403" t="s">
        <v>1466</v>
      </c>
      <c r="H50" s="403" t="s">
        <v>1281</v>
      </c>
      <c r="I50" s="403">
        <v>1</v>
      </c>
      <c r="J50" s="403" t="s">
        <v>110</v>
      </c>
      <c r="K50" s="403">
        <v>1920</v>
      </c>
      <c r="L50" s="403">
        <v>1080</v>
      </c>
      <c r="M50" s="403" t="s">
        <v>111</v>
      </c>
      <c r="N50" s="403">
        <v>768</v>
      </c>
      <c r="O50" s="403">
        <v>432</v>
      </c>
      <c r="P50" t="str">
        <f t="shared" si="1"/>
        <v>30fps 1080p - SD</v>
      </c>
      <c r="Q50">
        <f t="shared" si="2"/>
        <v>2</v>
      </c>
      <c r="R50" t="str">
        <f t="shared" si="3"/>
        <v/>
      </c>
      <c r="S50" t="str">
        <f t="shared" si="4"/>
        <v/>
      </c>
      <c r="T50" s="403" t="str">
        <f t="shared" si="5"/>
        <v>MIC-7502-Z30x</v>
      </c>
      <c r="U50" s="403">
        <f t="shared" si="6"/>
        <v>1</v>
      </c>
      <c r="V50" s="403" t="str">
        <f t="shared" si="7"/>
        <v>CPP_7_3</v>
      </c>
    </row>
    <row r="51" spans="1:22">
      <c r="A51" t="str">
        <f t="shared" si="0"/>
        <v>MIC-7502-Z30x</v>
      </c>
      <c r="B51" s="403" t="s">
        <v>1356</v>
      </c>
      <c r="C51" s="403" t="s">
        <v>582</v>
      </c>
      <c r="D51" s="403" t="s">
        <v>1357</v>
      </c>
      <c r="E51" s="403" t="s">
        <v>1356</v>
      </c>
      <c r="F51" s="403" t="s">
        <v>1286</v>
      </c>
      <c r="G51" s="403" t="s">
        <v>1466</v>
      </c>
      <c r="H51" s="403" t="s">
        <v>1281</v>
      </c>
      <c r="I51" s="403">
        <v>1</v>
      </c>
      <c r="J51" s="403" t="s">
        <v>110</v>
      </c>
      <c r="K51" s="403">
        <v>1920</v>
      </c>
      <c r="L51" s="403">
        <v>1080</v>
      </c>
      <c r="M51" s="403" t="s">
        <v>110</v>
      </c>
      <c r="N51" s="403">
        <v>1920</v>
      </c>
      <c r="O51" s="403">
        <v>1080</v>
      </c>
      <c r="P51" t="str">
        <f t="shared" si="1"/>
        <v>30fps 1080p - 1080p</v>
      </c>
      <c r="Q51">
        <f t="shared" si="2"/>
        <v>2</v>
      </c>
      <c r="R51" t="str">
        <f t="shared" si="3"/>
        <v/>
      </c>
      <c r="S51" t="str">
        <f t="shared" si="4"/>
        <v/>
      </c>
      <c r="T51" s="403" t="str">
        <f t="shared" si="5"/>
        <v>MIC-7502-Z30x</v>
      </c>
      <c r="U51" s="403">
        <f t="shared" si="6"/>
        <v>1</v>
      </c>
      <c r="V51" s="403" t="str">
        <f t="shared" si="7"/>
        <v>CPP_7_3</v>
      </c>
    </row>
    <row r="52" spans="1:22">
      <c r="A52" t="str">
        <f t="shared" si="0"/>
        <v>MIC-7502-Z30x</v>
      </c>
      <c r="B52" s="403" t="s">
        <v>1356</v>
      </c>
      <c r="C52" s="403" t="s">
        <v>582</v>
      </c>
      <c r="D52" s="403" t="s">
        <v>1357</v>
      </c>
      <c r="E52" s="403" t="s">
        <v>1356</v>
      </c>
      <c r="F52" s="403" t="s">
        <v>1286</v>
      </c>
      <c r="G52" s="403" t="s">
        <v>1466</v>
      </c>
      <c r="H52" s="403" t="s">
        <v>1281</v>
      </c>
      <c r="I52" s="403">
        <v>1</v>
      </c>
      <c r="J52" s="403" t="s">
        <v>110</v>
      </c>
      <c r="K52" s="403">
        <v>1920</v>
      </c>
      <c r="L52" s="403">
        <v>1080</v>
      </c>
      <c r="M52" s="403" t="s">
        <v>109</v>
      </c>
      <c r="N52" s="403">
        <v>1280</v>
      </c>
      <c r="O52" s="403">
        <v>720</v>
      </c>
      <c r="P52" t="str">
        <f t="shared" si="1"/>
        <v>30fps 1080p - 720p</v>
      </c>
      <c r="Q52">
        <f t="shared" si="2"/>
        <v>2</v>
      </c>
      <c r="R52" t="str">
        <f t="shared" si="3"/>
        <v/>
      </c>
      <c r="S52" t="str">
        <f t="shared" si="4"/>
        <v/>
      </c>
      <c r="T52" s="403" t="str">
        <f t="shared" si="5"/>
        <v>MIC-7502-Z30x</v>
      </c>
      <c r="U52" s="403">
        <f t="shared" si="6"/>
        <v>1</v>
      </c>
      <c r="V52" s="403" t="str">
        <f t="shared" si="7"/>
        <v>CPP_7_3</v>
      </c>
    </row>
    <row r="53" spans="1:22">
      <c r="A53" t="str">
        <f t="shared" si="0"/>
        <v>MIC-7502-Z30x</v>
      </c>
      <c r="B53" s="403" t="s">
        <v>1356</v>
      </c>
      <c r="C53" s="403" t="s">
        <v>582</v>
      </c>
      <c r="D53" s="403" t="s">
        <v>1357</v>
      </c>
      <c r="E53" s="403" t="s">
        <v>1356</v>
      </c>
      <c r="F53" s="403" t="s">
        <v>1286</v>
      </c>
      <c r="G53" s="403" t="s">
        <v>1466</v>
      </c>
      <c r="H53" s="403" t="s">
        <v>1281</v>
      </c>
      <c r="I53" s="403">
        <v>1</v>
      </c>
      <c r="J53" s="403" t="s">
        <v>110</v>
      </c>
      <c r="K53" s="403">
        <v>1920</v>
      </c>
      <c r="L53" s="403">
        <v>1080</v>
      </c>
      <c r="M53" s="403" t="s">
        <v>1285</v>
      </c>
      <c r="N53" s="403">
        <v>1280</v>
      </c>
      <c r="O53" s="403">
        <v>1024</v>
      </c>
      <c r="P53" t="str">
        <f t="shared" si="1"/>
        <v>30fps 1080p - 1280x1024 5:4 (cropped)</v>
      </c>
      <c r="Q53">
        <f t="shared" si="2"/>
        <v>2</v>
      </c>
      <c r="R53" t="str">
        <f t="shared" si="3"/>
        <v/>
      </c>
      <c r="S53" t="str">
        <f t="shared" si="4"/>
        <v/>
      </c>
      <c r="T53" s="403" t="str">
        <f t="shared" si="5"/>
        <v>MIC-7502-Z30x</v>
      </c>
      <c r="U53" s="403">
        <f t="shared" si="6"/>
        <v>1</v>
      </c>
      <c r="V53" s="403" t="str">
        <f t="shared" si="7"/>
        <v>CPP_7_3</v>
      </c>
    </row>
    <row r="54" spans="1:22">
      <c r="A54" t="str">
        <f t="shared" si="0"/>
        <v>MIC-7502-Z30x</v>
      </c>
      <c r="B54" s="403" t="s">
        <v>1356</v>
      </c>
      <c r="C54" s="403" t="s">
        <v>582</v>
      </c>
      <c r="D54" s="403" t="s">
        <v>1357</v>
      </c>
      <c r="E54" s="403" t="s">
        <v>1356</v>
      </c>
      <c r="F54" s="403" t="s">
        <v>1286</v>
      </c>
      <c r="G54" s="403" t="s">
        <v>1466</v>
      </c>
      <c r="H54" s="403" t="s">
        <v>1281</v>
      </c>
      <c r="I54" s="403">
        <v>1</v>
      </c>
      <c r="J54" s="403" t="s">
        <v>110</v>
      </c>
      <c r="K54" s="403">
        <v>1920</v>
      </c>
      <c r="L54" s="403">
        <v>1080</v>
      </c>
      <c r="M54" s="403" t="s">
        <v>1283</v>
      </c>
      <c r="N54" s="403">
        <v>720</v>
      </c>
      <c r="O54" s="403">
        <v>480</v>
      </c>
      <c r="P54" t="str">
        <f t="shared" si="1"/>
        <v>30fps 1080p - SD 4CIF resolution 4:3 format (cropped)</v>
      </c>
      <c r="Q54">
        <f t="shared" si="2"/>
        <v>2</v>
      </c>
      <c r="R54" t="str">
        <f t="shared" si="3"/>
        <v/>
      </c>
      <c r="S54" t="str">
        <f t="shared" si="4"/>
        <v/>
      </c>
      <c r="T54" s="403" t="str">
        <f t="shared" si="5"/>
        <v>MIC-7502-Z30x</v>
      </c>
      <c r="U54" s="403">
        <f t="shared" si="6"/>
        <v>1</v>
      </c>
      <c r="V54" s="403" t="str">
        <f t="shared" si="7"/>
        <v>CPP_7_3</v>
      </c>
    </row>
    <row r="55" spans="1:22">
      <c r="A55" t="str">
        <f t="shared" si="0"/>
        <v>MIC-7502-Z30x</v>
      </c>
      <c r="B55" s="403" t="s">
        <v>1356</v>
      </c>
      <c r="C55" s="403" t="s">
        <v>582</v>
      </c>
      <c r="D55" s="403" t="s">
        <v>1357</v>
      </c>
      <c r="E55" s="403" t="s">
        <v>1356</v>
      </c>
      <c r="F55" s="403" t="s">
        <v>1286</v>
      </c>
      <c r="G55" s="403" t="s">
        <v>1466</v>
      </c>
      <c r="H55" s="403" t="s">
        <v>1281</v>
      </c>
      <c r="I55" s="403">
        <v>1</v>
      </c>
      <c r="J55" s="403" t="s">
        <v>110</v>
      </c>
      <c r="K55" s="403">
        <v>1920</v>
      </c>
      <c r="L55" s="403">
        <v>1080</v>
      </c>
      <c r="M55" s="403" t="s">
        <v>1284</v>
      </c>
      <c r="N55" s="403">
        <v>640</v>
      </c>
      <c r="O55" s="403">
        <v>480</v>
      </c>
      <c r="P55" t="str">
        <f t="shared" si="1"/>
        <v>30fps 1080p - SD VGA (cropped)</v>
      </c>
      <c r="Q55">
        <f t="shared" si="2"/>
        <v>2</v>
      </c>
      <c r="R55" t="str">
        <f t="shared" si="3"/>
        <v/>
      </c>
      <c r="S55" t="str">
        <f t="shared" si="4"/>
        <v/>
      </c>
      <c r="T55" s="403" t="str">
        <f t="shared" si="5"/>
        <v>MIC-7502-Z30x</v>
      </c>
      <c r="U55" s="403">
        <f t="shared" si="6"/>
        <v>1</v>
      </c>
      <c r="V55" s="403" t="str">
        <f t="shared" si="7"/>
        <v>CPP_7_3</v>
      </c>
    </row>
    <row r="56" spans="1:22">
      <c r="A56" t="str">
        <f t="shared" si="0"/>
        <v>MIC-7502-Z30x</v>
      </c>
      <c r="B56" s="403" t="s">
        <v>1356</v>
      </c>
      <c r="C56" s="403" t="s">
        <v>582</v>
      </c>
      <c r="D56" s="403" t="s">
        <v>1357</v>
      </c>
      <c r="E56" s="403" t="s">
        <v>1356</v>
      </c>
      <c r="F56" s="403" t="s">
        <v>1286</v>
      </c>
      <c r="G56" s="403" t="s">
        <v>1466</v>
      </c>
      <c r="H56" s="403" t="s">
        <v>1281</v>
      </c>
      <c r="I56" s="403">
        <v>1</v>
      </c>
      <c r="J56" s="403" t="s">
        <v>109</v>
      </c>
      <c r="K56" s="403">
        <v>1280</v>
      </c>
      <c r="L56" s="403">
        <v>720</v>
      </c>
      <c r="M56" s="403" t="s">
        <v>109</v>
      </c>
      <c r="N56" s="403">
        <v>1280</v>
      </c>
      <c r="O56" s="403">
        <v>720</v>
      </c>
      <c r="P56" t="str">
        <f t="shared" si="1"/>
        <v>30fps 720p - 720p</v>
      </c>
      <c r="Q56">
        <f t="shared" si="2"/>
        <v>2</v>
      </c>
      <c r="R56" t="str">
        <f t="shared" si="3"/>
        <v/>
      </c>
      <c r="S56" t="str">
        <f t="shared" si="4"/>
        <v/>
      </c>
      <c r="T56" s="403" t="str">
        <f t="shared" si="5"/>
        <v>MIC-7502-Z30x</v>
      </c>
      <c r="U56" s="403">
        <f t="shared" si="6"/>
        <v>1</v>
      </c>
      <c r="V56" s="403" t="str">
        <f t="shared" si="7"/>
        <v>CPP_7_3</v>
      </c>
    </row>
    <row r="57" spans="1:22">
      <c r="A57" t="str">
        <f t="shared" si="0"/>
        <v>MIC-7502-Z30x</v>
      </c>
      <c r="B57" s="403" t="s">
        <v>1356</v>
      </c>
      <c r="C57" s="403" t="s">
        <v>582</v>
      </c>
      <c r="D57" s="403" t="s">
        <v>1357</v>
      </c>
      <c r="E57" s="403" t="s">
        <v>1356</v>
      </c>
      <c r="F57" s="403" t="s">
        <v>1286</v>
      </c>
      <c r="G57" s="403" t="s">
        <v>1466</v>
      </c>
      <c r="H57" s="403" t="s">
        <v>1281</v>
      </c>
      <c r="I57" s="403">
        <v>1</v>
      </c>
      <c r="J57" s="403" t="s">
        <v>109</v>
      </c>
      <c r="K57" s="403">
        <v>1280</v>
      </c>
      <c r="L57" s="403">
        <v>720</v>
      </c>
      <c r="M57" s="403" t="s">
        <v>111</v>
      </c>
      <c r="N57" s="403">
        <v>768</v>
      </c>
      <c r="O57" s="403">
        <v>432</v>
      </c>
      <c r="P57" t="str">
        <f t="shared" si="1"/>
        <v>30fps 720p - SD</v>
      </c>
      <c r="Q57">
        <f t="shared" si="2"/>
        <v>2</v>
      </c>
      <c r="R57" t="str">
        <f t="shared" si="3"/>
        <v/>
      </c>
      <c r="S57" t="str">
        <f t="shared" si="4"/>
        <v/>
      </c>
      <c r="T57" s="403" t="str">
        <f t="shared" si="5"/>
        <v>MIC-7502-Z30x</v>
      </c>
      <c r="U57" s="403">
        <f t="shared" si="6"/>
        <v>1</v>
      </c>
      <c r="V57" s="403" t="str">
        <f t="shared" si="7"/>
        <v>CPP_7_3</v>
      </c>
    </row>
    <row r="58" spans="1:22">
      <c r="A58" t="str">
        <f t="shared" si="0"/>
        <v>MIC-7502-Z30x</v>
      </c>
      <c r="B58" s="403" t="s">
        <v>1356</v>
      </c>
      <c r="C58" s="403" t="s">
        <v>582</v>
      </c>
      <c r="D58" s="403" t="s">
        <v>1357</v>
      </c>
      <c r="E58" s="403" t="s">
        <v>1356</v>
      </c>
      <c r="F58" s="403" t="s">
        <v>1286</v>
      </c>
      <c r="G58" s="403" t="s">
        <v>1466</v>
      </c>
      <c r="H58" s="403" t="s">
        <v>1281</v>
      </c>
      <c r="I58" s="403">
        <v>1</v>
      </c>
      <c r="J58" s="403" t="s">
        <v>109</v>
      </c>
      <c r="K58" s="403">
        <v>1280</v>
      </c>
      <c r="L58" s="403">
        <v>720</v>
      </c>
      <c r="M58" s="403" t="s">
        <v>1283</v>
      </c>
      <c r="N58" s="403">
        <v>720</v>
      </c>
      <c r="O58" s="403">
        <v>480</v>
      </c>
      <c r="P58" t="str">
        <f t="shared" si="1"/>
        <v>30fps 720p - SD 4CIF resolution 4:3 format (cropped)</v>
      </c>
      <c r="Q58">
        <f t="shared" si="2"/>
        <v>2</v>
      </c>
      <c r="R58" t="str">
        <f t="shared" si="3"/>
        <v/>
      </c>
      <c r="S58" t="str">
        <f t="shared" si="4"/>
        <v/>
      </c>
      <c r="T58" s="403" t="str">
        <f t="shared" si="5"/>
        <v>MIC-7502-Z30x</v>
      </c>
      <c r="U58" s="403">
        <f t="shared" si="6"/>
        <v>1</v>
      </c>
      <c r="V58" s="403" t="str">
        <f t="shared" si="7"/>
        <v>CPP_7_3</v>
      </c>
    </row>
    <row r="59" spans="1:22">
      <c r="A59" t="str">
        <f t="shared" si="0"/>
        <v>MIC-7502-Z30x</v>
      </c>
      <c r="B59" s="403" t="s">
        <v>1356</v>
      </c>
      <c r="C59" s="403" t="s">
        <v>582</v>
      </c>
      <c r="D59" s="403" t="s">
        <v>1357</v>
      </c>
      <c r="E59" s="403" t="s">
        <v>1356</v>
      </c>
      <c r="F59" s="403" t="s">
        <v>1286</v>
      </c>
      <c r="G59" s="403" t="s">
        <v>1466</v>
      </c>
      <c r="H59" s="403" t="s">
        <v>1281</v>
      </c>
      <c r="I59" s="403">
        <v>1</v>
      </c>
      <c r="J59" s="403" t="s">
        <v>109</v>
      </c>
      <c r="K59" s="403">
        <v>1280</v>
      </c>
      <c r="L59" s="403">
        <v>720</v>
      </c>
      <c r="M59" s="403" t="s">
        <v>1284</v>
      </c>
      <c r="N59" s="403">
        <v>640</v>
      </c>
      <c r="O59" s="403">
        <v>480</v>
      </c>
      <c r="P59" t="str">
        <f t="shared" si="1"/>
        <v>30fps 720p - SD VGA (cropped)</v>
      </c>
      <c r="Q59">
        <f t="shared" si="2"/>
        <v>2</v>
      </c>
      <c r="R59" t="str">
        <f t="shared" si="3"/>
        <v/>
      </c>
      <c r="S59" t="str">
        <f t="shared" si="4"/>
        <v/>
      </c>
      <c r="T59" s="403" t="str">
        <f t="shared" si="5"/>
        <v>MIC-7502-Z30x</v>
      </c>
      <c r="U59" s="403">
        <f t="shared" si="6"/>
        <v>1</v>
      </c>
      <c r="V59" s="403" t="str">
        <f t="shared" si="7"/>
        <v>CPP_7_3</v>
      </c>
    </row>
    <row r="60" spans="1:22">
      <c r="A60" t="str">
        <f t="shared" si="0"/>
        <v>MIC-7502-Z30x</v>
      </c>
      <c r="B60" s="403" t="s">
        <v>1356</v>
      </c>
      <c r="C60" s="403" t="s">
        <v>582</v>
      </c>
      <c r="D60" s="403" t="s">
        <v>1357</v>
      </c>
      <c r="E60" s="403" t="s">
        <v>1356</v>
      </c>
      <c r="F60" s="403" t="s">
        <v>1286</v>
      </c>
      <c r="G60" s="403" t="s">
        <v>1466</v>
      </c>
      <c r="H60" s="403" t="s">
        <v>1281</v>
      </c>
      <c r="I60" s="403">
        <v>1</v>
      </c>
      <c r="J60" s="403" t="s">
        <v>110</v>
      </c>
      <c r="K60" s="403">
        <v>1920</v>
      </c>
      <c r="L60" s="403">
        <v>1080</v>
      </c>
      <c r="M60" s="403" t="s">
        <v>111</v>
      </c>
      <c r="N60" s="403">
        <v>768</v>
      </c>
      <c r="O60" s="403">
        <v>432</v>
      </c>
      <c r="P60" t="str">
        <f t="shared" si="1"/>
        <v>30fps 1080p - SD</v>
      </c>
      <c r="Q60">
        <f t="shared" si="2"/>
        <v>2</v>
      </c>
      <c r="R60" t="str">
        <f t="shared" si="3"/>
        <v/>
      </c>
      <c r="S60" t="str">
        <f t="shared" si="4"/>
        <v/>
      </c>
      <c r="T60" s="403" t="str">
        <f t="shared" si="5"/>
        <v>MIC-7502-Z30x</v>
      </c>
      <c r="U60" s="403">
        <f t="shared" si="6"/>
        <v>1</v>
      </c>
      <c r="V60" s="403" t="str">
        <f t="shared" si="7"/>
        <v>CPP_7_3</v>
      </c>
    </row>
    <row r="61" spans="1:22">
      <c r="A61" t="str">
        <f t="shared" si="0"/>
        <v>MIC-7502-Z30x</v>
      </c>
      <c r="B61" s="403" t="s">
        <v>1356</v>
      </c>
      <c r="C61" s="403" t="s">
        <v>582</v>
      </c>
      <c r="D61" s="403" t="s">
        <v>1357</v>
      </c>
      <c r="E61" s="403" t="s">
        <v>1356</v>
      </c>
      <c r="F61" s="403" t="s">
        <v>1286</v>
      </c>
      <c r="G61" s="403" t="s">
        <v>1466</v>
      </c>
      <c r="H61" s="403" t="s">
        <v>1281</v>
      </c>
      <c r="I61" s="403">
        <v>1</v>
      </c>
      <c r="J61" s="403" t="s">
        <v>110</v>
      </c>
      <c r="K61" s="403">
        <v>1920</v>
      </c>
      <c r="L61" s="403">
        <v>1080</v>
      </c>
      <c r="M61" s="403" t="s">
        <v>110</v>
      </c>
      <c r="N61" s="403">
        <v>1920</v>
      </c>
      <c r="O61" s="403">
        <v>1080</v>
      </c>
      <c r="P61" t="str">
        <f t="shared" si="1"/>
        <v>30fps 1080p - 1080p</v>
      </c>
      <c r="Q61">
        <f t="shared" si="2"/>
        <v>2</v>
      </c>
      <c r="R61" t="str">
        <f t="shared" si="3"/>
        <v/>
      </c>
      <c r="S61" t="str">
        <f t="shared" si="4"/>
        <v/>
      </c>
      <c r="T61" s="403" t="str">
        <f t="shared" si="5"/>
        <v>MIC-7502-Z30x</v>
      </c>
      <c r="U61" s="403">
        <f t="shared" si="6"/>
        <v>1</v>
      </c>
      <c r="V61" s="403" t="str">
        <f t="shared" si="7"/>
        <v>CPP_7_3</v>
      </c>
    </row>
    <row r="62" spans="1:22">
      <c r="A62" t="str">
        <f t="shared" si="0"/>
        <v>MIC-7502-Z30x</v>
      </c>
      <c r="B62" s="403" t="s">
        <v>1356</v>
      </c>
      <c r="C62" s="403" t="s">
        <v>582</v>
      </c>
      <c r="D62" s="403" t="s">
        <v>1357</v>
      </c>
      <c r="E62" s="403" t="s">
        <v>1356</v>
      </c>
      <c r="F62" s="403" t="s">
        <v>1286</v>
      </c>
      <c r="G62" s="403" t="s">
        <v>1466</v>
      </c>
      <c r="H62" s="403" t="s">
        <v>1281</v>
      </c>
      <c r="I62" s="403">
        <v>1</v>
      </c>
      <c r="J62" s="403" t="s">
        <v>110</v>
      </c>
      <c r="K62" s="403">
        <v>1920</v>
      </c>
      <c r="L62" s="403">
        <v>1080</v>
      </c>
      <c r="M62" s="403" t="s">
        <v>109</v>
      </c>
      <c r="N62" s="403">
        <v>1280</v>
      </c>
      <c r="O62" s="403">
        <v>720</v>
      </c>
      <c r="P62" t="str">
        <f t="shared" si="1"/>
        <v>30fps 1080p - 720p</v>
      </c>
      <c r="Q62">
        <f t="shared" si="2"/>
        <v>2</v>
      </c>
      <c r="R62" t="str">
        <f t="shared" si="3"/>
        <v/>
      </c>
      <c r="S62" t="str">
        <f t="shared" si="4"/>
        <v/>
      </c>
      <c r="T62" s="403" t="str">
        <f t="shared" si="5"/>
        <v>MIC-7502-Z30x</v>
      </c>
      <c r="U62" s="403">
        <f t="shared" si="6"/>
        <v>1</v>
      </c>
      <c r="V62" s="403" t="str">
        <f t="shared" si="7"/>
        <v>CPP_7_3</v>
      </c>
    </row>
    <row r="63" spans="1:22">
      <c r="A63" t="str">
        <f t="shared" si="0"/>
        <v>MIC-7502-Z30x</v>
      </c>
      <c r="B63" s="403" t="s">
        <v>1356</v>
      </c>
      <c r="C63" s="403" t="s">
        <v>582</v>
      </c>
      <c r="D63" s="403" t="s">
        <v>1357</v>
      </c>
      <c r="E63" s="403" t="s">
        <v>1356</v>
      </c>
      <c r="F63" s="403" t="s">
        <v>1286</v>
      </c>
      <c r="G63" s="403" t="s">
        <v>1466</v>
      </c>
      <c r="H63" s="403" t="s">
        <v>1281</v>
      </c>
      <c r="I63" s="403">
        <v>1</v>
      </c>
      <c r="J63" s="403" t="s">
        <v>110</v>
      </c>
      <c r="K63" s="403">
        <v>1920</v>
      </c>
      <c r="L63" s="403">
        <v>1080</v>
      </c>
      <c r="M63" s="403" t="s">
        <v>1285</v>
      </c>
      <c r="N63" s="403">
        <v>1280</v>
      </c>
      <c r="O63" s="403">
        <v>1024</v>
      </c>
      <c r="P63" t="str">
        <f t="shared" si="1"/>
        <v>30fps 1080p - 1280x1024 5:4 (cropped)</v>
      </c>
      <c r="Q63">
        <f t="shared" si="2"/>
        <v>2</v>
      </c>
      <c r="R63" t="str">
        <f t="shared" si="3"/>
        <v/>
      </c>
      <c r="S63" t="str">
        <f t="shared" si="4"/>
        <v/>
      </c>
      <c r="T63" s="403" t="str">
        <f t="shared" si="5"/>
        <v>MIC-7502-Z30x</v>
      </c>
      <c r="U63" s="403">
        <f t="shared" si="6"/>
        <v>1</v>
      </c>
      <c r="V63" s="403" t="str">
        <f t="shared" si="7"/>
        <v>CPP_7_3</v>
      </c>
    </row>
    <row r="64" spans="1:22">
      <c r="A64" t="str">
        <f t="shared" si="0"/>
        <v>MIC-7502-Z30x</v>
      </c>
      <c r="B64" s="403" t="s">
        <v>1356</v>
      </c>
      <c r="C64" s="403" t="s">
        <v>582</v>
      </c>
      <c r="D64" s="403" t="s">
        <v>1357</v>
      </c>
      <c r="E64" s="403" t="s">
        <v>1356</v>
      </c>
      <c r="F64" s="403" t="s">
        <v>1286</v>
      </c>
      <c r="G64" s="403" t="s">
        <v>1466</v>
      </c>
      <c r="H64" s="403" t="s">
        <v>1281</v>
      </c>
      <c r="I64" s="403">
        <v>1</v>
      </c>
      <c r="J64" s="403" t="s">
        <v>110</v>
      </c>
      <c r="K64" s="403">
        <v>1920</v>
      </c>
      <c r="L64" s="403">
        <v>1080</v>
      </c>
      <c r="M64" s="403" t="s">
        <v>1283</v>
      </c>
      <c r="N64" s="403">
        <v>720</v>
      </c>
      <c r="O64" s="403">
        <v>480</v>
      </c>
      <c r="P64" t="str">
        <f t="shared" si="1"/>
        <v>30fps 1080p - SD 4CIF resolution 4:3 format (cropped)</v>
      </c>
      <c r="Q64">
        <f t="shared" si="2"/>
        <v>2</v>
      </c>
      <c r="R64" t="str">
        <f t="shared" si="3"/>
        <v/>
      </c>
      <c r="S64" t="str">
        <f t="shared" si="4"/>
        <v/>
      </c>
      <c r="T64" s="403" t="str">
        <f t="shared" si="5"/>
        <v>MIC-7502-Z30x</v>
      </c>
      <c r="U64" s="403">
        <f t="shared" si="6"/>
        <v>1</v>
      </c>
      <c r="V64" s="403" t="str">
        <f t="shared" si="7"/>
        <v>CPP_7_3</v>
      </c>
    </row>
    <row r="65" spans="1:22">
      <c r="A65" t="str">
        <f t="shared" si="0"/>
        <v>MIC-7502-Z30x</v>
      </c>
      <c r="B65" s="403" t="s">
        <v>1356</v>
      </c>
      <c r="C65" s="403" t="s">
        <v>582</v>
      </c>
      <c r="D65" s="403" t="s">
        <v>1357</v>
      </c>
      <c r="E65" s="403" t="s">
        <v>1356</v>
      </c>
      <c r="F65" s="403" t="s">
        <v>1286</v>
      </c>
      <c r="G65" s="403" t="s">
        <v>1466</v>
      </c>
      <c r="H65" s="403" t="s">
        <v>1281</v>
      </c>
      <c r="I65" s="403">
        <v>1</v>
      </c>
      <c r="J65" s="403" t="s">
        <v>110</v>
      </c>
      <c r="K65" s="403">
        <v>1920</v>
      </c>
      <c r="L65" s="403">
        <v>1080</v>
      </c>
      <c r="M65" s="403" t="s">
        <v>1284</v>
      </c>
      <c r="N65" s="403">
        <v>640</v>
      </c>
      <c r="O65" s="403">
        <v>480</v>
      </c>
      <c r="P65" t="str">
        <f t="shared" si="1"/>
        <v>30fps 1080p - SD VGA (cropped)</v>
      </c>
      <c r="Q65">
        <f t="shared" si="2"/>
        <v>2</v>
      </c>
      <c r="R65" t="str">
        <f t="shared" si="3"/>
        <v/>
      </c>
      <c r="S65" t="str">
        <f t="shared" si="4"/>
        <v/>
      </c>
      <c r="T65" s="403" t="str">
        <f t="shared" si="5"/>
        <v>MIC-7502-Z30x</v>
      </c>
      <c r="U65" s="403">
        <f t="shared" si="6"/>
        <v>1</v>
      </c>
      <c r="V65" s="403" t="str">
        <f t="shared" si="7"/>
        <v>CPP_7_3</v>
      </c>
    </row>
    <row r="66" spans="1:22">
      <c r="A66" t="str">
        <f t="shared" ref="A66:A129" si="8">IF(AND(G66&lt;&gt;"rotate 90°"),D66,"")</f>
        <v>MIC-7502-Z30x</v>
      </c>
      <c r="B66" s="403" t="s">
        <v>1356</v>
      </c>
      <c r="C66" s="403" t="s">
        <v>582</v>
      </c>
      <c r="D66" s="403" t="s">
        <v>1357</v>
      </c>
      <c r="E66" s="403" t="s">
        <v>1356</v>
      </c>
      <c r="F66" s="403" t="s">
        <v>1286</v>
      </c>
      <c r="G66" s="403" t="s">
        <v>1466</v>
      </c>
      <c r="H66" s="403" t="s">
        <v>1281</v>
      </c>
      <c r="I66" s="403">
        <v>1</v>
      </c>
      <c r="J66" s="403" t="s">
        <v>109</v>
      </c>
      <c r="K66" s="403">
        <v>1280</v>
      </c>
      <c r="L66" s="403">
        <v>720</v>
      </c>
      <c r="M66" s="403" t="s">
        <v>109</v>
      </c>
      <c r="N66" s="403">
        <v>1280</v>
      </c>
      <c r="O66" s="403">
        <v>720</v>
      </c>
      <c r="P66" t="str">
        <f t="shared" ref="P66:P129" si="9">LEFT(F66,5)&amp;" "&amp;J66&amp;" - "&amp;M66</f>
        <v>30fps 720p - 720p</v>
      </c>
      <c r="Q66">
        <f t="shared" ref="Q66:Q129" si="10">IF(A65=A66,Q65,Q65+1)</f>
        <v>2</v>
      </c>
      <c r="R66" t="str">
        <f t="shared" ref="R66:R129" si="11">IF(Q65&lt;&gt;Q66,Q66,"")</f>
        <v/>
      </c>
      <c r="S66" t="str">
        <f t="shared" ref="S66:S129" si="12">IF(R66&lt;&gt;"",B66&amp;" ("&amp;D66&amp;")","")</f>
        <v/>
      </c>
      <c r="T66" s="403" t="str">
        <f t="shared" ref="T66:T129" si="13">D66</f>
        <v>MIC-7502-Z30x</v>
      </c>
      <c r="U66" s="403">
        <f t="shared" ref="U66:U129" si="14">I66</f>
        <v>1</v>
      </c>
      <c r="V66" s="403" t="str">
        <f t="shared" ref="V66:V129" si="15">C66</f>
        <v>CPP_7_3</v>
      </c>
    </row>
    <row r="67" spans="1:22">
      <c r="A67" t="str">
        <f t="shared" si="8"/>
        <v>MIC-7502-Z30x</v>
      </c>
      <c r="B67" s="403" t="s">
        <v>1356</v>
      </c>
      <c r="C67" s="403" t="s">
        <v>582</v>
      </c>
      <c r="D67" s="403" t="s">
        <v>1357</v>
      </c>
      <c r="E67" s="403" t="s">
        <v>1356</v>
      </c>
      <c r="F67" s="403" t="s">
        <v>1286</v>
      </c>
      <c r="G67" s="403" t="s">
        <v>1466</v>
      </c>
      <c r="H67" s="403" t="s">
        <v>1281</v>
      </c>
      <c r="I67" s="403">
        <v>1</v>
      </c>
      <c r="J67" s="403" t="s">
        <v>109</v>
      </c>
      <c r="K67" s="403">
        <v>1280</v>
      </c>
      <c r="L67" s="403">
        <v>720</v>
      </c>
      <c r="M67" s="403" t="s">
        <v>111</v>
      </c>
      <c r="N67" s="403">
        <v>768</v>
      </c>
      <c r="O67" s="403">
        <v>432</v>
      </c>
      <c r="P67" t="str">
        <f t="shared" si="9"/>
        <v>30fps 720p - SD</v>
      </c>
      <c r="Q67">
        <f t="shared" si="10"/>
        <v>2</v>
      </c>
      <c r="R67" t="str">
        <f t="shared" si="11"/>
        <v/>
      </c>
      <c r="S67" t="str">
        <f t="shared" si="12"/>
        <v/>
      </c>
      <c r="T67" s="403" t="str">
        <f t="shared" si="13"/>
        <v>MIC-7502-Z30x</v>
      </c>
      <c r="U67" s="403">
        <f t="shared" si="14"/>
        <v>1</v>
      </c>
      <c r="V67" s="403" t="str">
        <f t="shared" si="15"/>
        <v>CPP_7_3</v>
      </c>
    </row>
    <row r="68" spans="1:22">
      <c r="A68" t="str">
        <f t="shared" si="8"/>
        <v>MIC-7502-Z30x</v>
      </c>
      <c r="B68" s="403" t="s">
        <v>1356</v>
      </c>
      <c r="C68" s="403" t="s">
        <v>582</v>
      </c>
      <c r="D68" s="403" t="s">
        <v>1357</v>
      </c>
      <c r="E68" s="403" t="s">
        <v>1356</v>
      </c>
      <c r="F68" s="403" t="s">
        <v>1286</v>
      </c>
      <c r="G68" s="403" t="s">
        <v>1466</v>
      </c>
      <c r="H68" s="403" t="s">
        <v>1281</v>
      </c>
      <c r="I68" s="403">
        <v>1</v>
      </c>
      <c r="J68" s="403" t="s">
        <v>109</v>
      </c>
      <c r="K68" s="403">
        <v>1280</v>
      </c>
      <c r="L68" s="403">
        <v>720</v>
      </c>
      <c r="M68" s="403" t="s">
        <v>1283</v>
      </c>
      <c r="N68" s="403">
        <v>720</v>
      </c>
      <c r="O68" s="403">
        <v>480</v>
      </c>
      <c r="P68" t="str">
        <f t="shared" si="9"/>
        <v>30fps 720p - SD 4CIF resolution 4:3 format (cropped)</v>
      </c>
      <c r="Q68">
        <f t="shared" si="10"/>
        <v>2</v>
      </c>
      <c r="R68" t="str">
        <f t="shared" si="11"/>
        <v/>
      </c>
      <c r="S68" t="str">
        <f t="shared" si="12"/>
        <v/>
      </c>
      <c r="T68" s="403" t="str">
        <f t="shared" si="13"/>
        <v>MIC-7502-Z30x</v>
      </c>
      <c r="U68" s="403">
        <f t="shared" si="14"/>
        <v>1</v>
      </c>
      <c r="V68" s="403" t="str">
        <f t="shared" si="15"/>
        <v>CPP_7_3</v>
      </c>
    </row>
    <row r="69" spans="1:22">
      <c r="A69" t="str">
        <f t="shared" si="8"/>
        <v>MIC-7502-Z30x</v>
      </c>
      <c r="B69" s="403" t="s">
        <v>1356</v>
      </c>
      <c r="C69" s="403" t="s">
        <v>582</v>
      </c>
      <c r="D69" s="403" t="s">
        <v>1357</v>
      </c>
      <c r="E69" s="403" t="s">
        <v>1356</v>
      </c>
      <c r="F69" s="403" t="s">
        <v>1286</v>
      </c>
      <c r="G69" s="403" t="s">
        <v>1466</v>
      </c>
      <c r="H69" s="403" t="s">
        <v>1281</v>
      </c>
      <c r="I69" s="403">
        <v>1</v>
      </c>
      <c r="J69" s="403" t="s">
        <v>109</v>
      </c>
      <c r="K69" s="403">
        <v>1280</v>
      </c>
      <c r="L69" s="403">
        <v>720</v>
      </c>
      <c r="M69" s="403" t="s">
        <v>1284</v>
      </c>
      <c r="N69" s="403">
        <v>640</v>
      </c>
      <c r="O69" s="403">
        <v>480</v>
      </c>
      <c r="P69" t="str">
        <f t="shared" si="9"/>
        <v>30fps 720p - SD VGA (cropped)</v>
      </c>
      <c r="Q69">
        <f t="shared" si="10"/>
        <v>2</v>
      </c>
      <c r="R69" t="str">
        <f t="shared" si="11"/>
        <v/>
      </c>
      <c r="S69" t="str">
        <f t="shared" si="12"/>
        <v/>
      </c>
      <c r="T69" s="403" t="str">
        <f t="shared" si="13"/>
        <v>MIC-7502-Z30x</v>
      </c>
      <c r="U69" s="403">
        <f t="shared" si="14"/>
        <v>1</v>
      </c>
      <c r="V69" s="403" t="str">
        <f t="shared" si="15"/>
        <v>CPP_7_3</v>
      </c>
    </row>
    <row r="70" spans="1:22">
      <c r="A70" t="str">
        <f t="shared" si="8"/>
        <v>MIC-7502-Z30x</v>
      </c>
      <c r="B70" s="403" t="s">
        <v>1356</v>
      </c>
      <c r="C70" s="403" t="s">
        <v>582</v>
      </c>
      <c r="D70" s="403" t="s">
        <v>1357</v>
      </c>
      <c r="E70" s="403" t="s">
        <v>1356</v>
      </c>
      <c r="F70" s="403" t="s">
        <v>1290</v>
      </c>
      <c r="G70" s="403" t="s">
        <v>1466</v>
      </c>
      <c r="H70" s="403" t="s">
        <v>1276</v>
      </c>
      <c r="I70" s="403">
        <v>1</v>
      </c>
      <c r="J70" s="403" t="s">
        <v>110</v>
      </c>
      <c r="K70" s="403">
        <v>1920</v>
      </c>
      <c r="L70" s="403">
        <v>1080</v>
      </c>
      <c r="M70" s="403" t="s">
        <v>111</v>
      </c>
      <c r="N70" s="403">
        <v>768</v>
      </c>
      <c r="O70" s="403">
        <v>432</v>
      </c>
      <c r="P70" t="str">
        <f t="shared" si="9"/>
        <v>50fps 1080p - SD</v>
      </c>
      <c r="Q70">
        <f t="shared" si="10"/>
        <v>2</v>
      </c>
      <c r="R70" t="str">
        <f t="shared" si="11"/>
        <v/>
      </c>
      <c r="S70" t="str">
        <f t="shared" si="12"/>
        <v/>
      </c>
      <c r="T70" s="403" t="str">
        <f t="shared" si="13"/>
        <v>MIC-7502-Z30x</v>
      </c>
      <c r="U70" s="403">
        <f t="shared" si="14"/>
        <v>1</v>
      </c>
      <c r="V70" s="403" t="str">
        <f t="shared" si="15"/>
        <v>CPP_7_3</v>
      </c>
    </row>
    <row r="71" spans="1:22">
      <c r="A71" t="str">
        <f t="shared" si="8"/>
        <v>MIC-7502-Z30x</v>
      </c>
      <c r="B71" s="403" t="s">
        <v>1356</v>
      </c>
      <c r="C71" s="403" t="s">
        <v>582</v>
      </c>
      <c r="D71" s="403" t="s">
        <v>1357</v>
      </c>
      <c r="E71" s="403" t="s">
        <v>1356</v>
      </c>
      <c r="F71" s="403" t="s">
        <v>1290</v>
      </c>
      <c r="G71" s="403" t="s">
        <v>1466</v>
      </c>
      <c r="H71" s="403" t="s">
        <v>1276</v>
      </c>
      <c r="I71" s="403">
        <v>1</v>
      </c>
      <c r="J71" s="403" t="s">
        <v>110</v>
      </c>
      <c r="K71" s="403">
        <v>1920</v>
      </c>
      <c r="L71" s="403">
        <v>1080</v>
      </c>
      <c r="M71" s="403" t="s">
        <v>110</v>
      </c>
      <c r="N71" s="403">
        <v>1920</v>
      </c>
      <c r="O71" s="403">
        <v>1080</v>
      </c>
      <c r="P71" t="str">
        <f t="shared" si="9"/>
        <v>50fps 1080p - 1080p</v>
      </c>
      <c r="Q71">
        <f t="shared" si="10"/>
        <v>2</v>
      </c>
      <c r="R71" t="str">
        <f t="shared" si="11"/>
        <v/>
      </c>
      <c r="S71" t="str">
        <f t="shared" si="12"/>
        <v/>
      </c>
      <c r="T71" s="403" t="str">
        <f t="shared" si="13"/>
        <v>MIC-7502-Z30x</v>
      </c>
      <c r="U71" s="403">
        <f t="shared" si="14"/>
        <v>1</v>
      </c>
      <c r="V71" s="403" t="str">
        <f t="shared" si="15"/>
        <v>CPP_7_3</v>
      </c>
    </row>
    <row r="72" spans="1:22">
      <c r="A72" t="str">
        <f t="shared" si="8"/>
        <v>MIC-7502-Z30x</v>
      </c>
      <c r="B72" s="403" t="s">
        <v>1356</v>
      </c>
      <c r="C72" s="403" t="s">
        <v>582</v>
      </c>
      <c r="D72" s="403" t="s">
        <v>1357</v>
      </c>
      <c r="E72" s="403" t="s">
        <v>1356</v>
      </c>
      <c r="F72" s="403" t="s">
        <v>1290</v>
      </c>
      <c r="G72" s="403" t="s">
        <v>1466</v>
      </c>
      <c r="H72" s="403" t="s">
        <v>1276</v>
      </c>
      <c r="I72" s="403">
        <v>1</v>
      </c>
      <c r="J72" s="403" t="s">
        <v>110</v>
      </c>
      <c r="K72" s="403">
        <v>1920</v>
      </c>
      <c r="L72" s="403">
        <v>1080</v>
      </c>
      <c r="M72" s="403" t="s">
        <v>1289</v>
      </c>
      <c r="N72" s="403">
        <v>1280</v>
      </c>
      <c r="O72" s="403">
        <v>720</v>
      </c>
      <c r="P72" t="str">
        <f t="shared" si="9"/>
        <v>50fps 1080p - 720p full frame rate</v>
      </c>
      <c r="Q72">
        <f t="shared" si="10"/>
        <v>2</v>
      </c>
      <c r="R72" t="str">
        <f t="shared" si="11"/>
        <v/>
      </c>
      <c r="S72" t="str">
        <f t="shared" si="12"/>
        <v/>
      </c>
      <c r="T72" s="403" t="str">
        <f t="shared" si="13"/>
        <v>MIC-7502-Z30x</v>
      </c>
      <c r="U72" s="403">
        <f t="shared" si="14"/>
        <v>1</v>
      </c>
      <c r="V72" s="403" t="str">
        <f t="shared" si="15"/>
        <v>CPP_7_3</v>
      </c>
    </row>
    <row r="73" spans="1:22">
      <c r="A73" t="str">
        <f t="shared" si="8"/>
        <v>MIC-7502-Z30x</v>
      </c>
      <c r="B73" s="403" t="s">
        <v>1356</v>
      </c>
      <c r="C73" s="403" t="s">
        <v>582</v>
      </c>
      <c r="D73" s="403" t="s">
        <v>1357</v>
      </c>
      <c r="E73" s="403" t="s">
        <v>1356</v>
      </c>
      <c r="F73" s="403" t="s">
        <v>1290</v>
      </c>
      <c r="G73" s="403" t="s">
        <v>1466</v>
      </c>
      <c r="H73" s="403" t="s">
        <v>1276</v>
      </c>
      <c r="I73" s="403">
        <v>1</v>
      </c>
      <c r="J73" s="403" t="s">
        <v>110</v>
      </c>
      <c r="K73" s="403">
        <v>1920</v>
      </c>
      <c r="L73" s="403">
        <v>1080</v>
      </c>
      <c r="M73" s="403" t="s">
        <v>1285</v>
      </c>
      <c r="N73" s="403">
        <v>1280</v>
      </c>
      <c r="O73" s="403">
        <v>1024</v>
      </c>
      <c r="P73" t="str">
        <f t="shared" si="9"/>
        <v>50fps 1080p - 1280x1024 5:4 (cropped)</v>
      </c>
      <c r="Q73">
        <f t="shared" si="10"/>
        <v>2</v>
      </c>
      <c r="R73" t="str">
        <f t="shared" si="11"/>
        <v/>
      </c>
      <c r="S73" t="str">
        <f t="shared" si="12"/>
        <v/>
      </c>
      <c r="T73" s="403" t="str">
        <f t="shared" si="13"/>
        <v>MIC-7502-Z30x</v>
      </c>
      <c r="U73" s="403">
        <f t="shared" si="14"/>
        <v>1</v>
      </c>
      <c r="V73" s="403" t="str">
        <f t="shared" si="15"/>
        <v>CPP_7_3</v>
      </c>
    </row>
    <row r="74" spans="1:22">
      <c r="A74" t="str">
        <f t="shared" si="8"/>
        <v>MIC-7502-Z30x</v>
      </c>
      <c r="B74" s="403" t="s">
        <v>1356</v>
      </c>
      <c r="C74" s="403" t="s">
        <v>582</v>
      </c>
      <c r="D74" s="403" t="s">
        <v>1357</v>
      </c>
      <c r="E74" s="403" t="s">
        <v>1356</v>
      </c>
      <c r="F74" s="403" t="s">
        <v>1290</v>
      </c>
      <c r="G74" s="403" t="s">
        <v>1466</v>
      </c>
      <c r="H74" s="403" t="s">
        <v>1276</v>
      </c>
      <c r="I74" s="403">
        <v>1</v>
      </c>
      <c r="J74" s="403" t="s">
        <v>110</v>
      </c>
      <c r="K74" s="403">
        <v>1920</v>
      </c>
      <c r="L74" s="403">
        <v>1080</v>
      </c>
      <c r="M74" s="403" t="s">
        <v>1283</v>
      </c>
      <c r="N74" s="403">
        <v>720</v>
      </c>
      <c r="O74" s="403">
        <v>576</v>
      </c>
      <c r="P74" t="str">
        <f t="shared" si="9"/>
        <v>50fps 1080p - SD 4CIF resolution 4:3 format (cropped)</v>
      </c>
      <c r="Q74">
        <f t="shared" si="10"/>
        <v>2</v>
      </c>
      <c r="R74" t="str">
        <f t="shared" si="11"/>
        <v/>
      </c>
      <c r="S74" t="str">
        <f t="shared" si="12"/>
        <v/>
      </c>
      <c r="T74" s="403" t="str">
        <f t="shared" si="13"/>
        <v>MIC-7502-Z30x</v>
      </c>
      <c r="U74" s="403">
        <f t="shared" si="14"/>
        <v>1</v>
      </c>
      <c r="V74" s="403" t="str">
        <f t="shared" si="15"/>
        <v>CPP_7_3</v>
      </c>
    </row>
    <row r="75" spans="1:22">
      <c r="A75" t="str">
        <f t="shared" si="8"/>
        <v>MIC-7502-Z30x</v>
      </c>
      <c r="B75" s="403" t="s">
        <v>1356</v>
      </c>
      <c r="C75" s="403" t="s">
        <v>582</v>
      </c>
      <c r="D75" s="403" t="s">
        <v>1357</v>
      </c>
      <c r="E75" s="403" t="s">
        <v>1356</v>
      </c>
      <c r="F75" s="403" t="s">
        <v>1290</v>
      </c>
      <c r="G75" s="403" t="s">
        <v>1466</v>
      </c>
      <c r="H75" s="403" t="s">
        <v>1276</v>
      </c>
      <c r="I75" s="403">
        <v>1</v>
      </c>
      <c r="J75" s="403" t="s">
        <v>110</v>
      </c>
      <c r="K75" s="403">
        <v>1920</v>
      </c>
      <c r="L75" s="403">
        <v>1080</v>
      </c>
      <c r="M75" s="403" t="s">
        <v>1284</v>
      </c>
      <c r="N75" s="403">
        <v>640</v>
      </c>
      <c r="O75" s="403">
        <v>480</v>
      </c>
      <c r="P75" t="str">
        <f t="shared" si="9"/>
        <v>50fps 1080p - SD VGA (cropped)</v>
      </c>
      <c r="Q75">
        <f t="shared" si="10"/>
        <v>2</v>
      </c>
      <c r="R75" t="str">
        <f t="shared" si="11"/>
        <v/>
      </c>
      <c r="S75" t="str">
        <f t="shared" si="12"/>
        <v/>
      </c>
      <c r="T75" s="403" t="str">
        <f t="shared" si="13"/>
        <v>MIC-7502-Z30x</v>
      </c>
      <c r="U75" s="403">
        <f t="shared" si="14"/>
        <v>1</v>
      </c>
      <c r="V75" s="403" t="str">
        <f t="shared" si="15"/>
        <v>CPP_7_3</v>
      </c>
    </row>
    <row r="76" spans="1:22">
      <c r="A76" t="str">
        <f t="shared" si="8"/>
        <v>MIC-7502-Z30x</v>
      </c>
      <c r="B76" s="403" t="s">
        <v>1356</v>
      </c>
      <c r="C76" s="403" t="s">
        <v>582</v>
      </c>
      <c r="D76" s="403" t="s">
        <v>1357</v>
      </c>
      <c r="E76" s="403" t="s">
        <v>1356</v>
      </c>
      <c r="F76" s="403" t="s">
        <v>1290</v>
      </c>
      <c r="G76" s="403" t="s">
        <v>1466</v>
      </c>
      <c r="H76" s="403" t="s">
        <v>1276</v>
      </c>
      <c r="I76" s="403">
        <v>1</v>
      </c>
      <c r="J76" s="403" t="s">
        <v>1289</v>
      </c>
      <c r="K76" s="403">
        <v>1280</v>
      </c>
      <c r="L76" s="403">
        <v>720</v>
      </c>
      <c r="M76" s="403" t="s">
        <v>1289</v>
      </c>
      <c r="N76" s="403">
        <v>1280</v>
      </c>
      <c r="O76" s="403">
        <v>720</v>
      </c>
      <c r="P76" t="str">
        <f t="shared" si="9"/>
        <v>50fps 720p full frame rate - 720p full frame rate</v>
      </c>
      <c r="Q76">
        <f t="shared" si="10"/>
        <v>2</v>
      </c>
      <c r="R76" t="str">
        <f t="shared" si="11"/>
        <v/>
      </c>
      <c r="S76" t="str">
        <f t="shared" si="12"/>
        <v/>
      </c>
      <c r="T76" s="403" t="str">
        <f t="shared" si="13"/>
        <v>MIC-7502-Z30x</v>
      </c>
      <c r="U76" s="403">
        <f t="shared" si="14"/>
        <v>1</v>
      </c>
      <c r="V76" s="403" t="str">
        <f t="shared" si="15"/>
        <v>CPP_7_3</v>
      </c>
    </row>
    <row r="77" spans="1:22">
      <c r="A77" t="str">
        <f t="shared" si="8"/>
        <v>MIC-7502-Z30x</v>
      </c>
      <c r="B77" s="403" t="s">
        <v>1356</v>
      </c>
      <c r="C77" s="403" t="s">
        <v>582</v>
      </c>
      <c r="D77" s="403" t="s">
        <v>1357</v>
      </c>
      <c r="E77" s="403" t="s">
        <v>1356</v>
      </c>
      <c r="F77" s="403" t="s">
        <v>1290</v>
      </c>
      <c r="G77" s="403" t="s">
        <v>1466</v>
      </c>
      <c r="H77" s="403" t="s">
        <v>1276</v>
      </c>
      <c r="I77" s="403">
        <v>1</v>
      </c>
      <c r="J77" s="403" t="s">
        <v>1289</v>
      </c>
      <c r="K77" s="403">
        <v>1280</v>
      </c>
      <c r="L77" s="403">
        <v>720</v>
      </c>
      <c r="M77" s="403" t="s">
        <v>111</v>
      </c>
      <c r="N77" s="403">
        <v>768</v>
      </c>
      <c r="O77" s="403">
        <v>432</v>
      </c>
      <c r="P77" t="str">
        <f t="shared" si="9"/>
        <v>50fps 720p full frame rate - SD</v>
      </c>
      <c r="Q77">
        <f t="shared" si="10"/>
        <v>2</v>
      </c>
      <c r="R77" t="str">
        <f t="shared" si="11"/>
        <v/>
      </c>
      <c r="S77" t="str">
        <f t="shared" si="12"/>
        <v/>
      </c>
      <c r="T77" s="403" t="str">
        <f t="shared" si="13"/>
        <v>MIC-7502-Z30x</v>
      </c>
      <c r="U77" s="403">
        <f t="shared" si="14"/>
        <v>1</v>
      </c>
      <c r="V77" s="403" t="str">
        <f t="shared" si="15"/>
        <v>CPP_7_3</v>
      </c>
    </row>
    <row r="78" spans="1:22">
      <c r="A78" t="str">
        <f t="shared" si="8"/>
        <v>MIC-7502-Z30x</v>
      </c>
      <c r="B78" s="403" t="s">
        <v>1356</v>
      </c>
      <c r="C78" s="403" t="s">
        <v>582</v>
      </c>
      <c r="D78" s="403" t="s">
        <v>1357</v>
      </c>
      <c r="E78" s="403" t="s">
        <v>1356</v>
      </c>
      <c r="F78" s="403" t="s">
        <v>1290</v>
      </c>
      <c r="G78" s="403" t="s">
        <v>1466</v>
      </c>
      <c r="H78" s="403" t="s">
        <v>1276</v>
      </c>
      <c r="I78" s="403">
        <v>1</v>
      </c>
      <c r="J78" s="403" t="s">
        <v>1289</v>
      </c>
      <c r="K78" s="403">
        <v>1280</v>
      </c>
      <c r="L78" s="403">
        <v>720</v>
      </c>
      <c r="M78" s="403" t="s">
        <v>1283</v>
      </c>
      <c r="N78" s="403">
        <v>720</v>
      </c>
      <c r="O78" s="403">
        <v>576</v>
      </c>
      <c r="P78" t="str">
        <f t="shared" si="9"/>
        <v>50fps 720p full frame rate - SD 4CIF resolution 4:3 format (cropped)</v>
      </c>
      <c r="Q78">
        <f t="shared" si="10"/>
        <v>2</v>
      </c>
      <c r="R78" t="str">
        <f t="shared" si="11"/>
        <v/>
      </c>
      <c r="S78" t="str">
        <f t="shared" si="12"/>
        <v/>
      </c>
      <c r="T78" s="403" t="str">
        <f t="shared" si="13"/>
        <v>MIC-7502-Z30x</v>
      </c>
      <c r="U78" s="403">
        <f t="shared" si="14"/>
        <v>1</v>
      </c>
      <c r="V78" s="403" t="str">
        <f t="shared" si="15"/>
        <v>CPP_7_3</v>
      </c>
    </row>
    <row r="79" spans="1:22">
      <c r="A79" t="str">
        <f t="shared" si="8"/>
        <v>MIC-7502-Z30x</v>
      </c>
      <c r="B79" s="403" t="s">
        <v>1356</v>
      </c>
      <c r="C79" s="403" t="s">
        <v>582</v>
      </c>
      <c r="D79" s="403" t="s">
        <v>1357</v>
      </c>
      <c r="E79" s="403" t="s">
        <v>1356</v>
      </c>
      <c r="F79" s="403" t="s">
        <v>1290</v>
      </c>
      <c r="G79" s="403" t="s">
        <v>1466</v>
      </c>
      <c r="H79" s="403" t="s">
        <v>1276</v>
      </c>
      <c r="I79" s="403">
        <v>1</v>
      </c>
      <c r="J79" s="403" t="s">
        <v>1289</v>
      </c>
      <c r="K79" s="403">
        <v>1280</v>
      </c>
      <c r="L79" s="403">
        <v>720</v>
      </c>
      <c r="M79" s="403" t="s">
        <v>1284</v>
      </c>
      <c r="N79" s="403">
        <v>640</v>
      </c>
      <c r="O79" s="403">
        <v>480</v>
      </c>
      <c r="P79" t="str">
        <f t="shared" si="9"/>
        <v>50fps 720p full frame rate - SD VGA (cropped)</v>
      </c>
      <c r="Q79">
        <f t="shared" si="10"/>
        <v>2</v>
      </c>
      <c r="R79" t="str">
        <f t="shared" si="11"/>
        <v/>
      </c>
      <c r="S79" t="str">
        <f t="shared" si="12"/>
        <v/>
      </c>
      <c r="T79" s="403" t="str">
        <f t="shared" si="13"/>
        <v>MIC-7502-Z30x</v>
      </c>
      <c r="U79" s="403">
        <f t="shared" si="14"/>
        <v>1</v>
      </c>
      <c r="V79" s="403" t="str">
        <f t="shared" si="15"/>
        <v>CPP_7_3</v>
      </c>
    </row>
    <row r="80" spans="1:22">
      <c r="A80" t="str">
        <f t="shared" si="8"/>
        <v>MIC-7502-Z30x</v>
      </c>
      <c r="B80" s="403" t="s">
        <v>1356</v>
      </c>
      <c r="C80" s="403" t="s">
        <v>582</v>
      </c>
      <c r="D80" s="403" t="s">
        <v>1357</v>
      </c>
      <c r="E80" s="403" t="s">
        <v>1356</v>
      </c>
      <c r="F80" s="403" t="s">
        <v>1290</v>
      </c>
      <c r="G80" s="403" t="s">
        <v>1466</v>
      </c>
      <c r="H80" s="403" t="s">
        <v>1281</v>
      </c>
      <c r="I80" s="403">
        <v>1</v>
      </c>
      <c r="J80" s="403" t="s">
        <v>110</v>
      </c>
      <c r="K80" s="403">
        <v>1920</v>
      </c>
      <c r="L80" s="403">
        <v>1080</v>
      </c>
      <c r="M80" s="403" t="s">
        <v>111</v>
      </c>
      <c r="N80" s="403">
        <v>768</v>
      </c>
      <c r="O80" s="403">
        <v>432</v>
      </c>
      <c r="P80" t="str">
        <f t="shared" si="9"/>
        <v>50fps 1080p - SD</v>
      </c>
      <c r="Q80">
        <f t="shared" si="10"/>
        <v>2</v>
      </c>
      <c r="R80" t="str">
        <f t="shared" si="11"/>
        <v/>
      </c>
      <c r="S80" t="str">
        <f t="shared" si="12"/>
        <v/>
      </c>
      <c r="T80" s="403" t="str">
        <f t="shared" si="13"/>
        <v>MIC-7502-Z30x</v>
      </c>
      <c r="U80" s="403">
        <f t="shared" si="14"/>
        <v>1</v>
      </c>
      <c r="V80" s="403" t="str">
        <f t="shared" si="15"/>
        <v>CPP_7_3</v>
      </c>
    </row>
    <row r="81" spans="1:22">
      <c r="A81" t="str">
        <f t="shared" si="8"/>
        <v>MIC-7502-Z30x</v>
      </c>
      <c r="B81" s="403" t="s">
        <v>1356</v>
      </c>
      <c r="C81" s="403" t="s">
        <v>582</v>
      </c>
      <c r="D81" s="403" t="s">
        <v>1357</v>
      </c>
      <c r="E81" s="403" t="s">
        <v>1356</v>
      </c>
      <c r="F81" s="403" t="s">
        <v>1290</v>
      </c>
      <c r="G81" s="403" t="s">
        <v>1466</v>
      </c>
      <c r="H81" s="403" t="s">
        <v>1281</v>
      </c>
      <c r="I81" s="403">
        <v>1</v>
      </c>
      <c r="J81" s="403" t="s">
        <v>110</v>
      </c>
      <c r="K81" s="403">
        <v>1920</v>
      </c>
      <c r="L81" s="403">
        <v>1080</v>
      </c>
      <c r="M81" s="403" t="s">
        <v>1289</v>
      </c>
      <c r="N81" s="403">
        <v>1280</v>
      </c>
      <c r="O81" s="403">
        <v>720</v>
      </c>
      <c r="P81" t="str">
        <f t="shared" si="9"/>
        <v>50fps 1080p - 720p full frame rate</v>
      </c>
      <c r="Q81">
        <f t="shared" si="10"/>
        <v>2</v>
      </c>
      <c r="R81" t="str">
        <f t="shared" si="11"/>
        <v/>
      </c>
      <c r="S81" t="str">
        <f t="shared" si="12"/>
        <v/>
      </c>
      <c r="T81" s="403" t="str">
        <f t="shared" si="13"/>
        <v>MIC-7502-Z30x</v>
      </c>
      <c r="U81" s="403">
        <f t="shared" si="14"/>
        <v>1</v>
      </c>
      <c r="V81" s="403" t="str">
        <f t="shared" si="15"/>
        <v>CPP_7_3</v>
      </c>
    </row>
    <row r="82" spans="1:22">
      <c r="A82" t="str">
        <f t="shared" si="8"/>
        <v>MIC-7502-Z30x</v>
      </c>
      <c r="B82" s="403" t="s">
        <v>1356</v>
      </c>
      <c r="C82" s="403" t="s">
        <v>582</v>
      </c>
      <c r="D82" s="403" t="s">
        <v>1357</v>
      </c>
      <c r="E82" s="403" t="s">
        <v>1356</v>
      </c>
      <c r="F82" s="403" t="s">
        <v>1290</v>
      </c>
      <c r="G82" s="403" t="s">
        <v>1466</v>
      </c>
      <c r="H82" s="403" t="s">
        <v>1281</v>
      </c>
      <c r="I82" s="403">
        <v>1</v>
      </c>
      <c r="J82" s="403" t="s">
        <v>110</v>
      </c>
      <c r="K82" s="403">
        <v>1920</v>
      </c>
      <c r="L82" s="403">
        <v>1080</v>
      </c>
      <c r="M82" s="403" t="s">
        <v>1283</v>
      </c>
      <c r="N82" s="403">
        <v>720</v>
      </c>
      <c r="O82" s="403">
        <v>576</v>
      </c>
      <c r="P82" t="str">
        <f t="shared" si="9"/>
        <v>50fps 1080p - SD 4CIF resolution 4:3 format (cropped)</v>
      </c>
      <c r="Q82">
        <f t="shared" si="10"/>
        <v>2</v>
      </c>
      <c r="R82" t="str">
        <f t="shared" si="11"/>
        <v/>
      </c>
      <c r="S82" t="str">
        <f t="shared" si="12"/>
        <v/>
      </c>
      <c r="T82" s="403" t="str">
        <f t="shared" si="13"/>
        <v>MIC-7502-Z30x</v>
      </c>
      <c r="U82" s="403">
        <f t="shared" si="14"/>
        <v>1</v>
      </c>
      <c r="V82" s="403" t="str">
        <f t="shared" si="15"/>
        <v>CPP_7_3</v>
      </c>
    </row>
    <row r="83" spans="1:22">
      <c r="A83" t="str">
        <f t="shared" si="8"/>
        <v>MIC-7502-Z30x</v>
      </c>
      <c r="B83" s="403" t="s">
        <v>1356</v>
      </c>
      <c r="C83" s="403" t="s">
        <v>582</v>
      </c>
      <c r="D83" s="403" t="s">
        <v>1357</v>
      </c>
      <c r="E83" s="403" t="s">
        <v>1356</v>
      </c>
      <c r="F83" s="403" t="s">
        <v>1290</v>
      </c>
      <c r="G83" s="403" t="s">
        <v>1466</v>
      </c>
      <c r="H83" s="403" t="s">
        <v>1281</v>
      </c>
      <c r="I83" s="403">
        <v>1</v>
      </c>
      <c r="J83" s="403" t="s">
        <v>110</v>
      </c>
      <c r="K83" s="403">
        <v>1920</v>
      </c>
      <c r="L83" s="403">
        <v>1080</v>
      </c>
      <c r="M83" s="403" t="s">
        <v>1284</v>
      </c>
      <c r="N83" s="403">
        <v>640</v>
      </c>
      <c r="O83" s="403">
        <v>480</v>
      </c>
      <c r="P83" t="str">
        <f t="shared" si="9"/>
        <v>50fps 1080p - SD VGA (cropped)</v>
      </c>
      <c r="Q83">
        <f t="shared" si="10"/>
        <v>2</v>
      </c>
      <c r="R83" t="str">
        <f t="shared" si="11"/>
        <v/>
      </c>
      <c r="S83" t="str">
        <f t="shared" si="12"/>
        <v/>
      </c>
      <c r="T83" s="403" t="str">
        <f t="shared" si="13"/>
        <v>MIC-7502-Z30x</v>
      </c>
      <c r="U83" s="403">
        <f t="shared" si="14"/>
        <v>1</v>
      </c>
      <c r="V83" s="403" t="str">
        <f t="shared" si="15"/>
        <v>CPP_7_3</v>
      </c>
    </row>
    <row r="84" spans="1:22">
      <c r="A84" t="str">
        <f t="shared" si="8"/>
        <v>MIC-7502-Z30x</v>
      </c>
      <c r="B84" s="403" t="s">
        <v>1356</v>
      </c>
      <c r="C84" s="403" t="s">
        <v>582</v>
      </c>
      <c r="D84" s="403" t="s">
        <v>1357</v>
      </c>
      <c r="E84" s="403" t="s">
        <v>1356</v>
      </c>
      <c r="F84" s="403" t="s">
        <v>1290</v>
      </c>
      <c r="G84" s="403" t="s">
        <v>1466</v>
      </c>
      <c r="H84" s="403" t="s">
        <v>1281</v>
      </c>
      <c r="I84" s="403">
        <v>1</v>
      </c>
      <c r="J84" s="403" t="s">
        <v>1289</v>
      </c>
      <c r="K84" s="403">
        <v>1280</v>
      </c>
      <c r="L84" s="403">
        <v>720</v>
      </c>
      <c r="M84" s="403" t="s">
        <v>1289</v>
      </c>
      <c r="N84" s="403">
        <v>1280</v>
      </c>
      <c r="O84" s="403">
        <v>720</v>
      </c>
      <c r="P84" t="str">
        <f t="shared" si="9"/>
        <v>50fps 720p full frame rate - 720p full frame rate</v>
      </c>
      <c r="Q84">
        <f t="shared" si="10"/>
        <v>2</v>
      </c>
      <c r="R84" t="str">
        <f t="shared" si="11"/>
        <v/>
      </c>
      <c r="S84" t="str">
        <f t="shared" si="12"/>
        <v/>
      </c>
      <c r="T84" s="403" t="str">
        <f t="shared" si="13"/>
        <v>MIC-7502-Z30x</v>
      </c>
      <c r="U84" s="403">
        <f t="shared" si="14"/>
        <v>1</v>
      </c>
      <c r="V84" s="403" t="str">
        <f t="shared" si="15"/>
        <v>CPP_7_3</v>
      </c>
    </row>
    <row r="85" spans="1:22">
      <c r="A85" t="str">
        <f t="shared" si="8"/>
        <v>MIC-7502-Z30x</v>
      </c>
      <c r="B85" s="403" t="s">
        <v>1356</v>
      </c>
      <c r="C85" s="403" t="s">
        <v>582</v>
      </c>
      <c r="D85" s="403" t="s">
        <v>1357</v>
      </c>
      <c r="E85" s="403" t="s">
        <v>1356</v>
      </c>
      <c r="F85" s="403" t="s">
        <v>1290</v>
      </c>
      <c r="G85" s="403" t="s">
        <v>1466</v>
      </c>
      <c r="H85" s="403" t="s">
        <v>1281</v>
      </c>
      <c r="I85" s="403">
        <v>1</v>
      </c>
      <c r="J85" s="403" t="s">
        <v>1289</v>
      </c>
      <c r="K85" s="403">
        <v>1280</v>
      </c>
      <c r="L85" s="403">
        <v>720</v>
      </c>
      <c r="M85" s="403" t="s">
        <v>111</v>
      </c>
      <c r="N85" s="403">
        <v>768</v>
      </c>
      <c r="O85" s="403">
        <v>432</v>
      </c>
      <c r="P85" t="str">
        <f t="shared" si="9"/>
        <v>50fps 720p full frame rate - SD</v>
      </c>
      <c r="Q85">
        <f t="shared" si="10"/>
        <v>2</v>
      </c>
      <c r="R85" t="str">
        <f t="shared" si="11"/>
        <v/>
      </c>
      <c r="S85" t="str">
        <f t="shared" si="12"/>
        <v/>
      </c>
      <c r="T85" s="403" t="str">
        <f t="shared" si="13"/>
        <v>MIC-7502-Z30x</v>
      </c>
      <c r="U85" s="403">
        <f t="shared" si="14"/>
        <v>1</v>
      </c>
      <c r="V85" s="403" t="str">
        <f t="shared" si="15"/>
        <v>CPP_7_3</v>
      </c>
    </row>
    <row r="86" spans="1:22">
      <c r="A86" t="str">
        <f t="shared" si="8"/>
        <v>MIC-7502-Z30x</v>
      </c>
      <c r="B86" s="403" t="s">
        <v>1356</v>
      </c>
      <c r="C86" s="403" t="s">
        <v>582</v>
      </c>
      <c r="D86" s="403" t="s">
        <v>1357</v>
      </c>
      <c r="E86" s="403" t="s">
        <v>1356</v>
      </c>
      <c r="F86" s="403" t="s">
        <v>1290</v>
      </c>
      <c r="G86" s="403" t="s">
        <v>1466</v>
      </c>
      <c r="H86" s="403" t="s">
        <v>1281</v>
      </c>
      <c r="I86" s="403">
        <v>1</v>
      </c>
      <c r="J86" s="403" t="s">
        <v>1289</v>
      </c>
      <c r="K86" s="403">
        <v>1280</v>
      </c>
      <c r="L86" s="403">
        <v>720</v>
      </c>
      <c r="M86" s="403" t="s">
        <v>1283</v>
      </c>
      <c r="N86" s="403">
        <v>720</v>
      </c>
      <c r="O86" s="403">
        <v>576</v>
      </c>
      <c r="P86" t="str">
        <f t="shared" si="9"/>
        <v>50fps 720p full frame rate - SD 4CIF resolution 4:3 format (cropped)</v>
      </c>
      <c r="Q86">
        <f t="shared" si="10"/>
        <v>2</v>
      </c>
      <c r="R86" t="str">
        <f t="shared" si="11"/>
        <v/>
      </c>
      <c r="S86" t="str">
        <f t="shared" si="12"/>
        <v/>
      </c>
      <c r="T86" s="403" t="str">
        <f t="shared" si="13"/>
        <v>MIC-7502-Z30x</v>
      </c>
      <c r="U86" s="403">
        <f t="shared" si="14"/>
        <v>1</v>
      </c>
      <c r="V86" s="403" t="str">
        <f t="shared" si="15"/>
        <v>CPP_7_3</v>
      </c>
    </row>
    <row r="87" spans="1:22">
      <c r="A87" t="str">
        <f t="shared" si="8"/>
        <v>MIC-7502-Z30x</v>
      </c>
      <c r="B87" s="403" t="s">
        <v>1356</v>
      </c>
      <c r="C87" s="403" t="s">
        <v>582</v>
      </c>
      <c r="D87" s="403" t="s">
        <v>1357</v>
      </c>
      <c r="E87" s="403" t="s">
        <v>1356</v>
      </c>
      <c r="F87" s="403" t="s">
        <v>1290</v>
      </c>
      <c r="G87" s="403" t="s">
        <v>1466</v>
      </c>
      <c r="H87" s="403" t="s">
        <v>1281</v>
      </c>
      <c r="I87" s="403">
        <v>1</v>
      </c>
      <c r="J87" s="403" t="s">
        <v>1289</v>
      </c>
      <c r="K87" s="403">
        <v>1280</v>
      </c>
      <c r="L87" s="403">
        <v>720</v>
      </c>
      <c r="M87" s="403" t="s">
        <v>1284</v>
      </c>
      <c r="N87" s="403">
        <v>640</v>
      </c>
      <c r="O87" s="403">
        <v>480</v>
      </c>
      <c r="P87" t="str">
        <f t="shared" si="9"/>
        <v>50fps 720p full frame rate - SD VGA (cropped)</v>
      </c>
      <c r="Q87">
        <f t="shared" si="10"/>
        <v>2</v>
      </c>
      <c r="R87" t="str">
        <f t="shared" si="11"/>
        <v/>
      </c>
      <c r="S87" t="str">
        <f t="shared" si="12"/>
        <v/>
      </c>
      <c r="T87" s="403" t="str">
        <f t="shared" si="13"/>
        <v>MIC-7502-Z30x</v>
      </c>
      <c r="U87" s="403">
        <f t="shared" si="14"/>
        <v>1</v>
      </c>
      <c r="V87" s="403" t="str">
        <f t="shared" si="15"/>
        <v>CPP_7_3</v>
      </c>
    </row>
    <row r="88" spans="1:22">
      <c r="A88" t="str">
        <f t="shared" si="8"/>
        <v>MIC-7502-Z30x</v>
      </c>
      <c r="B88" s="403" t="s">
        <v>1356</v>
      </c>
      <c r="C88" s="403" t="s">
        <v>582</v>
      </c>
      <c r="D88" s="403" t="s">
        <v>1357</v>
      </c>
      <c r="E88" s="403" t="s">
        <v>1356</v>
      </c>
      <c r="F88" s="403" t="s">
        <v>1290</v>
      </c>
      <c r="G88" s="403" t="s">
        <v>1466</v>
      </c>
      <c r="H88" s="403" t="s">
        <v>1282</v>
      </c>
      <c r="I88" s="403">
        <v>1</v>
      </c>
      <c r="J88" s="403" t="s">
        <v>110</v>
      </c>
      <c r="K88" s="403">
        <v>1920</v>
      </c>
      <c r="L88" s="403">
        <v>1080</v>
      </c>
      <c r="M88" s="403" t="s">
        <v>111</v>
      </c>
      <c r="N88" s="403">
        <v>768</v>
      </c>
      <c r="O88" s="403">
        <v>432</v>
      </c>
      <c r="P88" t="str">
        <f t="shared" si="9"/>
        <v>50fps 1080p - SD</v>
      </c>
      <c r="Q88">
        <f t="shared" si="10"/>
        <v>2</v>
      </c>
      <c r="R88" t="str">
        <f t="shared" si="11"/>
        <v/>
      </c>
      <c r="S88" t="str">
        <f t="shared" si="12"/>
        <v/>
      </c>
      <c r="T88" s="403" t="str">
        <f t="shared" si="13"/>
        <v>MIC-7502-Z30x</v>
      </c>
      <c r="U88" s="403">
        <f t="shared" si="14"/>
        <v>1</v>
      </c>
      <c r="V88" s="403" t="str">
        <f t="shared" si="15"/>
        <v>CPP_7_3</v>
      </c>
    </row>
    <row r="89" spans="1:22">
      <c r="A89" t="str">
        <f t="shared" si="8"/>
        <v>MIC-7502-Z30x</v>
      </c>
      <c r="B89" s="403" t="s">
        <v>1356</v>
      </c>
      <c r="C89" s="403" t="s">
        <v>582</v>
      </c>
      <c r="D89" s="403" t="s">
        <v>1357</v>
      </c>
      <c r="E89" s="403" t="s">
        <v>1356</v>
      </c>
      <c r="F89" s="403" t="s">
        <v>1290</v>
      </c>
      <c r="G89" s="403" t="s">
        <v>1466</v>
      </c>
      <c r="H89" s="403" t="s">
        <v>1282</v>
      </c>
      <c r="I89" s="403">
        <v>1</v>
      </c>
      <c r="J89" s="403" t="s">
        <v>110</v>
      </c>
      <c r="K89" s="403">
        <v>1920</v>
      </c>
      <c r="L89" s="403">
        <v>1080</v>
      </c>
      <c r="M89" s="403" t="s">
        <v>110</v>
      </c>
      <c r="N89" s="403">
        <v>1920</v>
      </c>
      <c r="O89" s="403">
        <v>1080</v>
      </c>
      <c r="P89" t="str">
        <f t="shared" si="9"/>
        <v>50fps 1080p - 1080p</v>
      </c>
      <c r="Q89">
        <f t="shared" si="10"/>
        <v>2</v>
      </c>
      <c r="R89" t="str">
        <f t="shared" si="11"/>
        <v/>
      </c>
      <c r="S89" t="str">
        <f t="shared" si="12"/>
        <v/>
      </c>
      <c r="T89" s="403" t="str">
        <f t="shared" si="13"/>
        <v>MIC-7502-Z30x</v>
      </c>
      <c r="U89" s="403">
        <f t="shared" si="14"/>
        <v>1</v>
      </c>
      <c r="V89" s="403" t="str">
        <f t="shared" si="15"/>
        <v>CPP_7_3</v>
      </c>
    </row>
    <row r="90" spans="1:22">
      <c r="A90" t="str">
        <f t="shared" si="8"/>
        <v>MIC-7502-Z30x</v>
      </c>
      <c r="B90" s="403" t="s">
        <v>1356</v>
      </c>
      <c r="C90" s="403" t="s">
        <v>582</v>
      </c>
      <c r="D90" s="403" t="s">
        <v>1357</v>
      </c>
      <c r="E90" s="403" t="s">
        <v>1356</v>
      </c>
      <c r="F90" s="403" t="s">
        <v>1290</v>
      </c>
      <c r="G90" s="403" t="s">
        <v>1466</v>
      </c>
      <c r="H90" s="403" t="s">
        <v>1282</v>
      </c>
      <c r="I90" s="403">
        <v>1</v>
      </c>
      <c r="J90" s="403" t="s">
        <v>110</v>
      </c>
      <c r="K90" s="403">
        <v>1920</v>
      </c>
      <c r="L90" s="403">
        <v>1080</v>
      </c>
      <c r="M90" s="403" t="s">
        <v>1289</v>
      </c>
      <c r="N90" s="403">
        <v>1280</v>
      </c>
      <c r="O90" s="403">
        <v>720</v>
      </c>
      <c r="P90" t="str">
        <f t="shared" si="9"/>
        <v>50fps 1080p - 720p full frame rate</v>
      </c>
      <c r="Q90">
        <f t="shared" si="10"/>
        <v>2</v>
      </c>
      <c r="R90" t="str">
        <f t="shared" si="11"/>
        <v/>
      </c>
      <c r="S90" t="str">
        <f t="shared" si="12"/>
        <v/>
      </c>
      <c r="T90" s="403" t="str">
        <f t="shared" si="13"/>
        <v>MIC-7502-Z30x</v>
      </c>
      <c r="U90" s="403">
        <f t="shared" si="14"/>
        <v>1</v>
      </c>
      <c r="V90" s="403" t="str">
        <f t="shared" si="15"/>
        <v>CPP_7_3</v>
      </c>
    </row>
    <row r="91" spans="1:22">
      <c r="A91" t="str">
        <f t="shared" si="8"/>
        <v>MIC-7502-Z30x</v>
      </c>
      <c r="B91" s="403" t="s">
        <v>1356</v>
      </c>
      <c r="C91" s="403" t="s">
        <v>582</v>
      </c>
      <c r="D91" s="403" t="s">
        <v>1357</v>
      </c>
      <c r="E91" s="403" t="s">
        <v>1356</v>
      </c>
      <c r="F91" s="403" t="s">
        <v>1290</v>
      </c>
      <c r="G91" s="403" t="s">
        <v>1466</v>
      </c>
      <c r="H91" s="403" t="s">
        <v>1282</v>
      </c>
      <c r="I91" s="403">
        <v>1</v>
      </c>
      <c r="J91" s="403" t="s">
        <v>110</v>
      </c>
      <c r="K91" s="403">
        <v>1920</v>
      </c>
      <c r="L91" s="403">
        <v>1080</v>
      </c>
      <c r="M91" s="403" t="s">
        <v>1285</v>
      </c>
      <c r="N91" s="403">
        <v>1280</v>
      </c>
      <c r="O91" s="403">
        <v>1024</v>
      </c>
      <c r="P91" t="str">
        <f t="shared" si="9"/>
        <v>50fps 1080p - 1280x1024 5:4 (cropped)</v>
      </c>
      <c r="Q91">
        <f t="shared" si="10"/>
        <v>2</v>
      </c>
      <c r="R91" t="str">
        <f t="shared" si="11"/>
        <v/>
      </c>
      <c r="S91" t="str">
        <f t="shared" si="12"/>
        <v/>
      </c>
      <c r="T91" s="403" t="str">
        <f t="shared" si="13"/>
        <v>MIC-7502-Z30x</v>
      </c>
      <c r="U91" s="403">
        <f t="shared" si="14"/>
        <v>1</v>
      </c>
      <c r="V91" s="403" t="str">
        <f t="shared" si="15"/>
        <v>CPP_7_3</v>
      </c>
    </row>
    <row r="92" spans="1:22">
      <c r="A92" t="str">
        <f t="shared" si="8"/>
        <v>MIC-7502-Z30x</v>
      </c>
      <c r="B92" s="403" t="s">
        <v>1356</v>
      </c>
      <c r="C92" s="403" t="s">
        <v>582</v>
      </c>
      <c r="D92" s="403" t="s">
        <v>1357</v>
      </c>
      <c r="E92" s="403" t="s">
        <v>1356</v>
      </c>
      <c r="F92" s="403" t="s">
        <v>1290</v>
      </c>
      <c r="G92" s="403" t="s">
        <v>1466</v>
      </c>
      <c r="H92" s="403" t="s">
        <v>1282</v>
      </c>
      <c r="I92" s="403">
        <v>1</v>
      </c>
      <c r="J92" s="403" t="s">
        <v>110</v>
      </c>
      <c r="K92" s="403">
        <v>1920</v>
      </c>
      <c r="L92" s="403">
        <v>1080</v>
      </c>
      <c r="M92" s="403" t="s">
        <v>1283</v>
      </c>
      <c r="N92" s="403">
        <v>720</v>
      </c>
      <c r="O92" s="403">
        <v>576</v>
      </c>
      <c r="P92" t="str">
        <f t="shared" si="9"/>
        <v>50fps 1080p - SD 4CIF resolution 4:3 format (cropped)</v>
      </c>
      <c r="Q92">
        <f t="shared" si="10"/>
        <v>2</v>
      </c>
      <c r="R92" t="str">
        <f t="shared" si="11"/>
        <v/>
      </c>
      <c r="S92" t="str">
        <f t="shared" si="12"/>
        <v/>
      </c>
      <c r="T92" s="403" t="str">
        <f t="shared" si="13"/>
        <v>MIC-7502-Z30x</v>
      </c>
      <c r="U92" s="403">
        <f t="shared" si="14"/>
        <v>1</v>
      </c>
      <c r="V92" s="403" t="str">
        <f t="shared" si="15"/>
        <v>CPP_7_3</v>
      </c>
    </row>
    <row r="93" spans="1:22">
      <c r="A93" t="str">
        <f t="shared" si="8"/>
        <v>MIC-7502-Z30x</v>
      </c>
      <c r="B93" s="403" t="s">
        <v>1356</v>
      </c>
      <c r="C93" s="403" t="s">
        <v>582</v>
      </c>
      <c r="D93" s="403" t="s">
        <v>1357</v>
      </c>
      <c r="E93" s="403" t="s">
        <v>1356</v>
      </c>
      <c r="F93" s="403" t="s">
        <v>1290</v>
      </c>
      <c r="G93" s="403" t="s">
        <v>1466</v>
      </c>
      <c r="H93" s="403" t="s">
        <v>1282</v>
      </c>
      <c r="I93" s="403">
        <v>1</v>
      </c>
      <c r="J93" s="403" t="s">
        <v>110</v>
      </c>
      <c r="K93" s="403">
        <v>1920</v>
      </c>
      <c r="L93" s="403">
        <v>1080</v>
      </c>
      <c r="M93" s="403" t="s">
        <v>1284</v>
      </c>
      <c r="N93" s="403">
        <v>640</v>
      </c>
      <c r="O93" s="403">
        <v>480</v>
      </c>
      <c r="P93" t="str">
        <f t="shared" si="9"/>
        <v>50fps 1080p - SD VGA (cropped)</v>
      </c>
      <c r="Q93">
        <f t="shared" si="10"/>
        <v>2</v>
      </c>
      <c r="R93" t="str">
        <f t="shared" si="11"/>
        <v/>
      </c>
      <c r="S93" t="str">
        <f t="shared" si="12"/>
        <v/>
      </c>
      <c r="T93" s="403" t="str">
        <f t="shared" si="13"/>
        <v>MIC-7502-Z30x</v>
      </c>
      <c r="U93" s="403">
        <f t="shared" si="14"/>
        <v>1</v>
      </c>
      <c r="V93" s="403" t="str">
        <f t="shared" si="15"/>
        <v>CPP_7_3</v>
      </c>
    </row>
    <row r="94" spans="1:22">
      <c r="A94" t="str">
        <f t="shared" si="8"/>
        <v>MIC-7502-Z30x</v>
      </c>
      <c r="B94" s="403" t="s">
        <v>1356</v>
      </c>
      <c r="C94" s="403" t="s">
        <v>582</v>
      </c>
      <c r="D94" s="403" t="s">
        <v>1357</v>
      </c>
      <c r="E94" s="403" t="s">
        <v>1356</v>
      </c>
      <c r="F94" s="403" t="s">
        <v>1290</v>
      </c>
      <c r="G94" s="403" t="s">
        <v>1466</v>
      </c>
      <c r="H94" s="403" t="s">
        <v>1282</v>
      </c>
      <c r="I94" s="403">
        <v>1</v>
      </c>
      <c r="J94" s="403" t="s">
        <v>1289</v>
      </c>
      <c r="K94" s="403">
        <v>1280</v>
      </c>
      <c r="L94" s="403">
        <v>720</v>
      </c>
      <c r="M94" s="403" t="s">
        <v>1289</v>
      </c>
      <c r="N94" s="403">
        <v>1280</v>
      </c>
      <c r="O94" s="403">
        <v>720</v>
      </c>
      <c r="P94" t="str">
        <f t="shared" si="9"/>
        <v>50fps 720p full frame rate - 720p full frame rate</v>
      </c>
      <c r="Q94">
        <f t="shared" si="10"/>
        <v>2</v>
      </c>
      <c r="R94" t="str">
        <f t="shared" si="11"/>
        <v/>
      </c>
      <c r="S94" t="str">
        <f t="shared" si="12"/>
        <v/>
      </c>
      <c r="T94" s="403" t="str">
        <f t="shared" si="13"/>
        <v>MIC-7502-Z30x</v>
      </c>
      <c r="U94" s="403">
        <f t="shared" si="14"/>
        <v>1</v>
      </c>
      <c r="V94" s="403" t="str">
        <f t="shared" si="15"/>
        <v>CPP_7_3</v>
      </c>
    </row>
    <row r="95" spans="1:22">
      <c r="A95" t="str">
        <f t="shared" si="8"/>
        <v>MIC-7502-Z30x</v>
      </c>
      <c r="B95" s="403" t="s">
        <v>1356</v>
      </c>
      <c r="C95" s="403" t="s">
        <v>582</v>
      </c>
      <c r="D95" s="403" t="s">
        <v>1357</v>
      </c>
      <c r="E95" s="403" t="s">
        <v>1356</v>
      </c>
      <c r="F95" s="403" t="s">
        <v>1290</v>
      </c>
      <c r="G95" s="403" t="s">
        <v>1466</v>
      </c>
      <c r="H95" s="403" t="s">
        <v>1282</v>
      </c>
      <c r="I95" s="403">
        <v>1</v>
      </c>
      <c r="J95" s="403" t="s">
        <v>1289</v>
      </c>
      <c r="K95" s="403">
        <v>1280</v>
      </c>
      <c r="L95" s="403">
        <v>720</v>
      </c>
      <c r="M95" s="403" t="s">
        <v>111</v>
      </c>
      <c r="N95" s="403">
        <v>768</v>
      </c>
      <c r="O95" s="403">
        <v>432</v>
      </c>
      <c r="P95" t="str">
        <f t="shared" si="9"/>
        <v>50fps 720p full frame rate - SD</v>
      </c>
      <c r="Q95">
        <f t="shared" si="10"/>
        <v>2</v>
      </c>
      <c r="R95" t="str">
        <f t="shared" si="11"/>
        <v/>
      </c>
      <c r="S95" t="str">
        <f t="shared" si="12"/>
        <v/>
      </c>
      <c r="T95" s="403" t="str">
        <f t="shared" si="13"/>
        <v>MIC-7502-Z30x</v>
      </c>
      <c r="U95" s="403">
        <f t="shared" si="14"/>
        <v>1</v>
      </c>
      <c r="V95" s="403" t="str">
        <f t="shared" si="15"/>
        <v>CPP_7_3</v>
      </c>
    </row>
    <row r="96" spans="1:22">
      <c r="A96" t="str">
        <f t="shared" si="8"/>
        <v>MIC-7502-Z30x</v>
      </c>
      <c r="B96" s="403" t="s">
        <v>1356</v>
      </c>
      <c r="C96" s="403" t="s">
        <v>582</v>
      </c>
      <c r="D96" s="403" t="s">
        <v>1357</v>
      </c>
      <c r="E96" s="403" t="s">
        <v>1356</v>
      </c>
      <c r="F96" s="403" t="s">
        <v>1290</v>
      </c>
      <c r="G96" s="403" t="s">
        <v>1466</v>
      </c>
      <c r="H96" s="403" t="s">
        <v>1282</v>
      </c>
      <c r="I96" s="403">
        <v>1</v>
      </c>
      <c r="J96" s="403" t="s">
        <v>1289</v>
      </c>
      <c r="K96" s="403">
        <v>1280</v>
      </c>
      <c r="L96" s="403">
        <v>720</v>
      </c>
      <c r="M96" s="403" t="s">
        <v>1283</v>
      </c>
      <c r="N96" s="403">
        <v>720</v>
      </c>
      <c r="O96" s="403">
        <v>576</v>
      </c>
      <c r="P96" t="str">
        <f t="shared" si="9"/>
        <v>50fps 720p full frame rate - SD 4CIF resolution 4:3 format (cropped)</v>
      </c>
      <c r="Q96">
        <f t="shared" si="10"/>
        <v>2</v>
      </c>
      <c r="R96" t="str">
        <f t="shared" si="11"/>
        <v/>
      </c>
      <c r="S96" t="str">
        <f t="shared" si="12"/>
        <v/>
      </c>
      <c r="T96" s="403" t="str">
        <f t="shared" si="13"/>
        <v>MIC-7502-Z30x</v>
      </c>
      <c r="U96" s="403">
        <f t="shared" si="14"/>
        <v>1</v>
      </c>
      <c r="V96" s="403" t="str">
        <f t="shared" si="15"/>
        <v>CPP_7_3</v>
      </c>
    </row>
    <row r="97" spans="1:22">
      <c r="A97" t="str">
        <f t="shared" si="8"/>
        <v>MIC-7502-Z30x</v>
      </c>
      <c r="B97" s="403" t="s">
        <v>1356</v>
      </c>
      <c r="C97" s="403" t="s">
        <v>582</v>
      </c>
      <c r="D97" s="403" t="s">
        <v>1357</v>
      </c>
      <c r="E97" s="403" t="s">
        <v>1356</v>
      </c>
      <c r="F97" s="403" t="s">
        <v>1290</v>
      </c>
      <c r="G97" s="403" t="s">
        <v>1466</v>
      </c>
      <c r="H97" s="403" t="s">
        <v>1282</v>
      </c>
      <c r="I97" s="403">
        <v>1</v>
      </c>
      <c r="J97" s="403" t="s">
        <v>1289</v>
      </c>
      <c r="K97" s="403">
        <v>1280</v>
      </c>
      <c r="L97" s="403">
        <v>720</v>
      </c>
      <c r="M97" s="403" t="s">
        <v>1284</v>
      </c>
      <c r="N97" s="403">
        <v>640</v>
      </c>
      <c r="O97" s="403">
        <v>480</v>
      </c>
      <c r="P97" t="str">
        <f t="shared" si="9"/>
        <v>50fps 720p full frame rate - SD VGA (cropped)</v>
      </c>
      <c r="Q97">
        <f t="shared" si="10"/>
        <v>2</v>
      </c>
      <c r="R97" t="str">
        <f t="shared" si="11"/>
        <v/>
      </c>
      <c r="S97" t="str">
        <f t="shared" si="12"/>
        <v/>
      </c>
      <c r="T97" s="403" t="str">
        <f t="shared" si="13"/>
        <v>MIC-7502-Z30x</v>
      </c>
      <c r="U97" s="403">
        <f t="shared" si="14"/>
        <v>1</v>
      </c>
      <c r="V97" s="403" t="str">
        <f t="shared" si="15"/>
        <v>CPP_7_3</v>
      </c>
    </row>
    <row r="98" spans="1:22">
      <c r="A98" t="str">
        <f t="shared" si="8"/>
        <v>MIC-7502-Z30x</v>
      </c>
      <c r="B98" s="403" t="s">
        <v>1356</v>
      </c>
      <c r="C98" s="403" t="s">
        <v>582</v>
      </c>
      <c r="D98" s="403" t="s">
        <v>1357</v>
      </c>
      <c r="E98" s="403" t="s">
        <v>1356</v>
      </c>
      <c r="F98" s="403" t="s">
        <v>1288</v>
      </c>
      <c r="G98" s="403" t="s">
        <v>1466</v>
      </c>
      <c r="H98" s="403" t="s">
        <v>1276</v>
      </c>
      <c r="I98" s="403">
        <v>1</v>
      </c>
      <c r="J98" s="403" t="s">
        <v>110</v>
      </c>
      <c r="K98" s="403">
        <v>1920</v>
      </c>
      <c r="L98" s="403">
        <v>1080</v>
      </c>
      <c r="M98" s="403" t="s">
        <v>111</v>
      </c>
      <c r="N98" s="403">
        <v>768</v>
      </c>
      <c r="O98" s="403">
        <v>432</v>
      </c>
      <c r="P98" t="str">
        <f t="shared" si="9"/>
        <v>60fps 1080p - SD</v>
      </c>
      <c r="Q98">
        <f t="shared" si="10"/>
        <v>2</v>
      </c>
      <c r="R98" t="str">
        <f t="shared" si="11"/>
        <v/>
      </c>
      <c r="S98" t="str">
        <f t="shared" si="12"/>
        <v/>
      </c>
      <c r="T98" s="403" t="str">
        <f t="shared" si="13"/>
        <v>MIC-7502-Z30x</v>
      </c>
      <c r="U98" s="403">
        <f t="shared" si="14"/>
        <v>1</v>
      </c>
      <c r="V98" s="403" t="str">
        <f t="shared" si="15"/>
        <v>CPP_7_3</v>
      </c>
    </row>
    <row r="99" spans="1:22">
      <c r="A99" t="str">
        <f t="shared" si="8"/>
        <v>MIC-7502-Z30x</v>
      </c>
      <c r="B99" s="403" t="s">
        <v>1356</v>
      </c>
      <c r="C99" s="403" t="s">
        <v>582</v>
      </c>
      <c r="D99" s="403" t="s">
        <v>1357</v>
      </c>
      <c r="E99" s="403" t="s">
        <v>1356</v>
      </c>
      <c r="F99" s="403" t="s">
        <v>1288</v>
      </c>
      <c r="G99" s="403" t="s">
        <v>1466</v>
      </c>
      <c r="H99" s="403" t="s">
        <v>1276</v>
      </c>
      <c r="I99" s="403">
        <v>1</v>
      </c>
      <c r="J99" s="403" t="s">
        <v>110</v>
      </c>
      <c r="K99" s="403">
        <v>1920</v>
      </c>
      <c r="L99" s="403">
        <v>1080</v>
      </c>
      <c r="M99" s="403" t="s">
        <v>110</v>
      </c>
      <c r="N99" s="403">
        <v>1920</v>
      </c>
      <c r="O99" s="403">
        <v>1080</v>
      </c>
      <c r="P99" t="str">
        <f t="shared" si="9"/>
        <v>60fps 1080p - 1080p</v>
      </c>
      <c r="Q99">
        <f t="shared" si="10"/>
        <v>2</v>
      </c>
      <c r="R99" t="str">
        <f t="shared" si="11"/>
        <v/>
      </c>
      <c r="S99" t="str">
        <f t="shared" si="12"/>
        <v/>
      </c>
      <c r="T99" s="403" t="str">
        <f t="shared" si="13"/>
        <v>MIC-7502-Z30x</v>
      </c>
      <c r="U99" s="403">
        <f t="shared" si="14"/>
        <v>1</v>
      </c>
      <c r="V99" s="403" t="str">
        <f t="shared" si="15"/>
        <v>CPP_7_3</v>
      </c>
    </row>
    <row r="100" spans="1:22">
      <c r="A100" t="str">
        <f t="shared" si="8"/>
        <v>MIC-7502-Z30x</v>
      </c>
      <c r="B100" s="403" t="s">
        <v>1356</v>
      </c>
      <c r="C100" s="403" t="s">
        <v>582</v>
      </c>
      <c r="D100" s="403" t="s">
        <v>1357</v>
      </c>
      <c r="E100" s="403" t="s">
        <v>1356</v>
      </c>
      <c r="F100" s="403" t="s">
        <v>1288</v>
      </c>
      <c r="G100" s="403" t="s">
        <v>1466</v>
      </c>
      <c r="H100" s="403" t="s">
        <v>1276</v>
      </c>
      <c r="I100" s="403">
        <v>1</v>
      </c>
      <c r="J100" s="403" t="s">
        <v>110</v>
      </c>
      <c r="K100" s="403">
        <v>1920</v>
      </c>
      <c r="L100" s="403">
        <v>1080</v>
      </c>
      <c r="M100" s="403" t="s">
        <v>1289</v>
      </c>
      <c r="N100" s="403">
        <v>1280</v>
      </c>
      <c r="O100" s="403">
        <v>720</v>
      </c>
      <c r="P100" t="str">
        <f t="shared" si="9"/>
        <v>60fps 1080p - 720p full frame rate</v>
      </c>
      <c r="Q100">
        <f t="shared" si="10"/>
        <v>2</v>
      </c>
      <c r="R100" t="str">
        <f t="shared" si="11"/>
        <v/>
      </c>
      <c r="S100" t="str">
        <f t="shared" si="12"/>
        <v/>
      </c>
      <c r="T100" s="403" t="str">
        <f t="shared" si="13"/>
        <v>MIC-7502-Z30x</v>
      </c>
      <c r="U100" s="403">
        <f t="shared" si="14"/>
        <v>1</v>
      </c>
      <c r="V100" s="403" t="str">
        <f t="shared" si="15"/>
        <v>CPP_7_3</v>
      </c>
    </row>
    <row r="101" spans="1:22">
      <c r="A101" t="str">
        <f t="shared" si="8"/>
        <v>MIC-7502-Z30x</v>
      </c>
      <c r="B101" s="403" t="s">
        <v>1356</v>
      </c>
      <c r="C101" s="403" t="s">
        <v>582</v>
      </c>
      <c r="D101" s="403" t="s">
        <v>1357</v>
      </c>
      <c r="E101" s="403" t="s">
        <v>1356</v>
      </c>
      <c r="F101" s="403" t="s">
        <v>1288</v>
      </c>
      <c r="G101" s="403" t="s">
        <v>1466</v>
      </c>
      <c r="H101" s="403" t="s">
        <v>1276</v>
      </c>
      <c r="I101" s="403">
        <v>1</v>
      </c>
      <c r="J101" s="403" t="s">
        <v>110</v>
      </c>
      <c r="K101" s="403">
        <v>1920</v>
      </c>
      <c r="L101" s="403">
        <v>1080</v>
      </c>
      <c r="M101" s="403" t="s">
        <v>1285</v>
      </c>
      <c r="N101" s="403">
        <v>1280</v>
      </c>
      <c r="O101" s="403">
        <v>1024</v>
      </c>
      <c r="P101" t="str">
        <f t="shared" si="9"/>
        <v>60fps 1080p - 1280x1024 5:4 (cropped)</v>
      </c>
      <c r="Q101">
        <f t="shared" si="10"/>
        <v>2</v>
      </c>
      <c r="R101" t="str">
        <f t="shared" si="11"/>
        <v/>
      </c>
      <c r="S101" t="str">
        <f t="shared" si="12"/>
        <v/>
      </c>
      <c r="T101" s="403" t="str">
        <f t="shared" si="13"/>
        <v>MIC-7502-Z30x</v>
      </c>
      <c r="U101" s="403">
        <f t="shared" si="14"/>
        <v>1</v>
      </c>
      <c r="V101" s="403" t="str">
        <f t="shared" si="15"/>
        <v>CPP_7_3</v>
      </c>
    </row>
    <row r="102" spans="1:22">
      <c r="A102" t="str">
        <f t="shared" si="8"/>
        <v>MIC-7502-Z30x</v>
      </c>
      <c r="B102" s="403" t="s">
        <v>1356</v>
      </c>
      <c r="C102" s="403" t="s">
        <v>582</v>
      </c>
      <c r="D102" s="403" t="s">
        <v>1357</v>
      </c>
      <c r="E102" s="403" t="s">
        <v>1356</v>
      </c>
      <c r="F102" s="403" t="s">
        <v>1288</v>
      </c>
      <c r="G102" s="403" t="s">
        <v>1466</v>
      </c>
      <c r="H102" s="403" t="s">
        <v>1276</v>
      </c>
      <c r="I102" s="403">
        <v>1</v>
      </c>
      <c r="J102" s="403" t="s">
        <v>110</v>
      </c>
      <c r="K102" s="403">
        <v>1920</v>
      </c>
      <c r="L102" s="403">
        <v>1080</v>
      </c>
      <c r="M102" s="403" t="s">
        <v>1283</v>
      </c>
      <c r="N102" s="403">
        <v>720</v>
      </c>
      <c r="O102" s="403">
        <v>480</v>
      </c>
      <c r="P102" t="str">
        <f t="shared" si="9"/>
        <v>60fps 1080p - SD 4CIF resolution 4:3 format (cropped)</v>
      </c>
      <c r="Q102">
        <f t="shared" si="10"/>
        <v>2</v>
      </c>
      <c r="R102" t="str">
        <f t="shared" si="11"/>
        <v/>
      </c>
      <c r="S102" t="str">
        <f t="shared" si="12"/>
        <v/>
      </c>
      <c r="T102" s="403" t="str">
        <f t="shared" si="13"/>
        <v>MIC-7502-Z30x</v>
      </c>
      <c r="U102" s="403">
        <f t="shared" si="14"/>
        <v>1</v>
      </c>
      <c r="V102" s="403" t="str">
        <f t="shared" si="15"/>
        <v>CPP_7_3</v>
      </c>
    </row>
    <row r="103" spans="1:22">
      <c r="A103" t="str">
        <f t="shared" si="8"/>
        <v>MIC-7502-Z30x</v>
      </c>
      <c r="B103" s="403" t="s">
        <v>1356</v>
      </c>
      <c r="C103" s="403" t="s">
        <v>582</v>
      </c>
      <c r="D103" s="403" t="s">
        <v>1357</v>
      </c>
      <c r="E103" s="403" t="s">
        <v>1356</v>
      </c>
      <c r="F103" s="403" t="s">
        <v>1288</v>
      </c>
      <c r="G103" s="403" t="s">
        <v>1466</v>
      </c>
      <c r="H103" s="403" t="s">
        <v>1276</v>
      </c>
      <c r="I103" s="403">
        <v>1</v>
      </c>
      <c r="J103" s="403" t="s">
        <v>110</v>
      </c>
      <c r="K103" s="403">
        <v>1920</v>
      </c>
      <c r="L103" s="403">
        <v>1080</v>
      </c>
      <c r="M103" s="403" t="s">
        <v>1284</v>
      </c>
      <c r="N103" s="403">
        <v>640</v>
      </c>
      <c r="O103" s="403">
        <v>480</v>
      </c>
      <c r="P103" t="str">
        <f t="shared" si="9"/>
        <v>60fps 1080p - SD VGA (cropped)</v>
      </c>
      <c r="Q103">
        <f t="shared" si="10"/>
        <v>2</v>
      </c>
      <c r="R103" t="str">
        <f t="shared" si="11"/>
        <v/>
      </c>
      <c r="S103" t="str">
        <f t="shared" si="12"/>
        <v/>
      </c>
      <c r="T103" s="403" t="str">
        <f t="shared" si="13"/>
        <v>MIC-7502-Z30x</v>
      </c>
      <c r="U103" s="403">
        <f t="shared" si="14"/>
        <v>1</v>
      </c>
      <c r="V103" s="403" t="str">
        <f t="shared" si="15"/>
        <v>CPP_7_3</v>
      </c>
    </row>
    <row r="104" spans="1:22">
      <c r="A104" t="str">
        <f t="shared" si="8"/>
        <v>MIC-7502-Z30x</v>
      </c>
      <c r="B104" s="403" t="s">
        <v>1356</v>
      </c>
      <c r="C104" s="403" t="s">
        <v>582</v>
      </c>
      <c r="D104" s="403" t="s">
        <v>1357</v>
      </c>
      <c r="E104" s="403" t="s">
        <v>1356</v>
      </c>
      <c r="F104" s="403" t="s">
        <v>1288</v>
      </c>
      <c r="G104" s="403" t="s">
        <v>1466</v>
      </c>
      <c r="H104" s="403" t="s">
        <v>1276</v>
      </c>
      <c r="I104" s="403">
        <v>1</v>
      </c>
      <c r="J104" s="403" t="s">
        <v>1289</v>
      </c>
      <c r="K104" s="403">
        <v>1280</v>
      </c>
      <c r="L104" s="403">
        <v>720</v>
      </c>
      <c r="M104" s="403" t="s">
        <v>1289</v>
      </c>
      <c r="N104" s="403">
        <v>1280</v>
      </c>
      <c r="O104" s="403">
        <v>720</v>
      </c>
      <c r="P104" t="str">
        <f t="shared" si="9"/>
        <v>60fps 720p full frame rate - 720p full frame rate</v>
      </c>
      <c r="Q104">
        <f t="shared" si="10"/>
        <v>2</v>
      </c>
      <c r="R104" t="str">
        <f t="shared" si="11"/>
        <v/>
      </c>
      <c r="S104" t="str">
        <f t="shared" si="12"/>
        <v/>
      </c>
      <c r="T104" s="403" t="str">
        <f t="shared" si="13"/>
        <v>MIC-7502-Z30x</v>
      </c>
      <c r="U104" s="403">
        <f t="shared" si="14"/>
        <v>1</v>
      </c>
      <c r="V104" s="403" t="str">
        <f t="shared" si="15"/>
        <v>CPP_7_3</v>
      </c>
    </row>
    <row r="105" spans="1:22">
      <c r="A105" t="str">
        <f t="shared" si="8"/>
        <v>MIC-7502-Z30x</v>
      </c>
      <c r="B105" s="403" t="s">
        <v>1356</v>
      </c>
      <c r="C105" s="403" t="s">
        <v>582</v>
      </c>
      <c r="D105" s="403" t="s">
        <v>1357</v>
      </c>
      <c r="E105" s="403" t="s">
        <v>1356</v>
      </c>
      <c r="F105" s="403" t="s">
        <v>1288</v>
      </c>
      <c r="G105" s="403" t="s">
        <v>1466</v>
      </c>
      <c r="H105" s="403" t="s">
        <v>1276</v>
      </c>
      <c r="I105" s="403">
        <v>1</v>
      </c>
      <c r="J105" s="403" t="s">
        <v>1289</v>
      </c>
      <c r="K105" s="403">
        <v>1280</v>
      </c>
      <c r="L105" s="403">
        <v>720</v>
      </c>
      <c r="M105" s="403" t="s">
        <v>111</v>
      </c>
      <c r="N105" s="403">
        <v>768</v>
      </c>
      <c r="O105" s="403">
        <v>432</v>
      </c>
      <c r="P105" t="str">
        <f t="shared" si="9"/>
        <v>60fps 720p full frame rate - SD</v>
      </c>
      <c r="Q105">
        <f t="shared" si="10"/>
        <v>2</v>
      </c>
      <c r="R105" t="str">
        <f t="shared" si="11"/>
        <v/>
      </c>
      <c r="S105" t="str">
        <f t="shared" si="12"/>
        <v/>
      </c>
      <c r="T105" s="403" t="str">
        <f t="shared" si="13"/>
        <v>MIC-7502-Z30x</v>
      </c>
      <c r="U105" s="403">
        <f t="shared" si="14"/>
        <v>1</v>
      </c>
      <c r="V105" s="403" t="str">
        <f t="shared" si="15"/>
        <v>CPP_7_3</v>
      </c>
    </row>
    <row r="106" spans="1:22">
      <c r="A106" t="str">
        <f t="shared" si="8"/>
        <v>MIC-7502-Z30x</v>
      </c>
      <c r="B106" s="403" t="s">
        <v>1356</v>
      </c>
      <c r="C106" s="403" t="s">
        <v>582</v>
      </c>
      <c r="D106" s="403" t="s">
        <v>1357</v>
      </c>
      <c r="E106" s="403" t="s">
        <v>1356</v>
      </c>
      <c r="F106" s="403" t="s">
        <v>1288</v>
      </c>
      <c r="G106" s="403" t="s">
        <v>1466</v>
      </c>
      <c r="H106" s="403" t="s">
        <v>1276</v>
      </c>
      <c r="I106" s="403">
        <v>1</v>
      </c>
      <c r="J106" s="403" t="s">
        <v>1289</v>
      </c>
      <c r="K106" s="403">
        <v>1280</v>
      </c>
      <c r="L106" s="403">
        <v>720</v>
      </c>
      <c r="M106" s="403" t="s">
        <v>1283</v>
      </c>
      <c r="N106" s="403">
        <v>720</v>
      </c>
      <c r="O106" s="403">
        <v>480</v>
      </c>
      <c r="P106" t="str">
        <f t="shared" si="9"/>
        <v>60fps 720p full frame rate - SD 4CIF resolution 4:3 format (cropped)</v>
      </c>
      <c r="Q106">
        <f t="shared" si="10"/>
        <v>2</v>
      </c>
      <c r="R106" t="str">
        <f t="shared" si="11"/>
        <v/>
      </c>
      <c r="S106" t="str">
        <f t="shared" si="12"/>
        <v/>
      </c>
      <c r="T106" s="403" t="str">
        <f t="shared" si="13"/>
        <v>MIC-7502-Z30x</v>
      </c>
      <c r="U106" s="403">
        <f t="shared" si="14"/>
        <v>1</v>
      </c>
      <c r="V106" s="403" t="str">
        <f t="shared" si="15"/>
        <v>CPP_7_3</v>
      </c>
    </row>
    <row r="107" spans="1:22">
      <c r="A107" t="str">
        <f t="shared" si="8"/>
        <v>MIC-7502-Z30x</v>
      </c>
      <c r="B107" s="403" t="s">
        <v>1356</v>
      </c>
      <c r="C107" s="403" t="s">
        <v>582</v>
      </c>
      <c r="D107" s="403" t="s">
        <v>1357</v>
      </c>
      <c r="E107" s="403" t="s">
        <v>1356</v>
      </c>
      <c r="F107" s="403" t="s">
        <v>1288</v>
      </c>
      <c r="G107" s="403" t="s">
        <v>1466</v>
      </c>
      <c r="H107" s="403" t="s">
        <v>1276</v>
      </c>
      <c r="I107" s="403">
        <v>1</v>
      </c>
      <c r="J107" s="403" t="s">
        <v>1289</v>
      </c>
      <c r="K107" s="403">
        <v>1280</v>
      </c>
      <c r="L107" s="403">
        <v>720</v>
      </c>
      <c r="M107" s="403" t="s">
        <v>1284</v>
      </c>
      <c r="N107" s="403">
        <v>640</v>
      </c>
      <c r="O107" s="403">
        <v>480</v>
      </c>
      <c r="P107" t="str">
        <f t="shared" si="9"/>
        <v>60fps 720p full frame rate - SD VGA (cropped)</v>
      </c>
      <c r="Q107">
        <f t="shared" si="10"/>
        <v>2</v>
      </c>
      <c r="R107" t="str">
        <f t="shared" si="11"/>
        <v/>
      </c>
      <c r="S107" t="str">
        <f t="shared" si="12"/>
        <v/>
      </c>
      <c r="T107" s="403" t="str">
        <f t="shared" si="13"/>
        <v>MIC-7502-Z30x</v>
      </c>
      <c r="U107" s="403">
        <f t="shared" si="14"/>
        <v>1</v>
      </c>
      <c r="V107" s="403" t="str">
        <f t="shared" si="15"/>
        <v>CPP_7_3</v>
      </c>
    </row>
    <row r="108" spans="1:22">
      <c r="A108" t="str">
        <f t="shared" si="8"/>
        <v>MIC-7502-Z30x</v>
      </c>
      <c r="B108" s="403" t="s">
        <v>1356</v>
      </c>
      <c r="C108" s="403" t="s">
        <v>582</v>
      </c>
      <c r="D108" s="403" t="s">
        <v>1357</v>
      </c>
      <c r="E108" s="403" t="s">
        <v>1356</v>
      </c>
      <c r="F108" s="403" t="s">
        <v>1288</v>
      </c>
      <c r="G108" s="403" t="s">
        <v>1466</v>
      </c>
      <c r="H108" s="403" t="s">
        <v>1281</v>
      </c>
      <c r="I108" s="403">
        <v>1</v>
      </c>
      <c r="J108" s="403" t="s">
        <v>110</v>
      </c>
      <c r="K108" s="403">
        <v>1920</v>
      </c>
      <c r="L108" s="403">
        <v>1080</v>
      </c>
      <c r="M108" s="403" t="s">
        <v>111</v>
      </c>
      <c r="N108" s="403">
        <v>768</v>
      </c>
      <c r="O108" s="403">
        <v>432</v>
      </c>
      <c r="P108" t="str">
        <f t="shared" si="9"/>
        <v>60fps 1080p - SD</v>
      </c>
      <c r="Q108">
        <f t="shared" si="10"/>
        <v>2</v>
      </c>
      <c r="R108" t="str">
        <f t="shared" si="11"/>
        <v/>
      </c>
      <c r="S108" t="str">
        <f t="shared" si="12"/>
        <v/>
      </c>
      <c r="T108" s="403" t="str">
        <f t="shared" si="13"/>
        <v>MIC-7502-Z30x</v>
      </c>
      <c r="U108" s="403">
        <f t="shared" si="14"/>
        <v>1</v>
      </c>
      <c r="V108" s="403" t="str">
        <f t="shared" si="15"/>
        <v>CPP_7_3</v>
      </c>
    </row>
    <row r="109" spans="1:22">
      <c r="A109" t="str">
        <f t="shared" si="8"/>
        <v>MIC-7502-Z30x</v>
      </c>
      <c r="B109" s="403" t="s">
        <v>1356</v>
      </c>
      <c r="C109" s="403" t="s">
        <v>582</v>
      </c>
      <c r="D109" s="403" t="s">
        <v>1357</v>
      </c>
      <c r="E109" s="403" t="s">
        <v>1356</v>
      </c>
      <c r="F109" s="403" t="s">
        <v>1288</v>
      </c>
      <c r="G109" s="403" t="s">
        <v>1466</v>
      </c>
      <c r="H109" s="403" t="s">
        <v>1281</v>
      </c>
      <c r="I109" s="403">
        <v>1</v>
      </c>
      <c r="J109" s="403" t="s">
        <v>110</v>
      </c>
      <c r="K109" s="403">
        <v>1920</v>
      </c>
      <c r="L109" s="403">
        <v>1080</v>
      </c>
      <c r="M109" s="403" t="s">
        <v>1283</v>
      </c>
      <c r="N109" s="403">
        <v>720</v>
      </c>
      <c r="O109" s="403">
        <v>480</v>
      </c>
      <c r="P109" t="str">
        <f t="shared" si="9"/>
        <v>60fps 1080p - SD 4CIF resolution 4:3 format (cropped)</v>
      </c>
      <c r="Q109">
        <f t="shared" si="10"/>
        <v>2</v>
      </c>
      <c r="R109" t="str">
        <f t="shared" si="11"/>
        <v/>
      </c>
      <c r="S109" t="str">
        <f t="shared" si="12"/>
        <v/>
      </c>
      <c r="T109" s="403" t="str">
        <f t="shared" si="13"/>
        <v>MIC-7502-Z30x</v>
      </c>
      <c r="U109" s="403">
        <f t="shared" si="14"/>
        <v>1</v>
      </c>
      <c r="V109" s="403" t="str">
        <f t="shared" si="15"/>
        <v>CPP_7_3</v>
      </c>
    </row>
    <row r="110" spans="1:22">
      <c r="A110" t="str">
        <f t="shared" si="8"/>
        <v>MIC-7502-Z30x</v>
      </c>
      <c r="B110" s="403" t="s">
        <v>1356</v>
      </c>
      <c r="C110" s="403" t="s">
        <v>582</v>
      </c>
      <c r="D110" s="403" t="s">
        <v>1357</v>
      </c>
      <c r="E110" s="403" t="s">
        <v>1356</v>
      </c>
      <c r="F110" s="403" t="s">
        <v>1288</v>
      </c>
      <c r="G110" s="403" t="s">
        <v>1466</v>
      </c>
      <c r="H110" s="403" t="s">
        <v>1281</v>
      </c>
      <c r="I110" s="403">
        <v>1</v>
      </c>
      <c r="J110" s="403" t="s">
        <v>110</v>
      </c>
      <c r="K110" s="403">
        <v>1920</v>
      </c>
      <c r="L110" s="403">
        <v>1080</v>
      </c>
      <c r="M110" s="403" t="s">
        <v>1284</v>
      </c>
      <c r="N110" s="403">
        <v>640</v>
      </c>
      <c r="O110" s="403">
        <v>480</v>
      </c>
      <c r="P110" t="str">
        <f t="shared" si="9"/>
        <v>60fps 1080p - SD VGA (cropped)</v>
      </c>
      <c r="Q110">
        <f t="shared" si="10"/>
        <v>2</v>
      </c>
      <c r="R110" t="str">
        <f t="shared" si="11"/>
        <v/>
      </c>
      <c r="S110" t="str">
        <f t="shared" si="12"/>
        <v/>
      </c>
      <c r="T110" s="403" t="str">
        <f t="shared" si="13"/>
        <v>MIC-7502-Z30x</v>
      </c>
      <c r="U110" s="403">
        <f t="shared" si="14"/>
        <v>1</v>
      </c>
      <c r="V110" s="403" t="str">
        <f t="shared" si="15"/>
        <v>CPP_7_3</v>
      </c>
    </row>
    <row r="111" spans="1:22">
      <c r="A111" t="str">
        <f t="shared" si="8"/>
        <v>MIC-7502-Z30x</v>
      </c>
      <c r="B111" s="403" t="s">
        <v>1356</v>
      </c>
      <c r="C111" s="403" t="s">
        <v>582</v>
      </c>
      <c r="D111" s="403" t="s">
        <v>1357</v>
      </c>
      <c r="E111" s="403" t="s">
        <v>1356</v>
      </c>
      <c r="F111" s="403" t="s">
        <v>1288</v>
      </c>
      <c r="G111" s="403" t="s">
        <v>1466</v>
      </c>
      <c r="H111" s="403" t="s">
        <v>1281</v>
      </c>
      <c r="I111" s="403">
        <v>1</v>
      </c>
      <c r="J111" s="403" t="s">
        <v>1289</v>
      </c>
      <c r="K111" s="403">
        <v>1280</v>
      </c>
      <c r="L111" s="403">
        <v>720</v>
      </c>
      <c r="M111" s="403" t="s">
        <v>1289</v>
      </c>
      <c r="N111" s="403">
        <v>1280</v>
      </c>
      <c r="O111" s="403">
        <v>720</v>
      </c>
      <c r="P111" t="str">
        <f t="shared" si="9"/>
        <v>60fps 720p full frame rate - 720p full frame rate</v>
      </c>
      <c r="Q111">
        <f t="shared" si="10"/>
        <v>2</v>
      </c>
      <c r="R111" t="str">
        <f t="shared" si="11"/>
        <v/>
      </c>
      <c r="S111" t="str">
        <f t="shared" si="12"/>
        <v/>
      </c>
      <c r="T111" s="403" t="str">
        <f t="shared" si="13"/>
        <v>MIC-7502-Z30x</v>
      </c>
      <c r="U111" s="403">
        <f t="shared" si="14"/>
        <v>1</v>
      </c>
      <c r="V111" s="403" t="str">
        <f t="shared" si="15"/>
        <v>CPP_7_3</v>
      </c>
    </row>
    <row r="112" spans="1:22">
      <c r="A112" t="str">
        <f t="shared" si="8"/>
        <v>MIC-7502-Z30x</v>
      </c>
      <c r="B112" s="403" t="s">
        <v>1356</v>
      </c>
      <c r="C112" s="403" t="s">
        <v>582</v>
      </c>
      <c r="D112" s="403" t="s">
        <v>1357</v>
      </c>
      <c r="E112" s="403" t="s">
        <v>1356</v>
      </c>
      <c r="F112" s="403" t="s">
        <v>1288</v>
      </c>
      <c r="G112" s="403" t="s">
        <v>1466</v>
      </c>
      <c r="H112" s="403" t="s">
        <v>1281</v>
      </c>
      <c r="I112" s="403">
        <v>1</v>
      </c>
      <c r="J112" s="403" t="s">
        <v>1289</v>
      </c>
      <c r="K112" s="403">
        <v>1280</v>
      </c>
      <c r="L112" s="403">
        <v>720</v>
      </c>
      <c r="M112" s="403" t="s">
        <v>111</v>
      </c>
      <c r="N112" s="403">
        <v>768</v>
      </c>
      <c r="O112" s="403">
        <v>432</v>
      </c>
      <c r="P112" t="str">
        <f t="shared" si="9"/>
        <v>60fps 720p full frame rate - SD</v>
      </c>
      <c r="Q112">
        <f t="shared" si="10"/>
        <v>2</v>
      </c>
      <c r="R112" t="str">
        <f t="shared" si="11"/>
        <v/>
      </c>
      <c r="S112" t="str">
        <f t="shared" si="12"/>
        <v/>
      </c>
      <c r="T112" s="403" t="str">
        <f t="shared" si="13"/>
        <v>MIC-7502-Z30x</v>
      </c>
      <c r="U112" s="403">
        <f t="shared" si="14"/>
        <v>1</v>
      </c>
      <c r="V112" s="403" t="str">
        <f t="shared" si="15"/>
        <v>CPP_7_3</v>
      </c>
    </row>
    <row r="113" spans="1:22">
      <c r="A113" t="str">
        <f t="shared" si="8"/>
        <v>MIC-7502-Z30x</v>
      </c>
      <c r="B113" s="403" t="s">
        <v>1356</v>
      </c>
      <c r="C113" s="403" t="s">
        <v>582</v>
      </c>
      <c r="D113" s="403" t="s">
        <v>1357</v>
      </c>
      <c r="E113" s="403" t="s">
        <v>1356</v>
      </c>
      <c r="F113" s="403" t="s">
        <v>1288</v>
      </c>
      <c r="G113" s="403" t="s">
        <v>1466</v>
      </c>
      <c r="H113" s="403" t="s">
        <v>1281</v>
      </c>
      <c r="I113" s="403">
        <v>1</v>
      </c>
      <c r="J113" s="403" t="s">
        <v>1289</v>
      </c>
      <c r="K113" s="403">
        <v>1280</v>
      </c>
      <c r="L113" s="403">
        <v>720</v>
      </c>
      <c r="M113" s="403" t="s">
        <v>1283</v>
      </c>
      <c r="N113" s="403">
        <v>720</v>
      </c>
      <c r="O113" s="403">
        <v>480</v>
      </c>
      <c r="P113" t="str">
        <f t="shared" si="9"/>
        <v>60fps 720p full frame rate - SD 4CIF resolution 4:3 format (cropped)</v>
      </c>
      <c r="Q113">
        <f t="shared" si="10"/>
        <v>2</v>
      </c>
      <c r="R113" t="str">
        <f t="shared" si="11"/>
        <v/>
      </c>
      <c r="S113" t="str">
        <f t="shared" si="12"/>
        <v/>
      </c>
      <c r="T113" s="403" t="str">
        <f t="shared" si="13"/>
        <v>MIC-7502-Z30x</v>
      </c>
      <c r="U113" s="403">
        <f t="shared" si="14"/>
        <v>1</v>
      </c>
      <c r="V113" s="403" t="str">
        <f t="shared" si="15"/>
        <v>CPP_7_3</v>
      </c>
    </row>
    <row r="114" spans="1:22">
      <c r="A114" t="str">
        <f t="shared" si="8"/>
        <v>MIC-7502-Z30x</v>
      </c>
      <c r="B114" s="403" t="s">
        <v>1356</v>
      </c>
      <c r="C114" s="403" t="s">
        <v>582</v>
      </c>
      <c r="D114" s="403" t="s">
        <v>1357</v>
      </c>
      <c r="E114" s="403" t="s">
        <v>1356</v>
      </c>
      <c r="F114" s="403" t="s">
        <v>1288</v>
      </c>
      <c r="G114" s="403" t="s">
        <v>1466</v>
      </c>
      <c r="H114" s="403" t="s">
        <v>1281</v>
      </c>
      <c r="I114" s="403">
        <v>1</v>
      </c>
      <c r="J114" s="403" t="s">
        <v>1289</v>
      </c>
      <c r="K114" s="403">
        <v>1280</v>
      </c>
      <c r="L114" s="403">
        <v>720</v>
      </c>
      <c r="M114" s="403" t="s">
        <v>1284</v>
      </c>
      <c r="N114" s="403">
        <v>640</v>
      </c>
      <c r="O114" s="403">
        <v>480</v>
      </c>
      <c r="P114" t="str">
        <f t="shared" si="9"/>
        <v>60fps 720p full frame rate - SD VGA (cropped)</v>
      </c>
      <c r="Q114">
        <f t="shared" si="10"/>
        <v>2</v>
      </c>
      <c r="R114" t="str">
        <f t="shared" si="11"/>
        <v/>
      </c>
      <c r="S114" t="str">
        <f t="shared" si="12"/>
        <v/>
      </c>
      <c r="T114" s="403" t="str">
        <f t="shared" si="13"/>
        <v>MIC-7502-Z30x</v>
      </c>
      <c r="U114" s="403">
        <f t="shared" si="14"/>
        <v>1</v>
      </c>
      <c r="V114" s="403" t="str">
        <f t="shared" si="15"/>
        <v>CPP_7_3</v>
      </c>
    </row>
    <row r="115" spans="1:22">
      <c r="A115" t="str">
        <f t="shared" si="8"/>
        <v>MIC-7502-Z30x</v>
      </c>
      <c r="B115" s="403" t="s">
        <v>1356</v>
      </c>
      <c r="C115" s="403" t="s">
        <v>582</v>
      </c>
      <c r="D115" s="403" t="s">
        <v>1357</v>
      </c>
      <c r="E115" s="403" t="s">
        <v>1356</v>
      </c>
      <c r="F115" s="403" t="s">
        <v>1288</v>
      </c>
      <c r="G115" s="403" t="s">
        <v>1466</v>
      </c>
      <c r="H115" s="403" t="s">
        <v>1282</v>
      </c>
      <c r="I115" s="403">
        <v>1</v>
      </c>
      <c r="J115" s="403" t="s">
        <v>110</v>
      </c>
      <c r="K115" s="403">
        <v>1920</v>
      </c>
      <c r="L115" s="403">
        <v>1080</v>
      </c>
      <c r="M115" s="403" t="s">
        <v>111</v>
      </c>
      <c r="N115" s="403">
        <v>768</v>
      </c>
      <c r="O115" s="403">
        <v>432</v>
      </c>
      <c r="P115" t="str">
        <f t="shared" si="9"/>
        <v>60fps 1080p - SD</v>
      </c>
      <c r="Q115">
        <f t="shared" si="10"/>
        <v>2</v>
      </c>
      <c r="R115" t="str">
        <f t="shared" si="11"/>
        <v/>
      </c>
      <c r="S115" t="str">
        <f t="shared" si="12"/>
        <v/>
      </c>
      <c r="T115" s="403" t="str">
        <f t="shared" si="13"/>
        <v>MIC-7502-Z30x</v>
      </c>
      <c r="U115" s="403">
        <f t="shared" si="14"/>
        <v>1</v>
      </c>
      <c r="V115" s="403" t="str">
        <f t="shared" si="15"/>
        <v>CPP_7_3</v>
      </c>
    </row>
    <row r="116" spans="1:22">
      <c r="A116" t="str">
        <f t="shared" si="8"/>
        <v>MIC-7502-Z30x</v>
      </c>
      <c r="B116" s="403" t="s">
        <v>1356</v>
      </c>
      <c r="C116" s="403" t="s">
        <v>582</v>
      </c>
      <c r="D116" s="403" t="s">
        <v>1357</v>
      </c>
      <c r="E116" s="403" t="s">
        <v>1356</v>
      </c>
      <c r="F116" s="403" t="s">
        <v>1288</v>
      </c>
      <c r="G116" s="403" t="s">
        <v>1466</v>
      </c>
      <c r="H116" s="403" t="s">
        <v>1282</v>
      </c>
      <c r="I116" s="403">
        <v>1</v>
      </c>
      <c r="J116" s="403" t="s">
        <v>110</v>
      </c>
      <c r="K116" s="403">
        <v>1920</v>
      </c>
      <c r="L116" s="403">
        <v>1080</v>
      </c>
      <c r="M116" s="403" t="s">
        <v>1289</v>
      </c>
      <c r="N116" s="403">
        <v>1280</v>
      </c>
      <c r="O116" s="403">
        <v>720</v>
      </c>
      <c r="P116" t="str">
        <f t="shared" si="9"/>
        <v>60fps 1080p - 720p full frame rate</v>
      </c>
      <c r="Q116">
        <f t="shared" si="10"/>
        <v>2</v>
      </c>
      <c r="R116" t="str">
        <f t="shared" si="11"/>
        <v/>
      </c>
      <c r="S116" t="str">
        <f t="shared" si="12"/>
        <v/>
      </c>
      <c r="T116" s="403" t="str">
        <f t="shared" si="13"/>
        <v>MIC-7502-Z30x</v>
      </c>
      <c r="U116" s="403">
        <f t="shared" si="14"/>
        <v>1</v>
      </c>
      <c r="V116" s="403" t="str">
        <f t="shared" si="15"/>
        <v>CPP_7_3</v>
      </c>
    </row>
    <row r="117" spans="1:22">
      <c r="A117" t="str">
        <f t="shared" si="8"/>
        <v>MIC-7502-Z30x</v>
      </c>
      <c r="B117" s="403" t="s">
        <v>1356</v>
      </c>
      <c r="C117" s="403" t="s">
        <v>582</v>
      </c>
      <c r="D117" s="403" t="s">
        <v>1357</v>
      </c>
      <c r="E117" s="403" t="s">
        <v>1356</v>
      </c>
      <c r="F117" s="403" t="s">
        <v>1288</v>
      </c>
      <c r="G117" s="403" t="s">
        <v>1466</v>
      </c>
      <c r="H117" s="403" t="s">
        <v>1282</v>
      </c>
      <c r="I117" s="403">
        <v>1</v>
      </c>
      <c r="J117" s="403" t="s">
        <v>110</v>
      </c>
      <c r="K117" s="403">
        <v>1920</v>
      </c>
      <c r="L117" s="403">
        <v>1080</v>
      </c>
      <c r="M117" s="403" t="s">
        <v>1285</v>
      </c>
      <c r="N117" s="403">
        <v>1280</v>
      </c>
      <c r="O117" s="403">
        <v>1024</v>
      </c>
      <c r="P117" t="str">
        <f t="shared" si="9"/>
        <v>60fps 1080p - 1280x1024 5:4 (cropped)</v>
      </c>
      <c r="Q117">
        <f t="shared" si="10"/>
        <v>2</v>
      </c>
      <c r="R117" t="str">
        <f t="shared" si="11"/>
        <v/>
      </c>
      <c r="S117" t="str">
        <f t="shared" si="12"/>
        <v/>
      </c>
      <c r="T117" s="403" t="str">
        <f t="shared" si="13"/>
        <v>MIC-7502-Z30x</v>
      </c>
      <c r="U117" s="403">
        <f t="shared" si="14"/>
        <v>1</v>
      </c>
      <c r="V117" s="403" t="str">
        <f t="shared" si="15"/>
        <v>CPP_7_3</v>
      </c>
    </row>
    <row r="118" spans="1:22">
      <c r="A118" t="str">
        <f t="shared" si="8"/>
        <v>MIC-7502-Z30x</v>
      </c>
      <c r="B118" s="403" t="s">
        <v>1356</v>
      </c>
      <c r="C118" s="403" t="s">
        <v>582</v>
      </c>
      <c r="D118" s="403" t="s">
        <v>1357</v>
      </c>
      <c r="E118" s="403" t="s">
        <v>1356</v>
      </c>
      <c r="F118" s="403" t="s">
        <v>1288</v>
      </c>
      <c r="G118" s="403" t="s">
        <v>1466</v>
      </c>
      <c r="H118" s="403" t="s">
        <v>1282</v>
      </c>
      <c r="I118" s="403">
        <v>1</v>
      </c>
      <c r="J118" s="403" t="s">
        <v>110</v>
      </c>
      <c r="K118" s="403">
        <v>1920</v>
      </c>
      <c r="L118" s="403">
        <v>1080</v>
      </c>
      <c r="M118" s="403" t="s">
        <v>1283</v>
      </c>
      <c r="N118" s="403">
        <v>720</v>
      </c>
      <c r="O118" s="403">
        <v>480</v>
      </c>
      <c r="P118" t="str">
        <f t="shared" si="9"/>
        <v>60fps 1080p - SD 4CIF resolution 4:3 format (cropped)</v>
      </c>
      <c r="Q118">
        <f t="shared" si="10"/>
        <v>2</v>
      </c>
      <c r="R118" t="str">
        <f t="shared" si="11"/>
        <v/>
      </c>
      <c r="S118" t="str">
        <f t="shared" si="12"/>
        <v/>
      </c>
      <c r="T118" s="403" t="str">
        <f t="shared" si="13"/>
        <v>MIC-7502-Z30x</v>
      </c>
      <c r="U118" s="403">
        <f t="shared" si="14"/>
        <v>1</v>
      </c>
      <c r="V118" s="403" t="str">
        <f t="shared" si="15"/>
        <v>CPP_7_3</v>
      </c>
    </row>
    <row r="119" spans="1:22">
      <c r="A119" t="str">
        <f t="shared" si="8"/>
        <v>MIC-7502-Z30x</v>
      </c>
      <c r="B119" s="403" t="s">
        <v>1356</v>
      </c>
      <c r="C119" s="403" t="s">
        <v>582</v>
      </c>
      <c r="D119" s="403" t="s">
        <v>1357</v>
      </c>
      <c r="E119" s="403" t="s">
        <v>1356</v>
      </c>
      <c r="F119" s="403" t="s">
        <v>1288</v>
      </c>
      <c r="G119" s="403" t="s">
        <v>1466</v>
      </c>
      <c r="H119" s="403" t="s">
        <v>1282</v>
      </c>
      <c r="I119" s="403">
        <v>1</v>
      </c>
      <c r="J119" s="403" t="s">
        <v>110</v>
      </c>
      <c r="K119" s="403">
        <v>1920</v>
      </c>
      <c r="L119" s="403">
        <v>1080</v>
      </c>
      <c r="M119" s="403" t="s">
        <v>1284</v>
      </c>
      <c r="N119" s="403">
        <v>640</v>
      </c>
      <c r="O119" s="403">
        <v>480</v>
      </c>
      <c r="P119" t="str">
        <f t="shared" si="9"/>
        <v>60fps 1080p - SD VGA (cropped)</v>
      </c>
      <c r="Q119">
        <f t="shared" si="10"/>
        <v>2</v>
      </c>
      <c r="R119" t="str">
        <f t="shared" si="11"/>
        <v/>
      </c>
      <c r="S119" t="str">
        <f t="shared" si="12"/>
        <v/>
      </c>
      <c r="T119" s="403" t="str">
        <f t="shared" si="13"/>
        <v>MIC-7502-Z30x</v>
      </c>
      <c r="U119" s="403">
        <f t="shared" si="14"/>
        <v>1</v>
      </c>
      <c r="V119" s="403" t="str">
        <f t="shared" si="15"/>
        <v>CPP_7_3</v>
      </c>
    </row>
    <row r="120" spans="1:22">
      <c r="A120" t="str">
        <f t="shared" si="8"/>
        <v>MIC-7502-Z30x</v>
      </c>
      <c r="B120" s="403" t="s">
        <v>1356</v>
      </c>
      <c r="C120" s="403" t="s">
        <v>582</v>
      </c>
      <c r="D120" s="403" t="s">
        <v>1357</v>
      </c>
      <c r="E120" s="403" t="s">
        <v>1356</v>
      </c>
      <c r="F120" s="403" t="s">
        <v>1288</v>
      </c>
      <c r="G120" s="403" t="s">
        <v>1466</v>
      </c>
      <c r="H120" s="403" t="s">
        <v>1282</v>
      </c>
      <c r="I120" s="403">
        <v>1</v>
      </c>
      <c r="J120" s="403" t="s">
        <v>1289</v>
      </c>
      <c r="K120" s="403">
        <v>1280</v>
      </c>
      <c r="L120" s="403">
        <v>720</v>
      </c>
      <c r="M120" s="403" t="s">
        <v>1289</v>
      </c>
      <c r="N120" s="403">
        <v>1280</v>
      </c>
      <c r="O120" s="403">
        <v>720</v>
      </c>
      <c r="P120" t="str">
        <f t="shared" si="9"/>
        <v>60fps 720p full frame rate - 720p full frame rate</v>
      </c>
      <c r="Q120">
        <f t="shared" si="10"/>
        <v>2</v>
      </c>
      <c r="R120" t="str">
        <f t="shared" si="11"/>
        <v/>
      </c>
      <c r="S120" t="str">
        <f t="shared" si="12"/>
        <v/>
      </c>
      <c r="T120" s="403" t="str">
        <f t="shared" si="13"/>
        <v>MIC-7502-Z30x</v>
      </c>
      <c r="U120" s="403">
        <f t="shared" si="14"/>
        <v>1</v>
      </c>
      <c r="V120" s="403" t="str">
        <f t="shared" si="15"/>
        <v>CPP_7_3</v>
      </c>
    </row>
    <row r="121" spans="1:22">
      <c r="A121" t="str">
        <f t="shared" si="8"/>
        <v>MIC-7502-Z30x</v>
      </c>
      <c r="B121" s="403" t="s">
        <v>1356</v>
      </c>
      <c r="C121" s="403" t="s">
        <v>582</v>
      </c>
      <c r="D121" s="403" t="s">
        <v>1357</v>
      </c>
      <c r="E121" s="403" t="s">
        <v>1356</v>
      </c>
      <c r="F121" s="403" t="s">
        <v>1288</v>
      </c>
      <c r="G121" s="403" t="s">
        <v>1466</v>
      </c>
      <c r="H121" s="403" t="s">
        <v>1282</v>
      </c>
      <c r="I121" s="403">
        <v>1</v>
      </c>
      <c r="J121" s="403" t="s">
        <v>1289</v>
      </c>
      <c r="K121" s="403">
        <v>1280</v>
      </c>
      <c r="L121" s="403">
        <v>720</v>
      </c>
      <c r="M121" s="403" t="s">
        <v>111</v>
      </c>
      <c r="N121" s="403">
        <v>768</v>
      </c>
      <c r="O121" s="403">
        <v>432</v>
      </c>
      <c r="P121" t="str">
        <f t="shared" si="9"/>
        <v>60fps 720p full frame rate - SD</v>
      </c>
      <c r="Q121">
        <f t="shared" si="10"/>
        <v>2</v>
      </c>
      <c r="R121" t="str">
        <f t="shared" si="11"/>
        <v/>
      </c>
      <c r="S121" t="str">
        <f t="shared" si="12"/>
        <v/>
      </c>
      <c r="T121" s="403" t="str">
        <f t="shared" si="13"/>
        <v>MIC-7502-Z30x</v>
      </c>
      <c r="U121" s="403">
        <f t="shared" si="14"/>
        <v>1</v>
      </c>
      <c r="V121" s="403" t="str">
        <f t="shared" si="15"/>
        <v>CPP_7_3</v>
      </c>
    </row>
    <row r="122" spans="1:22">
      <c r="A122" t="str">
        <f t="shared" si="8"/>
        <v>MIC-7502-Z30x</v>
      </c>
      <c r="B122" s="403" t="s">
        <v>1356</v>
      </c>
      <c r="C122" s="403" t="s">
        <v>582</v>
      </c>
      <c r="D122" s="403" t="s">
        <v>1357</v>
      </c>
      <c r="E122" s="403" t="s">
        <v>1356</v>
      </c>
      <c r="F122" s="403" t="s">
        <v>1288</v>
      </c>
      <c r="G122" s="403" t="s">
        <v>1466</v>
      </c>
      <c r="H122" s="403" t="s">
        <v>1282</v>
      </c>
      <c r="I122" s="403">
        <v>1</v>
      </c>
      <c r="J122" s="403" t="s">
        <v>1289</v>
      </c>
      <c r="K122" s="403">
        <v>1280</v>
      </c>
      <c r="L122" s="403">
        <v>720</v>
      </c>
      <c r="M122" s="403" t="s">
        <v>1283</v>
      </c>
      <c r="N122" s="403">
        <v>720</v>
      </c>
      <c r="O122" s="403">
        <v>480</v>
      </c>
      <c r="P122" t="str">
        <f t="shared" si="9"/>
        <v>60fps 720p full frame rate - SD 4CIF resolution 4:3 format (cropped)</v>
      </c>
      <c r="Q122">
        <f t="shared" si="10"/>
        <v>2</v>
      </c>
      <c r="R122" t="str">
        <f t="shared" si="11"/>
        <v/>
      </c>
      <c r="S122" t="str">
        <f t="shared" si="12"/>
        <v/>
      </c>
      <c r="T122" s="403" t="str">
        <f t="shared" si="13"/>
        <v>MIC-7502-Z30x</v>
      </c>
      <c r="U122" s="403">
        <f t="shared" si="14"/>
        <v>1</v>
      </c>
      <c r="V122" s="403" t="str">
        <f t="shared" si="15"/>
        <v>CPP_7_3</v>
      </c>
    </row>
    <row r="123" spans="1:22">
      <c r="A123" t="str">
        <f t="shared" si="8"/>
        <v>MIC-7502-Z30x</v>
      </c>
      <c r="B123" s="403" t="s">
        <v>1356</v>
      </c>
      <c r="C123" s="403" t="s">
        <v>582</v>
      </c>
      <c r="D123" s="403" t="s">
        <v>1357</v>
      </c>
      <c r="E123" s="403" t="s">
        <v>1356</v>
      </c>
      <c r="F123" s="403" t="s">
        <v>1288</v>
      </c>
      <c r="G123" s="403" t="s">
        <v>1466</v>
      </c>
      <c r="H123" s="403" t="s">
        <v>1282</v>
      </c>
      <c r="I123" s="403">
        <v>1</v>
      </c>
      <c r="J123" s="403" t="s">
        <v>1289</v>
      </c>
      <c r="K123" s="403">
        <v>1280</v>
      </c>
      <c r="L123" s="403">
        <v>720</v>
      </c>
      <c r="M123" s="403" t="s">
        <v>1284</v>
      </c>
      <c r="N123" s="403">
        <v>640</v>
      </c>
      <c r="O123" s="403">
        <v>480</v>
      </c>
      <c r="P123" t="str">
        <f t="shared" si="9"/>
        <v>60fps 720p full frame rate - SD VGA (cropped)</v>
      </c>
      <c r="Q123">
        <f t="shared" si="10"/>
        <v>2</v>
      </c>
      <c r="R123" t="str">
        <f t="shared" si="11"/>
        <v/>
      </c>
      <c r="S123" t="str">
        <f t="shared" si="12"/>
        <v/>
      </c>
      <c r="T123" s="403" t="str">
        <f t="shared" si="13"/>
        <v>MIC-7502-Z30x</v>
      </c>
      <c r="U123" s="403">
        <f t="shared" si="14"/>
        <v>1</v>
      </c>
      <c r="V123" s="403" t="str">
        <f t="shared" si="15"/>
        <v>CPP_7_3</v>
      </c>
    </row>
    <row r="124" spans="1:22">
      <c r="A124" t="str">
        <f t="shared" si="8"/>
        <v>MIC-7502-Z30x</v>
      </c>
      <c r="B124" s="403" t="s">
        <v>1356</v>
      </c>
      <c r="C124" s="403" t="s">
        <v>582</v>
      </c>
      <c r="D124" s="403" t="s">
        <v>1357</v>
      </c>
      <c r="E124" s="403" t="s">
        <v>1358</v>
      </c>
      <c r="F124" s="403" t="s">
        <v>1287</v>
      </c>
      <c r="G124" s="403" t="s">
        <v>1466</v>
      </c>
      <c r="H124" s="403" t="s">
        <v>1276</v>
      </c>
      <c r="I124" s="403">
        <v>1</v>
      </c>
      <c r="J124" s="403" t="s">
        <v>110</v>
      </c>
      <c r="K124" s="403">
        <v>1920</v>
      </c>
      <c r="L124" s="403">
        <v>1080</v>
      </c>
      <c r="M124" s="403" t="s">
        <v>111</v>
      </c>
      <c r="N124" s="403">
        <v>768</v>
      </c>
      <c r="O124" s="403">
        <v>432</v>
      </c>
      <c r="P124" t="str">
        <f t="shared" si="9"/>
        <v>25fps 1080p - SD</v>
      </c>
      <c r="Q124">
        <f t="shared" si="10"/>
        <v>2</v>
      </c>
      <c r="R124" t="str">
        <f t="shared" si="11"/>
        <v/>
      </c>
      <c r="S124" t="str">
        <f t="shared" si="12"/>
        <v/>
      </c>
      <c r="T124" s="403" t="str">
        <f t="shared" si="13"/>
        <v>MIC-7502-Z30x</v>
      </c>
      <c r="U124" s="403">
        <f t="shared" si="14"/>
        <v>1</v>
      </c>
      <c r="V124" s="403" t="str">
        <f t="shared" si="15"/>
        <v>CPP_7_3</v>
      </c>
    </row>
    <row r="125" spans="1:22">
      <c r="A125" t="str">
        <f t="shared" si="8"/>
        <v>MIC-7502-Z30x</v>
      </c>
      <c r="B125" s="403" t="s">
        <v>1356</v>
      </c>
      <c r="C125" s="403" t="s">
        <v>582</v>
      </c>
      <c r="D125" s="403" t="s">
        <v>1357</v>
      </c>
      <c r="E125" s="403" t="s">
        <v>1358</v>
      </c>
      <c r="F125" s="403" t="s">
        <v>1287</v>
      </c>
      <c r="G125" s="403" t="s">
        <v>1466</v>
      </c>
      <c r="H125" s="403" t="s">
        <v>1276</v>
      </c>
      <c r="I125" s="403">
        <v>1</v>
      </c>
      <c r="J125" s="403" t="s">
        <v>110</v>
      </c>
      <c r="K125" s="403">
        <v>1920</v>
      </c>
      <c r="L125" s="403">
        <v>1080</v>
      </c>
      <c r="M125" s="403" t="s">
        <v>110</v>
      </c>
      <c r="N125" s="403">
        <v>1920</v>
      </c>
      <c r="O125" s="403">
        <v>1080</v>
      </c>
      <c r="P125" t="str">
        <f t="shared" si="9"/>
        <v>25fps 1080p - 1080p</v>
      </c>
      <c r="Q125">
        <f t="shared" si="10"/>
        <v>2</v>
      </c>
      <c r="R125" t="str">
        <f t="shared" si="11"/>
        <v/>
      </c>
      <c r="S125" t="str">
        <f t="shared" si="12"/>
        <v/>
      </c>
      <c r="T125" s="403" t="str">
        <f t="shared" si="13"/>
        <v>MIC-7502-Z30x</v>
      </c>
      <c r="U125" s="403">
        <f t="shared" si="14"/>
        <v>1</v>
      </c>
      <c r="V125" s="403" t="str">
        <f t="shared" si="15"/>
        <v>CPP_7_3</v>
      </c>
    </row>
    <row r="126" spans="1:22">
      <c r="A126" t="str">
        <f t="shared" si="8"/>
        <v>MIC-7502-Z30x</v>
      </c>
      <c r="B126" s="403" t="s">
        <v>1356</v>
      </c>
      <c r="C126" s="403" t="s">
        <v>582</v>
      </c>
      <c r="D126" s="403" t="s">
        <v>1357</v>
      </c>
      <c r="E126" s="403" t="s">
        <v>1358</v>
      </c>
      <c r="F126" s="403" t="s">
        <v>1287</v>
      </c>
      <c r="G126" s="403" t="s">
        <v>1466</v>
      </c>
      <c r="H126" s="403" t="s">
        <v>1276</v>
      </c>
      <c r="I126" s="403">
        <v>1</v>
      </c>
      <c r="J126" s="403" t="s">
        <v>110</v>
      </c>
      <c r="K126" s="403">
        <v>1920</v>
      </c>
      <c r="L126" s="403">
        <v>1080</v>
      </c>
      <c r="M126" s="403" t="s">
        <v>109</v>
      </c>
      <c r="N126" s="403">
        <v>1280</v>
      </c>
      <c r="O126" s="403">
        <v>720</v>
      </c>
      <c r="P126" t="str">
        <f t="shared" si="9"/>
        <v>25fps 1080p - 720p</v>
      </c>
      <c r="Q126">
        <f t="shared" si="10"/>
        <v>2</v>
      </c>
      <c r="R126" t="str">
        <f t="shared" si="11"/>
        <v/>
      </c>
      <c r="S126" t="str">
        <f t="shared" si="12"/>
        <v/>
      </c>
      <c r="T126" s="403" t="str">
        <f t="shared" si="13"/>
        <v>MIC-7502-Z30x</v>
      </c>
      <c r="U126" s="403">
        <f t="shared" si="14"/>
        <v>1</v>
      </c>
      <c r="V126" s="403" t="str">
        <f t="shared" si="15"/>
        <v>CPP_7_3</v>
      </c>
    </row>
    <row r="127" spans="1:22">
      <c r="A127" t="str">
        <f t="shared" si="8"/>
        <v>MIC-7502-Z30x</v>
      </c>
      <c r="B127" s="403" t="s">
        <v>1356</v>
      </c>
      <c r="C127" s="403" t="s">
        <v>582</v>
      </c>
      <c r="D127" s="403" t="s">
        <v>1357</v>
      </c>
      <c r="E127" s="403" t="s">
        <v>1358</v>
      </c>
      <c r="F127" s="403" t="s">
        <v>1287</v>
      </c>
      <c r="G127" s="403" t="s">
        <v>1466</v>
      </c>
      <c r="H127" s="403" t="s">
        <v>1276</v>
      </c>
      <c r="I127" s="403">
        <v>1</v>
      </c>
      <c r="J127" s="403" t="s">
        <v>110</v>
      </c>
      <c r="K127" s="403">
        <v>1920</v>
      </c>
      <c r="L127" s="403">
        <v>1080</v>
      </c>
      <c r="M127" s="403" t="s">
        <v>1285</v>
      </c>
      <c r="N127" s="403">
        <v>1280</v>
      </c>
      <c r="O127" s="403">
        <v>1024</v>
      </c>
      <c r="P127" t="str">
        <f t="shared" si="9"/>
        <v>25fps 1080p - 1280x1024 5:4 (cropped)</v>
      </c>
      <c r="Q127">
        <f t="shared" si="10"/>
        <v>2</v>
      </c>
      <c r="R127" t="str">
        <f t="shared" si="11"/>
        <v/>
      </c>
      <c r="S127" t="str">
        <f t="shared" si="12"/>
        <v/>
      </c>
      <c r="T127" s="403" t="str">
        <f t="shared" si="13"/>
        <v>MIC-7502-Z30x</v>
      </c>
      <c r="U127" s="403">
        <f t="shared" si="14"/>
        <v>1</v>
      </c>
      <c r="V127" s="403" t="str">
        <f t="shared" si="15"/>
        <v>CPP_7_3</v>
      </c>
    </row>
    <row r="128" spans="1:22">
      <c r="A128" t="str">
        <f t="shared" si="8"/>
        <v>MIC-7502-Z30x</v>
      </c>
      <c r="B128" s="403" t="s">
        <v>1356</v>
      </c>
      <c r="C128" s="403" t="s">
        <v>582</v>
      </c>
      <c r="D128" s="403" t="s">
        <v>1357</v>
      </c>
      <c r="E128" s="403" t="s">
        <v>1358</v>
      </c>
      <c r="F128" s="403" t="s">
        <v>1287</v>
      </c>
      <c r="G128" s="403" t="s">
        <v>1466</v>
      </c>
      <c r="H128" s="403" t="s">
        <v>1276</v>
      </c>
      <c r="I128" s="403">
        <v>1</v>
      </c>
      <c r="J128" s="403" t="s">
        <v>110</v>
      </c>
      <c r="K128" s="403">
        <v>1920</v>
      </c>
      <c r="L128" s="403">
        <v>1080</v>
      </c>
      <c r="M128" s="403" t="s">
        <v>1283</v>
      </c>
      <c r="N128" s="403">
        <v>720</v>
      </c>
      <c r="O128" s="403">
        <v>576</v>
      </c>
      <c r="P128" t="str">
        <f t="shared" si="9"/>
        <v>25fps 1080p - SD 4CIF resolution 4:3 format (cropped)</v>
      </c>
      <c r="Q128">
        <f t="shared" si="10"/>
        <v>2</v>
      </c>
      <c r="R128" t="str">
        <f t="shared" si="11"/>
        <v/>
      </c>
      <c r="S128" t="str">
        <f t="shared" si="12"/>
        <v/>
      </c>
      <c r="T128" s="403" t="str">
        <f t="shared" si="13"/>
        <v>MIC-7502-Z30x</v>
      </c>
      <c r="U128" s="403">
        <f t="shared" si="14"/>
        <v>1</v>
      </c>
      <c r="V128" s="403" t="str">
        <f t="shared" si="15"/>
        <v>CPP_7_3</v>
      </c>
    </row>
    <row r="129" spans="1:22">
      <c r="A129" t="str">
        <f t="shared" si="8"/>
        <v>MIC-7502-Z30x</v>
      </c>
      <c r="B129" s="403" t="s">
        <v>1356</v>
      </c>
      <c r="C129" s="403" t="s">
        <v>582</v>
      </c>
      <c r="D129" s="403" t="s">
        <v>1357</v>
      </c>
      <c r="E129" s="403" t="s">
        <v>1358</v>
      </c>
      <c r="F129" s="403" t="s">
        <v>1287</v>
      </c>
      <c r="G129" s="403" t="s">
        <v>1466</v>
      </c>
      <c r="H129" s="403" t="s">
        <v>1276</v>
      </c>
      <c r="I129" s="403">
        <v>1</v>
      </c>
      <c r="J129" s="403" t="s">
        <v>110</v>
      </c>
      <c r="K129" s="403">
        <v>1920</v>
      </c>
      <c r="L129" s="403">
        <v>1080</v>
      </c>
      <c r="M129" s="403" t="s">
        <v>1284</v>
      </c>
      <c r="N129" s="403">
        <v>640</v>
      </c>
      <c r="O129" s="403">
        <v>480</v>
      </c>
      <c r="P129" t="str">
        <f t="shared" si="9"/>
        <v>25fps 1080p - SD VGA (cropped)</v>
      </c>
      <c r="Q129">
        <f t="shared" si="10"/>
        <v>2</v>
      </c>
      <c r="R129" t="str">
        <f t="shared" si="11"/>
        <v/>
      </c>
      <c r="S129" t="str">
        <f t="shared" si="12"/>
        <v/>
      </c>
      <c r="T129" s="403" t="str">
        <f t="shared" si="13"/>
        <v>MIC-7502-Z30x</v>
      </c>
      <c r="U129" s="403">
        <f t="shared" si="14"/>
        <v>1</v>
      </c>
      <c r="V129" s="403" t="str">
        <f t="shared" si="15"/>
        <v>CPP_7_3</v>
      </c>
    </row>
    <row r="130" spans="1:22">
      <c r="A130" t="str">
        <f t="shared" ref="A130:A193" si="16">IF(AND(G130&lt;&gt;"rotate 90°"),D130,"")</f>
        <v>MIC-7502-Z30x</v>
      </c>
      <c r="B130" s="403" t="s">
        <v>1356</v>
      </c>
      <c r="C130" s="403" t="s">
        <v>582</v>
      </c>
      <c r="D130" s="403" t="s">
        <v>1357</v>
      </c>
      <c r="E130" s="403" t="s">
        <v>1358</v>
      </c>
      <c r="F130" s="403" t="s">
        <v>1287</v>
      </c>
      <c r="G130" s="403" t="s">
        <v>1466</v>
      </c>
      <c r="H130" s="403" t="s">
        <v>1276</v>
      </c>
      <c r="I130" s="403">
        <v>1</v>
      </c>
      <c r="J130" s="403" t="s">
        <v>109</v>
      </c>
      <c r="K130" s="403">
        <v>1280</v>
      </c>
      <c r="L130" s="403">
        <v>720</v>
      </c>
      <c r="M130" s="403" t="s">
        <v>109</v>
      </c>
      <c r="N130" s="403">
        <v>1280</v>
      </c>
      <c r="O130" s="403">
        <v>720</v>
      </c>
      <c r="P130" t="str">
        <f t="shared" ref="P130:P193" si="17">LEFT(F130,5)&amp;" "&amp;J130&amp;" - "&amp;M130</f>
        <v>25fps 720p - 720p</v>
      </c>
      <c r="Q130">
        <f t="shared" ref="Q130:Q193" si="18">IF(A129=A130,Q129,Q129+1)</f>
        <v>2</v>
      </c>
      <c r="R130" t="str">
        <f t="shared" ref="R130:R193" si="19">IF(Q129&lt;&gt;Q130,Q130,"")</f>
        <v/>
      </c>
      <c r="S130" t="str">
        <f t="shared" ref="S130:S193" si="20">IF(R130&lt;&gt;"",B130&amp;" ("&amp;D130&amp;")","")</f>
        <v/>
      </c>
      <c r="T130" s="403" t="str">
        <f t="shared" ref="T130:T193" si="21">D130</f>
        <v>MIC-7502-Z30x</v>
      </c>
      <c r="U130" s="403">
        <f t="shared" ref="U130:U193" si="22">I130</f>
        <v>1</v>
      </c>
      <c r="V130" s="403" t="str">
        <f t="shared" ref="V130:V193" si="23">C130</f>
        <v>CPP_7_3</v>
      </c>
    </row>
    <row r="131" spans="1:22">
      <c r="A131" t="str">
        <f t="shared" si="16"/>
        <v>MIC-7502-Z30x</v>
      </c>
      <c r="B131" s="403" t="s">
        <v>1356</v>
      </c>
      <c r="C131" s="403" t="s">
        <v>582</v>
      </c>
      <c r="D131" s="403" t="s">
        <v>1357</v>
      </c>
      <c r="E131" s="403" t="s">
        <v>1358</v>
      </c>
      <c r="F131" s="403" t="s">
        <v>1287</v>
      </c>
      <c r="G131" s="403" t="s">
        <v>1466</v>
      </c>
      <c r="H131" s="403" t="s">
        <v>1276</v>
      </c>
      <c r="I131" s="403">
        <v>1</v>
      </c>
      <c r="J131" s="403" t="s">
        <v>109</v>
      </c>
      <c r="K131" s="403">
        <v>1280</v>
      </c>
      <c r="L131" s="403">
        <v>720</v>
      </c>
      <c r="M131" s="403" t="s">
        <v>111</v>
      </c>
      <c r="N131" s="403">
        <v>768</v>
      </c>
      <c r="O131" s="403">
        <v>432</v>
      </c>
      <c r="P131" t="str">
        <f t="shared" si="17"/>
        <v>25fps 720p - SD</v>
      </c>
      <c r="Q131">
        <f t="shared" si="18"/>
        <v>2</v>
      </c>
      <c r="R131" t="str">
        <f t="shared" si="19"/>
        <v/>
      </c>
      <c r="S131" t="str">
        <f t="shared" si="20"/>
        <v/>
      </c>
      <c r="T131" s="403" t="str">
        <f t="shared" si="21"/>
        <v>MIC-7502-Z30x</v>
      </c>
      <c r="U131" s="403">
        <f t="shared" si="22"/>
        <v>1</v>
      </c>
      <c r="V131" s="403" t="str">
        <f t="shared" si="23"/>
        <v>CPP_7_3</v>
      </c>
    </row>
    <row r="132" spans="1:22">
      <c r="A132" t="str">
        <f t="shared" si="16"/>
        <v>MIC-7502-Z30x</v>
      </c>
      <c r="B132" s="403" t="s">
        <v>1356</v>
      </c>
      <c r="C132" s="403" t="s">
        <v>582</v>
      </c>
      <c r="D132" s="403" t="s">
        <v>1357</v>
      </c>
      <c r="E132" s="403" t="s">
        <v>1358</v>
      </c>
      <c r="F132" s="403" t="s">
        <v>1287</v>
      </c>
      <c r="G132" s="403" t="s">
        <v>1466</v>
      </c>
      <c r="H132" s="403" t="s">
        <v>1276</v>
      </c>
      <c r="I132" s="403">
        <v>1</v>
      </c>
      <c r="J132" s="403" t="s">
        <v>109</v>
      </c>
      <c r="K132" s="403">
        <v>1280</v>
      </c>
      <c r="L132" s="403">
        <v>720</v>
      </c>
      <c r="M132" s="403" t="s">
        <v>1283</v>
      </c>
      <c r="N132" s="403">
        <v>720</v>
      </c>
      <c r="O132" s="403">
        <v>576</v>
      </c>
      <c r="P132" t="str">
        <f t="shared" si="17"/>
        <v>25fps 720p - SD 4CIF resolution 4:3 format (cropped)</v>
      </c>
      <c r="Q132">
        <f t="shared" si="18"/>
        <v>2</v>
      </c>
      <c r="R132" t="str">
        <f t="shared" si="19"/>
        <v/>
      </c>
      <c r="S132" t="str">
        <f t="shared" si="20"/>
        <v/>
      </c>
      <c r="T132" s="403" t="str">
        <f t="shared" si="21"/>
        <v>MIC-7502-Z30x</v>
      </c>
      <c r="U132" s="403">
        <f t="shared" si="22"/>
        <v>1</v>
      </c>
      <c r="V132" s="403" t="str">
        <f t="shared" si="23"/>
        <v>CPP_7_3</v>
      </c>
    </row>
    <row r="133" spans="1:22">
      <c r="A133" t="str">
        <f t="shared" si="16"/>
        <v>MIC-7502-Z30x</v>
      </c>
      <c r="B133" s="403" t="s">
        <v>1356</v>
      </c>
      <c r="C133" s="403" t="s">
        <v>582</v>
      </c>
      <c r="D133" s="403" t="s">
        <v>1357</v>
      </c>
      <c r="E133" s="403" t="s">
        <v>1358</v>
      </c>
      <c r="F133" s="403" t="s">
        <v>1287</v>
      </c>
      <c r="G133" s="403" t="s">
        <v>1466</v>
      </c>
      <c r="H133" s="403" t="s">
        <v>1276</v>
      </c>
      <c r="I133" s="403">
        <v>1</v>
      </c>
      <c r="J133" s="403" t="s">
        <v>109</v>
      </c>
      <c r="K133" s="403">
        <v>1280</v>
      </c>
      <c r="L133" s="403">
        <v>720</v>
      </c>
      <c r="M133" s="403" t="s">
        <v>1284</v>
      </c>
      <c r="N133" s="403">
        <v>640</v>
      </c>
      <c r="O133" s="403">
        <v>480</v>
      </c>
      <c r="P133" t="str">
        <f t="shared" si="17"/>
        <v>25fps 720p - SD VGA (cropped)</v>
      </c>
      <c r="Q133">
        <f t="shared" si="18"/>
        <v>2</v>
      </c>
      <c r="R133" t="str">
        <f t="shared" si="19"/>
        <v/>
      </c>
      <c r="S133" t="str">
        <f t="shared" si="20"/>
        <v/>
      </c>
      <c r="T133" s="403" t="str">
        <f t="shared" si="21"/>
        <v>MIC-7502-Z30x</v>
      </c>
      <c r="U133" s="403">
        <f t="shared" si="22"/>
        <v>1</v>
      </c>
      <c r="V133" s="403" t="str">
        <f t="shared" si="23"/>
        <v>CPP_7_3</v>
      </c>
    </row>
    <row r="134" spans="1:22">
      <c r="A134" t="str">
        <f t="shared" si="16"/>
        <v>MIC-7502-Z30x</v>
      </c>
      <c r="B134" s="403" t="s">
        <v>1356</v>
      </c>
      <c r="C134" s="403" t="s">
        <v>582</v>
      </c>
      <c r="D134" s="403" t="s">
        <v>1357</v>
      </c>
      <c r="E134" s="403" t="s">
        <v>1358</v>
      </c>
      <c r="F134" s="403" t="s">
        <v>1287</v>
      </c>
      <c r="G134" s="403" t="s">
        <v>1466</v>
      </c>
      <c r="H134" s="403" t="s">
        <v>1281</v>
      </c>
      <c r="I134" s="403">
        <v>1</v>
      </c>
      <c r="J134" s="403" t="s">
        <v>110</v>
      </c>
      <c r="K134" s="403">
        <v>1920</v>
      </c>
      <c r="L134" s="403">
        <v>1080</v>
      </c>
      <c r="M134" s="403" t="s">
        <v>111</v>
      </c>
      <c r="N134" s="403">
        <v>768</v>
      </c>
      <c r="O134" s="403">
        <v>432</v>
      </c>
      <c r="P134" t="str">
        <f t="shared" si="17"/>
        <v>25fps 1080p - SD</v>
      </c>
      <c r="Q134">
        <f t="shared" si="18"/>
        <v>2</v>
      </c>
      <c r="R134" t="str">
        <f t="shared" si="19"/>
        <v/>
      </c>
      <c r="S134" t="str">
        <f t="shared" si="20"/>
        <v/>
      </c>
      <c r="T134" s="403" t="str">
        <f t="shared" si="21"/>
        <v>MIC-7502-Z30x</v>
      </c>
      <c r="U134" s="403">
        <f t="shared" si="22"/>
        <v>1</v>
      </c>
      <c r="V134" s="403" t="str">
        <f t="shared" si="23"/>
        <v>CPP_7_3</v>
      </c>
    </row>
    <row r="135" spans="1:22">
      <c r="A135" t="str">
        <f t="shared" si="16"/>
        <v>MIC-7502-Z30x</v>
      </c>
      <c r="B135" s="403" t="s">
        <v>1356</v>
      </c>
      <c r="C135" s="403" t="s">
        <v>582</v>
      </c>
      <c r="D135" s="403" t="s">
        <v>1357</v>
      </c>
      <c r="E135" s="403" t="s">
        <v>1358</v>
      </c>
      <c r="F135" s="403" t="s">
        <v>1287</v>
      </c>
      <c r="G135" s="403" t="s">
        <v>1466</v>
      </c>
      <c r="H135" s="403" t="s">
        <v>1281</v>
      </c>
      <c r="I135" s="403">
        <v>1</v>
      </c>
      <c r="J135" s="403" t="s">
        <v>110</v>
      </c>
      <c r="K135" s="403">
        <v>1920</v>
      </c>
      <c r="L135" s="403">
        <v>1080</v>
      </c>
      <c r="M135" s="403" t="s">
        <v>110</v>
      </c>
      <c r="N135" s="403">
        <v>1920</v>
      </c>
      <c r="O135" s="403">
        <v>1080</v>
      </c>
      <c r="P135" t="str">
        <f t="shared" si="17"/>
        <v>25fps 1080p - 1080p</v>
      </c>
      <c r="Q135">
        <f t="shared" si="18"/>
        <v>2</v>
      </c>
      <c r="R135" t="str">
        <f t="shared" si="19"/>
        <v/>
      </c>
      <c r="S135" t="str">
        <f t="shared" si="20"/>
        <v/>
      </c>
      <c r="T135" s="403" t="str">
        <f t="shared" si="21"/>
        <v>MIC-7502-Z30x</v>
      </c>
      <c r="U135" s="403">
        <f t="shared" si="22"/>
        <v>1</v>
      </c>
      <c r="V135" s="403" t="str">
        <f t="shared" si="23"/>
        <v>CPP_7_3</v>
      </c>
    </row>
    <row r="136" spans="1:22">
      <c r="A136" t="str">
        <f t="shared" si="16"/>
        <v>MIC-7502-Z30x</v>
      </c>
      <c r="B136" s="403" t="s">
        <v>1356</v>
      </c>
      <c r="C136" s="403" t="s">
        <v>582</v>
      </c>
      <c r="D136" s="403" t="s">
        <v>1357</v>
      </c>
      <c r="E136" s="403" t="s">
        <v>1358</v>
      </c>
      <c r="F136" s="403" t="s">
        <v>1287</v>
      </c>
      <c r="G136" s="403" t="s">
        <v>1466</v>
      </c>
      <c r="H136" s="403" t="s">
        <v>1281</v>
      </c>
      <c r="I136" s="403">
        <v>1</v>
      </c>
      <c r="J136" s="403" t="s">
        <v>110</v>
      </c>
      <c r="K136" s="403">
        <v>1920</v>
      </c>
      <c r="L136" s="403">
        <v>1080</v>
      </c>
      <c r="M136" s="403" t="s">
        <v>109</v>
      </c>
      <c r="N136" s="403">
        <v>1280</v>
      </c>
      <c r="O136" s="403">
        <v>720</v>
      </c>
      <c r="P136" t="str">
        <f t="shared" si="17"/>
        <v>25fps 1080p - 720p</v>
      </c>
      <c r="Q136">
        <f t="shared" si="18"/>
        <v>2</v>
      </c>
      <c r="R136" t="str">
        <f t="shared" si="19"/>
        <v/>
      </c>
      <c r="S136" t="str">
        <f t="shared" si="20"/>
        <v/>
      </c>
      <c r="T136" s="403" t="str">
        <f t="shared" si="21"/>
        <v>MIC-7502-Z30x</v>
      </c>
      <c r="U136" s="403">
        <f t="shared" si="22"/>
        <v>1</v>
      </c>
      <c r="V136" s="403" t="str">
        <f t="shared" si="23"/>
        <v>CPP_7_3</v>
      </c>
    </row>
    <row r="137" spans="1:22">
      <c r="A137" t="str">
        <f t="shared" si="16"/>
        <v>MIC-7502-Z30x</v>
      </c>
      <c r="B137" s="403" t="s">
        <v>1356</v>
      </c>
      <c r="C137" s="403" t="s">
        <v>582</v>
      </c>
      <c r="D137" s="403" t="s">
        <v>1357</v>
      </c>
      <c r="E137" s="403" t="s">
        <v>1358</v>
      </c>
      <c r="F137" s="403" t="s">
        <v>1287</v>
      </c>
      <c r="G137" s="403" t="s">
        <v>1466</v>
      </c>
      <c r="H137" s="403" t="s">
        <v>1281</v>
      </c>
      <c r="I137" s="403">
        <v>1</v>
      </c>
      <c r="J137" s="403" t="s">
        <v>110</v>
      </c>
      <c r="K137" s="403">
        <v>1920</v>
      </c>
      <c r="L137" s="403">
        <v>1080</v>
      </c>
      <c r="M137" s="403" t="s">
        <v>1285</v>
      </c>
      <c r="N137" s="403">
        <v>1280</v>
      </c>
      <c r="O137" s="403">
        <v>1024</v>
      </c>
      <c r="P137" t="str">
        <f t="shared" si="17"/>
        <v>25fps 1080p - 1280x1024 5:4 (cropped)</v>
      </c>
      <c r="Q137">
        <f t="shared" si="18"/>
        <v>2</v>
      </c>
      <c r="R137" t="str">
        <f t="shared" si="19"/>
        <v/>
      </c>
      <c r="S137" t="str">
        <f t="shared" si="20"/>
        <v/>
      </c>
      <c r="T137" s="403" t="str">
        <f t="shared" si="21"/>
        <v>MIC-7502-Z30x</v>
      </c>
      <c r="U137" s="403">
        <f t="shared" si="22"/>
        <v>1</v>
      </c>
      <c r="V137" s="403" t="str">
        <f t="shared" si="23"/>
        <v>CPP_7_3</v>
      </c>
    </row>
    <row r="138" spans="1:22">
      <c r="A138" t="str">
        <f t="shared" si="16"/>
        <v>MIC-7502-Z30x</v>
      </c>
      <c r="B138" s="403" t="s">
        <v>1356</v>
      </c>
      <c r="C138" s="403" t="s">
        <v>582</v>
      </c>
      <c r="D138" s="403" t="s">
        <v>1357</v>
      </c>
      <c r="E138" s="403" t="s">
        <v>1358</v>
      </c>
      <c r="F138" s="403" t="s">
        <v>1287</v>
      </c>
      <c r="G138" s="403" t="s">
        <v>1466</v>
      </c>
      <c r="H138" s="403" t="s">
        <v>1281</v>
      </c>
      <c r="I138" s="403">
        <v>1</v>
      </c>
      <c r="J138" s="403" t="s">
        <v>110</v>
      </c>
      <c r="K138" s="403">
        <v>1920</v>
      </c>
      <c r="L138" s="403">
        <v>1080</v>
      </c>
      <c r="M138" s="403" t="s">
        <v>1283</v>
      </c>
      <c r="N138" s="403">
        <v>720</v>
      </c>
      <c r="O138" s="403">
        <v>576</v>
      </c>
      <c r="P138" t="str">
        <f t="shared" si="17"/>
        <v>25fps 1080p - SD 4CIF resolution 4:3 format (cropped)</v>
      </c>
      <c r="Q138">
        <f t="shared" si="18"/>
        <v>2</v>
      </c>
      <c r="R138" t="str">
        <f t="shared" si="19"/>
        <v/>
      </c>
      <c r="S138" t="str">
        <f t="shared" si="20"/>
        <v/>
      </c>
      <c r="T138" s="403" t="str">
        <f t="shared" si="21"/>
        <v>MIC-7502-Z30x</v>
      </c>
      <c r="U138" s="403">
        <f t="shared" si="22"/>
        <v>1</v>
      </c>
      <c r="V138" s="403" t="str">
        <f t="shared" si="23"/>
        <v>CPP_7_3</v>
      </c>
    </row>
    <row r="139" spans="1:22">
      <c r="A139" t="str">
        <f t="shared" si="16"/>
        <v>MIC-7502-Z30x</v>
      </c>
      <c r="B139" s="403" t="s">
        <v>1356</v>
      </c>
      <c r="C139" s="403" t="s">
        <v>582</v>
      </c>
      <c r="D139" s="403" t="s">
        <v>1357</v>
      </c>
      <c r="E139" s="403" t="s">
        <v>1358</v>
      </c>
      <c r="F139" s="403" t="s">
        <v>1287</v>
      </c>
      <c r="G139" s="403" t="s">
        <v>1466</v>
      </c>
      <c r="H139" s="403" t="s">
        <v>1281</v>
      </c>
      <c r="I139" s="403">
        <v>1</v>
      </c>
      <c r="J139" s="403" t="s">
        <v>110</v>
      </c>
      <c r="K139" s="403">
        <v>1920</v>
      </c>
      <c r="L139" s="403">
        <v>1080</v>
      </c>
      <c r="M139" s="403" t="s">
        <v>1284</v>
      </c>
      <c r="N139" s="403">
        <v>640</v>
      </c>
      <c r="O139" s="403">
        <v>480</v>
      </c>
      <c r="P139" t="str">
        <f t="shared" si="17"/>
        <v>25fps 1080p - SD VGA (cropped)</v>
      </c>
      <c r="Q139">
        <f t="shared" si="18"/>
        <v>2</v>
      </c>
      <c r="R139" t="str">
        <f t="shared" si="19"/>
        <v/>
      </c>
      <c r="S139" t="str">
        <f t="shared" si="20"/>
        <v/>
      </c>
      <c r="T139" s="403" t="str">
        <f t="shared" si="21"/>
        <v>MIC-7502-Z30x</v>
      </c>
      <c r="U139" s="403">
        <f t="shared" si="22"/>
        <v>1</v>
      </c>
      <c r="V139" s="403" t="str">
        <f t="shared" si="23"/>
        <v>CPP_7_3</v>
      </c>
    </row>
    <row r="140" spans="1:22">
      <c r="A140" t="str">
        <f t="shared" si="16"/>
        <v>MIC-7502-Z30x</v>
      </c>
      <c r="B140" s="403" t="s">
        <v>1356</v>
      </c>
      <c r="C140" s="403" t="s">
        <v>582</v>
      </c>
      <c r="D140" s="403" t="s">
        <v>1357</v>
      </c>
      <c r="E140" s="403" t="s">
        <v>1358</v>
      </c>
      <c r="F140" s="403" t="s">
        <v>1287</v>
      </c>
      <c r="G140" s="403" t="s">
        <v>1466</v>
      </c>
      <c r="H140" s="403" t="s">
        <v>1281</v>
      </c>
      <c r="I140" s="403">
        <v>1</v>
      </c>
      <c r="J140" s="403" t="s">
        <v>109</v>
      </c>
      <c r="K140" s="403">
        <v>1280</v>
      </c>
      <c r="L140" s="403">
        <v>720</v>
      </c>
      <c r="M140" s="403" t="s">
        <v>109</v>
      </c>
      <c r="N140" s="403">
        <v>1280</v>
      </c>
      <c r="O140" s="403">
        <v>720</v>
      </c>
      <c r="P140" t="str">
        <f t="shared" si="17"/>
        <v>25fps 720p - 720p</v>
      </c>
      <c r="Q140">
        <f t="shared" si="18"/>
        <v>2</v>
      </c>
      <c r="R140" t="str">
        <f t="shared" si="19"/>
        <v/>
      </c>
      <c r="S140" t="str">
        <f t="shared" si="20"/>
        <v/>
      </c>
      <c r="T140" s="403" t="str">
        <f t="shared" si="21"/>
        <v>MIC-7502-Z30x</v>
      </c>
      <c r="U140" s="403">
        <f t="shared" si="22"/>
        <v>1</v>
      </c>
      <c r="V140" s="403" t="str">
        <f t="shared" si="23"/>
        <v>CPP_7_3</v>
      </c>
    </row>
    <row r="141" spans="1:22">
      <c r="A141" t="str">
        <f t="shared" si="16"/>
        <v>MIC-7502-Z30x</v>
      </c>
      <c r="B141" s="403" t="s">
        <v>1356</v>
      </c>
      <c r="C141" s="403" t="s">
        <v>582</v>
      </c>
      <c r="D141" s="403" t="s">
        <v>1357</v>
      </c>
      <c r="E141" s="403" t="s">
        <v>1358</v>
      </c>
      <c r="F141" s="403" t="s">
        <v>1287</v>
      </c>
      <c r="G141" s="403" t="s">
        <v>1466</v>
      </c>
      <c r="H141" s="403" t="s">
        <v>1281</v>
      </c>
      <c r="I141" s="403">
        <v>1</v>
      </c>
      <c r="J141" s="403" t="s">
        <v>109</v>
      </c>
      <c r="K141" s="403">
        <v>1280</v>
      </c>
      <c r="L141" s="403">
        <v>720</v>
      </c>
      <c r="M141" s="403" t="s">
        <v>111</v>
      </c>
      <c r="N141" s="403">
        <v>768</v>
      </c>
      <c r="O141" s="403">
        <v>432</v>
      </c>
      <c r="P141" t="str">
        <f t="shared" si="17"/>
        <v>25fps 720p - SD</v>
      </c>
      <c r="Q141">
        <f t="shared" si="18"/>
        <v>2</v>
      </c>
      <c r="R141" t="str">
        <f t="shared" si="19"/>
        <v/>
      </c>
      <c r="S141" t="str">
        <f t="shared" si="20"/>
        <v/>
      </c>
      <c r="T141" s="403" t="str">
        <f t="shared" si="21"/>
        <v>MIC-7502-Z30x</v>
      </c>
      <c r="U141" s="403">
        <f t="shared" si="22"/>
        <v>1</v>
      </c>
      <c r="V141" s="403" t="str">
        <f t="shared" si="23"/>
        <v>CPP_7_3</v>
      </c>
    </row>
    <row r="142" spans="1:22">
      <c r="A142" t="str">
        <f t="shared" si="16"/>
        <v>MIC-7502-Z30x</v>
      </c>
      <c r="B142" s="403" t="s">
        <v>1356</v>
      </c>
      <c r="C142" s="403" t="s">
        <v>582</v>
      </c>
      <c r="D142" s="403" t="s">
        <v>1357</v>
      </c>
      <c r="E142" s="403" t="s">
        <v>1358</v>
      </c>
      <c r="F142" s="403" t="s">
        <v>1287</v>
      </c>
      <c r="G142" s="403" t="s">
        <v>1466</v>
      </c>
      <c r="H142" s="403" t="s">
        <v>1281</v>
      </c>
      <c r="I142" s="403">
        <v>1</v>
      </c>
      <c r="J142" s="403" t="s">
        <v>109</v>
      </c>
      <c r="K142" s="403">
        <v>1280</v>
      </c>
      <c r="L142" s="403">
        <v>720</v>
      </c>
      <c r="M142" s="403" t="s">
        <v>1283</v>
      </c>
      <c r="N142" s="403">
        <v>720</v>
      </c>
      <c r="O142" s="403">
        <v>576</v>
      </c>
      <c r="P142" t="str">
        <f t="shared" si="17"/>
        <v>25fps 720p - SD 4CIF resolution 4:3 format (cropped)</v>
      </c>
      <c r="Q142">
        <f t="shared" si="18"/>
        <v>2</v>
      </c>
      <c r="R142" t="str">
        <f t="shared" si="19"/>
        <v/>
      </c>
      <c r="S142" t="str">
        <f t="shared" si="20"/>
        <v/>
      </c>
      <c r="T142" s="403" t="str">
        <f t="shared" si="21"/>
        <v>MIC-7502-Z30x</v>
      </c>
      <c r="U142" s="403">
        <f t="shared" si="22"/>
        <v>1</v>
      </c>
      <c r="V142" s="403" t="str">
        <f t="shared" si="23"/>
        <v>CPP_7_3</v>
      </c>
    </row>
    <row r="143" spans="1:22">
      <c r="A143" t="str">
        <f t="shared" si="16"/>
        <v>MIC-7502-Z30x</v>
      </c>
      <c r="B143" s="403" t="s">
        <v>1356</v>
      </c>
      <c r="C143" s="403" t="s">
        <v>582</v>
      </c>
      <c r="D143" s="403" t="s">
        <v>1357</v>
      </c>
      <c r="E143" s="403" t="s">
        <v>1358</v>
      </c>
      <c r="F143" s="403" t="s">
        <v>1287</v>
      </c>
      <c r="G143" s="403" t="s">
        <v>1466</v>
      </c>
      <c r="H143" s="403" t="s">
        <v>1281</v>
      </c>
      <c r="I143" s="403">
        <v>1</v>
      </c>
      <c r="J143" s="403" t="s">
        <v>109</v>
      </c>
      <c r="K143" s="403">
        <v>1280</v>
      </c>
      <c r="L143" s="403">
        <v>720</v>
      </c>
      <c r="M143" s="403" t="s">
        <v>1284</v>
      </c>
      <c r="N143" s="403">
        <v>640</v>
      </c>
      <c r="O143" s="403">
        <v>480</v>
      </c>
      <c r="P143" t="str">
        <f t="shared" si="17"/>
        <v>25fps 720p - SD VGA (cropped)</v>
      </c>
      <c r="Q143">
        <f t="shared" si="18"/>
        <v>2</v>
      </c>
      <c r="R143" t="str">
        <f t="shared" si="19"/>
        <v/>
      </c>
      <c r="S143" t="str">
        <f t="shared" si="20"/>
        <v/>
      </c>
      <c r="T143" s="403" t="str">
        <f t="shared" si="21"/>
        <v>MIC-7502-Z30x</v>
      </c>
      <c r="U143" s="403">
        <f t="shared" si="22"/>
        <v>1</v>
      </c>
      <c r="V143" s="403" t="str">
        <f t="shared" si="23"/>
        <v>CPP_7_3</v>
      </c>
    </row>
    <row r="144" spans="1:22">
      <c r="A144" t="str">
        <f t="shared" si="16"/>
        <v>MIC-7502-Z30x</v>
      </c>
      <c r="B144" s="403" t="s">
        <v>1356</v>
      </c>
      <c r="C144" s="403" t="s">
        <v>582</v>
      </c>
      <c r="D144" s="403" t="s">
        <v>1357</v>
      </c>
      <c r="E144" s="403" t="s">
        <v>1358</v>
      </c>
      <c r="F144" s="403" t="s">
        <v>1287</v>
      </c>
      <c r="G144" s="403" t="s">
        <v>1466</v>
      </c>
      <c r="H144" s="403" t="s">
        <v>1282</v>
      </c>
      <c r="I144" s="403">
        <v>1</v>
      </c>
      <c r="J144" s="403" t="s">
        <v>110</v>
      </c>
      <c r="K144" s="403">
        <v>1920</v>
      </c>
      <c r="L144" s="403">
        <v>1080</v>
      </c>
      <c r="M144" s="403" t="s">
        <v>111</v>
      </c>
      <c r="N144" s="403">
        <v>768</v>
      </c>
      <c r="O144" s="403">
        <v>432</v>
      </c>
      <c r="P144" t="str">
        <f t="shared" si="17"/>
        <v>25fps 1080p - SD</v>
      </c>
      <c r="Q144">
        <f t="shared" si="18"/>
        <v>2</v>
      </c>
      <c r="R144" t="str">
        <f t="shared" si="19"/>
        <v/>
      </c>
      <c r="S144" t="str">
        <f t="shared" si="20"/>
        <v/>
      </c>
      <c r="T144" s="403" t="str">
        <f t="shared" si="21"/>
        <v>MIC-7502-Z30x</v>
      </c>
      <c r="U144" s="403">
        <f t="shared" si="22"/>
        <v>1</v>
      </c>
      <c r="V144" s="403" t="str">
        <f t="shared" si="23"/>
        <v>CPP_7_3</v>
      </c>
    </row>
    <row r="145" spans="1:22">
      <c r="A145" t="str">
        <f t="shared" si="16"/>
        <v>MIC-7502-Z30x</v>
      </c>
      <c r="B145" s="403" t="s">
        <v>1356</v>
      </c>
      <c r="C145" s="403" t="s">
        <v>582</v>
      </c>
      <c r="D145" s="403" t="s">
        <v>1357</v>
      </c>
      <c r="E145" s="403" t="s">
        <v>1358</v>
      </c>
      <c r="F145" s="403" t="s">
        <v>1287</v>
      </c>
      <c r="G145" s="403" t="s">
        <v>1466</v>
      </c>
      <c r="H145" s="403" t="s">
        <v>1282</v>
      </c>
      <c r="I145" s="403">
        <v>1</v>
      </c>
      <c r="J145" s="403" t="s">
        <v>110</v>
      </c>
      <c r="K145" s="403">
        <v>1920</v>
      </c>
      <c r="L145" s="403">
        <v>1080</v>
      </c>
      <c r="M145" s="403" t="s">
        <v>110</v>
      </c>
      <c r="N145" s="403">
        <v>1920</v>
      </c>
      <c r="O145" s="403">
        <v>1080</v>
      </c>
      <c r="P145" t="str">
        <f t="shared" si="17"/>
        <v>25fps 1080p - 1080p</v>
      </c>
      <c r="Q145">
        <f t="shared" si="18"/>
        <v>2</v>
      </c>
      <c r="R145" t="str">
        <f t="shared" si="19"/>
        <v/>
      </c>
      <c r="S145" t="str">
        <f t="shared" si="20"/>
        <v/>
      </c>
      <c r="T145" s="403" t="str">
        <f t="shared" si="21"/>
        <v>MIC-7502-Z30x</v>
      </c>
      <c r="U145" s="403">
        <f t="shared" si="22"/>
        <v>1</v>
      </c>
      <c r="V145" s="403" t="str">
        <f t="shared" si="23"/>
        <v>CPP_7_3</v>
      </c>
    </row>
    <row r="146" spans="1:22">
      <c r="A146" t="str">
        <f t="shared" si="16"/>
        <v>MIC-7502-Z30x</v>
      </c>
      <c r="B146" s="403" t="s">
        <v>1356</v>
      </c>
      <c r="C146" s="403" t="s">
        <v>582</v>
      </c>
      <c r="D146" s="403" t="s">
        <v>1357</v>
      </c>
      <c r="E146" s="403" t="s">
        <v>1358</v>
      </c>
      <c r="F146" s="403" t="s">
        <v>1287</v>
      </c>
      <c r="G146" s="403" t="s">
        <v>1466</v>
      </c>
      <c r="H146" s="403" t="s">
        <v>1282</v>
      </c>
      <c r="I146" s="403">
        <v>1</v>
      </c>
      <c r="J146" s="403" t="s">
        <v>110</v>
      </c>
      <c r="K146" s="403">
        <v>1920</v>
      </c>
      <c r="L146" s="403">
        <v>1080</v>
      </c>
      <c r="M146" s="403" t="s">
        <v>109</v>
      </c>
      <c r="N146" s="403">
        <v>1280</v>
      </c>
      <c r="O146" s="403">
        <v>720</v>
      </c>
      <c r="P146" t="str">
        <f t="shared" si="17"/>
        <v>25fps 1080p - 720p</v>
      </c>
      <c r="Q146">
        <f t="shared" si="18"/>
        <v>2</v>
      </c>
      <c r="R146" t="str">
        <f t="shared" si="19"/>
        <v/>
      </c>
      <c r="S146" t="str">
        <f t="shared" si="20"/>
        <v/>
      </c>
      <c r="T146" s="403" t="str">
        <f t="shared" si="21"/>
        <v>MIC-7502-Z30x</v>
      </c>
      <c r="U146" s="403">
        <f t="shared" si="22"/>
        <v>1</v>
      </c>
      <c r="V146" s="403" t="str">
        <f t="shared" si="23"/>
        <v>CPP_7_3</v>
      </c>
    </row>
    <row r="147" spans="1:22">
      <c r="A147" t="str">
        <f t="shared" si="16"/>
        <v>MIC-7502-Z30x</v>
      </c>
      <c r="B147" s="403" t="s">
        <v>1356</v>
      </c>
      <c r="C147" s="403" t="s">
        <v>582</v>
      </c>
      <c r="D147" s="403" t="s">
        <v>1357</v>
      </c>
      <c r="E147" s="403" t="s">
        <v>1358</v>
      </c>
      <c r="F147" s="403" t="s">
        <v>1287</v>
      </c>
      <c r="G147" s="403" t="s">
        <v>1466</v>
      </c>
      <c r="H147" s="403" t="s">
        <v>1282</v>
      </c>
      <c r="I147" s="403">
        <v>1</v>
      </c>
      <c r="J147" s="403" t="s">
        <v>110</v>
      </c>
      <c r="K147" s="403">
        <v>1920</v>
      </c>
      <c r="L147" s="403">
        <v>1080</v>
      </c>
      <c r="M147" s="403" t="s">
        <v>1285</v>
      </c>
      <c r="N147" s="403">
        <v>1280</v>
      </c>
      <c r="O147" s="403">
        <v>1024</v>
      </c>
      <c r="P147" t="str">
        <f t="shared" si="17"/>
        <v>25fps 1080p - 1280x1024 5:4 (cropped)</v>
      </c>
      <c r="Q147">
        <f t="shared" si="18"/>
        <v>2</v>
      </c>
      <c r="R147" t="str">
        <f t="shared" si="19"/>
        <v/>
      </c>
      <c r="S147" t="str">
        <f t="shared" si="20"/>
        <v/>
      </c>
      <c r="T147" s="403" t="str">
        <f t="shared" si="21"/>
        <v>MIC-7502-Z30x</v>
      </c>
      <c r="U147" s="403">
        <f t="shared" si="22"/>
        <v>1</v>
      </c>
      <c r="V147" s="403" t="str">
        <f t="shared" si="23"/>
        <v>CPP_7_3</v>
      </c>
    </row>
    <row r="148" spans="1:22">
      <c r="A148" t="str">
        <f t="shared" si="16"/>
        <v>MIC-7502-Z30x</v>
      </c>
      <c r="B148" s="403" t="s">
        <v>1356</v>
      </c>
      <c r="C148" s="403" t="s">
        <v>582</v>
      </c>
      <c r="D148" s="403" t="s">
        <v>1357</v>
      </c>
      <c r="E148" s="403" t="s">
        <v>1358</v>
      </c>
      <c r="F148" s="403" t="s">
        <v>1287</v>
      </c>
      <c r="G148" s="403" t="s">
        <v>1466</v>
      </c>
      <c r="H148" s="403" t="s">
        <v>1282</v>
      </c>
      <c r="I148" s="403">
        <v>1</v>
      </c>
      <c r="J148" s="403" t="s">
        <v>110</v>
      </c>
      <c r="K148" s="403">
        <v>1920</v>
      </c>
      <c r="L148" s="403">
        <v>1080</v>
      </c>
      <c r="M148" s="403" t="s">
        <v>1283</v>
      </c>
      <c r="N148" s="403">
        <v>720</v>
      </c>
      <c r="O148" s="403">
        <v>576</v>
      </c>
      <c r="P148" t="str">
        <f t="shared" si="17"/>
        <v>25fps 1080p - SD 4CIF resolution 4:3 format (cropped)</v>
      </c>
      <c r="Q148">
        <f t="shared" si="18"/>
        <v>2</v>
      </c>
      <c r="R148" t="str">
        <f t="shared" si="19"/>
        <v/>
      </c>
      <c r="S148" t="str">
        <f t="shared" si="20"/>
        <v/>
      </c>
      <c r="T148" s="403" t="str">
        <f t="shared" si="21"/>
        <v>MIC-7502-Z30x</v>
      </c>
      <c r="U148" s="403">
        <f t="shared" si="22"/>
        <v>1</v>
      </c>
      <c r="V148" s="403" t="str">
        <f t="shared" si="23"/>
        <v>CPP_7_3</v>
      </c>
    </row>
    <row r="149" spans="1:22">
      <c r="A149" t="str">
        <f t="shared" si="16"/>
        <v>MIC-7502-Z30x</v>
      </c>
      <c r="B149" s="403" t="s">
        <v>1356</v>
      </c>
      <c r="C149" s="403" t="s">
        <v>582</v>
      </c>
      <c r="D149" s="403" t="s">
        <v>1357</v>
      </c>
      <c r="E149" s="403" t="s">
        <v>1358</v>
      </c>
      <c r="F149" s="403" t="s">
        <v>1287</v>
      </c>
      <c r="G149" s="403" t="s">
        <v>1466</v>
      </c>
      <c r="H149" s="403" t="s">
        <v>1282</v>
      </c>
      <c r="I149" s="403">
        <v>1</v>
      </c>
      <c r="J149" s="403" t="s">
        <v>110</v>
      </c>
      <c r="K149" s="403">
        <v>1920</v>
      </c>
      <c r="L149" s="403">
        <v>1080</v>
      </c>
      <c r="M149" s="403" t="s">
        <v>1284</v>
      </c>
      <c r="N149" s="403">
        <v>640</v>
      </c>
      <c r="O149" s="403">
        <v>480</v>
      </c>
      <c r="P149" t="str">
        <f t="shared" si="17"/>
        <v>25fps 1080p - SD VGA (cropped)</v>
      </c>
      <c r="Q149">
        <f t="shared" si="18"/>
        <v>2</v>
      </c>
      <c r="R149" t="str">
        <f t="shared" si="19"/>
        <v/>
      </c>
      <c r="S149" t="str">
        <f t="shared" si="20"/>
        <v/>
      </c>
      <c r="T149" s="403" t="str">
        <f t="shared" si="21"/>
        <v>MIC-7502-Z30x</v>
      </c>
      <c r="U149" s="403">
        <f t="shared" si="22"/>
        <v>1</v>
      </c>
      <c r="V149" s="403" t="str">
        <f t="shared" si="23"/>
        <v>CPP_7_3</v>
      </c>
    </row>
    <row r="150" spans="1:22">
      <c r="A150" t="str">
        <f t="shared" si="16"/>
        <v>MIC-7502-Z30x</v>
      </c>
      <c r="B150" s="403" t="s">
        <v>1356</v>
      </c>
      <c r="C150" s="403" t="s">
        <v>582</v>
      </c>
      <c r="D150" s="403" t="s">
        <v>1357</v>
      </c>
      <c r="E150" s="403" t="s">
        <v>1358</v>
      </c>
      <c r="F150" s="403" t="s">
        <v>1287</v>
      </c>
      <c r="G150" s="403" t="s">
        <v>1466</v>
      </c>
      <c r="H150" s="403" t="s">
        <v>1282</v>
      </c>
      <c r="I150" s="403">
        <v>1</v>
      </c>
      <c r="J150" s="403" t="s">
        <v>109</v>
      </c>
      <c r="K150" s="403">
        <v>1280</v>
      </c>
      <c r="L150" s="403">
        <v>720</v>
      </c>
      <c r="M150" s="403" t="s">
        <v>109</v>
      </c>
      <c r="N150" s="403">
        <v>1280</v>
      </c>
      <c r="O150" s="403">
        <v>720</v>
      </c>
      <c r="P150" t="str">
        <f t="shared" si="17"/>
        <v>25fps 720p - 720p</v>
      </c>
      <c r="Q150">
        <f t="shared" si="18"/>
        <v>2</v>
      </c>
      <c r="R150" t="str">
        <f t="shared" si="19"/>
        <v/>
      </c>
      <c r="S150" t="str">
        <f t="shared" si="20"/>
        <v/>
      </c>
      <c r="T150" s="403" t="str">
        <f t="shared" si="21"/>
        <v>MIC-7502-Z30x</v>
      </c>
      <c r="U150" s="403">
        <f t="shared" si="22"/>
        <v>1</v>
      </c>
      <c r="V150" s="403" t="str">
        <f t="shared" si="23"/>
        <v>CPP_7_3</v>
      </c>
    </row>
    <row r="151" spans="1:22">
      <c r="A151" t="str">
        <f t="shared" si="16"/>
        <v>MIC-7502-Z30x</v>
      </c>
      <c r="B151" s="403" t="s">
        <v>1356</v>
      </c>
      <c r="C151" s="403" t="s">
        <v>582</v>
      </c>
      <c r="D151" s="403" t="s">
        <v>1357</v>
      </c>
      <c r="E151" s="403" t="s">
        <v>1358</v>
      </c>
      <c r="F151" s="403" t="s">
        <v>1287</v>
      </c>
      <c r="G151" s="403" t="s">
        <v>1466</v>
      </c>
      <c r="H151" s="403" t="s">
        <v>1282</v>
      </c>
      <c r="I151" s="403">
        <v>1</v>
      </c>
      <c r="J151" s="403" t="s">
        <v>109</v>
      </c>
      <c r="K151" s="403">
        <v>1280</v>
      </c>
      <c r="L151" s="403">
        <v>720</v>
      </c>
      <c r="M151" s="403" t="s">
        <v>111</v>
      </c>
      <c r="N151" s="403">
        <v>768</v>
      </c>
      <c r="O151" s="403">
        <v>432</v>
      </c>
      <c r="P151" t="str">
        <f t="shared" si="17"/>
        <v>25fps 720p - SD</v>
      </c>
      <c r="Q151">
        <f t="shared" si="18"/>
        <v>2</v>
      </c>
      <c r="R151" t="str">
        <f t="shared" si="19"/>
        <v/>
      </c>
      <c r="S151" t="str">
        <f t="shared" si="20"/>
        <v/>
      </c>
      <c r="T151" s="403" t="str">
        <f t="shared" si="21"/>
        <v>MIC-7502-Z30x</v>
      </c>
      <c r="U151" s="403">
        <f t="shared" si="22"/>
        <v>1</v>
      </c>
      <c r="V151" s="403" t="str">
        <f t="shared" si="23"/>
        <v>CPP_7_3</v>
      </c>
    </row>
    <row r="152" spans="1:22">
      <c r="A152" t="str">
        <f t="shared" si="16"/>
        <v>MIC-7502-Z30x</v>
      </c>
      <c r="B152" s="403" t="s">
        <v>1356</v>
      </c>
      <c r="C152" s="403" t="s">
        <v>582</v>
      </c>
      <c r="D152" s="403" t="s">
        <v>1357</v>
      </c>
      <c r="E152" s="403" t="s">
        <v>1358</v>
      </c>
      <c r="F152" s="403" t="s">
        <v>1287</v>
      </c>
      <c r="G152" s="403" t="s">
        <v>1466</v>
      </c>
      <c r="H152" s="403" t="s">
        <v>1282</v>
      </c>
      <c r="I152" s="403">
        <v>1</v>
      </c>
      <c r="J152" s="403" t="s">
        <v>109</v>
      </c>
      <c r="K152" s="403">
        <v>1280</v>
      </c>
      <c r="L152" s="403">
        <v>720</v>
      </c>
      <c r="M152" s="403" t="s">
        <v>1283</v>
      </c>
      <c r="N152" s="403">
        <v>720</v>
      </c>
      <c r="O152" s="403">
        <v>576</v>
      </c>
      <c r="P152" t="str">
        <f t="shared" si="17"/>
        <v>25fps 720p - SD 4CIF resolution 4:3 format (cropped)</v>
      </c>
      <c r="Q152">
        <f t="shared" si="18"/>
        <v>2</v>
      </c>
      <c r="R152" t="str">
        <f t="shared" si="19"/>
        <v/>
      </c>
      <c r="S152" t="str">
        <f t="shared" si="20"/>
        <v/>
      </c>
      <c r="T152" s="403" t="str">
        <f t="shared" si="21"/>
        <v>MIC-7502-Z30x</v>
      </c>
      <c r="U152" s="403">
        <f t="shared" si="22"/>
        <v>1</v>
      </c>
      <c r="V152" s="403" t="str">
        <f t="shared" si="23"/>
        <v>CPP_7_3</v>
      </c>
    </row>
    <row r="153" spans="1:22">
      <c r="A153" t="str">
        <f t="shared" si="16"/>
        <v>MIC-7502-Z30x</v>
      </c>
      <c r="B153" s="403" t="s">
        <v>1356</v>
      </c>
      <c r="C153" s="403" t="s">
        <v>582</v>
      </c>
      <c r="D153" s="403" t="s">
        <v>1357</v>
      </c>
      <c r="E153" s="403" t="s">
        <v>1358</v>
      </c>
      <c r="F153" s="403" t="s">
        <v>1287</v>
      </c>
      <c r="G153" s="403" t="s">
        <v>1466</v>
      </c>
      <c r="H153" s="403" t="s">
        <v>1282</v>
      </c>
      <c r="I153" s="403">
        <v>1</v>
      </c>
      <c r="J153" s="403" t="s">
        <v>109</v>
      </c>
      <c r="K153" s="403">
        <v>1280</v>
      </c>
      <c r="L153" s="403">
        <v>720</v>
      </c>
      <c r="M153" s="403" t="s">
        <v>1284</v>
      </c>
      <c r="N153" s="403">
        <v>640</v>
      </c>
      <c r="O153" s="403">
        <v>480</v>
      </c>
      <c r="P153" t="str">
        <f t="shared" si="17"/>
        <v>25fps 720p - SD VGA (cropped)</v>
      </c>
      <c r="Q153">
        <f t="shared" si="18"/>
        <v>2</v>
      </c>
      <c r="R153" t="str">
        <f t="shared" si="19"/>
        <v/>
      </c>
      <c r="S153" t="str">
        <f t="shared" si="20"/>
        <v/>
      </c>
      <c r="T153" s="403" t="str">
        <f t="shared" si="21"/>
        <v>MIC-7502-Z30x</v>
      </c>
      <c r="U153" s="403">
        <f t="shared" si="22"/>
        <v>1</v>
      </c>
      <c r="V153" s="403" t="str">
        <f t="shared" si="23"/>
        <v>CPP_7_3</v>
      </c>
    </row>
    <row r="154" spans="1:22">
      <c r="A154" t="str">
        <f t="shared" si="16"/>
        <v>MIC-7502-Z30x</v>
      </c>
      <c r="B154" s="403" t="s">
        <v>1356</v>
      </c>
      <c r="C154" s="403" t="s">
        <v>582</v>
      </c>
      <c r="D154" s="403" t="s">
        <v>1357</v>
      </c>
      <c r="E154" s="403" t="s">
        <v>1358</v>
      </c>
      <c r="F154" s="403" t="s">
        <v>1286</v>
      </c>
      <c r="G154" s="403" t="s">
        <v>1466</v>
      </c>
      <c r="H154" s="403" t="s">
        <v>1276</v>
      </c>
      <c r="I154" s="403">
        <v>1</v>
      </c>
      <c r="J154" s="403" t="s">
        <v>110</v>
      </c>
      <c r="K154" s="403">
        <v>1920</v>
      </c>
      <c r="L154" s="403">
        <v>1080</v>
      </c>
      <c r="M154" s="403" t="s">
        <v>111</v>
      </c>
      <c r="N154" s="403">
        <v>768</v>
      </c>
      <c r="O154" s="403">
        <v>432</v>
      </c>
      <c r="P154" t="str">
        <f t="shared" si="17"/>
        <v>30fps 1080p - SD</v>
      </c>
      <c r="Q154">
        <f t="shared" si="18"/>
        <v>2</v>
      </c>
      <c r="R154" t="str">
        <f t="shared" si="19"/>
        <v/>
      </c>
      <c r="S154" t="str">
        <f t="shared" si="20"/>
        <v/>
      </c>
      <c r="T154" s="403" t="str">
        <f t="shared" si="21"/>
        <v>MIC-7502-Z30x</v>
      </c>
      <c r="U154" s="403">
        <f t="shared" si="22"/>
        <v>1</v>
      </c>
      <c r="V154" s="403" t="str">
        <f t="shared" si="23"/>
        <v>CPP_7_3</v>
      </c>
    </row>
    <row r="155" spans="1:22">
      <c r="A155" t="str">
        <f t="shared" si="16"/>
        <v>MIC-7502-Z30x</v>
      </c>
      <c r="B155" s="403" t="s">
        <v>1356</v>
      </c>
      <c r="C155" s="403" t="s">
        <v>582</v>
      </c>
      <c r="D155" s="403" t="s">
        <v>1357</v>
      </c>
      <c r="E155" s="403" t="s">
        <v>1358</v>
      </c>
      <c r="F155" s="403" t="s">
        <v>1286</v>
      </c>
      <c r="G155" s="403" t="s">
        <v>1466</v>
      </c>
      <c r="H155" s="403" t="s">
        <v>1276</v>
      </c>
      <c r="I155" s="403">
        <v>1</v>
      </c>
      <c r="J155" s="403" t="s">
        <v>110</v>
      </c>
      <c r="K155" s="403">
        <v>1920</v>
      </c>
      <c r="L155" s="403">
        <v>1080</v>
      </c>
      <c r="M155" s="403" t="s">
        <v>110</v>
      </c>
      <c r="N155" s="403">
        <v>1920</v>
      </c>
      <c r="O155" s="403">
        <v>1080</v>
      </c>
      <c r="P155" t="str">
        <f t="shared" si="17"/>
        <v>30fps 1080p - 1080p</v>
      </c>
      <c r="Q155">
        <f t="shared" si="18"/>
        <v>2</v>
      </c>
      <c r="R155" t="str">
        <f t="shared" si="19"/>
        <v/>
      </c>
      <c r="S155" t="str">
        <f t="shared" si="20"/>
        <v/>
      </c>
      <c r="T155" s="403" t="str">
        <f t="shared" si="21"/>
        <v>MIC-7502-Z30x</v>
      </c>
      <c r="U155" s="403">
        <f t="shared" si="22"/>
        <v>1</v>
      </c>
      <c r="V155" s="403" t="str">
        <f t="shared" si="23"/>
        <v>CPP_7_3</v>
      </c>
    </row>
    <row r="156" spans="1:22">
      <c r="A156" t="str">
        <f t="shared" si="16"/>
        <v>MIC-7502-Z30x</v>
      </c>
      <c r="B156" s="403" t="s">
        <v>1356</v>
      </c>
      <c r="C156" s="403" t="s">
        <v>582</v>
      </c>
      <c r="D156" s="403" t="s">
        <v>1357</v>
      </c>
      <c r="E156" s="403" t="s">
        <v>1358</v>
      </c>
      <c r="F156" s="403" t="s">
        <v>1286</v>
      </c>
      <c r="G156" s="403" t="s">
        <v>1466</v>
      </c>
      <c r="H156" s="403" t="s">
        <v>1276</v>
      </c>
      <c r="I156" s="403">
        <v>1</v>
      </c>
      <c r="J156" s="403" t="s">
        <v>110</v>
      </c>
      <c r="K156" s="403">
        <v>1920</v>
      </c>
      <c r="L156" s="403">
        <v>1080</v>
      </c>
      <c r="M156" s="403" t="s">
        <v>109</v>
      </c>
      <c r="N156" s="403">
        <v>1280</v>
      </c>
      <c r="O156" s="403">
        <v>720</v>
      </c>
      <c r="P156" t="str">
        <f t="shared" si="17"/>
        <v>30fps 1080p - 720p</v>
      </c>
      <c r="Q156">
        <f t="shared" si="18"/>
        <v>2</v>
      </c>
      <c r="R156" t="str">
        <f t="shared" si="19"/>
        <v/>
      </c>
      <c r="S156" t="str">
        <f t="shared" si="20"/>
        <v/>
      </c>
      <c r="T156" s="403" t="str">
        <f t="shared" si="21"/>
        <v>MIC-7502-Z30x</v>
      </c>
      <c r="U156" s="403">
        <f t="shared" si="22"/>
        <v>1</v>
      </c>
      <c r="V156" s="403" t="str">
        <f t="shared" si="23"/>
        <v>CPP_7_3</v>
      </c>
    </row>
    <row r="157" spans="1:22">
      <c r="A157" t="str">
        <f t="shared" si="16"/>
        <v>MIC-7502-Z30x</v>
      </c>
      <c r="B157" s="403" t="s">
        <v>1356</v>
      </c>
      <c r="C157" s="403" t="s">
        <v>582</v>
      </c>
      <c r="D157" s="403" t="s">
        <v>1357</v>
      </c>
      <c r="E157" s="403" t="s">
        <v>1358</v>
      </c>
      <c r="F157" s="403" t="s">
        <v>1286</v>
      </c>
      <c r="G157" s="403" t="s">
        <v>1466</v>
      </c>
      <c r="H157" s="403" t="s">
        <v>1276</v>
      </c>
      <c r="I157" s="403">
        <v>1</v>
      </c>
      <c r="J157" s="403" t="s">
        <v>110</v>
      </c>
      <c r="K157" s="403">
        <v>1920</v>
      </c>
      <c r="L157" s="403">
        <v>1080</v>
      </c>
      <c r="M157" s="403" t="s">
        <v>1285</v>
      </c>
      <c r="N157" s="403">
        <v>1280</v>
      </c>
      <c r="O157" s="403">
        <v>1024</v>
      </c>
      <c r="P157" t="str">
        <f t="shared" si="17"/>
        <v>30fps 1080p - 1280x1024 5:4 (cropped)</v>
      </c>
      <c r="Q157">
        <f t="shared" si="18"/>
        <v>2</v>
      </c>
      <c r="R157" t="str">
        <f t="shared" si="19"/>
        <v/>
      </c>
      <c r="S157" t="str">
        <f t="shared" si="20"/>
        <v/>
      </c>
      <c r="T157" s="403" t="str">
        <f t="shared" si="21"/>
        <v>MIC-7502-Z30x</v>
      </c>
      <c r="U157" s="403">
        <f t="shared" si="22"/>
        <v>1</v>
      </c>
      <c r="V157" s="403" t="str">
        <f t="shared" si="23"/>
        <v>CPP_7_3</v>
      </c>
    </row>
    <row r="158" spans="1:22">
      <c r="A158" t="str">
        <f t="shared" si="16"/>
        <v>MIC-7502-Z30x</v>
      </c>
      <c r="B158" s="403" t="s">
        <v>1356</v>
      </c>
      <c r="C158" s="403" t="s">
        <v>582</v>
      </c>
      <c r="D158" s="403" t="s">
        <v>1357</v>
      </c>
      <c r="E158" s="403" t="s">
        <v>1358</v>
      </c>
      <c r="F158" s="403" t="s">
        <v>1286</v>
      </c>
      <c r="G158" s="403" t="s">
        <v>1466</v>
      </c>
      <c r="H158" s="403" t="s">
        <v>1276</v>
      </c>
      <c r="I158" s="403">
        <v>1</v>
      </c>
      <c r="J158" s="403" t="s">
        <v>110</v>
      </c>
      <c r="K158" s="403">
        <v>1920</v>
      </c>
      <c r="L158" s="403">
        <v>1080</v>
      </c>
      <c r="M158" s="403" t="s">
        <v>1283</v>
      </c>
      <c r="N158" s="403">
        <v>720</v>
      </c>
      <c r="O158" s="403">
        <v>480</v>
      </c>
      <c r="P158" t="str">
        <f t="shared" si="17"/>
        <v>30fps 1080p - SD 4CIF resolution 4:3 format (cropped)</v>
      </c>
      <c r="Q158">
        <f t="shared" si="18"/>
        <v>2</v>
      </c>
      <c r="R158" t="str">
        <f t="shared" si="19"/>
        <v/>
      </c>
      <c r="S158" t="str">
        <f t="shared" si="20"/>
        <v/>
      </c>
      <c r="T158" s="403" t="str">
        <f t="shared" si="21"/>
        <v>MIC-7502-Z30x</v>
      </c>
      <c r="U158" s="403">
        <f t="shared" si="22"/>
        <v>1</v>
      </c>
      <c r="V158" s="403" t="str">
        <f t="shared" si="23"/>
        <v>CPP_7_3</v>
      </c>
    </row>
    <row r="159" spans="1:22">
      <c r="A159" t="str">
        <f t="shared" si="16"/>
        <v>MIC-7502-Z30x</v>
      </c>
      <c r="B159" s="403" t="s">
        <v>1356</v>
      </c>
      <c r="C159" s="403" t="s">
        <v>582</v>
      </c>
      <c r="D159" s="403" t="s">
        <v>1357</v>
      </c>
      <c r="E159" s="403" t="s">
        <v>1358</v>
      </c>
      <c r="F159" s="403" t="s">
        <v>1286</v>
      </c>
      <c r="G159" s="403" t="s">
        <v>1466</v>
      </c>
      <c r="H159" s="403" t="s">
        <v>1276</v>
      </c>
      <c r="I159" s="403">
        <v>1</v>
      </c>
      <c r="J159" s="403" t="s">
        <v>110</v>
      </c>
      <c r="K159" s="403">
        <v>1920</v>
      </c>
      <c r="L159" s="403">
        <v>1080</v>
      </c>
      <c r="M159" s="403" t="s">
        <v>1284</v>
      </c>
      <c r="N159" s="403">
        <v>640</v>
      </c>
      <c r="O159" s="403">
        <v>480</v>
      </c>
      <c r="P159" t="str">
        <f t="shared" si="17"/>
        <v>30fps 1080p - SD VGA (cropped)</v>
      </c>
      <c r="Q159">
        <f t="shared" si="18"/>
        <v>2</v>
      </c>
      <c r="R159" t="str">
        <f t="shared" si="19"/>
        <v/>
      </c>
      <c r="S159" t="str">
        <f t="shared" si="20"/>
        <v/>
      </c>
      <c r="T159" s="403" t="str">
        <f t="shared" si="21"/>
        <v>MIC-7502-Z30x</v>
      </c>
      <c r="U159" s="403">
        <f t="shared" si="22"/>
        <v>1</v>
      </c>
      <c r="V159" s="403" t="str">
        <f t="shared" si="23"/>
        <v>CPP_7_3</v>
      </c>
    </row>
    <row r="160" spans="1:22">
      <c r="A160" t="str">
        <f t="shared" si="16"/>
        <v>MIC-7502-Z30x</v>
      </c>
      <c r="B160" s="403" t="s">
        <v>1356</v>
      </c>
      <c r="C160" s="403" t="s">
        <v>582</v>
      </c>
      <c r="D160" s="403" t="s">
        <v>1357</v>
      </c>
      <c r="E160" s="403" t="s">
        <v>1358</v>
      </c>
      <c r="F160" s="403" t="s">
        <v>1286</v>
      </c>
      <c r="G160" s="403" t="s">
        <v>1466</v>
      </c>
      <c r="H160" s="403" t="s">
        <v>1276</v>
      </c>
      <c r="I160" s="403">
        <v>1</v>
      </c>
      <c r="J160" s="403" t="s">
        <v>109</v>
      </c>
      <c r="K160" s="403">
        <v>1280</v>
      </c>
      <c r="L160" s="403">
        <v>720</v>
      </c>
      <c r="M160" s="403" t="s">
        <v>109</v>
      </c>
      <c r="N160" s="403">
        <v>1280</v>
      </c>
      <c r="O160" s="403">
        <v>720</v>
      </c>
      <c r="P160" t="str">
        <f t="shared" si="17"/>
        <v>30fps 720p - 720p</v>
      </c>
      <c r="Q160">
        <f t="shared" si="18"/>
        <v>2</v>
      </c>
      <c r="R160" t="str">
        <f t="shared" si="19"/>
        <v/>
      </c>
      <c r="S160" t="str">
        <f t="shared" si="20"/>
        <v/>
      </c>
      <c r="T160" s="403" t="str">
        <f t="shared" si="21"/>
        <v>MIC-7502-Z30x</v>
      </c>
      <c r="U160" s="403">
        <f t="shared" si="22"/>
        <v>1</v>
      </c>
      <c r="V160" s="403" t="str">
        <f t="shared" si="23"/>
        <v>CPP_7_3</v>
      </c>
    </row>
    <row r="161" spans="1:22">
      <c r="A161" t="str">
        <f t="shared" si="16"/>
        <v>MIC-7502-Z30x</v>
      </c>
      <c r="B161" s="403" t="s">
        <v>1356</v>
      </c>
      <c r="C161" s="403" t="s">
        <v>582</v>
      </c>
      <c r="D161" s="403" t="s">
        <v>1357</v>
      </c>
      <c r="E161" s="403" t="s">
        <v>1358</v>
      </c>
      <c r="F161" s="403" t="s">
        <v>1286</v>
      </c>
      <c r="G161" s="403" t="s">
        <v>1466</v>
      </c>
      <c r="H161" s="403" t="s">
        <v>1276</v>
      </c>
      <c r="I161" s="403">
        <v>1</v>
      </c>
      <c r="J161" s="403" t="s">
        <v>109</v>
      </c>
      <c r="K161" s="403">
        <v>1280</v>
      </c>
      <c r="L161" s="403">
        <v>720</v>
      </c>
      <c r="M161" s="403" t="s">
        <v>111</v>
      </c>
      <c r="N161" s="403">
        <v>768</v>
      </c>
      <c r="O161" s="403">
        <v>432</v>
      </c>
      <c r="P161" t="str">
        <f t="shared" si="17"/>
        <v>30fps 720p - SD</v>
      </c>
      <c r="Q161">
        <f t="shared" si="18"/>
        <v>2</v>
      </c>
      <c r="R161" t="str">
        <f t="shared" si="19"/>
        <v/>
      </c>
      <c r="S161" t="str">
        <f t="shared" si="20"/>
        <v/>
      </c>
      <c r="T161" s="403" t="str">
        <f t="shared" si="21"/>
        <v>MIC-7502-Z30x</v>
      </c>
      <c r="U161" s="403">
        <f t="shared" si="22"/>
        <v>1</v>
      </c>
      <c r="V161" s="403" t="str">
        <f t="shared" si="23"/>
        <v>CPP_7_3</v>
      </c>
    </row>
    <row r="162" spans="1:22">
      <c r="A162" t="str">
        <f t="shared" si="16"/>
        <v>MIC-7502-Z30x</v>
      </c>
      <c r="B162" s="403" t="s">
        <v>1356</v>
      </c>
      <c r="C162" s="403" t="s">
        <v>582</v>
      </c>
      <c r="D162" s="403" t="s">
        <v>1357</v>
      </c>
      <c r="E162" s="403" t="s">
        <v>1358</v>
      </c>
      <c r="F162" s="403" t="s">
        <v>1286</v>
      </c>
      <c r="G162" s="403" t="s">
        <v>1466</v>
      </c>
      <c r="H162" s="403" t="s">
        <v>1276</v>
      </c>
      <c r="I162" s="403">
        <v>1</v>
      </c>
      <c r="J162" s="403" t="s">
        <v>109</v>
      </c>
      <c r="K162" s="403">
        <v>1280</v>
      </c>
      <c r="L162" s="403">
        <v>720</v>
      </c>
      <c r="M162" s="403" t="s">
        <v>1283</v>
      </c>
      <c r="N162" s="403">
        <v>720</v>
      </c>
      <c r="O162" s="403">
        <v>480</v>
      </c>
      <c r="P162" t="str">
        <f t="shared" si="17"/>
        <v>30fps 720p - SD 4CIF resolution 4:3 format (cropped)</v>
      </c>
      <c r="Q162">
        <f t="shared" si="18"/>
        <v>2</v>
      </c>
      <c r="R162" t="str">
        <f t="shared" si="19"/>
        <v/>
      </c>
      <c r="S162" t="str">
        <f t="shared" si="20"/>
        <v/>
      </c>
      <c r="T162" s="403" t="str">
        <f t="shared" si="21"/>
        <v>MIC-7502-Z30x</v>
      </c>
      <c r="U162" s="403">
        <f t="shared" si="22"/>
        <v>1</v>
      </c>
      <c r="V162" s="403" t="str">
        <f t="shared" si="23"/>
        <v>CPP_7_3</v>
      </c>
    </row>
    <row r="163" spans="1:22">
      <c r="A163" t="str">
        <f t="shared" si="16"/>
        <v>MIC-7502-Z30x</v>
      </c>
      <c r="B163" s="403" t="s">
        <v>1356</v>
      </c>
      <c r="C163" s="403" t="s">
        <v>582</v>
      </c>
      <c r="D163" s="403" t="s">
        <v>1357</v>
      </c>
      <c r="E163" s="403" t="s">
        <v>1358</v>
      </c>
      <c r="F163" s="403" t="s">
        <v>1286</v>
      </c>
      <c r="G163" s="403" t="s">
        <v>1466</v>
      </c>
      <c r="H163" s="403" t="s">
        <v>1276</v>
      </c>
      <c r="I163" s="403">
        <v>1</v>
      </c>
      <c r="J163" s="403" t="s">
        <v>109</v>
      </c>
      <c r="K163" s="403">
        <v>1280</v>
      </c>
      <c r="L163" s="403">
        <v>720</v>
      </c>
      <c r="M163" s="403" t="s">
        <v>1284</v>
      </c>
      <c r="N163" s="403">
        <v>640</v>
      </c>
      <c r="O163" s="403">
        <v>480</v>
      </c>
      <c r="P163" t="str">
        <f t="shared" si="17"/>
        <v>30fps 720p - SD VGA (cropped)</v>
      </c>
      <c r="Q163">
        <f t="shared" si="18"/>
        <v>2</v>
      </c>
      <c r="R163" t="str">
        <f t="shared" si="19"/>
        <v/>
      </c>
      <c r="S163" t="str">
        <f t="shared" si="20"/>
        <v/>
      </c>
      <c r="T163" s="403" t="str">
        <f t="shared" si="21"/>
        <v>MIC-7502-Z30x</v>
      </c>
      <c r="U163" s="403">
        <f t="shared" si="22"/>
        <v>1</v>
      </c>
      <c r="V163" s="403" t="str">
        <f t="shared" si="23"/>
        <v>CPP_7_3</v>
      </c>
    </row>
    <row r="164" spans="1:22">
      <c r="A164" t="str">
        <f t="shared" si="16"/>
        <v>MIC-7502-Z30x</v>
      </c>
      <c r="B164" s="403" t="s">
        <v>1356</v>
      </c>
      <c r="C164" s="403" t="s">
        <v>582</v>
      </c>
      <c r="D164" s="403" t="s">
        <v>1357</v>
      </c>
      <c r="E164" s="403" t="s">
        <v>1358</v>
      </c>
      <c r="F164" s="403" t="s">
        <v>1286</v>
      </c>
      <c r="G164" s="403" t="s">
        <v>1466</v>
      </c>
      <c r="H164" s="403" t="s">
        <v>1281</v>
      </c>
      <c r="I164" s="403">
        <v>1</v>
      </c>
      <c r="J164" s="403" t="s">
        <v>110</v>
      </c>
      <c r="K164" s="403">
        <v>1920</v>
      </c>
      <c r="L164" s="403">
        <v>1080</v>
      </c>
      <c r="M164" s="403" t="s">
        <v>111</v>
      </c>
      <c r="N164" s="403">
        <v>768</v>
      </c>
      <c r="O164" s="403">
        <v>432</v>
      </c>
      <c r="P164" t="str">
        <f t="shared" si="17"/>
        <v>30fps 1080p - SD</v>
      </c>
      <c r="Q164">
        <f t="shared" si="18"/>
        <v>2</v>
      </c>
      <c r="R164" t="str">
        <f t="shared" si="19"/>
        <v/>
      </c>
      <c r="S164" t="str">
        <f t="shared" si="20"/>
        <v/>
      </c>
      <c r="T164" s="403" t="str">
        <f t="shared" si="21"/>
        <v>MIC-7502-Z30x</v>
      </c>
      <c r="U164" s="403">
        <f t="shared" si="22"/>
        <v>1</v>
      </c>
      <c r="V164" s="403" t="str">
        <f t="shared" si="23"/>
        <v>CPP_7_3</v>
      </c>
    </row>
    <row r="165" spans="1:22">
      <c r="A165" t="str">
        <f t="shared" si="16"/>
        <v>MIC-7502-Z30x</v>
      </c>
      <c r="B165" s="403" t="s">
        <v>1356</v>
      </c>
      <c r="C165" s="403" t="s">
        <v>582</v>
      </c>
      <c r="D165" s="403" t="s">
        <v>1357</v>
      </c>
      <c r="E165" s="403" t="s">
        <v>1358</v>
      </c>
      <c r="F165" s="403" t="s">
        <v>1286</v>
      </c>
      <c r="G165" s="403" t="s">
        <v>1466</v>
      </c>
      <c r="H165" s="403" t="s">
        <v>1281</v>
      </c>
      <c r="I165" s="403">
        <v>1</v>
      </c>
      <c r="J165" s="403" t="s">
        <v>110</v>
      </c>
      <c r="K165" s="403">
        <v>1920</v>
      </c>
      <c r="L165" s="403">
        <v>1080</v>
      </c>
      <c r="M165" s="403" t="s">
        <v>110</v>
      </c>
      <c r="N165" s="403">
        <v>1920</v>
      </c>
      <c r="O165" s="403">
        <v>1080</v>
      </c>
      <c r="P165" t="str">
        <f t="shared" si="17"/>
        <v>30fps 1080p - 1080p</v>
      </c>
      <c r="Q165">
        <f t="shared" si="18"/>
        <v>2</v>
      </c>
      <c r="R165" t="str">
        <f t="shared" si="19"/>
        <v/>
      </c>
      <c r="S165" t="str">
        <f t="shared" si="20"/>
        <v/>
      </c>
      <c r="T165" s="403" t="str">
        <f t="shared" si="21"/>
        <v>MIC-7502-Z30x</v>
      </c>
      <c r="U165" s="403">
        <f t="shared" si="22"/>
        <v>1</v>
      </c>
      <c r="V165" s="403" t="str">
        <f t="shared" si="23"/>
        <v>CPP_7_3</v>
      </c>
    </row>
    <row r="166" spans="1:22">
      <c r="A166" t="str">
        <f t="shared" si="16"/>
        <v>MIC-7502-Z30x</v>
      </c>
      <c r="B166" s="403" t="s">
        <v>1356</v>
      </c>
      <c r="C166" s="403" t="s">
        <v>582</v>
      </c>
      <c r="D166" s="403" t="s">
        <v>1357</v>
      </c>
      <c r="E166" s="403" t="s">
        <v>1358</v>
      </c>
      <c r="F166" s="403" t="s">
        <v>1286</v>
      </c>
      <c r="G166" s="403" t="s">
        <v>1466</v>
      </c>
      <c r="H166" s="403" t="s">
        <v>1281</v>
      </c>
      <c r="I166" s="403">
        <v>1</v>
      </c>
      <c r="J166" s="403" t="s">
        <v>110</v>
      </c>
      <c r="K166" s="403">
        <v>1920</v>
      </c>
      <c r="L166" s="403">
        <v>1080</v>
      </c>
      <c r="M166" s="403" t="s">
        <v>109</v>
      </c>
      <c r="N166" s="403">
        <v>1280</v>
      </c>
      <c r="O166" s="403">
        <v>720</v>
      </c>
      <c r="P166" t="str">
        <f t="shared" si="17"/>
        <v>30fps 1080p - 720p</v>
      </c>
      <c r="Q166">
        <f t="shared" si="18"/>
        <v>2</v>
      </c>
      <c r="R166" t="str">
        <f t="shared" si="19"/>
        <v/>
      </c>
      <c r="S166" t="str">
        <f t="shared" si="20"/>
        <v/>
      </c>
      <c r="T166" s="403" t="str">
        <f t="shared" si="21"/>
        <v>MIC-7502-Z30x</v>
      </c>
      <c r="U166" s="403">
        <f t="shared" si="22"/>
        <v>1</v>
      </c>
      <c r="V166" s="403" t="str">
        <f t="shared" si="23"/>
        <v>CPP_7_3</v>
      </c>
    </row>
    <row r="167" spans="1:22">
      <c r="A167" t="str">
        <f t="shared" si="16"/>
        <v>MIC-7502-Z30x</v>
      </c>
      <c r="B167" s="403" t="s">
        <v>1356</v>
      </c>
      <c r="C167" s="403" t="s">
        <v>582</v>
      </c>
      <c r="D167" s="403" t="s">
        <v>1357</v>
      </c>
      <c r="E167" s="403" t="s">
        <v>1358</v>
      </c>
      <c r="F167" s="403" t="s">
        <v>1286</v>
      </c>
      <c r="G167" s="403" t="s">
        <v>1466</v>
      </c>
      <c r="H167" s="403" t="s">
        <v>1281</v>
      </c>
      <c r="I167" s="403">
        <v>1</v>
      </c>
      <c r="J167" s="403" t="s">
        <v>110</v>
      </c>
      <c r="K167" s="403">
        <v>1920</v>
      </c>
      <c r="L167" s="403">
        <v>1080</v>
      </c>
      <c r="M167" s="403" t="s">
        <v>1285</v>
      </c>
      <c r="N167" s="403">
        <v>1280</v>
      </c>
      <c r="O167" s="403">
        <v>1024</v>
      </c>
      <c r="P167" t="str">
        <f t="shared" si="17"/>
        <v>30fps 1080p - 1280x1024 5:4 (cropped)</v>
      </c>
      <c r="Q167">
        <f t="shared" si="18"/>
        <v>2</v>
      </c>
      <c r="R167" t="str">
        <f t="shared" si="19"/>
        <v/>
      </c>
      <c r="S167" t="str">
        <f t="shared" si="20"/>
        <v/>
      </c>
      <c r="T167" s="403" t="str">
        <f t="shared" si="21"/>
        <v>MIC-7502-Z30x</v>
      </c>
      <c r="U167" s="403">
        <f t="shared" si="22"/>
        <v>1</v>
      </c>
      <c r="V167" s="403" t="str">
        <f t="shared" si="23"/>
        <v>CPP_7_3</v>
      </c>
    </row>
    <row r="168" spans="1:22">
      <c r="A168" t="str">
        <f t="shared" si="16"/>
        <v>MIC-7502-Z30x</v>
      </c>
      <c r="B168" s="403" t="s">
        <v>1356</v>
      </c>
      <c r="C168" s="403" t="s">
        <v>582</v>
      </c>
      <c r="D168" s="403" t="s">
        <v>1357</v>
      </c>
      <c r="E168" s="403" t="s">
        <v>1358</v>
      </c>
      <c r="F168" s="403" t="s">
        <v>1286</v>
      </c>
      <c r="G168" s="403" t="s">
        <v>1466</v>
      </c>
      <c r="H168" s="403" t="s">
        <v>1281</v>
      </c>
      <c r="I168" s="403">
        <v>1</v>
      </c>
      <c r="J168" s="403" t="s">
        <v>110</v>
      </c>
      <c r="K168" s="403">
        <v>1920</v>
      </c>
      <c r="L168" s="403">
        <v>1080</v>
      </c>
      <c r="M168" s="403" t="s">
        <v>1283</v>
      </c>
      <c r="N168" s="403">
        <v>720</v>
      </c>
      <c r="O168" s="403">
        <v>480</v>
      </c>
      <c r="P168" t="str">
        <f t="shared" si="17"/>
        <v>30fps 1080p - SD 4CIF resolution 4:3 format (cropped)</v>
      </c>
      <c r="Q168">
        <f t="shared" si="18"/>
        <v>2</v>
      </c>
      <c r="R168" t="str">
        <f t="shared" si="19"/>
        <v/>
      </c>
      <c r="S168" t="str">
        <f t="shared" si="20"/>
        <v/>
      </c>
      <c r="T168" s="403" t="str">
        <f t="shared" si="21"/>
        <v>MIC-7502-Z30x</v>
      </c>
      <c r="U168" s="403">
        <f t="shared" si="22"/>
        <v>1</v>
      </c>
      <c r="V168" s="403" t="str">
        <f t="shared" si="23"/>
        <v>CPP_7_3</v>
      </c>
    </row>
    <row r="169" spans="1:22">
      <c r="A169" t="str">
        <f t="shared" si="16"/>
        <v>MIC-7502-Z30x</v>
      </c>
      <c r="B169" s="403" t="s">
        <v>1356</v>
      </c>
      <c r="C169" s="403" t="s">
        <v>582</v>
      </c>
      <c r="D169" s="403" t="s">
        <v>1357</v>
      </c>
      <c r="E169" s="403" t="s">
        <v>1358</v>
      </c>
      <c r="F169" s="403" t="s">
        <v>1286</v>
      </c>
      <c r="G169" s="403" t="s">
        <v>1466</v>
      </c>
      <c r="H169" s="403" t="s">
        <v>1281</v>
      </c>
      <c r="I169" s="403">
        <v>1</v>
      </c>
      <c r="J169" s="403" t="s">
        <v>110</v>
      </c>
      <c r="K169" s="403">
        <v>1920</v>
      </c>
      <c r="L169" s="403">
        <v>1080</v>
      </c>
      <c r="M169" s="403" t="s">
        <v>1284</v>
      </c>
      <c r="N169" s="403">
        <v>640</v>
      </c>
      <c r="O169" s="403">
        <v>480</v>
      </c>
      <c r="P169" t="str">
        <f t="shared" si="17"/>
        <v>30fps 1080p - SD VGA (cropped)</v>
      </c>
      <c r="Q169">
        <f t="shared" si="18"/>
        <v>2</v>
      </c>
      <c r="R169" t="str">
        <f t="shared" si="19"/>
        <v/>
      </c>
      <c r="S169" t="str">
        <f t="shared" si="20"/>
        <v/>
      </c>
      <c r="T169" s="403" t="str">
        <f t="shared" si="21"/>
        <v>MIC-7502-Z30x</v>
      </c>
      <c r="U169" s="403">
        <f t="shared" si="22"/>
        <v>1</v>
      </c>
      <c r="V169" s="403" t="str">
        <f t="shared" si="23"/>
        <v>CPP_7_3</v>
      </c>
    </row>
    <row r="170" spans="1:22">
      <c r="A170" t="str">
        <f t="shared" si="16"/>
        <v>MIC-7502-Z30x</v>
      </c>
      <c r="B170" s="403" t="s">
        <v>1356</v>
      </c>
      <c r="C170" s="403" t="s">
        <v>582</v>
      </c>
      <c r="D170" s="403" t="s">
        <v>1357</v>
      </c>
      <c r="E170" s="403" t="s">
        <v>1358</v>
      </c>
      <c r="F170" s="403" t="s">
        <v>1286</v>
      </c>
      <c r="G170" s="403" t="s">
        <v>1466</v>
      </c>
      <c r="H170" s="403" t="s">
        <v>1281</v>
      </c>
      <c r="I170" s="403">
        <v>1</v>
      </c>
      <c r="J170" s="403" t="s">
        <v>109</v>
      </c>
      <c r="K170" s="403">
        <v>1280</v>
      </c>
      <c r="L170" s="403">
        <v>720</v>
      </c>
      <c r="M170" s="403" t="s">
        <v>109</v>
      </c>
      <c r="N170" s="403">
        <v>1280</v>
      </c>
      <c r="O170" s="403">
        <v>720</v>
      </c>
      <c r="P170" t="str">
        <f t="shared" si="17"/>
        <v>30fps 720p - 720p</v>
      </c>
      <c r="Q170">
        <f t="shared" si="18"/>
        <v>2</v>
      </c>
      <c r="R170" t="str">
        <f t="shared" si="19"/>
        <v/>
      </c>
      <c r="S170" t="str">
        <f t="shared" si="20"/>
        <v/>
      </c>
      <c r="T170" s="403" t="str">
        <f t="shared" si="21"/>
        <v>MIC-7502-Z30x</v>
      </c>
      <c r="U170" s="403">
        <f t="shared" si="22"/>
        <v>1</v>
      </c>
      <c r="V170" s="403" t="str">
        <f t="shared" si="23"/>
        <v>CPP_7_3</v>
      </c>
    </row>
    <row r="171" spans="1:22">
      <c r="A171" t="str">
        <f t="shared" si="16"/>
        <v>MIC-7502-Z30x</v>
      </c>
      <c r="B171" s="403" t="s">
        <v>1356</v>
      </c>
      <c r="C171" s="403" t="s">
        <v>582</v>
      </c>
      <c r="D171" s="403" t="s">
        <v>1357</v>
      </c>
      <c r="E171" s="403" t="s">
        <v>1358</v>
      </c>
      <c r="F171" s="403" t="s">
        <v>1286</v>
      </c>
      <c r="G171" s="403" t="s">
        <v>1466</v>
      </c>
      <c r="H171" s="403" t="s">
        <v>1281</v>
      </c>
      <c r="I171" s="403">
        <v>1</v>
      </c>
      <c r="J171" s="403" t="s">
        <v>109</v>
      </c>
      <c r="K171" s="403">
        <v>1280</v>
      </c>
      <c r="L171" s="403">
        <v>720</v>
      </c>
      <c r="M171" s="403" t="s">
        <v>111</v>
      </c>
      <c r="N171" s="403">
        <v>768</v>
      </c>
      <c r="O171" s="403">
        <v>432</v>
      </c>
      <c r="P171" t="str">
        <f t="shared" si="17"/>
        <v>30fps 720p - SD</v>
      </c>
      <c r="Q171">
        <f t="shared" si="18"/>
        <v>2</v>
      </c>
      <c r="R171" t="str">
        <f t="shared" si="19"/>
        <v/>
      </c>
      <c r="S171" t="str">
        <f t="shared" si="20"/>
        <v/>
      </c>
      <c r="T171" s="403" t="str">
        <f t="shared" si="21"/>
        <v>MIC-7502-Z30x</v>
      </c>
      <c r="U171" s="403">
        <f t="shared" si="22"/>
        <v>1</v>
      </c>
      <c r="V171" s="403" t="str">
        <f t="shared" si="23"/>
        <v>CPP_7_3</v>
      </c>
    </row>
    <row r="172" spans="1:22">
      <c r="A172" t="str">
        <f t="shared" si="16"/>
        <v>MIC-7502-Z30x</v>
      </c>
      <c r="B172" s="403" t="s">
        <v>1356</v>
      </c>
      <c r="C172" s="403" t="s">
        <v>582</v>
      </c>
      <c r="D172" s="403" t="s">
        <v>1357</v>
      </c>
      <c r="E172" s="403" t="s">
        <v>1358</v>
      </c>
      <c r="F172" s="403" t="s">
        <v>1286</v>
      </c>
      <c r="G172" s="403" t="s">
        <v>1466</v>
      </c>
      <c r="H172" s="403" t="s">
        <v>1281</v>
      </c>
      <c r="I172" s="403">
        <v>1</v>
      </c>
      <c r="J172" s="403" t="s">
        <v>109</v>
      </c>
      <c r="K172" s="403">
        <v>1280</v>
      </c>
      <c r="L172" s="403">
        <v>720</v>
      </c>
      <c r="M172" s="403" t="s">
        <v>1283</v>
      </c>
      <c r="N172" s="403">
        <v>720</v>
      </c>
      <c r="O172" s="403">
        <v>480</v>
      </c>
      <c r="P172" t="str">
        <f t="shared" si="17"/>
        <v>30fps 720p - SD 4CIF resolution 4:3 format (cropped)</v>
      </c>
      <c r="Q172">
        <f t="shared" si="18"/>
        <v>2</v>
      </c>
      <c r="R172" t="str">
        <f t="shared" si="19"/>
        <v/>
      </c>
      <c r="S172" t="str">
        <f t="shared" si="20"/>
        <v/>
      </c>
      <c r="T172" s="403" t="str">
        <f t="shared" si="21"/>
        <v>MIC-7502-Z30x</v>
      </c>
      <c r="U172" s="403">
        <f t="shared" si="22"/>
        <v>1</v>
      </c>
      <c r="V172" s="403" t="str">
        <f t="shared" si="23"/>
        <v>CPP_7_3</v>
      </c>
    </row>
    <row r="173" spans="1:22">
      <c r="A173" t="str">
        <f t="shared" si="16"/>
        <v>MIC-7502-Z30x</v>
      </c>
      <c r="B173" s="403" t="s">
        <v>1356</v>
      </c>
      <c r="C173" s="403" t="s">
        <v>582</v>
      </c>
      <c r="D173" s="403" t="s">
        <v>1357</v>
      </c>
      <c r="E173" s="403" t="s">
        <v>1358</v>
      </c>
      <c r="F173" s="403" t="s">
        <v>1286</v>
      </c>
      <c r="G173" s="403" t="s">
        <v>1466</v>
      </c>
      <c r="H173" s="403" t="s">
        <v>1281</v>
      </c>
      <c r="I173" s="403">
        <v>1</v>
      </c>
      <c r="J173" s="403" t="s">
        <v>109</v>
      </c>
      <c r="K173" s="403">
        <v>1280</v>
      </c>
      <c r="L173" s="403">
        <v>720</v>
      </c>
      <c r="M173" s="403" t="s">
        <v>1284</v>
      </c>
      <c r="N173" s="403">
        <v>640</v>
      </c>
      <c r="O173" s="403">
        <v>480</v>
      </c>
      <c r="P173" t="str">
        <f t="shared" si="17"/>
        <v>30fps 720p - SD VGA (cropped)</v>
      </c>
      <c r="Q173">
        <f t="shared" si="18"/>
        <v>2</v>
      </c>
      <c r="R173" t="str">
        <f t="shared" si="19"/>
        <v/>
      </c>
      <c r="S173" t="str">
        <f t="shared" si="20"/>
        <v/>
      </c>
      <c r="T173" s="403" t="str">
        <f t="shared" si="21"/>
        <v>MIC-7502-Z30x</v>
      </c>
      <c r="U173" s="403">
        <f t="shared" si="22"/>
        <v>1</v>
      </c>
      <c r="V173" s="403" t="str">
        <f t="shared" si="23"/>
        <v>CPP_7_3</v>
      </c>
    </row>
    <row r="174" spans="1:22">
      <c r="A174" t="str">
        <f t="shared" si="16"/>
        <v>MIC-7502-Z30x</v>
      </c>
      <c r="B174" s="403" t="s">
        <v>1356</v>
      </c>
      <c r="C174" s="403" t="s">
        <v>582</v>
      </c>
      <c r="D174" s="403" t="s">
        <v>1357</v>
      </c>
      <c r="E174" s="403" t="s">
        <v>1358</v>
      </c>
      <c r="F174" s="403" t="s">
        <v>1286</v>
      </c>
      <c r="G174" s="403" t="s">
        <v>1466</v>
      </c>
      <c r="H174" s="403" t="s">
        <v>1282</v>
      </c>
      <c r="I174" s="403">
        <v>1</v>
      </c>
      <c r="J174" s="403" t="s">
        <v>110</v>
      </c>
      <c r="K174" s="403">
        <v>1920</v>
      </c>
      <c r="L174" s="403">
        <v>1080</v>
      </c>
      <c r="M174" s="403" t="s">
        <v>111</v>
      </c>
      <c r="N174" s="403">
        <v>768</v>
      </c>
      <c r="O174" s="403">
        <v>432</v>
      </c>
      <c r="P174" t="str">
        <f t="shared" si="17"/>
        <v>30fps 1080p - SD</v>
      </c>
      <c r="Q174">
        <f t="shared" si="18"/>
        <v>2</v>
      </c>
      <c r="R174" t="str">
        <f t="shared" si="19"/>
        <v/>
      </c>
      <c r="S174" t="str">
        <f t="shared" si="20"/>
        <v/>
      </c>
      <c r="T174" s="403" t="str">
        <f t="shared" si="21"/>
        <v>MIC-7502-Z30x</v>
      </c>
      <c r="U174" s="403">
        <f t="shared" si="22"/>
        <v>1</v>
      </c>
      <c r="V174" s="403" t="str">
        <f t="shared" si="23"/>
        <v>CPP_7_3</v>
      </c>
    </row>
    <row r="175" spans="1:22">
      <c r="A175" t="str">
        <f t="shared" si="16"/>
        <v>MIC-7502-Z30x</v>
      </c>
      <c r="B175" s="403" t="s">
        <v>1356</v>
      </c>
      <c r="C175" s="403" t="s">
        <v>582</v>
      </c>
      <c r="D175" s="403" t="s">
        <v>1357</v>
      </c>
      <c r="E175" s="403" t="s">
        <v>1358</v>
      </c>
      <c r="F175" s="403" t="s">
        <v>1286</v>
      </c>
      <c r="G175" s="403" t="s">
        <v>1466</v>
      </c>
      <c r="H175" s="403" t="s">
        <v>1282</v>
      </c>
      <c r="I175" s="403">
        <v>1</v>
      </c>
      <c r="J175" s="403" t="s">
        <v>110</v>
      </c>
      <c r="K175" s="403">
        <v>1920</v>
      </c>
      <c r="L175" s="403">
        <v>1080</v>
      </c>
      <c r="M175" s="403" t="s">
        <v>110</v>
      </c>
      <c r="N175" s="403">
        <v>1920</v>
      </c>
      <c r="O175" s="403">
        <v>1080</v>
      </c>
      <c r="P175" t="str">
        <f t="shared" si="17"/>
        <v>30fps 1080p - 1080p</v>
      </c>
      <c r="Q175">
        <f t="shared" si="18"/>
        <v>2</v>
      </c>
      <c r="R175" t="str">
        <f t="shared" si="19"/>
        <v/>
      </c>
      <c r="S175" t="str">
        <f t="shared" si="20"/>
        <v/>
      </c>
      <c r="T175" s="403" t="str">
        <f t="shared" si="21"/>
        <v>MIC-7502-Z30x</v>
      </c>
      <c r="U175" s="403">
        <f t="shared" si="22"/>
        <v>1</v>
      </c>
      <c r="V175" s="403" t="str">
        <f t="shared" si="23"/>
        <v>CPP_7_3</v>
      </c>
    </row>
    <row r="176" spans="1:22">
      <c r="A176" t="str">
        <f t="shared" si="16"/>
        <v>MIC-7502-Z30x</v>
      </c>
      <c r="B176" s="403" t="s">
        <v>1356</v>
      </c>
      <c r="C176" s="403" t="s">
        <v>582</v>
      </c>
      <c r="D176" s="403" t="s">
        <v>1357</v>
      </c>
      <c r="E176" s="403" t="s">
        <v>1358</v>
      </c>
      <c r="F176" s="403" t="s">
        <v>1286</v>
      </c>
      <c r="G176" s="403" t="s">
        <v>1466</v>
      </c>
      <c r="H176" s="403" t="s">
        <v>1282</v>
      </c>
      <c r="I176" s="403">
        <v>1</v>
      </c>
      <c r="J176" s="403" t="s">
        <v>110</v>
      </c>
      <c r="K176" s="403">
        <v>1920</v>
      </c>
      <c r="L176" s="403">
        <v>1080</v>
      </c>
      <c r="M176" s="403" t="s">
        <v>109</v>
      </c>
      <c r="N176" s="403">
        <v>1280</v>
      </c>
      <c r="O176" s="403">
        <v>720</v>
      </c>
      <c r="P176" t="str">
        <f t="shared" si="17"/>
        <v>30fps 1080p - 720p</v>
      </c>
      <c r="Q176">
        <f t="shared" si="18"/>
        <v>2</v>
      </c>
      <c r="R176" t="str">
        <f t="shared" si="19"/>
        <v/>
      </c>
      <c r="S176" t="str">
        <f t="shared" si="20"/>
        <v/>
      </c>
      <c r="T176" s="403" t="str">
        <f t="shared" si="21"/>
        <v>MIC-7502-Z30x</v>
      </c>
      <c r="U176" s="403">
        <f t="shared" si="22"/>
        <v>1</v>
      </c>
      <c r="V176" s="403" t="str">
        <f t="shared" si="23"/>
        <v>CPP_7_3</v>
      </c>
    </row>
    <row r="177" spans="1:22">
      <c r="A177" t="str">
        <f t="shared" si="16"/>
        <v>MIC-7502-Z30x</v>
      </c>
      <c r="B177" s="403" t="s">
        <v>1356</v>
      </c>
      <c r="C177" s="403" t="s">
        <v>582</v>
      </c>
      <c r="D177" s="403" t="s">
        <v>1357</v>
      </c>
      <c r="E177" s="403" t="s">
        <v>1358</v>
      </c>
      <c r="F177" s="403" t="s">
        <v>1286</v>
      </c>
      <c r="G177" s="403" t="s">
        <v>1466</v>
      </c>
      <c r="H177" s="403" t="s">
        <v>1282</v>
      </c>
      <c r="I177" s="403">
        <v>1</v>
      </c>
      <c r="J177" s="403" t="s">
        <v>110</v>
      </c>
      <c r="K177" s="403">
        <v>1920</v>
      </c>
      <c r="L177" s="403">
        <v>1080</v>
      </c>
      <c r="M177" s="403" t="s">
        <v>1285</v>
      </c>
      <c r="N177" s="403">
        <v>1280</v>
      </c>
      <c r="O177" s="403">
        <v>1024</v>
      </c>
      <c r="P177" t="str">
        <f t="shared" si="17"/>
        <v>30fps 1080p - 1280x1024 5:4 (cropped)</v>
      </c>
      <c r="Q177">
        <f t="shared" si="18"/>
        <v>2</v>
      </c>
      <c r="R177" t="str">
        <f t="shared" si="19"/>
        <v/>
      </c>
      <c r="S177" t="str">
        <f t="shared" si="20"/>
        <v/>
      </c>
      <c r="T177" s="403" t="str">
        <f t="shared" si="21"/>
        <v>MIC-7502-Z30x</v>
      </c>
      <c r="U177" s="403">
        <f t="shared" si="22"/>
        <v>1</v>
      </c>
      <c r="V177" s="403" t="str">
        <f t="shared" si="23"/>
        <v>CPP_7_3</v>
      </c>
    </row>
    <row r="178" spans="1:22">
      <c r="A178" t="str">
        <f t="shared" si="16"/>
        <v>MIC-7502-Z30x</v>
      </c>
      <c r="B178" s="403" t="s">
        <v>1356</v>
      </c>
      <c r="C178" s="403" t="s">
        <v>582</v>
      </c>
      <c r="D178" s="403" t="s">
        <v>1357</v>
      </c>
      <c r="E178" s="403" t="s">
        <v>1358</v>
      </c>
      <c r="F178" s="403" t="s">
        <v>1286</v>
      </c>
      <c r="G178" s="403" t="s">
        <v>1466</v>
      </c>
      <c r="H178" s="403" t="s">
        <v>1282</v>
      </c>
      <c r="I178" s="403">
        <v>1</v>
      </c>
      <c r="J178" s="403" t="s">
        <v>110</v>
      </c>
      <c r="K178" s="403">
        <v>1920</v>
      </c>
      <c r="L178" s="403">
        <v>1080</v>
      </c>
      <c r="M178" s="403" t="s">
        <v>1283</v>
      </c>
      <c r="N178" s="403">
        <v>720</v>
      </c>
      <c r="O178" s="403">
        <v>480</v>
      </c>
      <c r="P178" t="str">
        <f t="shared" si="17"/>
        <v>30fps 1080p - SD 4CIF resolution 4:3 format (cropped)</v>
      </c>
      <c r="Q178">
        <f t="shared" si="18"/>
        <v>2</v>
      </c>
      <c r="R178" t="str">
        <f t="shared" si="19"/>
        <v/>
      </c>
      <c r="S178" t="str">
        <f t="shared" si="20"/>
        <v/>
      </c>
      <c r="T178" s="403" t="str">
        <f t="shared" si="21"/>
        <v>MIC-7502-Z30x</v>
      </c>
      <c r="U178" s="403">
        <f t="shared" si="22"/>
        <v>1</v>
      </c>
      <c r="V178" s="403" t="str">
        <f t="shared" si="23"/>
        <v>CPP_7_3</v>
      </c>
    </row>
    <row r="179" spans="1:22">
      <c r="A179" t="str">
        <f t="shared" si="16"/>
        <v>MIC-7502-Z30x</v>
      </c>
      <c r="B179" s="403" t="s">
        <v>1356</v>
      </c>
      <c r="C179" s="403" t="s">
        <v>582</v>
      </c>
      <c r="D179" s="403" t="s">
        <v>1357</v>
      </c>
      <c r="E179" s="403" t="s">
        <v>1358</v>
      </c>
      <c r="F179" s="403" t="s">
        <v>1286</v>
      </c>
      <c r="G179" s="403" t="s">
        <v>1466</v>
      </c>
      <c r="H179" s="403" t="s">
        <v>1282</v>
      </c>
      <c r="I179" s="403">
        <v>1</v>
      </c>
      <c r="J179" s="403" t="s">
        <v>110</v>
      </c>
      <c r="K179" s="403">
        <v>1920</v>
      </c>
      <c r="L179" s="403">
        <v>1080</v>
      </c>
      <c r="M179" s="403" t="s">
        <v>1284</v>
      </c>
      <c r="N179" s="403">
        <v>640</v>
      </c>
      <c r="O179" s="403">
        <v>480</v>
      </c>
      <c r="P179" t="str">
        <f t="shared" si="17"/>
        <v>30fps 1080p - SD VGA (cropped)</v>
      </c>
      <c r="Q179">
        <f t="shared" si="18"/>
        <v>2</v>
      </c>
      <c r="R179" t="str">
        <f t="shared" si="19"/>
        <v/>
      </c>
      <c r="S179" t="str">
        <f t="shared" si="20"/>
        <v/>
      </c>
      <c r="T179" s="403" t="str">
        <f t="shared" si="21"/>
        <v>MIC-7502-Z30x</v>
      </c>
      <c r="U179" s="403">
        <f t="shared" si="22"/>
        <v>1</v>
      </c>
      <c r="V179" s="403" t="str">
        <f t="shared" si="23"/>
        <v>CPP_7_3</v>
      </c>
    </row>
    <row r="180" spans="1:22">
      <c r="A180" t="str">
        <f t="shared" si="16"/>
        <v>MIC-7502-Z30x</v>
      </c>
      <c r="B180" s="403" t="s">
        <v>1356</v>
      </c>
      <c r="C180" s="403" t="s">
        <v>582</v>
      </c>
      <c r="D180" s="403" t="s">
        <v>1357</v>
      </c>
      <c r="E180" s="403" t="s">
        <v>1358</v>
      </c>
      <c r="F180" s="403" t="s">
        <v>1286</v>
      </c>
      <c r="G180" s="403" t="s">
        <v>1466</v>
      </c>
      <c r="H180" s="403" t="s">
        <v>1282</v>
      </c>
      <c r="I180" s="403">
        <v>1</v>
      </c>
      <c r="J180" s="403" t="s">
        <v>109</v>
      </c>
      <c r="K180" s="403">
        <v>1280</v>
      </c>
      <c r="L180" s="403">
        <v>720</v>
      </c>
      <c r="M180" s="403" t="s">
        <v>109</v>
      </c>
      <c r="N180" s="403">
        <v>1280</v>
      </c>
      <c r="O180" s="403">
        <v>720</v>
      </c>
      <c r="P180" t="str">
        <f t="shared" si="17"/>
        <v>30fps 720p - 720p</v>
      </c>
      <c r="Q180">
        <f t="shared" si="18"/>
        <v>2</v>
      </c>
      <c r="R180" t="str">
        <f t="shared" si="19"/>
        <v/>
      </c>
      <c r="S180" t="str">
        <f t="shared" si="20"/>
        <v/>
      </c>
      <c r="T180" s="403" t="str">
        <f t="shared" si="21"/>
        <v>MIC-7502-Z30x</v>
      </c>
      <c r="U180" s="403">
        <f t="shared" si="22"/>
        <v>1</v>
      </c>
      <c r="V180" s="403" t="str">
        <f t="shared" si="23"/>
        <v>CPP_7_3</v>
      </c>
    </row>
    <row r="181" spans="1:22">
      <c r="A181" t="str">
        <f t="shared" si="16"/>
        <v>MIC-7502-Z30x</v>
      </c>
      <c r="B181" s="403" t="s">
        <v>1356</v>
      </c>
      <c r="C181" s="403" t="s">
        <v>582</v>
      </c>
      <c r="D181" s="403" t="s">
        <v>1357</v>
      </c>
      <c r="E181" s="403" t="s">
        <v>1358</v>
      </c>
      <c r="F181" s="403" t="s">
        <v>1286</v>
      </c>
      <c r="G181" s="403" t="s">
        <v>1466</v>
      </c>
      <c r="H181" s="403" t="s">
        <v>1282</v>
      </c>
      <c r="I181" s="403">
        <v>1</v>
      </c>
      <c r="J181" s="403" t="s">
        <v>109</v>
      </c>
      <c r="K181" s="403">
        <v>1280</v>
      </c>
      <c r="L181" s="403">
        <v>720</v>
      </c>
      <c r="M181" s="403" t="s">
        <v>111</v>
      </c>
      <c r="N181" s="403">
        <v>768</v>
      </c>
      <c r="O181" s="403">
        <v>432</v>
      </c>
      <c r="P181" t="str">
        <f t="shared" si="17"/>
        <v>30fps 720p - SD</v>
      </c>
      <c r="Q181">
        <f t="shared" si="18"/>
        <v>2</v>
      </c>
      <c r="R181" t="str">
        <f t="shared" si="19"/>
        <v/>
      </c>
      <c r="S181" t="str">
        <f t="shared" si="20"/>
        <v/>
      </c>
      <c r="T181" s="403" t="str">
        <f t="shared" si="21"/>
        <v>MIC-7502-Z30x</v>
      </c>
      <c r="U181" s="403">
        <f t="shared" si="22"/>
        <v>1</v>
      </c>
      <c r="V181" s="403" t="str">
        <f t="shared" si="23"/>
        <v>CPP_7_3</v>
      </c>
    </row>
    <row r="182" spans="1:22">
      <c r="A182" t="str">
        <f t="shared" si="16"/>
        <v>MIC-7502-Z30x</v>
      </c>
      <c r="B182" s="403" t="s">
        <v>1356</v>
      </c>
      <c r="C182" s="403" t="s">
        <v>582</v>
      </c>
      <c r="D182" s="403" t="s">
        <v>1357</v>
      </c>
      <c r="E182" s="403" t="s">
        <v>1358</v>
      </c>
      <c r="F182" s="403" t="s">
        <v>1286</v>
      </c>
      <c r="G182" s="403" t="s">
        <v>1466</v>
      </c>
      <c r="H182" s="403" t="s">
        <v>1282</v>
      </c>
      <c r="I182" s="403">
        <v>1</v>
      </c>
      <c r="J182" s="403" t="s">
        <v>109</v>
      </c>
      <c r="K182" s="403">
        <v>1280</v>
      </c>
      <c r="L182" s="403">
        <v>720</v>
      </c>
      <c r="M182" s="403" t="s">
        <v>1283</v>
      </c>
      <c r="N182" s="403">
        <v>720</v>
      </c>
      <c r="O182" s="403">
        <v>480</v>
      </c>
      <c r="P182" t="str">
        <f t="shared" si="17"/>
        <v>30fps 720p - SD 4CIF resolution 4:3 format (cropped)</v>
      </c>
      <c r="Q182">
        <f t="shared" si="18"/>
        <v>2</v>
      </c>
      <c r="R182" t="str">
        <f t="shared" si="19"/>
        <v/>
      </c>
      <c r="S182" t="str">
        <f t="shared" si="20"/>
        <v/>
      </c>
      <c r="T182" s="403" t="str">
        <f t="shared" si="21"/>
        <v>MIC-7502-Z30x</v>
      </c>
      <c r="U182" s="403">
        <f t="shared" si="22"/>
        <v>1</v>
      </c>
      <c r="V182" s="403" t="str">
        <f t="shared" si="23"/>
        <v>CPP_7_3</v>
      </c>
    </row>
    <row r="183" spans="1:22">
      <c r="A183" t="str">
        <f t="shared" si="16"/>
        <v>MIC-7502-Z30x</v>
      </c>
      <c r="B183" s="403" t="s">
        <v>1356</v>
      </c>
      <c r="C183" s="403" t="s">
        <v>582</v>
      </c>
      <c r="D183" s="403" t="s">
        <v>1357</v>
      </c>
      <c r="E183" s="403" t="s">
        <v>1358</v>
      </c>
      <c r="F183" s="403" t="s">
        <v>1286</v>
      </c>
      <c r="G183" s="403" t="s">
        <v>1466</v>
      </c>
      <c r="H183" s="403" t="s">
        <v>1282</v>
      </c>
      <c r="I183" s="403">
        <v>1</v>
      </c>
      <c r="J183" s="403" t="s">
        <v>109</v>
      </c>
      <c r="K183" s="403">
        <v>1280</v>
      </c>
      <c r="L183" s="403">
        <v>720</v>
      </c>
      <c r="M183" s="403" t="s">
        <v>1284</v>
      </c>
      <c r="N183" s="403">
        <v>640</v>
      </c>
      <c r="O183" s="403">
        <v>480</v>
      </c>
      <c r="P183" t="str">
        <f t="shared" si="17"/>
        <v>30fps 720p - SD VGA (cropped)</v>
      </c>
      <c r="Q183">
        <f t="shared" si="18"/>
        <v>2</v>
      </c>
      <c r="R183" t="str">
        <f t="shared" si="19"/>
        <v/>
      </c>
      <c r="S183" t="str">
        <f t="shared" si="20"/>
        <v/>
      </c>
      <c r="T183" s="403" t="str">
        <f t="shared" si="21"/>
        <v>MIC-7502-Z30x</v>
      </c>
      <c r="U183" s="403">
        <f t="shared" si="22"/>
        <v>1</v>
      </c>
      <c r="V183" s="403" t="str">
        <f t="shared" si="23"/>
        <v>CPP_7_3</v>
      </c>
    </row>
    <row r="184" spans="1:22">
      <c r="A184" t="str">
        <f t="shared" si="16"/>
        <v>MIC-7502-Z30x</v>
      </c>
      <c r="B184" s="403" t="s">
        <v>1356</v>
      </c>
      <c r="C184" s="403" t="s">
        <v>582</v>
      </c>
      <c r="D184" s="403" t="s">
        <v>1357</v>
      </c>
      <c r="E184" s="403" t="s">
        <v>1358</v>
      </c>
      <c r="F184" s="403" t="s">
        <v>1290</v>
      </c>
      <c r="G184" s="403" t="s">
        <v>1466</v>
      </c>
      <c r="H184" s="403" t="s">
        <v>1276</v>
      </c>
      <c r="I184" s="403">
        <v>1</v>
      </c>
      <c r="J184" s="403" t="s">
        <v>110</v>
      </c>
      <c r="K184" s="403">
        <v>1920</v>
      </c>
      <c r="L184" s="403">
        <v>1080</v>
      </c>
      <c r="M184" s="403" t="s">
        <v>111</v>
      </c>
      <c r="N184" s="403">
        <v>768</v>
      </c>
      <c r="O184" s="403">
        <v>432</v>
      </c>
      <c r="P184" t="str">
        <f t="shared" si="17"/>
        <v>50fps 1080p - SD</v>
      </c>
      <c r="Q184">
        <f t="shared" si="18"/>
        <v>2</v>
      </c>
      <c r="R184" t="str">
        <f t="shared" si="19"/>
        <v/>
      </c>
      <c r="S184" t="str">
        <f t="shared" si="20"/>
        <v/>
      </c>
      <c r="T184" s="403" t="str">
        <f t="shared" si="21"/>
        <v>MIC-7502-Z30x</v>
      </c>
      <c r="U184" s="403">
        <f t="shared" si="22"/>
        <v>1</v>
      </c>
      <c r="V184" s="403" t="str">
        <f t="shared" si="23"/>
        <v>CPP_7_3</v>
      </c>
    </row>
    <row r="185" spans="1:22">
      <c r="A185" t="str">
        <f t="shared" si="16"/>
        <v>MIC-7502-Z30x</v>
      </c>
      <c r="B185" s="403" t="s">
        <v>1356</v>
      </c>
      <c r="C185" s="403" t="s">
        <v>582</v>
      </c>
      <c r="D185" s="403" t="s">
        <v>1357</v>
      </c>
      <c r="E185" s="403" t="s">
        <v>1358</v>
      </c>
      <c r="F185" s="403" t="s">
        <v>1290</v>
      </c>
      <c r="G185" s="403" t="s">
        <v>1466</v>
      </c>
      <c r="H185" s="403" t="s">
        <v>1276</v>
      </c>
      <c r="I185" s="403">
        <v>1</v>
      </c>
      <c r="J185" s="403" t="s">
        <v>110</v>
      </c>
      <c r="K185" s="403">
        <v>1920</v>
      </c>
      <c r="L185" s="403">
        <v>1080</v>
      </c>
      <c r="M185" s="403" t="s">
        <v>110</v>
      </c>
      <c r="N185" s="403">
        <v>1920</v>
      </c>
      <c r="O185" s="403">
        <v>1080</v>
      </c>
      <c r="P185" t="str">
        <f t="shared" si="17"/>
        <v>50fps 1080p - 1080p</v>
      </c>
      <c r="Q185">
        <f t="shared" si="18"/>
        <v>2</v>
      </c>
      <c r="R185" t="str">
        <f t="shared" si="19"/>
        <v/>
      </c>
      <c r="S185" t="str">
        <f t="shared" si="20"/>
        <v/>
      </c>
      <c r="T185" s="403" t="str">
        <f t="shared" si="21"/>
        <v>MIC-7502-Z30x</v>
      </c>
      <c r="U185" s="403">
        <f t="shared" si="22"/>
        <v>1</v>
      </c>
      <c r="V185" s="403" t="str">
        <f t="shared" si="23"/>
        <v>CPP_7_3</v>
      </c>
    </row>
    <row r="186" spans="1:22">
      <c r="A186" t="str">
        <f t="shared" si="16"/>
        <v>MIC-7502-Z30x</v>
      </c>
      <c r="B186" s="403" t="s">
        <v>1356</v>
      </c>
      <c r="C186" s="403" t="s">
        <v>582</v>
      </c>
      <c r="D186" s="403" t="s">
        <v>1357</v>
      </c>
      <c r="E186" s="403" t="s">
        <v>1358</v>
      </c>
      <c r="F186" s="403" t="s">
        <v>1290</v>
      </c>
      <c r="G186" s="403" t="s">
        <v>1466</v>
      </c>
      <c r="H186" s="403" t="s">
        <v>1276</v>
      </c>
      <c r="I186" s="403">
        <v>1</v>
      </c>
      <c r="J186" s="403" t="s">
        <v>110</v>
      </c>
      <c r="K186" s="403">
        <v>1920</v>
      </c>
      <c r="L186" s="403">
        <v>1080</v>
      </c>
      <c r="M186" s="403" t="s">
        <v>1289</v>
      </c>
      <c r="N186" s="403">
        <v>1280</v>
      </c>
      <c r="O186" s="403">
        <v>720</v>
      </c>
      <c r="P186" t="str">
        <f t="shared" si="17"/>
        <v>50fps 1080p - 720p full frame rate</v>
      </c>
      <c r="Q186">
        <f t="shared" si="18"/>
        <v>2</v>
      </c>
      <c r="R186" t="str">
        <f t="shared" si="19"/>
        <v/>
      </c>
      <c r="S186" t="str">
        <f t="shared" si="20"/>
        <v/>
      </c>
      <c r="T186" s="403" t="str">
        <f t="shared" si="21"/>
        <v>MIC-7502-Z30x</v>
      </c>
      <c r="U186" s="403">
        <f t="shared" si="22"/>
        <v>1</v>
      </c>
      <c r="V186" s="403" t="str">
        <f t="shared" si="23"/>
        <v>CPP_7_3</v>
      </c>
    </row>
    <row r="187" spans="1:22">
      <c r="A187" t="str">
        <f t="shared" si="16"/>
        <v>MIC-7502-Z30x</v>
      </c>
      <c r="B187" s="403" t="s">
        <v>1356</v>
      </c>
      <c r="C187" s="403" t="s">
        <v>582</v>
      </c>
      <c r="D187" s="403" t="s">
        <v>1357</v>
      </c>
      <c r="E187" s="403" t="s">
        <v>1358</v>
      </c>
      <c r="F187" s="403" t="s">
        <v>1290</v>
      </c>
      <c r="G187" s="403" t="s">
        <v>1466</v>
      </c>
      <c r="H187" s="403" t="s">
        <v>1276</v>
      </c>
      <c r="I187" s="403">
        <v>1</v>
      </c>
      <c r="J187" s="403" t="s">
        <v>110</v>
      </c>
      <c r="K187" s="403">
        <v>1920</v>
      </c>
      <c r="L187" s="403">
        <v>1080</v>
      </c>
      <c r="M187" s="403" t="s">
        <v>1285</v>
      </c>
      <c r="N187" s="403">
        <v>1280</v>
      </c>
      <c r="O187" s="403">
        <v>1024</v>
      </c>
      <c r="P187" t="str">
        <f t="shared" si="17"/>
        <v>50fps 1080p - 1280x1024 5:4 (cropped)</v>
      </c>
      <c r="Q187">
        <f t="shared" si="18"/>
        <v>2</v>
      </c>
      <c r="R187" t="str">
        <f t="shared" si="19"/>
        <v/>
      </c>
      <c r="S187" t="str">
        <f t="shared" si="20"/>
        <v/>
      </c>
      <c r="T187" s="403" t="str">
        <f t="shared" si="21"/>
        <v>MIC-7502-Z30x</v>
      </c>
      <c r="U187" s="403">
        <f t="shared" si="22"/>
        <v>1</v>
      </c>
      <c r="V187" s="403" t="str">
        <f t="shared" si="23"/>
        <v>CPP_7_3</v>
      </c>
    </row>
    <row r="188" spans="1:22">
      <c r="A188" t="str">
        <f t="shared" si="16"/>
        <v>MIC-7502-Z30x</v>
      </c>
      <c r="B188" s="403" t="s">
        <v>1356</v>
      </c>
      <c r="C188" s="403" t="s">
        <v>582</v>
      </c>
      <c r="D188" s="403" t="s">
        <v>1357</v>
      </c>
      <c r="E188" s="403" t="s">
        <v>1358</v>
      </c>
      <c r="F188" s="403" t="s">
        <v>1290</v>
      </c>
      <c r="G188" s="403" t="s">
        <v>1466</v>
      </c>
      <c r="H188" s="403" t="s">
        <v>1276</v>
      </c>
      <c r="I188" s="403">
        <v>1</v>
      </c>
      <c r="J188" s="403" t="s">
        <v>110</v>
      </c>
      <c r="K188" s="403">
        <v>1920</v>
      </c>
      <c r="L188" s="403">
        <v>1080</v>
      </c>
      <c r="M188" s="403" t="s">
        <v>1283</v>
      </c>
      <c r="N188" s="403">
        <v>720</v>
      </c>
      <c r="O188" s="403">
        <v>576</v>
      </c>
      <c r="P188" t="str">
        <f t="shared" si="17"/>
        <v>50fps 1080p - SD 4CIF resolution 4:3 format (cropped)</v>
      </c>
      <c r="Q188">
        <f t="shared" si="18"/>
        <v>2</v>
      </c>
      <c r="R188" t="str">
        <f t="shared" si="19"/>
        <v/>
      </c>
      <c r="S188" t="str">
        <f t="shared" si="20"/>
        <v/>
      </c>
      <c r="T188" s="403" t="str">
        <f t="shared" si="21"/>
        <v>MIC-7502-Z30x</v>
      </c>
      <c r="U188" s="403">
        <f t="shared" si="22"/>
        <v>1</v>
      </c>
      <c r="V188" s="403" t="str">
        <f t="shared" si="23"/>
        <v>CPP_7_3</v>
      </c>
    </row>
    <row r="189" spans="1:22">
      <c r="A189" t="str">
        <f t="shared" si="16"/>
        <v>MIC-7502-Z30x</v>
      </c>
      <c r="B189" s="403" t="s">
        <v>1356</v>
      </c>
      <c r="C189" s="403" t="s">
        <v>582</v>
      </c>
      <c r="D189" s="403" t="s">
        <v>1357</v>
      </c>
      <c r="E189" s="403" t="s">
        <v>1358</v>
      </c>
      <c r="F189" s="403" t="s">
        <v>1290</v>
      </c>
      <c r="G189" s="403" t="s">
        <v>1466</v>
      </c>
      <c r="H189" s="403" t="s">
        <v>1276</v>
      </c>
      <c r="I189" s="403">
        <v>1</v>
      </c>
      <c r="J189" s="403" t="s">
        <v>110</v>
      </c>
      <c r="K189" s="403">
        <v>1920</v>
      </c>
      <c r="L189" s="403">
        <v>1080</v>
      </c>
      <c r="M189" s="403" t="s">
        <v>1284</v>
      </c>
      <c r="N189" s="403">
        <v>640</v>
      </c>
      <c r="O189" s="403">
        <v>480</v>
      </c>
      <c r="P189" t="str">
        <f t="shared" si="17"/>
        <v>50fps 1080p - SD VGA (cropped)</v>
      </c>
      <c r="Q189">
        <f t="shared" si="18"/>
        <v>2</v>
      </c>
      <c r="R189" t="str">
        <f t="shared" si="19"/>
        <v/>
      </c>
      <c r="S189" t="str">
        <f t="shared" si="20"/>
        <v/>
      </c>
      <c r="T189" s="403" t="str">
        <f t="shared" si="21"/>
        <v>MIC-7502-Z30x</v>
      </c>
      <c r="U189" s="403">
        <f t="shared" si="22"/>
        <v>1</v>
      </c>
      <c r="V189" s="403" t="str">
        <f t="shared" si="23"/>
        <v>CPP_7_3</v>
      </c>
    </row>
    <row r="190" spans="1:22">
      <c r="A190" t="str">
        <f t="shared" si="16"/>
        <v>MIC-7502-Z30x</v>
      </c>
      <c r="B190" s="403" t="s">
        <v>1356</v>
      </c>
      <c r="C190" s="403" t="s">
        <v>582</v>
      </c>
      <c r="D190" s="403" t="s">
        <v>1357</v>
      </c>
      <c r="E190" s="403" t="s">
        <v>1358</v>
      </c>
      <c r="F190" s="403" t="s">
        <v>1290</v>
      </c>
      <c r="G190" s="403" t="s">
        <v>1466</v>
      </c>
      <c r="H190" s="403" t="s">
        <v>1276</v>
      </c>
      <c r="I190" s="403">
        <v>1</v>
      </c>
      <c r="J190" s="403" t="s">
        <v>1289</v>
      </c>
      <c r="K190" s="403">
        <v>1280</v>
      </c>
      <c r="L190" s="403">
        <v>720</v>
      </c>
      <c r="M190" s="403" t="s">
        <v>1289</v>
      </c>
      <c r="N190" s="403">
        <v>1280</v>
      </c>
      <c r="O190" s="403">
        <v>720</v>
      </c>
      <c r="P190" t="str">
        <f t="shared" si="17"/>
        <v>50fps 720p full frame rate - 720p full frame rate</v>
      </c>
      <c r="Q190">
        <f t="shared" si="18"/>
        <v>2</v>
      </c>
      <c r="R190" t="str">
        <f t="shared" si="19"/>
        <v/>
      </c>
      <c r="S190" t="str">
        <f t="shared" si="20"/>
        <v/>
      </c>
      <c r="T190" s="403" t="str">
        <f t="shared" si="21"/>
        <v>MIC-7502-Z30x</v>
      </c>
      <c r="U190" s="403">
        <f t="shared" si="22"/>
        <v>1</v>
      </c>
      <c r="V190" s="403" t="str">
        <f t="shared" si="23"/>
        <v>CPP_7_3</v>
      </c>
    </row>
    <row r="191" spans="1:22">
      <c r="A191" t="str">
        <f t="shared" si="16"/>
        <v>MIC-7502-Z30x</v>
      </c>
      <c r="B191" s="403" t="s">
        <v>1356</v>
      </c>
      <c r="C191" s="403" t="s">
        <v>582</v>
      </c>
      <c r="D191" s="403" t="s">
        <v>1357</v>
      </c>
      <c r="E191" s="403" t="s">
        <v>1358</v>
      </c>
      <c r="F191" s="403" t="s">
        <v>1290</v>
      </c>
      <c r="G191" s="403" t="s">
        <v>1466</v>
      </c>
      <c r="H191" s="403" t="s">
        <v>1276</v>
      </c>
      <c r="I191" s="403">
        <v>1</v>
      </c>
      <c r="J191" s="403" t="s">
        <v>1289</v>
      </c>
      <c r="K191" s="403">
        <v>1280</v>
      </c>
      <c r="L191" s="403">
        <v>720</v>
      </c>
      <c r="M191" s="403" t="s">
        <v>111</v>
      </c>
      <c r="N191" s="403">
        <v>768</v>
      </c>
      <c r="O191" s="403">
        <v>432</v>
      </c>
      <c r="P191" t="str">
        <f t="shared" si="17"/>
        <v>50fps 720p full frame rate - SD</v>
      </c>
      <c r="Q191">
        <f t="shared" si="18"/>
        <v>2</v>
      </c>
      <c r="R191" t="str">
        <f t="shared" si="19"/>
        <v/>
      </c>
      <c r="S191" t="str">
        <f t="shared" si="20"/>
        <v/>
      </c>
      <c r="T191" s="403" t="str">
        <f t="shared" si="21"/>
        <v>MIC-7502-Z30x</v>
      </c>
      <c r="U191" s="403">
        <f t="shared" si="22"/>
        <v>1</v>
      </c>
      <c r="V191" s="403" t="str">
        <f t="shared" si="23"/>
        <v>CPP_7_3</v>
      </c>
    </row>
    <row r="192" spans="1:22">
      <c r="A192" t="str">
        <f t="shared" si="16"/>
        <v>MIC-7502-Z30x</v>
      </c>
      <c r="B192" s="403" t="s">
        <v>1356</v>
      </c>
      <c r="C192" s="403" t="s">
        <v>582</v>
      </c>
      <c r="D192" s="403" t="s">
        <v>1357</v>
      </c>
      <c r="E192" s="403" t="s">
        <v>1358</v>
      </c>
      <c r="F192" s="403" t="s">
        <v>1290</v>
      </c>
      <c r="G192" s="403" t="s">
        <v>1466</v>
      </c>
      <c r="H192" s="403" t="s">
        <v>1276</v>
      </c>
      <c r="I192" s="403">
        <v>1</v>
      </c>
      <c r="J192" s="403" t="s">
        <v>1289</v>
      </c>
      <c r="K192" s="403">
        <v>1280</v>
      </c>
      <c r="L192" s="403">
        <v>720</v>
      </c>
      <c r="M192" s="403" t="s">
        <v>1283</v>
      </c>
      <c r="N192" s="403">
        <v>720</v>
      </c>
      <c r="O192" s="403">
        <v>576</v>
      </c>
      <c r="P192" t="str">
        <f t="shared" si="17"/>
        <v>50fps 720p full frame rate - SD 4CIF resolution 4:3 format (cropped)</v>
      </c>
      <c r="Q192">
        <f t="shared" si="18"/>
        <v>2</v>
      </c>
      <c r="R192" t="str">
        <f t="shared" si="19"/>
        <v/>
      </c>
      <c r="S192" t="str">
        <f t="shared" si="20"/>
        <v/>
      </c>
      <c r="T192" s="403" t="str">
        <f t="shared" si="21"/>
        <v>MIC-7502-Z30x</v>
      </c>
      <c r="U192" s="403">
        <f t="shared" si="22"/>
        <v>1</v>
      </c>
      <c r="V192" s="403" t="str">
        <f t="shared" si="23"/>
        <v>CPP_7_3</v>
      </c>
    </row>
    <row r="193" spans="1:22">
      <c r="A193" t="str">
        <f t="shared" si="16"/>
        <v>MIC-7502-Z30x</v>
      </c>
      <c r="B193" s="403" t="s">
        <v>1356</v>
      </c>
      <c r="C193" s="403" t="s">
        <v>582</v>
      </c>
      <c r="D193" s="403" t="s">
        <v>1357</v>
      </c>
      <c r="E193" s="403" t="s">
        <v>1358</v>
      </c>
      <c r="F193" s="403" t="s">
        <v>1290</v>
      </c>
      <c r="G193" s="403" t="s">
        <v>1466</v>
      </c>
      <c r="H193" s="403" t="s">
        <v>1276</v>
      </c>
      <c r="I193" s="403">
        <v>1</v>
      </c>
      <c r="J193" s="403" t="s">
        <v>1289</v>
      </c>
      <c r="K193" s="403">
        <v>1280</v>
      </c>
      <c r="L193" s="403">
        <v>720</v>
      </c>
      <c r="M193" s="403" t="s">
        <v>1284</v>
      </c>
      <c r="N193" s="403">
        <v>640</v>
      </c>
      <c r="O193" s="403">
        <v>480</v>
      </c>
      <c r="P193" t="str">
        <f t="shared" si="17"/>
        <v>50fps 720p full frame rate - SD VGA (cropped)</v>
      </c>
      <c r="Q193">
        <f t="shared" si="18"/>
        <v>2</v>
      </c>
      <c r="R193" t="str">
        <f t="shared" si="19"/>
        <v/>
      </c>
      <c r="S193" t="str">
        <f t="shared" si="20"/>
        <v/>
      </c>
      <c r="T193" s="403" t="str">
        <f t="shared" si="21"/>
        <v>MIC-7502-Z30x</v>
      </c>
      <c r="U193" s="403">
        <f t="shared" si="22"/>
        <v>1</v>
      </c>
      <c r="V193" s="403" t="str">
        <f t="shared" si="23"/>
        <v>CPP_7_3</v>
      </c>
    </row>
    <row r="194" spans="1:22">
      <c r="A194" t="str">
        <f t="shared" ref="A194:A257" si="24">IF(AND(G194&lt;&gt;"rotate 90°"),D194,"")</f>
        <v>MIC-7502-Z30x</v>
      </c>
      <c r="B194" s="403" t="s">
        <v>1356</v>
      </c>
      <c r="C194" s="403" t="s">
        <v>582</v>
      </c>
      <c r="D194" s="403" t="s">
        <v>1357</v>
      </c>
      <c r="E194" s="403" t="s">
        <v>1358</v>
      </c>
      <c r="F194" s="403" t="s">
        <v>1290</v>
      </c>
      <c r="G194" s="403" t="s">
        <v>1466</v>
      </c>
      <c r="H194" s="403" t="s">
        <v>1281</v>
      </c>
      <c r="I194" s="403">
        <v>1</v>
      </c>
      <c r="J194" s="403" t="s">
        <v>110</v>
      </c>
      <c r="K194" s="403">
        <v>1920</v>
      </c>
      <c r="L194" s="403">
        <v>1080</v>
      </c>
      <c r="M194" s="403" t="s">
        <v>111</v>
      </c>
      <c r="N194" s="403">
        <v>768</v>
      </c>
      <c r="O194" s="403">
        <v>432</v>
      </c>
      <c r="P194" t="str">
        <f t="shared" ref="P194:P257" si="25">LEFT(F194,5)&amp;" "&amp;J194&amp;" - "&amp;M194</f>
        <v>50fps 1080p - SD</v>
      </c>
      <c r="Q194">
        <f t="shared" ref="Q194:Q257" si="26">IF(A193=A194,Q193,Q193+1)</f>
        <v>2</v>
      </c>
      <c r="R194" t="str">
        <f t="shared" ref="R194:R257" si="27">IF(Q193&lt;&gt;Q194,Q194,"")</f>
        <v/>
      </c>
      <c r="S194" t="str">
        <f t="shared" ref="S194:S257" si="28">IF(R194&lt;&gt;"",B194&amp;" ("&amp;D194&amp;")","")</f>
        <v/>
      </c>
      <c r="T194" s="403" t="str">
        <f t="shared" ref="T194:T257" si="29">D194</f>
        <v>MIC-7502-Z30x</v>
      </c>
      <c r="U194" s="403">
        <f t="shared" ref="U194:U257" si="30">I194</f>
        <v>1</v>
      </c>
      <c r="V194" s="403" t="str">
        <f t="shared" ref="V194:V257" si="31">C194</f>
        <v>CPP_7_3</v>
      </c>
    </row>
    <row r="195" spans="1:22">
      <c r="A195" t="str">
        <f t="shared" si="24"/>
        <v>MIC-7502-Z30x</v>
      </c>
      <c r="B195" s="403" t="s">
        <v>1356</v>
      </c>
      <c r="C195" s="403" t="s">
        <v>582</v>
      </c>
      <c r="D195" s="403" t="s">
        <v>1357</v>
      </c>
      <c r="E195" s="403" t="s">
        <v>1358</v>
      </c>
      <c r="F195" s="403" t="s">
        <v>1290</v>
      </c>
      <c r="G195" s="403" t="s">
        <v>1466</v>
      </c>
      <c r="H195" s="403" t="s">
        <v>1281</v>
      </c>
      <c r="I195" s="403">
        <v>1</v>
      </c>
      <c r="J195" s="403" t="s">
        <v>110</v>
      </c>
      <c r="K195" s="403">
        <v>1920</v>
      </c>
      <c r="L195" s="403">
        <v>1080</v>
      </c>
      <c r="M195" s="403" t="s">
        <v>1289</v>
      </c>
      <c r="N195" s="403">
        <v>1280</v>
      </c>
      <c r="O195" s="403">
        <v>720</v>
      </c>
      <c r="P195" t="str">
        <f t="shared" si="25"/>
        <v>50fps 1080p - 720p full frame rate</v>
      </c>
      <c r="Q195">
        <f t="shared" si="26"/>
        <v>2</v>
      </c>
      <c r="R195" t="str">
        <f t="shared" si="27"/>
        <v/>
      </c>
      <c r="S195" t="str">
        <f t="shared" si="28"/>
        <v/>
      </c>
      <c r="T195" s="403" t="str">
        <f t="shared" si="29"/>
        <v>MIC-7502-Z30x</v>
      </c>
      <c r="U195" s="403">
        <f t="shared" si="30"/>
        <v>1</v>
      </c>
      <c r="V195" s="403" t="str">
        <f t="shared" si="31"/>
        <v>CPP_7_3</v>
      </c>
    </row>
    <row r="196" spans="1:22">
      <c r="A196" t="str">
        <f t="shared" si="24"/>
        <v>MIC-7502-Z30x</v>
      </c>
      <c r="B196" s="403" t="s">
        <v>1356</v>
      </c>
      <c r="C196" s="403" t="s">
        <v>582</v>
      </c>
      <c r="D196" s="403" t="s">
        <v>1357</v>
      </c>
      <c r="E196" s="403" t="s">
        <v>1358</v>
      </c>
      <c r="F196" s="403" t="s">
        <v>1290</v>
      </c>
      <c r="G196" s="403" t="s">
        <v>1466</v>
      </c>
      <c r="H196" s="403" t="s">
        <v>1281</v>
      </c>
      <c r="I196" s="403">
        <v>1</v>
      </c>
      <c r="J196" s="403" t="s">
        <v>110</v>
      </c>
      <c r="K196" s="403">
        <v>1920</v>
      </c>
      <c r="L196" s="403">
        <v>1080</v>
      </c>
      <c r="M196" s="403" t="s">
        <v>1283</v>
      </c>
      <c r="N196" s="403">
        <v>720</v>
      </c>
      <c r="O196" s="403">
        <v>576</v>
      </c>
      <c r="P196" t="str">
        <f t="shared" si="25"/>
        <v>50fps 1080p - SD 4CIF resolution 4:3 format (cropped)</v>
      </c>
      <c r="Q196">
        <f t="shared" si="26"/>
        <v>2</v>
      </c>
      <c r="R196" t="str">
        <f t="shared" si="27"/>
        <v/>
      </c>
      <c r="S196" t="str">
        <f t="shared" si="28"/>
        <v/>
      </c>
      <c r="T196" s="403" t="str">
        <f t="shared" si="29"/>
        <v>MIC-7502-Z30x</v>
      </c>
      <c r="U196" s="403">
        <f t="shared" si="30"/>
        <v>1</v>
      </c>
      <c r="V196" s="403" t="str">
        <f t="shared" si="31"/>
        <v>CPP_7_3</v>
      </c>
    </row>
    <row r="197" spans="1:22">
      <c r="A197" t="str">
        <f t="shared" si="24"/>
        <v>MIC-7502-Z30x</v>
      </c>
      <c r="B197" s="403" t="s">
        <v>1356</v>
      </c>
      <c r="C197" s="403" t="s">
        <v>582</v>
      </c>
      <c r="D197" s="403" t="s">
        <v>1357</v>
      </c>
      <c r="E197" s="403" t="s">
        <v>1358</v>
      </c>
      <c r="F197" s="403" t="s">
        <v>1290</v>
      </c>
      <c r="G197" s="403" t="s">
        <v>1466</v>
      </c>
      <c r="H197" s="403" t="s">
        <v>1281</v>
      </c>
      <c r="I197" s="403">
        <v>1</v>
      </c>
      <c r="J197" s="403" t="s">
        <v>110</v>
      </c>
      <c r="K197" s="403">
        <v>1920</v>
      </c>
      <c r="L197" s="403">
        <v>1080</v>
      </c>
      <c r="M197" s="403" t="s">
        <v>1284</v>
      </c>
      <c r="N197" s="403">
        <v>640</v>
      </c>
      <c r="O197" s="403">
        <v>480</v>
      </c>
      <c r="P197" t="str">
        <f t="shared" si="25"/>
        <v>50fps 1080p - SD VGA (cropped)</v>
      </c>
      <c r="Q197">
        <f t="shared" si="26"/>
        <v>2</v>
      </c>
      <c r="R197" t="str">
        <f t="shared" si="27"/>
        <v/>
      </c>
      <c r="S197" t="str">
        <f t="shared" si="28"/>
        <v/>
      </c>
      <c r="T197" s="403" t="str">
        <f t="shared" si="29"/>
        <v>MIC-7502-Z30x</v>
      </c>
      <c r="U197" s="403">
        <f t="shared" si="30"/>
        <v>1</v>
      </c>
      <c r="V197" s="403" t="str">
        <f t="shared" si="31"/>
        <v>CPP_7_3</v>
      </c>
    </row>
    <row r="198" spans="1:22">
      <c r="A198" t="str">
        <f t="shared" si="24"/>
        <v>MIC-7502-Z30x</v>
      </c>
      <c r="B198" s="403" t="s">
        <v>1356</v>
      </c>
      <c r="C198" s="403" t="s">
        <v>582</v>
      </c>
      <c r="D198" s="403" t="s">
        <v>1357</v>
      </c>
      <c r="E198" s="403" t="s">
        <v>1358</v>
      </c>
      <c r="F198" s="403" t="s">
        <v>1290</v>
      </c>
      <c r="G198" s="403" t="s">
        <v>1466</v>
      </c>
      <c r="H198" s="403" t="s">
        <v>1281</v>
      </c>
      <c r="I198" s="403">
        <v>1</v>
      </c>
      <c r="J198" s="403" t="s">
        <v>1289</v>
      </c>
      <c r="K198" s="403">
        <v>1280</v>
      </c>
      <c r="L198" s="403">
        <v>720</v>
      </c>
      <c r="M198" s="403" t="s">
        <v>1289</v>
      </c>
      <c r="N198" s="403">
        <v>1280</v>
      </c>
      <c r="O198" s="403">
        <v>720</v>
      </c>
      <c r="P198" t="str">
        <f t="shared" si="25"/>
        <v>50fps 720p full frame rate - 720p full frame rate</v>
      </c>
      <c r="Q198">
        <f t="shared" si="26"/>
        <v>2</v>
      </c>
      <c r="R198" t="str">
        <f t="shared" si="27"/>
        <v/>
      </c>
      <c r="S198" t="str">
        <f t="shared" si="28"/>
        <v/>
      </c>
      <c r="T198" s="403" t="str">
        <f t="shared" si="29"/>
        <v>MIC-7502-Z30x</v>
      </c>
      <c r="U198" s="403">
        <f t="shared" si="30"/>
        <v>1</v>
      </c>
      <c r="V198" s="403" t="str">
        <f t="shared" si="31"/>
        <v>CPP_7_3</v>
      </c>
    </row>
    <row r="199" spans="1:22">
      <c r="A199" t="str">
        <f t="shared" si="24"/>
        <v>MIC-7502-Z30x</v>
      </c>
      <c r="B199" s="403" t="s">
        <v>1356</v>
      </c>
      <c r="C199" s="403" t="s">
        <v>582</v>
      </c>
      <c r="D199" s="403" t="s">
        <v>1357</v>
      </c>
      <c r="E199" s="403" t="s">
        <v>1358</v>
      </c>
      <c r="F199" s="403" t="s">
        <v>1290</v>
      </c>
      <c r="G199" s="403" t="s">
        <v>1466</v>
      </c>
      <c r="H199" s="403" t="s">
        <v>1281</v>
      </c>
      <c r="I199" s="403">
        <v>1</v>
      </c>
      <c r="J199" s="403" t="s">
        <v>1289</v>
      </c>
      <c r="K199" s="403">
        <v>1280</v>
      </c>
      <c r="L199" s="403">
        <v>720</v>
      </c>
      <c r="M199" s="403" t="s">
        <v>111</v>
      </c>
      <c r="N199" s="403">
        <v>768</v>
      </c>
      <c r="O199" s="403">
        <v>432</v>
      </c>
      <c r="P199" t="str">
        <f t="shared" si="25"/>
        <v>50fps 720p full frame rate - SD</v>
      </c>
      <c r="Q199">
        <f t="shared" si="26"/>
        <v>2</v>
      </c>
      <c r="R199" t="str">
        <f t="shared" si="27"/>
        <v/>
      </c>
      <c r="S199" t="str">
        <f t="shared" si="28"/>
        <v/>
      </c>
      <c r="T199" s="403" t="str">
        <f t="shared" si="29"/>
        <v>MIC-7502-Z30x</v>
      </c>
      <c r="U199" s="403">
        <f t="shared" si="30"/>
        <v>1</v>
      </c>
      <c r="V199" s="403" t="str">
        <f t="shared" si="31"/>
        <v>CPP_7_3</v>
      </c>
    </row>
    <row r="200" spans="1:22">
      <c r="A200" t="str">
        <f t="shared" si="24"/>
        <v>MIC-7502-Z30x</v>
      </c>
      <c r="B200" s="403" t="s">
        <v>1356</v>
      </c>
      <c r="C200" s="403" t="s">
        <v>582</v>
      </c>
      <c r="D200" s="403" t="s">
        <v>1357</v>
      </c>
      <c r="E200" s="403" t="s">
        <v>1358</v>
      </c>
      <c r="F200" s="403" t="s">
        <v>1290</v>
      </c>
      <c r="G200" s="403" t="s">
        <v>1466</v>
      </c>
      <c r="H200" s="403" t="s">
        <v>1281</v>
      </c>
      <c r="I200" s="403">
        <v>1</v>
      </c>
      <c r="J200" s="403" t="s">
        <v>1289</v>
      </c>
      <c r="K200" s="403">
        <v>1280</v>
      </c>
      <c r="L200" s="403">
        <v>720</v>
      </c>
      <c r="M200" s="403" t="s">
        <v>1283</v>
      </c>
      <c r="N200" s="403">
        <v>720</v>
      </c>
      <c r="O200" s="403">
        <v>576</v>
      </c>
      <c r="P200" t="str">
        <f t="shared" si="25"/>
        <v>50fps 720p full frame rate - SD 4CIF resolution 4:3 format (cropped)</v>
      </c>
      <c r="Q200">
        <f t="shared" si="26"/>
        <v>2</v>
      </c>
      <c r="R200" t="str">
        <f t="shared" si="27"/>
        <v/>
      </c>
      <c r="S200" t="str">
        <f t="shared" si="28"/>
        <v/>
      </c>
      <c r="T200" s="403" t="str">
        <f t="shared" si="29"/>
        <v>MIC-7502-Z30x</v>
      </c>
      <c r="U200" s="403">
        <f t="shared" si="30"/>
        <v>1</v>
      </c>
      <c r="V200" s="403" t="str">
        <f t="shared" si="31"/>
        <v>CPP_7_3</v>
      </c>
    </row>
    <row r="201" spans="1:22">
      <c r="A201" t="str">
        <f t="shared" si="24"/>
        <v>MIC-7502-Z30x</v>
      </c>
      <c r="B201" s="403" t="s">
        <v>1356</v>
      </c>
      <c r="C201" s="403" t="s">
        <v>582</v>
      </c>
      <c r="D201" s="403" t="s">
        <v>1357</v>
      </c>
      <c r="E201" s="403" t="s">
        <v>1358</v>
      </c>
      <c r="F201" s="403" t="s">
        <v>1290</v>
      </c>
      <c r="G201" s="403" t="s">
        <v>1466</v>
      </c>
      <c r="H201" s="403" t="s">
        <v>1281</v>
      </c>
      <c r="I201" s="403">
        <v>1</v>
      </c>
      <c r="J201" s="403" t="s">
        <v>1289</v>
      </c>
      <c r="K201" s="403">
        <v>1280</v>
      </c>
      <c r="L201" s="403">
        <v>720</v>
      </c>
      <c r="M201" s="403" t="s">
        <v>1284</v>
      </c>
      <c r="N201" s="403">
        <v>640</v>
      </c>
      <c r="O201" s="403">
        <v>480</v>
      </c>
      <c r="P201" t="str">
        <f t="shared" si="25"/>
        <v>50fps 720p full frame rate - SD VGA (cropped)</v>
      </c>
      <c r="Q201">
        <f t="shared" si="26"/>
        <v>2</v>
      </c>
      <c r="R201" t="str">
        <f t="shared" si="27"/>
        <v/>
      </c>
      <c r="S201" t="str">
        <f t="shared" si="28"/>
        <v/>
      </c>
      <c r="T201" s="403" t="str">
        <f t="shared" si="29"/>
        <v>MIC-7502-Z30x</v>
      </c>
      <c r="U201" s="403">
        <f t="shared" si="30"/>
        <v>1</v>
      </c>
      <c r="V201" s="403" t="str">
        <f t="shared" si="31"/>
        <v>CPP_7_3</v>
      </c>
    </row>
    <row r="202" spans="1:22">
      <c r="A202" t="str">
        <f t="shared" si="24"/>
        <v>MIC-7502-Z30x</v>
      </c>
      <c r="B202" s="403" t="s">
        <v>1356</v>
      </c>
      <c r="C202" s="403" t="s">
        <v>582</v>
      </c>
      <c r="D202" s="403" t="s">
        <v>1357</v>
      </c>
      <c r="E202" s="403" t="s">
        <v>1358</v>
      </c>
      <c r="F202" s="403" t="s">
        <v>1290</v>
      </c>
      <c r="G202" s="403" t="s">
        <v>1466</v>
      </c>
      <c r="H202" s="403" t="s">
        <v>1282</v>
      </c>
      <c r="I202" s="403">
        <v>1</v>
      </c>
      <c r="J202" s="403" t="s">
        <v>110</v>
      </c>
      <c r="K202" s="403">
        <v>1920</v>
      </c>
      <c r="L202" s="403">
        <v>1080</v>
      </c>
      <c r="M202" s="403" t="s">
        <v>111</v>
      </c>
      <c r="N202" s="403">
        <v>768</v>
      </c>
      <c r="O202" s="403">
        <v>432</v>
      </c>
      <c r="P202" t="str">
        <f t="shared" si="25"/>
        <v>50fps 1080p - SD</v>
      </c>
      <c r="Q202">
        <f t="shared" si="26"/>
        <v>2</v>
      </c>
      <c r="R202" t="str">
        <f t="shared" si="27"/>
        <v/>
      </c>
      <c r="S202" t="str">
        <f t="shared" si="28"/>
        <v/>
      </c>
      <c r="T202" s="403" t="str">
        <f t="shared" si="29"/>
        <v>MIC-7502-Z30x</v>
      </c>
      <c r="U202" s="403">
        <f t="shared" si="30"/>
        <v>1</v>
      </c>
      <c r="V202" s="403" t="str">
        <f t="shared" si="31"/>
        <v>CPP_7_3</v>
      </c>
    </row>
    <row r="203" spans="1:22">
      <c r="A203" t="str">
        <f t="shared" si="24"/>
        <v>MIC-7502-Z30x</v>
      </c>
      <c r="B203" s="403" t="s">
        <v>1356</v>
      </c>
      <c r="C203" s="403" t="s">
        <v>582</v>
      </c>
      <c r="D203" s="403" t="s">
        <v>1357</v>
      </c>
      <c r="E203" s="403" t="s">
        <v>1358</v>
      </c>
      <c r="F203" s="403" t="s">
        <v>1290</v>
      </c>
      <c r="G203" s="403" t="s">
        <v>1466</v>
      </c>
      <c r="H203" s="403" t="s">
        <v>1282</v>
      </c>
      <c r="I203" s="403">
        <v>1</v>
      </c>
      <c r="J203" s="403" t="s">
        <v>110</v>
      </c>
      <c r="K203" s="403">
        <v>1920</v>
      </c>
      <c r="L203" s="403">
        <v>1080</v>
      </c>
      <c r="M203" s="403" t="s">
        <v>110</v>
      </c>
      <c r="N203" s="403">
        <v>1920</v>
      </c>
      <c r="O203" s="403">
        <v>1080</v>
      </c>
      <c r="P203" t="str">
        <f t="shared" si="25"/>
        <v>50fps 1080p - 1080p</v>
      </c>
      <c r="Q203">
        <f t="shared" si="26"/>
        <v>2</v>
      </c>
      <c r="R203" t="str">
        <f t="shared" si="27"/>
        <v/>
      </c>
      <c r="S203" t="str">
        <f t="shared" si="28"/>
        <v/>
      </c>
      <c r="T203" s="403" t="str">
        <f t="shared" si="29"/>
        <v>MIC-7502-Z30x</v>
      </c>
      <c r="U203" s="403">
        <f t="shared" si="30"/>
        <v>1</v>
      </c>
      <c r="V203" s="403" t="str">
        <f t="shared" si="31"/>
        <v>CPP_7_3</v>
      </c>
    </row>
    <row r="204" spans="1:22">
      <c r="A204" t="str">
        <f t="shared" si="24"/>
        <v>MIC-7502-Z30x</v>
      </c>
      <c r="B204" s="403" t="s">
        <v>1356</v>
      </c>
      <c r="C204" s="403" t="s">
        <v>582</v>
      </c>
      <c r="D204" s="403" t="s">
        <v>1357</v>
      </c>
      <c r="E204" s="403" t="s">
        <v>1358</v>
      </c>
      <c r="F204" s="403" t="s">
        <v>1290</v>
      </c>
      <c r="G204" s="403" t="s">
        <v>1466</v>
      </c>
      <c r="H204" s="403" t="s">
        <v>1282</v>
      </c>
      <c r="I204" s="403">
        <v>1</v>
      </c>
      <c r="J204" s="403" t="s">
        <v>110</v>
      </c>
      <c r="K204" s="403">
        <v>1920</v>
      </c>
      <c r="L204" s="403">
        <v>1080</v>
      </c>
      <c r="M204" s="403" t="s">
        <v>1289</v>
      </c>
      <c r="N204" s="403">
        <v>1280</v>
      </c>
      <c r="O204" s="403">
        <v>720</v>
      </c>
      <c r="P204" t="str">
        <f t="shared" si="25"/>
        <v>50fps 1080p - 720p full frame rate</v>
      </c>
      <c r="Q204">
        <f t="shared" si="26"/>
        <v>2</v>
      </c>
      <c r="R204" t="str">
        <f t="shared" si="27"/>
        <v/>
      </c>
      <c r="S204" t="str">
        <f t="shared" si="28"/>
        <v/>
      </c>
      <c r="T204" s="403" t="str">
        <f t="shared" si="29"/>
        <v>MIC-7502-Z30x</v>
      </c>
      <c r="U204" s="403">
        <f t="shared" si="30"/>
        <v>1</v>
      </c>
      <c r="V204" s="403" t="str">
        <f t="shared" si="31"/>
        <v>CPP_7_3</v>
      </c>
    </row>
    <row r="205" spans="1:22">
      <c r="A205" t="str">
        <f t="shared" si="24"/>
        <v>MIC-7502-Z30x</v>
      </c>
      <c r="B205" s="403" t="s">
        <v>1356</v>
      </c>
      <c r="C205" s="403" t="s">
        <v>582</v>
      </c>
      <c r="D205" s="403" t="s">
        <v>1357</v>
      </c>
      <c r="E205" s="403" t="s">
        <v>1358</v>
      </c>
      <c r="F205" s="403" t="s">
        <v>1290</v>
      </c>
      <c r="G205" s="403" t="s">
        <v>1466</v>
      </c>
      <c r="H205" s="403" t="s">
        <v>1282</v>
      </c>
      <c r="I205" s="403">
        <v>1</v>
      </c>
      <c r="J205" s="403" t="s">
        <v>110</v>
      </c>
      <c r="K205" s="403">
        <v>1920</v>
      </c>
      <c r="L205" s="403">
        <v>1080</v>
      </c>
      <c r="M205" s="403" t="s">
        <v>1285</v>
      </c>
      <c r="N205" s="403">
        <v>1280</v>
      </c>
      <c r="O205" s="403">
        <v>1024</v>
      </c>
      <c r="P205" t="str">
        <f t="shared" si="25"/>
        <v>50fps 1080p - 1280x1024 5:4 (cropped)</v>
      </c>
      <c r="Q205">
        <f t="shared" si="26"/>
        <v>2</v>
      </c>
      <c r="R205" t="str">
        <f t="shared" si="27"/>
        <v/>
      </c>
      <c r="S205" t="str">
        <f t="shared" si="28"/>
        <v/>
      </c>
      <c r="T205" s="403" t="str">
        <f t="shared" si="29"/>
        <v>MIC-7502-Z30x</v>
      </c>
      <c r="U205" s="403">
        <f t="shared" si="30"/>
        <v>1</v>
      </c>
      <c r="V205" s="403" t="str">
        <f t="shared" si="31"/>
        <v>CPP_7_3</v>
      </c>
    </row>
    <row r="206" spans="1:22">
      <c r="A206" t="str">
        <f t="shared" si="24"/>
        <v>MIC-7502-Z30x</v>
      </c>
      <c r="B206" s="403" t="s">
        <v>1356</v>
      </c>
      <c r="C206" s="403" t="s">
        <v>582</v>
      </c>
      <c r="D206" s="403" t="s">
        <v>1357</v>
      </c>
      <c r="E206" s="403" t="s">
        <v>1358</v>
      </c>
      <c r="F206" s="403" t="s">
        <v>1290</v>
      </c>
      <c r="G206" s="403" t="s">
        <v>1466</v>
      </c>
      <c r="H206" s="403" t="s">
        <v>1282</v>
      </c>
      <c r="I206" s="403">
        <v>1</v>
      </c>
      <c r="J206" s="403" t="s">
        <v>110</v>
      </c>
      <c r="K206" s="403">
        <v>1920</v>
      </c>
      <c r="L206" s="403">
        <v>1080</v>
      </c>
      <c r="M206" s="403" t="s">
        <v>1283</v>
      </c>
      <c r="N206" s="403">
        <v>720</v>
      </c>
      <c r="O206" s="403">
        <v>576</v>
      </c>
      <c r="P206" t="str">
        <f t="shared" si="25"/>
        <v>50fps 1080p - SD 4CIF resolution 4:3 format (cropped)</v>
      </c>
      <c r="Q206">
        <f t="shared" si="26"/>
        <v>2</v>
      </c>
      <c r="R206" t="str">
        <f t="shared" si="27"/>
        <v/>
      </c>
      <c r="S206" t="str">
        <f t="shared" si="28"/>
        <v/>
      </c>
      <c r="T206" s="403" t="str">
        <f t="shared" si="29"/>
        <v>MIC-7502-Z30x</v>
      </c>
      <c r="U206" s="403">
        <f t="shared" si="30"/>
        <v>1</v>
      </c>
      <c r="V206" s="403" t="str">
        <f t="shared" si="31"/>
        <v>CPP_7_3</v>
      </c>
    </row>
    <row r="207" spans="1:22">
      <c r="A207" t="str">
        <f t="shared" si="24"/>
        <v>MIC-7502-Z30x</v>
      </c>
      <c r="B207" s="403" t="s">
        <v>1356</v>
      </c>
      <c r="C207" s="403" t="s">
        <v>582</v>
      </c>
      <c r="D207" s="403" t="s">
        <v>1357</v>
      </c>
      <c r="E207" s="403" t="s">
        <v>1358</v>
      </c>
      <c r="F207" s="403" t="s">
        <v>1290</v>
      </c>
      <c r="G207" s="403" t="s">
        <v>1466</v>
      </c>
      <c r="H207" s="403" t="s">
        <v>1282</v>
      </c>
      <c r="I207" s="403">
        <v>1</v>
      </c>
      <c r="J207" s="403" t="s">
        <v>110</v>
      </c>
      <c r="K207" s="403">
        <v>1920</v>
      </c>
      <c r="L207" s="403">
        <v>1080</v>
      </c>
      <c r="M207" s="403" t="s">
        <v>1284</v>
      </c>
      <c r="N207" s="403">
        <v>640</v>
      </c>
      <c r="O207" s="403">
        <v>480</v>
      </c>
      <c r="P207" t="str">
        <f t="shared" si="25"/>
        <v>50fps 1080p - SD VGA (cropped)</v>
      </c>
      <c r="Q207">
        <f t="shared" si="26"/>
        <v>2</v>
      </c>
      <c r="R207" t="str">
        <f t="shared" si="27"/>
        <v/>
      </c>
      <c r="S207" t="str">
        <f t="shared" si="28"/>
        <v/>
      </c>
      <c r="T207" s="403" t="str">
        <f t="shared" si="29"/>
        <v>MIC-7502-Z30x</v>
      </c>
      <c r="U207" s="403">
        <f t="shared" si="30"/>
        <v>1</v>
      </c>
      <c r="V207" s="403" t="str">
        <f t="shared" si="31"/>
        <v>CPP_7_3</v>
      </c>
    </row>
    <row r="208" spans="1:22">
      <c r="A208" t="str">
        <f t="shared" si="24"/>
        <v>MIC-7502-Z30x</v>
      </c>
      <c r="B208" s="403" t="s">
        <v>1356</v>
      </c>
      <c r="C208" s="403" t="s">
        <v>582</v>
      </c>
      <c r="D208" s="403" t="s">
        <v>1357</v>
      </c>
      <c r="E208" s="403" t="s">
        <v>1358</v>
      </c>
      <c r="F208" s="403" t="s">
        <v>1290</v>
      </c>
      <c r="G208" s="403" t="s">
        <v>1466</v>
      </c>
      <c r="H208" s="403" t="s">
        <v>1282</v>
      </c>
      <c r="I208" s="403">
        <v>1</v>
      </c>
      <c r="J208" s="403" t="s">
        <v>1289</v>
      </c>
      <c r="K208" s="403">
        <v>1280</v>
      </c>
      <c r="L208" s="403">
        <v>720</v>
      </c>
      <c r="M208" s="403" t="s">
        <v>1289</v>
      </c>
      <c r="N208" s="403">
        <v>1280</v>
      </c>
      <c r="O208" s="403">
        <v>720</v>
      </c>
      <c r="P208" t="str">
        <f t="shared" si="25"/>
        <v>50fps 720p full frame rate - 720p full frame rate</v>
      </c>
      <c r="Q208">
        <f t="shared" si="26"/>
        <v>2</v>
      </c>
      <c r="R208" t="str">
        <f t="shared" si="27"/>
        <v/>
      </c>
      <c r="S208" t="str">
        <f t="shared" si="28"/>
        <v/>
      </c>
      <c r="T208" s="403" t="str">
        <f t="shared" si="29"/>
        <v>MIC-7502-Z30x</v>
      </c>
      <c r="U208" s="403">
        <f t="shared" si="30"/>
        <v>1</v>
      </c>
      <c r="V208" s="403" t="str">
        <f t="shared" si="31"/>
        <v>CPP_7_3</v>
      </c>
    </row>
    <row r="209" spans="1:22">
      <c r="A209" t="str">
        <f t="shared" si="24"/>
        <v>MIC-7502-Z30x</v>
      </c>
      <c r="B209" s="403" t="s">
        <v>1356</v>
      </c>
      <c r="C209" s="403" t="s">
        <v>582</v>
      </c>
      <c r="D209" s="403" t="s">
        <v>1357</v>
      </c>
      <c r="E209" s="403" t="s">
        <v>1358</v>
      </c>
      <c r="F209" s="403" t="s">
        <v>1290</v>
      </c>
      <c r="G209" s="403" t="s">
        <v>1466</v>
      </c>
      <c r="H209" s="403" t="s">
        <v>1282</v>
      </c>
      <c r="I209" s="403">
        <v>1</v>
      </c>
      <c r="J209" s="403" t="s">
        <v>1289</v>
      </c>
      <c r="K209" s="403">
        <v>1280</v>
      </c>
      <c r="L209" s="403">
        <v>720</v>
      </c>
      <c r="M209" s="403" t="s">
        <v>111</v>
      </c>
      <c r="N209" s="403">
        <v>768</v>
      </c>
      <c r="O209" s="403">
        <v>432</v>
      </c>
      <c r="P209" t="str">
        <f t="shared" si="25"/>
        <v>50fps 720p full frame rate - SD</v>
      </c>
      <c r="Q209">
        <f t="shared" si="26"/>
        <v>2</v>
      </c>
      <c r="R209" t="str">
        <f t="shared" si="27"/>
        <v/>
      </c>
      <c r="S209" t="str">
        <f t="shared" si="28"/>
        <v/>
      </c>
      <c r="T209" s="403" t="str">
        <f t="shared" si="29"/>
        <v>MIC-7502-Z30x</v>
      </c>
      <c r="U209" s="403">
        <f t="shared" si="30"/>
        <v>1</v>
      </c>
      <c r="V209" s="403" t="str">
        <f t="shared" si="31"/>
        <v>CPP_7_3</v>
      </c>
    </row>
    <row r="210" spans="1:22">
      <c r="A210" t="str">
        <f t="shared" si="24"/>
        <v>MIC-7502-Z30x</v>
      </c>
      <c r="B210" s="403" t="s">
        <v>1356</v>
      </c>
      <c r="C210" s="403" t="s">
        <v>582</v>
      </c>
      <c r="D210" s="403" t="s">
        <v>1357</v>
      </c>
      <c r="E210" s="403" t="s">
        <v>1358</v>
      </c>
      <c r="F210" s="403" t="s">
        <v>1290</v>
      </c>
      <c r="G210" s="403" t="s">
        <v>1466</v>
      </c>
      <c r="H210" s="403" t="s">
        <v>1282</v>
      </c>
      <c r="I210" s="403">
        <v>1</v>
      </c>
      <c r="J210" s="403" t="s">
        <v>1289</v>
      </c>
      <c r="K210" s="403">
        <v>1280</v>
      </c>
      <c r="L210" s="403">
        <v>720</v>
      </c>
      <c r="M210" s="403" t="s">
        <v>1283</v>
      </c>
      <c r="N210" s="403">
        <v>720</v>
      </c>
      <c r="O210" s="403">
        <v>576</v>
      </c>
      <c r="P210" t="str">
        <f t="shared" si="25"/>
        <v>50fps 720p full frame rate - SD 4CIF resolution 4:3 format (cropped)</v>
      </c>
      <c r="Q210">
        <f t="shared" si="26"/>
        <v>2</v>
      </c>
      <c r="R210" t="str">
        <f t="shared" si="27"/>
        <v/>
      </c>
      <c r="S210" t="str">
        <f t="shared" si="28"/>
        <v/>
      </c>
      <c r="T210" s="403" t="str">
        <f t="shared" si="29"/>
        <v>MIC-7502-Z30x</v>
      </c>
      <c r="U210" s="403">
        <f t="shared" si="30"/>
        <v>1</v>
      </c>
      <c r="V210" s="403" t="str">
        <f t="shared" si="31"/>
        <v>CPP_7_3</v>
      </c>
    </row>
    <row r="211" spans="1:22">
      <c r="A211" t="str">
        <f t="shared" si="24"/>
        <v>MIC-7502-Z30x</v>
      </c>
      <c r="B211" s="403" t="s">
        <v>1356</v>
      </c>
      <c r="C211" s="403" t="s">
        <v>582</v>
      </c>
      <c r="D211" s="403" t="s">
        <v>1357</v>
      </c>
      <c r="E211" s="403" t="s">
        <v>1358</v>
      </c>
      <c r="F211" s="403" t="s">
        <v>1290</v>
      </c>
      <c r="G211" s="403" t="s">
        <v>1466</v>
      </c>
      <c r="H211" s="403" t="s">
        <v>1282</v>
      </c>
      <c r="I211" s="403">
        <v>1</v>
      </c>
      <c r="J211" s="403" t="s">
        <v>1289</v>
      </c>
      <c r="K211" s="403">
        <v>1280</v>
      </c>
      <c r="L211" s="403">
        <v>720</v>
      </c>
      <c r="M211" s="403" t="s">
        <v>1284</v>
      </c>
      <c r="N211" s="403">
        <v>640</v>
      </c>
      <c r="O211" s="403">
        <v>480</v>
      </c>
      <c r="P211" t="str">
        <f t="shared" si="25"/>
        <v>50fps 720p full frame rate - SD VGA (cropped)</v>
      </c>
      <c r="Q211">
        <f t="shared" si="26"/>
        <v>2</v>
      </c>
      <c r="R211" t="str">
        <f t="shared" si="27"/>
        <v/>
      </c>
      <c r="S211" t="str">
        <f t="shared" si="28"/>
        <v/>
      </c>
      <c r="T211" s="403" t="str">
        <f t="shared" si="29"/>
        <v>MIC-7502-Z30x</v>
      </c>
      <c r="U211" s="403">
        <f t="shared" si="30"/>
        <v>1</v>
      </c>
      <c r="V211" s="403" t="str">
        <f t="shared" si="31"/>
        <v>CPP_7_3</v>
      </c>
    </row>
    <row r="212" spans="1:22">
      <c r="A212" t="str">
        <f t="shared" si="24"/>
        <v>MIC-7502-Z30x</v>
      </c>
      <c r="B212" s="403" t="s">
        <v>1356</v>
      </c>
      <c r="C212" s="403" t="s">
        <v>582</v>
      </c>
      <c r="D212" s="403" t="s">
        <v>1357</v>
      </c>
      <c r="E212" s="403" t="s">
        <v>1358</v>
      </c>
      <c r="F212" s="403" t="s">
        <v>1288</v>
      </c>
      <c r="G212" s="403" t="s">
        <v>1466</v>
      </c>
      <c r="H212" s="403" t="s">
        <v>1276</v>
      </c>
      <c r="I212" s="403">
        <v>1</v>
      </c>
      <c r="J212" s="403" t="s">
        <v>110</v>
      </c>
      <c r="K212" s="403">
        <v>1920</v>
      </c>
      <c r="L212" s="403">
        <v>1080</v>
      </c>
      <c r="M212" s="403" t="s">
        <v>111</v>
      </c>
      <c r="N212" s="403">
        <v>768</v>
      </c>
      <c r="O212" s="403">
        <v>432</v>
      </c>
      <c r="P212" t="str">
        <f t="shared" si="25"/>
        <v>60fps 1080p - SD</v>
      </c>
      <c r="Q212">
        <f t="shared" si="26"/>
        <v>2</v>
      </c>
      <c r="R212" t="str">
        <f t="shared" si="27"/>
        <v/>
      </c>
      <c r="S212" t="str">
        <f t="shared" si="28"/>
        <v/>
      </c>
      <c r="T212" s="403" t="str">
        <f t="shared" si="29"/>
        <v>MIC-7502-Z30x</v>
      </c>
      <c r="U212" s="403">
        <f t="shared" si="30"/>
        <v>1</v>
      </c>
      <c r="V212" s="403" t="str">
        <f t="shared" si="31"/>
        <v>CPP_7_3</v>
      </c>
    </row>
    <row r="213" spans="1:22">
      <c r="A213" t="str">
        <f t="shared" si="24"/>
        <v>MIC-7502-Z30x</v>
      </c>
      <c r="B213" s="403" t="s">
        <v>1356</v>
      </c>
      <c r="C213" s="403" t="s">
        <v>582</v>
      </c>
      <c r="D213" s="403" t="s">
        <v>1357</v>
      </c>
      <c r="E213" s="403" t="s">
        <v>1358</v>
      </c>
      <c r="F213" s="403" t="s">
        <v>1288</v>
      </c>
      <c r="G213" s="403" t="s">
        <v>1466</v>
      </c>
      <c r="H213" s="403" t="s">
        <v>1276</v>
      </c>
      <c r="I213" s="403">
        <v>1</v>
      </c>
      <c r="J213" s="403" t="s">
        <v>110</v>
      </c>
      <c r="K213" s="403">
        <v>1920</v>
      </c>
      <c r="L213" s="403">
        <v>1080</v>
      </c>
      <c r="M213" s="403" t="s">
        <v>110</v>
      </c>
      <c r="N213" s="403">
        <v>1920</v>
      </c>
      <c r="O213" s="403">
        <v>1080</v>
      </c>
      <c r="P213" t="str">
        <f t="shared" si="25"/>
        <v>60fps 1080p - 1080p</v>
      </c>
      <c r="Q213">
        <f t="shared" si="26"/>
        <v>2</v>
      </c>
      <c r="R213" t="str">
        <f t="shared" si="27"/>
        <v/>
      </c>
      <c r="S213" t="str">
        <f t="shared" si="28"/>
        <v/>
      </c>
      <c r="T213" s="403" t="str">
        <f t="shared" si="29"/>
        <v>MIC-7502-Z30x</v>
      </c>
      <c r="U213" s="403">
        <f t="shared" si="30"/>
        <v>1</v>
      </c>
      <c r="V213" s="403" t="str">
        <f t="shared" si="31"/>
        <v>CPP_7_3</v>
      </c>
    </row>
    <row r="214" spans="1:22">
      <c r="A214" t="str">
        <f t="shared" si="24"/>
        <v>MIC-7502-Z30x</v>
      </c>
      <c r="B214" s="403" t="s">
        <v>1356</v>
      </c>
      <c r="C214" s="403" t="s">
        <v>582</v>
      </c>
      <c r="D214" s="403" t="s">
        <v>1357</v>
      </c>
      <c r="E214" s="403" t="s">
        <v>1358</v>
      </c>
      <c r="F214" s="403" t="s">
        <v>1288</v>
      </c>
      <c r="G214" s="403" t="s">
        <v>1466</v>
      </c>
      <c r="H214" s="403" t="s">
        <v>1276</v>
      </c>
      <c r="I214" s="403">
        <v>1</v>
      </c>
      <c r="J214" s="403" t="s">
        <v>110</v>
      </c>
      <c r="K214" s="403">
        <v>1920</v>
      </c>
      <c r="L214" s="403">
        <v>1080</v>
      </c>
      <c r="M214" s="403" t="s">
        <v>1289</v>
      </c>
      <c r="N214" s="403">
        <v>1280</v>
      </c>
      <c r="O214" s="403">
        <v>720</v>
      </c>
      <c r="P214" t="str">
        <f t="shared" si="25"/>
        <v>60fps 1080p - 720p full frame rate</v>
      </c>
      <c r="Q214">
        <f t="shared" si="26"/>
        <v>2</v>
      </c>
      <c r="R214" t="str">
        <f t="shared" si="27"/>
        <v/>
      </c>
      <c r="S214" t="str">
        <f t="shared" si="28"/>
        <v/>
      </c>
      <c r="T214" s="403" t="str">
        <f t="shared" si="29"/>
        <v>MIC-7502-Z30x</v>
      </c>
      <c r="U214" s="403">
        <f t="shared" si="30"/>
        <v>1</v>
      </c>
      <c r="V214" s="403" t="str">
        <f t="shared" si="31"/>
        <v>CPP_7_3</v>
      </c>
    </row>
    <row r="215" spans="1:22">
      <c r="A215" t="str">
        <f t="shared" si="24"/>
        <v>MIC-7502-Z30x</v>
      </c>
      <c r="B215" s="403" t="s">
        <v>1356</v>
      </c>
      <c r="C215" s="403" t="s">
        <v>582</v>
      </c>
      <c r="D215" s="403" t="s">
        <v>1357</v>
      </c>
      <c r="E215" s="403" t="s">
        <v>1358</v>
      </c>
      <c r="F215" s="403" t="s">
        <v>1288</v>
      </c>
      <c r="G215" s="403" t="s">
        <v>1466</v>
      </c>
      <c r="H215" s="403" t="s">
        <v>1276</v>
      </c>
      <c r="I215" s="403">
        <v>1</v>
      </c>
      <c r="J215" s="403" t="s">
        <v>110</v>
      </c>
      <c r="K215" s="403">
        <v>1920</v>
      </c>
      <c r="L215" s="403">
        <v>1080</v>
      </c>
      <c r="M215" s="403" t="s">
        <v>1285</v>
      </c>
      <c r="N215" s="403">
        <v>1280</v>
      </c>
      <c r="O215" s="403">
        <v>1024</v>
      </c>
      <c r="P215" t="str">
        <f t="shared" si="25"/>
        <v>60fps 1080p - 1280x1024 5:4 (cropped)</v>
      </c>
      <c r="Q215">
        <f t="shared" si="26"/>
        <v>2</v>
      </c>
      <c r="R215" t="str">
        <f t="shared" si="27"/>
        <v/>
      </c>
      <c r="S215" t="str">
        <f t="shared" si="28"/>
        <v/>
      </c>
      <c r="T215" s="403" t="str">
        <f t="shared" si="29"/>
        <v>MIC-7502-Z30x</v>
      </c>
      <c r="U215" s="403">
        <f t="shared" si="30"/>
        <v>1</v>
      </c>
      <c r="V215" s="403" t="str">
        <f t="shared" si="31"/>
        <v>CPP_7_3</v>
      </c>
    </row>
    <row r="216" spans="1:22">
      <c r="A216" t="str">
        <f t="shared" si="24"/>
        <v>MIC-7502-Z30x</v>
      </c>
      <c r="B216" s="403" t="s">
        <v>1356</v>
      </c>
      <c r="C216" s="403" t="s">
        <v>582</v>
      </c>
      <c r="D216" s="403" t="s">
        <v>1357</v>
      </c>
      <c r="E216" s="403" t="s">
        <v>1358</v>
      </c>
      <c r="F216" s="403" t="s">
        <v>1288</v>
      </c>
      <c r="G216" s="403" t="s">
        <v>1466</v>
      </c>
      <c r="H216" s="403" t="s">
        <v>1276</v>
      </c>
      <c r="I216" s="403">
        <v>1</v>
      </c>
      <c r="J216" s="403" t="s">
        <v>110</v>
      </c>
      <c r="K216" s="403">
        <v>1920</v>
      </c>
      <c r="L216" s="403">
        <v>1080</v>
      </c>
      <c r="M216" s="403" t="s">
        <v>1283</v>
      </c>
      <c r="N216" s="403">
        <v>720</v>
      </c>
      <c r="O216" s="403">
        <v>480</v>
      </c>
      <c r="P216" t="str">
        <f t="shared" si="25"/>
        <v>60fps 1080p - SD 4CIF resolution 4:3 format (cropped)</v>
      </c>
      <c r="Q216">
        <f t="shared" si="26"/>
        <v>2</v>
      </c>
      <c r="R216" t="str">
        <f t="shared" si="27"/>
        <v/>
      </c>
      <c r="S216" t="str">
        <f t="shared" si="28"/>
        <v/>
      </c>
      <c r="T216" s="403" t="str">
        <f t="shared" si="29"/>
        <v>MIC-7502-Z30x</v>
      </c>
      <c r="U216" s="403">
        <f t="shared" si="30"/>
        <v>1</v>
      </c>
      <c r="V216" s="403" t="str">
        <f t="shared" si="31"/>
        <v>CPP_7_3</v>
      </c>
    </row>
    <row r="217" spans="1:22">
      <c r="A217" t="str">
        <f t="shared" si="24"/>
        <v>MIC-7502-Z30x</v>
      </c>
      <c r="B217" s="403" t="s">
        <v>1356</v>
      </c>
      <c r="C217" s="403" t="s">
        <v>582</v>
      </c>
      <c r="D217" s="403" t="s">
        <v>1357</v>
      </c>
      <c r="E217" s="403" t="s">
        <v>1358</v>
      </c>
      <c r="F217" s="403" t="s">
        <v>1288</v>
      </c>
      <c r="G217" s="403" t="s">
        <v>1466</v>
      </c>
      <c r="H217" s="403" t="s">
        <v>1276</v>
      </c>
      <c r="I217" s="403">
        <v>1</v>
      </c>
      <c r="J217" s="403" t="s">
        <v>110</v>
      </c>
      <c r="K217" s="403">
        <v>1920</v>
      </c>
      <c r="L217" s="403">
        <v>1080</v>
      </c>
      <c r="M217" s="403" t="s">
        <v>1284</v>
      </c>
      <c r="N217" s="403">
        <v>640</v>
      </c>
      <c r="O217" s="403">
        <v>480</v>
      </c>
      <c r="P217" t="str">
        <f t="shared" si="25"/>
        <v>60fps 1080p - SD VGA (cropped)</v>
      </c>
      <c r="Q217">
        <f t="shared" si="26"/>
        <v>2</v>
      </c>
      <c r="R217" t="str">
        <f t="shared" si="27"/>
        <v/>
      </c>
      <c r="S217" t="str">
        <f t="shared" si="28"/>
        <v/>
      </c>
      <c r="T217" s="403" t="str">
        <f t="shared" si="29"/>
        <v>MIC-7502-Z30x</v>
      </c>
      <c r="U217" s="403">
        <f t="shared" si="30"/>
        <v>1</v>
      </c>
      <c r="V217" s="403" t="str">
        <f t="shared" si="31"/>
        <v>CPP_7_3</v>
      </c>
    </row>
    <row r="218" spans="1:22">
      <c r="A218" t="str">
        <f t="shared" si="24"/>
        <v>MIC-7502-Z30x</v>
      </c>
      <c r="B218" s="403" t="s">
        <v>1356</v>
      </c>
      <c r="C218" s="403" t="s">
        <v>582</v>
      </c>
      <c r="D218" s="403" t="s">
        <v>1357</v>
      </c>
      <c r="E218" s="403" t="s">
        <v>1358</v>
      </c>
      <c r="F218" s="403" t="s">
        <v>1288</v>
      </c>
      <c r="G218" s="403" t="s">
        <v>1466</v>
      </c>
      <c r="H218" s="403" t="s">
        <v>1276</v>
      </c>
      <c r="I218" s="403">
        <v>1</v>
      </c>
      <c r="J218" s="403" t="s">
        <v>1289</v>
      </c>
      <c r="K218" s="403">
        <v>1280</v>
      </c>
      <c r="L218" s="403">
        <v>720</v>
      </c>
      <c r="M218" s="403" t="s">
        <v>1289</v>
      </c>
      <c r="N218" s="403">
        <v>1280</v>
      </c>
      <c r="O218" s="403">
        <v>720</v>
      </c>
      <c r="P218" t="str">
        <f t="shared" si="25"/>
        <v>60fps 720p full frame rate - 720p full frame rate</v>
      </c>
      <c r="Q218">
        <f t="shared" si="26"/>
        <v>2</v>
      </c>
      <c r="R218" t="str">
        <f t="shared" si="27"/>
        <v/>
      </c>
      <c r="S218" t="str">
        <f t="shared" si="28"/>
        <v/>
      </c>
      <c r="T218" s="403" t="str">
        <f t="shared" si="29"/>
        <v>MIC-7502-Z30x</v>
      </c>
      <c r="U218" s="403">
        <f t="shared" si="30"/>
        <v>1</v>
      </c>
      <c r="V218" s="403" t="str">
        <f t="shared" si="31"/>
        <v>CPP_7_3</v>
      </c>
    </row>
    <row r="219" spans="1:22">
      <c r="A219" t="str">
        <f t="shared" si="24"/>
        <v>MIC-7502-Z30x</v>
      </c>
      <c r="B219" s="403" t="s">
        <v>1356</v>
      </c>
      <c r="C219" s="403" t="s">
        <v>582</v>
      </c>
      <c r="D219" s="403" t="s">
        <v>1357</v>
      </c>
      <c r="E219" s="403" t="s">
        <v>1358</v>
      </c>
      <c r="F219" s="403" t="s">
        <v>1288</v>
      </c>
      <c r="G219" s="403" t="s">
        <v>1466</v>
      </c>
      <c r="H219" s="403" t="s">
        <v>1276</v>
      </c>
      <c r="I219" s="403">
        <v>1</v>
      </c>
      <c r="J219" s="403" t="s">
        <v>1289</v>
      </c>
      <c r="K219" s="403">
        <v>1280</v>
      </c>
      <c r="L219" s="403">
        <v>720</v>
      </c>
      <c r="M219" s="403" t="s">
        <v>111</v>
      </c>
      <c r="N219" s="403">
        <v>768</v>
      </c>
      <c r="O219" s="403">
        <v>432</v>
      </c>
      <c r="P219" t="str">
        <f t="shared" si="25"/>
        <v>60fps 720p full frame rate - SD</v>
      </c>
      <c r="Q219">
        <f t="shared" si="26"/>
        <v>2</v>
      </c>
      <c r="R219" t="str">
        <f t="shared" si="27"/>
        <v/>
      </c>
      <c r="S219" t="str">
        <f t="shared" si="28"/>
        <v/>
      </c>
      <c r="T219" s="403" t="str">
        <f t="shared" si="29"/>
        <v>MIC-7502-Z30x</v>
      </c>
      <c r="U219" s="403">
        <f t="shared" si="30"/>
        <v>1</v>
      </c>
      <c r="V219" s="403" t="str">
        <f t="shared" si="31"/>
        <v>CPP_7_3</v>
      </c>
    </row>
    <row r="220" spans="1:22">
      <c r="A220" t="str">
        <f t="shared" si="24"/>
        <v>MIC-7502-Z30x</v>
      </c>
      <c r="B220" s="403" t="s">
        <v>1356</v>
      </c>
      <c r="C220" s="403" t="s">
        <v>582</v>
      </c>
      <c r="D220" s="403" t="s">
        <v>1357</v>
      </c>
      <c r="E220" s="403" t="s">
        <v>1358</v>
      </c>
      <c r="F220" s="403" t="s">
        <v>1288</v>
      </c>
      <c r="G220" s="403" t="s">
        <v>1466</v>
      </c>
      <c r="H220" s="403" t="s">
        <v>1276</v>
      </c>
      <c r="I220" s="403">
        <v>1</v>
      </c>
      <c r="J220" s="403" t="s">
        <v>1289</v>
      </c>
      <c r="K220" s="403">
        <v>1280</v>
      </c>
      <c r="L220" s="403">
        <v>720</v>
      </c>
      <c r="M220" s="403" t="s">
        <v>1283</v>
      </c>
      <c r="N220" s="403">
        <v>720</v>
      </c>
      <c r="O220" s="403">
        <v>480</v>
      </c>
      <c r="P220" t="str">
        <f t="shared" si="25"/>
        <v>60fps 720p full frame rate - SD 4CIF resolution 4:3 format (cropped)</v>
      </c>
      <c r="Q220">
        <f t="shared" si="26"/>
        <v>2</v>
      </c>
      <c r="R220" t="str">
        <f t="shared" si="27"/>
        <v/>
      </c>
      <c r="S220" t="str">
        <f t="shared" si="28"/>
        <v/>
      </c>
      <c r="T220" s="403" t="str">
        <f t="shared" si="29"/>
        <v>MIC-7502-Z30x</v>
      </c>
      <c r="U220" s="403">
        <f t="shared" si="30"/>
        <v>1</v>
      </c>
      <c r="V220" s="403" t="str">
        <f t="shared" si="31"/>
        <v>CPP_7_3</v>
      </c>
    </row>
    <row r="221" spans="1:22">
      <c r="A221" t="str">
        <f t="shared" si="24"/>
        <v>MIC-7502-Z30x</v>
      </c>
      <c r="B221" s="403" t="s">
        <v>1356</v>
      </c>
      <c r="C221" s="403" t="s">
        <v>582</v>
      </c>
      <c r="D221" s="403" t="s">
        <v>1357</v>
      </c>
      <c r="E221" s="403" t="s">
        <v>1358</v>
      </c>
      <c r="F221" s="403" t="s">
        <v>1288</v>
      </c>
      <c r="G221" s="403" t="s">
        <v>1466</v>
      </c>
      <c r="H221" s="403" t="s">
        <v>1276</v>
      </c>
      <c r="I221" s="403">
        <v>1</v>
      </c>
      <c r="J221" s="403" t="s">
        <v>1289</v>
      </c>
      <c r="K221" s="403">
        <v>1280</v>
      </c>
      <c r="L221" s="403">
        <v>720</v>
      </c>
      <c r="M221" s="403" t="s">
        <v>1284</v>
      </c>
      <c r="N221" s="403">
        <v>640</v>
      </c>
      <c r="O221" s="403">
        <v>480</v>
      </c>
      <c r="P221" t="str">
        <f t="shared" si="25"/>
        <v>60fps 720p full frame rate - SD VGA (cropped)</v>
      </c>
      <c r="Q221">
        <f t="shared" si="26"/>
        <v>2</v>
      </c>
      <c r="R221" t="str">
        <f t="shared" si="27"/>
        <v/>
      </c>
      <c r="S221" t="str">
        <f t="shared" si="28"/>
        <v/>
      </c>
      <c r="T221" s="403" t="str">
        <f t="shared" si="29"/>
        <v>MIC-7502-Z30x</v>
      </c>
      <c r="U221" s="403">
        <f t="shared" si="30"/>
        <v>1</v>
      </c>
      <c r="V221" s="403" t="str">
        <f t="shared" si="31"/>
        <v>CPP_7_3</v>
      </c>
    </row>
    <row r="222" spans="1:22">
      <c r="A222" t="str">
        <f t="shared" si="24"/>
        <v>MIC-7502-Z30x</v>
      </c>
      <c r="B222" s="403" t="s">
        <v>1356</v>
      </c>
      <c r="C222" s="403" t="s">
        <v>582</v>
      </c>
      <c r="D222" s="403" t="s">
        <v>1357</v>
      </c>
      <c r="E222" s="403" t="s">
        <v>1358</v>
      </c>
      <c r="F222" s="403" t="s">
        <v>1288</v>
      </c>
      <c r="G222" s="403" t="s">
        <v>1466</v>
      </c>
      <c r="H222" s="403" t="s">
        <v>1281</v>
      </c>
      <c r="I222" s="403">
        <v>1</v>
      </c>
      <c r="J222" s="403" t="s">
        <v>110</v>
      </c>
      <c r="K222" s="403">
        <v>1920</v>
      </c>
      <c r="L222" s="403">
        <v>1080</v>
      </c>
      <c r="M222" s="403" t="s">
        <v>111</v>
      </c>
      <c r="N222" s="403">
        <v>768</v>
      </c>
      <c r="O222" s="403">
        <v>432</v>
      </c>
      <c r="P222" t="str">
        <f t="shared" si="25"/>
        <v>60fps 1080p - SD</v>
      </c>
      <c r="Q222">
        <f t="shared" si="26"/>
        <v>2</v>
      </c>
      <c r="R222" t="str">
        <f t="shared" si="27"/>
        <v/>
      </c>
      <c r="S222" t="str">
        <f t="shared" si="28"/>
        <v/>
      </c>
      <c r="T222" s="403" t="str">
        <f t="shared" si="29"/>
        <v>MIC-7502-Z30x</v>
      </c>
      <c r="U222" s="403">
        <f t="shared" si="30"/>
        <v>1</v>
      </c>
      <c r="V222" s="403" t="str">
        <f t="shared" si="31"/>
        <v>CPP_7_3</v>
      </c>
    </row>
    <row r="223" spans="1:22">
      <c r="A223" t="str">
        <f t="shared" si="24"/>
        <v>MIC-7502-Z30x</v>
      </c>
      <c r="B223" s="403" t="s">
        <v>1356</v>
      </c>
      <c r="C223" s="403" t="s">
        <v>582</v>
      </c>
      <c r="D223" s="403" t="s">
        <v>1357</v>
      </c>
      <c r="E223" s="403" t="s">
        <v>1358</v>
      </c>
      <c r="F223" s="403" t="s">
        <v>1288</v>
      </c>
      <c r="G223" s="403" t="s">
        <v>1466</v>
      </c>
      <c r="H223" s="403" t="s">
        <v>1281</v>
      </c>
      <c r="I223" s="403">
        <v>1</v>
      </c>
      <c r="J223" s="403" t="s">
        <v>110</v>
      </c>
      <c r="K223" s="403">
        <v>1920</v>
      </c>
      <c r="L223" s="403">
        <v>1080</v>
      </c>
      <c r="M223" s="403" t="s">
        <v>1283</v>
      </c>
      <c r="N223" s="403">
        <v>720</v>
      </c>
      <c r="O223" s="403">
        <v>480</v>
      </c>
      <c r="P223" t="str">
        <f t="shared" si="25"/>
        <v>60fps 1080p - SD 4CIF resolution 4:3 format (cropped)</v>
      </c>
      <c r="Q223">
        <f t="shared" si="26"/>
        <v>2</v>
      </c>
      <c r="R223" t="str">
        <f t="shared" si="27"/>
        <v/>
      </c>
      <c r="S223" t="str">
        <f t="shared" si="28"/>
        <v/>
      </c>
      <c r="T223" s="403" t="str">
        <f t="shared" si="29"/>
        <v>MIC-7502-Z30x</v>
      </c>
      <c r="U223" s="403">
        <f t="shared" si="30"/>
        <v>1</v>
      </c>
      <c r="V223" s="403" t="str">
        <f t="shared" si="31"/>
        <v>CPP_7_3</v>
      </c>
    </row>
    <row r="224" spans="1:22">
      <c r="A224" t="str">
        <f t="shared" si="24"/>
        <v>MIC-7502-Z30x</v>
      </c>
      <c r="B224" s="403" t="s">
        <v>1356</v>
      </c>
      <c r="C224" s="403" t="s">
        <v>582</v>
      </c>
      <c r="D224" s="403" t="s">
        <v>1357</v>
      </c>
      <c r="E224" s="403" t="s">
        <v>1358</v>
      </c>
      <c r="F224" s="403" t="s">
        <v>1288</v>
      </c>
      <c r="G224" s="403" t="s">
        <v>1466</v>
      </c>
      <c r="H224" s="403" t="s">
        <v>1281</v>
      </c>
      <c r="I224" s="403">
        <v>1</v>
      </c>
      <c r="J224" s="403" t="s">
        <v>110</v>
      </c>
      <c r="K224" s="403">
        <v>1920</v>
      </c>
      <c r="L224" s="403">
        <v>1080</v>
      </c>
      <c r="M224" s="403" t="s">
        <v>1284</v>
      </c>
      <c r="N224" s="403">
        <v>640</v>
      </c>
      <c r="O224" s="403">
        <v>480</v>
      </c>
      <c r="P224" t="str">
        <f t="shared" si="25"/>
        <v>60fps 1080p - SD VGA (cropped)</v>
      </c>
      <c r="Q224">
        <f t="shared" si="26"/>
        <v>2</v>
      </c>
      <c r="R224" t="str">
        <f t="shared" si="27"/>
        <v/>
      </c>
      <c r="S224" t="str">
        <f t="shared" si="28"/>
        <v/>
      </c>
      <c r="T224" s="403" t="str">
        <f t="shared" si="29"/>
        <v>MIC-7502-Z30x</v>
      </c>
      <c r="U224" s="403">
        <f t="shared" si="30"/>
        <v>1</v>
      </c>
      <c r="V224" s="403" t="str">
        <f t="shared" si="31"/>
        <v>CPP_7_3</v>
      </c>
    </row>
    <row r="225" spans="1:22">
      <c r="A225" t="str">
        <f t="shared" si="24"/>
        <v>MIC-7502-Z30x</v>
      </c>
      <c r="B225" s="403" t="s">
        <v>1356</v>
      </c>
      <c r="C225" s="403" t="s">
        <v>582</v>
      </c>
      <c r="D225" s="403" t="s">
        <v>1357</v>
      </c>
      <c r="E225" s="403" t="s">
        <v>1358</v>
      </c>
      <c r="F225" s="403" t="s">
        <v>1288</v>
      </c>
      <c r="G225" s="403" t="s">
        <v>1466</v>
      </c>
      <c r="H225" s="403" t="s">
        <v>1281</v>
      </c>
      <c r="I225" s="403">
        <v>1</v>
      </c>
      <c r="J225" s="403" t="s">
        <v>1289</v>
      </c>
      <c r="K225" s="403">
        <v>1280</v>
      </c>
      <c r="L225" s="403">
        <v>720</v>
      </c>
      <c r="M225" s="403" t="s">
        <v>1289</v>
      </c>
      <c r="N225" s="403">
        <v>1280</v>
      </c>
      <c r="O225" s="403">
        <v>720</v>
      </c>
      <c r="P225" t="str">
        <f t="shared" si="25"/>
        <v>60fps 720p full frame rate - 720p full frame rate</v>
      </c>
      <c r="Q225">
        <f t="shared" si="26"/>
        <v>2</v>
      </c>
      <c r="R225" t="str">
        <f t="shared" si="27"/>
        <v/>
      </c>
      <c r="S225" t="str">
        <f t="shared" si="28"/>
        <v/>
      </c>
      <c r="T225" s="403" t="str">
        <f t="shared" si="29"/>
        <v>MIC-7502-Z30x</v>
      </c>
      <c r="U225" s="403">
        <f t="shared" si="30"/>
        <v>1</v>
      </c>
      <c r="V225" s="403" t="str">
        <f t="shared" si="31"/>
        <v>CPP_7_3</v>
      </c>
    </row>
    <row r="226" spans="1:22">
      <c r="A226" t="str">
        <f t="shared" si="24"/>
        <v>MIC-7502-Z30x</v>
      </c>
      <c r="B226" s="403" t="s">
        <v>1356</v>
      </c>
      <c r="C226" s="403" t="s">
        <v>582</v>
      </c>
      <c r="D226" s="403" t="s">
        <v>1357</v>
      </c>
      <c r="E226" s="403" t="s">
        <v>1358</v>
      </c>
      <c r="F226" s="403" t="s">
        <v>1288</v>
      </c>
      <c r="G226" s="403" t="s">
        <v>1466</v>
      </c>
      <c r="H226" s="403" t="s">
        <v>1281</v>
      </c>
      <c r="I226" s="403">
        <v>1</v>
      </c>
      <c r="J226" s="403" t="s">
        <v>1289</v>
      </c>
      <c r="K226" s="403">
        <v>1280</v>
      </c>
      <c r="L226" s="403">
        <v>720</v>
      </c>
      <c r="M226" s="403" t="s">
        <v>111</v>
      </c>
      <c r="N226" s="403">
        <v>768</v>
      </c>
      <c r="O226" s="403">
        <v>432</v>
      </c>
      <c r="P226" t="str">
        <f t="shared" si="25"/>
        <v>60fps 720p full frame rate - SD</v>
      </c>
      <c r="Q226">
        <f t="shared" si="26"/>
        <v>2</v>
      </c>
      <c r="R226" t="str">
        <f t="shared" si="27"/>
        <v/>
      </c>
      <c r="S226" t="str">
        <f t="shared" si="28"/>
        <v/>
      </c>
      <c r="T226" s="403" t="str">
        <f t="shared" si="29"/>
        <v>MIC-7502-Z30x</v>
      </c>
      <c r="U226" s="403">
        <f t="shared" si="30"/>
        <v>1</v>
      </c>
      <c r="V226" s="403" t="str">
        <f t="shared" si="31"/>
        <v>CPP_7_3</v>
      </c>
    </row>
    <row r="227" spans="1:22">
      <c r="A227" t="str">
        <f t="shared" si="24"/>
        <v>MIC-7502-Z30x</v>
      </c>
      <c r="B227" s="403" t="s">
        <v>1356</v>
      </c>
      <c r="C227" s="403" t="s">
        <v>582</v>
      </c>
      <c r="D227" s="403" t="s">
        <v>1357</v>
      </c>
      <c r="E227" s="403" t="s">
        <v>1358</v>
      </c>
      <c r="F227" s="403" t="s">
        <v>1288</v>
      </c>
      <c r="G227" s="403" t="s">
        <v>1466</v>
      </c>
      <c r="H227" s="403" t="s">
        <v>1281</v>
      </c>
      <c r="I227" s="403">
        <v>1</v>
      </c>
      <c r="J227" s="403" t="s">
        <v>1289</v>
      </c>
      <c r="K227" s="403">
        <v>1280</v>
      </c>
      <c r="L227" s="403">
        <v>720</v>
      </c>
      <c r="M227" s="403" t="s">
        <v>1283</v>
      </c>
      <c r="N227" s="403">
        <v>720</v>
      </c>
      <c r="O227" s="403">
        <v>480</v>
      </c>
      <c r="P227" t="str">
        <f t="shared" si="25"/>
        <v>60fps 720p full frame rate - SD 4CIF resolution 4:3 format (cropped)</v>
      </c>
      <c r="Q227">
        <f t="shared" si="26"/>
        <v>2</v>
      </c>
      <c r="R227" t="str">
        <f t="shared" si="27"/>
        <v/>
      </c>
      <c r="S227" t="str">
        <f t="shared" si="28"/>
        <v/>
      </c>
      <c r="T227" s="403" t="str">
        <f t="shared" si="29"/>
        <v>MIC-7502-Z30x</v>
      </c>
      <c r="U227" s="403">
        <f t="shared" si="30"/>
        <v>1</v>
      </c>
      <c r="V227" s="403" t="str">
        <f t="shared" si="31"/>
        <v>CPP_7_3</v>
      </c>
    </row>
    <row r="228" spans="1:22">
      <c r="A228" t="str">
        <f t="shared" si="24"/>
        <v>MIC-7502-Z30x</v>
      </c>
      <c r="B228" s="403" t="s">
        <v>1356</v>
      </c>
      <c r="C228" s="403" t="s">
        <v>582</v>
      </c>
      <c r="D228" s="403" t="s">
        <v>1357</v>
      </c>
      <c r="E228" s="403" t="s">
        <v>1358</v>
      </c>
      <c r="F228" s="403" t="s">
        <v>1288</v>
      </c>
      <c r="G228" s="403" t="s">
        <v>1466</v>
      </c>
      <c r="H228" s="403" t="s">
        <v>1281</v>
      </c>
      <c r="I228" s="403">
        <v>1</v>
      </c>
      <c r="J228" s="403" t="s">
        <v>1289</v>
      </c>
      <c r="K228" s="403">
        <v>1280</v>
      </c>
      <c r="L228" s="403">
        <v>720</v>
      </c>
      <c r="M228" s="403" t="s">
        <v>1284</v>
      </c>
      <c r="N228" s="403">
        <v>640</v>
      </c>
      <c r="O228" s="403">
        <v>480</v>
      </c>
      <c r="P228" t="str">
        <f t="shared" si="25"/>
        <v>60fps 720p full frame rate - SD VGA (cropped)</v>
      </c>
      <c r="Q228">
        <f t="shared" si="26"/>
        <v>2</v>
      </c>
      <c r="R228" t="str">
        <f t="shared" si="27"/>
        <v/>
      </c>
      <c r="S228" t="str">
        <f t="shared" si="28"/>
        <v/>
      </c>
      <c r="T228" s="403" t="str">
        <f t="shared" si="29"/>
        <v>MIC-7502-Z30x</v>
      </c>
      <c r="U228" s="403">
        <f t="shared" si="30"/>
        <v>1</v>
      </c>
      <c r="V228" s="403" t="str">
        <f t="shared" si="31"/>
        <v>CPP_7_3</v>
      </c>
    </row>
    <row r="229" spans="1:22">
      <c r="A229" t="str">
        <f t="shared" si="24"/>
        <v>MIC-7502-Z30x</v>
      </c>
      <c r="B229" s="403" t="s">
        <v>1356</v>
      </c>
      <c r="C229" s="403" t="s">
        <v>582</v>
      </c>
      <c r="D229" s="403" t="s">
        <v>1357</v>
      </c>
      <c r="E229" s="403" t="s">
        <v>1358</v>
      </c>
      <c r="F229" s="403" t="s">
        <v>1288</v>
      </c>
      <c r="G229" s="403" t="s">
        <v>1466</v>
      </c>
      <c r="H229" s="403" t="s">
        <v>1282</v>
      </c>
      <c r="I229" s="403">
        <v>1</v>
      </c>
      <c r="J229" s="403" t="s">
        <v>110</v>
      </c>
      <c r="K229" s="403">
        <v>1920</v>
      </c>
      <c r="L229" s="403">
        <v>1080</v>
      </c>
      <c r="M229" s="403" t="s">
        <v>111</v>
      </c>
      <c r="N229" s="403">
        <v>768</v>
      </c>
      <c r="O229" s="403">
        <v>432</v>
      </c>
      <c r="P229" t="str">
        <f t="shared" si="25"/>
        <v>60fps 1080p - SD</v>
      </c>
      <c r="Q229">
        <f t="shared" si="26"/>
        <v>2</v>
      </c>
      <c r="R229" t="str">
        <f t="shared" si="27"/>
        <v/>
      </c>
      <c r="S229" t="str">
        <f t="shared" si="28"/>
        <v/>
      </c>
      <c r="T229" s="403" t="str">
        <f t="shared" si="29"/>
        <v>MIC-7502-Z30x</v>
      </c>
      <c r="U229" s="403">
        <f t="shared" si="30"/>
        <v>1</v>
      </c>
      <c r="V229" s="403" t="str">
        <f t="shared" si="31"/>
        <v>CPP_7_3</v>
      </c>
    </row>
    <row r="230" spans="1:22">
      <c r="A230" t="str">
        <f t="shared" si="24"/>
        <v>MIC-7502-Z30x</v>
      </c>
      <c r="B230" s="403" t="s">
        <v>1356</v>
      </c>
      <c r="C230" s="403" t="s">
        <v>582</v>
      </c>
      <c r="D230" s="403" t="s">
        <v>1357</v>
      </c>
      <c r="E230" s="403" t="s">
        <v>1358</v>
      </c>
      <c r="F230" s="403" t="s">
        <v>1288</v>
      </c>
      <c r="G230" s="403" t="s">
        <v>1466</v>
      </c>
      <c r="H230" s="403" t="s">
        <v>1282</v>
      </c>
      <c r="I230" s="403">
        <v>1</v>
      </c>
      <c r="J230" s="403" t="s">
        <v>110</v>
      </c>
      <c r="K230" s="403">
        <v>1920</v>
      </c>
      <c r="L230" s="403">
        <v>1080</v>
      </c>
      <c r="M230" s="403" t="s">
        <v>1289</v>
      </c>
      <c r="N230" s="403">
        <v>1280</v>
      </c>
      <c r="O230" s="403">
        <v>720</v>
      </c>
      <c r="P230" t="str">
        <f t="shared" si="25"/>
        <v>60fps 1080p - 720p full frame rate</v>
      </c>
      <c r="Q230">
        <f t="shared" si="26"/>
        <v>2</v>
      </c>
      <c r="R230" t="str">
        <f t="shared" si="27"/>
        <v/>
      </c>
      <c r="S230" t="str">
        <f t="shared" si="28"/>
        <v/>
      </c>
      <c r="T230" s="403" t="str">
        <f t="shared" si="29"/>
        <v>MIC-7502-Z30x</v>
      </c>
      <c r="U230" s="403">
        <f t="shared" si="30"/>
        <v>1</v>
      </c>
      <c r="V230" s="403" t="str">
        <f t="shared" si="31"/>
        <v>CPP_7_3</v>
      </c>
    </row>
    <row r="231" spans="1:22">
      <c r="A231" t="str">
        <f t="shared" si="24"/>
        <v>MIC-7502-Z30x</v>
      </c>
      <c r="B231" s="403" t="s">
        <v>1356</v>
      </c>
      <c r="C231" s="403" t="s">
        <v>582</v>
      </c>
      <c r="D231" s="403" t="s">
        <v>1357</v>
      </c>
      <c r="E231" s="403" t="s">
        <v>1358</v>
      </c>
      <c r="F231" s="403" t="s">
        <v>1288</v>
      </c>
      <c r="G231" s="403" t="s">
        <v>1466</v>
      </c>
      <c r="H231" s="403" t="s">
        <v>1282</v>
      </c>
      <c r="I231" s="403">
        <v>1</v>
      </c>
      <c r="J231" s="403" t="s">
        <v>110</v>
      </c>
      <c r="K231" s="403">
        <v>1920</v>
      </c>
      <c r="L231" s="403">
        <v>1080</v>
      </c>
      <c r="M231" s="403" t="s">
        <v>1285</v>
      </c>
      <c r="N231" s="403">
        <v>1280</v>
      </c>
      <c r="O231" s="403">
        <v>1024</v>
      </c>
      <c r="P231" t="str">
        <f t="shared" si="25"/>
        <v>60fps 1080p - 1280x1024 5:4 (cropped)</v>
      </c>
      <c r="Q231">
        <f t="shared" si="26"/>
        <v>2</v>
      </c>
      <c r="R231" t="str">
        <f t="shared" si="27"/>
        <v/>
      </c>
      <c r="S231" t="str">
        <f t="shared" si="28"/>
        <v/>
      </c>
      <c r="T231" s="403" t="str">
        <f t="shared" si="29"/>
        <v>MIC-7502-Z30x</v>
      </c>
      <c r="U231" s="403">
        <f t="shared" si="30"/>
        <v>1</v>
      </c>
      <c r="V231" s="403" t="str">
        <f t="shared" si="31"/>
        <v>CPP_7_3</v>
      </c>
    </row>
    <row r="232" spans="1:22">
      <c r="A232" t="str">
        <f t="shared" si="24"/>
        <v>MIC-7502-Z30x</v>
      </c>
      <c r="B232" s="403" t="s">
        <v>1356</v>
      </c>
      <c r="C232" s="403" t="s">
        <v>582</v>
      </c>
      <c r="D232" s="403" t="s">
        <v>1357</v>
      </c>
      <c r="E232" s="403" t="s">
        <v>1358</v>
      </c>
      <c r="F232" s="403" t="s">
        <v>1288</v>
      </c>
      <c r="G232" s="403" t="s">
        <v>1466</v>
      </c>
      <c r="H232" s="403" t="s">
        <v>1282</v>
      </c>
      <c r="I232" s="403">
        <v>1</v>
      </c>
      <c r="J232" s="403" t="s">
        <v>110</v>
      </c>
      <c r="K232" s="403">
        <v>1920</v>
      </c>
      <c r="L232" s="403">
        <v>1080</v>
      </c>
      <c r="M232" s="403" t="s">
        <v>1283</v>
      </c>
      <c r="N232" s="403">
        <v>720</v>
      </c>
      <c r="O232" s="403">
        <v>480</v>
      </c>
      <c r="P232" t="str">
        <f t="shared" si="25"/>
        <v>60fps 1080p - SD 4CIF resolution 4:3 format (cropped)</v>
      </c>
      <c r="Q232">
        <f t="shared" si="26"/>
        <v>2</v>
      </c>
      <c r="R232" t="str">
        <f t="shared" si="27"/>
        <v/>
      </c>
      <c r="S232" t="str">
        <f t="shared" si="28"/>
        <v/>
      </c>
      <c r="T232" s="403" t="str">
        <f t="shared" si="29"/>
        <v>MIC-7502-Z30x</v>
      </c>
      <c r="U232" s="403">
        <f t="shared" si="30"/>
        <v>1</v>
      </c>
      <c r="V232" s="403" t="str">
        <f t="shared" si="31"/>
        <v>CPP_7_3</v>
      </c>
    </row>
    <row r="233" spans="1:22">
      <c r="A233" t="str">
        <f t="shared" si="24"/>
        <v>MIC-7502-Z30x</v>
      </c>
      <c r="B233" s="403" t="s">
        <v>1356</v>
      </c>
      <c r="C233" s="403" t="s">
        <v>582</v>
      </c>
      <c r="D233" s="403" t="s">
        <v>1357</v>
      </c>
      <c r="E233" s="403" t="s">
        <v>1358</v>
      </c>
      <c r="F233" s="403" t="s">
        <v>1288</v>
      </c>
      <c r="G233" s="403" t="s">
        <v>1466</v>
      </c>
      <c r="H233" s="403" t="s">
        <v>1282</v>
      </c>
      <c r="I233" s="403">
        <v>1</v>
      </c>
      <c r="J233" s="403" t="s">
        <v>110</v>
      </c>
      <c r="K233" s="403">
        <v>1920</v>
      </c>
      <c r="L233" s="403">
        <v>1080</v>
      </c>
      <c r="M233" s="403" t="s">
        <v>1284</v>
      </c>
      <c r="N233" s="403">
        <v>640</v>
      </c>
      <c r="O233" s="403">
        <v>480</v>
      </c>
      <c r="P233" t="str">
        <f t="shared" si="25"/>
        <v>60fps 1080p - SD VGA (cropped)</v>
      </c>
      <c r="Q233">
        <f t="shared" si="26"/>
        <v>2</v>
      </c>
      <c r="R233" t="str">
        <f t="shared" si="27"/>
        <v/>
      </c>
      <c r="S233" t="str">
        <f t="shared" si="28"/>
        <v/>
      </c>
      <c r="T233" s="403" t="str">
        <f t="shared" si="29"/>
        <v>MIC-7502-Z30x</v>
      </c>
      <c r="U233" s="403">
        <f t="shared" si="30"/>
        <v>1</v>
      </c>
      <c r="V233" s="403" t="str">
        <f t="shared" si="31"/>
        <v>CPP_7_3</v>
      </c>
    </row>
    <row r="234" spans="1:22">
      <c r="A234" t="str">
        <f t="shared" si="24"/>
        <v>MIC-7502-Z30x</v>
      </c>
      <c r="B234" s="403" t="s">
        <v>1356</v>
      </c>
      <c r="C234" s="403" t="s">
        <v>582</v>
      </c>
      <c r="D234" s="403" t="s">
        <v>1357</v>
      </c>
      <c r="E234" s="403" t="s">
        <v>1358</v>
      </c>
      <c r="F234" s="403" t="s">
        <v>1288</v>
      </c>
      <c r="G234" s="403" t="s">
        <v>1466</v>
      </c>
      <c r="H234" s="403" t="s">
        <v>1282</v>
      </c>
      <c r="I234" s="403">
        <v>1</v>
      </c>
      <c r="J234" s="403" t="s">
        <v>1289</v>
      </c>
      <c r="K234" s="403">
        <v>1280</v>
      </c>
      <c r="L234" s="403">
        <v>720</v>
      </c>
      <c r="M234" s="403" t="s">
        <v>1289</v>
      </c>
      <c r="N234" s="403">
        <v>1280</v>
      </c>
      <c r="O234" s="403">
        <v>720</v>
      </c>
      <c r="P234" t="str">
        <f t="shared" si="25"/>
        <v>60fps 720p full frame rate - 720p full frame rate</v>
      </c>
      <c r="Q234">
        <f t="shared" si="26"/>
        <v>2</v>
      </c>
      <c r="R234" t="str">
        <f t="shared" si="27"/>
        <v/>
      </c>
      <c r="S234" t="str">
        <f t="shared" si="28"/>
        <v/>
      </c>
      <c r="T234" s="403" t="str">
        <f t="shared" si="29"/>
        <v>MIC-7502-Z30x</v>
      </c>
      <c r="U234" s="403">
        <f t="shared" si="30"/>
        <v>1</v>
      </c>
      <c r="V234" s="403" t="str">
        <f t="shared" si="31"/>
        <v>CPP_7_3</v>
      </c>
    </row>
    <row r="235" spans="1:22">
      <c r="A235" t="str">
        <f t="shared" si="24"/>
        <v>MIC-7502-Z30x</v>
      </c>
      <c r="B235" s="403" t="s">
        <v>1356</v>
      </c>
      <c r="C235" s="403" t="s">
        <v>582</v>
      </c>
      <c r="D235" s="403" t="s">
        <v>1357</v>
      </c>
      <c r="E235" s="403" t="s">
        <v>1358</v>
      </c>
      <c r="F235" s="403" t="s">
        <v>1288</v>
      </c>
      <c r="G235" s="403" t="s">
        <v>1466</v>
      </c>
      <c r="H235" s="403" t="s">
        <v>1282</v>
      </c>
      <c r="I235" s="403">
        <v>1</v>
      </c>
      <c r="J235" s="403" t="s">
        <v>1289</v>
      </c>
      <c r="K235" s="403">
        <v>1280</v>
      </c>
      <c r="L235" s="403">
        <v>720</v>
      </c>
      <c r="M235" s="403" t="s">
        <v>111</v>
      </c>
      <c r="N235" s="403">
        <v>768</v>
      </c>
      <c r="O235" s="403">
        <v>432</v>
      </c>
      <c r="P235" t="str">
        <f t="shared" si="25"/>
        <v>60fps 720p full frame rate - SD</v>
      </c>
      <c r="Q235">
        <f t="shared" si="26"/>
        <v>2</v>
      </c>
      <c r="R235" t="str">
        <f t="shared" si="27"/>
        <v/>
      </c>
      <c r="S235" t="str">
        <f t="shared" si="28"/>
        <v/>
      </c>
      <c r="T235" s="403" t="str">
        <f t="shared" si="29"/>
        <v>MIC-7502-Z30x</v>
      </c>
      <c r="U235" s="403">
        <f t="shared" si="30"/>
        <v>1</v>
      </c>
      <c r="V235" s="403" t="str">
        <f t="shared" si="31"/>
        <v>CPP_7_3</v>
      </c>
    </row>
    <row r="236" spans="1:22">
      <c r="A236" t="str">
        <f t="shared" si="24"/>
        <v>MIC-7502-Z30x</v>
      </c>
      <c r="B236" s="403" t="s">
        <v>1356</v>
      </c>
      <c r="C236" s="403" t="s">
        <v>582</v>
      </c>
      <c r="D236" s="403" t="s">
        <v>1357</v>
      </c>
      <c r="E236" s="403" t="s">
        <v>1358</v>
      </c>
      <c r="F236" s="403" t="s">
        <v>1288</v>
      </c>
      <c r="G236" s="403" t="s">
        <v>1466</v>
      </c>
      <c r="H236" s="403" t="s">
        <v>1282</v>
      </c>
      <c r="I236" s="403">
        <v>1</v>
      </c>
      <c r="J236" s="403" t="s">
        <v>1289</v>
      </c>
      <c r="K236" s="403">
        <v>1280</v>
      </c>
      <c r="L236" s="403">
        <v>720</v>
      </c>
      <c r="M236" s="403" t="s">
        <v>1283</v>
      </c>
      <c r="N236" s="403">
        <v>720</v>
      </c>
      <c r="O236" s="403">
        <v>480</v>
      </c>
      <c r="P236" t="str">
        <f t="shared" si="25"/>
        <v>60fps 720p full frame rate - SD 4CIF resolution 4:3 format (cropped)</v>
      </c>
      <c r="Q236">
        <f t="shared" si="26"/>
        <v>2</v>
      </c>
      <c r="R236" t="str">
        <f t="shared" si="27"/>
        <v/>
      </c>
      <c r="S236" t="str">
        <f t="shared" si="28"/>
        <v/>
      </c>
      <c r="T236" s="403" t="str">
        <f t="shared" si="29"/>
        <v>MIC-7502-Z30x</v>
      </c>
      <c r="U236" s="403">
        <f t="shared" si="30"/>
        <v>1</v>
      </c>
      <c r="V236" s="403" t="str">
        <f t="shared" si="31"/>
        <v>CPP_7_3</v>
      </c>
    </row>
    <row r="237" spans="1:22">
      <c r="A237" t="str">
        <f t="shared" si="24"/>
        <v>MIC-7502-Z30x</v>
      </c>
      <c r="B237" s="403" t="s">
        <v>1356</v>
      </c>
      <c r="C237" s="403" t="s">
        <v>582</v>
      </c>
      <c r="D237" s="403" t="s">
        <v>1357</v>
      </c>
      <c r="E237" s="403" t="s">
        <v>1358</v>
      </c>
      <c r="F237" s="403" t="s">
        <v>1288</v>
      </c>
      <c r="G237" s="403" t="s">
        <v>1466</v>
      </c>
      <c r="H237" s="403" t="s">
        <v>1282</v>
      </c>
      <c r="I237" s="403">
        <v>1</v>
      </c>
      <c r="J237" s="403" t="s">
        <v>1289</v>
      </c>
      <c r="K237" s="403">
        <v>1280</v>
      </c>
      <c r="L237" s="403">
        <v>720</v>
      </c>
      <c r="M237" s="403" t="s">
        <v>1284</v>
      </c>
      <c r="N237" s="403">
        <v>640</v>
      </c>
      <c r="O237" s="403">
        <v>480</v>
      </c>
      <c r="P237" t="str">
        <f t="shared" si="25"/>
        <v>60fps 720p full frame rate - SD VGA (cropped)</v>
      </c>
      <c r="Q237">
        <f t="shared" si="26"/>
        <v>2</v>
      </c>
      <c r="R237" t="str">
        <f t="shared" si="27"/>
        <v/>
      </c>
      <c r="S237" t="str">
        <f t="shared" si="28"/>
        <v/>
      </c>
      <c r="T237" s="403" t="str">
        <f t="shared" si="29"/>
        <v>MIC-7502-Z30x</v>
      </c>
      <c r="U237" s="403">
        <f t="shared" si="30"/>
        <v>1</v>
      </c>
      <c r="V237" s="403" t="str">
        <f t="shared" si="31"/>
        <v>CPP_7_3</v>
      </c>
    </row>
    <row r="238" spans="1:22">
      <c r="A238" t="str">
        <f t="shared" si="24"/>
        <v>MIC-7502-Z30x</v>
      </c>
      <c r="B238" s="403" t="s">
        <v>1356</v>
      </c>
      <c r="C238" s="403" t="s">
        <v>582</v>
      </c>
      <c r="D238" s="403" t="s">
        <v>1357</v>
      </c>
      <c r="E238" s="403" t="s">
        <v>1359</v>
      </c>
      <c r="F238" s="403" t="s">
        <v>1287</v>
      </c>
      <c r="G238" s="403" t="s">
        <v>1466</v>
      </c>
      <c r="H238" s="403" t="s">
        <v>1276</v>
      </c>
      <c r="I238" s="403">
        <v>1</v>
      </c>
      <c r="J238" s="403" t="s">
        <v>110</v>
      </c>
      <c r="K238" s="403">
        <v>1920</v>
      </c>
      <c r="L238" s="403">
        <v>1080</v>
      </c>
      <c r="M238" s="403" t="s">
        <v>111</v>
      </c>
      <c r="N238" s="403">
        <v>768</v>
      </c>
      <c r="O238" s="403">
        <v>432</v>
      </c>
      <c r="P238" t="str">
        <f t="shared" si="25"/>
        <v>25fps 1080p - SD</v>
      </c>
      <c r="Q238">
        <f t="shared" si="26"/>
        <v>2</v>
      </c>
      <c r="R238" t="str">
        <f t="shared" si="27"/>
        <v/>
      </c>
      <c r="S238" t="str">
        <f t="shared" si="28"/>
        <v/>
      </c>
      <c r="T238" s="403" t="str">
        <f t="shared" si="29"/>
        <v>MIC-7502-Z30x</v>
      </c>
      <c r="U238" s="403">
        <f t="shared" si="30"/>
        <v>1</v>
      </c>
      <c r="V238" s="403" t="str">
        <f t="shared" si="31"/>
        <v>CPP_7_3</v>
      </c>
    </row>
    <row r="239" spans="1:22">
      <c r="A239" t="str">
        <f t="shared" si="24"/>
        <v>MIC-7502-Z30x</v>
      </c>
      <c r="B239" s="403" t="s">
        <v>1356</v>
      </c>
      <c r="C239" s="403" t="s">
        <v>582</v>
      </c>
      <c r="D239" s="403" t="s">
        <v>1357</v>
      </c>
      <c r="E239" s="403" t="s">
        <v>1359</v>
      </c>
      <c r="F239" s="403" t="s">
        <v>1287</v>
      </c>
      <c r="G239" s="403" t="s">
        <v>1466</v>
      </c>
      <c r="H239" s="403" t="s">
        <v>1276</v>
      </c>
      <c r="I239" s="403">
        <v>1</v>
      </c>
      <c r="J239" s="403" t="s">
        <v>110</v>
      </c>
      <c r="K239" s="403">
        <v>1920</v>
      </c>
      <c r="L239" s="403">
        <v>1080</v>
      </c>
      <c r="M239" s="403" t="s">
        <v>110</v>
      </c>
      <c r="N239" s="403">
        <v>1920</v>
      </c>
      <c r="O239" s="403">
        <v>1080</v>
      </c>
      <c r="P239" t="str">
        <f t="shared" si="25"/>
        <v>25fps 1080p - 1080p</v>
      </c>
      <c r="Q239">
        <f t="shared" si="26"/>
        <v>2</v>
      </c>
      <c r="R239" t="str">
        <f t="shared" si="27"/>
        <v/>
      </c>
      <c r="S239" t="str">
        <f t="shared" si="28"/>
        <v/>
      </c>
      <c r="T239" s="403" t="str">
        <f t="shared" si="29"/>
        <v>MIC-7502-Z30x</v>
      </c>
      <c r="U239" s="403">
        <f t="shared" si="30"/>
        <v>1</v>
      </c>
      <c r="V239" s="403" t="str">
        <f t="shared" si="31"/>
        <v>CPP_7_3</v>
      </c>
    </row>
    <row r="240" spans="1:22">
      <c r="A240" t="str">
        <f t="shared" si="24"/>
        <v>MIC-7502-Z30x</v>
      </c>
      <c r="B240" s="403" t="s">
        <v>1356</v>
      </c>
      <c r="C240" s="403" t="s">
        <v>582</v>
      </c>
      <c r="D240" s="403" t="s">
        <v>1357</v>
      </c>
      <c r="E240" s="403" t="s">
        <v>1359</v>
      </c>
      <c r="F240" s="403" t="s">
        <v>1287</v>
      </c>
      <c r="G240" s="403" t="s">
        <v>1466</v>
      </c>
      <c r="H240" s="403" t="s">
        <v>1276</v>
      </c>
      <c r="I240" s="403">
        <v>1</v>
      </c>
      <c r="J240" s="403" t="s">
        <v>110</v>
      </c>
      <c r="K240" s="403">
        <v>1920</v>
      </c>
      <c r="L240" s="403">
        <v>1080</v>
      </c>
      <c r="M240" s="403" t="s">
        <v>109</v>
      </c>
      <c r="N240" s="403">
        <v>1280</v>
      </c>
      <c r="O240" s="403">
        <v>720</v>
      </c>
      <c r="P240" t="str">
        <f t="shared" si="25"/>
        <v>25fps 1080p - 720p</v>
      </c>
      <c r="Q240">
        <f t="shared" si="26"/>
        <v>2</v>
      </c>
      <c r="R240" t="str">
        <f t="shared" si="27"/>
        <v/>
      </c>
      <c r="S240" t="str">
        <f t="shared" si="28"/>
        <v/>
      </c>
      <c r="T240" s="403" t="str">
        <f t="shared" si="29"/>
        <v>MIC-7502-Z30x</v>
      </c>
      <c r="U240" s="403">
        <f t="shared" si="30"/>
        <v>1</v>
      </c>
      <c r="V240" s="403" t="str">
        <f t="shared" si="31"/>
        <v>CPP_7_3</v>
      </c>
    </row>
    <row r="241" spans="1:22">
      <c r="A241" t="str">
        <f t="shared" si="24"/>
        <v>MIC-7502-Z30x</v>
      </c>
      <c r="B241" s="403" t="s">
        <v>1356</v>
      </c>
      <c r="C241" s="403" t="s">
        <v>582</v>
      </c>
      <c r="D241" s="403" t="s">
        <v>1357</v>
      </c>
      <c r="E241" s="403" t="s">
        <v>1359</v>
      </c>
      <c r="F241" s="403" t="s">
        <v>1287</v>
      </c>
      <c r="G241" s="403" t="s">
        <v>1466</v>
      </c>
      <c r="H241" s="403" t="s">
        <v>1276</v>
      </c>
      <c r="I241" s="403">
        <v>1</v>
      </c>
      <c r="J241" s="403" t="s">
        <v>110</v>
      </c>
      <c r="K241" s="403">
        <v>1920</v>
      </c>
      <c r="L241" s="403">
        <v>1080</v>
      </c>
      <c r="M241" s="403" t="s">
        <v>1285</v>
      </c>
      <c r="N241" s="403">
        <v>1280</v>
      </c>
      <c r="O241" s="403">
        <v>1024</v>
      </c>
      <c r="P241" t="str">
        <f t="shared" si="25"/>
        <v>25fps 1080p - 1280x1024 5:4 (cropped)</v>
      </c>
      <c r="Q241">
        <f t="shared" si="26"/>
        <v>2</v>
      </c>
      <c r="R241" t="str">
        <f t="shared" si="27"/>
        <v/>
      </c>
      <c r="S241" t="str">
        <f t="shared" si="28"/>
        <v/>
      </c>
      <c r="T241" s="403" t="str">
        <f t="shared" si="29"/>
        <v>MIC-7502-Z30x</v>
      </c>
      <c r="U241" s="403">
        <f t="shared" si="30"/>
        <v>1</v>
      </c>
      <c r="V241" s="403" t="str">
        <f t="shared" si="31"/>
        <v>CPP_7_3</v>
      </c>
    </row>
    <row r="242" spans="1:22">
      <c r="A242" t="str">
        <f t="shared" si="24"/>
        <v>MIC-7502-Z30x</v>
      </c>
      <c r="B242" s="403" t="s">
        <v>1356</v>
      </c>
      <c r="C242" s="403" t="s">
        <v>582</v>
      </c>
      <c r="D242" s="403" t="s">
        <v>1357</v>
      </c>
      <c r="E242" s="403" t="s">
        <v>1359</v>
      </c>
      <c r="F242" s="403" t="s">
        <v>1287</v>
      </c>
      <c r="G242" s="403" t="s">
        <v>1466</v>
      </c>
      <c r="H242" s="403" t="s">
        <v>1276</v>
      </c>
      <c r="I242" s="403">
        <v>1</v>
      </c>
      <c r="J242" s="403" t="s">
        <v>110</v>
      </c>
      <c r="K242" s="403">
        <v>1920</v>
      </c>
      <c r="L242" s="403">
        <v>1080</v>
      </c>
      <c r="M242" s="403" t="s">
        <v>1283</v>
      </c>
      <c r="N242" s="403">
        <v>720</v>
      </c>
      <c r="O242" s="403">
        <v>576</v>
      </c>
      <c r="P242" t="str">
        <f t="shared" si="25"/>
        <v>25fps 1080p - SD 4CIF resolution 4:3 format (cropped)</v>
      </c>
      <c r="Q242">
        <f t="shared" si="26"/>
        <v>2</v>
      </c>
      <c r="R242" t="str">
        <f t="shared" si="27"/>
        <v/>
      </c>
      <c r="S242" t="str">
        <f t="shared" si="28"/>
        <v/>
      </c>
      <c r="T242" s="403" t="str">
        <f t="shared" si="29"/>
        <v>MIC-7502-Z30x</v>
      </c>
      <c r="U242" s="403">
        <f t="shared" si="30"/>
        <v>1</v>
      </c>
      <c r="V242" s="403" t="str">
        <f t="shared" si="31"/>
        <v>CPP_7_3</v>
      </c>
    </row>
    <row r="243" spans="1:22">
      <c r="A243" t="str">
        <f t="shared" si="24"/>
        <v>MIC-7502-Z30x</v>
      </c>
      <c r="B243" s="403" t="s">
        <v>1356</v>
      </c>
      <c r="C243" s="403" t="s">
        <v>582</v>
      </c>
      <c r="D243" s="403" t="s">
        <v>1357</v>
      </c>
      <c r="E243" s="403" t="s">
        <v>1359</v>
      </c>
      <c r="F243" s="403" t="s">
        <v>1287</v>
      </c>
      <c r="G243" s="403" t="s">
        <v>1466</v>
      </c>
      <c r="H243" s="403" t="s">
        <v>1276</v>
      </c>
      <c r="I243" s="403">
        <v>1</v>
      </c>
      <c r="J243" s="403" t="s">
        <v>110</v>
      </c>
      <c r="K243" s="403">
        <v>1920</v>
      </c>
      <c r="L243" s="403">
        <v>1080</v>
      </c>
      <c r="M243" s="403" t="s">
        <v>1284</v>
      </c>
      <c r="N243" s="403">
        <v>640</v>
      </c>
      <c r="O243" s="403">
        <v>480</v>
      </c>
      <c r="P243" t="str">
        <f t="shared" si="25"/>
        <v>25fps 1080p - SD VGA (cropped)</v>
      </c>
      <c r="Q243">
        <f t="shared" si="26"/>
        <v>2</v>
      </c>
      <c r="R243" t="str">
        <f t="shared" si="27"/>
        <v/>
      </c>
      <c r="S243" t="str">
        <f t="shared" si="28"/>
        <v/>
      </c>
      <c r="T243" s="403" t="str">
        <f t="shared" si="29"/>
        <v>MIC-7502-Z30x</v>
      </c>
      <c r="U243" s="403">
        <f t="shared" si="30"/>
        <v>1</v>
      </c>
      <c r="V243" s="403" t="str">
        <f t="shared" si="31"/>
        <v>CPP_7_3</v>
      </c>
    </row>
    <row r="244" spans="1:22">
      <c r="A244" t="str">
        <f t="shared" si="24"/>
        <v>MIC-7502-Z30x</v>
      </c>
      <c r="B244" s="403" t="s">
        <v>1356</v>
      </c>
      <c r="C244" s="403" t="s">
        <v>582</v>
      </c>
      <c r="D244" s="403" t="s">
        <v>1357</v>
      </c>
      <c r="E244" s="403" t="s">
        <v>1359</v>
      </c>
      <c r="F244" s="403" t="s">
        <v>1287</v>
      </c>
      <c r="G244" s="403" t="s">
        <v>1466</v>
      </c>
      <c r="H244" s="403" t="s">
        <v>1276</v>
      </c>
      <c r="I244" s="403">
        <v>1</v>
      </c>
      <c r="J244" s="403" t="s">
        <v>109</v>
      </c>
      <c r="K244" s="403">
        <v>1280</v>
      </c>
      <c r="L244" s="403">
        <v>720</v>
      </c>
      <c r="M244" s="403" t="s">
        <v>109</v>
      </c>
      <c r="N244" s="403">
        <v>1280</v>
      </c>
      <c r="O244" s="403">
        <v>720</v>
      </c>
      <c r="P244" t="str">
        <f t="shared" si="25"/>
        <v>25fps 720p - 720p</v>
      </c>
      <c r="Q244">
        <f t="shared" si="26"/>
        <v>2</v>
      </c>
      <c r="R244" t="str">
        <f t="shared" si="27"/>
        <v/>
      </c>
      <c r="S244" t="str">
        <f t="shared" si="28"/>
        <v/>
      </c>
      <c r="T244" s="403" t="str">
        <f t="shared" si="29"/>
        <v>MIC-7502-Z30x</v>
      </c>
      <c r="U244" s="403">
        <f t="shared" si="30"/>
        <v>1</v>
      </c>
      <c r="V244" s="403" t="str">
        <f t="shared" si="31"/>
        <v>CPP_7_3</v>
      </c>
    </row>
    <row r="245" spans="1:22">
      <c r="A245" t="str">
        <f t="shared" si="24"/>
        <v>MIC-7502-Z30x</v>
      </c>
      <c r="B245" s="403" t="s">
        <v>1356</v>
      </c>
      <c r="C245" s="403" t="s">
        <v>582</v>
      </c>
      <c r="D245" s="403" t="s">
        <v>1357</v>
      </c>
      <c r="E245" s="403" t="s">
        <v>1359</v>
      </c>
      <c r="F245" s="403" t="s">
        <v>1287</v>
      </c>
      <c r="G245" s="403" t="s">
        <v>1466</v>
      </c>
      <c r="H245" s="403" t="s">
        <v>1276</v>
      </c>
      <c r="I245" s="403">
        <v>1</v>
      </c>
      <c r="J245" s="403" t="s">
        <v>109</v>
      </c>
      <c r="K245" s="403">
        <v>1280</v>
      </c>
      <c r="L245" s="403">
        <v>720</v>
      </c>
      <c r="M245" s="403" t="s">
        <v>111</v>
      </c>
      <c r="N245" s="403">
        <v>768</v>
      </c>
      <c r="O245" s="403">
        <v>432</v>
      </c>
      <c r="P245" t="str">
        <f t="shared" si="25"/>
        <v>25fps 720p - SD</v>
      </c>
      <c r="Q245">
        <f t="shared" si="26"/>
        <v>2</v>
      </c>
      <c r="R245" t="str">
        <f t="shared" si="27"/>
        <v/>
      </c>
      <c r="S245" t="str">
        <f t="shared" si="28"/>
        <v/>
      </c>
      <c r="T245" s="403" t="str">
        <f t="shared" si="29"/>
        <v>MIC-7502-Z30x</v>
      </c>
      <c r="U245" s="403">
        <f t="shared" si="30"/>
        <v>1</v>
      </c>
      <c r="V245" s="403" t="str">
        <f t="shared" si="31"/>
        <v>CPP_7_3</v>
      </c>
    </row>
    <row r="246" spans="1:22">
      <c r="A246" t="str">
        <f t="shared" si="24"/>
        <v>MIC-7502-Z30x</v>
      </c>
      <c r="B246" s="403" t="s">
        <v>1356</v>
      </c>
      <c r="C246" s="403" t="s">
        <v>582</v>
      </c>
      <c r="D246" s="403" t="s">
        <v>1357</v>
      </c>
      <c r="E246" s="403" t="s">
        <v>1359</v>
      </c>
      <c r="F246" s="403" t="s">
        <v>1287</v>
      </c>
      <c r="G246" s="403" t="s">
        <v>1466</v>
      </c>
      <c r="H246" s="403" t="s">
        <v>1276</v>
      </c>
      <c r="I246" s="403">
        <v>1</v>
      </c>
      <c r="J246" s="403" t="s">
        <v>109</v>
      </c>
      <c r="K246" s="403">
        <v>1280</v>
      </c>
      <c r="L246" s="403">
        <v>720</v>
      </c>
      <c r="M246" s="403" t="s">
        <v>1283</v>
      </c>
      <c r="N246" s="403">
        <v>720</v>
      </c>
      <c r="O246" s="403">
        <v>576</v>
      </c>
      <c r="P246" t="str">
        <f t="shared" si="25"/>
        <v>25fps 720p - SD 4CIF resolution 4:3 format (cropped)</v>
      </c>
      <c r="Q246">
        <f t="shared" si="26"/>
        <v>2</v>
      </c>
      <c r="R246" t="str">
        <f t="shared" si="27"/>
        <v/>
      </c>
      <c r="S246" t="str">
        <f t="shared" si="28"/>
        <v/>
      </c>
      <c r="T246" s="403" t="str">
        <f t="shared" si="29"/>
        <v>MIC-7502-Z30x</v>
      </c>
      <c r="U246" s="403">
        <f t="shared" si="30"/>
        <v>1</v>
      </c>
      <c r="V246" s="403" t="str">
        <f t="shared" si="31"/>
        <v>CPP_7_3</v>
      </c>
    </row>
    <row r="247" spans="1:22">
      <c r="A247" t="str">
        <f t="shared" si="24"/>
        <v>MIC-7502-Z30x</v>
      </c>
      <c r="B247" s="403" t="s">
        <v>1356</v>
      </c>
      <c r="C247" s="403" t="s">
        <v>582</v>
      </c>
      <c r="D247" s="403" t="s">
        <v>1357</v>
      </c>
      <c r="E247" s="403" t="s">
        <v>1359</v>
      </c>
      <c r="F247" s="403" t="s">
        <v>1287</v>
      </c>
      <c r="G247" s="403" t="s">
        <v>1466</v>
      </c>
      <c r="H247" s="403" t="s">
        <v>1276</v>
      </c>
      <c r="I247" s="403">
        <v>1</v>
      </c>
      <c r="J247" s="403" t="s">
        <v>109</v>
      </c>
      <c r="K247" s="403">
        <v>1280</v>
      </c>
      <c r="L247" s="403">
        <v>720</v>
      </c>
      <c r="M247" s="403" t="s">
        <v>1284</v>
      </c>
      <c r="N247" s="403">
        <v>640</v>
      </c>
      <c r="O247" s="403">
        <v>480</v>
      </c>
      <c r="P247" t="str">
        <f t="shared" si="25"/>
        <v>25fps 720p - SD VGA (cropped)</v>
      </c>
      <c r="Q247">
        <f t="shared" si="26"/>
        <v>2</v>
      </c>
      <c r="R247" t="str">
        <f t="shared" si="27"/>
        <v/>
      </c>
      <c r="S247" t="str">
        <f t="shared" si="28"/>
        <v/>
      </c>
      <c r="T247" s="403" t="str">
        <f t="shared" si="29"/>
        <v>MIC-7502-Z30x</v>
      </c>
      <c r="U247" s="403">
        <f t="shared" si="30"/>
        <v>1</v>
      </c>
      <c r="V247" s="403" t="str">
        <f t="shared" si="31"/>
        <v>CPP_7_3</v>
      </c>
    </row>
    <row r="248" spans="1:22">
      <c r="A248" t="str">
        <f t="shared" si="24"/>
        <v>MIC-7502-Z30x</v>
      </c>
      <c r="B248" s="403" t="s">
        <v>1356</v>
      </c>
      <c r="C248" s="403" t="s">
        <v>582</v>
      </c>
      <c r="D248" s="403" t="s">
        <v>1357</v>
      </c>
      <c r="E248" s="403" t="s">
        <v>1359</v>
      </c>
      <c r="F248" s="403" t="s">
        <v>1287</v>
      </c>
      <c r="G248" s="403" t="s">
        <v>1466</v>
      </c>
      <c r="H248" s="403" t="s">
        <v>1281</v>
      </c>
      <c r="I248" s="403">
        <v>1</v>
      </c>
      <c r="J248" s="403" t="s">
        <v>110</v>
      </c>
      <c r="K248" s="403">
        <v>1920</v>
      </c>
      <c r="L248" s="403">
        <v>1080</v>
      </c>
      <c r="M248" s="403" t="s">
        <v>111</v>
      </c>
      <c r="N248" s="403">
        <v>768</v>
      </c>
      <c r="O248" s="403">
        <v>432</v>
      </c>
      <c r="P248" t="str">
        <f t="shared" si="25"/>
        <v>25fps 1080p - SD</v>
      </c>
      <c r="Q248">
        <f t="shared" si="26"/>
        <v>2</v>
      </c>
      <c r="R248" t="str">
        <f t="shared" si="27"/>
        <v/>
      </c>
      <c r="S248" t="str">
        <f t="shared" si="28"/>
        <v/>
      </c>
      <c r="T248" s="403" t="str">
        <f t="shared" si="29"/>
        <v>MIC-7502-Z30x</v>
      </c>
      <c r="U248" s="403">
        <f t="shared" si="30"/>
        <v>1</v>
      </c>
      <c r="V248" s="403" t="str">
        <f t="shared" si="31"/>
        <v>CPP_7_3</v>
      </c>
    </row>
    <row r="249" spans="1:22">
      <c r="A249" t="str">
        <f t="shared" si="24"/>
        <v>MIC-7502-Z30x</v>
      </c>
      <c r="B249" s="403" t="s">
        <v>1356</v>
      </c>
      <c r="C249" s="403" t="s">
        <v>582</v>
      </c>
      <c r="D249" s="403" t="s">
        <v>1357</v>
      </c>
      <c r="E249" s="403" t="s">
        <v>1359</v>
      </c>
      <c r="F249" s="403" t="s">
        <v>1287</v>
      </c>
      <c r="G249" s="403" t="s">
        <v>1466</v>
      </c>
      <c r="H249" s="403" t="s">
        <v>1281</v>
      </c>
      <c r="I249" s="403">
        <v>1</v>
      </c>
      <c r="J249" s="403" t="s">
        <v>110</v>
      </c>
      <c r="K249" s="403">
        <v>1920</v>
      </c>
      <c r="L249" s="403">
        <v>1080</v>
      </c>
      <c r="M249" s="403" t="s">
        <v>110</v>
      </c>
      <c r="N249" s="403">
        <v>1920</v>
      </c>
      <c r="O249" s="403">
        <v>1080</v>
      </c>
      <c r="P249" t="str">
        <f t="shared" si="25"/>
        <v>25fps 1080p - 1080p</v>
      </c>
      <c r="Q249">
        <f t="shared" si="26"/>
        <v>2</v>
      </c>
      <c r="R249" t="str">
        <f t="shared" si="27"/>
        <v/>
      </c>
      <c r="S249" t="str">
        <f t="shared" si="28"/>
        <v/>
      </c>
      <c r="T249" s="403" t="str">
        <f t="shared" si="29"/>
        <v>MIC-7502-Z30x</v>
      </c>
      <c r="U249" s="403">
        <f t="shared" si="30"/>
        <v>1</v>
      </c>
      <c r="V249" s="403" t="str">
        <f t="shared" si="31"/>
        <v>CPP_7_3</v>
      </c>
    </row>
    <row r="250" spans="1:22">
      <c r="A250" t="str">
        <f t="shared" si="24"/>
        <v>MIC-7502-Z30x</v>
      </c>
      <c r="B250" s="403" t="s">
        <v>1356</v>
      </c>
      <c r="C250" s="403" t="s">
        <v>582</v>
      </c>
      <c r="D250" s="403" t="s">
        <v>1357</v>
      </c>
      <c r="E250" s="403" t="s">
        <v>1359</v>
      </c>
      <c r="F250" s="403" t="s">
        <v>1287</v>
      </c>
      <c r="G250" s="403" t="s">
        <v>1466</v>
      </c>
      <c r="H250" s="403" t="s">
        <v>1281</v>
      </c>
      <c r="I250" s="403">
        <v>1</v>
      </c>
      <c r="J250" s="403" t="s">
        <v>110</v>
      </c>
      <c r="K250" s="403">
        <v>1920</v>
      </c>
      <c r="L250" s="403">
        <v>1080</v>
      </c>
      <c r="M250" s="403" t="s">
        <v>109</v>
      </c>
      <c r="N250" s="403">
        <v>1280</v>
      </c>
      <c r="O250" s="403">
        <v>720</v>
      </c>
      <c r="P250" t="str">
        <f t="shared" si="25"/>
        <v>25fps 1080p - 720p</v>
      </c>
      <c r="Q250">
        <f t="shared" si="26"/>
        <v>2</v>
      </c>
      <c r="R250" t="str">
        <f t="shared" si="27"/>
        <v/>
      </c>
      <c r="S250" t="str">
        <f t="shared" si="28"/>
        <v/>
      </c>
      <c r="T250" s="403" t="str">
        <f t="shared" si="29"/>
        <v>MIC-7502-Z30x</v>
      </c>
      <c r="U250" s="403">
        <f t="shared" si="30"/>
        <v>1</v>
      </c>
      <c r="V250" s="403" t="str">
        <f t="shared" si="31"/>
        <v>CPP_7_3</v>
      </c>
    </row>
    <row r="251" spans="1:22">
      <c r="A251" t="str">
        <f t="shared" si="24"/>
        <v>MIC-7502-Z30x</v>
      </c>
      <c r="B251" s="403" t="s">
        <v>1356</v>
      </c>
      <c r="C251" s="403" t="s">
        <v>582</v>
      </c>
      <c r="D251" s="403" t="s">
        <v>1357</v>
      </c>
      <c r="E251" s="403" t="s">
        <v>1359</v>
      </c>
      <c r="F251" s="403" t="s">
        <v>1287</v>
      </c>
      <c r="G251" s="403" t="s">
        <v>1466</v>
      </c>
      <c r="H251" s="403" t="s">
        <v>1281</v>
      </c>
      <c r="I251" s="403">
        <v>1</v>
      </c>
      <c r="J251" s="403" t="s">
        <v>110</v>
      </c>
      <c r="K251" s="403">
        <v>1920</v>
      </c>
      <c r="L251" s="403">
        <v>1080</v>
      </c>
      <c r="M251" s="403" t="s">
        <v>1285</v>
      </c>
      <c r="N251" s="403">
        <v>1280</v>
      </c>
      <c r="O251" s="403">
        <v>1024</v>
      </c>
      <c r="P251" t="str">
        <f t="shared" si="25"/>
        <v>25fps 1080p - 1280x1024 5:4 (cropped)</v>
      </c>
      <c r="Q251">
        <f t="shared" si="26"/>
        <v>2</v>
      </c>
      <c r="R251" t="str">
        <f t="shared" si="27"/>
        <v/>
      </c>
      <c r="S251" t="str">
        <f t="shared" si="28"/>
        <v/>
      </c>
      <c r="T251" s="403" t="str">
        <f t="shared" si="29"/>
        <v>MIC-7502-Z30x</v>
      </c>
      <c r="U251" s="403">
        <f t="shared" si="30"/>
        <v>1</v>
      </c>
      <c r="V251" s="403" t="str">
        <f t="shared" si="31"/>
        <v>CPP_7_3</v>
      </c>
    </row>
    <row r="252" spans="1:22">
      <c r="A252" t="str">
        <f t="shared" si="24"/>
        <v>MIC-7502-Z30x</v>
      </c>
      <c r="B252" s="403" t="s">
        <v>1356</v>
      </c>
      <c r="C252" s="403" t="s">
        <v>582</v>
      </c>
      <c r="D252" s="403" t="s">
        <v>1357</v>
      </c>
      <c r="E252" s="403" t="s">
        <v>1359</v>
      </c>
      <c r="F252" s="403" t="s">
        <v>1287</v>
      </c>
      <c r="G252" s="403" t="s">
        <v>1466</v>
      </c>
      <c r="H252" s="403" t="s">
        <v>1281</v>
      </c>
      <c r="I252" s="403">
        <v>1</v>
      </c>
      <c r="J252" s="403" t="s">
        <v>110</v>
      </c>
      <c r="K252" s="403">
        <v>1920</v>
      </c>
      <c r="L252" s="403">
        <v>1080</v>
      </c>
      <c r="M252" s="403" t="s">
        <v>1283</v>
      </c>
      <c r="N252" s="403">
        <v>720</v>
      </c>
      <c r="O252" s="403">
        <v>576</v>
      </c>
      <c r="P252" t="str">
        <f t="shared" si="25"/>
        <v>25fps 1080p - SD 4CIF resolution 4:3 format (cropped)</v>
      </c>
      <c r="Q252">
        <f t="shared" si="26"/>
        <v>2</v>
      </c>
      <c r="R252" t="str">
        <f t="shared" si="27"/>
        <v/>
      </c>
      <c r="S252" t="str">
        <f t="shared" si="28"/>
        <v/>
      </c>
      <c r="T252" s="403" t="str">
        <f t="shared" si="29"/>
        <v>MIC-7502-Z30x</v>
      </c>
      <c r="U252" s="403">
        <f t="shared" si="30"/>
        <v>1</v>
      </c>
      <c r="V252" s="403" t="str">
        <f t="shared" si="31"/>
        <v>CPP_7_3</v>
      </c>
    </row>
    <row r="253" spans="1:22">
      <c r="A253" t="str">
        <f t="shared" si="24"/>
        <v>MIC-7502-Z30x</v>
      </c>
      <c r="B253" s="403" t="s">
        <v>1356</v>
      </c>
      <c r="C253" s="403" t="s">
        <v>582</v>
      </c>
      <c r="D253" s="403" t="s">
        <v>1357</v>
      </c>
      <c r="E253" s="403" t="s">
        <v>1359</v>
      </c>
      <c r="F253" s="403" t="s">
        <v>1287</v>
      </c>
      <c r="G253" s="403" t="s">
        <v>1466</v>
      </c>
      <c r="H253" s="403" t="s">
        <v>1281</v>
      </c>
      <c r="I253" s="403">
        <v>1</v>
      </c>
      <c r="J253" s="403" t="s">
        <v>110</v>
      </c>
      <c r="K253" s="403">
        <v>1920</v>
      </c>
      <c r="L253" s="403">
        <v>1080</v>
      </c>
      <c r="M253" s="403" t="s">
        <v>1284</v>
      </c>
      <c r="N253" s="403">
        <v>640</v>
      </c>
      <c r="O253" s="403">
        <v>480</v>
      </c>
      <c r="P253" t="str">
        <f t="shared" si="25"/>
        <v>25fps 1080p - SD VGA (cropped)</v>
      </c>
      <c r="Q253">
        <f t="shared" si="26"/>
        <v>2</v>
      </c>
      <c r="R253" t="str">
        <f t="shared" si="27"/>
        <v/>
      </c>
      <c r="S253" t="str">
        <f t="shared" si="28"/>
        <v/>
      </c>
      <c r="T253" s="403" t="str">
        <f t="shared" si="29"/>
        <v>MIC-7502-Z30x</v>
      </c>
      <c r="U253" s="403">
        <f t="shared" si="30"/>
        <v>1</v>
      </c>
      <c r="V253" s="403" t="str">
        <f t="shared" si="31"/>
        <v>CPP_7_3</v>
      </c>
    </row>
    <row r="254" spans="1:22">
      <c r="A254" t="str">
        <f t="shared" si="24"/>
        <v>MIC-7502-Z30x</v>
      </c>
      <c r="B254" s="403" t="s">
        <v>1356</v>
      </c>
      <c r="C254" s="403" t="s">
        <v>582</v>
      </c>
      <c r="D254" s="403" t="s">
        <v>1357</v>
      </c>
      <c r="E254" s="403" t="s">
        <v>1359</v>
      </c>
      <c r="F254" s="403" t="s">
        <v>1287</v>
      </c>
      <c r="G254" s="403" t="s">
        <v>1466</v>
      </c>
      <c r="H254" s="403" t="s">
        <v>1281</v>
      </c>
      <c r="I254" s="403">
        <v>1</v>
      </c>
      <c r="J254" s="403" t="s">
        <v>109</v>
      </c>
      <c r="K254" s="403">
        <v>1280</v>
      </c>
      <c r="L254" s="403">
        <v>720</v>
      </c>
      <c r="M254" s="403" t="s">
        <v>109</v>
      </c>
      <c r="N254" s="403">
        <v>1280</v>
      </c>
      <c r="O254" s="403">
        <v>720</v>
      </c>
      <c r="P254" t="str">
        <f t="shared" si="25"/>
        <v>25fps 720p - 720p</v>
      </c>
      <c r="Q254">
        <f t="shared" si="26"/>
        <v>2</v>
      </c>
      <c r="R254" t="str">
        <f t="shared" si="27"/>
        <v/>
      </c>
      <c r="S254" t="str">
        <f t="shared" si="28"/>
        <v/>
      </c>
      <c r="T254" s="403" t="str">
        <f t="shared" si="29"/>
        <v>MIC-7502-Z30x</v>
      </c>
      <c r="U254" s="403">
        <f t="shared" si="30"/>
        <v>1</v>
      </c>
      <c r="V254" s="403" t="str">
        <f t="shared" si="31"/>
        <v>CPP_7_3</v>
      </c>
    </row>
    <row r="255" spans="1:22">
      <c r="A255" t="str">
        <f t="shared" si="24"/>
        <v>MIC-7502-Z30x</v>
      </c>
      <c r="B255" s="403" t="s">
        <v>1356</v>
      </c>
      <c r="C255" s="403" t="s">
        <v>582</v>
      </c>
      <c r="D255" s="403" t="s">
        <v>1357</v>
      </c>
      <c r="E255" s="403" t="s">
        <v>1359</v>
      </c>
      <c r="F255" s="403" t="s">
        <v>1287</v>
      </c>
      <c r="G255" s="403" t="s">
        <v>1466</v>
      </c>
      <c r="H255" s="403" t="s">
        <v>1281</v>
      </c>
      <c r="I255" s="403">
        <v>1</v>
      </c>
      <c r="J255" s="403" t="s">
        <v>109</v>
      </c>
      <c r="K255" s="403">
        <v>1280</v>
      </c>
      <c r="L255" s="403">
        <v>720</v>
      </c>
      <c r="M255" s="403" t="s">
        <v>111</v>
      </c>
      <c r="N255" s="403">
        <v>768</v>
      </c>
      <c r="O255" s="403">
        <v>432</v>
      </c>
      <c r="P255" t="str">
        <f t="shared" si="25"/>
        <v>25fps 720p - SD</v>
      </c>
      <c r="Q255">
        <f t="shared" si="26"/>
        <v>2</v>
      </c>
      <c r="R255" t="str">
        <f t="shared" si="27"/>
        <v/>
      </c>
      <c r="S255" t="str">
        <f t="shared" si="28"/>
        <v/>
      </c>
      <c r="T255" s="403" t="str">
        <f t="shared" si="29"/>
        <v>MIC-7502-Z30x</v>
      </c>
      <c r="U255" s="403">
        <f t="shared" si="30"/>
        <v>1</v>
      </c>
      <c r="V255" s="403" t="str">
        <f t="shared" si="31"/>
        <v>CPP_7_3</v>
      </c>
    </row>
    <row r="256" spans="1:22">
      <c r="A256" t="str">
        <f t="shared" si="24"/>
        <v>MIC-7502-Z30x</v>
      </c>
      <c r="B256" s="403" t="s">
        <v>1356</v>
      </c>
      <c r="C256" s="403" t="s">
        <v>582</v>
      </c>
      <c r="D256" s="403" t="s">
        <v>1357</v>
      </c>
      <c r="E256" s="403" t="s">
        <v>1359</v>
      </c>
      <c r="F256" s="403" t="s">
        <v>1287</v>
      </c>
      <c r="G256" s="403" t="s">
        <v>1466</v>
      </c>
      <c r="H256" s="403" t="s">
        <v>1281</v>
      </c>
      <c r="I256" s="403">
        <v>1</v>
      </c>
      <c r="J256" s="403" t="s">
        <v>109</v>
      </c>
      <c r="K256" s="403">
        <v>1280</v>
      </c>
      <c r="L256" s="403">
        <v>720</v>
      </c>
      <c r="M256" s="403" t="s">
        <v>1283</v>
      </c>
      <c r="N256" s="403">
        <v>720</v>
      </c>
      <c r="O256" s="403">
        <v>576</v>
      </c>
      <c r="P256" t="str">
        <f t="shared" si="25"/>
        <v>25fps 720p - SD 4CIF resolution 4:3 format (cropped)</v>
      </c>
      <c r="Q256">
        <f t="shared" si="26"/>
        <v>2</v>
      </c>
      <c r="R256" t="str">
        <f t="shared" si="27"/>
        <v/>
      </c>
      <c r="S256" t="str">
        <f t="shared" si="28"/>
        <v/>
      </c>
      <c r="T256" s="403" t="str">
        <f t="shared" si="29"/>
        <v>MIC-7502-Z30x</v>
      </c>
      <c r="U256" s="403">
        <f t="shared" si="30"/>
        <v>1</v>
      </c>
      <c r="V256" s="403" t="str">
        <f t="shared" si="31"/>
        <v>CPP_7_3</v>
      </c>
    </row>
    <row r="257" spans="1:22">
      <c r="A257" t="str">
        <f t="shared" si="24"/>
        <v>MIC-7502-Z30x</v>
      </c>
      <c r="B257" s="403" t="s">
        <v>1356</v>
      </c>
      <c r="C257" s="403" t="s">
        <v>582</v>
      </c>
      <c r="D257" s="403" t="s">
        <v>1357</v>
      </c>
      <c r="E257" s="403" t="s">
        <v>1359</v>
      </c>
      <c r="F257" s="403" t="s">
        <v>1287</v>
      </c>
      <c r="G257" s="403" t="s">
        <v>1466</v>
      </c>
      <c r="H257" s="403" t="s">
        <v>1281</v>
      </c>
      <c r="I257" s="403">
        <v>1</v>
      </c>
      <c r="J257" s="403" t="s">
        <v>109</v>
      </c>
      <c r="K257" s="403">
        <v>1280</v>
      </c>
      <c r="L257" s="403">
        <v>720</v>
      </c>
      <c r="M257" s="403" t="s">
        <v>1284</v>
      </c>
      <c r="N257" s="403">
        <v>640</v>
      </c>
      <c r="O257" s="403">
        <v>480</v>
      </c>
      <c r="P257" t="str">
        <f t="shared" si="25"/>
        <v>25fps 720p - SD VGA (cropped)</v>
      </c>
      <c r="Q257">
        <f t="shared" si="26"/>
        <v>2</v>
      </c>
      <c r="R257" t="str">
        <f t="shared" si="27"/>
        <v/>
      </c>
      <c r="S257" t="str">
        <f t="shared" si="28"/>
        <v/>
      </c>
      <c r="T257" s="403" t="str">
        <f t="shared" si="29"/>
        <v>MIC-7502-Z30x</v>
      </c>
      <c r="U257" s="403">
        <f t="shared" si="30"/>
        <v>1</v>
      </c>
      <c r="V257" s="403" t="str">
        <f t="shared" si="31"/>
        <v>CPP_7_3</v>
      </c>
    </row>
    <row r="258" spans="1:22">
      <c r="A258" t="str">
        <f t="shared" ref="A258:A321" si="32">IF(AND(G258&lt;&gt;"rotate 90°"),D258,"")</f>
        <v>MIC-7502-Z30x</v>
      </c>
      <c r="B258" s="403" t="s">
        <v>1356</v>
      </c>
      <c r="C258" s="403" t="s">
        <v>582</v>
      </c>
      <c r="D258" s="403" t="s">
        <v>1357</v>
      </c>
      <c r="E258" s="403" t="s">
        <v>1359</v>
      </c>
      <c r="F258" s="403" t="s">
        <v>1287</v>
      </c>
      <c r="G258" s="403" t="s">
        <v>1466</v>
      </c>
      <c r="H258" s="403" t="s">
        <v>1282</v>
      </c>
      <c r="I258" s="403">
        <v>1</v>
      </c>
      <c r="J258" s="403" t="s">
        <v>110</v>
      </c>
      <c r="K258" s="403">
        <v>1920</v>
      </c>
      <c r="L258" s="403">
        <v>1080</v>
      </c>
      <c r="M258" s="403" t="s">
        <v>111</v>
      </c>
      <c r="N258" s="403">
        <v>768</v>
      </c>
      <c r="O258" s="403">
        <v>432</v>
      </c>
      <c r="P258" t="str">
        <f t="shared" ref="P258:P321" si="33">LEFT(F258,5)&amp;" "&amp;J258&amp;" - "&amp;M258</f>
        <v>25fps 1080p - SD</v>
      </c>
      <c r="Q258">
        <f t="shared" ref="Q258:Q321" si="34">IF(A257=A258,Q257,Q257+1)</f>
        <v>2</v>
      </c>
      <c r="R258" t="str">
        <f t="shared" ref="R258:R321" si="35">IF(Q257&lt;&gt;Q258,Q258,"")</f>
        <v/>
      </c>
      <c r="S258" t="str">
        <f t="shared" ref="S258:S321" si="36">IF(R258&lt;&gt;"",B258&amp;" ("&amp;D258&amp;")","")</f>
        <v/>
      </c>
      <c r="T258" s="403" t="str">
        <f t="shared" ref="T258:T321" si="37">D258</f>
        <v>MIC-7502-Z30x</v>
      </c>
      <c r="U258" s="403">
        <f t="shared" ref="U258:U321" si="38">I258</f>
        <v>1</v>
      </c>
      <c r="V258" s="403" t="str">
        <f t="shared" ref="V258:V321" si="39">C258</f>
        <v>CPP_7_3</v>
      </c>
    </row>
    <row r="259" spans="1:22">
      <c r="A259" t="str">
        <f t="shared" si="32"/>
        <v>MIC-7502-Z30x</v>
      </c>
      <c r="B259" s="403" t="s">
        <v>1356</v>
      </c>
      <c r="C259" s="403" t="s">
        <v>582</v>
      </c>
      <c r="D259" s="403" t="s">
        <v>1357</v>
      </c>
      <c r="E259" s="403" t="s">
        <v>1359</v>
      </c>
      <c r="F259" s="403" t="s">
        <v>1287</v>
      </c>
      <c r="G259" s="403" t="s">
        <v>1466</v>
      </c>
      <c r="H259" s="403" t="s">
        <v>1282</v>
      </c>
      <c r="I259" s="403">
        <v>1</v>
      </c>
      <c r="J259" s="403" t="s">
        <v>110</v>
      </c>
      <c r="K259" s="403">
        <v>1920</v>
      </c>
      <c r="L259" s="403">
        <v>1080</v>
      </c>
      <c r="M259" s="403" t="s">
        <v>110</v>
      </c>
      <c r="N259" s="403">
        <v>1920</v>
      </c>
      <c r="O259" s="403">
        <v>1080</v>
      </c>
      <c r="P259" t="str">
        <f t="shared" si="33"/>
        <v>25fps 1080p - 1080p</v>
      </c>
      <c r="Q259">
        <f t="shared" si="34"/>
        <v>2</v>
      </c>
      <c r="R259" t="str">
        <f t="shared" si="35"/>
        <v/>
      </c>
      <c r="S259" t="str">
        <f t="shared" si="36"/>
        <v/>
      </c>
      <c r="T259" s="403" t="str">
        <f t="shared" si="37"/>
        <v>MIC-7502-Z30x</v>
      </c>
      <c r="U259" s="403">
        <f t="shared" si="38"/>
        <v>1</v>
      </c>
      <c r="V259" s="403" t="str">
        <f t="shared" si="39"/>
        <v>CPP_7_3</v>
      </c>
    </row>
    <row r="260" spans="1:22">
      <c r="A260" t="str">
        <f t="shared" si="32"/>
        <v>MIC-7502-Z30x</v>
      </c>
      <c r="B260" s="403" t="s">
        <v>1356</v>
      </c>
      <c r="C260" s="403" t="s">
        <v>582</v>
      </c>
      <c r="D260" s="403" t="s">
        <v>1357</v>
      </c>
      <c r="E260" s="403" t="s">
        <v>1359</v>
      </c>
      <c r="F260" s="403" t="s">
        <v>1287</v>
      </c>
      <c r="G260" s="403" t="s">
        <v>1466</v>
      </c>
      <c r="H260" s="403" t="s">
        <v>1282</v>
      </c>
      <c r="I260" s="403">
        <v>1</v>
      </c>
      <c r="J260" s="403" t="s">
        <v>110</v>
      </c>
      <c r="K260" s="403">
        <v>1920</v>
      </c>
      <c r="L260" s="403">
        <v>1080</v>
      </c>
      <c r="M260" s="403" t="s">
        <v>109</v>
      </c>
      <c r="N260" s="403">
        <v>1280</v>
      </c>
      <c r="O260" s="403">
        <v>720</v>
      </c>
      <c r="P260" t="str">
        <f t="shared" si="33"/>
        <v>25fps 1080p - 720p</v>
      </c>
      <c r="Q260">
        <f t="shared" si="34"/>
        <v>2</v>
      </c>
      <c r="R260" t="str">
        <f t="shared" si="35"/>
        <v/>
      </c>
      <c r="S260" t="str">
        <f t="shared" si="36"/>
        <v/>
      </c>
      <c r="T260" s="403" t="str">
        <f t="shared" si="37"/>
        <v>MIC-7502-Z30x</v>
      </c>
      <c r="U260" s="403">
        <f t="shared" si="38"/>
        <v>1</v>
      </c>
      <c r="V260" s="403" t="str">
        <f t="shared" si="39"/>
        <v>CPP_7_3</v>
      </c>
    </row>
    <row r="261" spans="1:22">
      <c r="A261" t="str">
        <f t="shared" si="32"/>
        <v>MIC-7502-Z30x</v>
      </c>
      <c r="B261" s="403" t="s">
        <v>1356</v>
      </c>
      <c r="C261" s="403" t="s">
        <v>582</v>
      </c>
      <c r="D261" s="403" t="s">
        <v>1357</v>
      </c>
      <c r="E261" s="403" t="s">
        <v>1359</v>
      </c>
      <c r="F261" s="403" t="s">
        <v>1287</v>
      </c>
      <c r="G261" s="403" t="s">
        <v>1466</v>
      </c>
      <c r="H261" s="403" t="s">
        <v>1282</v>
      </c>
      <c r="I261" s="403">
        <v>1</v>
      </c>
      <c r="J261" s="403" t="s">
        <v>110</v>
      </c>
      <c r="K261" s="403">
        <v>1920</v>
      </c>
      <c r="L261" s="403">
        <v>1080</v>
      </c>
      <c r="M261" s="403" t="s">
        <v>1285</v>
      </c>
      <c r="N261" s="403">
        <v>1280</v>
      </c>
      <c r="O261" s="403">
        <v>1024</v>
      </c>
      <c r="P261" t="str">
        <f t="shared" si="33"/>
        <v>25fps 1080p - 1280x1024 5:4 (cropped)</v>
      </c>
      <c r="Q261">
        <f t="shared" si="34"/>
        <v>2</v>
      </c>
      <c r="R261" t="str">
        <f t="shared" si="35"/>
        <v/>
      </c>
      <c r="S261" t="str">
        <f t="shared" si="36"/>
        <v/>
      </c>
      <c r="T261" s="403" t="str">
        <f t="shared" si="37"/>
        <v>MIC-7502-Z30x</v>
      </c>
      <c r="U261" s="403">
        <f t="shared" si="38"/>
        <v>1</v>
      </c>
      <c r="V261" s="403" t="str">
        <f t="shared" si="39"/>
        <v>CPP_7_3</v>
      </c>
    </row>
    <row r="262" spans="1:22">
      <c r="A262" t="str">
        <f t="shared" si="32"/>
        <v>MIC-7502-Z30x</v>
      </c>
      <c r="B262" s="403" t="s">
        <v>1356</v>
      </c>
      <c r="C262" s="403" t="s">
        <v>582</v>
      </c>
      <c r="D262" s="403" t="s">
        <v>1357</v>
      </c>
      <c r="E262" s="403" t="s">
        <v>1359</v>
      </c>
      <c r="F262" s="403" t="s">
        <v>1287</v>
      </c>
      <c r="G262" s="403" t="s">
        <v>1466</v>
      </c>
      <c r="H262" s="403" t="s">
        <v>1282</v>
      </c>
      <c r="I262" s="403">
        <v>1</v>
      </c>
      <c r="J262" s="403" t="s">
        <v>110</v>
      </c>
      <c r="K262" s="403">
        <v>1920</v>
      </c>
      <c r="L262" s="403">
        <v>1080</v>
      </c>
      <c r="M262" s="403" t="s">
        <v>1283</v>
      </c>
      <c r="N262" s="403">
        <v>720</v>
      </c>
      <c r="O262" s="403">
        <v>576</v>
      </c>
      <c r="P262" t="str">
        <f t="shared" si="33"/>
        <v>25fps 1080p - SD 4CIF resolution 4:3 format (cropped)</v>
      </c>
      <c r="Q262">
        <f t="shared" si="34"/>
        <v>2</v>
      </c>
      <c r="R262" t="str">
        <f t="shared" si="35"/>
        <v/>
      </c>
      <c r="S262" t="str">
        <f t="shared" si="36"/>
        <v/>
      </c>
      <c r="T262" s="403" t="str">
        <f t="shared" si="37"/>
        <v>MIC-7502-Z30x</v>
      </c>
      <c r="U262" s="403">
        <f t="shared" si="38"/>
        <v>1</v>
      </c>
      <c r="V262" s="403" t="str">
        <f t="shared" si="39"/>
        <v>CPP_7_3</v>
      </c>
    </row>
    <row r="263" spans="1:22">
      <c r="A263" t="str">
        <f t="shared" si="32"/>
        <v>MIC-7502-Z30x</v>
      </c>
      <c r="B263" s="403" t="s">
        <v>1356</v>
      </c>
      <c r="C263" s="403" t="s">
        <v>582</v>
      </c>
      <c r="D263" s="403" t="s">
        <v>1357</v>
      </c>
      <c r="E263" s="403" t="s">
        <v>1359</v>
      </c>
      <c r="F263" s="403" t="s">
        <v>1287</v>
      </c>
      <c r="G263" s="403" t="s">
        <v>1466</v>
      </c>
      <c r="H263" s="403" t="s">
        <v>1282</v>
      </c>
      <c r="I263" s="403">
        <v>1</v>
      </c>
      <c r="J263" s="403" t="s">
        <v>110</v>
      </c>
      <c r="K263" s="403">
        <v>1920</v>
      </c>
      <c r="L263" s="403">
        <v>1080</v>
      </c>
      <c r="M263" s="403" t="s">
        <v>1284</v>
      </c>
      <c r="N263" s="403">
        <v>640</v>
      </c>
      <c r="O263" s="403">
        <v>480</v>
      </c>
      <c r="P263" t="str">
        <f t="shared" si="33"/>
        <v>25fps 1080p - SD VGA (cropped)</v>
      </c>
      <c r="Q263">
        <f t="shared" si="34"/>
        <v>2</v>
      </c>
      <c r="R263" t="str">
        <f t="shared" si="35"/>
        <v/>
      </c>
      <c r="S263" t="str">
        <f t="shared" si="36"/>
        <v/>
      </c>
      <c r="T263" s="403" t="str">
        <f t="shared" si="37"/>
        <v>MIC-7502-Z30x</v>
      </c>
      <c r="U263" s="403">
        <f t="shared" si="38"/>
        <v>1</v>
      </c>
      <c r="V263" s="403" t="str">
        <f t="shared" si="39"/>
        <v>CPP_7_3</v>
      </c>
    </row>
    <row r="264" spans="1:22">
      <c r="A264" t="str">
        <f t="shared" si="32"/>
        <v>MIC-7502-Z30x</v>
      </c>
      <c r="B264" s="403" t="s">
        <v>1356</v>
      </c>
      <c r="C264" s="403" t="s">
        <v>582</v>
      </c>
      <c r="D264" s="403" t="s">
        <v>1357</v>
      </c>
      <c r="E264" s="403" t="s">
        <v>1359</v>
      </c>
      <c r="F264" s="403" t="s">
        <v>1287</v>
      </c>
      <c r="G264" s="403" t="s">
        <v>1466</v>
      </c>
      <c r="H264" s="403" t="s">
        <v>1282</v>
      </c>
      <c r="I264" s="403">
        <v>1</v>
      </c>
      <c r="J264" s="403" t="s">
        <v>109</v>
      </c>
      <c r="K264" s="403">
        <v>1280</v>
      </c>
      <c r="L264" s="403">
        <v>720</v>
      </c>
      <c r="M264" s="403" t="s">
        <v>109</v>
      </c>
      <c r="N264" s="403">
        <v>1280</v>
      </c>
      <c r="O264" s="403">
        <v>720</v>
      </c>
      <c r="P264" t="str">
        <f t="shared" si="33"/>
        <v>25fps 720p - 720p</v>
      </c>
      <c r="Q264">
        <f t="shared" si="34"/>
        <v>2</v>
      </c>
      <c r="R264" t="str">
        <f t="shared" si="35"/>
        <v/>
      </c>
      <c r="S264" t="str">
        <f t="shared" si="36"/>
        <v/>
      </c>
      <c r="T264" s="403" t="str">
        <f t="shared" si="37"/>
        <v>MIC-7502-Z30x</v>
      </c>
      <c r="U264" s="403">
        <f t="shared" si="38"/>
        <v>1</v>
      </c>
      <c r="V264" s="403" t="str">
        <f t="shared" si="39"/>
        <v>CPP_7_3</v>
      </c>
    </row>
    <row r="265" spans="1:22">
      <c r="A265" t="str">
        <f t="shared" si="32"/>
        <v>MIC-7502-Z30x</v>
      </c>
      <c r="B265" s="403" t="s">
        <v>1356</v>
      </c>
      <c r="C265" s="403" t="s">
        <v>582</v>
      </c>
      <c r="D265" s="403" t="s">
        <v>1357</v>
      </c>
      <c r="E265" s="403" t="s">
        <v>1359</v>
      </c>
      <c r="F265" s="403" t="s">
        <v>1287</v>
      </c>
      <c r="G265" s="403" t="s">
        <v>1466</v>
      </c>
      <c r="H265" s="403" t="s">
        <v>1282</v>
      </c>
      <c r="I265" s="403">
        <v>1</v>
      </c>
      <c r="J265" s="403" t="s">
        <v>109</v>
      </c>
      <c r="K265" s="403">
        <v>1280</v>
      </c>
      <c r="L265" s="403">
        <v>720</v>
      </c>
      <c r="M265" s="403" t="s">
        <v>111</v>
      </c>
      <c r="N265" s="403">
        <v>768</v>
      </c>
      <c r="O265" s="403">
        <v>432</v>
      </c>
      <c r="P265" t="str">
        <f t="shared" si="33"/>
        <v>25fps 720p - SD</v>
      </c>
      <c r="Q265">
        <f t="shared" si="34"/>
        <v>2</v>
      </c>
      <c r="R265" t="str">
        <f t="shared" si="35"/>
        <v/>
      </c>
      <c r="S265" t="str">
        <f t="shared" si="36"/>
        <v/>
      </c>
      <c r="T265" s="403" t="str">
        <f t="shared" si="37"/>
        <v>MIC-7502-Z30x</v>
      </c>
      <c r="U265" s="403">
        <f t="shared" si="38"/>
        <v>1</v>
      </c>
      <c r="V265" s="403" t="str">
        <f t="shared" si="39"/>
        <v>CPP_7_3</v>
      </c>
    </row>
    <row r="266" spans="1:22">
      <c r="A266" t="str">
        <f t="shared" si="32"/>
        <v>MIC-7502-Z30x</v>
      </c>
      <c r="B266" s="403" t="s">
        <v>1356</v>
      </c>
      <c r="C266" s="403" t="s">
        <v>582</v>
      </c>
      <c r="D266" s="403" t="s">
        <v>1357</v>
      </c>
      <c r="E266" s="403" t="s">
        <v>1359</v>
      </c>
      <c r="F266" s="403" t="s">
        <v>1287</v>
      </c>
      <c r="G266" s="403" t="s">
        <v>1466</v>
      </c>
      <c r="H266" s="403" t="s">
        <v>1282</v>
      </c>
      <c r="I266" s="403">
        <v>1</v>
      </c>
      <c r="J266" s="403" t="s">
        <v>109</v>
      </c>
      <c r="K266" s="403">
        <v>1280</v>
      </c>
      <c r="L266" s="403">
        <v>720</v>
      </c>
      <c r="M266" s="403" t="s">
        <v>1283</v>
      </c>
      <c r="N266" s="403">
        <v>720</v>
      </c>
      <c r="O266" s="403">
        <v>576</v>
      </c>
      <c r="P266" t="str">
        <f t="shared" si="33"/>
        <v>25fps 720p - SD 4CIF resolution 4:3 format (cropped)</v>
      </c>
      <c r="Q266">
        <f t="shared" si="34"/>
        <v>2</v>
      </c>
      <c r="R266" t="str">
        <f t="shared" si="35"/>
        <v/>
      </c>
      <c r="S266" t="str">
        <f t="shared" si="36"/>
        <v/>
      </c>
      <c r="T266" s="403" t="str">
        <f t="shared" si="37"/>
        <v>MIC-7502-Z30x</v>
      </c>
      <c r="U266" s="403">
        <f t="shared" si="38"/>
        <v>1</v>
      </c>
      <c r="V266" s="403" t="str">
        <f t="shared" si="39"/>
        <v>CPP_7_3</v>
      </c>
    </row>
    <row r="267" spans="1:22">
      <c r="A267" t="str">
        <f t="shared" si="32"/>
        <v>MIC-7502-Z30x</v>
      </c>
      <c r="B267" s="403" t="s">
        <v>1356</v>
      </c>
      <c r="C267" s="403" t="s">
        <v>582</v>
      </c>
      <c r="D267" s="403" t="s">
        <v>1357</v>
      </c>
      <c r="E267" s="403" t="s">
        <v>1359</v>
      </c>
      <c r="F267" s="403" t="s">
        <v>1287</v>
      </c>
      <c r="G267" s="403" t="s">
        <v>1466</v>
      </c>
      <c r="H267" s="403" t="s">
        <v>1282</v>
      </c>
      <c r="I267" s="403">
        <v>1</v>
      </c>
      <c r="J267" s="403" t="s">
        <v>109</v>
      </c>
      <c r="K267" s="403">
        <v>1280</v>
      </c>
      <c r="L267" s="403">
        <v>720</v>
      </c>
      <c r="M267" s="403" t="s">
        <v>1284</v>
      </c>
      <c r="N267" s="403">
        <v>640</v>
      </c>
      <c r="O267" s="403">
        <v>480</v>
      </c>
      <c r="P267" t="str">
        <f t="shared" si="33"/>
        <v>25fps 720p - SD VGA (cropped)</v>
      </c>
      <c r="Q267">
        <f t="shared" si="34"/>
        <v>2</v>
      </c>
      <c r="R267" t="str">
        <f t="shared" si="35"/>
        <v/>
      </c>
      <c r="S267" t="str">
        <f t="shared" si="36"/>
        <v/>
      </c>
      <c r="T267" s="403" t="str">
        <f t="shared" si="37"/>
        <v>MIC-7502-Z30x</v>
      </c>
      <c r="U267" s="403">
        <f t="shared" si="38"/>
        <v>1</v>
      </c>
      <c r="V267" s="403" t="str">
        <f t="shared" si="39"/>
        <v>CPP_7_3</v>
      </c>
    </row>
    <row r="268" spans="1:22">
      <c r="A268" t="str">
        <f t="shared" si="32"/>
        <v>MIC-7502-Z30x</v>
      </c>
      <c r="B268" s="403" t="s">
        <v>1356</v>
      </c>
      <c r="C268" s="403" t="s">
        <v>582</v>
      </c>
      <c r="D268" s="403" t="s">
        <v>1357</v>
      </c>
      <c r="E268" s="403" t="s">
        <v>1359</v>
      </c>
      <c r="F268" s="403" t="s">
        <v>1286</v>
      </c>
      <c r="G268" s="403" t="s">
        <v>1466</v>
      </c>
      <c r="H268" s="403" t="s">
        <v>1276</v>
      </c>
      <c r="I268" s="403">
        <v>1</v>
      </c>
      <c r="J268" s="403" t="s">
        <v>110</v>
      </c>
      <c r="K268" s="403">
        <v>1920</v>
      </c>
      <c r="L268" s="403">
        <v>1080</v>
      </c>
      <c r="M268" s="403" t="s">
        <v>111</v>
      </c>
      <c r="N268" s="403">
        <v>768</v>
      </c>
      <c r="O268" s="403">
        <v>432</v>
      </c>
      <c r="P268" t="str">
        <f t="shared" si="33"/>
        <v>30fps 1080p - SD</v>
      </c>
      <c r="Q268">
        <f t="shared" si="34"/>
        <v>2</v>
      </c>
      <c r="R268" t="str">
        <f t="shared" si="35"/>
        <v/>
      </c>
      <c r="S268" t="str">
        <f t="shared" si="36"/>
        <v/>
      </c>
      <c r="T268" s="403" t="str">
        <f t="shared" si="37"/>
        <v>MIC-7502-Z30x</v>
      </c>
      <c r="U268" s="403">
        <f t="shared" si="38"/>
        <v>1</v>
      </c>
      <c r="V268" s="403" t="str">
        <f t="shared" si="39"/>
        <v>CPP_7_3</v>
      </c>
    </row>
    <row r="269" spans="1:22">
      <c r="A269" t="str">
        <f t="shared" si="32"/>
        <v>MIC-7502-Z30x</v>
      </c>
      <c r="B269" s="403" t="s">
        <v>1356</v>
      </c>
      <c r="C269" s="403" t="s">
        <v>582</v>
      </c>
      <c r="D269" s="403" t="s">
        <v>1357</v>
      </c>
      <c r="E269" s="403" t="s">
        <v>1359</v>
      </c>
      <c r="F269" s="403" t="s">
        <v>1286</v>
      </c>
      <c r="G269" s="403" t="s">
        <v>1466</v>
      </c>
      <c r="H269" s="403" t="s">
        <v>1276</v>
      </c>
      <c r="I269" s="403">
        <v>1</v>
      </c>
      <c r="J269" s="403" t="s">
        <v>110</v>
      </c>
      <c r="K269" s="403">
        <v>1920</v>
      </c>
      <c r="L269" s="403">
        <v>1080</v>
      </c>
      <c r="M269" s="403" t="s">
        <v>110</v>
      </c>
      <c r="N269" s="403">
        <v>1920</v>
      </c>
      <c r="O269" s="403">
        <v>1080</v>
      </c>
      <c r="P269" t="str">
        <f t="shared" si="33"/>
        <v>30fps 1080p - 1080p</v>
      </c>
      <c r="Q269">
        <f t="shared" si="34"/>
        <v>2</v>
      </c>
      <c r="R269" t="str">
        <f t="shared" si="35"/>
        <v/>
      </c>
      <c r="S269" t="str">
        <f t="shared" si="36"/>
        <v/>
      </c>
      <c r="T269" s="403" t="str">
        <f t="shared" si="37"/>
        <v>MIC-7502-Z30x</v>
      </c>
      <c r="U269" s="403">
        <f t="shared" si="38"/>
        <v>1</v>
      </c>
      <c r="V269" s="403" t="str">
        <f t="shared" si="39"/>
        <v>CPP_7_3</v>
      </c>
    </row>
    <row r="270" spans="1:22">
      <c r="A270" t="str">
        <f t="shared" si="32"/>
        <v>MIC-7502-Z30x</v>
      </c>
      <c r="B270" s="403" t="s">
        <v>1356</v>
      </c>
      <c r="C270" s="403" t="s">
        <v>582</v>
      </c>
      <c r="D270" s="403" t="s">
        <v>1357</v>
      </c>
      <c r="E270" s="403" t="s">
        <v>1359</v>
      </c>
      <c r="F270" s="403" t="s">
        <v>1286</v>
      </c>
      <c r="G270" s="403" t="s">
        <v>1466</v>
      </c>
      <c r="H270" s="403" t="s">
        <v>1276</v>
      </c>
      <c r="I270" s="403">
        <v>1</v>
      </c>
      <c r="J270" s="403" t="s">
        <v>110</v>
      </c>
      <c r="K270" s="403">
        <v>1920</v>
      </c>
      <c r="L270" s="403">
        <v>1080</v>
      </c>
      <c r="M270" s="403" t="s">
        <v>109</v>
      </c>
      <c r="N270" s="403">
        <v>1280</v>
      </c>
      <c r="O270" s="403">
        <v>720</v>
      </c>
      <c r="P270" t="str">
        <f t="shared" si="33"/>
        <v>30fps 1080p - 720p</v>
      </c>
      <c r="Q270">
        <f t="shared" si="34"/>
        <v>2</v>
      </c>
      <c r="R270" t="str">
        <f t="shared" si="35"/>
        <v/>
      </c>
      <c r="S270" t="str">
        <f t="shared" si="36"/>
        <v/>
      </c>
      <c r="T270" s="403" t="str">
        <f t="shared" si="37"/>
        <v>MIC-7502-Z30x</v>
      </c>
      <c r="U270" s="403">
        <f t="shared" si="38"/>
        <v>1</v>
      </c>
      <c r="V270" s="403" t="str">
        <f t="shared" si="39"/>
        <v>CPP_7_3</v>
      </c>
    </row>
    <row r="271" spans="1:22">
      <c r="A271" t="str">
        <f t="shared" si="32"/>
        <v>MIC-7502-Z30x</v>
      </c>
      <c r="B271" s="403" t="s">
        <v>1356</v>
      </c>
      <c r="C271" s="403" t="s">
        <v>582</v>
      </c>
      <c r="D271" s="403" t="s">
        <v>1357</v>
      </c>
      <c r="E271" s="403" t="s">
        <v>1359</v>
      </c>
      <c r="F271" s="403" t="s">
        <v>1286</v>
      </c>
      <c r="G271" s="403" t="s">
        <v>1466</v>
      </c>
      <c r="H271" s="403" t="s">
        <v>1276</v>
      </c>
      <c r="I271" s="403">
        <v>1</v>
      </c>
      <c r="J271" s="403" t="s">
        <v>110</v>
      </c>
      <c r="K271" s="403">
        <v>1920</v>
      </c>
      <c r="L271" s="403">
        <v>1080</v>
      </c>
      <c r="M271" s="403" t="s">
        <v>1285</v>
      </c>
      <c r="N271" s="403">
        <v>1280</v>
      </c>
      <c r="O271" s="403">
        <v>1024</v>
      </c>
      <c r="P271" t="str">
        <f t="shared" si="33"/>
        <v>30fps 1080p - 1280x1024 5:4 (cropped)</v>
      </c>
      <c r="Q271">
        <f t="shared" si="34"/>
        <v>2</v>
      </c>
      <c r="R271" t="str">
        <f t="shared" si="35"/>
        <v/>
      </c>
      <c r="S271" t="str">
        <f t="shared" si="36"/>
        <v/>
      </c>
      <c r="T271" s="403" t="str">
        <f t="shared" si="37"/>
        <v>MIC-7502-Z30x</v>
      </c>
      <c r="U271" s="403">
        <f t="shared" si="38"/>
        <v>1</v>
      </c>
      <c r="V271" s="403" t="str">
        <f t="shared" si="39"/>
        <v>CPP_7_3</v>
      </c>
    </row>
    <row r="272" spans="1:22">
      <c r="A272" t="str">
        <f t="shared" si="32"/>
        <v>MIC-7502-Z30x</v>
      </c>
      <c r="B272" s="403" t="s">
        <v>1356</v>
      </c>
      <c r="C272" s="403" t="s">
        <v>582</v>
      </c>
      <c r="D272" s="403" t="s">
        <v>1357</v>
      </c>
      <c r="E272" s="403" t="s">
        <v>1359</v>
      </c>
      <c r="F272" s="403" t="s">
        <v>1286</v>
      </c>
      <c r="G272" s="403" t="s">
        <v>1466</v>
      </c>
      <c r="H272" s="403" t="s">
        <v>1276</v>
      </c>
      <c r="I272" s="403">
        <v>1</v>
      </c>
      <c r="J272" s="403" t="s">
        <v>110</v>
      </c>
      <c r="K272" s="403">
        <v>1920</v>
      </c>
      <c r="L272" s="403">
        <v>1080</v>
      </c>
      <c r="M272" s="403" t="s">
        <v>1283</v>
      </c>
      <c r="N272" s="403">
        <v>720</v>
      </c>
      <c r="O272" s="403">
        <v>480</v>
      </c>
      <c r="P272" t="str">
        <f t="shared" si="33"/>
        <v>30fps 1080p - SD 4CIF resolution 4:3 format (cropped)</v>
      </c>
      <c r="Q272">
        <f t="shared" si="34"/>
        <v>2</v>
      </c>
      <c r="R272" t="str">
        <f t="shared" si="35"/>
        <v/>
      </c>
      <c r="S272" t="str">
        <f t="shared" si="36"/>
        <v/>
      </c>
      <c r="T272" s="403" t="str">
        <f t="shared" si="37"/>
        <v>MIC-7502-Z30x</v>
      </c>
      <c r="U272" s="403">
        <f t="shared" si="38"/>
        <v>1</v>
      </c>
      <c r="V272" s="403" t="str">
        <f t="shared" si="39"/>
        <v>CPP_7_3</v>
      </c>
    </row>
    <row r="273" spans="1:22">
      <c r="A273" t="str">
        <f t="shared" si="32"/>
        <v>MIC-7502-Z30x</v>
      </c>
      <c r="B273" s="403" t="s">
        <v>1356</v>
      </c>
      <c r="C273" s="403" t="s">
        <v>582</v>
      </c>
      <c r="D273" s="403" t="s">
        <v>1357</v>
      </c>
      <c r="E273" s="403" t="s">
        <v>1359</v>
      </c>
      <c r="F273" s="403" t="s">
        <v>1286</v>
      </c>
      <c r="G273" s="403" t="s">
        <v>1466</v>
      </c>
      <c r="H273" s="403" t="s">
        <v>1276</v>
      </c>
      <c r="I273" s="403">
        <v>1</v>
      </c>
      <c r="J273" s="403" t="s">
        <v>110</v>
      </c>
      <c r="K273" s="403">
        <v>1920</v>
      </c>
      <c r="L273" s="403">
        <v>1080</v>
      </c>
      <c r="M273" s="403" t="s">
        <v>1284</v>
      </c>
      <c r="N273" s="403">
        <v>640</v>
      </c>
      <c r="O273" s="403">
        <v>480</v>
      </c>
      <c r="P273" t="str">
        <f t="shared" si="33"/>
        <v>30fps 1080p - SD VGA (cropped)</v>
      </c>
      <c r="Q273">
        <f t="shared" si="34"/>
        <v>2</v>
      </c>
      <c r="R273" t="str">
        <f t="shared" si="35"/>
        <v/>
      </c>
      <c r="S273" t="str">
        <f t="shared" si="36"/>
        <v/>
      </c>
      <c r="T273" s="403" t="str">
        <f t="shared" si="37"/>
        <v>MIC-7502-Z30x</v>
      </c>
      <c r="U273" s="403">
        <f t="shared" si="38"/>
        <v>1</v>
      </c>
      <c r="V273" s="403" t="str">
        <f t="shared" si="39"/>
        <v>CPP_7_3</v>
      </c>
    </row>
    <row r="274" spans="1:22">
      <c r="A274" t="str">
        <f t="shared" si="32"/>
        <v>MIC-7502-Z30x</v>
      </c>
      <c r="B274" s="403" t="s">
        <v>1356</v>
      </c>
      <c r="C274" s="403" t="s">
        <v>582</v>
      </c>
      <c r="D274" s="403" t="s">
        <v>1357</v>
      </c>
      <c r="E274" s="403" t="s">
        <v>1359</v>
      </c>
      <c r="F274" s="403" t="s">
        <v>1286</v>
      </c>
      <c r="G274" s="403" t="s">
        <v>1466</v>
      </c>
      <c r="H274" s="403" t="s">
        <v>1276</v>
      </c>
      <c r="I274" s="403">
        <v>1</v>
      </c>
      <c r="J274" s="403" t="s">
        <v>109</v>
      </c>
      <c r="K274" s="403">
        <v>1280</v>
      </c>
      <c r="L274" s="403">
        <v>720</v>
      </c>
      <c r="M274" s="403" t="s">
        <v>109</v>
      </c>
      <c r="N274" s="403">
        <v>1280</v>
      </c>
      <c r="O274" s="403">
        <v>720</v>
      </c>
      <c r="P274" t="str">
        <f t="shared" si="33"/>
        <v>30fps 720p - 720p</v>
      </c>
      <c r="Q274">
        <f t="shared" si="34"/>
        <v>2</v>
      </c>
      <c r="R274" t="str">
        <f t="shared" si="35"/>
        <v/>
      </c>
      <c r="S274" t="str">
        <f t="shared" si="36"/>
        <v/>
      </c>
      <c r="T274" s="403" t="str">
        <f t="shared" si="37"/>
        <v>MIC-7502-Z30x</v>
      </c>
      <c r="U274" s="403">
        <f t="shared" si="38"/>
        <v>1</v>
      </c>
      <c r="V274" s="403" t="str">
        <f t="shared" si="39"/>
        <v>CPP_7_3</v>
      </c>
    </row>
    <row r="275" spans="1:22">
      <c r="A275" t="str">
        <f t="shared" si="32"/>
        <v>MIC-7502-Z30x</v>
      </c>
      <c r="B275" s="403" t="s">
        <v>1356</v>
      </c>
      <c r="C275" s="403" t="s">
        <v>582</v>
      </c>
      <c r="D275" s="403" t="s">
        <v>1357</v>
      </c>
      <c r="E275" s="403" t="s">
        <v>1359</v>
      </c>
      <c r="F275" s="403" t="s">
        <v>1286</v>
      </c>
      <c r="G275" s="403" t="s">
        <v>1466</v>
      </c>
      <c r="H275" s="403" t="s">
        <v>1276</v>
      </c>
      <c r="I275" s="403">
        <v>1</v>
      </c>
      <c r="J275" s="403" t="s">
        <v>109</v>
      </c>
      <c r="K275" s="403">
        <v>1280</v>
      </c>
      <c r="L275" s="403">
        <v>720</v>
      </c>
      <c r="M275" s="403" t="s">
        <v>111</v>
      </c>
      <c r="N275" s="403">
        <v>768</v>
      </c>
      <c r="O275" s="403">
        <v>432</v>
      </c>
      <c r="P275" t="str">
        <f t="shared" si="33"/>
        <v>30fps 720p - SD</v>
      </c>
      <c r="Q275">
        <f t="shared" si="34"/>
        <v>2</v>
      </c>
      <c r="R275" t="str">
        <f t="shared" si="35"/>
        <v/>
      </c>
      <c r="S275" t="str">
        <f t="shared" si="36"/>
        <v/>
      </c>
      <c r="T275" s="403" t="str">
        <f t="shared" si="37"/>
        <v>MIC-7502-Z30x</v>
      </c>
      <c r="U275" s="403">
        <f t="shared" si="38"/>
        <v>1</v>
      </c>
      <c r="V275" s="403" t="str">
        <f t="shared" si="39"/>
        <v>CPP_7_3</v>
      </c>
    </row>
    <row r="276" spans="1:22">
      <c r="A276" t="str">
        <f t="shared" si="32"/>
        <v>MIC-7502-Z30x</v>
      </c>
      <c r="B276" s="403" t="s">
        <v>1356</v>
      </c>
      <c r="C276" s="403" t="s">
        <v>582</v>
      </c>
      <c r="D276" s="403" t="s">
        <v>1357</v>
      </c>
      <c r="E276" s="403" t="s">
        <v>1359</v>
      </c>
      <c r="F276" s="403" t="s">
        <v>1286</v>
      </c>
      <c r="G276" s="403" t="s">
        <v>1466</v>
      </c>
      <c r="H276" s="403" t="s">
        <v>1276</v>
      </c>
      <c r="I276" s="403">
        <v>1</v>
      </c>
      <c r="J276" s="403" t="s">
        <v>109</v>
      </c>
      <c r="K276" s="403">
        <v>1280</v>
      </c>
      <c r="L276" s="403">
        <v>720</v>
      </c>
      <c r="M276" s="403" t="s">
        <v>1283</v>
      </c>
      <c r="N276" s="403">
        <v>720</v>
      </c>
      <c r="O276" s="403">
        <v>480</v>
      </c>
      <c r="P276" t="str">
        <f t="shared" si="33"/>
        <v>30fps 720p - SD 4CIF resolution 4:3 format (cropped)</v>
      </c>
      <c r="Q276">
        <f t="shared" si="34"/>
        <v>2</v>
      </c>
      <c r="R276" t="str">
        <f t="shared" si="35"/>
        <v/>
      </c>
      <c r="S276" t="str">
        <f t="shared" si="36"/>
        <v/>
      </c>
      <c r="T276" s="403" t="str">
        <f t="shared" si="37"/>
        <v>MIC-7502-Z30x</v>
      </c>
      <c r="U276" s="403">
        <f t="shared" si="38"/>
        <v>1</v>
      </c>
      <c r="V276" s="403" t="str">
        <f t="shared" si="39"/>
        <v>CPP_7_3</v>
      </c>
    </row>
    <row r="277" spans="1:22">
      <c r="A277" t="str">
        <f t="shared" si="32"/>
        <v>MIC-7502-Z30x</v>
      </c>
      <c r="B277" s="403" t="s">
        <v>1356</v>
      </c>
      <c r="C277" s="403" t="s">
        <v>582</v>
      </c>
      <c r="D277" s="403" t="s">
        <v>1357</v>
      </c>
      <c r="E277" s="403" t="s">
        <v>1359</v>
      </c>
      <c r="F277" s="403" t="s">
        <v>1286</v>
      </c>
      <c r="G277" s="403" t="s">
        <v>1466</v>
      </c>
      <c r="H277" s="403" t="s">
        <v>1276</v>
      </c>
      <c r="I277" s="403">
        <v>1</v>
      </c>
      <c r="J277" s="403" t="s">
        <v>109</v>
      </c>
      <c r="K277" s="403">
        <v>1280</v>
      </c>
      <c r="L277" s="403">
        <v>720</v>
      </c>
      <c r="M277" s="403" t="s">
        <v>1284</v>
      </c>
      <c r="N277" s="403">
        <v>640</v>
      </c>
      <c r="O277" s="403">
        <v>480</v>
      </c>
      <c r="P277" t="str">
        <f t="shared" si="33"/>
        <v>30fps 720p - SD VGA (cropped)</v>
      </c>
      <c r="Q277">
        <f t="shared" si="34"/>
        <v>2</v>
      </c>
      <c r="R277" t="str">
        <f t="shared" si="35"/>
        <v/>
      </c>
      <c r="S277" t="str">
        <f t="shared" si="36"/>
        <v/>
      </c>
      <c r="T277" s="403" t="str">
        <f t="shared" si="37"/>
        <v>MIC-7502-Z30x</v>
      </c>
      <c r="U277" s="403">
        <f t="shared" si="38"/>
        <v>1</v>
      </c>
      <c r="V277" s="403" t="str">
        <f t="shared" si="39"/>
        <v>CPP_7_3</v>
      </c>
    </row>
    <row r="278" spans="1:22">
      <c r="A278" t="str">
        <f t="shared" si="32"/>
        <v>MIC-7502-Z30x</v>
      </c>
      <c r="B278" s="403" t="s">
        <v>1356</v>
      </c>
      <c r="C278" s="403" t="s">
        <v>582</v>
      </c>
      <c r="D278" s="403" t="s">
        <v>1357</v>
      </c>
      <c r="E278" s="403" t="s">
        <v>1359</v>
      </c>
      <c r="F278" s="403" t="s">
        <v>1286</v>
      </c>
      <c r="G278" s="403" t="s">
        <v>1466</v>
      </c>
      <c r="H278" s="403" t="s">
        <v>1281</v>
      </c>
      <c r="I278" s="403">
        <v>1</v>
      </c>
      <c r="J278" s="403" t="s">
        <v>110</v>
      </c>
      <c r="K278" s="403">
        <v>1920</v>
      </c>
      <c r="L278" s="403">
        <v>1080</v>
      </c>
      <c r="M278" s="403" t="s">
        <v>111</v>
      </c>
      <c r="N278" s="403">
        <v>768</v>
      </c>
      <c r="O278" s="403">
        <v>432</v>
      </c>
      <c r="P278" t="str">
        <f t="shared" si="33"/>
        <v>30fps 1080p - SD</v>
      </c>
      <c r="Q278">
        <f t="shared" si="34"/>
        <v>2</v>
      </c>
      <c r="R278" t="str">
        <f t="shared" si="35"/>
        <v/>
      </c>
      <c r="S278" t="str">
        <f t="shared" si="36"/>
        <v/>
      </c>
      <c r="T278" s="403" t="str">
        <f t="shared" si="37"/>
        <v>MIC-7502-Z30x</v>
      </c>
      <c r="U278" s="403">
        <f t="shared" si="38"/>
        <v>1</v>
      </c>
      <c r="V278" s="403" t="str">
        <f t="shared" si="39"/>
        <v>CPP_7_3</v>
      </c>
    </row>
    <row r="279" spans="1:22">
      <c r="A279" t="str">
        <f t="shared" si="32"/>
        <v>MIC-7502-Z30x</v>
      </c>
      <c r="B279" s="403" t="s">
        <v>1356</v>
      </c>
      <c r="C279" s="403" t="s">
        <v>582</v>
      </c>
      <c r="D279" s="403" t="s">
        <v>1357</v>
      </c>
      <c r="E279" s="403" t="s">
        <v>1359</v>
      </c>
      <c r="F279" s="403" t="s">
        <v>1286</v>
      </c>
      <c r="G279" s="403" t="s">
        <v>1466</v>
      </c>
      <c r="H279" s="403" t="s">
        <v>1281</v>
      </c>
      <c r="I279" s="403">
        <v>1</v>
      </c>
      <c r="J279" s="403" t="s">
        <v>110</v>
      </c>
      <c r="K279" s="403">
        <v>1920</v>
      </c>
      <c r="L279" s="403">
        <v>1080</v>
      </c>
      <c r="M279" s="403" t="s">
        <v>110</v>
      </c>
      <c r="N279" s="403">
        <v>1920</v>
      </c>
      <c r="O279" s="403">
        <v>1080</v>
      </c>
      <c r="P279" t="str">
        <f t="shared" si="33"/>
        <v>30fps 1080p - 1080p</v>
      </c>
      <c r="Q279">
        <f t="shared" si="34"/>
        <v>2</v>
      </c>
      <c r="R279" t="str">
        <f t="shared" si="35"/>
        <v/>
      </c>
      <c r="S279" t="str">
        <f t="shared" si="36"/>
        <v/>
      </c>
      <c r="T279" s="403" t="str">
        <f t="shared" si="37"/>
        <v>MIC-7502-Z30x</v>
      </c>
      <c r="U279" s="403">
        <f t="shared" si="38"/>
        <v>1</v>
      </c>
      <c r="V279" s="403" t="str">
        <f t="shared" si="39"/>
        <v>CPP_7_3</v>
      </c>
    </row>
    <row r="280" spans="1:22">
      <c r="A280" t="str">
        <f t="shared" si="32"/>
        <v>MIC-7502-Z30x</v>
      </c>
      <c r="B280" s="403" t="s">
        <v>1356</v>
      </c>
      <c r="C280" s="403" t="s">
        <v>582</v>
      </c>
      <c r="D280" s="403" t="s">
        <v>1357</v>
      </c>
      <c r="E280" s="403" t="s">
        <v>1359</v>
      </c>
      <c r="F280" s="403" t="s">
        <v>1286</v>
      </c>
      <c r="G280" s="403" t="s">
        <v>1466</v>
      </c>
      <c r="H280" s="403" t="s">
        <v>1281</v>
      </c>
      <c r="I280" s="403">
        <v>1</v>
      </c>
      <c r="J280" s="403" t="s">
        <v>110</v>
      </c>
      <c r="K280" s="403">
        <v>1920</v>
      </c>
      <c r="L280" s="403">
        <v>1080</v>
      </c>
      <c r="M280" s="403" t="s">
        <v>109</v>
      </c>
      <c r="N280" s="403">
        <v>1280</v>
      </c>
      <c r="O280" s="403">
        <v>720</v>
      </c>
      <c r="P280" t="str">
        <f t="shared" si="33"/>
        <v>30fps 1080p - 720p</v>
      </c>
      <c r="Q280">
        <f t="shared" si="34"/>
        <v>2</v>
      </c>
      <c r="R280" t="str">
        <f t="shared" si="35"/>
        <v/>
      </c>
      <c r="S280" t="str">
        <f t="shared" si="36"/>
        <v/>
      </c>
      <c r="T280" s="403" t="str">
        <f t="shared" si="37"/>
        <v>MIC-7502-Z30x</v>
      </c>
      <c r="U280" s="403">
        <f t="shared" si="38"/>
        <v>1</v>
      </c>
      <c r="V280" s="403" t="str">
        <f t="shared" si="39"/>
        <v>CPP_7_3</v>
      </c>
    </row>
    <row r="281" spans="1:22">
      <c r="A281" t="str">
        <f t="shared" si="32"/>
        <v>MIC-7502-Z30x</v>
      </c>
      <c r="B281" s="403" t="s">
        <v>1356</v>
      </c>
      <c r="C281" s="403" t="s">
        <v>582</v>
      </c>
      <c r="D281" s="403" t="s">
        <v>1357</v>
      </c>
      <c r="E281" s="403" t="s">
        <v>1359</v>
      </c>
      <c r="F281" s="403" t="s">
        <v>1286</v>
      </c>
      <c r="G281" s="403" t="s">
        <v>1466</v>
      </c>
      <c r="H281" s="403" t="s">
        <v>1281</v>
      </c>
      <c r="I281" s="403">
        <v>1</v>
      </c>
      <c r="J281" s="403" t="s">
        <v>110</v>
      </c>
      <c r="K281" s="403">
        <v>1920</v>
      </c>
      <c r="L281" s="403">
        <v>1080</v>
      </c>
      <c r="M281" s="403" t="s">
        <v>1285</v>
      </c>
      <c r="N281" s="403">
        <v>1280</v>
      </c>
      <c r="O281" s="403">
        <v>1024</v>
      </c>
      <c r="P281" t="str">
        <f t="shared" si="33"/>
        <v>30fps 1080p - 1280x1024 5:4 (cropped)</v>
      </c>
      <c r="Q281">
        <f t="shared" si="34"/>
        <v>2</v>
      </c>
      <c r="R281" t="str">
        <f t="shared" si="35"/>
        <v/>
      </c>
      <c r="S281" t="str">
        <f t="shared" si="36"/>
        <v/>
      </c>
      <c r="T281" s="403" t="str">
        <f t="shared" si="37"/>
        <v>MIC-7502-Z30x</v>
      </c>
      <c r="U281" s="403">
        <f t="shared" si="38"/>
        <v>1</v>
      </c>
      <c r="V281" s="403" t="str">
        <f t="shared" si="39"/>
        <v>CPP_7_3</v>
      </c>
    </row>
    <row r="282" spans="1:22">
      <c r="A282" t="str">
        <f t="shared" si="32"/>
        <v>MIC-7502-Z30x</v>
      </c>
      <c r="B282" s="403" t="s">
        <v>1356</v>
      </c>
      <c r="C282" s="403" t="s">
        <v>582</v>
      </c>
      <c r="D282" s="403" t="s">
        <v>1357</v>
      </c>
      <c r="E282" s="403" t="s">
        <v>1359</v>
      </c>
      <c r="F282" s="403" t="s">
        <v>1286</v>
      </c>
      <c r="G282" s="403" t="s">
        <v>1466</v>
      </c>
      <c r="H282" s="403" t="s">
        <v>1281</v>
      </c>
      <c r="I282" s="403">
        <v>1</v>
      </c>
      <c r="J282" s="403" t="s">
        <v>110</v>
      </c>
      <c r="K282" s="403">
        <v>1920</v>
      </c>
      <c r="L282" s="403">
        <v>1080</v>
      </c>
      <c r="M282" s="403" t="s">
        <v>1283</v>
      </c>
      <c r="N282" s="403">
        <v>720</v>
      </c>
      <c r="O282" s="403">
        <v>480</v>
      </c>
      <c r="P282" t="str">
        <f t="shared" si="33"/>
        <v>30fps 1080p - SD 4CIF resolution 4:3 format (cropped)</v>
      </c>
      <c r="Q282">
        <f t="shared" si="34"/>
        <v>2</v>
      </c>
      <c r="R282" t="str">
        <f t="shared" si="35"/>
        <v/>
      </c>
      <c r="S282" t="str">
        <f t="shared" si="36"/>
        <v/>
      </c>
      <c r="T282" s="403" t="str">
        <f t="shared" si="37"/>
        <v>MIC-7502-Z30x</v>
      </c>
      <c r="U282" s="403">
        <f t="shared" si="38"/>
        <v>1</v>
      </c>
      <c r="V282" s="403" t="str">
        <f t="shared" si="39"/>
        <v>CPP_7_3</v>
      </c>
    </row>
    <row r="283" spans="1:22">
      <c r="A283" t="str">
        <f t="shared" si="32"/>
        <v>MIC-7502-Z30x</v>
      </c>
      <c r="B283" s="403" t="s">
        <v>1356</v>
      </c>
      <c r="C283" s="403" t="s">
        <v>582</v>
      </c>
      <c r="D283" s="403" t="s">
        <v>1357</v>
      </c>
      <c r="E283" s="403" t="s">
        <v>1359</v>
      </c>
      <c r="F283" s="403" t="s">
        <v>1286</v>
      </c>
      <c r="G283" s="403" t="s">
        <v>1466</v>
      </c>
      <c r="H283" s="403" t="s">
        <v>1281</v>
      </c>
      <c r="I283" s="403">
        <v>1</v>
      </c>
      <c r="J283" s="403" t="s">
        <v>110</v>
      </c>
      <c r="K283" s="403">
        <v>1920</v>
      </c>
      <c r="L283" s="403">
        <v>1080</v>
      </c>
      <c r="M283" s="403" t="s">
        <v>1284</v>
      </c>
      <c r="N283" s="403">
        <v>640</v>
      </c>
      <c r="O283" s="403">
        <v>480</v>
      </c>
      <c r="P283" t="str">
        <f t="shared" si="33"/>
        <v>30fps 1080p - SD VGA (cropped)</v>
      </c>
      <c r="Q283">
        <f t="shared" si="34"/>
        <v>2</v>
      </c>
      <c r="R283" t="str">
        <f t="shared" si="35"/>
        <v/>
      </c>
      <c r="S283" t="str">
        <f t="shared" si="36"/>
        <v/>
      </c>
      <c r="T283" s="403" t="str">
        <f t="shared" si="37"/>
        <v>MIC-7502-Z30x</v>
      </c>
      <c r="U283" s="403">
        <f t="shared" si="38"/>
        <v>1</v>
      </c>
      <c r="V283" s="403" t="str">
        <f t="shared" si="39"/>
        <v>CPP_7_3</v>
      </c>
    </row>
    <row r="284" spans="1:22">
      <c r="A284" t="str">
        <f t="shared" si="32"/>
        <v>MIC-7502-Z30x</v>
      </c>
      <c r="B284" s="403" t="s">
        <v>1356</v>
      </c>
      <c r="C284" s="403" t="s">
        <v>582</v>
      </c>
      <c r="D284" s="403" t="s">
        <v>1357</v>
      </c>
      <c r="E284" s="403" t="s">
        <v>1359</v>
      </c>
      <c r="F284" s="403" t="s">
        <v>1286</v>
      </c>
      <c r="G284" s="403" t="s">
        <v>1466</v>
      </c>
      <c r="H284" s="403" t="s">
        <v>1281</v>
      </c>
      <c r="I284" s="403">
        <v>1</v>
      </c>
      <c r="J284" s="403" t="s">
        <v>109</v>
      </c>
      <c r="K284" s="403">
        <v>1280</v>
      </c>
      <c r="L284" s="403">
        <v>720</v>
      </c>
      <c r="M284" s="403" t="s">
        <v>109</v>
      </c>
      <c r="N284" s="403">
        <v>1280</v>
      </c>
      <c r="O284" s="403">
        <v>720</v>
      </c>
      <c r="P284" t="str">
        <f t="shared" si="33"/>
        <v>30fps 720p - 720p</v>
      </c>
      <c r="Q284">
        <f t="shared" si="34"/>
        <v>2</v>
      </c>
      <c r="R284" t="str">
        <f t="shared" si="35"/>
        <v/>
      </c>
      <c r="S284" t="str">
        <f t="shared" si="36"/>
        <v/>
      </c>
      <c r="T284" s="403" t="str">
        <f t="shared" si="37"/>
        <v>MIC-7502-Z30x</v>
      </c>
      <c r="U284" s="403">
        <f t="shared" si="38"/>
        <v>1</v>
      </c>
      <c r="V284" s="403" t="str">
        <f t="shared" si="39"/>
        <v>CPP_7_3</v>
      </c>
    </row>
    <row r="285" spans="1:22">
      <c r="A285" t="str">
        <f t="shared" si="32"/>
        <v>MIC-7502-Z30x</v>
      </c>
      <c r="B285" s="403" t="s">
        <v>1356</v>
      </c>
      <c r="C285" s="403" t="s">
        <v>582</v>
      </c>
      <c r="D285" s="403" t="s">
        <v>1357</v>
      </c>
      <c r="E285" s="403" t="s">
        <v>1359</v>
      </c>
      <c r="F285" s="403" t="s">
        <v>1286</v>
      </c>
      <c r="G285" s="403" t="s">
        <v>1466</v>
      </c>
      <c r="H285" s="403" t="s">
        <v>1281</v>
      </c>
      <c r="I285" s="403">
        <v>1</v>
      </c>
      <c r="J285" s="403" t="s">
        <v>109</v>
      </c>
      <c r="K285" s="403">
        <v>1280</v>
      </c>
      <c r="L285" s="403">
        <v>720</v>
      </c>
      <c r="M285" s="403" t="s">
        <v>111</v>
      </c>
      <c r="N285" s="403">
        <v>768</v>
      </c>
      <c r="O285" s="403">
        <v>432</v>
      </c>
      <c r="P285" t="str">
        <f t="shared" si="33"/>
        <v>30fps 720p - SD</v>
      </c>
      <c r="Q285">
        <f t="shared" si="34"/>
        <v>2</v>
      </c>
      <c r="R285" t="str">
        <f t="shared" si="35"/>
        <v/>
      </c>
      <c r="S285" t="str">
        <f t="shared" si="36"/>
        <v/>
      </c>
      <c r="T285" s="403" t="str">
        <f t="shared" si="37"/>
        <v>MIC-7502-Z30x</v>
      </c>
      <c r="U285" s="403">
        <f t="shared" si="38"/>
        <v>1</v>
      </c>
      <c r="V285" s="403" t="str">
        <f t="shared" si="39"/>
        <v>CPP_7_3</v>
      </c>
    </row>
    <row r="286" spans="1:22">
      <c r="A286" t="str">
        <f t="shared" si="32"/>
        <v>MIC-7502-Z30x</v>
      </c>
      <c r="B286" s="403" t="s">
        <v>1356</v>
      </c>
      <c r="C286" s="403" t="s">
        <v>582</v>
      </c>
      <c r="D286" s="403" t="s">
        <v>1357</v>
      </c>
      <c r="E286" s="403" t="s">
        <v>1359</v>
      </c>
      <c r="F286" s="403" t="s">
        <v>1286</v>
      </c>
      <c r="G286" s="403" t="s">
        <v>1466</v>
      </c>
      <c r="H286" s="403" t="s">
        <v>1281</v>
      </c>
      <c r="I286" s="403">
        <v>1</v>
      </c>
      <c r="J286" s="403" t="s">
        <v>109</v>
      </c>
      <c r="K286" s="403">
        <v>1280</v>
      </c>
      <c r="L286" s="403">
        <v>720</v>
      </c>
      <c r="M286" s="403" t="s">
        <v>1283</v>
      </c>
      <c r="N286" s="403">
        <v>720</v>
      </c>
      <c r="O286" s="403">
        <v>480</v>
      </c>
      <c r="P286" t="str">
        <f t="shared" si="33"/>
        <v>30fps 720p - SD 4CIF resolution 4:3 format (cropped)</v>
      </c>
      <c r="Q286">
        <f t="shared" si="34"/>
        <v>2</v>
      </c>
      <c r="R286" t="str">
        <f t="shared" si="35"/>
        <v/>
      </c>
      <c r="S286" t="str">
        <f t="shared" si="36"/>
        <v/>
      </c>
      <c r="T286" s="403" t="str">
        <f t="shared" si="37"/>
        <v>MIC-7502-Z30x</v>
      </c>
      <c r="U286" s="403">
        <f t="shared" si="38"/>
        <v>1</v>
      </c>
      <c r="V286" s="403" t="str">
        <f t="shared" si="39"/>
        <v>CPP_7_3</v>
      </c>
    </row>
    <row r="287" spans="1:22">
      <c r="A287" t="str">
        <f t="shared" si="32"/>
        <v>MIC-7502-Z30x</v>
      </c>
      <c r="B287" s="403" t="s">
        <v>1356</v>
      </c>
      <c r="C287" s="403" t="s">
        <v>582</v>
      </c>
      <c r="D287" s="403" t="s">
        <v>1357</v>
      </c>
      <c r="E287" s="403" t="s">
        <v>1359</v>
      </c>
      <c r="F287" s="403" t="s">
        <v>1286</v>
      </c>
      <c r="G287" s="403" t="s">
        <v>1466</v>
      </c>
      <c r="H287" s="403" t="s">
        <v>1281</v>
      </c>
      <c r="I287" s="403">
        <v>1</v>
      </c>
      <c r="J287" s="403" t="s">
        <v>109</v>
      </c>
      <c r="K287" s="403">
        <v>1280</v>
      </c>
      <c r="L287" s="403">
        <v>720</v>
      </c>
      <c r="M287" s="403" t="s">
        <v>1284</v>
      </c>
      <c r="N287" s="403">
        <v>640</v>
      </c>
      <c r="O287" s="403">
        <v>480</v>
      </c>
      <c r="P287" t="str">
        <f t="shared" si="33"/>
        <v>30fps 720p - SD VGA (cropped)</v>
      </c>
      <c r="Q287">
        <f t="shared" si="34"/>
        <v>2</v>
      </c>
      <c r="R287" t="str">
        <f t="shared" si="35"/>
        <v/>
      </c>
      <c r="S287" t="str">
        <f t="shared" si="36"/>
        <v/>
      </c>
      <c r="T287" s="403" t="str">
        <f t="shared" si="37"/>
        <v>MIC-7502-Z30x</v>
      </c>
      <c r="U287" s="403">
        <f t="shared" si="38"/>
        <v>1</v>
      </c>
      <c r="V287" s="403" t="str">
        <f t="shared" si="39"/>
        <v>CPP_7_3</v>
      </c>
    </row>
    <row r="288" spans="1:22">
      <c r="A288" t="str">
        <f t="shared" si="32"/>
        <v>MIC-7502-Z30x</v>
      </c>
      <c r="B288" s="403" t="s">
        <v>1356</v>
      </c>
      <c r="C288" s="403" t="s">
        <v>582</v>
      </c>
      <c r="D288" s="403" t="s">
        <v>1357</v>
      </c>
      <c r="E288" s="403" t="s">
        <v>1359</v>
      </c>
      <c r="F288" s="403" t="s">
        <v>1286</v>
      </c>
      <c r="G288" s="403" t="s">
        <v>1466</v>
      </c>
      <c r="H288" s="403" t="s">
        <v>1282</v>
      </c>
      <c r="I288" s="403">
        <v>1</v>
      </c>
      <c r="J288" s="403" t="s">
        <v>110</v>
      </c>
      <c r="K288" s="403">
        <v>1920</v>
      </c>
      <c r="L288" s="403">
        <v>1080</v>
      </c>
      <c r="M288" s="403" t="s">
        <v>111</v>
      </c>
      <c r="N288" s="403">
        <v>768</v>
      </c>
      <c r="O288" s="403">
        <v>432</v>
      </c>
      <c r="P288" t="str">
        <f t="shared" si="33"/>
        <v>30fps 1080p - SD</v>
      </c>
      <c r="Q288">
        <f t="shared" si="34"/>
        <v>2</v>
      </c>
      <c r="R288" t="str">
        <f t="shared" si="35"/>
        <v/>
      </c>
      <c r="S288" t="str">
        <f t="shared" si="36"/>
        <v/>
      </c>
      <c r="T288" s="403" t="str">
        <f t="shared" si="37"/>
        <v>MIC-7502-Z30x</v>
      </c>
      <c r="U288" s="403">
        <f t="shared" si="38"/>
        <v>1</v>
      </c>
      <c r="V288" s="403" t="str">
        <f t="shared" si="39"/>
        <v>CPP_7_3</v>
      </c>
    </row>
    <row r="289" spans="1:22">
      <c r="A289" t="str">
        <f t="shared" si="32"/>
        <v>MIC-7502-Z30x</v>
      </c>
      <c r="B289" s="403" t="s">
        <v>1356</v>
      </c>
      <c r="C289" s="403" t="s">
        <v>582</v>
      </c>
      <c r="D289" s="403" t="s">
        <v>1357</v>
      </c>
      <c r="E289" s="403" t="s">
        <v>1359</v>
      </c>
      <c r="F289" s="403" t="s">
        <v>1286</v>
      </c>
      <c r="G289" s="403" t="s">
        <v>1466</v>
      </c>
      <c r="H289" s="403" t="s">
        <v>1282</v>
      </c>
      <c r="I289" s="403">
        <v>1</v>
      </c>
      <c r="J289" s="403" t="s">
        <v>110</v>
      </c>
      <c r="K289" s="403">
        <v>1920</v>
      </c>
      <c r="L289" s="403">
        <v>1080</v>
      </c>
      <c r="M289" s="403" t="s">
        <v>110</v>
      </c>
      <c r="N289" s="403">
        <v>1920</v>
      </c>
      <c r="O289" s="403">
        <v>1080</v>
      </c>
      <c r="P289" t="str">
        <f t="shared" si="33"/>
        <v>30fps 1080p - 1080p</v>
      </c>
      <c r="Q289">
        <f t="shared" si="34"/>
        <v>2</v>
      </c>
      <c r="R289" t="str">
        <f t="shared" si="35"/>
        <v/>
      </c>
      <c r="S289" t="str">
        <f t="shared" si="36"/>
        <v/>
      </c>
      <c r="T289" s="403" t="str">
        <f t="shared" si="37"/>
        <v>MIC-7502-Z30x</v>
      </c>
      <c r="U289" s="403">
        <f t="shared" si="38"/>
        <v>1</v>
      </c>
      <c r="V289" s="403" t="str">
        <f t="shared" si="39"/>
        <v>CPP_7_3</v>
      </c>
    </row>
    <row r="290" spans="1:22">
      <c r="A290" t="str">
        <f t="shared" si="32"/>
        <v>MIC-7502-Z30x</v>
      </c>
      <c r="B290" s="403" t="s">
        <v>1356</v>
      </c>
      <c r="C290" s="403" t="s">
        <v>582</v>
      </c>
      <c r="D290" s="403" t="s">
        <v>1357</v>
      </c>
      <c r="E290" s="403" t="s">
        <v>1359</v>
      </c>
      <c r="F290" s="403" t="s">
        <v>1286</v>
      </c>
      <c r="G290" s="403" t="s">
        <v>1466</v>
      </c>
      <c r="H290" s="403" t="s">
        <v>1282</v>
      </c>
      <c r="I290" s="403">
        <v>1</v>
      </c>
      <c r="J290" s="403" t="s">
        <v>110</v>
      </c>
      <c r="K290" s="403">
        <v>1920</v>
      </c>
      <c r="L290" s="403">
        <v>1080</v>
      </c>
      <c r="M290" s="403" t="s">
        <v>109</v>
      </c>
      <c r="N290" s="403">
        <v>1280</v>
      </c>
      <c r="O290" s="403">
        <v>720</v>
      </c>
      <c r="P290" t="str">
        <f t="shared" si="33"/>
        <v>30fps 1080p - 720p</v>
      </c>
      <c r="Q290">
        <f t="shared" si="34"/>
        <v>2</v>
      </c>
      <c r="R290" t="str">
        <f t="shared" si="35"/>
        <v/>
      </c>
      <c r="S290" t="str">
        <f t="shared" si="36"/>
        <v/>
      </c>
      <c r="T290" s="403" t="str">
        <f t="shared" si="37"/>
        <v>MIC-7502-Z30x</v>
      </c>
      <c r="U290" s="403">
        <f t="shared" si="38"/>
        <v>1</v>
      </c>
      <c r="V290" s="403" t="str">
        <f t="shared" si="39"/>
        <v>CPP_7_3</v>
      </c>
    </row>
    <row r="291" spans="1:22">
      <c r="A291" t="str">
        <f t="shared" si="32"/>
        <v>MIC-7502-Z30x</v>
      </c>
      <c r="B291" s="403" t="s">
        <v>1356</v>
      </c>
      <c r="C291" s="403" t="s">
        <v>582</v>
      </c>
      <c r="D291" s="403" t="s">
        <v>1357</v>
      </c>
      <c r="E291" s="403" t="s">
        <v>1359</v>
      </c>
      <c r="F291" s="403" t="s">
        <v>1286</v>
      </c>
      <c r="G291" s="403" t="s">
        <v>1466</v>
      </c>
      <c r="H291" s="403" t="s">
        <v>1282</v>
      </c>
      <c r="I291" s="403">
        <v>1</v>
      </c>
      <c r="J291" s="403" t="s">
        <v>110</v>
      </c>
      <c r="K291" s="403">
        <v>1920</v>
      </c>
      <c r="L291" s="403">
        <v>1080</v>
      </c>
      <c r="M291" s="403" t="s">
        <v>1285</v>
      </c>
      <c r="N291" s="403">
        <v>1280</v>
      </c>
      <c r="O291" s="403">
        <v>1024</v>
      </c>
      <c r="P291" t="str">
        <f t="shared" si="33"/>
        <v>30fps 1080p - 1280x1024 5:4 (cropped)</v>
      </c>
      <c r="Q291">
        <f t="shared" si="34"/>
        <v>2</v>
      </c>
      <c r="R291" t="str">
        <f t="shared" si="35"/>
        <v/>
      </c>
      <c r="S291" t="str">
        <f t="shared" si="36"/>
        <v/>
      </c>
      <c r="T291" s="403" t="str">
        <f t="shared" si="37"/>
        <v>MIC-7502-Z30x</v>
      </c>
      <c r="U291" s="403">
        <f t="shared" si="38"/>
        <v>1</v>
      </c>
      <c r="V291" s="403" t="str">
        <f t="shared" si="39"/>
        <v>CPP_7_3</v>
      </c>
    </row>
    <row r="292" spans="1:22">
      <c r="A292" t="str">
        <f t="shared" si="32"/>
        <v>MIC-7502-Z30x</v>
      </c>
      <c r="B292" s="403" t="s">
        <v>1356</v>
      </c>
      <c r="C292" s="403" t="s">
        <v>582</v>
      </c>
      <c r="D292" s="403" t="s">
        <v>1357</v>
      </c>
      <c r="E292" s="403" t="s">
        <v>1359</v>
      </c>
      <c r="F292" s="403" t="s">
        <v>1286</v>
      </c>
      <c r="G292" s="403" t="s">
        <v>1466</v>
      </c>
      <c r="H292" s="403" t="s">
        <v>1282</v>
      </c>
      <c r="I292" s="403">
        <v>1</v>
      </c>
      <c r="J292" s="403" t="s">
        <v>110</v>
      </c>
      <c r="K292" s="403">
        <v>1920</v>
      </c>
      <c r="L292" s="403">
        <v>1080</v>
      </c>
      <c r="M292" s="403" t="s">
        <v>1283</v>
      </c>
      <c r="N292" s="403">
        <v>720</v>
      </c>
      <c r="O292" s="403">
        <v>480</v>
      </c>
      <c r="P292" t="str">
        <f t="shared" si="33"/>
        <v>30fps 1080p - SD 4CIF resolution 4:3 format (cropped)</v>
      </c>
      <c r="Q292">
        <f t="shared" si="34"/>
        <v>2</v>
      </c>
      <c r="R292" t="str">
        <f t="shared" si="35"/>
        <v/>
      </c>
      <c r="S292" t="str">
        <f t="shared" si="36"/>
        <v/>
      </c>
      <c r="T292" s="403" t="str">
        <f t="shared" si="37"/>
        <v>MIC-7502-Z30x</v>
      </c>
      <c r="U292" s="403">
        <f t="shared" si="38"/>
        <v>1</v>
      </c>
      <c r="V292" s="403" t="str">
        <f t="shared" si="39"/>
        <v>CPP_7_3</v>
      </c>
    </row>
    <row r="293" spans="1:22">
      <c r="A293" t="str">
        <f t="shared" si="32"/>
        <v>MIC-7502-Z30x</v>
      </c>
      <c r="B293" s="403" t="s">
        <v>1356</v>
      </c>
      <c r="C293" s="403" t="s">
        <v>582</v>
      </c>
      <c r="D293" s="403" t="s">
        <v>1357</v>
      </c>
      <c r="E293" s="403" t="s">
        <v>1359</v>
      </c>
      <c r="F293" s="403" t="s">
        <v>1286</v>
      </c>
      <c r="G293" s="403" t="s">
        <v>1466</v>
      </c>
      <c r="H293" s="403" t="s">
        <v>1282</v>
      </c>
      <c r="I293" s="403">
        <v>1</v>
      </c>
      <c r="J293" s="403" t="s">
        <v>110</v>
      </c>
      <c r="K293" s="403">
        <v>1920</v>
      </c>
      <c r="L293" s="403">
        <v>1080</v>
      </c>
      <c r="M293" s="403" t="s">
        <v>1284</v>
      </c>
      <c r="N293" s="403">
        <v>640</v>
      </c>
      <c r="O293" s="403">
        <v>480</v>
      </c>
      <c r="P293" t="str">
        <f t="shared" si="33"/>
        <v>30fps 1080p - SD VGA (cropped)</v>
      </c>
      <c r="Q293">
        <f t="shared" si="34"/>
        <v>2</v>
      </c>
      <c r="R293" t="str">
        <f t="shared" si="35"/>
        <v/>
      </c>
      <c r="S293" t="str">
        <f t="shared" si="36"/>
        <v/>
      </c>
      <c r="T293" s="403" t="str">
        <f t="shared" si="37"/>
        <v>MIC-7502-Z30x</v>
      </c>
      <c r="U293" s="403">
        <f t="shared" si="38"/>
        <v>1</v>
      </c>
      <c r="V293" s="403" t="str">
        <f t="shared" si="39"/>
        <v>CPP_7_3</v>
      </c>
    </row>
    <row r="294" spans="1:22">
      <c r="A294" t="str">
        <f t="shared" si="32"/>
        <v>MIC-7502-Z30x</v>
      </c>
      <c r="B294" s="403" t="s">
        <v>1356</v>
      </c>
      <c r="C294" s="403" t="s">
        <v>582</v>
      </c>
      <c r="D294" s="403" t="s">
        <v>1357</v>
      </c>
      <c r="E294" s="403" t="s">
        <v>1359</v>
      </c>
      <c r="F294" s="403" t="s">
        <v>1286</v>
      </c>
      <c r="G294" s="403" t="s">
        <v>1466</v>
      </c>
      <c r="H294" s="403" t="s">
        <v>1282</v>
      </c>
      <c r="I294" s="403">
        <v>1</v>
      </c>
      <c r="J294" s="403" t="s">
        <v>109</v>
      </c>
      <c r="K294" s="403">
        <v>1280</v>
      </c>
      <c r="L294" s="403">
        <v>720</v>
      </c>
      <c r="M294" s="403" t="s">
        <v>109</v>
      </c>
      <c r="N294" s="403">
        <v>1280</v>
      </c>
      <c r="O294" s="403">
        <v>720</v>
      </c>
      <c r="P294" t="str">
        <f t="shared" si="33"/>
        <v>30fps 720p - 720p</v>
      </c>
      <c r="Q294">
        <f t="shared" si="34"/>
        <v>2</v>
      </c>
      <c r="R294" t="str">
        <f t="shared" si="35"/>
        <v/>
      </c>
      <c r="S294" t="str">
        <f t="shared" si="36"/>
        <v/>
      </c>
      <c r="T294" s="403" t="str">
        <f t="shared" si="37"/>
        <v>MIC-7502-Z30x</v>
      </c>
      <c r="U294" s="403">
        <f t="shared" si="38"/>
        <v>1</v>
      </c>
      <c r="V294" s="403" t="str">
        <f t="shared" si="39"/>
        <v>CPP_7_3</v>
      </c>
    </row>
    <row r="295" spans="1:22">
      <c r="A295" t="str">
        <f t="shared" si="32"/>
        <v>MIC-7502-Z30x</v>
      </c>
      <c r="B295" s="403" t="s">
        <v>1356</v>
      </c>
      <c r="C295" s="403" t="s">
        <v>582</v>
      </c>
      <c r="D295" s="403" t="s">
        <v>1357</v>
      </c>
      <c r="E295" s="403" t="s">
        <v>1359</v>
      </c>
      <c r="F295" s="403" t="s">
        <v>1286</v>
      </c>
      <c r="G295" s="403" t="s">
        <v>1466</v>
      </c>
      <c r="H295" s="403" t="s">
        <v>1282</v>
      </c>
      <c r="I295" s="403">
        <v>1</v>
      </c>
      <c r="J295" s="403" t="s">
        <v>109</v>
      </c>
      <c r="K295" s="403">
        <v>1280</v>
      </c>
      <c r="L295" s="403">
        <v>720</v>
      </c>
      <c r="M295" s="403" t="s">
        <v>111</v>
      </c>
      <c r="N295" s="403">
        <v>768</v>
      </c>
      <c r="O295" s="403">
        <v>432</v>
      </c>
      <c r="P295" t="str">
        <f t="shared" si="33"/>
        <v>30fps 720p - SD</v>
      </c>
      <c r="Q295">
        <f t="shared" si="34"/>
        <v>2</v>
      </c>
      <c r="R295" t="str">
        <f t="shared" si="35"/>
        <v/>
      </c>
      <c r="S295" t="str">
        <f t="shared" si="36"/>
        <v/>
      </c>
      <c r="T295" s="403" t="str">
        <f t="shared" si="37"/>
        <v>MIC-7502-Z30x</v>
      </c>
      <c r="U295" s="403">
        <f t="shared" si="38"/>
        <v>1</v>
      </c>
      <c r="V295" s="403" t="str">
        <f t="shared" si="39"/>
        <v>CPP_7_3</v>
      </c>
    </row>
    <row r="296" spans="1:22">
      <c r="A296" t="str">
        <f t="shared" si="32"/>
        <v>MIC-7502-Z30x</v>
      </c>
      <c r="B296" s="403" t="s">
        <v>1356</v>
      </c>
      <c r="C296" s="403" t="s">
        <v>582</v>
      </c>
      <c r="D296" s="403" t="s">
        <v>1357</v>
      </c>
      <c r="E296" s="403" t="s">
        <v>1359</v>
      </c>
      <c r="F296" s="403" t="s">
        <v>1286</v>
      </c>
      <c r="G296" s="403" t="s">
        <v>1466</v>
      </c>
      <c r="H296" s="403" t="s">
        <v>1282</v>
      </c>
      <c r="I296" s="403">
        <v>1</v>
      </c>
      <c r="J296" s="403" t="s">
        <v>109</v>
      </c>
      <c r="K296" s="403">
        <v>1280</v>
      </c>
      <c r="L296" s="403">
        <v>720</v>
      </c>
      <c r="M296" s="403" t="s">
        <v>1283</v>
      </c>
      <c r="N296" s="403">
        <v>720</v>
      </c>
      <c r="O296" s="403">
        <v>480</v>
      </c>
      <c r="P296" t="str">
        <f t="shared" si="33"/>
        <v>30fps 720p - SD 4CIF resolution 4:3 format (cropped)</v>
      </c>
      <c r="Q296">
        <f t="shared" si="34"/>
        <v>2</v>
      </c>
      <c r="R296" t="str">
        <f t="shared" si="35"/>
        <v/>
      </c>
      <c r="S296" t="str">
        <f t="shared" si="36"/>
        <v/>
      </c>
      <c r="T296" s="403" t="str">
        <f t="shared" si="37"/>
        <v>MIC-7502-Z30x</v>
      </c>
      <c r="U296" s="403">
        <f t="shared" si="38"/>
        <v>1</v>
      </c>
      <c r="V296" s="403" t="str">
        <f t="shared" si="39"/>
        <v>CPP_7_3</v>
      </c>
    </row>
    <row r="297" spans="1:22">
      <c r="A297" t="str">
        <f t="shared" si="32"/>
        <v>MIC-7502-Z30x</v>
      </c>
      <c r="B297" s="403" t="s">
        <v>1356</v>
      </c>
      <c r="C297" s="403" t="s">
        <v>582</v>
      </c>
      <c r="D297" s="403" t="s">
        <v>1357</v>
      </c>
      <c r="E297" s="403" t="s">
        <v>1359</v>
      </c>
      <c r="F297" s="403" t="s">
        <v>1286</v>
      </c>
      <c r="G297" s="403" t="s">
        <v>1466</v>
      </c>
      <c r="H297" s="403" t="s">
        <v>1282</v>
      </c>
      <c r="I297" s="403">
        <v>1</v>
      </c>
      <c r="J297" s="403" t="s">
        <v>109</v>
      </c>
      <c r="K297" s="403">
        <v>1280</v>
      </c>
      <c r="L297" s="403">
        <v>720</v>
      </c>
      <c r="M297" s="403" t="s">
        <v>1284</v>
      </c>
      <c r="N297" s="403">
        <v>640</v>
      </c>
      <c r="O297" s="403">
        <v>480</v>
      </c>
      <c r="P297" t="str">
        <f t="shared" si="33"/>
        <v>30fps 720p - SD VGA (cropped)</v>
      </c>
      <c r="Q297">
        <f t="shared" si="34"/>
        <v>2</v>
      </c>
      <c r="R297" t="str">
        <f t="shared" si="35"/>
        <v/>
      </c>
      <c r="S297" t="str">
        <f t="shared" si="36"/>
        <v/>
      </c>
      <c r="T297" s="403" t="str">
        <f t="shared" si="37"/>
        <v>MIC-7502-Z30x</v>
      </c>
      <c r="U297" s="403">
        <f t="shared" si="38"/>
        <v>1</v>
      </c>
      <c r="V297" s="403" t="str">
        <f t="shared" si="39"/>
        <v>CPP_7_3</v>
      </c>
    </row>
    <row r="298" spans="1:22">
      <c r="A298" t="str">
        <f t="shared" si="32"/>
        <v>MIC-7502-Z30x</v>
      </c>
      <c r="B298" s="403" t="s">
        <v>1356</v>
      </c>
      <c r="C298" s="403" t="s">
        <v>582</v>
      </c>
      <c r="D298" s="403" t="s">
        <v>1357</v>
      </c>
      <c r="E298" s="403" t="s">
        <v>1359</v>
      </c>
      <c r="F298" s="403" t="s">
        <v>1290</v>
      </c>
      <c r="G298" s="403" t="s">
        <v>1466</v>
      </c>
      <c r="H298" s="403" t="s">
        <v>1276</v>
      </c>
      <c r="I298" s="403">
        <v>1</v>
      </c>
      <c r="J298" s="403" t="s">
        <v>110</v>
      </c>
      <c r="K298" s="403">
        <v>1920</v>
      </c>
      <c r="L298" s="403">
        <v>1080</v>
      </c>
      <c r="M298" s="403" t="s">
        <v>111</v>
      </c>
      <c r="N298" s="403">
        <v>768</v>
      </c>
      <c r="O298" s="403">
        <v>432</v>
      </c>
      <c r="P298" t="str">
        <f t="shared" si="33"/>
        <v>50fps 1080p - SD</v>
      </c>
      <c r="Q298">
        <f t="shared" si="34"/>
        <v>2</v>
      </c>
      <c r="R298" t="str">
        <f t="shared" si="35"/>
        <v/>
      </c>
      <c r="S298" t="str">
        <f t="shared" si="36"/>
        <v/>
      </c>
      <c r="T298" s="403" t="str">
        <f t="shared" si="37"/>
        <v>MIC-7502-Z30x</v>
      </c>
      <c r="U298" s="403">
        <f t="shared" si="38"/>
        <v>1</v>
      </c>
      <c r="V298" s="403" t="str">
        <f t="shared" si="39"/>
        <v>CPP_7_3</v>
      </c>
    </row>
    <row r="299" spans="1:22">
      <c r="A299" t="str">
        <f t="shared" si="32"/>
        <v>MIC-7502-Z30x</v>
      </c>
      <c r="B299" s="403" t="s">
        <v>1356</v>
      </c>
      <c r="C299" s="403" t="s">
        <v>582</v>
      </c>
      <c r="D299" s="403" t="s">
        <v>1357</v>
      </c>
      <c r="E299" s="403" t="s">
        <v>1359</v>
      </c>
      <c r="F299" s="403" t="s">
        <v>1290</v>
      </c>
      <c r="G299" s="403" t="s">
        <v>1466</v>
      </c>
      <c r="H299" s="403" t="s">
        <v>1276</v>
      </c>
      <c r="I299" s="403">
        <v>1</v>
      </c>
      <c r="J299" s="403" t="s">
        <v>110</v>
      </c>
      <c r="K299" s="403">
        <v>1920</v>
      </c>
      <c r="L299" s="403">
        <v>1080</v>
      </c>
      <c r="M299" s="403" t="s">
        <v>110</v>
      </c>
      <c r="N299" s="403">
        <v>1920</v>
      </c>
      <c r="O299" s="403">
        <v>1080</v>
      </c>
      <c r="P299" t="str">
        <f t="shared" si="33"/>
        <v>50fps 1080p - 1080p</v>
      </c>
      <c r="Q299">
        <f t="shared" si="34"/>
        <v>2</v>
      </c>
      <c r="R299" t="str">
        <f t="shared" si="35"/>
        <v/>
      </c>
      <c r="S299" t="str">
        <f t="shared" si="36"/>
        <v/>
      </c>
      <c r="T299" s="403" t="str">
        <f t="shared" si="37"/>
        <v>MIC-7502-Z30x</v>
      </c>
      <c r="U299" s="403">
        <f t="shared" si="38"/>
        <v>1</v>
      </c>
      <c r="V299" s="403" t="str">
        <f t="shared" si="39"/>
        <v>CPP_7_3</v>
      </c>
    </row>
    <row r="300" spans="1:22">
      <c r="A300" t="str">
        <f t="shared" si="32"/>
        <v>MIC-7502-Z30x</v>
      </c>
      <c r="B300" s="403" t="s">
        <v>1356</v>
      </c>
      <c r="C300" s="403" t="s">
        <v>582</v>
      </c>
      <c r="D300" s="403" t="s">
        <v>1357</v>
      </c>
      <c r="E300" s="403" t="s">
        <v>1359</v>
      </c>
      <c r="F300" s="403" t="s">
        <v>1290</v>
      </c>
      <c r="G300" s="403" t="s">
        <v>1466</v>
      </c>
      <c r="H300" s="403" t="s">
        <v>1276</v>
      </c>
      <c r="I300" s="403">
        <v>1</v>
      </c>
      <c r="J300" s="403" t="s">
        <v>110</v>
      </c>
      <c r="K300" s="403">
        <v>1920</v>
      </c>
      <c r="L300" s="403">
        <v>1080</v>
      </c>
      <c r="M300" s="403" t="s">
        <v>1289</v>
      </c>
      <c r="N300" s="403">
        <v>1280</v>
      </c>
      <c r="O300" s="403">
        <v>720</v>
      </c>
      <c r="P300" t="str">
        <f t="shared" si="33"/>
        <v>50fps 1080p - 720p full frame rate</v>
      </c>
      <c r="Q300">
        <f t="shared" si="34"/>
        <v>2</v>
      </c>
      <c r="R300" t="str">
        <f t="shared" si="35"/>
        <v/>
      </c>
      <c r="S300" t="str">
        <f t="shared" si="36"/>
        <v/>
      </c>
      <c r="T300" s="403" t="str">
        <f t="shared" si="37"/>
        <v>MIC-7502-Z30x</v>
      </c>
      <c r="U300" s="403">
        <f t="shared" si="38"/>
        <v>1</v>
      </c>
      <c r="V300" s="403" t="str">
        <f t="shared" si="39"/>
        <v>CPP_7_3</v>
      </c>
    </row>
    <row r="301" spans="1:22">
      <c r="A301" t="str">
        <f t="shared" si="32"/>
        <v>MIC-7502-Z30x</v>
      </c>
      <c r="B301" s="403" t="s">
        <v>1356</v>
      </c>
      <c r="C301" s="403" t="s">
        <v>582</v>
      </c>
      <c r="D301" s="403" t="s">
        <v>1357</v>
      </c>
      <c r="E301" s="403" t="s">
        <v>1359</v>
      </c>
      <c r="F301" s="403" t="s">
        <v>1290</v>
      </c>
      <c r="G301" s="403" t="s">
        <v>1466</v>
      </c>
      <c r="H301" s="403" t="s">
        <v>1276</v>
      </c>
      <c r="I301" s="403">
        <v>1</v>
      </c>
      <c r="J301" s="403" t="s">
        <v>110</v>
      </c>
      <c r="K301" s="403">
        <v>1920</v>
      </c>
      <c r="L301" s="403">
        <v>1080</v>
      </c>
      <c r="M301" s="403" t="s">
        <v>1285</v>
      </c>
      <c r="N301" s="403">
        <v>1280</v>
      </c>
      <c r="O301" s="403">
        <v>1024</v>
      </c>
      <c r="P301" t="str">
        <f t="shared" si="33"/>
        <v>50fps 1080p - 1280x1024 5:4 (cropped)</v>
      </c>
      <c r="Q301">
        <f t="shared" si="34"/>
        <v>2</v>
      </c>
      <c r="R301" t="str">
        <f t="shared" si="35"/>
        <v/>
      </c>
      <c r="S301" t="str">
        <f t="shared" si="36"/>
        <v/>
      </c>
      <c r="T301" s="403" t="str">
        <f t="shared" si="37"/>
        <v>MIC-7502-Z30x</v>
      </c>
      <c r="U301" s="403">
        <f t="shared" si="38"/>
        <v>1</v>
      </c>
      <c r="V301" s="403" t="str">
        <f t="shared" si="39"/>
        <v>CPP_7_3</v>
      </c>
    </row>
    <row r="302" spans="1:22">
      <c r="A302" t="str">
        <f t="shared" si="32"/>
        <v>MIC-7502-Z30x</v>
      </c>
      <c r="B302" s="403" t="s">
        <v>1356</v>
      </c>
      <c r="C302" s="403" t="s">
        <v>582</v>
      </c>
      <c r="D302" s="403" t="s">
        <v>1357</v>
      </c>
      <c r="E302" s="403" t="s">
        <v>1359</v>
      </c>
      <c r="F302" s="403" t="s">
        <v>1290</v>
      </c>
      <c r="G302" s="403" t="s">
        <v>1466</v>
      </c>
      <c r="H302" s="403" t="s">
        <v>1276</v>
      </c>
      <c r="I302" s="403">
        <v>1</v>
      </c>
      <c r="J302" s="403" t="s">
        <v>110</v>
      </c>
      <c r="K302" s="403">
        <v>1920</v>
      </c>
      <c r="L302" s="403">
        <v>1080</v>
      </c>
      <c r="M302" s="403" t="s">
        <v>1283</v>
      </c>
      <c r="N302" s="403">
        <v>720</v>
      </c>
      <c r="O302" s="403">
        <v>576</v>
      </c>
      <c r="P302" t="str">
        <f t="shared" si="33"/>
        <v>50fps 1080p - SD 4CIF resolution 4:3 format (cropped)</v>
      </c>
      <c r="Q302">
        <f t="shared" si="34"/>
        <v>2</v>
      </c>
      <c r="R302" t="str">
        <f t="shared" si="35"/>
        <v/>
      </c>
      <c r="S302" t="str">
        <f t="shared" si="36"/>
        <v/>
      </c>
      <c r="T302" s="403" t="str">
        <f t="shared" si="37"/>
        <v>MIC-7502-Z30x</v>
      </c>
      <c r="U302" s="403">
        <f t="shared" si="38"/>
        <v>1</v>
      </c>
      <c r="V302" s="403" t="str">
        <f t="shared" si="39"/>
        <v>CPP_7_3</v>
      </c>
    </row>
    <row r="303" spans="1:22">
      <c r="A303" t="str">
        <f t="shared" si="32"/>
        <v>MIC-7502-Z30x</v>
      </c>
      <c r="B303" s="403" t="s">
        <v>1356</v>
      </c>
      <c r="C303" s="403" t="s">
        <v>582</v>
      </c>
      <c r="D303" s="403" t="s">
        <v>1357</v>
      </c>
      <c r="E303" s="403" t="s">
        <v>1359</v>
      </c>
      <c r="F303" s="403" t="s">
        <v>1290</v>
      </c>
      <c r="G303" s="403" t="s">
        <v>1466</v>
      </c>
      <c r="H303" s="403" t="s">
        <v>1276</v>
      </c>
      <c r="I303" s="403">
        <v>1</v>
      </c>
      <c r="J303" s="403" t="s">
        <v>110</v>
      </c>
      <c r="K303" s="403">
        <v>1920</v>
      </c>
      <c r="L303" s="403">
        <v>1080</v>
      </c>
      <c r="M303" s="403" t="s">
        <v>1284</v>
      </c>
      <c r="N303" s="403">
        <v>640</v>
      </c>
      <c r="O303" s="403">
        <v>480</v>
      </c>
      <c r="P303" t="str">
        <f t="shared" si="33"/>
        <v>50fps 1080p - SD VGA (cropped)</v>
      </c>
      <c r="Q303">
        <f t="shared" si="34"/>
        <v>2</v>
      </c>
      <c r="R303" t="str">
        <f t="shared" si="35"/>
        <v/>
      </c>
      <c r="S303" t="str">
        <f t="shared" si="36"/>
        <v/>
      </c>
      <c r="T303" s="403" t="str">
        <f t="shared" si="37"/>
        <v>MIC-7502-Z30x</v>
      </c>
      <c r="U303" s="403">
        <f t="shared" si="38"/>
        <v>1</v>
      </c>
      <c r="V303" s="403" t="str">
        <f t="shared" si="39"/>
        <v>CPP_7_3</v>
      </c>
    </row>
    <row r="304" spans="1:22">
      <c r="A304" t="str">
        <f t="shared" si="32"/>
        <v>MIC-7502-Z30x</v>
      </c>
      <c r="B304" s="403" t="s">
        <v>1356</v>
      </c>
      <c r="C304" s="403" t="s">
        <v>582</v>
      </c>
      <c r="D304" s="403" t="s">
        <v>1357</v>
      </c>
      <c r="E304" s="403" t="s">
        <v>1359</v>
      </c>
      <c r="F304" s="403" t="s">
        <v>1290</v>
      </c>
      <c r="G304" s="403" t="s">
        <v>1466</v>
      </c>
      <c r="H304" s="403" t="s">
        <v>1276</v>
      </c>
      <c r="I304" s="403">
        <v>1</v>
      </c>
      <c r="J304" s="403" t="s">
        <v>1289</v>
      </c>
      <c r="K304" s="403">
        <v>1280</v>
      </c>
      <c r="L304" s="403">
        <v>720</v>
      </c>
      <c r="M304" s="403" t="s">
        <v>1289</v>
      </c>
      <c r="N304" s="403">
        <v>1280</v>
      </c>
      <c r="O304" s="403">
        <v>720</v>
      </c>
      <c r="P304" t="str">
        <f t="shared" si="33"/>
        <v>50fps 720p full frame rate - 720p full frame rate</v>
      </c>
      <c r="Q304">
        <f t="shared" si="34"/>
        <v>2</v>
      </c>
      <c r="R304" t="str">
        <f t="shared" si="35"/>
        <v/>
      </c>
      <c r="S304" t="str">
        <f t="shared" si="36"/>
        <v/>
      </c>
      <c r="T304" s="403" t="str">
        <f t="shared" si="37"/>
        <v>MIC-7502-Z30x</v>
      </c>
      <c r="U304" s="403">
        <f t="shared" si="38"/>
        <v>1</v>
      </c>
      <c r="V304" s="403" t="str">
        <f t="shared" si="39"/>
        <v>CPP_7_3</v>
      </c>
    </row>
    <row r="305" spans="1:22">
      <c r="A305" t="str">
        <f t="shared" si="32"/>
        <v>MIC-7502-Z30x</v>
      </c>
      <c r="B305" s="403" t="s">
        <v>1356</v>
      </c>
      <c r="C305" s="403" t="s">
        <v>582</v>
      </c>
      <c r="D305" s="403" t="s">
        <v>1357</v>
      </c>
      <c r="E305" s="403" t="s">
        <v>1359</v>
      </c>
      <c r="F305" s="403" t="s">
        <v>1290</v>
      </c>
      <c r="G305" s="403" t="s">
        <v>1466</v>
      </c>
      <c r="H305" s="403" t="s">
        <v>1276</v>
      </c>
      <c r="I305" s="403">
        <v>1</v>
      </c>
      <c r="J305" s="403" t="s">
        <v>1289</v>
      </c>
      <c r="K305" s="403">
        <v>1280</v>
      </c>
      <c r="L305" s="403">
        <v>720</v>
      </c>
      <c r="M305" s="403" t="s">
        <v>111</v>
      </c>
      <c r="N305" s="403">
        <v>768</v>
      </c>
      <c r="O305" s="403">
        <v>432</v>
      </c>
      <c r="P305" t="str">
        <f t="shared" si="33"/>
        <v>50fps 720p full frame rate - SD</v>
      </c>
      <c r="Q305">
        <f t="shared" si="34"/>
        <v>2</v>
      </c>
      <c r="R305" t="str">
        <f t="shared" si="35"/>
        <v/>
      </c>
      <c r="S305" t="str">
        <f t="shared" si="36"/>
        <v/>
      </c>
      <c r="T305" s="403" t="str">
        <f t="shared" si="37"/>
        <v>MIC-7502-Z30x</v>
      </c>
      <c r="U305" s="403">
        <f t="shared" si="38"/>
        <v>1</v>
      </c>
      <c r="V305" s="403" t="str">
        <f t="shared" si="39"/>
        <v>CPP_7_3</v>
      </c>
    </row>
    <row r="306" spans="1:22">
      <c r="A306" t="str">
        <f t="shared" si="32"/>
        <v>MIC-7502-Z30x</v>
      </c>
      <c r="B306" s="403" t="s">
        <v>1356</v>
      </c>
      <c r="C306" s="403" t="s">
        <v>582</v>
      </c>
      <c r="D306" s="403" t="s">
        <v>1357</v>
      </c>
      <c r="E306" s="403" t="s">
        <v>1359</v>
      </c>
      <c r="F306" s="403" t="s">
        <v>1290</v>
      </c>
      <c r="G306" s="403" t="s">
        <v>1466</v>
      </c>
      <c r="H306" s="403" t="s">
        <v>1276</v>
      </c>
      <c r="I306" s="403">
        <v>1</v>
      </c>
      <c r="J306" s="403" t="s">
        <v>1289</v>
      </c>
      <c r="K306" s="403">
        <v>1280</v>
      </c>
      <c r="L306" s="403">
        <v>720</v>
      </c>
      <c r="M306" s="403" t="s">
        <v>1283</v>
      </c>
      <c r="N306" s="403">
        <v>720</v>
      </c>
      <c r="O306" s="403">
        <v>576</v>
      </c>
      <c r="P306" t="str">
        <f t="shared" si="33"/>
        <v>50fps 720p full frame rate - SD 4CIF resolution 4:3 format (cropped)</v>
      </c>
      <c r="Q306">
        <f t="shared" si="34"/>
        <v>2</v>
      </c>
      <c r="R306" t="str">
        <f t="shared" si="35"/>
        <v/>
      </c>
      <c r="S306" t="str">
        <f t="shared" si="36"/>
        <v/>
      </c>
      <c r="T306" s="403" t="str">
        <f t="shared" si="37"/>
        <v>MIC-7502-Z30x</v>
      </c>
      <c r="U306" s="403">
        <f t="shared" si="38"/>
        <v>1</v>
      </c>
      <c r="V306" s="403" t="str">
        <f t="shared" si="39"/>
        <v>CPP_7_3</v>
      </c>
    </row>
    <row r="307" spans="1:22">
      <c r="A307" t="str">
        <f t="shared" si="32"/>
        <v>MIC-7502-Z30x</v>
      </c>
      <c r="B307" s="403" t="s">
        <v>1356</v>
      </c>
      <c r="C307" s="403" t="s">
        <v>582</v>
      </c>
      <c r="D307" s="403" t="s">
        <v>1357</v>
      </c>
      <c r="E307" s="403" t="s">
        <v>1359</v>
      </c>
      <c r="F307" s="403" t="s">
        <v>1290</v>
      </c>
      <c r="G307" s="403" t="s">
        <v>1466</v>
      </c>
      <c r="H307" s="403" t="s">
        <v>1276</v>
      </c>
      <c r="I307" s="403">
        <v>1</v>
      </c>
      <c r="J307" s="403" t="s">
        <v>1289</v>
      </c>
      <c r="K307" s="403">
        <v>1280</v>
      </c>
      <c r="L307" s="403">
        <v>720</v>
      </c>
      <c r="M307" s="403" t="s">
        <v>1284</v>
      </c>
      <c r="N307" s="403">
        <v>640</v>
      </c>
      <c r="O307" s="403">
        <v>480</v>
      </c>
      <c r="P307" t="str">
        <f t="shared" si="33"/>
        <v>50fps 720p full frame rate - SD VGA (cropped)</v>
      </c>
      <c r="Q307">
        <f t="shared" si="34"/>
        <v>2</v>
      </c>
      <c r="R307" t="str">
        <f t="shared" si="35"/>
        <v/>
      </c>
      <c r="S307" t="str">
        <f t="shared" si="36"/>
        <v/>
      </c>
      <c r="T307" s="403" t="str">
        <f t="shared" si="37"/>
        <v>MIC-7502-Z30x</v>
      </c>
      <c r="U307" s="403">
        <f t="shared" si="38"/>
        <v>1</v>
      </c>
      <c r="V307" s="403" t="str">
        <f t="shared" si="39"/>
        <v>CPP_7_3</v>
      </c>
    </row>
    <row r="308" spans="1:22">
      <c r="A308" t="str">
        <f t="shared" si="32"/>
        <v>MIC-7502-Z30x</v>
      </c>
      <c r="B308" s="403" t="s">
        <v>1356</v>
      </c>
      <c r="C308" s="403" t="s">
        <v>582</v>
      </c>
      <c r="D308" s="403" t="s">
        <v>1357</v>
      </c>
      <c r="E308" s="403" t="s">
        <v>1359</v>
      </c>
      <c r="F308" s="403" t="s">
        <v>1290</v>
      </c>
      <c r="G308" s="403" t="s">
        <v>1466</v>
      </c>
      <c r="H308" s="403" t="s">
        <v>1281</v>
      </c>
      <c r="I308" s="403">
        <v>1</v>
      </c>
      <c r="J308" s="403" t="s">
        <v>110</v>
      </c>
      <c r="K308" s="403">
        <v>1920</v>
      </c>
      <c r="L308" s="403">
        <v>1080</v>
      </c>
      <c r="M308" s="403" t="s">
        <v>111</v>
      </c>
      <c r="N308" s="403">
        <v>768</v>
      </c>
      <c r="O308" s="403">
        <v>432</v>
      </c>
      <c r="P308" t="str">
        <f t="shared" si="33"/>
        <v>50fps 1080p - SD</v>
      </c>
      <c r="Q308">
        <f t="shared" si="34"/>
        <v>2</v>
      </c>
      <c r="R308" t="str">
        <f t="shared" si="35"/>
        <v/>
      </c>
      <c r="S308" t="str">
        <f t="shared" si="36"/>
        <v/>
      </c>
      <c r="T308" s="403" t="str">
        <f t="shared" si="37"/>
        <v>MIC-7502-Z30x</v>
      </c>
      <c r="U308" s="403">
        <f t="shared" si="38"/>
        <v>1</v>
      </c>
      <c r="V308" s="403" t="str">
        <f t="shared" si="39"/>
        <v>CPP_7_3</v>
      </c>
    </row>
    <row r="309" spans="1:22">
      <c r="A309" t="str">
        <f t="shared" si="32"/>
        <v>MIC-7502-Z30x</v>
      </c>
      <c r="B309" s="403" t="s">
        <v>1356</v>
      </c>
      <c r="C309" s="403" t="s">
        <v>582</v>
      </c>
      <c r="D309" s="403" t="s">
        <v>1357</v>
      </c>
      <c r="E309" s="403" t="s">
        <v>1359</v>
      </c>
      <c r="F309" s="403" t="s">
        <v>1290</v>
      </c>
      <c r="G309" s="403" t="s">
        <v>1466</v>
      </c>
      <c r="H309" s="403" t="s">
        <v>1281</v>
      </c>
      <c r="I309" s="403">
        <v>1</v>
      </c>
      <c r="J309" s="403" t="s">
        <v>110</v>
      </c>
      <c r="K309" s="403">
        <v>1920</v>
      </c>
      <c r="L309" s="403">
        <v>1080</v>
      </c>
      <c r="M309" s="403" t="s">
        <v>1289</v>
      </c>
      <c r="N309" s="403">
        <v>1280</v>
      </c>
      <c r="O309" s="403">
        <v>720</v>
      </c>
      <c r="P309" t="str">
        <f t="shared" si="33"/>
        <v>50fps 1080p - 720p full frame rate</v>
      </c>
      <c r="Q309">
        <f t="shared" si="34"/>
        <v>2</v>
      </c>
      <c r="R309" t="str">
        <f t="shared" si="35"/>
        <v/>
      </c>
      <c r="S309" t="str">
        <f t="shared" si="36"/>
        <v/>
      </c>
      <c r="T309" s="403" t="str">
        <f t="shared" si="37"/>
        <v>MIC-7502-Z30x</v>
      </c>
      <c r="U309" s="403">
        <f t="shared" si="38"/>
        <v>1</v>
      </c>
      <c r="V309" s="403" t="str">
        <f t="shared" si="39"/>
        <v>CPP_7_3</v>
      </c>
    </row>
    <row r="310" spans="1:22">
      <c r="A310" t="str">
        <f t="shared" si="32"/>
        <v>MIC-7502-Z30x</v>
      </c>
      <c r="B310" s="403" t="s">
        <v>1356</v>
      </c>
      <c r="C310" s="403" t="s">
        <v>582</v>
      </c>
      <c r="D310" s="403" t="s">
        <v>1357</v>
      </c>
      <c r="E310" s="403" t="s">
        <v>1359</v>
      </c>
      <c r="F310" s="403" t="s">
        <v>1290</v>
      </c>
      <c r="G310" s="403" t="s">
        <v>1466</v>
      </c>
      <c r="H310" s="403" t="s">
        <v>1281</v>
      </c>
      <c r="I310" s="403">
        <v>1</v>
      </c>
      <c r="J310" s="403" t="s">
        <v>110</v>
      </c>
      <c r="K310" s="403">
        <v>1920</v>
      </c>
      <c r="L310" s="403">
        <v>1080</v>
      </c>
      <c r="M310" s="403" t="s">
        <v>1283</v>
      </c>
      <c r="N310" s="403">
        <v>720</v>
      </c>
      <c r="O310" s="403">
        <v>576</v>
      </c>
      <c r="P310" t="str">
        <f t="shared" si="33"/>
        <v>50fps 1080p - SD 4CIF resolution 4:3 format (cropped)</v>
      </c>
      <c r="Q310">
        <f t="shared" si="34"/>
        <v>2</v>
      </c>
      <c r="R310" t="str">
        <f t="shared" si="35"/>
        <v/>
      </c>
      <c r="S310" t="str">
        <f t="shared" si="36"/>
        <v/>
      </c>
      <c r="T310" s="403" t="str">
        <f t="shared" si="37"/>
        <v>MIC-7502-Z30x</v>
      </c>
      <c r="U310" s="403">
        <f t="shared" si="38"/>
        <v>1</v>
      </c>
      <c r="V310" s="403" t="str">
        <f t="shared" si="39"/>
        <v>CPP_7_3</v>
      </c>
    </row>
    <row r="311" spans="1:22">
      <c r="A311" t="str">
        <f t="shared" si="32"/>
        <v>MIC-7502-Z30x</v>
      </c>
      <c r="B311" s="403" t="s">
        <v>1356</v>
      </c>
      <c r="C311" s="403" t="s">
        <v>582</v>
      </c>
      <c r="D311" s="403" t="s">
        <v>1357</v>
      </c>
      <c r="E311" s="403" t="s">
        <v>1359</v>
      </c>
      <c r="F311" s="403" t="s">
        <v>1290</v>
      </c>
      <c r="G311" s="403" t="s">
        <v>1466</v>
      </c>
      <c r="H311" s="403" t="s">
        <v>1281</v>
      </c>
      <c r="I311" s="403">
        <v>1</v>
      </c>
      <c r="J311" s="403" t="s">
        <v>110</v>
      </c>
      <c r="K311" s="403">
        <v>1920</v>
      </c>
      <c r="L311" s="403">
        <v>1080</v>
      </c>
      <c r="M311" s="403" t="s">
        <v>1284</v>
      </c>
      <c r="N311" s="403">
        <v>640</v>
      </c>
      <c r="O311" s="403">
        <v>480</v>
      </c>
      <c r="P311" t="str">
        <f t="shared" si="33"/>
        <v>50fps 1080p - SD VGA (cropped)</v>
      </c>
      <c r="Q311">
        <f t="shared" si="34"/>
        <v>2</v>
      </c>
      <c r="R311" t="str">
        <f t="shared" si="35"/>
        <v/>
      </c>
      <c r="S311" t="str">
        <f t="shared" si="36"/>
        <v/>
      </c>
      <c r="T311" s="403" t="str">
        <f t="shared" si="37"/>
        <v>MIC-7502-Z30x</v>
      </c>
      <c r="U311" s="403">
        <f t="shared" si="38"/>
        <v>1</v>
      </c>
      <c r="V311" s="403" t="str">
        <f t="shared" si="39"/>
        <v>CPP_7_3</v>
      </c>
    </row>
    <row r="312" spans="1:22">
      <c r="A312" t="str">
        <f t="shared" si="32"/>
        <v>MIC-7502-Z30x</v>
      </c>
      <c r="B312" s="403" t="s">
        <v>1356</v>
      </c>
      <c r="C312" s="403" t="s">
        <v>582</v>
      </c>
      <c r="D312" s="403" t="s">
        <v>1357</v>
      </c>
      <c r="E312" s="403" t="s">
        <v>1359</v>
      </c>
      <c r="F312" s="403" t="s">
        <v>1290</v>
      </c>
      <c r="G312" s="403" t="s">
        <v>1466</v>
      </c>
      <c r="H312" s="403" t="s">
        <v>1281</v>
      </c>
      <c r="I312" s="403">
        <v>1</v>
      </c>
      <c r="J312" s="403" t="s">
        <v>1289</v>
      </c>
      <c r="K312" s="403">
        <v>1280</v>
      </c>
      <c r="L312" s="403">
        <v>720</v>
      </c>
      <c r="M312" s="403" t="s">
        <v>1289</v>
      </c>
      <c r="N312" s="403">
        <v>1280</v>
      </c>
      <c r="O312" s="403">
        <v>720</v>
      </c>
      <c r="P312" t="str">
        <f t="shared" si="33"/>
        <v>50fps 720p full frame rate - 720p full frame rate</v>
      </c>
      <c r="Q312">
        <f t="shared" si="34"/>
        <v>2</v>
      </c>
      <c r="R312" t="str">
        <f t="shared" si="35"/>
        <v/>
      </c>
      <c r="S312" t="str">
        <f t="shared" si="36"/>
        <v/>
      </c>
      <c r="T312" s="403" t="str">
        <f t="shared" si="37"/>
        <v>MIC-7502-Z30x</v>
      </c>
      <c r="U312" s="403">
        <f t="shared" si="38"/>
        <v>1</v>
      </c>
      <c r="V312" s="403" t="str">
        <f t="shared" si="39"/>
        <v>CPP_7_3</v>
      </c>
    </row>
    <row r="313" spans="1:22">
      <c r="A313" t="str">
        <f t="shared" si="32"/>
        <v>MIC-7502-Z30x</v>
      </c>
      <c r="B313" s="403" t="s">
        <v>1356</v>
      </c>
      <c r="C313" s="403" t="s">
        <v>582</v>
      </c>
      <c r="D313" s="403" t="s">
        <v>1357</v>
      </c>
      <c r="E313" s="403" t="s">
        <v>1359</v>
      </c>
      <c r="F313" s="403" t="s">
        <v>1290</v>
      </c>
      <c r="G313" s="403" t="s">
        <v>1466</v>
      </c>
      <c r="H313" s="403" t="s">
        <v>1281</v>
      </c>
      <c r="I313" s="403">
        <v>1</v>
      </c>
      <c r="J313" s="403" t="s">
        <v>1289</v>
      </c>
      <c r="K313" s="403">
        <v>1280</v>
      </c>
      <c r="L313" s="403">
        <v>720</v>
      </c>
      <c r="M313" s="403" t="s">
        <v>111</v>
      </c>
      <c r="N313" s="403">
        <v>768</v>
      </c>
      <c r="O313" s="403">
        <v>432</v>
      </c>
      <c r="P313" t="str">
        <f t="shared" si="33"/>
        <v>50fps 720p full frame rate - SD</v>
      </c>
      <c r="Q313">
        <f t="shared" si="34"/>
        <v>2</v>
      </c>
      <c r="R313" t="str">
        <f t="shared" si="35"/>
        <v/>
      </c>
      <c r="S313" t="str">
        <f t="shared" si="36"/>
        <v/>
      </c>
      <c r="T313" s="403" t="str">
        <f t="shared" si="37"/>
        <v>MIC-7502-Z30x</v>
      </c>
      <c r="U313" s="403">
        <f t="shared" si="38"/>
        <v>1</v>
      </c>
      <c r="V313" s="403" t="str">
        <f t="shared" si="39"/>
        <v>CPP_7_3</v>
      </c>
    </row>
    <row r="314" spans="1:22">
      <c r="A314" t="str">
        <f t="shared" si="32"/>
        <v>MIC-7502-Z30x</v>
      </c>
      <c r="B314" s="403" t="s">
        <v>1356</v>
      </c>
      <c r="C314" s="403" t="s">
        <v>582</v>
      </c>
      <c r="D314" s="403" t="s">
        <v>1357</v>
      </c>
      <c r="E314" s="403" t="s">
        <v>1359</v>
      </c>
      <c r="F314" s="403" t="s">
        <v>1290</v>
      </c>
      <c r="G314" s="403" t="s">
        <v>1466</v>
      </c>
      <c r="H314" s="403" t="s">
        <v>1281</v>
      </c>
      <c r="I314" s="403">
        <v>1</v>
      </c>
      <c r="J314" s="403" t="s">
        <v>1289</v>
      </c>
      <c r="K314" s="403">
        <v>1280</v>
      </c>
      <c r="L314" s="403">
        <v>720</v>
      </c>
      <c r="M314" s="403" t="s">
        <v>1283</v>
      </c>
      <c r="N314" s="403">
        <v>720</v>
      </c>
      <c r="O314" s="403">
        <v>576</v>
      </c>
      <c r="P314" t="str">
        <f t="shared" si="33"/>
        <v>50fps 720p full frame rate - SD 4CIF resolution 4:3 format (cropped)</v>
      </c>
      <c r="Q314">
        <f t="shared" si="34"/>
        <v>2</v>
      </c>
      <c r="R314" t="str">
        <f t="shared" si="35"/>
        <v/>
      </c>
      <c r="S314" t="str">
        <f t="shared" si="36"/>
        <v/>
      </c>
      <c r="T314" s="403" t="str">
        <f t="shared" si="37"/>
        <v>MIC-7502-Z30x</v>
      </c>
      <c r="U314" s="403">
        <f t="shared" si="38"/>
        <v>1</v>
      </c>
      <c r="V314" s="403" t="str">
        <f t="shared" si="39"/>
        <v>CPP_7_3</v>
      </c>
    </row>
    <row r="315" spans="1:22">
      <c r="A315" t="str">
        <f t="shared" si="32"/>
        <v>MIC-7502-Z30x</v>
      </c>
      <c r="B315" s="403" t="s">
        <v>1356</v>
      </c>
      <c r="C315" s="403" t="s">
        <v>582</v>
      </c>
      <c r="D315" s="403" t="s">
        <v>1357</v>
      </c>
      <c r="E315" s="403" t="s">
        <v>1359</v>
      </c>
      <c r="F315" s="403" t="s">
        <v>1290</v>
      </c>
      <c r="G315" s="403" t="s">
        <v>1466</v>
      </c>
      <c r="H315" s="403" t="s">
        <v>1281</v>
      </c>
      <c r="I315" s="403">
        <v>1</v>
      </c>
      <c r="J315" s="403" t="s">
        <v>1289</v>
      </c>
      <c r="K315" s="403">
        <v>1280</v>
      </c>
      <c r="L315" s="403">
        <v>720</v>
      </c>
      <c r="M315" s="403" t="s">
        <v>1284</v>
      </c>
      <c r="N315" s="403">
        <v>640</v>
      </c>
      <c r="O315" s="403">
        <v>480</v>
      </c>
      <c r="P315" t="str">
        <f t="shared" si="33"/>
        <v>50fps 720p full frame rate - SD VGA (cropped)</v>
      </c>
      <c r="Q315">
        <f t="shared" si="34"/>
        <v>2</v>
      </c>
      <c r="R315" t="str">
        <f t="shared" si="35"/>
        <v/>
      </c>
      <c r="S315" t="str">
        <f t="shared" si="36"/>
        <v/>
      </c>
      <c r="T315" s="403" t="str">
        <f t="shared" si="37"/>
        <v>MIC-7502-Z30x</v>
      </c>
      <c r="U315" s="403">
        <f t="shared" si="38"/>
        <v>1</v>
      </c>
      <c r="V315" s="403" t="str">
        <f t="shared" si="39"/>
        <v>CPP_7_3</v>
      </c>
    </row>
    <row r="316" spans="1:22">
      <c r="A316" t="str">
        <f t="shared" si="32"/>
        <v>MIC-7502-Z30x</v>
      </c>
      <c r="B316" s="403" t="s">
        <v>1356</v>
      </c>
      <c r="C316" s="403" t="s">
        <v>582</v>
      </c>
      <c r="D316" s="403" t="s">
        <v>1357</v>
      </c>
      <c r="E316" s="403" t="s">
        <v>1359</v>
      </c>
      <c r="F316" s="403" t="s">
        <v>1290</v>
      </c>
      <c r="G316" s="403" t="s">
        <v>1466</v>
      </c>
      <c r="H316" s="403" t="s">
        <v>1282</v>
      </c>
      <c r="I316" s="403">
        <v>1</v>
      </c>
      <c r="J316" s="403" t="s">
        <v>110</v>
      </c>
      <c r="K316" s="403">
        <v>1920</v>
      </c>
      <c r="L316" s="403">
        <v>1080</v>
      </c>
      <c r="M316" s="403" t="s">
        <v>111</v>
      </c>
      <c r="N316" s="403">
        <v>768</v>
      </c>
      <c r="O316" s="403">
        <v>432</v>
      </c>
      <c r="P316" t="str">
        <f t="shared" si="33"/>
        <v>50fps 1080p - SD</v>
      </c>
      <c r="Q316">
        <f t="shared" si="34"/>
        <v>2</v>
      </c>
      <c r="R316" t="str">
        <f t="shared" si="35"/>
        <v/>
      </c>
      <c r="S316" t="str">
        <f t="shared" si="36"/>
        <v/>
      </c>
      <c r="T316" s="403" t="str">
        <f t="shared" si="37"/>
        <v>MIC-7502-Z30x</v>
      </c>
      <c r="U316" s="403">
        <f t="shared" si="38"/>
        <v>1</v>
      </c>
      <c r="V316" s="403" t="str">
        <f t="shared" si="39"/>
        <v>CPP_7_3</v>
      </c>
    </row>
    <row r="317" spans="1:22">
      <c r="A317" t="str">
        <f t="shared" si="32"/>
        <v>MIC-7502-Z30x</v>
      </c>
      <c r="B317" s="403" t="s">
        <v>1356</v>
      </c>
      <c r="C317" s="403" t="s">
        <v>582</v>
      </c>
      <c r="D317" s="403" t="s">
        <v>1357</v>
      </c>
      <c r="E317" s="403" t="s">
        <v>1359</v>
      </c>
      <c r="F317" s="403" t="s">
        <v>1290</v>
      </c>
      <c r="G317" s="403" t="s">
        <v>1466</v>
      </c>
      <c r="H317" s="403" t="s">
        <v>1282</v>
      </c>
      <c r="I317" s="403">
        <v>1</v>
      </c>
      <c r="J317" s="403" t="s">
        <v>110</v>
      </c>
      <c r="K317" s="403">
        <v>1920</v>
      </c>
      <c r="L317" s="403">
        <v>1080</v>
      </c>
      <c r="M317" s="403" t="s">
        <v>110</v>
      </c>
      <c r="N317" s="403">
        <v>1920</v>
      </c>
      <c r="O317" s="403">
        <v>1080</v>
      </c>
      <c r="P317" t="str">
        <f t="shared" si="33"/>
        <v>50fps 1080p - 1080p</v>
      </c>
      <c r="Q317">
        <f t="shared" si="34"/>
        <v>2</v>
      </c>
      <c r="R317" t="str">
        <f t="shared" si="35"/>
        <v/>
      </c>
      <c r="S317" t="str">
        <f t="shared" si="36"/>
        <v/>
      </c>
      <c r="T317" s="403" t="str">
        <f t="shared" si="37"/>
        <v>MIC-7502-Z30x</v>
      </c>
      <c r="U317" s="403">
        <f t="shared" si="38"/>
        <v>1</v>
      </c>
      <c r="V317" s="403" t="str">
        <f t="shared" si="39"/>
        <v>CPP_7_3</v>
      </c>
    </row>
    <row r="318" spans="1:22">
      <c r="A318" t="str">
        <f t="shared" si="32"/>
        <v>MIC-7502-Z30x</v>
      </c>
      <c r="B318" s="403" t="s">
        <v>1356</v>
      </c>
      <c r="C318" s="403" t="s">
        <v>582</v>
      </c>
      <c r="D318" s="403" t="s">
        <v>1357</v>
      </c>
      <c r="E318" s="403" t="s">
        <v>1359</v>
      </c>
      <c r="F318" s="403" t="s">
        <v>1290</v>
      </c>
      <c r="G318" s="403" t="s">
        <v>1466</v>
      </c>
      <c r="H318" s="403" t="s">
        <v>1282</v>
      </c>
      <c r="I318" s="403">
        <v>1</v>
      </c>
      <c r="J318" s="403" t="s">
        <v>110</v>
      </c>
      <c r="K318" s="403">
        <v>1920</v>
      </c>
      <c r="L318" s="403">
        <v>1080</v>
      </c>
      <c r="M318" s="403" t="s">
        <v>1289</v>
      </c>
      <c r="N318" s="403">
        <v>1280</v>
      </c>
      <c r="O318" s="403">
        <v>720</v>
      </c>
      <c r="P318" t="str">
        <f t="shared" si="33"/>
        <v>50fps 1080p - 720p full frame rate</v>
      </c>
      <c r="Q318">
        <f t="shared" si="34"/>
        <v>2</v>
      </c>
      <c r="R318" t="str">
        <f t="shared" si="35"/>
        <v/>
      </c>
      <c r="S318" t="str">
        <f t="shared" si="36"/>
        <v/>
      </c>
      <c r="T318" s="403" t="str">
        <f t="shared" si="37"/>
        <v>MIC-7502-Z30x</v>
      </c>
      <c r="U318" s="403">
        <f t="shared" si="38"/>
        <v>1</v>
      </c>
      <c r="V318" s="403" t="str">
        <f t="shared" si="39"/>
        <v>CPP_7_3</v>
      </c>
    </row>
    <row r="319" spans="1:22">
      <c r="A319" t="str">
        <f t="shared" si="32"/>
        <v>MIC-7502-Z30x</v>
      </c>
      <c r="B319" s="403" t="s">
        <v>1356</v>
      </c>
      <c r="C319" s="403" t="s">
        <v>582</v>
      </c>
      <c r="D319" s="403" t="s">
        <v>1357</v>
      </c>
      <c r="E319" s="403" t="s">
        <v>1359</v>
      </c>
      <c r="F319" s="403" t="s">
        <v>1290</v>
      </c>
      <c r="G319" s="403" t="s">
        <v>1466</v>
      </c>
      <c r="H319" s="403" t="s">
        <v>1282</v>
      </c>
      <c r="I319" s="403">
        <v>1</v>
      </c>
      <c r="J319" s="403" t="s">
        <v>110</v>
      </c>
      <c r="K319" s="403">
        <v>1920</v>
      </c>
      <c r="L319" s="403">
        <v>1080</v>
      </c>
      <c r="M319" s="403" t="s">
        <v>1285</v>
      </c>
      <c r="N319" s="403">
        <v>1280</v>
      </c>
      <c r="O319" s="403">
        <v>1024</v>
      </c>
      <c r="P319" t="str">
        <f t="shared" si="33"/>
        <v>50fps 1080p - 1280x1024 5:4 (cropped)</v>
      </c>
      <c r="Q319">
        <f t="shared" si="34"/>
        <v>2</v>
      </c>
      <c r="R319" t="str">
        <f t="shared" si="35"/>
        <v/>
      </c>
      <c r="S319" t="str">
        <f t="shared" si="36"/>
        <v/>
      </c>
      <c r="T319" s="403" t="str">
        <f t="shared" si="37"/>
        <v>MIC-7502-Z30x</v>
      </c>
      <c r="U319" s="403">
        <f t="shared" si="38"/>
        <v>1</v>
      </c>
      <c r="V319" s="403" t="str">
        <f t="shared" si="39"/>
        <v>CPP_7_3</v>
      </c>
    </row>
    <row r="320" spans="1:22">
      <c r="A320" t="str">
        <f t="shared" si="32"/>
        <v>MIC-7502-Z30x</v>
      </c>
      <c r="B320" s="403" t="s">
        <v>1356</v>
      </c>
      <c r="C320" s="403" t="s">
        <v>582</v>
      </c>
      <c r="D320" s="403" t="s">
        <v>1357</v>
      </c>
      <c r="E320" s="403" t="s">
        <v>1359</v>
      </c>
      <c r="F320" s="403" t="s">
        <v>1290</v>
      </c>
      <c r="G320" s="403" t="s">
        <v>1466</v>
      </c>
      <c r="H320" s="403" t="s">
        <v>1282</v>
      </c>
      <c r="I320" s="403">
        <v>1</v>
      </c>
      <c r="J320" s="403" t="s">
        <v>110</v>
      </c>
      <c r="K320" s="403">
        <v>1920</v>
      </c>
      <c r="L320" s="403">
        <v>1080</v>
      </c>
      <c r="M320" s="403" t="s">
        <v>1283</v>
      </c>
      <c r="N320" s="403">
        <v>720</v>
      </c>
      <c r="O320" s="403">
        <v>576</v>
      </c>
      <c r="P320" t="str">
        <f t="shared" si="33"/>
        <v>50fps 1080p - SD 4CIF resolution 4:3 format (cropped)</v>
      </c>
      <c r="Q320">
        <f t="shared" si="34"/>
        <v>2</v>
      </c>
      <c r="R320" t="str">
        <f t="shared" si="35"/>
        <v/>
      </c>
      <c r="S320" t="str">
        <f t="shared" si="36"/>
        <v/>
      </c>
      <c r="T320" s="403" t="str">
        <f t="shared" si="37"/>
        <v>MIC-7502-Z30x</v>
      </c>
      <c r="U320" s="403">
        <f t="shared" si="38"/>
        <v>1</v>
      </c>
      <c r="V320" s="403" t="str">
        <f t="shared" si="39"/>
        <v>CPP_7_3</v>
      </c>
    </row>
    <row r="321" spans="1:22">
      <c r="A321" t="str">
        <f t="shared" si="32"/>
        <v>MIC-7502-Z30x</v>
      </c>
      <c r="B321" s="403" t="s">
        <v>1356</v>
      </c>
      <c r="C321" s="403" t="s">
        <v>582</v>
      </c>
      <c r="D321" s="403" t="s">
        <v>1357</v>
      </c>
      <c r="E321" s="403" t="s">
        <v>1359</v>
      </c>
      <c r="F321" s="403" t="s">
        <v>1290</v>
      </c>
      <c r="G321" s="403" t="s">
        <v>1466</v>
      </c>
      <c r="H321" s="403" t="s">
        <v>1282</v>
      </c>
      <c r="I321" s="403">
        <v>1</v>
      </c>
      <c r="J321" s="403" t="s">
        <v>110</v>
      </c>
      <c r="K321" s="403">
        <v>1920</v>
      </c>
      <c r="L321" s="403">
        <v>1080</v>
      </c>
      <c r="M321" s="403" t="s">
        <v>1284</v>
      </c>
      <c r="N321" s="403">
        <v>640</v>
      </c>
      <c r="O321" s="403">
        <v>480</v>
      </c>
      <c r="P321" t="str">
        <f t="shared" si="33"/>
        <v>50fps 1080p - SD VGA (cropped)</v>
      </c>
      <c r="Q321">
        <f t="shared" si="34"/>
        <v>2</v>
      </c>
      <c r="R321" t="str">
        <f t="shared" si="35"/>
        <v/>
      </c>
      <c r="S321" t="str">
        <f t="shared" si="36"/>
        <v/>
      </c>
      <c r="T321" s="403" t="str">
        <f t="shared" si="37"/>
        <v>MIC-7502-Z30x</v>
      </c>
      <c r="U321" s="403">
        <f t="shared" si="38"/>
        <v>1</v>
      </c>
      <c r="V321" s="403" t="str">
        <f t="shared" si="39"/>
        <v>CPP_7_3</v>
      </c>
    </row>
    <row r="322" spans="1:22">
      <c r="A322" t="str">
        <f t="shared" ref="A322:A385" si="40">IF(AND(G322&lt;&gt;"rotate 90°"),D322,"")</f>
        <v>MIC-7502-Z30x</v>
      </c>
      <c r="B322" s="403" t="s">
        <v>1356</v>
      </c>
      <c r="C322" s="403" t="s">
        <v>582</v>
      </c>
      <c r="D322" s="403" t="s">
        <v>1357</v>
      </c>
      <c r="E322" s="403" t="s">
        <v>1359</v>
      </c>
      <c r="F322" s="403" t="s">
        <v>1290</v>
      </c>
      <c r="G322" s="403" t="s">
        <v>1466</v>
      </c>
      <c r="H322" s="403" t="s">
        <v>1282</v>
      </c>
      <c r="I322" s="403">
        <v>1</v>
      </c>
      <c r="J322" s="403" t="s">
        <v>1289</v>
      </c>
      <c r="K322" s="403">
        <v>1280</v>
      </c>
      <c r="L322" s="403">
        <v>720</v>
      </c>
      <c r="M322" s="403" t="s">
        <v>1289</v>
      </c>
      <c r="N322" s="403">
        <v>1280</v>
      </c>
      <c r="O322" s="403">
        <v>720</v>
      </c>
      <c r="P322" t="str">
        <f t="shared" ref="P322:P385" si="41">LEFT(F322,5)&amp;" "&amp;J322&amp;" - "&amp;M322</f>
        <v>50fps 720p full frame rate - 720p full frame rate</v>
      </c>
      <c r="Q322">
        <f t="shared" ref="Q322:Q385" si="42">IF(A321=A322,Q321,Q321+1)</f>
        <v>2</v>
      </c>
      <c r="R322" t="str">
        <f t="shared" ref="R322:R385" si="43">IF(Q321&lt;&gt;Q322,Q322,"")</f>
        <v/>
      </c>
      <c r="S322" t="str">
        <f t="shared" ref="S322:S385" si="44">IF(R322&lt;&gt;"",B322&amp;" ("&amp;D322&amp;")","")</f>
        <v/>
      </c>
      <c r="T322" s="403" t="str">
        <f t="shared" ref="T322:T385" si="45">D322</f>
        <v>MIC-7502-Z30x</v>
      </c>
      <c r="U322" s="403">
        <f t="shared" ref="U322:U385" si="46">I322</f>
        <v>1</v>
      </c>
      <c r="V322" s="403" t="str">
        <f t="shared" ref="V322:V385" si="47">C322</f>
        <v>CPP_7_3</v>
      </c>
    </row>
    <row r="323" spans="1:22">
      <c r="A323" t="str">
        <f t="shared" si="40"/>
        <v>MIC-7502-Z30x</v>
      </c>
      <c r="B323" s="403" t="s">
        <v>1356</v>
      </c>
      <c r="C323" s="403" t="s">
        <v>582</v>
      </c>
      <c r="D323" s="403" t="s">
        <v>1357</v>
      </c>
      <c r="E323" s="403" t="s">
        <v>1359</v>
      </c>
      <c r="F323" s="403" t="s">
        <v>1290</v>
      </c>
      <c r="G323" s="403" t="s">
        <v>1466</v>
      </c>
      <c r="H323" s="403" t="s">
        <v>1282</v>
      </c>
      <c r="I323" s="403">
        <v>1</v>
      </c>
      <c r="J323" s="403" t="s">
        <v>1289</v>
      </c>
      <c r="K323" s="403">
        <v>1280</v>
      </c>
      <c r="L323" s="403">
        <v>720</v>
      </c>
      <c r="M323" s="403" t="s">
        <v>111</v>
      </c>
      <c r="N323" s="403">
        <v>768</v>
      </c>
      <c r="O323" s="403">
        <v>432</v>
      </c>
      <c r="P323" t="str">
        <f t="shared" si="41"/>
        <v>50fps 720p full frame rate - SD</v>
      </c>
      <c r="Q323">
        <f t="shared" si="42"/>
        <v>2</v>
      </c>
      <c r="R323" t="str">
        <f t="shared" si="43"/>
        <v/>
      </c>
      <c r="S323" t="str">
        <f t="shared" si="44"/>
        <v/>
      </c>
      <c r="T323" s="403" t="str">
        <f t="shared" si="45"/>
        <v>MIC-7502-Z30x</v>
      </c>
      <c r="U323" s="403">
        <f t="shared" si="46"/>
        <v>1</v>
      </c>
      <c r="V323" s="403" t="str">
        <f t="shared" si="47"/>
        <v>CPP_7_3</v>
      </c>
    </row>
    <row r="324" spans="1:22">
      <c r="A324" t="str">
        <f t="shared" si="40"/>
        <v>MIC-7502-Z30x</v>
      </c>
      <c r="B324" s="403" t="s">
        <v>1356</v>
      </c>
      <c r="C324" s="403" t="s">
        <v>582</v>
      </c>
      <c r="D324" s="403" t="s">
        <v>1357</v>
      </c>
      <c r="E324" s="403" t="s">
        <v>1359</v>
      </c>
      <c r="F324" s="403" t="s">
        <v>1290</v>
      </c>
      <c r="G324" s="403" t="s">
        <v>1466</v>
      </c>
      <c r="H324" s="403" t="s">
        <v>1282</v>
      </c>
      <c r="I324" s="403">
        <v>1</v>
      </c>
      <c r="J324" s="403" t="s">
        <v>1289</v>
      </c>
      <c r="K324" s="403">
        <v>1280</v>
      </c>
      <c r="L324" s="403">
        <v>720</v>
      </c>
      <c r="M324" s="403" t="s">
        <v>1283</v>
      </c>
      <c r="N324" s="403">
        <v>720</v>
      </c>
      <c r="O324" s="403">
        <v>576</v>
      </c>
      <c r="P324" t="str">
        <f t="shared" si="41"/>
        <v>50fps 720p full frame rate - SD 4CIF resolution 4:3 format (cropped)</v>
      </c>
      <c r="Q324">
        <f t="shared" si="42"/>
        <v>2</v>
      </c>
      <c r="R324" t="str">
        <f t="shared" si="43"/>
        <v/>
      </c>
      <c r="S324" t="str">
        <f t="shared" si="44"/>
        <v/>
      </c>
      <c r="T324" s="403" t="str">
        <f t="shared" si="45"/>
        <v>MIC-7502-Z30x</v>
      </c>
      <c r="U324" s="403">
        <f t="shared" si="46"/>
        <v>1</v>
      </c>
      <c r="V324" s="403" t="str">
        <f t="shared" si="47"/>
        <v>CPP_7_3</v>
      </c>
    </row>
    <row r="325" spans="1:22">
      <c r="A325" t="str">
        <f t="shared" si="40"/>
        <v>MIC-7502-Z30x</v>
      </c>
      <c r="B325" s="403" t="s">
        <v>1356</v>
      </c>
      <c r="C325" s="403" t="s">
        <v>582</v>
      </c>
      <c r="D325" s="403" t="s">
        <v>1357</v>
      </c>
      <c r="E325" s="403" t="s">
        <v>1359</v>
      </c>
      <c r="F325" s="403" t="s">
        <v>1290</v>
      </c>
      <c r="G325" s="403" t="s">
        <v>1466</v>
      </c>
      <c r="H325" s="403" t="s">
        <v>1282</v>
      </c>
      <c r="I325" s="403">
        <v>1</v>
      </c>
      <c r="J325" s="403" t="s">
        <v>1289</v>
      </c>
      <c r="K325" s="403">
        <v>1280</v>
      </c>
      <c r="L325" s="403">
        <v>720</v>
      </c>
      <c r="M325" s="403" t="s">
        <v>1284</v>
      </c>
      <c r="N325" s="403">
        <v>640</v>
      </c>
      <c r="O325" s="403">
        <v>480</v>
      </c>
      <c r="P325" t="str">
        <f t="shared" si="41"/>
        <v>50fps 720p full frame rate - SD VGA (cropped)</v>
      </c>
      <c r="Q325">
        <f t="shared" si="42"/>
        <v>2</v>
      </c>
      <c r="R325" t="str">
        <f t="shared" si="43"/>
        <v/>
      </c>
      <c r="S325" t="str">
        <f t="shared" si="44"/>
        <v/>
      </c>
      <c r="T325" s="403" t="str">
        <f t="shared" si="45"/>
        <v>MIC-7502-Z30x</v>
      </c>
      <c r="U325" s="403">
        <f t="shared" si="46"/>
        <v>1</v>
      </c>
      <c r="V325" s="403" t="str">
        <f t="shared" si="47"/>
        <v>CPP_7_3</v>
      </c>
    </row>
    <row r="326" spans="1:22">
      <c r="A326" t="str">
        <f t="shared" si="40"/>
        <v>MIC-7502-Z30x</v>
      </c>
      <c r="B326" s="403" t="s">
        <v>1356</v>
      </c>
      <c r="C326" s="403" t="s">
        <v>582</v>
      </c>
      <c r="D326" s="403" t="s">
        <v>1357</v>
      </c>
      <c r="E326" s="403" t="s">
        <v>1359</v>
      </c>
      <c r="F326" s="403" t="s">
        <v>1288</v>
      </c>
      <c r="G326" s="403" t="s">
        <v>1466</v>
      </c>
      <c r="H326" s="403" t="s">
        <v>1276</v>
      </c>
      <c r="I326" s="403">
        <v>1</v>
      </c>
      <c r="J326" s="403" t="s">
        <v>110</v>
      </c>
      <c r="K326" s="403">
        <v>1920</v>
      </c>
      <c r="L326" s="403">
        <v>1080</v>
      </c>
      <c r="M326" s="403" t="s">
        <v>111</v>
      </c>
      <c r="N326" s="403">
        <v>768</v>
      </c>
      <c r="O326" s="403">
        <v>432</v>
      </c>
      <c r="P326" t="str">
        <f t="shared" si="41"/>
        <v>60fps 1080p - SD</v>
      </c>
      <c r="Q326">
        <f t="shared" si="42"/>
        <v>2</v>
      </c>
      <c r="R326" t="str">
        <f t="shared" si="43"/>
        <v/>
      </c>
      <c r="S326" t="str">
        <f t="shared" si="44"/>
        <v/>
      </c>
      <c r="T326" s="403" t="str">
        <f t="shared" si="45"/>
        <v>MIC-7502-Z30x</v>
      </c>
      <c r="U326" s="403">
        <f t="shared" si="46"/>
        <v>1</v>
      </c>
      <c r="V326" s="403" t="str">
        <f t="shared" si="47"/>
        <v>CPP_7_3</v>
      </c>
    </row>
    <row r="327" spans="1:22">
      <c r="A327" t="str">
        <f t="shared" si="40"/>
        <v>MIC-7502-Z30x</v>
      </c>
      <c r="B327" s="403" t="s">
        <v>1356</v>
      </c>
      <c r="C327" s="403" t="s">
        <v>582</v>
      </c>
      <c r="D327" s="403" t="s">
        <v>1357</v>
      </c>
      <c r="E327" s="403" t="s">
        <v>1359</v>
      </c>
      <c r="F327" s="403" t="s">
        <v>1288</v>
      </c>
      <c r="G327" s="403" t="s">
        <v>1466</v>
      </c>
      <c r="H327" s="403" t="s">
        <v>1276</v>
      </c>
      <c r="I327" s="403">
        <v>1</v>
      </c>
      <c r="J327" s="403" t="s">
        <v>110</v>
      </c>
      <c r="K327" s="403">
        <v>1920</v>
      </c>
      <c r="L327" s="403">
        <v>1080</v>
      </c>
      <c r="M327" s="403" t="s">
        <v>110</v>
      </c>
      <c r="N327" s="403">
        <v>1920</v>
      </c>
      <c r="O327" s="403">
        <v>1080</v>
      </c>
      <c r="P327" t="str">
        <f t="shared" si="41"/>
        <v>60fps 1080p - 1080p</v>
      </c>
      <c r="Q327">
        <f t="shared" si="42"/>
        <v>2</v>
      </c>
      <c r="R327" t="str">
        <f t="shared" si="43"/>
        <v/>
      </c>
      <c r="S327" t="str">
        <f t="shared" si="44"/>
        <v/>
      </c>
      <c r="T327" s="403" t="str">
        <f t="shared" si="45"/>
        <v>MIC-7502-Z30x</v>
      </c>
      <c r="U327" s="403">
        <f t="shared" si="46"/>
        <v>1</v>
      </c>
      <c r="V327" s="403" t="str">
        <f t="shared" si="47"/>
        <v>CPP_7_3</v>
      </c>
    </row>
    <row r="328" spans="1:22">
      <c r="A328" t="str">
        <f t="shared" si="40"/>
        <v>MIC-7502-Z30x</v>
      </c>
      <c r="B328" s="403" t="s">
        <v>1356</v>
      </c>
      <c r="C328" s="403" t="s">
        <v>582</v>
      </c>
      <c r="D328" s="403" t="s">
        <v>1357</v>
      </c>
      <c r="E328" s="403" t="s">
        <v>1359</v>
      </c>
      <c r="F328" s="403" t="s">
        <v>1288</v>
      </c>
      <c r="G328" s="403" t="s">
        <v>1466</v>
      </c>
      <c r="H328" s="403" t="s">
        <v>1276</v>
      </c>
      <c r="I328" s="403">
        <v>1</v>
      </c>
      <c r="J328" s="403" t="s">
        <v>110</v>
      </c>
      <c r="K328" s="403">
        <v>1920</v>
      </c>
      <c r="L328" s="403">
        <v>1080</v>
      </c>
      <c r="M328" s="403" t="s">
        <v>1289</v>
      </c>
      <c r="N328" s="403">
        <v>1280</v>
      </c>
      <c r="O328" s="403">
        <v>720</v>
      </c>
      <c r="P328" t="str">
        <f t="shared" si="41"/>
        <v>60fps 1080p - 720p full frame rate</v>
      </c>
      <c r="Q328">
        <f t="shared" si="42"/>
        <v>2</v>
      </c>
      <c r="R328" t="str">
        <f t="shared" si="43"/>
        <v/>
      </c>
      <c r="S328" t="str">
        <f t="shared" si="44"/>
        <v/>
      </c>
      <c r="T328" s="403" t="str">
        <f t="shared" si="45"/>
        <v>MIC-7502-Z30x</v>
      </c>
      <c r="U328" s="403">
        <f t="shared" si="46"/>
        <v>1</v>
      </c>
      <c r="V328" s="403" t="str">
        <f t="shared" si="47"/>
        <v>CPP_7_3</v>
      </c>
    </row>
    <row r="329" spans="1:22">
      <c r="A329" t="str">
        <f t="shared" si="40"/>
        <v>MIC-7502-Z30x</v>
      </c>
      <c r="B329" s="403" t="s">
        <v>1356</v>
      </c>
      <c r="C329" s="403" t="s">
        <v>582</v>
      </c>
      <c r="D329" s="403" t="s">
        <v>1357</v>
      </c>
      <c r="E329" s="403" t="s">
        <v>1359</v>
      </c>
      <c r="F329" s="403" t="s">
        <v>1288</v>
      </c>
      <c r="G329" s="403" t="s">
        <v>1466</v>
      </c>
      <c r="H329" s="403" t="s">
        <v>1276</v>
      </c>
      <c r="I329" s="403">
        <v>1</v>
      </c>
      <c r="J329" s="403" t="s">
        <v>110</v>
      </c>
      <c r="K329" s="403">
        <v>1920</v>
      </c>
      <c r="L329" s="403">
        <v>1080</v>
      </c>
      <c r="M329" s="403" t="s">
        <v>1285</v>
      </c>
      <c r="N329" s="403">
        <v>1280</v>
      </c>
      <c r="O329" s="403">
        <v>1024</v>
      </c>
      <c r="P329" t="str">
        <f t="shared" si="41"/>
        <v>60fps 1080p - 1280x1024 5:4 (cropped)</v>
      </c>
      <c r="Q329">
        <f t="shared" si="42"/>
        <v>2</v>
      </c>
      <c r="R329" t="str">
        <f t="shared" si="43"/>
        <v/>
      </c>
      <c r="S329" t="str">
        <f t="shared" si="44"/>
        <v/>
      </c>
      <c r="T329" s="403" t="str">
        <f t="shared" si="45"/>
        <v>MIC-7502-Z30x</v>
      </c>
      <c r="U329" s="403">
        <f t="shared" si="46"/>
        <v>1</v>
      </c>
      <c r="V329" s="403" t="str">
        <f t="shared" si="47"/>
        <v>CPP_7_3</v>
      </c>
    </row>
    <row r="330" spans="1:22">
      <c r="A330" t="str">
        <f t="shared" si="40"/>
        <v>MIC-7502-Z30x</v>
      </c>
      <c r="B330" s="403" t="s">
        <v>1356</v>
      </c>
      <c r="C330" s="403" t="s">
        <v>582</v>
      </c>
      <c r="D330" s="403" t="s">
        <v>1357</v>
      </c>
      <c r="E330" s="403" t="s">
        <v>1359</v>
      </c>
      <c r="F330" s="403" t="s">
        <v>1288</v>
      </c>
      <c r="G330" s="403" t="s">
        <v>1466</v>
      </c>
      <c r="H330" s="403" t="s">
        <v>1276</v>
      </c>
      <c r="I330" s="403">
        <v>1</v>
      </c>
      <c r="J330" s="403" t="s">
        <v>110</v>
      </c>
      <c r="K330" s="403">
        <v>1920</v>
      </c>
      <c r="L330" s="403">
        <v>1080</v>
      </c>
      <c r="M330" s="403" t="s">
        <v>1283</v>
      </c>
      <c r="N330" s="403">
        <v>720</v>
      </c>
      <c r="O330" s="403">
        <v>480</v>
      </c>
      <c r="P330" t="str">
        <f t="shared" si="41"/>
        <v>60fps 1080p - SD 4CIF resolution 4:3 format (cropped)</v>
      </c>
      <c r="Q330">
        <f t="shared" si="42"/>
        <v>2</v>
      </c>
      <c r="R330" t="str">
        <f t="shared" si="43"/>
        <v/>
      </c>
      <c r="S330" t="str">
        <f t="shared" si="44"/>
        <v/>
      </c>
      <c r="T330" s="403" t="str">
        <f t="shared" si="45"/>
        <v>MIC-7502-Z30x</v>
      </c>
      <c r="U330" s="403">
        <f t="shared" si="46"/>
        <v>1</v>
      </c>
      <c r="V330" s="403" t="str">
        <f t="shared" si="47"/>
        <v>CPP_7_3</v>
      </c>
    </row>
    <row r="331" spans="1:22">
      <c r="A331" t="str">
        <f t="shared" si="40"/>
        <v>MIC-7502-Z30x</v>
      </c>
      <c r="B331" s="403" t="s">
        <v>1356</v>
      </c>
      <c r="C331" s="403" t="s">
        <v>582</v>
      </c>
      <c r="D331" s="403" t="s">
        <v>1357</v>
      </c>
      <c r="E331" s="403" t="s">
        <v>1359</v>
      </c>
      <c r="F331" s="403" t="s">
        <v>1288</v>
      </c>
      <c r="G331" s="403" t="s">
        <v>1466</v>
      </c>
      <c r="H331" s="403" t="s">
        <v>1276</v>
      </c>
      <c r="I331" s="403">
        <v>1</v>
      </c>
      <c r="J331" s="403" t="s">
        <v>110</v>
      </c>
      <c r="K331" s="403">
        <v>1920</v>
      </c>
      <c r="L331" s="403">
        <v>1080</v>
      </c>
      <c r="M331" s="403" t="s">
        <v>1284</v>
      </c>
      <c r="N331" s="403">
        <v>640</v>
      </c>
      <c r="O331" s="403">
        <v>480</v>
      </c>
      <c r="P331" t="str">
        <f t="shared" si="41"/>
        <v>60fps 1080p - SD VGA (cropped)</v>
      </c>
      <c r="Q331">
        <f t="shared" si="42"/>
        <v>2</v>
      </c>
      <c r="R331" t="str">
        <f t="shared" si="43"/>
        <v/>
      </c>
      <c r="S331" t="str">
        <f t="shared" si="44"/>
        <v/>
      </c>
      <c r="T331" s="403" t="str">
        <f t="shared" si="45"/>
        <v>MIC-7502-Z30x</v>
      </c>
      <c r="U331" s="403">
        <f t="shared" si="46"/>
        <v>1</v>
      </c>
      <c r="V331" s="403" t="str">
        <f t="shared" si="47"/>
        <v>CPP_7_3</v>
      </c>
    </row>
    <row r="332" spans="1:22">
      <c r="A332" t="str">
        <f t="shared" si="40"/>
        <v>MIC-7502-Z30x</v>
      </c>
      <c r="B332" s="403" t="s">
        <v>1356</v>
      </c>
      <c r="C332" s="403" t="s">
        <v>582</v>
      </c>
      <c r="D332" s="403" t="s">
        <v>1357</v>
      </c>
      <c r="E332" s="403" t="s">
        <v>1359</v>
      </c>
      <c r="F332" s="403" t="s">
        <v>1288</v>
      </c>
      <c r="G332" s="403" t="s">
        <v>1466</v>
      </c>
      <c r="H332" s="403" t="s">
        <v>1276</v>
      </c>
      <c r="I332" s="403">
        <v>1</v>
      </c>
      <c r="J332" s="403" t="s">
        <v>1289</v>
      </c>
      <c r="K332" s="403">
        <v>1280</v>
      </c>
      <c r="L332" s="403">
        <v>720</v>
      </c>
      <c r="M332" s="403" t="s">
        <v>1289</v>
      </c>
      <c r="N332" s="403">
        <v>1280</v>
      </c>
      <c r="O332" s="403">
        <v>720</v>
      </c>
      <c r="P332" t="str">
        <f t="shared" si="41"/>
        <v>60fps 720p full frame rate - 720p full frame rate</v>
      </c>
      <c r="Q332">
        <f t="shared" si="42"/>
        <v>2</v>
      </c>
      <c r="R332" t="str">
        <f t="shared" si="43"/>
        <v/>
      </c>
      <c r="S332" t="str">
        <f t="shared" si="44"/>
        <v/>
      </c>
      <c r="T332" s="403" t="str">
        <f t="shared" si="45"/>
        <v>MIC-7502-Z30x</v>
      </c>
      <c r="U332" s="403">
        <f t="shared" si="46"/>
        <v>1</v>
      </c>
      <c r="V332" s="403" t="str">
        <f t="shared" si="47"/>
        <v>CPP_7_3</v>
      </c>
    </row>
    <row r="333" spans="1:22">
      <c r="A333" t="str">
        <f t="shared" si="40"/>
        <v>MIC-7502-Z30x</v>
      </c>
      <c r="B333" s="403" t="s">
        <v>1356</v>
      </c>
      <c r="C333" s="403" t="s">
        <v>582</v>
      </c>
      <c r="D333" s="403" t="s">
        <v>1357</v>
      </c>
      <c r="E333" s="403" t="s">
        <v>1359</v>
      </c>
      <c r="F333" s="403" t="s">
        <v>1288</v>
      </c>
      <c r="G333" s="403" t="s">
        <v>1466</v>
      </c>
      <c r="H333" s="403" t="s">
        <v>1276</v>
      </c>
      <c r="I333" s="403">
        <v>1</v>
      </c>
      <c r="J333" s="403" t="s">
        <v>1289</v>
      </c>
      <c r="K333" s="403">
        <v>1280</v>
      </c>
      <c r="L333" s="403">
        <v>720</v>
      </c>
      <c r="M333" s="403" t="s">
        <v>111</v>
      </c>
      <c r="N333" s="403">
        <v>768</v>
      </c>
      <c r="O333" s="403">
        <v>432</v>
      </c>
      <c r="P333" t="str">
        <f t="shared" si="41"/>
        <v>60fps 720p full frame rate - SD</v>
      </c>
      <c r="Q333">
        <f t="shared" si="42"/>
        <v>2</v>
      </c>
      <c r="R333" t="str">
        <f t="shared" si="43"/>
        <v/>
      </c>
      <c r="S333" t="str">
        <f t="shared" si="44"/>
        <v/>
      </c>
      <c r="T333" s="403" t="str">
        <f t="shared" si="45"/>
        <v>MIC-7502-Z30x</v>
      </c>
      <c r="U333" s="403">
        <f t="shared" si="46"/>
        <v>1</v>
      </c>
      <c r="V333" s="403" t="str">
        <f t="shared" si="47"/>
        <v>CPP_7_3</v>
      </c>
    </row>
    <row r="334" spans="1:22">
      <c r="A334" t="str">
        <f t="shared" si="40"/>
        <v>MIC-7502-Z30x</v>
      </c>
      <c r="B334" s="403" t="s">
        <v>1356</v>
      </c>
      <c r="C334" s="403" t="s">
        <v>582</v>
      </c>
      <c r="D334" s="403" t="s">
        <v>1357</v>
      </c>
      <c r="E334" s="403" t="s">
        <v>1359</v>
      </c>
      <c r="F334" s="403" t="s">
        <v>1288</v>
      </c>
      <c r="G334" s="403" t="s">
        <v>1466</v>
      </c>
      <c r="H334" s="403" t="s">
        <v>1276</v>
      </c>
      <c r="I334" s="403">
        <v>1</v>
      </c>
      <c r="J334" s="403" t="s">
        <v>1289</v>
      </c>
      <c r="K334" s="403">
        <v>1280</v>
      </c>
      <c r="L334" s="403">
        <v>720</v>
      </c>
      <c r="M334" s="403" t="s">
        <v>1283</v>
      </c>
      <c r="N334" s="403">
        <v>720</v>
      </c>
      <c r="O334" s="403">
        <v>480</v>
      </c>
      <c r="P334" t="str">
        <f t="shared" si="41"/>
        <v>60fps 720p full frame rate - SD 4CIF resolution 4:3 format (cropped)</v>
      </c>
      <c r="Q334">
        <f t="shared" si="42"/>
        <v>2</v>
      </c>
      <c r="R334" t="str">
        <f t="shared" si="43"/>
        <v/>
      </c>
      <c r="S334" t="str">
        <f t="shared" si="44"/>
        <v/>
      </c>
      <c r="T334" s="403" t="str">
        <f t="shared" si="45"/>
        <v>MIC-7502-Z30x</v>
      </c>
      <c r="U334" s="403">
        <f t="shared" si="46"/>
        <v>1</v>
      </c>
      <c r="V334" s="403" t="str">
        <f t="shared" si="47"/>
        <v>CPP_7_3</v>
      </c>
    </row>
    <row r="335" spans="1:22">
      <c r="A335" t="str">
        <f t="shared" si="40"/>
        <v>MIC-7502-Z30x</v>
      </c>
      <c r="B335" s="403" t="s">
        <v>1356</v>
      </c>
      <c r="C335" s="403" t="s">
        <v>582</v>
      </c>
      <c r="D335" s="403" t="s">
        <v>1357</v>
      </c>
      <c r="E335" s="403" t="s">
        <v>1359</v>
      </c>
      <c r="F335" s="403" t="s">
        <v>1288</v>
      </c>
      <c r="G335" s="403" t="s">
        <v>1466</v>
      </c>
      <c r="H335" s="403" t="s">
        <v>1276</v>
      </c>
      <c r="I335" s="403">
        <v>1</v>
      </c>
      <c r="J335" s="403" t="s">
        <v>1289</v>
      </c>
      <c r="K335" s="403">
        <v>1280</v>
      </c>
      <c r="L335" s="403">
        <v>720</v>
      </c>
      <c r="M335" s="403" t="s">
        <v>1284</v>
      </c>
      <c r="N335" s="403">
        <v>640</v>
      </c>
      <c r="O335" s="403">
        <v>480</v>
      </c>
      <c r="P335" t="str">
        <f t="shared" si="41"/>
        <v>60fps 720p full frame rate - SD VGA (cropped)</v>
      </c>
      <c r="Q335">
        <f t="shared" si="42"/>
        <v>2</v>
      </c>
      <c r="R335" t="str">
        <f t="shared" si="43"/>
        <v/>
      </c>
      <c r="S335" t="str">
        <f t="shared" si="44"/>
        <v/>
      </c>
      <c r="T335" s="403" t="str">
        <f t="shared" si="45"/>
        <v>MIC-7502-Z30x</v>
      </c>
      <c r="U335" s="403">
        <f t="shared" si="46"/>
        <v>1</v>
      </c>
      <c r="V335" s="403" t="str">
        <f t="shared" si="47"/>
        <v>CPP_7_3</v>
      </c>
    </row>
    <row r="336" spans="1:22">
      <c r="A336" t="str">
        <f t="shared" si="40"/>
        <v>MIC-7502-Z30x</v>
      </c>
      <c r="B336" s="403" t="s">
        <v>1356</v>
      </c>
      <c r="C336" s="403" t="s">
        <v>582</v>
      </c>
      <c r="D336" s="403" t="s">
        <v>1357</v>
      </c>
      <c r="E336" s="403" t="s">
        <v>1359</v>
      </c>
      <c r="F336" s="403" t="s">
        <v>1288</v>
      </c>
      <c r="G336" s="403" t="s">
        <v>1466</v>
      </c>
      <c r="H336" s="403" t="s">
        <v>1281</v>
      </c>
      <c r="I336" s="403">
        <v>1</v>
      </c>
      <c r="J336" s="403" t="s">
        <v>110</v>
      </c>
      <c r="K336" s="403">
        <v>1920</v>
      </c>
      <c r="L336" s="403">
        <v>1080</v>
      </c>
      <c r="M336" s="403" t="s">
        <v>111</v>
      </c>
      <c r="N336" s="403">
        <v>768</v>
      </c>
      <c r="O336" s="403">
        <v>432</v>
      </c>
      <c r="P336" t="str">
        <f t="shared" si="41"/>
        <v>60fps 1080p - SD</v>
      </c>
      <c r="Q336">
        <f t="shared" si="42"/>
        <v>2</v>
      </c>
      <c r="R336" t="str">
        <f t="shared" si="43"/>
        <v/>
      </c>
      <c r="S336" t="str">
        <f t="shared" si="44"/>
        <v/>
      </c>
      <c r="T336" s="403" t="str">
        <f t="shared" si="45"/>
        <v>MIC-7502-Z30x</v>
      </c>
      <c r="U336" s="403">
        <f t="shared" si="46"/>
        <v>1</v>
      </c>
      <c r="V336" s="403" t="str">
        <f t="shared" si="47"/>
        <v>CPP_7_3</v>
      </c>
    </row>
    <row r="337" spans="1:22">
      <c r="A337" t="str">
        <f t="shared" si="40"/>
        <v>MIC-7502-Z30x</v>
      </c>
      <c r="B337" s="403" t="s">
        <v>1356</v>
      </c>
      <c r="C337" s="403" t="s">
        <v>582</v>
      </c>
      <c r="D337" s="403" t="s">
        <v>1357</v>
      </c>
      <c r="E337" s="403" t="s">
        <v>1359</v>
      </c>
      <c r="F337" s="403" t="s">
        <v>1288</v>
      </c>
      <c r="G337" s="403" t="s">
        <v>1466</v>
      </c>
      <c r="H337" s="403" t="s">
        <v>1281</v>
      </c>
      <c r="I337" s="403">
        <v>1</v>
      </c>
      <c r="J337" s="403" t="s">
        <v>110</v>
      </c>
      <c r="K337" s="403">
        <v>1920</v>
      </c>
      <c r="L337" s="403">
        <v>1080</v>
      </c>
      <c r="M337" s="403" t="s">
        <v>1283</v>
      </c>
      <c r="N337" s="403">
        <v>720</v>
      </c>
      <c r="O337" s="403">
        <v>480</v>
      </c>
      <c r="P337" t="str">
        <f t="shared" si="41"/>
        <v>60fps 1080p - SD 4CIF resolution 4:3 format (cropped)</v>
      </c>
      <c r="Q337">
        <f t="shared" si="42"/>
        <v>2</v>
      </c>
      <c r="R337" t="str">
        <f t="shared" si="43"/>
        <v/>
      </c>
      <c r="S337" t="str">
        <f t="shared" si="44"/>
        <v/>
      </c>
      <c r="T337" s="403" t="str">
        <f t="shared" si="45"/>
        <v>MIC-7502-Z30x</v>
      </c>
      <c r="U337" s="403">
        <f t="shared" si="46"/>
        <v>1</v>
      </c>
      <c r="V337" s="403" t="str">
        <f t="shared" si="47"/>
        <v>CPP_7_3</v>
      </c>
    </row>
    <row r="338" spans="1:22">
      <c r="A338" t="str">
        <f t="shared" si="40"/>
        <v>MIC-7502-Z30x</v>
      </c>
      <c r="B338" s="403" t="s">
        <v>1356</v>
      </c>
      <c r="C338" s="403" t="s">
        <v>582</v>
      </c>
      <c r="D338" s="403" t="s">
        <v>1357</v>
      </c>
      <c r="E338" s="403" t="s">
        <v>1359</v>
      </c>
      <c r="F338" s="403" t="s">
        <v>1288</v>
      </c>
      <c r="G338" s="403" t="s">
        <v>1466</v>
      </c>
      <c r="H338" s="403" t="s">
        <v>1281</v>
      </c>
      <c r="I338" s="403">
        <v>1</v>
      </c>
      <c r="J338" s="403" t="s">
        <v>110</v>
      </c>
      <c r="K338" s="403">
        <v>1920</v>
      </c>
      <c r="L338" s="403">
        <v>1080</v>
      </c>
      <c r="M338" s="403" t="s">
        <v>1284</v>
      </c>
      <c r="N338" s="403">
        <v>640</v>
      </c>
      <c r="O338" s="403">
        <v>480</v>
      </c>
      <c r="P338" t="str">
        <f t="shared" si="41"/>
        <v>60fps 1080p - SD VGA (cropped)</v>
      </c>
      <c r="Q338">
        <f t="shared" si="42"/>
        <v>2</v>
      </c>
      <c r="R338" t="str">
        <f t="shared" si="43"/>
        <v/>
      </c>
      <c r="S338" t="str">
        <f t="shared" si="44"/>
        <v/>
      </c>
      <c r="T338" s="403" t="str">
        <f t="shared" si="45"/>
        <v>MIC-7502-Z30x</v>
      </c>
      <c r="U338" s="403">
        <f t="shared" si="46"/>
        <v>1</v>
      </c>
      <c r="V338" s="403" t="str">
        <f t="shared" si="47"/>
        <v>CPP_7_3</v>
      </c>
    </row>
    <row r="339" spans="1:22">
      <c r="A339" t="str">
        <f t="shared" si="40"/>
        <v>MIC-7502-Z30x</v>
      </c>
      <c r="B339" s="403" t="s">
        <v>1356</v>
      </c>
      <c r="C339" s="403" t="s">
        <v>582</v>
      </c>
      <c r="D339" s="403" t="s">
        <v>1357</v>
      </c>
      <c r="E339" s="403" t="s">
        <v>1359</v>
      </c>
      <c r="F339" s="403" t="s">
        <v>1288</v>
      </c>
      <c r="G339" s="403" t="s">
        <v>1466</v>
      </c>
      <c r="H339" s="403" t="s">
        <v>1281</v>
      </c>
      <c r="I339" s="403">
        <v>1</v>
      </c>
      <c r="J339" s="403" t="s">
        <v>1289</v>
      </c>
      <c r="K339" s="403">
        <v>1280</v>
      </c>
      <c r="L339" s="403">
        <v>720</v>
      </c>
      <c r="M339" s="403" t="s">
        <v>1289</v>
      </c>
      <c r="N339" s="403">
        <v>1280</v>
      </c>
      <c r="O339" s="403">
        <v>720</v>
      </c>
      <c r="P339" t="str">
        <f t="shared" si="41"/>
        <v>60fps 720p full frame rate - 720p full frame rate</v>
      </c>
      <c r="Q339">
        <f t="shared" si="42"/>
        <v>2</v>
      </c>
      <c r="R339" t="str">
        <f t="shared" si="43"/>
        <v/>
      </c>
      <c r="S339" t="str">
        <f t="shared" si="44"/>
        <v/>
      </c>
      <c r="T339" s="403" t="str">
        <f t="shared" si="45"/>
        <v>MIC-7502-Z30x</v>
      </c>
      <c r="U339" s="403">
        <f t="shared" si="46"/>
        <v>1</v>
      </c>
      <c r="V339" s="403" t="str">
        <f t="shared" si="47"/>
        <v>CPP_7_3</v>
      </c>
    </row>
    <row r="340" spans="1:22">
      <c r="A340" t="str">
        <f t="shared" si="40"/>
        <v>MIC-7502-Z30x</v>
      </c>
      <c r="B340" s="403" t="s">
        <v>1356</v>
      </c>
      <c r="C340" s="403" t="s">
        <v>582</v>
      </c>
      <c r="D340" s="403" t="s">
        <v>1357</v>
      </c>
      <c r="E340" s="403" t="s">
        <v>1359</v>
      </c>
      <c r="F340" s="403" t="s">
        <v>1288</v>
      </c>
      <c r="G340" s="403" t="s">
        <v>1466</v>
      </c>
      <c r="H340" s="403" t="s">
        <v>1281</v>
      </c>
      <c r="I340" s="403">
        <v>1</v>
      </c>
      <c r="J340" s="403" t="s">
        <v>1289</v>
      </c>
      <c r="K340" s="403">
        <v>1280</v>
      </c>
      <c r="L340" s="403">
        <v>720</v>
      </c>
      <c r="M340" s="403" t="s">
        <v>111</v>
      </c>
      <c r="N340" s="403">
        <v>768</v>
      </c>
      <c r="O340" s="403">
        <v>432</v>
      </c>
      <c r="P340" t="str">
        <f t="shared" si="41"/>
        <v>60fps 720p full frame rate - SD</v>
      </c>
      <c r="Q340">
        <f t="shared" si="42"/>
        <v>2</v>
      </c>
      <c r="R340" t="str">
        <f t="shared" si="43"/>
        <v/>
      </c>
      <c r="S340" t="str">
        <f t="shared" si="44"/>
        <v/>
      </c>
      <c r="T340" s="403" t="str">
        <f t="shared" si="45"/>
        <v>MIC-7502-Z30x</v>
      </c>
      <c r="U340" s="403">
        <f t="shared" si="46"/>
        <v>1</v>
      </c>
      <c r="V340" s="403" t="str">
        <f t="shared" si="47"/>
        <v>CPP_7_3</v>
      </c>
    </row>
    <row r="341" spans="1:22">
      <c r="A341" t="str">
        <f t="shared" si="40"/>
        <v>MIC-7502-Z30x</v>
      </c>
      <c r="B341" s="403" t="s">
        <v>1356</v>
      </c>
      <c r="C341" s="403" t="s">
        <v>582</v>
      </c>
      <c r="D341" s="403" t="s">
        <v>1357</v>
      </c>
      <c r="E341" s="403" t="s">
        <v>1359</v>
      </c>
      <c r="F341" s="403" t="s">
        <v>1288</v>
      </c>
      <c r="G341" s="403" t="s">
        <v>1466</v>
      </c>
      <c r="H341" s="403" t="s">
        <v>1281</v>
      </c>
      <c r="I341" s="403">
        <v>1</v>
      </c>
      <c r="J341" s="403" t="s">
        <v>1289</v>
      </c>
      <c r="K341" s="403">
        <v>1280</v>
      </c>
      <c r="L341" s="403">
        <v>720</v>
      </c>
      <c r="M341" s="403" t="s">
        <v>1283</v>
      </c>
      <c r="N341" s="403">
        <v>720</v>
      </c>
      <c r="O341" s="403">
        <v>480</v>
      </c>
      <c r="P341" t="str">
        <f t="shared" si="41"/>
        <v>60fps 720p full frame rate - SD 4CIF resolution 4:3 format (cropped)</v>
      </c>
      <c r="Q341">
        <f t="shared" si="42"/>
        <v>2</v>
      </c>
      <c r="R341" t="str">
        <f t="shared" si="43"/>
        <v/>
      </c>
      <c r="S341" t="str">
        <f t="shared" si="44"/>
        <v/>
      </c>
      <c r="T341" s="403" t="str">
        <f t="shared" si="45"/>
        <v>MIC-7502-Z30x</v>
      </c>
      <c r="U341" s="403">
        <f t="shared" si="46"/>
        <v>1</v>
      </c>
      <c r="V341" s="403" t="str">
        <f t="shared" si="47"/>
        <v>CPP_7_3</v>
      </c>
    </row>
    <row r="342" spans="1:22">
      <c r="A342" t="str">
        <f t="shared" si="40"/>
        <v>MIC-7502-Z30x</v>
      </c>
      <c r="B342" s="403" t="s">
        <v>1356</v>
      </c>
      <c r="C342" s="403" t="s">
        <v>582</v>
      </c>
      <c r="D342" s="403" t="s">
        <v>1357</v>
      </c>
      <c r="E342" s="403" t="s">
        <v>1359</v>
      </c>
      <c r="F342" s="403" t="s">
        <v>1288</v>
      </c>
      <c r="G342" s="403" t="s">
        <v>1466</v>
      </c>
      <c r="H342" s="403" t="s">
        <v>1281</v>
      </c>
      <c r="I342" s="403">
        <v>1</v>
      </c>
      <c r="J342" s="403" t="s">
        <v>1289</v>
      </c>
      <c r="K342" s="403">
        <v>1280</v>
      </c>
      <c r="L342" s="403">
        <v>720</v>
      </c>
      <c r="M342" s="403" t="s">
        <v>1284</v>
      </c>
      <c r="N342" s="403">
        <v>640</v>
      </c>
      <c r="O342" s="403">
        <v>480</v>
      </c>
      <c r="P342" t="str">
        <f t="shared" si="41"/>
        <v>60fps 720p full frame rate - SD VGA (cropped)</v>
      </c>
      <c r="Q342">
        <f t="shared" si="42"/>
        <v>2</v>
      </c>
      <c r="R342" t="str">
        <f t="shared" si="43"/>
        <v/>
      </c>
      <c r="S342" t="str">
        <f t="shared" si="44"/>
        <v/>
      </c>
      <c r="T342" s="403" t="str">
        <f t="shared" si="45"/>
        <v>MIC-7502-Z30x</v>
      </c>
      <c r="U342" s="403">
        <f t="shared" si="46"/>
        <v>1</v>
      </c>
      <c r="V342" s="403" t="str">
        <f t="shared" si="47"/>
        <v>CPP_7_3</v>
      </c>
    </row>
    <row r="343" spans="1:22">
      <c r="A343" t="str">
        <f t="shared" si="40"/>
        <v>MIC-7502-Z30x</v>
      </c>
      <c r="B343" s="403" t="s">
        <v>1356</v>
      </c>
      <c r="C343" s="403" t="s">
        <v>582</v>
      </c>
      <c r="D343" s="403" t="s">
        <v>1357</v>
      </c>
      <c r="E343" s="403" t="s">
        <v>1359</v>
      </c>
      <c r="F343" s="403" t="s">
        <v>1288</v>
      </c>
      <c r="G343" s="403" t="s">
        <v>1466</v>
      </c>
      <c r="H343" s="403" t="s">
        <v>1282</v>
      </c>
      <c r="I343" s="403">
        <v>1</v>
      </c>
      <c r="J343" s="403" t="s">
        <v>110</v>
      </c>
      <c r="K343" s="403">
        <v>1920</v>
      </c>
      <c r="L343" s="403">
        <v>1080</v>
      </c>
      <c r="M343" s="403" t="s">
        <v>111</v>
      </c>
      <c r="N343" s="403">
        <v>768</v>
      </c>
      <c r="O343" s="403">
        <v>432</v>
      </c>
      <c r="P343" t="str">
        <f t="shared" si="41"/>
        <v>60fps 1080p - SD</v>
      </c>
      <c r="Q343">
        <f t="shared" si="42"/>
        <v>2</v>
      </c>
      <c r="R343" t="str">
        <f t="shared" si="43"/>
        <v/>
      </c>
      <c r="S343" t="str">
        <f t="shared" si="44"/>
        <v/>
      </c>
      <c r="T343" s="403" t="str">
        <f t="shared" si="45"/>
        <v>MIC-7502-Z30x</v>
      </c>
      <c r="U343" s="403">
        <f t="shared" si="46"/>
        <v>1</v>
      </c>
      <c r="V343" s="403" t="str">
        <f t="shared" si="47"/>
        <v>CPP_7_3</v>
      </c>
    </row>
    <row r="344" spans="1:22">
      <c r="A344" t="str">
        <f t="shared" si="40"/>
        <v>MIC-7502-Z30x</v>
      </c>
      <c r="B344" s="403" t="s">
        <v>1356</v>
      </c>
      <c r="C344" s="403" t="s">
        <v>582</v>
      </c>
      <c r="D344" s="403" t="s">
        <v>1357</v>
      </c>
      <c r="E344" s="403" t="s">
        <v>1359</v>
      </c>
      <c r="F344" s="403" t="s">
        <v>1288</v>
      </c>
      <c r="G344" s="403" t="s">
        <v>1466</v>
      </c>
      <c r="H344" s="403" t="s">
        <v>1282</v>
      </c>
      <c r="I344" s="403">
        <v>1</v>
      </c>
      <c r="J344" s="403" t="s">
        <v>110</v>
      </c>
      <c r="K344" s="403">
        <v>1920</v>
      </c>
      <c r="L344" s="403">
        <v>1080</v>
      </c>
      <c r="M344" s="403" t="s">
        <v>1289</v>
      </c>
      <c r="N344" s="403">
        <v>1280</v>
      </c>
      <c r="O344" s="403">
        <v>720</v>
      </c>
      <c r="P344" t="str">
        <f t="shared" si="41"/>
        <v>60fps 1080p - 720p full frame rate</v>
      </c>
      <c r="Q344">
        <f t="shared" si="42"/>
        <v>2</v>
      </c>
      <c r="R344" t="str">
        <f t="shared" si="43"/>
        <v/>
      </c>
      <c r="S344" t="str">
        <f t="shared" si="44"/>
        <v/>
      </c>
      <c r="T344" s="403" t="str">
        <f t="shared" si="45"/>
        <v>MIC-7502-Z30x</v>
      </c>
      <c r="U344" s="403">
        <f t="shared" si="46"/>
        <v>1</v>
      </c>
      <c r="V344" s="403" t="str">
        <f t="shared" si="47"/>
        <v>CPP_7_3</v>
      </c>
    </row>
    <row r="345" spans="1:22">
      <c r="A345" t="str">
        <f t="shared" si="40"/>
        <v>MIC-7502-Z30x</v>
      </c>
      <c r="B345" s="403" t="s">
        <v>1356</v>
      </c>
      <c r="C345" s="403" t="s">
        <v>582</v>
      </c>
      <c r="D345" s="403" t="s">
        <v>1357</v>
      </c>
      <c r="E345" s="403" t="s">
        <v>1359</v>
      </c>
      <c r="F345" s="403" t="s">
        <v>1288</v>
      </c>
      <c r="G345" s="403" t="s">
        <v>1466</v>
      </c>
      <c r="H345" s="403" t="s">
        <v>1282</v>
      </c>
      <c r="I345" s="403">
        <v>1</v>
      </c>
      <c r="J345" s="403" t="s">
        <v>110</v>
      </c>
      <c r="K345" s="403">
        <v>1920</v>
      </c>
      <c r="L345" s="403">
        <v>1080</v>
      </c>
      <c r="M345" s="403" t="s">
        <v>1285</v>
      </c>
      <c r="N345" s="403">
        <v>1280</v>
      </c>
      <c r="O345" s="403">
        <v>1024</v>
      </c>
      <c r="P345" t="str">
        <f t="shared" si="41"/>
        <v>60fps 1080p - 1280x1024 5:4 (cropped)</v>
      </c>
      <c r="Q345">
        <f t="shared" si="42"/>
        <v>2</v>
      </c>
      <c r="R345" t="str">
        <f t="shared" si="43"/>
        <v/>
      </c>
      <c r="S345" t="str">
        <f t="shared" si="44"/>
        <v/>
      </c>
      <c r="T345" s="403" t="str">
        <f t="shared" si="45"/>
        <v>MIC-7502-Z30x</v>
      </c>
      <c r="U345" s="403">
        <f t="shared" si="46"/>
        <v>1</v>
      </c>
      <c r="V345" s="403" t="str">
        <f t="shared" si="47"/>
        <v>CPP_7_3</v>
      </c>
    </row>
    <row r="346" spans="1:22">
      <c r="A346" t="str">
        <f t="shared" si="40"/>
        <v>MIC-7502-Z30x</v>
      </c>
      <c r="B346" s="403" t="s">
        <v>1356</v>
      </c>
      <c r="C346" s="403" t="s">
        <v>582</v>
      </c>
      <c r="D346" s="403" t="s">
        <v>1357</v>
      </c>
      <c r="E346" s="403" t="s">
        <v>1359</v>
      </c>
      <c r="F346" s="403" t="s">
        <v>1288</v>
      </c>
      <c r="G346" s="403" t="s">
        <v>1466</v>
      </c>
      <c r="H346" s="403" t="s">
        <v>1282</v>
      </c>
      <c r="I346" s="403">
        <v>1</v>
      </c>
      <c r="J346" s="403" t="s">
        <v>110</v>
      </c>
      <c r="K346" s="403">
        <v>1920</v>
      </c>
      <c r="L346" s="403">
        <v>1080</v>
      </c>
      <c r="M346" s="403" t="s">
        <v>1283</v>
      </c>
      <c r="N346" s="403">
        <v>720</v>
      </c>
      <c r="O346" s="403">
        <v>480</v>
      </c>
      <c r="P346" t="str">
        <f t="shared" si="41"/>
        <v>60fps 1080p - SD 4CIF resolution 4:3 format (cropped)</v>
      </c>
      <c r="Q346">
        <f t="shared" si="42"/>
        <v>2</v>
      </c>
      <c r="R346" t="str">
        <f t="shared" si="43"/>
        <v/>
      </c>
      <c r="S346" t="str">
        <f t="shared" si="44"/>
        <v/>
      </c>
      <c r="T346" s="403" t="str">
        <f t="shared" si="45"/>
        <v>MIC-7502-Z30x</v>
      </c>
      <c r="U346" s="403">
        <f t="shared" si="46"/>
        <v>1</v>
      </c>
      <c r="V346" s="403" t="str">
        <f t="shared" si="47"/>
        <v>CPP_7_3</v>
      </c>
    </row>
    <row r="347" spans="1:22">
      <c r="A347" t="str">
        <f t="shared" si="40"/>
        <v>MIC-7502-Z30x</v>
      </c>
      <c r="B347" s="403" t="s">
        <v>1356</v>
      </c>
      <c r="C347" s="403" t="s">
        <v>582</v>
      </c>
      <c r="D347" s="403" t="s">
        <v>1357</v>
      </c>
      <c r="E347" s="403" t="s">
        <v>1359</v>
      </c>
      <c r="F347" s="403" t="s">
        <v>1288</v>
      </c>
      <c r="G347" s="403" t="s">
        <v>1466</v>
      </c>
      <c r="H347" s="403" t="s">
        <v>1282</v>
      </c>
      <c r="I347" s="403">
        <v>1</v>
      </c>
      <c r="J347" s="403" t="s">
        <v>110</v>
      </c>
      <c r="K347" s="403">
        <v>1920</v>
      </c>
      <c r="L347" s="403">
        <v>1080</v>
      </c>
      <c r="M347" s="403" t="s">
        <v>1284</v>
      </c>
      <c r="N347" s="403">
        <v>640</v>
      </c>
      <c r="O347" s="403">
        <v>480</v>
      </c>
      <c r="P347" t="str">
        <f t="shared" si="41"/>
        <v>60fps 1080p - SD VGA (cropped)</v>
      </c>
      <c r="Q347">
        <f t="shared" si="42"/>
        <v>2</v>
      </c>
      <c r="R347" t="str">
        <f t="shared" si="43"/>
        <v/>
      </c>
      <c r="S347" t="str">
        <f t="shared" si="44"/>
        <v/>
      </c>
      <c r="T347" s="403" t="str">
        <f t="shared" si="45"/>
        <v>MIC-7502-Z30x</v>
      </c>
      <c r="U347" s="403">
        <f t="shared" si="46"/>
        <v>1</v>
      </c>
      <c r="V347" s="403" t="str">
        <f t="shared" si="47"/>
        <v>CPP_7_3</v>
      </c>
    </row>
    <row r="348" spans="1:22">
      <c r="A348" t="str">
        <f t="shared" si="40"/>
        <v>MIC-7502-Z30x</v>
      </c>
      <c r="B348" s="403" t="s">
        <v>1356</v>
      </c>
      <c r="C348" s="403" t="s">
        <v>582</v>
      </c>
      <c r="D348" s="403" t="s">
        <v>1357</v>
      </c>
      <c r="E348" s="403" t="s">
        <v>1359</v>
      </c>
      <c r="F348" s="403" t="s">
        <v>1288</v>
      </c>
      <c r="G348" s="403" t="s">
        <v>1466</v>
      </c>
      <c r="H348" s="403" t="s">
        <v>1282</v>
      </c>
      <c r="I348" s="403">
        <v>1</v>
      </c>
      <c r="J348" s="403" t="s">
        <v>1289</v>
      </c>
      <c r="K348" s="403">
        <v>1280</v>
      </c>
      <c r="L348" s="403">
        <v>720</v>
      </c>
      <c r="M348" s="403" t="s">
        <v>1289</v>
      </c>
      <c r="N348" s="403">
        <v>1280</v>
      </c>
      <c r="O348" s="403">
        <v>720</v>
      </c>
      <c r="P348" t="str">
        <f t="shared" si="41"/>
        <v>60fps 720p full frame rate - 720p full frame rate</v>
      </c>
      <c r="Q348">
        <f t="shared" si="42"/>
        <v>2</v>
      </c>
      <c r="R348" t="str">
        <f t="shared" si="43"/>
        <v/>
      </c>
      <c r="S348" t="str">
        <f t="shared" si="44"/>
        <v/>
      </c>
      <c r="T348" s="403" t="str">
        <f t="shared" si="45"/>
        <v>MIC-7502-Z30x</v>
      </c>
      <c r="U348" s="403">
        <f t="shared" si="46"/>
        <v>1</v>
      </c>
      <c r="V348" s="403" t="str">
        <f t="shared" si="47"/>
        <v>CPP_7_3</v>
      </c>
    </row>
    <row r="349" spans="1:22">
      <c r="A349" t="str">
        <f t="shared" si="40"/>
        <v>MIC-7502-Z30x</v>
      </c>
      <c r="B349" s="403" t="s">
        <v>1356</v>
      </c>
      <c r="C349" s="403" t="s">
        <v>582</v>
      </c>
      <c r="D349" s="403" t="s">
        <v>1357</v>
      </c>
      <c r="E349" s="403" t="s">
        <v>1359</v>
      </c>
      <c r="F349" s="403" t="s">
        <v>1288</v>
      </c>
      <c r="G349" s="403" t="s">
        <v>1466</v>
      </c>
      <c r="H349" s="403" t="s">
        <v>1282</v>
      </c>
      <c r="I349" s="403">
        <v>1</v>
      </c>
      <c r="J349" s="403" t="s">
        <v>1289</v>
      </c>
      <c r="K349" s="403">
        <v>1280</v>
      </c>
      <c r="L349" s="403">
        <v>720</v>
      </c>
      <c r="M349" s="403" t="s">
        <v>111</v>
      </c>
      <c r="N349" s="403">
        <v>768</v>
      </c>
      <c r="O349" s="403">
        <v>432</v>
      </c>
      <c r="P349" t="str">
        <f t="shared" si="41"/>
        <v>60fps 720p full frame rate - SD</v>
      </c>
      <c r="Q349">
        <f t="shared" si="42"/>
        <v>2</v>
      </c>
      <c r="R349" t="str">
        <f t="shared" si="43"/>
        <v/>
      </c>
      <c r="S349" t="str">
        <f t="shared" si="44"/>
        <v/>
      </c>
      <c r="T349" s="403" t="str">
        <f t="shared" si="45"/>
        <v>MIC-7502-Z30x</v>
      </c>
      <c r="U349" s="403">
        <f t="shared" si="46"/>
        <v>1</v>
      </c>
      <c r="V349" s="403" t="str">
        <f t="shared" si="47"/>
        <v>CPP_7_3</v>
      </c>
    </row>
    <row r="350" spans="1:22">
      <c r="A350" t="str">
        <f t="shared" si="40"/>
        <v>MIC-7502-Z30x</v>
      </c>
      <c r="B350" s="403" t="s">
        <v>1356</v>
      </c>
      <c r="C350" s="403" t="s">
        <v>582</v>
      </c>
      <c r="D350" s="403" t="s">
        <v>1357</v>
      </c>
      <c r="E350" s="403" t="s">
        <v>1359</v>
      </c>
      <c r="F350" s="403" t="s">
        <v>1288</v>
      </c>
      <c r="G350" s="403" t="s">
        <v>1466</v>
      </c>
      <c r="H350" s="403" t="s">
        <v>1282</v>
      </c>
      <c r="I350" s="403">
        <v>1</v>
      </c>
      <c r="J350" s="403" t="s">
        <v>1289</v>
      </c>
      <c r="K350" s="403">
        <v>1280</v>
      </c>
      <c r="L350" s="403">
        <v>720</v>
      </c>
      <c r="M350" s="403" t="s">
        <v>1283</v>
      </c>
      <c r="N350" s="403">
        <v>720</v>
      </c>
      <c r="O350" s="403">
        <v>480</v>
      </c>
      <c r="P350" t="str">
        <f t="shared" si="41"/>
        <v>60fps 720p full frame rate - SD 4CIF resolution 4:3 format (cropped)</v>
      </c>
      <c r="Q350">
        <f t="shared" si="42"/>
        <v>2</v>
      </c>
      <c r="R350" t="str">
        <f t="shared" si="43"/>
        <v/>
      </c>
      <c r="S350" t="str">
        <f t="shared" si="44"/>
        <v/>
      </c>
      <c r="T350" s="403" t="str">
        <f t="shared" si="45"/>
        <v>MIC-7502-Z30x</v>
      </c>
      <c r="U350" s="403">
        <f t="shared" si="46"/>
        <v>1</v>
      </c>
      <c r="V350" s="403" t="str">
        <f t="shared" si="47"/>
        <v>CPP_7_3</v>
      </c>
    </row>
    <row r="351" spans="1:22">
      <c r="A351" t="str">
        <f t="shared" si="40"/>
        <v>MIC-7502-Z30x</v>
      </c>
      <c r="B351" s="403" t="s">
        <v>1356</v>
      </c>
      <c r="C351" s="403" t="s">
        <v>582</v>
      </c>
      <c r="D351" s="403" t="s">
        <v>1357</v>
      </c>
      <c r="E351" s="403" t="s">
        <v>1359</v>
      </c>
      <c r="F351" s="403" t="s">
        <v>1288</v>
      </c>
      <c r="G351" s="403" t="s">
        <v>1466</v>
      </c>
      <c r="H351" s="403" t="s">
        <v>1282</v>
      </c>
      <c r="I351" s="403">
        <v>1</v>
      </c>
      <c r="J351" s="403" t="s">
        <v>1289</v>
      </c>
      <c r="K351" s="403">
        <v>1280</v>
      </c>
      <c r="L351" s="403">
        <v>720</v>
      </c>
      <c r="M351" s="403" t="s">
        <v>1284</v>
      </c>
      <c r="N351" s="403">
        <v>640</v>
      </c>
      <c r="O351" s="403">
        <v>480</v>
      </c>
      <c r="P351" t="str">
        <f t="shared" si="41"/>
        <v>60fps 720p full frame rate - SD VGA (cropped)</v>
      </c>
      <c r="Q351">
        <f t="shared" si="42"/>
        <v>2</v>
      </c>
      <c r="R351" t="str">
        <f t="shared" si="43"/>
        <v/>
      </c>
      <c r="S351" t="str">
        <f t="shared" si="44"/>
        <v/>
      </c>
      <c r="T351" s="403" t="str">
        <f t="shared" si="45"/>
        <v>MIC-7502-Z30x</v>
      </c>
      <c r="U351" s="403">
        <f t="shared" si="46"/>
        <v>1</v>
      </c>
      <c r="V351" s="403" t="str">
        <f t="shared" si="47"/>
        <v>CPP_7_3</v>
      </c>
    </row>
    <row r="352" spans="1:22">
      <c r="A352" t="str">
        <f t="shared" si="40"/>
        <v>MIC-7504-Z12xR</v>
      </c>
      <c r="B352" s="403" t="s">
        <v>1360</v>
      </c>
      <c r="C352" s="403" t="s">
        <v>582</v>
      </c>
      <c r="D352" s="403" t="s">
        <v>1361</v>
      </c>
      <c r="E352" s="403" t="s">
        <v>778</v>
      </c>
      <c r="F352" s="403" t="s">
        <v>1325</v>
      </c>
      <c r="G352" s="403" t="s">
        <v>1466</v>
      </c>
      <c r="H352" s="403" t="s">
        <v>1276</v>
      </c>
      <c r="I352" s="403">
        <v>1</v>
      </c>
      <c r="J352" s="403" t="s">
        <v>194</v>
      </c>
      <c r="K352" s="403">
        <v>3840</v>
      </c>
      <c r="L352" s="403">
        <v>2160</v>
      </c>
      <c r="M352" s="403" t="s">
        <v>111</v>
      </c>
      <c r="N352" s="403">
        <v>768</v>
      </c>
      <c r="O352" s="403">
        <v>432</v>
      </c>
      <c r="P352" t="str">
        <f t="shared" si="41"/>
        <v>25fps 3840x2160 - SD</v>
      </c>
      <c r="Q352">
        <f t="shared" si="42"/>
        <v>3</v>
      </c>
      <c r="R352">
        <f t="shared" si="43"/>
        <v>3</v>
      </c>
      <c r="S352" t="str">
        <f t="shared" si="44"/>
        <v>MIC IP ultra 7100i (MIC-7504-Z12xR)</v>
      </c>
      <c r="T352" s="403" t="str">
        <f t="shared" si="45"/>
        <v>MIC-7504-Z12xR</v>
      </c>
      <c r="U352" s="403">
        <f t="shared" si="46"/>
        <v>1</v>
      </c>
      <c r="V352" s="403" t="str">
        <f t="shared" si="47"/>
        <v>CPP_7_3</v>
      </c>
    </row>
    <row r="353" spans="1:22">
      <c r="A353" t="str">
        <f t="shared" si="40"/>
        <v>MIC-7504-Z12xR</v>
      </c>
      <c r="B353" s="403" t="s">
        <v>1360</v>
      </c>
      <c r="C353" s="403" t="s">
        <v>582</v>
      </c>
      <c r="D353" s="403" t="s">
        <v>1361</v>
      </c>
      <c r="E353" s="403" t="s">
        <v>778</v>
      </c>
      <c r="F353" s="403" t="s">
        <v>1325</v>
      </c>
      <c r="G353" s="403" t="s">
        <v>1466</v>
      </c>
      <c r="H353" s="403" t="s">
        <v>1276</v>
      </c>
      <c r="I353" s="403">
        <v>1</v>
      </c>
      <c r="J353" s="403" t="s">
        <v>194</v>
      </c>
      <c r="K353" s="403">
        <v>3840</v>
      </c>
      <c r="L353" s="403">
        <v>2160</v>
      </c>
      <c r="M353" s="403" t="s">
        <v>1280</v>
      </c>
      <c r="N353" s="403">
        <v>3840</v>
      </c>
      <c r="O353" s="403">
        <v>2160</v>
      </c>
      <c r="P353" t="str">
        <f t="shared" si="41"/>
        <v>25fps 3840x2160 - copy other stream</v>
      </c>
      <c r="Q353">
        <f t="shared" si="42"/>
        <v>3</v>
      </c>
      <c r="R353" t="str">
        <f t="shared" si="43"/>
        <v/>
      </c>
      <c r="S353" t="str">
        <f t="shared" si="44"/>
        <v/>
      </c>
      <c r="T353" s="403" t="str">
        <f t="shared" si="45"/>
        <v>MIC-7504-Z12xR</v>
      </c>
      <c r="U353" s="403">
        <f t="shared" si="46"/>
        <v>1</v>
      </c>
      <c r="V353" s="403" t="str">
        <f t="shared" si="47"/>
        <v>CPP_7_3</v>
      </c>
    </row>
    <row r="354" spans="1:22">
      <c r="A354" t="str">
        <f t="shared" si="40"/>
        <v>MIC-7504-Z12xR</v>
      </c>
      <c r="B354" s="403" t="s">
        <v>1360</v>
      </c>
      <c r="C354" s="403" t="s">
        <v>582</v>
      </c>
      <c r="D354" s="403" t="s">
        <v>1361</v>
      </c>
      <c r="E354" s="403" t="s">
        <v>778</v>
      </c>
      <c r="F354" s="403" t="s">
        <v>1325</v>
      </c>
      <c r="G354" s="403" t="s">
        <v>1466</v>
      </c>
      <c r="H354" s="403" t="s">
        <v>1276</v>
      </c>
      <c r="I354" s="403">
        <v>1</v>
      </c>
      <c r="J354" s="403" t="s">
        <v>194</v>
      </c>
      <c r="K354" s="403">
        <v>3840</v>
      </c>
      <c r="L354" s="403">
        <v>2160</v>
      </c>
      <c r="M354" s="403" t="s">
        <v>1362</v>
      </c>
      <c r="N354" s="403">
        <v>3840</v>
      </c>
      <c r="O354" s="403">
        <v>2160</v>
      </c>
      <c r="P354" t="str">
        <f t="shared" si="41"/>
        <v>25fps 3840x2160 - 3840x2160 @ SKIP6</v>
      </c>
      <c r="Q354">
        <f t="shared" si="42"/>
        <v>3</v>
      </c>
      <c r="R354" t="str">
        <f t="shared" si="43"/>
        <v/>
      </c>
      <c r="S354" t="str">
        <f t="shared" si="44"/>
        <v/>
      </c>
      <c r="T354" s="403" t="str">
        <f t="shared" si="45"/>
        <v>MIC-7504-Z12xR</v>
      </c>
      <c r="U354" s="403">
        <f t="shared" si="46"/>
        <v>1</v>
      </c>
      <c r="V354" s="403" t="str">
        <f t="shared" si="47"/>
        <v>CPP_7_3</v>
      </c>
    </row>
    <row r="355" spans="1:22">
      <c r="A355" t="str">
        <f t="shared" si="40"/>
        <v>MIC-7504-Z12xR</v>
      </c>
      <c r="B355" s="403" t="s">
        <v>1360</v>
      </c>
      <c r="C355" s="403" t="s">
        <v>582</v>
      </c>
      <c r="D355" s="403" t="s">
        <v>1361</v>
      </c>
      <c r="E355" s="403" t="s">
        <v>778</v>
      </c>
      <c r="F355" s="403" t="s">
        <v>1325</v>
      </c>
      <c r="G355" s="403" t="s">
        <v>1466</v>
      </c>
      <c r="H355" s="403" t="s">
        <v>1276</v>
      </c>
      <c r="I355" s="403">
        <v>1</v>
      </c>
      <c r="J355" s="403" t="s">
        <v>194</v>
      </c>
      <c r="K355" s="403">
        <v>3840</v>
      </c>
      <c r="L355" s="403">
        <v>2160</v>
      </c>
      <c r="M355" s="403" t="s">
        <v>1363</v>
      </c>
      <c r="N355" s="403">
        <v>1920</v>
      </c>
      <c r="O355" s="403">
        <v>1080</v>
      </c>
      <c r="P355" t="str">
        <f t="shared" si="41"/>
        <v>25fps 3840x2160 - 1920x1080 @ SKIP 2</v>
      </c>
      <c r="Q355">
        <f t="shared" si="42"/>
        <v>3</v>
      </c>
      <c r="R355" t="str">
        <f t="shared" si="43"/>
        <v/>
      </c>
      <c r="S355" t="str">
        <f t="shared" si="44"/>
        <v/>
      </c>
      <c r="T355" s="403" t="str">
        <f t="shared" si="45"/>
        <v>MIC-7504-Z12xR</v>
      </c>
      <c r="U355" s="403">
        <f t="shared" si="46"/>
        <v>1</v>
      </c>
      <c r="V355" s="403" t="str">
        <f t="shared" si="47"/>
        <v>CPP_7_3</v>
      </c>
    </row>
    <row r="356" spans="1:22">
      <c r="A356" t="str">
        <f t="shared" si="40"/>
        <v>MIC-7504-Z12xR</v>
      </c>
      <c r="B356" s="403" t="s">
        <v>1360</v>
      </c>
      <c r="C356" s="403" t="s">
        <v>582</v>
      </c>
      <c r="D356" s="403" t="s">
        <v>1361</v>
      </c>
      <c r="E356" s="403" t="s">
        <v>778</v>
      </c>
      <c r="F356" s="403" t="s">
        <v>1325</v>
      </c>
      <c r="G356" s="403" t="s">
        <v>1466</v>
      </c>
      <c r="H356" s="403" t="s">
        <v>1276</v>
      </c>
      <c r="I356" s="403">
        <v>1</v>
      </c>
      <c r="J356" s="403" t="s">
        <v>194</v>
      </c>
      <c r="K356" s="403">
        <v>3840</v>
      </c>
      <c r="L356" s="403">
        <v>2160</v>
      </c>
      <c r="M356" s="403" t="s">
        <v>109</v>
      </c>
      <c r="N356" s="403">
        <v>1280</v>
      </c>
      <c r="O356" s="403">
        <v>720</v>
      </c>
      <c r="P356" t="str">
        <f t="shared" si="41"/>
        <v>25fps 3840x2160 - 720p</v>
      </c>
      <c r="Q356">
        <f t="shared" si="42"/>
        <v>3</v>
      </c>
      <c r="R356" t="str">
        <f t="shared" si="43"/>
        <v/>
      </c>
      <c r="S356" t="str">
        <f t="shared" si="44"/>
        <v/>
      </c>
      <c r="T356" s="403" t="str">
        <f t="shared" si="45"/>
        <v>MIC-7504-Z12xR</v>
      </c>
      <c r="U356" s="403">
        <f t="shared" si="46"/>
        <v>1</v>
      </c>
      <c r="V356" s="403" t="str">
        <f t="shared" si="47"/>
        <v>CPP_7_3</v>
      </c>
    </row>
    <row r="357" spans="1:22">
      <c r="A357" t="str">
        <f t="shared" si="40"/>
        <v>MIC-7504-Z12xR</v>
      </c>
      <c r="B357" s="403" t="s">
        <v>1360</v>
      </c>
      <c r="C357" s="403" t="s">
        <v>582</v>
      </c>
      <c r="D357" s="403" t="s">
        <v>1361</v>
      </c>
      <c r="E357" s="403" t="s">
        <v>778</v>
      </c>
      <c r="F357" s="403" t="s">
        <v>1325</v>
      </c>
      <c r="G357" s="403" t="s">
        <v>1466</v>
      </c>
      <c r="H357" s="403" t="s">
        <v>1276</v>
      </c>
      <c r="I357" s="403">
        <v>1</v>
      </c>
      <c r="J357" s="403" t="s">
        <v>194</v>
      </c>
      <c r="K357" s="403">
        <v>3840</v>
      </c>
      <c r="L357" s="403">
        <v>2160</v>
      </c>
      <c r="M357" s="403" t="s">
        <v>1283</v>
      </c>
      <c r="N357" s="403">
        <v>720</v>
      </c>
      <c r="O357" s="403">
        <v>576</v>
      </c>
      <c r="P357" t="str">
        <f t="shared" si="41"/>
        <v>25fps 3840x2160 - SD 4CIF resolution 4:3 format (cropped)</v>
      </c>
      <c r="Q357">
        <f t="shared" si="42"/>
        <v>3</v>
      </c>
      <c r="R357" t="str">
        <f t="shared" si="43"/>
        <v/>
      </c>
      <c r="S357" t="str">
        <f t="shared" si="44"/>
        <v/>
      </c>
      <c r="T357" s="403" t="str">
        <f t="shared" si="45"/>
        <v>MIC-7504-Z12xR</v>
      </c>
      <c r="U357" s="403">
        <f t="shared" si="46"/>
        <v>1</v>
      </c>
      <c r="V357" s="403" t="str">
        <f t="shared" si="47"/>
        <v>CPP_7_3</v>
      </c>
    </row>
    <row r="358" spans="1:22">
      <c r="A358" t="str">
        <f t="shared" si="40"/>
        <v>MIC-7504-Z12xR</v>
      </c>
      <c r="B358" s="403" t="s">
        <v>1360</v>
      </c>
      <c r="C358" s="403" t="s">
        <v>582</v>
      </c>
      <c r="D358" s="403" t="s">
        <v>1361</v>
      </c>
      <c r="E358" s="403" t="s">
        <v>778</v>
      </c>
      <c r="F358" s="403" t="s">
        <v>1325</v>
      </c>
      <c r="G358" s="403" t="s">
        <v>1466</v>
      </c>
      <c r="H358" s="403" t="s">
        <v>1276</v>
      </c>
      <c r="I358" s="403">
        <v>1</v>
      </c>
      <c r="J358" s="403" t="s">
        <v>194</v>
      </c>
      <c r="K358" s="403">
        <v>3840</v>
      </c>
      <c r="L358" s="403">
        <v>2160</v>
      </c>
      <c r="M358" s="403" t="s">
        <v>1284</v>
      </c>
      <c r="N358" s="403">
        <v>640</v>
      </c>
      <c r="O358" s="403">
        <v>480</v>
      </c>
      <c r="P358" t="str">
        <f t="shared" si="41"/>
        <v>25fps 3840x2160 - SD VGA (cropped)</v>
      </c>
      <c r="Q358">
        <f t="shared" si="42"/>
        <v>3</v>
      </c>
      <c r="R358" t="str">
        <f t="shared" si="43"/>
        <v/>
      </c>
      <c r="S358" t="str">
        <f t="shared" si="44"/>
        <v/>
      </c>
      <c r="T358" s="403" t="str">
        <f t="shared" si="45"/>
        <v>MIC-7504-Z12xR</v>
      </c>
      <c r="U358" s="403">
        <f t="shared" si="46"/>
        <v>1</v>
      </c>
      <c r="V358" s="403" t="str">
        <f t="shared" si="47"/>
        <v>CPP_7_3</v>
      </c>
    </row>
    <row r="359" spans="1:22">
      <c r="A359" t="str">
        <f t="shared" si="40"/>
        <v>MIC-7504-Z12xR</v>
      </c>
      <c r="B359" s="403" t="s">
        <v>1360</v>
      </c>
      <c r="C359" s="403" t="s">
        <v>582</v>
      </c>
      <c r="D359" s="403" t="s">
        <v>1361</v>
      </c>
      <c r="E359" s="403" t="s">
        <v>778</v>
      </c>
      <c r="F359" s="403" t="s">
        <v>1325</v>
      </c>
      <c r="G359" s="403" t="s">
        <v>1466</v>
      </c>
      <c r="H359" s="403" t="s">
        <v>1276</v>
      </c>
      <c r="I359" s="403">
        <v>1</v>
      </c>
      <c r="J359" s="403" t="s">
        <v>194</v>
      </c>
      <c r="K359" s="403">
        <v>3840</v>
      </c>
      <c r="L359" s="403">
        <v>2160</v>
      </c>
      <c r="M359" s="403" t="s">
        <v>1285</v>
      </c>
      <c r="N359" s="403">
        <v>1280</v>
      </c>
      <c r="O359" s="403">
        <v>1024</v>
      </c>
      <c r="P359" t="str">
        <f t="shared" si="41"/>
        <v>25fps 3840x2160 - 1280x1024 5:4 (cropped)</v>
      </c>
      <c r="Q359">
        <f t="shared" si="42"/>
        <v>3</v>
      </c>
      <c r="R359" t="str">
        <f t="shared" si="43"/>
        <v/>
      </c>
      <c r="S359" t="str">
        <f t="shared" si="44"/>
        <v/>
      </c>
      <c r="T359" s="403" t="str">
        <f t="shared" si="45"/>
        <v>MIC-7504-Z12xR</v>
      </c>
      <c r="U359" s="403">
        <f t="shared" si="46"/>
        <v>1</v>
      </c>
      <c r="V359" s="403" t="str">
        <f t="shared" si="47"/>
        <v>CPP_7_3</v>
      </c>
    </row>
    <row r="360" spans="1:22">
      <c r="A360" t="str">
        <f t="shared" si="40"/>
        <v>MIC-7504-Z12xR</v>
      </c>
      <c r="B360" s="403" t="s">
        <v>1360</v>
      </c>
      <c r="C360" s="403" t="s">
        <v>582</v>
      </c>
      <c r="D360" s="403" t="s">
        <v>1361</v>
      </c>
      <c r="E360" s="403" t="s">
        <v>778</v>
      </c>
      <c r="F360" s="403" t="s">
        <v>1325</v>
      </c>
      <c r="G360" s="403" t="s">
        <v>1466</v>
      </c>
      <c r="H360" s="403" t="s">
        <v>1276</v>
      </c>
      <c r="I360" s="403">
        <v>1</v>
      </c>
      <c r="J360" s="403" t="s">
        <v>1324</v>
      </c>
      <c r="K360" s="403">
        <v>3584</v>
      </c>
      <c r="L360" s="403">
        <v>2016</v>
      </c>
      <c r="M360" s="403" t="s">
        <v>111</v>
      </c>
      <c r="N360" s="403">
        <v>768</v>
      </c>
      <c r="O360" s="403">
        <v>432</v>
      </c>
      <c r="P360" t="str">
        <f t="shared" si="41"/>
        <v>25fps 3584x2016 - SD</v>
      </c>
      <c r="Q360">
        <f t="shared" si="42"/>
        <v>3</v>
      </c>
      <c r="R360" t="str">
        <f t="shared" si="43"/>
        <v/>
      </c>
      <c r="S360" t="str">
        <f t="shared" si="44"/>
        <v/>
      </c>
      <c r="T360" s="403" t="str">
        <f t="shared" si="45"/>
        <v>MIC-7504-Z12xR</v>
      </c>
      <c r="U360" s="403">
        <f t="shared" si="46"/>
        <v>1</v>
      </c>
      <c r="V360" s="403" t="str">
        <f t="shared" si="47"/>
        <v>CPP_7_3</v>
      </c>
    </row>
    <row r="361" spans="1:22">
      <c r="A361" t="str">
        <f t="shared" si="40"/>
        <v>MIC-7504-Z12xR</v>
      </c>
      <c r="B361" s="403" t="s">
        <v>1360</v>
      </c>
      <c r="C361" s="403" t="s">
        <v>582</v>
      </c>
      <c r="D361" s="403" t="s">
        <v>1361</v>
      </c>
      <c r="E361" s="403" t="s">
        <v>778</v>
      </c>
      <c r="F361" s="403" t="s">
        <v>1325</v>
      </c>
      <c r="G361" s="403" t="s">
        <v>1466</v>
      </c>
      <c r="H361" s="403" t="s">
        <v>1276</v>
      </c>
      <c r="I361" s="403">
        <v>1</v>
      </c>
      <c r="J361" s="403" t="s">
        <v>1324</v>
      </c>
      <c r="K361" s="403">
        <v>3584</v>
      </c>
      <c r="L361" s="403">
        <v>2016</v>
      </c>
      <c r="M361" s="403" t="s">
        <v>1280</v>
      </c>
      <c r="N361" s="403">
        <v>3584</v>
      </c>
      <c r="O361" s="403">
        <v>2016</v>
      </c>
      <c r="P361" t="str">
        <f t="shared" si="41"/>
        <v>25fps 3584x2016 - copy other stream</v>
      </c>
      <c r="Q361">
        <f t="shared" si="42"/>
        <v>3</v>
      </c>
      <c r="R361" t="str">
        <f t="shared" si="43"/>
        <v/>
      </c>
      <c r="S361" t="str">
        <f t="shared" si="44"/>
        <v/>
      </c>
      <c r="T361" s="403" t="str">
        <f t="shared" si="45"/>
        <v>MIC-7504-Z12xR</v>
      </c>
      <c r="U361" s="403">
        <f t="shared" si="46"/>
        <v>1</v>
      </c>
      <c r="V361" s="403" t="str">
        <f t="shared" si="47"/>
        <v>CPP_7_3</v>
      </c>
    </row>
    <row r="362" spans="1:22">
      <c r="A362" t="str">
        <f t="shared" si="40"/>
        <v>MIC-7504-Z12xR</v>
      </c>
      <c r="B362" s="403" t="s">
        <v>1360</v>
      </c>
      <c r="C362" s="403" t="s">
        <v>582</v>
      </c>
      <c r="D362" s="403" t="s">
        <v>1361</v>
      </c>
      <c r="E362" s="403" t="s">
        <v>778</v>
      </c>
      <c r="F362" s="403" t="s">
        <v>1325</v>
      </c>
      <c r="G362" s="403" t="s">
        <v>1466</v>
      </c>
      <c r="H362" s="403" t="s">
        <v>1276</v>
      </c>
      <c r="I362" s="403">
        <v>1</v>
      </c>
      <c r="J362" s="403" t="s">
        <v>1324</v>
      </c>
      <c r="K362" s="403">
        <v>3584</v>
      </c>
      <c r="L362" s="403">
        <v>2016</v>
      </c>
      <c r="M362" s="403" t="s">
        <v>1364</v>
      </c>
      <c r="N362" s="403">
        <v>3584</v>
      </c>
      <c r="O362" s="403">
        <v>2016</v>
      </c>
      <c r="P362" t="str">
        <f t="shared" si="41"/>
        <v>25fps 3584x2016 - 3584x2016 @ SKIP6</v>
      </c>
      <c r="Q362">
        <f t="shared" si="42"/>
        <v>3</v>
      </c>
      <c r="R362" t="str">
        <f t="shared" si="43"/>
        <v/>
      </c>
      <c r="S362" t="str">
        <f t="shared" si="44"/>
        <v/>
      </c>
      <c r="T362" s="403" t="str">
        <f t="shared" si="45"/>
        <v>MIC-7504-Z12xR</v>
      </c>
      <c r="U362" s="403">
        <f t="shared" si="46"/>
        <v>1</v>
      </c>
      <c r="V362" s="403" t="str">
        <f t="shared" si="47"/>
        <v>CPP_7_3</v>
      </c>
    </row>
    <row r="363" spans="1:22">
      <c r="A363" t="str">
        <f t="shared" si="40"/>
        <v>MIC-7504-Z12xR</v>
      </c>
      <c r="B363" s="403" t="s">
        <v>1360</v>
      </c>
      <c r="C363" s="403" t="s">
        <v>582</v>
      </c>
      <c r="D363" s="403" t="s">
        <v>1361</v>
      </c>
      <c r="E363" s="403" t="s">
        <v>778</v>
      </c>
      <c r="F363" s="403" t="s">
        <v>1325</v>
      </c>
      <c r="G363" s="403" t="s">
        <v>1466</v>
      </c>
      <c r="H363" s="403" t="s">
        <v>1276</v>
      </c>
      <c r="I363" s="403">
        <v>1</v>
      </c>
      <c r="J363" s="403" t="s">
        <v>1324</v>
      </c>
      <c r="K363" s="403">
        <v>3584</v>
      </c>
      <c r="L363" s="403">
        <v>2016</v>
      </c>
      <c r="M363" s="403" t="s">
        <v>110</v>
      </c>
      <c r="N363" s="403">
        <v>1920</v>
      </c>
      <c r="O363" s="403">
        <v>1080</v>
      </c>
      <c r="P363" t="str">
        <f t="shared" si="41"/>
        <v>25fps 3584x2016 - 1080p</v>
      </c>
      <c r="Q363">
        <f t="shared" si="42"/>
        <v>3</v>
      </c>
      <c r="R363" t="str">
        <f t="shared" si="43"/>
        <v/>
      </c>
      <c r="S363" t="str">
        <f t="shared" si="44"/>
        <v/>
      </c>
      <c r="T363" s="403" t="str">
        <f t="shared" si="45"/>
        <v>MIC-7504-Z12xR</v>
      </c>
      <c r="U363" s="403">
        <f t="shared" si="46"/>
        <v>1</v>
      </c>
      <c r="V363" s="403" t="str">
        <f t="shared" si="47"/>
        <v>CPP_7_3</v>
      </c>
    </row>
    <row r="364" spans="1:22">
      <c r="A364" t="str">
        <f t="shared" si="40"/>
        <v>MIC-7504-Z12xR</v>
      </c>
      <c r="B364" s="403" t="s">
        <v>1360</v>
      </c>
      <c r="C364" s="403" t="s">
        <v>582</v>
      </c>
      <c r="D364" s="403" t="s">
        <v>1361</v>
      </c>
      <c r="E364" s="403" t="s">
        <v>778</v>
      </c>
      <c r="F364" s="403" t="s">
        <v>1325</v>
      </c>
      <c r="G364" s="403" t="s">
        <v>1466</v>
      </c>
      <c r="H364" s="403" t="s">
        <v>1276</v>
      </c>
      <c r="I364" s="403">
        <v>1</v>
      </c>
      <c r="J364" s="403" t="s">
        <v>1324</v>
      </c>
      <c r="K364" s="403">
        <v>3584</v>
      </c>
      <c r="L364" s="403">
        <v>2016</v>
      </c>
      <c r="M364" s="403" t="s">
        <v>109</v>
      </c>
      <c r="N364" s="403">
        <v>1280</v>
      </c>
      <c r="O364" s="403">
        <v>720</v>
      </c>
      <c r="P364" t="str">
        <f t="shared" si="41"/>
        <v>25fps 3584x2016 - 720p</v>
      </c>
      <c r="Q364">
        <f t="shared" si="42"/>
        <v>3</v>
      </c>
      <c r="R364" t="str">
        <f t="shared" si="43"/>
        <v/>
      </c>
      <c r="S364" t="str">
        <f t="shared" si="44"/>
        <v/>
      </c>
      <c r="T364" s="403" t="str">
        <f t="shared" si="45"/>
        <v>MIC-7504-Z12xR</v>
      </c>
      <c r="U364" s="403">
        <f t="shared" si="46"/>
        <v>1</v>
      </c>
      <c r="V364" s="403" t="str">
        <f t="shared" si="47"/>
        <v>CPP_7_3</v>
      </c>
    </row>
    <row r="365" spans="1:22">
      <c r="A365" t="str">
        <f t="shared" si="40"/>
        <v>MIC-7504-Z12xR</v>
      </c>
      <c r="B365" s="403" t="s">
        <v>1360</v>
      </c>
      <c r="C365" s="403" t="s">
        <v>582</v>
      </c>
      <c r="D365" s="403" t="s">
        <v>1361</v>
      </c>
      <c r="E365" s="403" t="s">
        <v>778</v>
      </c>
      <c r="F365" s="403" t="s">
        <v>1325</v>
      </c>
      <c r="G365" s="403" t="s">
        <v>1466</v>
      </c>
      <c r="H365" s="403" t="s">
        <v>1276</v>
      </c>
      <c r="I365" s="403">
        <v>1</v>
      </c>
      <c r="J365" s="403" t="s">
        <v>1324</v>
      </c>
      <c r="K365" s="403">
        <v>3584</v>
      </c>
      <c r="L365" s="403">
        <v>2016</v>
      </c>
      <c r="M365" s="403" t="s">
        <v>1283</v>
      </c>
      <c r="N365" s="403">
        <v>720</v>
      </c>
      <c r="O365" s="403">
        <v>576</v>
      </c>
      <c r="P365" t="str">
        <f t="shared" si="41"/>
        <v>25fps 3584x2016 - SD 4CIF resolution 4:3 format (cropped)</v>
      </c>
      <c r="Q365">
        <f t="shared" si="42"/>
        <v>3</v>
      </c>
      <c r="R365" t="str">
        <f t="shared" si="43"/>
        <v/>
      </c>
      <c r="S365" t="str">
        <f t="shared" si="44"/>
        <v/>
      </c>
      <c r="T365" s="403" t="str">
        <f t="shared" si="45"/>
        <v>MIC-7504-Z12xR</v>
      </c>
      <c r="U365" s="403">
        <f t="shared" si="46"/>
        <v>1</v>
      </c>
      <c r="V365" s="403" t="str">
        <f t="shared" si="47"/>
        <v>CPP_7_3</v>
      </c>
    </row>
    <row r="366" spans="1:22">
      <c r="A366" t="str">
        <f t="shared" si="40"/>
        <v>MIC-7504-Z12xR</v>
      </c>
      <c r="B366" s="403" t="s">
        <v>1360</v>
      </c>
      <c r="C366" s="403" t="s">
        <v>582</v>
      </c>
      <c r="D366" s="403" t="s">
        <v>1361</v>
      </c>
      <c r="E366" s="403" t="s">
        <v>778</v>
      </c>
      <c r="F366" s="403" t="s">
        <v>1325</v>
      </c>
      <c r="G366" s="403" t="s">
        <v>1466</v>
      </c>
      <c r="H366" s="403" t="s">
        <v>1276</v>
      </c>
      <c r="I366" s="403">
        <v>1</v>
      </c>
      <c r="J366" s="403" t="s">
        <v>1324</v>
      </c>
      <c r="K366" s="403">
        <v>3584</v>
      </c>
      <c r="L366" s="403">
        <v>2016</v>
      </c>
      <c r="M366" s="403" t="s">
        <v>1284</v>
      </c>
      <c r="N366" s="403">
        <v>640</v>
      </c>
      <c r="O366" s="403">
        <v>480</v>
      </c>
      <c r="P366" t="str">
        <f t="shared" si="41"/>
        <v>25fps 3584x2016 - SD VGA (cropped)</v>
      </c>
      <c r="Q366">
        <f t="shared" si="42"/>
        <v>3</v>
      </c>
      <c r="R366" t="str">
        <f t="shared" si="43"/>
        <v/>
      </c>
      <c r="S366" t="str">
        <f t="shared" si="44"/>
        <v/>
      </c>
      <c r="T366" s="403" t="str">
        <f t="shared" si="45"/>
        <v>MIC-7504-Z12xR</v>
      </c>
      <c r="U366" s="403">
        <f t="shared" si="46"/>
        <v>1</v>
      </c>
      <c r="V366" s="403" t="str">
        <f t="shared" si="47"/>
        <v>CPP_7_3</v>
      </c>
    </row>
    <row r="367" spans="1:22">
      <c r="A367" t="str">
        <f t="shared" si="40"/>
        <v>MIC-7504-Z12xR</v>
      </c>
      <c r="B367" s="403" t="s">
        <v>1360</v>
      </c>
      <c r="C367" s="403" t="s">
        <v>582</v>
      </c>
      <c r="D367" s="403" t="s">
        <v>1361</v>
      </c>
      <c r="E367" s="403" t="s">
        <v>778</v>
      </c>
      <c r="F367" s="403" t="s">
        <v>1325</v>
      </c>
      <c r="G367" s="403" t="s">
        <v>1466</v>
      </c>
      <c r="H367" s="403" t="s">
        <v>1276</v>
      </c>
      <c r="I367" s="403">
        <v>1</v>
      </c>
      <c r="J367" s="403" t="s">
        <v>1324</v>
      </c>
      <c r="K367" s="403">
        <v>3584</v>
      </c>
      <c r="L367" s="403">
        <v>2016</v>
      </c>
      <c r="M367" s="403" t="s">
        <v>1285</v>
      </c>
      <c r="N367" s="403">
        <v>1280</v>
      </c>
      <c r="O367" s="403">
        <v>1024</v>
      </c>
      <c r="P367" t="str">
        <f t="shared" si="41"/>
        <v>25fps 3584x2016 - 1280x1024 5:4 (cropped)</v>
      </c>
      <c r="Q367">
        <f t="shared" si="42"/>
        <v>3</v>
      </c>
      <c r="R367" t="str">
        <f t="shared" si="43"/>
        <v/>
      </c>
      <c r="S367" t="str">
        <f t="shared" si="44"/>
        <v/>
      </c>
      <c r="T367" s="403" t="str">
        <f t="shared" si="45"/>
        <v>MIC-7504-Z12xR</v>
      </c>
      <c r="U367" s="403">
        <f t="shared" si="46"/>
        <v>1</v>
      </c>
      <c r="V367" s="403" t="str">
        <f t="shared" si="47"/>
        <v>CPP_7_3</v>
      </c>
    </row>
    <row r="368" spans="1:22">
      <c r="A368" t="str">
        <f t="shared" si="40"/>
        <v>MIC-7504-Z12xR</v>
      </c>
      <c r="B368" s="403" t="s">
        <v>1360</v>
      </c>
      <c r="C368" s="403" t="s">
        <v>582</v>
      </c>
      <c r="D368" s="403" t="s">
        <v>1361</v>
      </c>
      <c r="E368" s="403" t="s">
        <v>778</v>
      </c>
      <c r="F368" s="403" t="s">
        <v>1325</v>
      </c>
      <c r="G368" s="403" t="s">
        <v>1466</v>
      </c>
      <c r="H368" s="403" t="s">
        <v>1276</v>
      </c>
      <c r="I368" s="403">
        <v>1</v>
      </c>
      <c r="J368" s="403" t="s">
        <v>110</v>
      </c>
      <c r="K368" s="403">
        <v>1920</v>
      </c>
      <c r="L368" s="403">
        <v>1080</v>
      </c>
      <c r="M368" s="403" t="s">
        <v>111</v>
      </c>
      <c r="N368" s="403">
        <v>768</v>
      </c>
      <c r="O368" s="403">
        <v>432</v>
      </c>
      <c r="P368" t="str">
        <f t="shared" si="41"/>
        <v>25fps 1080p - SD</v>
      </c>
      <c r="Q368">
        <f t="shared" si="42"/>
        <v>3</v>
      </c>
      <c r="R368" t="str">
        <f t="shared" si="43"/>
        <v/>
      </c>
      <c r="S368" t="str">
        <f t="shared" si="44"/>
        <v/>
      </c>
      <c r="T368" s="403" t="str">
        <f t="shared" si="45"/>
        <v>MIC-7504-Z12xR</v>
      </c>
      <c r="U368" s="403">
        <f t="shared" si="46"/>
        <v>1</v>
      </c>
      <c r="V368" s="403" t="str">
        <f t="shared" si="47"/>
        <v>CPP_7_3</v>
      </c>
    </row>
    <row r="369" spans="1:22">
      <c r="A369" t="str">
        <f t="shared" si="40"/>
        <v>MIC-7504-Z12xR</v>
      </c>
      <c r="B369" s="403" t="s">
        <v>1360</v>
      </c>
      <c r="C369" s="403" t="s">
        <v>582</v>
      </c>
      <c r="D369" s="403" t="s">
        <v>1361</v>
      </c>
      <c r="E369" s="403" t="s">
        <v>778</v>
      </c>
      <c r="F369" s="403" t="s">
        <v>1325</v>
      </c>
      <c r="G369" s="403" t="s">
        <v>1466</v>
      </c>
      <c r="H369" s="403" t="s">
        <v>1276</v>
      </c>
      <c r="I369" s="403">
        <v>1</v>
      </c>
      <c r="J369" s="403" t="s">
        <v>110</v>
      </c>
      <c r="K369" s="403">
        <v>1920</v>
      </c>
      <c r="L369" s="403">
        <v>1080</v>
      </c>
      <c r="M369" s="403" t="s">
        <v>110</v>
      </c>
      <c r="N369" s="403">
        <v>1920</v>
      </c>
      <c r="O369" s="403">
        <v>1080</v>
      </c>
      <c r="P369" t="str">
        <f t="shared" si="41"/>
        <v>25fps 1080p - 1080p</v>
      </c>
      <c r="Q369">
        <f t="shared" si="42"/>
        <v>3</v>
      </c>
      <c r="R369" t="str">
        <f t="shared" si="43"/>
        <v/>
      </c>
      <c r="S369" t="str">
        <f t="shared" si="44"/>
        <v/>
      </c>
      <c r="T369" s="403" t="str">
        <f t="shared" si="45"/>
        <v>MIC-7504-Z12xR</v>
      </c>
      <c r="U369" s="403">
        <f t="shared" si="46"/>
        <v>1</v>
      </c>
      <c r="V369" s="403" t="str">
        <f t="shared" si="47"/>
        <v>CPP_7_3</v>
      </c>
    </row>
    <row r="370" spans="1:22">
      <c r="A370" t="str">
        <f t="shared" si="40"/>
        <v>MIC-7504-Z12xR</v>
      </c>
      <c r="B370" s="403" t="s">
        <v>1360</v>
      </c>
      <c r="C370" s="403" t="s">
        <v>582</v>
      </c>
      <c r="D370" s="403" t="s">
        <v>1361</v>
      </c>
      <c r="E370" s="403" t="s">
        <v>778</v>
      </c>
      <c r="F370" s="403" t="s">
        <v>1325</v>
      </c>
      <c r="G370" s="403" t="s">
        <v>1466</v>
      </c>
      <c r="H370" s="403" t="s">
        <v>1276</v>
      </c>
      <c r="I370" s="403">
        <v>1</v>
      </c>
      <c r="J370" s="403" t="s">
        <v>110</v>
      </c>
      <c r="K370" s="403">
        <v>1920</v>
      </c>
      <c r="L370" s="403">
        <v>1080</v>
      </c>
      <c r="M370" s="403" t="s">
        <v>109</v>
      </c>
      <c r="N370" s="403">
        <v>1280</v>
      </c>
      <c r="O370" s="403">
        <v>720</v>
      </c>
      <c r="P370" t="str">
        <f t="shared" si="41"/>
        <v>25fps 1080p - 720p</v>
      </c>
      <c r="Q370">
        <f t="shared" si="42"/>
        <v>3</v>
      </c>
      <c r="R370" t="str">
        <f t="shared" si="43"/>
        <v/>
      </c>
      <c r="S370" t="str">
        <f t="shared" si="44"/>
        <v/>
      </c>
      <c r="T370" s="403" t="str">
        <f t="shared" si="45"/>
        <v>MIC-7504-Z12xR</v>
      </c>
      <c r="U370" s="403">
        <f t="shared" si="46"/>
        <v>1</v>
      </c>
      <c r="V370" s="403" t="str">
        <f t="shared" si="47"/>
        <v>CPP_7_3</v>
      </c>
    </row>
    <row r="371" spans="1:22">
      <c r="A371" t="str">
        <f t="shared" si="40"/>
        <v>MIC-7504-Z12xR</v>
      </c>
      <c r="B371" s="403" t="s">
        <v>1360</v>
      </c>
      <c r="C371" s="403" t="s">
        <v>582</v>
      </c>
      <c r="D371" s="403" t="s">
        <v>1361</v>
      </c>
      <c r="E371" s="403" t="s">
        <v>778</v>
      </c>
      <c r="F371" s="403" t="s">
        <v>1325</v>
      </c>
      <c r="G371" s="403" t="s">
        <v>1466</v>
      </c>
      <c r="H371" s="403" t="s">
        <v>1276</v>
      </c>
      <c r="I371" s="403">
        <v>1</v>
      </c>
      <c r="J371" s="403" t="s">
        <v>110</v>
      </c>
      <c r="K371" s="403">
        <v>1920</v>
      </c>
      <c r="L371" s="403">
        <v>1080</v>
      </c>
      <c r="M371" s="403" t="s">
        <v>1285</v>
      </c>
      <c r="N371" s="403">
        <v>1280</v>
      </c>
      <c r="O371" s="403">
        <v>1024</v>
      </c>
      <c r="P371" t="str">
        <f t="shared" si="41"/>
        <v>25fps 1080p - 1280x1024 5:4 (cropped)</v>
      </c>
      <c r="Q371">
        <f t="shared" si="42"/>
        <v>3</v>
      </c>
      <c r="R371" t="str">
        <f t="shared" si="43"/>
        <v/>
      </c>
      <c r="S371" t="str">
        <f t="shared" si="44"/>
        <v/>
      </c>
      <c r="T371" s="403" t="str">
        <f t="shared" si="45"/>
        <v>MIC-7504-Z12xR</v>
      </c>
      <c r="U371" s="403">
        <f t="shared" si="46"/>
        <v>1</v>
      </c>
      <c r="V371" s="403" t="str">
        <f t="shared" si="47"/>
        <v>CPP_7_3</v>
      </c>
    </row>
    <row r="372" spans="1:22">
      <c r="A372" t="str">
        <f t="shared" si="40"/>
        <v>MIC-7504-Z12xR</v>
      </c>
      <c r="B372" s="403" t="s">
        <v>1360</v>
      </c>
      <c r="C372" s="403" t="s">
        <v>582</v>
      </c>
      <c r="D372" s="403" t="s">
        <v>1361</v>
      </c>
      <c r="E372" s="403" t="s">
        <v>778</v>
      </c>
      <c r="F372" s="403" t="s">
        <v>1325</v>
      </c>
      <c r="G372" s="403" t="s">
        <v>1466</v>
      </c>
      <c r="H372" s="403" t="s">
        <v>1276</v>
      </c>
      <c r="I372" s="403">
        <v>1</v>
      </c>
      <c r="J372" s="403" t="s">
        <v>110</v>
      </c>
      <c r="K372" s="403">
        <v>1920</v>
      </c>
      <c r="L372" s="403">
        <v>1080</v>
      </c>
      <c r="M372" s="403" t="s">
        <v>1283</v>
      </c>
      <c r="N372" s="403">
        <v>720</v>
      </c>
      <c r="O372" s="403">
        <v>576</v>
      </c>
      <c r="P372" t="str">
        <f t="shared" si="41"/>
        <v>25fps 1080p - SD 4CIF resolution 4:3 format (cropped)</v>
      </c>
      <c r="Q372">
        <f t="shared" si="42"/>
        <v>3</v>
      </c>
      <c r="R372" t="str">
        <f t="shared" si="43"/>
        <v/>
      </c>
      <c r="S372" t="str">
        <f t="shared" si="44"/>
        <v/>
      </c>
      <c r="T372" s="403" t="str">
        <f t="shared" si="45"/>
        <v>MIC-7504-Z12xR</v>
      </c>
      <c r="U372" s="403">
        <f t="shared" si="46"/>
        <v>1</v>
      </c>
      <c r="V372" s="403" t="str">
        <f t="shared" si="47"/>
        <v>CPP_7_3</v>
      </c>
    </row>
    <row r="373" spans="1:22">
      <c r="A373" t="str">
        <f t="shared" si="40"/>
        <v>MIC-7504-Z12xR</v>
      </c>
      <c r="B373" s="403" t="s">
        <v>1360</v>
      </c>
      <c r="C373" s="403" t="s">
        <v>582</v>
      </c>
      <c r="D373" s="403" t="s">
        <v>1361</v>
      </c>
      <c r="E373" s="403" t="s">
        <v>778</v>
      </c>
      <c r="F373" s="403" t="s">
        <v>1325</v>
      </c>
      <c r="G373" s="403" t="s">
        <v>1466</v>
      </c>
      <c r="H373" s="403" t="s">
        <v>1276</v>
      </c>
      <c r="I373" s="403">
        <v>1</v>
      </c>
      <c r="J373" s="403" t="s">
        <v>110</v>
      </c>
      <c r="K373" s="403">
        <v>1920</v>
      </c>
      <c r="L373" s="403">
        <v>1080</v>
      </c>
      <c r="M373" s="403" t="s">
        <v>1284</v>
      </c>
      <c r="N373" s="403">
        <v>640</v>
      </c>
      <c r="O373" s="403">
        <v>480</v>
      </c>
      <c r="P373" t="str">
        <f t="shared" si="41"/>
        <v>25fps 1080p - SD VGA (cropped)</v>
      </c>
      <c r="Q373">
        <f t="shared" si="42"/>
        <v>3</v>
      </c>
      <c r="R373" t="str">
        <f t="shared" si="43"/>
        <v/>
      </c>
      <c r="S373" t="str">
        <f t="shared" si="44"/>
        <v/>
      </c>
      <c r="T373" s="403" t="str">
        <f t="shared" si="45"/>
        <v>MIC-7504-Z12xR</v>
      </c>
      <c r="U373" s="403">
        <f t="shared" si="46"/>
        <v>1</v>
      </c>
      <c r="V373" s="403" t="str">
        <f t="shared" si="47"/>
        <v>CPP_7_3</v>
      </c>
    </row>
    <row r="374" spans="1:22">
      <c r="A374" t="str">
        <f t="shared" si="40"/>
        <v>MIC-7504-Z12xR</v>
      </c>
      <c r="B374" s="403" t="s">
        <v>1360</v>
      </c>
      <c r="C374" s="403" t="s">
        <v>582</v>
      </c>
      <c r="D374" s="403" t="s">
        <v>1361</v>
      </c>
      <c r="E374" s="403" t="s">
        <v>778</v>
      </c>
      <c r="F374" s="403" t="s">
        <v>1325</v>
      </c>
      <c r="G374" s="403" t="s">
        <v>1466</v>
      </c>
      <c r="H374" s="403" t="s">
        <v>1276</v>
      </c>
      <c r="I374" s="403">
        <v>1</v>
      </c>
      <c r="J374" s="403" t="s">
        <v>109</v>
      </c>
      <c r="K374" s="403">
        <v>1280</v>
      </c>
      <c r="L374" s="403">
        <v>720</v>
      </c>
      <c r="M374" s="403" t="s">
        <v>109</v>
      </c>
      <c r="N374" s="403">
        <v>1280</v>
      </c>
      <c r="O374" s="403">
        <v>720</v>
      </c>
      <c r="P374" t="str">
        <f t="shared" si="41"/>
        <v>25fps 720p - 720p</v>
      </c>
      <c r="Q374">
        <f t="shared" si="42"/>
        <v>3</v>
      </c>
      <c r="R374" t="str">
        <f t="shared" si="43"/>
        <v/>
      </c>
      <c r="S374" t="str">
        <f t="shared" si="44"/>
        <v/>
      </c>
      <c r="T374" s="403" t="str">
        <f t="shared" si="45"/>
        <v>MIC-7504-Z12xR</v>
      </c>
      <c r="U374" s="403">
        <f t="shared" si="46"/>
        <v>1</v>
      </c>
      <c r="V374" s="403" t="str">
        <f t="shared" si="47"/>
        <v>CPP_7_3</v>
      </c>
    </row>
    <row r="375" spans="1:22">
      <c r="A375" t="str">
        <f t="shared" si="40"/>
        <v>MIC-7504-Z12xR</v>
      </c>
      <c r="B375" s="403" t="s">
        <v>1360</v>
      </c>
      <c r="C375" s="403" t="s">
        <v>582</v>
      </c>
      <c r="D375" s="403" t="s">
        <v>1361</v>
      </c>
      <c r="E375" s="403" t="s">
        <v>778</v>
      </c>
      <c r="F375" s="403" t="s">
        <v>1325</v>
      </c>
      <c r="G375" s="403" t="s">
        <v>1466</v>
      </c>
      <c r="H375" s="403" t="s">
        <v>1276</v>
      </c>
      <c r="I375" s="403">
        <v>1</v>
      </c>
      <c r="J375" s="403" t="s">
        <v>109</v>
      </c>
      <c r="K375" s="403">
        <v>1280</v>
      </c>
      <c r="L375" s="403">
        <v>720</v>
      </c>
      <c r="M375" s="403" t="s">
        <v>111</v>
      </c>
      <c r="N375" s="403">
        <v>768</v>
      </c>
      <c r="O375" s="403">
        <v>432</v>
      </c>
      <c r="P375" t="str">
        <f t="shared" si="41"/>
        <v>25fps 720p - SD</v>
      </c>
      <c r="Q375">
        <f t="shared" si="42"/>
        <v>3</v>
      </c>
      <c r="R375" t="str">
        <f t="shared" si="43"/>
        <v/>
      </c>
      <c r="S375" t="str">
        <f t="shared" si="44"/>
        <v/>
      </c>
      <c r="T375" s="403" t="str">
        <f t="shared" si="45"/>
        <v>MIC-7504-Z12xR</v>
      </c>
      <c r="U375" s="403">
        <f t="shared" si="46"/>
        <v>1</v>
      </c>
      <c r="V375" s="403" t="str">
        <f t="shared" si="47"/>
        <v>CPP_7_3</v>
      </c>
    </row>
    <row r="376" spans="1:22">
      <c r="A376" t="str">
        <f t="shared" si="40"/>
        <v>MIC-7504-Z12xR</v>
      </c>
      <c r="B376" s="403" t="s">
        <v>1360</v>
      </c>
      <c r="C376" s="403" t="s">
        <v>582</v>
      </c>
      <c r="D376" s="403" t="s">
        <v>1361</v>
      </c>
      <c r="E376" s="403" t="s">
        <v>778</v>
      </c>
      <c r="F376" s="403" t="s">
        <v>1325</v>
      </c>
      <c r="G376" s="403" t="s">
        <v>1466</v>
      </c>
      <c r="H376" s="403" t="s">
        <v>1276</v>
      </c>
      <c r="I376" s="403">
        <v>1</v>
      </c>
      <c r="J376" s="403" t="s">
        <v>109</v>
      </c>
      <c r="K376" s="403">
        <v>1280</v>
      </c>
      <c r="L376" s="403">
        <v>720</v>
      </c>
      <c r="M376" s="403" t="s">
        <v>1283</v>
      </c>
      <c r="N376" s="403">
        <v>720</v>
      </c>
      <c r="O376" s="403">
        <v>576</v>
      </c>
      <c r="P376" t="str">
        <f t="shared" si="41"/>
        <v>25fps 720p - SD 4CIF resolution 4:3 format (cropped)</v>
      </c>
      <c r="Q376">
        <f t="shared" si="42"/>
        <v>3</v>
      </c>
      <c r="R376" t="str">
        <f t="shared" si="43"/>
        <v/>
      </c>
      <c r="S376" t="str">
        <f t="shared" si="44"/>
        <v/>
      </c>
      <c r="T376" s="403" t="str">
        <f t="shared" si="45"/>
        <v>MIC-7504-Z12xR</v>
      </c>
      <c r="U376" s="403">
        <f t="shared" si="46"/>
        <v>1</v>
      </c>
      <c r="V376" s="403" t="str">
        <f t="shared" si="47"/>
        <v>CPP_7_3</v>
      </c>
    </row>
    <row r="377" spans="1:22">
      <c r="A377" t="str">
        <f t="shared" si="40"/>
        <v>MIC-7504-Z12xR</v>
      </c>
      <c r="B377" s="403" t="s">
        <v>1360</v>
      </c>
      <c r="C377" s="403" t="s">
        <v>582</v>
      </c>
      <c r="D377" s="403" t="s">
        <v>1361</v>
      </c>
      <c r="E377" s="403" t="s">
        <v>778</v>
      </c>
      <c r="F377" s="403" t="s">
        <v>1325</v>
      </c>
      <c r="G377" s="403" t="s">
        <v>1466</v>
      </c>
      <c r="H377" s="403" t="s">
        <v>1276</v>
      </c>
      <c r="I377" s="403">
        <v>1</v>
      </c>
      <c r="J377" s="403" t="s">
        <v>109</v>
      </c>
      <c r="K377" s="403">
        <v>1280</v>
      </c>
      <c r="L377" s="403">
        <v>720</v>
      </c>
      <c r="M377" s="403" t="s">
        <v>1284</v>
      </c>
      <c r="N377" s="403">
        <v>640</v>
      </c>
      <c r="O377" s="403">
        <v>480</v>
      </c>
      <c r="P377" t="str">
        <f t="shared" si="41"/>
        <v>25fps 720p - SD VGA (cropped)</v>
      </c>
      <c r="Q377">
        <f t="shared" si="42"/>
        <v>3</v>
      </c>
      <c r="R377" t="str">
        <f t="shared" si="43"/>
        <v/>
      </c>
      <c r="S377" t="str">
        <f t="shared" si="44"/>
        <v/>
      </c>
      <c r="T377" s="403" t="str">
        <f t="shared" si="45"/>
        <v>MIC-7504-Z12xR</v>
      </c>
      <c r="U377" s="403">
        <f t="shared" si="46"/>
        <v>1</v>
      </c>
      <c r="V377" s="403" t="str">
        <f t="shared" si="47"/>
        <v>CPP_7_3</v>
      </c>
    </row>
    <row r="378" spans="1:22">
      <c r="A378" t="str">
        <f t="shared" si="40"/>
        <v>MIC-7504-Z12xR</v>
      </c>
      <c r="B378" s="403" t="s">
        <v>1360</v>
      </c>
      <c r="C378" s="403" t="s">
        <v>582</v>
      </c>
      <c r="D378" s="403" t="s">
        <v>1361</v>
      </c>
      <c r="E378" s="403" t="s">
        <v>778</v>
      </c>
      <c r="F378" s="403" t="s">
        <v>1325</v>
      </c>
      <c r="G378" s="403" t="s">
        <v>1466</v>
      </c>
      <c r="H378" s="403" t="s">
        <v>1281</v>
      </c>
      <c r="I378" s="403">
        <v>1</v>
      </c>
      <c r="J378" s="403" t="s">
        <v>110</v>
      </c>
      <c r="K378" s="403">
        <v>1920</v>
      </c>
      <c r="L378" s="403">
        <v>1080</v>
      </c>
      <c r="M378" s="403" t="s">
        <v>111</v>
      </c>
      <c r="N378" s="403">
        <v>768</v>
      </c>
      <c r="O378" s="403">
        <v>432</v>
      </c>
      <c r="P378" t="str">
        <f t="shared" si="41"/>
        <v>25fps 1080p - SD</v>
      </c>
      <c r="Q378">
        <f t="shared" si="42"/>
        <v>3</v>
      </c>
      <c r="R378" t="str">
        <f t="shared" si="43"/>
        <v/>
      </c>
      <c r="S378" t="str">
        <f t="shared" si="44"/>
        <v/>
      </c>
      <c r="T378" s="403" t="str">
        <f t="shared" si="45"/>
        <v>MIC-7504-Z12xR</v>
      </c>
      <c r="U378" s="403">
        <f t="shared" si="46"/>
        <v>1</v>
      </c>
      <c r="V378" s="403" t="str">
        <f t="shared" si="47"/>
        <v>CPP_7_3</v>
      </c>
    </row>
    <row r="379" spans="1:22">
      <c r="A379" t="str">
        <f t="shared" si="40"/>
        <v>MIC-7504-Z12xR</v>
      </c>
      <c r="B379" s="403" t="s">
        <v>1360</v>
      </c>
      <c r="C379" s="403" t="s">
        <v>582</v>
      </c>
      <c r="D379" s="403" t="s">
        <v>1361</v>
      </c>
      <c r="E379" s="403" t="s">
        <v>778</v>
      </c>
      <c r="F379" s="403" t="s">
        <v>1325</v>
      </c>
      <c r="G379" s="403" t="s">
        <v>1466</v>
      </c>
      <c r="H379" s="403" t="s">
        <v>1281</v>
      </c>
      <c r="I379" s="403">
        <v>1</v>
      </c>
      <c r="J379" s="403" t="s">
        <v>110</v>
      </c>
      <c r="K379" s="403">
        <v>1920</v>
      </c>
      <c r="L379" s="403">
        <v>1080</v>
      </c>
      <c r="M379" s="403" t="s">
        <v>110</v>
      </c>
      <c r="N379" s="403">
        <v>1920</v>
      </c>
      <c r="O379" s="403">
        <v>1080</v>
      </c>
      <c r="P379" t="str">
        <f t="shared" si="41"/>
        <v>25fps 1080p - 1080p</v>
      </c>
      <c r="Q379">
        <f t="shared" si="42"/>
        <v>3</v>
      </c>
      <c r="R379" t="str">
        <f t="shared" si="43"/>
        <v/>
      </c>
      <c r="S379" t="str">
        <f t="shared" si="44"/>
        <v/>
      </c>
      <c r="T379" s="403" t="str">
        <f t="shared" si="45"/>
        <v>MIC-7504-Z12xR</v>
      </c>
      <c r="U379" s="403">
        <f t="shared" si="46"/>
        <v>1</v>
      </c>
      <c r="V379" s="403" t="str">
        <f t="shared" si="47"/>
        <v>CPP_7_3</v>
      </c>
    </row>
    <row r="380" spans="1:22">
      <c r="A380" t="str">
        <f t="shared" si="40"/>
        <v>MIC-7504-Z12xR</v>
      </c>
      <c r="B380" s="403" t="s">
        <v>1360</v>
      </c>
      <c r="C380" s="403" t="s">
        <v>582</v>
      </c>
      <c r="D380" s="403" t="s">
        <v>1361</v>
      </c>
      <c r="E380" s="403" t="s">
        <v>778</v>
      </c>
      <c r="F380" s="403" t="s">
        <v>1325</v>
      </c>
      <c r="G380" s="403" t="s">
        <v>1466</v>
      </c>
      <c r="H380" s="403" t="s">
        <v>1281</v>
      </c>
      <c r="I380" s="403">
        <v>1</v>
      </c>
      <c r="J380" s="403" t="s">
        <v>110</v>
      </c>
      <c r="K380" s="403">
        <v>1920</v>
      </c>
      <c r="L380" s="403">
        <v>1080</v>
      </c>
      <c r="M380" s="403" t="s">
        <v>109</v>
      </c>
      <c r="N380" s="403">
        <v>1280</v>
      </c>
      <c r="O380" s="403">
        <v>720</v>
      </c>
      <c r="P380" t="str">
        <f t="shared" si="41"/>
        <v>25fps 1080p - 720p</v>
      </c>
      <c r="Q380">
        <f t="shared" si="42"/>
        <v>3</v>
      </c>
      <c r="R380" t="str">
        <f t="shared" si="43"/>
        <v/>
      </c>
      <c r="S380" t="str">
        <f t="shared" si="44"/>
        <v/>
      </c>
      <c r="T380" s="403" t="str">
        <f t="shared" si="45"/>
        <v>MIC-7504-Z12xR</v>
      </c>
      <c r="U380" s="403">
        <f t="shared" si="46"/>
        <v>1</v>
      </c>
      <c r="V380" s="403" t="str">
        <f t="shared" si="47"/>
        <v>CPP_7_3</v>
      </c>
    </row>
    <row r="381" spans="1:22">
      <c r="A381" t="str">
        <f t="shared" si="40"/>
        <v>MIC-7504-Z12xR</v>
      </c>
      <c r="B381" s="403" t="s">
        <v>1360</v>
      </c>
      <c r="C381" s="403" t="s">
        <v>582</v>
      </c>
      <c r="D381" s="403" t="s">
        <v>1361</v>
      </c>
      <c r="E381" s="403" t="s">
        <v>778</v>
      </c>
      <c r="F381" s="403" t="s">
        <v>1325</v>
      </c>
      <c r="G381" s="403" t="s">
        <v>1466</v>
      </c>
      <c r="H381" s="403" t="s">
        <v>1281</v>
      </c>
      <c r="I381" s="403">
        <v>1</v>
      </c>
      <c r="J381" s="403" t="s">
        <v>110</v>
      </c>
      <c r="K381" s="403">
        <v>1920</v>
      </c>
      <c r="L381" s="403">
        <v>1080</v>
      </c>
      <c r="M381" s="403" t="s">
        <v>1285</v>
      </c>
      <c r="N381" s="403">
        <v>1280</v>
      </c>
      <c r="O381" s="403">
        <v>1024</v>
      </c>
      <c r="P381" t="str">
        <f t="shared" si="41"/>
        <v>25fps 1080p - 1280x1024 5:4 (cropped)</v>
      </c>
      <c r="Q381">
        <f t="shared" si="42"/>
        <v>3</v>
      </c>
      <c r="R381" t="str">
        <f t="shared" si="43"/>
        <v/>
      </c>
      <c r="S381" t="str">
        <f t="shared" si="44"/>
        <v/>
      </c>
      <c r="T381" s="403" t="str">
        <f t="shared" si="45"/>
        <v>MIC-7504-Z12xR</v>
      </c>
      <c r="U381" s="403">
        <f t="shared" si="46"/>
        <v>1</v>
      </c>
      <c r="V381" s="403" t="str">
        <f t="shared" si="47"/>
        <v>CPP_7_3</v>
      </c>
    </row>
    <row r="382" spans="1:22">
      <c r="A382" t="str">
        <f t="shared" si="40"/>
        <v>MIC-7504-Z12xR</v>
      </c>
      <c r="B382" s="403" t="s">
        <v>1360</v>
      </c>
      <c r="C382" s="403" t="s">
        <v>582</v>
      </c>
      <c r="D382" s="403" t="s">
        <v>1361</v>
      </c>
      <c r="E382" s="403" t="s">
        <v>778</v>
      </c>
      <c r="F382" s="403" t="s">
        <v>1325</v>
      </c>
      <c r="G382" s="403" t="s">
        <v>1466</v>
      </c>
      <c r="H382" s="403" t="s">
        <v>1281</v>
      </c>
      <c r="I382" s="403">
        <v>1</v>
      </c>
      <c r="J382" s="403" t="s">
        <v>110</v>
      </c>
      <c r="K382" s="403">
        <v>1920</v>
      </c>
      <c r="L382" s="403">
        <v>1080</v>
      </c>
      <c r="M382" s="403" t="s">
        <v>1283</v>
      </c>
      <c r="N382" s="403">
        <v>720</v>
      </c>
      <c r="O382" s="403">
        <v>576</v>
      </c>
      <c r="P382" t="str">
        <f t="shared" si="41"/>
        <v>25fps 1080p - SD 4CIF resolution 4:3 format (cropped)</v>
      </c>
      <c r="Q382">
        <f t="shared" si="42"/>
        <v>3</v>
      </c>
      <c r="R382" t="str">
        <f t="shared" si="43"/>
        <v/>
      </c>
      <c r="S382" t="str">
        <f t="shared" si="44"/>
        <v/>
      </c>
      <c r="T382" s="403" t="str">
        <f t="shared" si="45"/>
        <v>MIC-7504-Z12xR</v>
      </c>
      <c r="U382" s="403">
        <f t="shared" si="46"/>
        <v>1</v>
      </c>
      <c r="V382" s="403" t="str">
        <f t="shared" si="47"/>
        <v>CPP_7_3</v>
      </c>
    </row>
    <row r="383" spans="1:22">
      <c r="A383" t="str">
        <f t="shared" si="40"/>
        <v>MIC-7504-Z12xR</v>
      </c>
      <c r="B383" s="403" t="s">
        <v>1360</v>
      </c>
      <c r="C383" s="403" t="s">
        <v>582</v>
      </c>
      <c r="D383" s="403" t="s">
        <v>1361</v>
      </c>
      <c r="E383" s="403" t="s">
        <v>778</v>
      </c>
      <c r="F383" s="403" t="s">
        <v>1325</v>
      </c>
      <c r="G383" s="403" t="s">
        <v>1466</v>
      </c>
      <c r="H383" s="403" t="s">
        <v>1281</v>
      </c>
      <c r="I383" s="403">
        <v>1</v>
      </c>
      <c r="J383" s="403" t="s">
        <v>110</v>
      </c>
      <c r="K383" s="403">
        <v>1920</v>
      </c>
      <c r="L383" s="403">
        <v>1080</v>
      </c>
      <c r="M383" s="403" t="s">
        <v>1284</v>
      </c>
      <c r="N383" s="403">
        <v>640</v>
      </c>
      <c r="O383" s="403">
        <v>480</v>
      </c>
      <c r="P383" t="str">
        <f t="shared" si="41"/>
        <v>25fps 1080p - SD VGA (cropped)</v>
      </c>
      <c r="Q383">
        <f t="shared" si="42"/>
        <v>3</v>
      </c>
      <c r="R383" t="str">
        <f t="shared" si="43"/>
        <v/>
      </c>
      <c r="S383" t="str">
        <f t="shared" si="44"/>
        <v/>
      </c>
      <c r="T383" s="403" t="str">
        <f t="shared" si="45"/>
        <v>MIC-7504-Z12xR</v>
      </c>
      <c r="U383" s="403">
        <f t="shared" si="46"/>
        <v>1</v>
      </c>
      <c r="V383" s="403" t="str">
        <f t="shared" si="47"/>
        <v>CPP_7_3</v>
      </c>
    </row>
    <row r="384" spans="1:22">
      <c r="A384" t="str">
        <f t="shared" si="40"/>
        <v>MIC-7504-Z12xR</v>
      </c>
      <c r="B384" s="403" t="s">
        <v>1360</v>
      </c>
      <c r="C384" s="403" t="s">
        <v>582</v>
      </c>
      <c r="D384" s="403" t="s">
        <v>1361</v>
      </c>
      <c r="E384" s="403" t="s">
        <v>778</v>
      </c>
      <c r="F384" s="403" t="s">
        <v>1325</v>
      </c>
      <c r="G384" s="403" t="s">
        <v>1466</v>
      </c>
      <c r="H384" s="403" t="s">
        <v>1281</v>
      </c>
      <c r="I384" s="403">
        <v>1</v>
      </c>
      <c r="J384" s="403" t="s">
        <v>109</v>
      </c>
      <c r="K384" s="403">
        <v>1280</v>
      </c>
      <c r="L384" s="403">
        <v>720</v>
      </c>
      <c r="M384" s="403" t="s">
        <v>109</v>
      </c>
      <c r="N384" s="403">
        <v>1280</v>
      </c>
      <c r="O384" s="403">
        <v>720</v>
      </c>
      <c r="P384" t="str">
        <f t="shared" si="41"/>
        <v>25fps 720p - 720p</v>
      </c>
      <c r="Q384">
        <f t="shared" si="42"/>
        <v>3</v>
      </c>
      <c r="R384" t="str">
        <f t="shared" si="43"/>
        <v/>
      </c>
      <c r="S384" t="str">
        <f t="shared" si="44"/>
        <v/>
      </c>
      <c r="T384" s="403" t="str">
        <f t="shared" si="45"/>
        <v>MIC-7504-Z12xR</v>
      </c>
      <c r="U384" s="403">
        <f t="shared" si="46"/>
        <v>1</v>
      </c>
      <c r="V384" s="403" t="str">
        <f t="shared" si="47"/>
        <v>CPP_7_3</v>
      </c>
    </row>
    <row r="385" spans="1:22">
      <c r="A385" t="str">
        <f t="shared" si="40"/>
        <v>MIC-7504-Z12xR</v>
      </c>
      <c r="B385" s="403" t="s">
        <v>1360</v>
      </c>
      <c r="C385" s="403" t="s">
        <v>582</v>
      </c>
      <c r="D385" s="403" t="s">
        <v>1361</v>
      </c>
      <c r="E385" s="403" t="s">
        <v>778</v>
      </c>
      <c r="F385" s="403" t="s">
        <v>1325</v>
      </c>
      <c r="G385" s="403" t="s">
        <v>1466</v>
      </c>
      <c r="H385" s="403" t="s">
        <v>1281</v>
      </c>
      <c r="I385" s="403">
        <v>1</v>
      </c>
      <c r="J385" s="403" t="s">
        <v>109</v>
      </c>
      <c r="K385" s="403">
        <v>1280</v>
      </c>
      <c r="L385" s="403">
        <v>720</v>
      </c>
      <c r="M385" s="403" t="s">
        <v>111</v>
      </c>
      <c r="N385" s="403">
        <v>768</v>
      </c>
      <c r="O385" s="403">
        <v>432</v>
      </c>
      <c r="P385" t="str">
        <f t="shared" si="41"/>
        <v>25fps 720p - SD</v>
      </c>
      <c r="Q385">
        <f t="shared" si="42"/>
        <v>3</v>
      </c>
      <c r="R385" t="str">
        <f t="shared" si="43"/>
        <v/>
      </c>
      <c r="S385" t="str">
        <f t="shared" si="44"/>
        <v/>
      </c>
      <c r="T385" s="403" t="str">
        <f t="shared" si="45"/>
        <v>MIC-7504-Z12xR</v>
      </c>
      <c r="U385" s="403">
        <f t="shared" si="46"/>
        <v>1</v>
      </c>
      <c r="V385" s="403" t="str">
        <f t="shared" si="47"/>
        <v>CPP_7_3</v>
      </c>
    </row>
    <row r="386" spans="1:22">
      <c r="A386" t="str">
        <f t="shared" ref="A386:A449" si="48">IF(AND(G386&lt;&gt;"rotate 90°"),D386,"")</f>
        <v>MIC-7504-Z12xR</v>
      </c>
      <c r="B386" s="403" t="s">
        <v>1360</v>
      </c>
      <c r="C386" s="403" t="s">
        <v>582</v>
      </c>
      <c r="D386" s="403" t="s">
        <v>1361</v>
      </c>
      <c r="E386" s="403" t="s">
        <v>778</v>
      </c>
      <c r="F386" s="403" t="s">
        <v>1325</v>
      </c>
      <c r="G386" s="403" t="s">
        <v>1466</v>
      </c>
      <c r="H386" s="403" t="s">
        <v>1281</v>
      </c>
      <c r="I386" s="403">
        <v>1</v>
      </c>
      <c r="J386" s="403" t="s">
        <v>109</v>
      </c>
      <c r="K386" s="403">
        <v>1280</v>
      </c>
      <c r="L386" s="403">
        <v>720</v>
      </c>
      <c r="M386" s="403" t="s">
        <v>1283</v>
      </c>
      <c r="N386" s="403">
        <v>720</v>
      </c>
      <c r="O386" s="403">
        <v>576</v>
      </c>
      <c r="P386" t="str">
        <f t="shared" ref="P386:P449" si="49">LEFT(F386,5)&amp;" "&amp;J386&amp;" - "&amp;M386</f>
        <v>25fps 720p - SD 4CIF resolution 4:3 format (cropped)</v>
      </c>
      <c r="Q386">
        <f t="shared" ref="Q386:Q449" si="50">IF(A385=A386,Q385,Q385+1)</f>
        <v>3</v>
      </c>
      <c r="R386" t="str">
        <f t="shared" ref="R386:R449" si="51">IF(Q385&lt;&gt;Q386,Q386,"")</f>
        <v/>
      </c>
      <c r="S386" t="str">
        <f t="shared" ref="S386:S449" si="52">IF(R386&lt;&gt;"",B386&amp;" ("&amp;D386&amp;")","")</f>
        <v/>
      </c>
      <c r="T386" s="403" t="str">
        <f t="shared" ref="T386:T449" si="53">D386</f>
        <v>MIC-7504-Z12xR</v>
      </c>
      <c r="U386" s="403">
        <f t="shared" ref="U386:U449" si="54">I386</f>
        <v>1</v>
      </c>
      <c r="V386" s="403" t="str">
        <f t="shared" ref="V386:V449" si="55">C386</f>
        <v>CPP_7_3</v>
      </c>
    </row>
    <row r="387" spans="1:22">
      <c r="A387" t="str">
        <f t="shared" si="48"/>
        <v>MIC-7504-Z12xR</v>
      </c>
      <c r="B387" s="403" t="s">
        <v>1360</v>
      </c>
      <c r="C387" s="403" t="s">
        <v>582</v>
      </c>
      <c r="D387" s="403" t="s">
        <v>1361</v>
      </c>
      <c r="E387" s="403" t="s">
        <v>778</v>
      </c>
      <c r="F387" s="403" t="s">
        <v>1325</v>
      </c>
      <c r="G387" s="403" t="s">
        <v>1466</v>
      </c>
      <c r="H387" s="403" t="s">
        <v>1281</v>
      </c>
      <c r="I387" s="403">
        <v>1</v>
      </c>
      <c r="J387" s="403" t="s">
        <v>109</v>
      </c>
      <c r="K387" s="403">
        <v>1280</v>
      </c>
      <c r="L387" s="403">
        <v>720</v>
      </c>
      <c r="M387" s="403" t="s">
        <v>1284</v>
      </c>
      <c r="N387" s="403">
        <v>640</v>
      </c>
      <c r="O387" s="403">
        <v>480</v>
      </c>
      <c r="P387" t="str">
        <f t="shared" si="49"/>
        <v>25fps 720p - SD VGA (cropped)</v>
      </c>
      <c r="Q387">
        <f t="shared" si="50"/>
        <v>3</v>
      </c>
      <c r="R387" t="str">
        <f t="shared" si="51"/>
        <v/>
      </c>
      <c r="S387" t="str">
        <f t="shared" si="52"/>
        <v/>
      </c>
      <c r="T387" s="403" t="str">
        <f t="shared" si="53"/>
        <v>MIC-7504-Z12xR</v>
      </c>
      <c r="U387" s="403">
        <f t="shared" si="54"/>
        <v>1</v>
      </c>
      <c r="V387" s="403" t="str">
        <f t="shared" si="55"/>
        <v>CPP_7_3</v>
      </c>
    </row>
    <row r="388" spans="1:22">
      <c r="A388" t="str">
        <f t="shared" si="48"/>
        <v>MIC-7504-Z12xR</v>
      </c>
      <c r="B388" s="403" t="s">
        <v>1360</v>
      </c>
      <c r="C388" s="403" t="s">
        <v>582</v>
      </c>
      <c r="D388" s="403" t="s">
        <v>1361</v>
      </c>
      <c r="E388" s="403" t="s">
        <v>778</v>
      </c>
      <c r="F388" s="403" t="s">
        <v>1325</v>
      </c>
      <c r="G388" s="403" t="s">
        <v>1466</v>
      </c>
      <c r="H388" s="403" t="s">
        <v>1282</v>
      </c>
      <c r="I388" s="403">
        <v>1</v>
      </c>
      <c r="J388" s="403" t="s">
        <v>194</v>
      </c>
      <c r="K388" s="403">
        <v>3840</v>
      </c>
      <c r="L388" s="403">
        <v>2160</v>
      </c>
      <c r="M388" s="403" t="s">
        <v>111</v>
      </c>
      <c r="N388" s="403">
        <v>768</v>
      </c>
      <c r="O388" s="403">
        <v>432</v>
      </c>
      <c r="P388" t="str">
        <f t="shared" si="49"/>
        <v>25fps 3840x2160 - SD</v>
      </c>
      <c r="Q388">
        <f t="shared" si="50"/>
        <v>3</v>
      </c>
      <c r="R388" t="str">
        <f t="shared" si="51"/>
        <v/>
      </c>
      <c r="S388" t="str">
        <f t="shared" si="52"/>
        <v/>
      </c>
      <c r="T388" s="403" t="str">
        <f t="shared" si="53"/>
        <v>MIC-7504-Z12xR</v>
      </c>
      <c r="U388" s="403">
        <f t="shared" si="54"/>
        <v>1</v>
      </c>
      <c r="V388" s="403" t="str">
        <f t="shared" si="55"/>
        <v>CPP_7_3</v>
      </c>
    </row>
    <row r="389" spans="1:22">
      <c r="A389" t="str">
        <f t="shared" si="48"/>
        <v>MIC-7504-Z12xR</v>
      </c>
      <c r="B389" s="403" t="s">
        <v>1360</v>
      </c>
      <c r="C389" s="403" t="s">
        <v>582</v>
      </c>
      <c r="D389" s="403" t="s">
        <v>1361</v>
      </c>
      <c r="E389" s="403" t="s">
        <v>778</v>
      </c>
      <c r="F389" s="403" t="s">
        <v>1325</v>
      </c>
      <c r="G389" s="403" t="s">
        <v>1466</v>
      </c>
      <c r="H389" s="403" t="s">
        <v>1282</v>
      </c>
      <c r="I389" s="403">
        <v>1</v>
      </c>
      <c r="J389" s="403" t="s">
        <v>194</v>
      </c>
      <c r="K389" s="403">
        <v>3840</v>
      </c>
      <c r="L389" s="403">
        <v>2160</v>
      </c>
      <c r="M389" s="403" t="s">
        <v>1280</v>
      </c>
      <c r="N389" s="403">
        <v>3840</v>
      </c>
      <c r="O389" s="403">
        <v>2160</v>
      </c>
      <c r="P389" t="str">
        <f t="shared" si="49"/>
        <v>25fps 3840x2160 - copy other stream</v>
      </c>
      <c r="Q389">
        <f t="shared" si="50"/>
        <v>3</v>
      </c>
      <c r="R389" t="str">
        <f t="shared" si="51"/>
        <v/>
      </c>
      <c r="S389" t="str">
        <f t="shared" si="52"/>
        <v/>
      </c>
      <c r="T389" s="403" t="str">
        <f t="shared" si="53"/>
        <v>MIC-7504-Z12xR</v>
      </c>
      <c r="U389" s="403">
        <f t="shared" si="54"/>
        <v>1</v>
      </c>
      <c r="V389" s="403" t="str">
        <f t="shared" si="55"/>
        <v>CPP_7_3</v>
      </c>
    </row>
    <row r="390" spans="1:22">
      <c r="A390" t="str">
        <f t="shared" si="48"/>
        <v>MIC-7504-Z12xR</v>
      </c>
      <c r="B390" s="403" t="s">
        <v>1360</v>
      </c>
      <c r="C390" s="403" t="s">
        <v>582</v>
      </c>
      <c r="D390" s="403" t="s">
        <v>1361</v>
      </c>
      <c r="E390" s="403" t="s">
        <v>778</v>
      </c>
      <c r="F390" s="403" t="s">
        <v>1325</v>
      </c>
      <c r="G390" s="403" t="s">
        <v>1466</v>
      </c>
      <c r="H390" s="403" t="s">
        <v>1282</v>
      </c>
      <c r="I390" s="403">
        <v>1</v>
      </c>
      <c r="J390" s="403" t="s">
        <v>194</v>
      </c>
      <c r="K390" s="403">
        <v>3840</v>
      </c>
      <c r="L390" s="403">
        <v>2160</v>
      </c>
      <c r="M390" s="403" t="s">
        <v>1283</v>
      </c>
      <c r="N390" s="403">
        <v>720</v>
      </c>
      <c r="O390" s="403">
        <v>576</v>
      </c>
      <c r="P390" t="str">
        <f t="shared" si="49"/>
        <v>25fps 3840x2160 - SD 4CIF resolution 4:3 format (cropped)</v>
      </c>
      <c r="Q390">
        <f t="shared" si="50"/>
        <v>3</v>
      </c>
      <c r="R390" t="str">
        <f t="shared" si="51"/>
        <v/>
      </c>
      <c r="S390" t="str">
        <f t="shared" si="52"/>
        <v/>
      </c>
      <c r="T390" s="403" t="str">
        <f t="shared" si="53"/>
        <v>MIC-7504-Z12xR</v>
      </c>
      <c r="U390" s="403">
        <f t="shared" si="54"/>
        <v>1</v>
      </c>
      <c r="V390" s="403" t="str">
        <f t="shared" si="55"/>
        <v>CPP_7_3</v>
      </c>
    </row>
    <row r="391" spans="1:22">
      <c r="A391" t="str">
        <f t="shared" si="48"/>
        <v>MIC-7504-Z12xR</v>
      </c>
      <c r="B391" s="403" t="s">
        <v>1360</v>
      </c>
      <c r="C391" s="403" t="s">
        <v>582</v>
      </c>
      <c r="D391" s="403" t="s">
        <v>1361</v>
      </c>
      <c r="E391" s="403" t="s">
        <v>778</v>
      </c>
      <c r="F391" s="403" t="s">
        <v>1325</v>
      </c>
      <c r="G391" s="403" t="s">
        <v>1466</v>
      </c>
      <c r="H391" s="403" t="s">
        <v>1282</v>
      </c>
      <c r="I391" s="403">
        <v>1</v>
      </c>
      <c r="J391" s="403" t="s">
        <v>194</v>
      </c>
      <c r="K391" s="403">
        <v>3840</v>
      </c>
      <c r="L391" s="403">
        <v>2160</v>
      </c>
      <c r="M391" s="403" t="s">
        <v>1284</v>
      </c>
      <c r="N391" s="403">
        <v>640</v>
      </c>
      <c r="O391" s="403">
        <v>480</v>
      </c>
      <c r="P391" t="str">
        <f t="shared" si="49"/>
        <v>25fps 3840x2160 - SD VGA (cropped)</v>
      </c>
      <c r="Q391">
        <f t="shared" si="50"/>
        <v>3</v>
      </c>
      <c r="R391" t="str">
        <f t="shared" si="51"/>
        <v/>
      </c>
      <c r="S391" t="str">
        <f t="shared" si="52"/>
        <v/>
      </c>
      <c r="T391" s="403" t="str">
        <f t="shared" si="53"/>
        <v>MIC-7504-Z12xR</v>
      </c>
      <c r="U391" s="403">
        <f t="shared" si="54"/>
        <v>1</v>
      </c>
      <c r="V391" s="403" t="str">
        <f t="shared" si="55"/>
        <v>CPP_7_3</v>
      </c>
    </row>
    <row r="392" spans="1:22">
      <c r="A392" t="str">
        <f t="shared" si="48"/>
        <v>MIC-7504-Z12xR</v>
      </c>
      <c r="B392" s="403" t="s">
        <v>1360</v>
      </c>
      <c r="C392" s="403" t="s">
        <v>582</v>
      </c>
      <c r="D392" s="403" t="s">
        <v>1361</v>
      </c>
      <c r="E392" s="403" t="s">
        <v>778</v>
      </c>
      <c r="F392" s="403" t="s">
        <v>1325</v>
      </c>
      <c r="G392" s="403" t="s">
        <v>1466</v>
      </c>
      <c r="H392" s="403" t="s">
        <v>1282</v>
      </c>
      <c r="I392" s="403">
        <v>1</v>
      </c>
      <c r="J392" s="403" t="s">
        <v>1324</v>
      </c>
      <c r="K392" s="403">
        <v>3584</v>
      </c>
      <c r="L392" s="403">
        <v>2016</v>
      </c>
      <c r="M392" s="403" t="s">
        <v>111</v>
      </c>
      <c r="N392" s="403">
        <v>768</v>
      </c>
      <c r="O392" s="403">
        <v>432</v>
      </c>
      <c r="P392" t="str">
        <f t="shared" si="49"/>
        <v>25fps 3584x2016 - SD</v>
      </c>
      <c r="Q392">
        <f t="shared" si="50"/>
        <v>3</v>
      </c>
      <c r="R392" t="str">
        <f t="shared" si="51"/>
        <v/>
      </c>
      <c r="S392" t="str">
        <f t="shared" si="52"/>
        <v/>
      </c>
      <c r="T392" s="403" t="str">
        <f t="shared" si="53"/>
        <v>MIC-7504-Z12xR</v>
      </c>
      <c r="U392" s="403">
        <f t="shared" si="54"/>
        <v>1</v>
      </c>
      <c r="V392" s="403" t="str">
        <f t="shared" si="55"/>
        <v>CPP_7_3</v>
      </c>
    </row>
    <row r="393" spans="1:22">
      <c r="A393" t="str">
        <f t="shared" si="48"/>
        <v>MIC-7504-Z12xR</v>
      </c>
      <c r="B393" s="403" t="s">
        <v>1360</v>
      </c>
      <c r="C393" s="403" t="s">
        <v>582</v>
      </c>
      <c r="D393" s="403" t="s">
        <v>1361</v>
      </c>
      <c r="E393" s="403" t="s">
        <v>778</v>
      </c>
      <c r="F393" s="403" t="s">
        <v>1325</v>
      </c>
      <c r="G393" s="403" t="s">
        <v>1466</v>
      </c>
      <c r="H393" s="403" t="s">
        <v>1282</v>
      </c>
      <c r="I393" s="403">
        <v>1</v>
      </c>
      <c r="J393" s="403" t="s">
        <v>1324</v>
      </c>
      <c r="K393" s="403">
        <v>3584</v>
      </c>
      <c r="L393" s="403">
        <v>2016</v>
      </c>
      <c r="M393" s="403" t="s">
        <v>1280</v>
      </c>
      <c r="N393" s="403">
        <v>3584</v>
      </c>
      <c r="O393" s="403">
        <v>2016</v>
      </c>
      <c r="P393" t="str">
        <f t="shared" si="49"/>
        <v>25fps 3584x2016 - copy other stream</v>
      </c>
      <c r="Q393">
        <f t="shared" si="50"/>
        <v>3</v>
      </c>
      <c r="R393" t="str">
        <f t="shared" si="51"/>
        <v/>
      </c>
      <c r="S393" t="str">
        <f t="shared" si="52"/>
        <v/>
      </c>
      <c r="T393" s="403" t="str">
        <f t="shared" si="53"/>
        <v>MIC-7504-Z12xR</v>
      </c>
      <c r="U393" s="403">
        <f t="shared" si="54"/>
        <v>1</v>
      </c>
      <c r="V393" s="403" t="str">
        <f t="shared" si="55"/>
        <v>CPP_7_3</v>
      </c>
    </row>
    <row r="394" spans="1:22">
      <c r="A394" t="str">
        <f t="shared" si="48"/>
        <v>MIC-7504-Z12xR</v>
      </c>
      <c r="B394" s="403" t="s">
        <v>1360</v>
      </c>
      <c r="C394" s="403" t="s">
        <v>582</v>
      </c>
      <c r="D394" s="403" t="s">
        <v>1361</v>
      </c>
      <c r="E394" s="403" t="s">
        <v>778</v>
      </c>
      <c r="F394" s="403" t="s">
        <v>1325</v>
      </c>
      <c r="G394" s="403" t="s">
        <v>1466</v>
      </c>
      <c r="H394" s="403" t="s">
        <v>1282</v>
      </c>
      <c r="I394" s="403">
        <v>1</v>
      </c>
      <c r="J394" s="403" t="s">
        <v>1324</v>
      </c>
      <c r="K394" s="403">
        <v>3584</v>
      </c>
      <c r="L394" s="403">
        <v>2016</v>
      </c>
      <c r="M394" s="403" t="s">
        <v>1364</v>
      </c>
      <c r="N394" s="403">
        <v>3584</v>
      </c>
      <c r="O394" s="403">
        <v>2016</v>
      </c>
      <c r="P394" t="str">
        <f t="shared" si="49"/>
        <v>25fps 3584x2016 - 3584x2016 @ SKIP6</v>
      </c>
      <c r="Q394">
        <f t="shared" si="50"/>
        <v>3</v>
      </c>
      <c r="R394" t="str">
        <f t="shared" si="51"/>
        <v/>
      </c>
      <c r="S394" t="str">
        <f t="shared" si="52"/>
        <v/>
      </c>
      <c r="T394" s="403" t="str">
        <f t="shared" si="53"/>
        <v>MIC-7504-Z12xR</v>
      </c>
      <c r="U394" s="403">
        <f t="shared" si="54"/>
        <v>1</v>
      </c>
      <c r="V394" s="403" t="str">
        <f t="shared" si="55"/>
        <v>CPP_7_3</v>
      </c>
    </row>
    <row r="395" spans="1:22">
      <c r="A395" t="str">
        <f t="shared" si="48"/>
        <v>MIC-7504-Z12xR</v>
      </c>
      <c r="B395" s="403" t="s">
        <v>1360</v>
      </c>
      <c r="C395" s="403" t="s">
        <v>582</v>
      </c>
      <c r="D395" s="403" t="s">
        <v>1361</v>
      </c>
      <c r="E395" s="403" t="s">
        <v>778</v>
      </c>
      <c r="F395" s="403" t="s">
        <v>1325</v>
      </c>
      <c r="G395" s="403" t="s">
        <v>1466</v>
      </c>
      <c r="H395" s="403" t="s">
        <v>1282</v>
      </c>
      <c r="I395" s="403">
        <v>1</v>
      </c>
      <c r="J395" s="403" t="s">
        <v>1324</v>
      </c>
      <c r="K395" s="403">
        <v>3584</v>
      </c>
      <c r="L395" s="403">
        <v>2016</v>
      </c>
      <c r="M395" s="403" t="s">
        <v>109</v>
      </c>
      <c r="N395" s="403">
        <v>1280</v>
      </c>
      <c r="O395" s="403">
        <v>720</v>
      </c>
      <c r="P395" t="str">
        <f t="shared" si="49"/>
        <v>25fps 3584x2016 - 720p</v>
      </c>
      <c r="Q395">
        <f t="shared" si="50"/>
        <v>3</v>
      </c>
      <c r="R395" t="str">
        <f t="shared" si="51"/>
        <v/>
      </c>
      <c r="S395" t="str">
        <f t="shared" si="52"/>
        <v/>
      </c>
      <c r="T395" s="403" t="str">
        <f t="shared" si="53"/>
        <v>MIC-7504-Z12xR</v>
      </c>
      <c r="U395" s="403">
        <f t="shared" si="54"/>
        <v>1</v>
      </c>
      <c r="V395" s="403" t="str">
        <f t="shared" si="55"/>
        <v>CPP_7_3</v>
      </c>
    </row>
    <row r="396" spans="1:22">
      <c r="A396" t="str">
        <f t="shared" si="48"/>
        <v>MIC-7504-Z12xR</v>
      </c>
      <c r="B396" s="403" t="s">
        <v>1360</v>
      </c>
      <c r="C396" s="403" t="s">
        <v>582</v>
      </c>
      <c r="D396" s="403" t="s">
        <v>1361</v>
      </c>
      <c r="E396" s="403" t="s">
        <v>778</v>
      </c>
      <c r="F396" s="403" t="s">
        <v>1325</v>
      </c>
      <c r="G396" s="403" t="s">
        <v>1466</v>
      </c>
      <c r="H396" s="403" t="s">
        <v>1282</v>
      </c>
      <c r="I396" s="403">
        <v>1</v>
      </c>
      <c r="J396" s="403" t="s">
        <v>1324</v>
      </c>
      <c r="K396" s="403">
        <v>3584</v>
      </c>
      <c r="L396" s="403">
        <v>2016</v>
      </c>
      <c r="M396" s="403" t="s">
        <v>1283</v>
      </c>
      <c r="N396" s="403">
        <v>720</v>
      </c>
      <c r="O396" s="403">
        <v>576</v>
      </c>
      <c r="P396" t="str">
        <f t="shared" si="49"/>
        <v>25fps 3584x2016 - SD 4CIF resolution 4:3 format (cropped)</v>
      </c>
      <c r="Q396">
        <f t="shared" si="50"/>
        <v>3</v>
      </c>
      <c r="R396" t="str">
        <f t="shared" si="51"/>
        <v/>
      </c>
      <c r="S396" t="str">
        <f t="shared" si="52"/>
        <v/>
      </c>
      <c r="T396" s="403" t="str">
        <f t="shared" si="53"/>
        <v>MIC-7504-Z12xR</v>
      </c>
      <c r="U396" s="403">
        <f t="shared" si="54"/>
        <v>1</v>
      </c>
      <c r="V396" s="403" t="str">
        <f t="shared" si="55"/>
        <v>CPP_7_3</v>
      </c>
    </row>
    <row r="397" spans="1:22">
      <c r="A397" t="str">
        <f t="shared" si="48"/>
        <v>MIC-7504-Z12xR</v>
      </c>
      <c r="B397" s="403" t="s">
        <v>1360</v>
      </c>
      <c r="C397" s="403" t="s">
        <v>582</v>
      </c>
      <c r="D397" s="403" t="s">
        <v>1361</v>
      </c>
      <c r="E397" s="403" t="s">
        <v>778</v>
      </c>
      <c r="F397" s="403" t="s">
        <v>1325</v>
      </c>
      <c r="G397" s="403" t="s">
        <v>1466</v>
      </c>
      <c r="H397" s="403" t="s">
        <v>1282</v>
      </c>
      <c r="I397" s="403">
        <v>1</v>
      </c>
      <c r="J397" s="403" t="s">
        <v>1324</v>
      </c>
      <c r="K397" s="403">
        <v>3584</v>
      </c>
      <c r="L397" s="403">
        <v>2016</v>
      </c>
      <c r="M397" s="403" t="s">
        <v>1284</v>
      </c>
      <c r="N397" s="403">
        <v>640</v>
      </c>
      <c r="O397" s="403">
        <v>480</v>
      </c>
      <c r="P397" t="str">
        <f t="shared" si="49"/>
        <v>25fps 3584x2016 - SD VGA (cropped)</v>
      </c>
      <c r="Q397">
        <f t="shared" si="50"/>
        <v>3</v>
      </c>
      <c r="R397" t="str">
        <f t="shared" si="51"/>
        <v/>
      </c>
      <c r="S397" t="str">
        <f t="shared" si="52"/>
        <v/>
      </c>
      <c r="T397" s="403" t="str">
        <f t="shared" si="53"/>
        <v>MIC-7504-Z12xR</v>
      </c>
      <c r="U397" s="403">
        <f t="shared" si="54"/>
        <v>1</v>
      </c>
      <c r="V397" s="403" t="str">
        <f t="shared" si="55"/>
        <v>CPP_7_3</v>
      </c>
    </row>
    <row r="398" spans="1:22">
      <c r="A398" t="str">
        <f t="shared" si="48"/>
        <v>MIC-7504-Z12xR</v>
      </c>
      <c r="B398" s="403" t="s">
        <v>1360</v>
      </c>
      <c r="C398" s="403" t="s">
        <v>582</v>
      </c>
      <c r="D398" s="403" t="s">
        <v>1361</v>
      </c>
      <c r="E398" s="403" t="s">
        <v>778</v>
      </c>
      <c r="F398" s="403" t="s">
        <v>1325</v>
      </c>
      <c r="G398" s="403" t="s">
        <v>1466</v>
      </c>
      <c r="H398" s="403" t="s">
        <v>1282</v>
      </c>
      <c r="I398" s="403">
        <v>1</v>
      </c>
      <c r="J398" s="403" t="s">
        <v>1324</v>
      </c>
      <c r="K398" s="403">
        <v>3584</v>
      </c>
      <c r="L398" s="403">
        <v>2016</v>
      </c>
      <c r="M398" s="403" t="s">
        <v>1285</v>
      </c>
      <c r="N398" s="403">
        <v>1280</v>
      </c>
      <c r="O398" s="403">
        <v>1024</v>
      </c>
      <c r="P398" t="str">
        <f t="shared" si="49"/>
        <v>25fps 3584x2016 - 1280x1024 5:4 (cropped)</v>
      </c>
      <c r="Q398">
        <f t="shared" si="50"/>
        <v>3</v>
      </c>
      <c r="R398" t="str">
        <f t="shared" si="51"/>
        <v/>
      </c>
      <c r="S398" t="str">
        <f t="shared" si="52"/>
        <v/>
      </c>
      <c r="T398" s="403" t="str">
        <f t="shared" si="53"/>
        <v>MIC-7504-Z12xR</v>
      </c>
      <c r="U398" s="403">
        <f t="shared" si="54"/>
        <v>1</v>
      </c>
      <c r="V398" s="403" t="str">
        <f t="shared" si="55"/>
        <v>CPP_7_3</v>
      </c>
    </row>
    <row r="399" spans="1:22">
      <c r="A399" t="str">
        <f t="shared" si="48"/>
        <v>MIC-7504-Z12xR</v>
      </c>
      <c r="B399" s="403" t="s">
        <v>1360</v>
      </c>
      <c r="C399" s="403" t="s">
        <v>582</v>
      </c>
      <c r="D399" s="403" t="s">
        <v>1361</v>
      </c>
      <c r="E399" s="403" t="s">
        <v>778</v>
      </c>
      <c r="F399" s="403" t="s">
        <v>1325</v>
      </c>
      <c r="G399" s="403" t="s">
        <v>1466</v>
      </c>
      <c r="H399" s="403" t="s">
        <v>1282</v>
      </c>
      <c r="I399" s="403">
        <v>1</v>
      </c>
      <c r="J399" s="403" t="s">
        <v>110</v>
      </c>
      <c r="K399" s="403">
        <v>1920</v>
      </c>
      <c r="L399" s="403">
        <v>1080</v>
      </c>
      <c r="M399" s="403" t="s">
        <v>111</v>
      </c>
      <c r="N399" s="403">
        <v>768</v>
      </c>
      <c r="O399" s="403">
        <v>432</v>
      </c>
      <c r="P399" t="str">
        <f t="shared" si="49"/>
        <v>25fps 1080p - SD</v>
      </c>
      <c r="Q399">
        <f t="shared" si="50"/>
        <v>3</v>
      </c>
      <c r="R399" t="str">
        <f t="shared" si="51"/>
        <v/>
      </c>
      <c r="S399" t="str">
        <f t="shared" si="52"/>
        <v/>
      </c>
      <c r="T399" s="403" t="str">
        <f t="shared" si="53"/>
        <v>MIC-7504-Z12xR</v>
      </c>
      <c r="U399" s="403">
        <f t="shared" si="54"/>
        <v>1</v>
      </c>
      <c r="V399" s="403" t="str">
        <f t="shared" si="55"/>
        <v>CPP_7_3</v>
      </c>
    </row>
    <row r="400" spans="1:22">
      <c r="A400" t="str">
        <f t="shared" si="48"/>
        <v>MIC-7504-Z12xR</v>
      </c>
      <c r="B400" s="403" t="s">
        <v>1360</v>
      </c>
      <c r="C400" s="403" t="s">
        <v>582</v>
      </c>
      <c r="D400" s="403" t="s">
        <v>1361</v>
      </c>
      <c r="E400" s="403" t="s">
        <v>778</v>
      </c>
      <c r="F400" s="403" t="s">
        <v>1325</v>
      </c>
      <c r="G400" s="403" t="s">
        <v>1466</v>
      </c>
      <c r="H400" s="403" t="s">
        <v>1282</v>
      </c>
      <c r="I400" s="403">
        <v>1</v>
      </c>
      <c r="J400" s="403" t="s">
        <v>110</v>
      </c>
      <c r="K400" s="403">
        <v>1920</v>
      </c>
      <c r="L400" s="403">
        <v>1080</v>
      </c>
      <c r="M400" s="403" t="s">
        <v>110</v>
      </c>
      <c r="N400" s="403">
        <v>1920</v>
      </c>
      <c r="O400" s="403">
        <v>1080</v>
      </c>
      <c r="P400" t="str">
        <f t="shared" si="49"/>
        <v>25fps 1080p - 1080p</v>
      </c>
      <c r="Q400">
        <f t="shared" si="50"/>
        <v>3</v>
      </c>
      <c r="R400" t="str">
        <f t="shared" si="51"/>
        <v/>
      </c>
      <c r="S400" t="str">
        <f t="shared" si="52"/>
        <v/>
      </c>
      <c r="T400" s="403" t="str">
        <f t="shared" si="53"/>
        <v>MIC-7504-Z12xR</v>
      </c>
      <c r="U400" s="403">
        <f t="shared" si="54"/>
        <v>1</v>
      </c>
      <c r="V400" s="403" t="str">
        <f t="shared" si="55"/>
        <v>CPP_7_3</v>
      </c>
    </row>
    <row r="401" spans="1:22">
      <c r="A401" t="str">
        <f t="shared" si="48"/>
        <v>MIC-7504-Z12xR</v>
      </c>
      <c r="B401" s="403" t="s">
        <v>1360</v>
      </c>
      <c r="C401" s="403" t="s">
        <v>582</v>
      </c>
      <c r="D401" s="403" t="s">
        <v>1361</v>
      </c>
      <c r="E401" s="403" t="s">
        <v>778</v>
      </c>
      <c r="F401" s="403" t="s">
        <v>1325</v>
      </c>
      <c r="G401" s="403" t="s">
        <v>1466</v>
      </c>
      <c r="H401" s="403" t="s">
        <v>1282</v>
      </c>
      <c r="I401" s="403">
        <v>1</v>
      </c>
      <c r="J401" s="403" t="s">
        <v>110</v>
      </c>
      <c r="K401" s="403">
        <v>1920</v>
      </c>
      <c r="L401" s="403">
        <v>1080</v>
      </c>
      <c r="M401" s="403" t="s">
        <v>109</v>
      </c>
      <c r="N401" s="403">
        <v>1280</v>
      </c>
      <c r="O401" s="403">
        <v>720</v>
      </c>
      <c r="P401" t="str">
        <f t="shared" si="49"/>
        <v>25fps 1080p - 720p</v>
      </c>
      <c r="Q401">
        <f t="shared" si="50"/>
        <v>3</v>
      </c>
      <c r="R401" t="str">
        <f t="shared" si="51"/>
        <v/>
      </c>
      <c r="S401" t="str">
        <f t="shared" si="52"/>
        <v/>
      </c>
      <c r="T401" s="403" t="str">
        <f t="shared" si="53"/>
        <v>MIC-7504-Z12xR</v>
      </c>
      <c r="U401" s="403">
        <f t="shared" si="54"/>
        <v>1</v>
      </c>
      <c r="V401" s="403" t="str">
        <f t="shared" si="55"/>
        <v>CPP_7_3</v>
      </c>
    </row>
    <row r="402" spans="1:22">
      <c r="A402" t="str">
        <f t="shared" si="48"/>
        <v>MIC-7504-Z12xR</v>
      </c>
      <c r="B402" s="403" t="s">
        <v>1360</v>
      </c>
      <c r="C402" s="403" t="s">
        <v>582</v>
      </c>
      <c r="D402" s="403" t="s">
        <v>1361</v>
      </c>
      <c r="E402" s="403" t="s">
        <v>778</v>
      </c>
      <c r="F402" s="403" t="s">
        <v>1325</v>
      </c>
      <c r="G402" s="403" t="s">
        <v>1466</v>
      </c>
      <c r="H402" s="403" t="s">
        <v>1282</v>
      </c>
      <c r="I402" s="403">
        <v>1</v>
      </c>
      <c r="J402" s="403" t="s">
        <v>110</v>
      </c>
      <c r="K402" s="403">
        <v>1920</v>
      </c>
      <c r="L402" s="403">
        <v>1080</v>
      </c>
      <c r="M402" s="403" t="s">
        <v>1285</v>
      </c>
      <c r="N402" s="403">
        <v>1280</v>
      </c>
      <c r="O402" s="403">
        <v>1024</v>
      </c>
      <c r="P402" t="str">
        <f t="shared" si="49"/>
        <v>25fps 1080p - 1280x1024 5:4 (cropped)</v>
      </c>
      <c r="Q402">
        <f t="shared" si="50"/>
        <v>3</v>
      </c>
      <c r="R402" t="str">
        <f t="shared" si="51"/>
        <v/>
      </c>
      <c r="S402" t="str">
        <f t="shared" si="52"/>
        <v/>
      </c>
      <c r="T402" s="403" t="str">
        <f t="shared" si="53"/>
        <v>MIC-7504-Z12xR</v>
      </c>
      <c r="U402" s="403">
        <f t="shared" si="54"/>
        <v>1</v>
      </c>
      <c r="V402" s="403" t="str">
        <f t="shared" si="55"/>
        <v>CPP_7_3</v>
      </c>
    </row>
    <row r="403" spans="1:22">
      <c r="A403" t="str">
        <f t="shared" si="48"/>
        <v>MIC-7504-Z12xR</v>
      </c>
      <c r="B403" s="403" t="s">
        <v>1360</v>
      </c>
      <c r="C403" s="403" t="s">
        <v>582</v>
      </c>
      <c r="D403" s="403" t="s">
        <v>1361</v>
      </c>
      <c r="E403" s="403" t="s">
        <v>778</v>
      </c>
      <c r="F403" s="403" t="s">
        <v>1325</v>
      </c>
      <c r="G403" s="403" t="s">
        <v>1466</v>
      </c>
      <c r="H403" s="403" t="s">
        <v>1282</v>
      </c>
      <c r="I403" s="403">
        <v>1</v>
      </c>
      <c r="J403" s="403" t="s">
        <v>110</v>
      </c>
      <c r="K403" s="403">
        <v>1920</v>
      </c>
      <c r="L403" s="403">
        <v>1080</v>
      </c>
      <c r="M403" s="403" t="s">
        <v>1283</v>
      </c>
      <c r="N403" s="403">
        <v>720</v>
      </c>
      <c r="O403" s="403">
        <v>576</v>
      </c>
      <c r="P403" t="str">
        <f t="shared" si="49"/>
        <v>25fps 1080p - SD 4CIF resolution 4:3 format (cropped)</v>
      </c>
      <c r="Q403">
        <f t="shared" si="50"/>
        <v>3</v>
      </c>
      <c r="R403" t="str">
        <f t="shared" si="51"/>
        <v/>
      </c>
      <c r="S403" t="str">
        <f t="shared" si="52"/>
        <v/>
      </c>
      <c r="T403" s="403" t="str">
        <f t="shared" si="53"/>
        <v>MIC-7504-Z12xR</v>
      </c>
      <c r="U403" s="403">
        <f t="shared" si="54"/>
        <v>1</v>
      </c>
      <c r="V403" s="403" t="str">
        <f t="shared" si="55"/>
        <v>CPP_7_3</v>
      </c>
    </row>
    <row r="404" spans="1:22">
      <c r="A404" t="str">
        <f t="shared" si="48"/>
        <v>MIC-7504-Z12xR</v>
      </c>
      <c r="B404" s="403" t="s">
        <v>1360</v>
      </c>
      <c r="C404" s="403" t="s">
        <v>582</v>
      </c>
      <c r="D404" s="403" t="s">
        <v>1361</v>
      </c>
      <c r="E404" s="403" t="s">
        <v>778</v>
      </c>
      <c r="F404" s="403" t="s">
        <v>1325</v>
      </c>
      <c r="G404" s="403" t="s">
        <v>1466</v>
      </c>
      <c r="H404" s="403" t="s">
        <v>1282</v>
      </c>
      <c r="I404" s="403">
        <v>1</v>
      </c>
      <c r="J404" s="403" t="s">
        <v>110</v>
      </c>
      <c r="K404" s="403">
        <v>1920</v>
      </c>
      <c r="L404" s="403">
        <v>1080</v>
      </c>
      <c r="M404" s="403" t="s">
        <v>1284</v>
      </c>
      <c r="N404" s="403">
        <v>640</v>
      </c>
      <c r="O404" s="403">
        <v>480</v>
      </c>
      <c r="P404" t="str">
        <f t="shared" si="49"/>
        <v>25fps 1080p - SD VGA (cropped)</v>
      </c>
      <c r="Q404">
        <f t="shared" si="50"/>
        <v>3</v>
      </c>
      <c r="R404" t="str">
        <f t="shared" si="51"/>
        <v/>
      </c>
      <c r="S404" t="str">
        <f t="shared" si="52"/>
        <v/>
      </c>
      <c r="T404" s="403" t="str">
        <f t="shared" si="53"/>
        <v>MIC-7504-Z12xR</v>
      </c>
      <c r="U404" s="403">
        <f t="shared" si="54"/>
        <v>1</v>
      </c>
      <c r="V404" s="403" t="str">
        <f t="shared" si="55"/>
        <v>CPP_7_3</v>
      </c>
    </row>
    <row r="405" spans="1:22">
      <c r="A405" t="str">
        <f t="shared" si="48"/>
        <v>MIC-7504-Z12xR</v>
      </c>
      <c r="B405" s="403" t="s">
        <v>1360</v>
      </c>
      <c r="C405" s="403" t="s">
        <v>582</v>
      </c>
      <c r="D405" s="403" t="s">
        <v>1361</v>
      </c>
      <c r="E405" s="403" t="s">
        <v>778</v>
      </c>
      <c r="F405" s="403" t="s">
        <v>1325</v>
      </c>
      <c r="G405" s="403" t="s">
        <v>1466</v>
      </c>
      <c r="H405" s="403" t="s">
        <v>1282</v>
      </c>
      <c r="I405" s="403">
        <v>1</v>
      </c>
      <c r="J405" s="403" t="s">
        <v>109</v>
      </c>
      <c r="K405" s="403">
        <v>1280</v>
      </c>
      <c r="L405" s="403">
        <v>720</v>
      </c>
      <c r="M405" s="403" t="s">
        <v>109</v>
      </c>
      <c r="N405" s="403">
        <v>1280</v>
      </c>
      <c r="O405" s="403">
        <v>720</v>
      </c>
      <c r="P405" t="str">
        <f t="shared" si="49"/>
        <v>25fps 720p - 720p</v>
      </c>
      <c r="Q405">
        <f t="shared" si="50"/>
        <v>3</v>
      </c>
      <c r="R405" t="str">
        <f t="shared" si="51"/>
        <v/>
      </c>
      <c r="S405" t="str">
        <f t="shared" si="52"/>
        <v/>
      </c>
      <c r="T405" s="403" t="str">
        <f t="shared" si="53"/>
        <v>MIC-7504-Z12xR</v>
      </c>
      <c r="U405" s="403">
        <f t="shared" si="54"/>
        <v>1</v>
      </c>
      <c r="V405" s="403" t="str">
        <f t="shared" si="55"/>
        <v>CPP_7_3</v>
      </c>
    </row>
    <row r="406" spans="1:22">
      <c r="A406" t="str">
        <f t="shared" si="48"/>
        <v>MIC-7504-Z12xR</v>
      </c>
      <c r="B406" s="403" t="s">
        <v>1360</v>
      </c>
      <c r="C406" s="403" t="s">
        <v>582</v>
      </c>
      <c r="D406" s="403" t="s">
        <v>1361</v>
      </c>
      <c r="E406" s="403" t="s">
        <v>778</v>
      </c>
      <c r="F406" s="403" t="s">
        <v>1325</v>
      </c>
      <c r="G406" s="403" t="s">
        <v>1466</v>
      </c>
      <c r="H406" s="403" t="s">
        <v>1282</v>
      </c>
      <c r="I406" s="403">
        <v>1</v>
      </c>
      <c r="J406" s="403" t="s">
        <v>109</v>
      </c>
      <c r="K406" s="403">
        <v>1280</v>
      </c>
      <c r="L406" s="403">
        <v>720</v>
      </c>
      <c r="M406" s="403" t="s">
        <v>111</v>
      </c>
      <c r="N406" s="403">
        <v>768</v>
      </c>
      <c r="O406" s="403">
        <v>432</v>
      </c>
      <c r="P406" t="str">
        <f t="shared" si="49"/>
        <v>25fps 720p - SD</v>
      </c>
      <c r="Q406">
        <f t="shared" si="50"/>
        <v>3</v>
      </c>
      <c r="R406" t="str">
        <f t="shared" si="51"/>
        <v/>
      </c>
      <c r="S406" t="str">
        <f t="shared" si="52"/>
        <v/>
      </c>
      <c r="T406" s="403" t="str">
        <f t="shared" si="53"/>
        <v>MIC-7504-Z12xR</v>
      </c>
      <c r="U406" s="403">
        <f t="shared" si="54"/>
        <v>1</v>
      </c>
      <c r="V406" s="403" t="str">
        <f t="shared" si="55"/>
        <v>CPP_7_3</v>
      </c>
    </row>
    <row r="407" spans="1:22">
      <c r="A407" t="str">
        <f t="shared" si="48"/>
        <v>MIC-7504-Z12xR</v>
      </c>
      <c r="B407" s="403" t="s">
        <v>1360</v>
      </c>
      <c r="C407" s="403" t="s">
        <v>582</v>
      </c>
      <c r="D407" s="403" t="s">
        <v>1361</v>
      </c>
      <c r="E407" s="403" t="s">
        <v>778</v>
      </c>
      <c r="F407" s="403" t="s">
        <v>1325</v>
      </c>
      <c r="G407" s="403" t="s">
        <v>1466</v>
      </c>
      <c r="H407" s="403" t="s">
        <v>1282</v>
      </c>
      <c r="I407" s="403">
        <v>1</v>
      </c>
      <c r="J407" s="403" t="s">
        <v>109</v>
      </c>
      <c r="K407" s="403">
        <v>1280</v>
      </c>
      <c r="L407" s="403">
        <v>720</v>
      </c>
      <c r="M407" s="403" t="s">
        <v>1283</v>
      </c>
      <c r="N407" s="403">
        <v>720</v>
      </c>
      <c r="O407" s="403">
        <v>576</v>
      </c>
      <c r="P407" t="str">
        <f t="shared" si="49"/>
        <v>25fps 720p - SD 4CIF resolution 4:3 format (cropped)</v>
      </c>
      <c r="Q407">
        <f t="shared" si="50"/>
        <v>3</v>
      </c>
      <c r="R407" t="str">
        <f t="shared" si="51"/>
        <v/>
      </c>
      <c r="S407" t="str">
        <f t="shared" si="52"/>
        <v/>
      </c>
      <c r="T407" s="403" t="str">
        <f t="shared" si="53"/>
        <v>MIC-7504-Z12xR</v>
      </c>
      <c r="U407" s="403">
        <f t="shared" si="54"/>
        <v>1</v>
      </c>
      <c r="V407" s="403" t="str">
        <f t="shared" si="55"/>
        <v>CPP_7_3</v>
      </c>
    </row>
    <row r="408" spans="1:22">
      <c r="A408" t="str">
        <f t="shared" si="48"/>
        <v>MIC-7504-Z12xR</v>
      </c>
      <c r="B408" s="403" t="s">
        <v>1360</v>
      </c>
      <c r="C408" s="403" t="s">
        <v>582</v>
      </c>
      <c r="D408" s="403" t="s">
        <v>1361</v>
      </c>
      <c r="E408" s="403" t="s">
        <v>778</v>
      </c>
      <c r="F408" s="403" t="s">
        <v>1325</v>
      </c>
      <c r="G408" s="403" t="s">
        <v>1466</v>
      </c>
      <c r="H408" s="403" t="s">
        <v>1282</v>
      </c>
      <c r="I408" s="403">
        <v>1</v>
      </c>
      <c r="J408" s="403" t="s">
        <v>109</v>
      </c>
      <c r="K408" s="403">
        <v>1280</v>
      </c>
      <c r="L408" s="403">
        <v>720</v>
      </c>
      <c r="M408" s="403" t="s">
        <v>1284</v>
      </c>
      <c r="N408" s="403">
        <v>640</v>
      </c>
      <c r="O408" s="403">
        <v>480</v>
      </c>
      <c r="P408" t="str">
        <f t="shared" si="49"/>
        <v>25fps 720p - SD VGA (cropped)</v>
      </c>
      <c r="Q408">
        <f t="shared" si="50"/>
        <v>3</v>
      </c>
      <c r="R408" t="str">
        <f t="shared" si="51"/>
        <v/>
      </c>
      <c r="S408" t="str">
        <f t="shared" si="52"/>
        <v/>
      </c>
      <c r="T408" s="403" t="str">
        <f t="shared" si="53"/>
        <v>MIC-7504-Z12xR</v>
      </c>
      <c r="U408" s="403">
        <f t="shared" si="54"/>
        <v>1</v>
      </c>
      <c r="V408" s="403" t="str">
        <f t="shared" si="55"/>
        <v>CPP_7_3</v>
      </c>
    </row>
    <row r="409" spans="1:22">
      <c r="A409" t="str">
        <f t="shared" si="48"/>
        <v>MIC-7504-Z12xR</v>
      </c>
      <c r="B409" s="403" t="s">
        <v>1360</v>
      </c>
      <c r="C409" s="403" t="s">
        <v>582</v>
      </c>
      <c r="D409" s="403" t="s">
        <v>1361</v>
      </c>
      <c r="E409" s="403" t="s">
        <v>778</v>
      </c>
      <c r="F409" s="403" t="s">
        <v>1323</v>
      </c>
      <c r="G409" s="403" t="s">
        <v>1466</v>
      </c>
      <c r="H409" s="403" t="s">
        <v>1276</v>
      </c>
      <c r="I409" s="403">
        <v>1</v>
      </c>
      <c r="J409" s="403" t="s">
        <v>194</v>
      </c>
      <c r="K409" s="403">
        <v>3840</v>
      </c>
      <c r="L409" s="403">
        <v>2160</v>
      </c>
      <c r="M409" s="403" t="s">
        <v>1280</v>
      </c>
      <c r="N409" s="403">
        <v>3840</v>
      </c>
      <c r="O409" s="403">
        <v>2160</v>
      </c>
      <c r="P409" t="str">
        <f t="shared" si="49"/>
        <v>30fps 3840x2160 - copy other stream</v>
      </c>
      <c r="Q409">
        <f t="shared" si="50"/>
        <v>3</v>
      </c>
      <c r="R409" t="str">
        <f t="shared" si="51"/>
        <v/>
      </c>
      <c r="S409" t="str">
        <f t="shared" si="52"/>
        <v/>
      </c>
      <c r="T409" s="403" t="str">
        <f t="shared" si="53"/>
        <v>MIC-7504-Z12xR</v>
      </c>
      <c r="U409" s="403">
        <f t="shared" si="54"/>
        <v>1</v>
      </c>
      <c r="V409" s="403" t="str">
        <f t="shared" si="55"/>
        <v>CPP_7_3</v>
      </c>
    </row>
    <row r="410" spans="1:22">
      <c r="A410" t="str">
        <f t="shared" si="48"/>
        <v>MIC-7504-Z12xR</v>
      </c>
      <c r="B410" s="403" t="s">
        <v>1360</v>
      </c>
      <c r="C410" s="403" t="s">
        <v>582</v>
      </c>
      <c r="D410" s="403" t="s">
        <v>1361</v>
      </c>
      <c r="E410" s="403" t="s">
        <v>778</v>
      </c>
      <c r="F410" s="403" t="s">
        <v>1323</v>
      </c>
      <c r="G410" s="403" t="s">
        <v>1466</v>
      </c>
      <c r="H410" s="403" t="s">
        <v>1276</v>
      </c>
      <c r="I410" s="403">
        <v>1</v>
      </c>
      <c r="J410" s="403" t="s">
        <v>1324</v>
      </c>
      <c r="K410" s="403">
        <v>3584</v>
      </c>
      <c r="L410" s="403">
        <v>2016</v>
      </c>
      <c r="M410" s="403" t="s">
        <v>111</v>
      </c>
      <c r="N410" s="403">
        <v>768</v>
      </c>
      <c r="O410" s="403">
        <v>432</v>
      </c>
      <c r="P410" t="str">
        <f t="shared" si="49"/>
        <v>30fps 3584x2016 - SD</v>
      </c>
      <c r="Q410">
        <f t="shared" si="50"/>
        <v>3</v>
      </c>
      <c r="R410" t="str">
        <f t="shared" si="51"/>
        <v/>
      </c>
      <c r="S410" t="str">
        <f t="shared" si="52"/>
        <v/>
      </c>
      <c r="T410" s="403" t="str">
        <f t="shared" si="53"/>
        <v>MIC-7504-Z12xR</v>
      </c>
      <c r="U410" s="403">
        <f t="shared" si="54"/>
        <v>1</v>
      </c>
      <c r="V410" s="403" t="str">
        <f t="shared" si="55"/>
        <v>CPP_7_3</v>
      </c>
    </row>
    <row r="411" spans="1:22">
      <c r="A411" t="str">
        <f t="shared" si="48"/>
        <v>MIC-7504-Z12xR</v>
      </c>
      <c r="B411" s="403" t="s">
        <v>1360</v>
      </c>
      <c r="C411" s="403" t="s">
        <v>582</v>
      </c>
      <c r="D411" s="403" t="s">
        <v>1361</v>
      </c>
      <c r="E411" s="403" t="s">
        <v>778</v>
      </c>
      <c r="F411" s="403" t="s">
        <v>1323</v>
      </c>
      <c r="G411" s="403" t="s">
        <v>1466</v>
      </c>
      <c r="H411" s="403" t="s">
        <v>1276</v>
      </c>
      <c r="I411" s="403">
        <v>1</v>
      </c>
      <c r="J411" s="403" t="s">
        <v>1324</v>
      </c>
      <c r="K411" s="403">
        <v>3584</v>
      </c>
      <c r="L411" s="403">
        <v>2016</v>
      </c>
      <c r="M411" s="403" t="s">
        <v>1280</v>
      </c>
      <c r="N411" s="403">
        <v>3584</v>
      </c>
      <c r="O411" s="403">
        <v>2016</v>
      </c>
      <c r="P411" t="str">
        <f t="shared" si="49"/>
        <v>30fps 3584x2016 - copy other stream</v>
      </c>
      <c r="Q411">
        <f t="shared" si="50"/>
        <v>3</v>
      </c>
      <c r="R411" t="str">
        <f t="shared" si="51"/>
        <v/>
      </c>
      <c r="S411" t="str">
        <f t="shared" si="52"/>
        <v/>
      </c>
      <c r="T411" s="403" t="str">
        <f t="shared" si="53"/>
        <v>MIC-7504-Z12xR</v>
      </c>
      <c r="U411" s="403">
        <f t="shared" si="54"/>
        <v>1</v>
      </c>
      <c r="V411" s="403" t="str">
        <f t="shared" si="55"/>
        <v>CPP_7_3</v>
      </c>
    </row>
    <row r="412" spans="1:22">
      <c r="A412" t="str">
        <f t="shared" si="48"/>
        <v>MIC-7504-Z12xR</v>
      </c>
      <c r="B412" s="403" t="s">
        <v>1360</v>
      </c>
      <c r="C412" s="403" t="s">
        <v>582</v>
      </c>
      <c r="D412" s="403" t="s">
        <v>1361</v>
      </c>
      <c r="E412" s="403" t="s">
        <v>778</v>
      </c>
      <c r="F412" s="403" t="s">
        <v>1323</v>
      </c>
      <c r="G412" s="403" t="s">
        <v>1466</v>
      </c>
      <c r="H412" s="403" t="s">
        <v>1276</v>
      </c>
      <c r="I412" s="403">
        <v>1</v>
      </c>
      <c r="J412" s="403" t="s">
        <v>1324</v>
      </c>
      <c r="K412" s="403">
        <v>3584</v>
      </c>
      <c r="L412" s="403">
        <v>2016</v>
      </c>
      <c r="M412" s="403" t="s">
        <v>1365</v>
      </c>
      <c r="N412" s="403">
        <v>3584</v>
      </c>
      <c r="O412" s="403">
        <v>2016</v>
      </c>
      <c r="P412" t="str">
        <f t="shared" si="49"/>
        <v>30fps 3584x2016 - 3584x2016 @ SKIP8</v>
      </c>
      <c r="Q412">
        <f t="shared" si="50"/>
        <v>3</v>
      </c>
      <c r="R412" t="str">
        <f t="shared" si="51"/>
        <v/>
      </c>
      <c r="S412" t="str">
        <f t="shared" si="52"/>
        <v/>
      </c>
      <c r="T412" s="403" t="str">
        <f t="shared" si="53"/>
        <v>MIC-7504-Z12xR</v>
      </c>
      <c r="U412" s="403">
        <f t="shared" si="54"/>
        <v>1</v>
      </c>
      <c r="V412" s="403" t="str">
        <f t="shared" si="55"/>
        <v>CPP_7_3</v>
      </c>
    </row>
    <row r="413" spans="1:22">
      <c r="A413" t="str">
        <f t="shared" si="48"/>
        <v>MIC-7504-Z12xR</v>
      </c>
      <c r="B413" s="403" t="s">
        <v>1360</v>
      </c>
      <c r="C413" s="403" t="s">
        <v>582</v>
      </c>
      <c r="D413" s="403" t="s">
        <v>1361</v>
      </c>
      <c r="E413" s="403" t="s">
        <v>778</v>
      </c>
      <c r="F413" s="403" t="s">
        <v>1323</v>
      </c>
      <c r="G413" s="403" t="s">
        <v>1466</v>
      </c>
      <c r="H413" s="403" t="s">
        <v>1276</v>
      </c>
      <c r="I413" s="403">
        <v>1</v>
      </c>
      <c r="J413" s="403" t="s">
        <v>1324</v>
      </c>
      <c r="K413" s="403">
        <v>3584</v>
      </c>
      <c r="L413" s="403">
        <v>2016</v>
      </c>
      <c r="M413" s="403" t="s">
        <v>109</v>
      </c>
      <c r="N413" s="403">
        <v>1280</v>
      </c>
      <c r="O413" s="403">
        <v>720</v>
      </c>
      <c r="P413" t="str">
        <f t="shared" si="49"/>
        <v>30fps 3584x2016 - 720p</v>
      </c>
      <c r="Q413">
        <f t="shared" si="50"/>
        <v>3</v>
      </c>
      <c r="R413" t="str">
        <f t="shared" si="51"/>
        <v/>
      </c>
      <c r="S413" t="str">
        <f t="shared" si="52"/>
        <v/>
      </c>
      <c r="T413" s="403" t="str">
        <f t="shared" si="53"/>
        <v>MIC-7504-Z12xR</v>
      </c>
      <c r="U413" s="403">
        <f t="shared" si="54"/>
        <v>1</v>
      </c>
      <c r="V413" s="403" t="str">
        <f t="shared" si="55"/>
        <v>CPP_7_3</v>
      </c>
    </row>
    <row r="414" spans="1:22">
      <c r="A414" t="str">
        <f t="shared" si="48"/>
        <v>MIC-7504-Z12xR</v>
      </c>
      <c r="B414" s="403" t="s">
        <v>1360</v>
      </c>
      <c r="C414" s="403" t="s">
        <v>582</v>
      </c>
      <c r="D414" s="403" t="s">
        <v>1361</v>
      </c>
      <c r="E414" s="403" t="s">
        <v>778</v>
      </c>
      <c r="F414" s="403" t="s">
        <v>1323</v>
      </c>
      <c r="G414" s="403" t="s">
        <v>1466</v>
      </c>
      <c r="H414" s="403" t="s">
        <v>1276</v>
      </c>
      <c r="I414" s="403">
        <v>1</v>
      </c>
      <c r="J414" s="403" t="s">
        <v>1324</v>
      </c>
      <c r="K414" s="403">
        <v>3584</v>
      </c>
      <c r="L414" s="403">
        <v>2016</v>
      </c>
      <c r="M414" s="403" t="s">
        <v>1283</v>
      </c>
      <c r="N414" s="403">
        <v>720</v>
      </c>
      <c r="O414" s="403">
        <v>480</v>
      </c>
      <c r="P414" t="str">
        <f t="shared" si="49"/>
        <v>30fps 3584x2016 - SD 4CIF resolution 4:3 format (cropped)</v>
      </c>
      <c r="Q414">
        <f t="shared" si="50"/>
        <v>3</v>
      </c>
      <c r="R414" t="str">
        <f t="shared" si="51"/>
        <v/>
      </c>
      <c r="S414" t="str">
        <f t="shared" si="52"/>
        <v/>
      </c>
      <c r="T414" s="403" t="str">
        <f t="shared" si="53"/>
        <v>MIC-7504-Z12xR</v>
      </c>
      <c r="U414" s="403">
        <f t="shared" si="54"/>
        <v>1</v>
      </c>
      <c r="V414" s="403" t="str">
        <f t="shared" si="55"/>
        <v>CPP_7_3</v>
      </c>
    </row>
    <row r="415" spans="1:22">
      <c r="A415" t="str">
        <f t="shared" si="48"/>
        <v>MIC-7504-Z12xR</v>
      </c>
      <c r="B415" s="403" t="s">
        <v>1360</v>
      </c>
      <c r="C415" s="403" t="s">
        <v>582</v>
      </c>
      <c r="D415" s="403" t="s">
        <v>1361</v>
      </c>
      <c r="E415" s="403" t="s">
        <v>778</v>
      </c>
      <c r="F415" s="403" t="s">
        <v>1323</v>
      </c>
      <c r="G415" s="403" t="s">
        <v>1466</v>
      </c>
      <c r="H415" s="403" t="s">
        <v>1276</v>
      </c>
      <c r="I415" s="403">
        <v>1</v>
      </c>
      <c r="J415" s="403" t="s">
        <v>1324</v>
      </c>
      <c r="K415" s="403">
        <v>3584</v>
      </c>
      <c r="L415" s="403">
        <v>2016</v>
      </c>
      <c r="M415" s="403" t="s">
        <v>1284</v>
      </c>
      <c r="N415" s="403">
        <v>640</v>
      </c>
      <c r="O415" s="403">
        <v>480</v>
      </c>
      <c r="P415" t="str">
        <f t="shared" si="49"/>
        <v>30fps 3584x2016 - SD VGA (cropped)</v>
      </c>
      <c r="Q415">
        <f t="shared" si="50"/>
        <v>3</v>
      </c>
      <c r="R415" t="str">
        <f t="shared" si="51"/>
        <v/>
      </c>
      <c r="S415" t="str">
        <f t="shared" si="52"/>
        <v/>
      </c>
      <c r="T415" s="403" t="str">
        <f t="shared" si="53"/>
        <v>MIC-7504-Z12xR</v>
      </c>
      <c r="U415" s="403">
        <f t="shared" si="54"/>
        <v>1</v>
      </c>
      <c r="V415" s="403" t="str">
        <f t="shared" si="55"/>
        <v>CPP_7_3</v>
      </c>
    </row>
    <row r="416" spans="1:22">
      <c r="A416" t="str">
        <f t="shared" si="48"/>
        <v>MIC-7504-Z12xR</v>
      </c>
      <c r="B416" s="403" t="s">
        <v>1360</v>
      </c>
      <c r="C416" s="403" t="s">
        <v>582</v>
      </c>
      <c r="D416" s="403" t="s">
        <v>1361</v>
      </c>
      <c r="E416" s="403" t="s">
        <v>778</v>
      </c>
      <c r="F416" s="403" t="s">
        <v>1323</v>
      </c>
      <c r="G416" s="403" t="s">
        <v>1466</v>
      </c>
      <c r="H416" s="403" t="s">
        <v>1276</v>
      </c>
      <c r="I416" s="403">
        <v>1</v>
      </c>
      <c r="J416" s="403" t="s">
        <v>110</v>
      </c>
      <c r="K416" s="403">
        <v>1920</v>
      </c>
      <c r="L416" s="403">
        <v>1080</v>
      </c>
      <c r="M416" s="403" t="s">
        <v>111</v>
      </c>
      <c r="N416" s="403">
        <v>768</v>
      </c>
      <c r="O416" s="403">
        <v>432</v>
      </c>
      <c r="P416" t="str">
        <f t="shared" si="49"/>
        <v>30fps 1080p - SD</v>
      </c>
      <c r="Q416">
        <f t="shared" si="50"/>
        <v>3</v>
      </c>
      <c r="R416" t="str">
        <f t="shared" si="51"/>
        <v/>
      </c>
      <c r="S416" t="str">
        <f t="shared" si="52"/>
        <v/>
      </c>
      <c r="T416" s="403" t="str">
        <f t="shared" si="53"/>
        <v>MIC-7504-Z12xR</v>
      </c>
      <c r="U416" s="403">
        <f t="shared" si="54"/>
        <v>1</v>
      </c>
      <c r="V416" s="403" t="str">
        <f t="shared" si="55"/>
        <v>CPP_7_3</v>
      </c>
    </row>
    <row r="417" spans="1:22">
      <c r="A417" t="str">
        <f t="shared" si="48"/>
        <v>MIC-7504-Z12xR</v>
      </c>
      <c r="B417" s="403" t="s">
        <v>1360</v>
      </c>
      <c r="C417" s="403" t="s">
        <v>582</v>
      </c>
      <c r="D417" s="403" t="s">
        <v>1361</v>
      </c>
      <c r="E417" s="403" t="s">
        <v>778</v>
      </c>
      <c r="F417" s="403" t="s">
        <v>1323</v>
      </c>
      <c r="G417" s="403" t="s">
        <v>1466</v>
      </c>
      <c r="H417" s="403" t="s">
        <v>1276</v>
      </c>
      <c r="I417" s="403">
        <v>1</v>
      </c>
      <c r="J417" s="403" t="s">
        <v>110</v>
      </c>
      <c r="K417" s="403">
        <v>1920</v>
      </c>
      <c r="L417" s="403">
        <v>1080</v>
      </c>
      <c r="M417" s="403" t="s">
        <v>110</v>
      </c>
      <c r="N417" s="403">
        <v>1920</v>
      </c>
      <c r="O417" s="403">
        <v>1080</v>
      </c>
      <c r="P417" t="str">
        <f t="shared" si="49"/>
        <v>30fps 1080p - 1080p</v>
      </c>
      <c r="Q417">
        <f t="shared" si="50"/>
        <v>3</v>
      </c>
      <c r="R417" t="str">
        <f t="shared" si="51"/>
        <v/>
      </c>
      <c r="S417" t="str">
        <f t="shared" si="52"/>
        <v/>
      </c>
      <c r="T417" s="403" t="str">
        <f t="shared" si="53"/>
        <v>MIC-7504-Z12xR</v>
      </c>
      <c r="U417" s="403">
        <f t="shared" si="54"/>
        <v>1</v>
      </c>
      <c r="V417" s="403" t="str">
        <f t="shared" si="55"/>
        <v>CPP_7_3</v>
      </c>
    </row>
    <row r="418" spans="1:22">
      <c r="A418" t="str">
        <f t="shared" si="48"/>
        <v>MIC-7504-Z12xR</v>
      </c>
      <c r="B418" s="403" t="s">
        <v>1360</v>
      </c>
      <c r="C418" s="403" t="s">
        <v>582</v>
      </c>
      <c r="D418" s="403" t="s">
        <v>1361</v>
      </c>
      <c r="E418" s="403" t="s">
        <v>778</v>
      </c>
      <c r="F418" s="403" t="s">
        <v>1323</v>
      </c>
      <c r="G418" s="403" t="s">
        <v>1466</v>
      </c>
      <c r="H418" s="403" t="s">
        <v>1276</v>
      </c>
      <c r="I418" s="403">
        <v>1</v>
      </c>
      <c r="J418" s="403" t="s">
        <v>110</v>
      </c>
      <c r="K418" s="403">
        <v>1920</v>
      </c>
      <c r="L418" s="403">
        <v>1080</v>
      </c>
      <c r="M418" s="403" t="s">
        <v>109</v>
      </c>
      <c r="N418" s="403">
        <v>1280</v>
      </c>
      <c r="O418" s="403">
        <v>720</v>
      </c>
      <c r="P418" t="str">
        <f t="shared" si="49"/>
        <v>30fps 1080p - 720p</v>
      </c>
      <c r="Q418">
        <f t="shared" si="50"/>
        <v>3</v>
      </c>
      <c r="R418" t="str">
        <f t="shared" si="51"/>
        <v/>
      </c>
      <c r="S418" t="str">
        <f t="shared" si="52"/>
        <v/>
      </c>
      <c r="T418" s="403" t="str">
        <f t="shared" si="53"/>
        <v>MIC-7504-Z12xR</v>
      </c>
      <c r="U418" s="403">
        <f t="shared" si="54"/>
        <v>1</v>
      </c>
      <c r="V418" s="403" t="str">
        <f t="shared" si="55"/>
        <v>CPP_7_3</v>
      </c>
    </row>
    <row r="419" spans="1:22">
      <c r="A419" t="str">
        <f t="shared" si="48"/>
        <v>MIC-7504-Z12xR</v>
      </c>
      <c r="B419" s="403" t="s">
        <v>1360</v>
      </c>
      <c r="C419" s="403" t="s">
        <v>582</v>
      </c>
      <c r="D419" s="403" t="s">
        <v>1361</v>
      </c>
      <c r="E419" s="403" t="s">
        <v>778</v>
      </c>
      <c r="F419" s="403" t="s">
        <v>1323</v>
      </c>
      <c r="G419" s="403" t="s">
        <v>1466</v>
      </c>
      <c r="H419" s="403" t="s">
        <v>1276</v>
      </c>
      <c r="I419" s="403">
        <v>1</v>
      </c>
      <c r="J419" s="403" t="s">
        <v>110</v>
      </c>
      <c r="K419" s="403">
        <v>1920</v>
      </c>
      <c r="L419" s="403">
        <v>1080</v>
      </c>
      <c r="M419" s="403" t="s">
        <v>1285</v>
      </c>
      <c r="N419" s="403">
        <v>1280</v>
      </c>
      <c r="O419" s="403">
        <v>1024</v>
      </c>
      <c r="P419" t="str">
        <f t="shared" si="49"/>
        <v>30fps 1080p - 1280x1024 5:4 (cropped)</v>
      </c>
      <c r="Q419">
        <f t="shared" si="50"/>
        <v>3</v>
      </c>
      <c r="R419" t="str">
        <f t="shared" si="51"/>
        <v/>
      </c>
      <c r="S419" t="str">
        <f t="shared" si="52"/>
        <v/>
      </c>
      <c r="T419" s="403" t="str">
        <f t="shared" si="53"/>
        <v>MIC-7504-Z12xR</v>
      </c>
      <c r="U419" s="403">
        <f t="shared" si="54"/>
        <v>1</v>
      </c>
      <c r="V419" s="403" t="str">
        <f t="shared" si="55"/>
        <v>CPP_7_3</v>
      </c>
    </row>
    <row r="420" spans="1:22">
      <c r="A420" t="str">
        <f t="shared" si="48"/>
        <v>MIC-7504-Z12xR</v>
      </c>
      <c r="B420" s="403" t="s">
        <v>1360</v>
      </c>
      <c r="C420" s="403" t="s">
        <v>582</v>
      </c>
      <c r="D420" s="403" t="s">
        <v>1361</v>
      </c>
      <c r="E420" s="403" t="s">
        <v>778</v>
      </c>
      <c r="F420" s="403" t="s">
        <v>1323</v>
      </c>
      <c r="G420" s="403" t="s">
        <v>1466</v>
      </c>
      <c r="H420" s="403" t="s">
        <v>1276</v>
      </c>
      <c r="I420" s="403">
        <v>1</v>
      </c>
      <c r="J420" s="403" t="s">
        <v>110</v>
      </c>
      <c r="K420" s="403">
        <v>1920</v>
      </c>
      <c r="L420" s="403">
        <v>1080</v>
      </c>
      <c r="M420" s="403" t="s">
        <v>1283</v>
      </c>
      <c r="N420" s="403">
        <v>720</v>
      </c>
      <c r="O420" s="403">
        <v>480</v>
      </c>
      <c r="P420" t="str">
        <f t="shared" si="49"/>
        <v>30fps 1080p - SD 4CIF resolution 4:3 format (cropped)</v>
      </c>
      <c r="Q420">
        <f t="shared" si="50"/>
        <v>3</v>
      </c>
      <c r="R420" t="str">
        <f t="shared" si="51"/>
        <v/>
      </c>
      <c r="S420" t="str">
        <f t="shared" si="52"/>
        <v/>
      </c>
      <c r="T420" s="403" t="str">
        <f t="shared" si="53"/>
        <v>MIC-7504-Z12xR</v>
      </c>
      <c r="U420" s="403">
        <f t="shared" si="54"/>
        <v>1</v>
      </c>
      <c r="V420" s="403" t="str">
        <f t="shared" si="55"/>
        <v>CPP_7_3</v>
      </c>
    </row>
    <row r="421" spans="1:22">
      <c r="A421" t="str">
        <f t="shared" si="48"/>
        <v>MIC-7504-Z12xR</v>
      </c>
      <c r="B421" s="403" t="s">
        <v>1360</v>
      </c>
      <c r="C421" s="403" t="s">
        <v>582</v>
      </c>
      <c r="D421" s="403" t="s">
        <v>1361</v>
      </c>
      <c r="E421" s="403" t="s">
        <v>778</v>
      </c>
      <c r="F421" s="403" t="s">
        <v>1323</v>
      </c>
      <c r="G421" s="403" t="s">
        <v>1466</v>
      </c>
      <c r="H421" s="403" t="s">
        <v>1276</v>
      </c>
      <c r="I421" s="403">
        <v>1</v>
      </c>
      <c r="J421" s="403" t="s">
        <v>110</v>
      </c>
      <c r="K421" s="403">
        <v>1920</v>
      </c>
      <c r="L421" s="403">
        <v>1080</v>
      </c>
      <c r="M421" s="403" t="s">
        <v>1284</v>
      </c>
      <c r="N421" s="403">
        <v>640</v>
      </c>
      <c r="O421" s="403">
        <v>480</v>
      </c>
      <c r="P421" t="str">
        <f t="shared" si="49"/>
        <v>30fps 1080p - SD VGA (cropped)</v>
      </c>
      <c r="Q421">
        <f t="shared" si="50"/>
        <v>3</v>
      </c>
      <c r="R421" t="str">
        <f t="shared" si="51"/>
        <v/>
      </c>
      <c r="S421" t="str">
        <f t="shared" si="52"/>
        <v/>
      </c>
      <c r="T421" s="403" t="str">
        <f t="shared" si="53"/>
        <v>MIC-7504-Z12xR</v>
      </c>
      <c r="U421" s="403">
        <f t="shared" si="54"/>
        <v>1</v>
      </c>
      <c r="V421" s="403" t="str">
        <f t="shared" si="55"/>
        <v>CPP_7_3</v>
      </c>
    </row>
    <row r="422" spans="1:22">
      <c r="A422" t="str">
        <f t="shared" si="48"/>
        <v>MIC-7504-Z12xR</v>
      </c>
      <c r="B422" s="403" t="s">
        <v>1360</v>
      </c>
      <c r="C422" s="403" t="s">
        <v>582</v>
      </c>
      <c r="D422" s="403" t="s">
        <v>1361</v>
      </c>
      <c r="E422" s="403" t="s">
        <v>778</v>
      </c>
      <c r="F422" s="403" t="s">
        <v>1323</v>
      </c>
      <c r="G422" s="403" t="s">
        <v>1466</v>
      </c>
      <c r="H422" s="403" t="s">
        <v>1276</v>
      </c>
      <c r="I422" s="403">
        <v>1</v>
      </c>
      <c r="J422" s="403" t="s">
        <v>109</v>
      </c>
      <c r="K422" s="403">
        <v>1280</v>
      </c>
      <c r="L422" s="403">
        <v>720</v>
      </c>
      <c r="M422" s="403" t="s">
        <v>109</v>
      </c>
      <c r="N422" s="403">
        <v>1280</v>
      </c>
      <c r="O422" s="403">
        <v>720</v>
      </c>
      <c r="P422" t="str">
        <f t="shared" si="49"/>
        <v>30fps 720p - 720p</v>
      </c>
      <c r="Q422">
        <f t="shared" si="50"/>
        <v>3</v>
      </c>
      <c r="R422" t="str">
        <f t="shared" si="51"/>
        <v/>
      </c>
      <c r="S422" t="str">
        <f t="shared" si="52"/>
        <v/>
      </c>
      <c r="T422" s="403" t="str">
        <f t="shared" si="53"/>
        <v>MIC-7504-Z12xR</v>
      </c>
      <c r="U422" s="403">
        <f t="shared" si="54"/>
        <v>1</v>
      </c>
      <c r="V422" s="403" t="str">
        <f t="shared" si="55"/>
        <v>CPP_7_3</v>
      </c>
    </row>
    <row r="423" spans="1:22">
      <c r="A423" t="str">
        <f t="shared" si="48"/>
        <v>MIC-7504-Z12xR</v>
      </c>
      <c r="B423" s="403" t="s">
        <v>1360</v>
      </c>
      <c r="C423" s="403" t="s">
        <v>582</v>
      </c>
      <c r="D423" s="403" t="s">
        <v>1361</v>
      </c>
      <c r="E423" s="403" t="s">
        <v>778</v>
      </c>
      <c r="F423" s="403" t="s">
        <v>1323</v>
      </c>
      <c r="G423" s="403" t="s">
        <v>1466</v>
      </c>
      <c r="H423" s="403" t="s">
        <v>1276</v>
      </c>
      <c r="I423" s="403">
        <v>1</v>
      </c>
      <c r="J423" s="403" t="s">
        <v>109</v>
      </c>
      <c r="K423" s="403">
        <v>1280</v>
      </c>
      <c r="L423" s="403">
        <v>720</v>
      </c>
      <c r="M423" s="403" t="s">
        <v>111</v>
      </c>
      <c r="N423" s="403">
        <v>768</v>
      </c>
      <c r="O423" s="403">
        <v>432</v>
      </c>
      <c r="P423" t="str">
        <f t="shared" si="49"/>
        <v>30fps 720p - SD</v>
      </c>
      <c r="Q423">
        <f t="shared" si="50"/>
        <v>3</v>
      </c>
      <c r="R423" t="str">
        <f t="shared" si="51"/>
        <v/>
      </c>
      <c r="S423" t="str">
        <f t="shared" si="52"/>
        <v/>
      </c>
      <c r="T423" s="403" t="str">
        <f t="shared" si="53"/>
        <v>MIC-7504-Z12xR</v>
      </c>
      <c r="U423" s="403">
        <f t="shared" si="54"/>
        <v>1</v>
      </c>
      <c r="V423" s="403" t="str">
        <f t="shared" si="55"/>
        <v>CPP_7_3</v>
      </c>
    </row>
    <row r="424" spans="1:22">
      <c r="A424" t="str">
        <f t="shared" si="48"/>
        <v>MIC-7504-Z12xR</v>
      </c>
      <c r="B424" s="403" t="s">
        <v>1360</v>
      </c>
      <c r="C424" s="403" t="s">
        <v>582</v>
      </c>
      <c r="D424" s="403" t="s">
        <v>1361</v>
      </c>
      <c r="E424" s="403" t="s">
        <v>778</v>
      </c>
      <c r="F424" s="403" t="s">
        <v>1323</v>
      </c>
      <c r="G424" s="403" t="s">
        <v>1466</v>
      </c>
      <c r="H424" s="403" t="s">
        <v>1276</v>
      </c>
      <c r="I424" s="403">
        <v>1</v>
      </c>
      <c r="J424" s="403" t="s">
        <v>109</v>
      </c>
      <c r="K424" s="403">
        <v>1280</v>
      </c>
      <c r="L424" s="403">
        <v>720</v>
      </c>
      <c r="M424" s="403" t="s">
        <v>1283</v>
      </c>
      <c r="N424" s="403">
        <v>720</v>
      </c>
      <c r="O424" s="403">
        <v>480</v>
      </c>
      <c r="P424" t="str">
        <f t="shared" si="49"/>
        <v>30fps 720p - SD 4CIF resolution 4:3 format (cropped)</v>
      </c>
      <c r="Q424">
        <f t="shared" si="50"/>
        <v>3</v>
      </c>
      <c r="R424" t="str">
        <f t="shared" si="51"/>
        <v/>
      </c>
      <c r="S424" t="str">
        <f t="shared" si="52"/>
        <v/>
      </c>
      <c r="T424" s="403" t="str">
        <f t="shared" si="53"/>
        <v>MIC-7504-Z12xR</v>
      </c>
      <c r="U424" s="403">
        <f t="shared" si="54"/>
        <v>1</v>
      </c>
      <c r="V424" s="403" t="str">
        <f t="shared" si="55"/>
        <v>CPP_7_3</v>
      </c>
    </row>
    <row r="425" spans="1:22">
      <c r="A425" t="str">
        <f t="shared" si="48"/>
        <v>MIC-7504-Z12xR</v>
      </c>
      <c r="B425" s="403" t="s">
        <v>1360</v>
      </c>
      <c r="C425" s="403" t="s">
        <v>582</v>
      </c>
      <c r="D425" s="403" t="s">
        <v>1361</v>
      </c>
      <c r="E425" s="403" t="s">
        <v>778</v>
      </c>
      <c r="F425" s="403" t="s">
        <v>1323</v>
      </c>
      <c r="G425" s="403" t="s">
        <v>1466</v>
      </c>
      <c r="H425" s="403" t="s">
        <v>1276</v>
      </c>
      <c r="I425" s="403">
        <v>1</v>
      </c>
      <c r="J425" s="403" t="s">
        <v>109</v>
      </c>
      <c r="K425" s="403">
        <v>1280</v>
      </c>
      <c r="L425" s="403">
        <v>720</v>
      </c>
      <c r="M425" s="403" t="s">
        <v>1284</v>
      </c>
      <c r="N425" s="403">
        <v>640</v>
      </c>
      <c r="O425" s="403">
        <v>480</v>
      </c>
      <c r="P425" t="str">
        <f t="shared" si="49"/>
        <v>30fps 720p - SD VGA (cropped)</v>
      </c>
      <c r="Q425">
        <f t="shared" si="50"/>
        <v>3</v>
      </c>
      <c r="R425" t="str">
        <f t="shared" si="51"/>
        <v/>
      </c>
      <c r="S425" t="str">
        <f t="shared" si="52"/>
        <v/>
      </c>
      <c r="T425" s="403" t="str">
        <f t="shared" si="53"/>
        <v>MIC-7504-Z12xR</v>
      </c>
      <c r="U425" s="403">
        <f t="shared" si="54"/>
        <v>1</v>
      </c>
      <c r="V425" s="403" t="str">
        <f t="shared" si="55"/>
        <v>CPP_7_3</v>
      </c>
    </row>
    <row r="426" spans="1:22">
      <c r="A426" t="str">
        <f t="shared" si="48"/>
        <v>MIC-7504-Z12xR</v>
      </c>
      <c r="B426" s="403" t="s">
        <v>1360</v>
      </c>
      <c r="C426" s="403" t="s">
        <v>582</v>
      </c>
      <c r="D426" s="403" t="s">
        <v>1361</v>
      </c>
      <c r="E426" s="403" t="s">
        <v>778</v>
      </c>
      <c r="F426" s="403" t="s">
        <v>1323</v>
      </c>
      <c r="G426" s="403" t="s">
        <v>1466</v>
      </c>
      <c r="H426" s="403" t="s">
        <v>1281</v>
      </c>
      <c r="I426" s="403">
        <v>1</v>
      </c>
      <c r="J426" s="403" t="s">
        <v>110</v>
      </c>
      <c r="K426" s="403">
        <v>1920</v>
      </c>
      <c r="L426" s="403">
        <v>1080</v>
      </c>
      <c r="M426" s="403" t="s">
        <v>111</v>
      </c>
      <c r="N426" s="403">
        <v>768</v>
      </c>
      <c r="O426" s="403">
        <v>432</v>
      </c>
      <c r="P426" t="str">
        <f t="shared" si="49"/>
        <v>30fps 1080p - SD</v>
      </c>
      <c r="Q426">
        <f t="shared" si="50"/>
        <v>3</v>
      </c>
      <c r="R426" t="str">
        <f t="shared" si="51"/>
        <v/>
      </c>
      <c r="S426" t="str">
        <f t="shared" si="52"/>
        <v/>
      </c>
      <c r="T426" s="403" t="str">
        <f t="shared" si="53"/>
        <v>MIC-7504-Z12xR</v>
      </c>
      <c r="U426" s="403">
        <f t="shared" si="54"/>
        <v>1</v>
      </c>
      <c r="V426" s="403" t="str">
        <f t="shared" si="55"/>
        <v>CPP_7_3</v>
      </c>
    </row>
    <row r="427" spans="1:22">
      <c r="A427" t="str">
        <f t="shared" si="48"/>
        <v>MIC-7504-Z12xR</v>
      </c>
      <c r="B427" s="403" t="s">
        <v>1360</v>
      </c>
      <c r="C427" s="403" t="s">
        <v>582</v>
      </c>
      <c r="D427" s="403" t="s">
        <v>1361</v>
      </c>
      <c r="E427" s="403" t="s">
        <v>778</v>
      </c>
      <c r="F427" s="403" t="s">
        <v>1323</v>
      </c>
      <c r="G427" s="403" t="s">
        <v>1466</v>
      </c>
      <c r="H427" s="403" t="s">
        <v>1281</v>
      </c>
      <c r="I427" s="403">
        <v>1</v>
      </c>
      <c r="J427" s="403" t="s">
        <v>110</v>
      </c>
      <c r="K427" s="403">
        <v>1920</v>
      </c>
      <c r="L427" s="403">
        <v>1080</v>
      </c>
      <c r="M427" s="403" t="s">
        <v>110</v>
      </c>
      <c r="N427" s="403">
        <v>1920</v>
      </c>
      <c r="O427" s="403">
        <v>1080</v>
      </c>
      <c r="P427" t="str">
        <f t="shared" si="49"/>
        <v>30fps 1080p - 1080p</v>
      </c>
      <c r="Q427">
        <f t="shared" si="50"/>
        <v>3</v>
      </c>
      <c r="R427" t="str">
        <f t="shared" si="51"/>
        <v/>
      </c>
      <c r="S427" t="str">
        <f t="shared" si="52"/>
        <v/>
      </c>
      <c r="T427" s="403" t="str">
        <f t="shared" si="53"/>
        <v>MIC-7504-Z12xR</v>
      </c>
      <c r="U427" s="403">
        <f t="shared" si="54"/>
        <v>1</v>
      </c>
      <c r="V427" s="403" t="str">
        <f t="shared" si="55"/>
        <v>CPP_7_3</v>
      </c>
    </row>
    <row r="428" spans="1:22">
      <c r="A428" t="str">
        <f t="shared" si="48"/>
        <v>MIC-7504-Z12xR</v>
      </c>
      <c r="B428" s="403" t="s">
        <v>1360</v>
      </c>
      <c r="C428" s="403" t="s">
        <v>582</v>
      </c>
      <c r="D428" s="403" t="s">
        <v>1361</v>
      </c>
      <c r="E428" s="403" t="s">
        <v>778</v>
      </c>
      <c r="F428" s="403" t="s">
        <v>1323</v>
      </c>
      <c r="G428" s="403" t="s">
        <v>1466</v>
      </c>
      <c r="H428" s="403" t="s">
        <v>1281</v>
      </c>
      <c r="I428" s="403">
        <v>1</v>
      </c>
      <c r="J428" s="403" t="s">
        <v>110</v>
      </c>
      <c r="K428" s="403">
        <v>1920</v>
      </c>
      <c r="L428" s="403">
        <v>1080</v>
      </c>
      <c r="M428" s="403" t="s">
        <v>109</v>
      </c>
      <c r="N428" s="403">
        <v>1280</v>
      </c>
      <c r="O428" s="403">
        <v>720</v>
      </c>
      <c r="P428" t="str">
        <f t="shared" si="49"/>
        <v>30fps 1080p - 720p</v>
      </c>
      <c r="Q428">
        <f t="shared" si="50"/>
        <v>3</v>
      </c>
      <c r="R428" t="str">
        <f t="shared" si="51"/>
        <v/>
      </c>
      <c r="S428" t="str">
        <f t="shared" si="52"/>
        <v/>
      </c>
      <c r="T428" s="403" t="str">
        <f t="shared" si="53"/>
        <v>MIC-7504-Z12xR</v>
      </c>
      <c r="U428" s="403">
        <f t="shared" si="54"/>
        <v>1</v>
      </c>
      <c r="V428" s="403" t="str">
        <f t="shared" si="55"/>
        <v>CPP_7_3</v>
      </c>
    </row>
    <row r="429" spans="1:22">
      <c r="A429" t="str">
        <f t="shared" si="48"/>
        <v>MIC-7504-Z12xR</v>
      </c>
      <c r="B429" s="403" t="s">
        <v>1360</v>
      </c>
      <c r="C429" s="403" t="s">
        <v>582</v>
      </c>
      <c r="D429" s="403" t="s">
        <v>1361</v>
      </c>
      <c r="E429" s="403" t="s">
        <v>778</v>
      </c>
      <c r="F429" s="403" t="s">
        <v>1323</v>
      </c>
      <c r="G429" s="403" t="s">
        <v>1466</v>
      </c>
      <c r="H429" s="403" t="s">
        <v>1281</v>
      </c>
      <c r="I429" s="403">
        <v>1</v>
      </c>
      <c r="J429" s="403" t="s">
        <v>110</v>
      </c>
      <c r="K429" s="403">
        <v>1920</v>
      </c>
      <c r="L429" s="403">
        <v>1080</v>
      </c>
      <c r="M429" s="403" t="s">
        <v>1285</v>
      </c>
      <c r="N429" s="403">
        <v>1280</v>
      </c>
      <c r="O429" s="403">
        <v>1024</v>
      </c>
      <c r="P429" t="str">
        <f t="shared" si="49"/>
        <v>30fps 1080p - 1280x1024 5:4 (cropped)</v>
      </c>
      <c r="Q429">
        <f t="shared" si="50"/>
        <v>3</v>
      </c>
      <c r="R429" t="str">
        <f t="shared" si="51"/>
        <v/>
      </c>
      <c r="S429" t="str">
        <f t="shared" si="52"/>
        <v/>
      </c>
      <c r="T429" s="403" t="str">
        <f t="shared" si="53"/>
        <v>MIC-7504-Z12xR</v>
      </c>
      <c r="U429" s="403">
        <f t="shared" si="54"/>
        <v>1</v>
      </c>
      <c r="V429" s="403" t="str">
        <f t="shared" si="55"/>
        <v>CPP_7_3</v>
      </c>
    </row>
    <row r="430" spans="1:22">
      <c r="A430" t="str">
        <f t="shared" si="48"/>
        <v>MIC-7504-Z12xR</v>
      </c>
      <c r="B430" s="403" t="s">
        <v>1360</v>
      </c>
      <c r="C430" s="403" t="s">
        <v>582</v>
      </c>
      <c r="D430" s="403" t="s">
        <v>1361</v>
      </c>
      <c r="E430" s="403" t="s">
        <v>778</v>
      </c>
      <c r="F430" s="403" t="s">
        <v>1323</v>
      </c>
      <c r="G430" s="403" t="s">
        <v>1466</v>
      </c>
      <c r="H430" s="403" t="s">
        <v>1281</v>
      </c>
      <c r="I430" s="403">
        <v>1</v>
      </c>
      <c r="J430" s="403" t="s">
        <v>110</v>
      </c>
      <c r="K430" s="403">
        <v>1920</v>
      </c>
      <c r="L430" s="403">
        <v>1080</v>
      </c>
      <c r="M430" s="403" t="s">
        <v>1283</v>
      </c>
      <c r="N430" s="403">
        <v>720</v>
      </c>
      <c r="O430" s="403">
        <v>480</v>
      </c>
      <c r="P430" t="str">
        <f t="shared" si="49"/>
        <v>30fps 1080p - SD 4CIF resolution 4:3 format (cropped)</v>
      </c>
      <c r="Q430">
        <f t="shared" si="50"/>
        <v>3</v>
      </c>
      <c r="R430" t="str">
        <f t="shared" si="51"/>
        <v/>
      </c>
      <c r="S430" t="str">
        <f t="shared" si="52"/>
        <v/>
      </c>
      <c r="T430" s="403" t="str">
        <f t="shared" si="53"/>
        <v>MIC-7504-Z12xR</v>
      </c>
      <c r="U430" s="403">
        <f t="shared" si="54"/>
        <v>1</v>
      </c>
      <c r="V430" s="403" t="str">
        <f t="shared" si="55"/>
        <v>CPP_7_3</v>
      </c>
    </row>
    <row r="431" spans="1:22">
      <c r="A431" t="str">
        <f t="shared" si="48"/>
        <v>MIC-7504-Z12xR</v>
      </c>
      <c r="B431" s="403" t="s">
        <v>1360</v>
      </c>
      <c r="C431" s="403" t="s">
        <v>582</v>
      </c>
      <c r="D431" s="403" t="s">
        <v>1361</v>
      </c>
      <c r="E431" s="403" t="s">
        <v>778</v>
      </c>
      <c r="F431" s="403" t="s">
        <v>1323</v>
      </c>
      <c r="G431" s="403" t="s">
        <v>1466</v>
      </c>
      <c r="H431" s="403" t="s">
        <v>1281</v>
      </c>
      <c r="I431" s="403">
        <v>1</v>
      </c>
      <c r="J431" s="403" t="s">
        <v>110</v>
      </c>
      <c r="K431" s="403">
        <v>1920</v>
      </c>
      <c r="L431" s="403">
        <v>1080</v>
      </c>
      <c r="M431" s="403" t="s">
        <v>1284</v>
      </c>
      <c r="N431" s="403">
        <v>640</v>
      </c>
      <c r="O431" s="403">
        <v>480</v>
      </c>
      <c r="P431" t="str">
        <f t="shared" si="49"/>
        <v>30fps 1080p - SD VGA (cropped)</v>
      </c>
      <c r="Q431">
        <f t="shared" si="50"/>
        <v>3</v>
      </c>
      <c r="R431" t="str">
        <f t="shared" si="51"/>
        <v/>
      </c>
      <c r="S431" t="str">
        <f t="shared" si="52"/>
        <v/>
      </c>
      <c r="T431" s="403" t="str">
        <f t="shared" si="53"/>
        <v>MIC-7504-Z12xR</v>
      </c>
      <c r="U431" s="403">
        <f t="shared" si="54"/>
        <v>1</v>
      </c>
      <c r="V431" s="403" t="str">
        <f t="shared" si="55"/>
        <v>CPP_7_3</v>
      </c>
    </row>
    <row r="432" spans="1:22">
      <c r="A432" t="str">
        <f t="shared" si="48"/>
        <v>MIC-7504-Z12xR</v>
      </c>
      <c r="B432" s="403" t="s">
        <v>1360</v>
      </c>
      <c r="C432" s="403" t="s">
        <v>582</v>
      </c>
      <c r="D432" s="403" t="s">
        <v>1361</v>
      </c>
      <c r="E432" s="403" t="s">
        <v>778</v>
      </c>
      <c r="F432" s="403" t="s">
        <v>1323</v>
      </c>
      <c r="G432" s="403" t="s">
        <v>1466</v>
      </c>
      <c r="H432" s="403" t="s">
        <v>1281</v>
      </c>
      <c r="I432" s="403">
        <v>1</v>
      </c>
      <c r="J432" s="403" t="s">
        <v>109</v>
      </c>
      <c r="K432" s="403">
        <v>1280</v>
      </c>
      <c r="L432" s="403">
        <v>720</v>
      </c>
      <c r="M432" s="403" t="s">
        <v>109</v>
      </c>
      <c r="N432" s="403">
        <v>1280</v>
      </c>
      <c r="O432" s="403">
        <v>720</v>
      </c>
      <c r="P432" t="str">
        <f t="shared" si="49"/>
        <v>30fps 720p - 720p</v>
      </c>
      <c r="Q432">
        <f t="shared" si="50"/>
        <v>3</v>
      </c>
      <c r="R432" t="str">
        <f t="shared" si="51"/>
        <v/>
      </c>
      <c r="S432" t="str">
        <f t="shared" si="52"/>
        <v/>
      </c>
      <c r="T432" s="403" t="str">
        <f t="shared" si="53"/>
        <v>MIC-7504-Z12xR</v>
      </c>
      <c r="U432" s="403">
        <f t="shared" si="54"/>
        <v>1</v>
      </c>
      <c r="V432" s="403" t="str">
        <f t="shared" si="55"/>
        <v>CPP_7_3</v>
      </c>
    </row>
    <row r="433" spans="1:22">
      <c r="A433" t="str">
        <f t="shared" si="48"/>
        <v>MIC-7504-Z12xR</v>
      </c>
      <c r="B433" s="403" t="s">
        <v>1360</v>
      </c>
      <c r="C433" s="403" t="s">
        <v>582</v>
      </c>
      <c r="D433" s="403" t="s">
        <v>1361</v>
      </c>
      <c r="E433" s="403" t="s">
        <v>778</v>
      </c>
      <c r="F433" s="403" t="s">
        <v>1323</v>
      </c>
      <c r="G433" s="403" t="s">
        <v>1466</v>
      </c>
      <c r="H433" s="403" t="s">
        <v>1281</v>
      </c>
      <c r="I433" s="403">
        <v>1</v>
      </c>
      <c r="J433" s="403" t="s">
        <v>109</v>
      </c>
      <c r="K433" s="403">
        <v>1280</v>
      </c>
      <c r="L433" s="403">
        <v>720</v>
      </c>
      <c r="M433" s="403" t="s">
        <v>111</v>
      </c>
      <c r="N433" s="403">
        <v>768</v>
      </c>
      <c r="O433" s="403">
        <v>432</v>
      </c>
      <c r="P433" t="str">
        <f t="shared" si="49"/>
        <v>30fps 720p - SD</v>
      </c>
      <c r="Q433">
        <f t="shared" si="50"/>
        <v>3</v>
      </c>
      <c r="R433" t="str">
        <f t="shared" si="51"/>
        <v/>
      </c>
      <c r="S433" t="str">
        <f t="shared" si="52"/>
        <v/>
      </c>
      <c r="T433" s="403" t="str">
        <f t="shared" si="53"/>
        <v>MIC-7504-Z12xR</v>
      </c>
      <c r="U433" s="403">
        <f t="shared" si="54"/>
        <v>1</v>
      </c>
      <c r="V433" s="403" t="str">
        <f t="shared" si="55"/>
        <v>CPP_7_3</v>
      </c>
    </row>
    <row r="434" spans="1:22">
      <c r="A434" t="str">
        <f t="shared" si="48"/>
        <v>MIC-7504-Z12xR</v>
      </c>
      <c r="B434" s="403" t="s">
        <v>1360</v>
      </c>
      <c r="C434" s="403" t="s">
        <v>582</v>
      </c>
      <c r="D434" s="403" t="s">
        <v>1361</v>
      </c>
      <c r="E434" s="403" t="s">
        <v>778</v>
      </c>
      <c r="F434" s="403" t="s">
        <v>1323</v>
      </c>
      <c r="G434" s="403" t="s">
        <v>1466</v>
      </c>
      <c r="H434" s="403" t="s">
        <v>1281</v>
      </c>
      <c r="I434" s="403">
        <v>1</v>
      </c>
      <c r="J434" s="403" t="s">
        <v>109</v>
      </c>
      <c r="K434" s="403">
        <v>1280</v>
      </c>
      <c r="L434" s="403">
        <v>720</v>
      </c>
      <c r="M434" s="403" t="s">
        <v>1283</v>
      </c>
      <c r="N434" s="403">
        <v>720</v>
      </c>
      <c r="O434" s="403">
        <v>480</v>
      </c>
      <c r="P434" t="str">
        <f t="shared" si="49"/>
        <v>30fps 720p - SD 4CIF resolution 4:3 format (cropped)</v>
      </c>
      <c r="Q434">
        <f t="shared" si="50"/>
        <v>3</v>
      </c>
      <c r="R434" t="str">
        <f t="shared" si="51"/>
        <v/>
      </c>
      <c r="S434" t="str">
        <f t="shared" si="52"/>
        <v/>
      </c>
      <c r="T434" s="403" t="str">
        <f t="shared" si="53"/>
        <v>MIC-7504-Z12xR</v>
      </c>
      <c r="U434" s="403">
        <f t="shared" si="54"/>
        <v>1</v>
      </c>
      <c r="V434" s="403" t="str">
        <f t="shared" si="55"/>
        <v>CPP_7_3</v>
      </c>
    </row>
    <row r="435" spans="1:22">
      <c r="A435" t="str">
        <f t="shared" si="48"/>
        <v>MIC-7504-Z12xR</v>
      </c>
      <c r="B435" s="403" t="s">
        <v>1360</v>
      </c>
      <c r="C435" s="403" t="s">
        <v>582</v>
      </c>
      <c r="D435" s="403" t="s">
        <v>1361</v>
      </c>
      <c r="E435" s="403" t="s">
        <v>778</v>
      </c>
      <c r="F435" s="403" t="s">
        <v>1323</v>
      </c>
      <c r="G435" s="403" t="s">
        <v>1466</v>
      </c>
      <c r="H435" s="403" t="s">
        <v>1281</v>
      </c>
      <c r="I435" s="403">
        <v>1</v>
      </c>
      <c r="J435" s="403" t="s">
        <v>109</v>
      </c>
      <c r="K435" s="403">
        <v>1280</v>
      </c>
      <c r="L435" s="403">
        <v>720</v>
      </c>
      <c r="M435" s="403" t="s">
        <v>1284</v>
      </c>
      <c r="N435" s="403">
        <v>640</v>
      </c>
      <c r="O435" s="403">
        <v>480</v>
      </c>
      <c r="P435" t="str">
        <f t="shared" si="49"/>
        <v>30fps 720p - SD VGA (cropped)</v>
      </c>
      <c r="Q435">
        <f t="shared" si="50"/>
        <v>3</v>
      </c>
      <c r="R435" t="str">
        <f t="shared" si="51"/>
        <v/>
      </c>
      <c r="S435" t="str">
        <f t="shared" si="52"/>
        <v/>
      </c>
      <c r="T435" s="403" t="str">
        <f t="shared" si="53"/>
        <v>MIC-7504-Z12xR</v>
      </c>
      <c r="U435" s="403">
        <f t="shared" si="54"/>
        <v>1</v>
      </c>
      <c r="V435" s="403" t="str">
        <f t="shared" si="55"/>
        <v>CPP_7_3</v>
      </c>
    </row>
    <row r="436" spans="1:22">
      <c r="A436" t="str">
        <f t="shared" si="48"/>
        <v>MIC-7504-Z12xR</v>
      </c>
      <c r="B436" s="403" t="s">
        <v>1360</v>
      </c>
      <c r="C436" s="403" t="s">
        <v>582</v>
      </c>
      <c r="D436" s="403" t="s">
        <v>1361</v>
      </c>
      <c r="E436" s="403" t="s">
        <v>778</v>
      </c>
      <c r="F436" s="403" t="s">
        <v>1323</v>
      </c>
      <c r="G436" s="403" t="s">
        <v>1466</v>
      </c>
      <c r="H436" s="403" t="s">
        <v>1282</v>
      </c>
      <c r="I436" s="403">
        <v>1</v>
      </c>
      <c r="J436" s="403" t="s">
        <v>1324</v>
      </c>
      <c r="K436" s="403">
        <v>3584</v>
      </c>
      <c r="L436" s="403">
        <v>2016</v>
      </c>
      <c r="M436" s="403" t="s">
        <v>1280</v>
      </c>
      <c r="N436" s="403">
        <v>3584</v>
      </c>
      <c r="O436" s="403">
        <v>2016</v>
      </c>
      <c r="P436" t="str">
        <f t="shared" si="49"/>
        <v>30fps 3584x2016 - copy other stream</v>
      </c>
      <c r="Q436">
        <f t="shared" si="50"/>
        <v>3</v>
      </c>
      <c r="R436" t="str">
        <f t="shared" si="51"/>
        <v/>
      </c>
      <c r="S436" t="str">
        <f t="shared" si="52"/>
        <v/>
      </c>
      <c r="T436" s="403" t="str">
        <f t="shared" si="53"/>
        <v>MIC-7504-Z12xR</v>
      </c>
      <c r="U436" s="403">
        <f t="shared" si="54"/>
        <v>1</v>
      </c>
      <c r="V436" s="403" t="str">
        <f t="shared" si="55"/>
        <v>CPP_7_3</v>
      </c>
    </row>
    <row r="437" spans="1:22">
      <c r="A437" t="str">
        <f t="shared" si="48"/>
        <v>MIC-7504-Z12xR</v>
      </c>
      <c r="B437" s="403" t="s">
        <v>1360</v>
      </c>
      <c r="C437" s="403" t="s">
        <v>582</v>
      </c>
      <c r="D437" s="403" t="s">
        <v>1361</v>
      </c>
      <c r="E437" s="403" t="s">
        <v>778</v>
      </c>
      <c r="F437" s="403" t="s">
        <v>1323</v>
      </c>
      <c r="G437" s="403" t="s">
        <v>1466</v>
      </c>
      <c r="H437" s="403" t="s">
        <v>1282</v>
      </c>
      <c r="I437" s="403">
        <v>1</v>
      </c>
      <c r="J437" s="403" t="s">
        <v>110</v>
      </c>
      <c r="K437" s="403">
        <v>1920</v>
      </c>
      <c r="L437" s="403">
        <v>1080</v>
      </c>
      <c r="M437" s="403" t="s">
        <v>111</v>
      </c>
      <c r="N437" s="403">
        <v>768</v>
      </c>
      <c r="O437" s="403">
        <v>432</v>
      </c>
      <c r="P437" t="str">
        <f t="shared" si="49"/>
        <v>30fps 1080p - SD</v>
      </c>
      <c r="Q437">
        <f t="shared" si="50"/>
        <v>3</v>
      </c>
      <c r="R437" t="str">
        <f t="shared" si="51"/>
        <v/>
      </c>
      <c r="S437" t="str">
        <f t="shared" si="52"/>
        <v/>
      </c>
      <c r="T437" s="403" t="str">
        <f t="shared" si="53"/>
        <v>MIC-7504-Z12xR</v>
      </c>
      <c r="U437" s="403">
        <f t="shared" si="54"/>
        <v>1</v>
      </c>
      <c r="V437" s="403" t="str">
        <f t="shared" si="55"/>
        <v>CPP_7_3</v>
      </c>
    </row>
    <row r="438" spans="1:22">
      <c r="A438" t="str">
        <f t="shared" si="48"/>
        <v>MIC-7504-Z12xR</v>
      </c>
      <c r="B438" s="403" t="s">
        <v>1360</v>
      </c>
      <c r="C438" s="403" t="s">
        <v>582</v>
      </c>
      <c r="D438" s="403" t="s">
        <v>1361</v>
      </c>
      <c r="E438" s="403" t="s">
        <v>778</v>
      </c>
      <c r="F438" s="403" t="s">
        <v>1323</v>
      </c>
      <c r="G438" s="403" t="s">
        <v>1466</v>
      </c>
      <c r="H438" s="403" t="s">
        <v>1282</v>
      </c>
      <c r="I438" s="403">
        <v>1</v>
      </c>
      <c r="J438" s="403" t="s">
        <v>110</v>
      </c>
      <c r="K438" s="403">
        <v>1920</v>
      </c>
      <c r="L438" s="403">
        <v>1080</v>
      </c>
      <c r="M438" s="403" t="s">
        <v>110</v>
      </c>
      <c r="N438" s="403">
        <v>1920</v>
      </c>
      <c r="O438" s="403">
        <v>1080</v>
      </c>
      <c r="P438" t="str">
        <f t="shared" si="49"/>
        <v>30fps 1080p - 1080p</v>
      </c>
      <c r="Q438">
        <f t="shared" si="50"/>
        <v>3</v>
      </c>
      <c r="R438" t="str">
        <f t="shared" si="51"/>
        <v/>
      </c>
      <c r="S438" t="str">
        <f t="shared" si="52"/>
        <v/>
      </c>
      <c r="T438" s="403" t="str">
        <f t="shared" si="53"/>
        <v>MIC-7504-Z12xR</v>
      </c>
      <c r="U438" s="403">
        <f t="shared" si="54"/>
        <v>1</v>
      </c>
      <c r="V438" s="403" t="str">
        <f t="shared" si="55"/>
        <v>CPP_7_3</v>
      </c>
    </row>
    <row r="439" spans="1:22">
      <c r="A439" t="str">
        <f t="shared" si="48"/>
        <v>MIC-7504-Z12xR</v>
      </c>
      <c r="B439" s="403" t="s">
        <v>1360</v>
      </c>
      <c r="C439" s="403" t="s">
        <v>582</v>
      </c>
      <c r="D439" s="403" t="s">
        <v>1361</v>
      </c>
      <c r="E439" s="403" t="s">
        <v>778</v>
      </c>
      <c r="F439" s="403" t="s">
        <v>1323</v>
      </c>
      <c r="G439" s="403" t="s">
        <v>1466</v>
      </c>
      <c r="H439" s="403" t="s">
        <v>1282</v>
      </c>
      <c r="I439" s="403">
        <v>1</v>
      </c>
      <c r="J439" s="403" t="s">
        <v>110</v>
      </c>
      <c r="K439" s="403">
        <v>1920</v>
      </c>
      <c r="L439" s="403">
        <v>1080</v>
      </c>
      <c r="M439" s="403" t="s">
        <v>109</v>
      </c>
      <c r="N439" s="403">
        <v>1280</v>
      </c>
      <c r="O439" s="403">
        <v>720</v>
      </c>
      <c r="P439" t="str">
        <f t="shared" si="49"/>
        <v>30fps 1080p - 720p</v>
      </c>
      <c r="Q439">
        <f t="shared" si="50"/>
        <v>3</v>
      </c>
      <c r="R439" t="str">
        <f t="shared" si="51"/>
        <v/>
      </c>
      <c r="S439" t="str">
        <f t="shared" si="52"/>
        <v/>
      </c>
      <c r="T439" s="403" t="str">
        <f t="shared" si="53"/>
        <v>MIC-7504-Z12xR</v>
      </c>
      <c r="U439" s="403">
        <f t="shared" si="54"/>
        <v>1</v>
      </c>
      <c r="V439" s="403" t="str">
        <f t="shared" si="55"/>
        <v>CPP_7_3</v>
      </c>
    </row>
    <row r="440" spans="1:22">
      <c r="A440" t="str">
        <f t="shared" si="48"/>
        <v>MIC-7504-Z12xR</v>
      </c>
      <c r="B440" s="403" t="s">
        <v>1360</v>
      </c>
      <c r="C440" s="403" t="s">
        <v>582</v>
      </c>
      <c r="D440" s="403" t="s">
        <v>1361</v>
      </c>
      <c r="E440" s="403" t="s">
        <v>778</v>
      </c>
      <c r="F440" s="403" t="s">
        <v>1323</v>
      </c>
      <c r="G440" s="403" t="s">
        <v>1466</v>
      </c>
      <c r="H440" s="403" t="s">
        <v>1282</v>
      </c>
      <c r="I440" s="403">
        <v>1</v>
      </c>
      <c r="J440" s="403" t="s">
        <v>110</v>
      </c>
      <c r="K440" s="403">
        <v>1920</v>
      </c>
      <c r="L440" s="403">
        <v>1080</v>
      </c>
      <c r="M440" s="403" t="s">
        <v>1285</v>
      </c>
      <c r="N440" s="403">
        <v>1280</v>
      </c>
      <c r="O440" s="403">
        <v>1024</v>
      </c>
      <c r="P440" t="str">
        <f t="shared" si="49"/>
        <v>30fps 1080p - 1280x1024 5:4 (cropped)</v>
      </c>
      <c r="Q440">
        <f t="shared" si="50"/>
        <v>3</v>
      </c>
      <c r="R440" t="str">
        <f t="shared" si="51"/>
        <v/>
      </c>
      <c r="S440" t="str">
        <f t="shared" si="52"/>
        <v/>
      </c>
      <c r="T440" s="403" t="str">
        <f t="shared" si="53"/>
        <v>MIC-7504-Z12xR</v>
      </c>
      <c r="U440" s="403">
        <f t="shared" si="54"/>
        <v>1</v>
      </c>
      <c r="V440" s="403" t="str">
        <f t="shared" si="55"/>
        <v>CPP_7_3</v>
      </c>
    </row>
    <row r="441" spans="1:22">
      <c r="A441" t="str">
        <f t="shared" si="48"/>
        <v>MIC-7504-Z12xR</v>
      </c>
      <c r="B441" s="403" t="s">
        <v>1360</v>
      </c>
      <c r="C441" s="403" t="s">
        <v>582</v>
      </c>
      <c r="D441" s="403" t="s">
        <v>1361</v>
      </c>
      <c r="E441" s="403" t="s">
        <v>778</v>
      </c>
      <c r="F441" s="403" t="s">
        <v>1323</v>
      </c>
      <c r="G441" s="403" t="s">
        <v>1466</v>
      </c>
      <c r="H441" s="403" t="s">
        <v>1282</v>
      </c>
      <c r="I441" s="403">
        <v>1</v>
      </c>
      <c r="J441" s="403" t="s">
        <v>110</v>
      </c>
      <c r="K441" s="403">
        <v>1920</v>
      </c>
      <c r="L441" s="403">
        <v>1080</v>
      </c>
      <c r="M441" s="403" t="s">
        <v>1283</v>
      </c>
      <c r="N441" s="403">
        <v>720</v>
      </c>
      <c r="O441" s="403">
        <v>480</v>
      </c>
      <c r="P441" t="str">
        <f t="shared" si="49"/>
        <v>30fps 1080p - SD 4CIF resolution 4:3 format (cropped)</v>
      </c>
      <c r="Q441">
        <f t="shared" si="50"/>
        <v>3</v>
      </c>
      <c r="R441" t="str">
        <f t="shared" si="51"/>
        <v/>
      </c>
      <c r="S441" t="str">
        <f t="shared" si="52"/>
        <v/>
      </c>
      <c r="T441" s="403" t="str">
        <f t="shared" si="53"/>
        <v>MIC-7504-Z12xR</v>
      </c>
      <c r="U441" s="403">
        <f t="shared" si="54"/>
        <v>1</v>
      </c>
      <c r="V441" s="403" t="str">
        <f t="shared" si="55"/>
        <v>CPP_7_3</v>
      </c>
    </row>
    <row r="442" spans="1:22">
      <c r="A442" t="str">
        <f t="shared" si="48"/>
        <v>MIC-7504-Z12xR</v>
      </c>
      <c r="B442" s="403" t="s">
        <v>1360</v>
      </c>
      <c r="C442" s="403" t="s">
        <v>582</v>
      </c>
      <c r="D442" s="403" t="s">
        <v>1361</v>
      </c>
      <c r="E442" s="403" t="s">
        <v>778</v>
      </c>
      <c r="F442" s="403" t="s">
        <v>1323</v>
      </c>
      <c r="G442" s="403" t="s">
        <v>1466</v>
      </c>
      <c r="H442" s="403" t="s">
        <v>1282</v>
      </c>
      <c r="I442" s="403">
        <v>1</v>
      </c>
      <c r="J442" s="403" t="s">
        <v>110</v>
      </c>
      <c r="K442" s="403">
        <v>1920</v>
      </c>
      <c r="L442" s="403">
        <v>1080</v>
      </c>
      <c r="M442" s="403" t="s">
        <v>1284</v>
      </c>
      <c r="N442" s="403">
        <v>640</v>
      </c>
      <c r="O442" s="403">
        <v>480</v>
      </c>
      <c r="P442" t="str">
        <f t="shared" si="49"/>
        <v>30fps 1080p - SD VGA (cropped)</v>
      </c>
      <c r="Q442">
        <f t="shared" si="50"/>
        <v>3</v>
      </c>
      <c r="R442" t="str">
        <f t="shared" si="51"/>
        <v/>
      </c>
      <c r="S442" t="str">
        <f t="shared" si="52"/>
        <v/>
      </c>
      <c r="T442" s="403" t="str">
        <f t="shared" si="53"/>
        <v>MIC-7504-Z12xR</v>
      </c>
      <c r="U442" s="403">
        <f t="shared" si="54"/>
        <v>1</v>
      </c>
      <c r="V442" s="403" t="str">
        <f t="shared" si="55"/>
        <v>CPP_7_3</v>
      </c>
    </row>
    <row r="443" spans="1:22">
      <c r="A443" t="str">
        <f t="shared" si="48"/>
        <v>MIC-7504-Z12xR</v>
      </c>
      <c r="B443" s="403" t="s">
        <v>1360</v>
      </c>
      <c r="C443" s="403" t="s">
        <v>582</v>
      </c>
      <c r="D443" s="403" t="s">
        <v>1361</v>
      </c>
      <c r="E443" s="403" t="s">
        <v>778</v>
      </c>
      <c r="F443" s="403" t="s">
        <v>1323</v>
      </c>
      <c r="G443" s="403" t="s">
        <v>1466</v>
      </c>
      <c r="H443" s="403" t="s">
        <v>1282</v>
      </c>
      <c r="I443" s="403">
        <v>1</v>
      </c>
      <c r="J443" s="403" t="s">
        <v>109</v>
      </c>
      <c r="K443" s="403">
        <v>1280</v>
      </c>
      <c r="L443" s="403">
        <v>720</v>
      </c>
      <c r="M443" s="403" t="s">
        <v>109</v>
      </c>
      <c r="N443" s="403">
        <v>1280</v>
      </c>
      <c r="O443" s="403">
        <v>720</v>
      </c>
      <c r="P443" t="str">
        <f t="shared" si="49"/>
        <v>30fps 720p - 720p</v>
      </c>
      <c r="Q443">
        <f t="shared" si="50"/>
        <v>3</v>
      </c>
      <c r="R443" t="str">
        <f t="shared" si="51"/>
        <v/>
      </c>
      <c r="S443" t="str">
        <f t="shared" si="52"/>
        <v/>
      </c>
      <c r="T443" s="403" t="str">
        <f t="shared" si="53"/>
        <v>MIC-7504-Z12xR</v>
      </c>
      <c r="U443" s="403">
        <f t="shared" si="54"/>
        <v>1</v>
      </c>
      <c r="V443" s="403" t="str">
        <f t="shared" si="55"/>
        <v>CPP_7_3</v>
      </c>
    </row>
    <row r="444" spans="1:22">
      <c r="A444" t="str">
        <f t="shared" si="48"/>
        <v>MIC-7504-Z12xR</v>
      </c>
      <c r="B444" s="403" t="s">
        <v>1360</v>
      </c>
      <c r="C444" s="403" t="s">
        <v>582</v>
      </c>
      <c r="D444" s="403" t="s">
        <v>1361</v>
      </c>
      <c r="E444" s="403" t="s">
        <v>778</v>
      </c>
      <c r="F444" s="403" t="s">
        <v>1323</v>
      </c>
      <c r="G444" s="403" t="s">
        <v>1466</v>
      </c>
      <c r="H444" s="403" t="s">
        <v>1282</v>
      </c>
      <c r="I444" s="403">
        <v>1</v>
      </c>
      <c r="J444" s="403" t="s">
        <v>109</v>
      </c>
      <c r="K444" s="403">
        <v>1280</v>
      </c>
      <c r="L444" s="403">
        <v>720</v>
      </c>
      <c r="M444" s="403" t="s">
        <v>111</v>
      </c>
      <c r="N444" s="403">
        <v>768</v>
      </c>
      <c r="O444" s="403">
        <v>432</v>
      </c>
      <c r="P444" t="str">
        <f t="shared" si="49"/>
        <v>30fps 720p - SD</v>
      </c>
      <c r="Q444">
        <f t="shared" si="50"/>
        <v>3</v>
      </c>
      <c r="R444" t="str">
        <f t="shared" si="51"/>
        <v/>
      </c>
      <c r="S444" t="str">
        <f t="shared" si="52"/>
        <v/>
      </c>
      <c r="T444" s="403" t="str">
        <f t="shared" si="53"/>
        <v>MIC-7504-Z12xR</v>
      </c>
      <c r="U444" s="403">
        <f t="shared" si="54"/>
        <v>1</v>
      </c>
      <c r="V444" s="403" t="str">
        <f t="shared" si="55"/>
        <v>CPP_7_3</v>
      </c>
    </row>
    <row r="445" spans="1:22">
      <c r="A445" t="str">
        <f t="shared" si="48"/>
        <v>MIC-7504-Z12xR</v>
      </c>
      <c r="B445" s="403" t="s">
        <v>1360</v>
      </c>
      <c r="C445" s="403" t="s">
        <v>582</v>
      </c>
      <c r="D445" s="403" t="s">
        <v>1361</v>
      </c>
      <c r="E445" s="403" t="s">
        <v>778</v>
      </c>
      <c r="F445" s="403" t="s">
        <v>1323</v>
      </c>
      <c r="G445" s="403" t="s">
        <v>1466</v>
      </c>
      <c r="H445" s="403" t="s">
        <v>1282</v>
      </c>
      <c r="I445" s="403">
        <v>1</v>
      </c>
      <c r="J445" s="403" t="s">
        <v>109</v>
      </c>
      <c r="K445" s="403">
        <v>1280</v>
      </c>
      <c r="L445" s="403">
        <v>720</v>
      </c>
      <c r="M445" s="403" t="s">
        <v>1283</v>
      </c>
      <c r="N445" s="403">
        <v>720</v>
      </c>
      <c r="O445" s="403">
        <v>480</v>
      </c>
      <c r="P445" t="str">
        <f t="shared" si="49"/>
        <v>30fps 720p - SD 4CIF resolution 4:3 format (cropped)</v>
      </c>
      <c r="Q445">
        <f t="shared" si="50"/>
        <v>3</v>
      </c>
      <c r="R445" t="str">
        <f t="shared" si="51"/>
        <v/>
      </c>
      <c r="S445" t="str">
        <f t="shared" si="52"/>
        <v/>
      </c>
      <c r="T445" s="403" t="str">
        <f t="shared" si="53"/>
        <v>MIC-7504-Z12xR</v>
      </c>
      <c r="U445" s="403">
        <f t="shared" si="54"/>
        <v>1</v>
      </c>
      <c r="V445" s="403" t="str">
        <f t="shared" si="55"/>
        <v>CPP_7_3</v>
      </c>
    </row>
    <row r="446" spans="1:22">
      <c r="A446" t="str">
        <f t="shared" si="48"/>
        <v>MIC-7504-Z12xR</v>
      </c>
      <c r="B446" s="403" t="s">
        <v>1360</v>
      </c>
      <c r="C446" s="403" t="s">
        <v>582</v>
      </c>
      <c r="D446" s="403" t="s">
        <v>1361</v>
      </c>
      <c r="E446" s="403" t="s">
        <v>778</v>
      </c>
      <c r="F446" s="403" t="s">
        <v>1323</v>
      </c>
      <c r="G446" s="403" t="s">
        <v>1466</v>
      </c>
      <c r="H446" s="403" t="s">
        <v>1282</v>
      </c>
      <c r="I446" s="403">
        <v>1</v>
      </c>
      <c r="J446" s="403" t="s">
        <v>109</v>
      </c>
      <c r="K446" s="403">
        <v>1280</v>
      </c>
      <c r="L446" s="403">
        <v>720</v>
      </c>
      <c r="M446" s="403" t="s">
        <v>1284</v>
      </c>
      <c r="N446" s="403">
        <v>640</v>
      </c>
      <c r="O446" s="403">
        <v>480</v>
      </c>
      <c r="P446" t="str">
        <f t="shared" si="49"/>
        <v>30fps 720p - SD VGA (cropped)</v>
      </c>
      <c r="Q446">
        <f t="shared" si="50"/>
        <v>3</v>
      </c>
      <c r="R446" t="str">
        <f t="shared" si="51"/>
        <v/>
      </c>
      <c r="S446" t="str">
        <f t="shared" si="52"/>
        <v/>
      </c>
      <c r="T446" s="403" t="str">
        <f t="shared" si="53"/>
        <v>MIC-7504-Z12xR</v>
      </c>
      <c r="U446" s="403">
        <f t="shared" si="54"/>
        <v>1</v>
      </c>
      <c r="V446" s="403" t="str">
        <f t="shared" si="55"/>
        <v>CPP_7_3</v>
      </c>
    </row>
    <row r="447" spans="1:22">
      <c r="A447" t="str">
        <f t="shared" si="48"/>
        <v>MIC-7504-Z12xR</v>
      </c>
      <c r="B447" s="403" t="s">
        <v>1360</v>
      </c>
      <c r="C447" s="403" t="s">
        <v>582</v>
      </c>
      <c r="D447" s="403" t="s">
        <v>1361</v>
      </c>
      <c r="E447" s="403" t="s">
        <v>778</v>
      </c>
      <c r="F447" s="403" t="s">
        <v>1325</v>
      </c>
      <c r="G447" s="403" t="s">
        <v>1466</v>
      </c>
      <c r="H447" s="403" t="s">
        <v>1276</v>
      </c>
      <c r="I447" s="403">
        <v>1</v>
      </c>
      <c r="J447" s="403" t="s">
        <v>194</v>
      </c>
      <c r="K447" s="403">
        <v>3840</v>
      </c>
      <c r="L447" s="403">
        <v>2160</v>
      </c>
      <c r="M447" s="403" t="s">
        <v>111</v>
      </c>
      <c r="N447" s="403">
        <v>768</v>
      </c>
      <c r="O447" s="403">
        <v>432</v>
      </c>
      <c r="P447" t="str">
        <f t="shared" si="49"/>
        <v>25fps 3840x2160 - SD</v>
      </c>
      <c r="Q447">
        <f t="shared" si="50"/>
        <v>3</v>
      </c>
      <c r="R447" t="str">
        <f t="shared" si="51"/>
        <v/>
      </c>
      <c r="S447" t="str">
        <f t="shared" si="52"/>
        <v/>
      </c>
      <c r="T447" s="403" t="str">
        <f t="shared" si="53"/>
        <v>MIC-7504-Z12xR</v>
      </c>
      <c r="U447" s="403">
        <f t="shared" si="54"/>
        <v>1</v>
      </c>
      <c r="V447" s="403" t="str">
        <f t="shared" si="55"/>
        <v>CPP_7_3</v>
      </c>
    </row>
    <row r="448" spans="1:22">
      <c r="A448" t="str">
        <f t="shared" si="48"/>
        <v>MIC-7504-Z12xR</v>
      </c>
      <c r="B448" s="403" t="s">
        <v>1360</v>
      </c>
      <c r="C448" s="403" t="s">
        <v>582</v>
      </c>
      <c r="D448" s="403" t="s">
        <v>1361</v>
      </c>
      <c r="E448" s="403" t="s">
        <v>1360</v>
      </c>
      <c r="F448" s="403" t="s">
        <v>1325</v>
      </c>
      <c r="G448" s="403" t="s">
        <v>1466</v>
      </c>
      <c r="H448" s="403" t="s">
        <v>1276</v>
      </c>
      <c r="I448" s="403">
        <v>1</v>
      </c>
      <c r="J448" s="403" t="s">
        <v>194</v>
      </c>
      <c r="K448" s="403">
        <v>3840</v>
      </c>
      <c r="L448" s="403">
        <v>2160</v>
      </c>
      <c r="M448" s="403" t="s">
        <v>111</v>
      </c>
      <c r="N448" s="403">
        <v>768</v>
      </c>
      <c r="O448" s="403">
        <v>432</v>
      </c>
      <c r="P448" t="str">
        <f t="shared" si="49"/>
        <v>25fps 3840x2160 - SD</v>
      </c>
      <c r="Q448">
        <f t="shared" si="50"/>
        <v>3</v>
      </c>
      <c r="R448" t="str">
        <f t="shared" si="51"/>
        <v/>
      </c>
      <c r="S448" t="str">
        <f t="shared" si="52"/>
        <v/>
      </c>
      <c r="T448" s="403" t="str">
        <f t="shared" si="53"/>
        <v>MIC-7504-Z12xR</v>
      </c>
      <c r="U448" s="403">
        <f t="shared" si="54"/>
        <v>1</v>
      </c>
      <c r="V448" s="403" t="str">
        <f t="shared" si="55"/>
        <v>CPP_7_3</v>
      </c>
    </row>
    <row r="449" spans="1:22">
      <c r="A449" t="str">
        <f t="shared" si="48"/>
        <v>MIC-7504-Z12xR</v>
      </c>
      <c r="B449" s="403" t="s">
        <v>1360</v>
      </c>
      <c r="C449" s="403" t="s">
        <v>582</v>
      </c>
      <c r="D449" s="403" t="s">
        <v>1361</v>
      </c>
      <c r="E449" s="403" t="s">
        <v>1360</v>
      </c>
      <c r="F449" s="403" t="s">
        <v>1325</v>
      </c>
      <c r="G449" s="403" t="s">
        <v>1466</v>
      </c>
      <c r="H449" s="403" t="s">
        <v>1276</v>
      </c>
      <c r="I449" s="403">
        <v>1</v>
      </c>
      <c r="J449" s="403" t="s">
        <v>194</v>
      </c>
      <c r="K449" s="403">
        <v>3840</v>
      </c>
      <c r="L449" s="403">
        <v>2160</v>
      </c>
      <c r="M449" s="403" t="s">
        <v>1280</v>
      </c>
      <c r="N449" s="403">
        <v>3840</v>
      </c>
      <c r="O449" s="403">
        <v>2160</v>
      </c>
      <c r="P449" t="str">
        <f t="shared" si="49"/>
        <v>25fps 3840x2160 - copy other stream</v>
      </c>
      <c r="Q449">
        <f t="shared" si="50"/>
        <v>3</v>
      </c>
      <c r="R449" t="str">
        <f t="shared" si="51"/>
        <v/>
      </c>
      <c r="S449" t="str">
        <f t="shared" si="52"/>
        <v/>
      </c>
      <c r="T449" s="403" t="str">
        <f t="shared" si="53"/>
        <v>MIC-7504-Z12xR</v>
      </c>
      <c r="U449" s="403">
        <f t="shared" si="54"/>
        <v>1</v>
      </c>
      <c r="V449" s="403" t="str">
        <f t="shared" si="55"/>
        <v>CPP_7_3</v>
      </c>
    </row>
    <row r="450" spans="1:22">
      <c r="A450" t="str">
        <f t="shared" ref="A450:A513" si="56">IF(AND(G450&lt;&gt;"rotate 90°"),D450,"")</f>
        <v>MIC-7504-Z12xR</v>
      </c>
      <c r="B450" s="403" t="s">
        <v>1360</v>
      </c>
      <c r="C450" s="403" t="s">
        <v>582</v>
      </c>
      <c r="D450" s="403" t="s">
        <v>1361</v>
      </c>
      <c r="E450" s="403" t="s">
        <v>1360</v>
      </c>
      <c r="F450" s="403" t="s">
        <v>1325</v>
      </c>
      <c r="G450" s="403" t="s">
        <v>1466</v>
      </c>
      <c r="H450" s="403" t="s">
        <v>1276</v>
      </c>
      <c r="I450" s="403">
        <v>1</v>
      </c>
      <c r="J450" s="403" t="s">
        <v>194</v>
      </c>
      <c r="K450" s="403">
        <v>3840</v>
      </c>
      <c r="L450" s="403">
        <v>2160</v>
      </c>
      <c r="M450" s="403" t="s">
        <v>1362</v>
      </c>
      <c r="N450" s="403">
        <v>3840</v>
      </c>
      <c r="O450" s="403">
        <v>2160</v>
      </c>
      <c r="P450" t="str">
        <f t="shared" ref="P450:P513" si="57">LEFT(F450,5)&amp;" "&amp;J450&amp;" - "&amp;M450</f>
        <v>25fps 3840x2160 - 3840x2160 @ SKIP6</v>
      </c>
      <c r="Q450">
        <f t="shared" ref="Q450:Q513" si="58">IF(A449=A450,Q449,Q449+1)</f>
        <v>3</v>
      </c>
      <c r="R450" t="str">
        <f t="shared" ref="R450:R513" si="59">IF(Q449&lt;&gt;Q450,Q450,"")</f>
        <v/>
      </c>
      <c r="S450" t="str">
        <f t="shared" ref="S450:S513" si="60">IF(R450&lt;&gt;"",B450&amp;" ("&amp;D450&amp;")","")</f>
        <v/>
      </c>
      <c r="T450" s="403" t="str">
        <f t="shared" ref="T450:T513" si="61">D450</f>
        <v>MIC-7504-Z12xR</v>
      </c>
      <c r="U450" s="403">
        <f t="shared" ref="U450:U513" si="62">I450</f>
        <v>1</v>
      </c>
      <c r="V450" s="403" t="str">
        <f t="shared" ref="V450:V513" si="63">C450</f>
        <v>CPP_7_3</v>
      </c>
    </row>
    <row r="451" spans="1:22">
      <c r="A451" t="str">
        <f t="shared" si="56"/>
        <v>MIC-7504-Z12xR</v>
      </c>
      <c r="B451" s="403" t="s">
        <v>1360</v>
      </c>
      <c r="C451" s="403" t="s">
        <v>582</v>
      </c>
      <c r="D451" s="403" t="s">
        <v>1361</v>
      </c>
      <c r="E451" s="403" t="s">
        <v>1360</v>
      </c>
      <c r="F451" s="403" t="s">
        <v>1325</v>
      </c>
      <c r="G451" s="403" t="s">
        <v>1466</v>
      </c>
      <c r="H451" s="403" t="s">
        <v>1276</v>
      </c>
      <c r="I451" s="403">
        <v>1</v>
      </c>
      <c r="J451" s="403" t="s">
        <v>194</v>
      </c>
      <c r="K451" s="403">
        <v>3840</v>
      </c>
      <c r="L451" s="403">
        <v>2160</v>
      </c>
      <c r="M451" s="403" t="s">
        <v>1363</v>
      </c>
      <c r="N451" s="403">
        <v>1920</v>
      </c>
      <c r="O451" s="403">
        <v>1080</v>
      </c>
      <c r="P451" t="str">
        <f t="shared" si="57"/>
        <v>25fps 3840x2160 - 1920x1080 @ SKIP 2</v>
      </c>
      <c r="Q451">
        <f t="shared" si="58"/>
        <v>3</v>
      </c>
      <c r="R451" t="str">
        <f t="shared" si="59"/>
        <v/>
      </c>
      <c r="S451" t="str">
        <f t="shared" si="60"/>
        <v/>
      </c>
      <c r="T451" s="403" t="str">
        <f t="shared" si="61"/>
        <v>MIC-7504-Z12xR</v>
      </c>
      <c r="U451" s="403">
        <f t="shared" si="62"/>
        <v>1</v>
      </c>
      <c r="V451" s="403" t="str">
        <f t="shared" si="63"/>
        <v>CPP_7_3</v>
      </c>
    </row>
    <row r="452" spans="1:22">
      <c r="A452" t="str">
        <f t="shared" si="56"/>
        <v>MIC-7504-Z12xR</v>
      </c>
      <c r="B452" s="403" t="s">
        <v>1360</v>
      </c>
      <c r="C452" s="403" t="s">
        <v>582</v>
      </c>
      <c r="D452" s="403" t="s">
        <v>1361</v>
      </c>
      <c r="E452" s="403" t="s">
        <v>1360</v>
      </c>
      <c r="F452" s="403" t="s">
        <v>1325</v>
      </c>
      <c r="G452" s="403" t="s">
        <v>1466</v>
      </c>
      <c r="H452" s="403" t="s">
        <v>1276</v>
      </c>
      <c r="I452" s="403">
        <v>1</v>
      </c>
      <c r="J452" s="403" t="s">
        <v>194</v>
      </c>
      <c r="K452" s="403">
        <v>3840</v>
      </c>
      <c r="L452" s="403">
        <v>2160</v>
      </c>
      <c r="M452" s="403" t="s">
        <v>109</v>
      </c>
      <c r="N452" s="403">
        <v>1280</v>
      </c>
      <c r="O452" s="403">
        <v>720</v>
      </c>
      <c r="P452" t="str">
        <f t="shared" si="57"/>
        <v>25fps 3840x2160 - 720p</v>
      </c>
      <c r="Q452">
        <f t="shared" si="58"/>
        <v>3</v>
      </c>
      <c r="R452" t="str">
        <f t="shared" si="59"/>
        <v/>
      </c>
      <c r="S452" t="str">
        <f t="shared" si="60"/>
        <v/>
      </c>
      <c r="T452" s="403" t="str">
        <f t="shared" si="61"/>
        <v>MIC-7504-Z12xR</v>
      </c>
      <c r="U452" s="403">
        <f t="shared" si="62"/>
        <v>1</v>
      </c>
      <c r="V452" s="403" t="str">
        <f t="shared" si="63"/>
        <v>CPP_7_3</v>
      </c>
    </row>
    <row r="453" spans="1:22">
      <c r="A453" t="str">
        <f t="shared" si="56"/>
        <v>MIC-7504-Z12xR</v>
      </c>
      <c r="B453" s="403" t="s">
        <v>1360</v>
      </c>
      <c r="C453" s="403" t="s">
        <v>582</v>
      </c>
      <c r="D453" s="403" t="s">
        <v>1361</v>
      </c>
      <c r="E453" s="403" t="s">
        <v>1360</v>
      </c>
      <c r="F453" s="403" t="s">
        <v>1325</v>
      </c>
      <c r="G453" s="403" t="s">
        <v>1466</v>
      </c>
      <c r="H453" s="403" t="s">
        <v>1276</v>
      </c>
      <c r="I453" s="403">
        <v>1</v>
      </c>
      <c r="J453" s="403" t="s">
        <v>194</v>
      </c>
      <c r="K453" s="403">
        <v>3840</v>
      </c>
      <c r="L453" s="403">
        <v>2160</v>
      </c>
      <c r="M453" s="403" t="s">
        <v>1283</v>
      </c>
      <c r="N453" s="403">
        <v>720</v>
      </c>
      <c r="O453" s="403">
        <v>576</v>
      </c>
      <c r="P453" t="str">
        <f t="shared" si="57"/>
        <v>25fps 3840x2160 - SD 4CIF resolution 4:3 format (cropped)</v>
      </c>
      <c r="Q453">
        <f t="shared" si="58"/>
        <v>3</v>
      </c>
      <c r="R453" t="str">
        <f t="shared" si="59"/>
        <v/>
      </c>
      <c r="S453" t="str">
        <f t="shared" si="60"/>
        <v/>
      </c>
      <c r="T453" s="403" t="str">
        <f t="shared" si="61"/>
        <v>MIC-7504-Z12xR</v>
      </c>
      <c r="U453" s="403">
        <f t="shared" si="62"/>
        <v>1</v>
      </c>
      <c r="V453" s="403" t="str">
        <f t="shared" si="63"/>
        <v>CPP_7_3</v>
      </c>
    </row>
    <row r="454" spans="1:22">
      <c r="A454" t="str">
        <f t="shared" si="56"/>
        <v>MIC-7504-Z12xR</v>
      </c>
      <c r="B454" s="403" t="s">
        <v>1360</v>
      </c>
      <c r="C454" s="403" t="s">
        <v>582</v>
      </c>
      <c r="D454" s="403" t="s">
        <v>1361</v>
      </c>
      <c r="E454" s="403" t="s">
        <v>1360</v>
      </c>
      <c r="F454" s="403" t="s">
        <v>1325</v>
      </c>
      <c r="G454" s="403" t="s">
        <v>1466</v>
      </c>
      <c r="H454" s="403" t="s">
        <v>1276</v>
      </c>
      <c r="I454" s="403">
        <v>1</v>
      </c>
      <c r="J454" s="403" t="s">
        <v>194</v>
      </c>
      <c r="K454" s="403">
        <v>3840</v>
      </c>
      <c r="L454" s="403">
        <v>2160</v>
      </c>
      <c r="M454" s="403" t="s">
        <v>1284</v>
      </c>
      <c r="N454" s="403">
        <v>640</v>
      </c>
      <c r="O454" s="403">
        <v>480</v>
      </c>
      <c r="P454" t="str">
        <f t="shared" si="57"/>
        <v>25fps 3840x2160 - SD VGA (cropped)</v>
      </c>
      <c r="Q454">
        <f t="shared" si="58"/>
        <v>3</v>
      </c>
      <c r="R454" t="str">
        <f t="shared" si="59"/>
        <v/>
      </c>
      <c r="S454" t="str">
        <f t="shared" si="60"/>
        <v/>
      </c>
      <c r="T454" s="403" t="str">
        <f t="shared" si="61"/>
        <v>MIC-7504-Z12xR</v>
      </c>
      <c r="U454" s="403">
        <f t="shared" si="62"/>
        <v>1</v>
      </c>
      <c r="V454" s="403" t="str">
        <f t="shared" si="63"/>
        <v>CPP_7_3</v>
      </c>
    </row>
    <row r="455" spans="1:22">
      <c r="A455" t="str">
        <f t="shared" si="56"/>
        <v>MIC-7504-Z12xR</v>
      </c>
      <c r="B455" s="403" t="s">
        <v>1360</v>
      </c>
      <c r="C455" s="403" t="s">
        <v>582</v>
      </c>
      <c r="D455" s="403" t="s">
        <v>1361</v>
      </c>
      <c r="E455" s="403" t="s">
        <v>1360</v>
      </c>
      <c r="F455" s="403" t="s">
        <v>1325</v>
      </c>
      <c r="G455" s="403" t="s">
        <v>1466</v>
      </c>
      <c r="H455" s="403" t="s">
        <v>1276</v>
      </c>
      <c r="I455" s="403">
        <v>1</v>
      </c>
      <c r="J455" s="403" t="s">
        <v>194</v>
      </c>
      <c r="K455" s="403">
        <v>3840</v>
      </c>
      <c r="L455" s="403">
        <v>2160</v>
      </c>
      <c r="M455" s="403" t="s">
        <v>1285</v>
      </c>
      <c r="N455" s="403">
        <v>1280</v>
      </c>
      <c r="O455" s="403">
        <v>1024</v>
      </c>
      <c r="P455" t="str">
        <f t="shared" si="57"/>
        <v>25fps 3840x2160 - 1280x1024 5:4 (cropped)</v>
      </c>
      <c r="Q455">
        <f t="shared" si="58"/>
        <v>3</v>
      </c>
      <c r="R455" t="str">
        <f t="shared" si="59"/>
        <v/>
      </c>
      <c r="S455" t="str">
        <f t="shared" si="60"/>
        <v/>
      </c>
      <c r="T455" s="403" t="str">
        <f t="shared" si="61"/>
        <v>MIC-7504-Z12xR</v>
      </c>
      <c r="U455" s="403">
        <f t="shared" si="62"/>
        <v>1</v>
      </c>
      <c r="V455" s="403" t="str">
        <f t="shared" si="63"/>
        <v>CPP_7_3</v>
      </c>
    </row>
    <row r="456" spans="1:22">
      <c r="A456" t="str">
        <f t="shared" si="56"/>
        <v>MIC-7504-Z12xR</v>
      </c>
      <c r="B456" s="403" t="s">
        <v>1360</v>
      </c>
      <c r="C456" s="403" t="s">
        <v>582</v>
      </c>
      <c r="D456" s="403" t="s">
        <v>1361</v>
      </c>
      <c r="E456" s="403" t="s">
        <v>1360</v>
      </c>
      <c r="F456" s="403" t="s">
        <v>1325</v>
      </c>
      <c r="G456" s="403" t="s">
        <v>1466</v>
      </c>
      <c r="H456" s="403" t="s">
        <v>1276</v>
      </c>
      <c r="I456" s="403">
        <v>1</v>
      </c>
      <c r="J456" s="403" t="s">
        <v>1324</v>
      </c>
      <c r="K456" s="403">
        <v>3584</v>
      </c>
      <c r="L456" s="403">
        <v>2016</v>
      </c>
      <c r="M456" s="403" t="s">
        <v>111</v>
      </c>
      <c r="N456" s="403">
        <v>768</v>
      </c>
      <c r="O456" s="403">
        <v>432</v>
      </c>
      <c r="P456" t="str">
        <f t="shared" si="57"/>
        <v>25fps 3584x2016 - SD</v>
      </c>
      <c r="Q456">
        <f t="shared" si="58"/>
        <v>3</v>
      </c>
      <c r="R456" t="str">
        <f t="shared" si="59"/>
        <v/>
      </c>
      <c r="S456" t="str">
        <f t="shared" si="60"/>
        <v/>
      </c>
      <c r="T456" s="403" t="str">
        <f t="shared" si="61"/>
        <v>MIC-7504-Z12xR</v>
      </c>
      <c r="U456" s="403">
        <f t="shared" si="62"/>
        <v>1</v>
      </c>
      <c r="V456" s="403" t="str">
        <f t="shared" si="63"/>
        <v>CPP_7_3</v>
      </c>
    </row>
    <row r="457" spans="1:22">
      <c r="A457" t="str">
        <f t="shared" si="56"/>
        <v>MIC-7504-Z12xR</v>
      </c>
      <c r="B457" s="403" t="s">
        <v>1360</v>
      </c>
      <c r="C457" s="403" t="s">
        <v>582</v>
      </c>
      <c r="D457" s="403" t="s">
        <v>1361</v>
      </c>
      <c r="E457" s="403" t="s">
        <v>1360</v>
      </c>
      <c r="F457" s="403" t="s">
        <v>1325</v>
      </c>
      <c r="G457" s="403" t="s">
        <v>1466</v>
      </c>
      <c r="H457" s="403" t="s">
        <v>1276</v>
      </c>
      <c r="I457" s="403">
        <v>1</v>
      </c>
      <c r="J457" s="403" t="s">
        <v>1324</v>
      </c>
      <c r="K457" s="403">
        <v>3584</v>
      </c>
      <c r="L457" s="403">
        <v>2016</v>
      </c>
      <c r="M457" s="403" t="s">
        <v>1280</v>
      </c>
      <c r="N457" s="403">
        <v>3584</v>
      </c>
      <c r="O457" s="403">
        <v>2016</v>
      </c>
      <c r="P457" t="str">
        <f t="shared" si="57"/>
        <v>25fps 3584x2016 - copy other stream</v>
      </c>
      <c r="Q457">
        <f t="shared" si="58"/>
        <v>3</v>
      </c>
      <c r="R457" t="str">
        <f t="shared" si="59"/>
        <v/>
      </c>
      <c r="S457" t="str">
        <f t="shared" si="60"/>
        <v/>
      </c>
      <c r="T457" s="403" t="str">
        <f t="shared" si="61"/>
        <v>MIC-7504-Z12xR</v>
      </c>
      <c r="U457" s="403">
        <f t="shared" si="62"/>
        <v>1</v>
      </c>
      <c r="V457" s="403" t="str">
        <f t="shared" si="63"/>
        <v>CPP_7_3</v>
      </c>
    </row>
    <row r="458" spans="1:22">
      <c r="A458" t="str">
        <f t="shared" si="56"/>
        <v>MIC-7504-Z12xR</v>
      </c>
      <c r="B458" s="403" t="s">
        <v>1360</v>
      </c>
      <c r="C458" s="403" t="s">
        <v>582</v>
      </c>
      <c r="D458" s="403" t="s">
        <v>1361</v>
      </c>
      <c r="E458" s="403" t="s">
        <v>1360</v>
      </c>
      <c r="F458" s="403" t="s">
        <v>1325</v>
      </c>
      <c r="G458" s="403" t="s">
        <v>1466</v>
      </c>
      <c r="H458" s="403" t="s">
        <v>1276</v>
      </c>
      <c r="I458" s="403">
        <v>1</v>
      </c>
      <c r="J458" s="403" t="s">
        <v>1324</v>
      </c>
      <c r="K458" s="403">
        <v>3584</v>
      </c>
      <c r="L458" s="403">
        <v>2016</v>
      </c>
      <c r="M458" s="403" t="s">
        <v>1364</v>
      </c>
      <c r="N458" s="403">
        <v>3584</v>
      </c>
      <c r="O458" s="403">
        <v>2016</v>
      </c>
      <c r="P458" t="str">
        <f t="shared" si="57"/>
        <v>25fps 3584x2016 - 3584x2016 @ SKIP6</v>
      </c>
      <c r="Q458">
        <f t="shared" si="58"/>
        <v>3</v>
      </c>
      <c r="R458" t="str">
        <f t="shared" si="59"/>
        <v/>
      </c>
      <c r="S458" t="str">
        <f t="shared" si="60"/>
        <v/>
      </c>
      <c r="T458" s="403" t="str">
        <f t="shared" si="61"/>
        <v>MIC-7504-Z12xR</v>
      </c>
      <c r="U458" s="403">
        <f t="shared" si="62"/>
        <v>1</v>
      </c>
      <c r="V458" s="403" t="str">
        <f t="shared" si="63"/>
        <v>CPP_7_3</v>
      </c>
    </row>
    <row r="459" spans="1:22">
      <c r="A459" t="str">
        <f t="shared" si="56"/>
        <v>MIC-7504-Z12xR</v>
      </c>
      <c r="B459" s="403" t="s">
        <v>1360</v>
      </c>
      <c r="C459" s="403" t="s">
        <v>582</v>
      </c>
      <c r="D459" s="403" t="s">
        <v>1361</v>
      </c>
      <c r="E459" s="403" t="s">
        <v>1360</v>
      </c>
      <c r="F459" s="403" t="s">
        <v>1325</v>
      </c>
      <c r="G459" s="403" t="s">
        <v>1466</v>
      </c>
      <c r="H459" s="403" t="s">
        <v>1276</v>
      </c>
      <c r="I459" s="403">
        <v>1</v>
      </c>
      <c r="J459" s="403" t="s">
        <v>1324</v>
      </c>
      <c r="K459" s="403">
        <v>3584</v>
      </c>
      <c r="L459" s="403">
        <v>2016</v>
      </c>
      <c r="M459" s="403" t="s">
        <v>110</v>
      </c>
      <c r="N459" s="403">
        <v>1920</v>
      </c>
      <c r="O459" s="403">
        <v>1080</v>
      </c>
      <c r="P459" t="str">
        <f t="shared" si="57"/>
        <v>25fps 3584x2016 - 1080p</v>
      </c>
      <c r="Q459">
        <f t="shared" si="58"/>
        <v>3</v>
      </c>
      <c r="R459" t="str">
        <f t="shared" si="59"/>
        <v/>
      </c>
      <c r="S459" t="str">
        <f t="shared" si="60"/>
        <v/>
      </c>
      <c r="T459" s="403" t="str">
        <f t="shared" si="61"/>
        <v>MIC-7504-Z12xR</v>
      </c>
      <c r="U459" s="403">
        <f t="shared" si="62"/>
        <v>1</v>
      </c>
      <c r="V459" s="403" t="str">
        <f t="shared" si="63"/>
        <v>CPP_7_3</v>
      </c>
    </row>
    <row r="460" spans="1:22">
      <c r="A460" t="str">
        <f t="shared" si="56"/>
        <v>MIC-7504-Z12xR</v>
      </c>
      <c r="B460" s="403" t="s">
        <v>1360</v>
      </c>
      <c r="C460" s="403" t="s">
        <v>582</v>
      </c>
      <c r="D460" s="403" t="s">
        <v>1361</v>
      </c>
      <c r="E460" s="403" t="s">
        <v>1360</v>
      </c>
      <c r="F460" s="403" t="s">
        <v>1325</v>
      </c>
      <c r="G460" s="403" t="s">
        <v>1466</v>
      </c>
      <c r="H460" s="403" t="s">
        <v>1276</v>
      </c>
      <c r="I460" s="403">
        <v>1</v>
      </c>
      <c r="J460" s="403" t="s">
        <v>1324</v>
      </c>
      <c r="K460" s="403">
        <v>3584</v>
      </c>
      <c r="L460" s="403">
        <v>2016</v>
      </c>
      <c r="M460" s="403" t="s">
        <v>109</v>
      </c>
      <c r="N460" s="403">
        <v>1280</v>
      </c>
      <c r="O460" s="403">
        <v>720</v>
      </c>
      <c r="P460" t="str">
        <f t="shared" si="57"/>
        <v>25fps 3584x2016 - 720p</v>
      </c>
      <c r="Q460">
        <f t="shared" si="58"/>
        <v>3</v>
      </c>
      <c r="R460" t="str">
        <f t="shared" si="59"/>
        <v/>
      </c>
      <c r="S460" t="str">
        <f t="shared" si="60"/>
        <v/>
      </c>
      <c r="T460" s="403" t="str">
        <f t="shared" si="61"/>
        <v>MIC-7504-Z12xR</v>
      </c>
      <c r="U460" s="403">
        <f t="shared" si="62"/>
        <v>1</v>
      </c>
      <c r="V460" s="403" t="str">
        <f t="shared" si="63"/>
        <v>CPP_7_3</v>
      </c>
    </row>
    <row r="461" spans="1:22">
      <c r="A461" t="str">
        <f t="shared" si="56"/>
        <v>MIC-7504-Z12xR</v>
      </c>
      <c r="B461" s="403" t="s">
        <v>1360</v>
      </c>
      <c r="C461" s="403" t="s">
        <v>582</v>
      </c>
      <c r="D461" s="403" t="s">
        <v>1361</v>
      </c>
      <c r="E461" s="403" t="s">
        <v>1360</v>
      </c>
      <c r="F461" s="403" t="s">
        <v>1325</v>
      </c>
      <c r="G461" s="403" t="s">
        <v>1466</v>
      </c>
      <c r="H461" s="403" t="s">
        <v>1276</v>
      </c>
      <c r="I461" s="403">
        <v>1</v>
      </c>
      <c r="J461" s="403" t="s">
        <v>1324</v>
      </c>
      <c r="K461" s="403">
        <v>3584</v>
      </c>
      <c r="L461" s="403">
        <v>2016</v>
      </c>
      <c r="M461" s="403" t="s">
        <v>1283</v>
      </c>
      <c r="N461" s="403">
        <v>720</v>
      </c>
      <c r="O461" s="403">
        <v>576</v>
      </c>
      <c r="P461" t="str">
        <f t="shared" si="57"/>
        <v>25fps 3584x2016 - SD 4CIF resolution 4:3 format (cropped)</v>
      </c>
      <c r="Q461">
        <f t="shared" si="58"/>
        <v>3</v>
      </c>
      <c r="R461" t="str">
        <f t="shared" si="59"/>
        <v/>
      </c>
      <c r="S461" t="str">
        <f t="shared" si="60"/>
        <v/>
      </c>
      <c r="T461" s="403" t="str">
        <f t="shared" si="61"/>
        <v>MIC-7504-Z12xR</v>
      </c>
      <c r="U461" s="403">
        <f t="shared" si="62"/>
        <v>1</v>
      </c>
      <c r="V461" s="403" t="str">
        <f t="shared" si="63"/>
        <v>CPP_7_3</v>
      </c>
    </row>
    <row r="462" spans="1:22">
      <c r="A462" t="str">
        <f t="shared" si="56"/>
        <v>MIC-7504-Z12xR</v>
      </c>
      <c r="B462" s="403" t="s">
        <v>1360</v>
      </c>
      <c r="C462" s="403" t="s">
        <v>582</v>
      </c>
      <c r="D462" s="403" t="s">
        <v>1361</v>
      </c>
      <c r="E462" s="403" t="s">
        <v>1360</v>
      </c>
      <c r="F462" s="403" t="s">
        <v>1325</v>
      </c>
      <c r="G462" s="403" t="s">
        <v>1466</v>
      </c>
      <c r="H462" s="403" t="s">
        <v>1276</v>
      </c>
      <c r="I462" s="403">
        <v>1</v>
      </c>
      <c r="J462" s="403" t="s">
        <v>1324</v>
      </c>
      <c r="K462" s="403">
        <v>3584</v>
      </c>
      <c r="L462" s="403">
        <v>2016</v>
      </c>
      <c r="M462" s="403" t="s">
        <v>1284</v>
      </c>
      <c r="N462" s="403">
        <v>640</v>
      </c>
      <c r="O462" s="403">
        <v>480</v>
      </c>
      <c r="P462" t="str">
        <f t="shared" si="57"/>
        <v>25fps 3584x2016 - SD VGA (cropped)</v>
      </c>
      <c r="Q462">
        <f t="shared" si="58"/>
        <v>3</v>
      </c>
      <c r="R462" t="str">
        <f t="shared" si="59"/>
        <v/>
      </c>
      <c r="S462" t="str">
        <f t="shared" si="60"/>
        <v/>
      </c>
      <c r="T462" s="403" t="str">
        <f t="shared" si="61"/>
        <v>MIC-7504-Z12xR</v>
      </c>
      <c r="U462" s="403">
        <f t="shared" si="62"/>
        <v>1</v>
      </c>
      <c r="V462" s="403" t="str">
        <f t="shared" si="63"/>
        <v>CPP_7_3</v>
      </c>
    </row>
    <row r="463" spans="1:22">
      <c r="A463" t="str">
        <f t="shared" si="56"/>
        <v>MIC-7504-Z12xR</v>
      </c>
      <c r="B463" s="403" t="s">
        <v>1360</v>
      </c>
      <c r="C463" s="403" t="s">
        <v>582</v>
      </c>
      <c r="D463" s="403" t="s">
        <v>1361</v>
      </c>
      <c r="E463" s="403" t="s">
        <v>1360</v>
      </c>
      <c r="F463" s="403" t="s">
        <v>1325</v>
      </c>
      <c r="G463" s="403" t="s">
        <v>1466</v>
      </c>
      <c r="H463" s="403" t="s">
        <v>1276</v>
      </c>
      <c r="I463" s="403">
        <v>1</v>
      </c>
      <c r="J463" s="403" t="s">
        <v>1324</v>
      </c>
      <c r="K463" s="403">
        <v>3584</v>
      </c>
      <c r="L463" s="403">
        <v>2016</v>
      </c>
      <c r="M463" s="403" t="s">
        <v>1285</v>
      </c>
      <c r="N463" s="403">
        <v>1280</v>
      </c>
      <c r="O463" s="403">
        <v>1024</v>
      </c>
      <c r="P463" t="str">
        <f t="shared" si="57"/>
        <v>25fps 3584x2016 - 1280x1024 5:4 (cropped)</v>
      </c>
      <c r="Q463">
        <f t="shared" si="58"/>
        <v>3</v>
      </c>
      <c r="R463" t="str">
        <f t="shared" si="59"/>
        <v/>
      </c>
      <c r="S463" t="str">
        <f t="shared" si="60"/>
        <v/>
      </c>
      <c r="T463" s="403" t="str">
        <f t="shared" si="61"/>
        <v>MIC-7504-Z12xR</v>
      </c>
      <c r="U463" s="403">
        <f t="shared" si="62"/>
        <v>1</v>
      </c>
      <c r="V463" s="403" t="str">
        <f t="shared" si="63"/>
        <v>CPP_7_3</v>
      </c>
    </row>
    <row r="464" spans="1:22">
      <c r="A464" t="str">
        <f t="shared" si="56"/>
        <v>MIC-7504-Z12xR</v>
      </c>
      <c r="B464" s="403" t="s">
        <v>1360</v>
      </c>
      <c r="C464" s="403" t="s">
        <v>582</v>
      </c>
      <c r="D464" s="403" t="s">
        <v>1361</v>
      </c>
      <c r="E464" s="403" t="s">
        <v>1360</v>
      </c>
      <c r="F464" s="403" t="s">
        <v>1325</v>
      </c>
      <c r="G464" s="403" t="s">
        <v>1466</v>
      </c>
      <c r="H464" s="403" t="s">
        <v>1276</v>
      </c>
      <c r="I464" s="403">
        <v>1</v>
      </c>
      <c r="J464" s="403" t="s">
        <v>110</v>
      </c>
      <c r="K464" s="403">
        <v>1920</v>
      </c>
      <c r="L464" s="403">
        <v>1080</v>
      </c>
      <c r="M464" s="403" t="s">
        <v>111</v>
      </c>
      <c r="N464" s="403">
        <v>768</v>
      </c>
      <c r="O464" s="403">
        <v>432</v>
      </c>
      <c r="P464" t="str">
        <f t="shared" si="57"/>
        <v>25fps 1080p - SD</v>
      </c>
      <c r="Q464">
        <f t="shared" si="58"/>
        <v>3</v>
      </c>
      <c r="R464" t="str">
        <f t="shared" si="59"/>
        <v/>
      </c>
      <c r="S464" t="str">
        <f t="shared" si="60"/>
        <v/>
      </c>
      <c r="T464" s="403" t="str">
        <f t="shared" si="61"/>
        <v>MIC-7504-Z12xR</v>
      </c>
      <c r="U464" s="403">
        <f t="shared" si="62"/>
        <v>1</v>
      </c>
      <c r="V464" s="403" t="str">
        <f t="shared" si="63"/>
        <v>CPP_7_3</v>
      </c>
    </row>
    <row r="465" spans="1:22">
      <c r="A465" t="str">
        <f t="shared" si="56"/>
        <v>MIC-7504-Z12xR</v>
      </c>
      <c r="B465" s="403" t="s">
        <v>1360</v>
      </c>
      <c r="C465" s="403" t="s">
        <v>582</v>
      </c>
      <c r="D465" s="403" t="s">
        <v>1361</v>
      </c>
      <c r="E465" s="403" t="s">
        <v>1360</v>
      </c>
      <c r="F465" s="403" t="s">
        <v>1325</v>
      </c>
      <c r="G465" s="403" t="s">
        <v>1466</v>
      </c>
      <c r="H465" s="403" t="s">
        <v>1276</v>
      </c>
      <c r="I465" s="403">
        <v>1</v>
      </c>
      <c r="J465" s="403" t="s">
        <v>110</v>
      </c>
      <c r="K465" s="403">
        <v>1920</v>
      </c>
      <c r="L465" s="403">
        <v>1080</v>
      </c>
      <c r="M465" s="403" t="s">
        <v>110</v>
      </c>
      <c r="N465" s="403">
        <v>1920</v>
      </c>
      <c r="O465" s="403">
        <v>1080</v>
      </c>
      <c r="P465" t="str">
        <f t="shared" si="57"/>
        <v>25fps 1080p - 1080p</v>
      </c>
      <c r="Q465">
        <f t="shared" si="58"/>
        <v>3</v>
      </c>
      <c r="R465" t="str">
        <f t="shared" si="59"/>
        <v/>
      </c>
      <c r="S465" t="str">
        <f t="shared" si="60"/>
        <v/>
      </c>
      <c r="T465" s="403" t="str">
        <f t="shared" si="61"/>
        <v>MIC-7504-Z12xR</v>
      </c>
      <c r="U465" s="403">
        <f t="shared" si="62"/>
        <v>1</v>
      </c>
      <c r="V465" s="403" t="str">
        <f t="shared" si="63"/>
        <v>CPP_7_3</v>
      </c>
    </row>
    <row r="466" spans="1:22">
      <c r="A466" t="str">
        <f t="shared" si="56"/>
        <v>MIC-7504-Z12xR</v>
      </c>
      <c r="B466" s="403" t="s">
        <v>1360</v>
      </c>
      <c r="C466" s="403" t="s">
        <v>582</v>
      </c>
      <c r="D466" s="403" t="s">
        <v>1361</v>
      </c>
      <c r="E466" s="403" t="s">
        <v>1360</v>
      </c>
      <c r="F466" s="403" t="s">
        <v>1325</v>
      </c>
      <c r="G466" s="403" t="s">
        <v>1466</v>
      </c>
      <c r="H466" s="403" t="s">
        <v>1276</v>
      </c>
      <c r="I466" s="403">
        <v>1</v>
      </c>
      <c r="J466" s="403" t="s">
        <v>110</v>
      </c>
      <c r="K466" s="403">
        <v>1920</v>
      </c>
      <c r="L466" s="403">
        <v>1080</v>
      </c>
      <c r="M466" s="403" t="s">
        <v>109</v>
      </c>
      <c r="N466" s="403">
        <v>1280</v>
      </c>
      <c r="O466" s="403">
        <v>720</v>
      </c>
      <c r="P466" t="str">
        <f t="shared" si="57"/>
        <v>25fps 1080p - 720p</v>
      </c>
      <c r="Q466">
        <f t="shared" si="58"/>
        <v>3</v>
      </c>
      <c r="R466" t="str">
        <f t="shared" si="59"/>
        <v/>
      </c>
      <c r="S466" t="str">
        <f t="shared" si="60"/>
        <v/>
      </c>
      <c r="T466" s="403" t="str">
        <f t="shared" si="61"/>
        <v>MIC-7504-Z12xR</v>
      </c>
      <c r="U466" s="403">
        <f t="shared" si="62"/>
        <v>1</v>
      </c>
      <c r="V466" s="403" t="str">
        <f t="shared" si="63"/>
        <v>CPP_7_3</v>
      </c>
    </row>
    <row r="467" spans="1:22">
      <c r="A467" t="str">
        <f t="shared" si="56"/>
        <v>MIC-7504-Z12xR</v>
      </c>
      <c r="B467" s="403" t="s">
        <v>1360</v>
      </c>
      <c r="C467" s="403" t="s">
        <v>582</v>
      </c>
      <c r="D467" s="403" t="s">
        <v>1361</v>
      </c>
      <c r="E467" s="403" t="s">
        <v>1360</v>
      </c>
      <c r="F467" s="403" t="s">
        <v>1325</v>
      </c>
      <c r="G467" s="403" t="s">
        <v>1466</v>
      </c>
      <c r="H467" s="403" t="s">
        <v>1276</v>
      </c>
      <c r="I467" s="403">
        <v>1</v>
      </c>
      <c r="J467" s="403" t="s">
        <v>110</v>
      </c>
      <c r="K467" s="403">
        <v>1920</v>
      </c>
      <c r="L467" s="403">
        <v>1080</v>
      </c>
      <c r="M467" s="403" t="s">
        <v>1285</v>
      </c>
      <c r="N467" s="403">
        <v>1280</v>
      </c>
      <c r="O467" s="403">
        <v>1024</v>
      </c>
      <c r="P467" t="str">
        <f t="shared" si="57"/>
        <v>25fps 1080p - 1280x1024 5:4 (cropped)</v>
      </c>
      <c r="Q467">
        <f t="shared" si="58"/>
        <v>3</v>
      </c>
      <c r="R467" t="str">
        <f t="shared" si="59"/>
        <v/>
      </c>
      <c r="S467" t="str">
        <f t="shared" si="60"/>
        <v/>
      </c>
      <c r="T467" s="403" t="str">
        <f t="shared" si="61"/>
        <v>MIC-7504-Z12xR</v>
      </c>
      <c r="U467" s="403">
        <f t="shared" si="62"/>
        <v>1</v>
      </c>
      <c r="V467" s="403" t="str">
        <f t="shared" si="63"/>
        <v>CPP_7_3</v>
      </c>
    </row>
    <row r="468" spans="1:22">
      <c r="A468" t="str">
        <f t="shared" si="56"/>
        <v>MIC-7504-Z12xR</v>
      </c>
      <c r="B468" s="403" t="s">
        <v>1360</v>
      </c>
      <c r="C468" s="403" t="s">
        <v>582</v>
      </c>
      <c r="D468" s="403" t="s">
        <v>1361</v>
      </c>
      <c r="E468" s="403" t="s">
        <v>1360</v>
      </c>
      <c r="F468" s="403" t="s">
        <v>1325</v>
      </c>
      <c r="G468" s="403" t="s">
        <v>1466</v>
      </c>
      <c r="H468" s="403" t="s">
        <v>1276</v>
      </c>
      <c r="I468" s="403">
        <v>1</v>
      </c>
      <c r="J468" s="403" t="s">
        <v>110</v>
      </c>
      <c r="K468" s="403">
        <v>1920</v>
      </c>
      <c r="L468" s="403">
        <v>1080</v>
      </c>
      <c r="M468" s="403" t="s">
        <v>1283</v>
      </c>
      <c r="N468" s="403">
        <v>720</v>
      </c>
      <c r="O468" s="403">
        <v>576</v>
      </c>
      <c r="P468" t="str">
        <f t="shared" si="57"/>
        <v>25fps 1080p - SD 4CIF resolution 4:3 format (cropped)</v>
      </c>
      <c r="Q468">
        <f t="shared" si="58"/>
        <v>3</v>
      </c>
      <c r="R468" t="str">
        <f t="shared" si="59"/>
        <v/>
      </c>
      <c r="S468" t="str">
        <f t="shared" si="60"/>
        <v/>
      </c>
      <c r="T468" s="403" t="str">
        <f t="shared" si="61"/>
        <v>MIC-7504-Z12xR</v>
      </c>
      <c r="U468" s="403">
        <f t="shared" si="62"/>
        <v>1</v>
      </c>
      <c r="V468" s="403" t="str">
        <f t="shared" si="63"/>
        <v>CPP_7_3</v>
      </c>
    </row>
    <row r="469" spans="1:22">
      <c r="A469" t="str">
        <f t="shared" si="56"/>
        <v>MIC-7504-Z12xR</v>
      </c>
      <c r="B469" s="403" t="s">
        <v>1360</v>
      </c>
      <c r="C469" s="403" t="s">
        <v>582</v>
      </c>
      <c r="D469" s="403" t="s">
        <v>1361</v>
      </c>
      <c r="E469" s="403" t="s">
        <v>1360</v>
      </c>
      <c r="F469" s="403" t="s">
        <v>1325</v>
      </c>
      <c r="G469" s="403" t="s">
        <v>1466</v>
      </c>
      <c r="H469" s="403" t="s">
        <v>1276</v>
      </c>
      <c r="I469" s="403">
        <v>1</v>
      </c>
      <c r="J469" s="403" t="s">
        <v>110</v>
      </c>
      <c r="K469" s="403">
        <v>1920</v>
      </c>
      <c r="L469" s="403">
        <v>1080</v>
      </c>
      <c r="M469" s="403" t="s">
        <v>1284</v>
      </c>
      <c r="N469" s="403">
        <v>640</v>
      </c>
      <c r="O469" s="403">
        <v>480</v>
      </c>
      <c r="P469" t="str">
        <f t="shared" si="57"/>
        <v>25fps 1080p - SD VGA (cropped)</v>
      </c>
      <c r="Q469">
        <f t="shared" si="58"/>
        <v>3</v>
      </c>
      <c r="R469" t="str">
        <f t="shared" si="59"/>
        <v/>
      </c>
      <c r="S469" t="str">
        <f t="shared" si="60"/>
        <v/>
      </c>
      <c r="T469" s="403" t="str">
        <f t="shared" si="61"/>
        <v>MIC-7504-Z12xR</v>
      </c>
      <c r="U469" s="403">
        <f t="shared" si="62"/>
        <v>1</v>
      </c>
      <c r="V469" s="403" t="str">
        <f t="shared" si="63"/>
        <v>CPP_7_3</v>
      </c>
    </row>
    <row r="470" spans="1:22">
      <c r="A470" t="str">
        <f t="shared" si="56"/>
        <v>MIC-7504-Z12xR</v>
      </c>
      <c r="B470" s="403" t="s">
        <v>1360</v>
      </c>
      <c r="C470" s="403" t="s">
        <v>582</v>
      </c>
      <c r="D470" s="403" t="s">
        <v>1361</v>
      </c>
      <c r="E470" s="403" t="s">
        <v>1360</v>
      </c>
      <c r="F470" s="403" t="s">
        <v>1325</v>
      </c>
      <c r="G470" s="403" t="s">
        <v>1466</v>
      </c>
      <c r="H470" s="403" t="s">
        <v>1276</v>
      </c>
      <c r="I470" s="403">
        <v>1</v>
      </c>
      <c r="J470" s="403" t="s">
        <v>109</v>
      </c>
      <c r="K470" s="403">
        <v>1280</v>
      </c>
      <c r="L470" s="403">
        <v>720</v>
      </c>
      <c r="M470" s="403" t="s">
        <v>109</v>
      </c>
      <c r="N470" s="403">
        <v>1280</v>
      </c>
      <c r="O470" s="403">
        <v>720</v>
      </c>
      <c r="P470" t="str">
        <f t="shared" si="57"/>
        <v>25fps 720p - 720p</v>
      </c>
      <c r="Q470">
        <f t="shared" si="58"/>
        <v>3</v>
      </c>
      <c r="R470" t="str">
        <f t="shared" si="59"/>
        <v/>
      </c>
      <c r="S470" t="str">
        <f t="shared" si="60"/>
        <v/>
      </c>
      <c r="T470" s="403" t="str">
        <f t="shared" si="61"/>
        <v>MIC-7504-Z12xR</v>
      </c>
      <c r="U470" s="403">
        <f t="shared" si="62"/>
        <v>1</v>
      </c>
      <c r="V470" s="403" t="str">
        <f t="shared" si="63"/>
        <v>CPP_7_3</v>
      </c>
    </row>
    <row r="471" spans="1:22">
      <c r="A471" t="str">
        <f t="shared" si="56"/>
        <v>MIC-7504-Z12xR</v>
      </c>
      <c r="B471" s="403" t="s">
        <v>1360</v>
      </c>
      <c r="C471" s="403" t="s">
        <v>582</v>
      </c>
      <c r="D471" s="403" t="s">
        <v>1361</v>
      </c>
      <c r="E471" s="403" t="s">
        <v>1360</v>
      </c>
      <c r="F471" s="403" t="s">
        <v>1325</v>
      </c>
      <c r="G471" s="403" t="s">
        <v>1466</v>
      </c>
      <c r="H471" s="403" t="s">
        <v>1276</v>
      </c>
      <c r="I471" s="403">
        <v>1</v>
      </c>
      <c r="J471" s="403" t="s">
        <v>109</v>
      </c>
      <c r="K471" s="403">
        <v>1280</v>
      </c>
      <c r="L471" s="403">
        <v>720</v>
      </c>
      <c r="M471" s="403" t="s">
        <v>111</v>
      </c>
      <c r="N471" s="403">
        <v>768</v>
      </c>
      <c r="O471" s="403">
        <v>432</v>
      </c>
      <c r="P471" t="str">
        <f t="shared" si="57"/>
        <v>25fps 720p - SD</v>
      </c>
      <c r="Q471">
        <f t="shared" si="58"/>
        <v>3</v>
      </c>
      <c r="R471" t="str">
        <f t="shared" si="59"/>
        <v/>
      </c>
      <c r="S471" t="str">
        <f t="shared" si="60"/>
        <v/>
      </c>
      <c r="T471" s="403" t="str">
        <f t="shared" si="61"/>
        <v>MIC-7504-Z12xR</v>
      </c>
      <c r="U471" s="403">
        <f t="shared" si="62"/>
        <v>1</v>
      </c>
      <c r="V471" s="403" t="str">
        <f t="shared" si="63"/>
        <v>CPP_7_3</v>
      </c>
    </row>
    <row r="472" spans="1:22">
      <c r="A472" t="str">
        <f t="shared" si="56"/>
        <v>MIC-7504-Z12xR</v>
      </c>
      <c r="B472" s="403" t="s">
        <v>1360</v>
      </c>
      <c r="C472" s="403" t="s">
        <v>582</v>
      </c>
      <c r="D472" s="403" t="s">
        <v>1361</v>
      </c>
      <c r="E472" s="403" t="s">
        <v>1360</v>
      </c>
      <c r="F472" s="403" t="s">
        <v>1325</v>
      </c>
      <c r="G472" s="403" t="s">
        <v>1466</v>
      </c>
      <c r="H472" s="403" t="s">
        <v>1276</v>
      </c>
      <c r="I472" s="403">
        <v>1</v>
      </c>
      <c r="J472" s="403" t="s">
        <v>109</v>
      </c>
      <c r="K472" s="403">
        <v>1280</v>
      </c>
      <c r="L472" s="403">
        <v>720</v>
      </c>
      <c r="M472" s="403" t="s">
        <v>1283</v>
      </c>
      <c r="N472" s="403">
        <v>720</v>
      </c>
      <c r="O472" s="403">
        <v>576</v>
      </c>
      <c r="P472" t="str">
        <f t="shared" si="57"/>
        <v>25fps 720p - SD 4CIF resolution 4:3 format (cropped)</v>
      </c>
      <c r="Q472">
        <f t="shared" si="58"/>
        <v>3</v>
      </c>
      <c r="R472" t="str">
        <f t="shared" si="59"/>
        <v/>
      </c>
      <c r="S472" t="str">
        <f t="shared" si="60"/>
        <v/>
      </c>
      <c r="T472" s="403" t="str">
        <f t="shared" si="61"/>
        <v>MIC-7504-Z12xR</v>
      </c>
      <c r="U472" s="403">
        <f t="shared" si="62"/>
        <v>1</v>
      </c>
      <c r="V472" s="403" t="str">
        <f t="shared" si="63"/>
        <v>CPP_7_3</v>
      </c>
    </row>
    <row r="473" spans="1:22">
      <c r="A473" t="str">
        <f t="shared" si="56"/>
        <v>MIC-7504-Z12xR</v>
      </c>
      <c r="B473" s="403" t="s">
        <v>1360</v>
      </c>
      <c r="C473" s="403" t="s">
        <v>582</v>
      </c>
      <c r="D473" s="403" t="s">
        <v>1361</v>
      </c>
      <c r="E473" s="403" t="s">
        <v>1360</v>
      </c>
      <c r="F473" s="403" t="s">
        <v>1325</v>
      </c>
      <c r="G473" s="403" t="s">
        <v>1466</v>
      </c>
      <c r="H473" s="403" t="s">
        <v>1276</v>
      </c>
      <c r="I473" s="403">
        <v>1</v>
      </c>
      <c r="J473" s="403" t="s">
        <v>109</v>
      </c>
      <c r="K473" s="403">
        <v>1280</v>
      </c>
      <c r="L473" s="403">
        <v>720</v>
      </c>
      <c r="M473" s="403" t="s">
        <v>1284</v>
      </c>
      <c r="N473" s="403">
        <v>640</v>
      </c>
      <c r="O473" s="403">
        <v>480</v>
      </c>
      <c r="P473" t="str">
        <f t="shared" si="57"/>
        <v>25fps 720p - SD VGA (cropped)</v>
      </c>
      <c r="Q473">
        <f t="shared" si="58"/>
        <v>3</v>
      </c>
      <c r="R473" t="str">
        <f t="shared" si="59"/>
        <v/>
      </c>
      <c r="S473" t="str">
        <f t="shared" si="60"/>
        <v/>
      </c>
      <c r="T473" s="403" t="str">
        <f t="shared" si="61"/>
        <v>MIC-7504-Z12xR</v>
      </c>
      <c r="U473" s="403">
        <f t="shared" si="62"/>
        <v>1</v>
      </c>
      <c r="V473" s="403" t="str">
        <f t="shared" si="63"/>
        <v>CPP_7_3</v>
      </c>
    </row>
    <row r="474" spans="1:22">
      <c r="A474" t="str">
        <f t="shared" si="56"/>
        <v>MIC-7504-Z12xR</v>
      </c>
      <c r="B474" s="403" t="s">
        <v>1360</v>
      </c>
      <c r="C474" s="403" t="s">
        <v>582</v>
      </c>
      <c r="D474" s="403" t="s">
        <v>1361</v>
      </c>
      <c r="E474" s="403" t="s">
        <v>1360</v>
      </c>
      <c r="F474" s="403" t="s">
        <v>1325</v>
      </c>
      <c r="G474" s="403" t="s">
        <v>1466</v>
      </c>
      <c r="H474" s="403" t="s">
        <v>1281</v>
      </c>
      <c r="I474" s="403">
        <v>1</v>
      </c>
      <c r="J474" s="403" t="s">
        <v>110</v>
      </c>
      <c r="K474" s="403">
        <v>1920</v>
      </c>
      <c r="L474" s="403">
        <v>1080</v>
      </c>
      <c r="M474" s="403" t="s">
        <v>111</v>
      </c>
      <c r="N474" s="403">
        <v>768</v>
      </c>
      <c r="O474" s="403">
        <v>432</v>
      </c>
      <c r="P474" t="str">
        <f t="shared" si="57"/>
        <v>25fps 1080p - SD</v>
      </c>
      <c r="Q474">
        <f t="shared" si="58"/>
        <v>3</v>
      </c>
      <c r="R474" t="str">
        <f t="shared" si="59"/>
        <v/>
      </c>
      <c r="S474" t="str">
        <f t="shared" si="60"/>
        <v/>
      </c>
      <c r="T474" s="403" t="str">
        <f t="shared" si="61"/>
        <v>MIC-7504-Z12xR</v>
      </c>
      <c r="U474" s="403">
        <f t="shared" si="62"/>
        <v>1</v>
      </c>
      <c r="V474" s="403" t="str">
        <f t="shared" si="63"/>
        <v>CPP_7_3</v>
      </c>
    </row>
    <row r="475" spans="1:22">
      <c r="A475" t="str">
        <f t="shared" si="56"/>
        <v>MIC-7504-Z12xR</v>
      </c>
      <c r="B475" s="403" t="s">
        <v>1360</v>
      </c>
      <c r="C475" s="403" t="s">
        <v>582</v>
      </c>
      <c r="D475" s="403" t="s">
        <v>1361</v>
      </c>
      <c r="E475" s="403" t="s">
        <v>1360</v>
      </c>
      <c r="F475" s="403" t="s">
        <v>1325</v>
      </c>
      <c r="G475" s="403" t="s">
        <v>1466</v>
      </c>
      <c r="H475" s="403" t="s">
        <v>1281</v>
      </c>
      <c r="I475" s="403">
        <v>1</v>
      </c>
      <c r="J475" s="403" t="s">
        <v>110</v>
      </c>
      <c r="K475" s="403">
        <v>1920</v>
      </c>
      <c r="L475" s="403">
        <v>1080</v>
      </c>
      <c r="M475" s="403" t="s">
        <v>110</v>
      </c>
      <c r="N475" s="403">
        <v>1920</v>
      </c>
      <c r="O475" s="403">
        <v>1080</v>
      </c>
      <c r="P475" t="str">
        <f t="shared" si="57"/>
        <v>25fps 1080p - 1080p</v>
      </c>
      <c r="Q475">
        <f t="shared" si="58"/>
        <v>3</v>
      </c>
      <c r="R475" t="str">
        <f t="shared" si="59"/>
        <v/>
      </c>
      <c r="S475" t="str">
        <f t="shared" si="60"/>
        <v/>
      </c>
      <c r="T475" s="403" t="str">
        <f t="shared" si="61"/>
        <v>MIC-7504-Z12xR</v>
      </c>
      <c r="U475" s="403">
        <f t="shared" si="62"/>
        <v>1</v>
      </c>
      <c r="V475" s="403" t="str">
        <f t="shared" si="63"/>
        <v>CPP_7_3</v>
      </c>
    </row>
    <row r="476" spans="1:22">
      <c r="A476" t="str">
        <f t="shared" si="56"/>
        <v>MIC-7504-Z12xR</v>
      </c>
      <c r="B476" s="403" t="s">
        <v>1360</v>
      </c>
      <c r="C476" s="403" t="s">
        <v>582</v>
      </c>
      <c r="D476" s="403" t="s">
        <v>1361</v>
      </c>
      <c r="E476" s="403" t="s">
        <v>1360</v>
      </c>
      <c r="F476" s="403" t="s">
        <v>1325</v>
      </c>
      <c r="G476" s="403" t="s">
        <v>1466</v>
      </c>
      <c r="H476" s="403" t="s">
        <v>1281</v>
      </c>
      <c r="I476" s="403">
        <v>1</v>
      </c>
      <c r="J476" s="403" t="s">
        <v>110</v>
      </c>
      <c r="K476" s="403">
        <v>1920</v>
      </c>
      <c r="L476" s="403">
        <v>1080</v>
      </c>
      <c r="M476" s="403" t="s">
        <v>109</v>
      </c>
      <c r="N476" s="403">
        <v>1280</v>
      </c>
      <c r="O476" s="403">
        <v>720</v>
      </c>
      <c r="P476" t="str">
        <f t="shared" si="57"/>
        <v>25fps 1080p - 720p</v>
      </c>
      <c r="Q476">
        <f t="shared" si="58"/>
        <v>3</v>
      </c>
      <c r="R476" t="str">
        <f t="shared" si="59"/>
        <v/>
      </c>
      <c r="S476" t="str">
        <f t="shared" si="60"/>
        <v/>
      </c>
      <c r="T476" s="403" t="str">
        <f t="shared" si="61"/>
        <v>MIC-7504-Z12xR</v>
      </c>
      <c r="U476" s="403">
        <f t="shared" si="62"/>
        <v>1</v>
      </c>
      <c r="V476" s="403" t="str">
        <f t="shared" si="63"/>
        <v>CPP_7_3</v>
      </c>
    </row>
    <row r="477" spans="1:22">
      <c r="A477" t="str">
        <f t="shared" si="56"/>
        <v>MIC-7504-Z12xR</v>
      </c>
      <c r="B477" s="403" t="s">
        <v>1360</v>
      </c>
      <c r="C477" s="403" t="s">
        <v>582</v>
      </c>
      <c r="D477" s="403" t="s">
        <v>1361</v>
      </c>
      <c r="E477" s="403" t="s">
        <v>1360</v>
      </c>
      <c r="F477" s="403" t="s">
        <v>1325</v>
      </c>
      <c r="G477" s="403" t="s">
        <v>1466</v>
      </c>
      <c r="H477" s="403" t="s">
        <v>1281</v>
      </c>
      <c r="I477" s="403">
        <v>1</v>
      </c>
      <c r="J477" s="403" t="s">
        <v>110</v>
      </c>
      <c r="K477" s="403">
        <v>1920</v>
      </c>
      <c r="L477" s="403">
        <v>1080</v>
      </c>
      <c r="M477" s="403" t="s">
        <v>1285</v>
      </c>
      <c r="N477" s="403">
        <v>1280</v>
      </c>
      <c r="O477" s="403">
        <v>1024</v>
      </c>
      <c r="P477" t="str">
        <f t="shared" si="57"/>
        <v>25fps 1080p - 1280x1024 5:4 (cropped)</v>
      </c>
      <c r="Q477">
        <f t="shared" si="58"/>
        <v>3</v>
      </c>
      <c r="R477" t="str">
        <f t="shared" si="59"/>
        <v/>
      </c>
      <c r="S477" t="str">
        <f t="shared" si="60"/>
        <v/>
      </c>
      <c r="T477" s="403" t="str">
        <f t="shared" si="61"/>
        <v>MIC-7504-Z12xR</v>
      </c>
      <c r="U477" s="403">
        <f t="shared" si="62"/>
        <v>1</v>
      </c>
      <c r="V477" s="403" t="str">
        <f t="shared" si="63"/>
        <v>CPP_7_3</v>
      </c>
    </row>
    <row r="478" spans="1:22">
      <c r="A478" t="str">
        <f t="shared" si="56"/>
        <v>MIC-7504-Z12xR</v>
      </c>
      <c r="B478" s="403" t="s">
        <v>1360</v>
      </c>
      <c r="C478" s="403" t="s">
        <v>582</v>
      </c>
      <c r="D478" s="403" t="s">
        <v>1361</v>
      </c>
      <c r="E478" s="403" t="s">
        <v>1360</v>
      </c>
      <c r="F478" s="403" t="s">
        <v>1325</v>
      </c>
      <c r="G478" s="403" t="s">
        <v>1466</v>
      </c>
      <c r="H478" s="403" t="s">
        <v>1281</v>
      </c>
      <c r="I478" s="403">
        <v>1</v>
      </c>
      <c r="J478" s="403" t="s">
        <v>110</v>
      </c>
      <c r="K478" s="403">
        <v>1920</v>
      </c>
      <c r="L478" s="403">
        <v>1080</v>
      </c>
      <c r="M478" s="403" t="s">
        <v>1283</v>
      </c>
      <c r="N478" s="403">
        <v>720</v>
      </c>
      <c r="O478" s="403">
        <v>576</v>
      </c>
      <c r="P478" t="str">
        <f t="shared" si="57"/>
        <v>25fps 1080p - SD 4CIF resolution 4:3 format (cropped)</v>
      </c>
      <c r="Q478">
        <f t="shared" si="58"/>
        <v>3</v>
      </c>
      <c r="R478" t="str">
        <f t="shared" si="59"/>
        <v/>
      </c>
      <c r="S478" t="str">
        <f t="shared" si="60"/>
        <v/>
      </c>
      <c r="T478" s="403" t="str">
        <f t="shared" si="61"/>
        <v>MIC-7504-Z12xR</v>
      </c>
      <c r="U478" s="403">
        <f t="shared" si="62"/>
        <v>1</v>
      </c>
      <c r="V478" s="403" t="str">
        <f t="shared" si="63"/>
        <v>CPP_7_3</v>
      </c>
    </row>
    <row r="479" spans="1:22">
      <c r="A479" t="str">
        <f t="shared" si="56"/>
        <v>MIC-7504-Z12xR</v>
      </c>
      <c r="B479" s="403" t="s">
        <v>1360</v>
      </c>
      <c r="C479" s="403" t="s">
        <v>582</v>
      </c>
      <c r="D479" s="403" t="s">
        <v>1361</v>
      </c>
      <c r="E479" s="403" t="s">
        <v>1360</v>
      </c>
      <c r="F479" s="403" t="s">
        <v>1325</v>
      </c>
      <c r="G479" s="403" t="s">
        <v>1466</v>
      </c>
      <c r="H479" s="403" t="s">
        <v>1281</v>
      </c>
      <c r="I479" s="403">
        <v>1</v>
      </c>
      <c r="J479" s="403" t="s">
        <v>110</v>
      </c>
      <c r="K479" s="403">
        <v>1920</v>
      </c>
      <c r="L479" s="403">
        <v>1080</v>
      </c>
      <c r="M479" s="403" t="s">
        <v>1284</v>
      </c>
      <c r="N479" s="403">
        <v>640</v>
      </c>
      <c r="O479" s="403">
        <v>480</v>
      </c>
      <c r="P479" t="str">
        <f t="shared" si="57"/>
        <v>25fps 1080p - SD VGA (cropped)</v>
      </c>
      <c r="Q479">
        <f t="shared" si="58"/>
        <v>3</v>
      </c>
      <c r="R479" t="str">
        <f t="shared" si="59"/>
        <v/>
      </c>
      <c r="S479" t="str">
        <f t="shared" si="60"/>
        <v/>
      </c>
      <c r="T479" s="403" t="str">
        <f t="shared" si="61"/>
        <v>MIC-7504-Z12xR</v>
      </c>
      <c r="U479" s="403">
        <f t="shared" si="62"/>
        <v>1</v>
      </c>
      <c r="V479" s="403" t="str">
        <f t="shared" si="63"/>
        <v>CPP_7_3</v>
      </c>
    </row>
    <row r="480" spans="1:22">
      <c r="A480" t="str">
        <f t="shared" si="56"/>
        <v>MIC-7504-Z12xR</v>
      </c>
      <c r="B480" s="403" t="s">
        <v>1360</v>
      </c>
      <c r="C480" s="403" t="s">
        <v>582</v>
      </c>
      <c r="D480" s="403" t="s">
        <v>1361</v>
      </c>
      <c r="E480" s="403" t="s">
        <v>1360</v>
      </c>
      <c r="F480" s="403" t="s">
        <v>1325</v>
      </c>
      <c r="G480" s="403" t="s">
        <v>1466</v>
      </c>
      <c r="H480" s="403" t="s">
        <v>1281</v>
      </c>
      <c r="I480" s="403">
        <v>1</v>
      </c>
      <c r="J480" s="403" t="s">
        <v>109</v>
      </c>
      <c r="K480" s="403">
        <v>1280</v>
      </c>
      <c r="L480" s="403">
        <v>720</v>
      </c>
      <c r="M480" s="403" t="s">
        <v>109</v>
      </c>
      <c r="N480" s="403">
        <v>1280</v>
      </c>
      <c r="O480" s="403">
        <v>720</v>
      </c>
      <c r="P480" t="str">
        <f t="shared" si="57"/>
        <v>25fps 720p - 720p</v>
      </c>
      <c r="Q480">
        <f t="shared" si="58"/>
        <v>3</v>
      </c>
      <c r="R480" t="str">
        <f t="shared" si="59"/>
        <v/>
      </c>
      <c r="S480" t="str">
        <f t="shared" si="60"/>
        <v/>
      </c>
      <c r="T480" s="403" t="str">
        <f t="shared" si="61"/>
        <v>MIC-7504-Z12xR</v>
      </c>
      <c r="U480" s="403">
        <f t="shared" si="62"/>
        <v>1</v>
      </c>
      <c r="V480" s="403" t="str">
        <f t="shared" si="63"/>
        <v>CPP_7_3</v>
      </c>
    </row>
    <row r="481" spans="1:22">
      <c r="A481" t="str">
        <f t="shared" si="56"/>
        <v>MIC-7504-Z12xR</v>
      </c>
      <c r="B481" s="403" t="s">
        <v>1360</v>
      </c>
      <c r="C481" s="403" t="s">
        <v>582</v>
      </c>
      <c r="D481" s="403" t="s">
        <v>1361</v>
      </c>
      <c r="E481" s="403" t="s">
        <v>1360</v>
      </c>
      <c r="F481" s="403" t="s">
        <v>1325</v>
      </c>
      <c r="G481" s="403" t="s">
        <v>1466</v>
      </c>
      <c r="H481" s="403" t="s">
        <v>1281</v>
      </c>
      <c r="I481" s="403">
        <v>1</v>
      </c>
      <c r="J481" s="403" t="s">
        <v>109</v>
      </c>
      <c r="K481" s="403">
        <v>1280</v>
      </c>
      <c r="L481" s="403">
        <v>720</v>
      </c>
      <c r="M481" s="403" t="s">
        <v>111</v>
      </c>
      <c r="N481" s="403">
        <v>768</v>
      </c>
      <c r="O481" s="403">
        <v>432</v>
      </c>
      <c r="P481" t="str">
        <f t="shared" si="57"/>
        <v>25fps 720p - SD</v>
      </c>
      <c r="Q481">
        <f t="shared" si="58"/>
        <v>3</v>
      </c>
      <c r="R481" t="str">
        <f t="shared" si="59"/>
        <v/>
      </c>
      <c r="S481" t="str">
        <f t="shared" si="60"/>
        <v/>
      </c>
      <c r="T481" s="403" t="str">
        <f t="shared" si="61"/>
        <v>MIC-7504-Z12xR</v>
      </c>
      <c r="U481" s="403">
        <f t="shared" si="62"/>
        <v>1</v>
      </c>
      <c r="V481" s="403" t="str">
        <f t="shared" si="63"/>
        <v>CPP_7_3</v>
      </c>
    </row>
    <row r="482" spans="1:22">
      <c r="A482" t="str">
        <f t="shared" si="56"/>
        <v>MIC-7504-Z12xR</v>
      </c>
      <c r="B482" s="403" t="s">
        <v>1360</v>
      </c>
      <c r="C482" s="403" t="s">
        <v>582</v>
      </c>
      <c r="D482" s="403" t="s">
        <v>1361</v>
      </c>
      <c r="E482" s="403" t="s">
        <v>1360</v>
      </c>
      <c r="F482" s="403" t="s">
        <v>1325</v>
      </c>
      <c r="G482" s="403" t="s">
        <v>1466</v>
      </c>
      <c r="H482" s="403" t="s">
        <v>1281</v>
      </c>
      <c r="I482" s="403">
        <v>1</v>
      </c>
      <c r="J482" s="403" t="s">
        <v>109</v>
      </c>
      <c r="K482" s="403">
        <v>1280</v>
      </c>
      <c r="L482" s="403">
        <v>720</v>
      </c>
      <c r="M482" s="403" t="s">
        <v>1283</v>
      </c>
      <c r="N482" s="403">
        <v>720</v>
      </c>
      <c r="O482" s="403">
        <v>576</v>
      </c>
      <c r="P482" t="str">
        <f t="shared" si="57"/>
        <v>25fps 720p - SD 4CIF resolution 4:3 format (cropped)</v>
      </c>
      <c r="Q482">
        <f t="shared" si="58"/>
        <v>3</v>
      </c>
      <c r="R482" t="str">
        <f t="shared" si="59"/>
        <v/>
      </c>
      <c r="S482" t="str">
        <f t="shared" si="60"/>
        <v/>
      </c>
      <c r="T482" s="403" t="str">
        <f t="shared" si="61"/>
        <v>MIC-7504-Z12xR</v>
      </c>
      <c r="U482" s="403">
        <f t="shared" si="62"/>
        <v>1</v>
      </c>
      <c r="V482" s="403" t="str">
        <f t="shared" si="63"/>
        <v>CPP_7_3</v>
      </c>
    </row>
    <row r="483" spans="1:22">
      <c r="A483" t="str">
        <f t="shared" si="56"/>
        <v>MIC-7504-Z12xR</v>
      </c>
      <c r="B483" s="403" t="s">
        <v>1360</v>
      </c>
      <c r="C483" s="403" t="s">
        <v>582</v>
      </c>
      <c r="D483" s="403" t="s">
        <v>1361</v>
      </c>
      <c r="E483" s="403" t="s">
        <v>1360</v>
      </c>
      <c r="F483" s="403" t="s">
        <v>1325</v>
      </c>
      <c r="G483" s="403" t="s">
        <v>1466</v>
      </c>
      <c r="H483" s="403" t="s">
        <v>1281</v>
      </c>
      <c r="I483" s="403">
        <v>1</v>
      </c>
      <c r="J483" s="403" t="s">
        <v>109</v>
      </c>
      <c r="K483" s="403">
        <v>1280</v>
      </c>
      <c r="L483" s="403">
        <v>720</v>
      </c>
      <c r="M483" s="403" t="s">
        <v>1284</v>
      </c>
      <c r="N483" s="403">
        <v>640</v>
      </c>
      <c r="O483" s="403">
        <v>480</v>
      </c>
      <c r="P483" t="str">
        <f t="shared" si="57"/>
        <v>25fps 720p - SD VGA (cropped)</v>
      </c>
      <c r="Q483">
        <f t="shared" si="58"/>
        <v>3</v>
      </c>
      <c r="R483" t="str">
        <f t="shared" si="59"/>
        <v/>
      </c>
      <c r="S483" t="str">
        <f t="shared" si="60"/>
        <v/>
      </c>
      <c r="T483" s="403" t="str">
        <f t="shared" si="61"/>
        <v>MIC-7504-Z12xR</v>
      </c>
      <c r="U483" s="403">
        <f t="shared" si="62"/>
        <v>1</v>
      </c>
      <c r="V483" s="403" t="str">
        <f t="shared" si="63"/>
        <v>CPP_7_3</v>
      </c>
    </row>
    <row r="484" spans="1:22">
      <c r="A484" t="str">
        <f t="shared" si="56"/>
        <v>MIC-7504-Z12xR</v>
      </c>
      <c r="B484" s="403" t="s">
        <v>1360</v>
      </c>
      <c r="C484" s="403" t="s">
        <v>582</v>
      </c>
      <c r="D484" s="403" t="s">
        <v>1361</v>
      </c>
      <c r="E484" s="403" t="s">
        <v>1360</v>
      </c>
      <c r="F484" s="403" t="s">
        <v>1325</v>
      </c>
      <c r="G484" s="403" t="s">
        <v>1466</v>
      </c>
      <c r="H484" s="403" t="s">
        <v>1282</v>
      </c>
      <c r="I484" s="403">
        <v>1</v>
      </c>
      <c r="J484" s="403" t="s">
        <v>194</v>
      </c>
      <c r="K484" s="403">
        <v>3840</v>
      </c>
      <c r="L484" s="403">
        <v>2160</v>
      </c>
      <c r="M484" s="403" t="s">
        <v>111</v>
      </c>
      <c r="N484" s="403">
        <v>768</v>
      </c>
      <c r="O484" s="403">
        <v>432</v>
      </c>
      <c r="P484" t="str">
        <f t="shared" si="57"/>
        <v>25fps 3840x2160 - SD</v>
      </c>
      <c r="Q484">
        <f t="shared" si="58"/>
        <v>3</v>
      </c>
      <c r="R484" t="str">
        <f t="shared" si="59"/>
        <v/>
      </c>
      <c r="S484" t="str">
        <f t="shared" si="60"/>
        <v/>
      </c>
      <c r="T484" s="403" t="str">
        <f t="shared" si="61"/>
        <v>MIC-7504-Z12xR</v>
      </c>
      <c r="U484" s="403">
        <f t="shared" si="62"/>
        <v>1</v>
      </c>
      <c r="V484" s="403" t="str">
        <f t="shared" si="63"/>
        <v>CPP_7_3</v>
      </c>
    </row>
    <row r="485" spans="1:22">
      <c r="A485" t="str">
        <f t="shared" si="56"/>
        <v>MIC-7504-Z12xR</v>
      </c>
      <c r="B485" s="403" t="s">
        <v>1360</v>
      </c>
      <c r="C485" s="403" t="s">
        <v>582</v>
      </c>
      <c r="D485" s="403" t="s">
        <v>1361</v>
      </c>
      <c r="E485" s="403" t="s">
        <v>1360</v>
      </c>
      <c r="F485" s="403" t="s">
        <v>1325</v>
      </c>
      <c r="G485" s="403" t="s">
        <v>1466</v>
      </c>
      <c r="H485" s="403" t="s">
        <v>1282</v>
      </c>
      <c r="I485" s="403">
        <v>1</v>
      </c>
      <c r="J485" s="403" t="s">
        <v>194</v>
      </c>
      <c r="K485" s="403">
        <v>3840</v>
      </c>
      <c r="L485" s="403">
        <v>2160</v>
      </c>
      <c r="M485" s="403" t="s">
        <v>1280</v>
      </c>
      <c r="N485" s="403">
        <v>3840</v>
      </c>
      <c r="O485" s="403">
        <v>2160</v>
      </c>
      <c r="P485" t="str">
        <f t="shared" si="57"/>
        <v>25fps 3840x2160 - copy other stream</v>
      </c>
      <c r="Q485">
        <f t="shared" si="58"/>
        <v>3</v>
      </c>
      <c r="R485" t="str">
        <f t="shared" si="59"/>
        <v/>
      </c>
      <c r="S485" t="str">
        <f t="shared" si="60"/>
        <v/>
      </c>
      <c r="T485" s="403" t="str">
        <f t="shared" si="61"/>
        <v>MIC-7504-Z12xR</v>
      </c>
      <c r="U485" s="403">
        <f t="shared" si="62"/>
        <v>1</v>
      </c>
      <c r="V485" s="403" t="str">
        <f t="shared" si="63"/>
        <v>CPP_7_3</v>
      </c>
    </row>
    <row r="486" spans="1:22">
      <c r="A486" t="str">
        <f t="shared" si="56"/>
        <v>MIC-7504-Z12xR</v>
      </c>
      <c r="B486" s="403" t="s">
        <v>1360</v>
      </c>
      <c r="C486" s="403" t="s">
        <v>582</v>
      </c>
      <c r="D486" s="403" t="s">
        <v>1361</v>
      </c>
      <c r="E486" s="403" t="s">
        <v>1360</v>
      </c>
      <c r="F486" s="403" t="s">
        <v>1325</v>
      </c>
      <c r="G486" s="403" t="s">
        <v>1466</v>
      </c>
      <c r="H486" s="403" t="s">
        <v>1282</v>
      </c>
      <c r="I486" s="403">
        <v>1</v>
      </c>
      <c r="J486" s="403" t="s">
        <v>194</v>
      </c>
      <c r="K486" s="403">
        <v>3840</v>
      </c>
      <c r="L486" s="403">
        <v>2160</v>
      </c>
      <c r="M486" s="403" t="s">
        <v>1283</v>
      </c>
      <c r="N486" s="403">
        <v>720</v>
      </c>
      <c r="O486" s="403">
        <v>576</v>
      </c>
      <c r="P486" t="str">
        <f t="shared" si="57"/>
        <v>25fps 3840x2160 - SD 4CIF resolution 4:3 format (cropped)</v>
      </c>
      <c r="Q486">
        <f t="shared" si="58"/>
        <v>3</v>
      </c>
      <c r="R486" t="str">
        <f t="shared" si="59"/>
        <v/>
      </c>
      <c r="S486" t="str">
        <f t="shared" si="60"/>
        <v/>
      </c>
      <c r="T486" s="403" t="str">
        <f t="shared" si="61"/>
        <v>MIC-7504-Z12xR</v>
      </c>
      <c r="U486" s="403">
        <f t="shared" si="62"/>
        <v>1</v>
      </c>
      <c r="V486" s="403" t="str">
        <f t="shared" si="63"/>
        <v>CPP_7_3</v>
      </c>
    </row>
    <row r="487" spans="1:22">
      <c r="A487" t="str">
        <f t="shared" si="56"/>
        <v>MIC-7504-Z12xR</v>
      </c>
      <c r="B487" s="403" t="s">
        <v>1360</v>
      </c>
      <c r="C487" s="403" t="s">
        <v>582</v>
      </c>
      <c r="D487" s="403" t="s">
        <v>1361</v>
      </c>
      <c r="E487" s="403" t="s">
        <v>1360</v>
      </c>
      <c r="F487" s="403" t="s">
        <v>1325</v>
      </c>
      <c r="G487" s="403" t="s">
        <v>1466</v>
      </c>
      <c r="H487" s="403" t="s">
        <v>1282</v>
      </c>
      <c r="I487" s="403">
        <v>1</v>
      </c>
      <c r="J487" s="403" t="s">
        <v>194</v>
      </c>
      <c r="K487" s="403">
        <v>3840</v>
      </c>
      <c r="L487" s="403">
        <v>2160</v>
      </c>
      <c r="M487" s="403" t="s">
        <v>1284</v>
      </c>
      <c r="N487" s="403">
        <v>640</v>
      </c>
      <c r="O487" s="403">
        <v>480</v>
      </c>
      <c r="P487" t="str">
        <f t="shared" si="57"/>
        <v>25fps 3840x2160 - SD VGA (cropped)</v>
      </c>
      <c r="Q487">
        <f t="shared" si="58"/>
        <v>3</v>
      </c>
      <c r="R487" t="str">
        <f t="shared" si="59"/>
        <v/>
      </c>
      <c r="S487" t="str">
        <f t="shared" si="60"/>
        <v/>
      </c>
      <c r="T487" s="403" t="str">
        <f t="shared" si="61"/>
        <v>MIC-7504-Z12xR</v>
      </c>
      <c r="U487" s="403">
        <f t="shared" si="62"/>
        <v>1</v>
      </c>
      <c r="V487" s="403" t="str">
        <f t="shared" si="63"/>
        <v>CPP_7_3</v>
      </c>
    </row>
    <row r="488" spans="1:22">
      <c r="A488" t="str">
        <f t="shared" si="56"/>
        <v>MIC-7504-Z12xR</v>
      </c>
      <c r="B488" s="403" t="s">
        <v>1360</v>
      </c>
      <c r="C488" s="403" t="s">
        <v>582</v>
      </c>
      <c r="D488" s="403" t="s">
        <v>1361</v>
      </c>
      <c r="E488" s="403" t="s">
        <v>1360</v>
      </c>
      <c r="F488" s="403" t="s">
        <v>1325</v>
      </c>
      <c r="G488" s="403" t="s">
        <v>1466</v>
      </c>
      <c r="H488" s="403" t="s">
        <v>1282</v>
      </c>
      <c r="I488" s="403">
        <v>1</v>
      </c>
      <c r="J488" s="403" t="s">
        <v>1324</v>
      </c>
      <c r="K488" s="403">
        <v>3584</v>
      </c>
      <c r="L488" s="403">
        <v>2016</v>
      </c>
      <c r="M488" s="403" t="s">
        <v>111</v>
      </c>
      <c r="N488" s="403">
        <v>768</v>
      </c>
      <c r="O488" s="403">
        <v>432</v>
      </c>
      <c r="P488" t="str">
        <f t="shared" si="57"/>
        <v>25fps 3584x2016 - SD</v>
      </c>
      <c r="Q488">
        <f t="shared" si="58"/>
        <v>3</v>
      </c>
      <c r="R488" t="str">
        <f t="shared" si="59"/>
        <v/>
      </c>
      <c r="S488" t="str">
        <f t="shared" si="60"/>
        <v/>
      </c>
      <c r="T488" s="403" t="str">
        <f t="shared" si="61"/>
        <v>MIC-7504-Z12xR</v>
      </c>
      <c r="U488" s="403">
        <f t="shared" si="62"/>
        <v>1</v>
      </c>
      <c r="V488" s="403" t="str">
        <f t="shared" si="63"/>
        <v>CPP_7_3</v>
      </c>
    </row>
    <row r="489" spans="1:22">
      <c r="A489" t="str">
        <f t="shared" si="56"/>
        <v>MIC-7504-Z12xR</v>
      </c>
      <c r="B489" s="403" t="s">
        <v>1360</v>
      </c>
      <c r="C489" s="403" t="s">
        <v>582</v>
      </c>
      <c r="D489" s="403" t="s">
        <v>1361</v>
      </c>
      <c r="E489" s="403" t="s">
        <v>1360</v>
      </c>
      <c r="F489" s="403" t="s">
        <v>1325</v>
      </c>
      <c r="G489" s="403" t="s">
        <v>1466</v>
      </c>
      <c r="H489" s="403" t="s">
        <v>1282</v>
      </c>
      <c r="I489" s="403">
        <v>1</v>
      </c>
      <c r="J489" s="403" t="s">
        <v>1324</v>
      </c>
      <c r="K489" s="403">
        <v>3584</v>
      </c>
      <c r="L489" s="403">
        <v>2016</v>
      </c>
      <c r="M489" s="403" t="s">
        <v>1280</v>
      </c>
      <c r="N489" s="403">
        <v>3584</v>
      </c>
      <c r="O489" s="403">
        <v>2016</v>
      </c>
      <c r="P489" t="str">
        <f t="shared" si="57"/>
        <v>25fps 3584x2016 - copy other stream</v>
      </c>
      <c r="Q489">
        <f t="shared" si="58"/>
        <v>3</v>
      </c>
      <c r="R489" t="str">
        <f t="shared" si="59"/>
        <v/>
      </c>
      <c r="S489" t="str">
        <f t="shared" si="60"/>
        <v/>
      </c>
      <c r="T489" s="403" t="str">
        <f t="shared" si="61"/>
        <v>MIC-7504-Z12xR</v>
      </c>
      <c r="U489" s="403">
        <f t="shared" si="62"/>
        <v>1</v>
      </c>
      <c r="V489" s="403" t="str">
        <f t="shared" si="63"/>
        <v>CPP_7_3</v>
      </c>
    </row>
    <row r="490" spans="1:22">
      <c r="A490" t="str">
        <f t="shared" si="56"/>
        <v>MIC-7504-Z12xR</v>
      </c>
      <c r="B490" s="403" t="s">
        <v>1360</v>
      </c>
      <c r="C490" s="403" t="s">
        <v>582</v>
      </c>
      <c r="D490" s="403" t="s">
        <v>1361</v>
      </c>
      <c r="E490" s="403" t="s">
        <v>1360</v>
      </c>
      <c r="F490" s="403" t="s">
        <v>1325</v>
      </c>
      <c r="G490" s="403" t="s">
        <v>1466</v>
      </c>
      <c r="H490" s="403" t="s">
        <v>1282</v>
      </c>
      <c r="I490" s="403">
        <v>1</v>
      </c>
      <c r="J490" s="403" t="s">
        <v>1324</v>
      </c>
      <c r="K490" s="403">
        <v>3584</v>
      </c>
      <c r="L490" s="403">
        <v>2016</v>
      </c>
      <c r="M490" s="403" t="s">
        <v>1364</v>
      </c>
      <c r="N490" s="403">
        <v>3584</v>
      </c>
      <c r="O490" s="403">
        <v>2016</v>
      </c>
      <c r="P490" t="str">
        <f t="shared" si="57"/>
        <v>25fps 3584x2016 - 3584x2016 @ SKIP6</v>
      </c>
      <c r="Q490">
        <f t="shared" si="58"/>
        <v>3</v>
      </c>
      <c r="R490" t="str">
        <f t="shared" si="59"/>
        <v/>
      </c>
      <c r="S490" t="str">
        <f t="shared" si="60"/>
        <v/>
      </c>
      <c r="T490" s="403" t="str">
        <f t="shared" si="61"/>
        <v>MIC-7504-Z12xR</v>
      </c>
      <c r="U490" s="403">
        <f t="shared" si="62"/>
        <v>1</v>
      </c>
      <c r="V490" s="403" t="str">
        <f t="shared" si="63"/>
        <v>CPP_7_3</v>
      </c>
    </row>
    <row r="491" spans="1:22">
      <c r="A491" t="str">
        <f t="shared" si="56"/>
        <v>MIC-7504-Z12xR</v>
      </c>
      <c r="B491" s="403" t="s">
        <v>1360</v>
      </c>
      <c r="C491" s="403" t="s">
        <v>582</v>
      </c>
      <c r="D491" s="403" t="s">
        <v>1361</v>
      </c>
      <c r="E491" s="403" t="s">
        <v>1360</v>
      </c>
      <c r="F491" s="403" t="s">
        <v>1325</v>
      </c>
      <c r="G491" s="403" t="s">
        <v>1466</v>
      </c>
      <c r="H491" s="403" t="s">
        <v>1282</v>
      </c>
      <c r="I491" s="403">
        <v>1</v>
      </c>
      <c r="J491" s="403" t="s">
        <v>1324</v>
      </c>
      <c r="K491" s="403">
        <v>3584</v>
      </c>
      <c r="L491" s="403">
        <v>2016</v>
      </c>
      <c r="M491" s="403" t="s">
        <v>109</v>
      </c>
      <c r="N491" s="403">
        <v>1280</v>
      </c>
      <c r="O491" s="403">
        <v>720</v>
      </c>
      <c r="P491" t="str">
        <f t="shared" si="57"/>
        <v>25fps 3584x2016 - 720p</v>
      </c>
      <c r="Q491">
        <f t="shared" si="58"/>
        <v>3</v>
      </c>
      <c r="R491" t="str">
        <f t="shared" si="59"/>
        <v/>
      </c>
      <c r="S491" t="str">
        <f t="shared" si="60"/>
        <v/>
      </c>
      <c r="T491" s="403" t="str">
        <f t="shared" si="61"/>
        <v>MIC-7504-Z12xR</v>
      </c>
      <c r="U491" s="403">
        <f t="shared" si="62"/>
        <v>1</v>
      </c>
      <c r="V491" s="403" t="str">
        <f t="shared" si="63"/>
        <v>CPP_7_3</v>
      </c>
    </row>
    <row r="492" spans="1:22">
      <c r="A492" t="str">
        <f t="shared" si="56"/>
        <v>MIC-7504-Z12xR</v>
      </c>
      <c r="B492" s="403" t="s">
        <v>1360</v>
      </c>
      <c r="C492" s="403" t="s">
        <v>582</v>
      </c>
      <c r="D492" s="403" t="s">
        <v>1361</v>
      </c>
      <c r="E492" s="403" t="s">
        <v>1360</v>
      </c>
      <c r="F492" s="403" t="s">
        <v>1325</v>
      </c>
      <c r="G492" s="403" t="s">
        <v>1466</v>
      </c>
      <c r="H492" s="403" t="s">
        <v>1282</v>
      </c>
      <c r="I492" s="403">
        <v>1</v>
      </c>
      <c r="J492" s="403" t="s">
        <v>1324</v>
      </c>
      <c r="K492" s="403">
        <v>3584</v>
      </c>
      <c r="L492" s="403">
        <v>2016</v>
      </c>
      <c r="M492" s="403" t="s">
        <v>1283</v>
      </c>
      <c r="N492" s="403">
        <v>720</v>
      </c>
      <c r="O492" s="403">
        <v>576</v>
      </c>
      <c r="P492" t="str">
        <f t="shared" si="57"/>
        <v>25fps 3584x2016 - SD 4CIF resolution 4:3 format (cropped)</v>
      </c>
      <c r="Q492">
        <f t="shared" si="58"/>
        <v>3</v>
      </c>
      <c r="R492" t="str">
        <f t="shared" si="59"/>
        <v/>
      </c>
      <c r="S492" t="str">
        <f t="shared" si="60"/>
        <v/>
      </c>
      <c r="T492" s="403" t="str">
        <f t="shared" si="61"/>
        <v>MIC-7504-Z12xR</v>
      </c>
      <c r="U492" s="403">
        <f t="shared" si="62"/>
        <v>1</v>
      </c>
      <c r="V492" s="403" t="str">
        <f t="shared" si="63"/>
        <v>CPP_7_3</v>
      </c>
    </row>
    <row r="493" spans="1:22">
      <c r="A493" t="str">
        <f t="shared" si="56"/>
        <v>MIC-7504-Z12xR</v>
      </c>
      <c r="B493" s="403" t="s">
        <v>1360</v>
      </c>
      <c r="C493" s="403" t="s">
        <v>582</v>
      </c>
      <c r="D493" s="403" t="s">
        <v>1361</v>
      </c>
      <c r="E493" s="403" t="s">
        <v>1360</v>
      </c>
      <c r="F493" s="403" t="s">
        <v>1325</v>
      </c>
      <c r="G493" s="403" t="s">
        <v>1466</v>
      </c>
      <c r="H493" s="403" t="s">
        <v>1282</v>
      </c>
      <c r="I493" s="403">
        <v>1</v>
      </c>
      <c r="J493" s="403" t="s">
        <v>1324</v>
      </c>
      <c r="K493" s="403">
        <v>3584</v>
      </c>
      <c r="L493" s="403">
        <v>2016</v>
      </c>
      <c r="M493" s="403" t="s">
        <v>1284</v>
      </c>
      <c r="N493" s="403">
        <v>640</v>
      </c>
      <c r="O493" s="403">
        <v>480</v>
      </c>
      <c r="P493" t="str">
        <f t="shared" si="57"/>
        <v>25fps 3584x2016 - SD VGA (cropped)</v>
      </c>
      <c r="Q493">
        <f t="shared" si="58"/>
        <v>3</v>
      </c>
      <c r="R493" t="str">
        <f t="shared" si="59"/>
        <v/>
      </c>
      <c r="S493" t="str">
        <f t="shared" si="60"/>
        <v/>
      </c>
      <c r="T493" s="403" t="str">
        <f t="shared" si="61"/>
        <v>MIC-7504-Z12xR</v>
      </c>
      <c r="U493" s="403">
        <f t="shared" si="62"/>
        <v>1</v>
      </c>
      <c r="V493" s="403" t="str">
        <f t="shared" si="63"/>
        <v>CPP_7_3</v>
      </c>
    </row>
    <row r="494" spans="1:22">
      <c r="A494" t="str">
        <f t="shared" si="56"/>
        <v>MIC-7504-Z12xR</v>
      </c>
      <c r="B494" s="403" t="s">
        <v>1360</v>
      </c>
      <c r="C494" s="403" t="s">
        <v>582</v>
      </c>
      <c r="D494" s="403" t="s">
        <v>1361</v>
      </c>
      <c r="E494" s="403" t="s">
        <v>1360</v>
      </c>
      <c r="F494" s="403" t="s">
        <v>1325</v>
      </c>
      <c r="G494" s="403" t="s">
        <v>1466</v>
      </c>
      <c r="H494" s="403" t="s">
        <v>1282</v>
      </c>
      <c r="I494" s="403">
        <v>1</v>
      </c>
      <c r="J494" s="403" t="s">
        <v>1324</v>
      </c>
      <c r="K494" s="403">
        <v>3584</v>
      </c>
      <c r="L494" s="403">
        <v>2016</v>
      </c>
      <c r="M494" s="403" t="s">
        <v>1285</v>
      </c>
      <c r="N494" s="403">
        <v>1280</v>
      </c>
      <c r="O494" s="403">
        <v>1024</v>
      </c>
      <c r="P494" t="str">
        <f t="shared" si="57"/>
        <v>25fps 3584x2016 - 1280x1024 5:4 (cropped)</v>
      </c>
      <c r="Q494">
        <f t="shared" si="58"/>
        <v>3</v>
      </c>
      <c r="R494" t="str">
        <f t="shared" si="59"/>
        <v/>
      </c>
      <c r="S494" t="str">
        <f t="shared" si="60"/>
        <v/>
      </c>
      <c r="T494" s="403" t="str">
        <f t="shared" si="61"/>
        <v>MIC-7504-Z12xR</v>
      </c>
      <c r="U494" s="403">
        <f t="shared" si="62"/>
        <v>1</v>
      </c>
      <c r="V494" s="403" t="str">
        <f t="shared" si="63"/>
        <v>CPP_7_3</v>
      </c>
    </row>
    <row r="495" spans="1:22">
      <c r="A495" t="str">
        <f t="shared" si="56"/>
        <v>MIC-7504-Z12xR</v>
      </c>
      <c r="B495" s="403" t="s">
        <v>1360</v>
      </c>
      <c r="C495" s="403" t="s">
        <v>582</v>
      </c>
      <c r="D495" s="403" t="s">
        <v>1361</v>
      </c>
      <c r="E495" s="403" t="s">
        <v>1360</v>
      </c>
      <c r="F495" s="403" t="s">
        <v>1325</v>
      </c>
      <c r="G495" s="403" t="s">
        <v>1466</v>
      </c>
      <c r="H495" s="403" t="s">
        <v>1282</v>
      </c>
      <c r="I495" s="403">
        <v>1</v>
      </c>
      <c r="J495" s="403" t="s">
        <v>110</v>
      </c>
      <c r="K495" s="403">
        <v>1920</v>
      </c>
      <c r="L495" s="403">
        <v>1080</v>
      </c>
      <c r="M495" s="403" t="s">
        <v>111</v>
      </c>
      <c r="N495" s="403">
        <v>768</v>
      </c>
      <c r="O495" s="403">
        <v>432</v>
      </c>
      <c r="P495" t="str">
        <f t="shared" si="57"/>
        <v>25fps 1080p - SD</v>
      </c>
      <c r="Q495">
        <f t="shared" si="58"/>
        <v>3</v>
      </c>
      <c r="R495" t="str">
        <f t="shared" si="59"/>
        <v/>
      </c>
      <c r="S495" t="str">
        <f t="shared" si="60"/>
        <v/>
      </c>
      <c r="T495" s="403" t="str">
        <f t="shared" si="61"/>
        <v>MIC-7504-Z12xR</v>
      </c>
      <c r="U495" s="403">
        <f t="shared" si="62"/>
        <v>1</v>
      </c>
      <c r="V495" s="403" t="str">
        <f t="shared" si="63"/>
        <v>CPP_7_3</v>
      </c>
    </row>
    <row r="496" spans="1:22">
      <c r="A496" t="str">
        <f t="shared" si="56"/>
        <v>MIC-7504-Z12xR</v>
      </c>
      <c r="B496" s="403" t="s">
        <v>1360</v>
      </c>
      <c r="C496" s="403" t="s">
        <v>582</v>
      </c>
      <c r="D496" s="403" t="s">
        <v>1361</v>
      </c>
      <c r="E496" s="403" t="s">
        <v>1360</v>
      </c>
      <c r="F496" s="403" t="s">
        <v>1325</v>
      </c>
      <c r="G496" s="403" t="s">
        <v>1466</v>
      </c>
      <c r="H496" s="403" t="s">
        <v>1282</v>
      </c>
      <c r="I496" s="403">
        <v>1</v>
      </c>
      <c r="J496" s="403" t="s">
        <v>110</v>
      </c>
      <c r="K496" s="403">
        <v>1920</v>
      </c>
      <c r="L496" s="403">
        <v>1080</v>
      </c>
      <c r="M496" s="403" t="s">
        <v>110</v>
      </c>
      <c r="N496" s="403">
        <v>1920</v>
      </c>
      <c r="O496" s="403">
        <v>1080</v>
      </c>
      <c r="P496" t="str">
        <f t="shared" si="57"/>
        <v>25fps 1080p - 1080p</v>
      </c>
      <c r="Q496">
        <f t="shared" si="58"/>
        <v>3</v>
      </c>
      <c r="R496" t="str">
        <f t="shared" si="59"/>
        <v/>
      </c>
      <c r="S496" t="str">
        <f t="shared" si="60"/>
        <v/>
      </c>
      <c r="T496" s="403" t="str">
        <f t="shared" si="61"/>
        <v>MIC-7504-Z12xR</v>
      </c>
      <c r="U496" s="403">
        <f t="shared" si="62"/>
        <v>1</v>
      </c>
      <c r="V496" s="403" t="str">
        <f t="shared" si="63"/>
        <v>CPP_7_3</v>
      </c>
    </row>
    <row r="497" spans="1:22">
      <c r="A497" t="str">
        <f t="shared" si="56"/>
        <v>MIC-7504-Z12xR</v>
      </c>
      <c r="B497" s="403" t="s">
        <v>1360</v>
      </c>
      <c r="C497" s="403" t="s">
        <v>582</v>
      </c>
      <c r="D497" s="403" t="s">
        <v>1361</v>
      </c>
      <c r="E497" s="403" t="s">
        <v>1360</v>
      </c>
      <c r="F497" s="403" t="s">
        <v>1325</v>
      </c>
      <c r="G497" s="403" t="s">
        <v>1466</v>
      </c>
      <c r="H497" s="403" t="s">
        <v>1282</v>
      </c>
      <c r="I497" s="403">
        <v>1</v>
      </c>
      <c r="J497" s="403" t="s">
        <v>110</v>
      </c>
      <c r="K497" s="403">
        <v>1920</v>
      </c>
      <c r="L497" s="403">
        <v>1080</v>
      </c>
      <c r="M497" s="403" t="s">
        <v>109</v>
      </c>
      <c r="N497" s="403">
        <v>1280</v>
      </c>
      <c r="O497" s="403">
        <v>720</v>
      </c>
      <c r="P497" t="str">
        <f t="shared" si="57"/>
        <v>25fps 1080p - 720p</v>
      </c>
      <c r="Q497">
        <f t="shared" si="58"/>
        <v>3</v>
      </c>
      <c r="R497" t="str">
        <f t="shared" si="59"/>
        <v/>
      </c>
      <c r="S497" t="str">
        <f t="shared" si="60"/>
        <v/>
      </c>
      <c r="T497" s="403" t="str">
        <f t="shared" si="61"/>
        <v>MIC-7504-Z12xR</v>
      </c>
      <c r="U497" s="403">
        <f t="shared" si="62"/>
        <v>1</v>
      </c>
      <c r="V497" s="403" t="str">
        <f t="shared" si="63"/>
        <v>CPP_7_3</v>
      </c>
    </row>
    <row r="498" spans="1:22">
      <c r="A498" t="str">
        <f t="shared" si="56"/>
        <v>MIC-7504-Z12xR</v>
      </c>
      <c r="B498" s="403" t="s">
        <v>1360</v>
      </c>
      <c r="C498" s="403" t="s">
        <v>582</v>
      </c>
      <c r="D498" s="403" t="s">
        <v>1361</v>
      </c>
      <c r="E498" s="403" t="s">
        <v>1360</v>
      </c>
      <c r="F498" s="403" t="s">
        <v>1325</v>
      </c>
      <c r="G498" s="403" t="s">
        <v>1466</v>
      </c>
      <c r="H498" s="403" t="s">
        <v>1282</v>
      </c>
      <c r="I498" s="403">
        <v>1</v>
      </c>
      <c r="J498" s="403" t="s">
        <v>110</v>
      </c>
      <c r="K498" s="403">
        <v>1920</v>
      </c>
      <c r="L498" s="403">
        <v>1080</v>
      </c>
      <c r="M498" s="403" t="s">
        <v>1285</v>
      </c>
      <c r="N498" s="403">
        <v>1280</v>
      </c>
      <c r="O498" s="403">
        <v>1024</v>
      </c>
      <c r="P498" t="str">
        <f t="shared" si="57"/>
        <v>25fps 1080p - 1280x1024 5:4 (cropped)</v>
      </c>
      <c r="Q498">
        <f t="shared" si="58"/>
        <v>3</v>
      </c>
      <c r="R498" t="str">
        <f t="shared" si="59"/>
        <v/>
      </c>
      <c r="S498" t="str">
        <f t="shared" si="60"/>
        <v/>
      </c>
      <c r="T498" s="403" t="str">
        <f t="shared" si="61"/>
        <v>MIC-7504-Z12xR</v>
      </c>
      <c r="U498" s="403">
        <f t="shared" si="62"/>
        <v>1</v>
      </c>
      <c r="V498" s="403" t="str">
        <f t="shared" si="63"/>
        <v>CPP_7_3</v>
      </c>
    </row>
    <row r="499" spans="1:22">
      <c r="A499" t="str">
        <f t="shared" si="56"/>
        <v>MIC-7504-Z12xR</v>
      </c>
      <c r="B499" s="403" t="s">
        <v>1360</v>
      </c>
      <c r="C499" s="403" t="s">
        <v>582</v>
      </c>
      <c r="D499" s="403" t="s">
        <v>1361</v>
      </c>
      <c r="E499" s="403" t="s">
        <v>1360</v>
      </c>
      <c r="F499" s="403" t="s">
        <v>1325</v>
      </c>
      <c r="G499" s="403" t="s">
        <v>1466</v>
      </c>
      <c r="H499" s="403" t="s">
        <v>1282</v>
      </c>
      <c r="I499" s="403">
        <v>1</v>
      </c>
      <c r="J499" s="403" t="s">
        <v>110</v>
      </c>
      <c r="K499" s="403">
        <v>1920</v>
      </c>
      <c r="L499" s="403">
        <v>1080</v>
      </c>
      <c r="M499" s="403" t="s">
        <v>1283</v>
      </c>
      <c r="N499" s="403">
        <v>720</v>
      </c>
      <c r="O499" s="403">
        <v>576</v>
      </c>
      <c r="P499" t="str">
        <f t="shared" si="57"/>
        <v>25fps 1080p - SD 4CIF resolution 4:3 format (cropped)</v>
      </c>
      <c r="Q499">
        <f t="shared" si="58"/>
        <v>3</v>
      </c>
      <c r="R499" t="str">
        <f t="shared" si="59"/>
        <v/>
      </c>
      <c r="S499" t="str">
        <f t="shared" si="60"/>
        <v/>
      </c>
      <c r="T499" s="403" t="str">
        <f t="shared" si="61"/>
        <v>MIC-7504-Z12xR</v>
      </c>
      <c r="U499" s="403">
        <f t="shared" si="62"/>
        <v>1</v>
      </c>
      <c r="V499" s="403" t="str">
        <f t="shared" si="63"/>
        <v>CPP_7_3</v>
      </c>
    </row>
    <row r="500" spans="1:22">
      <c r="A500" t="str">
        <f t="shared" si="56"/>
        <v>MIC-7504-Z12xR</v>
      </c>
      <c r="B500" s="403" t="s">
        <v>1360</v>
      </c>
      <c r="C500" s="403" t="s">
        <v>582</v>
      </c>
      <c r="D500" s="403" t="s">
        <v>1361</v>
      </c>
      <c r="E500" s="403" t="s">
        <v>1360</v>
      </c>
      <c r="F500" s="403" t="s">
        <v>1325</v>
      </c>
      <c r="G500" s="403" t="s">
        <v>1466</v>
      </c>
      <c r="H500" s="403" t="s">
        <v>1282</v>
      </c>
      <c r="I500" s="403">
        <v>1</v>
      </c>
      <c r="J500" s="403" t="s">
        <v>110</v>
      </c>
      <c r="K500" s="403">
        <v>1920</v>
      </c>
      <c r="L500" s="403">
        <v>1080</v>
      </c>
      <c r="M500" s="403" t="s">
        <v>1284</v>
      </c>
      <c r="N500" s="403">
        <v>640</v>
      </c>
      <c r="O500" s="403">
        <v>480</v>
      </c>
      <c r="P500" t="str">
        <f t="shared" si="57"/>
        <v>25fps 1080p - SD VGA (cropped)</v>
      </c>
      <c r="Q500">
        <f t="shared" si="58"/>
        <v>3</v>
      </c>
      <c r="R500" t="str">
        <f t="shared" si="59"/>
        <v/>
      </c>
      <c r="S500" t="str">
        <f t="shared" si="60"/>
        <v/>
      </c>
      <c r="T500" s="403" t="str">
        <f t="shared" si="61"/>
        <v>MIC-7504-Z12xR</v>
      </c>
      <c r="U500" s="403">
        <f t="shared" si="62"/>
        <v>1</v>
      </c>
      <c r="V500" s="403" t="str">
        <f t="shared" si="63"/>
        <v>CPP_7_3</v>
      </c>
    </row>
    <row r="501" spans="1:22">
      <c r="A501" t="str">
        <f t="shared" si="56"/>
        <v>MIC-7504-Z12xR</v>
      </c>
      <c r="B501" s="403" t="s">
        <v>1360</v>
      </c>
      <c r="C501" s="403" t="s">
        <v>582</v>
      </c>
      <c r="D501" s="403" t="s">
        <v>1361</v>
      </c>
      <c r="E501" s="403" t="s">
        <v>1360</v>
      </c>
      <c r="F501" s="403" t="s">
        <v>1325</v>
      </c>
      <c r="G501" s="403" t="s">
        <v>1466</v>
      </c>
      <c r="H501" s="403" t="s">
        <v>1282</v>
      </c>
      <c r="I501" s="403">
        <v>1</v>
      </c>
      <c r="J501" s="403" t="s">
        <v>109</v>
      </c>
      <c r="K501" s="403">
        <v>1280</v>
      </c>
      <c r="L501" s="403">
        <v>720</v>
      </c>
      <c r="M501" s="403" t="s">
        <v>109</v>
      </c>
      <c r="N501" s="403">
        <v>1280</v>
      </c>
      <c r="O501" s="403">
        <v>720</v>
      </c>
      <c r="P501" t="str">
        <f t="shared" si="57"/>
        <v>25fps 720p - 720p</v>
      </c>
      <c r="Q501">
        <f t="shared" si="58"/>
        <v>3</v>
      </c>
      <c r="R501" t="str">
        <f t="shared" si="59"/>
        <v/>
      </c>
      <c r="S501" t="str">
        <f t="shared" si="60"/>
        <v/>
      </c>
      <c r="T501" s="403" t="str">
        <f t="shared" si="61"/>
        <v>MIC-7504-Z12xR</v>
      </c>
      <c r="U501" s="403">
        <f t="shared" si="62"/>
        <v>1</v>
      </c>
      <c r="V501" s="403" t="str">
        <f t="shared" si="63"/>
        <v>CPP_7_3</v>
      </c>
    </row>
    <row r="502" spans="1:22">
      <c r="A502" t="str">
        <f t="shared" si="56"/>
        <v>MIC-7504-Z12xR</v>
      </c>
      <c r="B502" s="403" t="s">
        <v>1360</v>
      </c>
      <c r="C502" s="403" t="s">
        <v>582</v>
      </c>
      <c r="D502" s="403" t="s">
        <v>1361</v>
      </c>
      <c r="E502" s="403" t="s">
        <v>1360</v>
      </c>
      <c r="F502" s="403" t="s">
        <v>1325</v>
      </c>
      <c r="G502" s="403" t="s">
        <v>1466</v>
      </c>
      <c r="H502" s="403" t="s">
        <v>1282</v>
      </c>
      <c r="I502" s="403">
        <v>1</v>
      </c>
      <c r="J502" s="403" t="s">
        <v>109</v>
      </c>
      <c r="K502" s="403">
        <v>1280</v>
      </c>
      <c r="L502" s="403">
        <v>720</v>
      </c>
      <c r="M502" s="403" t="s">
        <v>111</v>
      </c>
      <c r="N502" s="403">
        <v>768</v>
      </c>
      <c r="O502" s="403">
        <v>432</v>
      </c>
      <c r="P502" t="str">
        <f t="shared" si="57"/>
        <v>25fps 720p - SD</v>
      </c>
      <c r="Q502">
        <f t="shared" si="58"/>
        <v>3</v>
      </c>
      <c r="R502" t="str">
        <f t="shared" si="59"/>
        <v/>
      </c>
      <c r="S502" t="str">
        <f t="shared" si="60"/>
        <v/>
      </c>
      <c r="T502" s="403" t="str">
        <f t="shared" si="61"/>
        <v>MIC-7504-Z12xR</v>
      </c>
      <c r="U502" s="403">
        <f t="shared" si="62"/>
        <v>1</v>
      </c>
      <c r="V502" s="403" t="str">
        <f t="shared" si="63"/>
        <v>CPP_7_3</v>
      </c>
    </row>
    <row r="503" spans="1:22">
      <c r="A503" t="str">
        <f t="shared" si="56"/>
        <v>MIC-7504-Z12xR</v>
      </c>
      <c r="B503" s="403" t="s">
        <v>1360</v>
      </c>
      <c r="C503" s="403" t="s">
        <v>582</v>
      </c>
      <c r="D503" s="403" t="s">
        <v>1361</v>
      </c>
      <c r="E503" s="403" t="s">
        <v>1360</v>
      </c>
      <c r="F503" s="403" t="s">
        <v>1325</v>
      </c>
      <c r="G503" s="403" t="s">
        <v>1466</v>
      </c>
      <c r="H503" s="403" t="s">
        <v>1282</v>
      </c>
      <c r="I503" s="403">
        <v>1</v>
      </c>
      <c r="J503" s="403" t="s">
        <v>109</v>
      </c>
      <c r="K503" s="403">
        <v>1280</v>
      </c>
      <c r="L503" s="403">
        <v>720</v>
      </c>
      <c r="M503" s="403" t="s">
        <v>1283</v>
      </c>
      <c r="N503" s="403">
        <v>720</v>
      </c>
      <c r="O503" s="403">
        <v>576</v>
      </c>
      <c r="P503" t="str">
        <f t="shared" si="57"/>
        <v>25fps 720p - SD 4CIF resolution 4:3 format (cropped)</v>
      </c>
      <c r="Q503">
        <f t="shared" si="58"/>
        <v>3</v>
      </c>
      <c r="R503" t="str">
        <f t="shared" si="59"/>
        <v/>
      </c>
      <c r="S503" t="str">
        <f t="shared" si="60"/>
        <v/>
      </c>
      <c r="T503" s="403" t="str">
        <f t="shared" si="61"/>
        <v>MIC-7504-Z12xR</v>
      </c>
      <c r="U503" s="403">
        <f t="shared" si="62"/>
        <v>1</v>
      </c>
      <c r="V503" s="403" t="str">
        <f t="shared" si="63"/>
        <v>CPP_7_3</v>
      </c>
    </row>
    <row r="504" spans="1:22">
      <c r="A504" t="str">
        <f t="shared" si="56"/>
        <v>MIC-7504-Z12xR</v>
      </c>
      <c r="B504" s="403" t="s">
        <v>1360</v>
      </c>
      <c r="C504" s="403" t="s">
        <v>582</v>
      </c>
      <c r="D504" s="403" t="s">
        <v>1361</v>
      </c>
      <c r="E504" s="403" t="s">
        <v>1360</v>
      </c>
      <c r="F504" s="403" t="s">
        <v>1325</v>
      </c>
      <c r="G504" s="403" t="s">
        <v>1466</v>
      </c>
      <c r="H504" s="403" t="s">
        <v>1282</v>
      </c>
      <c r="I504" s="403">
        <v>1</v>
      </c>
      <c r="J504" s="403" t="s">
        <v>109</v>
      </c>
      <c r="K504" s="403">
        <v>1280</v>
      </c>
      <c r="L504" s="403">
        <v>720</v>
      </c>
      <c r="M504" s="403" t="s">
        <v>1284</v>
      </c>
      <c r="N504" s="403">
        <v>640</v>
      </c>
      <c r="O504" s="403">
        <v>480</v>
      </c>
      <c r="P504" t="str">
        <f t="shared" si="57"/>
        <v>25fps 720p - SD VGA (cropped)</v>
      </c>
      <c r="Q504">
        <f t="shared" si="58"/>
        <v>3</v>
      </c>
      <c r="R504" t="str">
        <f t="shared" si="59"/>
        <v/>
      </c>
      <c r="S504" t="str">
        <f t="shared" si="60"/>
        <v/>
      </c>
      <c r="T504" s="403" t="str">
        <f t="shared" si="61"/>
        <v>MIC-7504-Z12xR</v>
      </c>
      <c r="U504" s="403">
        <f t="shared" si="62"/>
        <v>1</v>
      </c>
      <c r="V504" s="403" t="str">
        <f t="shared" si="63"/>
        <v>CPP_7_3</v>
      </c>
    </row>
    <row r="505" spans="1:22">
      <c r="A505" t="str">
        <f t="shared" si="56"/>
        <v>MIC-7504-Z12xR</v>
      </c>
      <c r="B505" s="403" t="s">
        <v>1360</v>
      </c>
      <c r="C505" s="403" t="s">
        <v>582</v>
      </c>
      <c r="D505" s="403" t="s">
        <v>1361</v>
      </c>
      <c r="E505" s="403" t="s">
        <v>1360</v>
      </c>
      <c r="F505" s="403" t="s">
        <v>1323</v>
      </c>
      <c r="G505" s="403" t="s">
        <v>1466</v>
      </c>
      <c r="H505" s="403" t="s">
        <v>1276</v>
      </c>
      <c r="I505" s="403">
        <v>1</v>
      </c>
      <c r="J505" s="403" t="s">
        <v>194</v>
      </c>
      <c r="K505" s="403">
        <v>0</v>
      </c>
      <c r="L505" s="403">
        <v>0</v>
      </c>
      <c r="M505" s="403" t="s">
        <v>111</v>
      </c>
      <c r="N505" s="403">
        <v>3840</v>
      </c>
      <c r="O505" s="403">
        <v>2160</v>
      </c>
      <c r="P505" t="str">
        <f t="shared" si="57"/>
        <v>30fps 3840x2160 - SD</v>
      </c>
      <c r="Q505">
        <f t="shared" si="58"/>
        <v>3</v>
      </c>
      <c r="R505" t="str">
        <f t="shared" si="59"/>
        <v/>
      </c>
      <c r="S505" t="str">
        <f t="shared" si="60"/>
        <v/>
      </c>
      <c r="T505" s="403" t="str">
        <f t="shared" si="61"/>
        <v>MIC-7504-Z12xR</v>
      </c>
      <c r="U505" s="403">
        <f t="shared" si="62"/>
        <v>1</v>
      </c>
      <c r="V505" s="403" t="str">
        <f t="shared" si="63"/>
        <v>CPP_7_3</v>
      </c>
    </row>
    <row r="506" spans="1:22">
      <c r="A506" t="str">
        <f t="shared" si="56"/>
        <v>MIC-7504-Z12xR</v>
      </c>
      <c r="B506" s="403" t="s">
        <v>1360</v>
      </c>
      <c r="C506" s="403" t="s">
        <v>582</v>
      </c>
      <c r="D506" s="403" t="s">
        <v>1361</v>
      </c>
      <c r="E506" s="403" t="s">
        <v>1360</v>
      </c>
      <c r="F506" s="403" t="s">
        <v>1323</v>
      </c>
      <c r="G506" s="403" t="s">
        <v>1466</v>
      </c>
      <c r="H506" s="403" t="s">
        <v>1276</v>
      </c>
      <c r="I506" s="403">
        <v>1</v>
      </c>
      <c r="J506" s="403" t="s">
        <v>194</v>
      </c>
      <c r="K506" s="403">
        <v>3840</v>
      </c>
      <c r="L506" s="403">
        <v>2160</v>
      </c>
      <c r="M506" s="403" t="s">
        <v>1280</v>
      </c>
      <c r="N506" s="403">
        <v>3840</v>
      </c>
      <c r="O506" s="403">
        <v>2160</v>
      </c>
      <c r="P506" t="str">
        <f t="shared" si="57"/>
        <v>30fps 3840x2160 - copy other stream</v>
      </c>
      <c r="Q506">
        <f t="shared" si="58"/>
        <v>3</v>
      </c>
      <c r="R506" t="str">
        <f t="shared" si="59"/>
        <v/>
      </c>
      <c r="S506" t="str">
        <f t="shared" si="60"/>
        <v/>
      </c>
      <c r="T506" s="403" t="str">
        <f t="shared" si="61"/>
        <v>MIC-7504-Z12xR</v>
      </c>
      <c r="U506" s="403">
        <f t="shared" si="62"/>
        <v>1</v>
      </c>
      <c r="V506" s="403" t="str">
        <f t="shared" si="63"/>
        <v>CPP_7_3</v>
      </c>
    </row>
    <row r="507" spans="1:22">
      <c r="A507" t="str">
        <f t="shared" si="56"/>
        <v>MIC-7504-Z12xR</v>
      </c>
      <c r="B507" s="403" t="s">
        <v>1360</v>
      </c>
      <c r="C507" s="403" t="s">
        <v>582</v>
      </c>
      <c r="D507" s="403" t="s">
        <v>1361</v>
      </c>
      <c r="E507" s="403" t="s">
        <v>1360</v>
      </c>
      <c r="F507" s="403" t="s">
        <v>1323</v>
      </c>
      <c r="G507" s="403" t="s">
        <v>1466</v>
      </c>
      <c r="H507" s="403" t="s">
        <v>1276</v>
      </c>
      <c r="I507" s="403">
        <v>1</v>
      </c>
      <c r="J507" s="403" t="s">
        <v>194</v>
      </c>
      <c r="K507" s="403">
        <v>3840</v>
      </c>
      <c r="L507" s="403">
        <v>2160</v>
      </c>
      <c r="M507" s="403" t="s">
        <v>1362</v>
      </c>
      <c r="N507" s="403">
        <v>3840</v>
      </c>
      <c r="O507" s="403">
        <v>2160</v>
      </c>
      <c r="P507" t="str">
        <f t="shared" si="57"/>
        <v>30fps 3840x2160 - 3840x2160 @ SKIP6</v>
      </c>
      <c r="Q507">
        <f t="shared" si="58"/>
        <v>3</v>
      </c>
      <c r="R507" t="str">
        <f t="shared" si="59"/>
        <v/>
      </c>
      <c r="S507" t="str">
        <f t="shared" si="60"/>
        <v/>
      </c>
      <c r="T507" s="403" t="str">
        <f t="shared" si="61"/>
        <v>MIC-7504-Z12xR</v>
      </c>
      <c r="U507" s="403">
        <f t="shared" si="62"/>
        <v>1</v>
      </c>
      <c r="V507" s="403" t="str">
        <f t="shared" si="63"/>
        <v>CPP_7_3</v>
      </c>
    </row>
    <row r="508" spans="1:22">
      <c r="A508" t="str">
        <f t="shared" si="56"/>
        <v>MIC-7504-Z12xR</v>
      </c>
      <c r="B508" s="403" t="s">
        <v>1360</v>
      </c>
      <c r="C508" s="403" t="s">
        <v>582</v>
      </c>
      <c r="D508" s="403" t="s">
        <v>1361</v>
      </c>
      <c r="E508" s="403" t="s">
        <v>1360</v>
      </c>
      <c r="F508" s="403" t="s">
        <v>1323</v>
      </c>
      <c r="G508" s="403" t="s">
        <v>1466</v>
      </c>
      <c r="H508" s="403" t="s">
        <v>1276</v>
      </c>
      <c r="I508" s="403">
        <v>1</v>
      </c>
      <c r="J508" s="403" t="s">
        <v>194</v>
      </c>
      <c r="K508" s="403">
        <v>3840</v>
      </c>
      <c r="L508" s="403">
        <v>2160</v>
      </c>
      <c r="M508" s="403" t="s">
        <v>1363</v>
      </c>
      <c r="N508" s="403">
        <v>3840</v>
      </c>
      <c r="O508" s="403">
        <v>2160</v>
      </c>
      <c r="P508" t="str">
        <f t="shared" si="57"/>
        <v>30fps 3840x2160 - 1920x1080 @ SKIP 2</v>
      </c>
      <c r="Q508">
        <f t="shared" si="58"/>
        <v>3</v>
      </c>
      <c r="R508" t="str">
        <f t="shared" si="59"/>
        <v/>
      </c>
      <c r="S508" t="str">
        <f t="shared" si="60"/>
        <v/>
      </c>
      <c r="T508" s="403" t="str">
        <f t="shared" si="61"/>
        <v>MIC-7504-Z12xR</v>
      </c>
      <c r="U508" s="403">
        <f t="shared" si="62"/>
        <v>1</v>
      </c>
      <c r="V508" s="403" t="str">
        <f t="shared" si="63"/>
        <v>CPP_7_3</v>
      </c>
    </row>
    <row r="509" spans="1:22">
      <c r="A509" t="str">
        <f t="shared" si="56"/>
        <v>MIC-7504-Z12xR</v>
      </c>
      <c r="B509" s="403" t="s">
        <v>1360</v>
      </c>
      <c r="C509" s="403" t="s">
        <v>582</v>
      </c>
      <c r="D509" s="403" t="s">
        <v>1361</v>
      </c>
      <c r="E509" s="403" t="s">
        <v>1360</v>
      </c>
      <c r="F509" s="403" t="s">
        <v>1323</v>
      </c>
      <c r="G509" s="403" t="s">
        <v>1466</v>
      </c>
      <c r="H509" s="403" t="s">
        <v>1276</v>
      </c>
      <c r="I509" s="403">
        <v>1</v>
      </c>
      <c r="J509" s="403" t="s">
        <v>194</v>
      </c>
      <c r="K509" s="403">
        <v>3840</v>
      </c>
      <c r="L509" s="403">
        <v>2160</v>
      </c>
      <c r="M509" s="403" t="s">
        <v>109</v>
      </c>
      <c r="N509" s="403">
        <v>3840</v>
      </c>
      <c r="O509" s="403">
        <v>2160</v>
      </c>
      <c r="P509" t="str">
        <f t="shared" si="57"/>
        <v>30fps 3840x2160 - 720p</v>
      </c>
      <c r="Q509">
        <f t="shared" si="58"/>
        <v>3</v>
      </c>
      <c r="R509" t="str">
        <f t="shared" si="59"/>
        <v/>
      </c>
      <c r="S509" t="str">
        <f t="shared" si="60"/>
        <v/>
      </c>
      <c r="T509" s="403" t="str">
        <f t="shared" si="61"/>
        <v>MIC-7504-Z12xR</v>
      </c>
      <c r="U509" s="403">
        <f t="shared" si="62"/>
        <v>1</v>
      </c>
      <c r="V509" s="403" t="str">
        <f t="shared" si="63"/>
        <v>CPP_7_3</v>
      </c>
    </row>
    <row r="510" spans="1:22">
      <c r="A510" t="str">
        <f t="shared" si="56"/>
        <v>MIC-7504-Z12xR</v>
      </c>
      <c r="B510" s="403" t="s">
        <v>1360</v>
      </c>
      <c r="C510" s="403" t="s">
        <v>582</v>
      </c>
      <c r="D510" s="403" t="s">
        <v>1361</v>
      </c>
      <c r="E510" s="403" t="s">
        <v>1360</v>
      </c>
      <c r="F510" s="403" t="s">
        <v>1323</v>
      </c>
      <c r="G510" s="403" t="s">
        <v>1466</v>
      </c>
      <c r="H510" s="403" t="s">
        <v>1276</v>
      </c>
      <c r="I510" s="403">
        <v>1</v>
      </c>
      <c r="J510" s="403" t="s">
        <v>194</v>
      </c>
      <c r="K510" s="403">
        <v>3840</v>
      </c>
      <c r="L510" s="403">
        <v>2160</v>
      </c>
      <c r="M510" s="403" t="s">
        <v>1283</v>
      </c>
      <c r="N510" s="403">
        <v>3840</v>
      </c>
      <c r="O510" s="403">
        <v>2160</v>
      </c>
      <c r="P510" t="str">
        <f t="shared" si="57"/>
        <v>30fps 3840x2160 - SD 4CIF resolution 4:3 format (cropped)</v>
      </c>
      <c r="Q510">
        <f t="shared" si="58"/>
        <v>3</v>
      </c>
      <c r="R510" t="str">
        <f t="shared" si="59"/>
        <v/>
      </c>
      <c r="S510" t="str">
        <f t="shared" si="60"/>
        <v/>
      </c>
      <c r="T510" s="403" t="str">
        <f t="shared" si="61"/>
        <v>MIC-7504-Z12xR</v>
      </c>
      <c r="U510" s="403">
        <f t="shared" si="62"/>
        <v>1</v>
      </c>
      <c r="V510" s="403" t="str">
        <f t="shared" si="63"/>
        <v>CPP_7_3</v>
      </c>
    </row>
    <row r="511" spans="1:22">
      <c r="A511" t="str">
        <f t="shared" si="56"/>
        <v>MIC-7504-Z12xR</v>
      </c>
      <c r="B511" s="403" t="s">
        <v>1360</v>
      </c>
      <c r="C511" s="403" t="s">
        <v>582</v>
      </c>
      <c r="D511" s="403" t="s">
        <v>1361</v>
      </c>
      <c r="E511" s="403" t="s">
        <v>1360</v>
      </c>
      <c r="F511" s="403" t="s">
        <v>1323</v>
      </c>
      <c r="G511" s="403" t="s">
        <v>1466</v>
      </c>
      <c r="H511" s="403" t="s">
        <v>1276</v>
      </c>
      <c r="I511" s="403">
        <v>1</v>
      </c>
      <c r="J511" s="403" t="s">
        <v>194</v>
      </c>
      <c r="K511" s="403">
        <v>3840</v>
      </c>
      <c r="L511" s="403">
        <v>2160</v>
      </c>
      <c r="M511" s="403" t="s">
        <v>1284</v>
      </c>
      <c r="N511" s="403">
        <v>3840</v>
      </c>
      <c r="O511" s="403">
        <v>2160</v>
      </c>
      <c r="P511" t="str">
        <f t="shared" si="57"/>
        <v>30fps 3840x2160 - SD VGA (cropped)</v>
      </c>
      <c r="Q511">
        <f t="shared" si="58"/>
        <v>3</v>
      </c>
      <c r="R511" t="str">
        <f t="shared" si="59"/>
        <v/>
      </c>
      <c r="S511" t="str">
        <f t="shared" si="60"/>
        <v/>
      </c>
      <c r="T511" s="403" t="str">
        <f t="shared" si="61"/>
        <v>MIC-7504-Z12xR</v>
      </c>
      <c r="U511" s="403">
        <f t="shared" si="62"/>
        <v>1</v>
      </c>
      <c r="V511" s="403" t="str">
        <f t="shared" si="63"/>
        <v>CPP_7_3</v>
      </c>
    </row>
    <row r="512" spans="1:22">
      <c r="A512" t="str">
        <f t="shared" si="56"/>
        <v>MIC-7504-Z12xR</v>
      </c>
      <c r="B512" s="403" t="s">
        <v>1360</v>
      </c>
      <c r="C512" s="403" t="s">
        <v>582</v>
      </c>
      <c r="D512" s="403" t="s">
        <v>1361</v>
      </c>
      <c r="E512" s="403" t="s">
        <v>1360</v>
      </c>
      <c r="F512" s="403" t="s">
        <v>1323</v>
      </c>
      <c r="G512" s="403" t="s">
        <v>1466</v>
      </c>
      <c r="H512" s="403" t="s">
        <v>1276</v>
      </c>
      <c r="I512" s="403">
        <v>1</v>
      </c>
      <c r="J512" s="403" t="s">
        <v>194</v>
      </c>
      <c r="K512" s="403">
        <v>3840</v>
      </c>
      <c r="L512" s="403">
        <v>2160</v>
      </c>
      <c r="M512" s="403" t="s">
        <v>1285</v>
      </c>
      <c r="N512" s="403">
        <v>3840</v>
      </c>
      <c r="O512" s="403">
        <v>2160</v>
      </c>
      <c r="P512" t="str">
        <f t="shared" si="57"/>
        <v>30fps 3840x2160 - 1280x1024 5:4 (cropped)</v>
      </c>
      <c r="Q512">
        <f t="shared" si="58"/>
        <v>3</v>
      </c>
      <c r="R512" t="str">
        <f t="shared" si="59"/>
        <v/>
      </c>
      <c r="S512" t="str">
        <f t="shared" si="60"/>
        <v/>
      </c>
      <c r="T512" s="403" t="str">
        <f t="shared" si="61"/>
        <v>MIC-7504-Z12xR</v>
      </c>
      <c r="U512" s="403">
        <f t="shared" si="62"/>
        <v>1</v>
      </c>
      <c r="V512" s="403" t="str">
        <f t="shared" si="63"/>
        <v>CPP_7_3</v>
      </c>
    </row>
    <row r="513" spans="1:22">
      <c r="A513" t="str">
        <f t="shared" si="56"/>
        <v>MIC-7504-Z12xR</v>
      </c>
      <c r="B513" s="403" t="s">
        <v>1360</v>
      </c>
      <c r="C513" s="403" t="s">
        <v>582</v>
      </c>
      <c r="D513" s="403" t="s">
        <v>1361</v>
      </c>
      <c r="E513" s="403" t="s">
        <v>1360</v>
      </c>
      <c r="F513" s="403" t="s">
        <v>1323</v>
      </c>
      <c r="G513" s="403" t="s">
        <v>1466</v>
      </c>
      <c r="H513" s="403" t="s">
        <v>1276</v>
      </c>
      <c r="I513" s="403">
        <v>1</v>
      </c>
      <c r="J513" s="403" t="s">
        <v>1324</v>
      </c>
      <c r="K513" s="403">
        <v>3584</v>
      </c>
      <c r="L513" s="403">
        <v>2016</v>
      </c>
      <c r="M513" s="403" t="s">
        <v>111</v>
      </c>
      <c r="N513" s="403">
        <v>768</v>
      </c>
      <c r="O513" s="403">
        <v>432</v>
      </c>
      <c r="P513" t="str">
        <f t="shared" si="57"/>
        <v>30fps 3584x2016 - SD</v>
      </c>
      <c r="Q513">
        <f t="shared" si="58"/>
        <v>3</v>
      </c>
      <c r="R513" t="str">
        <f t="shared" si="59"/>
        <v/>
      </c>
      <c r="S513" t="str">
        <f t="shared" si="60"/>
        <v/>
      </c>
      <c r="T513" s="403" t="str">
        <f t="shared" si="61"/>
        <v>MIC-7504-Z12xR</v>
      </c>
      <c r="U513" s="403">
        <f t="shared" si="62"/>
        <v>1</v>
      </c>
      <c r="V513" s="403" t="str">
        <f t="shared" si="63"/>
        <v>CPP_7_3</v>
      </c>
    </row>
    <row r="514" spans="1:22">
      <c r="A514" t="str">
        <f t="shared" ref="A514:A577" si="64">IF(AND(G514&lt;&gt;"rotate 90°"),D514,"")</f>
        <v>MIC-7504-Z12xR</v>
      </c>
      <c r="B514" s="403" t="s">
        <v>1360</v>
      </c>
      <c r="C514" s="403" t="s">
        <v>582</v>
      </c>
      <c r="D514" s="403" t="s">
        <v>1361</v>
      </c>
      <c r="E514" s="403" t="s">
        <v>1360</v>
      </c>
      <c r="F514" s="403" t="s">
        <v>1323</v>
      </c>
      <c r="G514" s="403" t="s">
        <v>1466</v>
      </c>
      <c r="H514" s="403" t="s">
        <v>1276</v>
      </c>
      <c r="I514" s="403">
        <v>1</v>
      </c>
      <c r="J514" s="403" t="s">
        <v>1324</v>
      </c>
      <c r="K514" s="403">
        <v>3584</v>
      </c>
      <c r="L514" s="403">
        <v>2016</v>
      </c>
      <c r="M514" s="403" t="s">
        <v>1280</v>
      </c>
      <c r="N514" s="403">
        <v>3584</v>
      </c>
      <c r="O514" s="403">
        <v>2016</v>
      </c>
      <c r="P514" t="str">
        <f t="shared" ref="P514:P577" si="65">LEFT(F514,5)&amp;" "&amp;J514&amp;" - "&amp;M514</f>
        <v>30fps 3584x2016 - copy other stream</v>
      </c>
      <c r="Q514">
        <f t="shared" ref="Q514:Q577" si="66">IF(A513=A514,Q513,Q513+1)</f>
        <v>3</v>
      </c>
      <c r="R514" t="str">
        <f t="shared" ref="R514:R577" si="67">IF(Q513&lt;&gt;Q514,Q514,"")</f>
        <v/>
      </c>
      <c r="S514" t="str">
        <f t="shared" ref="S514:S577" si="68">IF(R514&lt;&gt;"",B514&amp;" ("&amp;D514&amp;")","")</f>
        <v/>
      </c>
      <c r="T514" s="403" t="str">
        <f t="shared" ref="T514:T577" si="69">D514</f>
        <v>MIC-7504-Z12xR</v>
      </c>
      <c r="U514" s="403">
        <f t="shared" ref="U514:U577" si="70">I514</f>
        <v>1</v>
      </c>
      <c r="V514" s="403" t="str">
        <f t="shared" ref="V514:V577" si="71">C514</f>
        <v>CPP_7_3</v>
      </c>
    </row>
    <row r="515" spans="1:22">
      <c r="A515" t="str">
        <f t="shared" si="64"/>
        <v>MIC-7504-Z12xR</v>
      </c>
      <c r="B515" s="403" t="s">
        <v>1360</v>
      </c>
      <c r="C515" s="403" t="s">
        <v>582</v>
      </c>
      <c r="D515" s="403" t="s">
        <v>1361</v>
      </c>
      <c r="E515" s="403" t="s">
        <v>1360</v>
      </c>
      <c r="F515" s="403" t="s">
        <v>1323</v>
      </c>
      <c r="G515" s="403" t="s">
        <v>1466</v>
      </c>
      <c r="H515" s="403" t="s">
        <v>1276</v>
      </c>
      <c r="I515" s="403">
        <v>1</v>
      </c>
      <c r="J515" s="403" t="s">
        <v>1324</v>
      </c>
      <c r="K515" s="403">
        <v>3584</v>
      </c>
      <c r="L515" s="403">
        <v>2016</v>
      </c>
      <c r="M515" s="403" t="s">
        <v>1364</v>
      </c>
      <c r="N515" s="403">
        <v>3584</v>
      </c>
      <c r="O515" s="403">
        <v>2016</v>
      </c>
      <c r="P515" t="str">
        <f t="shared" si="65"/>
        <v>30fps 3584x2016 - 3584x2016 @ SKIP6</v>
      </c>
      <c r="Q515">
        <f t="shared" si="66"/>
        <v>3</v>
      </c>
      <c r="R515" t="str">
        <f t="shared" si="67"/>
        <v/>
      </c>
      <c r="S515" t="str">
        <f t="shared" si="68"/>
        <v/>
      </c>
      <c r="T515" s="403" t="str">
        <f t="shared" si="69"/>
        <v>MIC-7504-Z12xR</v>
      </c>
      <c r="U515" s="403">
        <f t="shared" si="70"/>
        <v>1</v>
      </c>
      <c r="V515" s="403" t="str">
        <f t="shared" si="71"/>
        <v>CPP_7_3</v>
      </c>
    </row>
    <row r="516" spans="1:22">
      <c r="A516" t="str">
        <f t="shared" si="64"/>
        <v>MIC-7504-Z12xR</v>
      </c>
      <c r="B516" s="403" t="s">
        <v>1360</v>
      </c>
      <c r="C516" s="403" t="s">
        <v>582</v>
      </c>
      <c r="D516" s="403" t="s">
        <v>1361</v>
      </c>
      <c r="E516" s="403" t="s">
        <v>1360</v>
      </c>
      <c r="F516" s="403" t="s">
        <v>1323</v>
      </c>
      <c r="G516" s="403" t="s">
        <v>1466</v>
      </c>
      <c r="H516" s="403" t="s">
        <v>1276</v>
      </c>
      <c r="I516" s="403">
        <v>1</v>
      </c>
      <c r="J516" s="403" t="s">
        <v>1324</v>
      </c>
      <c r="K516" s="403">
        <v>3584</v>
      </c>
      <c r="L516" s="403">
        <v>2016</v>
      </c>
      <c r="M516" s="403" t="s">
        <v>110</v>
      </c>
      <c r="N516" s="403">
        <v>3584</v>
      </c>
      <c r="O516" s="403">
        <v>2016</v>
      </c>
      <c r="P516" t="str">
        <f t="shared" si="65"/>
        <v>30fps 3584x2016 - 1080p</v>
      </c>
      <c r="Q516">
        <f t="shared" si="66"/>
        <v>3</v>
      </c>
      <c r="R516" t="str">
        <f t="shared" si="67"/>
        <v/>
      </c>
      <c r="S516" t="str">
        <f t="shared" si="68"/>
        <v/>
      </c>
      <c r="T516" s="403" t="str">
        <f t="shared" si="69"/>
        <v>MIC-7504-Z12xR</v>
      </c>
      <c r="U516" s="403">
        <f t="shared" si="70"/>
        <v>1</v>
      </c>
      <c r="V516" s="403" t="str">
        <f t="shared" si="71"/>
        <v>CPP_7_3</v>
      </c>
    </row>
    <row r="517" spans="1:22">
      <c r="A517" t="str">
        <f t="shared" si="64"/>
        <v>MIC-7504-Z12xR</v>
      </c>
      <c r="B517" s="403" t="s">
        <v>1360</v>
      </c>
      <c r="C517" s="403" t="s">
        <v>582</v>
      </c>
      <c r="D517" s="403" t="s">
        <v>1361</v>
      </c>
      <c r="E517" s="403" t="s">
        <v>1360</v>
      </c>
      <c r="F517" s="403" t="s">
        <v>1323</v>
      </c>
      <c r="G517" s="403" t="s">
        <v>1466</v>
      </c>
      <c r="H517" s="403" t="s">
        <v>1276</v>
      </c>
      <c r="I517" s="403">
        <v>1</v>
      </c>
      <c r="J517" s="403" t="s">
        <v>1324</v>
      </c>
      <c r="K517" s="403">
        <v>3584</v>
      </c>
      <c r="L517" s="403">
        <v>2016</v>
      </c>
      <c r="M517" s="403" t="s">
        <v>109</v>
      </c>
      <c r="N517" s="403">
        <v>1280</v>
      </c>
      <c r="O517" s="403">
        <v>720</v>
      </c>
      <c r="P517" t="str">
        <f t="shared" si="65"/>
        <v>30fps 3584x2016 - 720p</v>
      </c>
      <c r="Q517">
        <f t="shared" si="66"/>
        <v>3</v>
      </c>
      <c r="R517" t="str">
        <f t="shared" si="67"/>
        <v/>
      </c>
      <c r="S517" t="str">
        <f t="shared" si="68"/>
        <v/>
      </c>
      <c r="T517" s="403" t="str">
        <f t="shared" si="69"/>
        <v>MIC-7504-Z12xR</v>
      </c>
      <c r="U517" s="403">
        <f t="shared" si="70"/>
        <v>1</v>
      </c>
      <c r="V517" s="403" t="str">
        <f t="shared" si="71"/>
        <v>CPP_7_3</v>
      </c>
    </row>
    <row r="518" spans="1:22">
      <c r="A518" t="str">
        <f t="shared" si="64"/>
        <v>MIC-7504-Z12xR</v>
      </c>
      <c r="B518" s="403" t="s">
        <v>1360</v>
      </c>
      <c r="C518" s="403" t="s">
        <v>582</v>
      </c>
      <c r="D518" s="403" t="s">
        <v>1361</v>
      </c>
      <c r="E518" s="403" t="s">
        <v>1360</v>
      </c>
      <c r="F518" s="403" t="s">
        <v>1323</v>
      </c>
      <c r="G518" s="403" t="s">
        <v>1466</v>
      </c>
      <c r="H518" s="403" t="s">
        <v>1276</v>
      </c>
      <c r="I518" s="403">
        <v>1</v>
      </c>
      <c r="J518" s="403" t="s">
        <v>1324</v>
      </c>
      <c r="K518" s="403">
        <v>3584</v>
      </c>
      <c r="L518" s="403">
        <v>2016</v>
      </c>
      <c r="M518" s="403" t="s">
        <v>1283</v>
      </c>
      <c r="N518" s="403">
        <v>720</v>
      </c>
      <c r="O518" s="403">
        <v>480</v>
      </c>
      <c r="P518" t="str">
        <f t="shared" si="65"/>
        <v>30fps 3584x2016 - SD 4CIF resolution 4:3 format (cropped)</v>
      </c>
      <c r="Q518">
        <f t="shared" si="66"/>
        <v>3</v>
      </c>
      <c r="R518" t="str">
        <f t="shared" si="67"/>
        <v/>
      </c>
      <c r="S518" t="str">
        <f t="shared" si="68"/>
        <v/>
      </c>
      <c r="T518" s="403" t="str">
        <f t="shared" si="69"/>
        <v>MIC-7504-Z12xR</v>
      </c>
      <c r="U518" s="403">
        <f t="shared" si="70"/>
        <v>1</v>
      </c>
      <c r="V518" s="403" t="str">
        <f t="shared" si="71"/>
        <v>CPP_7_3</v>
      </c>
    </row>
    <row r="519" spans="1:22">
      <c r="A519" t="str">
        <f t="shared" si="64"/>
        <v>MIC-7504-Z12xR</v>
      </c>
      <c r="B519" s="403" t="s">
        <v>1360</v>
      </c>
      <c r="C519" s="403" t="s">
        <v>582</v>
      </c>
      <c r="D519" s="403" t="s">
        <v>1361</v>
      </c>
      <c r="E519" s="403" t="s">
        <v>1360</v>
      </c>
      <c r="F519" s="403" t="s">
        <v>1323</v>
      </c>
      <c r="G519" s="403" t="s">
        <v>1466</v>
      </c>
      <c r="H519" s="403" t="s">
        <v>1276</v>
      </c>
      <c r="I519" s="403">
        <v>1</v>
      </c>
      <c r="J519" s="403" t="s">
        <v>1324</v>
      </c>
      <c r="K519" s="403">
        <v>3584</v>
      </c>
      <c r="L519" s="403">
        <v>2016</v>
      </c>
      <c r="M519" s="403" t="s">
        <v>1284</v>
      </c>
      <c r="N519" s="403">
        <v>640</v>
      </c>
      <c r="O519" s="403">
        <v>480</v>
      </c>
      <c r="P519" t="str">
        <f t="shared" si="65"/>
        <v>30fps 3584x2016 - SD VGA (cropped)</v>
      </c>
      <c r="Q519">
        <f t="shared" si="66"/>
        <v>3</v>
      </c>
      <c r="R519" t="str">
        <f t="shared" si="67"/>
        <v/>
      </c>
      <c r="S519" t="str">
        <f t="shared" si="68"/>
        <v/>
      </c>
      <c r="T519" s="403" t="str">
        <f t="shared" si="69"/>
        <v>MIC-7504-Z12xR</v>
      </c>
      <c r="U519" s="403">
        <f t="shared" si="70"/>
        <v>1</v>
      </c>
      <c r="V519" s="403" t="str">
        <f t="shared" si="71"/>
        <v>CPP_7_3</v>
      </c>
    </row>
    <row r="520" spans="1:22">
      <c r="A520" t="str">
        <f t="shared" si="64"/>
        <v>MIC-7504-Z12xR</v>
      </c>
      <c r="B520" s="403" t="s">
        <v>1360</v>
      </c>
      <c r="C520" s="403" t="s">
        <v>582</v>
      </c>
      <c r="D520" s="403" t="s">
        <v>1361</v>
      </c>
      <c r="E520" s="403" t="s">
        <v>1360</v>
      </c>
      <c r="F520" s="403" t="s">
        <v>1323</v>
      </c>
      <c r="G520" s="403" t="s">
        <v>1466</v>
      </c>
      <c r="H520" s="403" t="s">
        <v>1276</v>
      </c>
      <c r="I520" s="403">
        <v>1</v>
      </c>
      <c r="J520" s="403" t="s">
        <v>1324</v>
      </c>
      <c r="K520" s="403">
        <v>3584</v>
      </c>
      <c r="L520" s="403">
        <v>2016</v>
      </c>
      <c r="M520" s="403" t="s">
        <v>1285</v>
      </c>
      <c r="N520" s="403">
        <v>640</v>
      </c>
      <c r="O520" s="403">
        <v>480</v>
      </c>
      <c r="P520" t="str">
        <f t="shared" si="65"/>
        <v>30fps 3584x2016 - 1280x1024 5:4 (cropped)</v>
      </c>
      <c r="Q520">
        <f t="shared" si="66"/>
        <v>3</v>
      </c>
      <c r="R520" t="str">
        <f t="shared" si="67"/>
        <v/>
      </c>
      <c r="S520" t="str">
        <f t="shared" si="68"/>
        <v/>
      </c>
      <c r="T520" s="403" t="str">
        <f t="shared" si="69"/>
        <v>MIC-7504-Z12xR</v>
      </c>
      <c r="U520" s="403">
        <f t="shared" si="70"/>
        <v>1</v>
      </c>
      <c r="V520" s="403" t="str">
        <f t="shared" si="71"/>
        <v>CPP_7_3</v>
      </c>
    </row>
    <row r="521" spans="1:22">
      <c r="A521" t="str">
        <f t="shared" si="64"/>
        <v>MIC-7504-Z12xR</v>
      </c>
      <c r="B521" s="403" t="s">
        <v>1360</v>
      </c>
      <c r="C521" s="403" t="s">
        <v>582</v>
      </c>
      <c r="D521" s="403" t="s">
        <v>1361</v>
      </c>
      <c r="E521" s="403" t="s">
        <v>1360</v>
      </c>
      <c r="F521" s="403" t="s">
        <v>1323</v>
      </c>
      <c r="G521" s="403" t="s">
        <v>1466</v>
      </c>
      <c r="H521" s="403" t="s">
        <v>1276</v>
      </c>
      <c r="I521" s="403">
        <v>1</v>
      </c>
      <c r="J521" s="403" t="s">
        <v>110</v>
      </c>
      <c r="K521" s="403">
        <v>1920</v>
      </c>
      <c r="L521" s="403">
        <v>1080</v>
      </c>
      <c r="M521" s="403" t="s">
        <v>111</v>
      </c>
      <c r="N521" s="403">
        <v>768</v>
      </c>
      <c r="O521" s="403">
        <v>432</v>
      </c>
      <c r="P521" t="str">
        <f t="shared" si="65"/>
        <v>30fps 1080p - SD</v>
      </c>
      <c r="Q521">
        <f t="shared" si="66"/>
        <v>3</v>
      </c>
      <c r="R521" t="str">
        <f t="shared" si="67"/>
        <v/>
      </c>
      <c r="S521" t="str">
        <f t="shared" si="68"/>
        <v/>
      </c>
      <c r="T521" s="403" t="str">
        <f t="shared" si="69"/>
        <v>MIC-7504-Z12xR</v>
      </c>
      <c r="U521" s="403">
        <f t="shared" si="70"/>
        <v>1</v>
      </c>
      <c r="V521" s="403" t="str">
        <f t="shared" si="71"/>
        <v>CPP_7_3</v>
      </c>
    </row>
    <row r="522" spans="1:22">
      <c r="A522" t="str">
        <f t="shared" si="64"/>
        <v>MIC-7504-Z12xR</v>
      </c>
      <c r="B522" s="403" t="s">
        <v>1360</v>
      </c>
      <c r="C522" s="403" t="s">
        <v>582</v>
      </c>
      <c r="D522" s="403" t="s">
        <v>1361</v>
      </c>
      <c r="E522" s="403" t="s">
        <v>1360</v>
      </c>
      <c r="F522" s="403" t="s">
        <v>1323</v>
      </c>
      <c r="G522" s="403" t="s">
        <v>1466</v>
      </c>
      <c r="H522" s="403" t="s">
        <v>1276</v>
      </c>
      <c r="I522" s="403">
        <v>1</v>
      </c>
      <c r="J522" s="403" t="s">
        <v>110</v>
      </c>
      <c r="K522" s="403">
        <v>1920</v>
      </c>
      <c r="L522" s="403">
        <v>1080</v>
      </c>
      <c r="M522" s="403" t="s">
        <v>110</v>
      </c>
      <c r="N522" s="403">
        <v>1920</v>
      </c>
      <c r="O522" s="403">
        <v>1080</v>
      </c>
      <c r="P522" t="str">
        <f t="shared" si="65"/>
        <v>30fps 1080p - 1080p</v>
      </c>
      <c r="Q522">
        <f t="shared" si="66"/>
        <v>3</v>
      </c>
      <c r="R522" t="str">
        <f t="shared" si="67"/>
        <v/>
      </c>
      <c r="S522" t="str">
        <f t="shared" si="68"/>
        <v/>
      </c>
      <c r="T522" s="403" t="str">
        <f t="shared" si="69"/>
        <v>MIC-7504-Z12xR</v>
      </c>
      <c r="U522" s="403">
        <f t="shared" si="70"/>
        <v>1</v>
      </c>
      <c r="V522" s="403" t="str">
        <f t="shared" si="71"/>
        <v>CPP_7_3</v>
      </c>
    </row>
    <row r="523" spans="1:22">
      <c r="A523" t="str">
        <f t="shared" si="64"/>
        <v>MIC-7504-Z12xR</v>
      </c>
      <c r="B523" s="403" t="s">
        <v>1360</v>
      </c>
      <c r="C523" s="403" t="s">
        <v>582</v>
      </c>
      <c r="D523" s="403" t="s">
        <v>1361</v>
      </c>
      <c r="E523" s="403" t="s">
        <v>1360</v>
      </c>
      <c r="F523" s="403" t="s">
        <v>1323</v>
      </c>
      <c r="G523" s="403" t="s">
        <v>1466</v>
      </c>
      <c r="H523" s="403" t="s">
        <v>1276</v>
      </c>
      <c r="I523" s="403">
        <v>1</v>
      </c>
      <c r="J523" s="403" t="s">
        <v>110</v>
      </c>
      <c r="K523" s="403">
        <v>1920</v>
      </c>
      <c r="L523" s="403">
        <v>1080</v>
      </c>
      <c r="M523" s="403" t="s">
        <v>109</v>
      </c>
      <c r="N523" s="403">
        <v>1280</v>
      </c>
      <c r="O523" s="403">
        <v>720</v>
      </c>
      <c r="P523" t="str">
        <f t="shared" si="65"/>
        <v>30fps 1080p - 720p</v>
      </c>
      <c r="Q523">
        <f t="shared" si="66"/>
        <v>3</v>
      </c>
      <c r="R523" t="str">
        <f t="shared" si="67"/>
        <v/>
      </c>
      <c r="S523" t="str">
        <f t="shared" si="68"/>
        <v/>
      </c>
      <c r="T523" s="403" t="str">
        <f t="shared" si="69"/>
        <v>MIC-7504-Z12xR</v>
      </c>
      <c r="U523" s="403">
        <f t="shared" si="70"/>
        <v>1</v>
      </c>
      <c r="V523" s="403" t="str">
        <f t="shared" si="71"/>
        <v>CPP_7_3</v>
      </c>
    </row>
    <row r="524" spans="1:22">
      <c r="A524" t="str">
        <f t="shared" si="64"/>
        <v>MIC-7504-Z12xR</v>
      </c>
      <c r="B524" s="403" t="s">
        <v>1360</v>
      </c>
      <c r="C524" s="403" t="s">
        <v>582</v>
      </c>
      <c r="D524" s="403" t="s">
        <v>1361</v>
      </c>
      <c r="E524" s="403" t="s">
        <v>1360</v>
      </c>
      <c r="F524" s="403" t="s">
        <v>1323</v>
      </c>
      <c r="G524" s="403" t="s">
        <v>1466</v>
      </c>
      <c r="H524" s="403" t="s">
        <v>1276</v>
      </c>
      <c r="I524" s="403">
        <v>1</v>
      </c>
      <c r="J524" s="403" t="s">
        <v>110</v>
      </c>
      <c r="K524" s="403">
        <v>1920</v>
      </c>
      <c r="L524" s="403">
        <v>1080</v>
      </c>
      <c r="M524" s="403" t="s">
        <v>1285</v>
      </c>
      <c r="N524" s="403">
        <v>1280</v>
      </c>
      <c r="O524" s="403">
        <v>1024</v>
      </c>
      <c r="P524" t="str">
        <f t="shared" si="65"/>
        <v>30fps 1080p - 1280x1024 5:4 (cropped)</v>
      </c>
      <c r="Q524">
        <f t="shared" si="66"/>
        <v>3</v>
      </c>
      <c r="R524" t="str">
        <f t="shared" si="67"/>
        <v/>
      </c>
      <c r="S524" t="str">
        <f t="shared" si="68"/>
        <v/>
      </c>
      <c r="T524" s="403" t="str">
        <f t="shared" si="69"/>
        <v>MIC-7504-Z12xR</v>
      </c>
      <c r="U524" s="403">
        <f t="shared" si="70"/>
        <v>1</v>
      </c>
      <c r="V524" s="403" t="str">
        <f t="shared" si="71"/>
        <v>CPP_7_3</v>
      </c>
    </row>
    <row r="525" spans="1:22">
      <c r="A525" t="str">
        <f t="shared" si="64"/>
        <v>MIC-7504-Z12xR</v>
      </c>
      <c r="B525" s="403" t="s">
        <v>1360</v>
      </c>
      <c r="C525" s="403" t="s">
        <v>582</v>
      </c>
      <c r="D525" s="403" t="s">
        <v>1361</v>
      </c>
      <c r="E525" s="403" t="s">
        <v>1360</v>
      </c>
      <c r="F525" s="403" t="s">
        <v>1323</v>
      </c>
      <c r="G525" s="403" t="s">
        <v>1466</v>
      </c>
      <c r="H525" s="403" t="s">
        <v>1276</v>
      </c>
      <c r="I525" s="403">
        <v>1</v>
      </c>
      <c r="J525" s="403" t="s">
        <v>110</v>
      </c>
      <c r="K525" s="403">
        <v>1920</v>
      </c>
      <c r="L525" s="403">
        <v>1080</v>
      </c>
      <c r="M525" s="403" t="s">
        <v>1283</v>
      </c>
      <c r="N525" s="403">
        <v>720</v>
      </c>
      <c r="O525" s="403">
        <v>480</v>
      </c>
      <c r="P525" t="str">
        <f t="shared" si="65"/>
        <v>30fps 1080p - SD 4CIF resolution 4:3 format (cropped)</v>
      </c>
      <c r="Q525">
        <f t="shared" si="66"/>
        <v>3</v>
      </c>
      <c r="R525" t="str">
        <f t="shared" si="67"/>
        <v/>
      </c>
      <c r="S525" t="str">
        <f t="shared" si="68"/>
        <v/>
      </c>
      <c r="T525" s="403" t="str">
        <f t="shared" si="69"/>
        <v>MIC-7504-Z12xR</v>
      </c>
      <c r="U525" s="403">
        <f t="shared" si="70"/>
        <v>1</v>
      </c>
      <c r="V525" s="403" t="str">
        <f t="shared" si="71"/>
        <v>CPP_7_3</v>
      </c>
    </row>
    <row r="526" spans="1:22">
      <c r="A526" t="str">
        <f t="shared" si="64"/>
        <v>MIC-7504-Z12xR</v>
      </c>
      <c r="B526" s="403" t="s">
        <v>1360</v>
      </c>
      <c r="C526" s="403" t="s">
        <v>582</v>
      </c>
      <c r="D526" s="403" t="s">
        <v>1361</v>
      </c>
      <c r="E526" s="403" t="s">
        <v>1360</v>
      </c>
      <c r="F526" s="403" t="s">
        <v>1323</v>
      </c>
      <c r="G526" s="403" t="s">
        <v>1466</v>
      </c>
      <c r="H526" s="403" t="s">
        <v>1276</v>
      </c>
      <c r="I526" s="403">
        <v>1</v>
      </c>
      <c r="J526" s="403" t="s">
        <v>110</v>
      </c>
      <c r="K526" s="403">
        <v>1920</v>
      </c>
      <c r="L526" s="403">
        <v>1080</v>
      </c>
      <c r="M526" s="403" t="s">
        <v>1284</v>
      </c>
      <c r="N526" s="403">
        <v>640</v>
      </c>
      <c r="O526" s="403">
        <v>480</v>
      </c>
      <c r="P526" t="str">
        <f t="shared" si="65"/>
        <v>30fps 1080p - SD VGA (cropped)</v>
      </c>
      <c r="Q526">
        <f t="shared" si="66"/>
        <v>3</v>
      </c>
      <c r="R526" t="str">
        <f t="shared" si="67"/>
        <v/>
      </c>
      <c r="S526" t="str">
        <f t="shared" si="68"/>
        <v/>
      </c>
      <c r="T526" s="403" t="str">
        <f t="shared" si="69"/>
        <v>MIC-7504-Z12xR</v>
      </c>
      <c r="U526" s="403">
        <f t="shared" si="70"/>
        <v>1</v>
      </c>
      <c r="V526" s="403" t="str">
        <f t="shared" si="71"/>
        <v>CPP_7_3</v>
      </c>
    </row>
    <row r="527" spans="1:22">
      <c r="A527" t="str">
        <f t="shared" si="64"/>
        <v>MIC-7504-Z12xR</v>
      </c>
      <c r="B527" s="403" t="s">
        <v>1360</v>
      </c>
      <c r="C527" s="403" t="s">
        <v>582</v>
      </c>
      <c r="D527" s="403" t="s">
        <v>1361</v>
      </c>
      <c r="E527" s="403" t="s">
        <v>1360</v>
      </c>
      <c r="F527" s="403" t="s">
        <v>1323</v>
      </c>
      <c r="G527" s="403" t="s">
        <v>1466</v>
      </c>
      <c r="H527" s="403" t="s">
        <v>1276</v>
      </c>
      <c r="I527" s="403">
        <v>1</v>
      </c>
      <c r="J527" s="403" t="s">
        <v>109</v>
      </c>
      <c r="K527" s="403">
        <v>1280</v>
      </c>
      <c r="L527" s="403">
        <v>720</v>
      </c>
      <c r="M527" s="403" t="s">
        <v>109</v>
      </c>
      <c r="N527" s="403">
        <v>1280</v>
      </c>
      <c r="O527" s="403">
        <v>720</v>
      </c>
      <c r="P527" t="str">
        <f t="shared" si="65"/>
        <v>30fps 720p - 720p</v>
      </c>
      <c r="Q527">
        <f t="shared" si="66"/>
        <v>3</v>
      </c>
      <c r="R527" t="str">
        <f t="shared" si="67"/>
        <v/>
      </c>
      <c r="S527" t="str">
        <f t="shared" si="68"/>
        <v/>
      </c>
      <c r="T527" s="403" t="str">
        <f t="shared" si="69"/>
        <v>MIC-7504-Z12xR</v>
      </c>
      <c r="U527" s="403">
        <f t="shared" si="70"/>
        <v>1</v>
      </c>
      <c r="V527" s="403" t="str">
        <f t="shared" si="71"/>
        <v>CPP_7_3</v>
      </c>
    </row>
    <row r="528" spans="1:22">
      <c r="A528" t="str">
        <f t="shared" si="64"/>
        <v>MIC-7504-Z12xR</v>
      </c>
      <c r="B528" s="403" t="s">
        <v>1360</v>
      </c>
      <c r="C528" s="403" t="s">
        <v>582</v>
      </c>
      <c r="D528" s="403" t="s">
        <v>1361</v>
      </c>
      <c r="E528" s="403" t="s">
        <v>1360</v>
      </c>
      <c r="F528" s="403" t="s">
        <v>1323</v>
      </c>
      <c r="G528" s="403" t="s">
        <v>1466</v>
      </c>
      <c r="H528" s="403" t="s">
        <v>1276</v>
      </c>
      <c r="I528" s="403">
        <v>1</v>
      </c>
      <c r="J528" s="403" t="s">
        <v>109</v>
      </c>
      <c r="K528" s="403">
        <v>1280</v>
      </c>
      <c r="L528" s="403">
        <v>720</v>
      </c>
      <c r="M528" s="403" t="s">
        <v>111</v>
      </c>
      <c r="N528" s="403">
        <v>768</v>
      </c>
      <c r="O528" s="403">
        <v>432</v>
      </c>
      <c r="P528" t="str">
        <f t="shared" si="65"/>
        <v>30fps 720p - SD</v>
      </c>
      <c r="Q528">
        <f t="shared" si="66"/>
        <v>3</v>
      </c>
      <c r="R528" t="str">
        <f t="shared" si="67"/>
        <v/>
      </c>
      <c r="S528" t="str">
        <f t="shared" si="68"/>
        <v/>
      </c>
      <c r="T528" s="403" t="str">
        <f t="shared" si="69"/>
        <v>MIC-7504-Z12xR</v>
      </c>
      <c r="U528" s="403">
        <f t="shared" si="70"/>
        <v>1</v>
      </c>
      <c r="V528" s="403" t="str">
        <f t="shared" si="71"/>
        <v>CPP_7_3</v>
      </c>
    </row>
    <row r="529" spans="1:22">
      <c r="A529" t="str">
        <f t="shared" si="64"/>
        <v>MIC-7504-Z12xR</v>
      </c>
      <c r="B529" s="403" t="s">
        <v>1360</v>
      </c>
      <c r="C529" s="403" t="s">
        <v>582</v>
      </c>
      <c r="D529" s="403" t="s">
        <v>1361</v>
      </c>
      <c r="E529" s="403" t="s">
        <v>1360</v>
      </c>
      <c r="F529" s="403" t="s">
        <v>1323</v>
      </c>
      <c r="G529" s="403" t="s">
        <v>1466</v>
      </c>
      <c r="H529" s="403" t="s">
        <v>1276</v>
      </c>
      <c r="I529" s="403">
        <v>1</v>
      </c>
      <c r="J529" s="403" t="s">
        <v>109</v>
      </c>
      <c r="K529" s="403">
        <v>1280</v>
      </c>
      <c r="L529" s="403">
        <v>720</v>
      </c>
      <c r="M529" s="403" t="s">
        <v>1283</v>
      </c>
      <c r="N529" s="403">
        <v>720</v>
      </c>
      <c r="O529" s="403">
        <v>480</v>
      </c>
      <c r="P529" t="str">
        <f t="shared" si="65"/>
        <v>30fps 720p - SD 4CIF resolution 4:3 format (cropped)</v>
      </c>
      <c r="Q529">
        <f t="shared" si="66"/>
        <v>3</v>
      </c>
      <c r="R529" t="str">
        <f t="shared" si="67"/>
        <v/>
      </c>
      <c r="S529" t="str">
        <f t="shared" si="68"/>
        <v/>
      </c>
      <c r="T529" s="403" t="str">
        <f t="shared" si="69"/>
        <v>MIC-7504-Z12xR</v>
      </c>
      <c r="U529" s="403">
        <f t="shared" si="70"/>
        <v>1</v>
      </c>
      <c r="V529" s="403" t="str">
        <f t="shared" si="71"/>
        <v>CPP_7_3</v>
      </c>
    </row>
    <row r="530" spans="1:22">
      <c r="A530" t="str">
        <f t="shared" si="64"/>
        <v>MIC-7504-Z12xR</v>
      </c>
      <c r="B530" s="403" t="s">
        <v>1360</v>
      </c>
      <c r="C530" s="403" t="s">
        <v>582</v>
      </c>
      <c r="D530" s="403" t="s">
        <v>1361</v>
      </c>
      <c r="E530" s="403" t="s">
        <v>1360</v>
      </c>
      <c r="F530" s="403" t="s">
        <v>1323</v>
      </c>
      <c r="G530" s="403" t="s">
        <v>1466</v>
      </c>
      <c r="H530" s="403" t="s">
        <v>1276</v>
      </c>
      <c r="I530" s="403">
        <v>1</v>
      </c>
      <c r="J530" s="403" t="s">
        <v>109</v>
      </c>
      <c r="K530" s="403">
        <v>1280</v>
      </c>
      <c r="L530" s="403">
        <v>720</v>
      </c>
      <c r="M530" s="403" t="s">
        <v>1284</v>
      </c>
      <c r="N530" s="403">
        <v>640</v>
      </c>
      <c r="O530" s="403">
        <v>480</v>
      </c>
      <c r="P530" t="str">
        <f t="shared" si="65"/>
        <v>30fps 720p - SD VGA (cropped)</v>
      </c>
      <c r="Q530">
        <f t="shared" si="66"/>
        <v>3</v>
      </c>
      <c r="R530" t="str">
        <f t="shared" si="67"/>
        <v/>
      </c>
      <c r="S530" t="str">
        <f t="shared" si="68"/>
        <v/>
      </c>
      <c r="T530" s="403" t="str">
        <f t="shared" si="69"/>
        <v>MIC-7504-Z12xR</v>
      </c>
      <c r="U530" s="403">
        <f t="shared" si="70"/>
        <v>1</v>
      </c>
      <c r="V530" s="403" t="str">
        <f t="shared" si="71"/>
        <v>CPP_7_3</v>
      </c>
    </row>
    <row r="531" spans="1:22">
      <c r="A531" t="str">
        <f t="shared" si="64"/>
        <v>MIC-7504-Z12xR</v>
      </c>
      <c r="B531" s="403" t="s">
        <v>1360</v>
      </c>
      <c r="C531" s="403" t="s">
        <v>582</v>
      </c>
      <c r="D531" s="403" t="s">
        <v>1361</v>
      </c>
      <c r="E531" s="403" t="s">
        <v>1360</v>
      </c>
      <c r="F531" s="403" t="s">
        <v>1323</v>
      </c>
      <c r="G531" s="403" t="s">
        <v>1466</v>
      </c>
      <c r="H531" s="403" t="s">
        <v>1281</v>
      </c>
      <c r="I531" s="403">
        <v>1</v>
      </c>
      <c r="J531" s="403" t="s">
        <v>110</v>
      </c>
      <c r="K531" s="403">
        <v>1920</v>
      </c>
      <c r="L531" s="403">
        <v>1080</v>
      </c>
      <c r="M531" s="403" t="s">
        <v>111</v>
      </c>
      <c r="N531" s="403">
        <v>768</v>
      </c>
      <c r="O531" s="403">
        <v>432</v>
      </c>
      <c r="P531" t="str">
        <f t="shared" si="65"/>
        <v>30fps 1080p - SD</v>
      </c>
      <c r="Q531">
        <f t="shared" si="66"/>
        <v>3</v>
      </c>
      <c r="R531" t="str">
        <f t="shared" si="67"/>
        <v/>
      </c>
      <c r="S531" t="str">
        <f t="shared" si="68"/>
        <v/>
      </c>
      <c r="T531" s="403" t="str">
        <f t="shared" si="69"/>
        <v>MIC-7504-Z12xR</v>
      </c>
      <c r="U531" s="403">
        <f t="shared" si="70"/>
        <v>1</v>
      </c>
      <c r="V531" s="403" t="str">
        <f t="shared" si="71"/>
        <v>CPP_7_3</v>
      </c>
    </row>
    <row r="532" spans="1:22">
      <c r="A532" t="str">
        <f t="shared" si="64"/>
        <v>MIC-7504-Z12xR</v>
      </c>
      <c r="B532" s="403" t="s">
        <v>1360</v>
      </c>
      <c r="C532" s="403" t="s">
        <v>582</v>
      </c>
      <c r="D532" s="403" t="s">
        <v>1361</v>
      </c>
      <c r="E532" s="403" t="s">
        <v>1360</v>
      </c>
      <c r="F532" s="403" t="s">
        <v>1323</v>
      </c>
      <c r="G532" s="403" t="s">
        <v>1466</v>
      </c>
      <c r="H532" s="403" t="s">
        <v>1281</v>
      </c>
      <c r="I532" s="403">
        <v>1</v>
      </c>
      <c r="J532" s="403" t="s">
        <v>110</v>
      </c>
      <c r="K532" s="403">
        <v>1920</v>
      </c>
      <c r="L532" s="403">
        <v>1080</v>
      </c>
      <c r="M532" s="403" t="s">
        <v>110</v>
      </c>
      <c r="N532" s="403">
        <v>1920</v>
      </c>
      <c r="O532" s="403">
        <v>1080</v>
      </c>
      <c r="P532" t="str">
        <f t="shared" si="65"/>
        <v>30fps 1080p - 1080p</v>
      </c>
      <c r="Q532">
        <f t="shared" si="66"/>
        <v>3</v>
      </c>
      <c r="R532" t="str">
        <f t="shared" si="67"/>
        <v/>
      </c>
      <c r="S532" t="str">
        <f t="shared" si="68"/>
        <v/>
      </c>
      <c r="T532" s="403" t="str">
        <f t="shared" si="69"/>
        <v>MIC-7504-Z12xR</v>
      </c>
      <c r="U532" s="403">
        <f t="shared" si="70"/>
        <v>1</v>
      </c>
      <c r="V532" s="403" t="str">
        <f t="shared" si="71"/>
        <v>CPP_7_3</v>
      </c>
    </row>
    <row r="533" spans="1:22">
      <c r="A533" t="str">
        <f t="shared" si="64"/>
        <v>MIC-7504-Z12xR</v>
      </c>
      <c r="B533" s="403" t="s">
        <v>1360</v>
      </c>
      <c r="C533" s="403" t="s">
        <v>582</v>
      </c>
      <c r="D533" s="403" t="s">
        <v>1361</v>
      </c>
      <c r="E533" s="403" t="s">
        <v>1360</v>
      </c>
      <c r="F533" s="403" t="s">
        <v>1323</v>
      </c>
      <c r="G533" s="403" t="s">
        <v>1466</v>
      </c>
      <c r="H533" s="403" t="s">
        <v>1281</v>
      </c>
      <c r="I533" s="403">
        <v>1</v>
      </c>
      <c r="J533" s="403" t="s">
        <v>110</v>
      </c>
      <c r="K533" s="403">
        <v>1920</v>
      </c>
      <c r="L533" s="403">
        <v>1080</v>
      </c>
      <c r="M533" s="403" t="s">
        <v>109</v>
      </c>
      <c r="N533" s="403">
        <v>1280</v>
      </c>
      <c r="O533" s="403">
        <v>720</v>
      </c>
      <c r="P533" t="str">
        <f t="shared" si="65"/>
        <v>30fps 1080p - 720p</v>
      </c>
      <c r="Q533">
        <f t="shared" si="66"/>
        <v>3</v>
      </c>
      <c r="R533" t="str">
        <f t="shared" si="67"/>
        <v/>
      </c>
      <c r="S533" t="str">
        <f t="shared" si="68"/>
        <v/>
      </c>
      <c r="T533" s="403" t="str">
        <f t="shared" si="69"/>
        <v>MIC-7504-Z12xR</v>
      </c>
      <c r="U533" s="403">
        <f t="shared" si="70"/>
        <v>1</v>
      </c>
      <c r="V533" s="403" t="str">
        <f t="shared" si="71"/>
        <v>CPP_7_3</v>
      </c>
    </row>
    <row r="534" spans="1:22">
      <c r="A534" t="str">
        <f t="shared" si="64"/>
        <v>MIC-7504-Z12xR</v>
      </c>
      <c r="B534" s="403" t="s">
        <v>1360</v>
      </c>
      <c r="C534" s="403" t="s">
        <v>582</v>
      </c>
      <c r="D534" s="403" t="s">
        <v>1361</v>
      </c>
      <c r="E534" s="403" t="s">
        <v>1360</v>
      </c>
      <c r="F534" s="403" t="s">
        <v>1323</v>
      </c>
      <c r="G534" s="403" t="s">
        <v>1466</v>
      </c>
      <c r="H534" s="403" t="s">
        <v>1281</v>
      </c>
      <c r="I534" s="403">
        <v>1</v>
      </c>
      <c r="J534" s="403" t="s">
        <v>110</v>
      </c>
      <c r="K534" s="403">
        <v>1920</v>
      </c>
      <c r="L534" s="403">
        <v>1080</v>
      </c>
      <c r="M534" s="403" t="s">
        <v>1285</v>
      </c>
      <c r="N534" s="403">
        <v>1280</v>
      </c>
      <c r="O534" s="403">
        <v>1024</v>
      </c>
      <c r="P534" t="str">
        <f t="shared" si="65"/>
        <v>30fps 1080p - 1280x1024 5:4 (cropped)</v>
      </c>
      <c r="Q534">
        <f t="shared" si="66"/>
        <v>3</v>
      </c>
      <c r="R534" t="str">
        <f t="shared" si="67"/>
        <v/>
      </c>
      <c r="S534" t="str">
        <f t="shared" si="68"/>
        <v/>
      </c>
      <c r="T534" s="403" t="str">
        <f t="shared" si="69"/>
        <v>MIC-7504-Z12xR</v>
      </c>
      <c r="U534" s="403">
        <f t="shared" si="70"/>
        <v>1</v>
      </c>
      <c r="V534" s="403" t="str">
        <f t="shared" si="71"/>
        <v>CPP_7_3</v>
      </c>
    </row>
    <row r="535" spans="1:22">
      <c r="A535" t="str">
        <f t="shared" si="64"/>
        <v>MIC-7504-Z12xR</v>
      </c>
      <c r="B535" s="403" t="s">
        <v>1360</v>
      </c>
      <c r="C535" s="403" t="s">
        <v>582</v>
      </c>
      <c r="D535" s="403" t="s">
        <v>1361</v>
      </c>
      <c r="E535" s="403" t="s">
        <v>1360</v>
      </c>
      <c r="F535" s="403" t="s">
        <v>1323</v>
      </c>
      <c r="G535" s="403" t="s">
        <v>1466</v>
      </c>
      <c r="H535" s="403" t="s">
        <v>1281</v>
      </c>
      <c r="I535" s="403">
        <v>1</v>
      </c>
      <c r="J535" s="403" t="s">
        <v>110</v>
      </c>
      <c r="K535" s="403">
        <v>1920</v>
      </c>
      <c r="L535" s="403">
        <v>1080</v>
      </c>
      <c r="M535" s="403" t="s">
        <v>1283</v>
      </c>
      <c r="N535" s="403">
        <v>720</v>
      </c>
      <c r="O535" s="403">
        <v>480</v>
      </c>
      <c r="P535" t="str">
        <f t="shared" si="65"/>
        <v>30fps 1080p - SD 4CIF resolution 4:3 format (cropped)</v>
      </c>
      <c r="Q535">
        <f t="shared" si="66"/>
        <v>3</v>
      </c>
      <c r="R535" t="str">
        <f t="shared" si="67"/>
        <v/>
      </c>
      <c r="S535" t="str">
        <f t="shared" si="68"/>
        <v/>
      </c>
      <c r="T535" s="403" t="str">
        <f t="shared" si="69"/>
        <v>MIC-7504-Z12xR</v>
      </c>
      <c r="U535" s="403">
        <f t="shared" si="70"/>
        <v>1</v>
      </c>
      <c r="V535" s="403" t="str">
        <f t="shared" si="71"/>
        <v>CPP_7_3</v>
      </c>
    </row>
    <row r="536" spans="1:22">
      <c r="A536" t="str">
        <f t="shared" si="64"/>
        <v>MIC-7504-Z12xR</v>
      </c>
      <c r="B536" s="403" t="s">
        <v>1360</v>
      </c>
      <c r="C536" s="403" t="s">
        <v>582</v>
      </c>
      <c r="D536" s="403" t="s">
        <v>1361</v>
      </c>
      <c r="E536" s="403" t="s">
        <v>1360</v>
      </c>
      <c r="F536" s="403" t="s">
        <v>1323</v>
      </c>
      <c r="G536" s="403" t="s">
        <v>1466</v>
      </c>
      <c r="H536" s="403" t="s">
        <v>1281</v>
      </c>
      <c r="I536" s="403">
        <v>1</v>
      </c>
      <c r="J536" s="403" t="s">
        <v>110</v>
      </c>
      <c r="K536" s="403">
        <v>1920</v>
      </c>
      <c r="L536" s="403">
        <v>1080</v>
      </c>
      <c r="M536" s="403" t="s">
        <v>1284</v>
      </c>
      <c r="N536" s="403">
        <v>640</v>
      </c>
      <c r="O536" s="403">
        <v>480</v>
      </c>
      <c r="P536" t="str">
        <f t="shared" si="65"/>
        <v>30fps 1080p - SD VGA (cropped)</v>
      </c>
      <c r="Q536">
        <f t="shared" si="66"/>
        <v>3</v>
      </c>
      <c r="R536" t="str">
        <f t="shared" si="67"/>
        <v/>
      </c>
      <c r="S536" t="str">
        <f t="shared" si="68"/>
        <v/>
      </c>
      <c r="T536" s="403" t="str">
        <f t="shared" si="69"/>
        <v>MIC-7504-Z12xR</v>
      </c>
      <c r="U536" s="403">
        <f t="shared" si="70"/>
        <v>1</v>
      </c>
      <c r="V536" s="403" t="str">
        <f t="shared" si="71"/>
        <v>CPP_7_3</v>
      </c>
    </row>
    <row r="537" spans="1:22">
      <c r="A537" t="str">
        <f t="shared" si="64"/>
        <v>MIC-7504-Z12xR</v>
      </c>
      <c r="B537" s="403" t="s">
        <v>1360</v>
      </c>
      <c r="C537" s="403" t="s">
        <v>582</v>
      </c>
      <c r="D537" s="403" t="s">
        <v>1361</v>
      </c>
      <c r="E537" s="403" t="s">
        <v>1360</v>
      </c>
      <c r="F537" s="403" t="s">
        <v>1323</v>
      </c>
      <c r="G537" s="403" t="s">
        <v>1466</v>
      </c>
      <c r="H537" s="403" t="s">
        <v>1281</v>
      </c>
      <c r="I537" s="403">
        <v>1</v>
      </c>
      <c r="J537" s="403" t="s">
        <v>109</v>
      </c>
      <c r="K537" s="403">
        <v>1280</v>
      </c>
      <c r="L537" s="403">
        <v>720</v>
      </c>
      <c r="M537" s="403" t="s">
        <v>109</v>
      </c>
      <c r="N537" s="403">
        <v>1280</v>
      </c>
      <c r="O537" s="403">
        <v>720</v>
      </c>
      <c r="P537" t="str">
        <f t="shared" si="65"/>
        <v>30fps 720p - 720p</v>
      </c>
      <c r="Q537">
        <f t="shared" si="66"/>
        <v>3</v>
      </c>
      <c r="R537" t="str">
        <f t="shared" si="67"/>
        <v/>
      </c>
      <c r="S537" t="str">
        <f t="shared" si="68"/>
        <v/>
      </c>
      <c r="T537" s="403" t="str">
        <f t="shared" si="69"/>
        <v>MIC-7504-Z12xR</v>
      </c>
      <c r="U537" s="403">
        <f t="shared" si="70"/>
        <v>1</v>
      </c>
      <c r="V537" s="403" t="str">
        <f t="shared" si="71"/>
        <v>CPP_7_3</v>
      </c>
    </row>
    <row r="538" spans="1:22">
      <c r="A538" t="str">
        <f t="shared" si="64"/>
        <v>MIC-7504-Z12xR</v>
      </c>
      <c r="B538" s="403" t="s">
        <v>1360</v>
      </c>
      <c r="C538" s="403" t="s">
        <v>582</v>
      </c>
      <c r="D538" s="403" t="s">
        <v>1361</v>
      </c>
      <c r="E538" s="403" t="s">
        <v>1360</v>
      </c>
      <c r="F538" s="403" t="s">
        <v>1323</v>
      </c>
      <c r="G538" s="403" t="s">
        <v>1466</v>
      </c>
      <c r="H538" s="403" t="s">
        <v>1281</v>
      </c>
      <c r="I538" s="403">
        <v>1</v>
      </c>
      <c r="J538" s="403" t="s">
        <v>109</v>
      </c>
      <c r="K538" s="403">
        <v>1280</v>
      </c>
      <c r="L538" s="403">
        <v>720</v>
      </c>
      <c r="M538" s="403" t="s">
        <v>111</v>
      </c>
      <c r="N538" s="403">
        <v>768</v>
      </c>
      <c r="O538" s="403">
        <v>432</v>
      </c>
      <c r="P538" t="str">
        <f t="shared" si="65"/>
        <v>30fps 720p - SD</v>
      </c>
      <c r="Q538">
        <f t="shared" si="66"/>
        <v>3</v>
      </c>
      <c r="R538" t="str">
        <f t="shared" si="67"/>
        <v/>
      </c>
      <c r="S538" t="str">
        <f t="shared" si="68"/>
        <v/>
      </c>
      <c r="T538" s="403" t="str">
        <f t="shared" si="69"/>
        <v>MIC-7504-Z12xR</v>
      </c>
      <c r="U538" s="403">
        <f t="shared" si="70"/>
        <v>1</v>
      </c>
      <c r="V538" s="403" t="str">
        <f t="shared" si="71"/>
        <v>CPP_7_3</v>
      </c>
    </row>
    <row r="539" spans="1:22">
      <c r="A539" t="str">
        <f t="shared" si="64"/>
        <v>MIC-7504-Z12xR</v>
      </c>
      <c r="B539" s="403" t="s">
        <v>1360</v>
      </c>
      <c r="C539" s="403" t="s">
        <v>582</v>
      </c>
      <c r="D539" s="403" t="s">
        <v>1361</v>
      </c>
      <c r="E539" s="403" t="s">
        <v>1360</v>
      </c>
      <c r="F539" s="403" t="s">
        <v>1323</v>
      </c>
      <c r="G539" s="403" t="s">
        <v>1466</v>
      </c>
      <c r="H539" s="403" t="s">
        <v>1281</v>
      </c>
      <c r="I539" s="403">
        <v>1</v>
      </c>
      <c r="J539" s="403" t="s">
        <v>109</v>
      </c>
      <c r="K539" s="403">
        <v>1280</v>
      </c>
      <c r="L539" s="403">
        <v>720</v>
      </c>
      <c r="M539" s="403" t="s">
        <v>1283</v>
      </c>
      <c r="N539" s="403">
        <v>720</v>
      </c>
      <c r="O539" s="403">
        <v>480</v>
      </c>
      <c r="P539" t="str">
        <f t="shared" si="65"/>
        <v>30fps 720p - SD 4CIF resolution 4:3 format (cropped)</v>
      </c>
      <c r="Q539">
        <f t="shared" si="66"/>
        <v>3</v>
      </c>
      <c r="R539" t="str">
        <f t="shared" si="67"/>
        <v/>
      </c>
      <c r="S539" t="str">
        <f t="shared" si="68"/>
        <v/>
      </c>
      <c r="T539" s="403" t="str">
        <f t="shared" si="69"/>
        <v>MIC-7504-Z12xR</v>
      </c>
      <c r="U539" s="403">
        <f t="shared" si="70"/>
        <v>1</v>
      </c>
      <c r="V539" s="403" t="str">
        <f t="shared" si="71"/>
        <v>CPP_7_3</v>
      </c>
    </row>
    <row r="540" spans="1:22">
      <c r="A540" t="str">
        <f t="shared" si="64"/>
        <v>MIC-7504-Z12xR</v>
      </c>
      <c r="B540" s="403" t="s">
        <v>1360</v>
      </c>
      <c r="C540" s="403" t="s">
        <v>582</v>
      </c>
      <c r="D540" s="403" t="s">
        <v>1361</v>
      </c>
      <c r="E540" s="403" t="s">
        <v>1360</v>
      </c>
      <c r="F540" s="403" t="s">
        <v>1323</v>
      </c>
      <c r="G540" s="403" t="s">
        <v>1466</v>
      </c>
      <c r="H540" s="403" t="s">
        <v>1281</v>
      </c>
      <c r="I540" s="403">
        <v>1</v>
      </c>
      <c r="J540" s="403" t="s">
        <v>109</v>
      </c>
      <c r="K540" s="403">
        <v>1280</v>
      </c>
      <c r="L540" s="403">
        <v>720</v>
      </c>
      <c r="M540" s="403" t="s">
        <v>1284</v>
      </c>
      <c r="N540" s="403">
        <v>640</v>
      </c>
      <c r="O540" s="403">
        <v>480</v>
      </c>
      <c r="P540" t="str">
        <f t="shared" si="65"/>
        <v>30fps 720p - SD VGA (cropped)</v>
      </c>
      <c r="Q540">
        <f t="shared" si="66"/>
        <v>3</v>
      </c>
      <c r="R540" t="str">
        <f t="shared" si="67"/>
        <v/>
      </c>
      <c r="S540" t="str">
        <f t="shared" si="68"/>
        <v/>
      </c>
      <c r="T540" s="403" t="str">
        <f t="shared" si="69"/>
        <v>MIC-7504-Z12xR</v>
      </c>
      <c r="U540" s="403">
        <f t="shared" si="70"/>
        <v>1</v>
      </c>
      <c r="V540" s="403" t="str">
        <f t="shared" si="71"/>
        <v>CPP_7_3</v>
      </c>
    </row>
    <row r="541" spans="1:22">
      <c r="A541" t="str">
        <f t="shared" si="64"/>
        <v>MIC-7504-Z12xR</v>
      </c>
      <c r="B541" s="403" t="s">
        <v>1360</v>
      </c>
      <c r="C541" s="403" t="s">
        <v>582</v>
      </c>
      <c r="D541" s="403" t="s">
        <v>1361</v>
      </c>
      <c r="E541" s="403" t="s">
        <v>1360</v>
      </c>
      <c r="F541" s="403" t="s">
        <v>1323</v>
      </c>
      <c r="G541" s="403" t="s">
        <v>1466</v>
      </c>
      <c r="H541" s="403" t="s">
        <v>1282</v>
      </c>
      <c r="I541" s="403">
        <v>1</v>
      </c>
      <c r="J541" s="403" t="s">
        <v>1324</v>
      </c>
      <c r="K541" s="403">
        <v>3584</v>
      </c>
      <c r="L541" s="403">
        <v>2016</v>
      </c>
      <c r="M541" s="403" t="s">
        <v>1280</v>
      </c>
      <c r="N541" s="403">
        <v>3584</v>
      </c>
      <c r="O541" s="403">
        <v>2016</v>
      </c>
      <c r="P541" t="str">
        <f t="shared" si="65"/>
        <v>30fps 3584x2016 - copy other stream</v>
      </c>
      <c r="Q541">
        <f t="shared" si="66"/>
        <v>3</v>
      </c>
      <c r="R541" t="str">
        <f t="shared" si="67"/>
        <v/>
      </c>
      <c r="S541" t="str">
        <f t="shared" si="68"/>
        <v/>
      </c>
      <c r="T541" s="403" t="str">
        <f t="shared" si="69"/>
        <v>MIC-7504-Z12xR</v>
      </c>
      <c r="U541" s="403">
        <f t="shared" si="70"/>
        <v>1</v>
      </c>
      <c r="V541" s="403" t="str">
        <f t="shared" si="71"/>
        <v>CPP_7_3</v>
      </c>
    </row>
    <row r="542" spans="1:22">
      <c r="A542" t="str">
        <f t="shared" si="64"/>
        <v>MIC-7504-Z12xR</v>
      </c>
      <c r="B542" s="403" t="s">
        <v>1360</v>
      </c>
      <c r="C542" s="403" t="s">
        <v>582</v>
      </c>
      <c r="D542" s="403" t="s">
        <v>1361</v>
      </c>
      <c r="E542" s="403" t="s">
        <v>1360</v>
      </c>
      <c r="F542" s="403" t="s">
        <v>1323</v>
      </c>
      <c r="G542" s="403" t="s">
        <v>1466</v>
      </c>
      <c r="H542" s="403" t="s">
        <v>1282</v>
      </c>
      <c r="I542" s="403">
        <v>1</v>
      </c>
      <c r="J542" s="403" t="s">
        <v>110</v>
      </c>
      <c r="K542" s="403">
        <v>1920</v>
      </c>
      <c r="L542" s="403">
        <v>1080</v>
      </c>
      <c r="M542" s="403" t="s">
        <v>111</v>
      </c>
      <c r="N542" s="403">
        <v>768</v>
      </c>
      <c r="O542" s="403">
        <v>432</v>
      </c>
      <c r="P542" t="str">
        <f t="shared" si="65"/>
        <v>30fps 1080p - SD</v>
      </c>
      <c r="Q542">
        <f t="shared" si="66"/>
        <v>3</v>
      </c>
      <c r="R542" t="str">
        <f t="shared" si="67"/>
        <v/>
      </c>
      <c r="S542" t="str">
        <f t="shared" si="68"/>
        <v/>
      </c>
      <c r="T542" s="403" t="str">
        <f t="shared" si="69"/>
        <v>MIC-7504-Z12xR</v>
      </c>
      <c r="U542" s="403">
        <f t="shared" si="70"/>
        <v>1</v>
      </c>
      <c r="V542" s="403" t="str">
        <f t="shared" si="71"/>
        <v>CPP_7_3</v>
      </c>
    </row>
    <row r="543" spans="1:22">
      <c r="A543" t="str">
        <f t="shared" si="64"/>
        <v>MIC-7504-Z12xR</v>
      </c>
      <c r="B543" s="403" t="s">
        <v>1360</v>
      </c>
      <c r="C543" s="403" t="s">
        <v>582</v>
      </c>
      <c r="D543" s="403" t="s">
        <v>1361</v>
      </c>
      <c r="E543" s="403" t="s">
        <v>1360</v>
      </c>
      <c r="F543" s="403" t="s">
        <v>1323</v>
      </c>
      <c r="G543" s="403" t="s">
        <v>1466</v>
      </c>
      <c r="H543" s="403" t="s">
        <v>1282</v>
      </c>
      <c r="I543" s="403">
        <v>1</v>
      </c>
      <c r="J543" s="403" t="s">
        <v>110</v>
      </c>
      <c r="K543" s="403">
        <v>1920</v>
      </c>
      <c r="L543" s="403">
        <v>1080</v>
      </c>
      <c r="M543" s="403" t="s">
        <v>110</v>
      </c>
      <c r="N543" s="403">
        <v>1920</v>
      </c>
      <c r="O543" s="403">
        <v>1080</v>
      </c>
      <c r="P543" t="str">
        <f t="shared" si="65"/>
        <v>30fps 1080p - 1080p</v>
      </c>
      <c r="Q543">
        <f t="shared" si="66"/>
        <v>3</v>
      </c>
      <c r="R543" t="str">
        <f t="shared" si="67"/>
        <v/>
      </c>
      <c r="S543" t="str">
        <f t="shared" si="68"/>
        <v/>
      </c>
      <c r="T543" s="403" t="str">
        <f t="shared" si="69"/>
        <v>MIC-7504-Z12xR</v>
      </c>
      <c r="U543" s="403">
        <f t="shared" si="70"/>
        <v>1</v>
      </c>
      <c r="V543" s="403" t="str">
        <f t="shared" si="71"/>
        <v>CPP_7_3</v>
      </c>
    </row>
    <row r="544" spans="1:22">
      <c r="A544" t="str">
        <f t="shared" si="64"/>
        <v>MIC-7504-Z12xR</v>
      </c>
      <c r="B544" s="403" t="s">
        <v>1360</v>
      </c>
      <c r="C544" s="403" t="s">
        <v>582</v>
      </c>
      <c r="D544" s="403" t="s">
        <v>1361</v>
      </c>
      <c r="E544" s="403" t="s">
        <v>1360</v>
      </c>
      <c r="F544" s="403" t="s">
        <v>1323</v>
      </c>
      <c r="G544" s="403" t="s">
        <v>1466</v>
      </c>
      <c r="H544" s="403" t="s">
        <v>1282</v>
      </c>
      <c r="I544" s="403">
        <v>1</v>
      </c>
      <c r="J544" s="403" t="s">
        <v>110</v>
      </c>
      <c r="K544" s="403">
        <v>1920</v>
      </c>
      <c r="L544" s="403">
        <v>1080</v>
      </c>
      <c r="M544" s="403" t="s">
        <v>109</v>
      </c>
      <c r="N544" s="403">
        <v>1280</v>
      </c>
      <c r="O544" s="403">
        <v>720</v>
      </c>
      <c r="P544" t="str">
        <f t="shared" si="65"/>
        <v>30fps 1080p - 720p</v>
      </c>
      <c r="Q544">
        <f t="shared" si="66"/>
        <v>3</v>
      </c>
      <c r="R544" t="str">
        <f t="shared" si="67"/>
        <v/>
      </c>
      <c r="S544" t="str">
        <f t="shared" si="68"/>
        <v/>
      </c>
      <c r="T544" s="403" t="str">
        <f t="shared" si="69"/>
        <v>MIC-7504-Z12xR</v>
      </c>
      <c r="U544" s="403">
        <f t="shared" si="70"/>
        <v>1</v>
      </c>
      <c r="V544" s="403" t="str">
        <f t="shared" si="71"/>
        <v>CPP_7_3</v>
      </c>
    </row>
    <row r="545" spans="1:22">
      <c r="A545" t="str">
        <f t="shared" si="64"/>
        <v>MIC-7504-Z12xR</v>
      </c>
      <c r="B545" s="403" t="s">
        <v>1360</v>
      </c>
      <c r="C545" s="403" t="s">
        <v>582</v>
      </c>
      <c r="D545" s="403" t="s">
        <v>1361</v>
      </c>
      <c r="E545" s="403" t="s">
        <v>1360</v>
      </c>
      <c r="F545" s="403" t="s">
        <v>1323</v>
      </c>
      <c r="G545" s="403" t="s">
        <v>1466</v>
      </c>
      <c r="H545" s="403" t="s">
        <v>1282</v>
      </c>
      <c r="I545" s="403">
        <v>1</v>
      </c>
      <c r="J545" s="403" t="s">
        <v>110</v>
      </c>
      <c r="K545" s="403">
        <v>1920</v>
      </c>
      <c r="L545" s="403">
        <v>1080</v>
      </c>
      <c r="M545" s="403" t="s">
        <v>1285</v>
      </c>
      <c r="N545" s="403">
        <v>1280</v>
      </c>
      <c r="O545" s="403">
        <v>1024</v>
      </c>
      <c r="P545" t="str">
        <f t="shared" si="65"/>
        <v>30fps 1080p - 1280x1024 5:4 (cropped)</v>
      </c>
      <c r="Q545">
        <f t="shared" si="66"/>
        <v>3</v>
      </c>
      <c r="R545" t="str">
        <f t="shared" si="67"/>
        <v/>
      </c>
      <c r="S545" t="str">
        <f t="shared" si="68"/>
        <v/>
      </c>
      <c r="T545" s="403" t="str">
        <f t="shared" si="69"/>
        <v>MIC-7504-Z12xR</v>
      </c>
      <c r="U545" s="403">
        <f t="shared" si="70"/>
        <v>1</v>
      </c>
      <c r="V545" s="403" t="str">
        <f t="shared" si="71"/>
        <v>CPP_7_3</v>
      </c>
    </row>
    <row r="546" spans="1:22">
      <c r="A546" t="str">
        <f t="shared" si="64"/>
        <v>MIC-7504-Z12xR</v>
      </c>
      <c r="B546" s="403" t="s">
        <v>1360</v>
      </c>
      <c r="C546" s="403" t="s">
        <v>582</v>
      </c>
      <c r="D546" s="403" t="s">
        <v>1361</v>
      </c>
      <c r="E546" s="403" t="s">
        <v>1360</v>
      </c>
      <c r="F546" s="403" t="s">
        <v>1323</v>
      </c>
      <c r="G546" s="403" t="s">
        <v>1466</v>
      </c>
      <c r="H546" s="403" t="s">
        <v>1282</v>
      </c>
      <c r="I546" s="403">
        <v>1</v>
      </c>
      <c r="J546" s="403" t="s">
        <v>110</v>
      </c>
      <c r="K546" s="403">
        <v>1920</v>
      </c>
      <c r="L546" s="403">
        <v>1080</v>
      </c>
      <c r="M546" s="403" t="s">
        <v>1283</v>
      </c>
      <c r="N546" s="403">
        <v>720</v>
      </c>
      <c r="O546" s="403">
        <v>480</v>
      </c>
      <c r="P546" t="str">
        <f t="shared" si="65"/>
        <v>30fps 1080p - SD 4CIF resolution 4:3 format (cropped)</v>
      </c>
      <c r="Q546">
        <f t="shared" si="66"/>
        <v>3</v>
      </c>
      <c r="R546" t="str">
        <f t="shared" si="67"/>
        <v/>
      </c>
      <c r="S546" t="str">
        <f t="shared" si="68"/>
        <v/>
      </c>
      <c r="T546" s="403" t="str">
        <f t="shared" si="69"/>
        <v>MIC-7504-Z12xR</v>
      </c>
      <c r="U546" s="403">
        <f t="shared" si="70"/>
        <v>1</v>
      </c>
      <c r="V546" s="403" t="str">
        <f t="shared" si="71"/>
        <v>CPP_7_3</v>
      </c>
    </row>
    <row r="547" spans="1:22">
      <c r="A547" t="str">
        <f t="shared" si="64"/>
        <v>MIC-7504-Z12xR</v>
      </c>
      <c r="B547" s="403" t="s">
        <v>1360</v>
      </c>
      <c r="C547" s="403" t="s">
        <v>582</v>
      </c>
      <c r="D547" s="403" t="s">
        <v>1361</v>
      </c>
      <c r="E547" s="403" t="s">
        <v>1360</v>
      </c>
      <c r="F547" s="403" t="s">
        <v>1323</v>
      </c>
      <c r="G547" s="403" t="s">
        <v>1466</v>
      </c>
      <c r="H547" s="403" t="s">
        <v>1282</v>
      </c>
      <c r="I547" s="403">
        <v>1</v>
      </c>
      <c r="J547" s="403" t="s">
        <v>110</v>
      </c>
      <c r="K547" s="403">
        <v>1920</v>
      </c>
      <c r="L547" s="403">
        <v>1080</v>
      </c>
      <c r="M547" s="403" t="s">
        <v>1284</v>
      </c>
      <c r="N547" s="403">
        <v>640</v>
      </c>
      <c r="O547" s="403">
        <v>480</v>
      </c>
      <c r="P547" t="str">
        <f t="shared" si="65"/>
        <v>30fps 1080p - SD VGA (cropped)</v>
      </c>
      <c r="Q547">
        <f t="shared" si="66"/>
        <v>3</v>
      </c>
      <c r="R547" t="str">
        <f t="shared" si="67"/>
        <v/>
      </c>
      <c r="S547" t="str">
        <f t="shared" si="68"/>
        <v/>
      </c>
      <c r="T547" s="403" t="str">
        <f t="shared" si="69"/>
        <v>MIC-7504-Z12xR</v>
      </c>
      <c r="U547" s="403">
        <f t="shared" si="70"/>
        <v>1</v>
      </c>
      <c r="V547" s="403" t="str">
        <f t="shared" si="71"/>
        <v>CPP_7_3</v>
      </c>
    </row>
    <row r="548" spans="1:22">
      <c r="A548" t="str">
        <f t="shared" si="64"/>
        <v>MIC-7504-Z12xR</v>
      </c>
      <c r="B548" s="403" t="s">
        <v>1360</v>
      </c>
      <c r="C548" s="403" t="s">
        <v>582</v>
      </c>
      <c r="D548" s="403" t="s">
        <v>1361</v>
      </c>
      <c r="E548" s="403" t="s">
        <v>1360</v>
      </c>
      <c r="F548" s="403" t="s">
        <v>1323</v>
      </c>
      <c r="G548" s="403" t="s">
        <v>1466</v>
      </c>
      <c r="H548" s="403" t="s">
        <v>1282</v>
      </c>
      <c r="I548" s="403">
        <v>1</v>
      </c>
      <c r="J548" s="403" t="s">
        <v>109</v>
      </c>
      <c r="K548" s="403">
        <v>1280</v>
      </c>
      <c r="L548" s="403">
        <v>720</v>
      </c>
      <c r="M548" s="403" t="s">
        <v>109</v>
      </c>
      <c r="N548" s="403">
        <v>1280</v>
      </c>
      <c r="O548" s="403">
        <v>720</v>
      </c>
      <c r="P548" t="str">
        <f t="shared" si="65"/>
        <v>30fps 720p - 720p</v>
      </c>
      <c r="Q548">
        <f t="shared" si="66"/>
        <v>3</v>
      </c>
      <c r="R548" t="str">
        <f t="shared" si="67"/>
        <v/>
      </c>
      <c r="S548" t="str">
        <f t="shared" si="68"/>
        <v/>
      </c>
      <c r="T548" s="403" t="str">
        <f t="shared" si="69"/>
        <v>MIC-7504-Z12xR</v>
      </c>
      <c r="U548" s="403">
        <f t="shared" si="70"/>
        <v>1</v>
      </c>
      <c r="V548" s="403" t="str">
        <f t="shared" si="71"/>
        <v>CPP_7_3</v>
      </c>
    </row>
    <row r="549" spans="1:22">
      <c r="A549" t="str">
        <f t="shared" si="64"/>
        <v>MIC-7504-Z12xR</v>
      </c>
      <c r="B549" s="403" t="s">
        <v>1360</v>
      </c>
      <c r="C549" s="403" t="s">
        <v>582</v>
      </c>
      <c r="D549" s="403" t="s">
        <v>1361</v>
      </c>
      <c r="E549" s="403" t="s">
        <v>1360</v>
      </c>
      <c r="F549" s="403" t="s">
        <v>1323</v>
      </c>
      <c r="G549" s="403" t="s">
        <v>1466</v>
      </c>
      <c r="H549" s="403" t="s">
        <v>1282</v>
      </c>
      <c r="I549" s="403">
        <v>1</v>
      </c>
      <c r="J549" s="403" t="s">
        <v>109</v>
      </c>
      <c r="K549" s="403">
        <v>1280</v>
      </c>
      <c r="L549" s="403">
        <v>720</v>
      </c>
      <c r="M549" s="403" t="s">
        <v>111</v>
      </c>
      <c r="N549" s="403">
        <v>768</v>
      </c>
      <c r="O549" s="403">
        <v>432</v>
      </c>
      <c r="P549" t="str">
        <f t="shared" si="65"/>
        <v>30fps 720p - SD</v>
      </c>
      <c r="Q549">
        <f t="shared" si="66"/>
        <v>3</v>
      </c>
      <c r="R549" t="str">
        <f t="shared" si="67"/>
        <v/>
      </c>
      <c r="S549" t="str">
        <f t="shared" si="68"/>
        <v/>
      </c>
      <c r="T549" s="403" t="str">
        <f t="shared" si="69"/>
        <v>MIC-7504-Z12xR</v>
      </c>
      <c r="U549" s="403">
        <f t="shared" si="70"/>
        <v>1</v>
      </c>
      <c r="V549" s="403" t="str">
        <f t="shared" si="71"/>
        <v>CPP_7_3</v>
      </c>
    </row>
    <row r="550" spans="1:22">
      <c r="A550" t="str">
        <f t="shared" si="64"/>
        <v>MIC-7504-Z12xR</v>
      </c>
      <c r="B550" s="403" t="s">
        <v>1360</v>
      </c>
      <c r="C550" s="403" t="s">
        <v>582</v>
      </c>
      <c r="D550" s="403" t="s">
        <v>1361</v>
      </c>
      <c r="E550" s="403" t="s">
        <v>1360</v>
      </c>
      <c r="F550" s="403" t="s">
        <v>1323</v>
      </c>
      <c r="G550" s="403" t="s">
        <v>1466</v>
      </c>
      <c r="H550" s="403" t="s">
        <v>1282</v>
      </c>
      <c r="I550" s="403">
        <v>1</v>
      </c>
      <c r="J550" s="403" t="s">
        <v>109</v>
      </c>
      <c r="K550" s="403">
        <v>1280</v>
      </c>
      <c r="L550" s="403">
        <v>720</v>
      </c>
      <c r="M550" s="403" t="s">
        <v>1283</v>
      </c>
      <c r="N550" s="403">
        <v>720</v>
      </c>
      <c r="O550" s="403">
        <v>480</v>
      </c>
      <c r="P550" t="str">
        <f t="shared" si="65"/>
        <v>30fps 720p - SD 4CIF resolution 4:3 format (cropped)</v>
      </c>
      <c r="Q550">
        <f t="shared" si="66"/>
        <v>3</v>
      </c>
      <c r="R550" t="str">
        <f t="shared" si="67"/>
        <v/>
      </c>
      <c r="S550" t="str">
        <f t="shared" si="68"/>
        <v/>
      </c>
      <c r="T550" s="403" t="str">
        <f t="shared" si="69"/>
        <v>MIC-7504-Z12xR</v>
      </c>
      <c r="U550" s="403">
        <f t="shared" si="70"/>
        <v>1</v>
      </c>
      <c r="V550" s="403" t="str">
        <f t="shared" si="71"/>
        <v>CPP_7_3</v>
      </c>
    </row>
    <row r="551" spans="1:22">
      <c r="A551" t="str">
        <f t="shared" si="64"/>
        <v>MIC-7504-Z12xR</v>
      </c>
      <c r="B551" s="403" t="s">
        <v>1360</v>
      </c>
      <c r="C551" s="403" t="s">
        <v>582</v>
      </c>
      <c r="D551" s="403" t="s">
        <v>1361</v>
      </c>
      <c r="E551" s="403" t="s">
        <v>1360</v>
      </c>
      <c r="F551" s="403" t="s">
        <v>1323</v>
      </c>
      <c r="G551" s="403" t="s">
        <v>1466</v>
      </c>
      <c r="H551" s="403" t="s">
        <v>1282</v>
      </c>
      <c r="I551" s="403">
        <v>1</v>
      </c>
      <c r="J551" s="403" t="s">
        <v>109</v>
      </c>
      <c r="K551" s="403">
        <v>1280</v>
      </c>
      <c r="L551" s="403">
        <v>720</v>
      </c>
      <c r="M551" s="403" t="s">
        <v>1284</v>
      </c>
      <c r="N551" s="403">
        <v>640</v>
      </c>
      <c r="O551" s="403">
        <v>480</v>
      </c>
      <c r="P551" t="str">
        <f t="shared" si="65"/>
        <v>30fps 720p - SD VGA (cropped)</v>
      </c>
      <c r="Q551">
        <f t="shared" si="66"/>
        <v>3</v>
      </c>
      <c r="R551" t="str">
        <f t="shared" si="67"/>
        <v/>
      </c>
      <c r="S551" t="str">
        <f t="shared" si="68"/>
        <v/>
      </c>
      <c r="T551" s="403" t="str">
        <f t="shared" si="69"/>
        <v>MIC-7504-Z12xR</v>
      </c>
      <c r="U551" s="403">
        <f t="shared" si="70"/>
        <v>1</v>
      </c>
      <c r="V551" s="403" t="str">
        <f t="shared" si="71"/>
        <v>CPP_7_3</v>
      </c>
    </row>
    <row r="552" spans="1:22">
      <c r="A552" t="str">
        <f t="shared" si="64"/>
        <v>MIC-7504-Z12xR</v>
      </c>
      <c r="B552" s="403" t="s">
        <v>1360</v>
      </c>
      <c r="C552" s="403" t="s">
        <v>582</v>
      </c>
      <c r="D552" s="403" t="s">
        <v>1361</v>
      </c>
      <c r="E552" s="403" t="s">
        <v>1366</v>
      </c>
      <c r="F552" s="403" t="s">
        <v>1325</v>
      </c>
      <c r="G552" s="403" t="s">
        <v>1466</v>
      </c>
      <c r="H552" s="403" t="s">
        <v>1276</v>
      </c>
      <c r="I552" s="403">
        <v>1</v>
      </c>
      <c r="J552" s="403" t="s">
        <v>194</v>
      </c>
      <c r="K552" s="403">
        <v>3840</v>
      </c>
      <c r="L552" s="403">
        <v>2160</v>
      </c>
      <c r="M552" s="403" t="s">
        <v>111</v>
      </c>
      <c r="N552" s="403">
        <v>768</v>
      </c>
      <c r="O552" s="403">
        <v>432</v>
      </c>
      <c r="P552" t="str">
        <f t="shared" si="65"/>
        <v>25fps 3840x2160 - SD</v>
      </c>
      <c r="Q552">
        <f t="shared" si="66"/>
        <v>3</v>
      </c>
      <c r="R552" t="str">
        <f t="shared" si="67"/>
        <v/>
      </c>
      <c r="S552" t="str">
        <f t="shared" si="68"/>
        <v/>
      </c>
      <c r="T552" s="403" t="str">
        <f t="shared" si="69"/>
        <v>MIC-7504-Z12xR</v>
      </c>
      <c r="U552" s="403">
        <f t="shared" si="70"/>
        <v>1</v>
      </c>
      <c r="V552" s="403" t="str">
        <f t="shared" si="71"/>
        <v>CPP_7_3</v>
      </c>
    </row>
    <row r="553" spans="1:22">
      <c r="A553" t="str">
        <f t="shared" si="64"/>
        <v>MIC-7504-Z12xR</v>
      </c>
      <c r="B553" s="403" t="s">
        <v>1360</v>
      </c>
      <c r="C553" s="403" t="s">
        <v>582</v>
      </c>
      <c r="D553" s="403" t="s">
        <v>1361</v>
      </c>
      <c r="E553" s="403" t="s">
        <v>1366</v>
      </c>
      <c r="F553" s="403" t="s">
        <v>1325</v>
      </c>
      <c r="G553" s="403" t="s">
        <v>1466</v>
      </c>
      <c r="H553" s="403" t="s">
        <v>1276</v>
      </c>
      <c r="I553" s="403">
        <v>1</v>
      </c>
      <c r="J553" s="403" t="s">
        <v>194</v>
      </c>
      <c r="K553" s="403">
        <v>3840</v>
      </c>
      <c r="L553" s="403">
        <v>2160</v>
      </c>
      <c r="M553" s="403" t="s">
        <v>1280</v>
      </c>
      <c r="N553" s="403">
        <v>3840</v>
      </c>
      <c r="O553" s="403">
        <v>2160</v>
      </c>
      <c r="P553" t="str">
        <f t="shared" si="65"/>
        <v>25fps 3840x2160 - copy other stream</v>
      </c>
      <c r="Q553">
        <f t="shared" si="66"/>
        <v>3</v>
      </c>
      <c r="R553" t="str">
        <f t="shared" si="67"/>
        <v/>
      </c>
      <c r="S553" t="str">
        <f t="shared" si="68"/>
        <v/>
      </c>
      <c r="T553" s="403" t="str">
        <f t="shared" si="69"/>
        <v>MIC-7504-Z12xR</v>
      </c>
      <c r="U553" s="403">
        <f t="shared" si="70"/>
        <v>1</v>
      </c>
      <c r="V553" s="403" t="str">
        <f t="shared" si="71"/>
        <v>CPP_7_3</v>
      </c>
    </row>
    <row r="554" spans="1:22">
      <c r="A554" t="str">
        <f t="shared" si="64"/>
        <v>MIC-7504-Z12xR</v>
      </c>
      <c r="B554" s="403" t="s">
        <v>1360</v>
      </c>
      <c r="C554" s="403" t="s">
        <v>582</v>
      </c>
      <c r="D554" s="403" t="s">
        <v>1361</v>
      </c>
      <c r="E554" s="403" t="s">
        <v>1366</v>
      </c>
      <c r="F554" s="403" t="s">
        <v>1325</v>
      </c>
      <c r="G554" s="403" t="s">
        <v>1466</v>
      </c>
      <c r="H554" s="403" t="s">
        <v>1276</v>
      </c>
      <c r="I554" s="403">
        <v>1</v>
      </c>
      <c r="J554" s="403" t="s">
        <v>194</v>
      </c>
      <c r="K554" s="403">
        <v>3840</v>
      </c>
      <c r="L554" s="403">
        <v>2160</v>
      </c>
      <c r="M554" s="403" t="s">
        <v>1362</v>
      </c>
      <c r="N554" s="403">
        <v>3840</v>
      </c>
      <c r="O554" s="403">
        <v>2160</v>
      </c>
      <c r="P554" t="str">
        <f t="shared" si="65"/>
        <v>25fps 3840x2160 - 3840x2160 @ SKIP6</v>
      </c>
      <c r="Q554">
        <f t="shared" si="66"/>
        <v>3</v>
      </c>
      <c r="R554" t="str">
        <f t="shared" si="67"/>
        <v/>
      </c>
      <c r="S554" t="str">
        <f t="shared" si="68"/>
        <v/>
      </c>
      <c r="T554" s="403" t="str">
        <f t="shared" si="69"/>
        <v>MIC-7504-Z12xR</v>
      </c>
      <c r="U554" s="403">
        <f t="shared" si="70"/>
        <v>1</v>
      </c>
      <c r="V554" s="403" t="str">
        <f t="shared" si="71"/>
        <v>CPP_7_3</v>
      </c>
    </row>
    <row r="555" spans="1:22">
      <c r="A555" t="str">
        <f t="shared" si="64"/>
        <v>MIC-7504-Z12xR</v>
      </c>
      <c r="B555" s="403" t="s">
        <v>1360</v>
      </c>
      <c r="C555" s="403" t="s">
        <v>582</v>
      </c>
      <c r="D555" s="403" t="s">
        <v>1361</v>
      </c>
      <c r="E555" s="403" t="s">
        <v>1366</v>
      </c>
      <c r="F555" s="403" t="s">
        <v>1325</v>
      </c>
      <c r="G555" s="403" t="s">
        <v>1466</v>
      </c>
      <c r="H555" s="403" t="s">
        <v>1276</v>
      </c>
      <c r="I555" s="403">
        <v>1</v>
      </c>
      <c r="J555" s="403" t="s">
        <v>194</v>
      </c>
      <c r="K555" s="403">
        <v>3840</v>
      </c>
      <c r="L555" s="403">
        <v>2160</v>
      </c>
      <c r="M555" s="403" t="s">
        <v>1363</v>
      </c>
      <c r="N555" s="403">
        <v>1920</v>
      </c>
      <c r="O555" s="403">
        <v>1080</v>
      </c>
      <c r="P555" t="str">
        <f t="shared" si="65"/>
        <v>25fps 3840x2160 - 1920x1080 @ SKIP 2</v>
      </c>
      <c r="Q555">
        <f t="shared" si="66"/>
        <v>3</v>
      </c>
      <c r="R555" t="str">
        <f t="shared" si="67"/>
        <v/>
      </c>
      <c r="S555" t="str">
        <f t="shared" si="68"/>
        <v/>
      </c>
      <c r="T555" s="403" t="str">
        <f t="shared" si="69"/>
        <v>MIC-7504-Z12xR</v>
      </c>
      <c r="U555" s="403">
        <f t="shared" si="70"/>
        <v>1</v>
      </c>
      <c r="V555" s="403" t="str">
        <f t="shared" si="71"/>
        <v>CPP_7_3</v>
      </c>
    </row>
    <row r="556" spans="1:22">
      <c r="A556" t="str">
        <f t="shared" si="64"/>
        <v>MIC-7504-Z12xR</v>
      </c>
      <c r="B556" s="403" t="s">
        <v>1360</v>
      </c>
      <c r="C556" s="403" t="s">
        <v>582</v>
      </c>
      <c r="D556" s="403" t="s">
        <v>1361</v>
      </c>
      <c r="E556" s="403" t="s">
        <v>1366</v>
      </c>
      <c r="F556" s="403" t="s">
        <v>1325</v>
      </c>
      <c r="G556" s="403" t="s">
        <v>1466</v>
      </c>
      <c r="H556" s="403" t="s">
        <v>1276</v>
      </c>
      <c r="I556" s="403">
        <v>1</v>
      </c>
      <c r="J556" s="403" t="s">
        <v>194</v>
      </c>
      <c r="K556" s="403">
        <v>3840</v>
      </c>
      <c r="L556" s="403">
        <v>2160</v>
      </c>
      <c r="M556" s="403" t="s">
        <v>109</v>
      </c>
      <c r="N556" s="403">
        <v>1280</v>
      </c>
      <c r="O556" s="403">
        <v>720</v>
      </c>
      <c r="P556" t="str">
        <f t="shared" si="65"/>
        <v>25fps 3840x2160 - 720p</v>
      </c>
      <c r="Q556">
        <f t="shared" si="66"/>
        <v>3</v>
      </c>
      <c r="R556" t="str">
        <f t="shared" si="67"/>
        <v/>
      </c>
      <c r="S556" t="str">
        <f t="shared" si="68"/>
        <v/>
      </c>
      <c r="T556" s="403" t="str">
        <f t="shared" si="69"/>
        <v>MIC-7504-Z12xR</v>
      </c>
      <c r="U556" s="403">
        <f t="shared" si="70"/>
        <v>1</v>
      </c>
      <c r="V556" s="403" t="str">
        <f t="shared" si="71"/>
        <v>CPP_7_3</v>
      </c>
    </row>
    <row r="557" spans="1:22">
      <c r="A557" t="str">
        <f t="shared" si="64"/>
        <v>MIC-7504-Z12xR</v>
      </c>
      <c r="B557" s="403" t="s">
        <v>1360</v>
      </c>
      <c r="C557" s="403" t="s">
        <v>582</v>
      </c>
      <c r="D557" s="403" t="s">
        <v>1361</v>
      </c>
      <c r="E557" s="403" t="s">
        <v>1366</v>
      </c>
      <c r="F557" s="403" t="s">
        <v>1325</v>
      </c>
      <c r="G557" s="403" t="s">
        <v>1466</v>
      </c>
      <c r="H557" s="403" t="s">
        <v>1276</v>
      </c>
      <c r="I557" s="403">
        <v>1</v>
      </c>
      <c r="J557" s="403" t="s">
        <v>194</v>
      </c>
      <c r="K557" s="403">
        <v>3840</v>
      </c>
      <c r="L557" s="403">
        <v>2160</v>
      </c>
      <c r="M557" s="403" t="s">
        <v>1283</v>
      </c>
      <c r="N557" s="403">
        <v>720</v>
      </c>
      <c r="O557" s="403">
        <v>576</v>
      </c>
      <c r="P557" t="str">
        <f t="shared" si="65"/>
        <v>25fps 3840x2160 - SD 4CIF resolution 4:3 format (cropped)</v>
      </c>
      <c r="Q557">
        <f t="shared" si="66"/>
        <v>3</v>
      </c>
      <c r="R557" t="str">
        <f t="shared" si="67"/>
        <v/>
      </c>
      <c r="S557" t="str">
        <f t="shared" si="68"/>
        <v/>
      </c>
      <c r="T557" s="403" t="str">
        <f t="shared" si="69"/>
        <v>MIC-7504-Z12xR</v>
      </c>
      <c r="U557" s="403">
        <f t="shared" si="70"/>
        <v>1</v>
      </c>
      <c r="V557" s="403" t="str">
        <f t="shared" si="71"/>
        <v>CPP_7_3</v>
      </c>
    </row>
    <row r="558" spans="1:22">
      <c r="A558" t="str">
        <f t="shared" si="64"/>
        <v>MIC-7504-Z12xR</v>
      </c>
      <c r="B558" s="403" t="s">
        <v>1360</v>
      </c>
      <c r="C558" s="403" t="s">
        <v>582</v>
      </c>
      <c r="D558" s="403" t="s">
        <v>1361</v>
      </c>
      <c r="E558" s="403" t="s">
        <v>1366</v>
      </c>
      <c r="F558" s="403" t="s">
        <v>1325</v>
      </c>
      <c r="G558" s="403" t="s">
        <v>1466</v>
      </c>
      <c r="H558" s="403" t="s">
        <v>1276</v>
      </c>
      <c r="I558" s="403">
        <v>1</v>
      </c>
      <c r="J558" s="403" t="s">
        <v>194</v>
      </c>
      <c r="K558" s="403">
        <v>3840</v>
      </c>
      <c r="L558" s="403">
        <v>2160</v>
      </c>
      <c r="M558" s="403" t="s">
        <v>1284</v>
      </c>
      <c r="N558" s="403">
        <v>640</v>
      </c>
      <c r="O558" s="403">
        <v>480</v>
      </c>
      <c r="P558" t="str">
        <f t="shared" si="65"/>
        <v>25fps 3840x2160 - SD VGA (cropped)</v>
      </c>
      <c r="Q558">
        <f t="shared" si="66"/>
        <v>3</v>
      </c>
      <c r="R558" t="str">
        <f t="shared" si="67"/>
        <v/>
      </c>
      <c r="S558" t="str">
        <f t="shared" si="68"/>
        <v/>
      </c>
      <c r="T558" s="403" t="str">
        <f t="shared" si="69"/>
        <v>MIC-7504-Z12xR</v>
      </c>
      <c r="U558" s="403">
        <f t="shared" si="70"/>
        <v>1</v>
      </c>
      <c r="V558" s="403" t="str">
        <f t="shared" si="71"/>
        <v>CPP_7_3</v>
      </c>
    </row>
    <row r="559" spans="1:22">
      <c r="A559" t="str">
        <f t="shared" si="64"/>
        <v>MIC-7504-Z12xR</v>
      </c>
      <c r="B559" s="403" t="s">
        <v>1360</v>
      </c>
      <c r="C559" s="403" t="s">
        <v>582</v>
      </c>
      <c r="D559" s="403" t="s">
        <v>1361</v>
      </c>
      <c r="E559" s="403" t="s">
        <v>1366</v>
      </c>
      <c r="F559" s="403" t="s">
        <v>1325</v>
      </c>
      <c r="G559" s="403" t="s">
        <v>1466</v>
      </c>
      <c r="H559" s="403" t="s">
        <v>1276</v>
      </c>
      <c r="I559" s="403">
        <v>1</v>
      </c>
      <c r="J559" s="403" t="s">
        <v>194</v>
      </c>
      <c r="K559" s="403">
        <v>3840</v>
      </c>
      <c r="L559" s="403">
        <v>2160</v>
      </c>
      <c r="M559" s="403" t="s">
        <v>1285</v>
      </c>
      <c r="N559" s="403">
        <v>1280</v>
      </c>
      <c r="O559" s="403">
        <v>1024</v>
      </c>
      <c r="P559" t="str">
        <f t="shared" si="65"/>
        <v>25fps 3840x2160 - 1280x1024 5:4 (cropped)</v>
      </c>
      <c r="Q559">
        <f t="shared" si="66"/>
        <v>3</v>
      </c>
      <c r="R559" t="str">
        <f t="shared" si="67"/>
        <v/>
      </c>
      <c r="S559" t="str">
        <f t="shared" si="68"/>
        <v/>
      </c>
      <c r="T559" s="403" t="str">
        <f t="shared" si="69"/>
        <v>MIC-7504-Z12xR</v>
      </c>
      <c r="U559" s="403">
        <f t="shared" si="70"/>
        <v>1</v>
      </c>
      <c r="V559" s="403" t="str">
        <f t="shared" si="71"/>
        <v>CPP_7_3</v>
      </c>
    </row>
    <row r="560" spans="1:22">
      <c r="A560" t="str">
        <f t="shared" si="64"/>
        <v>MIC-7504-Z12xR</v>
      </c>
      <c r="B560" s="403" t="s">
        <v>1360</v>
      </c>
      <c r="C560" s="403" t="s">
        <v>582</v>
      </c>
      <c r="D560" s="403" t="s">
        <v>1361</v>
      </c>
      <c r="E560" s="403" t="s">
        <v>1366</v>
      </c>
      <c r="F560" s="403" t="s">
        <v>1325</v>
      </c>
      <c r="G560" s="403" t="s">
        <v>1466</v>
      </c>
      <c r="H560" s="403" t="s">
        <v>1276</v>
      </c>
      <c r="I560" s="403">
        <v>1</v>
      </c>
      <c r="J560" s="403" t="s">
        <v>1324</v>
      </c>
      <c r="K560" s="403">
        <v>3584</v>
      </c>
      <c r="L560" s="403">
        <v>2016</v>
      </c>
      <c r="M560" s="403" t="s">
        <v>111</v>
      </c>
      <c r="N560" s="403">
        <v>768</v>
      </c>
      <c r="O560" s="403">
        <v>432</v>
      </c>
      <c r="P560" t="str">
        <f t="shared" si="65"/>
        <v>25fps 3584x2016 - SD</v>
      </c>
      <c r="Q560">
        <f t="shared" si="66"/>
        <v>3</v>
      </c>
      <c r="R560" t="str">
        <f t="shared" si="67"/>
        <v/>
      </c>
      <c r="S560" t="str">
        <f t="shared" si="68"/>
        <v/>
      </c>
      <c r="T560" s="403" t="str">
        <f t="shared" si="69"/>
        <v>MIC-7504-Z12xR</v>
      </c>
      <c r="U560" s="403">
        <f t="shared" si="70"/>
        <v>1</v>
      </c>
      <c r="V560" s="403" t="str">
        <f t="shared" si="71"/>
        <v>CPP_7_3</v>
      </c>
    </row>
    <row r="561" spans="1:22">
      <c r="A561" t="str">
        <f t="shared" si="64"/>
        <v>MIC-7504-Z12xR</v>
      </c>
      <c r="B561" s="403" t="s">
        <v>1360</v>
      </c>
      <c r="C561" s="403" t="s">
        <v>582</v>
      </c>
      <c r="D561" s="403" t="s">
        <v>1361</v>
      </c>
      <c r="E561" s="403" t="s">
        <v>1366</v>
      </c>
      <c r="F561" s="403" t="s">
        <v>1325</v>
      </c>
      <c r="G561" s="403" t="s">
        <v>1466</v>
      </c>
      <c r="H561" s="403" t="s">
        <v>1276</v>
      </c>
      <c r="I561" s="403">
        <v>1</v>
      </c>
      <c r="J561" s="403" t="s">
        <v>1324</v>
      </c>
      <c r="K561" s="403">
        <v>3584</v>
      </c>
      <c r="L561" s="403">
        <v>2016</v>
      </c>
      <c r="M561" s="403" t="s">
        <v>1280</v>
      </c>
      <c r="N561" s="403">
        <v>3584</v>
      </c>
      <c r="O561" s="403">
        <v>2016</v>
      </c>
      <c r="P561" t="str">
        <f t="shared" si="65"/>
        <v>25fps 3584x2016 - copy other stream</v>
      </c>
      <c r="Q561">
        <f t="shared" si="66"/>
        <v>3</v>
      </c>
      <c r="R561" t="str">
        <f t="shared" si="67"/>
        <v/>
      </c>
      <c r="S561" t="str">
        <f t="shared" si="68"/>
        <v/>
      </c>
      <c r="T561" s="403" t="str">
        <f t="shared" si="69"/>
        <v>MIC-7504-Z12xR</v>
      </c>
      <c r="U561" s="403">
        <f t="shared" si="70"/>
        <v>1</v>
      </c>
      <c r="V561" s="403" t="str">
        <f t="shared" si="71"/>
        <v>CPP_7_3</v>
      </c>
    </row>
    <row r="562" spans="1:22">
      <c r="A562" t="str">
        <f t="shared" si="64"/>
        <v>MIC-7504-Z12xR</v>
      </c>
      <c r="B562" s="403" t="s">
        <v>1360</v>
      </c>
      <c r="C562" s="403" t="s">
        <v>582</v>
      </c>
      <c r="D562" s="403" t="s">
        <v>1361</v>
      </c>
      <c r="E562" s="403" t="s">
        <v>1366</v>
      </c>
      <c r="F562" s="403" t="s">
        <v>1325</v>
      </c>
      <c r="G562" s="403" t="s">
        <v>1466</v>
      </c>
      <c r="H562" s="403" t="s">
        <v>1276</v>
      </c>
      <c r="I562" s="403">
        <v>1</v>
      </c>
      <c r="J562" s="403" t="s">
        <v>1324</v>
      </c>
      <c r="K562" s="403">
        <v>3584</v>
      </c>
      <c r="L562" s="403">
        <v>2016</v>
      </c>
      <c r="M562" s="403" t="s">
        <v>1364</v>
      </c>
      <c r="N562" s="403">
        <v>3584</v>
      </c>
      <c r="O562" s="403">
        <v>2016</v>
      </c>
      <c r="P562" t="str">
        <f t="shared" si="65"/>
        <v>25fps 3584x2016 - 3584x2016 @ SKIP6</v>
      </c>
      <c r="Q562">
        <f t="shared" si="66"/>
        <v>3</v>
      </c>
      <c r="R562" t="str">
        <f t="shared" si="67"/>
        <v/>
      </c>
      <c r="S562" t="str">
        <f t="shared" si="68"/>
        <v/>
      </c>
      <c r="T562" s="403" t="str">
        <f t="shared" si="69"/>
        <v>MIC-7504-Z12xR</v>
      </c>
      <c r="U562" s="403">
        <f t="shared" si="70"/>
        <v>1</v>
      </c>
      <c r="V562" s="403" t="str">
        <f t="shared" si="71"/>
        <v>CPP_7_3</v>
      </c>
    </row>
    <row r="563" spans="1:22">
      <c r="A563" t="str">
        <f t="shared" si="64"/>
        <v>MIC-7504-Z12xR</v>
      </c>
      <c r="B563" s="403" t="s">
        <v>1360</v>
      </c>
      <c r="C563" s="403" t="s">
        <v>582</v>
      </c>
      <c r="D563" s="403" t="s">
        <v>1361</v>
      </c>
      <c r="E563" s="403" t="s">
        <v>1366</v>
      </c>
      <c r="F563" s="403" t="s">
        <v>1325</v>
      </c>
      <c r="G563" s="403" t="s">
        <v>1466</v>
      </c>
      <c r="H563" s="403" t="s">
        <v>1276</v>
      </c>
      <c r="I563" s="403">
        <v>1</v>
      </c>
      <c r="J563" s="403" t="s">
        <v>1324</v>
      </c>
      <c r="K563" s="403">
        <v>3584</v>
      </c>
      <c r="L563" s="403">
        <v>2016</v>
      </c>
      <c r="M563" s="403" t="s">
        <v>110</v>
      </c>
      <c r="N563" s="403">
        <v>1920</v>
      </c>
      <c r="O563" s="403">
        <v>1080</v>
      </c>
      <c r="P563" t="str">
        <f t="shared" si="65"/>
        <v>25fps 3584x2016 - 1080p</v>
      </c>
      <c r="Q563">
        <f t="shared" si="66"/>
        <v>3</v>
      </c>
      <c r="R563" t="str">
        <f t="shared" si="67"/>
        <v/>
      </c>
      <c r="S563" t="str">
        <f t="shared" si="68"/>
        <v/>
      </c>
      <c r="T563" s="403" t="str">
        <f t="shared" si="69"/>
        <v>MIC-7504-Z12xR</v>
      </c>
      <c r="U563" s="403">
        <f t="shared" si="70"/>
        <v>1</v>
      </c>
      <c r="V563" s="403" t="str">
        <f t="shared" si="71"/>
        <v>CPP_7_3</v>
      </c>
    </row>
    <row r="564" spans="1:22">
      <c r="A564" t="str">
        <f t="shared" si="64"/>
        <v>MIC-7504-Z12xR</v>
      </c>
      <c r="B564" s="403" t="s">
        <v>1360</v>
      </c>
      <c r="C564" s="403" t="s">
        <v>582</v>
      </c>
      <c r="D564" s="403" t="s">
        <v>1361</v>
      </c>
      <c r="E564" s="403" t="s">
        <v>1366</v>
      </c>
      <c r="F564" s="403" t="s">
        <v>1325</v>
      </c>
      <c r="G564" s="403" t="s">
        <v>1466</v>
      </c>
      <c r="H564" s="403" t="s">
        <v>1276</v>
      </c>
      <c r="I564" s="403">
        <v>1</v>
      </c>
      <c r="J564" s="403" t="s">
        <v>1324</v>
      </c>
      <c r="K564" s="403">
        <v>3584</v>
      </c>
      <c r="L564" s="403">
        <v>2016</v>
      </c>
      <c r="M564" s="403" t="s">
        <v>109</v>
      </c>
      <c r="N564" s="403">
        <v>1280</v>
      </c>
      <c r="O564" s="403">
        <v>720</v>
      </c>
      <c r="P564" t="str">
        <f t="shared" si="65"/>
        <v>25fps 3584x2016 - 720p</v>
      </c>
      <c r="Q564">
        <f t="shared" si="66"/>
        <v>3</v>
      </c>
      <c r="R564" t="str">
        <f t="shared" si="67"/>
        <v/>
      </c>
      <c r="S564" t="str">
        <f t="shared" si="68"/>
        <v/>
      </c>
      <c r="T564" s="403" t="str">
        <f t="shared" si="69"/>
        <v>MIC-7504-Z12xR</v>
      </c>
      <c r="U564" s="403">
        <f t="shared" si="70"/>
        <v>1</v>
      </c>
      <c r="V564" s="403" t="str">
        <f t="shared" si="71"/>
        <v>CPP_7_3</v>
      </c>
    </row>
    <row r="565" spans="1:22">
      <c r="A565" t="str">
        <f t="shared" si="64"/>
        <v>MIC-7504-Z12xR</v>
      </c>
      <c r="B565" s="403" t="s">
        <v>1360</v>
      </c>
      <c r="C565" s="403" t="s">
        <v>582</v>
      </c>
      <c r="D565" s="403" t="s">
        <v>1361</v>
      </c>
      <c r="E565" s="403" t="s">
        <v>1366</v>
      </c>
      <c r="F565" s="403" t="s">
        <v>1325</v>
      </c>
      <c r="G565" s="403" t="s">
        <v>1466</v>
      </c>
      <c r="H565" s="403" t="s">
        <v>1276</v>
      </c>
      <c r="I565" s="403">
        <v>1</v>
      </c>
      <c r="J565" s="403" t="s">
        <v>1324</v>
      </c>
      <c r="K565" s="403">
        <v>3584</v>
      </c>
      <c r="L565" s="403">
        <v>2016</v>
      </c>
      <c r="M565" s="403" t="s">
        <v>1283</v>
      </c>
      <c r="N565" s="403">
        <v>720</v>
      </c>
      <c r="O565" s="403">
        <v>576</v>
      </c>
      <c r="P565" t="str">
        <f t="shared" si="65"/>
        <v>25fps 3584x2016 - SD 4CIF resolution 4:3 format (cropped)</v>
      </c>
      <c r="Q565">
        <f t="shared" si="66"/>
        <v>3</v>
      </c>
      <c r="R565" t="str">
        <f t="shared" si="67"/>
        <v/>
      </c>
      <c r="S565" t="str">
        <f t="shared" si="68"/>
        <v/>
      </c>
      <c r="T565" s="403" t="str">
        <f t="shared" si="69"/>
        <v>MIC-7504-Z12xR</v>
      </c>
      <c r="U565" s="403">
        <f t="shared" si="70"/>
        <v>1</v>
      </c>
      <c r="V565" s="403" t="str">
        <f t="shared" si="71"/>
        <v>CPP_7_3</v>
      </c>
    </row>
    <row r="566" spans="1:22">
      <c r="A566" t="str">
        <f t="shared" si="64"/>
        <v>MIC-7504-Z12xR</v>
      </c>
      <c r="B566" s="403" t="s">
        <v>1360</v>
      </c>
      <c r="C566" s="403" t="s">
        <v>582</v>
      </c>
      <c r="D566" s="403" t="s">
        <v>1361</v>
      </c>
      <c r="E566" s="403" t="s">
        <v>1366</v>
      </c>
      <c r="F566" s="403" t="s">
        <v>1325</v>
      </c>
      <c r="G566" s="403" t="s">
        <v>1466</v>
      </c>
      <c r="H566" s="403" t="s">
        <v>1276</v>
      </c>
      <c r="I566" s="403">
        <v>1</v>
      </c>
      <c r="J566" s="403" t="s">
        <v>1324</v>
      </c>
      <c r="K566" s="403">
        <v>3584</v>
      </c>
      <c r="L566" s="403">
        <v>2016</v>
      </c>
      <c r="M566" s="403" t="s">
        <v>1284</v>
      </c>
      <c r="N566" s="403">
        <v>640</v>
      </c>
      <c r="O566" s="403">
        <v>480</v>
      </c>
      <c r="P566" t="str">
        <f t="shared" si="65"/>
        <v>25fps 3584x2016 - SD VGA (cropped)</v>
      </c>
      <c r="Q566">
        <f t="shared" si="66"/>
        <v>3</v>
      </c>
      <c r="R566" t="str">
        <f t="shared" si="67"/>
        <v/>
      </c>
      <c r="S566" t="str">
        <f t="shared" si="68"/>
        <v/>
      </c>
      <c r="T566" s="403" t="str">
        <f t="shared" si="69"/>
        <v>MIC-7504-Z12xR</v>
      </c>
      <c r="U566" s="403">
        <f t="shared" si="70"/>
        <v>1</v>
      </c>
      <c r="V566" s="403" t="str">
        <f t="shared" si="71"/>
        <v>CPP_7_3</v>
      </c>
    </row>
    <row r="567" spans="1:22">
      <c r="A567" t="str">
        <f t="shared" si="64"/>
        <v>MIC-7504-Z12xR</v>
      </c>
      <c r="B567" s="403" t="s">
        <v>1360</v>
      </c>
      <c r="C567" s="403" t="s">
        <v>582</v>
      </c>
      <c r="D567" s="403" t="s">
        <v>1361</v>
      </c>
      <c r="E567" s="403" t="s">
        <v>1366</v>
      </c>
      <c r="F567" s="403" t="s">
        <v>1325</v>
      </c>
      <c r="G567" s="403" t="s">
        <v>1466</v>
      </c>
      <c r="H567" s="403" t="s">
        <v>1276</v>
      </c>
      <c r="I567" s="403">
        <v>1</v>
      </c>
      <c r="J567" s="403" t="s">
        <v>1324</v>
      </c>
      <c r="K567" s="403">
        <v>3584</v>
      </c>
      <c r="L567" s="403">
        <v>2016</v>
      </c>
      <c r="M567" s="403" t="s">
        <v>1285</v>
      </c>
      <c r="N567" s="403">
        <v>1280</v>
      </c>
      <c r="O567" s="403">
        <v>1024</v>
      </c>
      <c r="P567" t="str">
        <f t="shared" si="65"/>
        <v>25fps 3584x2016 - 1280x1024 5:4 (cropped)</v>
      </c>
      <c r="Q567">
        <f t="shared" si="66"/>
        <v>3</v>
      </c>
      <c r="R567" t="str">
        <f t="shared" si="67"/>
        <v/>
      </c>
      <c r="S567" t="str">
        <f t="shared" si="68"/>
        <v/>
      </c>
      <c r="T567" s="403" t="str">
        <f t="shared" si="69"/>
        <v>MIC-7504-Z12xR</v>
      </c>
      <c r="U567" s="403">
        <f t="shared" si="70"/>
        <v>1</v>
      </c>
      <c r="V567" s="403" t="str">
        <f t="shared" si="71"/>
        <v>CPP_7_3</v>
      </c>
    </row>
    <row r="568" spans="1:22">
      <c r="A568" t="str">
        <f t="shared" si="64"/>
        <v>MIC-7504-Z12xR</v>
      </c>
      <c r="B568" s="403" t="s">
        <v>1360</v>
      </c>
      <c r="C568" s="403" t="s">
        <v>582</v>
      </c>
      <c r="D568" s="403" t="s">
        <v>1361</v>
      </c>
      <c r="E568" s="403" t="s">
        <v>1366</v>
      </c>
      <c r="F568" s="403" t="s">
        <v>1325</v>
      </c>
      <c r="G568" s="403" t="s">
        <v>1466</v>
      </c>
      <c r="H568" s="403" t="s">
        <v>1276</v>
      </c>
      <c r="I568" s="403">
        <v>1</v>
      </c>
      <c r="J568" s="403" t="s">
        <v>110</v>
      </c>
      <c r="K568" s="403">
        <v>1920</v>
      </c>
      <c r="L568" s="403">
        <v>1080</v>
      </c>
      <c r="M568" s="403" t="s">
        <v>111</v>
      </c>
      <c r="N568" s="403">
        <v>768</v>
      </c>
      <c r="O568" s="403">
        <v>432</v>
      </c>
      <c r="P568" t="str">
        <f t="shared" si="65"/>
        <v>25fps 1080p - SD</v>
      </c>
      <c r="Q568">
        <f t="shared" si="66"/>
        <v>3</v>
      </c>
      <c r="R568" t="str">
        <f t="shared" si="67"/>
        <v/>
      </c>
      <c r="S568" t="str">
        <f t="shared" si="68"/>
        <v/>
      </c>
      <c r="T568" s="403" t="str">
        <f t="shared" si="69"/>
        <v>MIC-7504-Z12xR</v>
      </c>
      <c r="U568" s="403">
        <f t="shared" si="70"/>
        <v>1</v>
      </c>
      <c r="V568" s="403" t="str">
        <f t="shared" si="71"/>
        <v>CPP_7_3</v>
      </c>
    </row>
    <row r="569" spans="1:22">
      <c r="A569" t="str">
        <f t="shared" si="64"/>
        <v>MIC-7504-Z12xR</v>
      </c>
      <c r="B569" s="403" t="s">
        <v>1360</v>
      </c>
      <c r="C569" s="403" t="s">
        <v>582</v>
      </c>
      <c r="D569" s="403" t="s">
        <v>1361</v>
      </c>
      <c r="E569" s="403" t="s">
        <v>1366</v>
      </c>
      <c r="F569" s="403" t="s">
        <v>1325</v>
      </c>
      <c r="G569" s="403" t="s">
        <v>1466</v>
      </c>
      <c r="H569" s="403" t="s">
        <v>1276</v>
      </c>
      <c r="I569" s="403">
        <v>1</v>
      </c>
      <c r="J569" s="403" t="s">
        <v>110</v>
      </c>
      <c r="K569" s="403">
        <v>1920</v>
      </c>
      <c r="L569" s="403">
        <v>1080</v>
      </c>
      <c r="M569" s="403" t="s">
        <v>110</v>
      </c>
      <c r="N569" s="403">
        <v>1920</v>
      </c>
      <c r="O569" s="403">
        <v>1080</v>
      </c>
      <c r="P569" t="str">
        <f t="shared" si="65"/>
        <v>25fps 1080p - 1080p</v>
      </c>
      <c r="Q569">
        <f t="shared" si="66"/>
        <v>3</v>
      </c>
      <c r="R569" t="str">
        <f t="shared" si="67"/>
        <v/>
      </c>
      <c r="S569" t="str">
        <f t="shared" si="68"/>
        <v/>
      </c>
      <c r="T569" s="403" t="str">
        <f t="shared" si="69"/>
        <v>MIC-7504-Z12xR</v>
      </c>
      <c r="U569" s="403">
        <f t="shared" si="70"/>
        <v>1</v>
      </c>
      <c r="V569" s="403" t="str">
        <f t="shared" si="71"/>
        <v>CPP_7_3</v>
      </c>
    </row>
    <row r="570" spans="1:22">
      <c r="A570" t="str">
        <f t="shared" si="64"/>
        <v>MIC-7504-Z12xR</v>
      </c>
      <c r="B570" s="403" t="s">
        <v>1360</v>
      </c>
      <c r="C570" s="403" t="s">
        <v>582</v>
      </c>
      <c r="D570" s="403" t="s">
        <v>1361</v>
      </c>
      <c r="E570" s="403" t="s">
        <v>1366</v>
      </c>
      <c r="F570" s="403" t="s">
        <v>1325</v>
      </c>
      <c r="G570" s="403" t="s">
        <v>1466</v>
      </c>
      <c r="H570" s="403" t="s">
        <v>1276</v>
      </c>
      <c r="I570" s="403">
        <v>1</v>
      </c>
      <c r="J570" s="403" t="s">
        <v>110</v>
      </c>
      <c r="K570" s="403">
        <v>1920</v>
      </c>
      <c r="L570" s="403">
        <v>1080</v>
      </c>
      <c r="M570" s="403" t="s">
        <v>109</v>
      </c>
      <c r="N570" s="403">
        <v>1280</v>
      </c>
      <c r="O570" s="403">
        <v>720</v>
      </c>
      <c r="P570" t="str">
        <f t="shared" si="65"/>
        <v>25fps 1080p - 720p</v>
      </c>
      <c r="Q570">
        <f t="shared" si="66"/>
        <v>3</v>
      </c>
      <c r="R570" t="str">
        <f t="shared" si="67"/>
        <v/>
      </c>
      <c r="S570" t="str">
        <f t="shared" si="68"/>
        <v/>
      </c>
      <c r="T570" s="403" t="str">
        <f t="shared" si="69"/>
        <v>MIC-7504-Z12xR</v>
      </c>
      <c r="U570" s="403">
        <f t="shared" si="70"/>
        <v>1</v>
      </c>
      <c r="V570" s="403" t="str">
        <f t="shared" si="71"/>
        <v>CPP_7_3</v>
      </c>
    </row>
    <row r="571" spans="1:22">
      <c r="A571" t="str">
        <f t="shared" si="64"/>
        <v>MIC-7504-Z12xR</v>
      </c>
      <c r="B571" s="403" t="s">
        <v>1360</v>
      </c>
      <c r="C571" s="403" t="s">
        <v>582</v>
      </c>
      <c r="D571" s="403" t="s">
        <v>1361</v>
      </c>
      <c r="E571" s="403" t="s">
        <v>1366</v>
      </c>
      <c r="F571" s="403" t="s">
        <v>1325</v>
      </c>
      <c r="G571" s="403" t="s">
        <v>1466</v>
      </c>
      <c r="H571" s="403" t="s">
        <v>1276</v>
      </c>
      <c r="I571" s="403">
        <v>1</v>
      </c>
      <c r="J571" s="403" t="s">
        <v>110</v>
      </c>
      <c r="K571" s="403">
        <v>1920</v>
      </c>
      <c r="L571" s="403">
        <v>1080</v>
      </c>
      <c r="M571" s="403" t="s">
        <v>1285</v>
      </c>
      <c r="N571" s="403">
        <v>1280</v>
      </c>
      <c r="O571" s="403">
        <v>1024</v>
      </c>
      <c r="P571" t="str">
        <f t="shared" si="65"/>
        <v>25fps 1080p - 1280x1024 5:4 (cropped)</v>
      </c>
      <c r="Q571">
        <f t="shared" si="66"/>
        <v>3</v>
      </c>
      <c r="R571" t="str">
        <f t="shared" si="67"/>
        <v/>
      </c>
      <c r="S571" t="str">
        <f t="shared" si="68"/>
        <v/>
      </c>
      <c r="T571" s="403" t="str">
        <f t="shared" si="69"/>
        <v>MIC-7504-Z12xR</v>
      </c>
      <c r="U571" s="403">
        <f t="shared" si="70"/>
        <v>1</v>
      </c>
      <c r="V571" s="403" t="str">
        <f t="shared" si="71"/>
        <v>CPP_7_3</v>
      </c>
    </row>
    <row r="572" spans="1:22">
      <c r="A572" t="str">
        <f t="shared" si="64"/>
        <v>MIC-7504-Z12xR</v>
      </c>
      <c r="B572" s="403" t="s">
        <v>1360</v>
      </c>
      <c r="C572" s="403" t="s">
        <v>582</v>
      </c>
      <c r="D572" s="403" t="s">
        <v>1361</v>
      </c>
      <c r="E572" s="403" t="s">
        <v>1366</v>
      </c>
      <c r="F572" s="403" t="s">
        <v>1325</v>
      </c>
      <c r="G572" s="403" t="s">
        <v>1466</v>
      </c>
      <c r="H572" s="403" t="s">
        <v>1276</v>
      </c>
      <c r="I572" s="403">
        <v>1</v>
      </c>
      <c r="J572" s="403" t="s">
        <v>110</v>
      </c>
      <c r="K572" s="403">
        <v>1920</v>
      </c>
      <c r="L572" s="403">
        <v>1080</v>
      </c>
      <c r="M572" s="403" t="s">
        <v>1283</v>
      </c>
      <c r="N572" s="403">
        <v>720</v>
      </c>
      <c r="O572" s="403">
        <v>576</v>
      </c>
      <c r="P572" t="str">
        <f t="shared" si="65"/>
        <v>25fps 1080p - SD 4CIF resolution 4:3 format (cropped)</v>
      </c>
      <c r="Q572">
        <f t="shared" si="66"/>
        <v>3</v>
      </c>
      <c r="R572" t="str">
        <f t="shared" si="67"/>
        <v/>
      </c>
      <c r="S572" t="str">
        <f t="shared" si="68"/>
        <v/>
      </c>
      <c r="T572" s="403" t="str">
        <f t="shared" si="69"/>
        <v>MIC-7504-Z12xR</v>
      </c>
      <c r="U572" s="403">
        <f t="shared" si="70"/>
        <v>1</v>
      </c>
      <c r="V572" s="403" t="str">
        <f t="shared" si="71"/>
        <v>CPP_7_3</v>
      </c>
    </row>
    <row r="573" spans="1:22">
      <c r="A573" t="str">
        <f t="shared" si="64"/>
        <v>MIC-7504-Z12xR</v>
      </c>
      <c r="B573" s="403" t="s">
        <v>1360</v>
      </c>
      <c r="C573" s="403" t="s">
        <v>582</v>
      </c>
      <c r="D573" s="403" t="s">
        <v>1361</v>
      </c>
      <c r="E573" s="403" t="s">
        <v>1366</v>
      </c>
      <c r="F573" s="403" t="s">
        <v>1325</v>
      </c>
      <c r="G573" s="403" t="s">
        <v>1466</v>
      </c>
      <c r="H573" s="403" t="s">
        <v>1276</v>
      </c>
      <c r="I573" s="403">
        <v>1</v>
      </c>
      <c r="J573" s="403" t="s">
        <v>110</v>
      </c>
      <c r="K573" s="403">
        <v>1920</v>
      </c>
      <c r="L573" s="403">
        <v>1080</v>
      </c>
      <c r="M573" s="403" t="s">
        <v>1284</v>
      </c>
      <c r="N573" s="403">
        <v>640</v>
      </c>
      <c r="O573" s="403">
        <v>480</v>
      </c>
      <c r="P573" t="str">
        <f t="shared" si="65"/>
        <v>25fps 1080p - SD VGA (cropped)</v>
      </c>
      <c r="Q573">
        <f t="shared" si="66"/>
        <v>3</v>
      </c>
      <c r="R573" t="str">
        <f t="shared" si="67"/>
        <v/>
      </c>
      <c r="S573" t="str">
        <f t="shared" si="68"/>
        <v/>
      </c>
      <c r="T573" s="403" t="str">
        <f t="shared" si="69"/>
        <v>MIC-7504-Z12xR</v>
      </c>
      <c r="U573" s="403">
        <f t="shared" si="70"/>
        <v>1</v>
      </c>
      <c r="V573" s="403" t="str">
        <f t="shared" si="71"/>
        <v>CPP_7_3</v>
      </c>
    </row>
    <row r="574" spans="1:22">
      <c r="A574" t="str">
        <f t="shared" si="64"/>
        <v>MIC-7504-Z12xR</v>
      </c>
      <c r="B574" s="403" t="s">
        <v>1360</v>
      </c>
      <c r="C574" s="403" t="s">
        <v>582</v>
      </c>
      <c r="D574" s="403" t="s">
        <v>1361</v>
      </c>
      <c r="E574" s="403" t="s">
        <v>1366</v>
      </c>
      <c r="F574" s="403" t="s">
        <v>1325</v>
      </c>
      <c r="G574" s="403" t="s">
        <v>1466</v>
      </c>
      <c r="H574" s="403" t="s">
        <v>1276</v>
      </c>
      <c r="I574" s="403">
        <v>1</v>
      </c>
      <c r="J574" s="403" t="s">
        <v>109</v>
      </c>
      <c r="K574" s="403">
        <v>1280</v>
      </c>
      <c r="L574" s="403">
        <v>720</v>
      </c>
      <c r="M574" s="403" t="s">
        <v>109</v>
      </c>
      <c r="N574" s="403">
        <v>1280</v>
      </c>
      <c r="O574" s="403">
        <v>720</v>
      </c>
      <c r="P574" t="str">
        <f t="shared" si="65"/>
        <v>25fps 720p - 720p</v>
      </c>
      <c r="Q574">
        <f t="shared" si="66"/>
        <v>3</v>
      </c>
      <c r="R574" t="str">
        <f t="shared" si="67"/>
        <v/>
      </c>
      <c r="S574" t="str">
        <f t="shared" si="68"/>
        <v/>
      </c>
      <c r="T574" s="403" t="str">
        <f t="shared" si="69"/>
        <v>MIC-7504-Z12xR</v>
      </c>
      <c r="U574" s="403">
        <f t="shared" si="70"/>
        <v>1</v>
      </c>
      <c r="V574" s="403" t="str">
        <f t="shared" si="71"/>
        <v>CPP_7_3</v>
      </c>
    </row>
    <row r="575" spans="1:22">
      <c r="A575" t="str">
        <f t="shared" si="64"/>
        <v>MIC-7504-Z12xR</v>
      </c>
      <c r="B575" s="403" t="s">
        <v>1360</v>
      </c>
      <c r="C575" s="403" t="s">
        <v>582</v>
      </c>
      <c r="D575" s="403" t="s">
        <v>1361</v>
      </c>
      <c r="E575" s="403" t="s">
        <v>1366</v>
      </c>
      <c r="F575" s="403" t="s">
        <v>1325</v>
      </c>
      <c r="G575" s="403" t="s">
        <v>1466</v>
      </c>
      <c r="H575" s="403" t="s">
        <v>1276</v>
      </c>
      <c r="I575" s="403">
        <v>1</v>
      </c>
      <c r="J575" s="403" t="s">
        <v>109</v>
      </c>
      <c r="K575" s="403">
        <v>1280</v>
      </c>
      <c r="L575" s="403">
        <v>720</v>
      </c>
      <c r="M575" s="403" t="s">
        <v>111</v>
      </c>
      <c r="N575" s="403">
        <v>768</v>
      </c>
      <c r="O575" s="403">
        <v>432</v>
      </c>
      <c r="P575" t="str">
        <f t="shared" si="65"/>
        <v>25fps 720p - SD</v>
      </c>
      <c r="Q575">
        <f t="shared" si="66"/>
        <v>3</v>
      </c>
      <c r="R575" t="str">
        <f t="shared" si="67"/>
        <v/>
      </c>
      <c r="S575" t="str">
        <f t="shared" si="68"/>
        <v/>
      </c>
      <c r="T575" s="403" t="str">
        <f t="shared" si="69"/>
        <v>MIC-7504-Z12xR</v>
      </c>
      <c r="U575" s="403">
        <f t="shared" si="70"/>
        <v>1</v>
      </c>
      <c r="V575" s="403" t="str">
        <f t="shared" si="71"/>
        <v>CPP_7_3</v>
      </c>
    </row>
    <row r="576" spans="1:22">
      <c r="A576" t="str">
        <f t="shared" si="64"/>
        <v>MIC-7504-Z12xR</v>
      </c>
      <c r="B576" s="403" t="s">
        <v>1360</v>
      </c>
      <c r="C576" s="403" t="s">
        <v>582</v>
      </c>
      <c r="D576" s="403" t="s">
        <v>1361</v>
      </c>
      <c r="E576" s="403" t="s">
        <v>1366</v>
      </c>
      <c r="F576" s="403" t="s">
        <v>1325</v>
      </c>
      <c r="G576" s="403" t="s">
        <v>1466</v>
      </c>
      <c r="H576" s="403" t="s">
        <v>1276</v>
      </c>
      <c r="I576" s="403">
        <v>1</v>
      </c>
      <c r="J576" s="403" t="s">
        <v>109</v>
      </c>
      <c r="K576" s="403">
        <v>1280</v>
      </c>
      <c r="L576" s="403">
        <v>720</v>
      </c>
      <c r="M576" s="403" t="s">
        <v>1283</v>
      </c>
      <c r="N576" s="403">
        <v>720</v>
      </c>
      <c r="O576" s="403">
        <v>576</v>
      </c>
      <c r="P576" t="str">
        <f t="shared" si="65"/>
        <v>25fps 720p - SD 4CIF resolution 4:3 format (cropped)</v>
      </c>
      <c r="Q576">
        <f t="shared" si="66"/>
        <v>3</v>
      </c>
      <c r="R576" t="str">
        <f t="shared" si="67"/>
        <v/>
      </c>
      <c r="S576" t="str">
        <f t="shared" si="68"/>
        <v/>
      </c>
      <c r="T576" s="403" t="str">
        <f t="shared" si="69"/>
        <v>MIC-7504-Z12xR</v>
      </c>
      <c r="U576" s="403">
        <f t="shared" si="70"/>
        <v>1</v>
      </c>
      <c r="V576" s="403" t="str">
        <f t="shared" si="71"/>
        <v>CPP_7_3</v>
      </c>
    </row>
    <row r="577" spans="1:22">
      <c r="A577" t="str">
        <f t="shared" si="64"/>
        <v>MIC-7504-Z12xR</v>
      </c>
      <c r="B577" s="403" t="s">
        <v>1360</v>
      </c>
      <c r="C577" s="403" t="s">
        <v>582</v>
      </c>
      <c r="D577" s="403" t="s">
        <v>1361</v>
      </c>
      <c r="E577" s="403" t="s">
        <v>1366</v>
      </c>
      <c r="F577" s="403" t="s">
        <v>1325</v>
      </c>
      <c r="G577" s="403" t="s">
        <v>1466</v>
      </c>
      <c r="H577" s="403" t="s">
        <v>1276</v>
      </c>
      <c r="I577" s="403">
        <v>1</v>
      </c>
      <c r="J577" s="403" t="s">
        <v>109</v>
      </c>
      <c r="K577" s="403">
        <v>1280</v>
      </c>
      <c r="L577" s="403">
        <v>720</v>
      </c>
      <c r="M577" s="403" t="s">
        <v>1284</v>
      </c>
      <c r="N577" s="403">
        <v>640</v>
      </c>
      <c r="O577" s="403">
        <v>480</v>
      </c>
      <c r="P577" t="str">
        <f t="shared" si="65"/>
        <v>25fps 720p - SD VGA (cropped)</v>
      </c>
      <c r="Q577">
        <f t="shared" si="66"/>
        <v>3</v>
      </c>
      <c r="R577" t="str">
        <f t="shared" si="67"/>
        <v/>
      </c>
      <c r="S577" t="str">
        <f t="shared" si="68"/>
        <v/>
      </c>
      <c r="T577" s="403" t="str">
        <f t="shared" si="69"/>
        <v>MIC-7504-Z12xR</v>
      </c>
      <c r="U577" s="403">
        <f t="shared" si="70"/>
        <v>1</v>
      </c>
      <c r="V577" s="403" t="str">
        <f t="shared" si="71"/>
        <v>CPP_7_3</v>
      </c>
    </row>
    <row r="578" spans="1:22">
      <c r="A578" t="str">
        <f t="shared" ref="A578:A641" si="72">IF(AND(G578&lt;&gt;"rotate 90°"),D578,"")</f>
        <v>MIC-7504-Z12xR</v>
      </c>
      <c r="B578" s="403" t="s">
        <v>1360</v>
      </c>
      <c r="C578" s="403" t="s">
        <v>582</v>
      </c>
      <c r="D578" s="403" t="s">
        <v>1361</v>
      </c>
      <c r="E578" s="403" t="s">
        <v>1366</v>
      </c>
      <c r="F578" s="403" t="s">
        <v>1325</v>
      </c>
      <c r="G578" s="403" t="s">
        <v>1466</v>
      </c>
      <c r="H578" s="403" t="s">
        <v>1281</v>
      </c>
      <c r="I578" s="403">
        <v>1</v>
      </c>
      <c r="J578" s="403" t="s">
        <v>110</v>
      </c>
      <c r="K578" s="403">
        <v>1920</v>
      </c>
      <c r="L578" s="403">
        <v>1080</v>
      </c>
      <c r="M578" s="403" t="s">
        <v>111</v>
      </c>
      <c r="N578" s="403">
        <v>768</v>
      </c>
      <c r="O578" s="403">
        <v>432</v>
      </c>
      <c r="P578" t="str">
        <f t="shared" ref="P578:P641" si="73">LEFT(F578,5)&amp;" "&amp;J578&amp;" - "&amp;M578</f>
        <v>25fps 1080p - SD</v>
      </c>
      <c r="Q578">
        <f t="shared" ref="Q578:Q641" si="74">IF(A577=A578,Q577,Q577+1)</f>
        <v>3</v>
      </c>
      <c r="R578" t="str">
        <f t="shared" ref="R578:R641" si="75">IF(Q577&lt;&gt;Q578,Q578,"")</f>
        <v/>
      </c>
      <c r="S578" t="str">
        <f t="shared" ref="S578:S641" si="76">IF(R578&lt;&gt;"",B578&amp;" ("&amp;D578&amp;")","")</f>
        <v/>
      </c>
      <c r="T578" s="403" t="str">
        <f t="shared" ref="T578:T641" si="77">D578</f>
        <v>MIC-7504-Z12xR</v>
      </c>
      <c r="U578" s="403">
        <f t="shared" ref="U578:U641" si="78">I578</f>
        <v>1</v>
      </c>
      <c r="V578" s="403" t="str">
        <f t="shared" ref="V578:V641" si="79">C578</f>
        <v>CPP_7_3</v>
      </c>
    </row>
    <row r="579" spans="1:22">
      <c r="A579" t="str">
        <f t="shared" si="72"/>
        <v>MIC-7504-Z12xR</v>
      </c>
      <c r="B579" s="403" t="s">
        <v>1360</v>
      </c>
      <c r="C579" s="403" t="s">
        <v>582</v>
      </c>
      <c r="D579" s="403" t="s">
        <v>1361</v>
      </c>
      <c r="E579" s="403" t="s">
        <v>1366</v>
      </c>
      <c r="F579" s="403" t="s">
        <v>1325</v>
      </c>
      <c r="G579" s="403" t="s">
        <v>1466</v>
      </c>
      <c r="H579" s="403" t="s">
        <v>1281</v>
      </c>
      <c r="I579" s="403">
        <v>1</v>
      </c>
      <c r="J579" s="403" t="s">
        <v>110</v>
      </c>
      <c r="K579" s="403">
        <v>1920</v>
      </c>
      <c r="L579" s="403">
        <v>1080</v>
      </c>
      <c r="M579" s="403" t="s">
        <v>110</v>
      </c>
      <c r="N579" s="403">
        <v>1920</v>
      </c>
      <c r="O579" s="403">
        <v>1080</v>
      </c>
      <c r="P579" t="str">
        <f t="shared" si="73"/>
        <v>25fps 1080p - 1080p</v>
      </c>
      <c r="Q579">
        <f t="shared" si="74"/>
        <v>3</v>
      </c>
      <c r="R579" t="str">
        <f t="shared" si="75"/>
        <v/>
      </c>
      <c r="S579" t="str">
        <f t="shared" si="76"/>
        <v/>
      </c>
      <c r="T579" s="403" t="str">
        <f t="shared" si="77"/>
        <v>MIC-7504-Z12xR</v>
      </c>
      <c r="U579" s="403">
        <f t="shared" si="78"/>
        <v>1</v>
      </c>
      <c r="V579" s="403" t="str">
        <f t="shared" si="79"/>
        <v>CPP_7_3</v>
      </c>
    </row>
    <row r="580" spans="1:22">
      <c r="A580" t="str">
        <f t="shared" si="72"/>
        <v>MIC-7504-Z12xR</v>
      </c>
      <c r="B580" s="403" t="s">
        <v>1360</v>
      </c>
      <c r="C580" s="403" t="s">
        <v>582</v>
      </c>
      <c r="D580" s="403" t="s">
        <v>1361</v>
      </c>
      <c r="E580" s="403" t="s">
        <v>1366</v>
      </c>
      <c r="F580" s="403" t="s">
        <v>1325</v>
      </c>
      <c r="G580" s="403" t="s">
        <v>1466</v>
      </c>
      <c r="H580" s="403" t="s">
        <v>1281</v>
      </c>
      <c r="I580" s="403">
        <v>1</v>
      </c>
      <c r="J580" s="403" t="s">
        <v>110</v>
      </c>
      <c r="K580" s="403">
        <v>1920</v>
      </c>
      <c r="L580" s="403">
        <v>1080</v>
      </c>
      <c r="M580" s="403" t="s">
        <v>109</v>
      </c>
      <c r="N580" s="403">
        <v>1280</v>
      </c>
      <c r="O580" s="403">
        <v>720</v>
      </c>
      <c r="P580" t="str">
        <f t="shared" si="73"/>
        <v>25fps 1080p - 720p</v>
      </c>
      <c r="Q580">
        <f t="shared" si="74"/>
        <v>3</v>
      </c>
      <c r="R580" t="str">
        <f t="shared" si="75"/>
        <v/>
      </c>
      <c r="S580" t="str">
        <f t="shared" si="76"/>
        <v/>
      </c>
      <c r="T580" s="403" t="str">
        <f t="shared" si="77"/>
        <v>MIC-7504-Z12xR</v>
      </c>
      <c r="U580" s="403">
        <f t="shared" si="78"/>
        <v>1</v>
      </c>
      <c r="V580" s="403" t="str">
        <f t="shared" si="79"/>
        <v>CPP_7_3</v>
      </c>
    </row>
    <row r="581" spans="1:22">
      <c r="A581" t="str">
        <f t="shared" si="72"/>
        <v>MIC-7504-Z12xR</v>
      </c>
      <c r="B581" s="403" t="s">
        <v>1360</v>
      </c>
      <c r="C581" s="403" t="s">
        <v>582</v>
      </c>
      <c r="D581" s="403" t="s">
        <v>1361</v>
      </c>
      <c r="E581" s="403" t="s">
        <v>1366</v>
      </c>
      <c r="F581" s="403" t="s">
        <v>1325</v>
      </c>
      <c r="G581" s="403" t="s">
        <v>1466</v>
      </c>
      <c r="H581" s="403" t="s">
        <v>1281</v>
      </c>
      <c r="I581" s="403">
        <v>1</v>
      </c>
      <c r="J581" s="403" t="s">
        <v>110</v>
      </c>
      <c r="K581" s="403">
        <v>1920</v>
      </c>
      <c r="L581" s="403">
        <v>1080</v>
      </c>
      <c r="M581" s="403" t="s">
        <v>1285</v>
      </c>
      <c r="N581" s="403">
        <v>1280</v>
      </c>
      <c r="O581" s="403">
        <v>1024</v>
      </c>
      <c r="P581" t="str">
        <f t="shared" si="73"/>
        <v>25fps 1080p - 1280x1024 5:4 (cropped)</v>
      </c>
      <c r="Q581">
        <f t="shared" si="74"/>
        <v>3</v>
      </c>
      <c r="R581" t="str">
        <f t="shared" si="75"/>
        <v/>
      </c>
      <c r="S581" t="str">
        <f t="shared" si="76"/>
        <v/>
      </c>
      <c r="T581" s="403" t="str">
        <f t="shared" si="77"/>
        <v>MIC-7504-Z12xR</v>
      </c>
      <c r="U581" s="403">
        <f t="shared" si="78"/>
        <v>1</v>
      </c>
      <c r="V581" s="403" t="str">
        <f t="shared" si="79"/>
        <v>CPP_7_3</v>
      </c>
    </row>
    <row r="582" spans="1:22">
      <c r="A582" t="str">
        <f t="shared" si="72"/>
        <v>MIC-7504-Z12xR</v>
      </c>
      <c r="B582" s="403" t="s">
        <v>1360</v>
      </c>
      <c r="C582" s="403" t="s">
        <v>582</v>
      </c>
      <c r="D582" s="403" t="s">
        <v>1361</v>
      </c>
      <c r="E582" s="403" t="s">
        <v>1366</v>
      </c>
      <c r="F582" s="403" t="s">
        <v>1325</v>
      </c>
      <c r="G582" s="403" t="s">
        <v>1466</v>
      </c>
      <c r="H582" s="403" t="s">
        <v>1281</v>
      </c>
      <c r="I582" s="403">
        <v>1</v>
      </c>
      <c r="J582" s="403" t="s">
        <v>110</v>
      </c>
      <c r="K582" s="403">
        <v>1920</v>
      </c>
      <c r="L582" s="403">
        <v>1080</v>
      </c>
      <c r="M582" s="403" t="s">
        <v>1283</v>
      </c>
      <c r="N582" s="403">
        <v>720</v>
      </c>
      <c r="O582" s="403">
        <v>576</v>
      </c>
      <c r="P582" t="str">
        <f t="shared" si="73"/>
        <v>25fps 1080p - SD 4CIF resolution 4:3 format (cropped)</v>
      </c>
      <c r="Q582">
        <f t="shared" si="74"/>
        <v>3</v>
      </c>
      <c r="R582" t="str">
        <f t="shared" si="75"/>
        <v/>
      </c>
      <c r="S582" t="str">
        <f t="shared" si="76"/>
        <v/>
      </c>
      <c r="T582" s="403" t="str">
        <f t="shared" si="77"/>
        <v>MIC-7504-Z12xR</v>
      </c>
      <c r="U582" s="403">
        <f t="shared" si="78"/>
        <v>1</v>
      </c>
      <c r="V582" s="403" t="str">
        <f t="shared" si="79"/>
        <v>CPP_7_3</v>
      </c>
    </row>
    <row r="583" spans="1:22">
      <c r="A583" t="str">
        <f t="shared" si="72"/>
        <v>MIC-7504-Z12xR</v>
      </c>
      <c r="B583" s="403" t="s">
        <v>1360</v>
      </c>
      <c r="C583" s="403" t="s">
        <v>582</v>
      </c>
      <c r="D583" s="403" t="s">
        <v>1361</v>
      </c>
      <c r="E583" s="403" t="s">
        <v>1366</v>
      </c>
      <c r="F583" s="403" t="s">
        <v>1325</v>
      </c>
      <c r="G583" s="403" t="s">
        <v>1466</v>
      </c>
      <c r="H583" s="403" t="s">
        <v>1281</v>
      </c>
      <c r="I583" s="403">
        <v>1</v>
      </c>
      <c r="J583" s="403" t="s">
        <v>110</v>
      </c>
      <c r="K583" s="403">
        <v>1920</v>
      </c>
      <c r="L583" s="403">
        <v>1080</v>
      </c>
      <c r="M583" s="403" t="s">
        <v>1284</v>
      </c>
      <c r="N583" s="403">
        <v>640</v>
      </c>
      <c r="O583" s="403">
        <v>480</v>
      </c>
      <c r="P583" t="str">
        <f t="shared" si="73"/>
        <v>25fps 1080p - SD VGA (cropped)</v>
      </c>
      <c r="Q583">
        <f t="shared" si="74"/>
        <v>3</v>
      </c>
      <c r="R583" t="str">
        <f t="shared" si="75"/>
        <v/>
      </c>
      <c r="S583" t="str">
        <f t="shared" si="76"/>
        <v/>
      </c>
      <c r="T583" s="403" t="str">
        <f t="shared" si="77"/>
        <v>MIC-7504-Z12xR</v>
      </c>
      <c r="U583" s="403">
        <f t="shared" si="78"/>
        <v>1</v>
      </c>
      <c r="V583" s="403" t="str">
        <f t="shared" si="79"/>
        <v>CPP_7_3</v>
      </c>
    </row>
    <row r="584" spans="1:22">
      <c r="A584" t="str">
        <f t="shared" si="72"/>
        <v>MIC-7504-Z12xR</v>
      </c>
      <c r="B584" s="403" t="s">
        <v>1360</v>
      </c>
      <c r="C584" s="403" t="s">
        <v>582</v>
      </c>
      <c r="D584" s="403" t="s">
        <v>1361</v>
      </c>
      <c r="E584" s="403" t="s">
        <v>1366</v>
      </c>
      <c r="F584" s="403" t="s">
        <v>1325</v>
      </c>
      <c r="G584" s="403" t="s">
        <v>1466</v>
      </c>
      <c r="H584" s="403" t="s">
        <v>1281</v>
      </c>
      <c r="I584" s="403">
        <v>1</v>
      </c>
      <c r="J584" s="403" t="s">
        <v>109</v>
      </c>
      <c r="K584" s="403">
        <v>1280</v>
      </c>
      <c r="L584" s="403">
        <v>720</v>
      </c>
      <c r="M584" s="403" t="s">
        <v>109</v>
      </c>
      <c r="N584" s="403">
        <v>1280</v>
      </c>
      <c r="O584" s="403">
        <v>720</v>
      </c>
      <c r="P584" t="str">
        <f t="shared" si="73"/>
        <v>25fps 720p - 720p</v>
      </c>
      <c r="Q584">
        <f t="shared" si="74"/>
        <v>3</v>
      </c>
      <c r="R584" t="str">
        <f t="shared" si="75"/>
        <v/>
      </c>
      <c r="S584" t="str">
        <f t="shared" si="76"/>
        <v/>
      </c>
      <c r="T584" s="403" t="str">
        <f t="shared" si="77"/>
        <v>MIC-7504-Z12xR</v>
      </c>
      <c r="U584" s="403">
        <f t="shared" si="78"/>
        <v>1</v>
      </c>
      <c r="V584" s="403" t="str">
        <f t="shared" si="79"/>
        <v>CPP_7_3</v>
      </c>
    </row>
    <row r="585" spans="1:22">
      <c r="A585" t="str">
        <f t="shared" si="72"/>
        <v>MIC-7504-Z12xR</v>
      </c>
      <c r="B585" s="403" t="s">
        <v>1360</v>
      </c>
      <c r="C585" s="403" t="s">
        <v>582</v>
      </c>
      <c r="D585" s="403" t="s">
        <v>1361</v>
      </c>
      <c r="E585" s="403" t="s">
        <v>1366</v>
      </c>
      <c r="F585" s="403" t="s">
        <v>1325</v>
      </c>
      <c r="G585" s="403" t="s">
        <v>1466</v>
      </c>
      <c r="H585" s="403" t="s">
        <v>1281</v>
      </c>
      <c r="I585" s="403">
        <v>1</v>
      </c>
      <c r="J585" s="403" t="s">
        <v>109</v>
      </c>
      <c r="K585" s="403">
        <v>1280</v>
      </c>
      <c r="L585" s="403">
        <v>720</v>
      </c>
      <c r="M585" s="403" t="s">
        <v>111</v>
      </c>
      <c r="N585" s="403">
        <v>768</v>
      </c>
      <c r="O585" s="403">
        <v>432</v>
      </c>
      <c r="P585" t="str">
        <f t="shared" si="73"/>
        <v>25fps 720p - SD</v>
      </c>
      <c r="Q585">
        <f t="shared" si="74"/>
        <v>3</v>
      </c>
      <c r="R585" t="str">
        <f t="shared" si="75"/>
        <v/>
      </c>
      <c r="S585" t="str">
        <f t="shared" si="76"/>
        <v/>
      </c>
      <c r="T585" s="403" t="str">
        <f t="shared" si="77"/>
        <v>MIC-7504-Z12xR</v>
      </c>
      <c r="U585" s="403">
        <f t="shared" si="78"/>
        <v>1</v>
      </c>
      <c r="V585" s="403" t="str">
        <f t="shared" si="79"/>
        <v>CPP_7_3</v>
      </c>
    </row>
    <row r="586" spans="1:22">
      <c r="A586" t="str">
        <f t="shared" si="72"/>
        <v>MIC-7504-Z12xR</v>
      </c>
      <c r="B586" s="403" t="s">
        <v>1360</v>
      </c>
      <c r="C586" s="403" t="s">
        <v>582</v>
      </c>
      <c r="D586" s="403" t="s">
        <v>1361</v>
      </c>
      <c r="E586" s="403" t="s">
        <v>1366</v>
      </c>
      <c r="F586" s="403" t="s">
        <v>1325</v>
      </c>
      <c r="G586" s="403" t="s">
        <v>1466</v>
      </c>
      <c r="H586" s="403" t="s">
        <v>1281</v>
      </c>
      <c r="I586" s="403">
        <v>1</v>
      </c>
      <c r="J586" s="403" t="s">
        <v>109</v>
      </c>
      <c r="K586" s="403">
        <v>1280</v>
      </c>
      <c r="L586" s="403">
        <v>720</v>
      </c>
      <c r="M586" s="403" t="s">
        <v>1283</v>
      </c>
      <c r="N586" s="403">
        <v>720</v>
      </c>
      <c r="O586" s="403">
        <v>576</v>
      </c>
      <c r="P586" t="str">
        <f t="shared" si="73"/>
        <v>25fps 720p - SD 4CIF resolution 4:3 format (cropped)</v>
      </c>
      <c r="Q586">
        <f t="shared" si="74"/>
        <v>3</v>
      </c>
      <c r="R586" t="str">
        <f t="shared" si="75"/>
        <v/>
      </c>
      <c r="S586" t="str">
        <f t="shared" si="76"/>
        <v/>
      </c>
      <c r="T586" s="403" t="str">
        <f t="shared" si="77"/>
        <v>MIC-7504-Z12xR</v>
      </c>
      <c r="U586" s="403">
        <f t="shared" si="78"/>
        <v>1</v>
      </c>
      <c r="V586" s="403" t="str">
        <f t="shared" si="79"/>
        <v>CPP_7_3</v>
      </c>
    </row>
    <row r="587" spans="1:22">
      <c r="A587" t="str">
        <f t="shared" si="72"/>
        <v>MIC-7504-Z12xR</v>
      </c>
      <c r="B587" s="403" t="s">
        <v>1360</v>
      </c>
      <c r="C587" s="403" t="s">
        <v>582</v>
      </c>
      <c r="D587" s="403" t="s">
        <v>1361</v>
      </c>
      <c r="E587" s="403" t="s">
        <v>1366</v>
      </c>
      <c r="F587" s="403" t="s">
        <v>1325</v>
      </c>
      <c r="G587" s="403" t="s">
        <v>1466</v>
      </c>
      <c r="H587" s="403" t="s">
        <v>1281</v>
      </c>
      <c r="I587" s="403">
        <v>1</v>
      </c>
      <c r="J587" s="403" t="s">
        <v>109</v>
      </c>
      <c r="K587" s="403">
        <v>1280</v>
      </c>
      <c r="L587" s="403">
        <v>720</v>
      </c>
      <c r="M587" s="403" t="s">
        <v>1284</v>
      </c>
      <c r="N587" s="403">
        <v>640</v>
      </c>
      <c r="O587" s="403">
        <v>480</v>
      </c>
      <c r="P587" t="str">
        <f t="shared" si="73"/>
        <v>25fps 720p - SD VGA (cropped)</v>
      </c>
      <c r="Q587">
        <f t="shared" si="74"/>
        <v>3</v>
      </c>
      <c r="R587" t="str">
        <f t="shared" si="75"/>
        <v/>
      </c>
      <c r="S587" t="str">
        <f t="shared" si="76"/>
        <v/>
      </c>
      <c r="T587" s="403" t="str">
        <f t="shared" si="77"/>
        <v>MIC-7504-Z12xR</v>
      </c>
      <c r="U587" s="403">
        <f t="shared" si="78"/>
        <v>1</v>
      </c>
      <c r="V587" s="403" t="str">
        <f t="shared" si="79"/>
        <v>CPP_7_3</v>
      </c>
    </row>
    <row r="588" spans="1:22">
      <c r="A588" t="str">
        <f t="shared" si="72"/>
        <v>MIC-7504-Z12xR</v>
      </c>
      <c r="B588" s="403" t="s">
        <v>1360</v>
      </c>
      <c r="C588" s="403" t="s">
        <v>582</v>
      </c>
      <c r="D588" s="403" t="s">
        <v>1361</v>
      </c>
      <c r="E588" s="403" t="s">
        <v>1366</v>
      </c>
      <c r="F588" s="403" t="s">
        <v>1325</v>
      </c>
      <c r="G588" s="403" t="s">
        <v>1466</v>
      </c>
      <c r="H588" s="403" t="s">
        <v>1282</v>
      </c>
      <c r="I588" s="403">
        <v>1</v>
      </c>
      <c r="J588" s="403" t="s">
        <v>194</v>
      </c>
      <c r="K588" s="403">
        <v>3840</v>
      </c>
      <c r="L588" s="403">
        <v>2160</v>
      </c>
      <c r="M588" s="403" t="s">
        <v>111</v>
      </c>
      <c r="N588" s="403">
        <v>768</v>
      </c>
      <c r="O588" s="403">
        <v>432</v>
      </c>
      <c r="P588" t="str">
        <f t="shared" si="73"/>
        <v>25fps 3840x2160 - SD</v>
      </c>
      <c r="Q588">
        <f t="shared" si="74"/>
        <v>3</v>
      </c>
      <c r="R588" t="str">
        <f t="shared" si="75"/>
        <v/>
      </c>
      <c r="S588" t="str">
        <f t="shared" si="76"/>
        <v/>
      </c>
      <c r="T588" s="403" t="str">
        <f t="shared" si="77"/>
        <v>MIC-7504-Z12xR</v>
      </c>
      <c r="U588" s="403">
        <f t="shared" si="78"/>
        <v>1</v>
      </c>
      <c r="V588" s="403" t="str">
        <f t="shared" si="79"/>
        <v>CPP_7_3</v>
      </c>
    </row>
    <row r="589" spans="1:22">
      <c r="A589" t="str">
        <f t="shared" si="72"/>
        <v>MIC-7504-Z12xR</v>
      </c>
      <c r="B589" s="403" t="s">
        <v>1360</v>
      </c>
      <c r="C589" s="403" t="s">
        <v>582</v>
      </c>
      <c r="D589" s="403" t="s">
        <v>1361</v>
      </c>
      <c r="E589" s="403" t="s">
        <v>1366</v>
      </c>
      <c r="F589" s="403" t="s">
        <v>1325</v>
      </c>
      <c r="G589" s="403" t="s">
        <v>1466</v>
      </c>
      <c r="H589" s="403" t="s">
        <v>1282</v>
      </c>
      <c r="I589" s="403">
        <v>1</v>
      </c>
      <c r="J589" s="403" t="s">
        <v>194</v>
      </c>
      <c r="K589" s="403">
        <v>3840</v>
      </c>
      <c r="L589" s="403">
        <v>2160</v>
      </c>
      <c r="M589" s="403" t="s">
        <v>1280</v>
      </c>
      <c r="N589" s="403">
        <v>3840</v>
      </c>
      <c r="O589" s="403">
        <v>2160</v>
      </c>
      <c r="P589" t="str">
        <f t="shared" si="73"/>
        <v>25fps 3840x2160 - copy other stream</v>
      </c>
      <c r="Q589">
        <f t="shared" si="74"/>
        <v>3</v>
      </c>
      <c r="R589" t="str">
        <f t="shared" si="75"/>
        <v/>
      </c>
      <c r="S589" t="str">
        <f t="shared" si="76"/>
        <v/>
      </c>
      <c r="T589" s="403" t="str">
        <f t="shared" si="77"/>
        <v>MIC-7504-Z12xR</v>
      </c>
      <c r="U589" s="403">
        <f t="shared" si="78"/>
        <v>1</v>
      </c>
      <c r="V589" s="403" t="str">
        <f t="shared" si="79"/>
        <v>CPP_7_3</v>
      </c>
    </row>
    <row r="590" spans="1:22">
      <c r="A590" t="str">
        <f t="shared" si="72"/>
        <v>MIC-7504-Z12xR</v>
      </c>
      <c r="B590" s="403" t="s">
        <v>1360</v>
      </c>
      <c r="C590" s="403" t="s">
        <v>582</v>
      </c>
      <c r="D590" s="403" t="s">
        <v>1361</v>
      </c>
      <c r="E590" s="403" t="s">
        <v>1366</v>
      </c>
      <c r="F590" s="403" t="s">
        <v>1325</v>
      </c>
      <c r="G590" s="403" t="s">
        <v>1466</v>
      </c>
      <c r="H590" s="403" t="s">
        <v>1282</v>
      </c>
      <c r="I590" s="403">
        <v>1</v>
      </c>
      <c r="J590" s="403" t="s">
        <v>194</v>
      </c>
      <c r="K590" s="403">
        <v>3840</v>
      </c>
      <c r="L590" s="403">
        <v>2160</v>
      </c>
      <c r="M590" s="403" t="s">
        <v>1283</v>
      </c>
      <c r="N590" s="403">
        <v>720</v>
      </c>
      <c r="O590" s="403">
        <v>576</v>
      </c>
      <c r="P590" t="str">
        <f t="shared" si="73"/>
        <v>25fps 3840x2160 - SD 4CIF resolution 4:3 format (cropped)</v>
      </c>
      <c r="Q590">
        <f t="shared" si="74"/>
        <v>3</v>
      </c>
      <c r="R590" t="str">
        <f t="shared" si="75"/>
        <v/>
      </c>
      <c r="S590" t="str">
        <f t="shared" si="76"/>
        <v/>
      </c>
      <c r="T590" s="403" t="str">
        <f t="shared" si="77"/>
        <v>MIC-7504-Z12xR</v>
      </c>
      <c r="U590" s="403">
        <f t="shared" si="78"/>
        <v>1</v>
      </c>
      <c r="V590" s="403" t="str">
        <f t="shared" si="79"/>
        <v>CPP_7_3</v>
      </c>
    </row>
    <row r="591" spans="1:22">
      <c r="A591" t="str">
        <f t="shared" si="72"/>
        <v>MIC-7504-Z12xR</v>
      </c>
      <c r="B591" s="403" t="s">
        <v>1360</v>
      </c>
      <c r="C591" s="403" t="s">
        <v>582</v>
      </c>
      <c r="D591" s="403" t="s">
        <v>1361</v>
      </c>
      <c r="E591" s="403" t="s">
        <v>1366</v>
      </c>
      <c r="F591" s="403" t="s">
        <v>1325</v>
      </c>
      <c r="G591" s="403" t="s">
        <v>1466</v>
      </c>
      <c r="H591" s="403" t="s">
        <v>1282</v>
      </c>
      <c r="I591" s="403">
        <v>1</v>
      </c>
      <c r="J591" s="403" t="s">
        <v>194</v>
      </c>
      <c r="K591" s="403">
        <v>3840</v>
      </c>
      <c r="L591" s="403">
        <v>2160</v>
      </c>
      <c r="M591" s="403" t="s">
        <v>1284</v>
      </c>
      <c r="N591" s="403">
        <v>640</v>
      </c>
      <c r="O591" s="403">
        <v>480</v>
      </c>
      <c r="P591" t="str">
        <f t="shared" si="73"/>
        <v>25fps 3840x2160 - SD VGA (cropped)</v>
      </c>
      <c r="Q591">
        <f t="shared" si="74"/>
        <v>3</v>
      </c>
      <c r="R591" t="str">
        <f t="shared" si="75"/>
        <v/>
      </c>
      <c r="S591" t="str">
        <f t="shared" si="76"/>
        <v/>
      </c>
      <c r="T591" s="403" t="str">
        <f t="shared" si="77"/>
        <v>MIC-7504-Z12xR</v>
      </c>
      <c r="U591" s="403">
        <f t="shared" si="78"/>
        <v>1</v>
      </c>
      <c r="V591" s="403" t="str">
        <f t="shared" si="79"/>
        <v>CPP_7_3</v>
      </c>
    </row>
    <row r="592" spans="1:22">
      <c r="A592" t="str">
        <f t="shared" si="72"/>
        <v>MIC-7504-Z12xR</v>
      </c>
      <c r="B592" s="403" t="s">
        <v>1360</v>
      </c>
      <c r="C592" s="403" t="s">
        <v>582</v>
      </c>
      <c r="D592" s="403" t="s">
        <v>1361</v>
      </c>
      <c r="E592" s="403" t="s">
        <v>1366</v>
      </c>
      <c r="F592" s="403" t="s">
        <v>1325</v>
      </c>
      <c r="G592" s="403" t="s">
        <v>1466</v>
      </c>
      <c r="H592" s="403" t="s">
        <v>1282</v>
      </c>
      <c r="I592" s="403">
        <v>1</v>
      </c>
      <c r="J592" s="403" t="s">
        <v>1324</v>
      </c>
      <c r="K592" s="403">
        <v>3584</v>
      </c>
      <c r="L592" s="403">
        <v>2016</v>
      </c>
      <c r="M592" s="403" t="s">
        <v>111</v>
      </c>
      <c r="N592" s="403">
        <v>768</v>
      </c>
      <c r="O592" s="403">
        <v>432</v>
      </c>
      <c r="P592" t="str">
        <f t="shared" si="73"/>
        <v>25fps 3584x2016 - SD</v>
      </c>
      <c r="Q592">
        <f t="shared" si="74"/>
        <v>3</v>
      </c>
      <c r="R592" t="str">
        <f t="shared" si="75"/>
        <v/>
      </c>
      <c r="S592" t="str">
        <f t="shared" si="76"/>
        <v/>
      </c>
      <c r="T592" s="403" t="str">
        <f t="shared" si="77"/>
        <v>MIC-7504-Z12xR</v>
      </c>
      <c r="U592" s="403">
        <f t="shared" si="78"/>
        <v>1</v>
      </c>
      <c r="V592" s="403" t="str">
        <f t="shared" si="79"/>
        <v>CPP_7_3</v>
      </c>
    </row>
    <row r="593" spans="1:22">
      <c r="A593" t="str">
        <f t="shared" si="72"/>
        <v>MIC-7504-Z12xR</v>
      </c>
      <c r="B593" s="403" t="s">
        <v>1360</v>
      </c>
      <c r="C593" s="403" t="s">
        <v>582</v>
      </c>
      <c r="D593" s="403" t="s">
        <v>1361</v>
      </c>
      <c r="E593" s="403" t="s">
        <v>1366</v>
      </c>
      <c r="F593" s="403" t="s">
        <v>1325</v>
      </c>
      <c r="G593" s="403" t="s">
        <v>1466</v>
      </c>
      <c r="H593" s="403" t="s">
        <v>1282</v>
      </c>
      <c r="I593" s="403">
        <v>1</v>
      </c>
      <c r="J593" s="403" t="s">
        <v>1324</v>
      </c>
      <c r="K593" s="403">
        <v>3584</v>
      </c>
      <c r="L593" s="403">
        <v>2016</v>
      </c>
      <c r="M593" s="403" t="s">
        <v>1280</v>
      </c>
      <c r="N593" s="403">
        <v>3584</v>
      </c>
      <c r="O593" s="403">
        <v>2016</v>
      </c>
      <c r="P593" t="str">
        <f t="shared" si="73"/>
        <v>25fps 3584x2016 - copy other stream</v>
      </c>
      <c r="Q593">
        <f t="shared" si="74"/>
        <v>3</v>
      </c>
      <c r="R593" t="str">
        <f t="shared" si="75"/>
        <v/>
      </c>
      <c r="S593" t="str">
        <f t="shared" si="76"/>
        <v/>
      </c>
      <c r="T593" s="403" t="str">
        <f t="shared" si="77"/>
        <v>MIC-7504-Z12xR</v>
      </c>
      <c r="U593" s="403">
        <f t="shared" si="78"/>
        <v>1</v>
      </c>
      <c r="V593" s="403" t="str">
        <f t="shared" si="79"/>
        <v>CPP_7_3</v>
      </c>
    </row>
    <row r="594" spans="1:22">
      <c r="A594" t="str">
        <f t="shared" si="72"/>
        <v>MIC-7504-Z12xR</v>
      </c>
      <c r="B594" s="403" t="s">
        <v>1360</v>
      </c>
      <c r="C594" s="403" t="s">
        <v>582</v>
      </c>
      <c r="D594" s="403" t="s">
        <v>1361</v>
      </c>
      <c r="E594" s="403" t="s">
        <v>1366</v>
      </c>
      <c r="F594" s="403" t="s">
        <v>1325</v>
      </c>
      <c r="G594" s="403" t="s">
        <v>1466</v>
      </c>
      <c r="H594" s="403" t="s">
        <v>1282</v>
      </c>
      <c r="I594" s="403">
        <v>1</v>
      </c>
      <c r="J594" s="403" t="s">
        <v>1324</v>
      </c>
      <c r="K594" s="403">
        <v>3584</v>
      </c>
      <c r="L594" s="403">
        <v>2016</v>
      </c>
      <c r="M594" s="403" t="s">
        <v>1364</v>
      </c>
      <c r="N594" s="403">
        <v>3584</v>
      </c>
      <c r="O594" s="403">
        <v>2016</v>
      </c>
      <c r="P594" t="str">
        <f t="shared" si="73"/>
        <v>25fps 3584x2016 - 3584x2016 @ SKIP6</v>
      </c>
      <c r="Q594">
        <f t="shared" si="74"/>
        <v>3</v>
      </c>
      <c r="R594" t="str">
        <f t="shared" si="75"/>
        <v/>
      </c>
      <c r="S594" t="str">
        <f t="shared" si="76"/>
        <v/>
      </c>
      <c r="T594" s="403" t="str">
        <f t="shared" si="77"/>
        <v>MIC-7504-Z12xR</v>
      </c>
      <c r="U594" s="403">
        <f t="shared" si="78"/>
        <v>1</v>
      </c>
      <c r="V594" s="403" t="str">
        <f t="shared" si="79"/>
        <v>CPP_7_3</v>
      </c>
    </row>
    <row r="595" spans="1:22">
      <c r="A595" t="str">
        <f t="shared" si="72"/>
        <v>MIC-7504-Z12xR</v>
      </c>
      <c r="B595" s="403" t="s">
        <v>1360</v>
      </c>
      <c r="C595" s="403" t="s">
        <v>582</v>
      </c>
      <c r="D595" s="403" t="s">
        <v>1361</v>
      </c>
      <c r="E595" s="403" t="s">
        <v>1366</v>
      </c>
      <c r="F595" s="403" t="s">
        <v>1325</v>
      </c>
      <c r="G595" s="403" t="s">
        <v>1466</v>
      </c>
      <c r="H595" s="403" t="s">
        <v>1282</v>
      </c>
      <c r="I595" s="403">
        <v>1</v>
      </c>
      <c r="J595" s="403" t="s">
        <v>1324</v>
      </c>
      <c r="K595" s="403">
        <v>3584</v>
      </c>
      <c r="L595" s="403">
        <v>2016</v>
      </c>
      <c r="M595" s="403" t="s">
        <v>109</v>
      </c>
      <c r="N595" s="403">
        <v>1280</v>
      </c>
      <c r="O595" s="403">
        <v>720</v>
      </c>
      <c r="P595" t="str">
        <f t="shared" si="73"/>
        <v>25fps 3584x2016 - 720p</v>
      </c>
      <c r="Q595">
        <f t="shared" si="74"/>
        <v>3</v>
      </c>
      <c r="R595" t="str">
        <f t="shared" si="75"/>
        <v/>
      </c>
      <c r="S595" t="str">
        <f t="shared" si="76"/>
        <v/>
      </c>
      <c r="T595" s="403" t="str">
        <f t="shared" si="77"/>
        <v>MIC-7504-Z12xR</v>
      </c>
      <c r="U595" s="403">
        <f t="shared" si="78"/>
        <v>1</v>
      </c>
      <c r="V595" s="403" t="str">
        <f t="shared" si="79"/>
        <v>CPP_7_3</v>
      </c>
    </row>
    <row r="596" spans="1:22">
      <c r="A596" t="str">
        <f t="shared" si="72"/>
        <v>MIC-7504-Z12xR</v>
      </c>
      <c r="B596" s="403" t="s">
        <v>1360</v>
      </c>
      <c r="C596" s="403" t="s">
        <v>582</v>
      </c>
      <c r="D596" s="403" t="s">
        <v>1361</v>
      </c>
      <c r="E596" s="403" t="s">
        <v>1366</v>
      </c>
      <c r="F596" s="403" t="s">
        <v>1325</v>
      </c>
      <c r="G596" s="403" t="s">
        <v>1466</v>
      </c>
      <c r="H596" s="403" t="s">
        <v>1282</v>
      </c>
      <c r="I596" s="403">
        <v>1</v>
      </c>
      <c r="J596" s="403" t="s">
        <v>1324</v>
      </c>
      <c r="K596" s="403">
        <v>3584</v>
      </c>
      <c r="L596" s="403">
        <v>2016</v>
      </c>
      <c r="M596" s="403" t="s">
        <v>1283</v>
      </c>
      <c r="N596" s="403">
        <v>720</v>
      </c>
      <c r="O596" s="403">
        <v>576</v>
      </c>
      <c r="P596" t="str">
        <f t="shared" si="73"/>
        <v>25fps 3584x2016 - SD 4CIF resolution 4:3 format (cropped)</v>
      </c>
      <c r="Q596">
        <f t="shared" si="74"/>
        <v>3</v>
      </c>
      <c r="R596" t="str">
        <f t="shared" si="75"/>
        <v/>
      </c>
      <c r="S596" t="str">
        <f t="shared" si="76"/>
        <v/>
      </c>
      <c r="T596" s="403" t="str">
        <f t="shared" si="77"/>
        <v>MIC-7504-Z12xR</v>
      </c>
      <c r="U596" s="403">
        <f t="shared" si="78"/>
        <v>1</v>
      </c>
      <c r="V596" s="403" t="str">
        <f t="shared" si="79"/>
        <v>CPP_7_3</v>
      </c>
    </row>
    <row r="597" spans="1:22">
      <c r="A597" t="str">
        <f t="shared" si="72"/>
        <v>MIC-7504-Z12xR</v>
      </c>
      <c r="B597" s="403" t="s">
        <v>1360</v>
      </c>
      <c r="C597" s="403" t="s">
        <v>582</v>
      </c>
      <c r="D597" s="403" t="s">
        <v>1361</v>
      </c>
      <c r="E597" s="403" t="s">
        <v>1366</v>
      </c>
      <c r="F597" s="403" t="s">
        <v>1325</v>
      </c>
      <c r="G597" s="403" t="s">
        <v>1466</v>
      </c>
      <c r="H597" s="403" t="s">
        <v>1282</v>
      </c>
      <c r="I597" s="403">
        <v>1</v>
      </c>
      <c r="J597" s="403" t="s">
        <v>1324</v>
      </c>
      <c r="K597" s="403">
        <v>3584</v>
      </c>
      <c r="L597" s="403">
        <v>2016</v>
      </c>
      <c r="M597" s="403" t="s">
        <v>1284</v>
      </c>
      <c r="N597" s="403">
        <v>640</v>
      </c>
      <c r="O597" s="403">
        <v>480</v>
      </c>
      <c r="P597" t="str">
        <f t="shared" si="73"/>
        <v>25fps 3584x2016 - SD VGA (cropped)</v>
      </c>
      <c r="Q597">
        <f t="shared" si="74"/>
        <v>3</v>
      </c>
      <c r="R597" t="str">
        <f t="shared" si="75"/>
        <v/>
      </c>
      <c r="S597" t="str">
        <f t="shared" si="76"/>
        <v/>
      </c>
      <c r="T597" s="403" t="str">
        <f t="shared" si="77"/>
        <v>MIC-7504-Z12xR</v>
      </c>
      <c r="U597" s="403">
        <f t="shared" si="78"/>
        <v>1</v>
      </c>
      <c r="V597" s="403" t="str">
        <f t="shared" si="79"/>
        <v>CPP_7_3</v>
      </c>
    </row>
    <row r="598" spans="1:22">
      <c r="A598" t="str">
        <f t="shared" si="72"/>
        <v>MIC-7504-Z12xR</v>
      </c>
      <c r="B598" s="403" t="s">
        <v>1360</v>
      </c>
      <c r="C598" s="403" t="s">
        <v>582</v>
      </c>
      <c r="D598" s="403" t="s">
        <v>1361</v>
      </c>
      <c r="E598" s="403" t="s">
        <v>1366</v>
      </c>
      <c r="F598" s="403" t="s">
        <v>1325</v>
      </c>
      <c r="G598" s="403" t="s">
        <v>1466</v>
      </c>
      <c r="H598" s="403" t="s">
        <v>1282</v>
      </c>
      <c r="I598" s="403">
        <v>1</v>
      </c>
      <c r="J598" s="403" t="s">
        <v>1324</v>
      </c>
      <c r="K598" s="403">
        <v>3584</v>
      </c>
      <c r="L598" s="403">
        <v>2016</v>
      </c>
      <c r="M598" s="403" t="s">
        <v>1285</v>
      </c>
      <c r="N598" s="403">
        <v>1280</v>
      </c>
      <c r="O598" s="403">
        <v>1024</v>
      </c>
      <c r="P598" t="str">
        <f t="shared" si="73"/>
        <v>25fps 3584x2016 - 1280x1024 5:4 (cropped)</v>
      </c>
      <c r="Q598">
        <f t="shared" si="74"/>
        <v>3</v>
      </c>
      <c r="R598" t="str">
        <f t="shared" si="75"/>
        <v/>
      </c>
      <c r="S598" t="str">
        <f t="shared" si="76"/>
        <v/>
      </c>
      <c r="T598" s="403" t="str">
        <f t="shared" si="77"/>
        <v>MIC-7504-Z12xR</v>
      </c>
      <c r="U598" s="403">
        <f t="shared" si="78"/>
        <v>1</v>
      </c>
      <c r="V598" s="403" t="str">
        <f t="shared" si="79"/>
        <v>CPP_7_3</v>
      </c>
    </row>
    <row r="599" spans="1:22">
      <c r="A599" t="str">
        <f t="shared" si="72"/>
        <v>MIC-7504-Z12xR</v>
      </c>
      <c r="B599" s="403" t="s">
        <v>1360</v>
      </c>
      <c r="C599" s="403" t="s">
        <v>582</v>
      </c>
      <c r="D599" s="403" t="s">
        <v>1361</v>
      </c>
      <c r="E599" s="403" t="s">
        <v>1366</v>
      </c>
      <c r="F599" s="403" t="s">
        <v>1325</v>
      </c>
      <c r="G599" s="403" t="s">
        <v>1466</v>
      </c>
      <c r="H599" s="403" t="s">
        <v>1282</v>
      </c>
      <c r="I599" s="403">
        <v>1</v>
      </c>
      <c r="J599" s="403" t="s">
        <v>110</v>
      </c>
      <c r="K599" s="403">
        <v>1920</v>
      </c>
      <c r="L599" s="403">
        <v>1080</v>
      </c>
      <c r="M599" s="403" t="s">
        <v>111</v>
      </c>
      <c r="N599" s="403">
        <v>768</v>
      </c>
      <c r="O599" s="403">
        <v>432</v>
      </c>
      <c r="P599" t="str">
        <f t="shared" si="73"/>
        <v>25fps 1080p - SD</v>
      </c>
      <c r="Q599">
        <f t="shared" si="74"/>
        <v>3</v>
      </c>
      <c r="R599" t="str">
        <f t="shared" si="75"/>
        <v/>
      </c>
      <c r="S599" t="str">
        <f t="shared" si="76"/>
        <v/>
      </c>
      <c r="T599" s="403" t="str">
        <f t="shared" si="77"/>
        <v>MIC-7504-Z12xR</v>
      </c>
      <c r="U599" s="403">
        <f t="shared" si="78"/>
        <v>1</v>
      </c>
      <c r="V599" s="403" t="str">
        <f t="shared" si="79"/>
        <v>CPP_7_3</v>
      </c>
    </row>
    <row r="600" spans="1:22">
      <c r="A600" t="str">
        <f t="shared" si="72"/>
        <v>MIC-7504-Z12xR</v>
      </c>
      <c r="B600" s="403" t="s">
        <v>1360</v>
      </c>
      <c r="C600" s="403" t="s">
        <v>582</v>
      </c>
      <c r="D600" s="403" t="s">
        <v>1361</v>
      </c>
      <c r="E600" s="403" t="s">
        <v>1366</v>
      </c>
      <c r="F600" s="403" t="s">
        <v>1325</v>
      </c>
      <c r="G600" s="403" t="s">
        <v>1466</v>
      </c>
      <c r="H600" s="403" t="s">
        <v>1282</v>
      </c>
      <c r="I600" s="403">
        <v>1</v>
      </c>
      <c r="J600" s="403" t="s">
        <v>110</v>
      </c>
      <c r="K600" s="403">
        <v>1920</v>
      </c>
      <c r="L600" s="403">
        <v>1080</v>
      </c>
      <c r="M600" s="403" t="s">
        <v>110</v>
      </c>
      <c r="N600" s="403">
        <v>1920</v>
      </c>
      <c r="O600" s="403">
        <v>1080</v>
      </c>
      <c r="P600" t="str">
        <f t="shared" si="73"/>
        <v>25fps 1080p - 1080p</v>
      </c>
      <c r="Q600">
        <f t="shared" si="74"/>
        <v>3</v>
      </c>
      <c r="R600" t="str">
        <f t="shared" si="75"/>
        <v/>
      </c>
      <c r="S600" t="str">
        <f t="shared" si="76"/>
        <v/>
      </c>
      <c r="T600" s="403" t="str">
        <f t="shared" si="77"/>
        <v>MIC-7504-Z12xR</v>
      </c>
      <c r="U600" s="403">
        <f t="shared" si="78"/>
        <v>1</v>
      </c>
      <c r="V600" s="403" t="str">
        <f t="shared" si="79"/>
        <v>CPP_7_3</v>
      </c>
    </row>
    <row r="601" spans="1:22">
      <c r="A601" t="str">
        <f t="shared" si="72"/>
        <v>MIC-7504-Z12xR</v>
      </c>
      <c r="B601" s="403" t="s">
        <v>1360</v>
      </c>
      <c r="C601" s="403" t="s">
        <v>582</v>
      </c>
      <c r="D601" s="403" t="s">
        <v>1361</v>
      </c>
      <c r="E601" s="403" t="s">
        <v>1366</v>
      </c>
      <c r="F601" s="403" t="s">
        <v>1325</v>
      </c>
      <c r="G601" s="403" t="s">
        <v>1466</v>
      </c>
      <c r="H601" s="403" t="s">
        <v>1282</v>
      </c>
      <c r="I601" s="403">
        <v>1</v>
      </c>
      <c r="J601" s="403" t="s">
        <v>110</v>
      </c>
      <c r="K601" s="403">
        <v>1920</v>
      </c>
      <c r="L601" s="403">
        <v>1080</v>
      </c>
      <c r="M601" s="403" t="s">
        <v>109</v>
      </c>
      <c r="N601" s="403">
        <v>1280</v>
      </c>
      <c r="O601" s="403">
        <v>720</v>
      </c>
      <c r="P601" t="str">
        <f t="shared" si="73"/>
        <v>25fps 1080p - 720p</v>
      </c>
      <c r="Q601">
        <f t="shared" si="74"/>
        <v>3</v>
      </c>
      <c r="R601" t="str">
        <f t="shared" si="75"/>
        <v/>
      </c>
      <c r="S601" t="str">
        <f t="shared" si="76"/>
        <v/>
      </c>
      <c r="T601" s="403" t="str">
        <f t="shared" si="77"/>
        <v>MIC-7504-Z12xR</v>
      </c>
      <c r="U601" s="403">
        <f t="shared" si="78"/>
        <v>1</v>
      </c>
      <c r="V601" s="403" t="str">
        <f t="shared" si="79"/>
        <v>CPP_7_3</v>
      </c>
    </row>
    <row r="602" spans="1:22">
      <c r="A602" t="str">
        <f t="shared" si="72"/>
        <v>MIC-7504-Z12xR</v>
      </c>
      <c r="B602" s="403" t="s">
        <v>1360</v>
      </c>
      <c r="C602" s="403" t="s">
        <v>582</v>
      </c>
      <c r="D602" s="403" t="s">
        <v>1361</v>
      </c>
      <c r="E602" s="403" t="s">
        <v>1366</v>
      </c>
      <c r="F602" s="403" t="s">
        <v>1325</v>
      </c>
      <c r="G602" s="403" t="s">
        <v>1466</v>
      </c>
      <c r="H602" s="403" t="s">
        <v>1282</v>
      </c>
      <c r="I602" s="403">
        <v>1</v>
      </c>
      <c r="J602" s="403" t="s">
        <v>110</v>
      </c>
      <c r="K602" s="403">
        <v>1920</v>
      </c>
      <c r="L602" s="403">
        <v>1080</v>
      </c>
      <c r="M602" s="403" t="s">
        <v>1285</v>
      </c>
      <c r="N602" s="403">
        <v>1280</v>
      </c>
      <c r="O602" s="403">
        <v>1024</v>
      </c>
      <c r="P602" t="str">
        <f t="shared" si="73"/>
        <v>25fps 1080p - 1280x1024 5:4 (cropped)</v>
      </c>
      <c r="Q602">
        <f t="shared" si="74"/>
        <v>3</v>
      </c>
      <c r="R602" t="str">
        <f t="shared" si="75"/>
        <v/>
      </c>
      <c r="S602" t="str">
        <f t="shared" si="76"/>
        <v/>
      </c>
      <c r="T602" s="403" t="str">
        <f t="shared" si="77"/>
        <v>MIC-7504-Z12xR</v>
      </c>
      <c r="U602" s="403">
        <f t="shared" si="78"/>
        <v>1</v>
      </c>
      <c r="V602" s="403" t="str">
        <f t="shared" si="79"/>
        <v>CPP_7_3</v>
      </c>
    </row>
    <row r="603" spans="1:22">
      <c r="A603" t="str">
        <f t="shared" si="72"/>
        <v>MIC-7504-Z12xR</v>
      </c>
      <c r="B603" s="403" t="s">
        <v>1360</v>
      </c>
      <c r="C603" s="403" t="s">
        <v>582</v>
      </c>
      <c r="D603" s="403" t="s">
        <v>1361</v>
      </c>
      <c r="E603" s="403" t="s">
        <v>1366</v>
      </c>
      <c r="F603" s="403" t="s">
        <v>1325</v>
      </c>
      <c r="G603" s="403" t="s">
        <v>1466</v>
      </c>
      <c r="H603" s="403" t="s">
        <v>1282</v>
      </c>
      <c r="I603" s="403">
        <v>1</v>
      </c>
      <c r="J603" s="403" t="s">
        <v>110</v>
      </c>
      <c r="K603" s="403">
        <v>1920</v>
      </c>
      <c r="L603" s="403">
        <v>1080</v>
      </c>
      <c r="M603" s="403" t="s">
        <v>1283</v>
      </c>
      <c r="N603" s="403">
        <v>720</v>
      </c>
      <c r="O603" s="403">
        <v>576</v>
      </c>
      <c r="P603" t="str">
        <f t="shared" si="73"/>
        <v>25fps 1080p - SD 4CIF resolution 4:3 format (cropped)</v>
      </c>
      <c r="Q603">
        <f t="shared" si="74"/>
        <v>3</v>
      </c>
      <c r="R603" t="str">
        <f t="shared" si="75"/>
        <v/>
      </c>
      <c r="S603" t="str">
        <f t="shared" si="76"/>
        <v/>
      </c>
      <c r="T603" s="403" t="str">
        <f t="shared" si="77"/>
        <v>MIC-7504-Z12xR</v>
      </c>
      <c r="U603" s="403">
        <f t="shared" si="78"/>
        <v>1</v>
      </c>
      <c r="V603" s="403" t="str">
        <f t="shared" si="79"/>
        <v>CPP_7_3</v>
      </c>
    </row>
    <row r="604" spans="1:22">
      <c r="A604" t="str">
        <f t="shared" si="72"/>
        <v>MIC-7504-Z12xR</v>
      </c>
      <c r="B604" s="403" t="s">
        <v>1360</v>
      </c>
      <c r="C604" s="403" t="s">
        <v>582</v>
      </c>
      <c r="D604" s="403" t="s">
        <v>1361</v>
      </c>
      <c r="E604" s="403" t="s">
        <v>1366</v>
      </c>
      <c r="F604" s="403" t="s">
        <v>1325</v>
      </c>
      <c r="G604" s="403" t="s">
        <v>1466</v>
      </c>
      <c r="H604" s="403" t="s">
        <v>1282</v>
      </c>
      <c r="I604" s="403">
        <v>1</v>
      </c>
      <c r="J604" s="403" t="s">
        <v>110</v>
      </c>
      <c r="K604" s="403">
        <v>1920</v>
      </c>
      <c r="L604" s="403">
        <v>1080</v>
      </c>
      <c r="M604" s="403" t="s">
        <v>1284</v>
      </c>
      <c r="N604" s="403">
        <v>640</v>
      </c>
      <c r="O604" s="403">
        <v>480</v>
      </c>
      <c r="P604" t="str">
        <f t="shared" si="73"/>
        <v>25fps 1080p - SD VGA (cropped)</v>
      </c>
      <c r="Q604">
        <f t="shared" si="74"/>
        <v>3</v>
      </c>
      <c r="R604" t="str">
        <f t="shared" si="75"/>
        <v/>
      </c>
      <c r="S604" t="str">
        <f t="shared" si="76"/>
        <v/>
      </c>
      <c r="T604" s="403" t="str">
        <f t="shared" si="77"/>
        <v>MIC-7504-Z12xR</v>
      </c>
      <c r="U604" s="403">
        <f t="shared" si="78"/>
        <v>1</v>
      </c>
      <c r="V604" s="403" t="str">
        <f t="shared" si="79"/>
        <v>CPP_7_3</v>
      </c>
    </row>
    <row r="605" spans="1:22">
      <c r="A605" t="str">
        <f t="shared" si="72"/>
        <v>MIC-7504-Z12xR</v>
      </c>
      <c r="B605" s="403" t="s">
        <v>1360</v>
      </c>
      <c r="C605" s="403" t="s">
        <v>582</v>
      </c>
      <c r="D605" s="403" t="s">
        <v>1361</v>
      </c>
      <c r="E605" s="403" t="s">
        <v>1366</v>
      </c>
      <c r="F605" s="403" t="s">
        <v>1325</v>
      </c>
      <c r="G605" s="403" t="s">
        <v>1466</v>
      </c>
      <c r="H605" s="403" t="s">
        <v>1282</v>
      </c>
      <c r="I605" s="403">
        <v>1</v>
      </c>
      <c r="J605" s="403" t="s">
        <v>109</v>
      </c>
      <c r="K605" s="403">
        <v>1280</v>
      </c>
      <c r="L605" s="403">
        <v>720</v>
      </c>
      <c r="M605" s="403" t="s">
        <v>109</v>
      </c>
      <c r="N605" s="403">
        <v>1280</v>
      </c>
      <c r="O605" s="403">
        <v>720</v>
      </c>
      <c r="P605" t="str">
        <f t="shared" si="73"/>
        <v>25fps 720p - 720p</v>
      </c>
      <c r="Q605">
        <f t="shared" si="74"/>
        <v>3</v>
      </c>
      <c r="R605" t="str">
        <f t="shared" si="75"/>
        <v/>
      </c>
      <c r="S605" t="str">
        <f t="shared" si="76"/>
        <v/>
      </c>
      <c r="T605" s="403" t="str">
        <f t="shared" si="77"/>
        <v>MIC-7504-Z12xR</v>
      </c>
      <c r="U605" s="403">
        <f t="shared" si="78"/>
        <v>1</v>
      </c>
      <c r="V605" s="403" t="str">
        <f t="shared" si="79"/>
        <v>CPP_7_3</v>
      </c>
    </row>
    <row r="606" spans="1:22">
      <c r="A606" t="str">
        <f t="shared" si="72"/>
        <v>MIC-7504-Z12xR</v>
      </c>
      <c r="B606" s="403" t="s">
        <v>1360</v>
      </c>
      <c r="C606" s="403" t="s">
        <v>582</v>
      </c>
      <c r="D606" s="403" t="s">
        <v>1361</v>
      </c>
      <c r="E606" s="403" t="s">
        <v>1366</v>
      </c>
      <c r="F606" s="403" t="s">
        <v>1325</v>
      </c>
      <c r="G606" s="403" t="s">
        <v>1466</v>
      </c>
      <c r="H606" s="403" t="s">
        <v>1282</v>
      </c>
      <c r="I606" s="403">
        <v>1</v>
      </c>
      <c r="J606" s="403" t="s">
        <v>109</v>
      </c>
      <c r="K606" s="403">
        <v>1280</v>
      </c>
      <c r="L606" s="403">
        <v>720</v>
      </c>
      <c r="M606" s="403" t="s">
        <v>111</v>
      </c>
      <c r="N606" s="403">
        <v>768</v>
      </c>
      <c r="O606" s="403">
        <v>432</v>
      </c>
      <c r="P606" t="str">
        <f t="shared" si="73"/>
        <v>25fps 720p - SD</v>
      </c>
      <c r="Q606">
        <f t="shared" si="74"/>
        <v>3</v>
      </c>
      <c r="R606" t="str">
        <f t="shared" si="75"/>
        <v/>
      </c>
      <c r="S606" t="str">
        <f t="shared" si="76"/>
        <v/>
      </c>
      <c r="T606" s="403" t="str">
        <f t="shared" si="77"/>
        <v>MIC-7504-Z12xR</v>
      </c>
      <c r="U606" s="403">
        <f t="shared" si="78"/>
        <v>1</v>
      </c>
      <c r="V606" s="403" t="str">
        <f t="shared" si="79"/>
        <v>CPP_7_3</v>
      </c>
    </row>
    <row r="607" spans="1:22">
      <c r="A607" t="str">
        <f t="shared" si="72"/>
        <v>MIC-7504-Z12xR</v>
      </c>
      <c r="B607" s="403" t="s">
        <v>1360</v>
      </c>
      <c r="C607" s="403" t="s">
        <v>582</v>
      </c>
      <c r="D607" s="403" t="s">
        <v>1361</v>
      </c>
      <c r="E607" s="403" t="s">
        <v>1366</v>
      </c>
      <c r="F607" s="403" t="s">
        <v>1325</v>
      </c>
      <c r="G607" s="403" t="s">
        <v>1466</v>
      </c>
      <c r="H607" s="403" t="s">
        <v>1282</v>
      </c>
      <c r="I607" s="403">
        <v>1</v>
      </c>
      <c r="J607" s="403" t="s">
        <v>109</v>
      </c>
      <c r="K607" s="403">
        <v>1280</v>
      </c>
      <c r="L607" s="403">
        <v>720</v>
      </c>
      <c r="M607" s="403" t="s">
        <v>1283</v>
      </c>
      <c r="N607" s="403">
        <v>720</v>
      </c>
      <c r="O607" s="403">
        <v>576</v>
      </c>
      <c r="P607" t="str">
        <f t="shared" si="73"/>
        <v>25fps 720p - SD 4CIF resolution 4:3 format (cropped)</v>
      </c>
      <c r="Q607">
        <f t="shared" si="74"/>
        <v>3</v>
      </c>
      <c r="R607" t="str">
        <f t="shared" si="75"/>
        <v/>
      </c>
      <c r="S607" t="str">
        <f t="shared" si="76"/>
        <v/>
      </c>
      <c r="T607" s="403" t="str">
        <f t="shared" si="77"/>
        <v>MIC-7504-Z12xR</v>
      </c>
      <c r="U607" s="403">
        <f t="shared" si="78"/>
        <v>1</v>
      </c>
      <c r="V607" s="403" t="str">
        <f t="shared" si="79"/>
        <v>CPP_7_3</v>
      </c>
    </row>
    <row r="608" spans="1:22">
      <c r="A608" t="str">
        <f t="shared" si="72"/>
        <v>MIC-7504-Z12xR</v>
      </c>
      <c r="B608" s="403" t="s">
        <v>1360</v>
      </c>
      <c r="C608" s="403" t="s">
        <v>582</v>
      </c>
      <c r="D608" s="403" t="s">
        <v>1361</v>
      </c>
      <c r="E608" s="403" t="s">
        <v>1366</v>
      </c>
      <c r="F608" s="403" t="s">
        <v>1325</v>
      </c>
      <c r="G608" s="403" t="s">
        <v>1466</v>
      </c>
      <c r="H608" s="403" t="s">
        <v>1282</v>
      </c>
      <c r="I608" s="403">
        <v>1</v>
      </c>
      <c r="J608" s="403" t="s">
        <v>109</v>
      </c>
      <c r="K608" s="403">
        <v>1280</v>
      </c>
      <c r="L608" s="403">
        <v>720</v>
      </c>
      <c r="M608" s="403" t="s">
        <v>1284</v>
      </c>
      <c r="N608" s="403">
        <v>640</v>
      </c>
      <c r="O608" s="403">
        <v>480</v>
      </c>
      <c r="P608" t="str">
        <f t="shared" si="73"/>
        <v>25fps 720p - SD VGA (cropped)</v>
      </c>
      <c r="Q608">
        <f t="shared" si="74"/>
        <v>3</v>
      </c>
      <c r="R608" t="str">
        <f t="shared" si="75"/>
        <v/>
      </c>
      <c r="S608" t="str">
        <f t="shared" si="76"/>
        <v/>
      </c>
      <c r="T608" s="403" t="str">
        <f t="shared" si="77"/>
        <v>MIC-7504-Z12xR</v>
      </c>
      <c r="U608" s="403">
        <f t="shared" si="78"/>
        <v>1</v>
      </c>
      <c r="V608" s="403" t="str">
        <f t="shared" si="79"/>
        <v>CPP_7_3</v>
      </c>
    </row>
    <row r="609" spans="1:22">
      <c r="A609" t="str">
        <f t="shared" si="72"/>
        <v>MIC-7504-Z12xR</v>
      </c>
      <c r="B609" s="403" t="s">
        <v>1360</v>
      </c>
      <c r="C609" s="403" t="s">
        <v>582</v>
      </c>
      <c r="D609" s="403" t="s">
        <v>1361</v>
      </c>
      <c r="E609" s="403" t="s">
        <v>1366</v>
      </c>
      <c r="F609" s="403" t="s">
        <v>1323</v>
      </c>
      <c r="G609" s="403" t="s">
        <v>1466</v>
      </c>
      <c r="H609" s="403" t="s">
        <v>1276</v>
      </c>
      <c r="I609" s="403">
        <v>1</v>
      </c>
      <c r="J609" s="403" t="s">
        <v>194</v>
      </c>
      <c r="K609" s="403">
        <v>0</v>
      </c>
      <c r="L609" s="403">
        <v>0</v>
      </c>
      <c r="M609" s="403" t="s">
        <v>111</v>
      </c>
      <c r="N609" s="403">
        <v>3840</v>
      </c>
      <c r="O609" s="403">
        <v>2160</v>
      </c>
      <c r="P609" t="str">
        <f t="shared" si="73"/>
        <v>30fps 3840x2160 - SD</v>
      </c>
      <c r="Q609">
        <f t="shared" si="74"/>
        <v>3</v>
      </c>
      <c r="R609" t="str">
        <f t="shared" si="75"/>
        <v/>
      </c>
      <c r="S609" t="str">
        <f t="shared" si="76"/>
        <v/>
      </c>
      <c r="T609" s="403" t="str">
        <f t="shared" si="77"/>
        <v>MIC-7504-Z12xR</v>
      </c>
      <c r="U609" s="403">
        <f t="shared" si="78"/>
        <v>1</v>
      </c>
      <c r="V609" s="403" t="str">
        <f t="shared" si="79"/>
        <v>CPP_7_3</v>
      </c>
    </row>
    <row r="610" spans="1:22">
      <c r="A610" t="str">
        <f t="shared" si="72"/>
        <v>MIC-7504-Z12xR</v>
      </c>
      <c r="B610" s="403" t="s">
        <v>1360</v>
      </c>
      <c r="C610" s="403" t="s">
        <v>582</v>
      </c>
      <c r="D610" s="403" t="s">
        <v>1361</v>
      </c>
      <c r="E610" s="403" t="s">
        <v>1366</v>
      </c>
      <c r="F610" s="403" t="s">
        <v>1323</v>
      </c>
      <c r="G610" s="403" t="s">
        <v>1466</v>
      </c>
      <c r="H610" s="403" t="s">
        <v>1276</v>
      </c>
      <c r="I610" s="403">
        <v>1</v>
      </c>
      <c r="J610" s="403" t="s">
        <v>194</v>
      </c>
      <c r="K610" s="403">
        <v>3840</v>
      </c>
      <c r="L610" s="403">
        <v>2160</v>
      </c>
      <c r="M610" s="403" t="s">
        <v>1280</v>
      </c>
      <c r="N610" s="403">
        <v>3840</v>
      </c>
      <c r="O610" s="403">
        <v>2160</v>
      </c>
      <c r="P610" t="str">
        <f t="shared" si="73"/>
        <v>30fps 3840x2160 - copy other stream</v>
      </c>
      <c r="Q610">
        <f t="shared" si="74"/>
        <v>3</v>
      </c>
      <c r="R610" t="str">
        <f t="shared" si="75"/>
        <v/>
      </c>
      <c r="S610" t="str">
        <f t="shared" si="76"/>
        <v/>
      </c>
      <c r="T610" s="403" t="str">
        <f t="shared" si="77"/>
        <v>MIC-7504-Z12xR</v>
      </c>
      <c r="U610" s="403">
        <f t="shared" si="78"/>
        <v>1</v>
      </c>
      <c r="V610" s="403" t="str">
        <f t="shared" si="79"/>
        <v>CPP_7_3</v>
      </c>
    </row>
    <row r="611" spans="1:22">
      <c r="A611" t="str">
        <f t="shared" si="72"/>
        <v>MIC-7504-Z12xR</v>
      </c>
      <c r="B611" s="403" t="s">
        <v>1360</v>
      </c>
      <c r="C611" s="403" t="s">
        <v>582</v>
      </c>
      <c r="D611" s="403" t="s">
        <v>1361</v>
      </c>
      <c r="E611" s="403" t="s">
        <v>1366</v>
      </c>
      <c r="F611" s="403" t="s">
        <v>1323</v>
      </c>
      <c r="G611" s="403" t="s">
        <v>1466</v>
      </c>
      <c r="H611" s="403" t="s">
        <v>1276</v>
      </c>
      <c r="I611" s="403">
        <v>1</v>
      </c>
      <c r="J611" s="403" t="s">
        <v>194</v>
      </c>
      <c r="K611" s="403">
        <v>3840</v>
      </c>
      <c r="L611" s="403">
        <v>2160</v>
      </c>
      <c r="M611" s="403" t="s">
        <v>1362</v>
      </c>
      <c r="N611" s="403">
        <v>3840</v>
      </c>
      <c r="O611" s="403">
        <v>2160</v>
      </c>
      <c r="P611" t="str">
        <f t="shared" si="73"/>
        <v>30fps 3840x2160 - 3840x2160 @ SKIP6</v>
      </c>
      <c r="Q611">
        <f t="shared" si="74"/>
        <v>3</v>
      </c>
      <c r="R611" t="str">
        <f t="shared" si="75"/>
        <v/>
      </c>
      <c r="S611" t="str">
        <f t="shared" si="76"/>
        <v/>
      </c>
      <c r="T611" s="403" t="str">
        <f t="shared" si="77"/>
        <v>MIC-7504-Z12xR</v>
      </c>
      <c r="U611" s="403">
        <f t="shared" si="78"/>
        <v>1</v>
      </c>
      <c r="V611" s="403" t="str">
        <f t="shared" si="79"/>
        <v>CPP_7_3</v>
      </c>
    </row>
    <row r="612" spans="1:22">
      <c r="A612" t="str">
        <f t="shared" si="72"/>
        <v>MIC-7504-Z12xR</v>
      </c>
      <c r="B612" s="403" t="s">
        <v>1360</v>
      </c>
      <c r="C612" s="403" t="s">
        <v>582</v>
      </c>
      <c r="D612" s="403" t="s">
        <v>1361</v>
      </c>
      <c r="E612" s="403" t="s">
        <v>1366</v>
      </c>
      <c r="F612" s="403" t="s">
        <v>1323</v>
      </c>
      <c r="G612" s="403" t="s">
        <v>1466</v>
      </c>
      <c r="H612" s="403" t="s">
        <v>1276</v>
      </c>
      <c r="I612" s="403">
        <v>1</v>
      </c>
      <c r="J612" s="403" t="s">
        <v>194</v>
      </c>
      <c r="K612" s="403">
        <v>3840</v>
      </c>
      <c r="L612" s="403">
        <v>2160</v>
      </c>
      <c r="M612" s="403" t="s">
        <v>1363</v>
      </c>
      <c r="N612" s="403">
        <v>3840</v>
      </c>
      <c r="O612" s="403">
        <v>2160</v>
      </c>
      <c r="P612" t="str">
        <f t="shared" si="73"/>
        <v>30fps 3840x2160 - 1920x1080 @ SKIP 2</v>
      </c>
      <c r="Q612">
        <f t="shared" si="74"/>
        <v>3</v>
      </c>
      <c r="R612" t="str">
        <f t="shared" si="75"/>
        <v/>
      </c>
      <c r="S612" t="str">
        <f t="shared" si="76"/>
        <v/>
      </c>
      <c r="T612" s="403" t="str">
        <f t="shared" si="77"/>
        <v>MIC-7504-Z12xR</v>
      </c>
      <c r="U612" s="403">
        <f t="shared" si="78"/>
        <v>1</v>
      </c>
      <c r="V612" s="403" t="str">
        <f t="shared" si="79"/>
        <v>CPP_7_3</v>
      </c>
    </row>
    <row r="613" spans="1:22">
      <c r="A613" t="str">
        <f t="shared" si="72"/>
        <v>MIC-7504-Z12xR</v>
      </c>
      <c r="B613" s="403" t="s">
        <v>1360</v>
      </c>
      <c r="C613" s="403" t="s">
        <v>582</v>
      </c>
      <c r="D613" s="403" t="s">
        <v>1361</v>
      </c>
      <c r="E613" s="403" t="s">
        <v>1366</v>
      </c>
      <c r="F613" s="403" t="s">
        <v>1323</v>
      </c>
      <c r="G613" s="403" t="s">
        <v>1466</v>
      </c>
      <c r="H613" s="403" t="s">
        <v>1276</v>
      </c>
      <c r="I613" s="403">
        <v>1</v>
      </c>
      <c r="J613" s="403" t="s">
        <v>194</v>
      </c>
      <c r="K613" s="403">
        <v>3840</v>
      </c>
      <c r="L613" s="403">
        <v>2160</v>
      </c>
      <c r="M613" s="403" t="s">
        <v>109</v>
      </c>
      <c r="N613" s="403">
        <v>3840</v>
      </c>
      <c r="O613" s="403">
        <v>2160</v>
      </c>
      <c r="P613" t="str">
        <f t="shared" si="73"/>
        <v>30fps 3840x2160 - 720p</v>
      </c>
      <c r="Q613">
        <f t="shared" si="74"/>
        <v>3</v>
      </c>
      <c r="R613" t="str">
        <f t="shared" si="75"/>
        <v/>
      </c>
      <c r="S613" t="str">
        <f t="shared" si="76"/>
        <v/>
      </c>
      <c r="T613" s="403" t="str">
        <f t="shared" si="77"/>
        <v>MIC-7504-Z12xR</v>
      </c>
      <c r="U613" s="403">
        <f t="shared" si="78"/>
        <v>1</v>
      </c>
      <c r="V613" s="403" t="str">
        <f t="shared" si="79"/>
        <v>CPP_7_3</v>
      </c>
    </row>
    <row r="614" spans="1:22">
      <c r="A614" t="str">
        <f t="shared" si="72"/>
        <v>MIC-7504-Z12xR</v>
      </c>
      <c r="B614" s="403" t="s">
        <v>1360</v>
      </c>
      <c r="C614" s="403" t="s">
        <v>582</v>
      </c>
      <c r="D614" s="403" t="s">
        <v>1361</v>
      </c>
      <c r="E614" s="403" t="s">
        <v>1366</v>
      </c>
      <c r="F614" s="403" t="s">
        <v>1323</v>
      </c>
      <c r="G614" s="403" t="s">
        <v>1466</v>
      </c>
      <c r="H614" s="403" t="s">
        <v>1276</v>
      </c>
      <c r="I614" s="403">
        <v>1</v>
      </c>
      <c r="J614" s="403" t="s">
        <v>194</v>
      </c>
      <c r="K614" s="403">
        <v>3840</v>
      </c>
      <c r="L614" s="403">
        <v>2160</v>
      </c>
      <c r="M614" s="403" t="s">
        <v>1283</v>
      </c>
      <c r="N614" s="403">
        <v>3840</v>
      </c>
      <c r="O614" s="403">
        <v>2160</v>
      </c>
      <c r="P614" t="str">
        <f t="shared" si="73"/>
        <v>30fps 3840x2160 - SD 4CIF resolution 4:3 format (cropped)</v>
      </c>
      <c r="Q614">
        <f t="shared" si="74"/>
        <v>3</v>
      </c>
      <c r="R614" t="str">
        <f t="shared" si="75"/>
        <v/>
      </c>
      <c r="S614" t="str">
        <f t="shared" si="76"/>
        <v/>
      </c>
      <c r="T614" s="403" t="str">
        <f t="shared" si="77"/>
        <v>MIC-7504-Z12xR</v>
      </c>
      <c r="U614" s="403">
        <f t="shared" si="78"/>
        <v>1</v>
      </c>
      <c r="V614" s="403" t="str">
        <f t="shared" si="79"/>
        <v>CPP_7_3</v>
      </c>
    </row>
    <row r="615" spans="1:22">
      <c r="A615" t="str">
        <f t="shared" si="72"/>
        <v>MIC-7504-Z12xR</v>
      </c>
      <c r="B615" s="403" t="s">
        <v>1360</v>
      </c>
      <c r="C615" s="403" t="s">
        <v>582</v>
      </c>
      <c r="D615" s="403" t="s">
        <v>1361</v>
      </c>
      <c r="E615" s="403" t="s">
        <v>1366</v>
      </c>
      <c r="F615" s="403" t="s">
        <v>1323</v>
      </c>
      <c r="G615" s="403" t="s">
        <v>1466</v>
      </c>
      <c r="H615" s="403" t="s">
        <v>1276</v>
      </c>
      <c r="I615" s="403">
        <v>1</v>
      </c>
      <c r="J615" s="403" t="s">
        <v>194</v>
      </c>
      <c r="K615" s="403">
        <v>3840</v>
      </c>
      <c r="L615" s="403">
        <v>2160</v>
      </c>
      <c r="M615" s="403" t="s">
        <v>1284</v>
      </c>
      <c r="N615" s="403">
        <v>3840</v>
      </c>
      <c r="O615" s="403">
        <v>2160</v>
      </c>
      <c r="P615" t="str">
        <f t="shared" si="73"/>
        <v>30fps 3840x2160 - SD VGA (cropped)</v>
      </c>
      <c r="Q615">
        <f t="shared" si="74"/>
        <v>3</v>
      </c>
      <c r="R615" t="str">
        <f t="shared" si="75"/>
        <v/>
      </c>
      <c r="S615" t="str">
        <f t="shared" si="76"/>
        <v/>
      </c>
      <c r="T615" s="403" t="str">
        <f t="shared" si="77"/>
        <v>MIC-7504-Z12xR</v>
      </c>
      <c r="U615" s="403">
        <f t="shared" si="78"/>
        <v>1</v>
      </c>
      <c r="V615" s="403" t="str">
        <f t="shared" si="79"/>
        <v>CPP_7_3</v>
      </c>
    </row>
    <row r="616" spans="1:22">
      <c r="A616" t="str">
        <f t="shared" si="72"/>
        <v>MIC-7504-Z12xR</v>
      </c>
      <c r="B616" s="403" t="s">
        <v>1360</v>
      </c>
      <c r="C616" s="403" t="s">
        <v>582</v>
      </c>
      <c r="D616" s="403" t="s">
        <v>1361</v>
      </c>
      <c r="E616" s="403" t="s">
        <v>1366</v>
      </c>
      <c r="F616" s="403" t="s">
        <v>1323</v>
      </c>
      <c r="G616" s="403" t="s">
        <v>1466</v>
      </c>
      <c r="H616" s="403" t="s">
        <v>1276</v>
      </c>
      <c r="I616" s="403">
        <v>1</v>
      </c>
      <c r="J616" s="403" t="s">
        <v>194</v>
      </c>
      <c r="K616" s="403">
        <v>3840</v>
      </c>
      <c r="L616" s="403">
        <v>2160</v>
      </c>
      <c r="M616" s="403" t="s">
        <v>1285</v>
      </c>
      <c r="N616" s="403">
        <v>3840</v>
      </c>
      <c r="O616" s="403">
        <v>2160</v>
      </c>
      <c r="P616" t="str">
        <f t="shared" si="73"/>
        <v>30fps 3840x2160 - 1280x1024 5:4 (cropped)</v>
      </c>
      <c r="Q616">
        <f t="shared" si="74"/>
        <v>3</v>
      </c>
      <c r="R616" t="str">
        <f t="shared" si="75"/>
        <v/>
      </c>
      <c r="S616" t="str">
        <f t="shared" si="76"/>
        <v/>
      </c>
      <c r="T616" s="403" t="str">
        <f t="shared" si="77"/>
        <v>MIC-7504-Z12xR</v>
      </c>
      <c r="U616" s="403">
        <f t="shared" si="78"/>
        <v>1</v>
      </c>
      <c r="V616" s="403" t="str">
        <f t="shared" si="79"/>
        <v>CPP_7_3</v>
      </c>
    </row>
    <row r="617" spans="1:22">
      <c r="A617" t="str">
        <f t="shared" si="72"/>
        <v>MIC-7504-Z12xR</v>
      </c>
      <c r="B617" s="403" t="s">
        <v>1360</v>
      </c>
      <c r="C617" s="403" t="s">
        <v>582</v>
      </c>
      <c r="D617" s="403" t="s">
        <v>1361</v>
      </c>
      <c r="E617" s="403" t="s">
        <v>1366</v>
      </c>
      <c r="F617" s="403" t="s">
        <v>1323</v>
      </c>
      <c r="G617" s="403" t="s">
        <v>1466</v>
      </c>
      <c r="H617" s="403" t="s">
        <v>1276</v>
      </c>
      <c r="I617" s="403">
        <v>1</v>
      </c>
      <c r="J617" s="403" t="s">
        <v>1324</v>
      </c>
      <c r="K617" s="403">
        <v>3584</v>
      </c>
      <c r="L617" s="403">
        <v>2016</v>
      </c>
      <c r="M617" s="403" t="s">
        <v>111</v>
      </c>
      <c r="N617" s="403">
        <v>768</v>
      </c>
      <c r="O617" s="403">
        <v>432</v>
      </c>
      <c r="P617" t="str">
        <f t="shared" si="73"/>
        <v>30fps 3584x2016 - SD</v>
      </c>
      <c r="Q617">
        <f t="shared" si="74"/>
        <v>3</v>
      </c>
      <c r="R617" t="str">
        <f t="shared" si="75"/>
        <v/>
      </c>
      <c r="S617" t="str">
        <f t="shared" si="76"/>
        <v/>
      </c>
      <c r="T617" s="403" t="str">
        <f t="shared" si="77"/>
        <v>MIC-7504-Z12xR</v>
      </c>
      <c r="U617" s="403">
        <f t="shared" si="78"/>
        <v>1</v>
      </c>
      <c r="V617" s="403" t="str">
        <f t="shared" si="79"/>
        <v>CPP_7_3</v>
      </c>
    </row>
    <row r="618" spans="1:22">
      <c r="A618" t="str">
        <f t="shared" si="72"/>
        <v>MIC-7504-Z12xR</v>
      </c>
      <c r="B618" s="403" t="s">
        <v>1360</v>
      </c>
      <c r="C618" s="403" t="s">
        <v>582</v>
      </c>
      <c r="D618" s="403" t="s">
        <v>1361</v>
      </c>
      <c r="E618" s="403" t="s">
        <v>1366</v>
      </c>
      <c r="F618" s="403" t="s">
        <v>1323</v>
      </c>
      <c r="G618" s="403" t="s">
        <v>1466</v>
      </c>
      <c r="H618" s="403" t="s">
        <v>1276</v>
      </c>
      <c r="I618" s="403">
        <v>1</v>
      </c>
      <c r="J618" s="403" t="s">
        <v>1324</v>
      </c>
      <c r="K618" s="403">
        <v>3584</v>
      </c>
      <c r="L618" s="403">
        <v>2016</v>
      </c>
      <c r="M618" s="403" t="s">
        <v>1280</v>
      </c>
      <c r="N618" s="403">
        <v>3584</v>
      </c>
      <c r="O618" s="403">
        <v>2016</v>
      </c>
      <c r="P618" t="str">
        <f t="shared" si="73"/>
        <v>30fps 3584x2016 - copy other stream</v>
      </c>
      <c r="Q618">
        <f t="shared" si="74"/>
        <v>3</v>
      </c>
      <c r="R618" t="str">
        <f t="shared" si="75"/>
        <v/>
      </c>
      <c r="S618" t="str">
        <f t="shared" si="76"/>
        <v/>
      </c>
      <c r="T618" s="403" t="str">
        <f t="shared" si="77"/>
        <v>MIC-7504-Z12xR</v>
      </c>
      <c r="U618" s="403">
        <f t="shared" si="78"/>
        <v>1</v>
      </c>
      <c r="V618" s="403" t="str">
        <f t="shared" si="79"/>
        <v>CPP_7_3</v>
      </c>
    </row>
    <row r="619" spans="1:22">
      <c r="A619" t="str">
        <f t="shared" si="72"/>
        <v>MIC-7504-Z12xR</v>
      </c>
      <c r="B619" s="403" t="s">
        <v>1360</v>
      </c>
      <c r="C619" s="403" t="s">
        <v>582</v>
      </c>
      <c r="D619" s="403" t="s">
        <v>1361</v>
      </c>
      <c r="E619" s="403" t="s">
        <v>1366</v>
      </c>
      <c r="F619" s="403" t="s">
        <v>1323</v>
      </c>
      <c r="G619" s="403" t="s">
        <v>1466</v>
      </c>
      <c r="H619" s="403" t="s">
        <v>1276</v>
      </c>
      <c r="I619" s="403">
        <v>1</v>
      </c>
      <c r="J619" s="403" t="s">
        <v>1324</v>
      </c>
      <c r="K619" s="403">
        <v>3584</v>
      </c>
      <c r="L619" s="403">
        <v>2016</v>
      </c>
      <c r="M619" s="403" t="s">
        <v>1364</v>
      </c>
      <c r="N619" s="403">
        <v>3584</v>
      </c>
      <c r="O619" s="403">
        <v>2016</v>
      </c>
      <c r="P619" t="str">
        <f t="shared" si="73"/>
        <v>30fps 3584x2016 - 3584x2016 @ SKIP6</v>
      </c>
      <c r="Q619">
        <f t="shared" si="74"/>
        <v>3</v>
      </c>
      <c r="R619" t="str">
        <f t="shared" si="75"/>
        <v/>
      </c>
      <c r="S619" t="str">
        <f t="shared" si="76"/>
        <v/>
      </c>
      <c r="T619" s="403" t="str">
        <f t="shared" si="77"/>
        <v>MIC-7504-Z12xR</v>
      </c>
      <c r="U619" s="403">
        <f t="shared" si="78"/>
        <v>1</v>
      </c>
      <c r="V619" s="403" t="str">
        <f t="shared" si="79"/>
        <v>CPP_7_3</v>
      </c>
    </row>
    <row r="620" spans="1:22">
      <c r="A620" t="str">
        <f t="shared" si="72"/>
        <v>MIC-7504-Z12xR</v>
      </c>
      <c r="B620" s="403" t="s">
        <v>1360</v>
      </c>
      <c r="C620" s="403" t="s">
        <v>582</v>
      </c>
      <c r="D620" s="403" t="s">
        <v>1361</v>
      </c>
      <c r="E620" s="403" t="s">
        <v>1366</v>
      </c>
      <c r="F620" s="403" t="s">
        <v>1323</v>
      </c>
      <c r="G620" s="403" t="s">
        <v>1466</v>
      </c>
      <c r="H620" s="403" t="s">
        <v>1276</v>
      </c>
      <c r="I620" s="403">
        <v>1</v>
      </c>
      <c r="J620" s="403" t="s">
        <v>1324</v>
      </c>
      <c r="K620" s="403">
        <v>3584</v>
      </c>
      <c r="L620" s="403">
        <v>2016</v>
      </c>
      <c r="M620" s="403" t="s">
        <v>110</v>
      </c>
      <c r="N620" s="403">
        <v>3584</v>
      </c>
      <c r="O620" s="403">
        <v>2016</v>
      </c>
      <c r="P620" t="str">
        <f t="shared" si="73"/>
        <v>30fps 3584x2016 - 1080p</v>
      </c>
      <c r="Q620">
        <f t="shared" si="74"/>
        <v>3</v>
      </c>
      <c r="R620" t="str">
        <f t="shared" si="75"/>
        <v/>
      </c>
      <c r="S620" t="str">
        <f t="shared" si="76"/>
        <v/>
      </c>
      <c r="T620" s="403" t="str">
        <f t="shared" si="77"/>
        <v>MIC-7504-Z12xR</v>
      </c>
      <c r="U620" s="403">
        <f t="shared" si="78"/>
        <v>1</v>
      </c>
      <c r="V620" s="403" t="str">
        <f t="shared" si="79"/>
        <v>CPP_7_3</v>
      </c>
    </row>
    <row r="621" spans="1:22">
      <c r="A621" t="str">
        <f t="shared" si="72"/>
        <v>MIC-7504-Z12xR</v>
      </c>
      <c r="B621" s="403" t="s">
        <v>1360</v>
      </c>
      <c r="C621" s="403" t="s">
        <v>582</v>
      </c>
      <c r="D621" s="403" t="s">
        <v>1361</v>
      </c>
      <c r="E621" s="403" t="s">
        <v>1366</v>
      </c>
      <c r="F621" s="403" t="s">
        <v>1323</v>
      </c>
      <c r="G621" s="403" t="s">
        <v>1466</v>
      </c>
      <c r="H621" s="403" t="s">
        <v>1276</v>
      </c>
      <c r="I621" s="403">
        <v>1</v>
      </c>
      <c r="J621" s="403" t="s">
        <v>1324</v>
      </c>
      <c r="K621" s="403">
        <v>3584</v>
      </c>
      <c r="L621" s="403">
        <v>2016</v>
      </c>
      <c r="M621" s="403" t="s">
        <v>109</v>
      </c>
      <c r="N621" s="403">
        <v>1280</v>
      </c>
      <c r="O621" s="403">
        <v>720</v>
      </c>
      <c r="P621" t="str">
        <f t="shared" si="73"/>
        <v>30fps 3584x2016 - 720p</v>
      </c>
      <c r="Q621">
        <f t="shared" si="74"/>
        <v>3</v>
      </c>
      <c r="R621" t="str">
        <f t="shared" si="75"/>
        <v/>
      </c>
      <c r="S621" t="str">
        <f t="shared" si="76"/>
        <v/>
      </c>
      <c r="T621" s="403" t="str">
        <f t="shared" si="77"/>
        <v>MIC-7504-Z12xR</v>
      </c>
      <c r="U621" s="403">
        <f t="shared" si="78"/>
        <v>1</v>
      </c>
      <c r="V621" s="403" t="str">
        <f t="shared" si="79"/>
        <v>CPP_7_3</v>
      </c>
    </row>
    <row r="622" spans="1:22">
      <c r="A622" t="str">
        <f t="shared" si="72"/>
        <v>MIC-7504-Z12xR</v>
      </c>
      <c r="B622" s="403" t="s">
        <v>1360</v>
      </c>
      <c r="C622" s="403" t="s">
        <v>582</v>
      </c>
      <c r="D622" s="403" t="s">
        <v>1361</v>
      </c>
      <c r="E622" s="403" t="s">
        <v>1366</v>
      </c>
      <c r="F622" s="403" t="s">
        <v>1323</v>
      </c>
      <c r="G622" s="403" t="s">
        <v>1466</v>
      </c>
      <c r="H622" s="403" t="s">
        <v>1276</v>
      </c>
      <c r="I622" s="403">
        <v>1</v>
      </c>
      <c r="J622" s="403" t="s">
        <v>1324</v>
      </c>
      <c r="K622" s="403">
        <v>3584</v>
      </c>
      <c r="L622" s="403">
        <v>2016</v>
      </c>
      <c r="M622" s="403" t="s">
        <v>1283</v>
      </c>
      <c r="N622" s="403">
        <v>720</v>
      </c>
      <c r="O622" s="403">
        <v>480</v>
      </c>
      <c r="P622" t="str">
        <f t="shared" si="73"/>
        <v>30fps 3584x2016 - SD 4CIF resolution 4:3 format (cropped)</v>
      </c>
      <c r="Q622">
        <f t="shared" si="74"/>
        <v>3</v>
      </c>
      <c r="R622" t="str">
        <f t="shared" si="75"/>
        <v/>
      </c>
      <c r="S622" t="str">
        <f t="shared" si="76"/>
        <v/>
      </c>
      <c r="T622" s="403" t="str">
        <f t="shared" si="77"/>
        <v>MIC-7504-Z12xR</v>
      </c>
      <c r="U622" s="403">
        <f t="shared" si="78"/>
        <v>1</v>
      </c>
      <c r="V622" s="403" t="str">
        <f t="shared" si="79"/>
        <v>CPP_7_3</v>
      </c>
    </row>
    <row r="623" spans="1:22">
      <c r="A623" t="str">
        <f t="shared" si="72"/>
        <v>MIC-7504-Z12xR</v>
      </c>
      <c r="B623" s="403" t="s">
        <v>1360</v>
      </c>
      <c r="C623" s="403" t="s">
        <v>582</v>
      </c>
      <c r="D623" s="403" t="s">
        <v>1361</v>
      </c>
      <c r="E623" s="403" t="s">
        <v>1366</v>
      </c>
      <c r="F623" s="403" t="s">
        <v>1323</v>
      </c>
      <c r="G623" s="403" t="s">
        <v>1466</v>
      </c>
      <c r="H623" s="403" t="s">
        <v>1276</v>
      </c>
      <c r="I623" s="403">
        <v>1</v>
      </c>
      <c r="J623" s="403" t="s">
        <v>1324</v>
      </c>
      <c r="K623" s="403">
        <v>3584</v>
      </c>
      <c r="L623" s="403">
        <v>2016</v>
      </c>
      <c r="M623" s="403" t="s">
        <v>1284</v>
      </c>
      <c r="N623" s="403">
        <v>640</v>
      </c>
      <c r="O623" s="403">
        <v>480</v>
      </c>
      <c r="P623" t="str">
        <f t="shared" si="73"/>
        <v>30fps 3584x2016 - SD VGA (cropped)</v>
      </c>
      <c r="Q623">
        <f t="shared" si="74"/>
        <v>3</v>
      </c>
      <c r="R623" t="str">
        <f t="shared" si="75"/>
        <v/>
      </c>
      <c r="S623" t="str">
        <f t="shared" si="76"/>
        <v/>
      </c>
      <c r="T623" s="403" t="str">
        <f t="shared" si="77"/>
        <v>MIC-7504-Z12xR</v>
      </c>
      <c r="U623" s="403">
        <f t="shared" si="78"/>
        <v>1</v>
      </c>
      <c r="V623" s="403" t="str">
        <f t="shared" si="79"/>
        <v>CPP_7_3</v>
      </c>
    </row>
    <row r="624" spans="1:22">
      <c r="A624" t="str">
        <f t="shared" si="72"/>
        <v>MIC-7504-Z12xR</v>
      </c>
      <c r="B624" s="403" t="s">
        <v>1360</v>
      </c>
      <c r="C624" s="403" t="s">
        <v>582</v>
      </c>
      <c r="D624" s="403" t="s">
        <v>1361</v>
      </c>
      <c r="E624" s="403" t="s">
        <v>1366</v>
      </c>
      <c r="F624" s="403" t="s">
        <v>1323</v>
      </c>
      <c r="G624" s="403" t="s">
        <v>1466</v>
      </c>
      <c r="H624" s="403" t="s">
        <v>1276</v>
      </c>
      <c r="I624" s="403">
        <v>1</v>
      </c>
      <c r="J624" s="403" t="s">
        <v>1324</v>
      </c>
      <c r="K624" s="403">
        <v>3584</v>
      </c>
      <c r="L624" s="403">
        <v>2016</v>
      </c>
      <c r="M624" s="403" t="s">
        <v>1285</v>
      </c>
      <c r="N624" s="403">
        <v>640</v>
      </c>
      <c r="O624" s="403">
        <v>480</v>
      </c>
      <c r="P624" t="str">
        <f t="shared" si="73"/>
        <v>30fps 3584x2016 - 1280x1024 5:4 (cropped)</v>
      </c>
      <c r="Q624">
        <f t="shared" si="74"/>
        <v>3</v>
      </c>
      <c r="R624" t="str">
        <f t="shared" si="75"/>
        <v/>
      </c>
      <c r="S624" t="str">
        <f t="shared" si="76"/>
        <v/>
      </c>
      <c r="T624" s="403" t="str">
        <f t="shared" si="77"/>
        <v>MIC-7504-Z12xR</v>
      </c>
      <c r="U624" s="403">
        <f t="shared" si="78"/>
        <v>1</v>
      </c>
      <c r="V624" s="403" t="str">
        <f t="shared" si="79"/>
        <v>CPP_7_3</v>
      </c>
    </row>
    <row r="625" spans="1:22">
      <c r="A625" t="str">
        <f t="shared" si="72"/>
        <v>MIC-7504-Z12xR</v>
      </c>
      <c r="B625" s="403" t="s">
        <v>1360</v>
      </c>
      <c r="C625" s="403" t="s">
        <v>582</v>
      </c>
      <c r="D625" s="403" t="s">
        <v>1361</v>
      </c>
      <c r="E625" s="403" t="s">
        <v>1366</v>
      </c>
      <c r="F625" s="403" t="s">
        <v>1323</v>
      </c>
      <c r="G625" s="403" t="s">
        <v>1466</v>
      </c>
      <c r="H625" s="403" t="s">
        <v>1276</v>
      </c>
      <c r="I625" s="403">
        <v>1</v>
      </c>
      <c r="J625" s="403" t="s">
        <v>110</v>
      </c>
      <c r="K625" s="403">
        <v>1920</v>
      </c>
      <c r="L625" s="403">
        <v>1080</v>
      </c>
      <c r="M625" s="403" t="s">
        <v>111</v>
      </c>
      <c r="N625" s="403">
        <v>768</v>
      </c>
      <c r="O625" s="403">
        <v>432</v>
      </c>
      <c r="P625" t="str">
        <f t="shared" si="73"/>
        <v>30fps 1080p - SD</v>
      </c>
      <c r="Q625">
        <f t="shared" si="74"/>
        <v>3</v>
      </c>
      <c r="R625" t="str">
        <f t="shared" si="75"/>
        <v/>
      </c>
      <c r="S625" t="str">
        <f t="shared" si="76"/>
        <v/>
      </c>
      <c r="T625" s="403" t="str">
        <f t="shared" si="77"/>
        <v>MIC-7504-Z12xR</v>
      </c>
      <c r="U625" s="403">
        <f t="shared" si="78"/>
        <v>1</v>
      </c>
      <c r="V625" s="403" t="str">
        <f t="shared" si="79"/>
        <v>CPP_7_3</v>
      </c>
    </row>
    <row r="626" spans="1:22">
      <c r="A626" t="str">
        <f t="shared" si="72"/>
        <v>MIC-7504-Z12xR</v>
      </c>
      <c r="B626" s="403" t="s">
        <v>1360</v>
      </c>
      <c r="C626" s="403" t="s">
        <v>582</v>
      </c>
      <c r="D626" s="403" t="s">
        <v>1361</v>
      </c>
      <c r="E626" s="403" t="s">
        <v>1366</v>
      </c>
      <c r="F626" s="403" t="s">
        <v>1323</v>
      </c>
      <c r="G626" s="403" t="s">
        <v>1466</v>
      </c>
      <c r="H626" s="403" t="s">
        <v>1276</v>
      </c>
      <c r="I626" s="403">
        <v>1</v>
      </c>
      <c r="J626" s="403" t="s">
        <v>110</v>
      </c>
      <c r="K626" s="403">
        <v>1920</v>
      </c>
      <c r="L626" s="403">
        <v>1080</v>
      </c>
      <c r="M626" s="403" t="s">
        <v>110</v>
      </c>
      <c r="N626" s="403">
        <v>1920</v>
      </c>
      <c r="O626" s="403">
        <v>1080</v>
      </c>
      <c r="P626" t="str">
        <f t="shared" si="73"/>
        <v>30fps 1080p - 1080p</v>
      </c>
      <c r="Q626">
        <f t="shared" si="74"/>
        <v>3</v>
      </c>
      <c r="R626" t="str">
        <f t="shared" si="75"/>
        <v/>
      </c>
      <c r="S626" t="str">
        <f t="shared" si="76"/>
        <v/>
      </c>
      <c r="T626" s="403" t="str">
        <f t="shared" si="77"/>
        <v>MIC-7504-Z12xR</v>
      </c>
      <c r="U626" s="403">
        <f t="shared" si="78"/>
        <v>1</v>
      </c>
      <c r="V626" s="403" t="str">
        <f t="shared" si="79"/>
        <v>CPP_7_3</v>
      </c>
    </row>
    <row r="627" spans="1:22">
      <c r="A627" t="str">
        <f t="shared" si="72"/>
        <v>MIC-7504-Z12xR</v>
      </c>
      <c r="B627" s="403" t="s">
        <v>1360</v>
      </c>
      <c r="C627" s="403" t="s">
        <v>582</v>
      </c>
      <c r="D627" s="403" t="s">
        <v>1361</v>
      </c>
      <c r="E627" s="403" t="s">
        <v>1366</v>
      </c>
      <c r="F627" s="403" t="s">
        <v>1323</v>
      </c>
      <c r="G627" s="403" t="s">
        <v>1466</v>
      </c>
      <c r="H627" s="403" t="s">
        <v>1276</v>
      </c>
      <c r="I627" s="403">
        <v>1</v>
      </c>
      <c r="J627" s="403" t="s">
        <v>110</v>
      </c>
      <c r="K627" s="403">
        <v>1920</v>
      </c>
      <c r="L627" s="403">
        <v>1080</v>
      </c>
      <c r="M627" s="403" t="s">
        <v>109</v>
      </c>
      <c r="N627" s="403">
        <v>1280</v>
      </c>
      <c r="O627" s="403">
        <v>720</v>
      </c>
      <c r="P627" t="str">
        <f t="shared" si="73"/>
        <v>30fps 1080p - 720p</v>
      </c>
      <c r="Q627">
        <f t="shared" si="74"/>
        <v>3</v>
      </c>
      <c r="R627" t="str">
        <f t="shared" si="75"/>
        <v/>
      </c>
      <c r="S627" t="str">
        <f t="shared" si="76"/>
        <v/>
      </c>
      <c r="T627" s="403" t="str">
        <f t="shared" si="77"/>
        <v>MIC-7504-Z12xR</v>
      </c>
      <c r="U627" s="403">
        <f t="shared" si="78"/>
        <v>1</v>
      </c>
      <c r="V627" s="403" t="str">
        <f t="shared" si="79"/>
        <v>CPP_7_3</v>
      </c>
    </row>
    <row r="628" spans="1:22">
      <c r="A628" t="str">
        <f t="shared" si="72"/>
        <v>MIC-7504-Z12xR</v>
      </c>
      <c r="B628" s="403" t="s">
        <v>1360</v>
      </c>
      <c r="C628" s="403" t="s">
        <v>582</v>
      </c>
      <c r="D628" s="403" t="s">
        <v>1361</v>
      </c>
      <c r="E628" s="403" t="s">
        <v>1366</v>
      </c>
      <c r="F628" s="403" t="s">
        <v>1323</v>
      </c>
      <c r="G628" s="403" t="s">
        <v>1466</v>
      </c>
      <c r="H628" s="403" t="s">
        <v>1276</v>
      </c>
      <c r="I628" s="403">
        <v>1</v>
      </c>
      <c r="J628" s="403" t="s">
        <v>110</v>
      </c>
      <c r="K628" s="403">
        <v>1920</v>
      </c>
      <c r="L628" s="403">
        <v>1080</v>
      </c>
      <c r="M628" s="403" t="s">
        <v>1285</v>
      </c>
      <c r="N628" s="403">
        <v>1280</v>
      </c>
      <c r="O628" s="403">
        <v>1024</v>
      </c>
      <c r="P628" t="str">
        <f t="shared" si="73"/>
        <v>30fps 1080p - 1280x1024 5:4 (cropped)</v>
      </c>
      <c r="Q628">
        <f t="shared" si="74"/>
        <v>3</v>
      </c>
      <c r="R628" t="str">
        <f t="shared" si="75"/>
        <v/>
      </c>
      <c r="S628" t="str">
        <f t="shared" si="76"/>
        <v/>
      </c>
      <c r="T628" s="403" t="str">
        <f t="shared" si="77"/>
        <v>MIC-7504-Z12xR</v>
      </c>
      <c r="U628" s="403">
        <f t="shared" si="78"/>
        <v>1</v>
      </c>
      <c r="V628" s="403" t="str">
        <f t="shared" si="79"/>
        <v>CPP_7_3</v>
      </c>
    </row>
    <row r="629" spans="1:22">
      <c r="A629" t="str">
        <f t="shared" si="72"/>
        <v>MIC-7504-Z12xR</v>
      </c>
      <c r="B629" s="403" t="s">
        <v>1360</v>
      </c>
      <c r="C629" s="403" t="s">
        <v>582</v>
      </c>
      <c r="D629" s="403" t="s">
        <v>1361</v>
      </c>
      <c r="E629" s="403" t="s">
        <v>1366</v>
      </c>
      <c r="F629" s="403" t="s">
        <v>1323</v>
      </c>
      <c r="G629" s="403" t="s">
        <v>1466</v>
      </c>
      <c r="H629" s="403" t="s">
        <v>1276</v>
      </c>
      <c r="I629" s="403">
        <v>1</v>
      </c>
      <c r="J629" s="403" t="s">
        <v>110</v>
      </c>
      <c r="K629" s="403">
        <v>1920</v>
      </c>
      <c r="L629" s="403">
        <v>1080</v>
      </c>
      <c r="M629" s="403" t="s">
        <v>1283</v>
      </c>
      <c r="N629" s="403">
        <v>720</v>
      </c>
      <c r="O629" s="403">
        <v>480</v>
      </c>
      <c r="P629" t="str">
        <f t="shared" si="73"/>
        <v>30fps 1080p - SD 4CIF resolution 4:3 format (cropped)</v>
      </c>
      <c r="Q629">
        <f t="shared" si="74"/>
        <v>3</v>
      </c>
      <c r="R629" t="str">
        <f t="shared" si="75"/>
        <v/>
      </c>
      <c r="S629" t="str">
        <f t="shared" si="76"/>
        <v/>
      </c>
      <c r="T629" s="403" t="str">
        <f t="shared" si="77"/>
        <v>MIC-7504-Z12xR</v>
      </c>
      <c r="U629" s="403">
        <f t="shared" si="78"/>
        <v>1</v>
      </c>
      <c r="V629" s="403" t="str">
        <f t="shared" si="79"/>
        <v>CPP_7_3</v>
      </c>
    </row>
    <row r="630" spans="1:22">
      <c r="A630" t="str">
        <f t="shared" si="72"/>
        <v>MIC-7504-Z12xR</v>
      </c>
      <c r="B630" s="403" t="s">
        <v>1360</v>
      </c>
      <c r="C630" s="403" t="s">
        <v>582</v>
      </c>
      <c r="D630" s="403" t="s">
        <v>1361</v>
      </c>
      <c r="E630" s="403" t="s">
        <v>1366</v>
      </c>
      <c r="F630" s="403" t="s">
        <v>1323</v>
      </c>
      <c r="G630" s="403" t="s">
        <v>1466</v>
      </c>
      <c r="H630" s="403" t="s">
        <v>1276</v>
      </c>
      <c r="I630" s="403">
        <v>1</v>
      </c>
      <c r="J630" s="403" t="s">
        <v>110</v>
      </c>
      <c r="K630" s="403">
        <v>1920</v>
      </c>
      <c r="L630" s="403">
        <v>1080</v>
      </c>
      <c r="M630" s="403" t="s">
        <v>1284</v>
      </c>
      <c r="N630" s="403">
        <v>640</v>
      </c>
      <c r="O630" s="403">
        <v>480</v>
      </c>
      <c r="P630" t="str">
        <f t="shared" si="73"/>
        <v>30fps 1080p - SD VGA (cropped)</v>
      </c>
      <c r="Q630">
        <f t="shared" si="74"/>
        <v>3</v>
      </c>
      <c r="R630" t="str">
        <f t="shared" si="75"/>
        <v/>
      </c>
      <c r="S630" t="str">
        <f t="shared" si="76"/>
        <v/>
      </c>
      <c r="T630" s="403" t="str">
        <f t="shared" si="77"/>
        <v>MIC-7504-Z12xR</v>
      </c>
      <c r="U630" s="403">
        <f t="shared" si="78"/>
        <v>1</v>
      </c>
      <c r="V630" s="403" t="str">
        <f t="shared" si="79"/>
        <v>CPP_7_3</v>
      </c>
    </row>
    <row r="631" spans="1:22">
      <c r="A631" t="str">
        <f t="shared" si="72"/>
        <v>MIC-7504-Z12xR</v>
      </c>
      <c r="B631" s="403" t="s">
        <v>1360</v>
      </c>
      <c r="C631" s="403" t="s">
        <v>582</v>
      </c>
      <c r="D631" s="403" t="s">
        <v>1361</v>
      </c>
      <c r="E631" s="403" t="s">
        <v>1366</v>
      </c>
      <c r="F631" s="403" t="s">
        <v>1323</v>
      </c>
      <c r="G631" s="403" t="s">
        <v>1466</v>
      </c>
      <c r="H631" s="403" t="s">
        <v>1276</v>
      </c>
      <c r="I631" s="403">
        <v>1</v>
      </c>
      <c r="J631" s="403" t="s">
        <v>109</v>
      </c>
      <c r="K631" s="403">
        <v>1280</v>
      </c>
      <c r="L631" s="403">
        <v>720</v>
      </c>
      <c r="M631" s="403" t="s">
        <v>109</v>
      </c>
      <c r="N631" s="403">
        <v>1280</v>
      </c>
      <c r="O631" s="403">
        <v>720</v>
      </c>
      <c r="P631" t="str">
        <f t="shared" si="73"/>
        <v>30fps 720p - 720p</v>
      </c>
      <c r="Q631">
        <f t="shared" si="74"/>
        <v>3</v>
      </c>
      <c r="R631" t="str">
        <f t="shared" si="75"/>
        <v/>
      </c>
      <c r="S631" t="str">
        <f t="shared" si="76"/>
        <v/>
      </c>
      <c r="T631" s="403" t="str">
        <f t="shared" si="77"/>
        <v>MIC-7504-Z12xR</v>
      </c>
      <c r="U631" s="403">
        <f t="shared" si="78"/>
        <v>1</v>
      </c>
      <c r="V631" s="403" t="str">
        <f t="shared" si="79"/>
        <v>CPP_7_3</v>
      </c>
    </row>
    <row r="632" spans="1:22">
      <c r="A632" t="str">
        <f t="shared" si="72"/>
        <v>MIC-7504-Z12xR</v>
      </c>
      <c r="B632" s="403" t="s">
        <v>1360</v>
      </c>
      <c r="C632" s="403" t="s">
        <v>582</v>
      </c>
      <c r="D632" s="403" t="s">
        <v>1361</v>
      </c>
      <c r="E632" s="403" t="s">
        <v>1366</v>
      </c>
      <c r="F632" s="403" t="s">
        <v>1323</v>
      </c>
      <c r="G632" s="403" t="s">
        <v>1466</v>
      </c>
      <c r="H632" s="403" t="s">
        <v>1276</v>
      </c>
      <c r="I632" s="403">
        <v>1</v>
      </c>
      <c r="J632" s="403" t="s">
        <v>109</v>
      </c>
      <c r="K632" s="403">
        <v>1280</v>
      </c>
      <c r="L632" s="403">
        <v>720</v>
      </c>
      <c r="M632" s="403" t="s">
        <v>111</v>
      </c>
      <c r="N632" s="403">
        <v>768</v>
      </c>
      <c r="O632" s="403">
        <v>432</v>
      </c>
      <c r="P632" t="str">
        <f t="shared" si="73"/>
        <v>30fps 720p - SD</v>
      </c>
      <c r="Q632">
        <f t="shared" si="74"/>
        <v>3</v>
      </c>
      <c r="R632" t="str">
        <f t="shared" si="75"/>
        <v/>
      </c>
      <c r="S632" t="str">
        <f t="shared" si="76"/>
        <v/>
      </c>
      <c r="T632" s="403" t="str">
        <f t="shared" si="77"/>
        <v>MIC-7504-Z12xR</v>
      </c>
      <c r="U632" s="403">
        <f t="shared" si="78"/>
        <v>1</v>
      </c>
      <c r="V632" s="403" t="str">
        <f t="shared" si="79"/>
        <v>CPP_7_3</v>
      </c>
    </row>
    <row r="633" spans="1:22">
      <c r="A633" t="str">
        <f t="shared" si="72"/>
        <v>MIC-7504-Z12xR</v>
      </c>
      <c r="B633" s="403" t="s">
        <v>1360</v>
      </c>
      <c r="C633" s="403" t="s">
        <v>582</v>
      </c>
      <c r="D633" s="403" t="s">
        <v>1361</v>
      </c>
      <c r="E633" s="403" t="s">
        <v>1366</v>
      </c>
      <c r="F633" s="403" t="s">
        <v>1323</v>
      </c>
      <c r="G633" s="403" t="s">
        <v>1466</v>
      </c>
      <c r="H633" s="403" t="s">
        <v>1276</v>
      </c>
      <c r="I633" s="403">
        <v>1</v>
      </c>
      <c r="J633" s="403" t="s">
        <v>109</v>
      </c>
      <c r="K633" s="403">
        <v>1280</v>
      </c>
      <c r="L633" s="403">
        <v>720</v>
      </c>
      <c r="M633" s="403" t="s">
        <v>1283</v>
      </c>
      <c r="N633" s="403">
        <v>720</v>
      </c>
      <c r="O633" s="403">
        <v>480</v>
      </c>
      <c r="P633" t="str">
        <f t="shared" si="73"/>
        <v>30fps 720p - SD 4CIF resolution 4:3 format (cropped)</v>
      </c>
      <c r="Q633">
        <f t="shared" si="74"/>
        <v>3</v>
      </c>
      <c r="R633" t="str">
        <f t="shared" si="75"/>
        <v/>
      </c>
      <c r="S633" t="str">
        <f t="shared" si="76"/>
        <v/>
      </c>
      <c r="T633" s="403" t="str">
        <f t="shared" si="77"/>
        <v>MIC-7504-Z12xR</v>
      </c>
      <c r="U633" s="403">
        <f t="shared" si="78"/>
        <v>1</v>
      </c>
      <c r="V633" s="403" t="str">
        <f t="shared" si="79"/>
        <v>CPP_7_3</v>
      </c>
    </row>
    <row r="634" spans="1:22">
      <c r="A634" t="str">
        <f t="shared" si="72"/>
        <v>MIC-7504-Z12xR</v>
      </c>
      <c r="B634" s="403" t="s">
        <v>1360</v>
      </c>
      <c r="C634" s="403" t="s">
        <v>582</v>
      </c>
      <c r="D634" s="403" t="s">
        <v>1361</v>
      </c>
      <c r="E634" s="403" t="s">
        <v>1366</v>
      </c>
      <c r="F634" s="403" t="s">
        <v>1323</v>
      </c>
      <c r="G634" s="403" t="s">
        <v>1466</v>
      </c>
      <c r="H634" s="403" t="s">
        <v>1276</v>
      </c>
      <c r="I634" s="403">
        <v>1</v>
      </c>
      <c r="J634" s="403" t="s">
        <v>109</v>
      </c>
      <c r="K634" s="403">
        <v>1280</v>
      </c>
      <c r="L634" s="403">
        <v>720</v>
      </c>
      <c r="M634" s="403" t="s">
        <v>1284</v>
      </c>
      <c r="N634" s="403">
        <v>640</v>
      </c>
      <c r="O634" s="403">
        <v>480</v>
      </c>
      <c r="P634" t="str">
        <f t="shared" si="73"/>
        <v>30fps 720p - SD VGA (cropped)</v>
      </c>
      <c r="Q634">
        <f t="shared" si="74"/>
        <v>3</v>
      </c>
      <c r="R634" t="str">
        <f t="shared" si="75"/>
        <v/>
      </c>
      <c r="S634" t="str">
        <f t="shared" si="76"/>
        <v/>
      </c>
      <c r="T634" s="403" t="str">
        <f t="shared" si="77"/>
        <v>MIC-7504-Z12xR</v>
      </c>
      <c r="U634" s="403">
        <f t="shared" si="78"/>
        <v>1</v>
      </c>
      <c r="V634" s="403" t="str">
        <f t="shared" si="79"/>
        <v>CPP_7_3</v>
      </c>
    </row>
    <row r="635" spans="1:22">
      <c r="A635" t="str">
        <f t="shared" si="72"/>
        <v>MIC-7504-Z12xR</v>
      </c>
      <c r="B635" s="403" t="s">
        <v>1360</v>
      </c>
      <c r="C635" s="403" t="s">
        <v>582</v>
      </c>
      <c r="D635" s="403" t="s">
        <v>1361</v>
      </c>
      <c r="E635" s="403" t="s">
        <v>1366</v>
      </c>
      <c r="F635" s="403" t="s">
        <v>1323</v>
      </c>
      <c r="G635" s="403" t="s">
        <v>1466</v>
      </c>
      <c r="H635" s="403" t="s">
        <v>1281</v>
      </c>
      <c r="I635" s="403">
        <v>1</v>
      </c>
      <c r="J635" s="403" t="s">
        <v>110</v>
      </c>
      <c r="K635" s="403">
        <v>1920</v>
      </c>
      <c r="L635" s="403">
        <v>1080</v>
      </c>
      <c r="M635" s="403" t="s">
        <v>111</v>
      </c>
      <c r="N635" s="403">
        <v>768</v>
      </c>
      <c r="O635" s="403">
        <v>432</v>
      </c>
      <c r="P635" t="str">
        <f t="shared" si="73"/>
        <v>30fps 1080p - SD</v>
      </c>
      <c r="Q635">
        <f t="shared" si="74"/>
        <v>3</v>
      </c>
      <c r="R635" t="str">
        <f t="shared" si="75"/>
        <v/>
      </c>
      <c r="S635" t="str">
        <f t="shared" si="76"/>
        <v/>
      </c>
      <c r="T635" s="403" t="str">
        <f t="shared" si="77"/>
        <v>MIC-7504-Z12xR</v>
      </c>
      <c r="U635" s="403">
        <f t="shared" si="78"/>
        <v>1</v>
      </c>
      <c r="V635" s="403" t="str">
        <f t="shared" si="79"/>
        <v>CPP_7_3</v>
      </c>
    </row>
    <row r="636" spans="1:22">
      <c r="A636" t="str">
        <f t="shared" si="72"/>
        <v>MIC-7504-Z12xR</v>
      </c>
      <c r="B636" s="403" t="s">
        <v>1360</v>
      </c>
      <c r="C636" s="403" t="s">
        <v>582</v>
      </c>
      <c r="D636" s="403" t="s">
        <v>1361</v>
      </c>
      <c r="E636" s="403" t="s">
        <v>1366</v>
      </c>
      <c r="F636" s="403" t="s">
        <v>1323</v>
      </c>
      <c r="G636" s="403" t="s">
        <v>1466</v>
      </c>
      <c r="H636" s="403" t="s">
        <v>1281</v>
      </c>
      <c r="I636" s="403">
        <v>1</v>
      </c>
      <c r="J636" s="403" t="s">
        <v>110</v>
      </c>
      <c r="K636" s="403">
        <v>1920</v>
      </c>
      <c r="L636" s="403">
        <v>1080</v>
      </c>
      <c r="M636" s="403" t="s">
        <v>110</v>
      </c>
      <c r="N636" s="403">
        <v>1920</v>
      </c>
      <c r="O636" s="403">
        <v>1080</v>
      </c>
      <c r="P636" t="str">
        <f t="shared" si="73"/>
        <v>30fps 1080p - 1080p</v>
      </c>
      <c r="Q636">
        <f t="shared" si="74"/>
        <v>3</v>
      </c>
      <c r="R636" t="str">
        <f t="shared" si="75"/>
        <v/>
      </c>
      <c r="S636" t="str">
        <f t="shared" si="76"/>
        <v/>
      </c>
      <c r="T636" s="403" t="str">
        <f t="shared" si="77"/>
        <v>MIC-7504-Z12xR</v>
      </c>
      <c r="U636" s="403">
        <f t="shared" si="78"/>
        <v>1</v>
      </c>
      <c r="V636" s="403" t="str">
        <f t="shared" si="79"/>
        <v>CPP_7_3</v>
      </c>
    </row>
    <row r="637" spans="1:22">
      <c r="A637" t="str">
        <f t="shared" si="72"/>
        <v>MIC-7504-Z12xR</v>
      </c>
      <c r="B637" s="403" t="s">
        <v>1360</v>
      </c>
      <c r="C637" s="403" t="s">
        <v>582</v>
      </c>
      <c r="D637" s="403" t="s">
        <v>1361</v>
      </c>
      <c r="E637" s="403" t="s">
        <v>1366</v>
      </c>
      <c r="F637" s="403" t="s">
        <v>1323</v>
      </c>
      <c r="G637" s="403" t="s">
        <v>1466</v>
      </c>
      <c r="H637" s="403" t="s">
        <v>1281</v>
      </c>
      <c r="I637" s="403">
        <v>1</v>
      </c>
      <c r="J637" s="403" t="s">
        <v>110</v>
      </c>
      <c r="K637" s="403">
        <v>1920</v>
      </c>
      <c r="L637" s="403">
        <v>1080</v>
      </c>
      <c r="M637" s="403" t="s">
        <v>109</v>
      </c>
      <c r="N637" s="403">
        <v>1280</v>
      </c>
      <c r="O637" s="403">
        <v>720</v>
      </c>
      <c r="P637" t="str">
        <f t="shared" si="73"/>
        <v>30fps 1080p - 720p</v>
      </c>
      <c r="Q637">
        <f t="shared" si="74"/>
        <v>3</v>
      </c>
      <c r="R637" t="str">
        <f t="shared" si="75"/>
        <v/>
      </c>
      <c r="S637" t="str">
        <f t="shared" si="76"/>
        <v/>
      </c>
      <c r="T637" s="403" t="str">
        <f t="shared" si="77"/>
        <v>MIC-7504-Z12xR</v>
      </c>
      <c r="U637" s="403">
        <f t="shared" si="78"/>
        <v>1</v>
      </c>
      <c r="V637" s="403" t="str">
        <f t="shared" si="79"/>
        <v>CPP_7_3</v>
      </c>
    </row>
    <row r="638" spans="1:22">
      <c r="A638" t="str">
        <f t="shared" si="72"/>
        <v>MIC-7504-Z12xR</v>
      </c>
      <c r="B638" s="403" t="s">
        <v>1360</v>
      </c>
      <c r="C638" s="403" t="s">
        <v>582</v>
      </c>
      <c r="D638" s="403" t="s">
        <v>1361</v>
      </c>
      <c r="E638" s="403" t="s">
        <v>1366</v>
      </c>
      <c r="F638" s="403" t="s">
        <v>1323</v>
      </c>
      <c r="G638" s="403" t="s">
        <v>1466</v>
      </c>
      <c r="H638" s="403" t="s">
        <v>1281</v>
      </c>
      <c r="I638" s="403">
        <v>1</v>
      </c>
      <c r="J638" s="403" t="s">
        <v>110</v>
      </c>
      <c r="K638" s="403">
        <v>1920</v>
      </c>
      <c r="L638" s="403">
        <v>1080</v>
      </c>
      <c r="M638" s="403" t="s">
        <v>1285</v>
      </c>
      <c r="N638" s="403">
        <v>1280</v>
      </c>
      <c r="O638" s="403">
        <v>1024</v>
      </c>
      <c r="P638" t="str">
        <f t="shared" si="73"/>
        <v>30fps 1080p - 1280x1024 5:4 (cropped)</v>
      </c>
      <c r="Q638">
        <f t="shared" si="74"/>
        <v>3</v>
      </c>
      <c r="R638" t="str">
        <f t="shared" si="75"/>
        <v/>
      </c>
      <c r="S638" t="str">
        <f t="shared" si="76"/>
        <v/>
      </c>
      <c r="T638" s="403" t="str">
        <f t="shared" si="77"/>
        <v>MIC-7504-Z12xR</v>
      </c>
      <c r="U638" s="403">
        <f t="shared" si="78"/>
        <v>1</v>
      </c>
      <c r="V638" s="403" t="str">
        <f t="shared" si="79"/>
        <v>CPP_7_3</v>
      </c>
    </row>
    <row r="639" spans="1:22">
      <c r="A639" t="str">
        <f t="shared" si="72"/>
        <v>MIC-7504-Z12xR</v>
      </c>
      <c r="B639" s="403" t="s">
        <v>1360</v>
      </c>
      <c r="C639" s="403" t="s">
        <v>582</v>
      </c>
      <c r="D639" s="403" t="s">
        <v>1361</v>
      </c>
      <c r="E639" s="403" t="s">
        <v>1366</v>
      </c>
      <c r="F639" s="403" t="s">
        <v>1323</v>
      </c>
      <c r="G639" s="403" t="s">
        <v>1466</v>
      </c>
      <c r="H639" s="403" t="s">
        <v>1281</v>
      </c>
      <c r="I639" s="403">
        <v>1</v>
      </c>
      <c r="J639" s="403" t="s">
        <v>110</v>
      </c>
      <c r="K639" s="403">
        <v>1920</v>
      </c>
      <c r="L639" s="403">
        <v>1080</v>
      </c>
      <c r="M639" s="403" t="s">
        <v>1283</v>
      </c>
      <c r="N639" s="403">
        <v>720</v>
      </c>
      <c r="O639" s="403">
        <v>480</v>
      </c>
      <c r="P639" t="str">
        <f t="shared" si="73"/>
        <v>30fps 1080p - SD 4CIF resolution 4:3 format (cropped)</v>
      </c>
      <c r="Q639">
        <f t="shared" si="74"/>
        <v>3</v>
      </c>
      <c r="R639" t="str">
        <f t="shared" si="75"/>
        <v/>
      </c>
      <c r="S639" t="str">
        <f t="shared" si="76"/>
        <v/>
      </c>
      <c r="T639" s="403" t="str">
        <f t="shared" si="77"/>
        <v>MIC-7504-Z12xR</v>
      </c>
      <c r="U639" s="403">
        <f t="shared" si="78"/>
        <v>1</v>
      </c>
      <c r="V639" s="403" t="str">
        <f t="shared" si="79"/>
        <v>CPP_7_3</v>
      </c>
    </row>
    <row r="640" spans="1:22">
      <c r="A640" t="str">
        <f t="shared" si="72"/>
        <v>MIC-7504-Z12xR</v>
      </c>
      <c r="B640" s="403" t="s">
        <v>1360</v>
      </c>
      <c r="C640" s="403" t="s">
        <v>582</v>
      </c>
      <c r="D640" s="403" t="s">
        <v>1361</v>
      </c>
      <c r="E640" s="403" t="s">
        <v>1366</v>
      </c>
      <c r="F640" s="403" t="s">
        <v>1323</v>
      </c>
      <c r="G640" s="403" t="s">
        <v>1466</v>
      </c>
      <c r="H640" s="403" t="s">
        <v>1281</v>
      </c>
      <c r="I640" s="403">
        <v>1</v>
      </c>
      <c r="J640" s="403" t="s">
        <v>110</v>
      </c>
      <c r="K640" s="403">
        <v>1920</v>
      </c>
      <c r="L640" s="403">
        <v>1080</v>
      </c>
      <c r="M640" s="403" t="s">
        <v>1284</v>
      </c>
      <c r="N640" s="403">
        <v>640</v>
      </c>
      <c r="O640" s="403">
        <v>480</v>
      </c>
      <c r="P640" t="str">
        <f t="shared" si="73"/>
        <v>30fps 1080p - SD VGA (cropped)</v>
      </c>
      <c r="Q640">
        <f t="shared" si="74"/>
        <v>3</v>
      </c>
      <c r="R640" t="str">
        <f t="shared" si="75"/>
        <v/>
      </c>
      <c r="S640" t="str">
        <f t="shared" si="76"/>
        <v/>
      </c>
      <c r="T640" s="403" t="str">
        <f t="shared" si="77"/>
        <v>MIC-7504-Z12xR</v>
      </c>
      <c r="U640" s="403">
        <f t="shared" si="78"/>
        <v>1</v>
      </c>
      <c r="V640" s="403" t="str">
        <f t="shared" si="79"/>
        <v>CPP_7_3</v>
      </c>
    </row>
    <row r="641" spans="1:22">
      <c r="A641" t="str">
        <f t="shared" si="72"/>
        <v>MIC-7504-Z12xR</v>
      </c>
      <c r="B641" s="403" t="s">
        <v>1360</v>
      </c>
      <c r="C641" s="403" t="s">
        <v>582</v>
      </c>
      <c r="D641" s="403" t="s">
        <v>1361</v>
      </c>
      <c r="E641" s="403" t="s">
        <v>1366</v>
      </c>
      <c r="F641" s="403" t="s">
        <v>1323</v>
      </c>
      <c r="G641" s="403" t="s">
        <v>1466</v>
      </c>
      <c r="H641" s="403" t="s">
        <v>1281</v>
      </c>
      <c r="I641" s="403">
        <v>1</v>
      </c>
      <c r="J641" s="403" t="s">
        <v>109</v>
      </c>
      <c r="K641" s="403">
        <v>1280</v>
      </c>
      <c r="L641" s="403">
        <v>720</v>
      </c>
      <c r="M641" s="403" t="s">
        <v>109</v>
      </c>
      <c r="N641" s="403">
        <v>1280</v>
      </c>
      <c r="O641" s="403">
        <v>720</v>
      </c>
      <c r="P641" t="str">
        <f t="shared" si="73"/>
        <v>30fps 720p - 720p</v>
      </c>
      <c r="Q641">
        <f t="shared" si="74"/>
        <v>3</v>
      </c>
      <c r="R641" t="str">
        <f t="shared" si="75"/>
        <v/>
      </c>
      <c r="S641" t="str">
        <f t="shared" si="76"/>
        <v/>
      </c>
      <c r="T641" s="403" t="str">
        <f t="shared" si="77"/>
        <v>MIC-7504-Z12xR</v>
      </c>
      <c r="U641" s="403">
        <f t="shared" si="78"/>
        <v>1</v>
      </c>
      <c r="V641" s="403" t="str">
        <f t="shared" si="79"/>
        <v>CPP_7_3</v>
      </c>
    </row>
    <row r="642" spans="1:22">
      <c r="A642" t="str">
        <f t="shared" ref="A642:A705" si="80">IF(AND(G642&lt;&gt;"rotate 90°"),D642,"")</f>
        <v>MIC-7504-Z12xR</v>
      </c>
      <c r="B642" s="403" t="s">
        <v>1360</v>
      </c>
      <c r="C642" s="403" t="s">
        <v>582</v>
      </c>
      <c r="D642" s="403" t="s">
        <v>1361</v>
      </c>
      <c r="E642" s="403" t="s">
        <v>1366</v>
      </c>
      <c r="F642" s="403" t="s">
        <v>1323</v>
      </c>
      <c r="G642" s="403" t="s">
        <v>1466</v>
      </c>
      <c r="H642" s="403" t="s">
        <v>1281</v>
      </c>
      <c r="I642" s="403">
        <v>1</v>
      </c>
      <c r="J642" s="403" t="s">
        <v>109</v>
      </c>
      <c r="K642" s="403">
        <v>1280</v>
      </c>
      <c r="L642" s="403">
        <v>720</v>
      </c>
      <c r="M642" s="403" t="s">
        <v>111</v>
      </c>
      <c r="N642" s="403">
        <v>768</v>
      </c>
      <c r="O642" s="403">
        <v>432</v>
      </c>
      <c r="P642" t="str">
        <f t="shared" ref="P642:P705" si="81">LEFT(F642,5)&amp;" "&amp;J642&amp;" - "&amp;M642</f>
        <v>30fps 720p - SD</v>
      </c>
      <c r="Q642">
        <f t="shared" ref="Q642:Q705" si="82">IF(A641=A642,Q641,Q641+1)</f>
        <v>3</v>
      </c>
      <c r="R642" t="str">
        <f t="shared" ref="R642:R705" si="83">IF(Q641&lt;&gt;Q642,Q642,"")</f>
        <v/>
      </c>
      <c r="S642" t="str">
        <f t="shared" ref="S642:S705" si="84">IF(R642&lt;&gt;"",B642&amp;" ("&amp;D642&amp;")","")</f>
        <v/>
      </c>
      <c r="T642" s="403" t="str">
        <f t="shared" ref="T642:T705" si="85">D642</f>
        <v>MIC-7504-Z12xR</v>
      </c>
      <c r="U642" s="403">
        <f t="shared" ref="U642:U705" si="86">I642</f>
        <v>1</v>
      </c>
      <c r="V642" s="403" t="str">
        <f t="shared" ref="V642:V705" si="87">C642</f>
        <v>CPP_7_3</v>
      </c>
    </row>
    <row r="643" spans="1:22">
      <c r="A643" t="str">
        <f t="shared" si="80"/>
        <v>MIC-7504-Z12xR</v>
      </c>
      <c r="B643" s="403" t="s">
        <v>1360</v>
      </c>
      <c r="C643" s="403" t="s">
        <v>582</v>
      </c>
      <c r="D643" s="403" t="s">
        <v>1361</v>
      </c>
      <c r="E643" s="403" t="s">
        <v>1366</v>
      </c>
      <c r="F643" s="403" t="s">
        <v>1323</v>
      </c>
      <c r="G643" s="403" t="s">
        <v>1466</v>
      </c>
      <c r="H643" s="403" t="s">
        <v>1281</v>
      </c>
      <c r="I643" s="403">
        <v>1</v>
      </c>
      <c r="J643" s="403" t="s">
        <v>109</v>
      </c>
      <c r="K643" s="403">
        <v>1280</v>
      </c>
      <c r="L643" s="403">
        <v>720</v>
      </c>
      <c r="M643" s="403" t="s">
        <v>1283</v>
      </c>
      <c r="N643" s="403">
        <v>720</v>
      </c>
      <c r="O643" s="403">
        <v>480</v>
      </c>
      <c r="P643" t="str">
        <f t="shared" si="81"/>
        <v>30fps 720p - SD 4CIF resolution 4:3 format (cropped)</v>
      </c>
      <c r="Q643">
        <f t="shared" si="82"/>
        <v>3</v>
      </c>
      <c r="R643" t="str">
        <f t="shared" si="83"/>
        <v/>
      </c>
      <c r="S643" t="str">
        <f t="shared" si="84"/>
        <v/>
      </c>
      <c r="T643" s="403" t="str">
        <f t="shared" si="85"/>
        <v>MIC-7504-Z12xR</v>
      </c>
      <c r="U643" s="403">
        <f t="shared" si="86"/>
        <v>1</v>
      </c>
      <c r="V643" s="403" t="str">
        <f t="shared" si="87"/>
        <v>CPP_7_3</v>
      </c>
    </row>
    <row r="644" spans="1:22">
      <c r="A644" t="str">
        <f t="shared" si="80"/>
        <v>MIC-7504-Z12xR</v>
      </c>
      <c r="B644" s="403" t="s">
        <v>1360</v>
      </c>
      <c r="C644" s="403" t="s">
        <v>582</v>
      </c>
      <c r="D644" s="403" t="s">
        <v>1361</v>
      </c>
      <c r="E644" s="403" t="s">
        <v>1366</v>
      </c>
      <c r="F644" s="403" t="s">
        <v>1323</v>
      </c>
      <c r="G644" s="403" t="s">
        <v>1466</v>
      </c>
      <c r="H644" s="403" t="s">
        <v>1281</v>
      </c>
      <c r="I644" s="403">
        <v>1</v>
      </c>
      <c r="J644" s="403" t="s">
        <v>109</v>
      </c>
      <c r="K644" s="403">
        <v>1280</v>
      </c>
      <c r="L644" s="403">
        <v>720</v>
      </c>
      <c r="M644" s="403" t="s">
        <v>1284</v>
      </c>
      <c r="N644" s="403">
        <v>640</v>
      </c>
      <c r="O644" s="403">
        <v>480</v>
      </c>
      <c r="P644" t="str">
        <f t="shared" si="81"/>
        <v>30fps 720p - SD VGA (cropped)</v>
      </c>
      <c r="Q644">
        <f t="shared" si="82"/>
        <v>3</v>
      </c>
      <c r="R644" t="str">
        <f t="shared" si="83"/>
        <v/>
      </c>
      <c r="S644" t="str">
        <f t="shared" si="84"/>
        <v/>
      </c>
      <c r="T644" s="403" t="str">
        <f t="shared" si="85"/>
        <v>MIC-7504-Z12xR</v>
      </c>
      <c r="U644" s="403">
        <f t="shared" si="86"/>
        <v>1</v>
      </c>
      <c r="V644" s="403" t="str">
        <f t="shared" si="87"/>
        <v>CPP_7_3</v>
      </c>
    </row>
    <row r="645" spans="1:22">
      <c r="A645" t="str">
        <f t="shared" si="80"/>
        <v>MIC-7504-Z12xR</v>
      </c>
      <c r="B645" s="403" t="s">
        <v>1360</v>
      </c>
      <c r="C645" s="403" t="s">
        <v>582</v>
      </c>
      <c r="D645" s="403" t="s">
        <v>1361</v>
      </c>
      <c r="E645" s="403" t="s">
        <v>1366</v>
      </c>
      <c r="F645" s="403" t="s">
        <v>1323</v>
      </c>
      <c r="G645" s="403" t="s">
        <v>1466</v>
      </c>
      <c r="H645" s="403" t="s">
        <v>1282</v>
      </c>
      <c r="I645" s="403">
        <v>1</v>
      </c>
      <c r="J645" s="403" t="s">
        <v>1324</v>
      </c>
      <c r="K645" s="403">
        <v>3584</v>
      </c>
      <c r="L645" s="403">
        <v>2016</v>
      </c>
      <c r="M645" s="403" t="s">
        <v>1280</v>
      </c>
      <c r="N645" s="403">
        <v>3584</v>
      </c>
      <c r="O645" s="403">
        <v>2016</v>
      </c>
      <c r="P645" t="str">
        <f t="shared" si="81"/>
        <v>30fps 3584x2016 - copy other stream</v>
      </c>
      <c r="Q645">
        <f t="shared" si="82"/>
        <v>3</v>
      </c>
      <c r="R645" t="str">
        <f t="shared" si="83"/>
        <v/>
      </c>
      <c r="S645" t="str">
        <f t="shared" si="84"/>
        <v/>
      </c>
      <c r="T645" s="403" t="str">
        <f t="shared" si="85"/>
        <v>MIC-7504-Z12xR</v>
      </c>
      <c r="U645" s="403">
        <f t="shared" si="86"/>
        <v>1</v>
      </c>
      <c r="V645" s="403" t="str">
        <f t="shared" si="87"/>
        <v>CPP_7_3</v>
      </c>
    </row>
    <row r="646" spans="1:22">
      <c r="A646" t="str">
        <f t="shared" si="80"/>
        <v>MIC-7504-Z12xR</v>
      </c>
      <c r="B646" s="403" t="s">
        <v>1360</v>
      </c>
      <c r="C646" s="403" t="s">
        <v>582</v>
      </c>
      <c r="D646" s="403" t="s">
        <v>1361</v>
      </c>
      <c r="E646" s="403" t="s">
        <v>1366</v>
      </c>
      <c r="F646" s="403" t="s">
        <v>1323</v>
      </c>
      <c r="G646" s="403" t="s">
        <v>1466</v>
      </c>
      <c r="H646" s="403" t="s">
        <v>1282</v>
      </c>
      <c r="I646" s="403">
        <v>1</v>
      </c>
      <c r="J646" s="403" t="s">
        <v>110</v>
      </c>
      <c r="K646" s="403">
        <v>1920</v>
      </c>
      <c r="L646" s="403">
        <v>1080</v>
      </c>
      <c r="M646" s="403" t="s">
        <v>111</v>
      </c>
      <c r="N646" s="403">
        <v>768</v>
      </c>
      <c r="O646" s="403">
        <v>432</v>
      </c>
      <c r="P646" t="str">
        <f t="shared" si="81"/>
        <v>30fps 1080p - SD</v>
      </c>
      <c r="Q646">
        <f t="shared" si="82"/>
        <v>3</v>
      </c>
      <c r="R646" t="str">
        <f t="shared" si="83"/>
        <v/>
      </c>
      <c r="S646" t="str">
        <f t="shared" si="84"/>
        <v/>
      </c>
      <c r="T646" s="403" t="str">
        <f t="shared" si="85"/>
        <v>MIC-7504-Z12xR</v>
      </c>
      <c r="U646" s="403">
        <f t="shared" si="86"/>
        <v>1</v>
      </c>
      <c r="V646" s="403" t="str">
        <f t="shared" si="87"/>
        <v>CPP_7_3</v>
      </c>
    </row>
    <row r="647" spans="1:22">
      <c r="A647" t="str">
        <f t="shared" si="80"/>
        <v>MIC-7504-Z12xR</v>
      </c>
      <c r="B647" s="403" t="s">
        <v>1360</v>
      </c>
      <c r="C647" s="403" t="s">
        <v>582</v>
      </c>
      <c r="D647" s="403" t="s">
        <v>1361</v>
      </c>
      <c r="E647" s="403" t="s">
        <v>1366</v>
      </c>
      <c r="F647" s="403" t="s">
        <v>1323</v>
      </c>
      <c r="G647" s="403" t="s">
        <v>1466</v>
      </c>
      <c r="H647" s="403" t="s">
        <v>1282</v>
      </c>
      <c r="I647" s="403">
        <v>1</v>
      </c>
      <c r="J647" s="403" t="s">
        <v>110</v>
      </c>
      <c r="K647" s="403">
        <v>1920</v>
      </c>
      <c r="L647" s="403">
        <v>1080</v>
      </c>
      <c r="M647" s="403" t="s">
        <v>110</v>
      </c>
      <c r="N647" s="403">
        <v>1920</v>
      </c>
      <c r="O647" s="403">
        <v>1080</v>
      </c>
      <c r="P647" t="str">
        <f t="shared" si="81"/>
        <v>30fps 1080p - 1080p</v>
      </c>
      <c r="Q647">
        <f t="shared" si="82"/>
        <v>3</v>
      </c>
      <c r="R647" t="str">
        <f t="shared" si="83"/>
        <v/>
      </c>
      <c r="S647" t="str">
        <f t="shared" si="84"/>
        <v/>
      </c>
      <c r="T647" s="403" t="str">
        <f t="shared" si="85"/>
        <v>MIC-7504-Z12xR</v>
      </c>
      <c r="U647" s="403">
        <f t="shared" si="86"/>
        <v>1</v>
      </c>
      <c r="V647" s="403" t="str">
        <f t="shared" si="87"/>
        <v>CPP_7_3</v>
      </c>
    </row>
    <row r="648" spans="1:22">
      <c r="A648" t="str">
        <f t="shared" si="80"/>
        <v>MIC-7504-Z12xR</v>
      </c>
      <c r="B648" s="403" t="s">
        <v>1360</v>
      </c>
      <c r="C648" s="403" t="s">
        <v>582</v>
      </c>
      <c r="D648" s="403" t="s">
        <v>1361</v>
      </c>
      <c r="E648" s="403" t="s">
        <v>1366</v>
      </c>
      <c r="F648" s="403" t="s">
        <v>1323</v>
      </c>
      <c r="G648" s="403" t="s">
        <v>1466</v>
      </c>
      <c r="H648" s="403" t="s">
        <v>1282</v>
      </c>
      <c r="I648" s="403">
        <v>1</v>
      </c>
      <c r="J648" s="403" t="s">
        <v>110</v>
      </c>
      <c r="K648" s="403">
        <v>1920</v>
      </c>
      <c r="L648" s="403">
        <v>1080</v>
      </c>
      <c r="M648" s="403" t="s">
        <v>109</v>
      </c>
      <c r="N648" s="403">
        <v>1280</v>
      </c>
      <c r="O648" s="403">
        <v>720</v>
      </c>
      <c r="P648" t="str">
        <f t="shared" si="81"/>
        <v>30fps 1080p - 720p</v>
      </c>
      <c r="Q648">
        <f t="shared" si="82"/>
        <v>3</v>
      </c>
      <c r="R648" t="str">
        <f t="shared" si="83"/>
        <v/>
      </c>
      <c r="S648" t="str">
        <f t="shared" si="84"/>
        <v/>
      </c>
      <c r="T648" s="403" t="str">
        <f t="shared" si="85"/>
        <v>MIC-7504-Z12xR</v>
      </c>
      <c r="U648" s="403">
        <f t="shared" si="86"/>
        <v>1</v>
      </c>
      <c r="V648" s="403" t="str">
        <f t="shared" si="87"/>
        <v>CPP_7_3</v>
      </c>
    </row>
    <row r="649" spans="1:22">
      <c r="A649" t="str">
        <f t="shared" si="80"/>
        <v>MIC-7504-Z12xR</v>
      </c>
      <c r="B649" s="403" t="s">
        <v>1360</v>
      </c>
      <c r="C649" s="403" t="s">
        <v>582</v>
      </c>
      <c r="D649" s="403" t="s">
        <v>1361</v>
      </c>
      <c r="E649" s="403" t="s">
        <v>1366</v>
      </c>
      <c r="F649" s="403" t="s">
        <v>1323</v>
      </c>
      <c r="G649" s="403" t="s">
        <v>1466</v>
      </c>
      <c r="H649" s="403" t="s">
        <v>1282</v>
      </c>
      <c r="I649" s="403">
        <v>1</v>
      </c>
      <c r="J649" s="403" t="s">
        <v>110</v>
      </c>
      <c r="K649" s="403">
        <v>1920</v>
      </c>
      <c r="L649" s="403">
        <v>1080</v>
      </c>
      <c r="M649" s="403" t="s">
        <v>1285</v>
      </c>
      <c r="N649" s="403">
        <v>1280</v>
      </c>
      <c r="O649" s="403">
        <v>1024</v>
      </c>
      <c r="P649" t="str">
        <f t="shared" si="81"/>
        <v>30fps 1080p - 1280x1024 5:4 (cropped)</v>
      </c>
      <c r="Q649">
        <f t="shared" si="82"/>
        <v>3</v>
      </c>
      <c r="R649" t="str">
        <f t="shared" si="83"/>
        <v/>
      </c>
      <c r="S649" t="str">
        <f t="shared" si="84"/>
        <v/>
      </c>
      <c r="T649" s="403" t="str">
        <f t="shared" si="85"/>
        <v>MIC-7504-Z12xR</v>
      </c>
      <c r="U649" s="403">
        <f t="shared" si="86"/>
        <v>1</v>
      </c>
      <c r="V649" s="403" t="str">
        <f t="shared" si="87"/>
        <v>CPP_7_3</v>
      </c>
    </row>
    <row r="650" spans="1:22">
      <c r="A650" t="str">
        <f t="shared" si="80"/>
        <v>MIC-7504-Z12xR</v>
      </c>
      <c r="B650" s="403" t="s">
        <v>1360</v>
      </c>
      <c r="C650" s="403" t="s">
        <v>582</v>
      </c>
      <c r="D650" s="403" t="s">
        <v>1361</v>
      </c>
      <c r="E650" s="403" t="s">
        <v>1366</v>
      </c>
      <c r="F650" s="403" t="s">
        <v>1323</v>
      </c>
      <c r="G650" s="403" t="s">
        <v>1466</v>
      </c>
      <c r="H650" s="403" t="s">
        <v>1282</v>
      </c>
      <c r="I650" s="403">
        <v>1</v>
      </c>
      <c r="J650" s="403" t="s">
        <v>110</v>
      </c>
      <c r="K650" s="403">
        <v>1920</v>
      </c>
      <c r="L650" s="403">
        <v>1080</v>
      </c>
      <c r="M650" s="403" t="s">
        <v>1283</v>
      </c>
      <c r="N650" s="403">
        <v>720</v>
      </c>
      <c r="O650" s="403">
        <v>480</v>
      </c>
      <c r="P650" t="str">
        <f t="shared" si="81"/>
        <v>30fps 1080p - SD 4CIF resolution 4:3 format (cropped)</v>
      </c>
      <c r="Q650">
        <f t="shared" si="82"/>
        <v>3</v>
      </c>
      <c r="R650" t="str">
        <f t="shared" si="83"/>
        <v/>
      </c>
      <c r="S650" t="str">
        <f t="shared" si="84"/>
        <v/>
      </c>
      <c r="T650" s="403" t="str">
        <f t="shared" si="85"/>
        <v>MIC-7504-Z12xR</v>
      </c>
      <c r="U650" s="403">
        <f t="shared" si="86"/>
        <v>1</v>
      </c>
      <c r="V650" s="403" t="str">
        <f t="shared" si="87"/>
        <v>CPP_7_3</v>
      </c>
    </row>
    <row r="651" spans="1:22">
      <c r="A651" t="str">
        <f t="shared" si="80"/>
        <v>MIC-7504-Z12xR</v>
      </c>
      <c r="B651" s="403" t="s">
        <v>1360</v>
      </c>
      <c r="C651" s="403" t="s">
        <v>582</v>
      </c>
      <c r="D651" s="403" t="s">
        <v>1361</v>
      </c>
      <c r="E651" s="403" t="s">
        <v>1366</v>
      </c>
      <c r="F651" s="403" t="s">
        <v>1323</v>
      </c>
      <c r="G651" s="403" t="s">
        <v>1466</v>
      </c>
      <c r="H651" s="403" t="s">
        <v>1282</v>
      </c>
      <c r="I651" s="403">
        <v>1</v>
      </c>
      <c r="J651" s="403" t="s">
        <v>110</v>
      </c>
      <c r="K651" s="403">
        <v>1920</v>
      </c>
      <c r="L651" s="403">
        <v>1080</v>
      </c>
      <c r="M651" s="403" t="s">
        <v>1284</v>
      </c>
      <c r="N651" s="403">
        <v>640</v>
      </c>
      <c r="O651" s="403">
        <v>480</v>
      </c>
      <c r="P651" t="str">
        <f t="shared" si="81"/>
        <v>30fps 1080p - SD VGA (cropped)</v>
      </c>
      <c r="Q651">
        <f t="shared" si="82"/>
        <v>3</v>
      </c>
      <c r="R651" t="str">
        <f t="shared" si="83"/>
        <v/>
      </c>
      <c r="S651" t="str">
        <f t="shared" si="84"/>
        <v/>
      </c>
      <c r="T651" s="403" t="str">
        <f t="shared" si="85"/>
        <v>MIC-7504-Z12xR</v>
      </c>
      <c r="U651" s="403">
        <f t="shared" si="86"/>
        <v>1</v>
      </c>
      <c r="V651" s="403" t="str">
        <f t="shared" si="87"/>
        <v>CPP_7_3</v>
      </c>
    </row>
    <row r="652" spans="1:22">
      <c r="A652" t="str">
        <f t="shared" si="80"/>
        <v>MIC-7504-Z12xR</v>
      </c>
      <c r="B652" s="403" t="s">
        <v>1360</v>
      </c>
      <c r="C652" s="403" t="s">
        <v>582</v>
      </c>
      <c r="D652" s="403" t="s">
        <v>1361</v>
      </c>
      <c r="E652" s="403" t="s">
        <v>1366</v>
      </c>
      <c r="F652" s="403" t="s">
        <v>1323</v>
      </c>
      <c r="G652" s="403" t="s">
        <v>1466</v>
      </c>
      <c r="H652" s="403" t="s">
        <v>1282</v>
      </c>
      <c r="I652" s="403">
        <v>1</v>
      </c>
      <c r="J652" s="403" t="s">
        <v>109</v>
      </c>
      <c r="K652" s="403">
        <v>1280</v>
      </c>
      <c r="L652" s="403">
        <v>720</v>
      </c>
      <c r="M652" s="403" t="s">
        <v>109</v>
      </c>
      <c r="N652" s="403">
        <v>1280</v>
      </c>
      <c r="O652" s="403">
        <v>720</v>
      </c>
      <c r="P652" t="str">
        <f t="shared" si="81"/>
        <v>30fps 720p - 720p</v>
      </c>
      <c r="Q652">
        <f t="shared" si="82"/>
        <v>3</v>
      </c>
      <c r="R652" t="str">
        <f t="shared" si="83"/>
        <v/>
      </c>
      <c r="S652" t="str">
        <f t="shared" si="84"/>
        <v/>
      </c>
      <c r="T652" s="403" t="str">
        <f t="shared" si="85"/>
        <v>MIC-7504-Z12xR</v>
      </c>
      <c r="U652" s="403">
        <f t="shared" si="86"/>
        <v>1</v>
      </c>
      <c r="V652" s="403" t="str">
        <f t="shared" si="87"/>
        <v>CPP_7_3</v>
      </c>
    </row>
    <row r="653" spans="1:22">
      <c r="A653" t="str">
        <f t="shared" si="80"/>
        <v>MIC-7504-Z12xR</v>
      </c>
      <c r="B653" s="403" t="s">
        <v>1360</v>
      </c>
      <c r="C653" s="403" t="s">
        <v>582</v>
      </c>
      <c r="D653" s="403" t="s">
        <v>1361</v>
      </c>
      <c r="E653" s="403" t="s">
        <v>1366</v>
      </c>
      <c r="F653" s="403" t="s">
        <v>1323</v>
      </c>
      <c r="G653" s="403" t="s">
        <v>1466</v>
      </c>
      <c r="H653" s="403" t="s">
        <v>1282</v>
      </c>
      <c r="I653" s="403">
        <v>1</v>
      </c>
      <c r="J653" s="403" t="s">
        <v>109</v>
      </c>
      <c r="K653" s="403">
        <v>1280</v>
      </c>
      <c r="L653" s="403">
        <v>720</v>
      </c>
      <c r="M653" s="403" t="s">
        <v>111</v>
      </c>
      <c r="N653" s="403">
        <v>768</v>
      </c>
      <c r="O653" s="403">
        <v>432</v>
      </c>
      <c r="P653" t="str">
        <f t="shared" si="81"/>
        <v>30fps 720p - SD</v>
      </c>
      <c r="Q653">
        <f t="shared" si="82"/>
        <v>3</v>
      </c>
      <c r="R653" t="str">
        <f t="shared" si="83"/>
        <v/>
      </c>
      <c r="S653" t="str">
        <f t="shared" si="84"/>
        <v/>
      </c>
      <c r="T653" s="403" t="str">
        <f t="shared" si="85"/>
        <v>MIC-7504-Z12xR</v>
      </c>
      <c r="U653" s="403">
        <f t="shared" si="86"/>
        <v>1</v>
      </c>
      <c r="V653" s="403" t="str">
        <f t="shared" si="87"/>
        <v>CPP_7_3</v>
      </c>
    </row>
    <row r="654" spans="1:22">
      <c r="A654" t="str">
        <f t="shared" si="80"/>
        <v>MIC-7504-Z12xR</v>
      </c>
      <c r="B654" s="403" t="s">
        <v>1360</v>
      </c>
      <c r="C654" s="403" t="s">
        <v>582</v>
      </c>
      <c r="D654" s="403" t="s">
        <v>1361</v>
      </c>
      <c r="E654" s="403" t="s">
        <v>1366</v>
      </c>
      <c r="F654" s="403" t="s">
        <v>1323</v>
      </c>
      <c r="G654" s="403" t="s">
        <v>1466</v>
      </c>
      <c r="H654" s="403" t="s">
        <v>1282</v>
      </c>
      <c r="I654" s="403">
        <v>1</v>
      </c>
      <c r="J654" s="403" t="s">
        <v>109</v>
      </c>
      <c r="K654" s="403">
        <v>1280</v>
      </c>
      <c r="L654" s="403">
        <v>720</v>
      </c>
      <c r="M654" s="403" t="s">
        <v>1283</v>
      </c>
      <c r="N654" s="403">
        <v>720</v>
      </c>
      <c r="O654" s="403">
        <v>480</v>
      </c>
      <c r="P654" t="str">
        <f t="shared" si="81"/>
        <v>30fps 720p - SD 4CIF resolution 4:3 format (cropped)</v>
      </c>
      <c r="Q654">
        <f t="shared" si="82"/>
        <v>3</v>
      </c>
      <c r="R654" t="str">
        <f t="shared" si="83"/>
        <v/>
      </c>
      <c r="S654" t="str">
        <f t="shared" si="84"/>
        <v/>
      </c>
      <c r="T654" s="403" t="str">
        <f t="shared" si="85"/>
        <v>MIC-7504-Z12xR</v>
      </c>
      <c r="U654" s="403">
        <f t="shared" si="86"/>
        <v>1</v>
      </c>
      <c r="V654" s="403" t="str">
        <f t="shared" si="87"/>
        <v>CPP_7_3</v>
      </c>
    </row>
    <row r="655" spans="1:22">
      <c r="A655" t="str">
        <f t="shared" si="80"/>
        <v>MIC-7504-Z12xR</v>
      </c>
      <c r="B655" s="403" t="s">
        <v>1360</v>
      </c>
      <c r="C655" s="403" t="s">
        <v>582</v>
      </c>
      <c r="D655" s="403" t="s">
        <v>1361</v>
      </c>
      <c r="E655" s="403" t="s">
        <v>1366</v>
      </c>
      <c r="F655" s="403" t="s">
        <v>1323</v>
      </c>
      <c r="G655" s="403" t="s">
        <v>1466</v>
      </c>
      <c r="H655" s="403" t="s">
        <v>1282</v>
      </c>
      <c r="I655" s="403">
        <v>1</v>
      </c>
      <c r="J655" s="403" t="s">
        <v>109</v>
      </c>
      <c r="K655" s="403">
        <v>1280</v>
      </c>
      <c r="L655" s="403">
        <v>720</v>
      </c>
      <c r="M655" s="403" t="s">
        <v>1284</v>
      </c>
      <c r="N655" s="403">
        <v>640</v>
      </c>
      <c r="O655" s="403">
        <v>480</v>
      </c>
      <c r="P655" t="str">
        <f t="shared" si="81"/>
        <v>30fps 720p - SD VGA (cropped)</v>
      </c>
      <c r="Q655">
        <f t="shared" si="82"/>
        <v>3</v>
      </c>
      <c r="R655" t="str">
        <f t="shared" si="83"/>
        <v/>
      </c>
      <c r="S655" t="str">
        <f t="shared" si="84"/>
        <v/>
      </c>
      <c r="T655" s="403" t="str">
        <f t="shared" si="85"/>
        <v>MIC-7504-Z12xR</v>
      </c>
      <c r="U655" s="403">
        <f t="shared" si="86"/>
        <v>1</v>
      </c>
      <c r="V655" s="403" t="str">
        <f t="shared" si="87"/>
        <v>CPP_7_3</v>
      </c>
    </row>
    <row r="656" spans="1:22">
      <c r="A656" t="str">
        <f t="shared" si="80"/>
        <v>MIC-9502-Z30xQS</v>
      </c>
      <c r="B656" s="403" t="s">
        <v>1367</v>
      </c>
      <c r="C656" s="403" t="s">
        <v>582</v>
      </c>
      <c r="D656" s="403" t="s">
        <v>1368</v>
      </c>
      <c r="E656" s="403" t="s">
        <v>1367</v>
      </c>
      <c r="F656" s="403" t="s">
        <v>1287</v>
      </c>
      <c r="G656" s="403" t="s">
        <v>1466</v>
      </c>
      <c r="H656" s="403" t="s">
        <v>1276</v>
      </c>
      <c r="I656" s="403">
        <v>1</v>
      </c>
      <c r="J656" s="403" t="s">
        <v>110</v>
      </c>
      <c r="K656" s="403">
        <v>1920</v>
      </c>
      <c r="L656" s="403">
        <v>1080</v>
      </c>
      <c r="M656" s="403" t="s">
        <v>111</v>
      </c>
      <c r="N656" s="403">
        <v>768</v>
      </c>
      <c r="O656" s="403">
        <v>432</v>
      </c>
      <c r="P656" t="str">
        <f t="shared" si="81"/>
        <v>25fps 1080p - SD</v>
      </c>
      <c r="Q656">
        <f t="shared" si="82"/>
        <v>4</v>
      </c>
      <c r="R656">
        <f t="shared" si="83"/>
        <v>4</v>
      </c>
      <c r="S656" t="str">
        <f t="shared" si="84"/>
        <v>MIC IP fusion 9000i (MIC-9502-Z30xQS)</v>
      </c>
      <c r="T656" s="403" t="str">
        <f t="shared" si="85"/>
        <v>MIC-9502-Z30xQS</v>
      </c>
      <c r="U656" s="403">
        <f t="shared" si="86"/>
        <v>1</v>
      </c>
      <c r="V656" s="403" t="str">
        <f t="shared" si="87"/>
        <v>CPP_7_3</v>
      </c>
    </row>
    <row r="657" spans="1:22">
      <c r="A657" t="str">
        <f t="shared" si="80"/>
        <v>MIC-9502-Z30xQS</v>
      </c>
      <c r="B657" s="403" t="s">
        <v>1367</v>
      </c>
      <c r="C657" s="403" t="s">
        <v>582</v>
      </c>
      <c r="D657" s="403" t="s">
        <v>1368</v>
      </c>
      <c r="E657" s="403" t="s">
        <v>1367</v>
      </c>
      <c r="F657" s="403" t="s">
        <v>1287</v>
      </c>
      <c r="G657" s="403" t="s">
        <v>1466</v>
      </c>
      <c r="H657" s="403" t="s">
        <v>1276</v>
      </c>
      <c r="I657" s="403">
        <v>1</v>
      </c>
      <c r="J657" s="403" t="s">
        <v>110</v>
      </c>
      <c r="K657" s="403">
        <v>1920</v>
      </c>
      <c r="L657" s="403">
        <v>1080</v>
      </c>
      <c r="M657" s="403" t="s">
        <v>110</v>
      </c>
      <c r="N657" s="403">
        <v>1920</v>
      </c>
      <c r="O657" s="403">
        <v>1080</v>
      </c>
      <c r="P657" t="str">
        <f t="shared" si="81"/>
        <v>25fps 1080p - 1080p</v>
      </c>
      <c r="Q657">
        <f t="shared" si="82"/>
        <v>4</v>
      </c>
      <c r="R657" t="str">
        <f t="shared" si="83"/>
        <v/>
      </c>
      <c r="S657" t="str">
        <f t="shared" si="84"/>
        <v/>
      </c>
      <c r="T657" s="403" t="str">
        <f t="shared" si="85"/>
        <v>MIC-9502-Z30xQS</v>
      </c>
      <c r="U657" s="403">
        <f t="shared" si="86"/>
        <v>1</v>
      </c>
      <c r="V657" s="403" t="str">
        <f t="shared" si="87"/>
        <v>CPP_7_3</v>
      </c>
    </row>
    <row r="658" spans="1:22">
      <c r="A658" t="str">
        <f t="shared" si="80"/>
        <v>MIC-9502-Z30xQS</v>
      </c>
      <c r="B658" s="403" t="s">
        <v>1367</v>
      </c>
      <c r="C658" s="403" t="s">
        <v>582</v>
      </c>
      <c r="D658" s="403" t="s">
        <v>1368</v>
      </c>
      <c r="E658" s="403" t="s">
        <v>1367</v>
      </c>
      <c r="F658" s="403" t="s">
        <v>1287</v>
      </c>
      <c r="G658" s="403" t="s">
        <v>1466</v>
      </c>
      <c r="H658" s="403" t="s">
        <v>1276</v>
      </c>
      <c r="I658" s="403">
        <v>1</v>
      </c>
      <c r="J658" s="403" t="s">
        <v>110</v>
      </c>
      <c r="K658" s="403">
        <v>1920</v>
      </c>
      <c r="L658" s="403">
        <v>1080</v>
      </c>
      <c r="M658" s="403" t="s">
        <v>109</v>
      </c>
      <c r="N658" s="403">
        <v>1280</v>
      </c>
      <c r="O658" s="403">
        <v>720</v>
      </c>
      <c r="P658" t="str">
        <f t="shared" si="81"/>
        <v>25fps 1080p - 720p</v>
      </c>
      <c r="Q658">
        <f t="shared" si="82"/>
        <v>4</v>
      </c>
      <c r="R658" t="str">
        <f t="shared" si="83"/>
        <v/>
      </c>
      <c r="S658" t="str">
        <f t="shared" si="84"/>
        <v/>
      </c>
      <c r="T658" s="403" t="str">
        <f t="shared" si="85"/>
        <v>MIC-9502-Z30xQS</v>
      </c>
      <c r="U658" s="403">
        <f t="shared" si="86"/>
        <v>1</v>
      </c>
      <c r="V658" s="403" t="str">
        <f t="shared" si="87"/>
        <v>CPP_7_3</v>
      </c>
    </row>
    <row r="659" spans="1:22">
      <c r="A659" t="str">
        <f t="shared" si="80"/>
        <v>MIC-9502-Z30xQS</v>
      </c>
      <c r="B659" s="403" t="s">
        <v>1367</v>
      </c>
      <c r="C659" s="403" t="s">
        <v>582</v>
      </c>
      <c r="D659" s="403" t="s">
        <v>1368</v>
      </c>
      <c r="E659" s="403" t="s">
        <v>1367</v>
      </c>
      <c r="F659" s="403" t="s">
        <v>1287</v>
      </c>
      <c r="G659" s="403" t="s">
        <v>1466</v>
      </c>
      <c r="H659" s="403" t="s">
        <v>1276</v>
      </c>
      <c r="I659" s="403">
        <v>1</v>
      </c>
      <c r="J659" s="403" t="s">
        <v>110</v>
      </c>
      <c r="K659" s="403">
        <v>1920</v>
      </c>
      <c r="L659" s="403">
        <v>1080</v>
      </c>
      <c r="M659" s="403" t="s">
        <v>1285</v>
      </c>
      <c r="N659" s="403">
        <v>1280</v>
      </c>
      <c r="O659" s="403">
        <v>1024</v>
      </c>
      <c r="P659" t="str">
        <f t="shared" si="81"/>
        <v>25fps 1080p - 1280x1024 5:4 (cropped)</v>
      </c>
      <c r="Q659">
        <f t="shared" si="82"/>
        <v>4</v>
      </c>
      <c r="R659" t="str">
        <f t="shared" si="83"/>
        <v/>
      </c>
      <c r="S659" t="str">
        <f t="shared" si="84"/>
        <v/>
      </c>
      <c r="T659" s="403" t="str">
        <f t="shared" si="85"/>
        <v>MIC-9502-Z30xQS</v>
      </c>
      <c r="U659" s="403">
        <f t="shared" si="86"/>
        <v>1</v>
      </c>
      <c r="V659" s="403" t="str">
        <f t="shared" si="87"/>
        <v>CPP_7_3</v>
      </c>
    </row>
    <row r="660" spans="1:22">
      <c r="A660" t="str">
        <f t="shared" si="80"/>
        <v>MIC-9502-Z30xQS</v>
      </c>
      <c r="B660" s="403" t="s">
        <v>1367</v>
      </c>
      <c r="C660" s="403" t="s">
        <v>582</v>
      </c>
      <c r="D660" s="403" t="s">
        <v>1368</v>
      </c>
      <c r="E660" s="403" t="s">
        <v>1367</v>
      </c>
      <c r="F660" s="403" t="s">
        <v>1287</v>
      </c>
      <c r="G660" s="403" t="s">
        <v>1466</v>
      </c>
      <c r="H660" s="403" t="s">
        <v>1276</v>
      </c>
      <c r="I660" s="403">
        <v>1</v>
      </c>
      <c r="J660" s="403" t="s">
        <v>110</v>
      </c>
      <c r="K660" s="403">
        <v>1920</v>
      </c>
      <c r="L660" s="403">
        <v>1080</v>
      </c>
      <c r="M660" s="403" t="s">
        <v>1283</v>
      </c>
      <c r="N660" s="403">
        <v>720</v>
      </c>
      <c r="O660" s="403">
        <v>576</v>
      </c>
      <c r="P660" t="str">
        <f t="shared" si="81"/>
        <v>25fps 1080p - SD 4CIF resolution 4:3 format (cropped)</v>
      </c>
      <c r="Q660">
        <f t="shared" si="82"/>
        <v>4</v>
      </c>
      <c r="R660" t="str">
        <f t="shared" si="83"/>
        <v/>
      </c>
      <c r="S660" t="str">
        <f t="shared" si="84"/>
        <v/>
      </c>
      <c r="T660" s="403" t="str">
        <f t="shared" si="85"/>
        <v>MIC-9502-Z30xQS</v>
      </c>
      <c r="U660" s="403">
        <f t="shared" si="86"/>
        <v>1</v>
      </c>
      <c r="V660" s="403" t="str">
        <f t="shared" si="87"/>
        <v>CPP_7_3</v>
      </c>
    </row>
    <row r="661" spans="1:22">
      <c r="A661" t="str">
        <f t="shared" si="80"/>
        <v>MIC-9502-Z30xQS</v>
      </c>
      <c r="B661" s="403" t="s">
        <v>1367</v>
      </c>
      <c r="C661" s="403" t="s">
        <v>582</v>
      </c>
      <c r="D661" s="403" t="s">
        <v>1368</v>
      </c>
      <c r="E661" s="403" t="s">
        <v>1367</v>
      </c>
      <c r="F661" s="403" t="s">
        <v>1287</v>
      </c>
      <c r="G661" s="403" t="s">
        <v>1466</v>
      </c>
      <c r="H661" s="403" t="s">
        <v>1276</v>
      </c>
      <c r="I661" s="403">
        <v>1</v>
      </c>
      <c r="J661" s="403" t="s">
        <v>110</v>
      </c>
      <c r="K661" s="403">
        <v>1920</v>
      </c>
      <c r="L661" s="403">
        <v>1080</v>
      </c>
      <c r="M661" s="403" t="s">
        <v>1284</v>
      </c>
      <c r="N661" s="403">
        <v>640</v>
      </c>
      <c r="O661" s="403">
        <v>480</v>
      </c>
      <c r="P661" t="str">
        <f t="shared" si="81"/>
        <v>25fps 1080p - SD VGA (cropped)</v>
      </c>
      <c r="Q661">
        <f t="shared" si="82"/>
        <v>4</v>
      </c>
      <c r="R661" t="str">
        <f t="shared" si="83"/>
        <v/>
      </c>
      <c r="S661" t="str">
        <f t="shared" si="84"/>
        <v/>
      </c>
      <c r="T661" s="403" t="str">
        <f t="shared" si="85"/>
        <v>MIC-9502-Z30xQS</v>
      </c>
      <c r="U661" s="403">
        <f t="shared" si="86"/>
        <v>1</v>
      </c>
      <c r="V661" s="403" t="str">
        <f t="shared" si="87"/>
        <v>CPP_7_3</v>
      </c>
    </row>
    <row r="662" spans="1:22">
      <c r="A662" t="str">
        <f t="shared" si="80"/>
        <v>MIC-9502-Z30xQS</v>
      </c>
      <c r="B662" s="403" t="s">
        <v>1367</v>
      </c>
      <c r="C662" s="403" t="s">
        <v>582</v>
      </c>
      <c r="D662" s="403" t="s">
        <v>1368</v>
      </c>
      <c r="E662" s="403" t="s">
        <v>1367</v>
      </c>
      <c r="F662" s="403" t="s">
        <v>1287</v>
      </c>
      <c r="G662" s="403" t="s">
        <v>1466</v>
      </c>
      <c r="H662" s="403" t="s">
        <v>1276</v>
      </c>
      <c r="I662" s="403">
        <v>1</v>
      </c>
      <c r="J662" s="403" t="s">
        <v>109</v>
      </c>
      <c r="K662" s="403">
        <v>1280</v>
      </c>
      <c r="L662" s="403">
        <v>720</v>
      </c>
      <c r="M662" s="403" t="s">
        <v>109</v>
      </c>
      <c r="N662" s="403">
        <v>1280</v>
      </c>
      <c r="O662" s="403">
        <v>720</v>
      </c>
      <c r="P662" t="str">
        <f t="shared" si="81"/>
        <v>25fps 720p - 720p</v>
      </c>
      <c r="Q662">
        <f t="shared" si="82"/>
        <v>4</v>
      </c>
      <c r="R662" t="str">
        <f t="shared" si="83"/>
        <v/>
      </c>
      <c r="S662" t="str">
        <f t="shared" si="84"/>
        <v/>
      </c>
      <c r="T662" s="403" t="str">
        <f t="shared" si="85"/>
        <v>MIC-9502-Z30xQS</v>
      </c>
      <c r="U662" s="403">
        <f t="shared" si="86"/>
        <v>1</v>
      </c>
      <c r="V662" s="403" t="str">
        <f t="shared" si="87"/>
        <v>CPP_7_3</v>
      </c>
    </row>
    <row r="663" spans="1:22">
      <c r="A663" t="str">
        <f t="shared" si="80"/>
        <v>MIC-9502-Z30xQS</v>
      </c>
      <c r="B663" s="403" t="s">
        <v>1367</v>
      </c>
      <c r="C663" s="403" t="s">
        <v>582</v>
      </c>
      <c r="D663" s="403" t="s">
        <v>1368</v>
      </c>
      <c r="E663" s="403" t="s">
        <v>1367</v>
      </c>
      <c r="F663" s="403" t="s">
        <v>1287</v>
      </c>
      <c r="G663" s="403" t="s">
        <v>1466</v>
      </c>
      <c r="H663" s="403" t="s">
        <v>1276</v>
      </c>
      <c r="I663" s="403">
        <v>1</v>
      </c>
      <c r="J663" s="403" t="s">
        <v>109</v>
      </c>
      <c r="K663" s="403">
        <v>1280</v>
      </c>
      <c r="L663" s="403">
        <v>720</v>
      </c>
      <c r="M663" s="403" t="s">
        <v>111</v>
      </c>
      <c r="N663" s="403">
        <v>768</v>
      </c>
      <c r="O663" s="403">
        <v>432</v>
      </c>
      <c r="P663" t="str">
        <f t="shared" si="81"/>
        <v>25fps 720p - SD</v>
      </c>
      <c r="Q663">
        <f t="shared" si="82"/>
        <v>4</v>
      </c>
      <c r="R663" t="str">
        <f t="shared" si="83"/>
        <v/>
      </c>
      <c r="S663" t="str">
        <f t="shared" si="84"/>
        <v/>
      </c>
      <c r="T663" s="403" t="str">
        <f t="shared" si="85"/>
        <v>MIC-9502-Z30xQS</v>
      </c>
      <c r="U663" s="403">
        <f t="shared" si="86"/>
        <v>1</v>
      </c>
      <c r="V663" s="403" t="str">
        <f t="shared" si="87"/>
        <v>CPP_7_3</v>
      </c>
    </row>
    <row r="664" spans="1:22">
      <c r="A664" t="str">
        <f t="shared" si="80"/>
        <v>MIC-9502-Z30xQS</v>
      </c>
      <c r="B664" s="403" t="s">
        <v>1367</v>
      </c>
      <c r="C664" s="403" t="s">
        <v>582</v>
      </c>
      <c r="D664" s="403" t="s">
        <v>1368</v>
      </c>
      <c r="E664" s="403" t="s">
        <v>1367</v>
      </c>
      <c r="F664" s="403" t="s">
        <v>1287</v>
      </c>
      <c r="G664" s="403" t="s">
        <v>1466</v>
      </c>
      <c r="H664" s="403" t="s">
        <v>1276</v>
      </c>
      <c r="I664" s="403">
        <v>1</v>
      </c>
      <c r="J664" s="403" t="s">
        <v>109</v>
      </c>
      <c r="K664" s="403">
        <v>1280</v>
      </c>
      <c r="L664" s="403">
        <v>720</v>
      </c>
      <c r="M664" s="403" t="s">
        <v>1283</v>
      </c>
      <c r="N664" s="403">
        <v>720</v>
      </c>
      <c r="O664" s="403">
        <v>576</v>
      </c>
      <c r="P664" t="str">
        <f t="shared" si="81"/>
        <v>25fps 720p - SD 4CIF resolution 4:3 format (cropped)</v>
      </c>
      <c r="Q664">
        <f t="shared" si="82"/>
        <v>4</v>
      </c>
      <c r="R664" t="str">
        <f t="shared" si="83"/>
        <v/>
      </c>
      <c r="S664" t="str">
        <f t="shared" si="84"/>
        <v/>
      </c>
      <c r="T664" s="403" t="str">
        <f t="shared" si="85"/>
        <v>MIC-9502-Z30xQS</v>
      </c>
      <c r="U664" s="403">
        <f t="shared" si="86"/>
        <v>1</v>
      </c>
      <c r="V664" s="403" t="str">
        <f t="shared" si="87"/>
        <v>CPP_7_3</v>
      </c>
    </row>
    <row r="665" spans="1:22">
      <c r="A665" t="str">
        <f t="shared" si="80"/>
        <v>MIC-9502-Z30xQS</v>
      </c>
      <c r="B665" s="403" t="s">
        <v>1367</v>
      </c>
      <c r="C665" s="403" t="s">
        <v>582</v>
      </c>
      <c r="D665" s="403" t="s">
        <v>1368</v>
      </c>
      <c r="E665" s="403" t="s">
        <v>1367</v>
      </c>
      <c r="F665" s="403" t="s">
        <v>1287</v>
      </c>
      <c r="G665" s="403" t="s">
        <v>1466</v>
      </c>
      <c r="H665" s="403" t="s">
        <v>1276</v>
      </c>
      <c r="I665" s="403">
        <v>1</v>
      </c>
      <c r="J665" s="403" t="s">
        <v>109</v>
      </c>
      <c r="K665" s="403">
        <v>1280</v>
      </c>
      <c r="L665" s="403">
        <v>720</v>
      </c>
      <c r="M665" s="403" t="s">
        <v>1284</v>
      </c>
      <c r="N665" s="403">
        <v>640</v>
      </c>
      <c r="O665" s="403">
        <v>480</v>
      </c>
      <c r="P665" t="str">
        <f t="shared" si="81"/>
        <v>25fps 720p - SD VGA (cropped)</v>
      </c>
      <c r="Q665">
        <f t="shared" si="82"/>
        <v>4</v>
      </c>
      <c r="R665" t="str">
        <f t="shared" si="83"/>
        <v/>
      </c>
      <c r="S665" t="str">
        <f t="shared" si="84"/>
        <v/>
      </c>
      <c r="T665" s="403" t="str">
        <f t="shared" si="85"/>
        <v>MIC-9502-Z30xQS</v>
      </c>
      <c r="U665" s="403">
        <f t="shared" si="86"/>
        <v>1</v>
      </c>
      <c r="V665" s="403" t="str">
        <f t="shared" si="87"/>
        <v>CPP_7_3</v>
      </c>
    </row>
    <row r="666" spans="1:22">
      <c r="A666" t="str">
        <f t="shared" si="80"/>
        <v>MIC-9502-Z30xQS</v>
      </c>
      <c r="B666" s="403" t="s">
        <v>1367</v>
      </c>
      <c r="C666" s="403" t="s">
        <v>582</v>
      </c>
      <c r="D666" s="403" t="s">
        <v>1368</v>
      </c>
      <c r="E666" s="403" t="s">
        <v>1367</v>
      </c>
      <c r="F666" s="403" t="s">
        <v>1287</v>
      </c>
      <c r="G666" s="403" t="s">
        <v>1466</v>
      </c>
      <c r="H666" s="403" t="s">
        <v>1276</v>
      </c>
      <c r="I666" s="403">
        <v>2</v>
      </c>
      <c r="J666" s="403" t="s">
        <v>111</v>
      </c>
      <c r="K666" s="403">
        <v>320</v>
      </c>
      <c r="L666" s="403">
        <v>240</v>
      </c>
      <c r="M666" s="403" t="s">
        <v>111</v>
      </c>
      <c r="N666" s="403">
        <v>320</v>
      </c>
      <c r="O666" s="403">
        <v>240</v>
      </c>
      <c r="P666" t="str">
        <f t="shared" si="81"/>
        <v>25fps SD - SD</v>
      </c>
      <c r="Q666">
        <f t="shared" si="82"/>
        <v>4</v>
      </c>
      <c r="R666" t="str">
        <f t="shared" si="83"/>
        <v/>
      </c>
      <c r="S666" t="str">
        <f t="shared" si="84"/>
        <v/>
      </c>
      <c r="T666" s="403" t="str">
        <f t="shared" si="85"/>
        <v>MIC-9502-Z30xQS</v>
      </c>
      <c r="U666" s="403">
        <f t="shared" si="86"/>
        <v>2</v>
      </c>
      <c r="V666" s="403" t="str">
        <f t="shared" si="87"/>
        <v>CPP_7_3</v>
      </c>
    </row>
    <row r="667" spans="1:22">
      <c r="A667" t="str">
        <f t="shared" si="80"/>
        <v>MIC-9502-Z30xQS</v>
      </c>
      <c r="B667" s="403" t="s">
        <v>1367</v>
      </c>
      <c r="C667" s="403" t="s">
        <v>582</v>
      </c>
      <c r="D667" s="403" t="s">
        <v>1368</v>
      </c>
      <c r="E667" s="403" t="s">
        <v>1367</v>
      </c>
      <c r="F667" s="403" t="s">
        <v>1287</v>
      </c>
      <c r="G667" s="403" t="s">
        <v>1466</v>
      </c>
      <c r="H667" s="403" t="s">
        <v>1276</v>
      </c>
      <c r="I667" s="403">
        <v>2</v>
      </c>
      <c r="J667" s="403" t="s">
        <v>111</v>
      </c>
      <c r="K667" s="403">
        <v>320</v>
      </c>
      <c r="L667" s="403">
        <v>240</v>
      </c>
      <c r="M667" s="403" t="s">
        <v>1280</v>
      </c>
      <c r="N667" s="403">
        <v>320</v>
      </c>
      <c r="O667" s="403">
        <v>240</v>
      </c>
      <c r="P667" t="str">
        <f t="shared" si="81"/>
        <v>25fps SD - copy other stream</v>
      </c>
      <c r="Q667">
        <f t="shared" si="82"/>
        <v>4</v>
      </c>
      <c r="R667" t="str">
        <f t="shared" si="83"/>
        <v/>
      </c>
      <c r="S667" t="str">
        <f t="shared" si="84"/>
        <v/>
      </c>
      <c r="T667" s="403" t="str">
        <f t="shared" si="85"/>
        <v>MIC-9502-Z30xQS</v>
      </c>
      <c r="U667" s="403">
        <f t="shared" si="86"/>
        <v>2</v>
      </c>
      <c r="V667" s="403" t="str">
        <f t="shared" si="87"/>
        <v>CPP_7_3</v>
      </c>
    </row>
    <row r="668" spans="1:22">
      <c r="A668" t="str">
        <f t="shared" si="80"/>
        <v>MIC-9502-Z30xQS</v>
      </c>
      <c r="B668" s="403" t="s">
        <v>1367</v>
      </c>
      <c r="C668" s="403" t="s">
        <v>582</v>
      </c>
      <c r="D668" s="403" t="s">
        <v>1368</v>
      </c>
      <c r="E668" s="403" t="s">
        <v>1367</v>
      </c>
      <c r="F668" s="403" t="s">
        <v>1287</v>
      </c>
      <c r="G668" s="403" t="s">
        <v>1466</v>
      </c>
      <c r="H668" s="403" t="s">
        <v>1281</v>
      </c>
      <c r="I668" s="403">
        <v>1</v>
      </c>
      <c r="J668" s="403" t="s">
        <v>110</v>
      </c>
      <c r="K668" s="403">
        <v>1920</v>
      </c>
      <c r="L668" s="403">
        <v>1080</v>
      </c>
      <c r="M668" s="403" t="s">
        <v>111</v>
      </c>
      <c r="N668" s="403">
        <v>768</v>
      </c>
      <c r="O668" s="403">
        <v>432</v>
      </c>
      <c r="P668" t="str">
        <f t="shared" si="81"/>
        <v>25fps 1080p - SD</v>
      </c>
      <c r="Q668">
        <f t="shared" si="82"/>
        <v>4</v>
      </c>
      <c r="R668" t="str">
        <f t="shared" si="83"/>
        <v/>
      </c>
      <c r="S668" t="str">
        <f t="shared" si="84"/>
        <v/>
      </c>
      <c r="T668" s="403" t="str">
        <f t="shared" si="85"/>
        <v>MIC-9502-Z30xQS</v>
      </c>
      <c r="U668" s="403">
        <f t="shared" si="86"/>
        <v>1</v>
      </c>
      <c r="V668" s="403" t="str">
        <f t="shared" si="87"/>
        <v>CPP_7_3</v>
      </c>
    </row>
    <row r="669" spans="1:22">
      <c r="A669" t="str">
        <f t="shared" si="80"/>
        <v>MIC-9502-Z30xQS</v>
      </c>
      <c r="B669" s="403" t="s">
        <v>1367</v>
      </c>
      <c r="C669" s="403" t="s">
        <v>582</v>
      </c>
      <c r="D669" s="403" t="s">
        <v>1368</v>
      </c>
      <c r="E669" s="403" t="s">
        <v>1367</v>
      </c>
      <c r="F669" s="403" t="s">
        <v>1287</v>
      </c>
      <c r="G669" s="403" t="s">
        <v>1466</v>
      </c>
      <c r="H669" s="403" t="s">
        <v>1281</v>
      </c>
      <c r="I669" s="403">
        <v>1</v>
      </c>
      <c r="J669" s="403" t="s">
        <v>110</v>
      </c>
      <c r="K669" s="403">
        <v>1920</v>
      </c>
      <c r="L669" s="403">
        <v>1080</v>
      </c>
      <c r="M669" s="403" t="s">
        <v>110</v>
      </c>
      <c r="N669" s="403">
        <v>1920</v>
      </c>
      <c r="O669" s="403">
        <v>1080</v>
      </c>
      <c r="P669" t="str">
        <f t="shared" si="81"/>
        <v>25fps 1080p - 1080p</v>
      </c>
      <c r="Q669">
        <f t="shared" si="82"/>
        <v>4</v>
      </c>
      <c r="R669" t="str">
        <f t="shared" si="83"/>
        <v/>
      </c>
      <c r="S669" t="str">
        <f t="shared" si="84"/>
        <v/>
      </c>
      <c r="T669" s="403" t="str">
        <f t="shared" si="85"/>
        <v>MIC-9502-Z30xQS</v>
      </c>
      <c r="U669" s="403">
        <f t="shared" si="86"/>
        <v>1</v>
      </c>
      <c r="V669" s="403" t="str">
        <f t="shared" si="87"/>
        <v>CPP_7_3</v>
      </c>
    </row>
    <row r="670" spans="1:22">
      <c r="A670" t="str">
        <f t="shared" si="80"/>
        <v>MIC-9502-Z30xQS</v>
      </c>
      <c r="B670" s="403" t="s">
        <v>1367</v>
      </c>
      <c r="C670" s="403" t="s">
        <v>582</v>
      </c>
      <c r="D670" s="403" t="s">
        <v>1368</v>
      </c>
      <c r="E670" s="403" t="s">
        <v>1367</v>
      </c>
      <c r="F670" s="403" t="s">
        <v>1287</v>
      </c>
      <c r="G670" s="403" t="s">
        <v>1466</v>
      </c>
      <c r="H670" s="403" t="s">
        <v>1281</v>
      </c>
      <c r="I670" s="403">
        <v>1</v>
      </c>
      <c r="J670" s="403" t="s">
        <v>110</v>
      </c>
      <c r="K670" s="403">
        <v>1920</v>
      </c>
      <c r="L670" s="403">
        <v>1080</v>
      </c>
      <c r="M670" s="403" t="s">
        <v>109</v>
      </c>
      <c r="N670" s="403">
        <v>1280</v>
      </c>
      <c r="O670" s="403">
        <v>720</v>
      </c>
      <c r="P670" t="str">
        <f t="shared" si="81"/>
        <v>25fps 1080p - 720p</v>
      </c>
      <c r="Q670">
        <f t="shared" si="82"/>
        <v>4</v>
      </c>
      <c r="R670" t="str">
        <f t="shared" si="83"/>
        <v/>
      </c>
      <c r="S670" t="str">
        <f t="shared" si="84"/>
        <v/>
      </c>
      <c r="T670" s="403" t="str">
        <f t="shared" si="85"/>
        <v>MIC-9502-Z30xQS</v>
      </c>
      <c r="U670" s="403">
        <f t="shared" si="86"/>
        <v>1</v>
      </c>
      <c r="V670" s="403" t="str">
        <f t="shared" si="87"/>
        <v>CPP_7_3</v>
      </c>
    </row>
    <row r="671" spans="1:22">
      <c r="A671" t="str">
        <f t="shared" si="80"/>
        <v>MIC-9502-Z30xQS</v>
      </c>
      <c r="B671" s="403" t="s">
        <v>1367</v>
      </c>
      <c r="C671" s="403" t="s">
        <v>582</v>
      </c>
      <c r="D671" s="403" t="s">
        <v>1368</v>
      </c>
      <c r="E671" s="403" t="s">
        <v>1367</v>
      </c>
      <c r="F671" s="403" t="s">
        <v>1287</v>
      </c>
      <c r="G671" s="403" t="s">
        <v>1466</v>
      </c>
      <c r="H671" s="403" t="s">
        <v>1281</v>
      </c>
      <c r="I671" s="403">
        <v>1</v>
      </c>
      <c r="J671" s="403" t="s">
        <v>110</v>
      </c>
      <c r="K671" s="403">
        <v>1920</v>
      </c>
      <c r="L671" s="403">
        <v>1080</v>
      </c>
      <c r="M671" s="403" t="s">
        <v>1285</v>
      </c>
      <c r="N671" s="403">
        <v>1280</v>
      </c>
      <c r="O671" s="403">
        <v>1024</v>
      </c>
      <c r="P671" t="str">
        <f t="shared" si="81"/>
        <v>25fps 1080p - 1280x1024 5:4 (cropped)</v>
      </c>
      <c r="Q671">
        <f t="shared" si="82"/>
        <v>4</v>
      </c>
      <c r="R671" t="str">
        <f t="shared" si="83"/>
        <v/>
      </c>
      <c r="S671" t="str">
        <f t="shared" si="84"/>
        <v/>
      </c>
      <c r="T671" s="403" t="str">
        <f t="shared" si="85"/>
        <v>MIC-9502-Z30xQS</v>
      </c>
      <c r="U671" s="403">
        <f t="shared" si="86"/>
        <v>1</v>
      </c>
      <c r="V671" s="403" t="str">
        <f t="shared" si="87"/>
        <v>CPP_7_3</v>
      </c>
    </row>
    <row r="672" spans="1:22">
      <c r="A672" t="str">
        <f t="shared" si="80"/>
        <v>MIC-9502-Z30xQS</v>
      </c>
      <c r="B672" s="403" t="s">
        <v>1367</v>
      </c>
      <c r="C672" s="403" t="s">
        <v>582</v>
      </c>
      <c r="D672" s="403" t="s">
        <v>1368</v>
      </c>
      <c r="E672" s="403" t="s">
        <v>1367</v>
      </c>
      <c r="F672" s="403" t="s">
        <v>1287</v>
      </c>
      <c r="G672" s="403" t="s">
        <v>1466</v>
      </c>
      <c r="H672" s="403" t="s">
        <v>1281</v>
      </c>
      <c r="I672" s="403">
        <v>1</v>
      </c>
      <c r="J672" s="403" t="s">
        <v>110</v>
      </c>
      <c r="K672" s="403">
        <v>1920</v>
      </c>
      <c r="L672" s="403">
        <v>1080</v>
      </c>
      <c r="M672" s="403" t="s">
        <v>1283</v>
      </c>
      <c r="N672" s="403">
        <v>720</v>
      </c>
      <c r="O672" s="403">
        <v>576</v>
      </c>
      <c r="P672" t="str">
        <f t="shared" si="81"/>
        <v>25fps 1080p - SD 4CIF resolution 4:3 format (cropped)</v>
      </c>
      <c r="Q672">
        <f t="shared" si="82"/>
        <v>4</v>
      </c>
      <c r="R672" t="str">
        <f t="shared" si="83"/>
        <v/>
      </c>
      <c r="S672" t="str">
        <f t="shared" si="84"/>
        <v/>
      </c>
      <c r="T672" s="403" t="str">
        <f t="shared" si="85"/>
        <v>MIC-9502-Z30xQS</v>
      </c>
      <c r="U672" s="403">
        <f t="shared" si="86"/>
        <v>1</v>
      </c>
      <c r="V672" s="403" t="str">
        <f t="shared" si="87"/>
        <v>CPP_7_3</v>
      </c>
    </row>
    <row r="673" spans="1:22">
      <c r="A673" t="str">
        <f t="shared" si="80"/>
        <v>MIC-9502-Z30xQS</v>
      </c>
      <c r="B673" s="403" t="s">
        <v>1367</v>
      </c>
      <c r="C673" s="403" t="s">
        <v>582</v>
      </c>
      <c r="D673" s="403" t="s">
        <v>1368</v>
      </c>
      <c r="E673" s="403" t="s">
        <v>1367</v>
      </c>
      <c r="F673" s="403" t="s">
        <v>1287</v>
      </c>
      <c r="G673" s="403" t="s">
        <v>1466</v>
      </c>
      <c r="H673" s="403" t="s">
        <v>1281</v>
      </c>
      <c r="I673" s="403">
        <v>1</v>
      </c>
      <c r="J673" s="403" t="s">
        <v>110</v>
      </c>
      <c r="K673" s="403">
        <v>1920</v>
      </c>
      <c r="L673" s="403">
        <v>1080</v>
      </c>
      <c r="M673" s="403" t="s">
        <v>1284</v>
      </c>
      <c r="N673" s="403">
        <v>640</v>
      </c>
      <c r="O673" s="403">
        <v>480</v>
      </c>
      <c r="P673" t="str">
        <f t="shared" si="81"/>
        <v>25fps 1080p - SD VGA (cropped)</v>
      </c>
      <c r="Q673">
        <f t="shared" si="82"/>
        <v>4</v>
      </c>
      <c r="R673" t="str">
        <f t="shared" si="83"/>
        <v/>
      </c>
      <c r="S673" t="str">
        <f t="shared" si="84"/>
        <v/>
      </c>
      <c r="T673" s="403" t="str">
        <f t="shared" si="85"/>
        <v>MIC-9502-Z30xQS</v>
      </c>
      <c r="U673" s="403">
        <f t="shared" si="86"/>
        <v>1</v>
      </c>
      <c r="V673" s="403" t="str">
        <f t="shared" si="87"/>
        <v>CPP_7_3</v>
      </c>
    </row>
    <row r="674" spans="1:22">
      <c r="A674" t="str">
        <f t="shared" si="80"/>
        <v>MIC-9502-Z30xQS</v>
      </c>
      <c r="B674" s="403" t="s">
        <v>1367</v>
      </c>
      <c r="C674" s="403" t="s">
        <v>582</v>
      </c>
      <c r="D674" s="403" t="s">
        <v>1368</v>
      </c>
      <c r="E674" s="403" t="s">
        <v>1367</v>
      </c>
      <c r="F674" s="403" t="s">
        <v>1287</v>
      </c>
      <c r="G674" s="403" t="s">
        <v>1466</v>
      </c>
      <c r="H674" s="403" t="s">
        <v>1281</v>
      </c>
      <c r="I674" s="403">
        <v>1</v>
      </c>
      <c r="J674" s="403" t="s">
        <v>109</v>
      </c>
      <c r="K674" s="403">
        <v>1280</v>
      </c>
      <c r="L674" s="403">
        <v>720</v>
      </c>
      <c r="M674" s="403" t="s">
        <v>109</v>
      </c>
      <c r="N674" s="403">
        <v>1280</v>
      </c>
      <c r="O674" s="403">
        <v>720</v>
      </c>
      <c r="P674" t="str">
        <f t="shared" si="81"/>
        <v>25fps 720p - 720p</v>
      </c>
      <c r="Q674">
        <f t="shared" si="82"/>
        <v>4</v>
      </c>
      <c r="R674" t="str">
        <f t="shared" si="83"/>
        <v/>
      </c>
      <c r="S674" t="str">
        <f t="shared" si="84"/>
        <v/>
      </c>
      <c r="T674" s="403" t="str">
        <f t="shared" si="85"/>
        <v>MIC-9502-Z30xQS</v>
      </c>
      <c r="U674" s="403">
        <f t="shared" si="86"/>
        <v>1</v>
      </c>
      <c r="V674" s="403" t="str">
        <f t="shared" si="87"/>
        <v>CPP_7_3</v>
      </c>
    </row>
    <row r="675" spans="1:22">
      <c r="A675" t="str">
        <f t="shared" si="80"/>
        <v>MIC-9502-Z30xQS</v>
      </c>
      <c r="B675" s="403" t="s">
        <v>1367</v>
      </c>
      <c r="C675" s="403" t="s">
        <v>582</v>
      </c>
      <c r="D675" s="403" t="s">
        <v>1368</v>
      </c>
      <c r="E675" s="403" t="s">
        <v>1367</v>
      </c>
      <c r="F675" s="403" t="s">
        <v>1287</v>
      </c>
      <c r="G675" s="403" t="s">
        <v>1466</v>
      </c>
      <c r="H675" s="403" t="s">
        <v>1281</v>
      </c>
      <c r="I675" s="403">
        <v>1</v>
      </c>
      <c r="J675" s="403" t="s">
        <v>109</v>
      </c>
      <c r="K675" s="403">
        <v>1280</v>
      </c>
      <c r="L675" s="403">
        <v>720</v>
      </c>
      <c r="M675" s="403" t="s">
        <v>111</v>
      </c>
      <c r="N675" s="403">
        <v>768</v>
      </c>
      <c r="O675" s="403">
        <v>432</v>
      </c>
      <c r="P675" t="str">
        <f t="shared" si="81"/>
        <v>25fps 720p - SD</v>
      </c>
      <c r="Q675">
        <f t="shared" si="82"/>
        <v>4</v>
      </c>
      <c r="R675" t="str">
        <f t="shared" si="83"/>
        <v/>
      </c>
      <c r="S675" t="str">
        <f t="shared" si="84"/>
        <v/>
      </c>
      <c r="T675" s="403" t="str">
        <f t="shared" si="85"/>
        <v>MIC-9502-Z30xQS</v>
      </c>
      <c r="U675" s="403">
        <f t="shared" si="86"/>
        <v>1</v>
      </c>
      <c r="V675" s="403" t="str">
        <f t="shared" si="87"/>
        <v>CPP_7_3</v>
      </c>
    </row>
    <row r="676" spans="1:22">
      <c r="A676" t="str">
        <f t="shared" si="80"/>
        <v>MIC-9502-Z30xQS</v>
      </c>
      <c r="B676" s="403" t="s">
        <v>1367</v>
      </c>
      <c r="C676" s="403" t="s">
        <v>582</v>
      </c>
      <c r="D676" s="403" t="s">
        <v>1368</v>
      </c>
      <c r="E676" s="403" t="s">
        <v>1367</v>
      </c>
      <c r="F676" s="403" t="s">
        <v>1287</v>
      </c>
      <c r="G676" s="403" t="s">
        <v>1466</v>
      </c>
      <c r="H676" s="403" t="s">
        <v>1281</v>
      </c>
      <c r="I676" s="403">
        <v>1</v>
      </c>
      <c r="J676" s="403" t="s">
        <v>109</v>
      </c>
      <c r="K676" s="403">
        <v>1280</v>
      </c>
      <c r="L676" s="403">
        <v>720</v>
      </c>
      <c r="M676" s="403" t="s">
        <v>1283</v>
      </c>
      <c r="N676" s="403">
        <v>720</v>
      </c>
      <c r="O676" s="403">
        <v>576</v>
      </c>
      <c r="P676" t="str">
        <f t="shared" si="81"/>
        <v>25fps 720p - SD 4CIF resolution 4:3 format (cropped)</v>
      </c>
      <c r="Q676">
        <f t="shared" si="82"/>
        <v>4</v>
      </c>
      <c r="R676" t="str">
        <f t="shared" si="83"/>
        <v/>
      </c>
      <c r="S676" t="str">
        <f t="shared" si="84"/>
        <v/>
      </c>
      <c r="T676" s="403" t="str">
        <f t="shared" si="85"/>
        <v>MIC-9502-Z30xQS</v>
      </c>
      <c r="U676" s="403">
        <f t="shared" si="86"/>
        <v>1</v>
      </c>
      <c r="V676" s="403" t="str">
        <f t="shared" si="87"/>
        <v>CPP_7_3</v>
      </c>
    </row>
    <row r="677" spans="1:22">
      <c r="A677" t="str">
        <f t="shared" si="80"/>
        <v>MIC-9502-Z30xQS</v>
      </c>
      <c r="B677" s="403" t="s">
        <v>1367</v>
      </c>
      <c r="C677" s="403" t="s">
        <v>582</v>
      </c>
      <c r="D677" s="403" t="s">
        <v>1368</v>
      </c>
      <c r="E677" s="403" t="s">
        <v>1367</v>
      </c>
      <c r="F677" s="403" t="s">
        <v>1287</v>
      </c>
      <c r="G677" s="403" t="s">
        <v>1466</v>
      </c>
      <c r="H677" s="403" t="s">
        <v>1281</v>
      </c>
      <c r="I677" s="403">
        <v>1</v>
      </c>
      <c r="J677" s="403" t="s">
        <v>109</v>
      </c>
      <c r="K677" s="403">
        <v>1280</v>
      </c>
      <c r="L677" s="403">
        <v>720</v>
      </c>
      <c r="M677" s="403" t="s">
        <v>1284</v>
      </c>
      <c r="N677" s="403">
        <v>640</v>
      </c>
      <c r="O677" s="403">
        <v>480</v>
      </c>
      <c r="P677" t="str">
        <f t="shared" si="81"/>
        <v>25fps 720p - SD VGA (cropped)</v>
      </c>
      <c r="Q677">
        <f t="shared" si="82"/>
        <v>4</v>
      </c>
      <c r="R677" t="str">
        <f t="shared" si="83"/>
        <v/>
      </c>
      <c r="S677" t="str">
        <f t="shared" si="84"/>
        <v/>
      </c>
      <c r="T677" s="403" t="str">
        <f t="shared" si="85"/>
        <v>MIC-9502-Z30xQS</v>
      </c>
      <c r="U677" s="403">
        <f t="shared" si="86"/>
        <v>1</v>
      </c>
      <c r="V677" s="403" t="str">
        <f t="shared" si="87"/>
        <v>CPP_7_3</v>
      </c>
    </row>
    <row r="678" spans="1:22">
      <c r="A678" t="str">
        <f t="shared" si="80"/>
        <v>MIC-9502-Z30xQS</v>
      </c>
      <c r="B678" s="403" t="s">
        <v>1367</v>
      </c>
      <c r="C678" s="403" t="s">
        <v>582</v>
      </c>
      <c r="D678" s="403" t="s">
        <v>1368</v>
      </c>
      <c r="E678" s="403" t="s">
        <v>1367</v>
      </c>
      <c r="F678" s="403" t="s">
        <v>1287</v>
      </c>
      <c r="G678" s="403" t="s">
        <v>1466</v>
      </c>
      <c r="H678" s="403" t="s">
        <v>1281</v>
      </c>
      <c r="I678" s="403">
        <v>2</v>
      </c>
      <c r="J678" s="403" t="s">
        <v>111</v>
      </c>
      <c r="K678" s="403">
        <v>320</v>
      </c>
      <c r="L678" s="403">
        <v>240</v>
      </c>
      <c r="M678" s="403" t="s">
        <v>111</v>
      </c>
      <c r="N678" s="403">
        <v>320</v>
      </c>
      <c r="O678" s="403">
        <v>240</v>
      </c>
      <c r="P678" t="str">
        <f t="shared" si="81"/>
        <v>25fps SD - SD</v>
      </c>
      <c r="Q678">
        <f t="shared" si="82"/>
        <v>4</v>
      </c>
      <c r="R678" t="str">
        <f t="shared" si="83"/>
        <v/>
      </c>
      <c r="S678" t="str">
        <f t="shared" si="84"/>
        <v/>
      </c>
      <c r="T678" s="403" t="str">
        <f t="shared" si="85"/>
        <v>MIC-9502-Z30xQS</v>
      </c>
      <c r="U678" s="403">
        <f t="shared" si="86"/>
        <v>2</v>
      </c>
      <c r="V678" s="403" t="str">
        <f t="shared" si="87"/>
        <v>CPP_7_3</v>
      </c>
    </row>
    <row r="679" spans="1:22">
      <c r="A679" t="str">
        <f t="shared" si="80"/>
        <v>MIC-9502-Z30xQS</v>
      </c>
      <c r="B679" s="403" t="s">
        <v>1367</v>
      </c>
      <c r="C679" s="403" t="s">
        <v>582</v>
      </c>
      <c r="D679" s="403" t="s">
        <v>1368</v>
      </c>
      <c r="E679" s="403" t="s">
        <v>1367</v>
      </c>
      <c r="F679" s="403" t="s">
        <v>1287</v>
      </c>
      <c r="G679" s="403" t="s">
        <v>1466</v>
      </c>
      <c r="H679" s="403" t="s">
        <v>1281</v>
      </c>
      <c r="I679" s="403">
        <v>2</v>
      </c>
      <c r="J679" s="403" t="s">
        <v>111</v>
      </c>
      <c r="K679" s="403">
        <v>320</v>
      </c>
      <c r="L679" s="403">
        <v>240</v>
      </c>
      <c r="M679" s="403" t="s">
        <v>1280</v>
      </c>
      <c r="N679" s="403">
        <v>320</v>
      </c>
      <c r="O679" s="403">
        <v>240</v>
      </c>
      <c r="P679" t="str">
        <f t="shared" si="81"/>
        <v>25fps SD - copy other stream</v>
      </c>
      <c r="Q679">
        <f t="shared" si="82"/>
        <v>4</v>
      </c>
      <c r="R679" t="str">
        <f t="shared" si="83"/>
        <v/>
      </c>
      <c r="S679" t="str">
        <f t="shared" si="84"/>
        <v/>
      </c>
      <c r="T679" s="403" t="str">
        <f t="shared" si="85"/>
        <v>MIC-9502-Z30xQS</v>
      </c>
      <c r="U679" s="403">
        <f t="shared" si="86"/>
        <v>2</v>
      </c>
      <c r="V679" s="403" t="str">
        <f t="shared" si="87"/>
        <v>CPP_7_3</v>
      </c>
    </row>
    <row r="680" spans="1:22">
      <c r="A680" t="str">
        <f t="shared" si="80"/>
        <v>MIC-9502-Z30xQS</v>
      </c>
      <c r="B680" s="403" t="s">
        <v>1367</v>
      </c>
      <c r="C680" s="403" t="s">
        <v>582</v>
      </c>
      <c r="D680" s="403" t="s">
        <v>1368</v>
      </c>
      <c r="E680" s="403" t="s">
        <v>1367</v>
      </c>
      <c r="F680" s="403" t="s">
        <v>1286</v>
      </c>
      <c r="G680" s="403" t="s">
        <v>1466</v>
      </c>
      <c r="H680" s="403" t="s">
        <v>1276</v>
      </c>
      <c r="I680" s="403">
        <v>1</v>
      </c>
      <c r="J680" s="403" t="s">
        <v>110</v>
      </c>
      <c r="K680" s="403">
        <v>1920</v>
      </c>
      <c r="L680" s="403">
        <v>1080</v>
      </c>
      <c r="M680" s="403" t="s">
        <v>111</v>
      </c>
      <c r="N680" s="403">
        <v>768</v>
      </c>
      <c r="O680" s="403">
        <v>432</v>
      </c>
      <c r="P680" t="str">
        <f t="shared" si="81"/>
        <v>30fps 1080p - SD</v>
      </c>
      <c r="Q680">
        <f t="shared" si="82"/>
        <v>4</v>
      </c>
      <c r="R680" t="str">
        <f t="shared" si="83"/>
        <v/>
      </c>
      <c r="S680" t="str">
        <f t="shared" si="84"/>
        <v/>
      </c>
      <c r="T680" s="403" t="str">
        <f t="shared" si="85"/>
        <v>MIC-9502-Z30xQS</v>
      </c>
      <c r="U680" s="403">
        <f t="shared" si="86"/>
        <v>1</v>
      </c>
      <c r="V680" s="403" t="str">
        <f t="shared" si="87"/>
        <v>CPP_7_3</v>
      </c>
    </row>
    <row r="681" spans="1:22">
      <c r="A681" t="str">
        <f t="shared" si="80"/>
        <v>MIC-9502-Z30xQS</v>
      </c>
      <c r="B681" s="403" t="s">
        <v>1367</v>
      </c>
      <c r="C681" s="403" t="s">
        <v>582</v>
      </c>
      <c r="D681" s="403" t="s">
        <v>1368</v>
      </c>
      <c r="E681" s="403" t="s">
        <v>1367</v>
      </c>
      <c r="F681" s="403" t="s">
        <v>1286</v>
      </c>
      <c r="G681" s="403" t="s">
        <v>1466</v>
      </c>
      <c r="H681" s="403" t="s">
        <v>1276</v>
      </c>
      <c r="I681" s="403">
        <v>1</v>
      </c>
      <c r="J681" s="403" t="s">
        <v>110</v>
      </c>
      <c r="K681" s="403">
        <v>1920</v>
      </c>
      <c r="L681" s="403">
        <v>1080</v>
      </c>
      <c r="M681" s="403" t="s">
        <v>110</v>
      </c>
      <c r="N681" s="403">
        <v>1920</v>
      </c>
      <c r="O681" s="403">
        <v>1080</v>
      </c>
      <c r="P681" t="str">
        <f t="shared" si="81"/>
        <v>30fps 1080p - 1080p</v>
      </c>
      <c r="Q681">
        <f t="shared" si="82"/>
        <v>4</v>
      </c>
      <c r="R681" t="str">
        <f t="shared" si="83"/>
        <v/>
      </c>
      <c r="S681" t="str">
        <f t="shared" si="84"/>
        <v/>
      </c>
      <c r="T681" s="403" t="str">
        <f t="shared" si="85"/>
        <v>MIC-9502-Z30xQS</v>
      </c>
      <c r="U681" s="403">
        <f t="shared" si="86"/>
        <v>1</v>
      </c>
      <c r="V681" s="403" t="str">
        <f t="shared" si="87"/>
        <v>CPP_7_3</v>
      </c>
    </row>
    <row r="682" spans="1:22">
      <c r="A682" t="str">
        <f t="shared" si="80"/>
        <v>MIC-9502-Z30xQS</v>
      </c>
      <c r="B682" s="403" t="s">
        <v>1367</v>
      </c>
      <c r="C682" s="403" t="s">
        <v>582</v>
      </c>
      <c r="D682" s="403" t="s">
        <v>1368</v>
      </c>
      <c r="E682" s="403" t="s">
        <v>1367</v>
      </c>
      <c r="F682" s="403" t="s">
        <v>1286</v>
      </c>
      <c r="G682" s="403" t="s">
        <v>1466</v>
      </c>
      <c r="H682" s="403" t="s">
        <v>1276</v>
      </c>
      <c r="I682" s="403">
        <v>1</v>
      </c>
      <c r="J682" s="403" t="s">
        <v>110</v>
      </c>
      <c r="K682" s="403">
        <v>1920</v>
      </c>
      <c r="L682" s="403">
        <v>1080</v>
      </c>
      <c r="M682" s="403" t="s">
        <v>109</v>
      </c>
      <c r="N682" s="403">
        <v>1280</v>
      </c>
      <c r="O682" s="403">
        <v>720</v>
      </c>
      <c r="P682" t="str">
        <f t="shared" si="81"/>
        <v>30fps 1080p - 720p</v>
      </c>
      <c r="Q682">
        <f t="shared" si="82"/>
        <v>4</v>
      </c>
      <c r="R682" t="str">
        <f t="shared" si="83"/>
        <v/>
      </c>
      <c r="S682" t="str">
        <f t="shared" si="84"/>
        <v/>
      </c>
      <c r="T682" s="403" t="str">
        <f t="shared" si="85"/>
        <v>MIC-9502-Z30xQS</v>
      </c>
      <c r="U682" s="403">
        <f t="shared" si="86"/>
        <v>1</v>
      </c>
      <c r="V682" s="403" t="str">
        <f t="shared" si="87"/>
        <v>CPP_7_3</v>
      </c>
    </row>
    <row r="683" spans="1:22">
      <c r="A683" t="str">
        <f t="shared" si="80"/>
        <v>MIC-9502-Z30xQS</v>
      </c>
      <c r="B683" s="403" t="s">
        <v>1367</v>
      </c>
      <c r="C683" s="403" t="s">
        <v>582</v>
      </c>
      <c r="D683" s="403" t="s">
        <v>1368</v>
      </c>
      <c r="E683" s="403" t="s">
        <v>1367</v>
      </c>
      <c r="F683" s="403" t="s">
        <v>1286</v>
      </c>
      <c r="G683" s="403" t="s">
        <v>1466</v>
      </c>
      <c r="H683" s="403" t="s">
        <v>1276</v>
      </c>
      <c r="I683" s="403">
        <v>1</v>
      </c>
      <c r="J683" s="403" t="s">
        <v>110</v>
      </c>
      <c r="K683" s="403">
        <v>1920</v>
      </c>
      <c r="L683" s="403">
        <v>1080</v>
      </c>
      <c r="M683" s="403" t="s">
        <v>1285</v>
      </c>
      <c r="N683" s="403">
        <v>1280</v>
      </c>
      <c r="O683" s="403">
        <v>1024</v>
      </c>
      <c r="P683" t="str">
        <f t="shared" si="81"/>
        <v>30fps 1080p - 1280x1024 5:4 (cropped)</v>
      </c>
      <c r="Q683">
        <f t="shared" si="82"/>
        <v>4</v>
      </c>
      <c r="R683" t="str">
        <f t="shared" si="83"/>
        <v/>
      </c>
      <c r="S683" t="str">
        <f t="shared" si="84"/>
        <v/>
      </c>
      <c r="T683" s="403" t="str">
        <f t="shared" si="85"/>
        <v>MIC-9502-Z30xQS</v>
      </c>
      <c r="U683" s="403">
        <f t="shared" si="86"/>
        <v>1</v>
      </c>
      <c r="V683" s="403" t="str">
        <f t="shared" si="87"/>
        <v>CPP_7_3</v>
      </c>
    </row>
    <row r="684" spans="1:22">
      <c r="A684" t="str">
        <f t="shared" si="80"/>
        <v>MIC-9502-Z30xQS</v>
      </c>
      <c r="B684" s="403" t="s">
        <v>1367</v>
      </c>
      <c r="C684" s="403" t="s">
        <v>582</v>
      </c>
      <c r="D684" s="403" t="s">
        <v>1368</v>
      </c>
      <c r="E684" s="403" t="s">
        <v>1367</v>
      </c>
      <c r="F684" s="403" t="s">
        <v>1286</v>
      </c>
      <c r="G684" s="403" t="s">
        <v>1466</v>
      </c>
      <c r="H684" s="403" t="s">
        <v>1276</v>
      </c>
      <c r="I684" s="403">
        <v>1</v>
      </c>
      <c r="J684" s="403" t="s">
        <v>110</v>
      </c>
      <c r="K684" s="403">
        <v>1920</v>
      </c>
      <c r="L684" s="403">
        <v>1080</v>
      </c>
      <c r="M684" s="403" t="s">
        <v>1283</v>
      </c>
      <c r="N684" s="403">
        <v>720</v>
      </c>
      <c r="O684" s="403">
        <v>480</v>
      </c>
      <c r="P684" t="str">
        <f t="shared" si="81"/>
        <v>30fps 1080p - SD 4CIF resolution 4:3 format (cropped)</v>
      </c>
      <c r="Q684">
        <f t="shared" si="82"/>
        <v>4</v>
      </c>
      <c r="R684" t="str">
        <f t="shared" si="83"/>
        <v/>
      </c>
      <c r="S684" t="str">
        <f t="shared" si="84"/>
        <v/>
      </c>
      <c r="T684" s="403" t="str">
        <f t="shared" si="85"/>
        <v>MIC-9502-Z30xQS</v>
      </c>
      <c r="U684" s="403">
        <f t="shared" si="86"/>
        <v>1</v>
      </c>
      <c r="V684" s="403" t="str">
        <f t="shared" si="87"/>
        <v>CPP_7_3</v>
      </c>
    </row>
    <row r="685" spans="1:22">
      <c r="A685" t="str">
        <f t="shared" si="80"/>
        <v>MIC-9502-Z30xQS</v>
      </c>
      <c r="B685" s="403" t="s">
        <v>1367</v>
      </c>
      <c r="C685" s="403" t="s">
        <v>582</v>
      </c>
      <c r="D685" s="403" t="s">
        <v>1368</v>
      </c>
      <c r="E685" s="403" t="s">
        <v>1367</v>
      </c>
      <c r="F685" s="403" t="s">
        <v>1286</v>
      </c>
      <c r="G685" s="403" t="s">
        <v>1466</v>
      </c>
      <c r="H685" s="403" t="s">
        <v>1276</v>
      </c>
      <c r="I685" s="403">
        <v>1</v>
      </c>
      <c r="J685" s="403" t="s">
        <v>110</v>
      </c>
      <c r="K685" s="403">
        <v>1920</v>
      </c>
      <c r="L685" s="403">
        <v>1080</v>
      </c>
      <c r="M685" s="403" t="s">
        <v>1284</v>
      </c>
      <c r="N685" s="403">
        <v>640</v>
      </c>
      <c r="O685" s="403">
        <v>480</v>
      </c>
      <c r="P685" t="str">
        <f t="shared" si="81"/>
        <v>30fps 1080p - SD VGA (cropped)</v>
      </c>
      <c r="Q685">
        <f t="shared" si="82"/>
        <v>4</v>
      </c>
      <c r="R685" t="str">
        <f t="shared" si="83"/>
        <v/>
      </c>
      <c r="S685" t="str">
        <f t="shared" si="84"/>
        <v/>
      </c>
      <c r="T685" s="403" t="str">
        <f t="shared" si="85"/>
        <v>MIC-9502-Z30xQS</v>
      </c>
      <c r="U685" s="403">
        <f t="shared" si="86"/>
        <v>1</v>
      </c>
      <c r="V685" s="403" t="str">
        <f t="shared" si="87"/>
        <v>CPP_7_3</v>
      </c>
    </row>
    <row r="686" spans="1:22">
      <c r="A686" t="str">
        <f t="shared" si="80"/>
        <v>MIC-9502-Z30xQS</v>
      </c>
      <c r="B686" s="403" t="s">
        <v>1367</v>
      </c>
      <c r="C686" s="403" t="s">
        <v>582</v>
      </c>
      <c r="D686" s="403" t="s">
        <v>1368</v>
      </c>
      <c r="E686" s="403" t="s">
        <v>1367</v>
      </c>
      <c r="F686" s="403" t="s">
        <v>1286</v>
      </c>
      <c r="G686" s="403" t="s">
        <v>1466</v>
      </c>
      <c r="H686" s="403" t="s">
        <v>1276</v>
      </c>
      <c r="I686" s="403">
        <v>1</v>
      </c>
      <c r="J686" s="403" t="s">
        <v>109</v>
      </c>
      <c r="K686" s="403">
        <v>1280</v>
      </c>
      <c r="L686" s="403">
        <v>720</v>
      </c>
      <c r="M686" s="403" t="s">
        <v>109</v>
      </c>
      <c r="N686" s="403">
        <v>1280</v>
      </c>
      <c r="O686" s="403">
        <v>720</v>
      </c>
      <c r="P686" t="str">
        <f t="shared" si="81"/>
        <v>30fps 720p - 720p</v>
      </c>
      <c r="Q686">
        <f t="shared" si="82"/>
        <v>4</v>
      </c>
      <c r="R686" t="str">
        <f t="shared" si="83"/>
        <v/>
      </c>
      <c r="S686" t="str">
        <f t="shared" si="84"/>
        <v/>
      </c>
      <c r="T686" s="403" t="str">
        <f t="shared" si="85"/>
        <v>MIC-9502-Z30xQS</v>
      </c>
      <c r="U686" s="403">
        <f t="shared" si="86"/>
        <v>1</v>
      </c>
      <c r="V686" s="403" t="str">
        <f t="shared" si="87"/>
        <v>CPP_7_3</v>
      </c>
    </row>
    <row r="687" spans="1:22">
      <c r="A687" t="str">
        <f t="shared" si="80"/>
        <v>MIC-9502-Z30xQS</v>
      </c>
      <c r="B687" s="403" t="s">
        <v>1367</v>
      </c>
      <c r="C687" s="403" t="s">
        <v>582</v>
      </c>
      <c r="D687" s="403" t="s">
        <v>1368</v>
      </c>
      <c r="E687" s="403" t="s">
        <v>1367</v>
      </c>
      <c r="F687" s="403" t="s">
        <v>1286</v>
      </c>
      <c r="G687" s="403" t="s">
        <v>1466</v>
      </c>
      <c r="H687" s="403" t="s">
        <v>1276</v>
      </c>
      <c r="I687" s="403">
        <v>1</v>
      </c>
      <c r="J687" s="403" t="s">
        <v>109</v>
      </c>
      <c r="K687" s="403">
        <v>1280</v>
      </c>
      <c r="L687" s="403">
        <v>720</v>
      </c>
      <c r="M687" s="403" t="s">
        <v>111</v>
      </c>
      <c r="N687" s="403">
        <v>768</v>
      </c>
      <c r="O687" s="403">
        <v>432</v>
      </c>
      <c r="P687" t="str">
        <f t="shared" si="81"/>
        <v>30fps 720p - SD</v>
      </c>
      <c r="Q687">
        <f t="shared" si="82"/>
        <v>4</v>
      </c>
      <c r="R687" t="str">
        <f t="shared" si="83"/>
        <v/>
      </c>
      <c r="S687" t="str">
        <f t="shared" si="84"/>
        <v/>
      </c>
      <c r="T687" s="403" t="str">
        <f t="shared" si="85"/>
        <v>MIC-9502-Z30xQS</v>
      </c>
      <c r="U687" s="403">
        <f t="shared" si="86"/>
        <v>1</v>
      </c>
      <c r="V687" s="403" t="str">
        <f t="shared" si="87"/>
        <v>CPP_7_3</v>
      </c>
    </row>
    <row r="688" spans="1:22">
      <c r="A688" t="str">
        <f t="shared" si="80"/>
        <v>MIC-9502-Z30xQS</v>
      </c>
      <c r="B688" s="403" t="s">
        <v>1367</v>
      </c>
      <c r="C688" s="403" t="s">
        <v>582</v>
      </c>
      <c r="D688" s="403" t="s">
        <v>1368</v>
      </c>
      <c r="E688" s="403" t="s">
        <v>1367</v>
      </c>
      <c r="F688" s="403" t="s">
        <v>1286</v>
      </c>
      <c r="G688" s="403" t="s">
        <v>1466</v>
      </c>
      <c r="H688" s="403" t="s">
        <v>1276</v>
      </c>
      <c r="I688" s="403">
        <v>1</v>
      </c>
      <c r="J688" s="403" t="s">
        <v>109</v>
      </c>
      <c r="K688" s="403">
        <v>1280</v>
      </c>
      <c r="L688" s="403">
        <v>720</v>
      </c>
      <c r="M688" s="403" t="s">
        <v>1283</v>
      </c>
      <c r="N688" s="403">
        <v>720</v>
      </c>
      <c r="O688" s="403">
        <v>480</v>
      </c>
      <c r="P688" t="str">
        <f t="shared" si="81"/>
        <v>30fps 720p - SD 4CIF resolution 4:3 format (cropped)</v>
      </c>
      <c r="Q688">
        <f t="shared" si="82"/>
        <v>4</v>
      </c>
      <c r="R688" t="str">
        <f t="shared" si="83"/>
        <v/>
      </c>
      <c r="S688" t="str">
        <f t="shared" si="84"/>
        <v/>
      </c>
      <c r="T688" s="403" t="str">
        <f t="shared" si="85"/>
        <v>MIC-9502-Z30xQS</v>
      </c>
      <c r="U688" s="403">
        <f t="shared" si="86"/>
        <v>1</v>
      </c>
      <c r="V688" s="403" t="str">
        <f t="shared" si="87"/>
        <v>CPP_7_3</v>
      </c>
    </row>
    <row r="689" spans="1:22">
      <c r="A689" t="str">
        <f t="shared" si="80"/>
        <v>MIC-9502-Z30xQS</v>
      </c>
      <c r="B689" s="403" t="s">
        <v>1367</v>
      </c>
      <c r="C689" s="403" t="s">
        <v>582</v>
      </c>
      <c r="D689" s="403" t="s">
        <v>1368</v>
      </c>
      <c r="E689" s="403" t="s">
        <v>1367</v>
      </c>
      <c r="F689" s="403" t="s">
        <v>1286</v>
      </c>
      <c r="G689" s="403" t="s">
        <v>1466</v>
      </c>
      <c r="H689" s="403" t="s">
        <v>1276</v>
      </c>
      <c r="I689" s="403">
        <v>1</v>
      </c>
      <c r="J689" s="403" t="s">
        <v>109</v>
      </c>
      <c r="K689" s="403">
        <v>1280</v>
      </c>
      <c r="L689" s="403">
        <v>720</v>
      </c>
      <c r="M689" s="403" t="s">
        <v>1284</v>
      </c>
      <c r="N689" s="403">
        <v>640</v>
      </c>
      <c r="O689" s="403">
        <v>480</v>
      </c>
      <c r="P689" t="str">
        <f t="shared" si="81"/>
        <v>30fps 720p - SD VGA (cropped)</v>
      </c>
      <c r="Q689">
        <f t="shared" si="82"/>
        <v>4</v>
      </c>
      <c r="R689" t="str">
        <f t="shared" si="83"/>
        <v/>
      </c>
      <c r="S689" t="str">
        <f t="shared" si="84"/>
        <v/>
      </c>
      <c r="T689" s="403" t="str">
        <f t="shared" si="85"/>
        <v>MIC-9502-Z30xQS</v>
      </c>
      <c r="U689" s="403">
        <f t="shared" si="86"/>
        <v>1</v>
      </c>
      <c r="V689" s="403" t="str">
        <f t="shared" si="87"/>
        <v>CPP_7_3</v>
      </c>
    </row>
    <row r="690" spans="1:22">
      <c r="A690" t="str">
        <f t="shared" si="80"/>
        <v>MIC-9502-Z30xQS</v>
      </c>
      <c r="B690" s="403" t="s">
        <v>1367</v>
      </c>
      <c r="C690" s="403" t="s">
        <v>582</v>
      </c>
      <c r="D690" s="403" t="s">
        <v>1368</v>
      </c>
      <c r="E690" s="403" t="s">
        <v>1367</v>
      </c>
      <c r="F690" s="403" t="s">
        <v>1286</v>
      </c>
      <c r="G690" s="403" t="s">
        <v>1466</v>
      </c>
      <c r="H690" s="403" t="s">
        <v>1276</v>
      </c>
      <c r="I690" s="403">
        <v>2</v>
      </c>
      <c r="J690" s="403" t="s">
        <v>111</v>
      </c>
      <c r="K690" s="403">
        <v>320</v>
      </c>
      <c r="L690" s="403">
        <v>240</v>
      </c>
      <c r="M690" s="403" t="s">
        <v>111</v>
      </c>
      <c r="N690" s="403">
        <v>320</v>
      </c>
      <c r="O690" s="403">
        <v>240</v>
      </c>
      <c r="P690" t="str">
        <f t="shared" si="81"/>
        <v>30fps SD - SD</v>
      </c>
      <c r="Q690">
        <f t="shared" si="82"/>
        <v>4</v>
      </c>
      <c r="R690" t="str">
        <f t="shared" si="83"/>
        <v/>
      </c>
      <c r="S690" t="str">
        <f t="shared" si="84"/>
        <v/>
      </c>
      <c r="T690" s="403" t="str">
        <f t="shared" si="85"/>
        <v>MIC-9502-Z30xQS</v>
      </c>
      <c r="U690" s="403">
        <f t="shared" si="86"/>
        <v>2</v>
      </c>
      <c r="V690" s="403" t="str">
        <f t="shared" si="87"/>
        <v>CPP_7_3</v>
      </c>
    </row>
    <row r="691" spans="1:22">
      <c r="A691" t="str">
        <f t="shared" si="80"/>
        <v>MIC-9502-Z30xQS</v>
      </c>
      <c r="B691" s="403" t="s">
        <v>1367</v>
      </c>
      <c r="C691" s="403" t="s">
        <v>582</v>
      </c>
      <c r="D691" s="403" t="s">
        <v>1368</v>
      </c>
      <c r="E691" s="403" t="s">
        <v>1367</v>
      </c>
      <c r="F691" s="403" t="s">
        <v>1286</v>
      </c>
      <c r="G691" s="403" t="s">
        <v>1466</v>
      </c>
      <c r="H691" s="403" t="s">
        <v>1276</v>
      </c>
      <c r="I691" s="403">
        <v>2</v>
      </c>
      <c r="J691" s="403" t="s">
        <v>111</v>
      </c>
      <c r="K691" s="403">
        <v>320</v>
      </c>
      <c r="L691" s="403">
        <v>240</v>
      </c>
      <c r="M691" s="403" t="s">
        <v>1280</v>
      </c>
      <c r="N691" s="403">
        <v>320</v>
      </c>
      <c r="O691" s="403">
        <v>240</v>
      </c>
      <c r="P691" t="str">
        <f t="shared" si="81"/>
        <v>30fps SD - copy other stream</v>
      </c>
      <c r="Q691">
        <f t="shared" si="82"/>
        <v>4</v>
      </c>
      <c r="R691" t="str">
        <f t="shared" si="83"/>
        <v/>
      </c>
      <c r="S691" t="str">
        <f t="shared" si="84"/>
        <v/>
      </c>
      <c r="T691" s="403" t="str">
        <f t="shared" si="85"/>
        <v>MIC-9502-Z30xQS</v>
      </c>
      <c r="U691" s="403">
        <f t="shared" si="86"/>
        <v>2</v>
      </c>
      <c r="V691" s="403" t="str">
        <f t="shared" si="87"/>
        <v>CPP_7_3</v>
      </c>
    </row>
    <row r="692" spans="1:22">
      <c r="A692" t="str">
        <f t="shared" si="80"/>
        <v>MIC-9502-Z30xQS</v>
      </c>
      <c r="B692" s="403" t="s">
        <v>1367</v>
      </c>
      <c r="C692" s="403" t="s">
        <v>582</v>
      </c>
      <c r="D692" s="403" t="s">
        <v>1368</v>
      </c>
      <c r="E692" s="403" t="s">
        <v>1367</v>
      </c>
      <c r="F692" s="403" t="s">
        <v>1286</v>
      </c>
      <c r="G692" s="403" t="s">
        <v>1466</v>
      </c>
      <c r="H692" s="403" t="s">
        <v>1281</v>
      </c>
      <c r="I692" s="403">
        <v>1</v>
      </c>
      <c r="J692" s="403" t="s">
        <v>110</v>
      </c>
      <c r="K692" s="403">
        <v>1920</v>
      </c>
      <c r="L692" s="403">
        <v>1080</v>
      </c>
      <c r="M692" s="403" t="s">
        <v>111</v>
      </c>
      <c r="N692" s="403">
        <v>768</v>
      </c>
      <c r="O692" s="403">
        <v>432</v>
      </c>
      <c r="P692" t="str">
        <f t="shared" si="81"/>
        <v>30fps 1080p - SD</v>
      </c>
      <c r="Q692">
        <f t="shared" si="82"/>
        <v>4</v>
      </c>
      <c r="R692" t="str">
        <f t="shared" si="83"/>
        <v/>
      </c>
      <c r="S692" t="str">
        <f t="shared" si="84"/>
        <v/>
      </c>
      <c r="T692" s="403" t="str">
        <f t="shared" si="85"/>
        <v>MIC-9502-Z30xQS</v>
      </c>
      <c r="U692" s="403">
        <f t="shared" si="86"/>
        <v>1</v>
      </c>
      <c r="V692" s="403" t="str">
        <f t="shared" si="87"/>
        <v>CPP_7_3</v>
      </c>
    </row>
    <row r="693" spans="1:22">
      <c r="A693" t="str">
        <f t="shared" si="80"/>
        <v>MIC-9502-Z30xQS</v>
      </c>
      <c r="B693" s="403" t="s">
        <v>1367</v>
      </c>
      <c r="C693" s="403" t="s">
        <v>582</v>
      </c>
      <c r="D693" s="403" t="s">
        <v>1368</v>
      </c>
      <c r="E693" s="403" t="s">
        <v>1367</v>
      </c>
      <c r="F693" s="403" t="s">
        <v>1286</v>
      </c>
      <c r="G693" s="403" t="s">
        <v>1466</v>
      </c>
      <c r="H693" s="403" t="s">
        <v>1281</v>
      </c>
      <c r="I693" s="403">
        <v>1</v>
      </c>
      <c r="J693" s="403" t="s">
        <v>110</v>
      </c>
      <c r="K693" s="403">
        <v>1920</v>
      </c>
      <c r="L693" s="403">
        <v>1080</v>
      </c>
      <c r="M693" s="403" t="s">
        <v>110</v>
      </c>
      <c r="N693" s="403">
        <v>1920</v>
      </c>
      <c r="O693" s="403">
        <v>1080</v>
      </c>
      <c r="P693" t="str">
        <f t="shared" si="81"/>
        <v>30fps 1080p - 1080p</v>
      </c>
      <c r="Q693">
        <f t="shared" si="82"/>
        <v>4</v>
      </c>
      <c r="R693" t="str">
        <f t="shared" si="83"/>
        <v/>
      </c>
      <c r="S693" t="str">
        <f t="shared" si="84"/>
        <v/>
      </c>
      <c r="T693" s="403" t="str">
        <f t="shared" si="85"/>
        <v>MIC-9502-Z30xQS</v>
      </c>
      <c r="U693" s="403">
        <f t="shared" si="86"/>
        <v>1</v>
      </c>
      <c r="V693" s="403" t="str">
        <f t="shared" si="87"/>
        <v>CPP_7_3</v>
      </c>
    </row>
    <row r="694" spans="1:22">
      <c r="A694" t="str">
        <f t="shared" si="80"/>
        <v>MIC-9502-Z30xQS</v>
      </c>
      <c r="B694" s="403" t="s">
        <v>1367</v>
      </c>
      <c r="C694" s="403" t="s">
        <v>582</v>
      </c>
      <c r="D694" s="403" t="s">
        <v>1368</v>
      </c>
      <c r="E694" s="403" t="s">
        <v>1367</v>
      </c>
      <c r="F694" s="403" t="s">
        <v>1286</v>
      </c>
      <c r="G694" s="403" t="s">
        <v>1466</v>
      </c>
      <c r="H694" s="403" t="s">
        <v>1281</v>
      </c>
      <c r="I694" s="403">
        <v>1</v>
      </c>
      <c r="J694" s="403" t="s">
        <v>110</v>
      </c>
      <c r="K694" s="403">
        <v>1920</v>
      </c>
      <c r="L694" s="403">
        <v>1080</v>
      </c>
      <c r="M694" s="403" t="s">
        <v>109</v>
      </c>
      <c r="N694" s="403">
        <v>1280</v>
      </c>
      <c r="O694" s="403">
        <v>720</v>
      </c>
      <c r="P694" t="str">
        <f t="shared" si="81"/>
        <v>30fps 1080p - 720p</v>
      </c>
      <c r="Q694">
        <f t="shared" si="82"/>
        <v>4</v>
      </c>
      <c r="R694" t="str">
        <f t="shared" si="83"/>
        <v/>
      </c>
      <c r="S694" t="str">
        <f t="shared" si="84"/>
        <v/>
      </c>
      <c r="T694" s="403" t="str">
        <f t="shared" si="85"/>
        <v>MIC-9502-Z30xQS</v>
      </c>
      <c r="U694" s="403">
        <f t="shared" si="86"/>
        <v>1</v>
      </c>
      <c r="V694" s="403" t="str">
        <f t="shared" si="87"/>
        <v>CPP_7_3</v>
      </c>
    </row>
    <row r="695" spans="1:22">
      <c r="A695" t="str">
        <f t="shared" si="80"/>
        <v>MIC-9502-Z30xQS</v>
      </c>
      <c r="B695" s="403" t="s">
        <v>1367</v>
      </c>
      <c r="C695" s="403" t="s">
        <v>582</v>
      </c>
      <c r="D695" s="403" t="s">
        <v>1368</v>
      </c>
      <c r="E695" s="403" t="s">
        <v>1367</v>
      </c>
      <c r="F695" s="403" t="s">
        <v>1286</v>
      </c>
      <c r="G695" s="403" t="s">
        <v>1466</v>
      </c>
      <c r="H695" s="403" t="s">
        <v>1281</v>
      </c>
      <c r="I695" s="403">
        <v>1</v>
      </c>
      <c r="J695" s="403" t="s">
        <v>110</v>
      </c>
      <c r="K695" s="403">
        <v>1920</v>
      </c>
      <c r="L695" s="403">
        <v>1080</v>
      </c>
      <c r="M695" s="403" t="s">
        <v>1285</v>
      </c>
      <c r="N695" s="403">
        <v>1280</v>
      </c>
      <c r="O695" s="403">
        <v>1024</v>
      </c>
      <c r="P695" t="str">
        <f t="shared" si="81"/>
        <v>30fps 1080p - 1280x1024 5:4 (cropped)</v>
      </c>
      <c r="Q695">
        <f t="shared" si="82"/>
        <v>4</v>
      </c>
      <c r="R695" t="str">
        <f t="shared" si="83"/>
        <v/>
      </c>
      <c r="S695" t="str">
        <f t="shared" si="84"/>
        <v/>
      </c>
      <c r="T695" s="403" t="str">
        <f t="shared" si="85"/>
        <v>MIC-9502-Z30xQS</v>
      </c>
      <c r="U695" s="403">
        <f t="shared" si="86"/>
        <v>1</v>
      </c>
      <c r="V695" s="403" t="str">
        <f t="shared" si="87"/>
        <v>CPP_7_3</v>
      </c>
    </row>
    <row r="696" spans="1:22">
      <c r="A696" t="str">
        <f t="shared" si="80"/>
        <v>MIC-9502-Z30xQS</v>
      </c>
      <c r="B696" s="403" t="s">
        <v>1367</v>
      </c>
      <c r="C696" s="403" t="s">
        <v>582</v>
      </c>
      <c r="D696" s="403" t="s">
        <v>1368</v>
      </c>
      <c r="E696" s="403" t="s">
        <v>1367</v>
      </c>
      <c r="F696" s="403" t="s">
        <v>1286</v>
      </c>
      <c r="G696" s="403" t="s">
        <v>1466</v>
      </c>
      <c r="H696" s="403" t="s">
        <v>1281</v>
      </c>
      <c r="I696" s="403">
        <v>1</v>
      </c>
      <c r="J696" s="403" t="s">
        <v>110</v>
      </c>
      <c r="K696" s="403">
        <v>1920</v>
      </c>
      <c r="L696" s="403">
        <v>1080</v>
      </c>
      <c r="M696" s="403" t="s">
        <v>1283</v>
      </c>
      <c r="N696" s="403">
        <v>720</v>
      </c>
      <c r="O696" s="403">
        <v>480</v>
      </c>
      <c r="P696" t="str">
        <f t="shared" si="81"/>
        <v>30fps 1080p - SD 4CIF resolution 4:3 format (cropped)</v>
      </c>
      <c r="Q696">
        <f t="shared" si="82"/>
        <v>4</v>
      </c>
      <c r="R696" t="str">
        <f t="shared" si="83"/>
        <v/>
      </c>
      <c r="S696" t="str">
        <f t="shared" si="84"/>
        <v/>
      </c>
      <c r="T696" s="403" t="str">
        <f t="shared" si="85"/>
        <v>MIC-9502-Z30xQS</v>
      </c>
      <c r="U696" s="403">
        <f t="shared" si="86"/>
        <v>1</v>
      </c>
      <c r="V696" s="403" t="str">
        <f t="shared" si="87"/>
        <v>CPP_7_3</v>
      </c>
    </row>
    <row r="697" spans="1:22">
      <c r="A697" t="str">
        <f t="shared" si="80"/>
        <v>MIC-9502-Z30xQS</v>
      </c>
      <c r="B697" s="403" t="s">
        <v>1367</v>
      </c>
      <c r="C697" s="403" t="s">
        <v>582</v>
      </c>
      <c r="D697" s="403" t="s">
        <v>1368</v>
      </c>
      <c r="E697" s="403" t="s">
        <v>1367</v>
      </c>
      <c r="F697" s="403" t="s">
        <v>1286</v>
      </c>
      <c r="G697" s="403" t="s">
        <v>1466</v>
      </c>
      <c r="H697" s="403" t="s">
        <v>1281</v>
      </c>
      <c r="I697" s="403">
        <v>1</v>
      </c>
      <c r="J697" s="403" t="s">
        <v>110</v>
      </c>
      <c r="K697" s="403">
        <v>1920</v>
      </c>
      <c r="L697" s="403">
        <v>1080</v>
      </c>
      <c r="M697" s="403" t="s">
        <v>1284</v>
      </c>
      <c r="N697" s="403">
        <v>640</v>
      </c>
      <c r="O697" s="403">
        <v>480</v>
      </c>
      <c r="P697" t="str">
        <f t="shared" si="81"/>
        <v>30fps 1080p - SD VGA (cropped)</v>
      </c>
      <c r="Q697">
        <f t="shared" si="82"/>
        <v>4</v>
      </c>
      <c r="R697" t="str">
        <f t="shared" si="83"/>
        <v/>
      </c>
      <c r="S697" t="str">
        <f t="shared" si="84"/>
        <v/>
      </c>
      <c r="T697" s="403" t="str">
        <f t="shared" si="85"/>
        <v>MIC-9502-Z30xQS</v>
      </c>
      <c r="U697" s="403">
        <f t="shared" si="86"/>
        <v>1</v>
      </c>
      <c r="V697" s="403" t="str">
        <f t="shared" si="87"/>
        <v>CPP_7_3</v>
      </c>
    </row>
    <row r="698" spans="1:22">
      <c r="A698" t="str">
        <f t="shared" si="80"/>
        <v>MIC-9502-Z30xQS</v>
      </c>
      <c r="B698" s="403" t="s">
        <v>1367</v>
      </c>
      <c r="C698" s="403" t="s">
        <v>582</v>
      </c>
      <c r="D698" s="403" t="s">
        <v>1368</v>
      </c>
      <c r="E698" s="403" t="s">
        <v>1367</v>
      </c>
      <c r="F698" s="403" t="s">
        <v>1286</v>
      </c>
      <c r="G698" s="403" t="s">
        <v>1466</v>
      </c>
      <c r="H698" s="403" t="s">
        <v>1281</v>
      </c>
      <c r="I698" s="403">
        <v>1</v>
      </c>
      <c r="J698" s="403" t="s">
        <v>109</v>
      </c>
      <c r="K698" s="403">
        <v>1280</v>
      </c>
      <c r="L698" s="403">
        <v>720</v>
      </c>
      <c r="M698" s="403" t="s">
        <v>109</v>
      </c>
      <c r="N698" s="403">
        <v>1280</v>
      </c>
      <c r="O698" s="403">
        <v>720</v>
      </c>
      <c r="P698" t="str">
        <f t="shared" si="81"/>
        <v>30fps 720p - 720p</v>
      </c>
      <c r="Q698">
        <f t="shared" si="82"/>
        <v>4</v>
      </c>
      <c r="R698" t="str">
        <f t="shared" si="83"/>
        <v/>
      </c>
      <c r="S698" t="str">
        <f t="shared" si="84"/>
        <v/>
      </c>
      <c r="T698" s="403" t="str">
        <f t="shared" si="85"/>
        <v>MIC-9502-Z30xQS</v>
      </c>
      <c r="U698" s="403">
        <f t="shared" si="86"/>
        <v>1</v>
      </c>
      <c r="V698" s="403" t="str">
        <f t="shared" si="87"/>
        <v>CPP_7_3</v>
      </c>
    </row>
    <row r="699" spans="1:22">
      <c r="A699" t="str">
        <f t="shared" si="80"/>
        <v>MIC-9502-Z30xQS</v>
      </c>
      <c r="B699" s="403" t="s">
        <v>1367</v>
      </c>
      <c r="C699" s="403" t="s">
        <v>582</v>
      </c>
      <c r="D699" s="403" t="s">
        <v>1368</v>
      </c>
      <c r="E699" s="403" t="s">
        <v>1367</v>
      </c>
      <c r="F699" s="403" t="s">
        <v>1286</v>
      </c>
      <c r="G699" s="403" t="s">
        <v>1466</v>
      </c>
      <c r="H699" s="403" t="s">
        <v>1281</v>
      </c>
      <c r="I699" s="403">
        <v>1</v>
      </c>
      <c r="J699" s="403" t="s">
        <v>109</v>
      </c>
      <c r="K699" s="403">
        <v>1280</v>
      </c>
      <c r="L699" s="403">
        <v>720</v>
      </c>
      <c r="M699" s="403" t="s">
        <v>111</v>
      </c>
      <c r="N699" s="403">
        <v>768</v>
      </c>
      <c r="O699" s="403">
        <v>432</v>
      </c>
      <c r="P699" t="str">
        <f t="shared" si="81"/>
        <v>30fps 720p - SD</v>
      </c>
      <c r="Q699">
        <f t="shared" si="82"/>
        <v>4</v>
      </c>
      <c r="R699" t="str">
        <f t="shared" si="83"/>
        <v/>
      </c>
      <c r="S699" t="str">
        <f t="shared" si="84"/>
        <v/>
      </c>
      <c r="T699" s="403" t="str">
        <f t="shared" si="85"/>
        <v>MIC-9502-Z30xQS</v>
      </c>
      <c r="U699" s="403">
        <f t="shared" si="86"/>
        <v>1</v>
      </c>
      <c r="V699" s="403" t="str">
        <f t="shared" si="87"/>
        <v>CPP_7_3</v>
      </c>
    </row>
    <row r="700" spans="1:22">
      <c r="A700" t="str">
        <f t="shared" si="80"/>
        <v>MIC-9502-Z30xQS</v>
      </c>
      <c r="B700" s="403" t="s">
        <v>1367</v>
      </c>
      <c r="C700" s="403" t="s">
        <v>582</v>
      </c>
      <c r="D700" s="403" t="s">
        <v>1368</v>
      </c>
      <c r="E700" s="403" t="s">
        <v>1367</v>
      </c>
      <c r="F700" s="403" t="s">
        <v>1286</v>
      </c>
      <c r="G700" s="403" t="s">
        <v>1466</v>
      </c>
      <c r="H700" s="403" t="s">
        <v>1281</v>
      </c>
      <c r="I700" s="403">
        <v>1</v>
      </c>
      <c r="J700" s="403" t="s">
        <v>109</v>
      </c>
      <c r="K700" s="403">
        <v>1280</v>
      </c>
      <c r="L700" s="403">
        <v>720</v>
      </c>
      <c r="M700" s="403" t="s">
        <v>1283</v>
      </c>
      <c r="N700" s="403">
        <v>720</v>
      </c>
      <c r="O700" s="403">
        <v>480</v>
      </c>
      <c r="P700" t="str">
        <f t="shared" si="81"/>
        <v>30fps 720p - SD 4CIF resolution 4:3 format (cropped)</v>
      </c>
      <c r="Q700">
        <f t="shared" si="82"/>
        <v>4</v>
      </c>
      <c r="R700" t="str">
        <f t="shared" si="83"/>
        <v/>
      </c>
      <c r="S700" t="str">
        <f t="shared" si="84"/>
        <v/>
      </c>
      <c r="T700" s="403" t="str">
        <f t="shared" si="85"/>
        <v>MIC-9502-Z30xQS</v>
      </c>
      <c r="U700" s="403">
        <f t="shared" si="86"/>
        <v>1</v>
      </c>
      <c r="V700" s="403" t="str">
        <f t="shared" si="87"/>
        <v>CPP_7_3</v>
      </c>
    </row>
    <row r="701" spans="1:22">
      <c r="A701" t="str">
        <f t="shared" si="80"/>
        <v>MIC-9502-Z30xQS</v>
      </c>
      <c r="B701" s="403" t="s">
        <v>1367</v>
      </c>
      <c r="C701" s="403" t="s">
        <v>582</v>
      </c>
      <c r="D701" s="403" t="s">
        <v>1368</v>
      </c>
      <c r="E701" s="403" t="s">
        <v>1367</v>
      </c>
      <c r="F701" s="403" t="s">
        <v>1286</v>
      </c>
      <c r="G701" s="403" t="s">
        <v>1466</v>
      </c>
      <c r="H701" s="403" t="s">
        <v>1281</v>
      </c>
      <c r="I701" s="403">
        <v>1</v>
      </c>
      <c r="J701" s="403" t="s">
        <v>109</v>
      </c>
      <c r="K701" s="403">
        <v>1280</v>
      </c>
      <c r="L701" s="403">
        <v>720</v>
      </c>
      <c r="M701" s="403" t="s">
        <v>1284</v>
      </c>
      <c r="N701" s="403">
        <v>640</v>
      </c>
      <c r="O701" s="403">
        <v>480</v>
      </c>
      <c r="P701" t="str">
        <f t="shared" si="81"/>
        <v>30fps 720p - SD VGA (cropped)</v>
      </c>
      <c r="Q701">
        <f t="shared" si="82"/>
        <v>4</v>
      </c>
      <c r="R701" t="str">
        <f t="shared" si="83"/>
        <v/>
      </c>
      <c r="S701" t="str">
        <f t="shared" si="84"/>
        <v/>
      </c>
      <c r="T701" s="403" t="str">
        <f t="shared" si="85"/>
        <v>MIC-9502-Z30xQS</v>
      </c>
      <c r="U701" s="403">
        <f t="shared" si="86"/>
        <v>1</v>
      </c>
      <c r="V701" s="403" t="str">
        <f t="shared" si="87"/>
        <v>CPP_7_3</v>
      </c>
    </row>
    <row r="702" spans="1:22">
      <c r="A702" t="str">
        <f t="shared" si="80"/>
        <v>MIC-9502-Z30xQS</v>
      </c>
      <c r="B702" s="403" t="s">
        <v>1367</v>
      </c>
      <c r="C702" s="403" t="s">
        <v>582</v>
      </c>
      <c r="D702" s="403" t="s">
        <v>1368</v>
      </c>
      <c r="E702" s="403" t="s">
        <v>1367</v>
      </c>
      <c r="F702" s="403" t="s">
        <v>1286</v>
      </c>
      <c r="G702" s="403" t="s">
        <v>1466</v>
      </c>
      <c r="H702" s="403" t="s">
        <v>1281</v>
      </c>
      <c r="I702" s="403">
        <v>2</v>
      </c>
      <c r="J702" s="403" t="s">
        <v>111</v>
      </c>
      <c r="K702" s="403">
        <v>320</v>
      </c>
      <c r="L702" s="403">
        <v>240</v>
      </c>
      <c r="M702" s="403" t="s">
        <v>111</v>
      </c>
      <c r="N702" s="403">
        <v>320</v>
      </c>
      <c r="O702" s="403">
        <v>240</v>
      </c>
      <c r="P702" t="str">
        <f t="shared" si="81"/>
        <v>30fps SD - SD</v>
      </c>
      <c r="Q702">
        <f t="shared" si="82"/>
        <v>4</v>
      </c>
      <c r="R702" t="str">
        <f t="shared" si="83"/>
        <v/>
      </c>
      <c r="S702" t="str">
        <f t="shared" si="84"/>
        <v/>
      </c>
      <c r="T702" s="403" t="str">
        <f t="shared" si="85"/>
        <v>MIC-9502-Z30xQS</v>
      </c>
      <c r="U702" s="403">
        <f t="shared" si="86"/>
        <v>2</v>
      </c>
      <c r="V702" s="403" t="str">
        <f t="shared" si="87"/>
        <v>CPP_7_3</v>
      </c>
    </row>
    <row r="703" spans="1:22">
      <c r="A703" t="str">
        <f t="shared" si="80"/>
        <v>MIC-9502-Z30xQS</v>
      </c>
      <c r="B703" s="403" t="s">
        <v>1367</v>
      </c>
      <c r="C703" s="403" t="s">
        <v>582</v>
      </c>
      <c r="D703" s="403" t="s">
        <v>1368</v>
      </c>
      <c r="E703" s="403" t="s">
        <v>1367</v>
      </c>
      <c r="F703" s="403" t="s">
        <v>1286</v>
      </c>
      <c r="G703" s="403" t="s">
        <v>1466</v>
      </c>
      <c r="H703" s="403" t="s">
        <v>1281</v>
      </c>
      <c r="I703" s="403">
        <v>2</v>
      </c>
      <c r="J703" s="403" t="s">
        <v>111</v>
      </c>
      <c r="K703" s="403">
        <v>320</v>
      </c>
      <c r="L703" s="403">
        <v>240</v>
      </c>
      <c r="M703" s="403" t="s">
        <v>1280</v>
      </c>
      <c r="N703" s="403">
        <v>320</v>
      </c>
      <c r="O703" s="403">
        <v>240</v>
      </c>
      <c r="P703" t="str">
        <f t="shared" si="81"/>
        <v>30fps SD - copy other stream</v>
      </c>
      <c r="Q703">
        <f t="shared" si="82"/>
        <v>4</v>
      </c>
      <c r="R703" t="str">
        <f t="shared" si="83"/>
        <v/>
      </c>
      <c r="S703" t="str">
        <f t="shared" si="84"/>
        <v/>
      </c>
      <c r="T703" s="403" t="str">
        <f t="shared" si="85"/>
        <v>MIC-9502-Z30xQS</v>
      </c>
      <c r="U703" s="403">
        <f t="shared" si="86"/>
        <v>2</v>
      </c>
      <c r="V703" s="403" t="str">
        <f t="shared" si="87"/>
        <v>CPP_7_3</v>
      </c>
    </row>
    <row r="704" spans="1:22">
      <c r="A704" t="str">
        <f t="shared" si="80"/>
        <v>MIC-9502-Z30xQS</v>
      </c>
      <c r="B704" s="403" t="s">
        <v>1367</v>
      </c>
      <c r="C704" s="403" t="s">
        <v>582</v>
      </c>
      <c r="D704" s="403" t="s">
        <v>1368</v>
      </c>
      <c r="E704" s="403" t="s">
        <v>1367</v>
      </c>
      <c r="F704" s="403" t="s">
        <v>1290</v>
      </c>
      <c r="G704" s="403" t="s">
        <v>1466</v>
      </c>
      <c r="H704" s="403" t="s">
        <v>1276</v>
      </c>
      <c r="I704" s="403">
        <v>1</v>
      </c>
      <c r="J704" s="403" t="s">
        <v>110</v>
      </c>
      <c r="K704" s="403">
        <v>1920</v>
      </c>
      <c r="L704" s="403">
        <v>1080</v>
      </c>
      <c r="M704" s="403" t="s">
        <v>111</v>
      </c>
      <c r="N704" s="403">
        <v>768</v>
      </c>
      <c r="O704" s="403">
        <v>432</v>
      </c>
      <c r="P704" t="str">
        <f t="shared" si="81"/>
        <v>50fps 1080p - SD</v>
      </c>
      <c r="Q704">
        <f t="shared" si="82"/>
        <v>4</v>
      </c>
      <c r="R704" t="str">
        <f t="shared" si="83"/>
        <v/>
      </c>
      <c r="S704" t="str">
        <f t="shared" si="84"/>
        <v/>
      </c>
      <c r="T704" s="403" t="str">
        <f t="shared" si="85"/>
        <v>MIC-9502-Z30xQS</v>
      </c>
      <c r="U704" s="403">
        <f t="shared" si="86"/>
        <v>1</v>
      </c>
      <c r="V704" s="403" t="str">
        <f t="shared" si="87"/>
        <v>CPP_7_3</v>
      </c>
    </row>
    <row r="705" spans="1:22">
      <c r="A705" t="str">
        <f t="shared" si="80"/>
        <v>MIC-9502-Z30xQS</v>
      </c>
      <c r="B705" s="403" t="s">
        <v>1367</v>
      </c>
      <c r="C705" s="403" t="s">
        <v>582</v>
      </c>
      <c r="D705" s="403" t="s">
        <v>1368</v>
      </c>
      <c r="E705" s="403" t="s">
        <v>1367</v>
      </c>
      <c r="F705" s="403" t="s">
        <v>1290</v>
      </c>
      <c r="G705" s="403" t="s">
        <v>1466</v>
      </c>
      <c r="H705" s="403" t="s">
        <v>1276</v>
      </c>
      <c r="I705" s="403">
        <v>1</v>
      </c>
      <c r="J705" s="403" t="s">
        <v>110</v>
      </c>
      <c r="K705" s="403">
        <v>1920</v>
      </c>
      <c r="L705" s="403">
        <v>1080</v>
      </c>
      <c r="M705" s="403" t="s">
        <v>1363</v>
      </c>
      <c r="N705" s="403">
        <v>1920</v>
      </c>
      <c r="O705" s="403">
        <v>1080</v>
      </c>
      <c r="P705" t="str">
        <f t="shared" si="81"/>
        <v>50fps 1080p - 1920x1080 @ SKIP 2</v>
      </c>
      <c r="Q705">
        <f t="shared" si="82"/>
        <v>4</v>
      </c>
      <c r="R705" t="str">
        <f t="shared" si="83"/>
        <v/>
      </c>
      <c r="S705" t="str">
        <f t="shared" si="84"/>
        <v/>
      </c>
      <c r="T705" s="403" t="str">
        <f t="shared" si="85"/>
        <v>MIC-9502-Z30xQS</v>
      </c>
      <c r="U705" s="403">
        <f t="shared" si="86"/>
        <v>1</v>
      </c>
      <c r="V705" s="403" t="str">
        <f t="shared" si="87"/>
        <v>CPP_7_3</v>
      </c>
    </row>
    <row r="706" spans="1:22">
      <c r="A706" t="str">
        <f t="shared" ref="A706:A769" si="88">IF(AND(G706&lt;&gt;"rotate 90°"),D706,"")</f>
        <v>MIC-9502-Z30xQS</v>
      </c>
      <c r="B706" s="403" t="s">
        <v>1367</v>
      </c>
      <c r="C706" s="403" t="s">
        <v>582</v>
      </c>
      <c r="D706" s="403" t="s">
        <v>1368</v>
      </c>
      <c r="E706" s="403" t="s">
        <v>1367</v>
      </c>
      <c r="F706" s="403" t="s">
        <v>1290</v>
      </c>
      <c r="G706" s="403" t="s">
        <v>1466</v>
      </c>
      <c r="H706" s="403" t="s">
        <v>1276</v>
      </c>
      <c r="I706" s="403">
        <v>1</v>
      </c>
      <c r="J706" s="403" t="s">
        <v>110</v>
      </c>
      <c r="K706" s="403">
        <v>1920</v>
      </c>
      <c r="L706" s="403">
        <v>1080</v>
      </c>
      <c r="M706" s="403" t="s">
        <v>1280</v>
      </c>
      <c r="N706" s="403">
        <v>1920</v>
      </c>
      <c r="O706" s="403">
        <v>1080</v>
      </c>
      <c r="P706" t="str">
        <f t="shared" ref="P706:P769" si="89">LEFT(F706,5)&amp;" "&amp;J706&amp;" - "&amp;M706</f>
        <v>50fps 1080p - copy other stream</v>
      </c>
      <c r="Q706">
        <f t="shared" ref="Q706:Q769" si="90">IF(A705=A706,Q705,Q705+1)</f>
        <v>4</v>
      </c>
      <c r="R706" t="str">
        <f t="shared" ref="R706:R769" si="91">IF(Q705&lt;&gt;Q706,Q706,"")</f>
        <v/>
      </c>
      <c r="S706" t="str">
        <f t="shared" ref="S706:S769" si="92">IF(R706&lt;&gt;"",B706&amp;" ("&amp;D706&amp;")","")</f>
        <v/>
      </c>
      <c r="T706" s="403" t="str">
        <f t="shared" ref="T706:T769" si="93">D706</f>
        <v>MIC-9502-Z30xQS</v>
      </c>
      <c r="U706" s="403">
        <f t="shared" ref="U706:U769" si="94">I706</f>
        <v>1</v>
      </c>
      <c r="V706" s="403" t="str">
        <f t="shared" ref="V706:V769" si="95">C706</f>
        <v>CPP_7_3</v>
      </c>
    </row>
    <row r="707" spans="1:22">
      <c r="A707" t="str">
        <f t="shared" si="88"/>
        <v>MIC-9502-Z30xQS</v>
      </c>
      <c r="B707" s="403" t="s">
        <v>1367</v>
      </c>
      <c r="C707" s="403" t="s">
        <v>582</v>
      </c>
      <c r="D707" s="403" t="s">
        <v>1368</v>
      </c>
      <c r="E707" s="403" t="s">
        <v>1367</v>
      </c>
      <c r="F707" s="403" t="s">
        <v>1290</v>
      </c>
      <c r="G707" s="403" t="s">
        <v>1466</v>
      </c>
      <c r="H707" s="403" t="s">
        <v>1276</v>
      </c>
      <c r="I707" s="403">
        <v>1</v>
      </c>
      <c r="J707" s="403" t="s">
        <v>110</v>
      </c>
      <c r="K707" s="403">
        <v>1920</v>
      </c>
      <c r="L707" s="403">
        <v>1080</v>
      </c>
      <c r="M707" s="403" t="s">
        <v>1289</v>
      </c>
      <c r="N707" s="403">
        <v>1280</v>
      </c>
      <c r="O707" s="403">
        <v>720</v>
      </c>
      <c r="P707" t="str">
        <f t="shared" si="89"/>
        <v>50fps 1080p - 720p full frame rate</v>
      </c>
      <c r="Q707">
        <f t="shared" si="90"/>
        <v>4</v>
      </c>
      <c r="R707" t="str">
        <f t="shared" si="91"/>
        <v/>
      </c>
      <c r="S707" t="str">
        <f t="shared" si="92"/>
        <v/>
      </c>
      <c r="T707" s="403" t="str">
        <f t="shared" si="93"/>
        <v>MIC-9502-Z30xQS</v>
      </c>
      <c r="U707" s="403">
        <f t="shared" si="94"/>
        <v>1</v>
      </c>
      <c r="V707" s="403" t="str">
        <f t="shared" si="95"/>
        <v>CPP_7_3</v>
      </c>
    </row>
    <row r="708" spans="1:22">
      <c r="A708" t="str">
        <f t="shared" si="88"/>
        <v>MIC-9502-Z30xQS</v>
      </c>
      <c r="B708" s="403" t="s">
        <v>1367</v>
      </c>
      <c r="C708" s="403" t="s">
        <v>582</v>
      </c>
      <c r="D708" s="403" t="s">
        <v>1368</v>
      </c>
      <c r="E708" s="403" t="s">
        <v>1367</v>
      </c>
      <c r="F708" s="403" t="s">
        <v>1290</v>
      </c>
      <c r="G708" s="403" t="s">
        <v>1466</v>
      </c>
      <c r="H708" s="403" t="s">
        <v>1276</v>
      </c>
      <c r="I708" s="403">
        <v>1</v>
      </c>
      <c r="J708" s="403" t="s">
        <v>110</v>
      </c>
      <c r="K708" s="403">
        <v>1920</v>
      </c>
      <c r="L708" s="403">
        <v>1080</v>
      </c>
      <c r="M708" s="403" t="s">
        <v>1283</v>
      </c>
      <c r="N708" s="403">
        <v>720</v>
      </c>
      <c r="O708" s="403">
        <v>576</v>
      </c>
      <c r="P708" t="str">
        <f t="shared" si="89"/>
        <v>50fps 1080p - SD 4CIF resolution 4:3 format (cropped)</v>
      </c>
      <c r="Q708">
        <f t="shared" si="90"/>
        <v>4</v>
      </c>
      <c r="R708" t="str">
        <f t="shared" si="91"/>
        <v/>
      </c>
      <c r="S708" t="str">
        <f t="shared" si="92"/>
        <v/>
      </c>
      <c r="T708" s="403" t="str">
        <f t="shared" si="93"/>
        <v>MIC-9502-Z30xQS</v>
      </c>
      <c r="U708" s="403">
        <f t="shared" si="94"/>
        <v>1</v>
      </c>
      <c r="V708" s="403" t="str">
        <f t="shared" si="95"/>
        <v>CPP_7_3</v>
      </c>
    </row>
    <row r="709" spans="1:22">
      <c r="A709" t="str">
        <f t="shared" si="88"/>
        <v>MIC-9502-Z30xQS</v>
      </c>
      <c r="B709" s="403" t="s">
        <v>1367</v>
      </c>
      <c r="C709" s="403" t="s">
        <v>582</v>
      </c>
      <c r="D709" s="403" t="s">
        <v>1368</v>
      </c>
      <c r="E709" s="403" t="s">
        <v>1367</v>
      </c>
      <c r="F709" s="403" t="s">
        <v>1290</v>
      </c>
      <c r="G709" s="403" t="s">
        <v>1466</v>
      </c>
      <c r="H709" s="403" t="s">
        <v>1276</v>
      </c>
      <c r="I709" s="403">
        <v>1</v>
      </c>
      <c r="J709" s="403" t="s">
        <v>110</v>
      </c>
      <c r="K709" s="403">
        <v>1920</v>
      </c>
      <c r="L709" s="403">
        <v>1080</v>
      </c>
      <c r="M709" s="403" t="s">
        <v>1284</v>
      </c>
      <c r="N709" s="403">
        <v>640</v>
      </c>
      <c r="O709" s="403">
        <v>480</v>
      </c>
      <c r="P709" t="str">
        <f t="shared" si="89"/>
        <v>50fps 1080p - SD VGA (cropped)</v>
      </c>
      <c r="Q709">
        <f t="shared" si="90"/>
        <v>4</v>
      </c>
      <c r="R709" t="str">
        <f t="shared" si="91"/>
        <v/>
      </c>
      <c r="S709" t="str">
        <f t="shared" si="92"/>
        <v/>
      </c>
      <c r="T709" s="403" t="str">
        <f t="shared" si="93"/>
        <v>MIC-9502-Z30xQS</v>
      </c>
      <c r="U709" s="403">
        <f t="shared" si="94"/>
        <v>1</v>
      </c>
      <c r="V709" s="403" t="str">
        <f t="shared" si="95"/>
        <v>CPP_7_3</v>
      </c>
    </row>
    <row r="710" spans="1:22">
      <c r="A710" t="str">
        <f t="shared" si="88"/>
        <v>MIC-9502-Z30xQS</v>
      </c>
      <c r="B710" s="403" t="s">
        <v>1367</v>
      </c>
      <c r="C710" s="403" t="s">
        <v>582</v>
      </c>
      <c r="D710" s="403" t="s">
        <v>1368</v>
      </c>
      <c r="E710" s="403" t="s">
        <v>1367</v>
      </c>
      <c r="F710" s="403" t="s">
        <v>1290</v>
      </c>
      <c r="G710" s="403" t="s">
        <v>1466</v>
      </c>
      <c r="H710" s="403" t="s">
        <v>1276</v>
      </c>
      <c r="I710" s="403">
        <v>1</v>
      </c>
      <c r="J710" s="403" t="s">
        <v>1289</v>
      </c>
      <c r="K710" s="403">
        <v>1280</v>
      </c>
      <c r="L710" s="403">
        <v>720</v>
      </c>
      <c r="M710" s="403" t="s">
        <v>1289</v>
      </c>
      <c r="N710" s="403">
        <v>1280</v>
      </c>
      <c r="O710" s="403">
        <v>720</v>
      </c>
      <c r="P710" t="str">
        <f t="shared" si="89"/>
        <v>50fps 720p full frame rate - 720p full frame rate</v>
      </c>
      <c r="Q710">
        <f t="shared" si="90"/>
        <v>4</v>
      </c>
      <c r="R710" t="str">
        <f t="shared" si="91"/>
        <v/>
      </c>
      <c r="S710" t="str">
        <f t="shared" si="92"/>
        <v/>
      </c>
      <c r="T710" s="403" t="str">
        <f t="shared" si="93"/>
        <v>MIC-9502-Z30xQS</v>
      </c>
      <c r="U710" s="403">
        <f t="shared" si="94"/>
        <v>1</v>
      </c>
      <c r="V710" s="403" t="str">
        <f t="shared" si="95"/>
        <v>CPP_7_3</v>
      </c>
    </row>
    <row r="711" spans="1:22">
      <c r="A711" t="str">
        <f t="shared" si="88"/>
        <v>MIC-9502-Z30xQS</v>
      </c>
      <c r="B711" s="403" t="s">
        <v>1367</v>
      </c>
      <c r="C711" s="403" t="s">
        <v>582</v>
      </c>
      <c r="D711" s="403" t="s">
        <v>1368</v>
      </c>
      <c r="E711" s="403" t="s">
        <v>1367</v>
      </c>
      <c r="F711" s="403" t="s">
        <v>1290</v>
      </c>
      <c r="G711" s="403" t="s">
        <v>1466</v>
      </c>
      <c r="H711" s="403" t="s">
        <v>1276</v>
      </c>
      <c r="I711" s="403">
        <v>1</v>
      </c>
      <c r="J711" s="403" t="s">
        <v>1289</v>
      </c>
      <c r="K711" s="403">
        <v>1280</v>
      </c>
      <c r="L711" s="403">
        <v>720</v>
      </c>
      <c r="M711" s="403" t="s">
        <v>111</v>
      </c>
      <c r="N711" s="403">
        <v>768</v>
      </c>
      <c r="O711" s="403">
        <v>432</v>
      </c>
      <c r="P711" t="str">
        <f t="shared" si="89"/>
        <v>50fps 720p full frame rate - SD</v>
      </c>
      <c r="Q711">
        <f t="shared" si="90"/>
        <v>4</v>
      </c>
      <c r="R711" t="str">
        <f t="shared" si="91"/>
        <v/>
      </c>
      <c r="S711" t="str">
        <f t="shared" si="92"/>
        <v/>
      </c>
      <c r="T711" s="403" t="str">
        <f t="shared" si="93"/>
        <v>MIC-9502-Z30xQS</v>
      </c>
      <c r="U711" s="403">
        <f t="shared" si="94"/>
        <v>1</v>
      </c>
      <c r="V711" s="403" t="str">
        <f t="shared" si="95"/>
        <v>CPP_7_3</v>
      </c>
    </row>
    <row r="712" spans="1:22">
      <c r="A712" t="str">
        <f t="shared" si="88"/>
        <v>MIC-9502-Z30xQS</v>
      </c>
      <c r="B712" s="403" t="s">
        <v>1367</v>
      </c>
      <c r="C712" s="403" t="s">
        <v>582</v>
      </c>
      <c r="D712" s="403" t="s">
        <v>1368</v>
      </c>
      <c r="E712" s="403" t="s">
        <v>1367</v>
      </c>
      <c r="F712" s="403" t="s">
        <v>1290</v>
      </c>
      <c r="G712" s="403" t="s">
        <v>1466</v>
      </c>
      <c r="H712" s="403" t="s">
        <v>1276</v>
      </c>
      <c r="I712" s="403">
        <v>1</v>
      </c>
      <c r="J712" s="403" t="s">
        <v>1289</v>
      </c>
      <c r="K712" s="403">
        <v>1280</v>
      </c>
      <c r="L712" s="403">
        <v>720</v>
      </c>
      <c r="M712" s="403" t="s">
        <v>1283</v>
      </c>
      <c r="N712" s="403">
        <v>720</v>
      </c>
      <c r="O712" s="403">
        <v>576</v>
      </c>
      <c r="P712" t="str">
        <f t="shared" si="89"/>
        <v>50fps 720p full frame rate - SD 4CIF resolution 4:3 format (cropped)</v>
      </c>
      <c r="Q712">
        <f t="shared" si="90"/>
        <v>4</v>
      </c>
      <c r="R712" t="str">
        <f t="shared" si="91"/>
        <v/>
      </c>
      <c r="S712" t="str">
        <f t="shared" si="92"/>
        <v/>
      </c>
      <c r="T712" s="403" t="str">
        <f t="shared" si="93"/>
        <v>MIC-9502-Z30xQS</v>
      </c>
      <c r="U712" s="403">
        <f t="shared" si="94"/>
        <v>1</v>
      </c>
      <c r="V712" s="403" t="str">
        <f t="shared" si="95"/>
        <v>CPP_7_3</v>
      </c>
    </row>
    <row r="713" spans="1:22">
      <c r="A713" t="str">
        <f t="shared" si="88"/>
        <v>MIC-9502-Z30xQS</v>
      </c>
      <c r="B713" s="403" t="s">
        <v>1367</v>
      </c>
      <c r="C713" s="403" t="s">
        <v>582</v>
      </c>
      <c r="D713" s="403" t="s">
        <v>1368</v>
      </c>
      <c r="E713" s="403" t="s">
        <v>1367</v>
      </c>
      <c r="F713" s="403" t="s">
        <v>1290</v>
      </c>
      <c r="G713" s="403" t="s">
        <v>1466</v>
      </c>
      <c r="H713" s="403" t="s">
        <v>1276</v>
      </c>
      <c r="I713" s="403">
        <v>1</v>
      </c>
      <c r="J713" s="403" t="s">
        <v>1289</v>
      </c>
      <c r="K713" s="403">
        <v>1280</v>
      </c>
      <c r="L713" s="403">
        <v>720</v>
      </c>
      <c r="M713" s="403" t="s">
        <v>1284</v>
      </c>
      <c r="N713" s="403">
        <v>640</v>
      </c>
      <c r="O713" s="403">
        <v>480</v>
      </c>
      <c r="P713" t="str">
        <f t="shared" si="89"/>
        <v>50fps 720p full frame rate - SD VGA (cropped)</v>
      </c>
      <c r="Q713">
        <f t="shared" si="90"/>
        <v>4</v>
      </c>
      <c r="R713" t="str">
        <f t="shared" si="91"/>
        <v/>
      </c>
      <c r="S713" t="str">
        <f t="shared" si="92"/>
        <v/>
      </c>
      <c r="T713" s="403" t="str">
        <f t="shared" si="93"/>
        <v>MIC-9502-Z30xQS</v>
      </c>
      <c r="U713" s="403">
        <f t="shared" si="94"/>
        <v>1</v>
      </c>
      <c r="V713" s="403" t="str">
        <f t="shared" si="95"/>
        <v>CPP_7_3</v>
      </c>
    </row>
    <row r="714" spans="1:22">
      <c r="A714" t="str">
        <f t="shared" si="88"/>
        <v>MIC-9502-Z30xQS</v>
      </c>
      <c r="B714" s="403" t="s">
        <v>1367</v>
      </c>
      <c r="C714" s="403" t="s">
        <v>582</v>
      </c>
      <c r="D714" s="403" t="s">
        <v>1368</v>
      </c>
      <c r="E714" s="403" t="s">
        <v>1367</v>
      </c>
      <c r="F714" s="403" t="s">
        <v>1290</v>
      </c>
      <c r="G714" s="403" t="s">
        <v>1466</v>
      </c>
      <c r="H714" s="403" t="s">
        <v>1276</v>
      </c>
      <c r="I714" s="403">
        <v>2</v>
      </c>
      <c r="J714" s="403" t="s">
        <v>111</v>
      </c>
      <c r="K714" s="403">
        <v>320</v>
      </c>
      <c r="L714" s="403">
        <v>240</v>
      </c>
      <c r="M714" s="403" t="s">
        <v>111</v>
      </c>
      <c r="N714" s="403">
        <v>320</v>
      </c>
      <c r="O714" s="403">
        <v>240</v>
      </c>
      <c r="P714" t="str">
        <f t="shared" si="89"/>
        <v>50fps SD - SD</v>
      </c>
      <c r="Q714">
        <f t="shared" si="90"/>
        <v>4</v>
      </c>
      <c r="R714" t="str">
        <f t="shared" si="91"/>
        <v/>
      </c>
      <c r="S714" t="str">
        <f t="shared" si="92"/>
        <v/>
      </c>
      <c r="T714" s="403" t="str">
        <f t="shared" si="93"/>
        <v>MIC-9502-Z30xQS</v>
      </c>
      <c r="U714" s="403">
        <f t="shared" si="94"/>
        <v>2</v>
      </c>
      <c r="V714" s="403" t="str">
        <f t="shared" si="95"/>
        <v>CPP_7_3</v>
      </c>
    </row>
    <row r="715" spans="1:22">
      <c r="A715" t="str">
        <f t="shared" si="88"/>
        <v>MIC-9502-Z30xQS</v>
      </c>
      <c r="B715" s="403" t="s">
        <v>1367</v>
      </c>
      <c r="C715" s="403" t="s">
        <v>582</v>
      </c>
      <c r="D715" s="403" t="s">
        <v>1368</v>
      </c>
      <c r="E715" s="403" t="s">
        <v>1367</v>
      </c>
      <c r="F715" s="403" t="s">
        <v>1290</v>
      </c>
      <c r="G715" s="403" t="s">
        <v>1466</v>
      </c>
      <c r="H715" s="403" t="s">
        <v>1276</v>
      </c>
      <c r="I715" s="403">
        <v>2</v>
      </c>
      <c r="J715" s="403" t="s">
        <v>111</v>
      </c>
      <c r="K715" s="403">
        <v>320</v>
      </c>
      <c r="L715" s="403">
        <v>240</v>
      </c>
      <c r="M715" s="403" t="s">
        <v>1280</v>
      </c>
      <c r="N715" s="403">
        <v>320</v>
      </c>
      <c r="O715" s="403">
        <v>240</v>
      </c>
      <c r="P715" t="str">
        <f t="shared" si="89"/>
        <v>50fps SD - copy other stream</v>
      </c>
      <c r="Q715">
        <f t="shared" si="90"/>
        <v>4</v>
      </c>
      <c r="R715" t="str">
        <f t="shared" si="91"/>
        <v/>
      </c>
      <c r="S715" t="str">
        <f t="shared" si="92"/>
        <v/>
      </c>
      <c r="T715" s="403" t="str">
        <f t="shared" si="93"/>
        <v>MIC-9502-Z30xQS</v>
      </c>
      <c r="U715" s="403">
        <f t="shared" si="94"/>
        <v>2</v>
      </c>
      <c r="V715" s="403" t="str">
        <f t="shared" si="95"/>
        <v>CPP_7_3</v>
      </c>
    </row>
    <row r="716" spans="1:22">
      <c r="A716" t="str">
        <f t="shared" si="88"/>
        <v>MIC-9502-Z30xQS</v>
      </c>
      <c r="B716" s="403" t="s">
        <v>1367</v>
      </c>
      <c r="C716" s="403" t="s">
        <v>582</v>
      </c>
      <c r="D716" s="403" t="s">
        <v>1368</v>
      </c>
      <c r="E716" s="403" t="s">
        <v>1367</v>
      </c>
      <c r="F716" s="403" t="s">
        <v>1290</v>
      </c>
      <c r="G716" s="403" t="s">
        <v>1466</v>
      </c>
      <c r="H716" s="403" t="s">
        <v>1281</v>
      </c>
      <c r="I716" s="403">
        <v>1</v>
      </c>
      <c r="J716" s="403" t="s">
        <v>110</v>
      </c>
      <c r="K716" s="403">
        <v>1920</v>
      </c>
      <c r="L716" s="403">
        <v>1080</v>
      </c>
      <c r="M716" s="403" t="s">
        <v>111</v>
      </c>
      <c r="N716" s="403">
        <v>768</v>
      </c>
      <c r="O716" s="403">
        <v>432</v>
      </c>
      <c r="P716" t="str">
        <f t="shared" si="89"/>
        <v>50fps 1080p - SD</v>
      </c>
      <c r="Q716">
        <f t="shared" si="90"/>
        <v>4</v>
      </c>
      <c r="R716" t="str">
        <f t="shared" si="91"/>
        <v/>
      </c>
      <c r="S716" t="str">
        <f t="shared" si="92"/>
        <v/>
      </c>
      <c r="T716" s="403" t="str">
        <f t="shared" si="93"/>
        <v>MIC-9502-Z30xQS</v>
      </c>
      <c r="U716" s="403">
        <f t="shared" si="94"/>
        <v>1</v>
      </c>
      <c r="V716" s="403" t="str">
        <f t="shared" si="95"/>
        <v>CPP_7_3</v>
      </c>
    </row>
    <row r="717" spans="1:22">
      <c r="A717" t="str">
        <f t="shared" si="88"/>
        <v>MIC-9502-Z30xQS</v>
      </c>
      <c r="B717" s="403" t="s">
        <v>1367</v>
      </c>
      <c r="C717" s="403" t="s">
        <v>582</v>
      </c>
      <c r="D717" s="403" t="s">
        <v>1368</v>
      </c>
      <c r="E717" s="403" t="s">
        <v>1367</v>
      </c>
      <c r="F717" s="403" t="s">
        <v>1290</v>
      </c>
      <c r="G717" s="403" t="s">
        <v>1466</v>
      </c>
      <c r="H717" s="403" t="s">
        <v>1281</v>
      </c>
      <c r="I717" s="403">
        <v>1</v>
      </c>
      <c r="J717" s="403" t="s">
        <v>110</v>
      </c>
      <c r="K717" s="403">
        <v>1920</v>
      </c>
      <c r="L717" s="403">
        <v>1080</v>
      </c>
      <c r="M717" s="403" t="s">
        <v>1363</v>
      </c>
      <c r="N717" s="403">
        <v>1920</v>
      </c>
      <c r="O717" s="403">
        <v>1080</v>
      </c>
      <c r="P717" t="str">
        <f t="shared" si="89"/>
        <v>50fps 1080p - 1920x1080 @ SKIP 2</v>
      </c>
      <c r="Q717">
        <f t="shared" si="90"/>
        <v>4</v>
      </c>
      <c r="R717" t="str">
        <f t="shared" si="91"/>
        <v/>
      </c>
      <c r="S717" t="str">
        <f t="shared" si="92"/>
        <v/>
      </c>
      <c r="T717" s="403" t="str">
        <f t="shared" si="93"/>
        <v>MIC-9502-Z30xQS</v>
      </c>
      <c r="U717" s="403">
        <f t="shared" si="94"/>
        <v>1</v>
      </c>
      <c r="V717" s="403" t="str">
        <f t="shared" si="95"/>
        <v>CPP_7_3</v>
      </c>
    </row>
    <row r="718" spans="1:22">
      <c r="A718" t="str">
        <f t="shared" si="88"/>
        <v>MIC-9502-Z30xQS</v>
      </c>
      <c r="B718" s="403" t="s">
        <v>1367</v>
      </c>
      <c r="C718" s="403" t="s">
        <v>582</v>
      </c>
      <c r="D718" s="403" t="s">
        <v>1368</v>
      </c>
      <c r="E718" s="403" t="s">
        <v>1367</v>
      </c>
      <c r="F718" s="403" t="s">
        <v>1290</v>
      </c>
      <c r="G718" s="403" t="s">
        <v>1466</v>
      </c>
      <c r="H718" s="403" t="s">
        <v>1281</v>
      </c>
      <c r="I718" s="403">
        <v>1</v>
      </c>
      <c r="J718" s="403" t="s">
        <v>110</v>
      </c>
      <c r="K718" s="403">
        <v>1920</v>
      </c>
      <c r="L718" s="403">
        <v>1080</v>
      </c>
      <c r="M718" s="403" t="s">
        <v>1280</v>
      </c>
      <c r="N718" s="403">
        <v>1920</v>
      </c>
      <c r="O718" s="403">
        <v>1080</v>
      </c>
      <c r="P718" t="str">
        <f t="shared" si="89"/>
        <v>50fps 1080p - copy other stream</v>
      </c>
      <c r="Q718">
        <f t="shared" si="90"/>
        <v>4</v>
      </c>
      <c r="R718" t="str">
        <f t="shared" si="91"/>
        <v/>
      </c>
      <c r="S718" t="str">
        <f t="shared" si="92"/>
        <v/>
      </c>
      <c r="T718" s="403" t="str">
        <f t="shared" si="93"/>
        <v>MIC-9502-Z30xQS</v>
      </c>
      <c r="U718" s="403">
        <f t="shared" si="94"/>
        <v>1</v>
      </c>
      <c r="V718" s="403" t="str">
        <f t="shared" si="95"/>
        <v>CPP_7_3</v>
      </c>
    </row>
    <row r="719" spans="1:22">
      <c r="A719" t="str">
        <f t="shared" si="88"/>
        <v>MIC-9502-Z30xQS</v>
      </c>
      <c r="B719" s="403" t="s">
        <v>1367</v>
      </c>
      <c r="C719" s="403" t="s">
        <v>582</v>
      </c>
      <c r="D719" s="403" t="s">
        <v>1368</v>
      </c>
      <c r="E719" s="403" t="s">
        <v>1367</v>
      </c>
      <c r="F719" s="403" t="s">
        <v>1290</v>
      </c>
      <c r="G719" s="403" t="s">
        <v>1466</v>
      </c>
      <c r="H719" s="403" t="s">
        <v>1281</v>
      </c>
      <c r="I719" s="403">
        <v>1</v>
      </c>
      <c r="J719" s="403" t="s">
        <v>110</v>
      </c>
      <c r="K719" s="403">
        <v>1920</v>
      </c>
      <c r="L719" s="403">
        <v>1080</v>
      </c>
      <c r="M719" s="403" t="s">
        <v>1289</v>
      </c>
      <c r="N719" s="403">
        <v>1280</v>
      </c>
      <c r="O719" s="403">
        <v>720</v>
      </c>
      <c r="P719" t="str">
        <f t="shared" si="89"/>
        <v>50fps 1080p - 720p full frame rate</v>
      </c>
      <c r="Q719">
        <f t="shared" si="90"/>
        <v>4</v>
      </c>
      <c r="R719" t="str">
        <f t="shared" si="91"/>
        <v/>
      </c>
      <c r="S719" t="str">
        <f t="shared" si="92"/>
        <v/>
      </c>
      <c r="T719" s="403" t="str">
        <f t="shared" si="93"/>
        <v>MIC-9502-Z30xQS</v>
      </c>
      <c r="U719" s="403">
        <f t="shared" si="94"/>
        <v>1</v>
      </c>
      <c r="V719" s="403" t="str">
        <f t="shared" si="95"/>
        <v>CPP_7_3</v>
      </c>
    </row>
    <row r="720" spans="1:22">
      <c r="A720" t="str">
        <f t="shared" si="88"/>
        <v>MIC-9502-Z30xQS</v>
      </c>
      <c r="B720" s="403" t="s">
        <v>1367</v>
      </c>
      <c r="C720" s="403" t="s">
        <v>582</v>
      </c>
      <c r="D720" s="403" t="s">
        <v>1368</v>
      </c>
      <c r="E720" s="403" t="s">
        <v>1367</v>
      </c>
      <c r="F720" s="403" t="s">
        <v>1290</v>
      </c>
      <c r="G720" s="403" t="s">
        <v>1466</v>
      </c>
      <c r="H720" s="403" t="s">
        <v>1281</v>
      </c>
      <c r="I720" s="403">
        <v>1</v>
      </c>
      <c r="J720" s="403" t="s">
        <v>110</v>
      </c>
      <c r="K720" s="403">
        <v>1920</v>
      </c>
      <c r="L720" s="403">
        <v>1080</v>
      </c>
      <c r="M720" s="403" t="s">
        <v>1283</v>
      </c>
      <c r="N720" s="403">
        <v>720</v>
      </c>
      <c r="O720" s="403">
        <v>576</v>
      </c>
      <c r="P720" t="str">
        <f t="shared" si="89"/>
        <v>50fps 1080p - SD 4CIF resolution 4:3 format (cropped)</v>
      </c>
      <c r="Q720">
        <f t="shared" si="90"/>
        <v>4</v>
      </c>
      <c r="R720" t="str">
        <f t="shared" si="91"/>
        <v/>
      </c>
      <c r="S720" t="str">
        <f t="shared" si="92"/>
        <v/>
      </c>
      <c r="T720" s="403" t="str">
        <f t="shared" si="93"/>
        <v>MIC-9502-Z30xQS</v>
      </c>
      <c r="U720" s="403">
        <f t="shared" si="94"/>
        <v>1</v>
      </c>
      <c r="V720" s="403" t="str">
        <f t="shared" si="95"/>
        <v>CPP_7_3</v>
      </c>
    </row>
    <row r="721" spans="1:22">
      <c r="A721" t="str">
        <f t="shared" si="88"/>
        <v>MIC-9502-Z30xQS</v>
      </c>
      <c r="B721" s="403" t="s">
        <v>1367</v>
      </c>
      <c r="C721" s="403" t="s">
        <v>582</v>
      </c>
      <c r="D721" s="403" t="s">
        <v>1368</v>
      </c>
      <c r="E721" s="403" t="s">
        <v>1367</v>
      </c>
      <c r="F721" s="403" t="s">
        <v>1290</v>
      </c>
      <c r="G721" s="403" t="s">
        <v>1466</v>
      </c>
      <c r="H721" s="403" t="s">
        <v>1281</v>
      </c>
      <c r="I721" s="403">
        <v>1</v>
      </c>
      <c r="J721" s="403" t="s">
        <v>110</v>
      </c>
      <c r="K721" s="403">
        <v>1920</v>
      </c>
      <c r="L721" s="403">
        <v>1080</v>
      </c>
      <c r="M721" s="403" t="s">
        <v>1284</v>
      </c>
      <c r="N721" s="403">
        <v>640</v>
      </c>
      <c r="O721" s="403">
        <v>480</v>
      </c>
      <c r="P721" t="str">
        <f t="shared" si="89"/>
        <v>50fps 1080p - SD VGA (cropped)</v>
      </c>
      <c r="Q721">
        <f t="shared" si="90"/>
        <v>4</v>
      </c>
      <c r="R721" t="str">
        <f t="shared" si="91"/>
        <v/>
      </c>
      <c r="S721" t="str">
        <f t="shared" si="92"/>
        <v/>
      </c>
      <c r="T721" s="403" t="str">
        <f t="shared" si="93"/>
        <v>MIC-9502-Z30xQS</v>
      </c>
      <c r="U721" s="403">
        <f t="shared" si="94"/>
        <v>1</v>
      </c>
      <c r="V721" s="403" t="str">
        <f t="shared" si="95"/>
        <v>CPP_7_3</v>
      </c>
    </row>
    <row r="722" spans="1:22">
      <c r="A722" t="str">
        <f t="shared" si="88"/>
        <v>MIC-9502-Z30xQS</v>
      </c>
      <c r="B722" s="403" t="s">
        <v>1367</v>
      </c>
      <c r="C722" s="403" t="s">
        <v>582</v>
      </c>
      <c r="D722" s="403" t="s">
        <v>1368</v>
      </c>
      <c r="E722" s="403" t="s">
        <v>1367</v>
      </c>
      <c r="F722" s="403" t="s">
        <v>1290</v>
      </c>
      <c r="G722" s="403" t="s">
        <v>1466</v>
      </c>
      <c r="H722" s="403" t="s">
        <v>1281</v>
      </c>
      <c r="I722" s="403">
        <v>1</v>
      </c>
      <c r="J722" s="403" t="s">
        <v>1289</v>
      </c>
      <c r="K722" s="403">
        <v>1280</v>
      </c>
      <c r="L722" s="403">
        <v>720</v>
      </c>
      <c r="M722" s="403" t="s">
        <v>1289</v>
      </c>
      <c r="N722" s="403">
        <v>1280</v>
      </c>
      <c r="O722" s="403">
        <v>720</v>
      </c>
      <c r="P722" t="str">
        <f t="shared" si="89"/>
        <v>50fps 720p full frame rate - 720p full frame rate</v>
      </c>
      <c r="Q722">
        <f t="shared" si="90"/>
        <v>4</v>
      </c>
      <c r="R722" t="str">
        <f t="shared" si="91"/>
        <v/>
      </c>
      <c r="S722" t="str">
        <f t="shared" si="92"/>
        <v/>
      </c>
      <c r="T722" s="403" t="str">
        <f t="shared" si="93"/>
        <v>MIC-9502-Z30xQS</v>
      </c>
      <c r="U722" s="403">
        <f t="shared" si="94"/>
        <v>1</v>
      </c>
      <c r="V722" s="403" t="str">
        <f t="shared" si="95"/>
        <v>CPP_7_3</v>
      </c>
    </row>
    <row r="723" spans="1:22">
      <c r="A723" t="str">
        <f t="shared" si="88"/>
        <v>MIC-9502-Z30xQS</v>
      </c>
      <c r="B723" s="403" t="s">
        <v>1367</v>
      </c>
      <c r="C723" s="403" t="s">
        <v>582</v>
      </c>
      <c r="D723" s="403" t="s">
        <v>1368</v>
      </c>
      <c r="E723" s="403" t="s">
        <v>1367</v>
      </c>
      <c r="F723" s="403" t="s">
        <v>1290</v>
      </c>
      <c r="G723" s="403" t="s">
        <v>1466</v>
      </c>
      <c r="H723" s="403" t="s">
        <v>1281</v>
      </c>
      <c r="I723" s="403">
        <v>1</v>
      </c>
      <c r="J723" s="403" t="s">
        <v>1289</v>
      </c>
      <c r="K723" s="403">
        <v>1280</v>
      </c>
      <c r="L723" s="403">
        <v>720</v>
      </c>
      <c r="M723" s="403" t="s">
        <v>111</v>
      </c>
      <c r="N723" s="403">
        <v>768</v>
      </c>
      <c r="O723" s="403">
        <v>432</v>
      </c>
      <c r="P723" t="str">
        <f t="shared" si="89"/>
        <v>50fps 720p full frame rate - SD</v>
      </c>
      <c r="Q723">
        <f t="shared" si="90"/>
        <v>4</v>
      </c>
      <c r="R723" t="str">
        <f t="shared" si="91"/>
        <v/>
      </c>
      <c r="S723" t="str">
        <f t="shared" si="92"/>
        <v/>
      </c>
      <c r="T723" s="403" t="str">
        <f t="shared" si="93"/>
        <v>MIC-9502-Z30xQS</v>
      </c>
      <c r="U723" s="403">
        <f t="shared" si="94"/>
        <v>1</v>
      </c>
      <c r="V723" s="403" t="str">
        <f t="shared" si="95"/>
        <v>CPP_7_3</v>
      </c>
    </row>
    <row r="724" spans="1:22">
      <c r="A724" t="str">
        <f t="shared" si="88"/>
        <v>MIC-9502-Z30xQS</v>
      </c>
      <c r="B724" s="403" t="s">
        <v>1367</v>
      </c>
      <c r="C724" s="403" t="s">
        <v>582</v>
      </c>
      <c r="D724" s="403" t="s">
        <v>1368</v>
      </c>
      <c r="E724" s="403" t="s">
        <v>1367</v>
      </c>
      <c r="F724" s="403" t="s">
        <v>1290</v>
      </c>
      <c r="G724" s="403" t="s">
        <v>1466</v>
      </c>
      <c r="H724" s="403" t="s">
        <v>1281</v>
      </c>
      <c r="I724" s="403">
        <v>1</v>
      </c>
      <c r="J724" s="403" t="s">
        <v>1289</v>
      </c>
      <c r="K724" s="403">
        <v>1280</v>
      </c>
      <c r="L724" s="403">
        <v>720</v>
      </c>
      <c r="M724" s="403" t="s">
        <v>1283</v>
      </c>
      <c r="N724" s="403">
        <v>720</v>
      </c>
      <c r="O724" s="403">
        <v>576</v>
      </c>
      <c r="P724" t="str">
        <f t="shared" si="89"/>
        <v>50fps 720p full frame rate - SD 4CIF resolution 4:3 format (cropped)</v>
      </c>
      <c r="Q724">
        <f t="shared" si="90"/>
        <v>4</v>
      </c>
      <c r="R724" t="str">
        <f t="shared" si="91"/>
        <v/>
      </c>
      <c r="S724" t="str">
        <f t="shared" si="92"/>
        <v/>
      </c>
      <c r="T724" s="403" t="str">
        <f t="shared" si="93"/>
        <v>MIC-9502-Z30xQS</v>
      </c>
      <c r="U724" s="403">
        <f t="shared" si="94"/>
        <v>1</v>
      </c>
      <c r="V724" s="403" t="str">
        <f t="shared" si="95"/>
        <v>CPP_7_3</v>
      </c>
    </row>
    <row r="725" spans="1:22">
      <c r="A725" t="str">
        <f t="shared" si="88"/>
        <v>MIC-9502-Z30xQS</v>
      </c>
      <c r="B725" s="403" t="s">
        <v>1367</v>
      </c>
      <c r="C725" s="403" t="s">
        <v>582</v>
      </c>
      <c r="D725" s="403" t="s">
        <v>1368</v>
      </c>
      <c r="E725" s="403" t="s">
        <v>1367</v>
      </c>
      <c r="F725" s="403" t="s">
        <v>1290</v>
      </c>
      <c r="G725" s="403" t="s">
        <v>1466</v>
      </c>
      <c r="H725" s="403" t="s">
        <v>1281</v>
      </c>
      <c r="I725" s="403">
        <v>1</v>
      </c>
      <c r="J725" s="403" t="s">
        <v>1289</v>
      </c>
      <c r="K725" s="403">
        <v>1280</v>
      </c>
      <c r="L725" s="403">
        <v>720</v>
      </c>
      <c r="M725" s="403" t="s">
        <v>1284</v>
      </c>
      <c r="N725" s="403">
        <v>640</v>
      </c>
      <c r="O725" s="403">
        <v>480</v>
      </c>
      <c r="P725" t="str">
        <f t="shared" si="89"/>
        <v>50fps 720p full frame rate - SD VGA (cropped)</v>
      </c>
      <c r="Q725">
        <f t="shared" si="90"/>
        <v>4</v>
      </c>
      <c r="R725" t="str">
        <f t="shared" si="91"/>
        <v/>
      </c>
      <c r="S725" t="str">
        <f t="shared" si="92"/>
        <v/>
      </c>
      <c r="T725" s="403" t="str">
        <f t="shared" si="93"/>
        <v>MIC-9502-Z30xQS</v>
      </c>
      <c r="U725" s="403">
        <f t="shared" si="94"/>
        <v>1</v>
      </c>
      <c r="V725" s="403" t="str">
        <f t="shared" si="95"/>
        <v>CPP_7_3</v>
      </c>
    </row>
    <row r="726" spans="1:22">
      <c r="A726" t="str">
        <f t="shared" si="88"/>
        <v>MIC-9502-Z30xQS</v>
      </c>
      <c r="B726" s="403" t="s">
        <v>1367</v>
      </c>
      <c r="C726" s="403" t="s">
        <v>582</v>
      </c>
      <c r="D726" s="403" t="s">
        <v>1368</v>
      </c>
      <c r="E726" s="403" t="s">
        <v>1367</v>
      </c>
      <c r="F726" s="403" t="s">
        <v>1290</v>
      </c>
      <c r="G726" s="403" t="s">
        <v>1466</v>
      </c>
      <c r="H726" s="403" t="s">
        <v>1281</v>
      </c>
      <c r="I726" s="403">
        <v>2</v>
      </c>
      <c r="J726" s="403" t="s">
        <v>111</v>
      </c>
      <c r="K726" s="403">
        <v>320</v>
      </c>
      <c r="L726" s="403">
        <v>240</v>
      </c>
      <c r="M726" s="403" t="s">
        <v>111</v>
      </c>
      <c r="N726" s="403">
        <v>320</v>
      </c>
      <c r="O726" s="403">
        <v>240</v>
      </c>
      <c r="P726" t="str">
        <f t="shared" si="89"/>
        <v>50fps SD - SD</v>
      </c>
      <c r="Q726">
        <f t="shared" si="90"/>
        <v>4</v>
      </c>
      <c r="R726" t="str">
        <f t="shared" si="91"/>
        <v/>
      </c>
      <c r="S726" t="str">
        <f t="shared" si="92"/>
        <v/>
      </c>
      <c r="T726" s="403" t="str">
        <f t="shared" si="93"/>
        <v>MIC-9502-Z30xQS</v>
      </c>
      <c r="U726" s="403">
        <f t="shared" si="94"/>
        <v>2</v>
      </c>
      <c r="V726" s="403" t="str">
        <f t="shared" si="95"/>
        <v>CPP_7_3</v>
      </c>
    </row>
    <row r="727" spans="1:22">
      <c r="A727" t="str">
        <f t="shared" si="88"/>
        <v>MIC-9502-Z30xQS</v>
      </c>
      <c r="B727" s="403" t="s">
        <v>1367</v>
      </c>
      <c r="C727" s="403" t="s">
        <v>582</v>
      </c>
      <c r="D727" s="403" t="s">
        <v>1368</v>
      </c>
      <c r="E727" s="403" t="s">
        <v>1367</v>
      </c>
      <c r="F727" s="403" t="s">
        <v>1290</v>
      </c>
      <c r="G727" s="403" t="s">
        <v>1466</v>
      </c>
      <c r="H727" s="403" t="s">
        <v>1281</v>
      </c>
      <c r="I727" s="403">
        <v>2</v>
      </c>
      <c r="J727" s="403" t="s">
        <v>111</v>
      </c>
      <c r="K727" s="403">
        <v>320</v>
      </c>
      <c r="L727" s="403">
        <v>240</v>
      </c>
      <c r="M727" s="403" t="s">
        <v>1280</v>
      </c>
      <c r="N727" s="403">
        <v>320</v>
      </c>
      <c r="O727" s="403">
        <v>240</v>
      </c>
      <c r="P727" t="str">
        <f t="shared" si="89"/>
        <v>50fps SD - copy other stream</v>
      </c>
      <c r="Q727">
        <f t="shared" si="90"/>
        <v>4</v>
      </c>
      <c r="R727" t="str">
        <f t="shared" si="91"/>
        <v/>
      </c>
      <c r="S727" t="str">
        <f t="shared" si="92"/>
        <v/>
      </c>
      <c r="T727" s="403" t="str">
        <f t="shared" si="93"/>
        <v>MIC-9502-Z30xQS</v>
      </c>
      <c r="U727" s="403">
        <f t="shared" si="94"/>
        <v>2</v>
      </c>
      <c r="V727" s="403" t="str">
        <f t="shared" si="95"/>
        <v>CPP_7_3</v>
      </c>
    </row>
    <row r="728" spans="1:22">
      <c r="A728" t="str">
        <f t="shared" si="88"/>
        <v>MIC-9502-Z30xQS</v>
      </c>
      <c r="B728" s="403" t="s">
        <v>1367</v>
      </c>
      <c r="C728" s="403" t="s">
        <v>582</v>
      </c>
      <c r="D728" s="403" t="s">
        <v>1368</v>
      </c>
      <c r="E728" s="403" t="s">
        <v>1367</v>
      </c>
      <c r="F728" s="403" t="s">
        <v>1288</v>
      </c>
      <c r="G728" s="403" t="s">
        <v>1466</v>
      </c>
      <c r="H728" s="403" t="s">
        <v>1276</v>
      </c>
      <c r="I728" s="403">
        <v>1</v>
      </c>
      <c r="J728" s="403" t="s">
        <v>110</v>
      </c>
      <c r="K728" s="403">
        <v>1920</v>
      </c>
      <c r="L728" s="403">
        <v>1080</v>
      </c>
      <c r="M728" s="403" t="s">
        <v>111</v>
      </c>
      <c r="N728" s="403">
        <v>768</v>
      </c>
      <c r="O728" s="403">
        <v>432</v>
      </c>
      <c r="P728" t="str">
        <f t="shared" si="89"/>
        <v>60fps 1080p - SD</v>
      </c>
      <c r="Q728">
        <f t="shared" si="90"/>
        <v>4</v>
      </c>
      <c r="R728" t="str">
        <f t="shared" si="91"/>
        <v/>
      </c>
      <c r="S728" t="str">
        <f t="shared" si="92"/>
        <v/>
      </c>
      <c r="T728" s="403" t="str">
        <f t="shared" si="93"/>
        <v>MIC-9502-Z30xQS</v>
      </c>
      <c r="U728" s="403">
        <f t="shared" si="94"/>
        <v>1</v>
      </c>
      <c r="V728" s="403" t="str">
        <f t="shared" si="95"/>
        <v>CPP_7_3</v>
      </c>
    </row>
    <row r="729" spans="1:22">
      <c r="A729" t="str">
        <f t="shared" si="88"/>
        <v>MIC-9502-Z30xQS</v>
      </c>
      <c r="B729" s="403" t="s">
        <v>1367</v>
      </c>
      <c r="C729" s="403" t="s">
        <v>582</v>
      </c>
      <c r="D729" s="403" t="s">
        <v>1368</v>
      </c>
      <c r="E729" s="403" t="s">
        <v>1367</v>
      </c>
      <c r="F729" s="403" t="s">
        <v>1288</v>
      </c>
      <c r="G729" s="403" t="s">
        <v>1466</v>
      </c>
      <c r="H729" s="403" t="s">
        <v>1276</v>
      </c>
      <c r="I729" s="403">
        <v>1</v>
      </c>
      <c r="J729" s="403" t="s">
        <v>110</v>
      </c>
      <c r="K729" s="403">
        <v>1920</v>
      </c>
      <c r="L729" s="403">
        <v>1080</v>
      </c>
      <c r="M729" s="403" t="s">
        <v>1363</v>
      </c>
      <c r="N729" s="403">
        <v>1920</v>
      </c>
      <c r="O729" s="403">
        <v>1080</v>
      </c>
      <c r="P729" t="str">
        <f t="shared" si="89"/>
        <v>60fps 1080p - 1920x1080 @ SKIP 2</v>
      </c>
      <c r="Q729">
        <f t="shared" si="90"/>
        <v>4</v>
      </c>
      <c r="R729" t="str">
        <f t="shared" si="91"/>
        <v/>
      </c>
      <c r="S729" t="str">
        <f t="shared" si="92"/>
        <v/>
      </c>
      <c r="T729" s="403" t="str">
        <f t="shared" si="93"/>
        <v>MIC-9502-Z30xQS</v>
      </c>
      <c r="U729" s="403">
        <f t="shared" si="94"/>
        <v>1</v>
      </c>
      <c r="V729" s="403" t="str">
        <f t="shared" si="95"/>
        <v>CPP_7_3</v>
      </c>
    </row>
    <row r="730" spans="1:22">
      <c r="A730" t="str">
        <f t="shared" si="88"/>
        <v>MIC-9502-Z30xQS</v>
      </c>
      <c r="B730" s="403" t="s">
        <v>1367</v>
      </c>
      <c r="C730" s="403" t="s">
        <v>582</v>
      </c>
      <c r="D730" s="403" t="s">
        <v>1368</v>
      </c>
      <c r="E730" s="403" t="s">
        <v>1367</v>
      </c>
      <c r="F730" s="403" t="s">
        <v>1288</v>
      </c>
      <c r="G730" s="403" t="s">
        <v>1466</v>
      </c>
      <c r="H730" s="403" t="s">
        <v>1276</v>
      </c>
      <c r="I730" s="403">
        <v>1</v>
      </c>
      <c r="J730" s="403" t="s">
        <v>110</v>
      </c>
      <c r="K730" s="403">
        <v>1920</v>
      </c>
      <c r="L730" s="403">
        <v>1080</v>
      </c>
      <c r="M730" s="403" t="s">
        <v>1280</v>
      </c>
      <c r="N730" s="403">
        <v>1920</v>
      </c>
      <c r="O730" s="403">
        <v>1080</v>
      </c>
      <c r="P730" t="str">
        <f t="shared" si="89"/>
        <v>60fps 1080p - copy other stream</v>
      </c>
      <c r="Q730">
        <f t="shared" si="90"/>
        <v>4</v>
      </c>
      <c r="R730" t="str">
        <f t="shared" si="91"/>
        <v/>
      </c>
      <c r="S730" t="str">
        <f t="shared" si="92"/>
        <v/>
      </c>
      <c r="T730" s="403" t="str">
        <f t="shared" si="93"/>
        <v>MIC-9502-Z30xQS</v>
      </c>
      <c r="U730" s="403">
        <f t="shared" si="94"/>
        <v>1</v>
      </c>
      <c r="V730" s="403" t="str">
        <f t="shared" si="95"/>
        <v>CPP_7_3</v>
      </c>
    </row>
    <row r="731" spans="1:22">
      <c r="A731" t="str">
        <f t="shared" si="88"/>
        <v>MIC-9502-Z30xQS</v>
      </c>
      <c r="B731" s="403" t="s">
        <v>1367</v>
      </c>
      <c r="C731" s="403" t="s">
        <v>582</v>
      </c>
      <c r="D731" s="403" t="s">
        <v>1368</v>
      </c>
      <c r="E731" s="403" t="s">
        <v>1367</v>
      </c>
      <c r="F731" s="403" t="s">
        <v>1288</v>
      </c>
      <c r="G731" s="403" t="s">
        <v>1466</v>
      </c>
      <c r="H731" s="403" t="s">
        <v>1276</v>
      </c>
      <c r="I731" s="403">
        <v>1</v>
      </c>
      <c r="J731" s="403" t="s">
        <v>110</v>
      </c>
      <c r="K731" s="403">
        <v>1920</v>
      </c>
      <c r="L731" s="403">
        <v>1080</v>
      </c>
      <c r="M731" s="403" t="s">
        <v>1289</v>
      </c>
      <c r="N731" s="403">
        <v>1280</v>
      </c>
      <c r="O731" s="403">
        <v>720</v>
      </c>
      <c r="P731" t="str">
        <f t="shared" si="89"/>
        <v>60fps 1080p - 720p full frame rate</v>
      </c>
      <c r="Q731">
        <f t="shared" si="90"/>
        <v>4</v>
      </c>
      <c r="R731" t="str">
        <f t="shared" si="91"/>
        <v/>
      </c>
      <c r="S731" t="str">
        <f t="shared" si="92"/>
        <v/>
      </c>
      <c r="T731" s="403" t="str">
        <f t="shared" si="93"/>
        <v>MIC-9502-Z30xQS</v>
      </c>
      <c r="U731" s="403">
        <f t="shared" si="94"/>
        <v>1</v>
      </c>
      <c r="V731" s="403" t="str">
        <f t="shared" si="95"/>
        <v>CPP_7_3</v>
      </c>
    </row>
    <row r="732" spans="1:22">
      <c r="A732" t="str">
        <f t="shared" si="88"/>
        <v>MIC-9502-Z30xQS</v>
      </c>
      <c r="B732" s="403" t="s">
        <v>1367</v>
      </c>
      <c r="C732" s="403" t="s">
        <v>582</v>
      </c>
      <c r="D732" s="403" t="s">
        <v>1368</v>
      </c>
      <c r="E732" s="403" t="s">
        <v>1367</v>
      </c>
      <c r="F732" s="403" t="s">
        <v>1288</v>
      </c>
      <c r="G732" s="403" t="s">
        <v>1466</v>
      </c>
      <c r="H732" s="403" t="s">
        <v>1276</v>
      </c>
      <c r="I732" s="403">
        <v>1</v>
      </c>
      <c r="J732" s="403" t="s">
        <v>110</v>
      </c>
      <c r="K732" s="403">
        <v>1920</v>
      </c>
      <c r="L732" s="403">
        <v>1080</v>
      </c>
      <c r="M732" s="403" t="s">
        <v>1283</v>
      </c>
      <c r="N732" s="403">
        <v>720</v>
      </c>
      <c r="O732" s="403">
        <v>480</v>
      </c>
      <c r="P732" t="str">
        <f t="shared" si="89"/>
        <v>60fps 1080p - SD 4CIF resolution 4:3 format (cropped)</v>
      </c>
      <c r="Q732">
        <f t="shared" si="90"/>
        <v>4</v>
      </c>
      <c r="R732" t="str">
        <f t="shared" si="91"/>
        <v/>
      </c>
      <c r="S732" t="str">
        <f t="shared" si="92"/>
        <v/>
      </c>
      <c r="T732" s="403" t="str">
        <f t="shared" si="93"/>
        <v>MIC-9502-Z30xQS</v>
      </c>
      <c r="U732" s="403">
        <f t="shared" si="94"/>
        <v>1</v>
      </c>
      <c r="V732" s="403" t="str">
        <f t="shared" si="95"/>
        <v>CPP_7_3</v>
      </c>
    </row>
    <row r="733" spans="1:22">
      <c r="A733" t="str">
        <f t="shared" si="88"/>
        <v>MIC-9502-Z30xQS</v>
      </c>
      <c r="B733" s="403" t="s">
        <v>1367</v>
      </c>
      <c r="C733" s="403" t="s">
        <v>582</v>
      </c>
      <c r="D733" s="403" t="s">
        <v>1368</v>
      </c>
      <c r="E733" s="403" t="s">
        <v>1367</v>
      </c>
      <c r="F733" s="403" t="s">
        <v>1288</v>
      </c>
      <c r="G733" s="403" t="s">
        <v>1466</v>
      </c>
      <c r="H733" s="403" t="s">
        <v>1276</v>
      </c>
      <c r="I733" s="403">
        <v>1</v>
      </c>
      <c r="J733" s="403" t="s">
        <v>110</v>
      </c>
      <c r="K733" s="403">
        <v>1920</v>
      </c>
      <c r="L733" s="403">
        <v>1080</v>
      </c>
      <c r="M733" s="403" t="s">
        <v>1284</v>
      </c>
      <c r="N733" s="403">
        <v>640</v>
      </c>
      <c r="O733" s="403">
        <v>480</v>
      </c>
      <c r="P733" t="str">
        <f t="shared" si="89"/>
        <v>60fps 1080p - SD VGA (cropped)</v>
      </c>
      <c r="Q733">
        <f t="shared" si="90"/>
        <v>4</v>
      </c>
      <c r="R733" t="str">
        <f t="shared" si="91"/>
        <v/>
      </c>
      <c r="S733" t="str">
        <f t="shared" si="92"/>
        <v/>
      </c>
      <c r="T733" s="403" t="str">
        <f t="shared" si="93"/>
        <v>MIC-9502-Z30xQS</v>
      </c>
      <c r="U733" s="403">
        <f t="shared" si="94"/>
        <v>1</v>
      </c>
      <c r="V733" s="403" t="str">
        <f t="shared" si="95"/>
        <v>CPP_7_3</v>
      </c>
    </row>
    <row r="734" spans="1:22">
      <c r="A734" t="str">
        <f t="shared" si="88"/>
        <v>MIC-9502-Z30xQS</v>
      </c>
      <c r="B734" s="403" t="s">
        <v>1367</v>
      </c>
      <c r="C734" s="403" t="s">
        <v>582</v>
      </c>
      <c r="D734" s="403" t="s">
        <v>1368</v>
      </c>
      <c r="E734" s="403" t="s">
        <v>1367</v>
      </c>
      <c r="F734" s="403" t="s">
        <v>1288</v>
      </c>
      <c r="G734" s="403" t="s">
        <v>1466</v>
      </c>
      <c r="H734" s="403" t="s">
        <v>1276</v>
      </c>
      <c r="I734" s="403">
        <v>1</v>
      </c>
      <c r="J734" s="403" t="s">
        <v>1289</v>
      </c>
      <c r="K734" s="403">
        <v>1280</v>
      </c>
      <c r="L734" s="403">
        <v>720</v>
      </c>
      <c r="M734" s="403" t="s">
        <v>1289</v>
      </c>
      <c r="N734" s="403">
        <v>1280</v>
      </c>
      <c r="O734" s="403">
        <v>720</v>
      </c>
      <c r="P734" t="str">
        <f t="shared" si="89"/>
        <v>60fps 720p full frame rate - 720p full frame rate</v>
      </c>
      <c r="Q734">
        <f t="shared" si="90"/>
        <v>4</v>
      </c>
      <c r="R734" t="str">
        <f t="shared" si="91"/>
        <v/>
      </c>
      <c r="S734" t="str">
        <f t="shared" si="92"/>
        <v/>
      </c>
      <c r="T734" s="403" t="str">
        <f t="shared" si="93"/>
        <v>MIC-9502-Z30xQS</v>
      </c>
      <c r="U734" s="403">
        <f t="shared" si="94"/>
        <v>1</v>
      </c>
      <c r="V734" s="403" t="str">
        <f t="shared" si="95"/>
        <v>CPP_7_3</v>
      </c>
    </row>
    <row r="735" spans="1:22">
      <c r="A735" t="str">
        <f t="shared" si="88"/>
        <v>MIC-9502-Z30xQS</v>
      </c>
      <c r="B735" s="403" t="s">
        <v>1367</v>
      </c>
      <c r="C735" s="403" t="s">
        <v>582</v>
      </c>
      <c r="D735" s="403" t="s">
        <v>1368</v>
      </c>
      <c r="E735" s="403" t="s">
        <v>1367</v>
      </c>
      <c r="F735" s="403" t="s">
        <v>1288</v>
      </c>
      <c r="G735" s="403" t="s">
        <v>1466</v>
      </c>
      <c r="H735" s="403" t="s">
        <v>1276</v>
      </c>
      <c r="I735" s="403">
        <v>1</v>
      </c>
      <c r="J735" s="403" t="s">
        <v>1289</v>
      </c>
      <c r="K735" s="403">
        <v>1280</v>
      </c>
      <c r="L735" s="403">
        <v>720</v>
      </c>
      <c r="M735" s="403" t="s">
        <v>111</v>
      </c>
      <c r="N735" s="403">
        <v>768</v>
      </c>
      <c r="O735" s="403">
        <v>432</v>
      </c>
      <c r="P735" t="str">
        <f t="shared" si="89"/>
        <v>60fps 720p full frame rate - SD</v>
      </c>
      <c r="Q735">
        <f t="shared" si="90"/>
        <v>4</v>
      </c>
      <c r="R735" t="str">
        <f t="shared" si="91"/>
        <v/>
      </c>
      <c r="S735" t="str">
        <f t="shared" si="92"/>
        <v/>
      </c>
      <c r="T735" s="403" t="str">
        <f t="shared" si="93"/>
        <v>MIC-9502-Z30xQS</v>
      </c>
      <c r="U735" s="403">
        <f t="shared" si="94"/>
        <v>1</v>
      </c>
      <c r="V735" s="403" t="str">
        <f t="shared" si="95"/>
        <v>CPP_7_3</v>
      </c>
    </row>
    <row r="736" spans="1:22">
      <c r="A736" t="str">
        <f t="shared" si="88"/>
        <v>MIC-9502-Z30xQS</v>
      </c>
      <c r="B736" s="403" t="s">
        <v>1367</v>
      </c>
      <c r="C736" s="403" t="s">
        <v>582</v>
      </c>
      <c r="D736" s="403" t="s">
        <v>1368</v>
      </c>
      <c r="E736" s="403" t="s">
        <v>1367</v>
      </c>
      <c r="F736" s="403" t="s">
        <v>1288</v>
      </c>
      <c r="G736" s="403" t="s">
        <v>1466</v>
      </c>
      <c r="H736" s="403" t="s">
        <v>1276</v>
      </c>
      <c r="I736" s="403">
        <v>1</v>
      </c>
      <c r="J736" s="403" t="s">
        <v>1289</v>
      </c>
      <c r="K736" s="403">
        <v>1280</v>
      </c>
      <c r="L736" s="403">
        <v>720</v>
      </c>
      <c r="M736" s="403" t="s">
        <v>1283</v>
      </c>
      <c r="N736" s="403">
        <v>720</v>
      </c>
      <c r="O736" s="403">
        <v>480</v>
      </c>
      <c r="P736" t="str">
        <f t="shared" si="89"/>
        <v>60fps 720p full frame rate - SD 4CIF resolution 4:3 format (cropped)</v>
      </c>
      <c r="Q736">
        <f t="shared" si="90"/>
        <v>4</v>
      </c>
      <c r="R736" t="str">
        <f t="shared" si="91"/>
        <v/>
      </c>
      <c r="S736" t="str">
        <f t="shared" si="92"/>
        <v/>
      </c>
      <c r="T736" s="403" t="str">
        <f t="shared" si="93"/>
        <v>MIC-9502-Z30xQS</v>
      </c>
      <c r="U736" s="403">
        <f t="shared" si="94"/>
        <v>1</v>
      </c>
      <c r="V736" s="403" t="str">
        <f t="shared" si="95"/>
        <v>CPP_7_3</v>
      </c>
    </row>
    <row r="737" spans="1:22">
      <c r="A737" t="str">
        <f t="shared" si="88"/>
        <v>MIC-9502-Z30xQS</v>
      </c>
      <c r="B737" s="403" t="s">
        <v>1367</v>
      </c>
      <c r="C737" s="403" t="s">
        <v>582</v>
      </c>
      <c r="D737" s="403" t="s">
        <v>1368</v>
      </c>
      <c r="E737" s="403" t="s">
        <v>1367</v>
      </c>
      <c r="F737" s="403" t="s">
        <v>1288</v>
      </c>
      <c r="G737" s="403" t="s">
        <v>1466</v>
      </c>
      <c r="H737" s="403" t="s">
        <v>1276</v>
      </c>
      <c r="I737" s="403">
        <v>1</v>
      </c>
      <c r="J737" s="403" t="s">
        <v>1289</v>
      </c>
      <c r="K737" s="403">
        <v>1280</v>
      </c>
      <c r="L737" s="403">
        <v>720</v>
      </c>
      <c r="M737" s="403" t="s">
        <v>1284</v>
      </c>
      <c r="N737" s="403">
        <v>640</v>
      </c>
      <c r="O737" s="403">
        <v>480</v>
      </c>
      <c r="P737" t="str">
        <f t="shared" si="89"/>
        <v>60fps 720p full frame rate - SD VGA (cropped)</v>
      </c>
      <c r="Q737">
        <f t="shared" si="90"/>
        <v>4</v>
      </c>
      <c r="R737" t="str">
        <f t="shared" si="91"/>
        <v/>
      </c>
      <c r="S737" t="str">
        <f t="shared" si="92"/>
        <v/>
      </c>
      <c r="T737" s="403" t="str">
        <f t="shared" si="93"/>
        <v>MIC-9502-Z30xQS</v>
      </c>
      <c r="U737" s="403">
        <f t="shared" si="94"/>
        <v>1</v>
      </c>
      <c r="V737" s="403" t="str">
        <f t="shared" si="95"/>
        <v>CPP_7_3</v>
      </c>
    </row>
    <row r="738" spans="1:22">
      <c r="A738" t="str">
        <f t="shared" si="88"/>
        <v>MIC-9502-Z30xQS</v>
      </c>
      <c r="B738" s="403" t="s">
        <v>1367</v>
      </c>
      <c r="C738" s="403" t="s">
        <v>582</v>
      </c>
      <c r="D738" s="403" t="s">
        <v>1368</v>
      </c>
      <c r="E738" s="403" t="s">
        <v>1367</v>
      </c>
      <c r="F738" s="403" t="s">
        <v>1288</v>
      </c>
      <c r="G738" s="403" t="s">
        <v>1466</v>
      </c>
      <c r="H738" s="403" t="s">
        <v>1276</v>
      </c>
      <c r="I738" s="403">
        <v>2</v>
      </c>
      <c r="J738" s="403" t="s">
        <v>111</v>
      </c>
      <c r="K738" s="403">
        <v>320</v>
      </c>
      <c r="L738" s="403">
        <v>240</v>
      </c>
      <c r="M738" s="403" t="s">
        <v>111</v>
      </c>
      <c r="N738" s="403">
        <v>320</v>
      </c>
      <c r="O738" s="403">
        <v>240</v>
      </c>
      <c r="P738" t="str">
        <f t="shared" si="89"/>
        <v>60fps SD - SD</v>
      </c>
      <c r="Q738">
        <f t="shared" si="90"/>
        <v>4</v>
      </c>
      <c r="R738" t="str">
        <f t="shared" si="91"/>
        <v/>
      </c>
      <c r="S738" t="str">
        <f t="shared" si="92"/>
        <v/>
      </c>
      <c r="T738" s="403" t="str">
        <f t="shared" si="93"/>
        <v>MIC-9502-Z30xQS</v>
      </c>
      <c r="U738" s="403">
        <f t="shared" si="94"/>
        <v>2</v>
      </c>
      <c r="V738" s="403" t="str">
        <f t="shared" si="95"/>
        <v>CPP_7_3</v>
      </c>
    </row>
    <row r="739" spans="1:22">
      <c r="A739" t="str">
        <f t="shared" si="88"/>
        <v>MIC-9502-Z30xQS</v>
      </c>
      <c r="B739" s="403" t="s">
        <v>1367</v>
      </c>
      <c r="C739" s="403" t="s">
        <v>582</v>
      </c>
      <c r="D739" s="403" t="s">
        <v>1368</v>
      </c>
      <c r="E739" s="403" t="s">
        <v>1367</v>
      </c>
      <c r="F739" s="403" t="s">
        <v>1288</v>
      </c>
      <c r="G739" s="403" t="s">
        <v>1466</v>
      </c>
      <c r="H739" s="403" t="s">
        <v>1276</v>
      </c>
      <c r="I739" s="403">
        <v>2</v>
      </c>
      <c r="J739" s="403" t="s">
        <v>111</v>
      </c>
      <c r="K739" s="403">
        <v>320</v>
      </c>
      <c r="L739" s="403">
        <v>240</v>
      </c>
      <c r="M739" s="403" t="s">
        <v>1280</v>
      </c>
      <c r="N739" s="403">
        <v>320</v>
      </c>
      <c r="O739" s="403">
        <v>240</v>
      </c>
      <c r="P739" t="str">
        <f t="shared" si="89"/>
        <v>60fps SD - copy other stream</v>
      </c>
      <c r="Q739">
        <f t="shared" si="90"/>
        <v>4</v>
      </c>
      <c r="R739" t="str">
        <f t="shared" si="91"/>
        <v/>
      </c>
      <c r="S739" t="str">
        <f t="shared" si="92"/>
        <v/>
      </c>
      <c r="T739" s="403" t="str">
        <f t="shared" si="93"/>
        <v>MIC-9502-Z30xQS</v>
      </c>
      <c r="U739" s="403">
        <f t="shared" si="94"/>
        <v>2</v>
      </c>
      <c r="V739" s="403" t="str">
        <f t="shared" si="95"/>
        <v>CPP_7_3</v>
      </c>
    </row>
    <row r="740" spans="1:22">
      <c r="A740" t="str">
        <f t="shared" si="88"/>
        <v>MIC-9502-Z30xQS</v>
      </c>
      <c r="B740" s="403" t="s">
        <v>1367</v>
      </c>
      <c r="C740" s="403" t="s">
        <v>582</v>
      </c>
      <c r="D740" s="403" t="s">
        <v>1368</v>
      </c>
      <c r="E740" s="403" t="s">
        <v>1367</v>
      </c>
      <c r="F740" s="403" t="s">
        <v>1288</v>
      </c>
      <c r="G740" s="403" t="s">
        <v>1466</v>
      </c>
      <c r="H740" s="403" t="s">
        <v>1281</v>
      </c>
      <c r="I740" s="403">
        <v>1</v>
      </c>
      <c r="J740" s="403" t="s">
        <v>110</v>
      </c>
      <c r="K740" s="403">
        <v>1920</v>
      </c>
      <c r="L740" s="403">
        <v>1080</v>
      </c>
      <c r="M740" s="403" t="s">
        <v>111</v>
      </c>
      <c r="N740" s="403">
        <v>768</v>
      </c>
      <c r="O740" s="403">
        <v>432</v>
      </c>
      <c r="P740" t="str">
        <f t="shared" si="89"/>
        <v>60fps 1080p - SD</v>
      </c>
      <c r="Q740">
        <f t="shared" si="90"/>
        <v>4</v>
      </c>
      <c r="R740" t="str">
        <f t="shared" si="91"/>
        <v/>
      </c>
      <c r="S740" t="str">
        <f t="shared" si="92"/>
        <v/>
      </c>
      <c r="T740" s="403" t="str">
        <f t="shared" si="93"/>
        <v>MIC-9502-Z30xQS</v>
      </c>
      <c r="U740" s="403">
        <f t="shared" si="94"/>
        <v>1</v>
      </c>
      <c r="V740" s="403" t="str">
        <f t="shared" si="95"/>
        <v>CPP_7_3</v>
      </c>
    </row>
    <row r="741" spans="1:22">
      <c r="A741" t="str">
        <f t="shared" si="88"/>
        <v>MIC-9502-Z30xQS</v>
      </c>
      <c r="B741" s="403" t="s">
        <v>1367</v>
      </c>
      <c r="C741" s="403" t="s">
        <v>582</v>
      </c>
      <c r="D741" s="403" t="s">
        <v>1368</v>
      </c>
      <c r="E741" s="403" t="s">
        <v>1367</v>
      </c>
      <c r="F741" s="403" t="s">
        <v>1288</v>
      </c>
      <c r="G741" s="403" t="s">
        <v>1466</v>
      </c>
      <c r="H741" s="403" t="s">
        <v>1281</v>
      </c>
      <c r="I741" s="403">
        <v>1</v>
      </c>
      <c r="J741" s="403" t="s">
        <v>110</v>
      </c>
      <c r="K741" s="403">
        <v>1920</v>
      </c>
      <c r="L741" s="403">
        <v>1080</v>
      </c>
      <c r="M741" s="403" t="s">
        <v>1363</v>
      </c>
      <c r="N741" s="403">
        <v>1920</v>
      </c>
      <c r="O741" s="403">
        <v>1080</v>
      </c>
      <c r="P741" t="str">
        <f t="shared" si="89"/>
        <v>60fps 1080p - 1920x1080 @ SKIP 2</v>
      </c>
      <c r="Q741">
        <f t="shared" si="90"/>
        <v>4</v>
      </c>
      <c r="R741" t="str">
        <f t="shared" si="91"/>
        <v/>
      </c>
      <c r="S741" t="str">
        <f t="shared" si="92"/>
        <v/>
      </c>
      <c r="T741" s="403" t="str">
        <f t="shared" si="93"/>
        <v>MIC-9502-Z30xQS</v>
      </c>
      <c r="U741" s="403">
        <f t="shared" si="94"/>
        <v>1</v>
      </c>
      <c r="V741" s="403" t="str">
        <f t="shared" si="95"/>
        <v>CPP_7_3</v>
      </c>
    </row>
    <row r="742" spans="1:22">
      <c r="A742" t="str">
        <f t="shared" si="88"/>
        <v>MIC-9502-Z30xQS</v>
      </c>
      <c r="B742" s="403" t="s">
        <v>1367</v>
      </c>
      <c r="C742" s="403" t="s">
        <v>582</v>
      </c>
      <c r="D742" s="403" t="s">
        <v>1368</v>
      </c>
      <c r="E742" s="403" t="s">
        <v>1367</v>
      </c>
      <c r="F742" s="403" t="s">
        <v>1288</v>
      </c>
      <c r="G742" s="403" t="s">
        <v>1466</v>
      </c>
      <c r="H742" s="403" t="s">
        <v>1281</v>
      </c>
      <c r="I742" s="403">
        <v>1</v>
      </c>
      <c r="J742" s="403" t="s">
        <v>110</v>
      </c>
      <c r="K742" s="403">
        <v>1920</v>
      </c>
      <c r="L742" s="403">
        <v>1080</v>
      </c>
      <c r="M742" s="403" t="s">
        <v>1280</v>
      </c>
      <c r="N742" s="403">
        <v>1920</v>
      </c>
      <c r="O742" s="403">
        <v>1080</v>
      </c>
      <c r="P742" t="str">
        <f t="shared" si="89"/>
        <v>60fps 1080p - copy other stream</v>
      </c>
      <c r="Q742">
        <f t="shared" si="90"/>
        <v>4</v>
      </c>
      <c r="R742" t="str">
        <f t="shared" si="91"/>
        <v/>
      </c>
      <c r="S742" t="str">
        <f t="shared" si="92"/>
        <v/>
      </c>
      <c r="T742" s="403" t="str">
        <f t="shared" si="93"/>
        <v>MIC-9502-Z30xQS</v>
      </c>
      <c r="U742" s="403">
        <f t="shared" si="94"/>
        <v>1</v>
      </c>
      <c r="V742" s="403" t="str">
        <f t="shared" si="95"/>
        <v>CPP_7_3</v>
      </c>
    </row>
    <row r="743" spans="1:22">
      <c r="A743" t="str">
        <f t="shared" si="88"/>
        <v>MIC-9502-Z30xQS</v>
      </c>
      <c r="B743" s="403" t="s">
        <v>1367</v>
      </c>
      <c r="C743" s="403" t="s">
        <v>582</v>
      </c>
      <c r="D743" s="403" t="s">
        <v>1368</v>
      </c>
      <c r="E743" s="403" t="s">
        <v>1367</v>
      </c>
      <c r="F743" s="403" t="s">
        <v>1288</v>
      </c>
      <c r="G743" s="403" t="s">
        <v>1466</v>
      </c>
      <c r="H743" s="403" t="s">
        <v>1281</v>
      </c>
      <c r="I743" s="403">
        <v>1</v>
      </c>
      <c r="J743" s="403" t="s">
        <v>110</v>
      </c>
      <c r="K743" s="403">
        <v>1920</v>
      </c>
      <c r="L743" s="403">
        <v>1080</v>
      </c>
      <c r="M743" s="403" t="s">
        <v>1289</v>
      </c>
      <c r="N743" s="403">
        <v>1280</v>
      </c>
      <c r="O743" s="403">
        <v>720</v>
      </c>
      <c r="P743" t="str">
        <f t="shared" si="89"/>
        <v>60fps 1080p - 720p full frame rate</v>
      </c>
      <c r="Q743">
        <f t="shared" si="90"/>
        <v>4</v>
      </c>
      <c r="R743" t="str">
        <f t="shared" si="91"/>
        <v/>
      </c>
      <c r="S743" t="str">
        <f t="shared" si="92"/>
        <v/>
      </c>
      <c r="T743" s="403" t="str">
        <f t="shared" si="93"/>
        <v>MIC-9502-Z30xQS</v>
      </c>
      <c r="U743" s="403">
        <f t="shared" si="94"/>
        <v>1</v>
      </c>
      <c r="V743" s="403" t="str">
        <f t="shared" si="95"/>
        <v>CPP_7_3</v>
      </c>
    </row>
    <row r="744" spans="1:22">
      <c r="A744" t="str">
        <f t="shared" si="88"/>
        <v>MIC-9502-Z30xQS</v>
      </c>
      <c r="B744" s="403" t="s">
        <v>1367</v>
      </c>
      <c r="C744" s="403" t="s">
        <v>582</v>
      </c>
      <c r="D744" s="403" t="s">
        <v>1368</v>
      </c>
      <c r="E744" s="403" t="s">
        <v>1367</v>
      </c>
      <c r="F744" s="403" t="s">
        <v>1288</v>
      </c>
      <c r="G744" s="403" t="s">
        <v>1466</v>
      </c>
      <c r="H744" s="403" t="s">
        <v>1281</v>
      </c>
      <c r="I744" s="403">
        <v>1</v>
      </c>
      <c r="J744" s="403" t="s">
        <v>110</v>
      </c>
      <c r="K744" s="403">
        <v>1920</v>
      </c>
      <c r="L744" s="403">
        <v>1080</v>
      </c>
      <c r="M744" s="403" t="s">
        <v>1283</v>
      </c>
      <c r="N744" s="403">
        <v>720</v>
      </c>
      <c r="O744" s="403">
        <v>480</v>
      </c>
      <c r="P744" t="str">
        <f t="shared" si="89"/>
        <v>60fps 1080p - SD 4CIF resolution 4:3 format (cropped)</v>
      </c>
      <c r="Q744">
        <f t="shared" si="90"/>
        <v>4</v>
      </c>
      <c r="R744" t="str">
        <f t="shared" si="91"/>
        <v/>
      </c>
      <c r="S744" t="str">
        <f t="shared" si="92"/>
        <v/>
      </c>
      <c r="T744" s="403" t="str">
        <f t="shared" si="93"/>
        <v>MIC-9502-Z30xQS</v>
      </c>
      <c r="U744" s="403">
        <f t="shared" si="94"/>
        <v>1</v>
      </c>
      <c r="V744" s="403" t="str">
        <f t="shared" si="95"/>
        <v>CPP_7_3</v>
      </c>
    </row>
    <row r="745" spans="1:22">
      <c r="A745" t="str">
        <f t="shared" si="88"/>
        <v>MIC-9502-Z30xQS</v>
      </c>
      <c r="B745" s="403" t="s">
        <v>1367</v>
      </c>
      <c r="C745" s="403" t="s">
        <v>582</v>
      </c>
      <c r="D745" s="403" t="s">
        <v>1368</v>
      </c>
      <c r="E745" s="403" t="s">
        <v>1367</v>
      </c>
      <c r="F745" s="403" t="s">
        <v>1288</v>
      </c>
      <c r="G745" s="403" t="s">
        <v>1466</v>
      </c>
      <c r="H745" s="403" t="s">
        <v>1281</v>
      </c>
      <c r="I745" s="403">
        <v>1</v>
      </c>
      <c r="J745" s="403" t="s">
        <v>110</v>
      </c>
      <c r="K745" s="403">
        <v>1920</v>
      </c>
      <c r="L745" s="403">
        <v>1080</v>
      </c>
      <c r="M745" s="403" t="s">
        <v>1284</v>
      </c>
      <c r="N745" s="403">
        <v>640</v>
      </c>
      <c r="O745" s="403">
        <v>480</v>
      </c>
      <c r="P745" t="str">
        <f t="shared" si="89"/>
        <v>60fps 1080p - SD VGA (cropped)</v>
      </c>
      <c r="Q745">
        <f t="shared" si="90"/>
        <v>4</v>
      </c>
      <c r="R745" t="str">
        <f t="shared" si="91"/>
        <v/>
      </c>
      <c r="S745" t="str">
        <f t="shared" si="92"/>
        <v/>
      </c>
      <c r="T745" s="403" t="str">
        <f t="shared" si="93"/>
        <v>MIC-9502-Z30xQS</v>
      </c>
      <c r="U745" s="403">
        <f t="shared" si="94"/>
        <v>1</v>
      </c>
      <c r="V745" s="403" t="str">
        <f t="shared" si="95"/>
        <v>CPP_7_3</v>
      </c>
    </row>
    <row r="746" spans="1:22">
      <c r="A746" t="str">
        <f t="shared" si="88"/>
        <v>MIC-9502-Z30xQS</v>
      </c>
      <c r="B746" s="403" t="s">
        <v>1367</v>
      </c>
      <c r="C746" s="403" t="s">
        <v>582</v>
      </c>
      <c r="D746" s="403" t="s">
        <v>1368</v>
      </c>
      <c r="E746" s="403" t="s">
        <v>1367</v>
      </c>
      <c r="F746" s="403" t="s">
        <v>1288</v>
      </c>
      <c r="G746" s="403" t="s">
        <v>1466</v>
      </c>
      <c r="H746" s="403" t="s">
        <v>1281</v>
      </c>
      <c r="I746" s="403">
        <v>1</v>
      </c>
      <c r="J746" s="403" t="s">
        <v>1289</v>
      </c>
      <c r="K746" s="403">
        <v>1280</v>
      </c>
      <c r="L746" s="403">
        <v>720</v>
      </c>
      <c r="M746" s="403" t="s">
        <v>1289</v>
      </c>
      <c r="N746" s="403">
        <v>1280</v>
      </c>
      <c r="O746" s="403">
        <v>720</v>
      </c>
      <c r="P746" t="str">
        <f t="shared" si="89"/>
        <v>60fps 720p full frame rate - 720p full frame rate</v>
      </c>
      <c r="Q746">
        <f t="shared" si="90"/>
        <v>4</v>
      </c>
      <c r="R746" t="str">
        <f t="shared" si="91"/>
        <v/>
      </c>
      <c r="S746" t="str">
        <f t="shared" si="92"/>
        <v/>
      </c>
      <c r="T746" s="403" t="str">
        <f t="shared" si="93"/>
        <v>MIC-9502-Z30xQS</v>
      </c>
      <c r="U746" s="403">
        <f t="shared" si="94"/>
        <v>1</v>
      </c>
      <c r="V746" s="403" t="str">
        <f t="shared" si="95"/>
        <v>CPP_7_3</v>
      </c>
    </row>
    <row r="747" spans="1:22">
      <c r="A747" t="str">
        <f t="shared" si="88"/>
        <v>MIC-9502-Z30xQS</v>
      </c>
      <c r="B747" s="403" t="s">
        <v>1367</v>
      </c>
      <c r="C747" s="403" t="s">
        <v>582</v>
      </c>
      <c r="D747" s="403" t="s">
        <v>1368</v>
      </c>
      <c r="E747" s="403" t="s">
        <v>1367</v>
      </c>
      <c r="F747" s="403" t="s">
        <v>1288</v>
      </c>
      <c r="G747" s="403" t="s">
        <v>1466</v>
      </c>
      <c r="H747" s="403" t="s">
        <v>1281</v>
      </c>
      <c r="I747" s="403">
        <v>1</v>
      </c>
      <c r="J747" s="403" t="s">
        <v>1289</v>
      </c>
      <c r="K747" s="403">
        <v>1280</v>
      </c>
      <c r="L747" s="403">
        <v>720</v>
      </c>
      <c r="M747" s="403" t="s">
        <v>111</v>
      </c>
      <c r="N747" s="403">
        <v>768</v>
      </c>
      <c r="O747" s="403">
        <v>432</v>
      </c>
      <c r="P747" t="str">
        <f t="shared" si="89"/>
        <v>60fps 720p full frame rate - SD</v>
      </c>
      <c r="Q747">
        <f t="shared" si="90"/>
        <v>4</v>
      </c>
      <c r="R747" t="str">
        <f t="shared" si="91"/>
        <v/>
      </c>
      <c r="S747" t="str">
        <f t="shared" si="92"/>
        <v/>
      </c>
      <c r="T747" s="403" t="str">
        <f t="shared" si="93"/>
        <v>MIC-9502-Z30xQS</v>
      </c>
      <c r="U747" s="403">
        <f t="shared" si="94"/>
        <v>1</v>
      </c>
      <c r="V747" s="403" t="str">
        <f t="shared" si="95"/>
        <v>CPP_7_3</v>
      </c>
    </row>
    <row r="748" spans="1:22">
      <c r="A748" t="str">
        <f t="shared" si="88"/>
        <v>MIC-9502-Z30xQS</v>
      </c>
      <c r="B748" s="403" t="s">
        <v>1367</v>
      </c>
      <c r="C748" s="403" t="s">
        <v>582</v>
      </c>
      <c r="D748" s="403" t="s">
        <v>1368</v>
      </c>
      <c r="E748" s="403" t="s">
        <v>1367</v>
      </c>
      <c r="F748" s="403" t="s">
        <v>1288</v>
      </c>
      <c r="G748" s="403" t="s">
        <v>1466</v>
      </c>
      <c r="H748" s="403" t="s">
        <v>1281</v>
      </c>
      <c r="I748" s="403">
        <v>1</v>
      </c>
      <c r="J748" s="403" t="s">
        <v>1289</v>
      </c>
      <c r="K748" s="403">
        <v>1280</v>
      </c>
      <c r="L748" s="403">
        <v>720</v>
      </c>
      <c r="M748" s="403" t="s">
        <v>1283</v>
      </c>
      <c r="N748" s="403">
        <v>720</v>
      </c>
      <c r="O748" s="403">
        <v>480</v>
      </c>
      <c r="P748" t="str">
        <f t="shared" si="89"/>
        <v>60fps 720p full frame rate - SD 4CIF resolution 4:3 format (cropped)</v>
      </c>
      <c r="Q748">
        <f t="shared" si="90"/>
        <v>4</v>
      </c>
      <c r="R748" t="str">
        <f t="shared" si="91"/>
        <v/>
      </c>
      <c r="S748" t="str">
        <f t="shared" si="92"/>
        <v/>
      </c>
      <c r="T748" s="403" t="str">
        <f t="shared" si="93"/>
        <v>MIC-9502-Z30xQS</v>
      </c>
      <c r="U748" s="403">
        <f t="shared" si="94"/>
        <v>1</v>
      </c>
      <c r="V748" s="403" t="str">
        <f t="shared" si="95"/>
        <v>CPP_7_3</v>
      </c>
    </row>
    <row r="749" spans="1:22">
      <c r="A749" t="str">
        <f t="shared" si="88"/>
        <v>MIC-9502-Z30xQS</v>
      </c>
      <c r="B749" s="403" t="s">
        <v>1367</v>
      </c>
      <c r="C749" s="403" t="s">
        <v>582</v>
      </c>
      <c r="D749" s="403" t="s">
        <v>1368</v>
      </c>
      <c r="E749" s="403" t="s">
        <v>1367</v>
      </c>
      <c r="F749" s="403" t="s">
        <v>1288</v>
      </c>
      <c r="G749" s="403" t="s">
        <v>1466</v>
      </c>
      <c r="H749" s="403" t="s">
        <v>1281</v>
      </c>
      <c r="I749" s="403">
        <v>1</v>
      </c>
      <c r="J749" s="403" t="s">
        <v>1289</v>
      </c>
      <c r="K749" s="403">
        <v>1280</v>
      </c>
      <c r="L749" s="403">
        <v>720</v>
      </c>
      <c r="M749" s="403" t="s">
        <v>1284</v>
      </c>
      <c r="N749" s="403">
        <v>640</v>
      </c>
      <c r="O749" s="403">
        <v>480</v>
      </c>
      <c r="P749" t="str">
        <f t="shared" si="89"/>
        <v>60fps 720p full frame rate - SD VGA (cropped)</v>
      </c>
      <c r="Q749">
        <f t="shared" si="90"/>
        <v>4</v>
      </c>
      <c r="R749" t="str">
        <f t="shared" si="91"/>
        <v/>
      </c>
      <c r="S749" t="str">
        <f t="shared" si="92"/>
        <v/>
      </c>
      <c r="T749" s="403" t="str">
        <f t="shared" si="93"/>
        <v>MIC-9502-Z30xQS</v>
      </c>
      <c r="U749" s="403">
        <f t="shared" si="94"/>
        <v>1</v>
      </c>
      <c r="V749" s="403" t="str">
        <f t="shared" si="95"/>
        <v>CPP_7_3</v>
      </c>
    </row>
    <row r="750" spans="1:22">
      <c r="A750" t="str">
        <f t="shared" si="88"/>
        <v>MIC-9502-Z30xQS</v>
      </c>
      <c r="B750" s="403" t="s">
        <v>1367</v>
      </c>
      <c r="C750" s="403" t="s">
        <v>582</v>
      </c>
      <c r="D750" s="403" t="s">
        <v>1368</v>
      </c>
      <c r="E750" s="403" t="s">
        <v>1367</v>
      </c>
      <c r="F750" s="403" t="s">
        <v>1288</v>
      </c>
      <c r="G750" s="403" t="s">
        <v>1466</v>
      </c>
      <c r="H750" s="403" t="s">
        <v>1281</v>
      </c>
      <c r="I750" s="403">
        <v>2</v>
      </c>
      <c r="J750" s="403" t="s">
        <v>111</v>
      </c>
      <c r="K750" s="403">
        <v>320</v>
      </c>
      <c r="L750" s="403">
        <v>240</v>
      </c>
      <c r="M750" s="403" t="s">
        <v>111</v>
      </c>
      <c r="N750" s="403">
        <v>320</v>
      </c>
      <c r="O750" s="403">
        <v>240</v>
      </c>
      <c r="P750" t="str">
        <f t="shared" si="89"/>
        <v>60fps SD - SD</v>
      </c>
      <c r="Q750">
        <f t="shared" si="90"/>
        <v>4</v>
      </c>
      <c r="R750" t="str">
        <f t="shared" si="91"/>
        <v/>
      </c>
      <c r="S750" t="str">
        <f t="shared" si="92"/>
        <v/>
      </c>
      <c r="T750" s="403" t="str">
        <f t="shared" si="93"/>
        <v>MIC-9502-Z30xQS</v>
      </c>
      <c r="U750" s="403">
        <f t="shared" si="94"/>
        <v>2</v>
      </c>
      <c r="V750" s="403" t="str">
        <f t="shared" si="95"/>
        <v>CPP_7_3</v>
      </c>
    </row>
    <row r="751" spans="1:22">
      <c r="A751" t="str">
        <f t="shared" si="88"/>
        <v>MIC-9502-Z30xQS</v>
      </c>
      <c r="B751" s="403" t="s">
        <v>1367</v>
      </c>
      <c r="C751" s="403" t="s">
        <v>582</v>
      </c>
      <c r="D751" s="403" t="s">
        <v>1368</v>
      </c>
      <c r="E751" s="403" t="s">
        <v>1367</v>
      </c>
      <c r="F751" s="403" t="s">
        <v>1288</v>
      </c>
      <c r="G751" s="403" t="s">
        <v>1466</v>
      </c>
      <c r="H751" s="403" t="s">
        <v>1281</v>
      </c>
      <c r="I751" s="403">
        <v>2</v>
      </c>
      <c r="J751" s="403" t="s">
        <v>111</v>
      </c>
      <c r="K751" s="403">
        <v>320</v>
      </c>
      <c r="L751" s="403">
        <v>240</v>
      </c>
      <c r="M751" s="403" t="s">
        <v>1280</v>
      </c>
      <c r="N751" s="403">
        <v>320</v>
      </c>
      <c r="O751" s="403">
        <v>240</v>
      </c>
      <c r="P751" t="str">
        <f t="shared" si="89"/>
        <v>60fps SD - copy other stream</v>
      </c>
      <c r="Q751">
        <f t="shared" si="90"/>
        <v>4</v>
      </c>
      <c r="R751" t="str">
        <f t="shared" si="91"/>
        <v/>
      </c>
      <c r="S751" t="str">
        <f t="shared" si="92"/>
        <v/>
      </c>
      <c r="T751" s="403" t="str">
        <f t="shared" si="93"/>
        <v>MIC-9502-Z30xQS</v>
      </c>
      <c r="U751" s="403">
        <f t="shared" si="94"/>
        <v>2</v>
      </c>
      <c r="V751" s="403" t="str">
        <f t="shared" si="95"/>
        <v>CPP_7_3</v>
      </c>
    </row>
    <row r="752" spans="1:22">
      <c r="A752" t="str">
        <f t="shared" si="88"/>
        <v>MIC-9502-Z30xQS</v>
      </c>
      <c r="B752" s="403" t="s">
        <v>1367</v>
      </c>
      <c r="C752" s="403" t="s">
        <v>582</v>
      </c>
      <c r="D752" s="403" t="s">
        <v>1368</v>
      </c>
      <c r="E752" s="403" t="s">
        <v>1369</v>
      </c>
      <c r="F752" s="403" t="s">
        <v>1287</v>
      </c>
      <c r="G752" s="403" t="s">
        <v>1466</v>
      </c>
      <c r="H752" s="403" t="s">
        <v>1276</v>
      </c>
      <c r="I752" s="403">
        <v>1</v>
      </c>
      <c r="J752" s="403" t="s">
        <v>110</v>
      </c>
      <c r="K752" s="403">
        <v>1920</v>
      </c>
      <c r="L752" s="403">
        <v>1080</v>
      </c>
      <c r="M752" s="403" t="s">
        <v>111</v>
      </c>
      <c r="N752" s="403">
        <v>768</v>
      </c>
      <c r="O752" s="403">
        <v>432</v>
      </c>
      <c r="P752" t="str">
        <f t="shared" si="89"/>
        <v>25fps 1080p - SD</v>
      </c>
      <c r="Q752">
        <f t="shared" si="90"/>
        <v>4</v>
      </c>
      <c r="R752" t="str">
        <f t="shared" si="91"/>
        <v/>
      </c>
      <c r="S752" t="str">
        <f t="shared" si="92"/>
        <v/>
      </c>
      <c r="T752" s="403" t="str">
        <f t="shared" si="93"/>
        <v>MIC-9502-Z30xQS</v>
      </c>
      <c r="U752" s="403">
        <f t="shared" si="94"/>
        <v>1</v>
      </c>
      <c r="V752" s="403" t="str">
        <f t="shared" si="95"/>
        <v>CPP_7_3</v>
      </c>
    </row>
    <row r="753" spans="1:22">
      <c r="A753" t="str">
        <f t="shared" si="88"/>
        <v>MIC-9502-Z30xQS</v>
      </c>
      <c r="B753" s="403" t="s">
        <v>1367</v>
      </c>
      <c r="C753" s="403" t="s">
        <v>582</v>
      </c>
      <c r="D753" s="403" t="s">
        <v>1368</v>
      </c>
      <c r="E753" s="403" t="s">
        <v>1369</v>
      </c>
      <c r="F753" s="403" t="s">
        <v>1287</v>
      </c>
      <c r="G753" s="403" t="s">
        <v>1466</v>
      </c>
      <c r="H753" s="403" t="s">
        <v>1276</v>
      </c>
      <c r="I753" s="403">
        <v>1</v>
      </c>
      <c r="J753" s="403" t="s">
        <v>110</v>
      </c>
      <c r="K753" s="403">
        <v>1920</v>
      </c>
      <c r="L753" s="403">
        <v>1080</v>
      </c>
      <c r="M753" s="403" t="s">
        <v>110</v>
      </c>
      <c r="N753" s="403">
        <v>1920</v>
      </c>
      <c r="O753" s="403">
        <v>1080</v>
      </c>
      <c r="P753" t="str">
        <f t="shared" si="89"/>
        <v>25fps 1080p - 1080p</v>
      </c>
      <c r="Q753">
        <f t="shared" si="90"/>
        <v>4</v>
      </c>
      <c r="R753" t="str">
        <f t="shared" si="91"/>
        <v/>
      </c>
      <c r="S753" t="str">
        <f t="shared" si="92"/>
        <v/>
      </c>
      <c r="T753" s="403" t="str">
        <f t="shared" si="93"/>
        <v>MIC-9502-Z30xQS</v>
      </c>
      <c r="U753" s="403">
        <f t="shared" si="94"/>
        <v>1</v>
      </c>
      <c r="V753" s="403" t="str">
        <f t="shared" si="95"/>
        <v>CPP_7_3</v>
      </c>
    </row>
    <row r="754" spans="1:22">
      <c r="A754" t="str">
        <f t="shared" si="88"/>
        <v>MIC-9502-Z30xQS</v>
      </c>
      <c r="B754" s="403" t="s">
        <v>1367</v>
      </c>
      <c r="C754" s="403" t="s">
        <v>582</v>
      </c>
      <c r="D754" s="403" t="s">
        <v>1368</v>
      </c>
      <c r="E754" s="403" t="s">
        <v>1369</v>
      </c>
      <c r="F754" s="403" t="s">
        <v>1287</v>
      </c>
      <c r="G754" s="403" t="s">
        <v>1466</v>
      </c>
      <c r="H754" s="403" t="s">
        <v>1276</v>
      </c>
      <c r="I754" s="403">
        <v>1</v>
      </c>
      <c r="J754" s="403" t="s">
        <v>110</v>
      </c>
      <c r="K754" s="403">
        <v>1920</v>
      </c>
      <c r="L754" s="403">
        <v>1080</v>
      </c>
      <c r="M754" s="403" t="s">
        <v>109</v>
      </c>
      <c r="N754" s="403">
        <v>1280</v>
      </c>
      <c r="O754" s="403">
        <v>720</v>
      </c>
      <c r="P754" t="str">
        <f t="shared" si="89"/>
        <v>25fps 1080p - 720p</v>
      </c>
      <c r="Q754">
        <f t="shared" si="90"/>
        <v>4</v>
      </c>
      <c r="R754" t="str">
        <f t="shared" si="91"/>
        <v/>
      </c>
      <c r="S754" t="str">
        <f t="shared" si="92"/>
        <v/>
      </c>
      <c r="T754" s="403" t="str">
        <f t="shared" si="93"/>
        <v>MIC-9502-Z30xQS</v>
      </c>
      <c r="U754" s="403">
        <f t="shared" si="94"/>
        <v>1</v>
      </c>
      <c r="V754" s="403" t="str">
        <f t="shared" si="95"/>
        <v>CPP_7_3</v>
      </c>
    </row>
    <row r="755" spans="1:22">
      <c r="A755" t="str">
        <f t="shared" si="88"/>
        <v>MIC-9502-Z30xQS</v>
      </c>
      <c r="B755" s="403" t="s">
        <v>1367</v>
      </c>
      <c r="C755" s="403" t="s">
        <v>582</v>
      </c>
      <c r="D755" s="403" t="s">
        <v>1368</v>
      </c>
      <c r="E755" s="403" t="s">
        <v>1369</v>
      </c>
      <c r="F755" s="403" t="s">
        <v>1287</v>
      </c>
      <c r="G755" s="403" t="s">
        <v>1466</v>
      </c>
      <c r="H755" s="403" t="s">
        <v>1276</v>
      </c>
      <c r="I755" s="403">
        <v>1</v>
      </c>
      <c r="J755" s="403" t="s">
        <v>110</v>
      </c>
      <c r="K755" s="403">
        <v>1920</v>
      </c>
      <c r="L755" s="403">
        <v>1080</v>
      </c>
      <c r="M755" s="403" t="s">
        <v>1285</v>
      </c>
      <c r="N755" s="403">
        <v>1280</v>
      </c>
      <c r="O755" s="403">
        <v>1024</v>
      </c>
      <c r="P755" t="str">
        <f t="shared" si="89"/>
        <v>25fps 1080p - 1280x1024 5:4 (cropped)</v>
      </c>
      <c r="Q755">
        <f t="shared" si="90"/>
        <v>4</v>
      </c>
      <c r="R755" t="str">
        <f t="shared" si="91"/>
        <v/>
      </c>
      <c r="S755" t="str">
        <f t="shared" si="92"/>
        <v/>
      </c>
      <c r="T755" s="403" t="str">
        <f t="shared" si="93"/>
        <v>MIC-9502-Z30xQS</v>
      </c>
      <c r="U755" s="403">
        <f t="shared" si="94"/>
        <v>1</v>
      </c>
      <c r="V755" s="403" t="str">
        <f t="shared" si="95"/>
        <v>CPP_7_3</v>
      </c>
    </row>
    <row r="756" spans="1:22">
      <c r="A756" t="str">
        <f t="shared" si="88"/>
        <v>MIC-9502-Z30xQS</v>
      </c>
      <c r="B756" s="403" t="s">
        <v>1367</v>
      </c>
      <c r="C756" s="403" t="s">
        <v>582</v>
      </c>
      <c r="D756" s="403" t="s">
        <v>1368</v>
      </c>
      <c r="E756" s="403" t="s">
        <v>1369</v>
      </c>
      <c r="F756" s="403" t="s">
        <v>1287</v>
      </c>
      <c r="G756" s="403" t="s">
        <v>1466</v>
      </c>
      <c r="H756" s="403" t="s">
        <v>1276</v>
      </c>
      <c r="I756" s="403">
        <v>1</v>
      </c>
      <c r="J756" s="403" t="s">
        <v>110</v>
      </c>
      <c r="K756" s="403">
        <v>1920</v>
      </c>
      <c r="L756" s="403">
        <v>1080</v>
      </c>
      <c r="M756" s="403" t="s">
        <v>1283</v>
      </c>
      <c r="N756" s="403">
        <v>720</v>
      </c>
      <c r="O756" s="403">
        <v>576</v>
      </c>
      <c r="P756" t="str">
        <f t="shared" si="89"/>
        <v>25fps 1080p - SD 4CIF resolution 4:3 format (cropped)</v>
      </c>
      <c r="Q756">
        <f t="shared" si="90"/>
        <v>4</v>
      </c>
      <c r="R756" t="str">
        <f t="shared" si="91"/>
        <v/>
      </c>
      <c r="S756" t="str">
        <f t="shared" si="92"/>
        <v/>
      </c>
      <c r="T756" s="403" t="str">
        <f t="shared" si="93"/>
        <v>MIC-9502-Z30xQS</v>
      </c>
      <c r="U756" s="403">
        <f t="shared" si="94"/>
        <v>1</v>
      </c>
      <c r="V756" s="403" t="str">
        <f t="shared" si="95"/>
        <v>CPP_7_3</v>
      </c>
    </row>
    <row r="757" spans="1:22">
      <c r="A757" t="str">
        <f t="shared" si="88"/>
        <v>MIC-9502-Z30xQS</v>
      </c>
      <c r="B757" s="403" t="s">
        <v>1367</v>
      </c>
      <c r="C757" s="403" t="s">
        <v>582</v>
      </c>
      <c r="D757" s="403" t="s">
        <v>1368</v>
      </c>
      <c r="E757" s="403" t="s">
        <v>1369</v>
      </c>
      <c r="F757" s="403" t="s">
        <v>1287</v>
      </c>
      <c r="G757" s="403" t="s">
        <v>1466</v>
      </c>
      <c r="H757" s="403" t="s">
        <v>1276</v>
      </c>
      <c r="I757" s="403">
        <v>1</v>
      </c>
      <c r="J757" s="403" t="s">
        <v>110</v>
      </c>
      <c r="K757" s="403">
        <v>1920</v>
      </c>
      <c r="L757" s="403">
        <v>1080</v>
      </c>
      <c r="M757" s="403" t="s">
        <v>1284</v>
      </c>
      <c r="N757" s="403">
        <v>640</v>
      </c>
      <c r="O757" s="403">
        <v>480</v>
      </c>
      <c r="P757" t="str">
        <f t="shared" si="89"/>
        <v>25fps 1080p - SD VGA (cropped)</v>
      </c>
      <c r="Q757">
        <f t="shared" si="90"/>
        <v>4</v>
      </c>
      <c r="R757" t="str">
        <f t="shared" si="91"/>
        <v/>
      </c>
      <c r="S757" t="str">
        <f t="shared" si="92"/>
        <v/>
      </c>
      <c r="T757" s="403" t="str">
        <f t="shared" si="93"/>
        <v>MIC-9502-Z30xQS</v>
      </c>
      <c r="U757" s="403">
        <f t="shared" si="94"/>
        <v>1</v>
      </c>
      <c r="V757" s="403" t="str">
        <f t="shared" si="95"/>
        <v>CPP_7_3</v>
      </c>
    </row>
    <row r="758" spans="1:22">
      <c r="A758" t="str">
        <f t="shared" si="88"/>
        <v>MIC-9502-Z30xQS</v>
      </c>
      <c r="B758" s="403" t="s">
        <v>1367</v>
      </c>
      <c r="C758" s="403" t="s">
        <v>582</v>
      </c>
      <c r="D758" s="403" t="s">
        <v>1368</v>
      </c>
      <c r="E758" s="403" t="s">
        <v>1369</v>
      </c>
      <c r="F758" s="403" t="s">
        <v>1287</v>
      </c>
      <c r="G758" s="403" t="s">
        <v>1466</v>
      </c>
      <c r="H758" s="403" t="s">
        <v>1276</v>
      </c>
      <c r="I758" s="403">
        <v>1</v>
      </c>
      <c r="J758" s="403" t="s">
        <v>109</v>
      </c>
      <c r="K758" s="403">
        <v>1280</v>
      </c>
      <c r="L758" s="403">
        <v>720</v>
      </c>
      <c r="M758" s="403" t="s">
        <v>109</v>
      </c>
      <c r="N758" s="403">
        <v>1280</v>
      </c>
      <c r="O758" s="403">
        <v>720</v>
      </c>
      <c r="P758" t="str">
        <f t="shared" si="89"/>
        <v>25fps 720p - 720p</v>
      </c>
      <c r="Q758">
        <f t="shared" si="90"/>
        <v>4</v>
      </c>
      <c r="R758" t="str">
        <f t="shared" si="91"/>
        <v/>
      </c>
      <c r="S758" t="str">
        <f t="shared" si="92"/>
        <v/>
      </c>
      <c r="T758" s="403" t="str">
        <f t="shared" si="93"/>
        <v>MIC-9502-Z30xQS</v>
      </c>
      <c r="U758" s="403">
        <f t="shared" si="94"/>
        <v>1</v>
      </c>
      <c r="V758" s="403" t="str">
        <f t="shared" si="95"/>
        <v>CPP_7_3</v>
      </c>
    </row>
    <row r="759" spans="1:22">
      <c r="A759" t="str">
        <f t="shared" si="88"/>
        <v>MIC-9502-Z30xQS</v>
      </c>
      <c r="B759" s="403" t="s">
        <v>1367</v>
      </c>
      <c r="C759" s="403" t="s">
        <v>582</v>
      </c>
      <c r="D759" s="403" t="s">
        <v>1368</v>
      </c>
      <c r="E759" s="403" t="s">
        <v>1369</v>
      </c>
      <c r="F759" s="403" t="s">
        <v>1287</v>
      </c>
      <c r="G759" s="403" t="s">
        <v>1466</v>
      </c>
      <c r="H759" s="403" t="s">
        <v>1276</v>
      </c>
      <c r="I759" s="403">
        <v>1</v>
      </c>
      <c r="J759" s="403" t="s">
        <v>109</v>
      </c>
      <c r="K759" s="403">
        <v>1280</v>
      </c>
      <c r="L759" s="403">
        <v>720</v>
      </c>
      <c r="M759" s="403" t="s">
        <v>111</v>
      </c>
      <c r="N759" s="403">
        <v>768</v>
      </c>
      <c r="O759" s="403">
        <v>432</v>
      </c>
      <c r="P759" t="str">
        <f t="shared" si="89"/>
        <v>25fps 720p - SD</v>
      </c>
      <c r="Q759">
        <f t="shared" si="90"/>
        <v>4</v>
      </c>
      <c r="R759" t="str">
        <f t="shared" si="91"/>
        <v/>
      </c>
      <c r="S759" t="str">
        <f t="shared" si="92"/>
        <v/>
      </c>
      <c r="T759" s="403" t="str">
        <f t="shared" si="93"/>
        <v>MIC-9502-Z30xQS</v>
      </c>
      <c r="U759" s="403">
        <f t="shared" si="94"/>
        <v>1</v>
      </c>
      <c r="V759" s="403" t="str">
        <f t="shared" si="95"/>
        <v>CPP_7_3</v>
      </c>
    </row>
    <row r="760" spans="1:22">
      <c r="A760" t="str">
        <f t="shared" si="88"/>
        <v>MIC-9502-Z30xQS</v>
      </c>
      <c r="B760" s="403" t="s">
        <v>1367</v>
      </c>
      <c r="C760" s="403" t="s">
        <v>582</v>
      </c>
      <c r="D760" s="403" t="s">
        <v>1368</v>
      </c>
      <c r="E760" s="403" t="s">
        <v>1369</v>
      </c>
      <c r="F760" s="403" t="s">
        <v>1287</v>
      </c>
      <c r="G760" s="403" t="s">
        <v>1466</v>
      </c>
      <c r="H760" s="403" t="s">
        <v>1276</v>
      </c>
      <c r="I760" s="403">
        <v>1</v>
      </c>
      <c r="J760" s="403" t="s">
        <v>109</v>
      </c>
      <c r="K760" s="403">
        <v>1280</v>
      </c>
      <c r="L760" s="403">
        <v>720</v>
      </c>
      <c r="M760" s="403" t="s">
        <v>1283</v>
      </c>
      <c r="N760" s="403">
        <v>720</v>
      </c>
      <c r="O760" s="403">
        <v>576</v>
      </c>
      <c r="P760" t="str">
        <f t="shared" si="89"/>
        <v>25fps 720p - SD 4CIF resolution 4:3 format (cropped)</v>
      </c>
      <c r="Q760">
        <f t="shared" si="90"/>
        <v>4</v>
      </c>
      <c r="R760" t="str">
        <f t="shared" si="91"/>
        <v/>
      </c>
      <c r="S760" t="str">
        <f t="shared" si="92"/>
        <v/>
      </c>
      <c r="T760" s="403" t="str">
        <f t="shared" si="93"/>
        <v>MIC-9502-Z30xQS</v>
      </c>
      <c r="U760" s="403">
        <f t="shared" si="94"/>
        <v>1</v>
      </c>
      <c r="V760" s="403" t="str">
        <f t="shared" si="95"/>
        <v>CPP_7_3</v>
      </c>
    </row>
    <row r="761" spans="1:22">
      <c r="A761" t="str">
        <f t="shared" si="88"/>
        <v>MIC-9502-Z30xQS</v>
      </c>
      <c r="B761" s="403" t="s">
        <v>1367</v>
      </c>
      <c r="C761" s="403" t="s">
        <v>582</v>
      </c>
      <c r="D761" s="403" t="s">
        <v>1368</v>
      </c>
      <c r="E761" s="403" t="s">
        <v>1369</v>
      </c>
      <c r="F761" s="403" t="s">
        <v>1287</v>
      </c>
      <c r="G761" s="403" t="s">
        <v>1466</v>
      </c>
      <c r="H761" s="403" t="s">
        <v>1276</v>
      </c>
      <c r="I761" s="403">
        <v>1</v>
      </c>
      <c r="J761" s="403" t="s">
        <v>109</v>
      </c>
      <c r="K761" s="403">
        <v>1280</v>
      </c>
      <c r="L761" s="403">
        <v>720</v>
      </c>
      <c r="M761" s="403" t="s">
        <v>1284</v>
      </c>
      <c r="N761" s="403">
        <v>640</v>
      </c>
      <c r="O761" s="403">
        <v>480</v>
      </c>
      <c r="P761" t="str">
        <f t="shared" si="89"/>
        <v>25fps 720p - SD VGA (cropped)</v>
      </c>
      <c r="Q761">
        <f t="shared" si="90"/>
        <v>4</v>
      </c>
      <c r="R761" t="str">
        <f t="shared" si="91"/>
        <v/>
      </c>
      <c r="S761" t="str">
        <f t="shared" si="92"/>
        <v/>
      </c>
      <c r="T761" s="403" t="str">
        <f t="shared" si="93"/>
        <v>MIC-9502-Z30xQS</v>
      </c>
      <c r="U761" s="403">
        <f t="shared" si="94"/>
        <v>1</v>
      </c>
      <c r="V761" s="403" t="str">
        <f t="shared" si="95"/>
        <v>CPP_7_3</v>
      </c>
    </row>
    <row r="762" spans="1:22">
      <c r="A762" t="str">
        <f t="shared" si="88"/>
        <v>MIC-9502-Z30xQS</v>
      </c>
      <c r="B762" s="403" t="s">
        <v>1367</v>
      </c>
      <c r="C762" s="403" t="s">
        <v>582</v>
      </c>
      <c r="D762" s="403" t="s">
        <v>1368</v>
      </c>
      <c r="E762" s="403" t="s">
        <v>1369</v>
      </c>
      <c r="F762" s="403" t="s">
        <v>1287</v>
      </c>
      <c r="G762" s="403" t="s">
        <v>1466</v>
      </c>
      <c r="H762" s="403" t="s">
        <v>1276</v>
      </c>
      <c r="I762" s="403">
        <v>2</v>
      </c>
      <c r="J762" s="403" t="s">
        <v>111</v>
      </c>
      <c r="K762" s="403">
        <v>320</v>
      </c>
      <c r="L762" s="403">
        <v>240</v>
      </c>
      <c r="M762" s="403" t="s">
        <v>111</v>
      </c>
      <c r="N762" s="403">
        <v>320</v>
      </c>
      <c r="O762" s="403">
        <v>240</v>
      </c>
      <c r="P762" t="str">
        <f t="shared" si="89"/>
        <v>25fps SD - SD</v>
      </c>
      <c r="Q762">
        <f t="shared" si="90"/>
        <v>4</v>
      </c>
      <c r="R762" t="str">
        <f t="shared" si="91"/>
        <v/>
      </c>
      <c r="S762" t="str">
        <f t="shared" si="92"/>
        <v/>
      </c>
      <c r="T762" s="403" t="str">
        <f t="shared" si="93"/>
        <v>MIC-9502-Z30xQS</v>
      </c>
      <c r="U762" s="403">
        <f t="shared" si="94"/>
        <v>2</v>
      </c>
      <c r="V762" s="403" t="str">
        <f t="shared" si="95"/>
        <v>CPP_7_3</v>
      </c>
    </row>
    <row r="763" spans="1:22">
      <c r="A763" t="str">
        <f t="shared" si="88"/>
        <v>MIC-9502-Z30xQS</v>
      </c>
      <c r="B763" s="403" t="s">
        <v>1367</v>
      </c>
      <c r="C763" s="403" t="s">
        <v>582</v>
      </c>
      <c r="D763" s="403" t="s">
        <v>1368</v>
      </c>
      <c r="E763" s="403" t="s">
        <v>1369</v>
      </c>
      <c r="F763" s="403" t="s">
        <v>1287</v>
      </c>
      <c r="G763" s="403" t="s">
        <v>1466</v>
      </c>
      <c r="H763" s="403" t="s">
        <v>1276</v>
      </c>
      <c r="I763" s="403">
        <v>2</v>
      </c>
      <c r="J763" s="403" t="s">
        <v>111</v>
      </c>
      <c r="K763" s="403">
        <v>320</v>
      </c>
      <c r="L763" s="403">
        <v>240</v>
      </c>
      <c r="M763" s="403" t="s">
        <v>1280</v>
      </c>
      <c r="N763" s="403">
        <v>320</v>
      </c>
      <c r="O763" s="403">
        <v>240</v>
      </c>
      <c r="P763" t="str">
        <f t="shared" si="89"/>
        <v>25fps SD - copy other stream</v>
      </c>
      <c r="Q763">
        <f t="shared" si="90"/>
        <v>4</v>
      </c>
      <c r="R763" t="str">
        <f t="shared" si="91"/>
        <v/>
      </c>
      <c r="S763" t="str">
        <f t="shared" si="92"/>
        <v/>
      </c>
      <c r="T763" s="403" t="str">
        <f t="shared" si="93"/>
        <v>MIC-9502-Z30xQS</v>
      </c>
      <c r="U763" s="403">
        <f t="shared" si="94"/>
        <v>2</v>
      </c>
      <c r="V763" s="403" t="str">
        <f t="shared" si="95"/>
        <v>CPP_7_3</v>
      </c>
    </row>
    <row r="764" spans="1:22">
      <c r="A764" t="str">
        <f t="shared" si="88"/>
        <v>MIC-9502-Z30xQS</v>
      </c>
      <c r="B764" s="403" t="s">
        <v>1367</v>
      </c>
      <c r="C764" s="403" t="s">
        <v>582</v>
      </c>
      <c r="D764" s="403" t="s">
        <v>1368</v>
      </c>
      <c r="E764" s="403" t="s">
        <v>1369</v>
      </c>
      <c r="F764" s="403" t="s">
        <v>1287</v>
      </c>
      <c r="G764" s="403" t="s">
        <v>1466</v>
      </c>
      <c r="H764" s="403" t="s">
        <v>1281</v>
      </c>
      <c r="I764" s="403">
        <v>1</v>
      </c>
      <c r="J764" s="403" t="s">
        <v>110</v>
      </c>
      <c r="K764" s="403">
        <v>1920</v>
      </c>
      <c r="L764" s="403">
        <v>1080</v>
      </c>
      <c r="M764" s="403" t="s">
        <v>111</v>
      </c>
      <c r="N764" s="403">
        <v>768</v>
      </c>
      <c r="O764" s="403">
        <v>432</v>
      </c>
      <c r="P764" t="str">
        <f t="shared" si="89"/>
        <v>25fps 1080p - SD</v>
      </c>
      <c r="Q764">
        <f t="shared" si="90"/>
        <v>4</v>
      </c>
      <c r="R764" t="str">
        <f t="shared" si="91"/>
        <v/>
      </c>
      <c r="S764" t="str">
        <f t="shared" si="92"/>
        <v/>
      </c>
      <c r="T764" s="403" t="str">
        <f t="shared" si="93"/>
        <v>MIC-9502-Z30xQS</v>
      </c>
      <c r="U764" s="403">
        <f t="shared" si="94"/>
        <v>1</v>
      </c>
      <c r="V764" s="403" t="str">
        <f t="shared" si="95"/>
        <v>CPP_7_3</v>
      </c>
    </row>
    <row r="765" spans="1:22">
      <c r="A765" t="str">
        <f t="shared" si="88"/>
        <v>MIC-9502-Z30xQS</v>
      </c>
      <c r="B765" s="403" t="s">
        <v>1367</v>
      </c>
      <c r="C765" s="403" t="s">
        <v>582</v>
      </c>
      <c r="D765" s="403" t="s">
        <v>1368</v>
      </c>
      <c r="E765" s="403" t="s">
        <v>1369</v>
      </c>
      <c r="F765" s="403" t="s">
        <v>1287</v>
      </c>
      <c r="G765" s="403" t="s">
        <v>1466</v>
      </c>
      <c r="H765" s="403" t="s">
        <v>1281</v>
      </c>
      <c r="I765" s="403">
        <v>1</v>
      </c>
      <c r="J765" s="403" t="s">
        <v>110</v>
      </c>
      <c r="K765" s="403">
        <v>1920</v>
      </c>
      <c r="L765" s="403">
        <v>1080</v>
      </c>
      <c r="M765" s="403" t="s">
        <v>110</v>
      </c>
      <c r="N765" s="403">
        <v>1920</v>
      </c>
      <c r="O765" s="403">
        <v>1080</v>
      </c>
      <c r="P765" t="str">
        <f t="shared" si="89"/>
        <v>25fps 1080p - 1080p</v>
      </c>
      <c r="Q765">
        <f t="shared" si="90"/>
        <v>4</v>
      </c>
      <c r="R765" t="str">
        <f t="shared" si="91"/>
        <v/>
      </c>
      <c r="S765" t="str">
        <f t="shared" si="92"/>
        <v/>
      </c>
      <c r="T765" s="403" t="str">
        <f t="shared" si="93"/>
        <v>MIC-9502-Z30xQS</v>
      </c>
      <c r="U765" s="403">
        <f t="shared" si="94"/>
        <v>1</v>
      </c>
      <c r="V765" s="403" t="str">
        <f t="shared" si="95"/>
        <v>CPP_7_3</v>
      </c>
    </row>
    <row r="766" spans="1:22">
      <c r="A766" t="str">
        <f t="shared" si="88"/>
        <v>MIC-9502-Z30xQS</v>
      </c>
      <c r="B766" s="403" t="s">
        <v>1367</v>
      </c>
      <c r="C766" s="403" t="s">
        <v>582</v>
      </c>
      <c r="D766" s="403" t="s">
        <v>1368</v>
      </c>
      <c r="E766" s="403" t="s">
        <v>1369</v>
      </c>
      <c r="F766" s="403" t="s">
        <v>1287</v>
      </c>
      <c r="G766" s="403" t="s">
        <v>1466</v>
      </c>
      <c r="H766" s="403" t="s">
        <v>1281</v>
      </c>
      <c r="I766" s="403">
        <v>1</v>
      </c>
      <c r="J766" s="403" t="s">
        <v>110</v>
      </c>
      <c r="K766" s="403">
        <v>1920</v>
      </c>
      <c r="L766" s="403">
        <v>1080</v>
      </c>
      <c r="M766" s="403" t="s">
        <v>109</v>
      </c>
      <c r="N766" s="403">
        <v>1280</v>
      </c>
      <c r="O766" s="403">
        <v>720</v>
      </c>
      <c r="P766" t="str">
        <f t="shared" si="89"/>
        <v>25fps 1080p - 720p</v>
      </c>
      <c r="Q766">
        <f t="shared" si="90"/>
        <v>4</v>
      </c>
      <c r="R766" t="str">
        <f t="shared" si="91"/>
        <v/>
      </c>
      <c r="S766" t="str">
        <f t="shared" si="92"/>
        <v/>
      </c>
      <c r="T766" s="403" t="str">
        <f t="shared" si="93"/>
        <v>MIC-9502-Z30xQS</v>
      </c>
      <c r="U766" s="403">
        <f t="shared" si="94"/>
        <v>1</v>
      </c>
      <c r="V766" s="403" t="str">
        <f t="shared" si="95"/>
        <v>CPP_7_3</v>
      </c>
    </row>
    <row r="767" spans="1:22">
      <c r="A767" t="str">
        <f t="shared" si="88"/>
        <v>MIC-9502-Z30xQS</v>
      </c>
      <c r="B767" s="403" t="s">
        <v>1367</v>
      </c>
      <c r="C767" s="403" t="s">
        <v>582</v>
      </c>
      <c r="D767" s="403" t="s">
        <v>1368</v>
      </c>
      <c r="E767" s="403" t="s">
        <v>1369</v>
      </c>
      <c r="F767" s="403" t="s">
        <v>1287</v>
      </c>
      <c r="G767" s="403" t="s">
        <v>1466</v>
      </c>
      <c r="H767" s="403" t="s">
        <v>1281</v>
      </c>
      <c r="I767" s="403">
        <v>1</v>
      </c>
      <c r="J767" s="403" t="s">
        <v>110</v>
      </c>
      <c r="K767" s="403">
        <v>1920</v>
      </c>
      <c r="L767" s="403">
        <v>1080</v>
      </c>
      <c r="M767" s="403" t="s">
        <v>1285</v>
      </c>
      <c r="N767" s="403">
        <v>1280</v>
      </c>
      <c r="O767" s="403">
        <v>1024</v>
      </c>
      <c r="P767" t="str">
        <f t="shared" si="89"/>
        <v>25fps 1080p - 1280x1024 5:4 (cropped)</v>
      </c>
      <c r="Q767">
        <f t="shared" si="90"/>
        <v>4</v>
      </c>
      <c r="R767" t="str">
        <f t="shared" si="91"/>
        <v/>
      </c>
      <c r="S767" t="str">
        <f t="shared" si="92"/>
        <v/>
      </c>
      <c r="T767" s="403" t="str">
        <f t="shared" si="93"/>
        <v>MIC-9502-Z30xQS</v>
      </c>
      <c r="U767" s="403">
        <f t="shared" si="94"/>
        <v>1</v>
      </c>
      <c r="V767" s="403" t="str">
        <f t="shared" si="95"/>
        <v>CPP_7_3</v>
      </c>
    </row>
    <row r="768" spans="1:22">
      <c r="A768" t="str">
        <f t="shared" si="88"/>
        <v>MIC-9502-Z30xQS</v>
      </c>
      <c r="B768" s="403" t="s">
        <v>1367</v>
      </c>
      <c r="C768" s="403" t="s">
        <v>582</v>
      </c>
      <c r="D768" s="403" t="s">
        <v>1368</v>
      </c>
      <c r="E768" s="403" t="s">
        <v>1369</v>
      </c>
      <c r="F768" s="403" t="s">
        <v>1287</v>
      </c>
      <c r="G768" s="403" t="s">
        <v>1466</v>
      </c>
      <c r="H768" s="403" t="s">
        <v>1281</v>
      </c>
      <c r="I768" s="403">
        <v>1</v>
      </c>
      <c r="J768" s="403" t="s">
        <v>110</v>
      </c>
      <c r="K768" s="403">
        <v>1920</v>
      </c>
      <c r="L768" s="403">
        <v>1080</v>
      </c>
      <c r="M768" s="403" t="s">
        <v>1283</v>
      </c>
      <c r="N768" s="403">
        <v>720</v>
      </c>
      <c r="O768" s="403">
        <v>576</v>
      </c>
      <c r="P768" t="str">
        <f t="shared" si="89"/>
        <v>25fps 1080p - SD 4CIF resolution 4:3 format (cropped)</v>
      </c>
      <c r="Q768">
        <f t="shared" si="90"/>
        <v>4</v>
      </c>
      <c r="R768" t="str">
        <f t="shared" si="91"/>
        <v/>
      </c>
      <c r="S768" t="str">
        <f t="shared" si="92"/>
        <v/>
      </c>
      <c r="T768" s="403" t="str">
        <f t="shared" si="93"/>
        <v>MIC-9502-Z30xQS</v>
      </c>
      <c r="U768" s="403">
        <f t="shared" si="94"/>
        <v>1</v>
      </c>
      <c r="V768" s="403" t="str">
        <f t="shared" si="95"/>
        <v>CPP_7_3</v>
      </c>
    </row>
    <row r="769" spans="1:22">
      <c r="A769" t="str">
        <f t="shared" si="88"/>
        <v>MIC-9502-Z30xQS</v>
      </c>
      <c r="B769" s="403" t="s">
        <v>1367</v>
      </c>
      <c r="C769" s="403" t="s">
        <v>582</v>
      </c>
      <c r="D769" s="403" t="s">
        <v>1368</v>
      </c>
      <c r="E769" s="403" t="s">
        <v>1369</v>
      </c>
      <c r="F769" s="403" t="s">
        <v>1287</v>
      </c>
      <c r="G769" s="403" t="s">
        <v>1466</v>
      </c>
      <c r="H769" s="403" t="s">
        <v>1281</v>
      </c>
      <c r="I769" s="403">
        <v>1</v>
      </c>
      <c r="J769" s="403" t="s">
        <v>110</v>
      </c>
      <c r="K769" s="403">
        <v>1920</v>
      </c>
      <c r="L769" s="403">
        <v>1080</v>
      </c>
      <c r="M769" s="403" t="s">
        <v>1284</v>
      </c>
      <c r="N769" s="403">
        <v>640</v>
      </c>
      <c r="O769" s="403">
        <v>480</v>
      </c>
      <c r="P769" t="str">
        <f t="shared" si="89"/>
        <v>25fps 1080p - SD VGA (cropped)</v>
      </c>
      <c r="Q769">
        <f t="shared" si="90"/>
        <v>4</v>
      </c>
      <c r="R769" t="str">
        <f t="shared" si="91"/>
        <v/>
      </c>
      <c r="S769" t="str">
        <f t="shared" si="92"/>
        <v/>
      </c>
      <c r="T769" s="403" t="str">
        <f t="shared" si="93"/>
        <v>MIC-9502-Z30xQS</v>
      </c>
      <c r="U769" s="403">
        <f t="shared" si="94"/>
        <v>1</v>
      </c>
      <c r="V769" s="403" t="str">
        <f t="shared" si="95"/>
        <v>CPP_7_3</v>
      </c>
    </row>
    <row r="770" spans="1:22">
      <c r="A770" t="str">
        <f t="shared" ref="A770:A833" si="96">IF(AND(G770&lt;&gt;"rotate 90°"),D770,"")</f>
        <v>MIC-9502-Z30xQS</v>
      </c>
      <c r="B770" s="403" t="s">
        <v>1367</v>
      </c>
      <c r="C770" s="403" t="s">
        <v>582</v>
      </c>
      <c r="D770" s="403" t="s">
        <v>1368</v>
      </c>
      <c r="E770" s="403" t="s">
        <v>1369</v>
      </c>
      <c r="F770" s="403" t="s">
        <v>1287</v>
      </c>
      <c r="G770" s="403" t="s">
        <v>1466</v>
      </c>
      <c r="H770" s="403" t="s">
        <v>1281</v>
      </c>
      <c r="I770" s="403">
        <v>1</v>
      </c>
      <c r="J770" s="403" t="s">
        <v>109</v>
      </c>
      <c r="K770" s="403">
        <v>1280</v>
      </c>
      <c r="L770" s="403">
        <v>720</v>
      </c>
      <c r="M770" s="403" t="s">
        <v>109</v>
      </c>
      <c r="N770" s="403">
        <v>1280</v>
      </c>
      <c r="O770" s="403">
        <v>720</v>
      </c>
      <c r="P770" t="str">
        <f t="shared" ref="P770:P833" si="97">LEFT(F770,5)&amp;" "&amp;J770&amp;" - "&amp;M770</f>
        <v>25fps 720p - 720p</v>
      </c>
      <c r="Q770">
        <f t="shared" ref="Q770:Q833" si="98">IF(A769=A770,Q769,Q769+1)</f>
        <v>4</v>
      </c>
      <c r="R770" t="str">
        <f t="shared" ref="R770:R833" si="99">IF(Q769&lt;&gt;Q770,Q770,"")</f>
        <v/>
      </c>
      <c r="S770" t="str">
        <f t="shared" ref="S770:S833" si="100">IF(R770&lt;&gt;"",B770&amp;" ("&amp;D770&amp;")","")</f>
        <v/>
      </c>
      <c r="T770" s="403" t="str">
        <f t="shared" ref="T770:T833" si="101">D770</f>
        <v>MIC-9502-Z30xQS</v>
      </c>
      <c r="U770" s="403">
        <f t="shared" ref="U770:U833" si="102">I770</f>
        <v>1</v>
      </c>
      <c r="V770" s="403" t="str">
        <f t="shared" ref="V770:V833" si="103">C770</f>
        <v>CPP_7_3</v>
      </c>
    </row>
    <row r="771" spans="1:22">
      <c r="A771" t="str">
        <f t="shared" si="96"/>
        <v>MIC-9502-Z30xQS</v>
      </c>
      <c r="B771" s="403" t="s">
        <v>1367</v>
      </c>
      <c r="C771" s="403" t="s">
        <v>582</v>
      </c>
      <c r="D771" s="403" t="s">
        <v>1368</v>
      </c>
      <c r="E771" s="403" t="s">
        <v>1369</v>
      </c>
      <c r="F771" s="403" t="s">
        <v>1287</v>
      </c>
      <c r="G771" s="403" t="s">
        <v>1466</v>
      </c>
      <c r="H771" s="403" t="s">
        <v>1281</v>
      </c>
      <c r="I771" s="403">
        <v>1</v>
      </c>
      <c r="J771" s="403" t="s">
        <v>109</v>
      </c>
      <c r="K771" s="403">
        <v>1280</v>
      </c>
      <c r="L771" s="403">
        <v>720</v>
      </c>
      <c r="M771" s="403" t="s">
        <v>111</v>
      </c>
      <c r="N771" s="403">
        <v>768</v>
      </c>
      <c r="O771" s="403">
        <v>432</v>
      </c>
      <c r="P771" t="str">
        <f t="shared" si="97"/>
        <v>25fps 720p - SD</v>
      </c>
      <c r="Q771">
        <f t="shared" si="98"/>
        <v>4</v>
      </c>
      <c r="R771" t="str">
        <f t="shared" si="99"/>
        <v/>
      </c>
      <c r="S771" t="str">
        <f t="shared" si="100"/>
        <v/>
      </c>
      <c r="T771" s="403" t="str">
        <f t="shared" si="101"/>
        <v>MIC-9502-Z30xQS</v>
      </c>
      <c r="U771" s="403">
        <f t="shared" si="102"/>
        <v>1</v>
      </c>
      <c r="V771" s="403" t="str">
        <f t="shared" si="103"/>
        <v>CPP_7_3</v>
      </c>
    </row>
    <row r="772" spans="1:22">
      <c r="A772" t="str">
        <f t="shared" si="96"/>
        <v>MIC-9502-Z30xQS</v>
      </c>
      <c r="B772" s="403" t="s">
        <v>1367</v>
      </c>
      <c r="C772" s="403" t="s">
        <v>582</v>
      </c>
      <c r="D772" s="403" t="s">
        <v>1368</v>
      </c>
      <c r="E772" s="403" t="s">
        <v>1369</v>
      </c>
      <c r="F772" s="403" t="s">
        <v>1287</v>
      </c>
      <c r="G772" s="403" t="s">
        <v>1466</v>
      </c>
      <c r="H772" s="403" t="s">
        <v>1281</v>
      </c>
      <c r="I772" s="403">
        <v>1</v>
      </c>
      <c r="J772" s="403" t="s">
        <v>109</v>
      </c>
      <c r="K772" s="403">
        <v>1280</v>
      </c>
      <c r="L772" s="403">
        <v>720</v>
      </c>
      <c r="M772" s="403" t="s">
        <v>1283</v>
      </c>
      <c r="N772" s="403">
        <v>720</v>
      </c>
      <c r="O772" s="403">
        <v>576</v>
      </c>
      <c r="P772" t="str">
        <f t="shared" si="97"/>
        <v>25fps 720p - SD 4CIF resolution 4:3 format (cropped)</v>
      </c>
      <c r="Q772">
        <f t="shared" si="98"/>
        <v>4</v>
      </c>
      <c r="R772" t="str">
        <f t="shared" si="99"/>
        <v/>
      </c>
      <c r="S772" t="str">
        <f t="shared" si="100"/>
        <v/>
      </c>
      <c r="T772" s="403" t="str">
        <f t="shared" si="101"/>
        <v>MIC-9502-Z30xQS</v>
      </c>
      <c r="U772" s="403">
        <f t="shared" si="102"/>
        <v>1</v>
      </c>
      <c r="V772" s="403" t="str">
        <f t="shared" si="103"/>
        <v>CPP_7_3</v>
      </c>
    </row>
    <row r="773" spans="1:22">
      <c r="A773" t="str">
        <f t="shared" si="96"/>
        <v>MIC-9502-Z30xQS</v>
      </c>
      <c r="B773" s="403" t="s">
        <v>1367</v>
      </c>
      <c r="C773" s="403" t="s">
        <v>582</v>
      </c>
      <c r="D773" s="403" t="s">
        <v>1368</v>
      </c>
      <c r="E773" s="403" t="s">
        <v>1369</v>
      </c>
      <c r="F773" s="403" t="s">
        <v>1287</v>
      </c>
      <c r="G773" s="403" t="s">
        <v>1466</v>
      </c>
      <c r="H773" s="403" t="s">
        <v>1281</v>
      </c>
      <c r="I773" s="403">
        <v>1</v>
      </c>
      <c r="J773" s="403" t="s">
        <v>109</v>
      </c>
      <c r="K773" s="403">
        <v>1280</v>
      </c>
      <c r="L773" s="403">
        <v>720</v>
      </c>
      <c r="M773" s="403" t="s">
        <v>1284</v>
      </c>
      <c r="N773" s="403">
        <v>640</v>
      </c>
      <c r="O773" s="403">
        <v>480</v>
      </c>
      <c r="P773" t="str">
        <f t="shared" si="97"/>
        <v>25fps 720p - SD VGA (cropped)</v>
      </c>
      <c r="Q773">
        <f t="shared" si="98"/>
        <v>4</v>
      </c>
      <c r="R773" t="str">
        <f t="shared" si="99"/>
        <v/>
      </c>
      <c r="S773" t="str">
        <f t="shared" si="100"/>
        <v/>
      </c>
      <c r="T773" s="403" t="str">
        <f t="shared" si="101"/>
        <v>MIC-9502-Z30xQS</v>
      </c>
      <c r="U773" s="403">
        <f t="shared" si="102"/>
        <v>1</v>
      </c>
      <c r="V773" s="403" t="str">
        <f t="shared" si="103"/>
        <v>CPP_7_3</v>
      </c>
    </row>
    <row r="774" spans="1:22">
      <c r="A774" t="str">
        <f t="shared" si="96"/>
        <v>MIC-9502-Z30xQS</v>
      </c>
      <c r="B774" s="403" t="s">
        <v>1367</v>
      </c>
      <c r="C774" s="403" t="s">
        <v>582</v>
      </c>
      <c r="D774" s="403" t="s">
        <v>1368</v>
      </c>
      <c r="E774" s="403" t="s">
        <v>1369</v>
      </c>
      <c r="F774" s="403" t="s">
        <v>1287</v>
      </c>
      <c r="G774" s="403" t="s">
        <v>1466</v>
      </c>
      <c r="H774" s="403" t="s">
        <v>1281</v>
      </c>
      <c r="I774" s="403">
        <v>2</v>
      </c>
      <c r="J774" s="403" t="s">
        <v>111</v>
      </c>
      <c r="K774" s="403">
        <v>320</v>
      </c>
      <c r="L774" s="403">
        <v>240</v>
      </c>
      <c r="M774" s="403" t="s">
        <v>111</v>
      </c>
      <c r="N774" s="403">
        <v>320</v>
      </c>
      <c r="O774" s="403">
        <v>240</v>
      </c>
      <c r="P774" t="str">
        <f t="shared" si="97"/>
        <v>25fps SD - SD</v>
      </c>
      <c r="Q774">
        <f t="shared" si="98"/>
        <v>4</v>
      </c>
      <c r="R774" t="str">
        <f t="shared" si="99"/>
        <v/>
      </c>
      <c r="S774" t="str">
        <f t="shared" si="100"/>
        <v/>
      </c>
      <c r="T774" s="403" t="str">
        <f t="shared" si="101"/>
        <v>MIC-9502-Z30xQS</v>
      </c>
      <c r="U774" s="403">
        <f t="shared" si="102"/>
        <v>2</v>
      </c>
      <c r="V774" s="403" t="str">
        <f t="shared" si="103"/>
        <v>CPP_7_3</v>
      </c>
    </row>
    <row r="775" spans="1:22">
      <c r="A775" t="str">
        <f t="shared" si="96"/>
        <v>MIC-9502-Z30xQS</v>
      </c>
      <c r="B775" s="403" t="s">
        <v>1367</v>
      </c>
      <c r="C775" s="403" t="s">
        <v>582</v>
      </c>
      <c r="D775" s="403" t="s">
        <v>1368</v>
      </c>
      <c r="E775" s="403" t="s">
        <v>1369</v>
      </c>
      <c r="F775" s="403" t="s">
        <v>1287</v>
      </c>
      <c r="G775" s="403" t="s">
        <v>1466</v>
      </c>
      <c r="H775" s="403" t="s">
        <v>1281</v>
      </c>
      <c r="I775" s="403">
        <v>2</v>
      </c>
      <c r="J775" s="403" t="s">
        <v>111</v>
      </c>
      <c r="K775" s="403">
        <v>320</v>
      </c>
      <c r="L775" s="403">
        <v>240</v>
      </c>
      <c r="M775" s="403" t="s">
        <v>1280</v>
      </c>
      <c r="N775" s="403">
        <v>320</v>
      </c>
      <c r="O775" s="403">
        <v>240</v>
      </c>
      <c r="P775" t="str">
        <f t="shared" si="97"/>
        <v>25fps SD - copy other stream</v>
      </c>
      <c r="Q775">
        <f t="shared" si="98"/>
        <v>4</v>
      </c>
      <c r="R775" t="str">
        <f t="shared" si="99"/>
        <v/>
      </c>
      <c r="S775" t="str">
        <f t="shared" si="100"/>
        <v/>
      </c>
      <c r="T775" s="403" t="str">
        <f t="shared" si="101"/>
        <v>MIC-9502-Z30xQS</v>
      </c>
      <c r="U775" s="403">
        <f t="shared" si="102"/>
        <v>2</v>
      </c>
      <c r="V775" s="403" t="str">
        <f t="shared" si="103"/>
        <v>CPP_7_3</v>
      </c>
    </row>
    <row r="776" spans="1:22">
      <c r="A776" t="str">
        <f t="shared" si="96"/>
        <v>MIC-9502-Z30xQS</v>
      </c>
      <c r="B776" s="403" t="s">
        <v>1367</v>
      </c>
      <c r="C776" s="403" t="s">
        <v>582</v>
      </c>
      <c r="D776" s="403" t="s">
        <v>1368</v>
      </c>
      <c r="E776" s="403" t="s">
        <v>1369</v>
      </c>
      <c r="F776" s="403" t="s">
        <v>1286</v>
      </c>
      <c r="G776" s="403" t="s">
        <v>1466</v>
      </c>
      <c r="H776" s="403" t="s">
        <v>1276</v>
      </c>
      <c r="I776" s="403">
        <v>1</v>
      </c>
      <c r="J776" s="403" t="s">
        <v>110</v>
      </c>
      <c r="K776" s="403">
        <v>1920</v>
      </c>
      <c r="L776" s="403">
        <v>1080</v>
      </c>
      <c r="M776" s="403" t="s">
        <v>111</v>
      </c>
      <c r="N776" s="403">
        <v>768</v>
      </c>
      <c r="O776" s="403">
        <v>432</v>
      </c>
      <c r="P776" t="str">
        <f t="shared" si="97"/>
        <v>30fps 1080p - SD</v>
      </c>
      <c r="Q776">
        <f t="shared" si="98"/>
        <v>4</v>
      </c>
      <c r="R776" t="str">
        <f t="shared" si="99"/>
        <v/>
      </c>
      <c r="S776" t="str">
        <f t="shared" si="100"/>
        <v/>
      </c>
      <c r="T776" s="403" t="str">
        <f t="shared" si="101"/>
        <v>MIC-9502-Z30xQS</v>
      </c>
      <c r="U776" s="403">
        <f t="shared" si="102"/>
        <v>1</v>
      </c>
      <c r="V776" s="403" t="str">
        <f t="shared" si="103"/>
        <v>CPP_7_3</v>
      </c>
    </row>
    <row r="777" spans="1:22">
      <c r="A777" t="str">
        <f t="shared" si="96"/>
        <v>MIC-9502-Z30xQS</v>
      </c>
      <c r="B777" s="403" t="s">
        <v>1367</v>
      </c>
      <c r="C777" s="403" t="s">
        <v>582</v>
      </c>
      <c r="D777" s="403" t="s">
        <v>1368</v>
      </c>
      <c r="E777" s="403" t="s">
        <v>1369</v>
      </c>
      <c r="F777" s="403" t="s">
        <v>1286</v>
      </c>
      <c r="G777" s="403" t="s">
        <v>1466</v>
      </c>
      <c r="H777" s="403" t="s">
        <v>1276</v>
      </c>
      <c r="I777" s="403">
        <v>1</v>
      </c>
      <c r="J777" s="403" t="s">
        <v>110</v>
      </c>
      <c r="K777" s="403">
        <v>1920</v>
      </c>
      <c r="L777" s="403">
        <v>1080</v>
      </c>
      <c r="M777" s="403" t="s">
        <v>110</v>
      </c>
      <c r="N777" s="403">
        <v>1920</v>
      </c>
      <c r="O777" s="403">
        <v>1080</v>
      </c>
      <c r="P777" t="str">
        <f t="shared" si="97"/>
        <v>30fps 1080p - 1080p</v>
      </c>
      <c r="Q777">
        <f t="shared" si="98"/>
        <v>4</v>
      </c>
      <c r="R777" t="str">
        <f t="shared" si="99"/>
        <v/>
      </c>
      <c r="S777" t="str">
        <f t="shared" si="100"/>
        <v/>
      </c>
      <c r="T777" s="403" t="str">
        <f t="shared" si="101"/>
        <v>MIC-9502-Z30xQS</v>
      </c>
      <c r="U777" s="403">
        <f t="shared" si="102"/>
        <v>1</v>
      </c>
      <c r="V777" s="403" t="str">
        <f t="shared" si="103"/>
        <v>CPP_7_3</v>
      </c>
    </row>
    <row r="778" spans="1:22">
      <c r="A778" t="str">
        <f t="shared" si="96"/>
        <v>MIC-9502-Z30xQS</v>
      </c>
      <c r="B778" s="403" t="s">
        <v>1367</v>
      </c>
      <c r="C778" s="403" t="s">
        <v>582</v>
      </c>
      <c r="D778" s="403" t="s">
        <v>1368</v>
      </c>
      <c r="E778" s="403" t="s">
        <v>1369</v>
      </c>
      <c r="F778" s="403" t="s">
        <v>1286</v>
      </c>
      <c r="G778" s="403" t="s">
        <v>1466</v>
      </c>
      <c r="H778" s="403" t="s">
        <v>1276</v>
      </c>
      <c r="I778" s="403">
        <v>1</v>
      </c>
      <c r="J778" s="403" t="s">
        <v>110</v>
      </c>
      <c r="K778" s="403">
        <v>1920</v>
      </c>
      <c r="L778" s="403">
        <v>1080</v>
      </c>
      <c r="M778" s="403" t="s">
        <v>109</v>
      </c>
      <c r="N778" s="403">
        <v>1280</v>
      </c>
      <c r="O778" s="403">
        <v>720</v>
      </c>
      <c r="P778" t="str">
        <f t="shared" si="97"/>
        <v>30fps 1080p - 720p</v>
      </c>
      <c r="Q778">
        <f t="shared" si="98"/>
        <v>4</v>
      </c>
      <c r="R778" t="str">
        <f t="shared" si="99"/>
        <v/>
      </c>
      <c r="S778" t="str">
        <f t="shared" si="100"/>
        <v/>
      </c>
      <c r="T778" s="403" t="str">
        <f t="shared" si="101"/>
        <v>MIC-9502-Z30xQS</v>
      </c>
      <c r="U778" s="403">
        <f t="shared" si="102"/>
        <v>1</v>
      </c>
      <c r="V778" s="403" t="str">
        <f t="shared" si="103"/>
        <v>CPP_7_3</v>
      </c>
    </row>
    <row r="779" spans="1:22">
      <c r="A779" t="str">
        <f t="shared" si="96"/>
        <v>MIC-9502-Z30xQS</v>
      </c>
      <c r="B779" s="403" t="s">
        <v>1367</v>
      </c>
      <c r="C779" s="403" t="s">
        <v>582</v>
      </c>
      <c r="D779" s="403" t="s">
        <v>1368</v>
      </c>
      <c r="E779" s="403" t="s">
        <v>1369</v>
      </c>
      <c r="F779" s="403" t="s">
        <v>1286</v>
      </c>
      <c r="G779" s="403" t="s">
        <v>1466</v>
      </c>
      <c r="H779" s="403" t="s">
        <v>1276</v>
      </c>
      <c r="I779" s="403">
        <v>1</v>
      </c>
      <c r="J779" s="403" t="s">
        <v>110</v>
      </c>
      <c r="K779" s="403">
        <v>1920</v>
      </c>
      <c r="L779" s="403">
        <v>1080</v>
      </c>
      <c r="M779" s="403" t="s">
        <v>1285</v>
      </c>
      <c r="N779" s="403">
        <v>1280</v>
      </c>
      <c r="O779" s="403">
        <v>1024</v>
      </c>
      <c r="P779" t="str">
        <f t="shared" si="97"/>
        <v>30fps 1080p - 1280x1024 5:4 (cropped)</v>
      </c>
      <c r="Q779">
        <f t="shared" si="98"/>
        <v>4</v>
      </c>
      <c r="R779" t="str">
        <f t="shared" si="99"/>
        <v/>
      </c>
      <c r="S779" t="str">
        <f t="shared" si="100"/>
        <v/>
      </c>
      <c r="T779" s="403" t="str">
        <f t="shared" si="101"/>
        <v>MIC-9502-Z30xQS</v>
      </c>
      <c r="U779" s="403">
        <f t="shared" si="102"/>
        <v>1</v>
      </c>
      <c r="V779" s="403" t="str">
        <f t="shared" si="103"/>
        <v>CPP_7_3</v>
      </c>
    </row>
    <row r="780" spans="1:22">
      <c r="A780" t="str">
        <f t="shared" si="96"/>
        <v>MIC-9502-Z30xQS</v>
      </c>
      <c r="B780" s="403" t="s">
        <v>1367</v>
      </c>
      <c r="C780" s="403" t="s">
        <v>582</v>
      </c>
      <c r="D780" s="403" t="s">
        <v>1368</v>
      </c>
      <c r="E780" s="403" t="s">
        <v>1369</v>
      </c>
      <c r="F780" s="403" t="s">
        <v>1286</v>
      </c>
      <c r="G780" s="403" t="s">
        <v>1466</v>
      </c>
      <c r="H780" s="403" t="s">
        <v>1276</v>
      </c>
      <c r="I780" s="403">
        <v>1</v>
      </c>
      <c r="J780" s="403" t="s">
        <v>110</v>
      </c>
      <c r="K780" s="403">
        <v>1920</v>
      </c>
      <c r="L780" s="403">
        <v>1080</v>
      </c>
      <c r="M780" s="403" t="s">
        <v>1283</v>
      </c>
      <c r="N780" s="403">
        <v>720</v>
      </c>
      <c r="O780" s="403">
        <v>480</v>
      </c>
      <c r="P780" t="str">
        <f t="shared" si="97"/>
        <v>30fps 1080p - SD 4CIF resolution 4:3 format (cropped)</v>
      </c>
      <c r="Q780">
        <f t="shared" si="98"/>
        <v>4</v>
      </c>
      <c r="R780" t="str">
        <f t="shared" si="99"/>
        <v/>
      </c>
      <c r="S780" t="str">
        <f t="shared" si="100"/>
        <v/>
      </c>
      <c r="T780" s="403" t="str">
        <f t="shared" si="101"/>
        <v>MIC-9502-Z30xQS</v>
      </c>
      <c r="U780" s="403">
        <f t="shared" si="102"/>
        <v>1</v>
      </c>
      <c r="V780" s="403" t="str">
        <f t="shared" si="103"/>
        <v>CPP_7_3</v>
      </c>
    </row>
    <row r="781" spans="1:22">
      <c r="A781" t="str">
        <f t="shared" si="96"/>
        <v>MIC-9502-Z30xQS</v>
      </c>
      <c r="B781" s="403" t="s">
        <v>1367</v>
      </c>
      <c r="C781" s="403" t="s">
        <v>582</v>
      </c>
      <c r="D781" s="403" t="s">
        <v>1368</v>
      </c>
      <c r="E781" s="403" t="s">
        <v>1369</v>
      </c>
      <c r="F781" s="403" t="s">
        <v>1286</v>
      </c>
      <c r="G781" s="403" t="s">
        <v>1466</v>
      </c>
      <c r="H781" s="403" t="s">
        <v>1276</v>
      </c>
      <c r="I781" s="403">
        <v>1</v>
      </c>
      <c r="J781" s="403" t="s">
        <v>110</v>
      </c>
      <c r="K781" s="403">
        <v>1920</v>
      </c>
      <c r="L781" s="403">
        <v>1080</v>
      </c>
      <c r="M781" s="403" t="s">
        <v>1284</v>
      </c>
      <c r="N781" s="403">
        <v>640</v>
      </c>
      <c r="O781" s="403">
        <v>480</v>
      </c>
      <c r="P781" t="str">
        <f t="shared" si="97"/>
        <v>30fps 1080p - SD VGA (cropped)</v>
      </c>
      <c r="Q781">
        <f t="shared" si="98"/>
        <v>4</v>
      </c>
      <c r="R781" t="str">
        <f t="shared" si="99"/>
        <v/>
      </c>
      <c r="S781" t="str">
        <f t="shared" si="100"/>
        <v/>
      </c>
      <c r="T781" s="403" t="str">
        <f t="shared" si="101"/>
        <v>MIC-9502-Z30xQS</v>
      </c>
      <c r="U781" s="403">
        <f t="shared" si="102"/>
        <v>1</v>
      </c>
      <c r="V781" s="403" t="str">
        <f t="shared" si="103"/>
        <v>CPP_7_3</v>
      </c>
    </row>
    <row r="782" spans="1:22">
      <c r="A782" t="str">
        <f t="shared" si="96"/>
        <v>MIC-9502-Z30xQS</v>
      </c>
      <c r="B782" s="403" t="s">
        <v>1367</v>
      </c>
      <c r="C782" s="403" t="s">
        <v>582</v>
      </c>
      <c r="D782" s="403" t="s">
        <v>1368</v>
      </c>
      <c r="E782" s="403" t="s">
        <v>1369</v>
      </c>
      <c r="F782" s="403" t="s">
        <v>1286</v>
      </c>
      <c r="G782" s="403" t="s">
        <v>1466</v>
      </c>
      <c r="H782" s="403" t="s">
        <v>1276</v>
      </c>
      <c r="I782" s="403">
        <v>1</v>
      </c>
      <c r="J782" s="403" t="s">
        <v>109</v>
      </c>
      <c r="K782" s="403">
        <v>1280</v>
      </c>
      <c r="L782" s="403">
        <v>720</v>
      </c>
      <c r="M782" s="403" t="s">
        <v>109</v>
      </c>
      <c r="N782" s="403">
        <v>1280</v>
      </c>
      <c r="O782" s="403">
        <v>720</v>
      </c>
      <c r="P782" t="str">
        <f t="shared" si="97"/>
        <v>30fps 720p - 720p</v>
      </c>
      <c r="Q782">
        <f t="shared" si="98"/>
        <v>4</v>
      </c>
      <c r="R782" t="str">
        <f t="shared" si="99"/>
        <v/>
      </c>
      <c r="S782" t="str">
        <f t="shared" si="100"/>
        <v/>
      </c>
      <c r="T782" s="403" t="str">
        <f t="shared" si="101"/>
        <v>MIC-9502-Z30xQS</v>
      </c>
      <c r="U782" s="403">
        <f t="shared" si="102"/>
        <v>1</v>
      </c>
      <c r="V782" s="403" t="str">
        <f t="shared" si="103"/>
        <v>CPP_7_3</v>
      </c>
    </row>
    <row r="783" spans="1:22">
      <c r="A783" t="str">
        <f t="shared" si="96"/>
        <v>MIC-9502-Z30xQS</v>
      </c>
      <c r="B783" s="403" t="s">
        <v>1367</v>
      </c>
      <c r="C783" s="403" t="s">
        <v>582</v>
      </c>
      <c r="D783" s="403" t="s">
        <v>1368</v>
      </c>
      <c r="E783" s="403" t="s">
        <v>1369</v>
      </c>
      <c r="F783" s="403" t="s">
        <v>1286</v>
      </c>
      <c r="G783" s="403" t="s">
        <v>1466</v>
      </c>
      <c r="H783" s="403" t="s">
        <v>1276</v>
      </c>
      <c r="I783" s="403">
        <v>1</v>
      </c>
      <c r="J783" s="403" t="s">
        <v>109</v>
      </c>
      <c r="K783" s="403">
        <v>1280</v>
      </c>
      <c r="L783" s="403">
        <v>720</v>
      </c>
      <c r="M783" s="403" t="s">
        <v>111</v>
      </c>
      <c r="N783" s="403">
        <v>768</v>
      </c>
      <c r="O783" s="403">
        <v>432</v>
      </c>
      <c r="P783" t="str">
        <f t="shared" si="97"/>
        <v>30fps 720p - SD</v>
      </c>
      <c r="Q783">
        <f t="shared" si="98"/>
        <v>4</v>
      </c>
      <c r="R783" t="str">
        <f t="shared" si="99"/>
        <v/>
      </c>
      <c r="S783" t="str">
        <f t="shared" si="100"/>
        <v/>
      </c>
      <c r="T783" s="403" t="str">
        <f t="shared" si="101"/>
        <v>MIC-9502-Z30xQS</v>
      </c>
      <c r="U783" s="403">
        <f t="shared" si="102"/>
        <v>1</v>
      </c>
      <c r="V783" s="403" t="str">
        <f t="shared" si="103"/>
        <v>CPP_7_3</v>
      </c>
    </row>
    <row r="784" spans="1:22">
      <c r="A784" t="str">
        <f t="shared" si="96"/>
        <v>MIC-9502-Z30xQS</v>
      </c>
      <c r="B784" s="403" t="s">
        <v>1367</v>
      </c>
      <c r="C784" s="403" t="s">
        <v>582</v>
      </c>
      <c r="D784" s="403" t="s">
        <v>1368</v>
      </c>
      <c r="E784" s="403" t="s">
        <v>1369</v>
      </c>
      <c r="F784" s="403" t="s">
        <v>1286</v>
      </c>
      <c r="G784" s="403" t="s">
        <v>1466</v>
      </c>
      <c r="H784" s="403" t="s">
        <v>1276</v>
      </c>
      <c r="I784" s="403">
        <v>1</v>
      </c>
      <c r="J784" s="403" t="s">
        <v>109</v>
      </c>
      <c r="K784" s="403">
        <v>1280</v>
      </c>
      <c r="L784" s="403">
        <v>720</v>
      </c>
      <c r="M784" s="403" t="s">
        <v>1283</v>
      </c>
      <c r="N784" s="403">
        <v>720</v>
      </c>
      <c r="O784" s="403">
        <v>480</v>
      </c>
      <c r="P784" t="str">
        <f t="shared" si="97"/>
        <v>30fps 720p - SD 4CIF resolution 4:3 format (cropped)</v>
      </c>
      <c r="Q784">
        <f t="shared" si="98"/>
        <v>4</v>
      </c>
      <c r="R784" t="str">
        <f t="shared" si="99"/>
        <v/>
      </c>
      <c r="S784" t="str">
        <f t="shared" si="100"/>
        <v/>
      </c>
      <c r="T784" s="403" t="str">
        <f t="shared" si="101"/>
        <v>MIC-9502-Z30xQS</v>
      </c>
      <c r="U784" s="403">
        <f t="shared" si="102"/>
        <v>1</v>
      </c>
      <c r="V784" s="403" t="str">
        <f t="shared" si="103"/>
        <v>CPP_7_3</v>
      </c>
    </row>
    <row r="785" spans="1:22">
      <c r="A785" t="str">
        <f t="shared" si="96"/>
        <v>MIC-9502-Z30xQS</v>
      </c>
      <c r="B785" s="403" t="s">
        <v>1367</v>
      </c>
      <c r="C785" s="403" t="s">
        <v>582</v>
      </c>
      <c r="D785" s="403" t="s">
        <v>1368</v>
      </c>
      <c r="E785" s="403" t="s">
        <v>1369</v>
      </c>
      <c r="F785" s="403" t="s">
        <v>1286</v>
      </c>
      <c r="G785" s="403" t="s">
        <v>1466</v>
      </c>
      <c r="H785" s="403" t="s">
        <v>1276</v>
      </c>
      <c r="I785" s="403">
        <v>1</v>
      </c>
      <c r="J785" s="403" t="s">
        <v>109</v>
      </c>
      <c r="K785" s="403">
        <v>1280</v>
      </c>
      <c r="L785" s="403">
        <v>720</v>
      </c>
      <c r="M785" s="403" t="s">
        <v>1284</v>
      </c>
      <c r="N785" s="403">
        <v>640</v>
      </c>
      <c r="O785" s="403">
        <v>480</v>
      </c>
      <c r="P785" t="str">
        <f t="shared" si="97"/>
        <v>30fps 720p - SD VGA (cropped)</v>
      </c>
      <c r="Q785">
        <f t="shared" si="98"/>
        <v>4</v>
      </c>
      <c r="R785" t="str">
        <f t="shared" si="99"/>
        <v/>
      </c>
      <c r="S785" t="str">
        <f t="shared" si="100"/>
        <v/>
      </c>
      <c r="T785" s="403" t="str">
        <f t="shared" si="101"/>
        <v>MIC-9502-Z30xQS</v>
      </c>
      <c r="U785" s="403">
        <f t="shared" si="102"/>
        <v>1</v>
      </c>
      <c r="V785" s="403" t="str">
        <f t="shared" si="103"/>
        <v>CPP_7_3</v>
      </c>
    </row>
    <row r="786" spans="1:22">
      <c r="A786" t="str">
        <f t="shared" si="96"/>
        <v>MIC-9502-Z30xQS</v>
      </c>
      <c r="B786" s="403" t="s">
        <v>1367</v>
      </c>
      <c r="C786" s="403" t="s">
        <v>582</v>
      </c>
      <c r="D786" s="403" t="s">
        <v>1368</v>
      </c>
      <c r="E786" s="403" t="s">
        <v>1369</v>
      </c>
      <c r="F786" s="403" t="s">
        <v>1286</v>
      </c>
      <c r="G786" s="403" t="s">
        <v>1466</v>
      </c>
      <c r="H786" s="403" t="s">
        <v>1276</v>
      </c>
      <c r="I786" s="403">
        <v>2</v>
      </c>
      <c r="J786" s="403" t="s">
        <v>111</v>
      </c>
      <c r="K786" s="403">
        <v>320</v>
      </c>
      <c r="L786" s="403">
        <v>240</v>
      </c>
      <c r="M786" s="403" t="s">
        <v>111</v>
      </c>
      <c r="N786" s="403">
        <v>320</v>
      </c>
      <c r="O786" s="403">
        <v>240</v>
      </c>
      <c r="P786" t="str">
        <f t="shared" si="97"/>
        <v>30fps SD - SD</v>
      </c>
      <c r="Q786">
        <f t="shared" si="98"/>
        <v>4</v>
      </c>
      <c r="R786" t="str">
        <f t="shared" si="99"/>
        <v/>
      </c>
      <c r="S786" t="str">
        <f t="shared" si="100"/>
        <v/>
      </c>
      <c r="T786" s="403" t="str">
        <f t="shared" si="101"/>
        <v>MIC-9502-Z30xQS</v>
      </c>
      <c r="U786" s="403">
        <f t="shared" si="102"/>
        <v>2</v>
      </c>
      <c r="V786" s="403" t="str">
        <f t="shared" si="103"/>
        <v>CPP_7_3</v>
      </c>
    </row>
    <row r="787" spans="1:22">
      <c r="A787" t="str">
        <f t="shared" si="96"/>
        <v>MIC-9502-Z30xQS</v>
      </c>
      <c r="B787" s="403" t="s">
        <v>1367</v>
      </c>
      <c r="C787" s="403" t="s">
        <v>582</v>
      </c>
      <c r="D787" s="403" t="s">
        <v>1368</v>
      </c>
      <c r="E787" s="403" t="s">
        <v>1369</v>
      </c>
      <c r="F787" s="403" t="s">
        <v>1286</v>
      </c>
      <c r="G787" s="403" t="s">
        <v>1466</v>
      </c>
      <c r="H787" s="403" t="s">
        <v>1276</v>
      </c>
      <c r="I787" s="403">
        <v>2</v>
      </c>
      <c r="J787" s="403" t="s">
        <v>111</v>
      </c>
      <c r="K787" s="403">
        <v>320</v>
      </c>
      <c r="L787" s="403">
        <v>240</v>
      </c>
      <c r="M787" s="403" t="s">
        <v>1280</v>
      </c>
      <c r="N787" s="403">
        <v>320</v>
      </c>
      <c r="O787" s="403">
        <v>240</v>
      </c>
      <c r="P787" t="str">
        <f t="shared" si="97"/>
        <v>30fps SD - copy other stream</v>
      </c>
      <c r="Q787">
        <f t="shared" si="98"/>
        <v>4</v>
      </c>
      <c r="R787" t="str">
        <f t="shared" si="99"/>
        <v/>
      </c>
      <c r="S787" t="str">
        <f t="shared" si="100"/>
        <v/>
      </c>
      <c r="T787" s="403" t="str">
        <f t="shared" si="101"/>
        <v>MIC-9502-Z30xQS</v>
      </c>
      <c r="U787" s="403">
        <f t="shared" si="102"/>
        <v>2</v>
      </c>
      <c r="V787" s="403" t="str">
        <f t="shared" si="103"/>
        <v>CPP_7_3</v>
      </c>
    </row>
    <row r="788" spans="1:22">
      <c r="A788" t="str">
        <f t="shared" si="96"/>
        <v>MIC-9502-Z30xQS</v>
      </c>
      <c r="B788" s="403" t="s">
        <v>1367</v>
      </c>
      <c r="C788" s="403" t="s">
        <v>582</v>
      </c>
      <c r="D788" s="403" t="s">
        <v>1368</v>
      </c>
      <c r="E788" s="403" t="s">
        <v>1369</v>
      </c>
      <c r="F788" s="403" t="s">
        <v>1286</v>
      </c>
      <c r="G788" s="403" t="s">
        <v>1466</v>
      </c>
      <c r="H788" s="403" t="s">
        <v>1281</v>
      </c>
      <c r="I788" s="403">
        <v>1</v>
      </c>
      <c r="J788" s="403" t="s">
        <v>110</v>
      </c>
      <c r="K788" s="403">
        <v>1920</v>
      </c>
      <c r="L788" s="403">
        <v>1080</v>
      </c>
      <c r="M788" s="403" t="s">
        <v>111</v>
      </c>
      <c r="N788" s="403">
        <v>768</v>
      </c>
      <c r="O788" s="403">
        <v>432</v>
      </c>
      <c r="P788" t="str">
        <f t="shared" si="97"/>
        <v>30fps 1080p - SD</v>
      </c>
      <c r="Q788">
        <f t="shared" si="98"/>
        <v>4</v>
      </c>
      <c r="R788" t="str">
        <f t="shared" si="99"/>
        <v/>
      </c>
      <c r="S788" t="str">
        <f t="shared" si="100"/>
        <v/>
      </c>
      <c r="T788" s="403" t="str">
        <f t="shared" si="101"/>
        <v>MIC-9502-Z30xQS</v>
      </c>
      <c r="U788" s="403">
        <f t="shared" si="102"/>
        <v>1</v>
      </c>
      <c r="V788" s="403" t="str">
        <f t="shared" si="103"/>
        <v>CPP_7_3</v>
      </c>
    </row>
    <row r="789" spans="1:22">
      <c r="A789" t="str">
        <f t="shared" si="96"/>
        <v>MIC-9502-Z30xQS</v>
      </c>
      <c r="B789" s="403" t="s">
        <v>1367</v>
      </c>
      <c r="C789" s="403" t="s">
        <v>582</v>
      </c>
      <c r="D789" s="403" t="s">
        <v>1368</v>
      </c>
      <c r="E789" s="403" t="s">
        <v>1369</v>
      </c>
      <c r="F789" s="403" t="s">
        <v>1286</v>
      </c>
      <c r="G789" s="403" t="s">
        <v>1466</v>
      </c>
      <c r="H789" s="403" t="s">
        <v>1281</v>
      </c>
      <c r="I789" s="403">
        <v>1</v>
      </c>
      <c r="J789" s="403" t="s">
        <v>110</v>
      </c>
      <c r="K789" s="403">
        <v>1920</v>
      </c>
      <c r="L789" s="403">
        <v>1080</v>
      </c>
      <c r="M789" s="403" t="s">
        <v>110</v>
      </c>
      <c r="N789" s="403">
        <v>1920</v>
      </c>
      <c r="O789" s="403">
        <v>1080</v>
      </c>
      <c r="P789" t="str">
        <f t="shared" si="97"/>
        <v>30fps 1080p - 1080p</v>
      </c>
      <c r="Q789">
        <f t="shared" si="98"/>
        <v>4</v>
      </c>
      <c r="R789" t="str">
        <f t="shared" si="99"/>
        <v/>
      </c>
      <c r="S789" t="str">
        <f t="shared" si="100"/>
        <v/>
      </c>
      <c r="T789" s="403" t="str">
        <f t="shared" si="101"/>
        <v>MIC-9502-Z30xQS</v>
      </c>
      <c r="U789" s="403">
        <f t="shared" si="102"/>
        <v>1</v>
      </c>
      <c r="V789" s="403" t="str">
        <f t="shared" si="103"/>
        <v>CPP_7_3</v>
      </c>
    </row>
    <row r="790" spans="1:22">
      <c r="A790" t="str">
        <f t="shared" si="96"/>
        <v>MIC-9502-Z30xQS</v>
      </c>
      <c r="B790" s="403" t="s">
        <v>1367</v>
      </c>
      <c r="C790" s="403" t="s">
        <v>582</v>
      </c>
      <c r="D790" s="403" t="s">
        <v>1368</v>
      </c>
      <c r="E790" s="403" t="s">
        <v>1369</v>
      </c>
      <c r="F790" s="403" t="s">
        <v>1286</v>
      </c>
      <c r="G790" s="403" t="s">
        <v>1466</v>
      </c>
      <c r="H790" s="403" t="s">
        <v>1281</v>
      </c>
      <c r="I790" s="403">
        <v>1</v>
      </c>
      <c r="J790" s="403" t="s">
        <v>110</v>
      </c>
      <c r="K790" s="403">
        <v>1920</v>
      </c>
      <c r="L790" s="403">
        <v>1080</v>
      </c>
      <c r="M790" s="403" t="s">
        <v>109</v>
      </c>
      <c r="N790" s="403">
        <v>1280</v>
      </c>
      <c r="O790" s="403">
        <v>720</v>
      </c>
      <c r="P790" t="str">
        <f t="shared" si="97"/>
        <v>30fps 1080p - 720p</v>
      </c>
      <c r="Q790">
        <f t="shared" si="98"/>
        <v>4</v>
      </c>
      <c r="R790" t="str">
        <f t="shared" si="99"/>
        <v/>
      </c>
      <c r="S790" t="str">
        <f t="shared" si="100"/>
        <v/>
      </c>
      <c r="T790" s="403" t="str">
        <f t="shared" si="101"/>
        <v>MIC-9502-Z30xQS</v>
      </c>
      <c r="U790" s="403">
        <f t="shared" si="102"/>
        <v>1</v>
      </c>
      <c r="V790" s="403" t="str">
        <f t="shared" si="103"/>
        <v>CPP_7_3</v>
      </c>
    </row>
    <row r="791" spans="1:22">
      <c r="A791" t="str">
        <f t="shared" si="96"/>
        <v>MIC-9502-Z30xQS</v>
      </c>
      <c r="B791" s="403" t="s">
        <v>1367</v>
      </c>
      <c r="C791" s="403" t="s">
        <v>582</v>
      </c>
      <c r="D791" s="403" t="s">
        <v>1368</v>
      </c>
      <c r="E791" s="403" t="s">
        <v>1369</v>
      </c>
      <c r="F791" s="403" t="s">
        <v>1286</v>
      </c>
      <c r="G791" s="403" t="s">
        <v>1466</v>
      </c>
      <c r="H791" s="403" t="s">
        <v>1281</v>
      </c>
      <c r="I791" s="403">
        <v>1</v>
      </c>
      <c r="J791" s="403" t="s">
        <v>110</v>
      </c>
      <c r="K791" s="403">
        <v>1920</v>
      </c>
      <c r="L791" s="403">
        <v>1080</v>
      </c>
      <c r="M791" s="403" t="s">
        <v>1285</v>
      </c>
      <c r="N791" s="403">
        <v>1280</v>
      </c>
      <c r="O791" s="403">
        <v>1024</v>
      </c>
      <c r="P791" t="str">
        <f t="shared" si="97"/>
        <v>30fps 1080p - 1280x1024 5:4 (cropped)</v>
      </c>
      <c r="Q791">
        <f t="shared" si="98"/>
        <v>4</v>
      </c>
      <c r="R791" t="str">
        <f t="shared" si="99"/>
        <v/>
      </c>
      <c r="S791" t="str">
        <f t="shared" si="100"/>
        <v/>
      </c>
      <c r="T791" s="403" t="str">
        <f t="shared" si="101"/>
        <v>MIC-9502-Z30xQS</v>
      </c>
      <c r="U791" s="403">
        <f t="shared" si="102"/>
        <v>1</v>
      </c>
      <c r="V791" s="403" t="str">
        <f t="shared" si="103"/>
        <v>CPP_7_3</v>
      </c>
    </row>
    <row r="792" spans="1:22">
      <c r="A792" t="str">
        <f t="shared" si="96"/>
        <v>MIC-9502-Z30xQS</v>
      </c>
      <c r="B792" s="403" t="s">
        <v>1367</v>
      </c>
      <c r="C792" s="403" t="s">
        <v>582</v>
      </c>
      <c r="D792" s="403" t="s">
        <v>1368</v>
      </c>
      <c r="E792" s="403" t="s">
        <v>1369</v>
      </c>
      <c r="F792" s="403" t="s">
        <v>1286</v>
      </c>
      <c r="G792" s="403" t="s">
        <v>1466</v>
      </c>
      <c r="H792" s="403" t="s">
        <v>1281</v>
      </c>
      <c r="I792" s="403">
        <v>1</v>
      </c>
      <c r="J792" s="403" t="s">
        <v>110</v>
      </c>
      <c r="K792" s="403">
        <v>1920</v>
      </c>
      <c r="L792" s="403">
        <v>1080</v>
      </c>
      <c r="M792" s="403" t="s">
        <v>1283</v>
      </c>
      <c r="N792" s="403">
        <v>720</v>
      </c>
      <c r="O792" s="403">
        <v>480</v>
      </c>
      <c r="P792" t="str">
        <f t="shared" si="97"/>
        <v>30fps 1080p - SD 4CIF resolution 4:3 format (cropped)</v>
      </c>
      <c r="Q792">
        <f t="shared" si="98"/>
        <v>4</v>
      </c>
      <c r="R792" t="str">
        <f t="shared" si="99"/>
        <v/>
      </c>
      <c r="S792" t="str">
        <f t="shared" si="100"/>
        <v/>
      </c>
      <c r="T792" s="403" t="str">
        <f t="shared" si="101"/>
        <v>MIC-9502-Z30xQS</v>
      </c>
      <c r="U792" s="403">
        <f t="shared" si="102"/>
        <v>1</v>
      </c>
      <c r="V792" s="403" t="str">
        <f t="shared" si="103"/>
        <v>CPP_7_3</v>
      </c>
    </row>
    <row r="793" spans="1:22">
      <c r="A793" t="str">
        <f t="shared" si="96"/>
        <v>MIC-9502-Z30xQS</v>
      </c>
      <c r="B793" s="403" t="s">
        <v>1367</v>
      </c>
      <c r="C793" s="403" t="s">
        <v>582</v>
      </c>
      <c r="D793" s="403" t="s">
        <v>1368</v>
      </c>
      <c r="E793" s="403" t="s">
        <v>1369</v>
      </c>
      <c r="F793" s="403" t="s">
        <v>1286</v>
      </c>
      <c r="G793" s="403" t="s">
        <v>1466</v>
      </c>
      <c r="H793" s="403" t="s">
        <v>1281</v>
      </c>
      <c r="I793" s="403">
        <v>1</v>
      </c>
      <c r="J793" s="403" t="s">
        <v>110</v>
      </c>
      <c r="K793" s="403">
        <v>1920</v>
      </c>
      <c r="L793" s="403">
        <v>1080</v>
      </c>
      <c r="M793" s="403" t="s">
        <v>1284</v>
      </c>
      <c r="N793" s="403">
        <v>640</v>
      </c>
      <c r="O793" s="403">
        <v>480</v>
      </c>
      <c r="P793" t="str">
        <f t="shared" si="97"/>
        <v>30fps 1080p - SD VGA (cropped)</v>
      </c>
      <c r="Q793">
        <f t="shared" si="98"/>
        <v>4</v>
      </c>
      <c r="R793" t="str">
        <f t="shared" si="99"/>
        <v/>
      </c>
      <c r="S793" t="str">
        <f t="shared" si="100"/>
        <v/>
      </c>
      <c r="T793" s="403" t="str">
        <f t="shared" si="101"/>
        <v>MIC-9502-Z30xQS</v>
      </c>
      <c r="U793" s="403">
        <f t="shared" si="102"/>
        <v>1</v>
      </c>
      <c r="V793" s="403" t="str">
        <f t="shared" si="103"/>
        <v>CPP_7_3</v>
      </c>
    </row>
    <row r="794" spans="1:22">
      <c r="A794" t="str">
        <f t="shared" si="96"/>
        <v>MIC-9502-Z30xQS</v>
      </c>
      <c r="B794" s="403" t="s">
        <v>1367</v>
      </c>
      <c r="C794" s="403" t="s">
        <v>582</v>
      </c>
      <c r="D794" s="403" t="s">
        <v>1368</v>
      </c>
      <c r="E794" s="403" t="s">
        <v>1369</v>
      </c>
      <c r="F794" s="403" t="s">
        <v>1286</v>
      </c>
      <c r="G794" s="403" t="s">
        <v>1466</v>
      </c>
      <c r="H794" s="403" t="s">
        <v>1281</v>
      </c>
      <c r="I794" s="403">
        <v>1</v>
      </c>
      <c r="J794" s="403" t="s">
        <v>109</v>
      </c>
      <c r="K794" s="403">
        <v>1280</v>
      </c>
      <c r="L794" s="403">
        <v>720</v>
      </c>
      <c r="M794" s="403" t="s">
        <v>109</v>
      </c>
      <c r="N794" s="403">
        <v>1280</v>
      </c>
      <c r="O794" s="403">
        <v>720</v>
      </c>
      <c r="P794" t="str">
        <f t="shared" si="97"/>
        <v>30fps 720p - 720p</v>
      </c>
      <c r="Q794">
        <f t="shared" si="98"/>
        <v>4</v>
      </c>
      <c r="R794" t="str">
        <f t="shared" si="99"/>
        <v/>
      </c>
      <c r="S794" t="str">
        <f t="shared" si="100"/>
        <v/>
      </c>
      <c r="T794" s="403" t="str">
        <f t="shared" si="101"/>
        <v>MIC-9502-Z30xQS</v>
      </c>
      <c r="U794" s="403">
        <f t="shared" si="102"/>
        <v>1</v>
      </c>
      <c r="V794" s="403" t="str">
        <f t="shared" si="103"/>
        <v>CPP_7_3</v>
      </c>
    </row>
    <row r="795" spans="1:22">
      <c r="A795" t="str">
        <f t="shared" si="96"/>
        <v>MIC-9502-Z30xQS</v>
      </c>
      <c r="B795" s="403" t="s">
        <v>1367</v>
      </c>
      <c r="C795" s="403" t="s">
        <v>582</v>
      </c>
      <c r="D795" s="403" t="s">
        <v>1368</v>
      </c>
      <c r="E795" s="403" t="s">
        <v>1369</v>
      </c>
      <c r="F795" s="403" t="s">
        <v>1286</v>
      </c>
      <c r="G795" s="403" t="s">
        <v>1466</v>
      </c>
      <c r="H795" s="403" t="s">
        <v>1281</v>
      </c>
      <c r="I795" s="403">
        <v>1</v>
      </c>
      <c r="J795" s="403" t="s">
        <v>109</v>
      </c>
      <c r="K795" s="403">
        <v>1280</v>
      </c>
      <c r="L795" s="403">
        <v>720</v>
      </c>
      <c r="M795" s="403" t="s">
        <v>111</v>
      </c>
      <c r="N795" s="403">
        <v>768</v>
      </c>
      <c r="O795" s="403">
        <v>432</v>
      </c>
      <c r="P795" t="str">
        <f t="shared" si="97"/>
        <v>30fps 720p - SD</v>
      </c>
      <c r="Q795">
        <f t="shared" si="98"/>
        <v>4</v>
      </c>
      <c r="R795" t="str">
        <f t="shared" si="99"/>
        <v/>
      </c>
      <c r="S795" t="str">
        <f t="shared" si="100"/>
        <v/>
      </c>
      <c r="T795" s="403" t="str">
        <f t="shared" si="101"/>
        <v>MIC-9502-Z30xQS</v>
      </c>
      <c r="U795" s="403">
        <f t="shared" si="102"/>
        <v>1</v>
      </c>
      <c r="V795" s="403" t="str">
        <f t="shared" si="103"/>
        <v>CPP_7_3</v>
      </c>
    </row>
    <row r="796" spans="1:22">
      <c r="A796" t="str">
        <f t="shared" si="96"/>
        <v>MIC-9502-Z30xQS</v>
      </c>
      <c r="B796" s="403" t="s">
        <v>1367</v>
      </c>
      <c r="C796" s="403" t="s">
        <v>582</v>
      </c>
      <c r="D796" s="403" t="s">
        <v>1368</v>
      </c>
      <c r="E796" s="403" t="s">
        <v>1369</v>
      </c>
      <c r="F796" s="403" t="s">
        <v>1286</v>
      </c>
      <c r="G796" s="403" t="s">
        <v>1466</v>
      </c>
      <c r="H796" s="403" t="s">
        <v>1281</v>
      </c>
      <c r="I796" s="403">
        <v>1</v>
      </c>
      <c r="J796" s="403" t="s">
        <v>109</v>
      </c>
      <c r="K796" s="403">
        <v>1280</v>
      </c>
      <c r="L796" s="403">
        <v>720</v>
      </c>
      <c r="M796" s="403" t="s">
        <v>1283</v>
      </c>
      <c r="N796" s="403">
        <v>720</v>
      </c>
      <c r="O796" s="403">
        <v>480</v>
      </c>
      <c r="P796" t="str">
        <f t="shared" si="97"/>
        <v>30fps 720p - SD 4CIF resolution 4:3 format (cropped)</v>
      </c>
      <c r="Q796">
        <f t="shared" si="98"/>
        <v>4</v>
      </c>
      <c r="R796" t="str">
        <f t="shared" si="99"/>
        <v/>
      </c>
      <c r="S796" t="str">
        <f t="shared" si="100"/>
        <v/>
      </c>
      <c r="T796" s="403" t="str">
        <f t="shared" si="101"/>
        <v>MIC-9502-Z30xQS</v>
      </c>
      <c r="U796" s="403">
        <f t="shared" si="102"/>
        <v>1</v>
      </c>
      <c r="V796" s="403" t="str">
        <f t="shared" si="103"/>
        <v>CPP_7_3</v>
      </c>
    </row>
    <row r="797" spans="1:22">
      <c r="A797" t="str">
        <f t="shared" si="96"/>
        <v>MIC-9502-Z30xQS</v>
      </c>
      <c r="B797" s="403" t="s">
        <v>1367</v>
      </c>
      <c r="C797" s="403" t="s">
        <v>582</v>
      </c>
      <c r="D797" s="403" t="s">
        <v>1368</v>
      </c>
      <c r="E797" s="403" t="s">
        <v>1369</v>
      </c>
      <c r="F797" s="403" t="s">
        <v>1286</v>
      </c>
      <c r="G797" s="403" t="s">
        <v>1466</v>
      </c>
      <c r="H797" s="403" t="s">
        <v>1281</v>
      </c>
      <c r="I797" s="403">
        <v>1</v>
      </c>
      <c r="J797" s="403" t="s">
        <v>109</v>
      </c>
      <c r="K797" s="403">
        <v>1280</v>
      </c>
      <c r="L797" s="403">
        <v>720</v>
      </c>
      <c r="M797" s="403" t="s">
        <v>1284</v>
      </c>
      <c r="N797" s="403">
        <v>640</v>
      </c>
      <c r="O797" s="403">
        <v>480</v>
      </c>
      <c r="P797" t="str">
        <f t="shared" si="97"/>
        <v>30fps 720p - SD VGA (cropped)</v>
      </c>
      <c r="Q797">
        <f t="shared" si="98"/>
        <v>4</v>
      </c>
      <c r="R797" t="str">
        <f t="shared" si="99"/>
        <v/>
      </c>
      <c r="S797" t="str">
        <f t="shared" si="100"/>
        <v/>
      </c>
      <c r="T797" s="403" t="str">
        <f t="shared" si="101"/>
        <v>MIC-9502-Z30xQS</v>
      </c>
      <c r="U797" s="403">
        <f t="shared" si="102"/>
        <v>1</v>
      </c>
      <c r="V797" s="403" t="str">
        <f t="shared" si="103"/>
        <v>CPP_7_3</v>
      </c>
    </row>
    <row r="798" spans="1:22">
      <c r="A798" t="str">
        <f t="shared" si="96"/>
        <v>MIC-9502-Z30xQS</v>
      </c>
      <c r="B798" s="403" t="s">
        <v>1367</v>
      </c>
      <c r="C798" s="403" t="s">
        <v>582</v>
      </c>
      <c r="D798" s="403" t="s">
        <v>1368</v>
      </c>
      <c r="E798" s="403" t="s">
        <v>1369</v>
      </c>
      <c r="F798" s="403" t="s">
        <v>1286</v>
      </c>
      <c r="G798" s="403" t="s">
        <v>1466</v>
      </c>
      <c r="H798" s="403" t="s">
        <v>1281</v>
      </c>
      <c r="I798" s="403">
        <v>2</v>
      </c>
      <c r="J798" s="403" t="s">
        <v>111</v>
      </c>
      <c r="K798" s="403">
        <v>320</v>
      </c>
      <c r="L798" s="403">
        <v>240</v>
      </c>
      <c r="M798" s="403" t="s">
        <v>111</v>
      </c>
      <c r="N798" s="403">
        <v>320</v>
      </c>
      <c r="O798" s="403">
        <v>240</v>
      </c>
      <c r="P798" t="str">
        <f t="shared" si="97"/>
        <v>30fps SD - SD</v>
      </c>
      <c r="Q798">
        <f t="shared" si="98"/>
        <v>4</v>
      </c>
      <c r="R798" t="str">
        <f t="shared" si="99"/>
        <v/>
      </c>
      <c r="S798" t="str">
        <f t="shared" si="100"/>
        <v/>
      </c>
      <c r="T798" s="403" t="str">
        <f t="shared" si="101"/>
        <v>MIC-9502-Z30xQS</v>
      </c>
      <c r="U798" s="403">
        <f t="shared" si="102"/>
        <v>2</v>
      </c>
      <c r="V798" s="403" t="str">
        <f t="shared" si="103"/>
        <v>CPP_7_3</v>
      </c>
    </row>
    <row r="799" spans="1:22">
      <c r="A799" t="str">
        <f t="shared" si="96"/>
        <v>MIC-9502-Z30xQS</v>
      </c>
      <c r="B799" s="403" t="s">
        <v>1367</v>
      </c>
      <c r="C799" s="403" t="s">
        <v>582</v>
      </c>
      <c r="D799" s="403" t="s">
        <v>1368</v>
      </c>
      <c r="E799" s="403" t="s">
        <v>1369</v>
      </c>
      <c r="F799" s="403" t="s">
        <v>1286</v>
      </c>
      <c r="G799" s="403" t="s">
        <v>1466</v>
      </c>
      <c r="H799" s="403" t="s">
        <v>1281</v>
      </c>
      <c r="I799" s="403">
        <v>2</v>
      </c>
      <c r="J799" s="403" t="s">
        <v>111</v>
      </c>
      <c r="K799" s="403">
        <v>320</v>
      </c>
      <c r="L799" s="403">
        <v>240</v>
      </c>
      <c r="M799" s="403" t="s">
        <v>1280</v>
      </c>
      <c r="N799" s="403">
        <v>320</v>
      </c>
      <c r="O799" s="403">
        <v>240</v>
      </c>
      <c r="P799" t="str">
        <f t="shared" si="97"/>
        <v>30fps SD - copy other stream</v>
      </c>
      <c r="Q799">
        <f t="shared" si="98"/>
        <v>4</v>
      </c>
      <c r="R799" t="str">
        <f t="shared" si="99"/>
        <v/>
      </c>
      <c r="S799" t="str">
        <f t="shared" si="100"/>
        <v/>
      </c>
      <c r="T799" s="403" t="str">
        <f t="shared" si="101"/>
        <v>MIC-9502-Z30xQS</v>
      </c>
      <c r="U799" s="403">
        <f t="shared" si="102"/>
        <v>2</v>
      </c>
      <c r="V799" s="403" t="str">
        <f t="shared" si="103"/>
        <v>CPP_7_3</v>
      </c>
    </row>
    <row r="800" spans="1:22">
      <c r="A800" t="str">
        <f t="shared" si="96"/>
        <v>MIC-9502-Z30xQS</v>
      </c>
      <c r="B800" s="403" t="s">
        <v>1367</v>
      </c>
      <c r="C800" s="403" t="s">
        <v>582</v>
      </c>
      <c r="D800" s="403" t="s">
        <v>1368</v>
      </c>
      <c r="E800" s="403" t="s">
        <v>1369</v>
      </c>
      <c r="F800" s="403" t="s">
        <v>1290</v>
      </c>
      <c r="G800" s="403" t="s">
        <v>1466</v>
      </c>
      <c r="H800" s="403" t="s">
        <v>1276</v>
      </c>
      <c r="I800" s="403">
        <v>1</v>
      </c>
      <c r="J800" s="403" t="s">
        <v>110</v>
      </c>
      <c r="K800" s="403">
        <v>1920</v>
      </c>
      <c r="L800" s="403">
        <v>1080</v>
      </c>
      <c r="M800" s="403" t="s">
        <v>111</v>
      </c>
      <c r="N800" s="403">
        <v>768</v>
      </c>
      <c r="O800" s="403">
        <v>432</v>
      </c>
      <c r="P800" t="str">
        <f t="shared" si="97"/>
        <v>50fps 1080p - SD</v>
      </c>
      <c r="Q800">
        <f t="shared" si="98"/>
        <v>4</v>
      </c>
      <c r="R800" t="str">
        <f t="shared" si="99"/>
        <v/>
      </c>
      <c r="S800" t="str">
        <f t="shared" si="100"/>
        <v/>
      </c>
      <c r="T800" s="403" t="str">
        <f t="shared" si="101"/>
        <v>MIC-9502-Z30xQS</v>
      </c>
      <c r="U800" s="403">
        <f t="shared" si="102"/>
        <v>1</v>
      </c>
      <c r="V800" s="403" t="str">
        <f t="shared" si="103"/>
        <v>CPP_7_3</v>
      </c>
    </row>
    <row r="801" spans="1:22">
      <c r="A801" t="str">
        <f t="shared" si="96"/>
        <v>MIC-9502-Z30xQS</v>
      </c>
      <c r="B801" s="403" t="s">
        <v>1367</v>
      </c>
      <c r="C801" s="403" t="s">
        <v>582</v>
      </c>
      <c r="D801" s="403" t="s">
        <v>1368</v>
      </c>
      <c r="E801" s="403" t="s">
        <v>1369</v>
      </c>
      <c r="F801" s="403" t="s">
        <v>1290</v>
      </c>
      <c r="G801" s="403" t="s">
        <v>1466</v>
      </c>
      <c r="H801" s="403" t="s">
        <v>1276</v>
      </c>
      <c r="I801" s="403">
        <v>1</v>
      </c>
      <c r="J801" s="403" t="s">
        <v>110</v>
      </c>
      <c r="K801" s="403">
        <v>1920</v>
      </c>
      <c r="L801" s="403">
        <v>1080</v>
      </c>
      <c r="M801" s="403" t="s">
        <v>1363</v>
      </c>
      <c r="N801" s="403">
        <v>1920</v>
      </c>
      <c r="O801" s="403">
        <v>1080</v>
      </c>
      <c r="P801" t="str">
        <f t="shared" si="97"/>
        <v>50fps 1080p - 1920x1080 @ SKIP 2</v>
      </c>
      <c r="Q801">
        <f t="shared" si="98"/>
        <v>4</v>
      </c>
      <c r="R801" t="str">
        <f t="shared" si="99"/>
        <v/>
      </c>
      <c r="S801" t="str">
        <f t="shared" si="100"/>
        <v/>
      </c>
      <c r="T801" s="403" t="str">
        <f t="shared" si="101"/>
        <v>MIC-9502-Z30xQS</v>
      </c>
      <c r="U801" s="403">
        <f t="shared" si="102"/>
        <v>1</v>
      </c>
      <c r="V801" s="403" t="str">
        <f t="shared" si="103"/>
        <v>CPP_7_3</v>
      </c>
    </row>
    <row r="802" spans="1:22">
      <c r="A802" t="str">
        <f t="shared" si="96"/>
        <v>MIC-9502-Z30xQS</v>
      </c>
      <c r="B802" s="403" t="s">
        <v>1367</v>
      </c>
      <c r="C802" s="403" t="s">
        <v>582</v>
      </c>
      <c r="D802" s="403" t="s">
        <v>1368</v>
      </c>
      <c r="E802" s="403" t="s">
        <v>1369</v>
      </c>
      <c r="F802" s="403" t="s">
        <v>1290</v>
      </c>
      <c r="G802" s="403" t="s">
        <v>1466</v>
      </c>
      <c r="H802" s="403" t="s">
        <v>1276</v>
      </c>
      <c r="I802" s="403">
        <v>1</v>
      </c>
      <c r="J802" s="403" t="s">
        <v>110</v>
      </c>
      <c r="K802" s="403">
        <v>1920</v>
      </c>
      <c r="L802" s="403">
        <v>1080</v>
      </c>
      <c r="M802" s="403" t="s">
        <v>1280</v>
      </c>
      <c r="N802" s="403">
        <v>1920</v>
      </c>
      <c r="O802" s="403">
        <v>1080</v>
      </c>
      <c r="P802" t="str">
        <f t="shared" si="97"/>
        <v>50fps 1080p - copy other stream</v>
      </c>
      <c r="Q802">
        <f t="shared" si="98"/>
        <v>4</v>
      </c>
      <c r="R802" t="str">
        <f t="shared" si="99"/>
        <v/>
      </c>
      <c r="S802" t="str">
        <f t="shared" si="100"/>
        <v/>
      </c>
      <c r="T802" s="403" t="str">
        <f t="shared" si="101"/>
        <v>MIC-9502-Z30xQS</v>
      </c>
      <c r="U802" s="403">
        <f t="shared" si="102"/>
        <v>1</v>
      </c>
      <c r="V802" s="403" t="str">
        <f t="shared" si="103"/>
        <v>CPP_7_3</v>
      </c>
    </row>
    <row r="803" spans="1:22">
      <c r="A803" t="str">
        <f t="shared" si="96"/>
        <v>MIC-9502-Z30xQS</v>
      </c>
      <c r="B803" s="403" t="s">
        <v>1367</v>
      </c>
      <c r="C803" s="403" t="s">
        <v>582</v>
      </c>
      <c r="D803" s="403" t="s">
        <v>1368</v>
      </c>
      <c r="E803" s="403" t="s">
        <v>1369</v>
      </c>
      <c r="F803" s="403" t="s">
        <v>1290</v>
      </c>
      <c r="G803" s="403" t="s">
        <v>1466</v>
      </c>
      <c r="H803" s="403" t="s">
        <v>1276</v>
      </c>
      <c r="I803" s="403">
        <v>1</v>
      </c>
      <c r="J803" s="403" t="s">
        <v>110</v>
      </c>
      <c r="K803" s="403">
        <v>1920</v>
      </c>
      <c r="L803" s="403">
        <v>1080</v>
      </c>
      <c r="M803" s="403" t="s">
        <v>1289</v>
      </c>
      <c r="N803" s="403">
        <v>1280</v>
      </c>
      <c r="O803" s="403">
        <v>720</v>
      </c>
      <c r="P803" t="str">
        <f t="shared" si="97"/>
        <v>50fps 1080p - 720p full frame rate</v>
      </c>
      <c r="Q803">
        <f t="shared" si="98"/>
        <v>4</v>
      </c>
      <c r="R803" t="str">
        <f t="shared" si="99"/>
        <v/>
      </c>
      <c r="S803" t="str">
        <f t="shared" si="100"/>
        <v/>
      </c>
      <c r="T803" s="403" t="str">
        <f t="shared" si="101"/>
        <v>MIC-9502-Z30xQS</v>
      </c>
      <c r="U803" s="403">
        <f t="shared" si="102"/>
        <v>1</v>
      </c>
      <c r="V803" s="403" t="str">
        <f t="shared" si="103"/>
        <v>CPP_7_3</v>
      </c>
    </row>
    <row r="804" spans="1:22">
      <c r="A804" t="str">
        <f t="shared" si="96"/>
        <v>MIC-9502-Z30xQS</v>
      </c>
      <c r="B804" s="403" t="s">
        <v>1367</v>
      </c>
      <c r="C804" s="403" t="s">
        <v>582</v>
      </c>
      <c r="D804" s="403" t="s">
        <v>1368</v>
      </c>
      <c r="E804" s="403" t="s">
        <v>1369</v>
      </c>
      <c r="F804" s="403" t="s">
        <v>1290</v>
      </c>
      <c r="G804" s="403" t="s">
        <v>1466</v>
      </c>
      <c r="H804" s="403" t="s">
        <v>1276</v>
      </c>
      <c r="I804" s="403">
        <v>1</v>
      </c>
      <c r="J804" s="403" t="s">
        <v>110</v>
      </c>
      <c r="K804" s="403">
        <v>1920</v>
      </c>
      <c r="L804" s="403">
        <v>1080</v>
      </c>
      <c r="M804" s="403" t="s">
        <v>1283</v>
      </c>
      <c r="N804" s="403">
        <v>720</v>
      </c>
      <c r="O804" s="403">
        <v>576</v>
      </c>
      <c r="P804" t="str">
        <f t="shared" si="97"/>
        <v>50fps 1080p - SD 4CIF resolution 4:3 format (cropped)</v>
      </c>
      <c r="Q804">
        <f t="shared" si="98"/>
        <v>4</v>
      </c>
      <c r="R804" t="str">
        <f t="shared" si="99"/>
        <v/>
      </c>
      <c r="S804" t="str">
        <f t="shared" si="100"/>
        <v/>
      </c>
      <c r="T804" s="403" t="str">
        <f t="shared" si="101"/>
        <v>MIC-9502-Z30xQS</v>
      </c>
      <c r="U804" s="403">
        <f t="shared" si="102"/>
        <v>1</v>
      </c>
      <c r="V804" s="403" t="str">
        <f t="shared" si="103"/>
        <v>CPP_7_3</v>
      </c>
    </row>
    <row r="805" spans="1:22">
      <c r="A805" t="str">
        <f t="shared" si="96"/>
        <v>MIC-9502-Z30xQS</v>
      </c>
      <c r="B805" s="403" t="s">
        <v>1367</v>
      </c>
      <c r="C805" s="403" t="s">
        <v>582</v>
      </c>
      <c r="D805" s="403" t="s">
        <v>1368</v>
      </c>
      <c r="E805" s="403" t="s">
        <v>1369</v>
      </c>
      <c r="F805" s="403" t="s">
        <v>1290</v>
      </c>
      <c r="G805" s="403" t="s">
        <v>1466</v>
      </c>
      <c r="H805" s="403" t="s">
        <v>1276</v>
      </c>
      <c r="I805" s="403">
        <v>1</v>
      </c>
      <c r="J805" s="403" t="s">
        <v>110</v>
      </c>
      <c r="K805" s="403">
        <v>1920</v>
      </c>
      <c r="L805" s="403">
        <v>1080</v>
      </c>
      <c r="M805" s="403" t="s">
        <v>1284</v>
      </c>
      <c r="N805" s="403">
        <v>640</v>
      </c>
      <c r="O805" s="403">
        <v>480</v>
      </c>
      <c r="P805" t="str">
        <f t="shared" si="97"/>
        <v>50fps 1080p - SD VGA (cropped)</v>
      </c>
      <c r="Q805">
        <f t="shared" si="98"/>
        <v>4</v>
      </c>
      <c r="R805" t="str">
        <f t="shared" si="99"/>
        <v/>
      </c>
      <c r="S805" t="str">
        <f t="shared" si="100"/>
        <v/>
      </c>
      <c r="T805" s="403" t="str">
        <f t="shared" si="101"/>
        <v>MIC-9502-Z30xQS</v>
      </c>
      <c r="U805" s="403">
        <f t="shared" si="102"/>
        <v>1</v>
      </c>
      <c r="V805" s="403" t="str">
        <f t="shared" si="103"/>
        <v>CPP_7_3</v>
      </c>
    </row>
    <row r="806" spans="1:22">
      <c r="A806" t="str">
        <f t="shared" si="96"/>
        <v>MIC-9502-Z30xQS</v>
      </c>
      <c r="B806" s="403" t="s">
        <v>1367</v>
      </c>
      <c r="C806" s="403" t="s">
        <v>582</v>
      </c>
      <c r="D806" s="403" t="s">
        <v>1368</v>
      </c>
      <c r="E806" s="403" t="s">
        <v>1369</v>
      </c>
      <c r="F806" s="403" t="s">
        <v>1290</v>
      </c>
      <c r="G806" s="403" t="s">
        <v>1466</v>
      </c>
      <c r="H806" s="403" t="s">
        <v>1276</v>
      </c>
      <c r="I806" s="403">
        <v>1</v>
      </c>
      <c r="J806" s="403" t="s">
        <v>1289</v>
      </c>
      <c r="K806" s="403">
        <v>1280</v>
      </c>
      <c r="L806" s="403">
        <v>720</v>
      </c>
      <c r="M806" s="403" t="s">
        <v>1289</v>
      </c>
      <c r="N806" s="403">
        <v>1280</v>
      </c>
      <c r="O806" s="403">
        <v>720</v>
      </c>
      <c r="P806" t="str">
        <f t="shared" si="97"/>
        <v>50fps 720p full frame rate - 720p full frame rate</v>
      </c>
      <c r="Q806">
        <f t="shared" si="98"/>
        <v>4</v>
      </c>
      <c r="R806" t="str">
        <f t="shared" si="99"/>
        <v/>
      </c>
      <c r="S806" t="str">
        <f t="shared" si="100"/>
        <v/>
      </c>
      <c r="T806" s="403" t="str">
        <f t="shared" si="101"/>
        <v>MIC-9502-Z30xQS</v>
      </c>
      <c r="U806" s="403">
        <f t="shared" si="102"/>
        <v>1</v>
      </c>
      <c r="V806" s="403" t="str">
        <f t="shared" si="103"/>
        <v>CPP_7_3</v>
      </c>
    </row>
    <row r="807" spans="1:22">
      <c r="A807" t="str">
        <f t="shared" si="96"/>
        <v>MIC-9502-Z30xQS</v>
      </c>
      <c r="B807" s="403" t="s">
        <v>1367</v>
      </c>
      <c r="C807" s="403" t="s">
        <v>582</v>
      </c>
      <c r="D807" s="403" t="s">
        <v>1368</v>
      </c>
      <c r="E807" s="403" t="s">
        <v>1369</v>
      </c>
      <c r="F807" s="403" t="s">
        <v>1290</v>
      </c>
      <c r="G807" s="403" t="s">
        <v>1466</v>
      </c>
      <c r="H807" s="403" t="s">
        <v>1276</v>
      </c>
      <c r="I807" s="403">
        <v>1</v>
      </c>
      <c r="J807" s="403" t="s">
        <v>1289</v>
      </c>
      <c r="K807" s="403">
        <v>1280</v>
      </c>
      <c r="L807" s="403">
        <v>720</v>
      </c>
      <c r="M807" s="403" t="s">
        <v>111</v>
      </c>
      <c r="N807" s="403">
        <v>768</v>
      </c>
      <c r="O807" s="403">
        <v>432</v>
      </c>
      <c r="P807" t="str">
        <f t="shared" si="97"/>
        <v>50fps 720p full frame rate - SD</v>
      </c>
      <c r="Q807">
        <f t="shared" si="98"/>
        <v>4</v>
      </c>
      <c r="R807" t="str">
        <f t="shared" si="99"/>
        <v/>
      </c>
      <c r="S807" t="str">
        <f t="shared" si="100"/>
        <v/>
      </c>
      <c r="T807" s="403" t="str">
        <f t="shared" si="101"/>
        <v>MIC-9502-Z30xQS</v>
      </c>
      <c r="U807" s="403">
        <f t="shared" si="102"/>
        <v>1</v>
      </c>
      <c r="V807" s="403" t="str">
        <f t="shared" si="103"/>
        <v>CPP_7_3</v>
      </c>
    </row>
    <row r="808" spans="1:22">
      <c r="A808" t="str">
        <f t="shared" si="96"/>
        <v>MIC-9502-Z30xQS</v>
      </c>
      <c r="B808" s="403" t="s">
        <v>1367</v>
      </c>
      <c r="C808" s="403" t="s">
        <v>582</v>
      </c>
      <c r="D808" s="403" t="s">
        <v>1368</v>
      </c>
      <c r="E808" s="403" t="s">
        <v>1369</v>
      </c>
      <c r="F808" s="403" t="s">
        <v>1290</v>
      </c>
      <c r="G808" s="403" t="s">
        <v>1466</v>
      </c>
      <c r="H808" s="403" t="s">
        <v>1276</v>
      </c>
      <c r="I808" s="403">
        <v>1</v>
      </c>
      <c r="J808" s="403" t="s">
        <v>1289</v>
      </c>
      <c r="K808" s="403">
        <v>1280</v>
      </c>
      <c r="L808" s="403">
        <v>720</v>
      </c>
      <c r="M808" s="403" t="s">
        <v>1283</v>
      </c>
      <c r="N808" s="403">
        <v>720</v>
      </c>
      <c r="O808" s="403">
        <v>576</v>
      </c>
      <c r="P808" t="str">
        <f t="shared" si="97"/>
        <v>50fps 720p full frame rate - SD 4CIF resolution 4:3 format (cropped)</v>
      </c>
      <c r="Q808">
        <f t="shared" si="98"/>
        <v>4</v>
      </c>
      <c r="R808" t="str">
        <f t="shared" si="99"/>
        <v/>
      </c>
      <c r="S808" t="str">
        <f t="shared" si="100"/>
        <v/>
      </c>
      <c r="T808" s="403" t="str">
        <f t="shared" si="101"/>
        <v>MIC-9502-Z30xQS</v>
      </c>
      <c r="U808" s="403">
        <f t="shared" si="102"/>
        <v>1</v>
      </c>
      <c r="V808" s="403" t="str">
        <f t="shared" si="103"/>
        <v>CPP_7_3</v>
      </c>
    </row>
    <row r="809" spans="1:22">
      <c r="A809" t="str">
        <f t="shared" si="96"/>
        <v>MIC-9502-Z30xQS</v>
      </c>
      <c r="B809" s="403" t="s">
        <v>1367</v>
      </c>
      <c r="C809" s="403" t="s">
        <v>582</v>
      </c>
      <c r="D809" s="403" t="s">
        <v>1368</v>
      </c>
      <c r="E809" s="403" t="s">
        <v>1369</v>
      </c>
      <c r="F809" s="403" t="s">
        <v>1290</v>
      </c>
      <c r="G809" s="403" t="s">
        <v>1466</v>
      </c>
      <c r="H809" s="403" t="s">
        <v>1276</v>
      </c>
      <c r="I809" s="403">
        <v>1</v>
      </c>
      <c r="J809" s="403" t="s">
        <v>1289</v>
      </c>
      <c r="K809" s="403">
        <v>1280</v>
      </c>
      <c r="L809" s="403">
        <v>720</v>
      </c>
      <c r="M809" s="403" t="s">
        <v>1284</v>
      </c>
      <c r="N809" s="403">
        <v>640</v>
      </c>
      <c r="O809" s="403">
        <v>480</v>
      </c>
      <c r="P809" t="str">
        <f t="shared" si="97"/>
        <v>50fps 720p full frame rate - SD VGA (cropped)</v>
      </c>
      <c r="Q809">
        <f t="shared" si="98"/>
        <v>4</v>
      </c>
      <c r="R809" t="str">
        <f t="shared" si="99"/>
        <v/>
      </c>
      <c r="S809" t="str">
        <f t="shared" si="100"/>
        <v/>
      </c>
      <c r="T809" s="403" t="str">
        <f t="shared" si="101"/>
        <v>MIC-9502-Z30xQS</v>
      </c>
      <c r="U809" s="403">
        <f t="shared" si="102"/>
        <v>1</v>
      </c>
      <c r="V809" s="403" t="str">
        <f t="shared" si="103"/>
        <v>CPP_7_3</v>
      </c>
    </row>
    <row r="810" spans="1:22">
      <c r="A810" t="str">
        <f t="shared" si="96"/>
        <v>MIC-9502-Z30xQS</v>
      </c>
      <c r="B810" s="403" t="s">
        <v>1367</v>
      </c>
      <c r="C810" s="403" t="s">
        <v>582</v>
      </c>
      <c r="D810" s="403" t="s">
        <v>1368</v>
      </c>
      <c r="E810" s="403" t="s">
        <v>1369</v>
      </c>
      <c r="F810" s="403" t="s">
        <v>1290</v>
      </c>
      <c r="G810" s="403" t="s">
        <v>1466</v>
      </c>
      <c r="H810" s="403" t="s">
        <v>1276</v>
      </c>
      <c r="I810" s="403">
        <v>2</v>
      </c>
      <c r="J810" s="403" t="s">
        <v>111</v>
      </c>
      <c r="K810" s="403">
        <v>320</v>
      </c>
      <c r="L810" s="403">
        <v>240</v>
      </c>
      <c r="M810" s="403" t="s">
        <v>111</v>
      </c>
      <c r="N810" s="403">
        <v>320</v>
      </c>
      <c r="O810" s="403">
        <v>240</v>
      </c>
      <c r="P810" t="str">
        <f t="shared" si="97"/>
        <v>50fps SD - SD</v>
      </c>
      <c r="Q810">
        <f t="shared" si="98"/>
        <v>4</v>
      </c>
      <c r="R810" t="str">
        <f t="shared" si="99"/>
        <v/>
      </c>
      <c r="S810" t="str">
        <f t="shared" si="100"/>
        <v/>
      </c>
      <c r="T810" s="403" t="str">
        <f t="shared" si="101"/>
        <v>MIC-9502-Z30xQS</v>
      </c>
      <c r="U810" s="403">
        <f t="shared" si="102"/>
        <v>2</v>
      </c>
      <c r="V810" s="403" t="str">
        <f t="shared" si="103"/>
        <v>CPP_7_3</v>
      </c>
    </row>
    <row r="811" spans="1:22">
      <c r="A811" t="str">
        <f t="shared" si="96"/>
        <v>MIC-9502-Z30xQS</v>
      </c>
      <c r="B811" s="403" t="s">
        <v>1367</v>
      </c>
      <c r="C811" s="403" t="s">
        <v>582</v>
      </c>
      <c r="D811" s="403" t="s">
        <v>1368</v>
      </c>
      <c r="E811" s="403" t="s">
        <v>1369</v>
      </c>
      <c r="F811" s="403" t="s">
        <v>1290</v>
      </c>
      <c r="G811" s="403" t="s">
        <v>1466</v>
      </c>
      <c r="H811" s="403" t="s">
        <v>1276</v>
      </c>
      <c r="I811" s="403">
        <v>2</v>
      </c>
      <c r="J811" s="403" t="s">
        <v>111</v>
      </c>
      <c r="K811" s="403">
        <v>320</v>
      </c>
      <c r="L811" s="403">
        <v>240</v>
      </c>
      <c r="M811" s="403" t="s">
        <v>1280</v>
      </c>
      <c r="N811" s="403">
        <v>320</v>
      </c>
      <c r="O811" s="403">
        <v>240</v>
      </c>
      <c r="P811" t="str">
        <f t="shared" si="97"/>
        <v>50fps SD - copy other stream</v>
      </c>
      <c r="Q811">
        <f t="shared" si="98"/>
        <v>4</v>
      </c>
      <c r="R811" t="str">
        <f t="shared" si="99"/>
        <v/>
      </c>
      <c r="S811" t="str">
        <f t="shared" si="100"/>
        <v/>
      </c>
      <c r="T811" s="403" t="str">
        <f t="shared" si="101"/>
        <v>MIC-9502-Z30xQS</v>
      </c>
      <c r="U811" s="403">
        <f t="shared" si="102"/>
        <v>2</v>
      </c>
      <c r="V811" s="403" t="str">
        <f t="shared" si="103"/>
        <v>CPP_7_3</v>
      </c>
    </row>
    <row r="812" spans="1:22">
      <c r="A812" t="str">
        <f t="shared" si="96"/>
        <v>MIC-9502-Z30xQS</v>
      </c>
      <c r="B812" s="403" t="s">
        <v>1367</v>
      </c>
      <c r="C812" s="403" t="s">
        <v>582</v>
      </c>
      <c r="D812" s="403" t="s">
        <v>1368</v>
      </c>
      <c r="E812" s="403" t="s">
        <v>1369</v>
      </c>
      <c r="F812" s="403" t="s">
        <v>1290</v>
      </c>
      <c r="G812" s="403" t="s">
        <v>1466</v>
      </c>
      <c r="H812" s="403" t="s">
        <v>1281</v>
      </c>
      <c r="I812" s="403">
        <v>1</v>
      </c>
      <c r="J812" s="403" t="s">
        <v>110</v>
      </c>
      <c r="K812" s="403">
        <v>1920</v>
      </c>
      <c r="L812" s="403">
        <v>1080</v>
      </c>
      <c r="M812" s="403" t="s">
        <v>111</v>
      </c>
      <c r="N812" s="403">
        <v>768</v>
      </c>
      <c r="O812" s="403">
        <v>432</v>
      </c>
      <c r="P812" t="str">
        <f t="shared" si="97"/>
        <v>50fps 1080p - SD</v>
      </c>
      <c r="Q812">
        <f t="shared" si="98"/>
        <v>4</v>
      </c>
      <c r="R812" t="str">
        <f t="shared" si="99"/>
        <v/>
      </c>
      <c r="S812" t="str">
        <f t="shared" si="100"/>
        <v/>
      </c>
      <c r="T812" s="403" t="str">
        <f t="shared" si="101"/>
        <v>MIC-9502-Z30xQS</v>
      </c>
      <c r="U812" s="403">
        <f t="shared" si="102"/>
        <v>1</v>
      </c>
      <c r="V812" s="403" t="str">
        <f t="shared" si="103"/>
        <v>CPP_7_3</v>
      </c>
    </row>
    <row r="813" spans="1:22">
      <c r="A813" t="str">
        <f t="shared" si="96"/>
        <v>MIC-9502-Z30xQS</v>
      </c>
      <c r="B813" s="403" t="s">
        <v>1367</v>
      </c>
      <c r="C813" s="403" t="s">
        <v>582</v>
      </c>
      <c r="D813" s="403" t="s">
        <v>1368</v>
      </c>
      <c r="E813" s="403" t="s">
        <v>1369</v>
      </c>
      <c r="F813" s="403" t="s">
        <v>1290</v>
      </c>
      <c r="G813" s="403" t="s">
        <v>1466</v>
      </c>
      <c r="H813" s="403" t="s">
        <v>1281</v>
      </c>
      <c r="I813" s="403">
        <v>1</v>
      </c>
      <c r="J813" s="403" t="s">
        <v>110</v>
      </c>
      <c r="K813" s="403">
        <v>1920</v>
      </c>
      <c r="L813" s="403">
        <v>1080</v>
      </c>
      <c r="M813" s="403" t="s">
        <v>1363</v>
      </c>
      <c r="N813" s="403">
        <v>1920</v>
      </c>
      <c r="O813" s="403">
        <v>1080</v>
      </c>
      <c r="P813" t="str">
        <f t="shared" si="97"/>
        <v>50fps 1080p - 1920x1080 @ SKIP 2</v>
      </c>
      <c r="Q813">
        <f t="shared" si="98"/>
        <v>4</v>
      </c>
      <c r="R813" t="str">
        <f t="shared" si="99"/>
        <v/>
      </c>
      <c r="S813" t="str">
        <f t="shared" si="100"/>
        <v/>
      </c>
      <c r="T813" s="403" t="str">
        <f t="shared" si="101"/>
        <v>MIC-9502-Z30xQS</v>
      </c>
      <c r="U813" s="403">
        <f t="shared" si="102"/>
        <v>1</v>
      </c>
      <c r="V813" s="403" t="str">
        <f t="shared" si="103"/>
        <v>CPP_7_3</v>
      </c>
    </row>
    <row r="814" spans="1:22">
      <c r="A814" t="str">
        <f t="shared" si="96"/>
        <v>MIC-9502-Z30xQS</v>
      </c>
      <c r="B814" s="403" t="s">
        <v>1367</v>
      </c>
      <c r="C814" s="403" t="s">
        <v>582</v>
      </c>
      <c r="D814" s="403" t="s">
        <v>1368</v>
      </c>
      <c r="E814" s="403" t="s">
        <v>1369</v>
      </c>
      <c r="F814" s="403" t="s">
        <v>1290</v>
      </c>
      <c r="G814" s="403" t="s">
        <v>1466</v>
      </c>
      <c r="H814" s="403" t="s">
        <v>1281</v>
      </c>
      <c r="I814" s="403">
        <v>1</v>
      </c>
      <c r="J814" s="403" t="s">
        <v>110</v>
      </c>
      <c r="K814" s="403">
        <v>1920</v>
      </c>
      <c r="L814" s="403">
        <v>1080</v>
      </c>
      <c r="M814" s="403" t="s">
        <v>1280</v>
      </c>
      <c r="N814" s="403">
        <v>1920</v>
      </c>
      <c r="O814" s="403">
        <v>1080</v>
      </c>
      <c r="P814" t="str">
        <f t="shared" si="97"/>
        <v>50fps 1080p - copy other stream</v>
      </c>
      <c r="Q814">
        <f t="shared" si="98"/>
        <v>4</v>
      </c>
      <c r="R814" t="str">
        <f t="shared" si="99"/>
        <v/>
      </c>
      <c r="S814" t="str">
        <f t="shared" si="100"/>
        <v/>
      </c>
      <c r="T814" s="403" t="str">
        <f t="shared" si="101"/>
        <v>MIC-9502-Z30xQS</v>
      </c>
      <c r="U814" s="403">
        <f t="shared" si="102"/>
        <v>1</v>
      </c>
      <c r="V814" s="403" t="str">
        <f t="shared" si="103"/>
        <v>CPP_7_3</v>
      </c>
    </row>
    <row r="815" spans="1:22">
      <c r="A815" t="str">
        <f t="shared" si="96"/>
        <v>MIC-9502-Z30xQS</v>
      </c>
      <c r="B815" s="403" t="s">
        <v>1367</v>
      </c>
      <c r="C815" s="403" t="s">
        <v>582</v>
      </c>
      <c r="D815" s="403" t="s">
        <v>1368</v>
      </c>
      <c r="E815" s="403" t="s">
        <v>1369</v>
      </c>
      <c r="F815" s="403" t="s">
        <v>1290</v>
      </c>
      <c r="G815" s="403" t="s">
        <v>1466</v>
      </c>
      <c r="H815" s="403" t="s">
        <v>1281</v>
      </c>
      <c r="I815" s="403">
        <v>1</v>
      </c>
      <c r="J815" s="403" t="s">
        <v>110</v>
      </c>
      <c r="K815" s="403">
        <v>1920</v>
      </c>
      <c r="L815" s="403">
        <v>1080</v>
      </c>
      <c r="M815" s="403" t="s">
        <v>1289</v>
      </c>
      <c r="N815" s="403">
        <v>1280</v>
      </c>
      <c r="O815" s="403">
        <v>720</v>
      </c>
      <c r="P815" t="str">
        <f t="shared" si="97"/>
        <v>50fps 1080p - 720p full frame rate</v>
      </c>
      <c r="Q815">
        <f t="shared" si="98"/>
        <v>4</v>
      </c>
      <c r="R815" t="str">
        <f t="shared" si="99"/>
        <v/>
      </c>
      <c r="S815" t="str">
        <f t="shared" si="100"/>
        <v/>
      </c>
      <c r="T815" s="403" t="str">
        <f t="shared" si="101"/>
        <v>MIC-9502-Z30xQS</v>
      </c>
      <c r="U815" s="403">
        <f t="shared" si="102"/>
        <v>1</v>
      </c>
      <c r="V815" s="403" t="str">
        <f t="shared" si="103"/>
        <v>CPP_7_3</v>
      </c>
    </row>
    <row r="816" spans="1:22">
      <c r="A816" t="str">
        <f t="shared" si="96"/>
        <v>MIC-9502-Z30xQS</v>
      </c>
      <c r="B816" s="403" t="s">
        <v>1367</v>
      </c>
      <c r="C816" s="403" t="s">
        <v>582</v>
      </c>
      <c r="D816" s="403" t="s">
        <v>1368</v>
      </c>
      <c r="E816" s="403" t="s">
        <v>1369</v>
      </c>
      <c r="F816" s="403" t="s">
        <v>1290</v>
      </c>
      <c r="G816" s="403" t="s">
        <v>1466</v>
      </c>
      <c r="H816" s="403" t="s">
        <v>1281</v>
      </c>
      <c r="I816" s="403">
        <v>1</v>
      </c>
      <c r="J816" s="403" t="s">
        <v>110</v>
      </c>
      <c r="K816" s="403">
        <v>1920</v>
      </c>
      <c r="L816" s="403">
        <v>1080</v>
      </c>
      <c r="M816" s="403" t="s">
        <v>1283</v>
      </c>
      <c r="N816" s="403">
        <v>720</v>
      </c>
      <c r="O816" s="403">
        <v>576</v>
      </c>
      <c r="P816" t="str">
        <f t="shared" si="97"/>
        <v>50fps 1080p - SD 4CIF resolution 4:3 format (cropped)</v>
      </c>
      <c r="Q816">
        <f t="shared" si="98"/>
        <v>4</v>
      </c>
      <c r="R816" t="str">
        <f t="shared" si="99"/>
        <v/>
      </c>
      <c r="S816" t="str">
        <f t="shared" si="100"/>
        <v/>
      </c>
      <c r="T816" s="403" t="str">
        <f t="shared" si="101"/>
        <v>MIC-9502-Z30xQS</v>
      </c>
      <c r="U816" s="403">
        <f t="shared" si="102"/>
        <v>1</v>
      </c>
      <c r="V816" s="403" t="str">
        <f t="shared" si="103"/>
        <v>CPP_7_3</v>
      </c>
    </row>
    <row r="817" spans="1:22">
      <c r="A817" t="str">
        <f t="shared" si="96"/>
        <v>MIC-9502-Z30xQS</v>
      </c>
      <c r="B817" s="403" t="s">
        <v>1367</v>
      </c>
      <c r="C817" s="403" t="s">
        <v>582</v>
      </c>
      <c r="D817" s="403" t="s">
        <v>1368</v>
      </c>
      <c r="E817" s="403" t="s">
        <v>1369</v>
      </c>
      <c r="F817" s="403" t="s">
        <v>1290</v>
      </c>
      <c r="G817" s="403" t="s">
        <v>1466</v>
      </c>
      <c r="H817" s="403" t="s">
        <v>1281</v>
      </c>
      <c r="I817" s="403">
        <v>1</v>
      </c>
      <c r="J817" s="403" t="s">
        <v>110</v>
      </c>
      <c r="K817" s="403">
        <v>1920</v>
      </c>
      <c r="L817" s="403">
        <v>1080</v>
      </c>
      <c r="M817" s="403" t="s">
        <v>1284</v>
      </c>
      <c r="N817" s="403">
        <v>640</v>
      </c>
      <c r="O817" s="403">
        <v>480</v>
      </c>
      <c r="P817" t="str">
        <f t="shared" si="97"/>
        <v>50fps 1080p - SD VGA (cropped)</v>
      </c>
      <c r="Q817">
        <f t="shared" si="98"/>
        <v>4</v>
      </c>
      <c r="R817" t="str">
        <f t="shared" si="99"/>
        <v/>
      </c>
      <c r="S817" t="str">
        <f t="shared" si="100"/>
        <v/>
      </c>
      <c r="T817" s="403" t="str">
        <f t="shared" si="101"/>
        <v>MIC-9502-Z30xQS</v>
      </c>
      <c r="U817" s="403">
        <f t="shared" si="102"/>
        <v>1</v>
      </c>
      <c r="V817" s="403" t="str">
        <f t="shared" si="103"/>
        <v>CPP_7_3</v>
      </c>
    </row>
    <row r="818" spans="1:22">
      <c r="A818" t="str">
        <f t="shared" si="96"/>
        <v>MIC-9502-Z30xQS</v>
      </c>
      <c r="B818" s="403" t="s">
        <v>1367</v>
      </c>
      <c r="C818" s="403" t="s">
        <v>582</v>
      </c>
      <c r="D818" s="403" t="s">
        <v>1368</v>
      </c>
      <c r="E818" s="403" t="s">
        <v>1369</v>
      </c>
      <c r="F818" s="403" t="s">
        <v>1290</v>
      </c>
      <c r="G818" s="403" t="s">
        <v>1466</v>
      </c>
      <c r="H818" s="403" t="s">
        <v>1281</v>
      </c>
      <c r="I818" s="403">
        <v>1</v>
      </c>
      <c r="J818" s="403" t="s">
        <v>1289</v>
      </c>
      <c r="K818" s="403">
        <v>1280</v>
      </c>
      <c r="L818" s="403">
        <v>720</v>
      </c>
      <c r="M818" s="403" t="s">
        <v>1289</v>
      </c>
      <c r="N818" s="403">
        <v>1280</v>
      </c>
      <c r="O818" s="403">
        <v>720</v>
      </c>
      <c r="P818" t="str">
        <f t="shared" si="97"/>
        <v>50fps 720p full frame rate - 720p full frame rate</v>
      </c>
      <c r="Q818">
        <f t="shared" si="98"/>
        <v>4</v>
      </c>
      <c r="R818" t="str">
        <f t="shared" si="99"/>
        <v/>
      </c>
      <c r="S818" t="str">
        <f t="shared" si="100"/>
        <v/>
      </c>
      <c r="T818" s="403" t="str">
        <f t="shared" si="101"/>
        <v>MIC-9502-Z30xQS</v>
      </c>
      <c r="U818" s="403">
        <f t="shared" si="102"/>
        <v>1</v>
      </c>
      <c r="V818" s="403" t="str">
        <f t="shared" si="103"/>
        <v>CPP_7_3</v>
      </c>
    </row>
    <row r="819" spans="1:22">
      <c r="A819" t="str">
        <f t="shared" si="96"/>
        <v>MIC-9502-Z30xQS</v>
      </c>
      <c r="B819" s="403" t="s">
        <v>1367</v>
      </c>
      <c r="C819" s="403" t="s">
        <v>582</v>
      </c>
      <c r="D819" s="403" t="s">
        <v>1368</v>
      </c>
      <c r="E819" s="403" t="s">
        <v>1369</v>
      </c>
      <c r="F819" s="403" t="s">
        <v>1290</v>
      </c>
      <c r="G819" s="403" t="s">
        <v>1466</v>
      </c>
      <c r="H819" s="403" t="s">
        <v>1281</v>
      </c>
      <c r="I819" s="403">
        <v>1</v>
      </c>
      <c r="J819" s="403" t="s">
        <v>1289</v>
      </c>
      <c r="K819" s="403">
        <v>1280</v>
      </c>
      <c r="L819" s="403">
        <v>720</v>
      </c>
      <c r="M819" s="403" t="s">
        <v>111</v>
      </c>
      <c r="N819" s="403">
        <v>768</v>
      </c>
      <c r="O819" s="403">
        <v>432</v>
      </c>
      <c r="P819" t="str">
        <f t="shared" si="97"/>
        <v>50fps 720p full frame rate - SD</v>
      </c>
      <c r="Q819">
        <f t="shared" si="98"/>
        <v>4</v>
      </c>
      <c r="R819" t="str">
        <f t="shared" si="99"/>
        <v/>
      </c>
      <c r="S819" t="str">
        <f t="shared" si="100"/>
        <v/>
      </c>
      <c r="T819" s="403" t="str">
        <f t="shared" si="101"/>
        <v>MIC-9502-Z30xQS</v>
      </c>
      <c r="U819" s="403">
        <f t="shared" si="102"/>
        <v>1</v>
      </c>
      <c r="V819" s="403" t="str">
        <f t="shared" si="103"/>
        <v>CPP_7_3</v>
      </c>
    </row>
    <row r="820" spans="1:22">
      <c r="A820" t="str">
        <f t="shared" si="96"/>
        <v>MIC-9502-Z30xQS</v>
      </c>
      <c r="B820" s="403" t="s">
        <v>1367</v>
      </c>
      <c r="C820" s="403" t="s">
        <v>582</v>
      </c>
      <c r="D820" s="403" t="s">
        <v>1368</v>
      </c>
      <c r="E820" s="403" t="s">
        <v>1369</v>
      </c>
      <c r="F820" s="403" t="s">
        <v>1290</v>
      </c>
      <c r="G820" s="403" t="s">
        <v>1466</v>
      </c>
      <c r="H820" s="403" t="s">
        <v>1281</v>
      </c>
      <c r="I820" s="403">
        <v>1</v>
      </c>
      <c r="J820" s="403" t="s">
        <v>1289</v>
      </c>
      <c r="K820" s="403">
        <v>1280</v>
      </c>
      <c r="L820" s="403">
        <v>720</v>
      </c>
      <c r="M820" s="403" t="s">
        <v>1283</v>
      </c>
      <c r="N820" s="403">
        <v>720</v>
      </c>
      <c r="O820" s="403">
        <v>576</v>
      </c>
      <c r="P820" t="str">
        <f t="shared" si="97"/>
        <v>50fps 720p full frame rate - SD 4CIF resolution 4:3 format (cropped)</v>
      </c>
      <c r="Q820">
        <f t="shared" si="98"/>
        <v>4</v>
      </c>
      <c r="R820" t="str">
        <f t="shared" si="99"/>
        <v/>
      </c>
      <c r="S820" t="str">
        <f t="shared" si="100"/>
        <v/>
      </c>
      <c r="T820" s="403" t="str">
        <f t="shared" si="101"/>
        <v>MIC-9502-Z30xQS</v>
      </c>
      <c r="U820" s="403">
        <f t="shared" si="102"/>
        <v>1</v>
      </c>
      <c r="V820" s="403" t="str">
        <f t="shared" si="103"/>
        <v>CPP_7_3</v>
      </c>
    </row>
    <row r="821" spans="1:22">
      <c r="A821" t="str">
        <f t="shared" si="96"/>
        <v>MIC-9502-Z30xQS</v>
      </c>
      <c r="B821" s="403" t="s">
        <v>1367</v>
      </c>
      <c r="C821" s="403" t="s">
        <v>582</v>
      </c>
      <c r="D821" s="403" t="s">
        <v>1368</v>
      </c>
      <c r="E821" s="403" t="s">
        <v>1369</v>
      </c>
      <c r="F821" s="403" t="s">
        <v>1290</v>
      </c>
      <c r="G821" s="403" t="s">
        <v>1466</v>
      </c>
      <c r="H821" s="403" t="s">
        <v>1281</v>
      </c>
      <c r="I821" s="403">
        <v>1</v>
      </c>
      <c r="J821" s="403" t="s">
        <v>1289</v>
      </c>
      <c r="K821" s="403">
        <v>1280</v>
      </c>
      <c r="L821" s="403">
        <v>720</v>
      </c>
      <c r="M821" s="403" t="s">
        <v>1284</v>
      </c>
      <c r="N821" s="403">
        <v>640</v>
      </c>
      <c r="O821" s="403">
        <v>480</v>
      </c>
      <c r="P821" t="str">
        <f t="shared" si="97"/>
        <v>50fps 720p full frame rate - SD VGA (cropped)</v>
      </c>
      <c r="Q821">
        <f t="shared" si="98"/>
        <v>4</v>
      </c>
      <c r="R821" t="str">
        <f t="shared" si="99"/>
        <v/>
      </c>
      <c r="S821" t="str">
        <f t="shared" si="100"/>
        <v/>
      </c>
      <c r="T821" s="403" t="str">
        <f t="shared" si="101"/>
        <v>MIC-9502-Z30xQS</v>
      </c>
      <c r="U821" s="403">
        <f t="shared" si="102"/>
        <v>1</v>
      </c>
      <c r="V821" s="403" t="str">
        <f t="shared" si="103"/>
        <v>CPP_7_3</v>
      </c>
    </row>
    <row r="822" spans="1:22">
      <c r="A822" t="str">
        <f t="shared" si="96"/>
        <v>MIC-9502-Z30xQS</v>
      </c>
      <c r="B822" s="403" t="s">
        <v>1367</v>
      </c>
      <c r="C822" s="403" t="s">
        <v>582</v>
      </c>
      <c r="D822" s="403" t="s">
        <v>1368</v>
      </c>
      <c r="E822" s="403" t="s">
        <v>1369</v>
      </c>
      <c r="F822" s="403" t="s">
        <v>1290</v>
      </c>
      <c r="G822" s="403" t="s">
        <v>1466</v>
      </c>
      <c r="H822" s="403" t="s">
        <v>1281</v>
      </c>
      <c r="I822" s="403">
        <v>2</v>
      </c>
      <c r="J822" s="403" t="s">
        <v>111</v>
      </c>
      <c r="K822" s="403">
        <v>320</v>
      </c>
      <c r="L822" s="403">
        <v>240</v>
      </c>
      <c r="M822" s="403" t="s">
        <v>111</v>
      </c>
      <c r="N822" s="403">
        <v>320</v>
      </c>
      <c r="O822" s="403">
        <v>240</v>
      </c>
      <c r="P822" t="str">
        <f t="shared" si="97"/>
        <v>50fps SD - SD</v>
      </c>
      <c r="Q822">
        <f t="shared" si="98"/>
        <v>4</v>
      </c>
      <c r="R822" t="str">
        <f t="shared" si="99"/>
        <v/>
      </c>
      <c r="S822" t="str">
        <f t="shared" si="100"/>
        <v/>
      </c>
      <c r="T822" s="403" t="str">
        <f t="shared" si="101"/>
        <v>MIC-9502-Z30xQS</v>
      </c>
      <c r="U822" s="403">
        <f t="shared" si="102"/>
        <v>2</v>
      </c>
      <c r="V822" s="403" t="str">
        <f t="shared" si="103"/>
        <v>CPP_7_3</v>
      </c>
    </row>
    <row r="823" spans="1:22">
      <c r="A823" t="str">
        <f t="shared" si="96"/>
        <v>MIC-9502-Z30xQS</v>
      </c>
      <c r="B823" s="403" t="s">
        <v>1367</v>
      </c>
      <c r="C823" s="403" t="s">
        <v>582</v>
      </c>
      <c r="D823" s="403" t="s">
        <v>1368</v>
      </c>
      <c r="E823" s="403" t="s">
        <v>1369</v>
      </c>
      <c r="F823" s="403" t="s">
        <v>1290</v>
      </c>
      <c r="G823" s="403" t="s">
        <v>1466</v>
      </c>
      <c r="H823" s="403" t="s">
        <v>1281</v>
      </c>
      <c r="I823" s="403">
        <v>2</v>
      </c>
      <c r="J823" s="403" t="s">
        <v>111</v>
      </c>
      <c r="K823" s="403">
        <v>320</v>
      </c>
      <c r="L823" s="403">
        <v>240</v>
      </c>
      <c r="M823" s="403" t="s">
        <v>1280</v>
      </c>
      <c r="N823" s="403">
        <v>320</v>
      </c>
      <c r="O823" s="403">
        <v>240</v>
      </c>
      <c r="P823" t="str">
        <f t="shared" si="97"/>
        <v>50fps SD - copy other stream</v>
      </c>
      <c r="Q823">
        <f t="shared" si="98"/>
        <v>4</v>
      </c>
      <c r="R823" t="str">
        <f t="shared" si="99"/>
        <v/>
      </c>
      <c r="S823" t="str">
        <f t="shared" si="100"/>
        <v/>
      </c>
      <c r="T823" s="403" t="str">
        <f t="shared" si="101"/>
        <v>MIC-9502-Z30xQS</v>
      </c>
      <c r="U823" s="403">
        <f t="shared" si="102"/>
        <v>2</v>
      </c>
      <c r="V823" s="403" t="str">
        <f t="shared" si="103"/>
        <v>CPP_7_3</v>
      </c>
    </row>
    <row r="824" spans="1:22">
      <c r="A824" t="str">
        <f t="shared" si="96"/>
        <v>MIC-9502-Z30xQS</v>
      </c>
      <c r="B824" s="403" t="s">
        <v>1367</v>
      </c>
      <c r="C824" s="403" t="s">
        <v>582</v>
      </c>
      <c r="D824" s="403" t="s">
        <v>1368</v>
      </c>
      <c r="E824" s="403" t="s">
        <v>1369</v>
      </c>
      <c r="F824" s="403" t="s">
        <v>1288</v>
      </c>
      <c r="G824" s="403" t="s">
        <v>1466</v>
      </c>
      <c r="H824" s="403" t="s">
        <v>1276</v>
      </c>
      <c r="I824" s="403">
        <v>1</v>
      </c>
      <c r="J824" s="403" t="s">
        <v>110</v>
      </c>
      <c r="K824" s="403">
        <v>1920</v>
      </c>
      <c r="L824" s="403">
        <v>1080</v>
      </c>
      <c r="M824" s="403" t="s">
        <v>111</v>
      </c>
      <c r="N824" s="403">
        <v>768</v>
      </c>
      <c r="O824" s="403">
        <v>432</v>
      </c>
      <c r="P824" t="str">
        <f t="shared" si="97"/>
        <v>60fps 1080p - SD</v>
      </c>
      <c r="Q824">
        <f t="shared" si="98"/>
        <v>4</v>
      </c>
      <c r="R824" t="str">
        <f t="shared" si="99"/>
        <v/>
      </c>
      <c r="S824" t="str">
        <f t="shared" si="100"/>
        <v/>
      </c>
      <c r="T824" s="403" t="str">
        <f t="shared" si="101"/>
        <v>MIC-9502-Z30xQS</v>
      </c>
      <c r="U824" s="403">
        <f t="shared" si="102"/>
        <v>1</v>
      </c>
      <c r="V824" s="403" t="str">
        <f t="shared" si="103"/>
        <v>CPP_7_3</v>
      </c>
    </row>
    <row r="825" spans="1:22">
      <c r="A825" t="str">
        <f t="shared" si="96"/>
        <v>MIC-9502-Z30xQS</v>
      </c>
      <c r="B825" s="403" t="s">
        <v>1367</v>
      </c>
      <c r="C825" s="403" t="s">
        <v>582</v>
      </c>
      <c r="D825" s="403" t="s">
        <v>1368</v>
      </c>
      <c r="E825" s="403" t="s">
        <v>1369</v>
      </c>
      <c r="F825" s="403" t="s">
        <v>1288</v>
      </c>
      <c r="G825" s="403" t="s">
        <v>1466</v>
      </c>
      <c r="H825" s="403" t="s">
        <v>1276</v>
      </c>
      <c r="I825" s="403">
        <v>1</v>
      </c>
      <c r="J825" s="403" t="s">
        <v>110</v>
      </c>
      <c r="K825" s="403">
        <v>1920</v>
      </c>
      <c r="L825" s="403">
        <v>1080</v>
      </c>
      <c r="M825" s="403" t="s">
        <v>1363</v>
      </c>
      <c r="N825" s="403">
        <v>1920</v>
      </c>
      <c r="O825" s="403">
        <v>1080</v>
      </c>
      <c r="P825" t="str">
        <f t="shared" si="97"/>
        <v>60fps 1080p - 1920x1080 @ SKIP 2</v>
      </c>
      <c r="Q825">
        <f t="shared" si="98"/>
        <v>4</v>
      </c>
      <c r="R825" t="str">
        <f t="shared" si="99"/>
        <v/>
      </c>
      <c r="S825" t="str">
        <f t="shared" si="100"/>
        <v/>
      </c>
      <c r="T825" s="403" t="str">
        <f t="shared" si="101"/>
        <v>MIC-9502-Z30xQS</v>
      </c>
      <c r="U825" s="403">
        <f t="shared" si="102"/>
        <v>1</v>
      </c>
      <c r="V825" s="403" t="str">
        <f t="shared" si="103"/>
        <v>CPP_7_3</v>
      </c>
    </row>
    <row r="826" spans="1:22">
      <c r="A826" t="str">
        <f t="shared" si="96"/>
        <v>MIC-9502-Z30xQS</v>
      </c>
      <c r="B826" s="403" t="s">
        <v>1367</v>
      </c>
      <c r="C826" s="403" t="s">
        <v>582</v>
      </c>
      <c r="D826" s="403" t="s">
        <v>1368</v>
      </c>
      <c r="E826" s="403" t="s">
        <v>1369</v>
      </c>
      <c r="F826" s="403" t="s">
        <v>1288</v>
      </c>
      <c r="G826" s="403" t="s">
        <v>1466</v>
      </c>
      <c r="H826" s="403" t="s">
        <v>1276</v>
      </c>
      <c r="I826" s="403">
        <v>1</v>
      </c>
      <c r="J826" s="403" t="s">
        <v>110</v>
      </c>
      <c r="K826" s="403">
        <v>1920</v>
      </c>
      <c r="L826" s="403">
        <v>1080</v>
      </c>
      <c r="M826" s="403" t="s">
        <v>1280</v>
      </c>
      <c r="N826" s="403">
        <v>1920</v>
      </c>
      <c r="O826" s="403">
        <v>1080</v>
      </c>
      <c r="P826" t="str">
        <f t="shared" si="97"/>
        <v>60fps 1080p - copy other stream</v>
      </c>
      <c r="Q826">
        <f t="shared" si="98"/>
        <v>4</v>
      </c>
      <c r="R826" t="str">
        <f t="shared" si="99"/>
        <v/>
      </c>
      <c r="S826" t="str">
        <f t="shared" si="100"/>
        <v/>
      </c>
      <c r="T826" s="403" t="str">
        <f t="shared" si="101"/>
        <v>MIC-9502-Z30xQS</v>
      </c>
      <c r="U826" s="403">
        <f t="shared" si="102"/>
        <v>1</v>
      </c>
      <c r="V826" s="403" t="str">
        <f t="shared" si="103"/>
        <v>CPP_7_3</v>
      </c>
    </row>
    <row r="827" spans="1:22">
      <c r="A827" t="str">
        <f t="shared" si="96"/>
        <v>MIC-9502-Z30xQS</v>
      </c>
      <c r="B827" s="403" t="s">
        <v>1367</v>
      </c>
      <c r="C827" s="403" t="s">
        <v>582</v>
      </c>
      <c r="D827" s="403" t="s">
        <v>1368</v>
      </c>
      <c r="E827" s="403" t="s">
        <v>1369</v>
      </c>
      <c r="F827" s="403" t="s">
        <v>1288</v>
      </c>
      <c r="G827" s="403" t="s">
        <v>1466</v>
      </c>
      <c r="H827" s="403" t="s">
        <v>1276</v>
      </c>
      <c r="I827" s="403">
        <v>1</v>
      </c>
      <c r="J827" s="403" t="s">
        <v>110</v>
      </c>
      <c r="K827" s="403">
        <v>1920</v>
      </c>
      <c r="L827" s="403">
        <v>1080</v>
      </c>
      <c r="M827" s="403" t="s">
        <v>1289</v>
      </c>
      <c r="N827" s="403">
        <v>1280</v>
      </c>
      <c r="O827" s="403">
        <v>720</v>
      </c>
      <c r="P827" t="str">
        <f t="shared" si="97"/>
        <v>60fps 1080p - 720p full frame rate</v>
      </c>
      <c r="Q827">
        <f t="shared" si="98"/>
        <v>4</v>
      </c>
      <c r="R827" t="str">
        <f t="shared" si="99"/>
        <v/>
      </c>
      <c r="S827" t="str">
        <f t="shared" si="100"/>
        <v/>
      </c>
      <c r="T827" s="403" t="str">
        <f t="shared" si="101"/>
        <v>MIC-9502-Z30xQS</v>
      </c>
      <c r="U827" s="403">
        <f t="shared" si="102"/>
        <v>1</v>
      </c>
      <c r="V827" s="403" t="str">
        <f t="shared" si="103"/>
        <v>CPP_7_3</v>
      </c>
    </row>
    <row r="828" spans="1:22">
      <c r="A828" t="str">
        <f t="shared" si="96"/>
        <v>MIC-9502-Z30xQS</v>
      </c>
      <c r="B828" s="403" t="s">
        <v>1367</v>
      </c>
      <c r="C828" s="403" t="s">
        <v>582</v>
      </c>
      <c r="D828" s="403" t="s">
        <v>1368</v>
      </c>
      <c r="E828" s="403" t="s">
        <v>1369</v>
      </c>
      <c r="F828" s="403" t="s">
        <v>1288</v>
      </c>
      <c r="G828" s="403" t="s">
        <v>1466</v>
      </c>
      <c r="H828" s="403" t="s">
        <v>1276</v>
      </c>
      <c r="I828" s="403">
        <v>1</v>
      </c>
      <c r="J828" s="403" t="s">
        <v>110</v>
      </c>
      <c r="K828" s="403">
        <v>1920</v>
      </c>
      <c r="L828" s="403">
        <v>1080</v>
      </c>
      <c r="M828" s="403" t="s">
        <v>1283</v>
      </c>
      <c r="N828" s="403">
        <v>720</v>
      </c>
      <c r="O828" s="403">
        <v>480</v>
      </c>
      <c r="P828" t="str">
        <f t="shared" si="97"/>
        <v>60fps 1080p - SD 4CIF resolution 4:3 format (cropped)</v>
      </c>
      <c r="Q828">
        <f t="shared" si="98"/>
        <v>4</v>
      </c>
      <c r="R828" t="str">
        <f t="shared" si="99"/>
        <v/>
      </c>
      <c r="S828" t="str">
        <f t="shared" si="100"/>
        <v/>
      </c>
      <c r="T828" s="403" t="str">
        <f t="shared" si="101"/>
        <v>MIC-9502-Z30xQS</v>
      </c>
      <c r="U828" s="403">
        <f t="shared" si="102"/>
        <v>1</v>
      </c>
      <c r="V828" s="403" t="str">
        <f t="shared" si="103"/>
        <v>CPP_7_3</v>
      </c>
    </row>
    <row r="829" spans="1:22">
      <c r="A829" t="str">
        <f t="shared" si="96"/>
        <v>MIC-9502-Z30xQS</v>
      </c>
      <c r="B829" s="403" t="s">
        <v>1367</v>
      </c>
      <c r="C829" s="403" t="s">
        <v>582</v>
      </c>
      <c r="D829" s="403" t="s">
        <v>1368</v>
      </c>
      <c r="E829" s="403" t="s">
        <v>1369</v>
      </c>
      <c r="F829" s="403" t="s">
        <v>1288</v>
      </c>
      <c r="G829" s="403" t="s">
        <v>1466</v>
      </c>
      <c r="H829" s="403" t="s">
        <v>1276</v>
      </c>
      <c r="I829" s="403">
        <v>1</v>
      </c>
      <c r="J829" s="403" t="s">
        <v>110</v>
      </c>
      <c r="K829" s="403">
        <v>1920</v>
      </c>
      <c r="L829" s="403">
        <v>1080</v>
      </c>
      <c r="M829" s="403" t="s">
        <v>1284</v>
      </c>
      <c r="N829" s="403">
        <v>640</v>
      </c>
      <c r="O829" s="403">
        <v>480</v>
      </c>
      <c r="P829" t="str">
        <f t="shared" si="97"/>
        <v>60fps 1080p - SD VGA (cropped)</v>
      </c>
      <c r="Q829">
        <f t="shared" si="98"/>
        <v>4</v>
      </c>
      <c r="R829" t="str">
        <f t="shared" si="99"/>
        <v/>
      </c>
      <c r="S829" t="str">
        <f t="shared" si="100"/>
        <v/>
      </c>
      <c r="T829" s="403" t="str">
        <f t="shared" si="101"/>
        <v>MIC-9502-Z30xQS</v>
      </c>
      <c r="U829" s="403">
        <f t="shared" si="102"/>
        <v>1</v>
      </c>
      <c r="V829" s="403" t="str">
        <f t="shared" si="103"/>
        <v>CPP_7_3</v>
      </c>
    </row>
    <row r="830" spans="1:22">
      <c r="A830" t="str">
        <f t="shared" si="96"/>
        <v>MIC-9502-Z30xQS</v>
      </c>
      <c r="B830" s="403" t="s">
        <v>1367</v>
      </c>
      <c r="C830" s="403" t="s">
        <v>582</v>
      </c>
      <c r="D830" s="403" t="s">
        <v>1368</v>
      </c>
      <c r="E830" s="403" t="s">
        <v>1369</v>
      </c>
      <c r="F830" s="403" t="s">
        <v>1288</v>
      </c>
      <c r="G830" s="403" t="s">
        <v>1466</v>
      </c>
      <c r="H830" s="403" t="s">
        <v>1276</v>
      </c>
      <c r="I830" s="403">
        <v>1</v>
      </c>
      <c r="J830" s="403" t="s">
        <v>1289</v>
      </c>
      <c r="K830" s="403">
        <v>1280</v>
      </c>
      <c r="L830" s="403">
        <v>720</v>
      </c>
      <c r="M830" s="403" t="s">
        <v>1289</v>
      </c>
      <c r="N830" s="403">
        <v>1280</v>
      </c>
      <c r="O830" s="403">
        <v>720</v>
      </c>
      <c r="P830" t="str">
        <f t="shared" si="97"/>
        <v>60fps 720p full frame rate - 720p full frame rate</v>
      </c>
      <c r="Q830">
        <f t="shared" si="98"/>
        <v>4</v>
      </c>
      <c r="R830" t="str">
        <f t="shared" si="99"/>
        <v/>
      </c>
      <c r="S830" t="str">
        <f t="shared" si="100"/>
        <v/>
      </c>
      <c r="T830" s="403" t="str">
        <f t="shared" si="101"/>
        <v>MIC-9502-Z30xQS</v>
      </c>
      <c r="U830" s="403">
        <f t="shared" si="102"/>
        <v>1</v>
      </c>
      <c r="V830" s="403" t="str">
        <f t="shared" si="103"/>
        <v>CPP_7_3</v>
      </c>
    </row>
    <row r="831" spans="1:22">
      <c r="A831" t="str">
        <f t="shared" si="96"/>
        <v>MIC-9502-Z30xQS</v>
      </c>
      <c r="B831" s="403" t="s">
        <v>1367</v>
      </c>
      <c r="C831" s="403" t="s">
        <v>582</v>
      </c>
      <c r="D831" s="403" t="s">
        <v>1368</v>
      </c>
      <c r="E831" s="403" t="s">
        <v>1369</v>
      </c>
      <c r="F831" s="403" t="s">
        <v>1288</v>
      </c>
      <c r="G831" s="403" t="s">
        <v>1466</v>
      </c>
      <c r="H831" s="403" t="s">
        <v>1276</v>
      </c>
      <c r="I831" s="403">
        <v>1</v>
      </c>
      <c r="J831" s="403" t="s">
        <v>1289</v>
      </c>
      <c r="K831" s="403">
        <v>1280</v>
      </c>
      <c r="L831" s="403">
        <v>720</v>
      </c>
      <c r="M831" s="403" t="s">
        <v>111</v>
      </c>
      <c r="N831" s="403">
        <v>768</v>
      </c>
      <c r="O831" s="403">
        <v>432</v>
      </c>
      <c r="P831" t="str">
        <f t="shared" si="97"/>
        <v>60fps 720p full frame rate - SD</v>
      </c>
      <c r="Q831">
        <f t="shared" si="98"/>
        <v>4</v>
      </c>
      <c r="R831" t="str">
        <f t="shared" si="99"/>
        <v/>
      </c>
      <c r="S831" t="str">
        <f t="shared" si="100"/>
        <v/>
      </c>
      <c r="T831" s="403" t="str">
        <f t="shared" si="101"/>
        <v>MIC-9502-Z30xQS</v>
      </c>
      <c r="U831" s="403">
        <f t="shared" si="102"/>
        <v>1</v>
      </c>
      <c r="V831" s="403" t="str">
        <f t="shared" si="103"/>
        <v>CPP_7_3</v>
      </c>
    </row>
    <row r="832" spans="1:22">
      <c r="A832" t="str">
        <f t="shared" si="96"/>
        <v>MIC-9502-Z30xQS</v>
      </c>
      <c r="B832" s="403" t="s">
        <v>1367</v>
      </c>
      <c r="C832" s="403" t="s">
        <v>582</v>
      </c>
      <c r="D832" s="403" t="s">
        <v>1368</v>
      </c>
      <c r="E832" s="403" t="s">
        <v>1369</v>
      </c>
      <c r="F832" s="403" t="s">
        <v>1288</v>
      </c>
      <c r="G832" s="403" t="s">
        <v>1466</v>
      </c>
      <c r="H832" s="403" t="s">
        <v>1276</v>
      </c>
      <c r="I832" s="403">
        <v>1</v>
      </c>
      <c r="J832" s="403" t="s">
        <v>1289</v>
      </c>
      <c r="K832" s="403">
        <v>1280</v>
      </c>
      <c r="L832" s="403">
        <v>720</v>
      </c>
      <c r="M832" s="403" t="s">
        <v>1283</v>
      </c>
      <c r="N832" s="403">
        <v>720</v>
      </c>
      <c r="O832" s="403">
        <v>480</v>
      </c>
      <c r="P832" t="str">
        <f t="shared" si="97"/>
        <v>60fps 720p full frame rate - SD 4CIF resolution 4:3 format (cropped)</v>
      </c>
      <c r="Q832">
        <f t="shared" si="98"/>
        <v>4</v>
      </c>
      <c r="R832" t="str">
        <f t="shared" si="99"/>
        <v/>
      </c>
      <c r="S832" t="str">
        <f t="shared" si="100"/>
        <v/>
      </c>
      <c r="T832" s="403" t="str">
        <f t="shared" si="101"/>
        <v>MIC-9502-Z30xQS</v>
      </c>
      <c r="U832" s="403">
        <f t="shared" si="102"/>
        <v>1</v>
      </c>
      <c r="V832" s="403" t="str">
        <f t="shared" si="103"/>
        <v>CPP_7_3</v>
      </c>
    </row>
    <row r="833" spans="1:22">
      <c r="A833" t="str">
        <f t="shared" si="96"/>
        <v>MIC-9502-Z30xQS</v>
      </c>
      <c r="B833" s="403" t="s">
        <v>1367</v>
      </c>
      <c r="C833" s="403" t="s">
        <v>582</v>
      </c>
      <c r="D833" s="403" t="s">
        <v>1368</v>
      </c>
      <c r="E833" s="403" t="s">
        <v>1369</v>
      </c>
      <c r="F833" s="403" t="s">
        <v>1288</v>
      </c>
      <c r="G833" s="403" t="s">
        <v>1466</v>
      </c>
      <c r="H833" s="403" t="s">
        <v>1276</v>
      </c>
      <c r="I833" s="403">
        <v>1</v>
      </c>
      <c r="J833" s="403" t="s">
        <v>1289</v>
      </c>
      <c r="K833" s="403">
        <v>1280</v>
      </c>
      <c r="L833" s="403">
        <v>720</v>
      </c>
      <c r="M833" s="403" t="s">
        <v>1284</v>
      </c>
      <c r="N833" s="403">
        <v>640</v>
      </c>
      <c r="O833" s="403">
        <v>480</v>
      </c>
      <c r="P833" t="str">
        <f t="shared" si="97"/>
        <v>60fps 720p full frame rate - SD VGA (cropped)</v>
      </c>
      <c r="Q833">
        <f t="shared" si="98"/>
        <v>4</v>
      </c>
      <c r="R833" t="str">
        <f t="shared" si="99"/>
        <v/>
      </c>
      <c r="S833" t="str">
        <f t="shared" si="100"/>
        <v/>
      </c>
      <c r="T833" s="403" t="str">
        <f t="shared" si="101"/>
        <v>MIC-9502-Z30xQS</v>
      </c>
      <c r="U833" s="403">
        <f t="shared" si="102"/>
        <v>1</v>
      </c>
      <c r="V833" s="403" t="str">
        <f t="shared" si="103"/>
        <v>CPP_7_3</v>
      </c>
    </row>
    <row r="834" spans="1:22">
      <c r="A834" t="str">
        <f t="shared" ref="A834:A897" si="104">IF(AND(G834&lt;&gt;"rotate 90°"),D834,"")</f>
        <v>MIC-9502-Z30xQS</v>
      </c>
      <c r="B834" s="403" t="s">
        <v>1367</v>
      </c>
      <c r="C834" s="403" t="s">
        <v>582</v>
      </c>
      <c r="D834" s="403" t="s">
        <v>1368</v>
      </c>
      <c r="E834" s="403" t="s">
        <v>1369</v>
      </c>
      <c r="F834" s="403" t="s">
        <v>1288</v>
      </c>
      <c r="G834" s="403" t="s">
        <v>1466</v>
      </c>
      <c r="H834" s="403" t="s">
        <v>1276</v>
      </c>
      <c r="I834" s="403">
        <v>2</v>
      </c>
      <c r="J834" s="403" t="s">
        <v>111</v>
      </c>
      <c r="K834" s="403">
        <v>320</v>
      </c>
      <c r="L834" s="403">
        <v>240</v>
      </c>
      <c r="M834" s="403" t="s">
        <v>111</v>
      </c>
      <c r="N834" s="403">
        <v>320</v>
      </c>
      <c r="O834" s="403">
        <v>240</v>
      </c>
      <c r="P834" t="str">
        <f t="shared" ref="P834:P897" si="105">LEFT(F834,5)&amp;" "&amp;J834&amp;" - "&amp;M834</f>
        <v>60fps SD - SD</v>
      </c>
      <c r="Q834">
        <f t="shared" ref="Q834:Q897" si="106">IF(A833=A834,Q833,Q833+1)</f>
        <v>4</v>
      </c>
      <c r="R834" t="str">
        <f t="shared" ref="R834:R897" si="107">IF(Q833&lt;&gt;Q834,Q834,"")</f>
        <v/>
      </c>
      <c r="S834" t="str">
        <f t="shared" ref="S834:S897" si="108">IF(R834&lt;&gt;"",B834&amp;" ("&amp;D834&amp;")","")</f>
        <v/>
      </c>
      <c r="T834" s="403" t="str">
        <f t="shared" ref="T834:T897" si="109">D834</f>
        <v>MIC-9502-Z30xQS</v>
      </c>
      <c r="U834" s="403">
        <f t="shared" ref="U834:U897" si="110">I834</f>
        <v>2</v>
      </c>
      <c r="V834" s="403" t="str">
        <f t="shared" ref="V834:V897" si="111">C834</f>
        <v>CPP_7_3</v>
      </c>
    </row>
    <row r="835" spans="1:22">
      <c r="A835" t="str">
        <f t="shared" si="104"/>
        <v>MIC-9502-Z30xQS</v>
      </c>
      <c r="B835" s="403" t="s">
        <v>1367</v>
      </c>
      <c r="C835" s="403" t="s">
        <v>582</v>
      </c>
      <c r="D835" s="403" t="s">
        <v>1368</v>
      </c>
      <c r="E835" s="403" t="s">
        <v>1369</v>
      </c>
      <c r="F835" s="403" t="s">
        <v>1288</v>
      </c>
      <c r="G835" s="403" t="s">
        <v>1466</v>
      </c>
      <c r="H835" s="403" t="s">
        <v>1276</v>
      </c>
      <c r="I835" s="403">
        <v>2</v>
      </c>
      <c r="J835" s="403" t="s">
        <v>111</v>
      </c>
      <c r="K835" s="403">
        <v>320</v>
      </c>
      <c r="L835" s="403">
        <v>240</v>
      </c>
      <c r="M835" s="403" t="s">
        <v>1280</v>
      </c>
      <c r="N835" s="403">
        <v>320</v>
      </c>
      <c r="O835" s="403">
        <v>240</v>
      </c>
      <c r="P835" t="str">
        <f t="shared" si="105"/>
        <v>60fps SD - copy other stream</v>
      </c>
      <c r="Q835">
        <f t="shared" si="106"/>
        <v>4</v>
      </c>
      <c r="R835" t="str">
        <f t="shared" si="107"/>
        <v/>
      </c>
      <c r="S835" t="str">
        <f t="shared" si="108"/>
        <v/>
      </c>
      <c r="T835" s="403" t="str">
        <f t="shared" si="109"/>
        <v>MIC-9502-Z30xQS</v>
      </c>
      <c r="U835" s="403">
        <f t="shared" si="110"/>
        <v>2</v>
      </c>
      <c r="V835" s="403" t="str">
        <f t="shared" si="111"/>
        <v>CPP_7_3</v>
      </c>
    </row>
    <row r="836" spans="1:22">
      <c r="A836" t="str">
        <f t="shared" si="104"/>
        <v>MIC-9502-Z30xQS</v>
      </c>
      <c r="B836" s="403" t="s">
        <v>1367</v>
      </c>
      <c r="C836" s="403" t="s">
        <v>582</v>
      </c>
      <c r="D836" s="403" t="s">
        <v>1368</v>
      </c>
      <c r="E836" s="403" t="s">
        <v>1369</v>
      </c>
      <c r="F836" s="403" t="s">
        <v>1288</v>
      </c>
      <c r="G836" s="403" t="s">
        <v>1466</v>
      </c>
      <c r="H836" s="403" t="s">
        <v>1281</v>
      </c>
      <c r="I836" s="403">
        <v>1</v>
      </c>
      <c r="J836" s="403" t="s">
        <v>110</v>
      </c>
      <c r="K836" s="403">
        <v>1920</v>
      </c>
      <c r="L836" s="403">
        <v>1080</v>
      </c>
      <c r="M836" s="403" t="s">
        <v>111</v>
      </c>
      <c r="N836" s="403">
        <v>768</v>
      </c>
      <c r="O836" s="403">
        <v>432</v>
      </c>
      <c r="P836" t="str">
        <f t="shared" si="105"/>
        <v>60fps 1080p - SD</v>
      </c>
      <c r="Q836">
        <f t="shared" si="106"/>
        <v>4</v>
      </c>
      <c r="R836" t="str">
        <f t="shared" si="107"/>
        <v/>
      </c>
      <c r="S836" t="str">
        <f t="shared" si="108"/>
        <v/>
      </c>
      <c r="T836" s="403" t="str">
        <f t="shared" si="109"/>
        <v>MIC-9502-Z30xQS</v>
      </c>
      <c r="U836" s="403">
        <f t="shared" si="110"/>
        <v>1</v>
      </c>
      <c r="V836" s="403" t="str">
        <f t="shared" si="111"/>
        <v>CPP_7_3</v>
      </c>
    </row>
    <row r="837" spans="1:22">
      <c r="A837" t="str">
        <f t="shared" si="104"/>
        <v>MIC-9502-Z30xQS</v>
      </c>
      <c r="B837" s="403" t="s">
        <v>1367</v>
      </c>
      <c r="C837" s="403" t="s">
        <v>582</v>
      </c>
      <c r="D837" s="403" t="s">
        <v>1368</v>
      </c>
      <c r="E837" s="403" t="s">
        <v>1369</v>
      </c>
      <c r="F837" s="403" t="s">
        <v>1288</v>
      </c>
      <c r="G837" s="403" t="s">
        <v>1466</v>
      </c>
      <c r="H837" s="403" t="s">
        <v>1281</v>
      </c>
      <c r="I837" s="403">
        <v>1</v>
      </c>
      <c r="J837" s="403" t="s">
        <v>110</v>
      </c>
      <c r="K837" s="403">
        <v>1920</v>
      </c>
      <c r="L837" s="403">
        <v>1080</v>
      </c>
      <c r="M837" s="403" t="s">
        <v>1363</v>
      </c>
      <c r="N837" s="403">
        <v>1920</v>
      </c>
      <c r="O837" s="403">
        <v>1080</v>
      </c>
      <c r="P837" t="str">
        <f t="shared" si="105"/>
        <v>60fps 1080p - 1920x1080 @ SKIP 2</v>
      </c>
      <c r="Q837">
        <f t="shared" si="106"/>
        <v>4</v>
      </c>
      <c r="R837" t="str">
        <f t="shared" si="107"/>
        <v/>
      </c>
      <c r="S837" t="str">
        <f t="shared" si="108"/>
        <v/>
      </c>
      <c r="T837" s="403" t="str">
        <f t="shared" si="109"/>
        <v>MIC-9502-Z30xQS</v>
      </c>
      <c r="U837" s="403">
        <f t="shared" si="110"/>
        <v>1</v>
      </c>
      <c r="V837" s="403" t="str">
        <f t="shared" si="111"/>
        <v>CPP_7_3</v>
      </c>
    </row>
    <row r="838" spans="1:22">
      <c r="A838" t="str">
        <f t="shared" si="104"/>
        <v>MIC-9502-Z30xQS</v>
      </c>
      <c r="B838" s="403" t="s">
        <v>1367</v>
      </c>
      <c r="C838" s="403" t="s">
        <v>582</v>
      </c>
      <c r="D838" s="403" t="s">
        <v>1368</v>
      </c>
      <c r="E838" s="403" t="s">
        <v>1369</v>
      </c>
      <c r="F838" s="403" t="s">
        <v>1288</v>
      </c>
      <c r="G838" s="403" t="s">
        <v>1466</v>
      </c>
      <c r="H838" s="403" t="s">
        <v>1281</v>
      </c>
      <c r="I838" s="403">
        <v>1</v>
      </c>
      <c r="J838" s="403" t="s">
        <v>110</v>
      </c>
      <c r="K838" s="403">
        <v>1920</v>
      </c>
      <c r="L838" s="403">
        <v>1080</v>
      </c>
      <c r="M838" s="403" t="s">
        <v>1280</v>
      </c>
      <c r="N838" s="403">
        <v>1920</v>
      </c>
      <c r="O838" s="403">
        <v>1080</v>
      </c>
      <c r="P838" t="str">
        <f t="shared" si="105"/>
        <v>60fps 1080p - copy other stream</v>
      </c>
      <c r="Q838">
        <f t="shared" si="106"/>
        <v>4</v>
      </c>
      <c r="R838" t="str">
        <f t="shared" si="107"/>
        <v/>
      </c>
      <c r="S838" t="str">
        <f t="shared" si="108"/>
        <v/>
      </c>
      <c r="T838" s="403" t="str">
        <f t="shared" si="109"/>
        <v>MIC-9502-Z30xQS</v>
      </c>
      <c r="U838" s="403">
        <f t="shared" si="110"/>
        <v>1</v>
      </c>
      <c r="V838" s="403" t="str">
        <f t="shared" si="111"/>
        <v>CPP_7_3</v>
      </c>
    </row>
    <row r="839" spans="1:22">
      <c r="A839" t="str">
        <f t="shared" si="104"/>
        <v>MIC-9502-Z30xQS</v>
      </c>
      <c r="B839" s="403" t="s">
        <v>1367</v>
      </c>
      <c r="C839" s="403" t="s">
        <v>582</v>
      </c>
      <c r="D839" s="403" t="s">
        <v>1368</v>
      </c>
      <c r="E839" s="403" t="s">
        <v>1369</v>
      </c>
      <c r="F839" s="403" t="s">
        <v>1288</v>
      </c>
      <c r="G839" s="403" t="s">
        <v>1466</v>
      </c>
      <c r="H839" s="403" t="s">
        <v>1281</v>
      </c>
      <c r="I839" s="403">
        <v>1</v>
      </c>
      <c r="J839" s="403" t="s">
        <v>110</v>
      </c>
      <c r="K839" s="403">
        <v>1920</v>
      </c>
      <c r="L839" s="403">
        <v>1080</v>
      </c>
      <c r="M839" s="403" t="s">
        <v>1289</v>
      </c>
      <c r="N839" s="403">
        <v>1280</v>
      </c>
      <c r="O839" s="403">
        <v>720</v>
      </c>
      <c r="P839" t="str">
        <f t="shared" si="105"/>
        <v>60fps 1080p - 720p full frame rate</v>
      </c>
      <c r="Q839">
        <f t="shared" si="106"/>
        <v>4</v>
      </c>
      <c r="R839" t="str">
        <f t="shared" si="107"/>
        <v/>
      </c>
      <c r="S839" t="str">
        <f t="shared" si="108"/>
        <v/>
      </c>
      <c r="T839" s="403" t="str">
        <f t="shared" si="109"/>
        <v>MIC-9502-Z30xQS</v>
      </c>
      <c r="U839" s="403">
        <f t="shared" si="110"/>
        <v>1</v>
      </c>
      <c r="V839" s="403" t="str">
        <f t="shared" si="111"/>
        <v>CPP_7_3</v>
      </c>
    </row>
    <row r="840" spans="1:22">
      <c r="A840" t="str">
        <f t="shared" si="104"/>
        <v>MIC-9502-Z30xQS</v>
      </c>
      <c r="B840" s="403" t="s">
        <v>1367</v>
      </c>
      <c r="C840" s="403" t="s">
        <v>582</v>
      </c>
      <c r="D840" s="403" t="s">
        <v>1368</v>
      </c>
      <c r="E840" s="403" t="s">
        <v>1369</v>
      </c>
      <c r="F840" s="403" t="s">
        <v>1288</v>
      </c>
      <c r="G840" s="403" t="s">
        <v>1466</v>
      </c>
      <c r="H840" s="403" t="s">
        <v>1281</v>
      </c>
      <c r="I840" s="403">
        <v>1</v>
      </c>
      <c r="J840" s="403" t="s">
        <v>110</v>
      </c>
      <c r="K840" s="403">
        <v>1920</v>
      </c>
      <c r="L840" s="403">
        <v>1080</v>
      </c>
      <c r="M840" s="403" t="s">
        <v>1283</v>
      </c>
      <c r="N840" s="403">
        <v>720</v>
      </c>
      <c r="O840" s="403">
        <v>480</v>
      </c>
      <c r="P840" t="str">
        <f t="shared" si="105"/>
        <v>60fps 1080p - SD 4CIF resolution 4:3 format (cropped)</v>
      </c>
      <c r="Q840">
        <f t="shared" si="106"/>
        <v>4</v>
      </c>
      <c r="R840" t="str">
        <f t="shared" si="107"/>
        <v/>
      </c>
      <c r="S840" t="str">
        <f t="shared" si="108"/>
        <v/>
      </c>
      <c r="T840" s="403" t="str">
        <f t="shared" si="109"/>
        <v>MIC-9502-Z30xQS</v>
      </c>
      <c r="U840" s="403">
        <f t="shared" si="110"/>
        <v>1</v>
      </c>
      <c r="V840" s="403" t="str">
        <f t="shared" si="111"/>
        <v>CPP_7_3</v>
      </c>
    </row>
    <row r="841" spans="1:22">
      <c r="A841" t="str">
        <f t="shared" si="104"/>
        <v>MIC-9502-Z30xQS</v>
      </c>
      <c r="B841" s="403" t="s">
        <v>1367</v>
      </c>
      <c r="C841" s="403" t="s">
        <v>582</v>
      </c>
      <c r="D841" s="403" t="s">
        <v>1368</v>
      </c>
      <c r="E841" s="403" t="s">
        <v>1369</v>
      </c>
      <c r="F841" s="403" t="s">
        <v>1288</v>
      </c>
      <c r="G841" s="403" t="s">
        <v>1466</v>
      </c>
      <c r="H841" s="403" t="s">
        <v>1281</v>
      </c>
      <c r="I841" s="403">
        <v>1</v>
      </c>
      <c r="J841" s="403" t="s">
        <v>110</v>
      </c>
      <c r="K841" s="403">
        <v>1920</v>
      </c>
      <c r="L841" s="403">
        <v>1080</v>
      </c>
      <c r="M841" s="403" t="s">
        <v>1284</v>
      </c>
      <c r="N841" s="403">
        <v>640</v>
      </c>
      <c r="O841" s="403">
        <v>480</v>
      </c>
      <c r="P841" t="str">
        <f t="shared" si="105"/>
        <v>60fps 1080p - SD VGA (cropped)</v>
      </c>
      <c r="Q841">
        <f t="shared" si="106"/>
        <v>4</v>
      </c>
      <c r="R841" t="str">
        <f t="shared" si="107"/>
        <v/>
      </c>
      <c r="S841" t="str">
        <f t="shared" si="108"/>
        <v/>
      </c>
      <c r="T841" s="403" t="str">
        <f t="shared" si="109"/>
        <v>MIC-9502-Z30xQS</v>
      </c>
      <c r="U841" s="403">
        <f t="shared" si="110"/>
        <v>1</v>
      </c>
      <c r="V841" s="403" t="str">
        <f t="shared" si="111"/>
        <v>CPP_7_3</v>
      </c>
    </row>
    <row r="842" spans="1:22">
      <c r="A842" t="str">
        <f t="shared" si="104"/>
        <v>MIC-9502-Z30xQS</v>
      </c>
      <c r="B842" s="403" t="s">
        <v>1367</v>
      </c>
      <c r="C842" s="403" t="s">
        <v>582</v>
      </c>
      <c r="D842" s="403" t="s">
        <v>1368</v>
      </c>
      <c r="E842" s="403" t="s">
        <v>1369</v>
      </c>
      <c r="F842" s="403" t="s">
        <v>1288</v>
      </c>
      <c r="G842" s="403" t="s">
        <v>1466</v>
      </c>
      <c r="H842" s="403" t="s">
        <v>1281</v>
      </c>
      <c r="I842" s="403">
        <v>1</v>
      </c>
      <c r="J842" s="403" t="s">
        <v>1289</v>
      </c>
      <c r="K842" s="403">
        <v>1280</v>
      </c>
      <c r="L842" s="403">
        <v>720</v>
      </c>
      <c r="M842" s="403" t="s">
        <v>1289</v>
      </c>
      <c r="N842" s="403">
        <v>1280</v>
      </c>
      <c r="O842" s="403">
        <v>720</v>
      </c>
      <c r="P842" t="str">
        <f t="shared" si="105"/>
        <v>60fps 720p full frame rate - 720p full frame rate</v>
      </c>
      <c r="Q842">
        <f t="shared" si="106"/>
        <v>4</v>
      </c>
      <c r="R842" t="str">
        <f t="shared" si="107"/>
        <v/>
      </c>
      <c r="S842" t="str">
        <f t="shared" si="108"/>
        <v/>
      </c>
      <c r="T842" s="403" t="str">
        <f t="shared" si="109"/>
        <v>MIC-9502-Z30xQS</v>
      </c>
      <c r="U842" s="403">
        <f t="shared" si="110"/>
        <v>1</v>
      </c>
      <c r="V842" s="403" t="str">
        <f t="shared" si="111"/>
        <v>CPP_7_3</v>
      </c>
    </row>
    <row r="843" spans="1:22">
      <c r="A843" t="str">
        <f t="shared" si="104"/>
        <v>MIC-9502-Z30xQS</v>
      </c>
      <c r="B843" s="403" t="s">
        <v>1367</v>
      </c>
      <c r="C843" s="403" t="s">
        <v>582</v>
      </c>
      <c r="D843" s="403" t="s">
        <v>1368</v>
      </c>
      <c r="E843" s="403" t="s">
        <v>1369</v>
      </c>
      <c r="F843" s="403" t="s">
        <v>1288</v>
      </c>
      <c r="G843" s="403" t="s">
        <v>1466</v>
      </c>
      <c r="H843" s="403" t="s">
        <v>1281</v>
      </c>
      <c r="I843" s="403">
        <v>1</v>
      </c>
      <c r="J843" s="403" t="s">
        <v>1289</v>
      </c>
      <c r="K843" s="403">
        <v>1280</v>
      </c>
      <c r="L843" s="403">
        <v>720</v>
      </c>
      <c r="M843" s="403" t="s">
        <v>111</v>
      </c>
      <c r="N843" s="403">
        <v>768</v>
      </c>
      <c r="O843" s="403">
        <v>432</v>
      </c>
      <c r="P843" t="str">
        <f t="shared" si="105"/>
        <v>60fps 720p full frame rate - SD</v>
      </c>
      <c r="Q843">
        <f t="shared" si="106"/>
        <v>4</v>
      </c>
      <c r="R843" t="str">
        <f t="shared" si="107"/>
        <v/>
      </c>
      <c r="S843" t="str">
        <f t="shared" si="108"/>
        <v/>
      </c>
      <c r="T843" s="403" t="str">
        <f t="shared" si="109"/>
        <v>MIC-9502-Z30xQS</v>
      </c>
      <c r="U843" s="403">
        <f t="shared" si="110"/>
        <v>1</v>
      </c>
      <c r="V843" s="403" t="str">
        <f t="shared" si="111"/>
        <v>CPP_7_3</v>
      </c>
    </row>
    <row r="844" spans="1:22">
      <c r="A844" t="str">
        <f t="shared" si="104"/>
        <v>MIC-9502-Z30xQS</v>
      </c>
      <c r="B844" s="403" t="s">
        <v>1367</v>
      </c>
      <c r="C844" s="403" t="s">
        <v>582</v>
      </c>
      <c r="D844" s="403" t="s">
        <v>1368</v>
      </c>
      <c r="E844" s="403" t="s">
        <v>1369</v>
      </c>
      <c r="F844" s="403" t="s">
        <v>1288</v>
      </c>
      <c r="G844" s="403" t="s">
        <v>1466</v>
      </c>
      <c r="H844" s="403" t="s">
        <v>1281</v>
      </c>
      <c r="I844" s="403">
        <v>1</v>
      </c>
      <c r="J844" s="403" t="s">
        <v>1289</v>
      </c>
      <c r="K844" s="403">
        <v>1280</v>
      </c>
      <c r="L844" s="403">
        <v>720</v>
      </c>
      <c r="M844" s="403" t="s">
        <v>1283</v>
      </c>
      <c r="N844" s="403">
        <v>720</v>
      </c>
      <c r="O844" s="403">
        <v>480</v>
      </c>
      <c r="P844" t="str">
        <f t="shared" si="105"/>
        <v>60fps 720p full frame rate - SD 4CIF resolution 4:3 format (cropped)</v>
      </c>
      <c r="Q844">
        <f t="shared" si="106"/>
        <v>4</v>
      </c>
      <c r="R844" t="str">
        <f t="shared" si="107"/>
        <v/>
      </c>
      <c r="S844" t="str">
        <f t="shared" si="108"/>
        <v/>
      </c>
      <c r="T844" s="403" t="str">
        <f t="shared" si="109"/>
        <v>MIC-9502-Z30xQS</v>
      </c>
      <c r="U844" s="403">
        <f t="shared" si="110"/>
        <v>1</v>
      </c>
      <c r="V844" s="403" t="str">
        <f t="shared" si="111"/>
        <v>CPP_7_3</v>
      </c>
    </row>
    <row r="845" spans="1:22">
      <c r="A845" t="str">
        <f t="shared" si="104"/>
        <v>MIC-9502-Z30xQS</v>
      </c>
      <c r="B845" s="403" t="s">
        <v>1367</v>
      </c>
      <c r="C845" s="403" t="s">
        <v>582</v>
      </c>
      <c r="D845" s="403" t="s">
        <v>1368</v>
      </c>
      <c r="E845" s="403" t="s">
        <v>1369</v>
      </c>
      <c r="F845" s="403" t="s">
        <v>1288</v>
      </c>
      <c r="G845" s="403" t="s">
        <v>1466</v>
      </c>
      <c r="H845" s="403" t="s">
        <v>1281</v>
      </c>
      <c r="I845" s="403">
        <v>1</v>
      </c>
      <c r="J845" s="403" t="s">
        <v>1289</v>
      </c>
      <c r="K845" s="403">
        <v>1280</v>
      </c>
      <c r="L845" s="403">
        <v>720</v>
      </c>
      <c r="M845" s="403" t="s">
        <v>1284</v>
      </c>
      <c r="N845" s="403">
        <v>640</v>
      </c>
      <c r="O845" s="403">
        <v>480</v>
      </c>
      <c r="P845" t="str">
        <f t="shared" si="105"/>
        <v>60fps 720p full frame rate - SD VGA (cropped)</v>
      </c>
      <c r="Q845">
        <f t="shared" si="106"/>
        <v>4</v>
      </c>
      <c r="R845" t="str">
        <f t="shared" si="107"/>
        <v/>
      </c>
      <c r="S845" t="str">
        <f t="shared" si="108"/>
        <v/>
      </c>
      <c r="T845" s="403" t="str">
        <f t="shared" si="109"/>
        <v>MIC-9502-Z30xQS</v>
      </c>
      <c r="U845" s="403">
        <f t="shared" si="110"/>
        <v>1</v>
      </c>
      <c r="V845" s="403" t="str">
        <f t="shared" si="111"/>
        <v>CPP_7_3</v>
      </c>
    </row>
    <row r="846" spans="1:22">
      <c r="A846" t="str">
        <f t="shared" si="104"/>
        <v>MIC-9502-Z30xQS</v>
      </c>
      <c r="B846" s="403" t="s">
        <v>1367</v>
      </c>
      <c r="C846" s="403" t="s">
        <v>582</v>
      </c>
      <c r="D846" s="403" t="s">
        <v>1368</v>
      </c>
      <c r="E846" s="403" t="s">
        <v>1369</v>
      </c>
      <c r="F846" s="403" t="s">
        <v>1288</v>
      </c>
      <c r="G846" s="403" t="s">
        <v>1466</v>
      </c>
      <c r="H846" s="403" t="s">
        <v>1281</v>
      </c>
      <c r="I846" s="403">
        <v>2</v>
      </c>
      <c r="J846" s="403" t="s">
        <v>111</v>
      </c>
      <c r="K846" s="403">
        <v>320</v>
      </c>
      <c r="L846" s="403">
        <v>240</v>
      </c>
      <c r="M846" s="403" t="s">
        <v>111</v>
      </c>
      <c r="N846" s="403">
        <v>320</v>
      </c>
      <c r="O846" s="403">
        <v>240</v>
      </c>
      <c r="P846" t="str">
        <f t="shared" si="105"/>
        <v>60fps SD - SD</v>
      </c>
      <c r="Q846">
        <f t="shared" si="106"/>
        <v>4</v>
      </c>
      <c r="R846" t="str">
        <f t="shared" si="107"/>
        <v/>
      </c>
      <c r="S846" t="str">
        <f t="shared" si="108"/>
        <v/>
      </c>
      <c r="T846" s="403" t="str">
        <f t="shared" si="109"/>
        <v>MIC-9502-Z30xQS</v>
      </c>
      <c r="U846" s="403">
        <f t="shared" si="110"/>
        <v>2</v>
      </c>
      <c r="V846" s="403" t="str">
        <f t="shared" si="111"/>
        <v>CPP_7_3</v>
      </c>
    </row>
    <row r="847" spans="1:22">
      <c r="A847" t="str">
        <f t="shared" si="104"/>
        <v>MIC-9502-Z30xQS</v>
      </c>
      <c r="B847" s="403" t="s">
        <v>1367</v>
      </c>
      <c r="C847" s="403" t="s">
        <v>582</v>
      </c>
      <c r="D847" s="403" t="s">
        <v>1368</v>
      </c>
      <c r="E847" s="403" t="s">
        <v>1369</v>
      </c>
      <c r="F847" s="403" t="s">
        <v>1288</v>
      </c>
      <c r="G847" s="403" t="s">
        <v>1466</v>
      </c>
      <c r="H847" s="403" t="s">
        <v>1281</v>
      </c>
      <c r="I847" s="403">
        <v>2</v>
      </c>
      <c r="J847" s="403" t="s">
        <v>111</v>
      </c>
      <c r="K847" s="403">
        <v>320</v>
      </c>
      <c r="L847" s="403">
        <v>240</v>
      </c>
      <c r="M847" s="403" t="s">
        <v>1280</v>
      </c>
      <c r="N847" s="403">
        <v>320</v>
      </c>
      <c r="O847" s="403">
        <v>240</v>
      </c>
      <c r="P847" t="str">
        <f t="shared" si="105"/>
        <v>60fps SD - copy other stream</v>
      </c>
      <c r="Q847">
        <f t="shared" si="106"/>
        <v>4</v>
      </c>
      <c r="R847" t="str">
        <f t="shared" si="107"/>
        <v/>
      </c>
      <c r="S847" t="str">
        <f t="shared" si="108"/>
        <v/>
      </c>
      <c r="T847" s="403" t="str">
        <f t="shared" si="109"/>
        <v>MIC-9502-Z30xQS</v>
      </c>
      <c r="U847" s="403">
        <f t="shared" si="110"/>
        <v>2</v>
      </c>
      <c r="V847" s="403" t="str">
        <f t="shared" si="111"/>
        <v>CPP_7_3</v>
      </c>
    </row>
    <row r="848" spans="1:22">
      <c r="A848" t="str">
        <f t="shared" si="104"/>
        <v>NBE-3502-AL</v>
      </c>
      <c r="B848" s="403" t="s">
        <v>1370</v>
      </c>
      <c r="C848" s="403" t="s">
        <v>582</v>
      </c>
      <c r="D848" s="403" t="s">
        <v>1291</v>
      </c>
      <c r="E848" s="403" t="s">
        <v>778</v>
      </c>
      <c r="F848" s="403" t="s">
        <v>1292</v>
      </c>
      <c r="G848" s="403" t="s">
        <v>1466</v>
      </c>
      <c r="H848" s="403" t="s">
        <v>1276</v>
      </c>
      <c r="I848" s="403">
        <v>1</v>
      </c>
      <c r="J848" s="403" t="s">
        <v>110</v>
      </c>
      <c r="K848" s="403">
        <v>1920</v>
      </c>
      <c r="L848" s="403">
        <v>1080</v>
      </c>
      <c r="M848" s="403" t="s">
        <v>111</v>
      </c>
      <c r="N848" s="403">
        <v>768</v>
      </c>
      <c r="O848" s="403">
        <v>432</v>
      </c>
      <c r="P848" t="str">
        <f t="shared" si="105"/>
        <v>30fps 1080p - SD</v>
      </c>
      <c r="Q848">
        <f t="shared" si="106"/>
        <v>5</v>
      </c>
      <c r="R848">
        <f t="shared" si="107"/>
        <v>5</v>
      </c>
      <c r="S848" t="str">
        <f t="shared" si="108"/>
        <v>DINION IP 3000i IR (NBE-3502-AL)</v>
      </c>
      <c r="T848" s="403" t="str">
        <f t="shared" si="109"/>
        <v>NBE-3502-AL</v>
      </c>
      <c r="U848" s="403">
        <f t="shared" si="110"/>
        <v>1</v>
      </c>
      <c r="V848" s="403" t="str">
        <f t="shared" si="111"/>
        <v>CPP_7_3</v>
      </c>
    </row>
    <row r="849" spans="1:22">
      <c r="A849" t="str">
        <f t="shared" si="104"/>
        <v>NBE-3502-AL</v>
      </c>
      <c r="B849" s="403" t="s">
        <v>1370</v>
      </c>
      <c r="C849" s="403" t="s">
        <v>582</v>
      </c>
      <c r="D849" s="403" t="s">
        <v>1291</v>
      </c>
      <c r="E849" s="403" t="s">
        <v>778</v>
      </c>
      <c r="F849" s="403" t="s">
        <v>1292</v>
      </c>
      <c r="G849" s="403" t="s">
        <v>1466</v>
      </c>
      <c r="H849" s="403" t="s">
        <v>1276</v>
      </c>
      <c r="I849" s="403">
        <v>1</v>
      </c>
      <c r="J849" s="403" t="s">
        <v>110</v>
      </c>
      <c r="K849" s="403">
        <v>1920</v>
      </c>
      <c r="L849" s="403">
        <v>1080</v>
      </c>
      <c r="M849" s="403" t="s">
        <v>109</v>
      </c>
      <c r="N849" s="403">
        <v>1280</v>
      </c>
      <c r="O849" s="403">
        <v>720</v>
      </c>
      <c r="P849" t="str">
        <f t="shared" si="105"/>
        <v>30fps 1080p - 720p</v>
      </c>
      <c r="Q849">
        <f t="shared" si="106"/>
        <v>5</v>
      </c>
      <c r="R849" t="str">
        <f t="shared" si="107"/>
        <v/>
      </c>
      <c r="S849" t="str">
        <f t="shared" si="108"/>
        <v/>
      </c>
      <c r="T849" s="403" t="str">
        <f t="shared" si="109"/>
        <v>NBE-3502-AL</v>
      </c>
      <c r="U849" s="403">
        <f t="shared" si="110"/>
        <v>1</v>
      </c>
      <c r="V849" s="403" t="str">
        <f t="shared" si="111"/>
        <v>CPP_7_3</v>
      </c>
    </row>
    <row r="850" spans="1:22">
      <c r="A850" t="str">
        <f t="shared" si="104"/>
        <v>NBE-3502-AL</v>
      </c>
      <c r="B850" s="403" t="s">
        <v>1370</v>
      </c>
      <c r="C850" s="403" t="s">
        <v>582</v>
      </c>
      <c r="D850" s="403" t="s">
        <v>1291</v>
      </c>
      <c r="E850" s="403" t="s">
        <v>778</v>
      </c>
      <c r="F850" s="403" t="s">
        <v>1292</v>
      </c>
      <c r="G850" s="403" t="s">
        <v>1466</v>
      </c>
      <c r="H850" s="403" t="s">
        <v>1276</v>
      </c>
      <c r="I850" s="403">
        <v>1</v>
      </c>
      <c r="J850" s="403" t="s">
        <v>110</v>
      </c>
      <c r="K850" s="403">
        <v>1920</v>
      </c>
      <c r="L850" s="403">
        <v>1080</v>
      </c>
      <c r="M850" s="403" t="s">
        <v>1285</v>
      </c>
      <c r="N850" s="403">
        <v>1280</v>
      </c>
      <c r="O850" s="403">
        <v>1024</v>
      </c>
      <c r="P850" t="str">
        <f t="shared" si="105"/>
        <v>30fps 1080p - 1280x1024 5:4 (cropped)</v>
      </c>
      <c r="Q850">
        <f t="shared" si="106"/>
        <v>5</v>
      </c>
      <c r="R850" t="str">
        <f t="shared" si="107"/>
        <v/>
      </c>
      <c r="S850" t="str">
        <f t="shared" si="108"/>
        <v/>
      </c>
      <c r="T850" s="403" t="str">
        <f t="shared" si="109"/>
        <v>NBE-3502-AL</v>
      </c>
      <c r="U850" s="403">
        <f t="shared" si="110"/>
        <v>1</v>
      </c>
      <c r="V850" s="403" t="str">
        <f t="shared" si="111"/>
        <v>CPP_7_3</v>
      </c>
    </row>
    <row r="851" spans="1:22">
      <c r="A851" t="str">
        <f t="shared" si="104"/>
        <v>NBE-3502-AL</v>
      </c>
      <c r="B851" s="403" t="s">
        <v>1370</v>
      </c>
      <c r="C851" s="403" t="s">
        <v>582</v>
      </c>
      <c r="D851" s="403" t="s">
        <v>1291</v>
      </c>
      <c r="E851" s="403" t="s">
        <v>778</v>
      </c>
      <c r="F851" s="403" t="s">
        <v>1292</v>
      </c>
      <c r="G851" s="403" t="s">
        <v>1466</v>
      </c>
      <c r="H851" s="403" t="s">
        <v>1276</v>
      </c>
      <c r="I851" s="403">
        <v>1</v>
      </c>
      <c r="J851" s="403" t="s">
        <v>110</v>
      </c>
      <c r="K851" s="403">
        <v>1920</v>
      </c>
      <c r="L851" s="403">
        <v>1080</v>
      </c>
      <c r="M851" s="403" t="s">
        <v>1279</v>
      </c>
      <c r="N851" s="403">
        <v>768</v>
      </c>
      <c r="O851" s="403">
        <v>432</v>
      </c>
      <c r="P851" t="str">
        <f t="shared" si="105"/>
        <v>30fps 1080p - SD ROI PTZ</v>
      </c>
      <c r="Q851">
        <f t="shared" si="106"/>
        <v>5</v>
      </c>
      <c r="R851" t="str">
        <f t="shared" si="107"/>
        <v/>
      </c>
      <c r="S851" t="str">
        <f t="shared" si="108"/>
        <v/>
      </c>
      <c r="T851" s="403" t="str">
        <f t="shared" si="109"/>
        <v>NBE-3502-AL</v>
      </c>
      <c r="U851" s="403">
        <f t="shared" si="110"/>
        <v>1</v>
      </c>
      <c r="V851" s="403" t="str">
        <f t="shared" si="111"/>
        <v>CPP_7_3</v>
      </c>
    </row>
    <row r="852" spans="1:22">
      <c r="A852" t="str">
        <f t="shared" si="104"/>
        <v>NBE-3502-AL</v>
      </c>
      <c r="B852" s="403" t="s">
        <v>1370</v>
      </c>
      <c r="C852" s="403" t="s">
        <v>582</v>
      </c>
      <c r="D852" s="403" t="s">
        <v>1291</v>
      </c>
      <c r="E852" s="403" t="s">
        <v>778</v>
      </c>
      <c r="F852" s="403" t="s">
        <v>1292</v>
      </c>
      <c r="G852" s="403" t="s">
        <v>1466</v>
      </c>
      <c r="H852" s="403" t="s">
        <v>1276</v>
      </c>
      <c r="I852" s="403">
        <v>1</v>
      </c>
      <c r="J852" s="403" t="s">
        <v>110</v>
      </c>
      <c r="K852" s="403">
        <v>1920</v>
      </c>
      <c r="L852" s="403">
        <v>1080</v>
      </c>
      <c r="M852" s="403" t="s">
        <v>1283</v>
      </c>
      <c r="N852" s="403">
        <v>720</v>
      </c>
      <c r="O852" s="403">
        <v>480</v>
      </c>
      <c r="P852" t="str">
        <f t="shared" si="105"/>
        <v>30fps 1080p - SD 4CIF resolution 4:3 format (cropped)</v>
      </c>
      <c r="Q852">
        <f t="shared" si="106"/>
        <v>5</v>
      </c>
      <c r="R852" t="str">
        <f t="shared" si="107"/>
        <v/>
      </c>
      <c r="S852" t="str">
        <f t="shared" si="108"/>
        <v/>
      </c>
      <c r="T852" s="403" t="str">
        <f t="shared" si="109"/>
        <v>NBE-3502-AL</v>
      </c>
      <c r="U852" s="403">
        <f t="shared" si="110"/>
        <v>1</v>
      </c>
      <c r="V852" s="403" t="str">
        <f t="shared" si="111"/>
        <v>CPP_7_3</v>
      </c>
    </row>
    <row r="853" spans="1:22">
      <c r="A853" t="str">
        <f t="shared" si="104"/>
        <v>NBE-3502-AL</v>
      </c>
      <c r="B853" s="403" t="s">
        <v>1370</v>
      </c>
      <c r="C853" s="403" t="s">
        <v>582</v>
      </c>
      <c r="D853" s="403" t="s">
        <v>1291</v>
      </c>
      <c r="E853" s="403" t="s">
        <v>778</v>
      </c>
      <c r="F853" s="403" t="s">
        <v>1292</v>
      </c>
      <c r="G853" s="403" t="s">
        <v>1466</v>
      </c>
      <c r="H853" s="403" t="s">
        <v>1276</v>
      </c>
      <c r="I853" s="403">
        <v>1</v>
      </c>
      <c r="J853" s="403" t="s">
        <v>110</v>
      </c>
      <c r="K853" s="403">
        <v>1920</v>
      </c>
      <c r="L853" s="403">
        <v>1080</v>
      </c>
      <c r="M853" s="403" t="s">
        <v>1284</v>
      </c>
      <c r="N853" s="403">
        <v>640</v>
      </c>
      <c r="O853" s="403">
        <v>480</v>
      </c>
      <c r="P853" t="str">
        <f t="shared" si="105"/>
        <v>30fps 1080p - SD VGA (cropped)</v>
      </c>
      <c r="Q853">
        <f t="shared" si="106"/>
        <v>5</v>
      </c>
      <c r="R853" t="str">
        <f t="shared" si="107"/>
        <v/>
      </c>
      <c r="S853" t="str">
        <f t="shared" si="108"/>
        <v/>
      </c>
      <c r="T853" s="403" t="str">
        <f t="shared" si="109"/>
        <v>NBE-3502-AL</v>
      </c>
      <c r="U853" s="403">
        <f t="shared" si="110"/>
        <v>1</v>
      </c>
      <c r="V853" s="403" t="str">
        <f t="shared" si="111"/>
        <v>CPP_7_3</v>
      </c>
    </row>
    <row r="854" spans="1:22">
      <c r="A854" t="str">
        <f t="shared" si="104"/>
        <v>NBE-3502-AL</v>
      </c>
      <c r="B854" s="403" t="s">
        <v>1370</v>
      </c>
      <c r="C854" s="403" t="s">
        <v>582</v>
      </c>
      <c r="D854" s="403" t="s">
        <v>1291</v>
      </c>
      <c r="E854" s="403" t="s">
        <v>778</v>
      </c>
      <c r="F854" s="403" t="s">
        <v>1292</v>
      </c>
      <c r="G854" s="403" t="s">
        <v>1466</v>
      </c>
      <c r="H854" s="403" t="s">
        <v>1276</v>
      </c>
      <c r="I854" s="403">
        <v>1</v>
      </c>
      <c r="J854" s="403" t="s">
        <v>109</v>
      </c>
      <c r="K854" s="403">
        <v>1280</v>
      </c>
      <c r="L854" s="403">
        <v>720</v>
      </c>
      <c r="M854" s="403" t="s">
        <v>109</v>
      </c>
      <c r="N854" s="403">
        <v>1280</v>
      </c>
      <c r="O854" s="403">
        <v>720</v>
      </c>
      <c r="P854" t="str">
        <f t="shared" si="105"/>
        <v>30fps 720p - 720p</v>
      </c>
      <c r="Q854">
        <f t="shared" si="106"/>
        <v>5</v>
      </c>
      <c r="R854" t="str">
        <f t="shared" si="107"/>
        <v/>
      </c>
      <c r="S854" t="str">
        <f t="shared" si="108"/>
        <v/>
      </c>
      <c r="T854" s="403" t="str">
        <f t="shared" si="109"/>
        <v>NBE-3502-AL</v>
      </c>
      <c r="U854" s="403">
        <f t="shared" si="110"/>
        <v>1</v>
      </c>
      <c r="V854" s="403" t="str">
        <f t="shared" si="111"/>
        <v>CPP_7_3</v>
      </c>
    </row>
    <row r="855" spans="1:22">
      <c r="A855" t="str">
        <f t="shared" si="104"/>
        <v>NBE-3502-AL</v>
      </c>
      <c r="B855" s="403" t="s">
        <v>1370</v>
      </c>
      <c r="C855" s="403" t="s">
        <v>582</v>
      </c>
      <c r="D855" s="403" t="s">
        <v>1291</v>
      </c>
      <c r="E855" s="403" t="s">
        <v>778</v>
      </c>
      <c r="F855" s="403" t="s">
        <v>1292</v>
      </c>
      <c r="G855" s="403" t="s">
        <v>1466</v>
      </c>
      <c r="H855" s="403" t="s">
        <v>1276</v>
      </c>
      <c r="I855" s="403">
        <v>1</v>
      </c>
      <c r="J855" s="403" t="s">
        <v>109</v>
      </c>
      <c r="K855" s="403">
        <v>1280</v>
      </c>
      <c r="L855" s="403">
        <v>720</v>
      </c>
      <c r="M855" s="403" t="s">
        <v>111</v>
      </c>
      <c r="N855" s="403">
        <v>768</v>
      </c>
      <c r="O855" s="403">
        <v>432</v>
      </c>
      <c r="P855" t="str">
        <f t="shared" si="105"/>
        <v>30fps 720p - SD</v>
      </c>
      <c r="Q855">
        <f t="shared" si="106"/>
        <v>5</v>
      </c>
      <c r="R855" t="str">
        <f t="shared" si="107"/>
        <v/>
      </c>
      <c r="S855" t="str">
        <f t="shared" si="108"/>
        <v/>
      </c>
      <c r="T855" s="403" t="str">
        <f t="shared" si="109"/>
        <v>NBE-3502-AL</v>
      </c>
      <c r="U855" s="403">
        <f t="shared" si="110"/>
        <v>1</v>
      </c>
      <c r="V855" s="403" t="str">
        <f t="shared" si="111"/>
        <v>CPP_7_3</v>
      </c>
    </row>
    <row r="856" spans="1:22">
      <c r="A856" t="str">
        <f t="shared" si="104"/>
        <v>NBE-3502-AL</v>
      </c>
      <c r="B856" s="403" t="s">
        <v>1370</v>
      </c>
      <c r="C856" s="403" t="s">
        <v>582</v>
      </c>
      <c r="D856" s="403" t="s">
        <v>1291</v>
      </c>
      <c r="E856" s="403" t="s">
        <v>778</v>
      </c>
      <c r="F856" s="403" t="s">
        <v>1292</v>
      </c>
      <c r="G856" s="403" t="s">
        <v>1466</v>
      </c>
      <c r="H856" s="403" t="s">
        <v>1276</v>
      </c>
      <c r="I856" s="403">
        <v>1</v>
      </c>
      <c r="J856" s="403" t="s">
        <v>109</v>
      </c>
      <c r="K856" s="403">
        <v>1280</v>
      </c>
      <c r="L856" s="403">
        <v>720</v>
      </c>
      <c r="M856" s="403" t="s">
        <v>1279</v>
      </c>
      <c r="N856" s="403">
        <v>768</v>
      </c>
      <c r="O856" s="403">
        <v>432</v>
      </c>
      <c r="P856" t="str">
        <f t="shared" si="105"/>
        <v>30fps 720p - SD ROI PTZ</v>
      </c>
      <c r="Q856">
        <f t="shared" si="106"/>
        <v>5</v>
      </c>
      <c r="R856" t="str">
        <f t="shared" si="107"/>
        <v/>
      </c>
      <c r="S856" t="str">
        <f t="shared" si="108"/>
        <v/>
      </c>
      <c r="T856" s="403" t="str">
        <f t="shared" si="109"/>
        <v>NBE-3502-AL</v>
      </c>
      <c r="U856" s="403">
        <f t="shared" si="110"/>
        <v>1</v>
      </c>
      <c r="V856" s="403" t="str">
        <f t="shared" si="111"/>
        <v>CPP_7_3</v>
      </c>
    </row>
    <row r="857" spans="1:22">
      <c r="A857" t="str">
        <f t="shared" si="104"/>
        <v>NBE-3502-AL</v>
      </c>
      <c r="B857" s="403" t="s">
        <v>1370</v>
      </c>
      <c r="C857" s="403" t="s">
        <v>582</v>
      </c>
      <c r="D857" s="403" t="s">
        <v>1291</v>
      </c>
      <c r="E857" s="403" t="s">
        <v>778</v>
      </c>
      <c r="F857" s="403" t="s">
        <v>1292</v>
      </c>
      <c r="G857" s="403" t="s">
        <v>1466</v>
      </c>
      <c r="H857" s="403" t="s">
        <v>1276</v>
      </c>
      <c r="I857" s="403">
        <v>1</v>
      </c>
      <c r="J857" s="403" t="s">
        <v>109</v>
      </c>
      <c r="K857" s="403">
        <v>1280</v>
      </c>
      <c r="L857" s="403">
        <v>720</v>
      </c>
      <c r="M857" s="403" t="s">
        <v>1283</v>
      </c>
      <c r="N857" s="403">
        <v>720</v>
      </c>
      <c r="O857" s="403">
        <v>480</v>
      </c>
      <c r="P857" t="str">
        <f t="shared" si="105"/>
        <v>30fps 720p - SD 4CIF resolution 4:3 format (cropped)</v>
      </c>
      <c r="Q857">
        <f t="shared" si="106"/>
        <v>5</v>
      </c>
      <c r="R857" t="str">
        <f t="shared" si="107"/>
        <v/>
      </c>
      <c r="S857" t="str">
        <f t="shared" si="108"/>
        <v/>
      </c>
      <c r="T857" s="403" t="str">
        <f t="shared" si="109"/>
        <v>NBE-3502-AL</v>
      </c>
      <c r="U857" s="403">
        <f t="shared" si="110"/>
        <v>1</v>
      </c>
      <c r="V857" s="403" t="str">
        <f t="shared" si="111"/>
        <v>CPP_7_3</v>
      </c>
    </row>
    <row r="858" spans="1:22">
      <c r="A858" t="str">
        <f t="shared" si="104"/>
        <v>NBE-3502-AL</v>
      </c>
      <c r="B858" s="403" t="s">
        <v>1370</v>
      </c>
      <c r="C858" s="403" t="s">
        <v>582</v>
      </c>
      <c r="D858" s="403" t="s">
        <v>1291</v>
      </c>
      <c r="E858" s="403" t="s">
        <v>778</v>
      </c>
      <c r="F858" s="403" t="s">
        <v>1292</v>
      </c>
      <c r="G858" s="403" t="s">
        <v>1466</v>
      </c>
      <c r="H858" s="403" t="s">
        <v>1276</v>
      </c>
      <c r="I858" s="403">
        <v>1</v>
      </c>
      <c r="J858" s="403" t="s">
        <v>109</v>
      </c>
      <c r="K858" s="403">
        <v>1280</v>
      </c>
      <c r="L858" s="403">
        <v>720</v>
      </c>
      <c r="M858" s="403" t="s">
        <v>1284</v>
      </c>
      <c r="N858" s="403">
        <v>640</v>
      </c>
      <c r="O858" s="403">
        <v>480</v>
      </c>
      <c r="P858" t="str">
        <f t="shared" si="105"/>
        <v>30fps 720p - SD VGA (cropped)</v>
      </c>
      <c r="Q858">
        <f t="shared" si="106"/>
        <v>5</v>
      </c>
      <c r="R858" t="str">
        <f t="shared" si="107"/>
        <v/>
      </c>
      <c r="S858" t="str">
        <f t="shared" si="108"/>
        <v/>
      </c>
      <c r="T858" s="403" t="str">
        <f t="shared" si="109"/>
        <v>NBE-3502-AL</v>
      </c>
      <c r="U858" s="403">
        <f t="shared" si="110"/>
        <v>1</v>
      </c>
      <c r="V858" s="403" t="str">
        <f t="shared" si="111"/>
        <v>CPP_7_3</v>
      </c>
    </row>
    <row r="859" spans="1:22">
      <c r="A859" t="str">
        <f t="shared" si="104"/>
        <v>NBE-3502-AL</v>
      </c>
      <c r="B859" s="403" t="s">
        <v>1370</v>
      </c>
      <c r="C859" s="403" t="s">
        <v>582</v>
      </c>
      <c r="D859" s="403" t="s">
        <v>1291</v>
      </c>
      <c r="E859" s="403" t="s">
        <v>778</v>
      </c>
      <c r="F859" s="403" t="s">
        <v>1292</v>
      </c>
      <c r="G859" s="403" t="s">
        <v>1466</v>
      </c>
      <c r="H859" s="403" t="s">
        <v>1281</v>
      </c>
      <c r="I859" s="403">
        <v>1</v>
      </c>
      <c r="J859" s="403" t="s">
        <v>110</v>
      </c>
      <c r="K859" s="403">
        <v>1920</v>
      </c>
      <c r="L859" s="403">
        <v>1080</v>
      </c>
      <c r="M859" s="403" t="s">
        <v>111</v>
      </c>
      <c r="N859" s="403">
        <v>768</v>
      </c>
      <c r="O859" s="403">
        <v>432</v>
      </c>
      <c r="P859" t="str">
        <f t="shared" si="105"/>
        <v>30fps 1080p - SD</v>
      </c>
      <c r="Q859">
        <f t="shared" si="106"/>
        <v>5</v>
      </c>
      <c r="R859" t="str">
        <f t="shared" si="107"/>
        <v/>
      </c>
      <c r="S859" t="str">
        <f t="shared" si="108"/>
        <v/>
      </c>
      <c r="T859" s="403" t="str">
        <f t="shared" si="109"/>
        <v>NBE-3502-AL</v>
      </c>
      <c r="U859" s="403">
        <f t="shared" si="110"/>
        <v>1</v>
      </c>
      <c r="V859" s="403" t="str">
        <f t="shared" si="111"/>
        <v>CPP_7_3</v>
      </c>
    </row>
    <row r="860" spans="1:22">
      <c r="A860" t="str">
        <f t="shared" si="104"/>
        <v>NBE-3502-AL</v>
      </c>
      <c r="B860" s="403" t="s">
        <v>1370</v>
      </c>
      <c r="C860" s="403" t="s">
        <v>582</v>
      </c>
      <c r="D860" s="403" t="s">
        <v>1291</v>
      </c>
      <c r="E860" s="403" t="s">
        <v>778</v>
      </c>
      <c r="F860" s="403" t="s">
        <v>1292</v>
      </c>
      <c r="G860" s="403" t="s">
        <v>1466</v>
      </c>
      <c r="H860" s="403" t="s">
        <v>1281</v>
      </c>
      <c r="I860" s="403">
        <v>1</v>
      </c>
      <c r="J860" s="403" t="s">
        <v>110</v>
      </c>
      <c r="K860" s="403">
        <v>1920</v>
      </c>
      <c r="L860" s="403">
        <v>1080</v>
      </c>
      <c r="M860" s="403" t="s">
        <v>1279</v>
      </c>
      <c r="N860" s="403">
        <v>768</v>
      </c>
      <c r="O860" s="403">
        <v>432</v>
      </c>
      <c r="P860" t="str">
        <f t="shared" si="105"/>
        <v>30fps 1080p - SD ROI PTZ</v>
      </c>
      <c r="Q860">
        <f t="shared" si="106"/>
        <v>5</v>
      </c>
      <c r="R860" t="str">
        <f t="shared" si="107"/>
        <v/>
      </c>
      <c r="S860" t="str">
        <f t="shared" si="108"/>
        <v/>
      </c>
      <c r="T860" s="403" t="str">
        <f t="shared" si="109"/>
        <v>NBE-3502-AL</v>
      </c>
      <c r="U860" s="403">
        <f t="shared" si="110"/>
        <v>1</v>
      </c>
      <c r="V860" s="403" t="str">
        <f t="shared" si="111"/>
        <v>CPP_7_3</v>
      </c>
    </row>
    <row r="861" spans="1:22">
      <c r="A861" t="str">
        <f t="shared" si="104"/>
        <v>NBE-3502-AL</v>
      </c>
      <c r="B861" s="403" t="s">
        <v>1370</v>
      </c>
      <c r="C861" s="403" t="s">
        <v>582</v>
      </c>
      <c r="D861" s="403" t="s">
        <v>1291</v>
      </c>
      <c r="E861" s="403" t="s">
        <v>778</v>
      </c>
      <c r="F861" s="403" t="s">
        <v>1292</v>
      </c>
      <c r="G861" s="403" t="s">
        <v>1466</v>
      </c>
      <c r="H861" s="403" t="s">
        <v>1281</v>
      </c>
      <c r="I861" s="403">
        <v>1</v>
      </c>
      <c r="J861" s="403" t="s">
        <v>110</v>
      </c>
      <c r="K861" s="403">
        <v>1920</v>
      </c>
      <c r="L861" s="403">
        <v>1080</v>
      </c>
      <c r="M861" s="403" t="s">
        <v>1283</v>
      </c>
      <c r="N861" s="403">
        <v>720</v>
      </c>
      <c r="O861" s="403">
        <v>480</v>
      </c>
      <c r="P861" t="str">
        <f t="shared" si="105"/>
        <v>30fps 1080p - SD 4CIF resolution 4:3 format (cropped)</v>
      </c>
      <c r="Q861">
        <f t="shared" si="106"/>
        <v>5</v>
      </c>
      <c r="R861" t="str">
        <f t="shared" si="107"/>
        <v/>
      </c>
      <c r="S861" t="str">
        <f t="shared" si="108"/>
        <v/>
      </c>
      <c r="T861" s="403" t="str">
        <f t="shared" si="109"/>
        <v>NBE-3502-AL</v>
      </c>
      <c r="U861" s="403">
        <f t="shared" si="110"/>
        <v>1</v>
      </c>
      <c r="V861" s="403" t="str">
        <f t="shared" si="111"/>
        <v>CPP_7_3</v>
      </c>
    </row>
    <row r="862" spans="1:22">
      <c r="A862" t="str">
        <f t="shared" si="104"/>
        <v>NBE-3502-AL</v>
      </c>
      <c r="B862" s="403" t="s">
        <v>1370</v>
      </c>
      <c r="C862" s="403" t="s">
        <v>582</v>
      </c>
      <c r="D862" s="403" t="s">
        <v>1291</v>
      </c>
      <c r="E862" s="403" t="s">
        <v>778</v>
      </c>
      <c r="F862" s="403" t="s">
        <v>1292</v>
      </c>
      <c r="G862" s="403" t="s">
        <v>1466</v>
      </c>
      <c r="H862" s="403" t="s">
        <v>1281</v>
      </c>
      <c r="I862" s="403">
        <v>1</v>
      </c>
      <c r="J862" s="403" t="s">
        <v>110</v>
      </c>
      <c r="K862" s="403">
        <v>1920</v>
      </c>
      <c r="L862" s="403">
        <v>1080</v>
      </c>
      <c r="M862" s="403" t="s">
        <v>1284</v>
      </c>
      <c r="N862" s="403">
        <v>640</v>
      </c>
      <c r="O862" s="403">
        <v>480</v>
      </c>
      <c r="P862" t="str">
        <f t="shared" si="105"/>
        <v>30fps 1080p - SD VGA (cropped)</v>
      </c>
      <c r="Q862">
        <f t="shared" si="106"/>
        <v>5</v>
      </c>
      <c r="R862" t="str">
        <f t="shared" si="107"/>
        <v/>
      </c>
      <c r="S862" t="str">
        <f t="shared" si="108"/>
        <v/>
      </c>
      <c r="T862" s="403" t="str">
        <f t="shared" si="109"/>
        <v>NBE-3502-AL</v>
      </c>
      <c r="U862" s="403">
        <f t="shared" si="110"/>
        <v>1</v>
      </c>
      <c r="V862" s="403" t="str">
        <f t="shared" si="111"/>
        <v>CPP_7_3</v>
      </c>
    </row>
    <row r="863" spans="1:22">
      <c r="A863" t="str">
        <f t="shared" si="104"/>
        <v>NBE-3502-AL</v>
      </c>
      <c r="B863" s="403" t="s">
        <v>1370</v>
      </c>
      <c r="C863" s="403" t="s">
        <v>582</v>
      </c>
      <c r="D863" s="403" t="s">
        <v>1291</v>
      </c>
      <c r="E863" s="403" t="s">
        <v>778</v>
      </c>
      <c r="F863" s="403" t="s">
        <v>1292</v>
      </c>
      <c r="G863" s="403" t="s">
        <v>1466</v>
      </c>
      <c r="H863" s="403" t="s">
        <v>1281</v>
      </c>
      <c r="I863" s="403">
        <v>1</v>
      </c>
      <c r="J863" s="403" t="s">
        <v>109</v>
      </c>
      <c r="K863" s="403">
        <v>1280</v>
      </c>
      <c r="L863" s="403">
        <v>720</v>
      </c>
      <c r="M863" s="403" t="s">
        <v>109</v>
      </c>
      <c r="N863" s="403">
        <v>1280</v>
      </c>
      <c r="O863" s="403">
        <v>720</v>
      </c>
      <c r="P863" t="str">
        <f t="shared" si="105"/>
        <v>30fps 720p - 720p</v>
      </c>
      <c r="Q863">
        <f t="shared" si="106"/>
        <v>5</v>
      </c>
      <c r="R863" t="str">
        <f t="shared" si="107"/>
        <v/>
      </c>
      <c r="S863" t="str">
        <f t="shared" si="108"/>
        <v/>
      </c>
      <c r="T863" s="403" t="str">
        <f t="shared" si="109"/>
        <v>NBE-3502-AL</v>
      </c>
      <c r="U863" s="403">
        <f t="shared" si="110"/>
        <v>1</v>
      </c>
      <c r="V863" s="403" t="str">
        <f t="shared" si="111"/>
        <v>CPP_7_3</v>
      </c>
    </row>
    <row r="864" spans="1:22">
      <c r="A864" t="str">
        <f t="shared" si="104"/>
        <v>NBE-3502-AL</v>
      </c>
      <c r="B864" s="403" t="s">
        <v>1370</v>
      </c>
      <c r="C864" s="403" t="s">
        <v>582</v>
      </c>
      <c r="D864" s="403" t="s">
        <v>1291</v>
      </c>
      <c r="E864" s="403" t="s">
        <v>778</v>
      </c>
      <c r="F864" s="403" t="s">
        <v>1292</v>
      </c>
      <c r="G864" s="403" t="s">
        <v>1466</v>
      </c>
      <c r="H864" s="403" t="s">
        <v>1281</v>
      </c>
      <c r="I864" s="403">
        <v>1</v>
      </c>
      <c r="J864" s="403" t="s">
        <v>109</v>
      </c>
      <c r="K864" s="403">
        <v>1280</v>
      </c>
      <c r="L864" s="403">
        <v>720</v>
      </c>
      <c r="M864" s="403" t="s">
        <v>111</v>
      </c>
      <c r="N864" s="403">
        <v>768</v>
      </c>
      <c r="O864" s="403">
        <v>432</v>
      </c>
      <c r="P864" t="str">
        <f t="shared" si="105"/>
        <v>30fps 720p - SD</v>
      </c>
      <c r="Q864">
        <f t="shared" si="106"/>
        <v>5</v>
      </c>
      <c r="R864" t="str">
        <f t="shared" si="107"/>
        <v/>
      </c>
      <c r="S864" t="str">
        <f t="shared" si="108"/>
        <v/>
      </c>
      <c r="T864" s="403" t="str">
        <f t="shared" si="109"/>
        <v>NBE-3502-AL</v>
      </c>
      <c r="U864" s="403">
        <f t="shared" si="110"/>
        <v>1</v>
      </c>
      <c r="V864" s="403" t="str">
        <f t="shared" si="111"/>
        <v>CPP_7_3</v>
      </c>
    </row>
    <row r="865" spans="1:22">
      <c r="A865" t="str">
        <f t="shared" si="104"/>
        <v>NBE-3502-AL</v>
      </c>
      <c r="B865" s="403" t="s">
        <v>1370</v>
      </c>
      <c r="C865" s="403" t="s">
        <v>582</v>
      </c>
      <c r="D865" s="403" t="s">
        <v>1291</v>
      </c>
      <c r="E865" s="403" t="s">
        <v>778</v>
      </c>
      <c r="F865" s="403" t="s">
        <v>1292</v>
      </c>
      <c r="G865" s="403" t="s">
        <v>1466</v>
      </c>
      <c r="H865" s="403" t="s">
        <v>1281</v>
      </c>
      <c r="I865" s="403">
        <v>1</v>
      </c>
      <c r="J865" s="403" t="s">
        <v>109</v>
      </c>
      <c r="K865" s="403">
        <v>1280</v>
      </c>
      <c r="L865" s="403">
        <v>720</v>
      </c>
      <c r="M865" s="403" t="s">
        <v>1279</v>
      </c>
      <c r="N865" s="403">
        <v>768</v>
      </c>
      <c r="O865" s="403">
        <v>432</v>
      </c>
      <c r="P865" t="str">
        <f t="shared" si="105"/>
        <v>30fps 720p - SD ROI PTZ</v>
      </c>
      <c r="Q865">
        <f t="shared" si="106"/>
        <v>5</v>
      </c>
      <c r="R865" t="str">
        <f t="shared" si="107"/>
        <v/>
      </c>
      <c r="S865" t="str">
        <f t="shared" si="108"/>
        <v/>
      </c>
      <c r="T865" s="403" t="str">
        <f t="shared" si="109"/>
        <v>NBE-3502-AL</v>
      </c>
      <c r="U865" s="403">
        <f t="shared" si="110"/>
        <v>1</v>
      </c>
      <c r="V865" s="403" t="str">
        <f t="shared" si="111"/>
        <v>CPP_7_3</v>
      </c>
    </row>
    <row r="866" spans="1:22">
      <c r="A866" t="str">
        <f t="shared" si="104"/>
        <v>NBE-3502-AL</v>
      </c>
      <c r="B866" s="403" t="s">
        <v>1370</v>
      </c>
      <c r="C866" s="403" t="s">
        <v>582</v>
      </c>
      <c r="D866" s="403" t="s">
        <v>1291</v>
      </c>
      <c r="E866" s="403" t="s">
        <v>778</v>
      </c>
      <c r="F866" s="403" t="s">
        <v>1292</v>
      </c>
      <c r="G866" s="403" t="s">
        <v>1466</v>
      </c>
      <c r="H866" s="403" t="s">
        <v>1281</v>
      </c>
      <c r="I866" s="403">
        <v>1</v>
      </c>
      <c r="J866" s="403" t="s">
        <v>109</v>
      </c>
      <c r="K866" s="403">
        <v>1280</v>
      </c>
      <c r="L866" s="403">
        <v>720</v>
      </c>
      <c r="M866" s="403" t="s">
        <v>1283</v>
      </c>
      <c r="N866" s="403">
        <v>720</v>
      </c>
      <c r="O866" s="403">
        <v>480</v>
      </c>
      <c r="P866" t="str">
        <f t="shared" si="105"/>
        <v>30fps 720p - SD 4CIF resolution 4:3 format (cropped)</v>
      </c>
      <c r="Q866">
        <f t="shared" si="106"/>
        <v>5</v>
      </c>
      <c r="R866" t="str">
        <f t="shared" si="107"/>
        <v/>
      </c>
      <c r="S866" t="str">
        <f t="shared" si="108"/>
        <v/>
      </c>
      <c r="T866" s="403" t="str">
        <f t="shared" si="109"/>
        <v>NBE-3502-AL</v>
      </c>
      <c r="U866" s="403">
        <f t="shared" si="110"/>
        <v>1</v>
      </c>
      <c r="V866" s="403" t="str">
        <f t="shared" si="111"/>
        <v>CPP_7_3</v>
      </c>
    </row>
    <row r="867" spans="1:22">
      <c r="A867" t="str">
        <f t="shared" si="104"/>
        <v>NBE-3502-AL</v>
      </c>
      <c r="B867" s="403" t="s">
        <v>1370</v>
      </c>
      <c r="C867" s="403" t="s">
        <v>582</v>
      </c>
      <c r="D867" s="403" t="s">
        <v>1291</v>
      </c>
      <c r="E867" s="403" t="s">
        <v>778</v>
      </c>
      <c r="F867" s="403" t="s">
        <v>1292</v>
      </c>
      <c r="G867" s="403" t="s">
        <v>1466</v>
      </c>
      <c r="H867" s="403" t="s">
        <v>1281</v>
      </c>
      <c r="I867" s="403">
        <v>1</v>
      </c>
      <c r="J867" s="403" t="s">
        <v>109</v>
      </c>
      <c r="K867" s="403">
        <v>1280</v>
      </c>
      <c r="L867" s="403">
        <v>720</v>
      </c>
      <c r="M867" s="403" t="s">
        <v>1284</v>
      </c>
      <c r="N867" s="403">
        <v>640</v>
      </c>
      <c r="O867" s="403">
        <v>480</v>
      </c>
      <c r="P867" t="str">
        <f t="shared" si="105"/>
        <v>30fps 720p - SD VGA (cropped)</v>
      </c>
      <c r="Q867">
        <f t="shared" si="106"/>
        <v>5</v>
      </c>
      <c r="R867" t="str">
        <f t="shared" si="107"/>
        <v/>
      </c>
      <c r="S867" t="str">
        <f t="shared" si="108"/>
        <v/>
      </c>
      <c r="T867" s="403" t="str">
        <f t="shared" si="109"/>
        <v>NBE-3502-AL</v>
      </c>
      <c r="U867" s="403">
        <f t="shared" si="110"/>
        <v>1</v>
      </c>
      <c r="V867" s="403" t="str">
        <f t="shared" si="111"/>
        <v>CPP_7_3</v>
      </c>
    </row>
    <row r="868" spans="1:22">
      <c r="A868" t="str">
        <f t="shared" si="104"/>
        <v>NBE-3502-AL</v>
      </c>
      <c r="B868" s="403" t="s">
        <v>1370</v>
      </c>
      <c r="C868" s="403" t="s">
        <v>582</v>
      </c>
      <c r="D868" s="403" t="s">
        <v>1291</v>
      </c>
      <c r="E868" s="403" t="s">
        <v>778</v>
      </c>
      <c r="F868" s="403" t="s">
        <v>1292</v>
      </c>
      <c r="G868" s="403" t="s">
        <v>1467</v>
      </c>
      <c r="H868" s="403" t="s">
        <v>1276</v>
      </c>
      <c r="I868" s="403">
        <v>1</v>
      </c>
      <c r="J868" s="403" t="s">
        <v>110</v>
      </c>
      <c r="K868" s="403">
        <v>1080</v>
      </c>
      <c r="L868" s="403">
        <v>1920</v>
      </c>
      <c r="M868" s="403" t="s">
        <v>111</v>
      </c>
      <c r="N868" s="403">
        <v>432</v>
      </c>
      <c r="O868" s="403">
        <v>768</v>
      </c>
      <c r="P868" t="str">
        <f t="shared" si="105"/>
        <v>30fps 1080p - SD</v>
      </c>
      <c r="Q868">
        <f t="shared" si="106"/>
        <v>5</v>
      </c>
      <c r="R868" t="str">
        <f t="shared" si="107"/>
        <v/>
      </c>
      <c r="S868" t="str">
        <f t="shared" si="108"/>
        <v/>
      </c>
      <c r="T868" s="403" t="str">
        <f t="shared" si="109"/>
        <v>NBE-3502-AL</v>
      </c>
      <c r="U868" s="403">
        <f t="shared" si="110"/>
        <v>1</v>
      </c>
      <c r="V868" s="403" t="str">
        <f t="shared" si="111"/>
        <v>CPP_7_3</v>
      </c>
    </row>
    <row r="869" spans="1:22">
      <c r="A869" t="str">
        <f t="shared" si="104"/>
        <v>NBE-3502-AL</v>
      </c>
      <c r="B869" s="403" t="s">
        <v>1370</v>
      </c>
      <c r="C869" s="403" t="s">
        <v>582</v>
      </c>
      <c r="D869" s="403" t="s">
        <v>1291</v>
      </c>
      <c r="E869" s="403" t="s">
        <v>778</v>
      </c>
      <c r="F869" s="403" t="s">
        <v>1292</v>
      </c>
      <c r="G869" s="403" t="s">
        <v>1467</v>
      </c>
      <c r="H869" s="403" t="s">
        <v>1276</v>
      </c>
      <c r="I869" s="403">
        <v>1</v>
      </c>
      <c r="J869" s="403" t="s">
        <v>110</v>
      </c>
      <c r="K869" s="403">
        <v>1080</v>
      </c>
      <c r="L869" s="403">
        <v>1920</v>
      </c>
      <c r="M869" s="403" t="s">
        <v>1279</v>
      </c>
      <c r="N869" s="403">
        <v>432</v>
      </c>
      <c r="O869" s="403">
        <v>768</v>
      </c>
      <c r="P869" t="str">
        <f t="shared" si="105"/>
        <v>30fps 1080p - SD ROI PTZ</v>
      </c>
      <c r="Q869">
        <f t="shared" si="106"/>
        <v>5</v>
      </c>
      <c r="R869" t="str">
        <f t="shared" si="107"/>
        <v/>
      </c>
      <c r="S869" t="str">
        <f t="shared" si="108"/>
        <v/>
      </c>
      <c r="T869" s="403" t="str">
        <f t="shared" si="109"/>
        <v>NBE-3502-AL</v>
      </c>
      <c r="U869" s="403">
        <f t="shared" si="110"/>
        <v>1</v>
      </c>
      <c r="V869" s="403" t="str">
        <f t="shared" si="111"/>
        <v>CPP_7_3</v>
      </c>
    </row>
    <row r="870" spans="1:22">
      <c r="A870" t="str">
        <f t="shared" si="104"/>
        <v>NBE-3502-AL</v>
      </c>
      <c r="B870" s="403" t="s">
        <v>1370</v>
      </c>
      <c r="C870" s="403" t="s">
        <v>582</v>
      </c>
      <c r="D870" s="403" t="s">
        <v>1291</v>
      </c>
      <c r="E870" s="403" t="s">
        <v>778</v>
      </c>
      <c r="F870" s="403" t="s">
        <v>1292</v>
      </c>
      <c r="G870" s="403" t="s">
        <v>1467</v>
      </c>
      <c r="H870" s="403" t="s">
        <v>1276</v>
      </c>
      <c r="I870" s="403">
        <v>1</v>
      </c>
      <c r="J870" s="403" t="s">
        <v>110</v>
      </c>
      <c r="K870" s="403">
        <v>1080</v>
      </c>
      <c r="L870" s="403">
        <v>1920</v>
      </c>
      <c r="M870" s="403" t="s">
        <v>1283</v>
      </c>
      <c r="N870" s="403">
        <v>480</v>
      </c>
      <c r="O870" s="403">
        <v>720</v>
      </c>
      <c r="P870" t="str">
        <f t="shared" si="105"/>
        <v>30fps 1080p - SD 4CIF resolution 4:3 format (cropped)</v>
      </c>
      <c r="Q870">
        <f t="shared" si="106"/>
        <v>5</v>
      </c>
      <c r="R870" t="str">
        <f t="shared" si="107"/>
        <v/>
      </c>
      <c r="S870" t="str">
        <f t="shared" si="108"/>
        <v/>
      </c>
      <c r="T870" s="403" t="str">
        <f t="shared" si="109"/>
        <v>NBE-3502-AL</v>
      </c>
      <c r="U870" s="403">
        <f t="shared" si="110"/>
        <v>1</v>
      </c>
      <c r="V870" s="403" t="str">
        <f t="shared" si="111"/>
        <v>CPP_7_3</v>
      </c>
    </row>
    <row r="871" spans="1:22">
      <c r="A871" t="str">
        <f t="shared" si="104"/>
        <v>NBE-3502-AL</v>
      </c>
      <c r="B871" s="403" t="s">
        <v>1370</v>
      </c>
      <c r="C871" s="403" t="s">
        <v>582</v>
      </c>
      <c r="D871" s="403" t="s">
        <v>1291</v>
      </c>
      <c r="E871" s="403" t="s">
        <v>778</v>
      </c>
      <c r="F871" s="403" t="s">
        <v>1292</v>
      </c>
      <c r="G871" s="403" t="s">
        <v>1467</v>
      </c>
      <c r="H871" s="403" t="s">
        <v>1276</v>
      </c>
      <c r="I871" s="403">
        <v>1</v>
      </c>
      <c r="J871" s="403" t="s">
        <v>110</v>
      </c>
      <c r="K871" s="403">
        <v>1080</v>
      </c>
      <c r="L871" s="403">
        <v>1920</v>
      </c>
      <c r="M871" s="403" t="s">
        <v>1284</v>
      </c>
      <c r="N871" s="403">
        <v>480</v>
      </c>
      <c r="O871" s="403">
        <v>640</v>
      </c>
      <c r="P871" t="str">
        <f t="shared" si="105"/>
        <v>30fps 1080p - SD VGA (cropped)</v>
      </c>
      <c r="Q871">
        <f t="shared" si="106"/>
        <v>5</v>
      </c>
      <c r="R871" t="str">
        <f t="shared" si="107"/>
        <v/>
      </c>
      <c r="S871" t="str">
        <f t="shared" si="108"/>
        <v/>
      </c>
      <c r="T871" s="403" t="str">
        <f t="shared" si="109"/>
        <v>NBE-3502-AL</v>
      </c>
      <c r="U871" s="403">
        <f t="shared" si="110"/>
        <v>1</v>
      </c>
      <c r="V871" s="403" t="str">
        <f t="shared" si="111"/>
        <v>CPP_7_3</v>
      </c>
    </row>
    <row r="872" spans="1:22">
      <c r="A872" t="str">
        <f t="shared" si="104"/>
        <v>NBE-3502-AL</v>
      </c>
      <c r="B872" s="403" t="s">
        <v>1370</v>
      </c>
      <c r="C872" s="403" t="s">
        <v>582</v>
      </c>
      <c r="D872" s="403" t="s">
        <v>1291</v>
      </c>
      <c r="E872" s="403" t="s">
        <v>778</v>
      </c>
      <c r="F872" s="403" t="s">
        <v>1292</v>
      </c>
      <c r="G872" s="403" t="s">
        <v>1467</v>
      </c>
      <c r="H872" s="403" t="s">
        <v>1276</v>
      </c>
      <c r="I872" s="403">
        <v>1</v>
      </c>
      <c r="J872" s="403" t="s">
        <v>109</v>
      </c>
      <c r="K872" s="403">
        <v>720</v>
      </c>
      <c r="L872" s="403">
        <v>1280</v>
      </c>
      <c r="M872" s="403" t="s">
        <v>109</v>
      </c>
      <c r="N872" s="403">
        <v>720</v>
      </c>
      <c r="O872" s="403">
        <v>1280</v>
      </c>
      <c r="P872" t="str">
        <f t="shared" si="105"/>
        <v>30fps 720p - 720p</v>
      </c>
      <c r="Q872">
        <f t="shared" si="106"/>
        <v>5</v>
      </c>
      <c r="R872" t="str">
        <f t="shared" si="107"/>
        <v/>
      </c>
      <c r="S872" t="str">
        <f t="shared" si="108"/>
        <v/>
      </c>
      <c r="T872" s="403" t="str">
        <f t="shared" si="109"/>
        <v>NBE-3502-AL</v>
      </c>
      <c r="U872" s="403">
        <f t="shared" si="110"/>
        <v>1</v>
      </c>
      <c r="V872" s="403" t="str">
        <f t="shared" si="111"/>
        <v>CPP_7_3</v>
      </c>
    </row>
    <row r="873" spans="1:22">
      <c r="A873" t="str">
        <f t="shared" si="104"/>
        <v>NBE-3502-AL</v>
      </c>
      <c r="B873" s="403" t="s">
        <v>1370</v>
      </c>
      <c r="C873" s="403" t="s">
        <v>582</v>
      </c>
      <c r="D873" s="403" t="s">
        <v>1291</v>
      </c>
      <c r="E873" s="403" t="s">
        <v>778</v>
      </c>
      <c r="F873" s="403" t="s">
        <v>1292</v>
      </c>
      <c r="G873" s="403" t="s">
        <v>1467</v>
      </c>
      <c r="H873" s="403" t="s">
        <v>1276</v>
      </c>
      <c r="I873" s="403">
        <v>1</v>
      </c>
      <c r="J873" s="403" t="s">
        <v>109</v>
      </c>
      <c r="K873" s="403">
        <v>720</v>
      </c>
      <c r="L873" s="403">
        <v>1280</v>
      </c>
      <c r="M873" s="403" t="s">
        <v>111</v>
      </c>
      <c r="N873" s="403">
        <v>432</v>
      </c>
      <c r="O873" s="403">
        <v>768</v>
      </c>
      <c r="P873" t="str">
        <f t="shared" si="105"/>
        <v>30fps 720p - SD</v>
      </c>
      <c r="Q873">
        <f t="shared" si="106"/>
        <v>5</v>
      </c>
      <c r="R873" t="str">
        <f t="shared" si="107"/>
        <v/>
      </c>
      <c r="S873" t="str">
        <f t="shared" si="108"/>
        <v/>
      </c>
      <c r="T873" s="403" t="str">
        <f t="shared" si="109"/>
        <v>NBE-3502-AL</v>
      </c>
      <c r="U873" s="403">
        <f t="shared" si="110"/>
        <v>1</v>
      </c>
      <c r="V873" s="403" t="str">
        <f t="shared" si="111"/>
        <v>CPP_7_3</v>
      </c>
    </row>
    <row r="874" spans="1:22">
      <c r="A874" t="str">
        <f t="shared" si="104"/>
        <v>NBE-3502-AL</v>
      </c>
      <c r="B874" s="403" t="s">
        <v>1370</v>
      </c>
      <c r="C874" s="403" t="s">
        <v>582</v>
      </c>
      <c r="D874" s="403" t="s">
        <v>1291</v>
      </c>
      <c r="E874" s="403" t="s">
        <v>778</v>
      </c>
      <c r="F874" s="403" t="s">
        <v>1292</v>
      </c>
      <c r="G874" s="403" t="s">
        <v>1467</v>
      </c>
      <c r="H874" s="403" t="s">
        <v>1276</v>
      </c>
      <c r="I874" s="403">
        <v>1</v>
      </c>
      <c r="J874" s="403" t="s">
        <v>109</v>
      </c>
      <c r="K874" s="403">
        <v>720</v>
      </c>
      <c r="L874" s="403">
        <v>1280</v>
      </c>
      <c r="M874" s="403" t="s">
        <v>1279</v>
      </c>
      <c r="N874" s="403">
        <v>432</v>
      </c>
      <c r="O874" s="403">
        <v>768</v>
      </c>
      <c r="P874" t="str">
        <f t="shared" si="105"/>
        <v>30fps 720p - SD ROI PTZ</v>
      </c>
      <c r="Q874">
        <f t="shared" si="106"/>
        <v>5</v>
      </c>
      <c r="R874" t="str">
        <f t="shared" si="107"/>
        <v/>
      </c>
      <c r="S874" t="str">
        <f t="shared" si="108"/>
        <v/>
      </c>
      <c r="T874" s="403" t="str">
        <f t="shared" si="109"/>
        <v>NBE-3502-AL</v>
      </c>
      <c r="U874" s="403">
        <f t="shared" si="110"/>
        <v>1</v>
      </c>
      <c r="V874" s="403" t="str">
        <f t="shared" si="111"/>
        <v>CPP_7_3</v>
      </c>
    </row>
    <row r="875" spans="1:22">
      <c r="A875" t="str">
        <f t="shared" si="104"/>
        <v>NBE-3502-AL</v>
      </c>
      <c r="B875" s="403" t="s">
        <v>1370</v>
      </c>
      <c r="C875" s="403" t="s">
        <v>582</v>
      </c>
      <c r="D875" s="403" t="s">
        <v>1291</v>
      </c>
      <c r="E875" s="403" t="s">
        <v>778</v>
      </c>
      <c r="F875" s="403" t="s">
        <v>1292</v>
      </c>
      <c r="G875" s="403" t="s">
        <v>1467</v>
      </c>
      <c r="H875" s="403" t="s">
        <v>1276</v>
      </c>
      <c r="I875" s="403">
        <v>1</v>
      </c>
      <c r="J875" s="403" t="s">
        <v>109</v>
      </c>
      <c r="K875" s="403">
        <v>720</v>
      </c>
      <c r="L875" s="403">
        <v>1280</v>
      </c>
      <c r="M875" s="403" t="s">
        <v>1283</v>
      </c>
      <c r="N875" s="403">
        <v>480</v>
      </c>
      <c r="O875" s="403">
        <v>720</v>
      </c>
      <c r="P875" t="str">
        <f t="shared" si="105"/>
        <v>30fps 720p - SD 4CIF resolution 4:3 format (cropped)</v>
      </c>
      <c r="Q875">
        <f t="shared" si="106"/>
        <v>5</v>
      </c>
      <c r="R875" t="str">
        <f t="shared" si="107"/>
        <v/>
      </c>
      <c r="S875" t="str">
        <f t="shared" si="108"/>
        <v/>
      </c>
      <c r="T875" s="403" t="str">
        <f t="shared" si="109"/>
        <v>NBE-3502-AL</v>
      </c>
      <c r="U875" s="403">
        <f t="shared" si="110"/>
        <v>1</v>
      </c>
      <c r="V875" s="403" t="str">
        <f t="shared" si="111"/>
        <v>CPP_7_3</v>
      </c>
    </row>
    <row r="876" spans="1:22">
      <c r="A876" t="str">
        <f t="shared" si="104"/>
        <v>NBE-3502-AL</v>
      </c>
      <c r="B876" s="403" t="s">
        <v>1370</v>
      </c>
      <c r="C876" s="403" t="s">
        <v>582</v>
      </c>
      <c r="D876" s="403" t="s">
        <v>1291</v>
      </c>
      <c r="E876" s="403" t="s">
        <v>778</v>
      </c>
      <c r="F876" s="403" t="s">
        <v>1292</v>
      </c>
      <c r="G876" s="403" t="s">
        <v>1467</v>
      </c>
      <c r="H876" s="403" t="s">
        <v>1276</v>
      </c>
      <c r="I876" s="403">
        <v>1</v>
      </c>
      <c r="J876" s="403" t="s">
        <v>109</v>
      </c>
      <c r="K876" s="403">
        <v>720</v>
      </c>
      <c r="L876" s="403">
        <v>1280</v>
      </c>
      <c r="M876" s="403" t="s">
        <v>1284</v>
      </c>
      <c r="N876" s="403">
        <v>480</v>
      </c>
      <c r="O876" s="403">
        <v>640</v>
      </c>
      <c r="P876" t="str">
        <f t="shared" si="105"/>
        <v>30fps 720p - SD VGA (cropped)</v>
      </c>
      <c r="Q876">
        <f t="shared" si="106"/>
        <v>5</v>
      </c>
      <c r="R876" t="str">
        <f t="shared" si="107"/>
        <v/>
      </c>
      <c r="S876" t="str">
        <f t="shared" si="108"/>
        <v/>
      </c>
      <c r="T876" s="403" t="str">
        <f t="shared" si="109"/>
        <v>NBE-3502-AL</v>
      </c>
      <c r="U876" s="403">
        <f t="shared" si="110"/>
        <v>1</v>
      </c>
      <c r="V876" s="403" t="str">
        <f t="shared" si="111"/>
        <v>CPP_7_3</v>
      </c>
    </row>
    <row r="877" spans="1:22">
      <c r="A877" t="str">
        <f t="shared" si="104"/>
        <v>NBE-3502-AL</v>
      </c>
      <c r="B877" s="403" t="s">
        <v>1370</v>
      </c>
      <c r="C877" s="403" t="s">
        <v>582</v>
      </c>
      <c r="D877" s="403" t="s">
        <v>1291</v>
      </c>
      <c r="E877" s="403" t="s">
        <v>778</v>
      </c>
      <c r="F877" s="403" t="s">
        <v>1292</v>
      </c>
      <c r="G877" s="403" t="s">
        <v>1467</v>
      </c>
      <c r="H877" s="403" t="s">
        <v>1281</v>
      </c>
      <c r="I877" s="403">
        <v>1</v>
      </c>
      <c r="J877" s="403" t="s">
        <v>110</v>
      </c>
      <c r="K877" s="403">
        <v>1080</v>
      </c>
      <c r="L877" s="403">
        <v>1920</v>
      </c>
      <c r="M877" s="403" t="s">
        <v>111</v>
      </c>
      <c r="N877" s="403">
        <v>432</v>
      </c>
      <c r="O877" s="403">
        <v>768</v>
      </c>
      <c r="P877" t="str">
        <f t="shared" si="105"/>
        <v>30fps 1080p - SD</v>
      </c>
      <c r="Q877">
        <f t="shared" si="106"/>
        <v>5</v>
      </c>
      <c r="R877" t="str">
        <f t="shared" si="107"/>
        <v/>
      </c>
      <c r="S877" t="str">
        <f t="shared" si="108"/>
        <v/>
      </c>
      <c r="T877" s="403" t="str">
        <f t="shared" si="109"/>
        <v>NBE-3502-AL</v>
      </c>
      <c r="U877" s="403">
        <f t="shared" si="110"/>
        <v>1</v>
      </c>
      <c r="V877" s="403" t="str">
        <f t="shared" si="111"/>
        <v>CPP_7_3</v>
      </c>
    </row>
    <row r="878" spans="1:22">
      <c r="A878" t="str">
        <f t="shared" si="104"/>
        <v>NBE-3502-AL</v>
      </c>
      <c r="B878" s="403" t="s">
        <v>1370</v>
      </c>
      <c r="C878" s="403" t="s">
        <v>582</v>
      </c>
      <c r="D878" s="403" t="s">
        <v>1291</v>
      </c>
      <c r="E878" s="403" t="s">
        <v>778</v>
      </c>
      <c r="F878" s="403" t="s">
        <v>1292</v>
      </c>
      <c r="G878" s="403" t="s">
        <v>1467</v>
      </c>
      <c r="H878" s="403" t="s">
        <v>1281</v>
      </c>
      <c r="I878" s="403">
        <v>1</v>
      </c>
      <c r="J878" s="403" t="s">
        <v>110</v>
      </c>
      <c r="K878" s="403">
        <v>1080</v>
      </c>
      <c r="L878" s="403">
        <v>1920</v>
      </c>
      <c r="M878" s="403" t="s">
        <v>1279</v>
      </c>
      <c r="N878" s="403">
        <v>432</v>
      </c>
      <c r="O878" s="403">
        <v>768</v>
      </c>
      <c r="P878" t="str">
        <f t="shared" si="105"/>
        <v>30fps 1080p - SD ROI PTZ</v>
      </c>
      <c r="Q878">
        <f t="shared" si="106"/>
        <v>5</v>
      </c>
      <c r="R878" t="str">
        <f t="shared" si="107"/>
        <v/>
      </c>
      <c r="S878" t="str">
        <f t="shared" si="108"/>
        <v/>
      </c>
      <c r="T878" s="403" t="str">
        <f t="shared" si="109"/>
        <v>NBE-3502-AL</v>
      </c>
      <c r="U878" s="403">
        <f t="shared" si="110"/>
        <v>1</v>
      </c>
      <c r="V878" s="403" t="str">
        <f t="shared" si="111"/>
        <v>CPP_7_3</v>
      </c>
    </row>
    <row r="879" spans="1:22">
      <c r="A879" t="str">
        <f t="shared" si="104"/>
        <v>NBE-3502-AL</v>
      </c>
      <c r="B879" s="403" t="s">
        <v>1370</v>
      </c>
      <c r="C879" s="403" t="s">
        <v>582</v>
      </c>
      <c r="D879" s="403" t="s">
        <v>1291</v>
      </c>
      <c r="E879" s="403" t="s">
        <v>778</v>
      </c>
      <c r="F879" s="403" t="s">
        <v>1292</v>
      </c>
      <c r="G879" s="403" t="s">
        <v>1467</v>
      </c>
      <c r="H879" s="403" t="s">
        <v>1281</v>
      </c>
      <c r="I879" s="403">
        <v>1</v>
      </c>
      <c r="J879" s="403" t="s">
        <v>110</v>
      </c>
      <c r="K879" s="403">
        <v>1080</v>
      </c>
      <c r="L879" s="403">
        <v>1920</v>
      </c>
      <c r="M879" s="403" t="s">
        <v>1283</v>
      </c>
      <c r="N879" s="403">
        <v>480</v>
      </c>
      <c r="O879" s="403">
        <v>720</v>
      </c>
      <c r="P879" t="str">
        <f t="shared" si="105"/>
        <v>30fps 1080p - SD 4CIF resolution 4:3 format (cropped)</v>
      </c>
      <c r="Q879">
        <f t="shared" si="106"/>
        <v>5</v>
      </c>
      <c r="R879" t="str">
        <f t="shared" si="107"/>
        <v/>
      </c>
      <c r="S879" t="str">
        <f t="shared" si="108"/>
        <v/>
      </c>
      <c r="T879" s="403" t="str">
        <f t="shared" si="109"/>
        <v>NBE-3502-AL</v>
      </c>
      <c r="U879" s="403">
        <f t="shared" si="110"/>
        <v>1</v>
      </c>
      <c r="V879" s="403" t="str">
        <f t="shared" si="111"/>
        <v>CPP_7_3</v>
      </c>
    </row>
    <row r="880" spans="1:22">
      <c r="A880" t="str">
        <f t="shared" si="104"/>
        <v>NBE-3502-AL</v>
      </c>
      <c r="B880" s="403" t="s">
        <v>1370</v>
      </c>
      <c r="C880" s="403" t="s">
        <v>582</v>
      </c>
      <c r="D880" s="403" t="s">
        <v>1291</v>
      </c>
      <c r="E880" s="403" t="s">
        <v>778</v>
      </c>
      <c r="F880" s="403" t="s">
        <v>1292</v>
      </c>
      <c r="G880" s="403" t="s">
        <v>1467</v>
      </c>
      <c r="H880" s="403" t="s">
        <v>1281</v>
      </c>
      <c r="I880" s="403">
        <v>1</v>
      </c>
      <c r="J880" s="403" t="s">
        <v>110</v>
      </c>
      <c r="K880" s="403">
        <v>1080</v>
      </c>
      <c r="L880" s="403">
        <v>1920</v>
      </c>
      <c r="M880" s="403" t="s">
        <v>1284</v>
      </c>
      <c r="N880" s="403">
        <v>480</v>
      </c>
      <c r="O880" s="403">
        <v>640</v>
      </c>
      <c r="P880" t="str">
        <f t="shared" si="105"/>
        <v>30fps 1080p - SD VGA (cropped)</v>
      </c>
      <c r="Q880">
        <f t="shared" si="106"/>
        <v>5</v>
      </c>
      <c r="R880" t="str">
        <f t="shared" si="107"/>
        <v/>
      </c>
      <c r="S880" t="str">
        <f t="shared" si="108"/>
        <v/>
      </c>
      <c r="T880" s="403" t="str">
        <f t="shared" si="109"/>
        <v>NBE-3502-AL</v>
      </c>
      <c r="U880" s="403">
        <f t="shared" si="110"/>
        <v>1</v>
      </c>
      <c r="V880" s="403" t="str">
        <f t="shared" si="111"/>
        <v>CPP_7_3</v>
      </c>
    </row>
    <row r="881" spans="1:22">
      <c r="A881" t="str">
        <f t="shared" si="104"/>
        <v>NBE-3502-AL</v>
      </c>
      <c r="B881" s="403" t="s">
        <v>1370</v>
      </c>
      <c r="C881" s="403" t="s">
        <v>582</v>
      </c>
      <c r="D881" s="403" t="s">
        <v>1291</v>
      </c>
      <c r="E881" s="403" t="s">
        <v>778</v>
      </c>
      <c r="F881" s="403" t="s">
        <v>1292</v>
      </c>
      <c r="G881" s="403" t="s">
        <v>1467</v>
      </c>
      <c r="H881" s="403" t="s">
        <v>1281</v>
      </c>
      <c r="I881" s="403">
        <v>1</v>
      </c>
      <c r="J881" s="403" t="s">
        <v>109</v>
      </c>
      <c r="K881" s="403">
        <v>720</v>
      </c>
      <c r="L881" s="403">
        <v>1280</v>
      </c>
      <c r="M881" s="403" t="s">
        <v>109</v>
      </c>
      <c r="N881" s="403">
        <v>720</v>
      </c>
      <c r="O881" s="403">
        <v>1280</v>
      </c>
      <c r="P881" t="str">
        <f t="shared" si="105"/>
        <v>30fps 720p - 720p</v>
      </c>
      <c r="Q881">
        <f t="shared" si="106"/>
        <v>5</v>
      </c>
      <c r="R881" t="str">
        <f t="shared" si="107"/>
        <v/>
      </c>
      <c r="S881" t="str">
        <f t="shared" si="108"/>
        <v/>
      </c>
      <c r="T881" s="403" t="str">
        <f t="shared" si="109"/>
        <v>NBE-3502-AL</v>
      </c>
      <c r="U881" s="403">
        <f t="shared" si="110"/>
        <v>1</v>
      </c>
      <c r="V881" s="403" t="str">
        <f t="shared" si="111"/>
        <v>CPP_7_3</v>
      </c>
    </row>
    <row r="882" spans="1:22">
      <c r="A882" t="str">
        <f t="shared" si="104"/>
        <v>NBE-3502-AL</v>
      </c>
      <c r="B882" s="403" t="s">
        <v>1370</v>
      </c>
      <c r="C882" s="403" t="s">
        <v>582</v>
      </c>
      <c r="D882" s="403" t="s">
        <v>1291</v>
      </c>
      <c r="E882" s="403" t="s">
        <v>778</v>
      </c>
      <c r="F882" s="403" t="s">
        <v>1292</v>
      </c>
      <c r="G882" s="403" t="s">
        <v>1467</v>
      </c>
      <c r="H882" s="403" t="s">
        <v>1281</v>
      </c>
      <c r="I882" s="403">
        <v>1</v>
      </c>
      <c r="J882" s="403" t="s">
        <v>109</v>
      </c>
      <c r="K882" s="403">
        <v>720</v>
      </c>
      <c r="L882" s="403">
        <v>1280</v>
      </c>
      <c r="M882" s="403" t="s">
        <v>111</v>
      </c>
      <c r="N882" s="403">
        <v>432</v>
      </c>
      <c r="O882" s="403">
        <v>768</v>
      </c>
      <c r="P882" t="str">
        <f t="shared" si="105"/>
        <v>30fps 720p - SD</v>
      </c>
      <c r="Q882">
        <f t="shared" si="106"/>
        <v>5</v>
      </c>
      <c r="R882" t="str">
        <f t="shared" si="107"/>
        <v/>
      </c>
      <c r="S882" t="str">
        <f t="shared" si="108"/>
        <v/>
      </c>
      <c r="T882" s="403" t="str">
        <f t="shared" si="109"/>
        <v>NBE-3502-AL</v>
      </c>
      <c r="U882" s="403">
        <f t="shared" si="110"/>
        <v>1</v>
      </c>
      <c r="V882" s="403" t="str">
        <f t="shared" si="111"/>
        <v>CPP_7_3</v>
      </c>
    </row>
    <row r="883" spans="1:22">
      <c r="A883" t="str">
        <f t="shared" si="104"/>
        <v>NBE-3502-AL</v>
      </c>
      <c r="B883" s="403" t="s">
        <v>1370</v>
      </c>
      <c r="C883" s="403" t="s">
        <v>582</v>
      </c>
      <c r="D883" s="403" t="s">
        <v>1291</v>
      </c>
      <c r="E883" s="403" t="s">
        <v>778</v>
      </c>
      <c r="F883" s="403" t="s">
        <v>1292</v>
      </c>
      <c r="G883" s="403" t="s">
        <v>1467</v>
      </c>
      <c r="H883" s="403" t="s">
        <v>1281</v>
      </c>
      <c r="I883" s="403">
        <v>1</v>
      </c>
      <c r="J883" s="403" t="s">
        <v>109</v>
      </c>
      <c r="K883" s="403">
        <v>720</v>
      </c>
      <c r="L883" s="403">
        <v>1280</v>
      </c>
      <c r="M883" s="403" t="s">
        <v>1279</v>
      </c>
      <c r="N883" s="403">
        <v>432</v>
      </c>
      <c r="O883" s="403">
        <v>768</v>
      </c>
      <c r="P883" t="str">
        <f t="shared" si="105"/>
        <v>30fps 720p - SD ROI PTZ</v>
      </c>
      <c r="Q883">
        <f t="shared" si="106"/>
        <v>5</v>
      </c>
      <c r="R883" t="str">
        <f t="shared" si="107"/>
        <v/>
      </c>
      <c r="S883" t="str">
        <f t="shared" si="108"/>
        <v/>
      </c>
      <c r="T883" s="403" t="str">
        <f t="shared" si="109"/>
        <v>NBE-3502-AL</v>
      </c>
      <c r="U883" s="403">
        <f t="shared" si="110"/>
        <v>1</v>
      </c>
      <c r="V883" s="403" t="str">
        <f t="shared" si="111"/>
        <v>CPP_7_3</v>
      </c>
    </row>
    <row r="884" spans="1:22">
      <c r="A884" t="str">
        <f t="shared" si="104"/>
        <v>NBE-3502-AL</v>
      </c>
      <c r="B884" s="403" t="s">
        <v>1370</v>
      </c>
      <c r="C884" s="403" t="s">
        <v>582</v>
      </c>
      <c r="D884" s="403" t="s">
        <v>1291</v>
      </c>
      <c r="E884" s="403" t="s">
        <v>778</v>
      </c>
      <c r="F884" s="403" t="s">
        <v>1292</v>
      </c>
      <c r="G884" s="403" t="s">
        <v>1467</v>
      </c>
      <c r="H884" s="403" t="s">
        <v>1281</v>
      </c>
      <c r="I884" s="403">
        <v>1</v>
      </c>
      <c r="J884" s="403" t="s">
        <v>109</v>
      </c>
      <c r="K884" s="403">
        <v>720</v>
      </c>
      <c r="L884" s="403">
        <v>1280</v>
      </c>
      <c r="M884" s="403" t="s">
        <v>1283</v>
      </c>
      <c r="N884" s="403">
        <v>480</v>
      </c>
      <c r="O884" s="403">
        <v>720</v>
      </c>
      <c r="P884" t="str">
        <f t="shared" si="105"/>
        <v>30fps 720p - SD 4CIF resolution 4:3 format (cropped)</v>
      </c>
      <c r="Q884">
        <f t="shared" si="106"/>
        <v>5</v>
      </c>
      <c r="R884" t="str">
        <f t="shared" si="107"/>
        <v/>
      </c>
      <c r="S884" t="str">
        <f t="shared" si="108"/>
        <v/>
      </c>
      <c r="T884" s="403" t="str">
        <f t="shared" si="109"/>
        <v>NBE-3502-AL</v>
      </c>
      <c r="U884" s="403">
        <f t="shared" si="110"/>
        <v>1</v>
      </c>
      <c r="V884" s="403" t="str">
        <f t="shared" si="111"/>
        <v>CPP_7_3</v>
      </c>
    </row>
    <row r="885" spans="1:22">
      <c r="A885" t="str">
        <f t="shared" si="104"/>
        <v>NBE-3502-AL</v>
      </c>
      <c r="B885" s="403" t="s">
        <v>1370</v>
      </c>
      <c r="C885" s="403" t="s">
        <v>582</v>
      </c>
      <c r="D885" s="403" t="s">
        <v>1291</v>
      </c>
      <c r="E885" s="403" t="s">
        <v>778</v>
      </c>
      <c r="F885" s="403" t="s">
        <v>1292</v>
      </c>
      <c r="G885" s="403" t="s">
        <v>1467</v>
      </c>
      <c r="H885" s="403" t="s">
        <v>1281</v>
      </c>
      <c r="I885" s="403">
        <v>1</v>
      </c>
      <c r="J885" s="403" t="s">
        <v>109</v>
      </c>
      <c r="K885" s="403">
        <v>720</v>
      </c>
      <c r="L885" s="403">
        <v>1280</v>
      </c>
      <c r="M885" s="403" t="s">
        <v>1284</v>
      </c>
      <c r="N885" s="403">
        <v>480</v>
      </c>
      <c r="O885" s="403">
        <v>640</v>
      </c>
      <c r="P885" t="str">
        <f t="shared" si="105"/>
        <v>30fps 720p - SD VGA (cropped)</v>
      </c>
      <c r="Q885">
        <f t="shared" si="106"/>
        <v>5</v>
      </c>
      <c r="R885" t="str">
        <f t="shared" si="107"/>
        <v/>
      </c>
      <c r="S885" t="str">
        <f t="shared" si="108"/>
        <v/>
      </c>
      <c r="T885" s="403" t="str">
        <f t="shared" si="109"/>
        <v>NBE-3502-AL</v>
      </c>
      <c r="U885" s="403">
        <f t="shared" si="110"/>
        <v>1</v>
      </c>
      <c r="V885" s="403" t="str">
        <f t="shared" si="111"/>
        <v>CPP_7_3</v>
      </c>
    </row>
    <row r="886" spans="1:22">
      <c r="A886" t="str">
        <f t="shared" si="104"/>
        <v>NBE-3502-AL</v>
      </c>
      <c r="B886" s="403" t="s">
        <v>1370</v>
      </c>
      <c r="C886" s="403" t="s">
        <v>582</v>
      </c>
      <c r="D886" s="403" t="s">
        <v>1291</v>
      </c>
      <c r="E886" s="403" t="s">
        <v>778</v>
      </c>
      <c r="F886" s="403" t="s">
        <v>1293</v>
      </c>
      <c r="G886" s="403" t="s">
        <v>1466</v>
      </c>
      <c r="H886" s="403" t="s">
        <v>1276</v>
      </c>
      <c r="I886" s="403">
        <v>1</v>
      </c>
      <c r="J886" s="403" t="s">
        <v>110</v>
      </c>
      <c r="K886" s="403">
        <v>1920</v>
      </c>
      <c r="L886" s="403">
        <v>1080</v>
      </c>
      <c r="M886" s="403" t="s">
        <v>111</v>
      </c>
      <c r="N886" s="403">
        <v>768</v>
      </c>
      <c r="O886" s="403">
        <v>432</v>
      </c>
      <c r="P886" t="str">
        <f t="shared" si="105"/>
        <v>25fps 1080p - SD</v>
      </c>
      <c r="Q886">
        <f t="shared" si="106"/>
        <v>5</v>
      </c>
      <c r="R886" t="str">
        <f t="shared" si="107"/>
        <v/>
      </c>
      <c r="S886" t="str">
        <f t="shared" si="108"/>
        <v/>
      </c>
      <c r="T886" s="403" t="str">
        <f t="shared" si="109"/>
        <v>NBE-3502-AL</v>
      </c>
      <c r="U886" s="403">
        <f t="shared" si="110"/>
        <v>1</v>
      </c>
      <c r="V886" s="403" t="str">
        <f t="shared" si="111"/>
        <v>CPP_7_3</v>
      </c>
    </row>
    <row r="887" spans="1:22">
      <c r="A887" t="str">
        <f t="shared" si="104"/>
        <v>NBE-3502-AL</v>
      </c>
      <c r="B887" s="403" t="s">
        <v>1370</v>
      </c>
      <c r="C887" s="403" t="s">
        <v>582</v>
      </c>
      <c r="D887" s="403" t="s">
        <v>1291</v>
      </c>
      <c r="E887" s="403" t="s">
        <v>778</v>
      </c>
      <c r="F887" s="403" t="s">
        <v>1293</v>
      </c>
      <c r="G887" s="403" t="s">
        <v>1466</v>
      </c>
      <c r="H887" s="403" t="s">
        <v>1276</v>
      </c>
      <c r="I887" s="403">
        <v>1</v>
      </c>
      <c r="J887" s="403" t="s">
        <v>110</v>
      </c>
      <c r="K887" s="403">
        <v>1920</v>
      </c>
      <c r="L887" s="403">
        <v>1080</v>
      </c>
      <c r="M887" s="403" t="s">
        <v>110</v>
      </c>
      <c r="N887" s="403">
        <v>1920</v>
      </c>
      <c r="O887" s="403">
        <v>1080</v>
      </c>
      <c r="P887" t="str">
        <f t="shared" si="105"/>
        <v>25fps 1080p - 1080p</v>
      </c>
      <c r="Q887">
        <f t="shared" si="106"/>
        <v>5</v>
      </c>
      <c r="R887" t="str">
        <f t="shared" si="107"/>
        <v/>
      </c>
      <c r="S887" t="str">
        <f t="shared" si="108"/>
        <v/>
      </c>
      <c r="T887" s="403" t="str">
        <f t="shared" si="109"/>
        <v>NBE-3502-AL</v>
      </c>
      <c r="U887" s="403">
        <f t="shared" si="110"/>
        <v>1</v>
      </c>
      <c r="V887" s="403" t="str">
        <f t="shared" si="111"/>
        <v>CPP_7_3</v>
      </c>
    </row>
    <row r="888" spans="1:22">
      <c r="A888" t="str">
        <f t="shared" si="104"/>
        <v>NBE-3502-AL</v>
      </c>
      <c r="B888" s="403" t="s">
        <v>1370</v>
      </c>
      <c r="C888" s="403" t="s">
        <v>582</v>
      </c>
      <c r="D888" s="403" t="s">
        <v>1291</v>
      </c>
      <c r="E888" s="403" t="s">
        <v>778</v>
      </c>
      <c r="F888" s="403" t="s">
        <v>1293</v>
      </c>
      <c r="G888" s="403" t="s">
        <v>1466</v>
      </c>
      <c r="H888" s="403" t="s">
        <v>1276</v>
      </c>
      <c r="I888" s="403">
        <v>1</v>
      </c>
      <c r="J888" s="403" t="s">
        <v>110</v>
      </c>
      <c r="K888" s="403">
        <v>1920</v>
      </c>
      <c r="L888" s="403">
        <v>1080</v>
      </c>
      <c r="M888" s="403" t="s">
        <v>109</v>
      </c>
      <c r="N888" s="403">
        <v>1280</v>
      </c>
      <c r="O888" s="403">
        <v>720</v>
      </c>
      <c r="P888" t="str">
        <f t="shared" si="105"/>
        <v>25fps 1080p - 720p</v>
      </c>
      <c r="Q888">
        <f t="shared" si="106"/>
        <v>5</v>
      </c>
      <c r="R888" t="str">
        <f t="shared" si="107"/>
        <v/>
      </c>
      <c r="S888" t="str">
        <f t="shared" si="108"/>
        <v/>
      </c>
      <c r="T888" s="403" t="str">
        <f t="shared" si="109"/>
        <v>NBE-3502-AL</v>
      </c>
      <c r="U888" s="403">
        <f t="shared" si="110"/>
        <v>1</v>
      </c>
      <c r="V888" s="403" t="str">
        <f t="shared" si="111"/>
        <v>CPP_7_3</v>
      </c>
    </row>
    <row r="889" spans="1:22">
      <c r="A889" t="str">
        <f t="shared" si="104"/>
        <v>NBE-3502-AL</v>
      </c>
      <c r="B889" s="403" t="s">
        <v>1370</v>
      </c>
      <c r="C889" s="403" t="s">
        <v>582</v>
      </c>
      <c r="D889" s="403" t="s">
        <v>1291</v>
      </c>
      <c r="E889" s="403" t="s">
        <v>778</v>
      </c>
      <c r="F889" s="403" t="s">
        <v>1293</v>
      </c>
      <c r="G889" s="403" t="s">
        <v>1466</v>
      </c>
      <c r="H889" s="403" t="s">
        <v>1276</v>
      </c>
      <c r="I889" s="403">
        <v>1</v>
      </c>
      <c r="J889" s="403" t="s">
        <v>110</v>
      </c>
      <c r="K889" s="403">
        <v>1920</v>
      </c>
      <c r="L889" s="403">
        <v>1080</v>
      </c>
      <c r="M889" s="403" t="s">
        <v>1285</v>
      </c>
      <c r="N889" s="403">
        <v>1280</v>
      </c>
      <c r="O889" s="403">
        <v>1024</v>
      </c>
      <c r="P889" t="str">
        <f t="shared" si="105"/>
        <v>25fps 1080p - 1280x1024 5:4 (cropped)</v>
      </c>
      <c r="Q889">
        <f t="shared" si="106"/>
        <v>5</v>
      </c>
      <c r="R889" t="str">
        <f t="shared" si="107"/>
        <v/>
      </c>
      <c r="S889" t="str">
        <f t="shared" si="108"/>
        <v/>
      </c>
      <c r="T889" s="403" t="str">
        <f t="shared" si="109"/>
        <v>NBE-3502-AL</v>
      </c>
      <c r="U889" s="403">
        <f t="shared" si="110"/>
        <v>1</v>
      </c>
      <c r="V889" s="403" t="str">
        <f t="shared" si="111"/>
        <v>CPP_7_3</v>
      </c>
    </row>
    <row r="890" spans="1:22">
      <c r="A890" t="str">
        <f t="shared" si="104"/>
        <v>NBE-3502-AL</v>
      </c>
      <c r="B890" s="403" t="s">
        <v>1370</v>
      </c>
      <c r="C890" s="403" t="s">
        <v>582</v>
      </c>
      <c r="D890" s="403" t="s">
        <v>1291</v>
      </c>
      <c r="E890" s="403" t="s">
        <v>778</v>
      </c>
      <c r="F890" s="403" t="s">
        <v>1293</v>
      </c>
      <c r="G890" s="403" t="s">
        <v>1466</v>
      </c>
      <c r="H890" s="403" t="s">
        <v>1276</v>
      </c>
      <c r="I890" s="403">
        <v>1</v>
      </c>
      <c r="J890" s="403" t="s">
        <v>110</v>
      </c>
      <c r="K890" s="403">
        <v>1920</v>
      </c>
      <c r="L890" s="403">
        <v>1080</v>
      </c>
      <c r="M890" s="403" t="s">
        <v>1279</v>
      </c>
      <c r="N890" s="403">
        <v>768</v>
      </c>
      <c r="O890" s="403">
        <v>432</v>
      </c>
      <c r="P890" t="str">
        <f t="shared" si="105"/>
        <v>25fps 1080p - SD ROI PTZ</v>
      </c>
      <c r="Q890">
        <f t="shared" si="106"/>
        <v>5</v>
      </c>
      <c r="R890" t="str">
        <f t="shared" si="107"/>
        <v/>
      </c>
      <c r="S890" t="str">
        <f t="shared" si="108"/>
        <v/>
      </c>
      <c r="T890" s="403" t="str">
        <f t="shared" si="109"/>
        <v>NBE-3502-AL</v>
      </c>
      <c r="U890" s="403">
        <f t="shared" si="110"/>
        <v>1</v>
      </c>
      <c r="V890" s="403" t="str">
        <f t="shared" si="111"/>
        <v>CPP_7_3</v>
      </c>
    </row>
    <row r="891" spans="1:22">
      <c r="A891" t="str">
        <f t="shared" si="104"/>
        <v>NBE-3502-AL</v>
      </c>
      <c r="B891" s="403" t="s">
        <v>1370</v>
      </c>
      <c r="C891" s="403" t="s">
        <v>582</v>
      </c>
      <c r="D891" s="403" t="s">
        <v>1291</v>
      </c>
      <c r="E891" s="403" t="s">
        <v>778</v>
      </c>
      <c r="F891" s="403" t="s">
        <v>1293</v>
      </c>
      <c r="G891" s="403" t="s">
        <v>1466</v>
      </c>
      <c r="H891" s="403" t="s">
        <v>1276</v>
      </c>
      <c r="I891" s="403">
        <v>1</v>
      </c>
      <c r="J891" s="403" t="s">
        <v>110</v>
      </c>
      <c r="K891" s="403">
        <v>1920</v>
      </c>
      <c r="L891" s="403">
        <v>1080</v>
      </c>
      <c r="M891" s="403" t="s">
        <v>1283</v>
      </c>
      <c r="N891" s="403">
        <v>720</v>
      </c>
      <c r="O891" s="403">
        <v>576</v>
      </c>
      <c r="P891" t="str">
        <f t="shared" si="105"/>
        <v>25fps 1080p - SD 4CIF resolution 4:3 format (cropped)</v>
      </c>
      <c r="Q891">
        <f t="shared" si="106"/>
        <v>5</v>
      </c>
      <c r="R891" t="str">
        <f t="shared" si="107"/>
        <v/>
      </c>
      <c r="S891" t="str">
        <f t="shared" si="108"/>
        <v/>
      </c>
      <c r="T891" s="403" t="str">
        <f t="shared" si="109"/>
        <v>NBE-3502-AL</v>
      </c>
      <c r="U891" s="403">
        <f t="shared" si="110"/>
        <v>1</v>
      </c>
      <c r="V891" s="403" t="str">
        <f t="shared" si="111"/>
        <v>CPP_7_3</v>
      </c>
    </row>
    <row r="892" spans="1:22">
      <c r="A892" t="str">
        <f t="shared" si="104"/>
        <v>NBE-3502-AL</v>
      </c>
      <c r="B892" s="403" t="s">
        <v>1370</v>
      </c>
      <c r="C892" s="403" t="s">
        <v>582</v>
      </c>
      <c r="D892" s="403" t="s">
        <v>1291</v>
      </c>
      <c r="E892" s="403" t="s">
        <v>778</v>
      </c>
      <c r="F892" s="403" t="s">
        <v>1293</v>
      </c>
      <c r="G892" s="403" t="s">
        <v>1466</v>
      </c>
      <c r="H892" s="403" t="s">
        <v>1276</v>
      </c>
      <c r="I892" s="403">
        <v>1</v>
      </c>
      <c r="J892" s="403" t="s">
        <v>110</v>
      </c>
      <c r="K892" s="403">
        <v>1920</v>
      </c>
      <c r="L892" s="403">
        <v>1080</v>
      </c>
      <c r="M892" s="403" t="s">
        <v>1284</v>
      </c>
      <c r="N892" s="403">
        <v>640</v>
      </c>
      <c r="O892" s="403">
        <v>480</v>
      </c>
      <c r="P892" t="str">
        <f t="shared" si="105"/>
        <v>25fps 1080p - SD VGA (cropped)</v>
      </c>
      <c r="Q892">
        <f t="shared" si="106"/>
        <v>5</v>
      </c>
      <c r="R892" t="str">
        <f t="shared" si="107"/>
        <v/>
      </c>
      <c r="S892" t="str">
        <f t="shared" si="108"/>
        <v/>
      </c>
      <c r="T892" s="403" t="str">
        <f t="shared" si="109"/>
        <v>NBE-3502-AL</v>
      </c>
      <c r="U892" s="403">
        <f t="shared" si="110"/>
        <v>1</v>
      </c>
      <c r="V892" s="403" t="str">
        <f t="shared" si="111"/>
        <v>CPP_7_3</v>
      </c>
    </row>
    <row r="893" spans="1:22">
      <c r="A893" t="str">
        <f t="shared" si="104"/>
        <v>NBE-3502-AL</v>
      </c>
      <c r="B893" s="403" t="s">
        <v>1370</v>
      </c>
      <c r="C893" s="403" t="s">
        <v>582</v>
      </c>
      <c r="D893" s="403" t="s">
        <v>1291</v>
      </c>
      <c r="E893" s="403" t="s">
        <v>778</v>
      </c>
      <c r="F893" s="403" t="s">
        <v>1293</v>
      </c>
      <c r="G893" s="403" t="s">
        <v>1466</v>
      </c>
      <c r="H893" s="403" t="s">
        <v>1276</v>
      </c>
      <c r="I893" s="403">
        <v>1</v>
      </c>
      <c r="J893" s="403" t="s">
        <v>109</v>
      </c>
      <c r="K893" s="403">
        <v>1280</v>
      </c>
      <c r="L893" s="403">
        <v>720</v>
      </c>
      <c r="M893" s="403" t="s">
        <v>109</v>
      </c>
      <c r="N893" s="403">
        <v>1280</v>
      </c>
      <c r="O893" s="403">
        <v>720</v>
      </c>
      <c r="P893" t="str">
        <f t="shared" si="105"/>
        <v>25fps 720p - 720p</v>
      </c>
      <c r="Q893">
        <f t="shared" si="106"/>
        <v>5</v>
      </c>
      <c r="R893" t="str">
        <f t="shared" si="107"/>
        <v/>
      </c>
      <c r="S893" t="str">
        <f t="shared" si="108"/>
        <v/>
      </c>
      <c r="T893" s="403" t="str">
        <f t="shared" si="109"/>
        <v>NBE-3502-AL</v>
      </c>
      <c r="U893" s="403">
        <f t="shared" si="110"/>
        <v>1</v>
      </c>
      <c r="V893" s="403" t="str">
        <f t="shared" si="111"/>
        <v>CPP_7_3</v>
      </c>
    </row>
    <row r="894" spans="1:22">
      <c r="A894" t="str">
        <f t="shared" si="104"/>
        <v>NBE-3502-AL</v>
      </c>
      <c r="B894" s="403" t="s">
        <v>1370</v>
      </c>
      <c r="C894" s="403" t="s">
        <v>582</v>
      </c>
      <c r="D894" s="403" t="s">
        <v>1291</v>
      </c>
      <c r="E894" s="403" t="s">
        <v>778</v>
      </c>
      <c r="F894" s="403" t="s">
        <v>1293</v>
      </c>
      <c r="G894" s="403" t="s">
        <v>1466</v>
      </c>
      <c r="H894" s="403" t="s">
        <v>1276</v>
      </c>
      <c r="I894" s="403">
        <v>1</v>
      </c>
      <c r="J894" s="403" t="s">
        <v>109</v>
      </c>
      <c r="K894" s="403">
        <v>1280</v>
      </c>
      <c r="L894" s="403">
        <v>720</v>
      </c>
      <c r="M894" s="403" t="s">
        <v>111</v>
      </c>
      <c r="N894" s="403">
        <v>768</v>
      </c>
      <c r="O894" s="403">
        <v>432</v>
      </c>
      <c r="P894" t="str">
        <f t="shared" si="105"/>
        <v>25fps 720p - SD</v>
      </c>
      <c r="Q894">
        <f t="shared" si="106"/>
        <v>5</v>
      </c>
      <c r="R894" t="str">
        <f t="shared" si="107"/>
        <v/>
      </c>
      <c r="S894" t="str">
        <f t="shared" si="108"/>
        <v/>
      </c>
      <c r="T894" s="403" t="str">
        <f t="shared" si="109"/>
        <v>NBE-3502-AL</v>
      </c>
      <c r="U894" s="403">
        <f t="shared" si="110"/>
        <v>1</v>
      </c>
      <c r="V894" s="403" t="str">
        <f t="shared" si="111"/>
        <v>CPP_7_3</v>
      </c>
    </row>
    <row r="895" spans="1:22">
      <c r="A895" t="str">
        <f t="shared" si="104"/>
        <v>NBE-3502-AL</v>
      </c>
      <c r="B895" s="403" t="s">
        <v>1370</v>
      </c>
      <c r="C895" s="403" t="s">
        <v>582</v>
      </c>
      <c r="D895" s="403" t="s">
        <v>1291</v>
      </c>
      <c r="E895" s="403" t="s">
        <v>778</v>
      </c>
      <c r="F895" s="403" t="s">
        <v>1293</v>
      </c>
      <c r="G895" s="403" t="s">
        <v>1466</v>
      </c>
      <c r="H895" s="403" t="s">
        <v>1276</v>
      </c>
      <c r="I895" s="403">
        <v>1</v>
      </c>
      <c r="J895" s="403" t="s">
        <v>109</v>
      </c>
      <c r="K895" s="403">
        <v>1280</v>
      </c>
      <c r="L895" s="403">
        <v>720</v>
      </c>
      <c r="M895" s="403" t="s">
        <v>1279</v>
      </c>
      <c r="N895" s="403">
        <v>768</v>
      </c>
      <c r="O895" s="403">
        <v>432</v>
      </c>
      <c r="P895" t="str">
        <f t="shared" si="105"/>
        <v>25fps 720p - SD ROI PTZ</v>
      </c>
      <c r="Q895">
        <f t="shared" si="106"/>
        <v>5</v>
      </c>
      <c r="R895" t="str">
        <f t="shared" si="107"/>
        <v/>
      </c>
      <c r="S895" t="str">
        <f t="shared" si="108"/>
        <v/>
      </c>
      <c r="T895" s="403" t="str">
        <f t="shared" si="109"/>
        <v>NBE-3502-AL</v>
      </c>
      <c r="U895" s="403">
        <f t="shared" si="110"/>
        <v>1</v>
      </c>
      <c r="V895" s="403" t="str">
        <f t="shared" si="111"/>
        <v>CPP_7_3</v>
      </c>
    </row>
    <row r="896" spans="1:22">
      <c r="A896" t="str">
        <f t="shared" si="104"/>
        <v>NBE-3502-AL</v>
      </c>
      <c r="B896" s="403" t="s">
        <v>1370</v>
      </c>
      <c r="C896" s="403" t="s">
        <v>582</v>
      </c>
      <c r="D896" s="403" t="s">
        <v>1291</v>
      </c>
      <c r="E896" s="403" t="s">
        <v>778</v>
      </c>
      <c r="F896" s="403" t="s">
        <v>1293</v>
      </c>
      <c r="G896" s="403" t="s">
        <v>1466</v>
      </c>
      <c r="H896" s="403" t="s">
        <v>1276</v>
      </c>
      <c r="I896" s="403">
        <v>1</v>
      </c>
      <c r="J896" s="403" t="s">
        <v>109</v>
      </c>
      <c r="K896" s="403">
        <v>1280</v>
      </c>
      <c r="L896" s="403">
        <v>720</v>
      </c>
      <c r="M896" s="403" t="s">
        <v>1283</v>
      </c>
      <c r="N896" s="403">
        <v>720</v>
      </c>
      <c r="O896" s="403">
        <v>576</v>
      </c>
      <c r="P896" t="str">
        <f t="shared" si="105"/>
        <v>25fps 720p - SD 4CIF resolution 4:3 format (cropped)</v>
      </c>
      <c r="Q896">
        <f t="shared" si="106"/>
        <v>5</v>
      </c>
      <c r="R896" t="str">
        <f t="shared" si="107"/>
        <v/>
      </c>
      <c r="S896" t="str">
        <f t="shared" si="108"/>
        <v/>
      </c>
      <c r="T896" s="403" t="str">
        <f t="shared" si="109"/>
        <v>NBE-3502-AL</v>
      </c>
      <c r="U896" s="403">
        <f t="shared" si="110"/>
        <v>1</v>
      </c>
      <c r="V896" s="403" t="str">
        <f t="shared" si="111"/>
        <v>CPP_7_3</v>
      </c>
    </row>
    <row r="897" spans="1:22">
      <c r="A897" t="str">
        <f t="shared" si="104"/>
        <v>NBE-3502-AL</v>
      </c>
      <c r="B897" s="403" t="s">
        <v>1370</v>
      </c>
      <c r="C897" s="403" t="s">
        <v>582</v>
      </c>
      <c r="D897" s="403" t="s">
        <v>1291</v>
      </c>
      <c r="E897" s="403" t="s">
        <v>778</v>
      </c>
      <c r="F897" s="403" t="s">
        <v>1293</v>
      </c>
      <c r="G897" s="403" t="s">
        <v>1466</v>
      </c>
      <c r="H897" s="403" t="s">
        <v>1276</v>
      </c>
      <c r="I897" s="403">
        <v>1</v>
      </c>
      <c r="J897" s="403" t="s">
        <v>109</v>
      </c>
      <c r="K897" s="403">
        <v>1280</v>
      </c>
      <c r="L897" s="403">
        <v>720</v>
      </c>
      <c r="M897" s="403" t="s">
        <v>1284</v>
      </c>
      <c r="N897" s="403">
        <v>640</v>
      </c>
      <c r="O897" s="403">
        <v>480</v>
      </c>
      <c r="P897" t="str">
        <f t="shared" si="105"/>
        <v>25fps 720p - SD VGA (cropped)</v>
      </c>
      <c r="Q897">
        <f t="shared" si="106"/>
        <v>5</v>
      </c>
      <c r="R897" t="str">
        <f t="shared" si="107"/>
        <v/>
      </c>
      <c r="S897" t="str">
        <f t="shared" si="108"/>
        <v/>
      </c>
      <c r="T897" s="403" t="str">
        <f t="shared" si="109"/>
        <v>NBE-3502-AL</v>
      </c>
      <c r="U897" s="403">
        <f t="shared" si="110"/>
        <v>1</v>
      </c>
      <c r="V897" s="403" t="str">
        <f t="shared" si="111"/>
        <v>CPP_7_3</v>
      </c>
    </row>
    <row r="898" spans="1:22">
      <c r="A898" t="str">
        <f t="shared" ref="A898:A961" si="112">IF(AND(G898&lt;&gt;"rotate 90°"),D898,"")</f>
        <v>NBE-3502-AL</v>
      </c>
      <c r="B898" s="403" t="s">
        <v>1370</v>
      </c>
      <c r="C898" s="403" t="s">
        <v>582</v>
      </c>
      <c r="D898" s="403" t="s">
        <v>1291</v>
      </c>
      <c r="E898" s="403" t="s">
        <v>778</v>
      </c>
      <c r="F898" s="403" t="s">
        <v>1293</v>
      </c>
      <c r="G898" s="403" t="s">
        <v>1466</v>
      </c>
      <c r="H898" s="403" t="s">
        <v>1281</v>
      </c>
      <c r="I898" s="403">
        <v>1</v>
      </c>
      <c r="J898" s="403" t="s">
        <v>110</v>
      </c>
      <c r="K898" s="403">
        <v>1920</v>
      </c>
      <c r="L898" s="403">
        <v>1080</v>
      </c>
      <c r="M898" s="403" t="s">
        <v>111</v>
      </c>
      <c r="N898" s="403">
        <v>768</v>
      </c>
      <c r="O898" s="403">
        <v>432</v>
      </c>
      <c r="P898" t="str">
        <f t="shared" ref="P898:P961" si="113">LEFT(F898,5)&amp;" "&amp;J898&amp;" - "&amp;M898</f>
        <v>25fps 1080p - SD</v>
      </c>
      <c r="Q898">
        <f t="shared" ref="Q898:Q961" si="114">IF(A897=A898,Q897,Q897+1)</f>
        <v>5</v>
      </c>
      <c r="R898" t="str">
        <f t="shared" ref="R898:R961" si="115">IF(Q897&lt;&gt;Q898,Q898,"")</f>
        <v/>
      </c>
      <c r="S898" t="str">
        <f t="shared" ref="S898:S961" si="116">IF(R898&lt;&gt;"",B898&amp;" ("&amp;D898&amp;")","")</f>
        <v/>
      </c>
      <c r="T898" s="403" t="str">
        <f t="shared" ref="T898:T961" si="117">D898</f>
        <v>NBE-3502-AL</v>
      </c>
      <c r="U898" s="403">
        <f t="shared" ref="U898:U961" si="118">I898</f>
        <v>1</v>
      </c>
      <c r="V898" s="403" t="str">
        <f t="shared" ref="V898:V961" si="119">C898</f>
        <v>CPP_7_3</v>
      </c>
    </row>
    <row r="899" spans="1:22">
      <c r="A899" t="str">
        <f t="shared" si="112"/>
        <v>NBE-3502-AL</v>
      </c>
      <c r="B899" s="403" t="s">
        <v>1370</v>
      </c>
      <c r="C899" s="403" t="s">
        <v>582</v>
      </c>
      <c r="D899" s="403" t="s">
        <v>1291</v>
      </c>
      <c r="E899" s="403" t="s">
        <v>778</v>
      </c>
      <c r="F899" s="403" t="s">
        <v>1293</v>
      </c>
      <c r="G899" s="403" t="s">
        <v>1466</v>
      </c>
      <c r="H899" s="403" t="s">
        <v>1281</v>
      </c>
      <c r="I899" s="403">
        <v>1</v>
      </c>
      <c r="J899" s="403" t="s">
        <v>110</v>
      </c>
      <c r="K899" s="403">
        <v>1920</v>
      </c>
      <c r="L899" s="403">
        <v>1080</v>
      </c>
      <c r="M899" s="403" t="s">
        <v>109</v>
      </c>
      <c r="N899" s="403">
        <v>1280</v>
      </c>
      <c r="O899" s="403">
        <v>720</v>
      </c>
      <c r="P899" t="str">
        <f t="shared" si="113"/>
        <v>25fps 1080p - 720p</v>
      </c>
      <c r="Q899">
        <f t="shared" si="114"/>
        <v>5</v>
      </c>
      <c r="R899" t="str">
        <f t="shared" si="115"/>
        <v/>
      </c>
      <c r="S899" t="str">
        <f t="shared" si="116"/>
        <v/>
      </c>
      <c r="T899" s="403" t="str">
        <f t="shared" si="117"/>
        <v>NBE-3502-AL</v>
      </c>
      <c r="U899" s="403">
        <f t="shared" si="118"/>
        <v>1</v>
      </c>
      <c r="V899" s="403" t="str">
        <f t="shared" si="119"/>
        <v>CPP_7_3</v>
      </c>
    </row>
    <row r="900" spans="1:22">
      <c r="A900" t="str">
        <f t="shared" si="112"/>
        <v>NBE-3502-AL</v>
      </c>
      <c r="B900" s="403" t="s">
        <v>1370</v>
      </c>
      <c r="C900" s="403" t="s">
        <v>582</v>
      </c>
      <c r="D900" s="403" t="s">
        <v>1291</v>
      </c>
      <c r="E900" s="403" t="s">
        <v>778</v>
      </c>
      <c r="F900" s="403" t="s">
        <v>1293</v>
      </c>
      <c r="G900" s="403" t="s">
        <v>1466</v>
      </c>
      <c r="H900" s="403" t="s">
        <v>1281</v>
      </c>
      <c r="I900" s="403">
        <v>1</v>
      </c>
      <c r="J900" s="403" t="s">
        <v>110</v>
      </c>
      <c r="K900" s="403">
        <v>1920</v>
      </c>
      <c r="L900" s="403">
        <v>1080</v>
      </c>
      <c r="M900" s="403" t="s">
        <v>1285</v>
      </c>
      <c r="N900" s="403">
        <v>1280</v>
      </c>
      <c r="O900" s="403">
        <v>1024</v>
      </c>
      <c r="P900" t="str">
        <f t="shared" si="113"/>
        <v>25fps 1080p - 1280x1024 5:4 (cropped)</v>
      </c>
      <c r="Q900">
        <f t="shared" si="114"/>
        <v>5</v>
      </c>
      <c r="R900" t="str">
        <f t="shared" si="115"/>
        <v/>
      </c>
      <c r="S900" t="str">
        <f t="shared" si="116"/>
        <v/>
      </c>
      <c r="T900" s="403" t="str">
        <f t="shared" si="117"/>
        <v>NBE-3502-AL</v>
      </c>
      <c r="U900" s="403">
        <f t="shared" si="118"/>
        <v>1</v>
      </c>
      <c r="V900" s="403" t="str">
        <f t="shared" si="119"/>
        <v>CPP_7_3</v>
      </c>
    </row>
    <row r="901" spans="1:22">
      <c r="A901" t="str">
        <f t="shared" si="112"/>
        <v>NBE-3502-AL</v>
      </c>
      <c r="B901" s="403" t="s">
        <v>1370</v>
      </c>
      <c r="C901" s="403" t="s">
        <v>582</v>
      </c>
      <c r="D901" s="403" t="s">
        <v>1291</v>
      </c>
      <c r="E901" s="403" t="s">
        <v>778</v>
      </c>
      <c r="F901" s="403" t="s">
        <v>1293</v>
      </c>
      <c r="G901" s="403" t="s">
        <v>1466</v>
      </c>
      <c r="H901" s="403" t="s">
        <v>1281</v>
      </c>
      <c r="I901" s="403">
        <v>1</v>
      </c>
      <c r="J901" s="403" t="s">
        <v>110</v>
      </c>
      <c r="K901" s="403">
        <v>1920</v>
      </c>
      <c r="L901" s="403">
        <v>1080</v>
      </c>
      <c r="M901" s="403" t="s">
        <v>1279</v>
      </c>
      <c r="N901" s="403">
        <v>768</v>
      </c>
      <c r="O901" s="403">
        <v>432</v>
      </c>
      <c r="P901" t="str">
        <f t="shared" si="113"/>
        <v>25fps 1080p - SD ROI PTZ</v>
      </c>
      <c r="Q901">
        <f t="shared" si="114"/>
        <v>5</v>
      </c>
      <c r="R901" t="str">
        <f t="shared" si="115"/>
        <v/>
      </c>
      <c r="S901" t="str">
        <f t="shared" si="116"/>
        <v/>
      </c>
      <c r="T901" s="403" t="str">
        <f t="shared" si="117"/>
        <v>NBE-3502-AL</v>
      </c>
      <c r="U901" s="403">
        <f t="shared" si="118"/>
        <v>1</v>
      </c>
      <c r="V901" s="403" t="str">
        <f t="shared" si="119"/>
        <v>CPP_7_3</v>
      </c>
    </row>
    <row r="902" spans="1:22">
      <c r="A902" t="str">
        <f t="shared" si="112"/>
        <v>NBE-3502-AL</v>
      </c>
      <c r="B902" s="403" t="s">
        <v>1370</v>
      </c>
      <c r="C902" s="403" t="s">
        <v>582</v>
      </c>
      <c r="D902" s="403" t="s">
        <v>1291</v>
      </c>
      <c r="E902" s="403" t="s">
        <v>778</v>
      </c>
      <c r="F902" s="403" t="s">
        <v>1293</v>
      </c>
      <c r="G902" s="403" t="s">
        <v>1466</v>
      </c>
      <c r="H902" s="403" t="s">
        <v>1281</v>
      </c>
      <c r="I902" s="403">
        <v>1</v>
      </c>
      <c r="J902" s="403" t="s">
        <v>110</v>
      </c>
      <c r="K902" s="403">
        <v>1920</v>
      </c>
      <c r="L902" s="403">
        <v>1080</v>
      </c>
      <c r="M902" s="403" t="s">
        <v>1283</v>
      </c>
      <c r="N902" s="403">
        <v>720</v>
      </c>
      <c r="O902" s="403">
        <v>576</v>
      </c>
      <c r="P902" t="str">
        <f t="shared" si="113"/>
        <v>25fps 1080p - SD 4CIF resolution 4:3 format (cropped)</v>
      </c>
      <c r="Q902">
        <f t="shared" si="114"/>
        <v>5</v>
      </c>
      <c r="R902" t="str">
        <f t="shared" si="115"/>
        <v/>
      </c>
      <c r="S902" t="str">
        <f t="shared" si="116"/>
        <v/>
      </c>
      <c r="T902" s="403" t="str">
        <f t="shared" si="117"/>
        <v>NBE-3502-AL</v>
      </c>
      <c r="U902" s="403">
        <f t="shared" si="118"/>
        <v>1</v>
      </c>
      <c r="V902" s="403" t="str">
        <f t="shared" si="119"/>
        <v>CPP_7_3</v>
      </c>
    </row>
    <row r="903" spans="1:22">
      <c r="A903" t="str">
        <f t="shared" si="112"/>
        <v>NBE-3502-AL</v>
      </c>
      <c r="B903" s="403" t="s">
        <v>1370</v>
      </c>
      <c r="C903" s="403" t="s">
        <v>582</v>
      </c>
      <c r="D903" s="403" t="s">
        <v>1291</v>
      </c>
      <c r="E903" s="403" t="s">
        <v>778</v>
      </c>
      <c r="F903" s="403" t="s">
        <v>1293</v>
      </c>
      <c r="G903" s="403" t="s">
        <v>1466</v>
      </c>
      <c r="H903" s="403" t="s">
        <v>1281</v>
      </c>
      <c r="I903" s="403">
        <v>1</v>
      </c>
      <c r="J903" s="403" t="s">
        <v>110</v>
      </c>
      <c r="K903" s="403">
        <v>1920</v>
      </c>
      <c r="L903" s="403">
        <v>1080</v>
      </c>
      <c r="M903" s="403" t="s">
        <v>1284</v>
      </c>
      <c r="N903" s="403">
        <v>640</v>
      </c>
      <c r="O903" s="403">
        <v>480</v>
      </c>
      <c r="P903" t="str">
        <f t="shared" si="113"/>
        <v>25fps 1080p - SD VGA (cropped)</v>
      </c>
      <c r="Q903">
        <f t="shared" si="114"/>
        <v>5</v>
      </c>
      <c r="R903" t="str">
        <f t="shared" si="115"/>
        <v/>
      </c>
      <c r="S903" t="str">
        <f t="shared" si="116"/>
        <v/>
      </c>
      <c r="T903" s="403" t="str">
        <f t="shared" si="117"/>
        <v>NBE-3502-AL</v>
      </c>
      <c r="U903" s="403">
        <f t="shared" si="118"/>
        <v>1</v>
      </c>
      <c r="V903" s="403" t="str">
        <f t="shared" si="119"/>
        <v>CPP_7_3</v>
      </c>
    </row>
    <row r="904" spans="1:22">
      <c r="A904" t="str">
        <f t="shared" si="112"/>
        <v>NBE-3502-AL</v>
      </c>
      <c r="B904" s="403" t="s">
        <v>1370</v>
      </c>
      <c r="C904" s="403" t="s">
        <v>582</v>
      </c>
      <c r="D904" s="403" t="s">
        <v>1291</v>
      </c>
      <c r="E904" s="403" t="s">
        <v>778</v>
      </c>
      <c r="F904" s="403" t="s">
        <v>1293</v>
      </c>
      <c r="G904" s="403" t="s">
        <v>1466</v>
      </c>
      <c r="H904" s="403" t="s">
        <v>1281</v>
      </c>
      <c r="I904" s="403">
        <v>1</v>
      </c>
      <c r="J904" s="403" t="s">
        <v>109</v>
      </c>
      <c r="K904" s="403">
        <v>1280</v>
      </c>
      <c r="L904" s="403">
        <v>720</v>
      </c>
      <c r="M904" s="403" t="s">
        <v>109</v>
      </c>
      <c r="N904" s="403">
        <v>1280</v>
      </c>
      <c r="O904" s="403">
        <v>720</v>
      </c>
      <c r="P904" t="str">
        <f t="shared" si="113"/>
        <v>25fps 720p - 720p</v>
      </c>
      <c r="Q904">
        <f t="shared" si="114"/>
        <v>5</v>
      </c>
      <c r="R904" t="str">
        <f t="shared" si="115"/>
        <v/>
      </c>
      <c r="S904" t="str">
        <f t="shared" si="116"/>
        <v/>
      </c>
      <c r="T904" s="403" t="str">
        <f t="shared" si="117"/>
        <v>NBE-3502-AL</v>
      </c>
      <c r="U904" s="403">
        <f t="shared" si="118"/>
        <v>1</v>
      </c>
      <c r="V904" s="403" t="str">
        <f t="shared" si="119"/>
        <v>CPP_7_3</v>
      </c>
    </row>
    <row r="905" spans="1:22">
      <c r="A905" t="str">
        <f t="shared" si="112"/>
        <v>NBE-3502-AL</v>
      </c>
      <c r="B905" s="403" t="s">
        <v>1370</v>
      </c>
      <c r="C905" s="403" t="s">
        <v>582</v>
      </c>
      <c r="D905" s="403" t="s">
        <v>1291</v>
      </c>
      <c r="E905" s="403" t="s">
        <v>778</v>
      </c>
      <c r="F905" s="403" t="s">
        <v>1293</v>
      </c>
      <c r="G905" s="403" t="s">
        <v>1466</v>
      </c>
      <c r="H905" s="403" t="s">
        <v>1281</v>
      </c>
      <c r="I905" s="403">
        <v>1</v>
      </c>
      <c r="J905" s="403" t="s">
        <v>109</v>
      </c>
      <c r="K905" s="403">
        <v>1280</v>
      </c>
      <c r="L905" s="403">
        <v>720</v>
      </c>
      <c r="M905" s="403" t="s">
        <v>111</v>
      </c>
      <c r="N905" s="403">
        <v>768</v>
      </c>
      <c r="O905" s="403">
        <v>432</v>
      </c>
      <c r="P905" t="str">
        <f t="shared" si="113"/>
        <v>25fps 720p - SD</v>
      </c>
      <c r="Q905">
        <f t="shared" si="114"/>
        <v>5</v>
      </c>
      <c r="R905" t="str">
        <f t="shared" si="115"/>
        <v/>
      </c>
      <c r="S905" t="str">
        <f t="shared" si="116"/>
        <v/>
      </c>
      <c r="T905" s="403" t="str">
        <f t="shared" si="117"/>
        <v>NBE-3502-AL</v>
      </c>
      <c r="U905" s="403">
        <f t="shared" si="118"/>
        <v>1</v>
      </c>
      <c r="V905" s="403" t="str">
        <f t="shared" si="119"/>
        <v>CPP_7_3</v>
      </c>
    </row>
    <row r="906" spans="1:22">
      <c r="A906" t="str">
        <f t="shared" si="112"/>
        <v>NBE-3502-AL</v>
      </c>
      <c r="B906" s="403" t="s">
        <v>1370</v>
      </c>
      <c r="C906" s="403" t="s">
        <v>582</v>
      </c>
      <c r="D906" s="403" t="s">
        <v>1291</v>
      </c>
      <c r="E906" s="403" t="s">
        <v>778</v>
      </c>
      <c r="F906" s="403" t="s">
        <v>1293</v>
      </c>
      <c r="G906" s="403" t="s">
        <v>1466</v>
      </c>
      <c r="H906" s="403" t="s">
        <v>1281</v>
      </c>
      <c r="I906" s="403">
        <v>1</v>
      </c>
      <c r="J906" s="403" t="s">
        <v>109</v>
      </c>
      <c r="K906" s="403">
        <v>1280</v>
      </c>
      <c r="L906" s="403">
        <v>720</v>
      </c>
      <c r="M906" s="403" t="s">
        <v>1279</v>
      </c>
      <c r="N906" s="403">
        <v>768</v>
      </c>
      <c r="O906" s="403">
        <v>432</v>
      </c>
      <c r="P906" t="str">
        <f t="shared" si="113"/>
        <v>25fps 720p - SD ROI PTZ</v>
      </c>
      <c r="Q906">
        <f t="shared" si="114"/>
        <v>5</v>
      </c>
      <c r="R906" t="str">
        <f t="shared" si="115"/>
        <v/>
      </c>
      <c r="S906" t="str">
        <f t="shared" si="116"/>
        <v/>
      </c>
      <c r="T906" s="403" t="str">
        <f t="shared" si="117"/>
        <v>NBE-3502-AL</v>
      </c>
      <c r="U906" s="403">
        <f t="shared" si="118"/>
        <v>1</v>
      </c>
      <c r="V906" s="403" t="str">
        <f t="shared" si="119"/>
        <v>CPP_7_3</v>
      </c>
    </row>
    <row r="907" spans="1:22">
      <c r="A907" t="str">
        <f t="shared" si="112"/>
        <v>NBE-3502-AL</v>
      </c>
      <c r="B907" s="403" t="s">
        <v>1370</v>
      </c>
      <c r="C907" s="403" t="s">
        <v>582</v>
      </c>
      <c r="D907" s="403" t="s">
        <v>1291</v>
      </c>
      <c r="E907" s="403" t="s">
        <v>778</v>
      </c>
      <c r="F907" s="403" t="s">
        <v>1293</v>
      </c>
      <c r="G907" s="403" t="s">
        <v>1466</v>
      </c>
      <c r="H907" s="403" t="s">
        <v>1281</v>
      </c>
      <c r="I907" s="403">
        <v>1</v>
      </c>
      <c r="J907" s="403" t="s">
        <v>109</v>
      </c>
      <c r="K907" s="403">
        <v>1280</v>
      </c>
      <c r="L907" s="403">
        <v>720</v>
      </c>
      <c r="M907" s="403" t="s">
        <v>1283</v>
      </c>
      <c r="N907" s="403">
        <v>720</v>
      </c>
      <c r="O907" s="403">
        <v>576</v>
      </c>
      <c r="P907" t="str">
        <f t="shared" si="113"/>
        <v>25fps 720p - SD 4CIF resolution 4:3 format (cropped)</v>
      </c>
      <c r="Q907">
        <f t="shared" si="114"/>
        <v>5</v>
      </c>
      <c r="R907" t="str">
        <f t="shared" si="115"/>
        <v/>
      </c>
      <c r="S907" t="str">
        <f t="shared" si="116"/>
        <v/>
      </c>
      <c r="T907" s="403" t="str">
        <f t="shared" si="117"/>
        <v>NBE-3502-AL</v>
      </c>
      <c r="U907" s="403">
        <f t="shared" si="118"/>
        <v>1</v>
      </c>
      <c r="V907" s="403" t="str">
        <f t="shared" si="119"/>
        <v>CPP_7_3</v>
      </c>
    </row>
    <row r="908" spans="1:22">
      <c r="A908" t="str">
        <f t="shared" si="112"/>
        <v>NBE-3502-AL</v>
      </c>
      <c r="B908" s="403" t="s">
        <v>1370</v>
      </c>
      <c r="C908" s="403" t="s">
        <v>582</v>
      </c>
      <c r="D908" s="403" t="s">
        <v>1291</v>
      </c>
      <c r="E908" s="403" t="s">
        <v>778</v>
      </c>
      <c r="F908" s="403" t="s">
        <v>1293</v>
      </c>
      <c r="G908" s="403" t="s">
        <v>1466</v>
      </c>
      <c r="H908" s="403" t="s">
        <v>1281</v>
      </c>
      <c r="I908" s="403">
        <v>1</v>
      </c>
      <c r="J908" s="403" t="s">
        <v>109</v>
      </c>
      <c r="K908" s="403">
        <v>1280</v>
      </c>
      <c r="L908" s="403">
        <v>720</v>
      </c>
      <c r="M908" s="403" t="s">
        <v>1284</v>
      </c>
      <c r="N908" s="403">
        <v>640</v>
      </c>
      <c r="O908" s="403">
        <v>480</v>
      </c>
      <c r="P908" t="str">
        <f t="shared" si="113"/>
        <v>25fps 720p - SD VGA (cropped)</v>
      </c>
      <c r="Q908">
        <f t="shared" si="114"/>
        <v>5</v>
      </c>
      <c r="R908" t="str">
        <f t="shared" si="115"/>
        <v/>
      </c>
      <c r="S908" t="str">
        <f t="shared" si="116"/>
        <v/>
      </c>
      <c r="T908" s="403" t="str">
        <f t="shared" si="117"/>
        <v>NBE-3502-AL</v>
      </c>
      <c r="U908" s="403">
        <f t="shared" si="118"/>
        <v>1</v>
      </c>
      <c r="V908" s="403" t="str">
        <f t="shared" si="119"/>
        <v>CPP_7_3</v>
      </c>
    </row>
    <row r="909" spans="1:22">
      <c r="A909" t="str">
        <f t="shared" si="112"/>
        <v>NBE-3502-AL</v>
      </c>
      <c r="B909" s="403" t="s">
        <v>1370</v>
      </c>
      <c r="C909" s="403" t="s">
        <v>582</v>
      </c>
      <c r="D909" s="403" t="s">
        <v>1291</v>
      </c>
      <c r="E909" s="403" t="s">
        <v>778</v>
      </c>
      <c r="F909" s="403" t="s">
        <v>1293</v>
      </c>
      <c r="G909" s="403" t="s">
        <v>1467</v>
      </c>
      <c r="H909" s="403" t="s">
        <v>1276</v>
      </c>
      <c r="I909" s="403">
        <v>1</v>
      </c>
      <c r="J909" s="403" t="s">
        <v>110</v>
      </c>
      <c r="K909" s="403">
        <v>1080</v>
      </c>
      <c r="L909" s="403">
        <v>1920</v>
      </c>
      <c r="M909" s="403" t="s">
        <v>111</v>
      </c>
      <c r="N909" s="403">
        <v>432</v>
      </c>
      <c r="O909" s="403">
        <v>768</v>
      </c>
      <c r="P909" t="str">
        <f t="shared" si="113"/>
        <v>25fps 1080p - SD</v>
      </c>
      <c r="Q909">
        <f t="shared" si="114"/>
        <v>5</v>
      </c>
      <c r="R909" t="str">
        <f t="shared" si="115"/>
        <v/>
      </c>
      <c r="S909" t="str">
        <f t="shared" si="116"/>
        <v/>
      </c>
      <c r="T909" s="403" t="str">
        <f t="shared" si="117"/>
        <v>NBE-3502-AL</v>
      </c>
      <c r="U909" s="403">
        <f t="shared" si="118"/>
        <v>1</v>
      </c>
      <c r="V909" s="403" t="str">
        <f t="shared" si="119"/>
        <v>CPP_7_3</v>
      </c>
    </row>
    <row r="910" spans="1:22">
      <c r="A910" t="str">
        <f t="shared" si="112"/>
        <v>NBE-3502-AL</v>
      </c>
      <c r="B910" s="403" t="s">
        <v>1370</v>
      </c>
      <c r="C910" s="403" t="s">
        <v>582</v>
      </c>
      <c r="D910" s="403" t="s">
        <v>1291</v>
      </c>
      <c r="E910" s="403" t="s">
        <v>778</v>
      </c>
      <c r="F910" s="403" t="s">
        <v>1293</v>
      </c>
      <c r="G910" s="403" t="s">
        <v>1467</v>
      </c>
      <c r="H910" s="403" t="s">
        <v>1276</v>
      </c>
      <c r="I910" s="403">
        <v>1</v>
      </c>
      <c r="J910" s="403" t="s">
        <v>110</v>
      </c>
      <c r="K910" s="403">
        <v>1080</v>
      </c>
      <c r="L910" s="403">
        <v>1920</v>
      </c>
      <c r="M910" s="403" t="s">
        <v>109</v>
      </c>
      <c r="N910" s="403">
        <v>720</v>
      </c>
      <c r="O910" s="403">
        <v>1280</v>
      </c>
      <c r="P910" t="str">
        <f t="shared" si="113"/>
        <v>25fps 1080p - 720p</v>
      </c>
      <c r="Q910">
        <f t="shared" si="114"/>
        <v>5</v>
      </c>
      <c r="R910" t="str">
        <f t="shared" si="115"/>
        <v/>
      </c>
      <c r="S910" t="str">
        <f t="shared" si="116"/>
        <v/>
      </c>
      <c r="T910" s="403" t="str">
        <f t="shared" si="117"/>
        <v>NBE-3502-AL</v>
      </c>
      <c r="U910" s="403">
        <f t="shared" si="118"/>
        <v>1</v>
      </c>
      <c r="V910" s="403" t="str">
        <f t="shared" si="119"/>
        <v>CPP_7_3</v>
      </c>
    </row>
    <row r="911" spans="1:22">
      <c r="A911" t="str">
        <f t="shared" si="112"/>
        <v>NBE-3502-AL</v>
      </c>
      <c r="B911" s="403" t="s">
        <v>1370</v>
      </c>
      <c r="C911" s="403" t="s">
        <v>582</v>
      </c>
      <c r="D911" s="403" t="s">
        <v>1291</v>
      </c>
      <c r="E911" s="403" t="s">
        <v>778</v>
      </c>
      <c r="F911" s="403" t="s">
        <v>1293</v>
      </c>
      <c r="G911" s="403" t="s">
        <v>1467</v>
      </c>
      <c r="H911" s="403" t="s">
        <v>1276</v>
      </c>
      <c r="I911" s="403">
        <v>1</v>
      </c>
      <c r="J911" s="403" t="s">
        <v>110</v>
      </c>
      <c r="K911" s="403">
        <v>1080</v>
      </c>
      <c r="L911" s="403">
        <v>1920</v>
      </c>
      <c r="M911" s="403" t="s">
        <v>1285</v>
      </c>
      <c r="N911" s="403">
        <v>1024</v>
      </c>
      <c r="O911" s="403">
        <v>1280</v>
      </c>
      <c r="P911" t="str">
        <f t="shared" si="113"/>
        <v>25fps 1080p - 1280x1024 5:4 (cropped)</v>
      </c>
      <c r="Q911">
        <f t="shared" si="114"/>
        <v>5</v>
      </c>
      <c r="R911" t="str">
        <f t="shared" si="115"/>
        <v/>
      </c>
      <c r="S911" t="str">
        <f t="shared" si="116"/>
        <v/>
      </c>
      <c r="T911" s="403" t="str">
        <f t="shared" si="117"/>
        <v>NBE-3502-AL</v>
      </c>
      <c r="U911" s="403">
        <f t="shared" si="118"/>
        <v>1</v>
      </c>
      <c r="V911" s="403" t="str">
        <f t="shared" si="119"/>
        <v>CPP_7_3</v>
      </c>
    </row>
    <row r="912" spans="1:22">
      <c r="A912" t="str">
        <f t="shared" si="112"/>
        <v>NBE-3502-AL</v>
      </c>
      <c r="B912" s="403" t="s">
        <v>1370</v>
      </c>
      <c r="C912" s="403" t="s">
        <v>582</v>
      </c>
      <c r="D912" s="403" t="s">
        <v>1291</v>
      </c>
      <c r="E912" s="403" t="s">
        <v>778</v>
      </c>
      <c r="F912" s="403" t="s">
        <v>1293</v>
      </c>
      <c r="G912" s="403" t="s">
        <v>1467</v>
      </c>
      <c r="H912" s="403" t="s">
        <v>1276</v>
      </c>
      <c r="I912" s="403">
        <v>1</v>
      </c>
      <c r="J912" s="403" t="s">
        <v>110</v>
      </c>
      <c r="K912" s="403">
        <v>1080</v>
      </c>
      <c r="L912" s="403">
        <v>1920</v>
      </c>
      <c r="M912" s="403" t="s">
        <v>1279</v>
      </c>
      <c r="N912" s="403">
        <v>432</v>
      </c>
      <c r="O912" s="403">
        <v>768</v>
      </c>
      <c r="P912" t="str">
        <f t="shared" si="113"/>
        <v>25fps 1080p - SD ROI PTZ</v>
      </c>
      <c r="Q912">
        <f t="shared" si="114"/>
        <v>5</v>
      </c>
      <c r="R912" t="str">
        <f t="shared" si="115"/>
        <v/>
      </c>
      <c r="S912" t="str">
        <f t="shared" si="116"/>
        <v/>
      </c>
      <c r="T912" s="403" t="str">
        <f t="shared" si="117"/>
        <v>NBE-3502-AL</v>
      </c>
      <c r="U912" s="403">
        <f t="shared" si="118"/>
        <v>1</v>
      </c>
      <c r="V912" s="403" t="str">
        <f t="shared" si="119"/>
        <v>CPP_7_3</v>
      </c>
    </row>
    <row r="913" spans="1:22">
      <c r="A913" t="str">
        <f t="shared" si="112"/>
        <v>NBE-3502-AL</v>
      </c>
      <c r="B913" s="403" t="s">
        <v>1370</v>
      </c>
      <c r="C913" s="403" t="s">
        <v>582</v>
      </c>
      <c r="D913" s="403" t="s">
        <v>1291</v>
      </c>
      <c r="E913" s="403" t="s">
        <v>778</v>
      </c>
      <c r="F913" s="403" t="s">
        <v>1293</v>
      </c>
      <c r="G913" s="403" t="s">
        <v>1467</v>
      </c>
      <c r="H913" s="403" t="s">
        <v>1276</v>
      </c>
      <c r="I913" s="403">
        <v>1</v>
      </c>
      <c r="J913" s="403" t="s">
        <v>110</v>
      </c>
      <c r="K913" s="403">
        <v>1080</v>
      </c>
      <c r="L913" s="403">
        <v>1920</v>
      </c>
      <c r="M913" s="403" t="s">
        <v>1283</v>
      </c>
      <c r="N913" s="403">
        <v>576</v>
      </c>
      <c r="O913" s="403">
        <v>720</v>
      </c>
      <c r="P913" t="str">
        <f t="shared" si="113"/>
        <v>25fps 1080p - SD 4CIF resolution 4:3 format (cropped)</v>
      </c>
      <c r="Q913">
        <f t="shared" si="114"/>
        <v>5</v>
      </c>
      <c r="R913" t="str">
        <f t="shared" si="115"/>
        <v/>
      </c>
      <c r="S913" t="str">
        <f t="shared" si="116"/>
        <v/>
      </c>
      <c r="T913" s="403" t="str">
        <f t="shared" si="117"/>
        <v>NBE-3502-AL</v>
      </c>
      <c r="U913" s="403">
        <f t="shared" si="118"/>
        <v>1</v>
      </c>
      <c r="V913" s="403" t="str">
        <f t="shared" si="119"/>
        <v>CPP_7_3</v>
      </c>
    </row>
    <row r="914" spans="1:22">
      <c r="A914" t="str">
        <f t="shared" si="112"/>
        <v>NBE-3502-AL</v>
      </c>
      <c r="B914" s="403" t="s">
        <v>1370</v>
      </c>
      <c r="C914" s="403" t="s">
        <v>582</v>
      </c>
      <c r="D914" s="403" t="s">
        <v>1291</v>
      </c>
      <c r="E914" s="403" t="s">
        <v>778</v>
      </c>
      <c r="F914" s="403" t="s">
        <v>1293</v>
      </c>
      <c r="G914" s="403" t="s">
        <v>1467</v>
      </c>
      <c r="H914" s="403" t="s">
        <v>1276</v>
      </c>
      <c r="I914" s="403">
        <v>1</v>
      </c>
      <c r="J914" s="403" t="s">
        <v>110</v>
      </c>
      <c r="K914" s="403">
        <v>1080</v>
      </c>
      <c r="L914" s="403">
        <v>1920</v>
      </c>
      <c r="M914" s="403" t="s">
        <v>1284</v>
      </c>
      <c r="N914" s="403">
        <v>480</v>
      </c>
      <c r="O914" s="403">
        <v>640</v>
      </c>
      <c r="P914" t="str">
        <f t="shared" si="113"/>
        <v>25fps 1080p - SD VGA (cropped)</v>
      </c>
      <c r="Q914">
        <f t="shared" si="114"/>
        <v>5</v>
      </c>
      <c r="R914" t="str">
        <f t="shared" si="115"/>
        <v/>
      </c>
      <c r="S914" t="str">
        <f t="shared" si="116"/>
        <v/>
      </c>
      <c r="T914" s="403" t="str">
        <f t="shared" si="117"/>
        <v>NBE-3502-AL</v>
      </c>
      <c r="U914" s="403">
        <f t="shared" si="118"/>
        <v>1</v>
      </c>
      <c r="V914" s="403" t="str">
        <f t="shared" si="119"/>
        <v>CPP_7_3</v>
      </c>
    </row>
    <row r="915" spans="1:22">
      <c r="A915" t="str">
        <f t="shared" si="112"/>
        <v>NBE-3502-AL</v>
      </c>
      <c r="B915" s="403" t="s">
        <v>1370</v>
      </c>
      <c r="C915" s="403" t="s">
        <v>582</v>
      </c>
      <c r="D915" s="403" t="s">
        <v>1291</v>
      </c>
      <c r="E915" s="403" t="s">
        <v>778</v>
      </c>
      <c r="F915" s="403" t="s">
        <v>1293</v>
      </c>
      <c r="G915" s="403" t="s">
        <v>1467</v>
      </c>
      <c r="H915" s="403" t="s">
        <v>1276</v>
      </c>
      <c r="I915" s="403">
        <v>1</v>
      </c>
      <c r="J915" s="403" t="s">
        <v>109</v>
      </c>
      <c r="K915" s="403">
        <v>720</v>
      </c>
      <c r="L915" s="403">
        <v>1280</v>
      </c>
      <c r="M915" s="403" t="s">
        <v>109</v>
      </c>
      <c r="N915" s="403">
        <v>720</v>
      </c>
      <c r="O915" s="403">
        <v>1280</v>
      </c>
      <c r="P915" t="str">
        <f t="shared" si="113"/>
        <v>25fps 720p - 720p</v>
      </c>
      <c r="Q915">
        <f t="shared" si="114"/>
        <v>5</v>
      </c>
      <c r="R915" t="str">
        <f t="shared" si="115"/>
        <v/>
      </c>
      <c r="S915" t="str">
        <f t="shared" si="116"/>
        <v/>
      </c>
      <c r="T915" s="403" t="str">
        <f t="shared" si="117"/>
        <v>NBE-3502-AL</v>
      </c>
      <c r="U915" s="403">
        <f t="shared" si="118"/>
        <v>1</v>
      </c>
      <c r="V915" s="403" t="str">
        <f t="shared" si="119"/>
        <v>CPP_7_3</v>
      </c>
    </row>
    <row r="916" spans="1:22">
      <c r="A916" t="str">
        <f t="shared" si="112"/>
        <v>NBE-3502-AL</v>
      </c>
      <c r="B916" s="403" t="s">
        <v>1370</v>
      </c>
      <c r="C916" s="403" t="s">
        <v>582</v>
      </c>
      <c r="D916" s="403" t="s">
        <v>1291</v>
      </c>
      <c r="E916" s="403" t="s">
        <v>778</v>
      </c>
      <c r="F916" s="403" t="s">
        <v>1293</v>
      </c>
      <c r="G916" s="403" t="s">
        <v>1467</v>
      </c>
      <c r="H916" s="403" t="s">
        <v>1276</v>
      </c>
      <c r="I916" s="403">
        <v>1</v>
      </c>
      <c r="J916" s="403" t="s">
        <v>109</v>
      </c>
      <c r="K916" s="403">
        <v>720</v>
      </c>
      <c r="L916" s="403">
        <v>1280</v>
      </c>
      <c r="M916" s="403" t="s">
        <v>111</v>
      </c>
      <c r="N916" s="403">
        <v>432</v>
      </c>
      <c r="O916" s="403">
        <v>768</v>
      </c>
      <c r="P916" t="str">
        <f t="shared" si="113"/>
        <v>25fps 720p - SD</v>
      </c>
      <c r="Q916">
        <f t="shared" si="114"/>
        <v>5</v>
      </c>
      <c r="R916" t="str">
        <f t="shared" si="115"/>
        <v/>
      </c>
      <c r="S916" t="str">
        <f t="shared" si="116"/>
        <v/>
      </c>
      <c r="T916" s="403" t="str">
        <f t="shared" si="117"/>
        <v>NBE-3502-AL</v>
      </c>
      <c r="U916" s="403">
        <f t="shared" si="118"/>
        <v>1</v>
      </c>
      <c r="V916" s="403" t="str">
        <f t="shared" si="119"/>
        <v>CPP_7_3</v>
      </c>
    </row>
    <row r="917" spans="1:22">
      <c r="A917" t="str">
        <f t="shared" si="112"/>
        <v>NBE-3502-AL</v>
      </c>
      <c r="B917" s="403" t="s">
        <v>1370</v>
      </c>
      <c r="C917" s="403" t="s">
        <v>582</v>
      </c>
      <c r="D917" s="403" t="s">
        <v>1291</v>
      </c>
      <c r="E917" s="403" t="s">
        <v>778</v>
      </c>
      <c r="F917" s="403" t="s">
        <v>1293</v>
      </c>
      <c r="G917" s="403" t="s">
        <v>1467</v>
      </c>
      <c r="H917" s="403" t="s">
        <v>1276</v>
      </c>
      <c r="I917" s="403">
        <v>1</v>
      </c>
      <c r="J917" s="403" t="s">
        <v>109</v>
      </c>
      <c r="K917" s="403">
        <v>720</v>
      </c>
      <c r="L917" s="403">
        <v>1280</v>
      </c>
      <c r="M917" s="403" t="s">
        <v>1279</v>
      </c>
      <c r="N917" s="403">
        <v>432</v>
      </c>
      <c r="O917" s="403">
        <v>768</v>
      </c>
      <c r="P917" t="str">
        <f t="shared" si="113"/>
        <v>25fps 720p - SD ROI PTZ</v>
      </c>
      <c r="Q917">
        <f t="shared" si="114"/>
        <v>5</v>
      </c>
      <c r="R917" t="str">
        <f t="shared" si="115"/>
        <v/>
      </c>
      <c r="S917" t="str">
        <f t="shared" si="116"/>
        <v/>
      </c>
      <c r="T917" s="403" t="str">
        <f t="shared" si="117"/>
        <v>NBE-3502-AL</v>
      </c>
      <c r="U917" s="403">
        <f t="shared" si="118"/>
        <v>1</v>
      </c>
      <c r="V917" s="403" t="str">
        <f t="shared" si="119"/>
        <v>CPP_7_3</v>
      </c>
    </row>
    <row r="918" spans="1:22">
      <c r="A918" t="str">
        <f t="shared" si="112"/>
        <v>NBE-3502-AL</v>
      </c>
      <c r="B918" s="403" t="s">
        <v>1370</v>
      </c>
      <c r="C918" s="403" t="s">
        <v>582</v>
      </c>
      <c r="D918" s="403" t="s">
        <v>1291</v>
      </c>
      <c r="E918" s="403" t="s">
        <v>778</v>
      </c>
      <c r="F918" s="403" t="s">
        <v>1293</v>
      </c>
      <c r="G918" s="403" t="s">
        <v>1467</v>
      </c>
      <c r="H918" s="403" t="s">
        <v>1276</v>
      </c>
      <c r="I918" s="403">
        <v>1</v>
      </c>
      <c r="J918" s="403" t="s">
        <v>109</v>
      </c>
      <c r="K918" s="403">
        <v>720</v>
      </c>
      <c r="L918" s="403">
        <v>1280</v>
      </c>
      <c r="M918" s="403" t="s">
        <v>1283</v>
      </c>
      <c r="N918" s="403">
        <v>576</v>
      </c>
      <c r="O918" s="403">
        <v>720</v>
      </c>
      <c r="P918" t="str">
        <f t="shared" si="113"/>
        <v>25fps 720p - SD 4CIF resolution 4:3 format (cropped)</v>
      </c>
      <c r="Q918">
        <f t="shared" si="114"/>
        <v>5</v>
      </c>
      <c r="R918" t="str">
        <f t="shared" si="115"/>
        <v/>
      </c>
      <c r="S918" t="str">
        <f t="shared" si="116"/>
        <v/>
      </c>
      <c r="T918" s="403" t="str">
        <f t="shared" si="117"/>
        <v>NBE-3502-AL</v>
      </c>
      <c r="U918" s="403">
        <f t="shared" si="118"/>
        <v>1</v>
      </c>
      <c r="V918" s="403" t="str">
        <f t="shared" si="119"/>
        <v>CPP_7_3</v>
      </c>
    </row>
    <row r="919" spans="1:22">
      <c r="A919" t="str">
        <f t="shared" si="112"/>
        <v>NBE-3502-AL</v>
      </c>
      <c r="B919" s="403" t="s">
        <v>1370</v>
      </c>
      <c r="C919" s="403" t="s">
        <v>582</v>
      </c>
      <c r="D919" s="403" t="s">
        <v>1291</v>
      </c>
      <c r="E919" s="403" t="s">
        <v>778</v>
      </c>
      <c r="F919" s="403" t="s">
        <v>1293</v>
      </c>
      <c r="G919" s="403" t="s">
        <v>1467</v>
      </c>
      <c r="H919" s="403" t="s">
        <v>1276</v>
      </c>
      <c r="I919" s="403">
        <v>1</v>
      </c>
      <c r="J919" s="403" t="s">
        <v>109</v>
      </c>
      <c r="K919" s="403">
        <v>720</v>
      </c>
      <c r="L919" s="403">
        <v>1280</v>
      </c>
      <c r="M919" s="403" t="s">
        <v>1284</v>
      </c>
      <c r="N919" s="403">
        <v>480</v>
      </c>
      <c r="O919" s="403">
        <v>640</v>
      </c>
      <c r="P919" t="str">
        <f t="shared" si="113"/>
        <v>25fps 720p - SD VGA (cropped)</v>
      </c>
      <c r="Q919">
        <f t="shared" si="114"/>
        <v>5</v>
      </c>
      <c r="R919" t="str">
        <f t="shared" si="115"/>
        <v/>
      </c>
      <c r="S919" t="str">
        <f t="shared" si="116"/>
        <v/>
      </c>
      <c r="T919" s="403" t="str">
        <f t="shared" si="117"/>
        <v>NBE-3502-AL</v>
      </c>
      <c r="U919" s="403">
        <f t="shared" si="118"/>
        <v>1</v>
      </c>
      <c r="V919" s="403" t="str">
        <f t="shared" si="119"/>
        <v>CPP_7_3</v>
      </c>
    </row>
    <row r="920" spans="1:22">
      <c r="A920" t="str">
        <f t="shared" si="112"/>
        <v>NBE-3502-AL</v>
      </c>
      <c r="B920" s="403" t="s">
        <v>1370</v>
      </c>
      <c r="C920" s="403" t="s">
        <v>582</v>
      </c>
      <c r="D920" s="403" t="s">
        <v>1291</v>
      </c>
      <c r="E920" s="403" t="s">
        <v>778</v>
      </c>
      <c r="F920" s="403" t="s">
        <v>1293</v>
      </c>
      <c r="G920" s="403" t="s">
        <v>1467</v>
      </c>
      <c r="H920" s="403" t="s">
        <v>1281</v>
      </c>
      <c r="I920" s="403">
        <v>1</v>
      </c>
      <c r="J920" s="403" t="s">
        <v>110</v>
      </c>
      <c r="K920" s="403">
        <v>1080</v>
      </c>
      <c r="L920" s="403">
        <v>1920</v>
      </c>
      <c r="M920" s="403" t="s">
        <v>111</v>
      </c>
      <c r="N920" s="403">
        <v>432</v>
      </c>
      <c r="O920" s="403">
        <v>768</v>
      </c>
      <c r="P920" t="str">
        <f t="shared" si="113"/>
        <v>25fps 1080p - SD</v>
      </c>
      <c r="Q920">
        <f t="shared" si="114"/>
        <v>5</v>
      </c>
      <c r="R920" t="str">
        <f t="shared" si="115"/>
        <v/>
      </c>
      <c r="S920" t="str">
        <f t="shared" si="116"/>
        <v/>
      </c>
      <c r="T920" s="403" t="str">
        <f t="shared" si="117"/>
        <v>NBE-3502-AL</v>
      </c>
      <c r="U920" s="403">
        <f t="shared" si="118"/>
        <v>1</v>
      </c>
      <c r="V920" s="403" t="str">
        <f t="shared" si="119"/>
        <v>CPP_7_3</v>
      </c>
    </row>
    <row r="921" spans="1:22">
      <c r="A921" t="str">
        <f t="shared" si="112"/>
        <v>NBE-3502-AL</v>
      </c>
      <c r="B921" s="403" t="s">
        <v>1370</v>
      </c>
      <c r="C921" s="403" t="s">
        <v>582</v>
      </c>
      <c r="D921" s="403" t="s">
        <v>1291</v>
      </c>
      <c r="E921" s="403" t="s">
        <v>778</v>
      </c>
      <c r="F921" s="403" t="s">
        <v>1293</v>
      </c>
      <c r="G921" s="403" t="s">
        <v>1467</v>
      </c>
      <c r="H921" s="403" t="s">
        <v>1281</v>
      </c>
      <c r="I921" s="403">
        <v>1</v>
      </c>
      <c r="J921" s="403" t="s">
        <v>110</v>
      </c>
      <c r="K921" s="403">
        <v>1080</v>
      </c>
      <c r="L921" s="403">
        <v>1920</v>
      </c>
      <c r="M921" s="403" t="s">
        <v>109</v>
      </c>
      <c r="N921" s="403">
        <v>720</v>
      </c>
      <c r="O921" s="403">
        <v>1280</v>
      </c>
      <c r="P921" t="str">
        <f t="shared" si="113"/>
        <v>25fps 1080p - 720p</v>
      </c>
      <c r="Q921">
        <f t="shared" si="114"/>
        <v>5</v>
      </c>
      <c r="R921" t="str">
        <f t="shared" si="115"/>
        <v/>
      </c>
      <c r="S921" t="str">
        <f t="shared" si="116"/>
        <v/>
      </c>
      <c r="T921" s="403" t="str">
        <f t="shared" si="117"/>
        <v>NBE-3502-AL</v>
      </c>
      <c r="U921" s="403">
        <f t="shared" si="118"/>
        <v>1</v>
      </c>
      <c r="V921" s="403" t="str">
        <f t="shared" si="119"/>
        <v>CPP_7_3</v>
      </c>
    </row>
    <row r="922" spans="1:22">
      <c r="A922" t="str">
        <f t="shared" si="112"/>
        <v>NBE-3502-AL</v>
      </c>
      <c r="B922" s="403" t="s">
        <v>1370</v>
      </c>
      <c r="C922" s="403" t="s">
        <v>582</v>
      </c>
      <c r="D922" s="403" t="s">
        <v>1291</v>
      </c>
      <c r="E922" s="403" t="s">
        <v>778</v>
      </c>
      <c r="F922" s="403" t="s">
        <v>1293</v>
      </c>
      <c r="G922" s="403" t="s">
        <v>1467</v>
      </c>
      <c r="H922" s="403" t="s">
        <v>1281</v>
      </c>
      <c r="I922" s="403">
        <v>1</v>
      </c>
      <c r="J922" s="403" t="s">
        <v>110</v>
      </c>
      <c r="K922" s="403">
        <v>1080</v>
      </c>
      <c r="L922" s="403">
        <v>1920</v>
      </c>
      <c r="M922" s="403" t="s">
        <v>1285</v>
      </c>
      <c r="N922" s="403">
        <v>1024</v>
      </c>
      <c r="O922" s="403">
        <v>1280</v>
      </c>
      <c r="P922" t="str">
        <f t="shared" si="113"/>
        <v>25fps 1080p - 1280x1024 5:4 (cropped)</v>
      </c>
      <c r="Q922">
        <f t="shared" si="114"/>
        <v>5</v>
      </c>
      <c r="R922" t="str">
        <f t="shared" si="115"/>
        <v/>
      </c>
      <c r="S922" t="str">
        <f t="shared" si="116"/>
        <v/>
      </c>
      <c r="T922" s="403" t="str">
        <f t="shared" si="117"/>
        <v>NBE-3502-AL</v>
      </c>
      <c r="U922" s="403">
        <f t="shared" si="118"/>
        <v>1</v>
      </c>
      <c r="V922" s="403" t="str">
        <f t="shared" si="119"/>
        <v>CPP_7_3</v>
      </c>
    </row>
    <row r="923" spans="1:22">
      <c r="A923" t="str">
        <f t="shared" si="112"/>
        <v>NBE-3502-AL</v>
      </c>
      <c r="B923" s="403" t="s">
        <v>1370</v>
      </c>
      <c r="C923" s="403" t="s">
        <v>582</v>
      </c>
      <c r="D923" s="403" t="s">
        <v>1291</v>
      </c>
      <c r="E923" s="403" t="s">
        <v>778</v>
      </c>
      <c r="F923" s="403" t="s">
        <v>1293</v>
      </c>
      <c r="G923" s="403" t="s">
        <v>1467</v>
      </c>
      <c r="H923" s="403" t="s">
        <v>1281</v>
      </c>
      <c r="I923" s="403">
        <v>1</v>
      </c>
      <c r="J923" s="403" t="s">
        <v>110</v>
      </c>
      <c r="K923" s="403">
        <v>1080</v>
      </c>
      <c r="L923" s="403">
        <v>1920</v>
      </c>
      <c r="M923" s="403" t="s">
        <v>1279</v>
      </c>
      <c r="N923" s="403">
        <v>432</v>
      </c>
      <c r="O923" s="403">
        <v>768</v>
      </c>
      <c r="P923" t="str">
        <f t="shared" si="113"/>
        <v>25fps 1080p - SD ROI PTZ</v>
      </c>
      <c r="Q923">
        <f t="shared" si="114"/>
        <v>5</v>
      </c>
      <c r="R923" t="str">
        <f t="shared" si="115"/>
        <v/>
      </c>
      <c r="S923" t="str">
        <f t="shared" si="116"/>
        <v/>
      </c>
      <c r="T923" s="403" t="str">
        <f t="shared" si="117"/>
        <v>NBE-3502-AL</v>
      </c>
      <c r="U923" s="403">
        <f t="shared" si="118"/>
        <v>1</v>
      </c>
      <c r="V923" s="403" t="str">
        <f t="shared" si="119"/>
        <v>CPP_7_3</v>
      </c>
    </row>
    <row r="924" spans="1:22">
      <c r="A924" t="str">
        <f t="shared" si="112"/>
        <v>NBE-3502-AL</v>
      </c>
      <c r="B924" s="403" t="s">
        <v>1370</v>
      </c>
      <c r="C924" s="403" t="s">
        <v>582</v>
      </c>
      <c r="D924" s="403" t="s">
        <v>1291</v>
      </c>
      <c r="E924" s="403" t="s">
        <v>778</v>
      </c>
      <c r="F924" s="403" t="s">
        <v>1293</v>
      </c>
      <c r="G924" s="403" t="s">
        <v>1467</v>
      </c>
      <c r="H924" s="403" t="s">
        <v>1281</v>
      </c>
      <c r="I924" s="403">
        <v>1</v>
      </c>
      <c r="J924" s="403" t="s">
        <v>110</v>
      </c>
      <c r="K924" s="403">
        <v>1080</v>
      </c>
      <c r="L924" s="403">
        <v>1920</v>
      </c>
      <c r="M924" s="403" t="s">
        <v>1283</v>
      </c>
      <c r="N924" s="403">
        <v>576</v>
      </c>
      <c r="O924" s="403">
        <v>720</v>
      </c>
      <c r="P924" t="str">
        <f t="shared" si="113"/>
        <v>25fps 1080p - SD 4CIF resolution 4:3 format (cropped)</v>
      </c>
      <c r="Q924">
        <f t="shared" si="114"/>
        <v>5</v>
      </c>
      <c r="R924" t="str">
        <f t="shared" si="115"/>
        <v/>
      </c>
      <c r="S924" t="str">
        <f t="shared" si="116"/>
        <v/>
      </c>
      <c r="T924" s="403" t="str">
        <f t="shared" si="117"/>
        <v>NBE-3502-AL</v>
      </c>
      <c r="U924" s="403">
        <f t="shared" si="118"/>
        <v>1</v>
      </c>
      <c r="V924" s="403" t="str">
        <f t="shared" si="119"/>
        <v>CPP_7_3</v>
      </c>
    </row>
    <row r="925" spans="1:22">
      <c r="A925" t="str">
        <f t="shared" si="112"/>
        <v>NBE-3502-AL</v>
      </c>
      <c r="B925" s="403" t="s">
        <v>1370</v>
      </c>
      <c r="C925" s="403" t="s">
        <v>582</v>
      </c>
      <c r="D925" s="403" t="s">
        <v>1291</v>
      </c>
      <c r="E925" s="403" t="s">
        <v>778</v>
      </c>
      <c r="F925" s="403" t="s">
        <v>1293</v>
      </c>
      <c r="G925" s="403" t="s">
        <v>1467</v>
      </c>
      <c r="H925" s="403" t="s">
        <v>1281</v>
      </c>
      <c r="I925" s="403">
        <v>1</v>
      </c>
      <c r="J925" s="403" t="s">
        <v>110</v>
      </c>
      <c r="K925" s="403">
        <v>1080</v>
      </c>
      <c r="L925" s="403">
        <v>1920</v>
      </c>
      <c r="M925" s="403" t="s">
        <v>1284</v>
      </c>
      <c r="N925" s="403">
        <v>480</v>
      </c>
      <c r="O925" s="403">
        <v>640</v>
      </c>
      <c r="P925" t="str">
        <f t="shared" si="113"/>
        <v>25fps 1080p - SD VGA (cropped)</v>
      </c>
      <c r="Q925">
        <f t="shared" si="114"/>
        <v>5</v>
      </c>
      <c r="R925" t="str">
        <f t="shared" si="115"/>
        <v/>
      </c>
      <c r="S925" t="str">
        <f t="shared" si="116"/>
        <v/>
      </c>
      <c r="T925" s="403" t="str">
        <f t="shared" si="117"/>
        <v>NBE-3502-AL</v>
      </c>
      <c r="U925" s="403">
        <f t="shared" si="118"/>
        <v>1</v>
      </c>
      <c r="V925" s="403" t="str">
        <f t="shared" si="119"/>
        <v>CPP_7_3</v>
      </c>
    </row>
    <row r="926" spans="1:22">
      <c r="A926" t="str">
        <f t="shared" si="112"/>
        <v>NBE-3502-AL</v>
      </c>
      <c r="B926" s="403" t="s">
        <v>1370</v>
      </c>
      <c r="C926" s="403" t="s">
        <v>582</v>
      </c>
      <c r="D926" s="403" t="s">
        <v>1291</v>
      </c>
      <c r="E926" s="403" t="s">
        <v>778</v>
      </c>
      <c r="F926" s="403" t="s">
        <v>1293</v>
      </c>
      <c r="G926" s="403" t="s">
        <v>1467</v>
      </c>
      <c r="H926" s="403" t="s">
        <v>1281</v>
      </c>
      <c r="I926" s="403">
        <v>1</v>
      </c>
      <c r="J926" s="403" t="s">
        <v>109</v>
      </c>
      <c r="K926" s="403">
        <v>720</v>
      </c>
      <c r="L926" s="403">
        <v>1280</v>
      </c>
      <c r="M926" s="403" t="s">
        <v>109</v>
      </c>
      <c r="N926" s="403">
        <v>720</v>
      </c>
      <c r="O926" s="403">
        <v>1280</v>
      </c>
      <c r="P926" t="str">
        <f t="shared" si="113"/>
        <v>25fps 720p - 720p</v>
      </c>
      <c r="Q926">
        <f t="shared" si="114"/>
        <v>5</v>
      </c>
      <c r="R926" t="str">
        <f t="shared" si="115"/>
        <v/>
      </c>
      <c r="S926" t="str">
        <f t="shared" si="116"/>
        <v/>
      </c>
      <c r="T926" s="403" t="str">
        <f t="shared" si="117"/>
        <v>NBE-3502-AL</v>
      </c>
      <c r="U926" s="403">
        <f t="shared" si="118"/>
        <v>1</v>
      </c>
      <c r="V926" s="403" t="str">
        <f t="shared" si="119"/>
        <v>CPP_7_3</v>
      </c>
    </row>
    <row r="927" spans="1:22">
      <c r="A927" t="str">
        <f t="shared" si="112"/>
        <v>NBE-3502-AL</v>
      </c>
      <c r="B927" s="403" t="s">
        <v>1370</v>
      </c>
      <c r="C927" s="403" t="s">
        <v>582</v>
      </c>
      <c r="D927" s="403" t="s">
        <v>1291</v>
      </c>
      <c r="E927" s="403" t="s">
        <v>778</v>
      </c>
      <c r="F927" s="403" t="s">
        <v>1293</v>
      </c>
      <c r="G927" s="403" t="s">
        <v>1467</v>
      </c>
      <c r="H927" s="403" t="s">
        <v>1281</v>
      </c>
      <c r="I927" s="403">
        <v>1</v>
      </c>
      <c r="J927" s="403" t="s">
        <v>109</v>
      </c>
      <c r="K927" s="403">
        <v>720</v>
      </c>
      <c r="L927" s="403">
        <v>1280</v>
      </c>
      <c r="M927" s="403" t="s">
        <v>111</v>
      </c>
      <c r="N927" s="403">
        <v>432</v>
      </c>
      <c r="O927" s="403">
        <v>768</v>
      </c>
      <c r="P927" t="str">
        <f t="shared" si="113"/>
        <v>25fps 720p - SD</v>
      </c>
      <c r="Q927">
        <f t="shared" si="114"/>
        <v>5</v>
      </c>
      <c r="R927" t="str">
        <f t="shared" si="115"/>
        <v/>
      </c>
      <c r="S927" t="str">
        <f t="shared" si="116"/>
        <v/>
      </c>
      <c r="T927" s="403" t="str">
        <f t="shared" si="117"/>
        <v>NBE-3502-AL</v>
      </c>
      <c r="U927" s="403">
        <f t="shared" si="118"/>
        <v>1</v>
      </c>
      <c r="V927" s="403" t="str">
        <f t="shared" si="119"/>
        <v>CPP_7_3</v>
      </c>
    </row>
    <row r="928" spans="1:22">
      <c r="A928" t="str">
        <f t="shared" si="112"/>
        <v>NBE-3502-AL</v>
      </c>
      <c r="B928" s="403" t="s">
        <v>1370</v>
      </c>
      <c r="C928" s="403" t="s">
        <v>582</v>
      </c>
      <c r="D928" s="403" t="s">
        <v>1291</v>
      </c>
      <c r="E928" s="403" t="s">
        <v>778</v>
      </c>
      <c r="F928" s="403" t="s">
        <v>1293</v>
      </c>
      <c r="G928" s="403" t="s">
        <v>1467</v>
      </c>
      <c r="H928" s="403" t="s">
        <v>1281</v>
      </c>
      <c r="I928" s="403">
        <v>1</v>
      </c>
      <c r="J928" s="403" t="s">
        <v>109</v>
      </c>
      <c r="K928" s="403">
        <v>720</v>
      </c>
      <c r="L928" s="403">
        <v>1280</v>
      </c>
      <c r="M928" s="403" t="s">
        <v>1279</v>
      </c>
      <c r="N928" s="403">
        <v>432</v>
      </c>
      <c r="O928" s="403">
        <v>768</v>
      </c>
      <c r="P928" t="str">
        <f t="shared" si="113"/>
        <v>25fps 720p - SD ROI PTZ</v>
      </c>
      <c r="Q928">
        <f t="shared" si="114"/>
        <v>5</v>
      </c>
      <c r="R928" t="str">
        <f t="shared" si="115"/>
        <v/>
      </c>
      <c r="S928" t="str">
        <f t="shared" si="116"/>
        <v/>
      </c>
      <c r="T928" s="403" t="str">
        <f t="shared" si="117"/>
        <v>NBE-3502-AL</v>
      </c>
      <c r="U928" s="403">
        <f t="shared" si="118"/>
        <v>1</v>
      </c>
      <c r="V928" s="403" t="str">
        <f t="shared" si="119"/>
        <v>CPP_7_3</v>
      </c>
    </row>
    <row r="929" spans="1:22">
      <c r="A929" t="str">
        <f t="shared" si="112"/>
        <v>NBE-3502-AL</v>
      </c>
      <c r="B929" s="403" t="s">
        <v>1370</v>
      </c>
      <c r="C929" s="403" t="s">
        <v>582</v>
      </c>
      <c r="D929" s="403" t="s">
        <v>1291</v>
      </c>
      <c r="E929" s="403" t="s">
        <v>778</v>
      </c>
      <c r="F929" s="403" t="s">
        <v>1293</v>
      </c>
      <c r="G929" s="403" t="s">
        <v>1467</v>
      </c>
      <c r="H929" s="403" t="s">
        <v>1281</v>
      </c>
      <c r="I929" s="403">
        <v>1</v>
      </c>
      <c r="J929" s="403" t="s">
        <v>109</v>
      </c>
      <c r="K929" s="403">
        <v>720</v>
      </c>
      <c r="L929" s="403">
        <v>1280</v>
      </c>
      <c r="M929" s="403" t="s">
        <v>1283</v>
      </c>
      <c r="N929" s="403">
        <v>576</v>
      </c>
      <c r="O929" s="403">
        <v>720</v>
      </c>
      <c r="P929" t="str">
        <f t="shared" si="113"/>
        <v>25fps 720p - SD 4CIF resolution 4:3 format (cropped)</v>
      </c>
      <c r="Q929">
        <f t="shared" si="114"/>
        <v>5</v>
      </c>
      <c r="R929" t="str">
        <f t="shared" si="115"/>
        <v/>
      </c>
      <c r="S929" t="str">
        <f t="shared" si="116"/>
        <v/>
      </c>
      <c r="T929" s="403" t="str">
        <f t="shared" si="117"/>
        <v>NBE-3502-AL</v>
      </c>
      <c r="U929" s="403">
        <f t="shared" si="118"/>
        <v>1</v>
      </c>
      <c r="V929" s="403" t="str">
        <f t="shared" si="119"/>
        <v>CPP_7_3</v>
      </c>
    </row>
    <row r="930" spans="1:22">
      <c r="A930" t="str">
        <f t="shared" si="112"/>
        <v>NBE-3502-AL</v>
      </c>
      <c r="B930" s="403" t="s">
        <v>1370</v>
      </c>
      <c r="C930" s="403" t="s">
        <v>582</v>
      </c>
      <c r="D930" s="403" t="s">
        <v>1291</v>
      </c>
      <c r="E930" s="403" t="s">
        <v>778</v>
      </c>
      <c r="F930" s="403" t="s">
        <v>1293</v>
      </c>
      <c r="G930" s="403" t="s">
        <v>1467</v>
      </c>
      <c r="H930" s="403" t="s">
        <v>1281</v>
      </c>
      <c r="I930" s="403">
        <v>1</v>
      </c>
      <c r="J930" s="403" t="s">
        <v>109</v>
      </c>
      <c r="K930" s="403">
        <v>720</v>
      </c>
      <c r="L930" s="403">
        <v>1280</v>
      </c>
      <c r="M930" s="403" t="s">
        <v>1284</v>
      </c>
      <c r="N930" s="403">
        <v>480</v>
      </c>
      <c r="O930" s="403">
        <v>640</v>
      </c>
      <c r="P930" t="str">
        <f t="shared" si="113"/>
        <v>25fps 720p - SD VGA (cropped)</v>
      </c>
      <c r="Q930">
        <f t="shared" si="114"/>
        <v>5</v>
      </c>
      <c r="R930" t="str">
        <f t="shared" si="115"/>
        <v/>
      </c>
      <c r="S930" t="str">
        <f t="shared" si="116"/>
        <v/>
      </c>
      <c r="T930" s="403" t="str">
        <f t="shared" si="117"/>
        <v>NBE-3502-AL</v>
      </c>
      <c r="U930" s="403">
        <f t="shared" si="118"/>
        <v>1</v>
      </c>
      <c r="V930" s="403" t="str">
        <f t="shared" si="119"/>
        <v>CPP_7_3</v>
      </c>
    </row>
    <row r="931" spans="1:22">
      <c r="A931" t="str">
        <f t="shared" si="112"/>
        <v>NBE-3503-AL</v>
      </c>
      <c r="B931" s="403" t="s">
        <v>1370</v>
      </c>
      <c r="C931" s="403" t="s">
        <v>582</v>
      </c>
      <c r="D931" s="403" t="s">
        <v>1371</v>
      </c>
      <c r="E931" s="403" t="s">
        <v>778</v>
      </c>
      <c r="F931" s="403" t="s">
        <v>1372</v>
      </c>
      <c r="G931" s="403" t="s">
        <v>1466</v>
      </c>
      <c r="H931" s="403" t="s">
        <v>1276</v>
      </c>
      <c r="I931" s="403">
        <v>1</v>
      </c>
      <c r="J931" s="403" t="s">
        <v>1373</v>
      </c>
      <c r="K931" s="403">
        <v>2688</v>
      </c>
      <c r="L931" s="403">
        <v>1512</v>
      </c>
      <c r="M931" s="403" t="s">
        <v>111</v>
      </c>
      <c r="N931" s="403">
        <v>768</v>
      </c>
      <c r="O931" s="403">
        <v>432</v>
      </c>
      <c r="P931" t="str">
        <f t="shared" si="113"/>
        <v>25fps 2688x1512 - SD</v>
      </c>
      <c r="Q931">
        <f t="shared" si="114"/>
        <v>6</v>
      </c>
      <c r="R931">
        <f t="shared" si="115"/>
        <v>6</v>
      </c>
      <c r="S931" t="str">
        <f t="shared" si="116"/>
        <v>DINION IP 3000i IR (NBE-3503-AL)</v>
      </c>
      <c r="T931" s="403" t="str">
        <f t="shared" si="117"/>
        <v>NBE-3503-AL</v>
      </c>
      <c r="U931" s="403">
        <f t="shared" si="118"/>
        <v>1</v>
      </c>
      <c r="V931" s="403" t="str">
        <f t="shared" si="119"/>
        <v>CPP_7_3</v>
      </c>
    </row>
    <row r="932" spans="1:22">
      <c r="A932" t="str">
        <f t="shared" si="112"/>
        <v>NBE-3503-AL</v>
      </c>
      <c r="B932" s="403" t="s">
        <v>1370</v>
      </c>
      <c r="C932" s="403" t="s">
        <v>582</v>
      </c>
      <c r="D932" s="403" t="s">
        <v>1371</v>
      </c>
      <c r="E932" s="403" t="s">
        <v>778</v>
      </c>
      <c r="F932" s="403" t="s">
        <v>1372</v>
      </c>
      <c r="G932" s="403" t="s">
        <v>1466</v>
      </c>
      <c r="H932" s="403" t="s">
        <v>1276</v>
      </c>
      <c r="I932" s="403">
        <v>1</v>
      </c>
      <c r="J932" s="403" t="s">
        <v>1373</v>
      </c>
      <c r="K932" s="403">
        <v>2688</v>
      </c>
      <c r="L932" s="403">
        <v>1512</v>
      </c>
      <c r="M932" s="403" t="s">
        <v>1279</v>
      </c>
      <c r="N932" s="403">
        <v>768</v>
      </c>
      <c r="O932" s="403">
        <v>432</v>
      </c>
      <c r="P932" t="str">
        <f t="shared" si="113"/>
        <v>25fps 2688x1512 - SD ROI PTZ</v>
      </c>
      <c r="Q932">
        <f t="shared" si="114"/>
        <v>6</v>
      </c>
      <c r="R932" t="str">
        <f t="shared" si="115"/>
        <v/>
      </c>
      <c r="S932" t="str">
        <f t="shared" si="116"/>
        <v/>
      </c>
      <c r="T932" s="403" t="str">
        <f t="shared" si="117"/>
        <v>NBE-3503-AL</v>
      </c>
      <c r="U932" s="403">
        <f t="shared" si="118"/>
        <v>1</v>
      </c>
      <c r="V932" s="403" t="str">
        <f t="shared" si="119"/>
        <v>CPP_7_3</v>
      </c>
    </row>
    <row r="933" spans="1:22">
      <c r="A933" t="str">
        <f t="shared" si="112"/>
        <v>NBE-3503-AL</v>
      </c>
      <c r="B933" s="403" t="s">
        <v>1370</v>
      </c>
      <c r="C933" s="403" t="s">
        <v>582</v>
      </c>
      <c r="D933" s="403" t="s">
        <v>1371</v>
      </c>
      <c r="E933" s="403" t="s">
        <v>778</v>
      </c>
      <c r="F933" s="403" t="s">
        <v>1372</v>
      </c>
      <c r="G933" s="403" t="s">
        <v>1466</v>
      </c>
      <c r="H933" s="403" t="s">
        <v>1276</v>
      </c>
      <c r="I933" s="403">
        <v>1</v>
      </c>
      <c r="J933" s="403" t="s">
        <v>1373</v>
      </c>
      <c r="K933" s="403">
        <v>2688</v>
      </c>
      <c r="L933" s="403">
        <v>1512</v>
      </c>
      <c r="M933" s="403" t="s">
        <v>1283</v>
      </c>
      <c r="N933" s="403">
        <v>720</v>
      </c>
      <c r="O933" s="403">
        <v>576</v>
      </c>
      <c r="P933" t="str">
        <f t="shared" si="113"/>
        <v>25fps 2688x1512 - SD 4CIF resolution 4:3 format (cropped)</v>
      </c>
      <c r="Q933">
        <f t="shared" si="114"/>
        <v>6</v>
      </c>
      <c r="R933" t="str">
        <f t="shared" si="115"/>
        <v/>
      </c>
      <c r="S933" t="str">
        <f t="shared" si="116"/>
        <v/>
      </c>
      <c r="T933" s="403" t="str">
        <f t="shared" si="117"/>
        <v>NBE-3503-AL</v>
      </c>
      <c r="U933" s="403">
        <f t="shared" si="118"/>
        <v>1</v>
      </c>
      <c r="V933" s="403" t="str">
        <f t="shared" si="119"/>
        <v>CPP_7_3</v>
      </c>
    </row>
    <row r="934" spans="1:22">
      <c r="A934" t="str">
        <f t="shared" si="112"/>
        <v>NBE-3503-AL</v>
      </c>
      <c r="B934" s="403" t="s">
        <v>1370</v>
      </c>
      <c r="C934" s="403" t="s">
        <v>582</v>
      </c>
      <c r="D934" s="403" t="s">
        <v>1371</v>
      </c>
      <c r="E934" s="403" t="s">
        <v>778</v>
      </c>
      <c r="F934" s="403" t="s">
        <v>1372</v>
      </c>
      <c r="G934" s="403" t="s">
        <v>1466</v>
      </c>
      <c r="H934" s="403" t="s">
        <v>1276</v>
      </c>
      <c r="I934" s="403">
        <v>1</v>
      </c>
      <c r="J934" s="403" t="s">
        <v>1373</v>
      </c>
      <c r="K934" s="403">
        <v>2688</v>
      </c>
      <c r="L934" s="403">
        <v>1512</v>
      </c>
      <c r="M934" s="403" t="s">
        <v>1284</v>
      </c>
      <c r="N934" s="403">
        <v>640</v>
      </c>
      <c r="O934" s="403">
        <v>480</v>
      </c>
      <c r="P934" t="str">
        <f t="shared" si="113"/>
        <v>25fps 2688x1512 - SD VGA (cropped)</v>
      </c>
      <c r="Q934">
        <f t="shared" si="114"/>
        <v>6</v>
      </c>
      <c r="R934" t="str">
        <f t="shared" si="115"/>
        <v/>
      </c>
      <c r="S934" t="str">
        <f t="shared" si="116"/>
        <v/>
      </c>
      <c r="T934" s="403" t="str">
        <f t="shared" si="117"/>
        <v>NBE-3503-AL</v>
      </c>
      <c r="U934" s="403">
        <f t="shared" si="118"/>
        <v>1</v>
      </c>
      <c r="V934" s="403" t="str">
        <f t="shared" si="119"/>
        <v>CPP_7_3</v>
      </c>
    </row>
    <row r="935" spans="1:22">
      <c r="A935" t="str">
        <f t="shared" si="112"/>
        <v>NBE-3503-AL</v>
      </c>
      <c r="B935" s="403" t="s">
        <v>1370</v>
      </c>
      <c r="C935" s="403" t="s">
        <v>582</v>
      </c>
      <c r="D935" s="403" t="s">
        <v>1371</v>
      </c>
      <c r="E935" s="403" t="s">
        <v>778</v>
      </c>
      <c r="F935" s="403" t="s">
        <v>1372</v>
      </c>
      <c r="G935" s="403" t="s">
        <v>1466</v>
      </c>
      <c r="H935" s="403" t="s">
        <v>1276</v>
      </c>
      <c r="I935" s="403">
        <v>1</v>
      </c>
      <c r="J935" s="403" t="s">
        <v>1373</v>
      </c>
      <c r="K935" s="403">
        <v>2688</v>
      </c>
      <c r="L935" s="403">
        <v>1512</v>
      </c>
      <c r="M935" s="403" t="s">
        <v>1280</v>
      </c>
      <c r="N935" s="403">
        <v>2688</v>
      </c>
      <c r="O935" s="403">
        <v>1512</v>
      </c>
      <c r="P935" t="str">
        <f t="shared" si="113"/>
        <v>25fps 2688x1512 - copy other stream</v>
      </c>
      <c r="Q935">
        <f t="shared" si="114"/>
        <v>6</v>
      </c>
      <c r="R935" t="str">
        <f t="shared" si="115"/>
        <v/>
      </c>
      <c r="S935" t="str">
        <f t="shared" si="116"/>
        <v/>
      </c>
      <c r="T935" s="403" t="str">
        <f t="shared" si="117"/>
        <v>NBE-3503-AL</v>
      </c>
      <c r="U935" s="403">
        <f t="shared" si="118"/>
        <v>1</v>
      </c>
      <c r="V935" s="403" t="str">
        <f t="shared" si="119"/>
        <v>CPP_7_3</v>
      </c>
    </row>
    <row r="936" spans="1:22">
      <c r="A936" t="str">
        <f t="shared" si="112"/>
        <v>NBE-3503-AL</v>
      </c>
      <c r="B936" s="403" t="s">
        <v>1370</v>
      </c>
      <c r="C936" s="403" t="s">
        <v>582</v>
      </c>
      <c r="D936" s="403" t="s">
        <v>1371</v>
      </c>
      <c r="E936" s="403" t="s">
        <v>778</v>
      </c>
      <c r="F936" s="403" t="s">
        <v>1372</v>
      </c>
      <c r="G936" s="403" t="s">
        <v>1466</v>
      </c>
      <c r="H936" s="403" t="s">
        <v>1276</v>
      </c>
      <c r="I936" s="403">
        <v>1</v>
      </c>
      <c r="J936" s="403" t="s">
        <v>1374</v>
      </c>
      <c r="K936" s="403">
        <v>2304</v>
      </c>
      <c r="L936" s="403">
        <v>1296</v>
      </c>
      <c r="M936" s="403" t="s">
        <v>109</v>
      </c>
      <c r="N936" s="403">
        <v>1280</v>
      </c>
      <c r="O936" s="403">
        <v>720</v>
      </c>
      <c r="P936" t="str">
        <f t="shared" si="113"/>
        <v>25fps 2304x1296 - 720p</v>
      </c>
      <c r="Q936">
        <f t="shared" si="114"/>
        <v>6</v>
      </c>
      <c r="R936" t="str">
        <f t="shared" si="115"/>
        <v/>
      </c>
      <c r="S936" t="str">
        <f t="shared" si="116"/>
        <v/>
      </c>
      <c r="T936" s="403" t="str">
        <f t="shared" si="117"/>
        <v>NBE-3503-AL</v>
      </c>
      <c r="U936" s="403">
        <f t="shared" si="118"/>
        <v>1</v>
      </c>
      <c r="V936" s="403" t="str">
        <f t="shared" si="119"/>
        <v>CPP_7_3</v>
      </c>
    </row>
    <row r="937" spans="1:22">
      <c r="A937" t="str">
        <f t="shared" si="112"/>
        <v>NBE-3503-AL</v>
      </c>
      <c r="B937" s="403" t="s">
        <v>1370</v>
      </c>
      <c r="C937" s="403" t="s">
        <v>582</v>
      </c>
      <c r="D937" s="403" t="s">
        <v>1371</v>
      </c>
      <c r="E937" s="403" t="s">
        <v>778</v>
      </c>
      <c r="F937" s="403" t="s">
        <v>1372</v>
      </c>
      <c r="G937" s="403" t="s">
        <v>1466</v>
      </c>
      <c r="H937" s="403" t="s">
        <v>1276</v>
      </c>
      <c r="I937" s="403">
        <v>1</v>
      </c>
      <c r="J937" s="403" t="s">
        <v>1374</v>
      </c>
      <c r="K937" s="403">
        <v>2304</v>
      </c>
      <c r="L937" s="403">
        <v>1296</v>
      </c>
      <c r="M937" s="403" t="s">
        <v>111</v>
      </c>
      <c r="N937" s="403">
        <v>768</v>
      </c>
      <c r="O937" s="403">
        <v>432</v>
      </c>
      <c r="P937" t="str">
        <f t="shared" si="113"/>
        <v>25fps 2304x1296 - SD</v>
      </c>
      <c r="Q937">
        <f t="shared" si="114"/>
        <v>6</v>
      </c>
      <c r="R937" t="str">
        <f t="shared" si="115"/>
        <v/>
      </c>
      <c r="S937" t="str">
        <f t="shared" si="116"/>
        <v/>
      </c>
      <c r="T937" s="403" t="str">
        <f t="shared" si="117"/>
        <v>NBE-3503-AL</v>
      </c>
      <c r="U937" s="403">
        <f t="shared" si="118"/>
        <v>1</v>
      </c>
      <c r="V937" s="403" t="str">
        <f t="shared" si="119"/>
        <v>CPP_7_3</v>
      </c>
    </row>
    <row r="938" spans="1:22">
      <c r="A938" t="str">
        <f t="shared" si="112"/>
        <v>NBE-3503-AL</v>
      </c>
      <c r="B938" s="403" t="s">
        <v>1370</v>
      </c>
      <c r="C938" s="403" t="s">
        <v>582</v>
      </c>
      <c r="D938" s="403" t="s">
        <v>1371</v>
      </c>
      <c r="E938" s="403" t="s">
        <v>778</v>
      </c>
      <c r="F938" s="403" t="s">
        <v>1372</v>
      </c>
      <c r="G938" s="403" t="s">
        <v>1466</v>
      </c>
      <c r="H938" s="403" t="s">
        <v>1276</v>
      </c>
      <c r="I938" s="403">
        <v>1</v>
      </c>
      <c r="J938" s="403" t="s">
        <v>1374</v>
      </c>
      <c r="K938" s="403">
        <v>2304</v>
      </c>
      <c r="L938" s="403">
        <v>1296</v>
      </c>
      <c r="M938" s="403" t="s">
        <v>1279</v>
      </c>
      <c r="N938" s="403">
        <v>768</v>
      </c>
      <c r="O938" s="403">
        <v>432</v>
      </c>
      <c r="P938" t="str">
        <f t="shared" si="113"/>
        <v>25fps 2304x1296 - SD ROI PTZ</v>
      </c>
      <c r="Q938">
        <f t="shared" si="114"/>
        <v>6</v>
      </c>
      <c r="R938" t="str">
        <f t="shared" si="115"/>
        <v/>
      </c>
      <c r="S938" t="str">
        <f t="shared" si="116"/>
        <v/>
      </c>
      <c r="T938" s="403" t="str">
        <f t="shared" si="117"/>
        <v>NBE-3503-AL</v>
      </c>
      <c r="U938" s="403">
        <f t="shared" si="118"/>
        <v>1</v>
      </c>
      <c r="V938" s="403" t="str">
        <f t="shared" si="119"/>
        <v>CPP_7_3</v>
      </c>
    </row>
    <row r="939" spans="1:22">
      <c r="A939" t="str">
        <f t="shared" si="112"/>
        <v>NBE-3503-AL</v>
      </c>
      <c r="B939" s="403" t="s">
        <v>1370</v>
      </c>
      <c r="C939" s="403" t="s">
        <v>582</v>
      </c>
      <c r="D939" s="403" t="s">
        <v>1371</v>
      </c>
      <c r="E939" s="403" t="s">
        <v>778</v>
      </c>
      <c r="F939" s="403" t="s">
        <v>1372</v>
      </c>
      <c r="G939" s="403" t="s">
        <v>1466</v>
      </c>
      <c r="H939" s="403" t="s">
        <v>1276</v>
      </c>
      <c r="I939" s="403">
        <v>1</v>
      </c>
      <c r="J939" s="403" t="s">
        <v>1374</v>
      </c>
      <c r="K939" s="403">
        <v>2304</v>
      </c>
      <c r="L939" s="403">
        <v>1296</v>
      </c>
      <c r="M939" s="403" t="s">
        <v>1285</v>
      </c>
      <c r="N939" s="403">
        <v>1280</v>
      </c>
      <c r="O939" s="403">
        <v>1024</v>
      </c>
      <c r="P939" t="str">
        <f t="shared" si="113"/>
        <v>25fps 2304x1296 - 1280x1024 5:4 (cropped)</v>
      </c>
      <c r="Q939">
        <f t="shared" si="114"/>
        <v>6</v>
      </c>
      <c r="R939" t="str">
        <f t="shared" si="115"/>
        <v/>
      </c>
      <c r="S939" t="str">
        <f t="shared" si="116"/>
        <v/>
      </c>
      <c r="T939" s="403" t="str">
        <f t="shared" si="117"/>
        <v>NBE-3503-AL</v>
      </c>
      <c r="U939" s="403">
        <f t="shared" si="118"/>
        <v>1</v>
      </c>
      <c r="V939" s="403" t="str">
        <f t="shared" si="119"/>
        <v>CPP_7_3</v>
      </c>
    </row>
    <row r="940" spans="1:22">
      <c r="A940" t="str">
        <f t="shared" si="112"/>
        <v>NBE-3503-AL</v>
      </c>
      <c r="B940" s="403" t="s">
        <v>1370</v>
      </c>
      <c r="C940" s="403" t="s">
        <v>582</v>
      </c>
      <c r="D940" s="403" t="s">
        <v>1371</v>
      </c>
      <c r="E940" s="403" t="s">
        <v>778</v>
      </c>
      <c r="F940" s="403" t="s">
        <v>1372</v>
      </c>
      <c r="G940" s="403" t="s">
        <v>1466</v>
      </c>
      <c r="H940" s="403" t="s">
        <v>1276</v>
      </c>
      <c r="I940" s="403">
        <v>1</v>
      </c>
      <c r="J940" s="403" t="s">
        <v>1374</v>
      </c>
      <c r="K940" s="403">
        <v>2304</v>
      </c>
      <c r="L940" s="403">
        <v>1296</v>
      </c>
      <c r="M940" s="403" t="s">
        <v>1283</v>
      </c>
      <c r="N940" s="403">
        <v>720</v>
      </c>
      <c r="O940" s="403">
        <v>576</v>
      </c>
      <c r="P940" t="str">
        <f t="shared" si="113"/>
        <v>25fps 2304x1296 - SD 4CIF resolution 4:3 format (cropped)</v>
      </c>
      <c r="Q940">
        <f t="shared" si="114"/>
        <v>6</v>
      </c>
      <c r="R940" t="str">
        <f t="shared" si="115"/>
        <v/>
      </c>
      <c r="S940" t="str">
        <f t="shared" si="116"/>
        <v/>
      </c>
      <c r="T940" s="403" t="str">
        <f t="shared" si="117"/>
        <v>NBE-3503-AL</v>
      </c>
      <c r="U940" s="403">
        <f t="shared" si="118"/>
        <v>1</v>
      </c>
      <c r="V940" s="403" t="str">
        <f t="shared" si="119"/>
        <v>CPP_7_3</v>
      </c>
    </row>
    <row r="941" spans="1:22">
      <c r="A941" t="str">
        <f t="shared" si="112"/>
        <v>NBE-3503-AL</v>
      </c>
      <c r="B941" s="403" t="s">
        <v>1370</v>
      </c>
      <c r="C941" s="403" t="s">
        <v>582</v>
      </c>
      <c r="D941" s="403" t="s">
        <v>1371</v>
      </c>
      <c r="E941" s="403" t="s">
        <v>778</v>
      </c>
      <c r="F941" s="403" t="s">
        <v>1372</v>
      </c>
      <c r="G941" s="403" t="s">
        <v>1466</v>
      </c>
      <c r="H941" s="403" t="s">
        <v>1276</v>
      </c>
      <c r="I941" s="403">
        <v>1</v>
      </c>
      <c r="J941" s="403" t="s">
        <v>1374</v>
      </c>
      <c r="K941" s="403">
        <v>0</v>
      </c>
      <c r="L941" s="403">
        <v>0</v>
      </c>
      <c r="M941" s="403" t="s">
        <v>1284</v>
      </c>
      <c r="N941" s="403">
        <v>0</v>
      </c>
      <c r="O941" s="403">
        <v>0</v>
      </c>
      <c r="P941" t="str">
        <f t="shared" si="113"/>
        <v>25fps 2304x1296 - SD VGA (cropped)</v>
      </c>
      <c r="Q941">
        <f t="shared" si="114"/>
        <v>6</v>
      </c>
      <c r="R941" t="str">
        <f t="shared" si="115"/>
        <v/>
      </c>
      <c r="S941" t="str">
        <f t="shared" si="116"/>
        <v/>
      </c>
      <c r="T941" s="403" t="str">
        <f t="shared" si="117"/>
        <v>NBE-3503-AL</v>
      </c>
      <c r="U941" s="403">
        <f t="shared" si="118"/>
        <v>1</v>
      </c>
      <c r="V941" s="403" t="str">
        <f t="shared" si="119"/>
        <v>CPP_7_3</v>
      </c>
    </row>
    <row r="942" spans="1:22">
      <c r="A942" t="str">
        <f t="shared" si="112"/>
        <v>NBE-3503-AL</v>
      </c>
      <c r="B942" s="403" t="s">
        <v>1370</v>
      </c>
      <c r="C942" s="403" t="s">
        <v>582</v>
      </c>
      <c r="D942" s="403" t="s">
        <v>1371</v>
      </c>
      <c r="E942" s="403" t="s">
        <v>778</v>
      </c>
      <c r="F942" s="403" t="s">
        <v>1372</v>
      </c>
      <c r="G942" s="403" t="s">
        <v>1466</v>
      </c>
      <c r="H942" s="403" t="s">
        <v>1276</v>
      </c>
      <c r="I942" s="403">
        <v>1</v>
      </c>
      <c r="J942" s="403" t="s">
        <v>1374</v>
      </c>
      <c r="K942" s="403">
        <v>0</v>
      </c>
      <c r="L942" s="403">
        <v>0</v>
      </c>
      <c r="M942" s="403" t="s">
        <v>1280</v>
      </c>
      <c r="N942" s="403">
        <v>0</v>
      </c>
      <c r="O942" s="403">
        <v>0</v>
      </c>
      <c r="P942" t="str">
        <f t="shared" si="113"/>
        <v>25fps 2304x1296 - copy other stream</v>
      </c>
      <c r="Q942">
        <f t="shared" si="114"/>
        <v>6</v>
      </c>
      <c r="R942" t="str">
        <f t="shared" si="115"/>
        <v/>
      </c>
      <c r="S942" t="str">
        <f t="shared" si="116"/>
        <v/>
      </c>
      <c r="T942" s="403" t="str">
        <f t="shared" si="117"/>
        <v>NBE-3503-AL</v>
      </c>
      <c r="U942" s="403">
        <f t="shared" si="118"/>
        <v>1</v>
      </c>
      <c r="V942" s="403" t="str">
        <f t="shared" si="119"/>
        <v>CPP_7_3</v>
      </c>
    </row>
    <row r="943" spans="1:22">
      <c r="A943" t="str">
        <f t="shared" si="112"/>
        <v>NBE-3503-AL</v>
      </c>
      <c r="B943" s="403" t="s">
        <v>1370</v>
      </c>
      <c r="C943" s="403" t="s">
        <v>582</v>
      </c>
      <c r="D943" s="403" t="s">
        <v>1371</v>
      </c>
      <c r="E943" s="403" t="s">
        <v>778</v>
      </c>
      <c r="F943" s="403" t="s">
        <v>1372</v>
      </c>
      <c r="G943" s="403" t="s">
        <v>1466</v>
      </c>
      <c r="H943" s="403" t="s">
        <v>1276</v>
      </c>
      <c r="I943" s="403">
        <v>1</v>
      </c>
      <c r="J943" s="403" t="s">
        <v>110</v>
      </c>
      <c r="K943" s="403">
        <v>0</v>
      </c>
      <c r="L943" s="403">
        <v>0</v>
      </c>
      <c r="M943" s="403" t="s">
        <v>111</v>
      </c>
      <c r="N943" s="403">
        <v>0</v>
      </c>
      <c r="O943" s="403">
        <v>0</v>
      </c>
      <c r="P943" t="str">
        <f t="shared" si="113"/>
        <v>25fps 1080p - SD</v>
      </c>
      <c r="Q943">
        <f t="shared" si="114"/>
        <v>6</v>
      </c>
      <c r="R943" t="str">
        <f t="shared" si="115"/>
        <v/>
      </c>
      <c r="S943" t="str">
        <f t="shared" si="116"/>
        <v/>
      </c>
      <c r="T943" s="403" t="str">
        <f t="shared" si="117"/>
        <v>NBE-3503-AL</v>
      </c>
      <c r="U943" s="403">
        <f t="shared" si="118"/>
        <v>1</v>
      </c>
      <c r="V943" s="403" t="str">
        <f t="shared" si="119"/>
        <v>CPP_7_3</v>
      </c>
    </row>
    <row r="944" spans="1:22">
      <c r="A944" t="str">
        <f t="shared" si="112"/>
        <v>NBE-3503-AL</v>
      </c>
      <c r="B944" s="403" t="s">
        <v>1370</v>
      </c>
      <c r="C944" s="403" t="s">
        <v>582</v>
      </c>
      <c r="D944" s="403" t="s">
        <v>1371</v>
      </c>
      <c r="E944" s="403" t="s">
        <v>778</v>
      </c>
      <c r="F944" s="403" t="s">
        <v>1372</v>
      </c>
      <c r="G944" s="403" t="s">
        <v>1466</v>
      </c>
      <c r="H944" s="403" t="s">
        <v>1276</v>
      </c>
      <c r="I944" s="403">
        <v>1</v>
      </c>
      <c r="J944" s="403" t="s">
        <v>110</v>
      </c>
      <c r="K944" s="403">
        <v>1920</v>
      </c>
      <c r="L944" s="403">
        <v>1080</v>
      </c>
      <c r="M944" s="403" t="s">
        <v>110</v>
      </c>
      <c r="N944" s="403">
        <v>1920</v>
      </c>
      <c r="O944" s="403">
        <v>1080</v>
      </c>
      <c r="P944" t="str">
        <f t="shared" si="113"/>
        <v>25fps 1080p - 1080p</v>
      </c>
      <c r="Q944">
        <f t="shared" si="114"/>
        <v>6</v>
      </c>
      <c r="R944" t="str">
        <f t="shared" si="115"/>
        <v/>
      </c>
      <c r="S944" t="str">
        <f t="shared" si="116"/>
        <v/>
      </c>
      <c r="T944" s="403" t="str">
        <f t="shared" si="117"/>
        <v>NBE-3503-AL</v>
      </c>
      <c r="U944" s="403">
        <f t="shared" si="118"/>
        <v>1</v>
      </c>
      <c r="V944" s="403" t="str">
        <f t="shared" si="119"/>
        <v>CPP_7_3</v>
      </c>
    </row>
    <row r="945" spans="1:22">
      <c r="A945" t="str">
        <f t="shared" si="112"/>
        <v>NBE-3503-AL</v>
      </c>
      <c r="B945" s="403" t="s">
        <v>1370</v>
      </c>
      <c r="C945" s="403" t="s">
        <v>582</v>
      </c>
      <c r="D945" s="403" t="s">
        <v>1371</v>
      </c>
      <c r="E945" s="403" t="s">
        <v>778</v>
      </c>
      <c r="F945" s="403" t="s">
        <v>1372</v>
      </c>
      <c r="G945" s="403" t="s">
        <v>1466</v>
      </c>
      <c r="H945" s="403" t="s">
        <v>1276</v>
      </c>
      <c r="I945" s="403">
        <v>1</v>
      </c>
      <c r="J945" s="403" t="s">
        <v>110</v>
      </c>
      <c r="K945" s="403">
        <v>1920</v>
      </c>
      <c r="L945" s="403">
        <v>1080</v>
      </c>
      <c r="M945" s="403" t="s">
        <v>109</v>
      </c>
      <c r="N945" s="403">
        <v>1280</v>
      </c>
      <c r="O945" s="403">
        <v>720</v>
      </c>
      <c r="P945" t="str">
        <f t="shared" si="113"/>
        <v>25fps 1080p - 720p</v>
      </c>
      <c r="Q945">
        <f t="shared" si="114"/>
        <v>6</v>
      </c>
      <c r="R945" t="str">
        <f t="shared" si="115"/>
        <v/>
      </c>
      <c r="S945" t="str">
        <f t="shared" si="116"/>
        <v/>
      </c>
      <c r="T945" s="403" t="str">
        <f t="shared" si="117"/>
        <v>NBE-3503-AL</v>
      </c>
      <c r="U945" s="403">
        <f t="shared" si="118"/>
        <v>1</v>
      </c>
      <c r="V945" s="403" t="str">
        <f t="shared" si="119"/>
        <v>CPP_7_3</v>
      </c>
    </row>
    <row r="946" spans="1:22">
      <c r="A946" t="str">
        <f t="shared" si="112"/>
        <v>NBE-3503-AL</v>
      </c>
      <c r="B946" s="403" t="s">
        <v>1370</v>
      </c>
      <c r="C946" s="403" t="s">
        <v>582</v>
      </c>
      <c r="D946" s="403" t="s">
        <v>1371</v>
      </c>
      <c r="E946" s="403" t="s">
        <v>778</v>
      </c>
      <c r="F946" s="403" t="s">
        <v>1372</v>
      </c>
      <c r="G946" s="403" t="s">
        <v>1466</v>
      </c>
      <c r="H946" s="403" t="s">
        <v>1276</v>
      </c>
      <c r="I946" s="403">
        <v>1</v>
      </c>
      <c r="J946" s="403" t="s">
        <v>110</v>
      </c>
      <c r="K946" s="403">
        <v>1920</v>
      </c>
      <c r="L946" s="403">
        <v>1080</v>
      </c>
      <c r="M946" s="403" t="s">
        <v>1285</v>
      </c>
      <c r="N946" s="403">
        <v>1280</v>
      </c>
      <c r="O946" s="403">
        <v>1024</v>
      </c>
      <c r="P946" t="str">
        <f t="shared" si="113"/>
        <v>25fps 1080p - 1280x1024 5:4 (cropped)</v>
      </c>
      <c r="Q946">
        <f t="shared" si="114"/>
        <v>6</v>
      </c>
      <c r="R946" t="str">
        <f t="shared" si="115"/>
        <v/>
      </c>
      <c r="S946" t="str">
        <f t="shared" si="116"/>
        <v/>
      </c>
      <c r="T946" s="403" t="str">
        <f t="shared" si="117"/>
        <v>NBE-3503-AL</v>
      </c>
      <c r="U946" s="403">
        <f t="shared" si="118"/>
        <v>1</v>
      </c>
      <c r="V946" s="403" t="str">
        <f t="shared" si="119"/>
        <v>CPP_7_3</v>
      </c>
    </row>
    <row r="947" spans="1:22">
      <c r="A947" t="str">
        <f t="shared" si="112"/>
        <v>NBE-3503-AL</v>
      </c>
      <c r="B947" s="403" t="s">
        <v>1370</v>
      </c>
      <c r="C947" s="403" t="s">
        <v>582</v>
      </c>
      <c r="D947" s="403" t="s">
        <v>1371</v>
      </c>
      <c r="E947" s="403" t="s">
        <v>778</v>
      </c>
      <c r="F947" s="403" t="s">
        <v>1372</v>
      </c>
      <c r="G947" s="403" t="s">
        <v>1466</v>
      </c>
      <c r="H947" s="403" t="s">
        <v>1276</v>
      </c>
      <c r="I947" s="403">
        <v>1</v>
      </c>
      <c r="J947" s="403" t="s">
        <v>110</v>
      </c>
      <c r="K947" s="403">
        <v>1920</v>
      </c>
      <c r="L947" s="403">
        <v>1080</v>
      </c>
      <c r="M947" s="403" t="s">
        <v>1279</v>
      </c>
      <c r="N947" s="403">
        <v>768</v>
      </c>
      <c r="O947" s="403">
        <v>432</v>
      </c>
      <c r="P947" t="str">
        <f t="shared" si="113"/>
        <v>25fps 1080p - SD ROI PTZ</v>
      </c>
      <c r="Q947">
        <f t="shared" si="114"/>
        <v>6</v>
      </c>
      <c r="R947" t="str">
        <f t="shared" si="115"/>
        <v/>
      </c>
      <c r="S947" t="str">
        <f t="shared" si="116"/>
        <v/>
      </c>
      <c r="T947" s="403" t="str">
        <f t="shared" si="117"/>
        <v>NBE-3503-AL</v>
      </c>
      <c r="U947" s="403">
        <f t="shared" si="118"/>
        <v>1</v>
      </c>
      <c r="V947" s="403" t="str">
        <f t="shared" si="119"/>
        <v>CPP_7_3</v>
      </c>
    </row>
    <row r="948" spans="1:22">
      <c r="A948" t="str">
        <f t="shared" si="112"/>
        <v>NBE-3503-AL</v>
      </c>
      <c r="B948" s="403" t="s">
        <v>1370</v>
      </c>
      <c r="C948" s="403" t="s">
        <v>582</v>
      </c>
      <c r="D948" s="403" t="s">
        <v>1371</v>
      </c>
      <c r="E948" s="403" t="s">
        <v>778</v>
      </c>
      <c r="F948" s="403" t="s">
        <v>1372</v>
      </c>
      <c r="G948" s="403" t="s">
        <v>1466</v>
      </c>
      <c r="H948" s="403" t="s">
        <v>1276</v>
      </c>
      <c r="I948" s="403">
        <v>1</v>
      </c>
      <c r="J948" s="403" t="s">
        <v>110</v>
      </c>
      <c r="K948" s="403">
        <v>1920</v>
      </c>
      <c r="L948" s="403">
        <v>1080</v>
      </c>
      <c r="M948" s="403" t="s">
        <v>1283</v>
      </c>
      <c r="N948" s="403">
        <v>720</v>
      </c>
      <c r="O948" s="403">
        <v>576</v>
      </c>
      <c r="P948" t="str">
        <f t="shared" si="113"/>
        <v>25fps 1080p - SD 4CIF resolution 4:3 format (cropped)</v>
      </c>
      <c r="Q948">
        <f t="shared" si="114"/>
        <v>6</v>
      </c>
      <c r="R948" t="str">
        <f t="shared" si="115"/>
        <v/>
      </c>
      <c r="S948" t="str">
        <f t="shared" si="116"/>
        <v/>
      </c>
      <c r="T948" s="403" t="str">
        <f t="shared" si="117"/>
        <v>NBE-3503-AL</v>
      </c>
      <c r="U948" s="403">
        <f t="shared" si="118"/>
        <v>1</v>
      </c>
      <c r="V948" s="403" t="str">
        <f t="shared" si="119"/>
        <v>CPP_7_3</v>
      </c>
    </row>
    <row r="949" spans="1:22">
      <c r="A949" t="str">
        <f t="shared" si="112"/>
        <v>NBE-3503-AL</v>
      </c>
      <c r="B949" s="403" t="s">
        <v>1370</v>
      </c>
      <c r="C949" s="403" t="s">
        <v>582</v>
      </c>
      <c r="D949" s="403" t="s">
        <v>1371</v>
      </c>
      <c r="E949" s="403" t="s">
        <v>778</v>
      </c>
      <c r="F949" s="403" t="s">
        <v>1372</v>
      </c>
      <c r="G949" s="403" t="s">
        <v>1466</v>
      </c>
      <c r="H949" s="403" t="s">
        <v>1276</v>
      </c>
      <c r="I949" s="403">
        <v>1</v>
      </c>
      <c r="J949" s="403" t="s">
        <v>110</v>
      </c>
      <c r="K949" s="403">
        <v>1920</v>
      </c>
      <c r="L949" s="403">
        <v>1080</v>
      </c>
      <c r="M949" s="403" t="s">
        <v>1284</v>
      </c>
      <c r="N949" s="403">
        <v>640</v>
      </c>
      <c r="O949" s="403">
        <v>480</v>
      </c>
      <c r="P949" t="str">
        <f t="shared" si="113"/>
        <v>25fps 1080p - SD VGA (cropped)</v>
      </c>
      <c r="Q949">
        <f t="shared" si="114"/>
        <v>6</v>
      </c>
      <c r="R949" t="str">
        <f t="shared" si="115"/>
        <v/>
      </c>
      <c r="S949" t="str">
        <f t="shared" si="116"/>
        <v/>
      </c>
      <c r="T949" s="403" t="str">
        <f t="shared" si="117"/>
        <v>NBE-3503-AL</v>
      </c>
      <c r="U949" s="403">
        <f t="shared" si="118"/>
        <v>1</v>
      </c>
      <c r="V949" s="403" t="str">
        <f t="shared" si="119"/>
        <v>CPP_7_3</v>
      </c>
    </row>
    <row r="950" spans="1:22">
      <c r="A950" t="str">
        <f t="shared" si="112"/>
        <v>NBE-3503-AL</v>
      </c>
      <c r="B950" s="403" t="s">
        <v>1370</v>
      </c>
      <c r="C950" s="403" t="s">
        <v>582</v>
      </c>
      <c r="D950" s="403" t="s">
        <v>1371</v>
      </c>
      <c r="E950" s="403" t="s">
        <v>778</v>
      </c>
      <c r="F950" s="403" t="s">
        <v>1372</v>
      </c>
      <c r="G950" s="403" t="s">
        <v>1466</v>
      </c>
      <c r="H950" s="403" t="s">
        <v>1276</v>
      </c>
      <c r="I950" s="403">
        <v>1</v>
      </c>
      <c r="J950" s="403" t="s">
        <v>109</v>
      </c>
      <c r="K950" s="403">
        <v>1280</v>
      </c>
      <c r="L950" s="403">
        <v>720</v>
      </c>
      <c r="M950" s="403" t="s">
        <v>109</v>
      </c>
      <c r="N950" s="403">
        <v>1280</v>
      </c>
      <c r="O950" s="403">
        <v>720</v>
      </c>
      <c r="P950" t="str">
        <f t="shared" si="113"/>
        <v>25fps 720p - 720p</v>
      </c>
      <c r="Q950">
        <f t="shared" si="114"/>
        <v>6</v>
      </c>
      <c r="R950" t="str">
        <f t="shared" si="115"/>
        <v/>
      </c>
      <c r="S950" t="str">
        <f t="shared" si="116"/>
        <v/>
      </c>
      <c r="T950" s="403" t="str">
        <f t="shared" si="117"/>
        <v>NBE-3503-AL</v>
      </c>
      <c r="U950" s="403">
        <f t="shared" si="118"/>
        <v>1</v>
      </c>
      <c r="V950" s="403" t="str">
        <f t="shared" si="119"/>
        <v>CPP_7_3</v>
      </c>
    </row>
    <row r="951" spans="1:22">
      <c r="A951" t="str">
        <f t="shared" si="112"/>
        <v>NBE-3503-AL</v>
      </c>
      <c r="B951" s="403" t="s">
        <v>1370</v>
      </c>
      <c r="C951" s="403" t="s">
        <v>582</v>
      </c>
      <c r="D951" s="403" t="s">
        <v>1371</v>
      </c>
      <c r="E951" s="403" t="s">
        <v>778</v>
      </c>
      <c r="F951" s="403" t="s">
        <v>1372</v>
      </c>
      <c r="G951" s="403" t="s">
        <v>1466</v>
      </c>
      <c r="H951" s="403" t="s">
        <v>1276</v>
      </c>
      <c r="I951" s="403">
        <v>1</v>
      </c>
      <c r="J951" s="403" t="s">
        <v>109</v>
      </c>
      <c r="K951" s="403">
        <v>1280</v>
      </c>
      <c r="L951" s="403">
        <v>720</v>
      </c>
      <c r="M951" s="403" t="s">
        <v>111</v>
      </c>
      <c r="N951" s="403">
        <v>768</v>
      </c>
      <c r="O951" s="403">
        <v>432</v>
      </c>
      <c r="P951" t="str">
        <f t="shared" si="113"/>
        <v>25fps 720p - SD</v>
      </c>
      <c r="Q951">
        <f t="shared" si="114"/>
        <v>6</v>
      </c>
      <c r="R951" t="str">
        <f t="shared" si="115"/>
        <v/>
      </c>
      <c r="S951" t="str">
        <f t="shared" si="116"/>
        <v/>
      </c>
      <c r="T951" s="403" t="str">
        <f t="shared" si="117"/>
        <v>NBE-3503-AL</v>
      </c>
      <c r="U951" s="403">
        <f t="shared" si="118"/>
        <v>1</v>
      </c>
      <c r="V951" s="403" t="str">
        <f t="shared" si="119"/>
        <v>CPP_7_3</v>
      </c>
    </row>
    <row r="952" spans="1:22">
      <c r="A952" t="str">
        <f t="shared" si="112"/>
        <v>NBE-3503-AL</v>
      </c>
      <c r="B952" s="403" t="s">
        <v>1370</v>
      </c>
      <c r="C952" s="403" t="s">
        <v>582</v>
      </c>
      <c r="D952" s="403" t="s">
        <v>1371</v>
      </c>
      <c r="E952" s="403" t="s">
        <v>778</v>
      </c>
      <c r="F952" s="403" t="s">
        <v>1372</v>
      </c>
      <c r="G952" s="403" t="s">
        <v>1466</v>
      </c>
      <c r="H952" s="403" t="s">
        <v>1276</v>
      </c>
      <c r="I952" s="403">
        <v>1</v>
      </c>
      <c r="J952" s="403" t="s">
        <v>109</v>
      </c>
      <c r="K952" s="403">
        <v>1280</v>
      </c>
      <c r="L952" s="403">
        <v>720</v>
      </c>
      <c r="M952" s="403" t="s">
        <v>1279</v>
      </c>
      <c r="N952" s="403">
        <v>768</v>
      </c>
      <c r="O952" s="403">
        <v>432</v>
      </c>
      <c r="P952" t="str">
        <f t="shared" si="113"/>
        <v>25fps 720p - SD ROI PTZ</v>
      </c>
      <c r="Q952">
        <f t="shared" si="114"/>
        <v>6</v>
      </c>
      <c r="R952" t="str">
        <f t="shared" si="115"/>
        <v/>
      </c>
      <c r="S952" t="str">
        <f t="shared" si="116"/>
        <v/>
      </c>
      <c r="T952" s="403" t="str">
        <f t="shared" si="117"/>
        <v>NBE-3503-AL</v>
      </c>
      <c r="U952" s="403">
        <f t="shared" si="118"/>
        <v>1</v>
      </c>
      <c r="V952" s="403" t="str">
        <f t="shared" si="119"/>
        <v>CPP_7_3</v>
      </c>
    </row>
    <row r="953" spans="1:22">
      <c r="A953" t="str">
        <f t="shared" si="112"/>
        <v>NBE-3503-AL</v>
      </c>
      <c r="B953" s="403" t="s">
        <v>1370</v>
      </c>
      <c r="C953" s="403" t="s">
        <v>582</v>
      </c>
      <c r="D953" s="403" t="s">
        <v>1371</v>
      </c>
      <c r="E953" s="403" t="s">
        <v>778</v>
      </c>
      <c r="F953" s="403" t="s">
        <v>1372</v>
      </c>
      <c r="G953" s="403" t="s">
        <v>1466</v>
      </c>
      <c r="H953" s="403" t="s">
        <v>1276</v>
      </c>
      <c r="I953" s="403">
        <v>1</v>
      </c>
      <c r="J953" s="403" t="s">
        <v>109</v>
      </c>
      <c r="K953" s="403">
        <v>1280</v>
      </c>
      <c r="L953" s="403">
        <v>720</v>
      </c>
      <c r="M953" s="403" t="s">
        <v>1283</v>
      </c>
      <c r="N953" s="403">
        <v>720</v>
      </c>
      <c r="O953" s="403">
        <v>576</v>
      </c>
      <c r="P953" t="str">
        <f t="shared" si="113"/>
        <v>25fps 720p - SD 4CIF resolution 4:3 format (cropped)</v>
      </c>
      <c r="Q953">
        <f t="shared" si="114"/>
        <v>6</v>
      </c>
      <c r="R953" t="str">
        <f t="shared" si="115"/>
        <v/>
      </c>
      <c r="S953" t="str">
        <f t="shared" si="116"/>
        <v/>
      </c>
      <c r="T953" s="403" t="str">
        <f t="shared" si="117"/>
        <v>NBE-3503-AL</v>
      </c>
      <c r="U953" s="403">
        <f t="shared" si="118"/>
        <v>1</v>
      </c>
      <c r="V953" s="403" t="str">
        <f t="shared" si="119"/>
        <v>CPP_7_3</v>
      </c>
    </row>
    <row r="954" spans="1:22">
      <c r="A954" t="str">
        <f t="shared" si="112"/>
        <v>NBE-3503-AL</v>
      </c>
      <c r="B954" s="403" t="s">
        <v>1370</v>
      </c>
      <c r="C954" s="403" t="s">
        <v>582</v>
      </c>
      <c r="D954" s="403" t="s">
        <v>1371</v>
      </c>
      <c r="E954" s="403" t="s">
        <v>778</v>
      </c>
      <c r="F954" s="403" t="s">
        <v>1372</v>
      </c>
      <c r="G954" s="403" t="s">
        <v>1466</v>
      </c>
      <c r="H954" s="403" t="s">
        <v>1276</v>
      </c>
      <c r="I954" s="403">
        <v>1</v>
      </c>
      <c r="J954" s="403" t="s">
        <v>109</v>
      </c>
      <c r="K954" s="403">
        <v>1280</v>
      </c>
      <c r="L954" s="403">
        <v>720</v>
      </c>
      <c r="M954" s="403" t="s">
        <v>1284</v>
      </c>
      <c r="N954" s="403">
        <v>640</v>
      </c>
      <c r="O954" s="403">
        <v>480</v>
      </c>
      <c r="P954" t="str">
        <f t="shared" si="113"/>
        <v>25fps 720p - SD VGA (cropped)</v>
      </c>
      <c r="Q954">
        <f t="shared" si="114"/>
        <v>6</v>
      </c>
      <c r="R954" t="str">
        <f t="shared" si="115"/>
        <v/>
      </c>
      <c r="S954" t="str">
        <f t="shared" si="116"/>
        <v/>
      </c>
      <c r="T954" s="403" t="str">
        <f t="shared" si="117"/>
        <v>NBE-3503-AL</v>
      </c>
      <c r="U954" s="403">
        <f t="shared" si="118"/>
        <v>1</v>
      </c>
      <c r="V954" s="403" t="str">
        <f t="shared" si="119"/>
        <v>CPP_7_3</v>
      </c>
    </row>
    <row r="955" spans="1:22">
      <c r="A955" t="str">
        <f t="shared" si="112"/>
        <v>NBE-3503-AL</v>
      </c>
      <c r="B955" s="403" t="s">
        <v>1370</v>
      </c>
      <c r="C955" s="403" t="s">
        <v>582</v>
      </c>
      <c r="D955" s="403" t="s">
        <v>1371</v>
      </c>
      <c r="E955" s="403" t="s">
        <v>778</v>
      </c>
      <c r="F955" s="403" t="s">
        <v>1372</v>
      </c>
      <c r="G955" s="403" t="s">
        <v>1466</v>
      </c>
      <c r="H955" s="403" t="s">
        <v>1281</v>
      </c>
      <c r="I955" s="403">
        <v>1</v>
      </c>
      <c r="J955" s="403" t="s">
        <v>1374</v>
      </c>
      <c r="K955" s="403">
        <v>2304</v>
      </c>
      <c r="L955" s="403">
        <v>1296</v>
      </c>
      <c r="M955" s="403" t="s">
        <v>111</v>
      </c>
      <c r="N955" s="403">
        <v>768</v>
      </c>
      <c r="O955" s="403">
        <v>432</v>
      </c>
      <c r="P955" t="str">
        <f t="shared" si="113"/>
        <v>25fps 2304x1296 - SD</v>
      </c>
      <c r="Q955">
        <f t="shared" si="114"/>
        <v>6</v>
      </c>
      <c r="R955" t="str">
        <f t="shared" si="115"/>
        <v/>
      </c>
      <c r="S955" t="str">
        <f t="shared" si="116"/>
        <v/>
      </c>
      <c r="T955" s="403" t="str">
        <f t="shared" si="117"/>
        <v>NBE-3503-AL</v>
      </c>
      <c r="U955" s="403">
        <f t="shared" si="118"/>
        <v>1</v>
      </c>
      <c r="V955" s="403" t="str">
        <f t="shared" si="119"/>
        <v>CPP_7_3</v>
      </c>
    </row>
    <row r="956" spans="1:22">
      <c r="A956" t="str">
        <f t="shared" si="112"/>
        <v>NBE-3503-AL</v>
      </c>
      <c r="B956" s="403" t="s">
        <v>1370</v>
      </c>
      <c r="C956" s="403" t="s">
        <v>582</v>
      </c>
      <c r="D956" s="403" t="s">
        <v>1371</v>
      </c>
      <c r="E956" s="403" t="s">
        <v>778</v>
      </c>
      <c r="F956" s="403" t="s">
        <v>1372</v>
      </c>
      <c r="G956" s="403" t="s">
        <v>1466</v>
      </c>
      <c r="H956" s="403" t="s">
        <v>1281</v>
      </c>
      <c r="I956" s="403">
        <v>1</v>
      </c>
      <c r="J956" s="403" t="s">
        <v>1374</v>
      </c>
      <c r="K956" s="403">
        <v>2304</v>
      </c>
      <c r="L956" s="403">
        <v>1296</v>
      </c>
      <c r="M956" s="403" t="s">
        <v>1279</v>
      </c>
      <c r="N956" s="403">
        <v>768</v>
      </c>
      <c r="O956" s="403">
        <v>432</v>
      </c>
      <c r="P956" t="str">
        <f t="shared" si="113"/>
        <v>25fps 2304x1296 - SD ROI PTZ</v>
      </c>
      <c r="Q956">
        <f t="shared" si="114"/>
        <v>6</v>
      </c>
      <c r="R956" t="str">
        <f t="shared" si="115"/>
        <v/>
      </c>
      <c r="S956" t="str">
        <f t="shared" si="116"/>
        <v/>
      </c>
      <c r="T956" s="403" t="str">
        <f t="shared" si="117"/>
        <v>NBE-3503-AL</v>
      </c>
      <c r="U956" s="403">
        <f t="shared" si="118"/>
        <v>1</v>
      </c>
      <c r="V956" s="403" t="str">
        <f t="shared" si="119"/>
        <v>CPP_7_3</v>
      </c>
    </row>
    <row r="957" spans="1:22">
      <c r="A957" t="str">
        <f t="shared" si="112"/>
        <v>NBE-3503-AL</v>
      </c>
      <c r="B957" s="403" t="s">
        <v>1370</v>
      </c>
      <c r="C957" s="403" t="s">
        <v>582</v>
      </c>
      <c r="D957" s="403" t="s">
        <v>1371</v>
      </c>
      <c r="E957" s="403" t="s">
        <v>778</v>
      </c>
      <c r="F957" s="403" t="s">
        <v>1372</v>
      </c>
      <c r="G957" s="403" t="s">
        <v>1466</v>
      </c>
      <c r="H957" s="403" t="s">
        <v>1281</v>
      </c>
      <c r="I957" s="403">
        <v>1</v>
      </c>
      <c r="J957" s="403" t="s">
        <v>1374</v>
      </c>
      <c r="K957" s="403">
        <v>2304</v>
      </c>
      <c r="L957" s="403">
        <v>1296</v>
      </c>
      <c r="M957" s="403" t="s">
        <v>1283</v>
      </c>
      <c r="N957" s="403">
        <v>720</v>
      </c>
      <c r="O957" s="403">
        <v>576</v>
      </c>
      <c r="P957" t="str">
        <f t="shared" si="113"/>
        <v>25fps 2304x1296 - SD 4CIF resolution 4:3 format (cropped)</v>
      </c>
      <c r="Q957">
        <f t="shared" si="114"/>
        <v>6</v>
      </c>
      <c r="R957" t="str">
        <f t="shared" si="115"/>
        <v/>
      </c>
      <c r="S957" t="str">
        <f t="shared" si="116"/>
        <v/>
      </c>
      <c r="T957" s="403" t="str">
        <f t="shared" si="117"/>
        <v>NBE-3503-AL</v>
      </c>
      <c r="U957" s="403">
        <f t="shared" si="118"/>
        <v>1</v>
      </c>
      <c r="V957" s="403" t="str">
        <f t="shared" si="119"/>
        <v>CPP_7_3</v>
      </c>
    </row>
    <row r="958" spans="1:22">
      <c r="A958" t="str">
        <f t="shared" si="112"/>
        <v>NBE-3503-AL</v>
      </c>
      <c r="B958" s="403" t="s">
        <v>1370</v>
      </c>
      <c r="C958" s="403" t="s">
        <v>582</v>
      </c>
      <c r="D958" s="403" t="s">
        <v>1371</v>
      </c>
      <c r="E958" s="403" t="s">
        <v>778</v>
      </c>
      <c r="F958" s="403" t="s">
        <v>1372</v>
      </c>
      <c r="G958" s="403" t="s">
        <v>1466</v>
      </c>
      <c r="H958" s="403" t="s">
        <v>1281</v>
      </c>
      <c r="I958" s="403">
        <v>1</v>
      </c>
      <c r="J958" s="403" t="s">
        <v>1374</v>
      </c>
      <c r="K958" s="403">
        <v>2304</v>
      </c>
      <c r="L958" s="403">
        <v>1296</v>
      </c>
      <c r="M958" s="403" t="s">
        <v>1284</v>
      </c>
      <c r="N958" s="403">
        <v>640</v>
      </c>
      <c r="O958" s="403">
        <v>480</v>
      </c>
      <c r="P958" t="str">
        <f t="shared" si="113"/>
        <v>25fps 2304x1296 - SD VGA (cropped)</v>
      </c>
      <c r="Q958">
        <f t="shared" si="114"/>
        <v>6</v>
      </c>
      <c r="R958" t="str">
        <f t="shared" si="115"/>
        <v/>
      </c>
      <c r="S958" t="str">
        <f t="shared" si="116"/>
        <v/>
      </c>
      <c r="T958" s="403" t="str">
        <f t="shared" si="117"/>
        <v>NBE-3503-AL</v>
      </c>
      <c r="U958" s="403">
        <f t="shared" si="118"/>
        <v>1</v>
      </c>
      <c r="V958" s="403" t="str">
        <f t="shared" si="119"/>
        <v>CPP_7_3</v>
      </c>
    </row>
    <row r="959" spans="1:22">
      <c r="A959" t="str">
        <f t="shared" si="112"/>
        <v>NBE-3503-AL</v>
      </c>
      <c r="B959" s="403" t="s">
        <v>1370</v>
      </c>
      <c r="C959" s="403" t="s">
        <v>582</v>
      </c>
      <c r="D959" s="403" t="s">
        <v>1371</v>
      </c>
      <c r="E959" s="403" t="s">
        <v>778</v>
      </c>
      <c r="F959" s="403" t="s">
        <v>1372</v>
      </c>
      <c r="G959" s="403" t="s">
        <v>1466</v>
      </c>
      <c r="H959" s="403" t="s">
        <v>1281</v>
      </c>
      <c r="I959" s="403">
        <v>1</v>
      </c>
      <c r="J959" s="403" t="s">
        <v>1374</v>
      </c>
      <c r="K959" s="403">
        <v>0</v>
      </c>
      <c r="L959" s="403">
        <v>0</v>
      </c>
      <c r="M959" s="403" t="s">
        <v>1280</v>
      </c>
      <c r="N959" s="403">
        <v>0</v>
      </c>
      <c r="O959" s="403">
        <v>0</v>
      </c>
      <c r="P959" t="str">
        <f t="shared" si="113"/>
        <v>25fps 2304x1296 - copy other stream</v>
      </c>
      <c r="Q959">
        <f t="shared" si="114"/>
        <v>6</v>
      </c>
      <c r="R959" t="str">
        <f t="shared" si="115"/>
        <v/>
      </c>
      <c r="S959" t="str">
        <f t="shared" si="116"/>
        <v/>
      </c>
      <c r="T959" s="403" t="str">
        <f t="shared" si="117"/>
        <v>NBE-3503-AL</v>
      </c>
      <c r="U959" s="403">
        <f t="shared" si="118"/>
        <v>1</v>
      </c>
      <c r="V959" s="403" t="str">
        <f t="shared" si="119"/>
        <v>CPP_7_3</v>
      </c>
    </row>
    <row r="960" spans="1:22">
      <c r="A960" t="str">
        <f t="shared" si="112"/>
        <v>NBE-3503-AL</v>
      </c>
      <c r="B960" s="403" t="s">
        <v>1370</v>
      </c>
      <c r="C960" s="403" t="s">
        <v>582</v>
      </c>
      <c r="D960" s="403" t="s">
        <v>1371</v>
      </c>
      <c r="E960" s="403" t="s">
        <v>778</v>
      </c>
      <c r="F960" s="403" t="s">
        <v>1372</v>
      </c>
      <c r="G960" s="403" t="s">
        <v>1466</v>
      </c>
      <c r="H960" s="403" t="s">
        <v>1281</v>
      </c>
      <c r="I960" s="403">
        <v>1</v>
      </c>
      <c r="J960" s="403" t="s">
        <v>110</v>
      </c>
      <c r="K960" s="403">
        <v>0</v>
      </c>
      <c r="L960" s="403">
        <v>0</v>
      </c>
      <c r="M960" s="403" t="s">
        <v>111</v>
      </c>
      <c r="N960" s="403">
        <v>0</v>
      </c>
      <c r="O960" s="403">
        <v>0</v>
      </c>
      <c r="P960" t="str">
        <f t="shared" si="113"/>
        <v>25fps 1080p - SD</v>
      </c>
      <c r="Q960">
        <f t="shared" si="114"/>
        <v>6</v>
      </c>
      <c r="R960" t="str">
        <f t="shared" si="115"/>
        <v/>
      </c>
      <c r="S960" t="str">
        <f t="shared" si="116"/>
        <v/>
      </c>
      <c r="T960" s="403" t="str">
        <f t="shared" si="117"/>
        <v>NBE-3503-AL</v>
      </c>
      <c r="U960" s="403">
        <f t="shared" si="118"/>
        <v>1</v>
      </c>
      <c r="V960" s="403" t="str">
        <f t="shared" si="119"/>
        <v>CPP_7_3</v>
      </c>
    </row>
    <row r="961" spans="1:22">
      <c r="A961" t="str">
        <f t="shared" si="112"/>
        <v>NBE-3503-AL</v>
      </c>
      <c r="B961" s="403" t="s">
        <v>1370</v>
      </c>
      <c r="C961" s="403" t="s">
        <v>582</v>
      </c>
      <c r="D961" s="403" t="s">
        <v>1371</v>
      </c>
      <c r="E961" s="403" t="s">
        <v>778</v>
      </c>
      <c r="F961" s="403" t="s">
        <v>1372</v>
      </c>
      <c r="G961" s="403" t="s">
        <v>1466</v>
      </c>
      <c r="H961" s="403" t="s">
        <v>1281</v>
      </c>
      <c r="I961" s="403">
        <v>1</v>
      </c>
      <c r="J961" s="403" t="s">
        <v>110</v>
      </c>
      <c r="K961" s="403">
        <v>0</v>
      </c>
      <c r="L961" s="403">
        <v>0</v>
      </c>
      <c r="M961" s="403" t="s">
        <v>109</v>
      </c>
      <c r="N961" s="403">
        <v>0</v>
      </c>
      <c r="O961" s="403">
        <v>0</v>
      </c>
      <c r="P961" t="str">
        <f t="shared" si="113"/>
        <v>25fps 1080p - 720p</v>
      </c>
      <c r="Q961">
        <f t="shared" si="114"/>
        <v>6</v>
      </c>
      <c r="R961" t="str">
        <f t="shared" si="115"/>
        <v/>
      </c>
      <c r="S961" t="str">
        <f t="shared" si="116"/>
        <v/>
      </c>
      <c r="T961" s="403" t="str">
        <f t="shared" si="117"/>
        <v>NBE-3503-AL</v>
      </c>
      <c r="U961" s="403">
        <f t="shared" si="118"/>
        <v>1</v>
      </c>
      <c r="V961" s="403" t="str">
        <f t="shared" si="119"/>
        <v>CPP_7_3</v>
      </c>
    </row>
    <row r="962" spans="1:22">
      <c r="A962" t="str">
        <f t="shared" ref="A962:A1025" si="120">IF(AND(G962&lt;&gt;"rotate 90°"),D962,"")</f>
        <v>NBE-3503-AL</v>
      </c>
      <c r="B962" s="403" t="s">
        <v>1370</v>
      </c>
      <c r="C962" s="403" t="s">
        <v>582</v>
      </c>
      <c r="D962" s="403" t="s">
        <v>1371</v>
      </c>
      <c r="E962" s="403" t="s">
        <v>778</v>
      </c>
      <c r="F962" s="403" t="s">
        <v>1372</v>
      </c>
      <c r="G962" s="403" t="s">
        <v>1466</v>
      </c>
      <c r="H962" s="403" t="s">
        <v>1281</v>
      </c>
      <c r="I962" s="403">
        <v>1</v>
      </c>
      <c r="J962" s="403" t="s">
        <v>110</v>
      </c>
      <c r="K962" s="403">
        <v>0</v>
      </c>
      <c r="L962" s="403">
        <v>0</v>
      </c>
      <c r="M962" s="403" t="s">
        <v>1285</v>
      </c>
      <c r="N962" s="403">
        <v>0</v>
      </c>
      <c r="O962" s="403">
        <v>0</v>
      </c>
      <c r="P962" t="str">
        <f t="shared" ref="P962:P1025" si="121">LEFT(F962,5)&amp;" "&amp;J962&amp;" - "&amp;M962</f>
        <v>25fps 1080p - 1280x1024 5:4 (cropped)</v>
      </c>
      <c r="Q962">
        <f t="shared" ref="Q962:Q1025" si="122">IF(A961=A962,Q961,Q961+1)</f>
        <v>6</v>
      </c>
      <c r="R962" t="str">
        <f t="shared" ref="R962:R1025" si="123">IF(Q961&lt;&gt;Q962,Q962,"")</f>
        <v/>
      </c>
      <c r="S962" t="str">
        <f t="shared" ref="S962:S1025" si="124">IF(R962&lt;&gt;"",B962&amp;" ("&amp;D962&amp;")","")</f>
        <v/>
      </c>
      <c r="T962" s="403" t="str">
        <f t="shared" ref="T962:T1025" si="125">D962</f>
        <v>NBE-3503-AL</v>
      </c>
      <c r="U962" s="403">
        <f t="shared" ref="U962:U1025" si="126">I962</f>
        <v>1</v>
      </c>
      <c r="V962" s="403" t="str">
        <f t="shared" ref="V962:V1025" si="127">C962</f>
        <v>CPP_7_3</v>
      </c>
    </row>
    <row r="963" spans="1:22">
      <c r="A963" t="str">
        <f t="shared" si="120"/>
        <v>NBE-3503-AL</v>
      </c>
      <c r="B963" s="403" t="s">
        <v>1370</v>
      </c>
      <c r="C963" s="403" t="s">
        <v>582</v>
      </c>
      <c r="D963" s="403" t="s">
        <v>1371</v>
      </c>
      <c r="E963" s="403" t="s">
        <v>778</v>
      </c>
      <c r="F963" s="403" t="s">
        <v>1372</v>
      </c>
      <c r="G963" s="403" t="s">
        <v>1466</v>
      </c>
      <c r="H963" s="403" t="s">
        <v>1281</v>
      </c>
      <c r="I963" s="403">
        <v>1</v>
      </c>
      <c r="J963" s="403" t="s">
        <v>110</v>
      </c>
      <c r="K963" s="403">
        <v>0</v>
      </c>
      <c r="L963" s="403">
        <v>0</v>
      </c>
      <c r="M963" s="403" t="s">
        <v>1279</v>
      </c>
      <c r="N963" s="403">
        <v>0</v>
      </c>
      <c r="O963" s="403">
        <v>0</v>
      </c>
      <c r="P963" t="str">
        <f t="shared" si="121"/>
        <v>25fps 1080p - SD ROI PTZ</v>
      </c>
      <c r="Q963">
        <f t="shared" si="122"/>
        <v>6</v>
      </c>
      <c r="R963" t="str">
        <f t="shared" si="123"/>
        <v/>
      </c>
      <c r="S963" t="str">
        <f t="shared" si="124"/>
        <v/>
      </c>
      <c r="T963" s="403" t="str">
        <f t="shared" si="125"/>
        <v>NBE-3503-AL</v>
      </c>
      <c r="U963" s="403">
        <f t="shared" si="126"/>
        <v>1</v>
      </c>
      <c r="V963" s="403" t="str">
        <f t="shared" si="127"/>
        <v>CPP_7_3</v>
      </c>
    </row>
    <row r="964" spans="1:22">
      <c r="A964" t="str">
        <f t="shared" si="120"/>
        <v>NBE-3503-AL</v>
      </c>
      <c r="B964" s="403" t="s">
        <v>1370</v>
      </c>
      <c r="C964" s="403" t="s">
        <v>582</v>
      </c>
      <c r="D964" s="403" t="s">
        <v>1371</v>
      </c>
      <c r="E964" s="403" t="s">
        <v>778</v>
      </c>
      <c r="F964" s="403" t="s">
        <v>1372</v>
      </c>
      <c r="G964" s="403" t="s">
        <v>1466</v>
      </c>
      <c r="H964" s="403" t="s">
        <v>1281</v>
      </c>
      <c r="I964" s="403">
        <v>1</v>
      </c>
      <c r="J964" s="403" t="s">
        <v>110</v>
      </c>
      <c r="K964" s="403">
        <v>0</v>
      </c>
      <c r="L964" s="403">
        <v>0</v>
      </c>
      <c r="M964" s="403" t="s">
        <v>1283</v>
      </c>
      <c r="N964" s="403">
        <v>0</v>
      </c>
      <c r="O964" s="403">
        <v>0</v>
      </c>
      <c r="P964" t="str">
        <f t="shared" si="121"/>
        <v>25fps 1080p - SD 4CIF resolution 4:3 format (cropped)</v>
      </c>
      <c r="Q964">
        <f t="shared" si="122"/>
        <v>6</v>
      </c>
      <c r="R964" t="str">
        <f t="shared" si="123"/>
        <v/>
      </c>
      <c r="S964" t="str">
        <f t="shared" si="124"/>
        <v/>
      </c>
      <c r="T964" s="403" t="str">
        <f t="shared" si="125"/>
        <v>NBE-3503-AL</v>
      </c>
      <c r="U964" s="403">
        <f t="shared" si="126"/>
        <v>1</v>
      </c>
      <c r="V964" s="403" t="str">
        <f t="shared" si="127"/>
        <v>CPP_7_3</v>
      </c>
    </row>
    <row r="965" spans="1:22">
      <c r="A965" t="str">
        <f t="shared" si="120"/>
        <v>NBE-3503-AL</v>
      </c>
      <c r="B965" s="403" t="s">
        <v>1370</v>
      </c>
      <c r="C965" s="403" t="s">
        <v>582</v>
      </c>
      <c r="D965" s="403" t="s">
        <v>1371</v>
      </c>
      <c r="E965" s="403" t="s">
        <v>778</v>
      </c>
      <c r="F965" s="403" t="s">
        <v>1372</v>
      </c>
      <c r="G965" s="403" t="s">
        <v>1466</v>
      </c>
      <c r="H965" s="403" t="s">
        <v>1281</v>
      </c>
      <c r="I965" s="403">
        <v>1</v>
      </c>
      <c r="J965" s="403" t="s">
        <v>110</v>
      </c>
      <c r="K965" s="403">
        <v>0</v>
      </c>
      <c r="L965" s="403">
        <v>0</v>
      </c>
      <c r="M965" s="403" t="s">
        <v>1284</v>
      </c>
      <c r="N965" s="403">
        <v>0</v>
      </c>
      <c r="O965" s="403">
        <v>0</v>
      </c>
      <c r="P965" t="str">
        <f t="shared" si="121"/>
        <v>25fps 1080p - SD VGA (cropped)</v>
      </c>
      <c r="Q965">
        <f t="shared" si="122"/>
        <v>6</v>
      </c>
      <c r="R965" t="str">
        <f t="shared" si="123"/>
        <v/>
      </c>
      <c r="S965" t="str">
        <f t="shared" si="124"/>
        <v/>
      </c>
      <c r="T965" s="403" t="str">
        <f t="shared" si="125"/>
        <v>NBE-3503-AL</v>
      </c>
      <c r="U965" s="403">
        <f t="shared" si="126"/>
        <v>1</v>
      </c>
      <c r="V965" s="403" t="str">
        <f t="shared" si="127"/>
        <v>CPP_7_3</v>
      </c>
    </row>
    <row r="966" spans="1:22">
      <c r="A966" t="str">
        <f t="shared" si="120"/>
        <v>NBE-3503-AL</v>
      </c>
      <c r="B966" s="403" t="s">
        <v>1370</v>
      </c>
      <c r="C966" s="403" t="s">
        <v>582</v>
      </c>
      <c r="D966" s="403" t="s">
        <v>1371</v>
      </c>
      <c r="E966" s="403" t="s">
        <v>778</v>
      </c>
      <c r="F966" s="403" t="s">
        <v>1372</v>
      </c>
      <c r="G966" s="403" t="s">
        <v>1466</v>
      </c>
      <c r="H966" s="403" t="s">
        <v>1281</v>
      </c>
      <c r="I966" s="403">
        <v>1</v>
      </c>
      <c r="J966" s="403" t="s">
        <v>109</v>
      </c>
      <c r="K966" s="403">
        <v>0</v>
      </c>
      <c r="L966" s="403">
        <v>0</v>
      </c>
      <c r="M966" s="403" t="s">
        <v>109</v>
      </c>
      <c r="N966" s="403">
        <v>0</v>
      </c>
      <c r="O966" s="403">
        <v>0</v>
      </c>
      <c r="P966" t="str">
        <f t="shared" si="121"/>
        <v>25fps 720p - 720p</v>
      </c>
      <c r="Q966">
        <f t="shared" si="122"/>
        <v>6</v>
      </c>
      <c r="R966" t="str">
        <f t="shared" si="123"/>
        <v/>
      </c>
      <c r="S966" t="str">
        <f t="shared" si="124"/>
        <v/>
      </c>
      <c r="T966" s="403" t="str">
        <f t="shared" si="125"/>
        <v>NBE-3503-AL</v>
      </c>
      <c r="U966" s="403">
        <f t="shared" si="126"/>
        <v>1</v>
      </c>
      <c r="V966" s="403" t="str">
        <f t="shared" si="127"/>
        <v>CPP_7_3</v>
      </c>
    </row>
    <row r="967" spans="1:22">
      <c r="A967" t="str">
        <f t="shared" si="120"/>
        <v>NBE-3503-AL</v>
      </c>
      <c r="B967" s="403" t="s">
        <v>1370</v>
      </c>
      <c r="C967" s="403" t="s">
        <v>582</v>
      </c>
      <c r="D967" s="403" t="s">
        <v>1371</v>
      </c>
      <c r="E967" s="403" t="s">
        <v>778</v>
      </c>
      <c r="F967" s="403" t="s">
        <v>1372</v>
      </c>
      <c r="G967" s="403" t="s">
        <v>1466</v>
      </c>
      <c r="H967" s="403" t="s">
        <v>1281</v>
      </c>
      <c r="I967" s="403">
        <v>1</v>
      </c>
      <c r="J967" s="403" t="s">
        <v>109</v>
      </c>
      <c r="K967" s="403">
        <v>1280</v>
      </c>
      <c r="L967" s="403">
        <v>720</v>
      </c>
      <c r="M967" s="403" t="s">
        <v>111</v>
      </c>
      <c r="N967" s="403">
        <v>0</v>
      </c>
      <c r="O967" s="403">
        <v>0</v>
      </c>
      <c r="P967" t="str">
        <f t="shared" si="121"/>
        <v>25fps 720p - SD</v>
      </c>
      <c r="Q967">
        <f t="shared" si="122"/>
        <v>6</v>
      </c>
      <c r="R967" t="str">
        <f t="shared" si="123"/>
        <v/>
      </c>
      <c r="S967" t="str">
        <f t="shared" si="124"/>
        <v/>
      </c>
      <c r="T967" s="403" t="str">
        <f t="shared" si="125"/>
        <v>NBE-3503-AL</v>
      </c>
      <c r="U967" s="403">
        <f t="shared" si="126"/>
        <v>1</v>
      </c>
      <c r="V967" s="403" t="str">
        <f t="shared" si="127"/>
        <v>CPP_7_3</v>
      </c>
    </row>
    <row r="968" spans="1:22">
      <c r="A968" t="str">
        <f t="shared" si="120"/>
        <v>NBE-3503-AL</v>
      </c>
      <c r="B968" s="403" t="s">
        <v>1370</v>
      </c>
      <c r="C968" s="403" t="s">
        <v>582</v>
      </c>
      <c r="D968" s="403" t="s">
        <v>1371</v>
      </c>
      <c r="E968" s="403" t="s">
        <v>778</v>
      </c>
      <c r="F968" s="403" t="s">
        <v>1372</v>
      </c>
      <c r="G968" s="403" t="s">
        <v>1466</v>
      </c>
      <c r="H968" s="403" t="s">
        <v>1281</v>
      </c>
      <c r="I968" s="403">
        <v>1</v>
      </c>
      <c r="J968" s="403" t="s">
        <v>109</v>
      </c>
      <c r="K968" s="403">
        <v>1280</v>
      </c>
      <c r="L968" s="403">
        <v>720</v>
      </c>
      <c r="M968" s="403" t="s">
        <v>1279</v>
      </c>
      <c r="N968" s="403">
        <v>0</v>
      </c>
      <c r="O968" s="403">
        <v>0</v>
      </c>
      <c r="P968" t="str">
        <f t="shared" si="121"/>
        <v>25fps 720p - SD ROI PTZ</v>
      </c>
      <c r="Q968">
        <f t="shared" si="122"/>
        <v>6</v>
      </c>
      <c r="R968" t="str">
        <f t="shared" si="123"/>
        <v/>
      </c>
      <c r="S968" t="str">
        <f t="shared" si="124"/>
        <v/>
      </c>
      <c r="T968" s="403" t="str">
        <f t="shared" si="125"/>
        <v>NBE-3503-AL</v>
      </c>
      <c r="U968" s="403">
        <f t="shared" si="126"/>
        <v>1</v>
      </c>
      <c r="V968" s="403" t="str">
        <f t="shared" si="127"/>
        <v>CPP_7_3</v>
      </c>
    </row>
    <row r="969" spans="1:22">
      <c r="A969" t="str">
        <f t="shared" si="120"/>
        <v>NBE-3503-AL</v>
      </c>
      <c r="B969" s="403" t="s">
        <v>1370</v>
      </c>
      <c r="C969" s="403" t="s">
        <v>582</v>
      </c>
      <c r="D969" s="403" t="s">
        <v>1371</v>
      </c>
      <c r="E969" s="403" t="s">
        <v>778</v>
      </c>
      <c r="F969" s="403" t="s">
        <v>1372</v>
      </c>
      <c r="G969" s="403" t="s">
        <v>1466</v>
      </c>
      <c r="H969" s="403" t="s">
        <v>1281</v>
      </c>
      <c r="I969" s="403">
        <v>1</v>
      </c>
      <c r="J969" s="403" t="s">
        <v>109</v>
      </c>
      <c r="K969" s="403">
        <v>1280</v>
      </c>
      <c r="L969" s="403">
        <v>720</v>
      </c>
      <c r="M969" s="403" t="s">
        <v>1283</v>
      </c>
      <c r="N969" s="403">
        <v>0</v>
      </c>
      <c r="O969" s="403">
        <v>0</v>
      </c>
      <c r="P969" t="str">
        <f t="shared" si="121"/>
        <v>25fps 720p - SD 4CIF resolution 4:3 format (cropped)</v>
      </c>
      <c r="Q969">
        <f t="shared" si="122"/>
        <v>6</v>
      </c>
      <c r="R969" t="str">
        <f t="shared" si="123"/>
        <v/>
      </c>
      <c r="S969" t="str">
        <f t="shared" si="124"/>
        <v/>
      </c>
      <c r="T969" s="403" t="str">
        <f t="shared" si="125"/>
        <v>NBE-3503-AL</v>
      </c>
      <c r="U969" s="403">
        <f t="shared" si="126"/>
        <v>1</v>
      </c>
      <c r="V969" s="403" t="str">
        <f t="shared" si="127"/>
        <v>CPP_7_3</v>
      </c>
    </row>
    <row r="970" spans="1:22">
      <c r="A970" t="str">
        <f t="shared" si="120"/>
        <v>NBE-3503-AL</v>
      </c>
      <c r="B970" s="403" t="s">
        <v>1370</v>
      </c>
      <c r="C970" s="403" t="s">
        <v>582</v>
      </c>
      <c r="D970" s="403" t="s">
        <v>1371</v>
      </c>
      <c r="E970" s="403" t="s">
        <v>778</v>
      </c>
      <c r="F970" s="403" t="s">
        <v>1372</v>
      </c>
      <c r="G970" s="403" t="s">
        <v>1466</v>
      </c>
      <c r="H970" s="403" t="s">
        <v>1281</v>
      </c>
      <c r="I970" s="403">
        <v>1</v>
      </c>
      <c r="J970" s="403" t="s">
        <v>109</v>
      </c>
      <c r="K970" s="403">
        <v>1280</v>
      </c>
      <c r="L970" s="403">
        <v>720</v>
      </c>
      <c r="M970" s="403" t="s">
        <v>1284</v>
      </c>
      <c r="N970" s="403">
        <v>0</v>
      </c>
      <c r="O970" s="403">
        <v>0</v>
      </c>
      <c r="P970" t="str">
        <f t="shared" si="121"/>
        <v>25fps 720p - SD VGA (cropped)</v>
      </c>
      <c r="Q970">
        <f t="shared" si="122"/>
        <v>6</v>
      </c>
      <c r="R970" t="str">
        <f t="shared" si="123"/>
        <v/>
      </c>
      <c r="S970" t="str">
        <f t="shared" si="124"/>
        <v/>
      </c>
      <c r="T970" s="403" t="str">
        <f t="shared" si="125"/>
        <v>NBE-3503-AL</v>
      </c>
      <c r="U970" s="403">
        <f t="shared" si="126"/>
        <v>1</v>
      </c>
      <c r="V970" s="403" t="str">
        <f t="shared" si="127"/>
        <v>CPP_7_3</v>
      </c>
    </row>
    <row r="971" spans="1:22">
      <c r="A971" t="str">
        <f t="shared" si="120"/>
        <v>NBE-3503-AL</v>
      </c>
      <c r="B971" s="403" t="s">
        <v>1370</v>
      </c>
      <c r="C971" s="403" t="s">
        <v>582</v>
      </c>
      <c r="D971" s="403" t="s">
        <v>1371</v>
      </c>
      <c r="E971" s="403" t="s">
        <v>778</v>
      </c>
      <c r="F971" s="403" t="s">
        <v>1372</v>
      </c>
      <c r="G971" s="403" t="s">
        <v>1466</v>
      </c>
      <c r="H971" s="403" t="s">
        <v>1281</v>
      </c>
      <c r="I971" s="403">
        <v>1</v>
      </c>
      <c r="J971" s="403" t="s">
        <v>1374</v>
      </c>
      <c r="K971" s="403">
        <v>2304</v>
      </c>
      <c r="L971" s="403">
        <v>1296</v>
      </c>
      <c r="M971" s="403" t="s">
        <v>1280</v>
      </c>
      <c r="N971" s="403">
        <v>2304</v>
      </c>
      <c r="O971" s="403">
        <v>1296</v>
      </c>
      <c r="P971" t="str">
        <f t="shared" si="121"/>
        <v>25fps 2304x1296 - copy other stream</v>
      </c>
      <c r="Q971">
        <f t="shared" si="122"/>
        <v>6</v>
      </c>
      <c r="R971" t="str">
        <f t="shared" si="123"/>
        <v/>
      </c>
      <c r="S971" t="str">
        <f t="shared" si="124"/>
        <v/>
      </c>
      <c r="T971" s="403" t="str">
        <f t="shared" si="125"/>
        <v>NBE-3503-AL</v>
      </c>
      <c r="U971" s="403">
        <f t="shared" si="126"/>
        <v>1</v>
      </c>
      <c r="V971" s="403" t="str">
        <f t="shared" si="127"/>
        <v>CPP_7_3</v>
      </c>
    </row>
    <row r="972" spans="1:22">
      <c r="A972" t="str">
        <f t="shared" si="120"/>
        <v>NBE-3503-AL</v>
      </c>
      <c r="B972" s="403" t="s">
        <v>1370</v>
      </c>
      <c r="C972" s="403" t="s">
        <v>582</v>
      </c>
      <c r="D972" s="403" t="s">
        <v>1371</v>
      </c>
      <c r="E972" s="403" t="s">
        <v>778</v>
      </c>
      <c r="F972" s="403" t="s">
        <v>1372</v>
      </c>
      <c r="G972" s="403" t="s">
        <v>1466</v>
      </c>
      <c r="H972" s="403" t="s">
        <v>1281</v>
      </c>
      <c r="I972" s="403">
        <v>1</v>
      </c>
      <c r="J972" s="403" t="s">
        <v>110</v>
      </c>
      <c r="K972" s="403">
        <v>1920</v>
      </c>
      <c r="L972" s="403">
        <v>1080</v>
      </c>
      <c r="M972" s="403" t="s">
        <v>111</v>
      </c>
      <c r="N972" s="403">
        <v>768</v>
      </c>
      <c r="O972" s="403">
        <v>432</v>
      </c>
      <c r="P972" t="str">
        <f t="shared" si="121"/>
        <v>25fps 1080p - SD</v>
      </c>
      <c r="Q972">
        <f t="shared" si="122"/>
        <v>6</v>
      </c>
      <c r="R972" t="str">
        <f t="shared" si="123"/>
        <v/>
      </c>
      <c r="S972" t="str">
        <f t="shared" si="124"/>
        <v/>
      </c>
      <c r="T972" s="403" t="str">
        <f t="shared" si="125"/>
        <v>NBE-3503-AL</v>
      </c>
      <c r="U972" s="403">
        <f t="shared" si="126"/>
        <v>1</v>
      </c>
      <c r="V972" s="403" t="str">
        <f t="shared" si="127"/>
        <v>CPP_7_3</v>
      </c>
    </row>
    <row r="973" spans="1:22">
      <c r="A973" t="str">
        <f t="shared" si="120"/>
        <v>NBE-3503-AL</v>
      </c>
      <c r="B973" s="403" t="s">
        <v>1370</v>
      </c>
      <c r="C973" s="403" t="s">
        <v>582</v>
      </c>
      <c r="D973" s="403" t="s">
        <v>1371</v>
      </c>
      <c r="E973" s="403" t="s">
        <v>778</v>
      </c>
      <c r="F973" s="403" t="s">
        <v>1372</v>
      </c>
      <c r="G973" s="403" t="s">
        <v>1466</v>
      </c>
      <c r="H973" s="403" t="s">
        <v>1281</v>
      </c>
      <c r="I973" s="403">
        <v>1</v>
      </c>
      <c r="J973" s="403" t="s">
        <v>110</v>
      </c>
      <c r="K973" s="403">
        <v>1920</v>
      </c>
      <c r="L973" s="403">
        <v>1080</v>
      </c>
      <c r="M973" s="403" t="s">
        <v>109</v>
      </c>
      <c r="N973" s="403">
        <v>1280</v>
      </c>
      <c r="O973" s="403">
        <v>720</v>
      </c>
      <c r="P973" t="str">
        <f t="shared" si="121"/>
        <v>25fps 1080p - 720p</v>
      </c>
      <c r="Q973">
        <f t="shared" si="122"/>
        <v>6</v>
      </c>
      <c r="R973" t="str">
        <f t="shared" si="123"/>
        <v/>
      </c>
      <c r="S973" t="str">
        <f t="shared" si="124"/>
        <v/>
      </c>
      <c r="T973" s="403" t="str">
        <f t="shared" si="125"/>
        <v>NBE-3503-AL</v>
      </c>
      <c r="U973" s="403">
        <f t="shared" si="126"/>
        <v>1</v>
      </c>
      <c r="V973" s="403" t="str">
        <f t="shared" si="127"/>
        <v>CPP_7_3</v>
      </c>
    </row>
    <row r="974" spans="1:22">
      <c r="A974" t="str">
        <f t="shared" si="120"/>
        <v>NBE-3503-AL</v>
      </c>
      <c r="B974" s="403" t="s">
        <v>1370</v>
      </c>
      <c r="C974" s="403" t="s">
        <v>582</v>
      </c>
      <c r="D974" s="403" t="s">
        <v>1371</v>
      </c>
      <c r="E974" s="403" t="s">
        <v>778</v>
      </c>
      <c r="F974" s="403" t="s">
        <v>1372</v>
      </c>
      <c r="G974" s="403" t="s">
        <v>1466</v>
      </c>
      <c r="H974" s="403" t="s">
        <v>1281</v>
      </c>
      <c r="I974" s="403">
        <v>1</v>
      </c>
      <c r="J974" s="403" t="s">
        <v>110</v>
      </c>
      <c r="K974" s="403">
        <v>1920</v>
      </c>
      <c r="L974" s="403">
        <v>1080</v>
      </c>
      <c r="M974" s="403" t="s">
        <v>1285</v>
      </c>
      <c r="N974" s="403">
        <v>1280</v>
      </c>
      <c r="O974" s="403">
        <v>1024</v>
      </c>
      <c r="P974" t="str">
        <f t="shared" si="121"/>
        <v>25fps 1080p - 1280x1024 5:4 (cropped)</v>
      </c>
      <c r="Q974">
        <f t="shared" si="122"/>
        <v>6</v>
      </c>
      <c r="R974" t="str">
        <f t="shared" si="123"/>
        <v/>
      </c>
      <c r="S974" t="str">
        <f t="shared" si="124"/>
        <v/>
      </c>
      <c r="T974" s="403" t="str">
        <f t="shared" si="125"/>
        <v>NBE-3503-AL</v>
      </c>
      <c r="U974" s="403">
        <f t="shared" si="126"/>
        <v>1</v>
      </c>
      <c r="V974" s="403" t="str">
        <f t="shared" si="127"/>
        <v>CPP_7_3</v>
      </c>
    </row>
    <row r="975" spans="1:22">
      <c r="A975" t="str">
        <f t="shared" si="120"/>
        <v>NBE-3503-AL</v>
      </c>
      <c r="B975" s="403" t="s">
        <v>1370</v>
      </c>
      <c r="C975" s="403" t="s">
        <v>582</v>
      </c>
      <c r="D975" s="403" t="s">
        <v>1371</v>
      </c>
      <c r="E975" s="403" t="s">
        <v>778</v>
      </c>
      <c r="F975" s="403" t="s">
        <v>1372</v>
      </c>
      <c r="G975" s="403" t="s">
        <v>1466</v>
      </c>
      <c r="H975" s="403" t="s">
        <v>1281</v>
      </c>
      <c r="I975" s="403">
        <v>1</v>
      </c>
      <c r="J975" s="403" t="s">
        <v>110</v>
      </c>
      <c r="K975" s="403">
        <v>1920</v>
      </c>
      <c r="L975" s="403">
        <v>1080</v>
      </c>
      <c r="M975" s="403" t="s">
        <v>1279</v>
      </c>
      <c r="N975" s="403">
        <v>768</v>
      </c>
      <c r="O975" s="403">
        <v>432</v>
      </c>
      <c r="P975" t="str">
        <f t="shared" si="121"/>
        <v>25fps 1080p - SD ROI PTZ</v>
      </c>
      <c r="Q975">
        <f t="shared" si="122"/>
        <v>6</v>
      </c>
      <c r="R975" t="str">
        <f t="shared" si="123"/>
        <v/>
      </c>
      <c r="S975" t="str">
        <f t="shared" si="124"/>
        <v/>
      </c>
      <c r="T975" s="403" t="str">
        <f t="shared" si="125"/>
        <v>NBE-3503-AL</v>
      </c>
      <c r="U975" s="403">
        <f t="shared" si="126"/>
        <v>1</v>
      </c>
      <c r="V975" s="403" t="str">
        <f t="shared" si="127"/>
        <v>CPP_7_3</v>
      </c>
    </row>
    <row r="976" spans="1:22">
      <c r="A976" t="str">
        <f t="shared" si="120"/>
        <v>NBE-3503-AL</v>
      </c>
      <c r="B976" s="403" t="s">
        <v>1370</v>
      </c>
      <c r="C976" s="403" t="s">
        <v>582</v>
      </c>
      <c r="D976" s="403" t="s">
        <v>1371</v>
      </c>
      <c r="E976" s="403" t="s">
        <v>778</v>
      </c>
      <c r="F976" s="403" t="s">
        <v>1372</v>
      </c>
      <c r="G976" s="403" t="s">
        <v>1466</v>
      </c>
      <c r="H976" s="403" t="s">
        <v>1281</v>
      </c>
      <c r="I976" s="403">
        <v>1</v>
      </c>
      <c r="J976" s="403" t="s">
        <v>110</v>
      </c>
      <c r="K976" s="403">
        <v>1920</v>
      </c>
      <c r="L976" s="403">
        <v>1080</v>
      </c>
      <c r="M976" s="403" t="s">
        <v>1283</v>
      </c>
      <c r="N976" s="403">
        <v>720</v>
      </c>
      <c r="O976" s="403">
        <v>576</v>
      </c>
      <c r="P976" t="str">
        <f t="shared" si="121"/>
        <v>25fps 1080p - SD 4CIF resolution 4:3 format (cropped)</v>
      </c>
      <c r="Q976">
        <f t="shared" si="122"/>
        <v>6</v>
      </c>
      <c r="R976" t="str">
        <f t="shared" si="123"/>
        <v/>
      </c>
      <c r="S976" t="str">
        <f t="shared" si="124"/>
        <v/>
      </c>
      <c r="T976" s="403" t="str">
        <f t="shared" si="125"/>
        <v>NBE-3503-AL</v>
      </c>
      <c r="U976" s="403">
        <f t="shared" si="126"/>
        <v>1</v>
      </c>
      <c r="V976" s="403" t="str">
        <f t="shared" si="127"/>
        <v>CPP_7_3</v>
      </c>
    </row>
    <row r="977" spans="1:22">
      <c r="A977" t="str">
        <f t="shared" si="120"/>
        <v>NBE-3503-AL</v>
      </c>
      <c r="B977" s="403" t="s">
        <v>1370</v>
      </c>
      <c r="C977" s="403" t="s">
        <v>582</v>
      </c>
      <c r="D977" s="403" t="s">
        <v>1371</v>
      </c>
      <c r="E977" s="403" t="s">
        <v>778</v>
      </c>
      <c r="F977" s="403" t="s">
        <v>1372</v>
      </c>
      <c r="G977" s="403" t="s">
        <v>1466</v>
      </c>
      <c r="H977" s="403" t="s">
        <v>1281</v>
      </c>
      <c r="I977" s="403">
        <v>1</v>
      </c>
      <c r="J977" s="403" t="s">
        <v>110</v>
      </c>
      <c r="K977" s="403">
        <v>1920</v>
      </c>
      <c r="L977" s="403">
        <v>1080</v>
      </c>
      <c r="M977" s="403" t="s">
        <v>1284</v>
      </c>
      <c r="N977" s="403">
        <v>640</v>
      </c>
      <c r="O977" s="403">
        <v>480</v>
      </c>
      <c r="P977" t="str">
        <f t="shared" si="121"/>
        <v>25fps 1080p - SD VGA (cropped)</v>
      </c>
      <c r="Q977">
        <f t="shared" si="122"/>
        <v>6</v>
      </c>
      <c r="R977" t="str">
        <f t="shared" si="123"/>
        <v/>
      </c>
      <c r="S977" t="str">
        <f t="shared" si="124"/>
        <v/>
      </c>
      <c r="T977" s="403" t="str">
        <f t="shared" si="125"/>
        <v>NBE-3503-AL</v>
      </c>
      <c r="U977" s="403">
        <f t="shared" si="126"/>
        <v>1</v>
      </c>
      <c r="V977" s="403" t="str">
        <f t="shared" si="127"/>
        <v>CPP_7_3</v>
      </c>
    </row>
    <row r="978" spans="1:22">
      <c r="A978" t="str">
        <f t="shared" si="120"/>
        <v>NBE-3503-AL</v>
      </c>
      <c r="B978" s="403" t="s">
        <v>1370</v>
      </c>
      <c r="C978" s="403" t="s">
        <v>582</v>
      </c>
      <c r="D978" s="403" t="s">
        <v>1371</v>
      </c>
      <c r="E978" s="403" t="s">
        <v>778</v>
      </c>
      <c r="F978" s="403" t="s">
        <v>1372</v>
      </c>
      <c r="G978" s="403" t="s">
        <v>1466</v>
      </c>
      <c r="H978" s="403" t="s">
        <v>1281</v>
      </c>
      <c r="I978" s="403">
        <v>1</v>
      </c>
      <c r="J978" s="403" t="s">
        <v>109</v>
      </c>
      <c r="K978" s="403">
        <v>1280</v>
      </c>
      <c r="L978" s="403">
        <v>720</v>
      </c>
      <c r="M978" s="403" t="s">
        <v>109</v>
      </c>
      <c r="N978" s="403">
        <v>1280</v>
      </c>
      <c r="O978" s="403">
        <v>720</v>
      </c>
      <c r="P978" t="str">
        <f t="shared" si="121"/>
        <v>25fps 720p - 720p</v>
      </c>
      <c r="Q978">
        <f t="shared" si="122"/>
        <v>6</v>
      </c>
      <c r="R978" t="str">
        <f t="shared" si="123"/>
        <v/>
      </c>
      <c r="S978" t="str">
        <f t="shared" si="124"/>
        <v/>
      </c>
      <c r="T978" s="403" t="str">
        <f t="shared" si="125"/>
        <v>NBE-3503-AL</v>
      </c>
      <c r="U978" s="403">
        <f t="shared" si="126"/>
        <v>1</v>
      </c>
      <c r="V978" s="403" t="str">
        <f t="shared" si="127"/>
        <v>CPP_7_3</v>
      </c>
    </row>
    <row r="979" spans="1:22">
      <c r="A979" t="str">
        <f t="shared" si="120"/>
        <v>NBE-3503-AL</v>
      </c>
      <c r="B979" s="403" t="s">
        <v>1370</v>
      </c>
      <c r="C979" s="403" t="s">
        <v>582</v>
      </c>
      <c r="D979" s="403" t="s">
        <v>1371</v>
      </c>
      <c r="E979" s="403" t="s">
        <v>778</v>
      </c>
      <c r="F979" s="403" t="s">
        <v>1372</v>
      </c>
      <c r="G979" s="403" t="s">
        <v>1466</v>
      </c>
      <c r="H979" s="403" t="s">
        <v>1281</v>
      </c>
      <c r="I979" s="403">
        <v>1</v>
      </c>
      <c r="J979" s="403" t="s">
        <v>109</v>
      </c>
      <c r="K979" s="403">
        <v>1280</v>
      </c>
      <c r="L979" s="403">
        <v>720</v>
      </c>
      <c r="M979" s="403" t="s">
        <v>111</v>
      </c>
      <c r="N979" s="403">
        <v>768</v>
      </c>
      <c r="O979" s="403">
        <v>432</v>
      </c>
      <c r="P979" t="str">
        <f t="shared" si="121"/>
        <v>25fps 720p - SD</v>
      </c>
      <c r="Q979">
        <f t="shared" si="122"/>
        <v>6</v>
      </c>
      <c r="R979" t="str">
        <f t="shared" si="123"/>
        <v/>
      </c>
      <c r="S979" t="str">
        <f t="shared" si="124"/>
        <v/>
      </c>
      <c r="T979" s="403" t="str">
        <f t="shared" si="125"/>
        <v>NBE-3503-AL</v>
      </c>
      <c r="U979" s="403">
        <f t="shared" si="126"/>
        <v>1</v>
      </c>
      <c r="V979" s="403" t="str">
        <f t="shared" si="127"/>
        <v>CPP_7_3</v>
      </c>
    </row>
    <row r="980" spans="1:22">
      <c r="A980" t="str">
        <f t="shared" si="120"/>
        <v>NBE-3503-AL</v>
      </c>
      <c r="B980" s="403" t="s">
        <v>1370</v>
      </c>
      <c r="C980" s="403" t="s">
        <v>582</v>
      </c>
      <c r="D980" s="403" t="s">
        <v>1371</v>
      </c>
      <c r="E980" s="403" t="s">
        <v>778</v>
      </c>
      <c r="F980" s="403" t="s">
        <v>1372</v>
      </c>
      <c r="G980" s="403" t="s">
        <v>1466</v>
      </c>
      <c r="H980" s="403" t="s">
        <v>1281</v>
      </c>
      <c r="I980" s="403">
        <v>1</v>
      </c>
      <c r="J980" s="403" t="s">
        <v>109</v>
      </c>
      <c r="K980" s="403">
        <v>1280</v>
      </c>
      <c r="L980" s="403">
        <v>720</v>
      </c>
      <c r="M980" s="403" t="s">
        <v>1279</v>
      </c>
      <c r="N980" s="403">
        <v>768</v>
      </c>
      <c r="O980" s="403">
        <v>432</v>
      </c>
      <c r="P980" t="str">
        <f t="shared" si="121"/>
        <v>25fps 720p - SD ROI PTZ</v>
      </c>
      <c r="Q980">
        <f t="shared" si="122"/>
        <v>6</v>
      </c>
      <c r="R980" t="str">
        <f t="shared" si="123"/>
        <v/>
      </c>
      <c r="S980" t="str">
        <f t="shared" si="124"/>
        <v/>
      </c>
      <c r="T980" s="403" t="str">
        <f t="shared" si="125"/>
        <v>NBE-3503-AL</v>
      </c>
      <c r="U980" s="403">
        <f t="shared" si="126"/>
        <v>1</v>
      </c>
      <c r="V980" s="403" t="str">
        <f t="shared" si="127"/>
        <v>CPP_7_3</v>
      </c>
    </row>
    <row r="981" spans="1:22">
      <c r="A981" t="str">
        <f t="shared" si="120"/>
        <v>NBE-3503-AL</v>
      </c>
      <c r="B981" s="403" t="s">
        <v>1370</v>
      </c>
      <c r="C981" s="403" t="s">
        <v>582</v>
      </c>
      <c r="D981" s="403" t="s">
        <v>1371</v>
      </c>
      <c r="E981" s="403" t="s">
        <v>778</v>
      </c>
      <c r="F981" s="403" t="s">
        <v>1372</v>
      </c>
      <c r="G981" s="403" t="s">
        <v>1466</v>
      </c>
      <c r="H981" s="403" t="s">
        <v>1281</v>
      </c>
      <c r="I981" s="403">
        <v>1</v>
      </c>
      <c r="J981" s="403" t="s">
        <v>109</v>
      </c>
      <c r="K981" s="403">
        <v>1280</v>
      </c>
      <c r="L981" s="403">
        <v>720</v>
      </c>
      <c r="M981" s="403" t="s">
        <v>1283</v>
      </c>
      <c r="N981" s="403">
        <v>720</v>
      </c>
      <c r="O981" s="403">
        <v>576</v>
      </c>
      <c r="P981" t="str">
        <f t="shared" si="121"/>
        <v>25fps 720p - SD 4CIF resolution 4:3 format (cropped)</v>
      </c>
      <c r="Q981">
        <f t="shared" si="122"/>
        <v>6</v>
      </c>
      <c r="R981" t="str">
        <f t="shared" si="123"/>
        <v/>
      </c>
      <c r="S981" t="str">
        <f t="shared" si="124"/>
        <v/>
      </c>
      <c r="T981" s="403" t="str">
        <f t="shared" si="125"/>
        <v>NBE-3503-AL</v>
      </c>
      <c r="U981" s="403">
        <f t="shared" si="126"/>
        <v>1</v>
      </c>
      <c r="V981" s="403" t="str">
        <f t="shared" si="127"/>
        <v>CPP_7_3</v>
      </c>
    </row>
    <row r="982" spans="1:22">
      <c r="A982" t="str">
        <f t="shared" si="120"/>
        <v>NBE-3503-AL</v>
      </c>
      <c r="B982" s="403" t="s">
        <v>1370</v>
      </c>
      <c r="C982" s="403" t="s">
        <v>582</v>
      </c>
      <c r="D982" s="403" t="s">
        <v>1371</v>
      </c>
      <c r="E982" s="403" t="s">
        <v>778</v>
      </c>
      <c r="F982" s="403" t="s">
        <v>1372</v>
      </c>
      <c r="G982" s="403" t="s">
        <v>1466</v>
      </c>
      <c r="H982" s="403" t="s">
        <v>1281</v>
      </c>
      <c r="I982" s="403">
        <v>1</v>
      </c>
      <c r="J982" s="403" t="s">
        <v>109</v>
      </c>
      <c r="K982" s="403">
        <v>1280</v>
      </c>
      <c r="L982" s="403">
        <v>720</v>
      </c>
      <c r="M982" s="403" t="s">
        <v>1284</v>
      </c>
      <c r="N982" s="403">
        <v>640</v>
      </c>
      <c r="O982" s="403">
        <v>480</v>
      </c>
      <c r="P982" t="str">
        <f t="shared" si="121"/>
        <v>25fps 720p - SD VGA (cropped)</v>
      </c>
      <c r="Q982">
        <f t="shared" si="122"/>
        <v>6</v>
      </c>
      <c r="R982" t="str">
        <f t="shared" si="123"/>
        <v/>
      </c>
      <c r="S982" t="str">
        <f t="shared" si="124"/>
        <v/>
      </c>
      <c r="T982" s="403" t="str">
        <f t="shared" si="125"/>
        <v>NBE-3503-AL</v>
      </c>
      <c r="U982" s="403">
        <f t="shared" si="126"/>
        <v>1</v>
      </c>
      <c r="V982" s="403" t="str">
        <f t="shared" si="127"/>
        <v>CPP_7_3</v>
      </c>
    </row>
    <row r="983" spans="1:22">
      <c r="A983" t="str">
        <f t="shared" si="120"/>
        <v>NBE-3503-AL</v>
      </c>
      <c r="B983" s="403" t="s">
        <v>1370</v>
      </c>
      <c r="C983" s="403" t="s">
        <v>582</v>
      </c>
      <c r="D983" s="403" t="s">
        <v>1371</v>
      </c>
      <c r="E983" s="403" t="s">
        <v>778</v>
      </c>
      <c r="F983" s="403" t="s">
        <v>1372</v>
      </c>
      <c r="G983" s="403" t="s">
        <v>1467</v>
      </c>
      <c r="H983" s="403" t="s">
        <v>1276</v>
      </c>
      <c r="I983" s="403">
        <v>1</v>
      </c>
      <c r="J983" s="403" t="s">
        <v>1374</v>
      </c>
      <c r="K983" s="403">
        <v>0</v>
      </c>
      <c r="L983" s="403">
        <v>0</v>
      </c>
      <c r="M983" s="403" t="s">
        <v>111</v>
      </c>
      <c r="N983" s="403">
        <v>0</v>
      </c>
      <c r="O983" s="403">
        <v>0</v>
      </c>
      <c r="P983" t="str">
        <f t="shared" si="121"/>
        <v>25fps 2304x1296 - SD</v>
      </c>
      <c r="Q983">
        <f t="shared" si="122"/>
        <v>6</v>
      </c>
      <c r="R983" t="str">
        <f t="shared" si="123"/>
        <v/>
      </c>
      <c r="S983" t="str">
        <f t="shared" si="124"/>
        <v/>
      </c>
      <c r="T983" s="403" t="str">
        <f t="shared" si="125"/>
        <v>NBE-3503-AL</v>
      </c>
      <c r="U983" s="403">
        <f t="shared" si="126"/>
        <v>1</v>
      </c>
      <c r="V983" s="403" t="str">
        <f t="shared" si="127"/>
        <v>CPP_7_3</v>
      </c>
    </row>
    <row r="984" spans="1:22">
      <c r="A984" t="str">
        <f t="shared" si="120"/>
        <v>NBE-3503-AL</v>
      </c>
      <c r="B984" s="403" t="s">
        <v>1370</v>
      </c>
      <c r="C984" s="403" t="s">
        <v>582</v>
      </c>
      <c r="D984" s="403" t="s">
        <v>1371</v>
      </c>
      <c r="E984" s="403" t="s">
        <v>778</v>
      </c>
      <c r="F984" s="403" t="s">
        <v>1372</v>
      </c>
      <c r="G984" s="403" t="s">
        <v>1467</v>
      </c>
      <c r="H984" s="403" t="s">
        <v>1276</v>
      </c>
      <c r="I984" s="403">
        <v>1</v>
      </c>
      <c r="J984" s="403" t="s">
        <v>1374</v>
      </c>
      <c r="K984" s="403">
        <v>0</v>
      </c>
      <c r="L984" s="403">
        <v>0</v>
      </c>
      <c r="M984" s="403" t="s">
        <v>1279</v>
      </c>
      <c r="N984" s="403">
        <v>0</v>
      </c>
      <c r="O984" s="403">
        <v>0</v>
      </c>
      <c r="P984" t="str">
        <f t="shared" si="121"/>
        <v>25fps 2304x1296 - SD ROI PTZ</v>
      </c>
      <c r="Q984">
        <f t="shared" si="122"/>
        <v>6</v>
      </c>
      <c r="R984" t="str">
        <f t="shared" si="123"/>
        <v/>
      </c>
      <c r="S984" t="str">
        <f t="shared" si="124"/>
        <v/>
      </c>
      <c r="T984" s="403" t="str">
        <f t="shared" si="125"/>
        <v>NBE-3503-AL</v>
      </c>
      <c r="U984" s="403">
        <f t="shared" si="126"/>
        <v>1</v>
      </c>
      <c r="V984" s="403" t="str">
        <f t="shared" si="127"/>
        <v>CPP_7_3</v>
      </c>
    </row>
    <row r="985" spans="1:22">
      <c r="A985" t="str">
        <f t="shared" si="120"/>
        <v>NBE-3503-AL</v>
      </c>
      <c r="B985" s="403" t="s">
        <v>1370</v>
      </c>
      <c r="C985" s="403" t="s">
        <v>582</v>
      </c>
      <c r="D985" s="403" t="s">
        <v>1371</v>
      </c>
      <c r="E985" s="403" t="s">
        <v>778</v>
      </c>
      <c r="F985" s="403" t="s">
        <v>1372</v>
      </c>
      <c r="G985" s="403" t="s">
        <v>1467</v>
      </c>
      <c r="H985" s="403" t="s">
        <v>1276</v>
      </c>
      <c r="I985" s="403">
        <v>1</v>
      </c>
      <c r="J985" s="403" t="s">
        <v>1374</v>
      </c>
      <c r="K985" s="403">
        <v>0</v>
      </c>
      <c r="L985" s="403">
        <v>0</v>
      </c>
      <c r="M985" s="403" t="s">
        <v>1283</v>
      </c>
      <c r="N985" s="403">
        <v>0</v>
      </c>
      <c r="O985" s="403">
        <v>0</v>
      </c>
      <c r="P985" t="str">
        <f t="shared" si="121"/>
        <v>25fps 2304x1296 - SD 4CIF resolution 4:3 format (cropped)</v>
      </c>
      <c r="Q985">
        <f t="shared" si="122"/>
        <v>6</v>
      </c>
      <c r="R985" t="str">
        <f t="shared" si="123"/>
        <v/>
      </c>
      <c r="S985" t="str">
        <f t="shared" si="124"/>
        <v/>
      </c>
      <c r="T985" s="403" t="str">
        <f t="shared" si="125"/>
        <v>NBE-3503-AL</v>
      </c>
      <c r="U985" s="403">
        <f t="shared" si="126"/>
        <v>1</v>
      </c>
      <c r="V985" s="403" t="str">
        <f t="shared" si="127"/>
        <v>CPP_7_3</v>
      </c>
    </row>
    <row r="986" spans="1:22">
      <c r="A986" t="str">
        <f t="shared" si="120"/>
        <v>NBE-3503-AL</v>
      </c>
      <c r="B986" s="403" t="s">
        <v>1370</v>
      </c>
      <c r="C986" s="403" t="s">
        <v>582</v>
      </c>
      <c r="D986" s="403" t="s">
        <v>1371</v>
      </c>
      <c r="E986" s="403" t="s">
        <v>778</v>
      </c>
      <c r="F986" s="403" t="s">
        <v>1372</v>
      </c>
      <c r="G986" s="403" t="s">
        <v>1467</v>
      </c>
      <c r="H986" s="403" t="s">
        <v>1276</v>
      </c>
      <c r="I986" s="403">
        <v>1</v>
      </c>
      <c r="J986" s="403" t="s">
        <v>1374</v>
      </c>
      <c r="K986" s="403">
        <v>0</v>
      </c>
      <c r="L986" s="403">
        <v>0</v>
      </c>
      <c r="M986" s="403" t="s">
        <v>1284</v>
      </c>
      <c r="N986" s="403">
        <v>0</v>
      </c>
      <c r="O986" s="403">
        <v>0</v>
      </c>
      <c r="P986" t="str">
        <f t="shared" si="121"/>
        <v>25fps 2304x1296 - SD VGA (cropped)</v>
      </c>
      <c r="Q986">
        <f t="shared" si="122"/>
        <v>6</v>
      </c>
      <c r="R986" t="str">
        <f t="shared" si="123"/>
        <v/>
      </c>
      <c r="S986" t="str">
        <f t="shared" si="124"/>
        <v/>
      </c>
      <c r="T986" s="403" t="str">
        <f t="shared" si="125"/>
        <v>NBE-3503-AL</v>
      </c>
      <c r="U986" s="403">
        <f t="shared" si="126"/>
        <v>1</v>
      </c>
      <c r="V986" s="403" t="str">
        <f t="shared" si="127"/>
        <v>CPP_7_3</v>
      </c>
    </row>
    <row r="987" spans="1:22">
      <c r="A987" t="str">
        <f t="shared" si="120"/>
        <v>NBE-3503-AL</v>
      </c>
      <c r="B987" s="403" t="s">
        <v>1370</v>
      </c>
      <c r="C987" s="403" t="s">
        <v>582</v>
      </c>
      <c r="D987" s="403" t="s">
        <v>1371</v>
      </c>
      <c r="E987" s="403" t="s">
        <v>778</v>
      </c>
      <c r="F987" s="403" t="s">
        <v>1372</v>
      </c>
      <c r="G987" s="403" t="s">
        <v>1467</v>
      </c>
      <c r="H987" s="403" t="s">
        <v>1276</v>
      </c>
      <c r="I987" s="403">
        <v>1</v>
      </c>
      <c r="J987" s="403" t="s">
        <v>1374</v>
      </c>
      <c r="K987" s="403">
        <v>0</v>
      </c>
      <c r="L987" s="403">
        <v>0</v>
      </c>
      <c r="M987" s="403" t="s">
        <v>1280</v>
      </c>
      <c r="N987" s="403">
        <v>0</v>
      </c>
      <c r="O987" s="403">
        <v>0</v>
      </c>
      <c r="P987" t="str">
        <f t="shared" si="121"/>
        <v>25fps 2304x1296 - copy other stream</v>
      </c>
      <c r="Q987">
        <f t="shared" si="122"/>
        <v>6</v>
      </c>
      <c r="R987" t="str">
        <f t="shared" si="123"/>
        <v/>
      </c>
      <c r="S987" t="str">
        <f t="shared" si="124"/>
        <v/>
      </c>
      <c r="T987" s="403" t="str">
        <f t="shared" si="125"/>
        <v>NBE-3503-AL</v>
      </c>
      <c r="U987" s="403">
        <f t="shared" si="126"/>
        <v>1</v>
      </c>
      <c r="V987" s="403" t="str">
        <f t="shared" si="127"/>
        <v>CPP_7_3</v>
      </c>
    </row>
    <row r="988" spans="1:22">
      <c r="A988" t="str">
        <f t="shared" si="120"/>
        <v>NBE-3503-AL</v>
      </c>
      <c r="B988" s="403" t="s">
        <v>1370</v>
      </c>
      <c r="C988" s="403" t="s">
        <v>582</v>
      </c>
      <c r="D988" s="403" t="s">
        <v>1371</v>
      </c>
      <c r="E988" s="403" t="s">
        <v>778</v>
      </c>
      <c r="F988" s="403" t="s">
        <v>1372</v>
      </c>
      <c r="G988" s="403" t="s">
        <v>1467</v>
      </c>
      <c r="H988" s="403" t="s">
        <v>1276</v>
      </c>
      <c r="I988" s="403">
        <v>1</v>
      </c>
      <c r="J988" s="403" t="s">
        <v>110</v>
      </c>
      <c r="K988" s="403">
        <v>0</v>
      </c>
      <c r="L988" s="403">
        <v>0</v>
      </c>
      <c r="M988" s="403" t="s">
        <v>111</v>
      </c>
      <c r="N988" s="403">
        <v>0</v>
      </c>
      <c r="O988" s="403">
        <v>0</v>
      </c>
      <c r="P988" t="str">
        <f t="shared" si="121"/>
        <v>25fps 1080p - SD</v>
      </c>
      <c r="Q988">
        <f t="shared" si="122"/>
        <v>6</v>
      </c>
      <c r="R988" t="str">
        <f t="shared" si="123"/>
        <v/>
      </c>
      <c r="S988" t="str">
        <f t="shared" si="124"/>
        <v/>
      </c>
      <c r="T988" s="403" t="str">
        <f t="shared" si="125"/>
        <v>NBE-3503-AL</v>
      </c>
      <c r="U988" s="403">
        <f t="shared" si="126"/>
        <v>1</v>
      </c>
      <c r="V988" s="403" t="str">
        <f t="shared" si="127"/>
        <v>CPP_7_3</v>
      </c>
    </row>
    <row r="989" spans="1:22">
      <c r="A989" t="str">
        <f t="shared" si="120"/>
        <v>NBE-3503-AL</v>
      </c>
      <c r="B989" s="403" t="s">
        <v>1370</v>
      </c>
      <c r="C989" s="403" t="s">
        <v>582</v>
      </c>
      <c r="D989" s="403" t="s">
        <v>1371</v>
      </c>
      <c r="E989" s="403" t="s">
        <v>778</v>
      </c>
      <c r="F989" s="403" t="s">
        <v>1372</v>
      </c>
      <c r="G989" s="403" t="s">
        <v>1467</v>
      </c>
      <c r="H989" s="403" t="s">
        <v>1276</v>
      </c>
      <c r="I989" s="403">
        <v>1</v>
      </c>
      <c r="J989" s="403" t="s">
        <v>110</v>
      </c>
      <c r="K989" s="403">
        <v>0</v>
      </c>
      <c r="L989" s="403">
        <v>0</v>
      </c>
      <c r="M989" s="403" t="s">
        <v>109</v>
      </c>
      <c r="N989" s="403">
        <v>0</v>
      </c>
      <c r="O989" s="403">
        <v>0</v>
      </c>
      <c r="P989" t="str">
        <f t="shared" si="121"/>
        <v>25fps 1080p - 720p</v>
      </c>
      <c r="Q989">
        <f t="shared" si="122"/>
        <v>6</v>
      </c>
      <c r="R989" t="str">
        <f t="shared" si="123"/>
        <v/>
      </c>
      <c r="S989" t="str">
        <f t="shared" si="124"/>
        <v/>
      </c>
      <c r="T989" s="403" t="str">
        <f t="shared" si="125"/>
        <v>NBE-3503-AL</v>
      </c>
      <c r="U989" s="403">
        <f t="shared" si="126"/>
        <v>1</v>
      </c>
      <c r="V989" s="403" t="str">
        <f t="shared" si="127"/>
        <v>CPP_7_3</v>
      </c>
    </row>
    <row r="990" spans="1:22">
      <c r="A990" t="str">
        <f t="shared" si="120"/>
        <v>NBE-3503-AL</v>
      </c>
      <c r="B990" s="403" t="s">
        <v>1370</v>
      </c>
      <c r="C990" s="403" t="s">
        <v>582</v>
      </c>
      <c r="D990" s="403" t="s">
        <v>1371</v>
      </c>
      <c r="E990" s="403" t="s">
        <v>778</v>
      </c>
      <c r="F990" s="403" t="s">
        <v>1372</v>
      </c>
      <c r="G990" s="403" t="s">
        <v>1467</v>
      </c>
      <c r="H990" s="403" t="s">
        <v>1276</v>
      </c>
      <c r="I990" s="403">
        <v>1</v>
      </c>
      <c r="J990" s="403" t="s">
        <v>110</v>
      </c>
      <c r="K990" s="403">
        <v>0</v>
      </c>
      <c r="L990" s="403">
        <v>0</v>
      </c>
      <c r="M990" s="403" t="s">
        <v>1285</v>
      </c>
      <c r="N990" s="403">
        <v>0</v>
      </c>
      <c r="O990" s="403">
        <v>0</v>
      </c>
      <c r="P990" t="str">
        <f t="shared" si="121"/>
        <v>25fps 1080p - 1280x1024 5:4 (cropped)</v>
      </c>
      <c r="Q990">
        <f t="shared" si="122"/>
        <v>6</v>
      </c>
      <c r="R990" t="str">
        <f t="shared" si="123"/>
        <v/>
      </c>
      <c r="S990" t="str">
        <f t="shared" si="124"/>
        <v/>
      </c>
      <c r="T990" s="403" t="str">
        <f t="shared" si="125"/>
        <v>NBE-3503-AL</v>
      </c>
      <c r="U990" s="403">
        <f t="shared" si="126"/>
        <v>1</v>
      </c>
      <c r="V990" s="403" t="str">
        <f t="shared" si="127"/>
        <v>CPP_7_3</v>
      </c>
    </row>
    <row r="991" spans="1:22">
      <c r="A991" t="str">
        <f t="shared" si="120"/>
        <v>NBE-3503-AL</v>
      </c>
      <c r="B991" s="403" t="s">
        <v>1370</v>
      </c>
      <c r="C991" s="403" t="s">
        <v>582</v>
      </c>
      <c r="D991" s="403" t="s">
        <v>1371</v>
      </c>
      <c r="E991" s="403" t="s">
        <v>778</v>
      </c>
      <c r="F991" s="403" t="s">
        <v>1372</v>
      </c>
      <c r="G991" s="403" t="s">
        <v>1467</v>
      </c>
      <c r="H991" s="403" t="s">
        <v>1276</v>
      </c>
      <c r="I991" s="403">
        <v>1</v>
      </c>
      <c r="J991" s="403" t="s">
        <v>110</v>
      </c>
      <c r="K991" s="403">
        <v>0</v>
      </c>
      <c r="L991" s="403">
        <v>0</v>
      </c>
      <c r="M991" s="403" t="s">
        <v>1279</v>
      </c>
      <c r="N991" s="403">
        <v>0</v>
      </c>
      <c r="O991" s="403">
        <v>0</v>
      </c>
      <c r="P991" t="str">
        <f t="shared" si="121"/>
        <v>25fps 1080p - SD ROI PTZ</v>
      </c>
      <c r="Q991">
        <f t="shared" si="122"/>
        <v>6</v>
      </c>
      <c r="R991" t="str">
        <f t="shared" si="123"/>
        <v/>
      </c>
      <c r="S991" t="str">
        <f t="shared" si="124"/>
        <v/>
      </c>
      <c r="T991" s="403" t="str">
        <f t="shared" si="125"/>
        <v>NBE-3503-AL</v>
      </c>
      <c r="U991" s="403">
        <f t="shared" si="126"/>
        <v>1</v>
      </c>
      <c r="V991" s="403" t="str">
        <f t="shared" si="127"/>
        <v>CPP_7_3</v>
      </c>
    </row>
    <row r="992" spans="1:22">
      <c r="A992" t="str">
        <f t="shared" si="120"/>
        <v>NBE-3503-AL</v>
      </c>
      <c r="B992" s="403" t="s">
        <v>1370</v>
      </c>
      <c r="C992" s="403" t="s">
        <v>582</v>
      </c>
      <c r="D992" s="403" t="s">
        <v>1371</v>
      </c>
      <c r="E992" s="403" t="s">
        <v>778</v>
      </c>
      <c r="F992" s="403" t="s">
        <v>1372</v>
      </c>
      <c r="G992" s="403" t="s">
        <v>1467</v>
      </c>
      <c r="H992" s="403" t="s">
        <v>1276</v>
      </c>
      <c r="I992" s="403">
        <v>1</v>
      </c>
      <c r="J992" s="403" t="s">
        <v>110</v>
      </c>
      <c r="K992" s="403">
        <v>0</v>
      </c>
      <c r="L992" s="403">
        <v>0</v>
      </c>
      <c r="M992" s="403" t="s">
        <v>1283</v>
      </c>
      <c r="N992" s="403">
        <v>0</v>
      </c>
      <c r="O992" s="403">
        <v>0</v>
      </c>
      <c r="P992" t="str">
        <f t="shared" si="121"/>
        <v>25fps 1080p - SD 4CIF resolution 4:3 format (cropped)</v>
      </c>
      <c r="Q992">
        <f t="shared" si="122"/>
        <v>6</v>
      </c>
      <c r="R992" t="str">
        <f t="shared" si="123"/>
        <v/>
      </c>
      <c r="S992" t="str">
        <f t="shared" si="124"/>
        <v/>
      </c>
      <c r="T992" s="403" t="str">
        <f t="shared" si="125"/>
        <v>NBE-3503-AL</v>
      </c>
      <c r="U992" s="403">
        <f t="shared" si="126"/>
        <v>1</v>
      </c>
      <c r="V992" s="403" t="str">
        <f t="shared" si="127"/>
        <v>CPP_7_3</v>
      </c>
    </row>
    <row r="993" spans="1:22">
      <c r="A993" t="str">
        <f t="shared" si="120"/>
        <v>NBE-3503-AL</v>
      </c>
      <c r="B993" s="403" t="s">
        <v>1370</v>
      </c>
      <c r="C993" s="403" t="s">
        <v>582</v>
      </c>
      <c r="D993" s="403" t="s">
        <v>1371</v>
      </c>
      <c r="E993" s="403" t="s">
        <v>778</v>
      </c>
      <c r="F993" s="403" t="s">
        <v>1372</v>
      </c>
      <c r="G993" s="403" t="s">
        <v>1467</v>
      </c>
      <c r="H993" s="403" t="s">
        <v>1276</v>
      </c>
      <c r="I993" s="403">
        <v>1</v>
      </c>
      <c r="J993" s="403" t="s">
        <v>110</v>
      </c>
      <c r="K993" s="403">
        <v>0</v>
      </c>
      <c r="L993" s="403">
        <v>0</v>
      </c>
      <c r="M993" s="403" t="s">
        <v>1284</v>
      </c>
      <c r="N993" s="403">
        <v>0</v>
      </c>
      <c r="O993" s="403">
        <v>0</v>
      </c>
      <c r="P993" t="str">
        <f t="shared" si="121"/>
        <v>25fps 1080p - SD VGA (cropped)</v>
      </c>
      <c r="Q993">
        <f t="shared" si="122"/>
        <v>6</v>
      </c>
      <c r="R993" t="str">
        <f t="shared" si="123"/>
        <v/>
      </c>
      <c r="S993" t="str">
        <f t="shared" si="124"/>
        <v/>
      </c>
      <c r="T993" s="403" t="str">
        <f t="shared" si="125"/>
        <v>NBE-3503-AL</v>
      </c>
      <c r="U993" s="403">
        <f t="shared" si="126"/>
        <v>1</v>
      </c>
      <c r="V993" s="403" t="str">
        <f t="shared" si="127"/>
        <v>CPP_7_3</v>
      </c>
    </row>
    <row r="994" spans="1:22">
      <c r="A994" t="str">
        <f t="shared" si="120"/>
        <v>NBE-3503-AL</v>
      </c>
      <c r="B994" s="403" t="s">
        <v>1370</v>
      </c>
      <c r="C994" s="403" t="s">
        <v>582</v>
      </c>
      <c r="D994" s="403" t="s">
        <v>1371</v>
      </c>
      <c r="E994" s="403" t="s">
        <v>778</v>
      </c>
      <c r="F994" s="403" t="s">
        <v>1372</v>
      </c>
      <c r="G994" s="403" t="s">
        <v>1467</v>
      </c>
      <c r="H994" s="403" t="s">
        <v>1276</v>
      </c>
      <c r="I994" s="403">
        <v>1</v>
      </c>
      <c r="J994" s="403" t="s">
        <v>109</v>
      </c>
      <c r="K994" s="403">
        <v>0</v>
      </c>
      <c r="L994" s="403">
        <v>0</v>
      </c>
      <c r="M994" s="403" t="s">
        <v>109</v>
      </c>
      <c r="N994" s="403">
        <v>0</v>
      </c>
      <c r="O994" s="403">
        <v>0</v>
      </c>
      <c r="P994" t="str">
        <f t="shared" si="121"/>
        <v>25fps 720p - 720p</v>
      </c>
      <c r="Q994">
        <f t="shared" si="122"/>
        <v>6</v>
      </c>
      <c r="R994" t="str">
        <f t="shared" si="123"/>
        <v/>
      </c>
      <c r="S994" t="str">
        <f t="shared" si="124"/>
        <v/>
      </c>
      <c r="T994" s="403" t="str">
        <f t="shared" si="125"/>
        <v>NBE-3503-AL</v>
      </c>
      <c r="U994" s="403">
        <f t="shared" si="126"/>
        <v>1</v>
      </c>
      <c r="V994" s="403" t="str">
        <f t="shared" si="127"/>
        <v>CPP_7_3</v>
      </c>
    </row>
    <row r="995" spans="1:22">
      <c r="A995" t="str">
        <f t="shared" si="120"/>
        <v>NBE-3503-AL</v>
      </c>
      <c r="B995" s="403" t="s">
        <v>1370</v>
      </c>
      <c r="C995" s="403" t="s">
        <v>582</v>
      </c>
      <c r="D995" s="403" t="s">
        <v>1371</v>
      </c>
      <c r="E995" s="403" t="s">
        <v>778</v>
      </c>
      <c r="F995" s="403" t="s">
        <v>1372</v>
      </c>
      <c r="G995" s="403" t="s">
        <v>1467</v>
      </c>
      <c r="H995" s="403" t="s">
        <v>1276</v>
      </c>
      <c r="I995" s="403">
        <v>1</v>
      </c>
      <c r="J995" s="403" t="s">
        <v>109</v>
      </c>
      <c r="K995" s="403">
        <v>0</v>
      </c>
      <c r="L995" s="403">
        <v>0</v>
      </c>
      <c r="M995" s="403" t="s">
        <v>111</v>
      </c>
      <c r="N995" s="403">
        <v>0</v>
      </c>
      <c r="O995" s="403">
        <v>0</v>
      </c>
      <c r="P995" t="str">
        <f t="shared" si="121"/>
        <v>25fps 720p - SD</v>
      </c>
      <c r="Q995">
        <f t="shared" si="122"/>
        <v>6</v>
      </c>
      <c r="R995" t="str">
        <f t="shared" si="123"/>
        <v/>
      </c>
      <c r="S995" t="str">
        <f t="shared" si="124"/>
        <v/>
      </c>
      <c r="T995" s="403" t="str">
        <f t="shared" si="125"/>
        <v>NBE-3503-AL</v>
      </c>
      <c r="U995" s="403">
        <f t="shared" si="126"/>
        <v>1</v>
      </c>
      <c r="V995" s="403" t="str">
        <f t="shared" si="127"/>
        <v>CPP_7_3</v>
      </c>
    </row>
    <row r="996" spans="1:22">
      <c r="A996" t="str">
        <f t="shared" si="120"/>
        <v>NBE-3503-AL</v>
      </c>
      <c r="B996" s="403" t="s">
        <v>1370</v>
      </c>
      <c r="C996" s="403" t="s">
        <v>582</v>
      </c>
      <c r="D996" s="403" t="s">
        <v>1371</v>
      </c>
      <c r="E996" s="403" t="s">
        <v>778</v>
      </c>
      <c r="F996" s="403" t="s">
        <v>1372</v>
      </c>
      <c r="G996" s="403" t="s">
        <v>1467</v>
      </c>
      <c r="H996" s="403" t="s">
        <v>1276</v>
      </c>
      <c r="I996" s="403">
        <v>1</v>
      </c>
      <c r="J996" s="403" t="s">
        <v>109</v>
      </c>
      <c r="K996" s="403">
        <v>0</v>
      </c>
      <c r="L996" s="403">
        <v>0</v>
      </c>
      <c r="M996" s="403" t="s">
        <v>1279</v>
      </c>
      <c r="N996" s="403">
        <v>0</v>
      </c>
      <c r="O996" s="403">
        <v>0</v>
      </c>
      <c r="P996" t="str">
        <f t="shared" si="121"/>
        <v>25fps 720p - SD ROI PTZ</v>
      </c>
      <c r="Q996">
        <f t="shared" si="122"/>
        <v>6</v>
      </c>
      <c r="R996" t="str">
        <f t="shared" si="123"/>
        <v/>
      </c>
      <c r="S996" t="str">
        <f t="shared" si="124"/>
        <v/>
      </c>
      <c r="T996" s="403" t="str">
        <f t="shared" si="125"/>
        <v>NBE-3503-AL</v>
      </c>
      <c r="U996" s="403">
        <f t="shared" si="126"/>
        <v>1</v>
      </c>
      <c r="V996" s="403" t="str">
        <f t="shared" si="127"/>
        <v>CPP_7_3</v>
      </c>
    </row>
    <row r="997" spans="1:22">
      <c r="A997" t="str">
        <f t="shared" si="120"/>
        <v>NBE-3503-AL</v>
      </c>
      <c r="B997" s="403" t="s">
        <v>1370</v>
      </c>
      <c r="C997" s="403" t="s">
        <v>582</v>
      </c>
      <c r="D997" s="403" t="s">
        <v>1371</v>
      </c>
      <c r="E997" s="403" t="s">
        <v>778</v>
      </c>
      <c r="F997" s="403" t="s">
        <v>1372</v>
      </c>
      <c r="G997" s="403" t="s">
        <v>1467</v>
      </c>
      <c r="H997" s="403" t="s">
        <v>1276</v>
      </c>
      <c r="I997" s="403">
        <v>1</v>
      </c>
      <c r="J997" s="403" t="s">
        <v>109</v>
      </c>
      <c r="K997" s="403">
        <v>0</v>
      </c>
      <c r="L997" s="403">
        <v>0</v>
      </c>
      <c r="M997" s="403" t="s">
        <v>1283</v>
      </c>
      <c r="N997" s="403">
        <v>0</v>
      </c>
      <c r="O997" s="403">
        <v>0</v>
      </c>
      <c r="P997" t="str">
        <f t="shared" si="121"/>
        <v>25fps 720p - SD 4CIF resolution 4:3 format (cropped)</v>
      </c>
      <c r="Q997">
        <f t="shared" si="122"/>
        <v>6</v>
      </c>
      <c r="R997" t="str">
        <f t="shared" si="123"/>
        <v/>
      </c>
      <c r="S997" t="str">
        <f t="shared" si="124"/>
        <v/>
      </c>
      <c r="T997" s="403" t="str">
        <f t="shared" si="125"/>
        <v>NBE-3503-AL</v>
      </c>
      <c r="U997" s="403">
        <f t="shared" si="126"/>
        <v>1</v>
      </c>
      <c r="V997" s="403" t="str">
        <f t="shared" si="127"/>
        <v>CPP_7_3</v>
      </c>
    </row>
    <row r="998" spans="1:22">
      <c r="A998" t="str">
        <f t="shared" si="120"/>
        <v>NBE-3503-AL</v>
      </c>
      <c r="B998" s="403" t="s">
        <v>1370</v>
      </c>
      <c r="C998" s="403" t="s">
        <v>582</v>
      </c>
      <c r="D998" s="403" t="s">
        <v>1371</v>
      </c>
      <c r="E998" s="403" t="s">
        <v>778</v>
      </c>
      <c r="F998" s="403" t="s">
        <v>1372</v>
      </c>
      <c r="G998" s="403" t="s">
        <v>1467</v>
      </c>
      <c r="H998" s="403" t="s">
        <v>1276</v>
      </c>
      <c r="I998" s="403">
        <v>1</v>
      </c>
      <c r="J998" s="403" t="s">
        <v>109</v>
      </c>
      <c r="K998" s="403">
        <v>720</v>
      </c>
      <c r="L998" s="403">
        <v>1280</v>
      </c>
      <c r="M998" s="403" t="s">
        <v>1284</v>
      </c>
      <c r="N998" s="403">
        <v>480</v>
      </c>
      <c r="O998" s="403">
        <v>640</v>
      </c>
      <c r="P998" t="str">
        <f t="shared" si="121"/>
        <v>25fps 720p - SD VGA (cropped)</v>
      </c>
      <c r="Q998">
        <f t="shared" si="122"/>
        <v>6</v>
      </c>
      <c r="R998" t="str">
        <f t="shared" si="123"/>
        <v/>
      </c>
      <c r="S998" t="str">
        <f t="shared" si="124"/>
        <v/>
      </c>
      <c r="T998" s="403" t="str">
        <f t="shared" si="125"/>
        <v>NBE-3503-AL</v>
      </c>
      <c r="U998" s="403">
        <f t="shared" si="126"/>
        <v>1</v>
      </c>
      <c r="V998" s="403" t="str">
        <f t="shared" si="127"/>
        <v>CPP_7_3</v>
      </c>
    </row>
    <row r="999" spans="1:22">
      <c r="A999" t="str">
        <f t="shared" si="120"/>
        <v>NBE-3503-AL</v>
      </c>
      <c r="B999" s="403" t="s">
        <v>1370</v>
      </c>
      <c r="C999" s="403" t="s">
        <v>582</v>
      </c>
      <c r="D999" s="403" t="s">
        <v>1371</v>
      </c>
      <c r="E999" s="403" t="s">
        <v>778</v>
      </c>
      <c r="F999" s="403" t="s">
        <v>1372</v>
      </c>
      <c r="G999" s="403" t="s">
        <v>1467</v>
      </c>
      <c r="H999" s="403" t="s">
        <v>1276</v>
      </c>
      <c r="I999" s="403">
        <v>1</v>
      </c>
      <c r="J999" s="403" t="s">
        <v>1374</v>
      </c>
      <c r="K999" s="403">
        <v>1296</v>
      </c>
      <c r="L999" s="403">
        <v>2304</v>
      </c>
      <c r="M999" s="403" t="s">
        <v>111</v>
      </c>
      <c r="N999" s="403">
        <v>432</v>
      </c>
      <c r="O999" s="403">
        <v>768</v>
      </c>
      <c r="P999" t="str">
        <f t="shared" si="121"/>
        <v>25fps 2304x1296 - SD</v>
      </c>
      <c r="Q999">
        <f t="shared" si="122"/>
        <v>6</v>
      </c>
      <c r="R999" t="str">
        <f t="shared" si="123"/>
        <v/>
      </c>
      <c r="S999" t="str">
        <f t="shared" si="124"/>
        <v/>
      </c>
      <c r="T999" s="403" t="str">
        <f t="shared" si="125"/>
        <v>NBE-3503-AL</v>
      </c>
      <c r="U999" s="403">
        <f t="shared" si="126"/>
        <v>1</v>
      </c>
      <c r="V999" s="403" t="str">
        <f t="shared" si="127"/>
        <v>CPP_7_3</v>
      </c>
    </row>
    <row r="1000" spans="1:22">
      <c r="A1000" t="str">
        <f t="shared" si="120"/>
        <v>NBE-3503-AL</v>
      </c>
      <c r="B1000" s="403" t="s">
        <v>1370</v>
      </c>
      <c r="C1000" s="403" t="s">
        <v>582</v>
      </c>
      <c r="D1000" s="403" t="s">
        <v>1371</v>
      </c>
      <c r="E1000" s="403" t="s">
        <v>778</v>
      </c>
      <c r="F1000" s="403" t="s">
        <v>1372</v>
      </c>
      <c r="G1000" s="403" t="s">
        <v>1467</v>
      </c>
      <c r="H1000" s="403" t="s">
        <v>1276</v>
      </c>
      <c r="I1000" s="403">
        <v>1</v>
      </c>
      <c r="J1000" s="403" t="s">
        <v>1374</v>
      </c>
      <c r="K1000" s="403">
        <v>1296</v>
      </c>
      <c r="L1000" s="403">
        <v>2304</v>
      </c>
      <c r="M1000" s="403" t="s">
        <v>1279</v>
      </c>
      <c r="N1000" s="403">
        <v>432</v>
      </c>
      <c r="O1000" s="403">
        <v>768</v>
      </c>
      <c r="P1000" t="str">
        <f t="shared" si="121"/>
        <v>25fps 2304x1296 - SD ROI PTZ</v>
      </c>
      <c r="Q1000">
        <f t="shared" si="122"/>
        <v>6</v>
      </c>
      <c r="R1000" t="str">
        <f t="shared" si="123"/>
        <v/>
      </c>
      <c r="S1000" t="str">
        <f t="shared" si="124"/>
        <v/>
      </c>
      <c r="T1000" s="403" t="str">
        <f t="shared" si="125"/>
        <v>NBE-3503-AL</v>
      </c>
      <c r="U1000" s="403">
        <f t="shared" si="126"/>
        <v>1</v>
      </c>
      <c r="V1000" s="403" t="str">
        <f t="shared" si="127"/>
        <v>CPP_7_3</v>
      </c>
    </row>
    <row r="1001" spans="1:22">
      <c r="A1001" t="str">
        <f t="shared" si="120"/>
        <v>NBE-3503-AL</v>
      </c>
      <c r="B1001" s="403" t="s">
        <v>1370</v>
      </c>
      <c r="C1001" s="403" t="s">
        <v>582</v>
      </c>
      <c r="D1001" s="403" t="s">
        <v>1371</v>
      </c>
      <c r="E1001" s="403" t="s">
        <v>778</v>
      </c>
      <c r="F1001" s="403" t="s">
        <v>1372</v>
      </c>
      <c r="G1001" s="403" t="s">
        <v>1467</v>
      </c>
      <c r="H1001" s="403" t="s">
        <v>1276</v>
      </c>
      <c r="I1001" s="403">
        <v>1</v>
      </c>
      <c r="J1001" s="403" t="s">
        <v>1374</v>
      </c>
      <c r="K1001" s="403">
        <v>1296</v>
      </c>
      <c r="L1001" s="403">
        <v>2304</v>
      </c>
      <c r="M1001" s="403" t="s">
        <v>1283</v>
      </c>
      <c r="N1001" s="403">
        <v>576</v>
      </c>
      <c r="O1001" s="403">
        <v>720</v>
      </c>
      <c r="P1001" t="str">
        <f t="shared" si="121"/>
        <v>25fps 2304x1296 - SD 4CIF resolution 4:3 format (cropped)</v>
      </c>
      <c r="Q1001">
        <f t="shared" si="122"/>
        <v>6</v>
      </c>
      <c r="R1001" t="str">
        <f t="shared" si="123"/>
        <v/>
      </c>
      <c r="S1001" t="str">
        <f t="shared" si="124"/>
        <v/>
      </c>
      <c r="T1001" s="403" t="str">
        <f t="shared" si="125"/>
        <v>NBE-3503-AL</v>
      </c>
      <c r="U1001" s="403">
        <f t="shared" si="126"/>
        <v>1</v>
      </c>
      <c r="V1001" s="403" t="str">
        <f t="shared" si="127"/>
        <v>CPP_7_3</v>
      </c>
    </row>
    <row r="1002" spans="1:22">
      <c r="A1002" t="str">
        <f t="shared" si="120"/>
        <v>NBE-3503-AL</v>
      </c>
      <c r="B1002" s="403" t="s">
        <v>1370</v>
      </c>
      <c r="C1002" s="403" t="s">
        <v>582</v>
      </c>
      <c r="D1002" s="403" t="s">
        <v>1371</v>
      </c>
      <c r="E1002" s="403" t="s">
        <v>778</v>
      </c>
      <c r="F1002" s="403" t="s">
        <v>1372</v>
      </c>
      <c r="G1002" s="403" t="s">
        <v>1467</v>
      </c>
      <c r="H1002" s="403" t="s">
        <v>1276</v>
      </c>
      <c r="I1002" s="403">
        <v>1</v>
      </c>
      <c r="J1002" s="403" t="s">
        <v>1374</v>
      </c>
      <c r="K1002" s="403">
        <v>1296</v>
      </c>
      <c r="L1002" s="403">
        <v>2304</v>
      </c>
      <c r="M1002" s="403" t="s">
        <v>1284</v>
      </c>
      <c r="N1002" s="403">
        <v>480</v>
      </c>
      <c r="O1002" s="403">
        <v>640</v>
      </c>
      <c r="P1002" t="str">
        <f t="shared" si="121"/>
        <v>25fps 2304x1296 - SD VGA (cropped)</v>
      </c>
      <c r="Q1002">
        <f t="shared" si="122"/>
        <v>6</v>
      </c>
      <c r="R1002" t="str">
        <f t="shared" si="123"/>
        <v/>
      </c>
      <c r="S1002" t="str">
        <f t="shared" si="124"/>
        <v/>
      </c>
      <c r="T1002" s="403" t="str">
        <f t="shared" si="125"/>
        <v>NBE-3503-AL</v>
      </c>
      <c r="U1002" s="403">
        <f t="shared" si="126"/>
        <v>1</v>
      </c>
      <c r="V1002" s="403" t="str">
        <f t="shared" si="127"/>
        <v>CPP_7_3</v>
      </c>
    </row>
    <row r="1003" spans="1:22">
      <c r="A1003" t="str">
        <f t="shared" si="120"/>
        <v>NBE-3503-AL</v>
      </c>
      <c r="B1003" s="403" t="s">
        <v>1370</v>
      </c>
      <c r="C1003" s="403" t="s">
        <v>582</v>
      </c>
      <c r="D1003" s="403" t="s">
        <v>1371</v>
      </c>
      <c r="E1003" s="403" t="s">
        <v>778</v>
      </c>
      <c r="F1003" s="403" t="s">
        <v>1372</v>
      </c>
      <c r="G1003" s="403" t="s">
        <v>1467</v>
      </c>
      <c r="H1003" s="403" t="s">
        <v>1276</v>
      </c>
      <c r="I1003" s="403">
        <v>1</v>
      </c>
      <c r="J1003" s="403" t="s">
        <v>1374</v>
      </c>
      <c r="K1003" s="403">
        <v>1296</v>
      </c>
      <c r="L1003" s="403">
        <v>2304</v>
      </c>
      <c r="M1003" s="403" t="s">
        <v>1280</v>
      </c>
      <c r="N1003" s="403">
        <v>1296</v>
      </c>
      <c r="O1003" s="403">
        <v>2304</v>
      </c>
      <c r="P1003" t="str">
        <f t="shared" si="121"/>
        <v>25fps 2304x1296 - copy other stream</v>
      </c>
      <c r="Q1003">
        <f t="shared" si="122"/>
        <v>6</v>
      </c>
      <c r="R1003" t="str">
        <f t="shared" si="123"/>
        <v/>
      </c>
      <c r="S1003" t="str">
        <f t="shared" si="124"/>
        <v/>
      </c>
      <c r="T1003" s="403" t="str">
        <f t="shared" si="125"/>
        <v>NBE-3503-AL</v>
      </c>
      <c r="U1003" s="403">
        <f t="shared" si="126"/>
        <v>1</v>
      </c>
      <c r="V1003" s="403" t="str">
        <f t="shared" si="127"/>
        <v>CPP_7_3</v>
      </c>
    </row>
    <row r="1004" spans="1:22">
      <c r="A1004" t="str">
        <f t="shared" si="120"/>
        <v>NBE-3503-AL</v>
      </c>
      <c r="B1004" s="403" t="s">
        <v>1370</v>
      </c>
      <c r="C1004" s="403" t="s">
        <v>582</v>
      </c>
      <c r="D1004" s="403" t="s">
        <v>1371</v>
      </c>
      <c r="E1004" s="403" t="s">
        <v>778</v>
      </c>
      <c r="F1004" s="403" t="s">
        <v>1372</v>
      </c>
      <c r="G1004" s="403" t="s">
        <v>1467</v>
      </c>
      <c r="H1004" s="403" t="s">
        <v>1276</v>
      </c>
      <c r="I1004" s="403">
        <v>1</v>
      </c>
      <c r="J1004" s="403" t="s">
        <v>110</v>
      </c>
      <c r="K1004" s="403">
        <v>1080</v>
      </c>
      <c r="L1004" s="403">
        <v>1920</v>
      </c>
      <c r="M1004" s="403" t="s">
        <v>111</v>
      </c>
      <c r="N1004" s="403">
        <v>432</v>
      </c>
      <c r="O1004" s="403">
        <v>768</v>
      </c>
      <c r="P1004" t="str">
        <f t="shared" si="121"/>
        <v>25fps 1080p - SD</v>
      </c>
      <c r="Q1004">
        <f t="shared" si="122"/>
        <v>6</v>
      </c>
      <c r="R1004" t="str">
        <f t="shared" si="123"/>
        <v/>
      </c>
      <c r="S1004" t="str">
        <f t="shared" si="124"/>
        <v/>
      </c>
      <c r="T1004" s="403" t="str">
        <f t="shared" si="125"/>
        <v>NBE-3503-AL</v>
      </c>
      <c r="U1004" s="403">
        <f t="shared" si="126"/>
        <v>1</v>
      </c>
      <c r="V1004" s="403" t="str">
        <f t="shared" si="127"/>
        <v>CPP_7_3</v>
      </c>
    </row>
    <row r="1005" spans="1:22">
      <c r="A1005" t="str">
        <f t="shared" si="120"/>
        <v>NBE-3503-AL</v>
      </c>
      <c r="B1005" s="403" t="s">
        <v>1370</v>
      </c>
      <c r="C1005" s="403" t="s">
        <v>582</v>
      </c>
      <c r="D1005" s="403" t="s">
        <v>1371</v>
      </c>
      <c r="E1005" s="403" t="s">
        <v>778</v>
      </c>
      <c r="F1005" s="403" t="s">
        <v>1372</v>
      </c>
      <c r="G1005" s="403" t="s">
        <v>1467</v>
      </c>
      <c r="H1005" s="403" t="s">
        <v>1276</v>
      </c>
      <c r="I1005" s="403">
        <v>1</v>
      </c>
      <c r="J1005" s="403" t="s">
        <v>110</v>
      </c>
      <c r="K1005" s="403">
        <v>1080</v>
      </c>
      <c r="L1005" s="403">
        <v>1920</v>
      </c>
      <c r="M1005" s="403" t="s">
        <v>109</v>
      </c>
      <c r="N1005" s="403">
        <v>720</v>
      </c>
      <c r="O1005" s="403">
        <v>1280</v>
      </c>
      <c r="P1005" t="str">
        <f t="shared" si="121"/>
        <v>25fps 1080p - 720p</v>
      </c>
      <c r="Q1005">
        <f t="shared" si="122"/>
        <v>6</v>
      </c>
      <c r="R1005" t="str">
        <f t="shared" si="123"/>
        <v/>
      </c>
      <c r="S1005" t="str">
        <f t="shared" si="124"/>
        <v/>
      </c>
      <c r="T1005" s="403" t="str">
        <f t="shared" si="125"/>
        <v>NBE-3503-AL</v>
      </c>
      <c r="U1005" s="403">
        <f t="shared" si="126"/>
        <v>1</v>
      </c>
      <c r="V1005" s="403" t="str">
        <f t="shared" si="127"/>
        <v>CPP_7_3</v>
      </c>
    </row>
    <row r="1006" spans="1:22">
      <c r="A1006" t="str">
        <f t="shared" si="120"/>
        <v>NBE-3503-AL</v>
      </c>
      <c r="B1006" s="403" t="s">
        <v>1370</v>
      </c>
      <c r="C1006" s="403" t="s">
        <v>582</v>
      </c>
      <c r="D1006" s="403" t="s">
        <v>1371</v>
      </c>
      <c r="E1006" s="403" t="s">
        <v>778</v>
      </c>
      <c r="F1006" s="403" t="s">
        <v>1372</v>
      </c>
      <c r="G1006" s="403" t="s">
        <v>1467</v>
      </c>
      <c r="H1006" s="403" t="s">
        <v>1276</v>
      </c>
      <c r="I1006" s="403">
        <v>1</v>
      </c>
      <c r="J1006" s="403" t="s">
        <v>110</v>
      </c>
      <c r="K1006" s="403">
        <v>1080</v>
      </c>
      <c r="L1006" s="403">
        <v>1920</v>
      </c>
      <c r="M1006" s="403" t="s">
        <v>1285</v>
      </c>
      <c r="N1006" s="403">
        <v>1024</v>
      </c>
      <c r="O1006" s="403">
        <v>1280</v>
      </c>
      <c r="P1006" t="str">
        <f t="shared" si="121"/>
        <v>25fps 1080p - 1280x1024 5:4 (cropped)</v>
      </c>
      <c r="Q1006">
        <f t="shared" si="122"/>
        <v>6</v>
      </c>
      <c r="R1006" t="str">
        <f t="shared" si="123"/>
        <v/>
      </c>
      <c r="S1006" t="str">
        <f t="shared" si="124"/>
        <v/>
      </c>
      <c r="T1006" s="403" t="str">
        <f t="shared" si="125"/>
        <v>NBE-3503-AL</v>
      </c>
      <c r="U1006" s="403">
        <f t="shared" si="126"/>
        <v>1</v>
      </c>
      <c r="V1006" s="403" t="str">
        <f t="shared" si="127"/>
        <v>CPP_7_3</v>
      </c>
    </row>
    <row r="1007" spans="1:22">
      <c r="A1007" t="str">
        <f t="shared" si="120"/>
        <v>NBE-3503-AL</v>
      </c>
      <c r="B1007" s="403" t="s">
        <v>1370</v>
      </c>
      <c r="C1007" s="403" t="s">
        <v>582</v>
      </c>
      <c r="D1007" s="403" t="s">
        <v>1371</v>
      </c>
      <c r="E1007" s="403" t="s">
        <v>778</v>
      </c>
      <c r="F1007" s="403" t="s">
        <v>1372</v>
      </c>
      <c r="G1007" s="403" t="s">
        <v>1467</v>
      </c>
      <c r="H1007" s="403" t="s">
        <v>1276</v>
      </c>
      <c r="I1007" s="403">
        <v>1</v>
      </c>
      <c r="J1007" s="403" t="s">
        <v>110</v>
      </c>
      <c r="K1007" s="403">
        <v>1080</v>
      </c>
      <c r="L1007" s="403">
        <v>1920</v>
      </c>
      <c r="M1007" s="403" t="s">
        <v>1279</v>
      </c>
      <c r="N1007" s="403">
        <v>432</v>
      </c>
      <c r="O1007" s="403">
        <v>768</v>
      </c>
      <c r="P1007" t="str">
        <f t="shared" si="121"/>
        <v>25fps 1080p - SD ROI PTZ</v>
      </c>
      <c r="Q1007">
        <f t="shared" si="122"/>
        <v>6</v>
      </c>
      <c r="R1007" t="str">
        <f t="shared" si="123"/>
        <v/>
      </c>
      <c r="S1007" t="str">
        <f t="shared" si="124"/>
        <v/>
      </c>
      <c r="T1007" s="403" t="str">
        <f t="shared" si="125"/>
        <v>NBE-3503-AL</v>
      </c>
      <c r="U1007" s="403">
        <f t="shared" si="126"/>
        <v>1</v>
      </c>
      <c r="V1007" s="403" t="str">
        <f t="shared" si="127"/>
        <v>CPP_7_3</v>
      </c>
    </row>
    <row r="1008" spans="1:22">
      <c r="A1008" t="str">
        <f t="shared" si="120"/>
        <v>NBE-3503-AL</v>
      </c>
      <c r="B1008" s="403" t="s">
        <v>1370</v>
      </c>
      <c r="C1008" s="403" t="s">
        <v>582</v>
      </c>
      <c r="D1008" s="403" t="s">
        <v>1371</v>
      </c>
      <c r="E1008" s="403" t="s">
        <v>778</v>
      </c>
      <c r="F1008" s="403" t="s">
        <v>1372</v>
      </c>
      <c r="G1008" s="403" t="s">
        <v>1467</v>
      </c>
      <c r="H1008" s="403" t="s">
        <v>1276</v>
      </c>
      <c r="I1008" s="403">
        <v>1</v>
      </c>
      <c r="J1008" s="403" t="s">
        <v>110</v>
      </c>
      <c r="K1008" s="403">
        <v>1080</v>
      </c>
      <c r="L1008" s="403">
        <v>1920</v>
      </c>
      <c r="M1008" s="403" t="s">
        <v>1283</v>
      </c>
      <c r="N1008" s="403">
        <v>576</v>
      </c>
      <c r="O1008" s="403">
        <v>720</v>
      </c>
      <c r="P1008" t="str">
        <f t="shared" si="121"/>
        <v>25fps 1080p - SD 4CIF resolution 4:3 format (cropped)</v>
      </c>
      <c r="Q1008">
        <f t="shared" si="122"/>
        <v>6</v>
      </c>
      <c r="R1008" t="str">
        <f t="shared" si="123"/>
        <v/>
      </c>
      <c r="S1008" t="str">
        <f t="shared" si="124"/>
        <v/>
      </c>
      <c r="T1008" s="403" t="str">
        <f t="shared" si="125"/>
        <v>NBE-3503-AL</v>
      </c>
      <c r="U1008" s="403">
        <f t="shared" si="126"/>
        <v>1</v>
      </c>
      <c r="V1008" s="403" t="str">
        <f t="shared" si="127"/>
        <v>CPP_7_3</v>
      </c>
    </row>
    <row r="1009" spans="1:22">
      <c r="A1009" t="str">
        <f t="shared" si="120"/>
        <v>NBE-3503-AL</v>
      </c>
      <c r="B1009" s="403" t="s">
        <v>1370</v>
      </c>
      <c r="C1009" s="403" t="s">
        <v>582</v>
      </c>
      <c r="D1009" s="403" t="s">
        <v>1371</v>
      </c>
      <c r="E1009" s="403" t="s">
        <v>778</v>
      </c>
      <c r="F1009" s="403" t="s">
        <v>1372</v>
      </c>
      <c r="G1009" s="403" t="s">
        <v>1467</v>
      </c>
      <c r="H1009" s="403" t="s">
        <v>1276</v>
      </c>
      <c r="I1009" s="403">
        <v>1</v>
      </c>
      <c r="J1009" s="403" t="s">
        <v>110</v>
      </c>
      <c r="K1009" s="403">
        <v>1080</v>
      </c>
      <c r="L1009" s="403">
        <v>1920</v>
      </c>
      <c r="M1009" s="403" t="s">
        <v>1284</v>
      </c>
      <c r="N1009" s="403">
        <v>480</v>
      </c>
      <c r="O1009" s="403">
        <v>640</v>
      </c>
      <c r="P1009" t="str">
        <f t="shared" si="121"/>
        <v>25fps 1080p - SD VGA (cropped)</v>
      </c>
      <c r="Q1009">
        <f t="shared" si="122"/>
        <v>6</v>
      </c>
      <c r="R1009" t="str">
        <f t="shared" si="123"/>
        <v/>
      </c>
      <c r="S1009" t="str">
        <f t="shared" si="124"/>
        <v/>
      </c>
      <c r="T1009" s="403" t="str">
        <f t="shared" si="125"/>
        <v>NBE-3503-AL</v>
      </c>
      <c r="U1009" s="403">
        <f t="shared" si="126"/>
        <v>1</v>
      </c>
      <c r="V1009" s="403" t="str">
        <f t="shared" si="127"/>
        <v>CPP_7_3</v>
      </c>
    </row>
    <row r="1010" spans="1:22">
      <c r="A1010" t="str">
        <f t="shared" si="120"/>
        <v>NBE-3503-AL</v>
      </c>
      <c r="B1010" s="403" t="s">
        <v>1370</v>
      </c>
      <c r="C1010" s="403" t="s">
        <v>582</v>
      </c>
      <c r="D1010" s="403" t="s">
        <v>1371</v>
      </c>
      <c r="E1010" s="403" t="s">
        <v>778</v>
      </c>
      <c r="F1010" s="403" t="s">
        <v>1372</v>
      </c>
      <c r="G1010" s="403" t="s">
        <v>1467</v>
      </c>
      <c r="H1010" s="403" t="s">
        <v>1276</v>
      </c>
      <c r="I1010" s="403">
        <v>1</v>
      </c>
      <c r="J1010" s="403" t="s">
        <v>109</v>
      </c>
      <c r="K1010" s="403">
        <v>720</v>
      </c>
      <c r="L1010" s="403">
        <v>1280</v>
      </c>
      <c r="M1010" s="403" t="s">
        <v>109</v>
      </c>
      <c r="N1010" s="403">
        <v>720</v>
      </c>
      <c r="O1010" s="403">
        <v>1280</v>
      </c>
      <c r="P1010" t="str">
        <f t="shared" si="121"/>
        <v>25fps 720p - 720p</v>
      </c>
      <c r="Q1010">
        <f t="shared" si="122"/>
        <v>6</v>
      </c>
      <c r="R1010" t="str">
        <f t="shared" si="123"/>
        <v/>
      </c>
      <c r="S1010" t="str">
        <f t="shared" si="124"/>
        <v/>
      </c>
      <c r="T1010" s="403" t="str">
        <f t="shared" si="125"/>
        <v>NBE-3503-AL</v>
      </c>
      <c r="U1010" s="403">
        <f t="shared" si="126"/>
        <v>1</v>
      </c>
      <c r="V1010" s="403" t="str">
        <f t="shared" si="127"/>
        <v>CPP_7_3</v>
      </c>
    </row>
    <row r="1011" spans="1:22">
      <c r="A1011" t="str">
        <f t="shared" si="120"/>
        <v>NBE-3503-AL</v>
      </c>
      <c r="B1011" s="403" t="s">
        <v>1370</v>
      </c>
      <c r="C1011" s="403" t="s">
        <v>582</v>
      </c>
      <c r="D1011" s="403" t="s">
        <v>1371</v>
      </c>
      <c r="E1011" s="403" t="s">
        <v>778</v>
      </c>
      <c r="F1011" s="403" t="s">
        <v>1372</v>
      </c>
      <c r="G1011" s="403" t="s">
        <v>1467</v>
      </c>
      <c r="H1011" s="403" t="s">
        <v>1276</v>
      </c>
      <c r="I1011" s="403">
        <v>1</v>
      </c>
      <c r="J1011" s="403" t="s">
        <v>109</v>
      </c>
      <c r="K1011" s="403">
        <v>720</v>
      </c>
      <c r="L1011" s="403">
        <v>1280</v>
      </c>
      <c r="M1011" s="403" t="s">
        <v>111</v>
      </c>
      <c r="N1011" s="403">
        <v>432</v>
      </c>
      <c r="O1011" s="403">
        <v>768</v>
      </c>
      <c r="P1011" t="str">
        <f t="shared" si="121"/>
        <v>25fps 720p - SD</v>
      </c>
      <c r="Q1011">
        <f t="shared" si="122"/>
        <v>6</v>
      </c>
      <c r="R1011" t="str">
        <f t="shared" si="123"/>
        <v/>
      </c>
      <c r="S1011" t="str">
        <f t="shared" si="124"/>
        <v/>
      </c>
      <c r="T1011" s="403" t="str">
        <f t="shared" si="125"/>
        <v>NBE-3503-AL</v>
      </c>
      <c r="U1011" s="403">
        <f t="shared" si="126"/>
        <v>1</v>
      </c>
      <c r="V1011" s="403" t="str">
        <f t="shared" si="127"/>
        <v>CPP_7_3</v>
      </c>
    </row>
    <row r="1012" spans="1:22">
      <c r="A1012" t="str">
        <f t="shared" si="120"/>
        <v>NBE-3503-AL</v>
      </c>
      <c r="B1012" s="403" t="s">
        <v>1370</v>
      </c>
      <c r="C1012" s="403" t="s">
        <v>582</v>
      </c>
      <c r="D1012" s="403" t="s">
        <v>1371</v>
      </c>
      <c r="E1012" s="403" t="s">
        <v>778</v>
      </c>
      <c r="F1012" s="403" t="s">
        <v>1372</v>
      </c>
      <c r="G1012" s="403" t="s">
        <v>1467</v>
      </c>
      <c r="H1012" s="403" t="s">
        <v>1276</v>
      </c>
      <c r="I1012" s="403">
        <v>1</v>
      </c>
      <c r="J1012" s="403" t="s">
        <v>109</v>
      </c>
      <c r="K1012" s="403">
        <v>720</v>
      </c>
      <c r="L1012" s="403">
        <v>1280</v>
      </c>
      <c r="M1012" s="403" t="s">
        <v>1279</v>
      </c>
      <c r="N1012" s="403">
        <v>432</v>
      </c>
      <c r="O1012" s="403">
        <v>768</v>
      </c>
      <c r="P1012" t="str">
        <f t="shared" si="121"/>
        <v>25fps 720p - SD ROI PTZ</v>
      </c>
      <c r="Q1012">
        <f t="shared" si="122"/>
        <v>6</v>
      </c>
      <c r="R1012" t="str">
        <f t="shared" si="123"/>
        <v/>
      </c>
      <c r="S1012" t="str">
        <f t="shared" si="124"/>
        <v/>
      </c>
      <c r="T1012" s="403" t="str">
        <f t="shared" si="125"/>
        <v>NBE-3503-AL</v>
      </c>
      <c r="U1012" s="403">
        <f t="shared" si="126"/>
        <v>1</v>
      </c>
      <c r="V1012" s="403" t="str">
        <f t="shared" si="127"/>
        <v>CPP_7_3</v>
      </c>
    </row>
    <row r="1013" spans="1:22">
      <c r="A1013" t="str">
        <f t="shared" si="120"/>
        <v>NBE-3503-AL</v>
      </c>
      <c r="B1013" s="403" t="s">
        <v>1370</v>
      </c>
      <c r="C1013" s="403" t="s">
        <v>582</v>
      </c>
      <c r="D1013" s="403" t="s">
        <v>1371</v>
      </c>
      <c r="E1013" s="403" t="s">
        <v>778</v>
      </c>
      <c r="F1013" s="403" t="s">
        <v>1372</v>
      </c>
      <c r="G1013" s="403" t="s">
        <v>1467</v>
      </c>
      <c r="H1013" s="403" t="s">
        <v>1276</v>
      </c>
      <c r="I1013" s="403">
        <v>1</v>
      </c>
      <c r="J1013" s="403" t="s">
        <v>109</v>
      </c>
      <c r="K1013" s="403">
        <v>720</v>
      </c>
      <c r="L1013" s="403">
        <v>1280</v>
      </c>
      <c r="M1013" s="403" t="s">
        <v>1283</v>
      </c>
      <c r="N1013" s="403">
        <v>576</v>
      </c>
      <c r="O1013" s="403">
        <v>720</v>
      </c>
      <c r="P1013" t="str">
        <f t="shared" si="121"/>
        <v>25fps 720p - SD 4CIF resolution 4:3 format (cropped)</v>
      </c>
      <c r="Q1013">
        <f t="shared" si="122"/>
        <v>6</v>
      </c>
      <c r="R1013" t="str">
        <f t="shared" si="123"/>
        <v/>
      </c>
      <c r="S1013" t="str">
        <f t="shared" si="124"/>
        <v/>
      </c>
      <c r="T1013" s="403" t="str">
        <f t="shared" si="125"/>
        <v>NBE-3503-AL</v>
      </c>
      <c r="U1013" s="403">
        <f t="shared" si="126"/>
        <v>1</v>
      </c>
      <c r="V1013" s="403" t="str">
        <f t="shared" si="127"/>
        <v>CPP_7_3</v>
      </c>
    </row>
    <row r="1014" spans="1:22">
      <c r="A1014" t="str">
        <f t="shared" si="120"/>
        <v>NBE-3503-AL</v>
      </c>
      <c r="B1014" s="403" t="s">
        <v>1370</v>
      </c>
      <c r="C1014" s="403" t="s">
        <v>582</v>
      </c>
      <c r="D1014" s="403" t="s">
        <v>1371</v>
      </c>
      <c r="E1014" s="403" t="s">
        <v>778</v>
      </c>
      <c r="F1014" s="403" t="s">
        <v>1372</v>
      </c>
      <c r="G1014" s="403" t="s">
        <v>1467</v>
      </c>
      <c r="H1014" s="403" t="s">
        <v>1281</v>
      </c>
      <c r="I1014" s="403">
        <v>1</v>
      </c>
      <c r="J1014" s="403" t="s">
        <v>1374</v>
      </c>
      <c r="K1014" s="403">
        <v>1296</v>
      </c>
      <c r="L1014" s="403">
        <v>2304</v>
      </c>
      <c r="M1014" s="403" t="s">
        <v>111</v>
      </c>
      <c r="N1014" s="403">
        <v>432</v>
      </c>
      <c r="O1014" s="403">
        <v>768</v>
      </c>
      <c r="P1014" t="str">
        <f t="shared" si="121"/>
        <v>25fps 2304x1296 - SD</v>
      </c>
      <c r="Q1014">
        <f t="shared" si="122"/>
        <v>6</v>
      </c>
      <c r="R1014" t="str">
        <f t="shared" si="123"/>
        <v/>
      </c>
      <c r="S1014" t="str">
        <f t="shared" si="124"/>
        <v/>
      </c>
      <c r="T1014" s="403" t="str">
        <f t="shared" si="125"/>
        <v>NBE-3503-AL</v>
      </c>
      <c r="U1014" s="403">
        <f t="shared" si="126"/>
        <v>1</v>
      </c>
      <c r="V1014" s="403" t="str">
        <f t="shared" si="127"/>
        <v>CPP_7_3</v>
      </c>
    </row>
    <row r="1015" spans="1:22">
      <c r="A1015" t="str">
        <f t="shared" si="120"/>
        <v>NBE-3503-AL</v>
      </c>
      <c r="B1015" s="403" t="s">
        <v>1370</v>
      </c>
      <c r="C1015" s="403" t="s">
        <v>582</v>
      </c>
      <c r="D1015" s="403" t="s">
        <v>1371</v>
      </c>
      <c r="E1015" s="403" t="s">
        <v>778</v>
      </c>
      <c r="F1015" s="403" t="s">
        <v>1372</v>
      </c>
      <c r="G1015" s="403" t="s">
        <v>1467</v>
      </c>
      <c r="H1015" s="403" t="s">
        <v>1281</v>
      </c>
      <c r="I1015" s="403">
        <v>1</v>
      </c>
      <c r="J1015" s="403" t="s">
        <v>1374</v>
      </c>
      <c r="K1015" s="403">
        <v>1296</v>
      </c>
      <c r="L1015" s="403">
        <v>2304</v>
      </c>
      <c r="M1015" s="403" t="s">
        <v>1279</v>
      </c>
      <c r="N1015" s="403">
        <v>432</v>
      </c>
      <c r="O1015" s="403">
        <v>768</v>
      </c>
      <c r="P1015" t="str">
        <f t="shared" si="121"/>
        <v>25fps 2304x1296 - SD ROI PTZ</v>
      </c>
      <c r="Q1015">
        <f t="shared" si="122"/>
        <v>6</v>
      </c>
      <c r="R1015" t="str">
        <f t="shared" si="123"/>
        <v/>
      </c>
      <c r="S1015" t="str">
        <f t="shared" si="124"/>
        <v/>
      </c>
      <c r="T1015" s="403" t="str">
        <f t="shared" si="125"/>
        <v>NBE-3503-AL</v>
      </c>
      <c r="U1015" s="403">
        <f t="shared" si="126"/>
        <v>1</v>
      </c>
      <c r="V1015" s="403" t="str">
        <f t="shared" si="127"/>
        <v>CPP_7_3</v>
      </c>
    </row>
    <row r="1016" spans="1:22">
      <c r="A1016" t="str">
        <f t="shared" si="120"/>
        <v>NBE-3503-AL</v>
      </c>
      <c r="B1016" s="403" t="s">
        <v>1370</v>
      </c>
      <c r="C1016" s="403" t="s">
        <v>582</v>
      </c>
      <c r="D1016" s="403" t="s">
        <v>1371</v>
      </c>
      <c r="E1016" s="403" t="s">
        <v>778</v>
      </c>
      <c r="F1016" s="403" t="s">
        <v>1372</v>
      </c>
      <c r="G1016" s="403" t="s">
        <v>1467</v>
      </c>
      <c r="H1016" s="403" t="s">
        <v>1281</v>
      </c>
      <c r="I1016" s="403">
        <v>1</v>
      </c>
      <c r="J1016" s="403" t="s">
        <v>1374</v>
      </c>
      <c r="K1016" s="403">
        <v>1296</v>
      </c>
      <c r="L1016" s="403">
        <v>2304</v>
      </c>
      <c r="M1016" s="403" t="s">
        <v>1283</v>
      </c>
      <c r="N1016" s="403">
        <v>576</v>
      </c>
      <c r="O1016" s="403">
        <v>720</v>
      </c>
      <c r="P1016" t="str">
        <f t="shared" si="121"/>
        <v>25fps 2304x1296 - SD 4CIF resolution 4:3 format (cropped)</v>
      </c>
      <c r="Q1016">
        <f t="shared" si="122"/>
        <v>6</v>
      </c>
      <c r="R1016" t="str">
        <f t="shared" si="123"/>
        <v/>
      </c>
      <c r="S1016" t="str">
        <f t="shared" si="124"/>
        <v/>
      </c>
      <c r="T1016" s="403" t="str">
        <f t="shared" si="125"/>
        <v>NBE-3503-AL</v>
      </c>
      <c r="U1016" s="403">
        <f t="shared" si="126"/>
        <v>1</v>
      </c>
      <c r="V1016" s="403" t="str">
        <f t="shared" si="127"/>
        <v>CPP_7_3</v>
      </c>
    </row>
    <row r="1017" spans="1:22">
      <c r="A1017" t="str">
        <f t="shared" si="120"/>
        <v>NBE-3503-AL</v>
      </c>
      <c r="B1017" s="403" t="s">
        <v>1370</v>
      </c>
      <c r="C1017" s="403" t="s">
        <v>582</v>
      </c>
      <c r="D1017" s="403" t="s">
        <v>1371</v>
      </c>
      <c r="E1017" s="403" t="s">
        <v>778</v>
      </c>
      <c r="F1017" s="403" t="s">
        <v>1372</v>
      </c>
      <c r="G1017" s="403" t="s">
        <v>1467</v>
      </c>
      <c r="H1017" s="403" t="s">
        <v>1281</v>
      </c>
      <c r="I1017" s="403">
        <v>1</v>
      </c>
      <c r="J1017" s="403" t="s">
        <v>1374</v>
      </c>
      <c r="K1017" s="403">
        <v>1296</v>
      </c>
      <c r="L1017" s="403">
        <v>2304</v>
      </c>
      <c r="M1017" s="403" t="s">
        <v>1284</v>
      </c>
      <c r="N1017" s="403">
        <v>480</v>
      </c>
      <c r="O1017" s="403">
        <v>640</v>
      </c>
      <c r="P1017" t="str">
        <f t="shared" si="121"/>
        <v>25fps 2304x1296 - SD VGA (cropped)</v>
      </c>
      <c r="Q1017">
        <f t="shared" si="122"/>
        <v>6</v>
      </c>
      <c r="R1017" t="str">
        <f t="shared" si="123"/>
        <v/>
      </c>
      <c r="S1017" t="str">
        <f t="shared" si="124"/>
        <v/>
      </c>
      <c r="T1017" s="403" t="str">
        <f t="shared" si="125"/>
        <v>NBE-3503-AL</v>
      </c>
      <c r="U1017" s="403">
        <f t="shared" si="126"/>
        <v>1</v>
      </c>
      <c r="V1017" s="403" t="str">
        <f t="shared" si="127"/>
        <v>CPP_7_3</v>
      </c>
    </row>
    <row r="1018" spans="1:22">
      <c r="A1018" t="str">
        <f t="shared" si="120"/>
        <v>NBE-3503-AL</v>
      </c>
      <c r="B1018" s="403" t="s">
        <v>1370</v>
      </c>
      <c r="C1018" s="403" t="s">
        <v>582</v>
      </c>
      <c r="D1018" s="403" t="s">
        <v>1371</v>
      </c>
      <c r="E1018" s="403" t="s">
        <v>778</v>
      </c>
      <c r="F1018" s="403" t="s">
        <v>1372</v>
      </c>
      <c r="G1018" s="403" t="s">
        <v>1467</v>
      </c>
      <c r="H1018" s="403" t="s">
        <v>1281</v>
      </c>
      <c r="I1018" s="403">
        <v>1</v>
      </c>
      <c r="J1018" s="403" t="s">
        <v>1374</v>
      </c>
      <c r="K1018" s="403">
        <v>0</v>
      </c>
      <c r="L1018" s="403">
        <v>0</v>
      </c>
      <c r="M1018" s="403" t="s">
        <v>1280</v>
      </c>
      <c r="N1018" s="403">
        <v>0</v>
      </c>
      <c r="O1018" s="403">
        <v>0</v>
      </c>
      <c r="P1018" t="str">
        <f t="shared" si="121"/>
        <v>25fps 2304x1296 - copy other stream</v>
      </c>
      <c r="Q1018">
        <f t="shared" si="122"/>
        <v>6</v>
      </c>
      <c r="R1018" t="str">
        <f t="shared" si="123"/>
        <v/>
      </c>
      <c r="S1018" t="str">
        <f t="shared" si="124"/>
        <v/>
      </c>
      <c r="T1018" s="403" t="str">
        <f t="shared" si="125"/>
        <v>NBE-3503-AL</v>
      </c>
      <c r="U1018" s="403">
        <f t="shared" si="126"/>
        <v>1</v>
      </c>
      <c r="V1018" s="403" t="str">
        <f t="shared" si="127"/>
        <v>CPP_7_3</v>
      </c>
    </row>
    <row r="1019" spans="1:22">
      <c r="A1019" t="str">
        <f t="shared" si="120"/>
        <v>NBE-3503-AL</v>
      </c>
      <c r="B1019" s="403" t="s">
        <v>1370</v>
      </c>
      <c r="C1019" s="403" t="s">
        <v>582</v>
      </c>
      <c r="D1019" s="403" t="s">
        <v>1371</v>
      </c>
      <c r="E1019" s="403" t="s">
        <v>778</v>
      </c>
      <c r="F1019" s="403" t="s">
        <v>1372</v>
      </c>
      <c r="G1019" s="403" t="s">
        <v>1467</v>
      </c>
      <c r="H1019" s="403" t="s">
        <v>1281</v>
      </c>
      <c r="I1019" s="403">
        <v>1</v>
      </c>
      <c r="J1019" s="403" t="s">
        <v>110</v>
      </c>
      <c r="K1019" s="403">
        <v>0</v>
      </c>
      <c r="L1019" s="403">
        <v>0</v>
      </c>
      <c r="M1019" s="403" t="s">
        <v>111</v>
      </c>
      <c r="N1019" s="403">
        <v>0</v>
      </c>
      <c r="O1019" s="403">
        <v>0</v>
      </c>
      <c r="P1019" t="str">
        <f t="shared" si="121"/>
        <v>25fps 1080p - SD</v>
      </c>
      <c r="Q1019">
        <f t="shared" si="122"/>
        <v>6</v>
      </c>
      <c r="R1019" t="str">
        <f t="shared" si="123"/>
        <v/>
      </c>
      <c r="S1019" t="str">
        <f t="shared" si="124"/>
        <v/>
      </c>
      <c r="T1019" s="403" t="str">
        <f t="shared" si="125"/>
        <v>NBE-3503-AL</v>
      </c>
      <c r="U1019" s="403">
        <f t="shared" si="126"/>
        <v>1</v>
      </c>
      <c r="V1019" s="403" t="str">
        <f t="shared" si="127"/>
        <v>CPP_7_3</v>
      </c>
    </row>
    <row r="1020" spans="1:22">
      <c r="A1020" t="str">
        <f t="shared" si="120"/>
        <v>NBE-3503-AL</v>
      </c>
      <c r="B1020" s="403" t="s">
        <v>1370</v>
      </c>
      <c r="C1020" s="403" t="s">
        <v>582</v>
      </c>
      <c r="D1020" s="403" t="s">
        <v>1371</v>
      </c>
      <c r="E1020" s="403" t="s">
        <v>778</v>
      </c>
      <c r="F1020" s="403" t="s">
        <v>1372</v>
      </c>
      <c r="G1020" s="403" t="s">
        <v>1467</v>
      </c>
      <c r="H1020" s="403" t="s">
        <v>1281</v>
      </c>
      <c r="I1020" s="403">
        <v>1</v>
      </c>
      <c r="J1020" s="403" t="s">
        <v>110</v>
      </c>
      <c r="K1020" s="403">
        <v>0</v>
      </c>
      <c r="L1020" s="403">
        <v>0</v>
      </c>
      <c r="M1020" s="403" t="s">
        <v>109</v>
      </c>
      <c r="N1020" s="403">
        <v>0</v>
      </c>
      <c r="O1020" s="403">
        <v>0</v>
      </c>
      <c r="P1020" t="str">
        <f t="shared" si="121"/>
        <v>25fps 1080p - 720p</v>
      </c>
      <c r="Q1020">
        <f t="shared" si="122"/>
        <v>6</v>
      </c>
      <c r="R1020" t="str">
        <f t="shared" si="123"/>
        <v/>
      </c>
      <c r="S1020" t="str">
        <f t="shared" si="124"/>
        <v/>
      </c>
      <c r="T1020" s="403" t="str">
        <f t="shared" si="125"/>
        <v>NBE-3503-AL</v>
      </c>
      <c r="U1020" s="403">
        <f t="shared" si="126"/>
        <v>1</v>
      </c>
      <c r="V1020" s="403" t="str">
        <f t="shared" si="127"/>
        <v>CPP_7_3</v>
      </c>
    </row>
    <row r="1021" spans="1:22">
      <c r="A1021" t="str">
        <f t="shared" si="120"/>
        <v>NBE-3503-AL</v>
      </c>
      <c r="B1021" s="403" t="s">
        <v>1370</v>
      </c>
      <c r="C1021" s="403" t="s">
        <v>582</v>
      </c>
      <c r="D1021" s="403" t="s">
        <v>1371</v>
      </c>
      <c r="E1021" s="403" t="s">
        <v>778</v>
      </c>
      <c r="F1021" s="403" t="s">
        <v>1372</v>
      </c>
      <c r="G1021" s="403" t="s">
        <v>1467</v>
      </c>
      <c r="H1021" s="403" t="s">
        <v>1281</v>
      </c>
      <c r="I1021" s="403">
        <v>1</v>
      </c>
      <c r="J1021" s="403" t="s">
        <v>110</v>
      </c>
      <c r="K1021" s="403">
        <v>0</v>
      </c>
      <c r="L1021" s="403">
        <v>0</v>
      </c>
      <c r="M1021" s="403" t="s">
        <v>1285</v>
      </c>
      <c r="N1021" s="403">
        <v>0</v>
      </c>
      <c r="O1021" s="403">
        <v>0</v>
      </c>
      <c r="P1021" t="str">
        <f t="shared" si="121"/>
        <v>25fps 1080p - 1280x1024 5:4 (cropped)</v>
      </c>
      <c r="Q1021">
        <f t="shared" si="122"/>
        <v>6</v>
      </c>
      <c r="R1021" t="str">
        <f t="shared" si="123"/>
        <v/>
      </c>
      <c r="S1021" t="str">
        <f t="shared" si="124"/>
        <v/>
      </c>
      <c r="T1021" s="403" t="str">
        <f t="shared" si="125"/>
        <v>NBE-3503-AL</v>
      </c>
      <c r="U1021" s="403">
        <f t="shared" si="126"/>
        <v>1</v>
      </c>
      <c r="V1021" s="403" t="str">
        <f t="shared" si="127"/>
        <v>CPP_7_3</v>
      </c>
    </row>
    <row r="1022" spans="1:22">
      <c r="A1022" t="str">
        <f t="shared" si="120"/>
        <v>NBE-3503-AL</v>
      </c>
      <c r="B1022" s="403" t="s">
        <v>1370</v>
      </c>
      <c r="C1022" s="403" t="s">
        <v>582</v>
      </c>
      <c r="D1022" s="403" t="s">
        <v>1371</v>
      </c>
      <c r="E1022" s="403" t="s">
        <v>778</v>
      </c>
      <c r="F1022" s="403" t="s">
        <v>1372</v>
      </c>
      <c r="G1022" s="403" t="s">
        <v>1467</v>
      </c>
      <c r="H1022" s="403" t="s">
        <v>1281</v>
      </c>
      <c r="I1022" s="403">
        <v>1</v>
      </c>
      <c r="J1022" s="403" t="s">
        <v>110</v>
      </c>
      <c r="K1022" s="403">
        <v>0</v>
      </c>
      <c r="L1022" s="403">
        <v>0</v>
      </c>
      <c r="M1022" s="403" t="s">
        <v>1279</v>
      </c>
      <c r="N1022" s="403">
        <v>0</v>
      </c>
      <c r="O1022" s="403">
        <v>0</v>
      </c>
      <c r="P1022" t="str">
        <f t="shared" si="121"/>
        <v>25fps 1080p - SD ROI PTZ</v>
      </c>
      <c r="Q1022">
        <f t="shared" si="122"/>
        <v>6</v>
      </c>
      <c r="R1022" t="str">
        <f t="shared" si="123"/>
        <v/>
      </c>
      <c r="S1022" t="str">
        <f t="shared" si="124"/>
        <v/>
      </c>
      <c r="T1022" s="403" t="str">
        <f t="shared" si="125"/>
        <v>NBE-3503-AL</v>
      </c>
      <c r="U1022" s="403">
        <f t="shared" si="126"/>
        <v>1</v>
      </c>
      <c r="V1022" s="403" t="str">
        <f t="shared" si="127"/>
        <v>CPP_7_3</v>
      </c>
    </row>
    <row r="1023" spans="1:22">
      <c r="A1023" t="str">
        <f t="shared" si="120"/>
        <v>NBE-3503-AL</v>
      </c>
      <c r="B1023" s="403" t="s">
        <v>1370</v>
      </c>
      <c r="C1023" s="403" t="s">
        <v>582</v>
      </c>
      <c r="D1023" s="403" t="s">
        <v>1371</v>
      </c>
      <c r="E1023" s="403" t="s">
        <v>778</v>
      </c>
      <c r="F1023" s="403" t="s">
        <v>1372</v>
      </c>
      <c r="G1023" s="403" t="s">
        <v>1467</v>
      </c>
      <c r="H1023" s="403" t="s">
        <v>1281</v>
      </c>
      <c r="I1023" s="403">
        <v>1</v>
      </c>
      <c r="J1023" s="403" t="s">
        <v>110</v>
      </c>
      <c r="K1023" s="403">
        <v>0</v>
      </c>
      <c r="L1023" s="403">
        <v>0</v>
      </c>
      <c r="M1023" s="403" t="s">
        <v>1283</v>
      </c>
      <c r="N1023" s="403">
        <v>0</v>
      </c>
      <c r="O1023" s="403">
        <v>0</v>
      </c>
      <c r="P1023" t="str">
        <f t="shared" si="121"/>
        <v>25fps 1080p - SD 4CIF resolution 4:3 format (cropped)</v>
      </c>
      <c r="Q1023">
        <f t="shared" si="122"/>
        <v>6</v>
      </c>
      <c r="R1023" t="str">
        <f t="shared" si="123"/>
        <v/>
      </c>
      <c r="S1023" t="str">
        <f t="shared" si="124"/>
        <v/>
      </c>
      <c r="T1023" s="403" t="str">
        <f t="shared" si="125"/>
        <v>NBE-3503-AL</v>
      </c>
      <c r="U1023" s="403">
        <f t="shared" si="126"/>
        <v>1</v>
      </c>
      <c r="V1023" s="403" t="str">
        <f t="shared" si="127"/>
        <v>CPP_7_3</v>
      </c>
    </row>
    <row r="1024" spans="1:22">
      <c r="A1024" t="str">
        <f t="shared" si="120"/>
        <v>NBE-3503-AL</v>
      </c>
      <c r="B1024" s="403" t="s">
        <v>1370</v>
      </c>
      <c r="C1024" s="403" t="s">
        <v>582</v>
      </c>
      <c r="D1024" s="403" t="s">
        <v>1371</v>
      </c>
      <c r="E1024" s="403" t="s">
        <v>778</v>
      </c>
      <c r="F1024" s="403" t="s">
        <v>1372</v>
      </c>
      <c r="G1024" s="403" t="s">
        <v>1467</v>
      </c>
      <c r="H1024" s="403" t="s">
        <v>1281</v>
      </c>
      <c r="I1024" s="403">
        <v>1</v>
      </c>
      <c r="J1024" s="403" t="s">
        <v>110</v>
      </c>
      <c r="K1024" s="403">
        <v>0</v>
      </c>
      <c r="L1024" s="403">
        <v>0</v>
      </c>
      <c r="M1024" s="403" t="s">
        <v>1284</v>
      </c>
      <c r="N1024" s="403">
        <v>0</v>
      </c>
      <c r="O1024" s="403">
        <v>0</v>
      </c>
      <c r="P1024" t="str">
        <f t="shared" si="121"/>
        <v>25fps 1080p - SD VGA (cropped)</v>
      </c>
      <c r="Q1024">
        <f t="shared" si="122"/>
        <v>6</v>
      </c>
      <c r="R1024" t="str">
        <f t="shared" si="123"/>
        <v/>
      </c>
      <c r="S1024" t="str">
        <f t="shared" si="124"/>
        <v/>
      </c>
      <c r="T1024" s="403" t="str">
        <f t="shared" si="125"/>
        <v>NBE-3503-AL</v>
      </c>
      <c r="U1024" s="403">
        <f t="shared" si="126"/>
        <v>1</v>
      </c>
      <c r="V1024" s="403" t="str">
        <f t="shared" si="127"/>
        <v>CPP_7_3</v>
      </c>
    </row>
    <row r="1025" spans="1:22">
      <c r="A1025" t="str">
        <f t="shared" si="120"/>
        <v>NBE-3503-AL</v>
      </c>
      <c r="B1025" s="403" t="s">
        <v>1370</v>
      </c>
      <c r="C1025" s="403" t="s">
        <v>582</v>
      </c>
      <c r="D1025" s="403" t="s">
        <v>1371</v>
      </c>
      <c r="E1025" s="403" t="s">
        <v>778</v>
      </c>
      <c r="F1025" s="403" t="s">
        <v>1372</v>
      </c>
      <c r="G1025" s="403" t="s">
        <v>1467</v>
      </c>
      <c r="H1025" s="403" t="s">
        <v>1281</v>
      </c>
      <c r="I1025" s="403">
        <v>1</v>
      </c>
      <c r="J1025" s="403" t="s">
        <v>109</v>
      </c>
      <c r="K1025" s="403">
        <v>0</v>
      </c>
      <c r="L1025" s="403">
        <v>0</v>
      </c>
      <c r="M1025" s="403" t="s">
        <v>109</v>
      </c>
      <c r="N1025" s="403">
        <v>0</v>
      </c>
      <c r="O1025" s="403">
        <v>0</v>
      </c>
      <c r="P1025" t="str">
        <f t="shared" si="121"/>
        <v>25fps 720p - 720p</v>
      </c>
      <c r="Q1025">
        <f t="shared" si="122"/>
        <v>6</v>
      </c>
      <c r="R1025" t="str">
        <f t="shared" si="123"/>
        <v/>
      </c>
      <c r="S1025" t="str">
        <f t="shared" si="124"/>
        <v/>
      </c>
      <c r="T1025" s="403" t="str">
        <f t="shared" si="125"/>
        <v>NBE-3503-AL</v>
      </c>
      <c r="U1025" s="403">
        <f t="shared" si="126"/>
        <v>1</v>
      </c>
      <c r="V1025" s="403" t="str">
        <f t="shared" si="127"/>
        <v>CPP_7_3</v>
      </c>
    </row>
    <row r="1026" spans="1:22">
      <c r="A1026" t="str">
        <f t="shared" ref="A1026:A1089" si="128">IF(AND(G1026&lt;&gt;"rotate 90°"),D1026,"")</f>
        <v>NBE-3503-AL</v>
      </c>
      <c r="B1026" s="403" t="s">
        <v>1370</v>
      </c>
      <c r="C1026" s="403" t="s">
        <v>582</v>
      </c>
      <c r="D1026" s="403" t="s">
        <v>1371</v>
      </c>
      <c r="E1026" s="403" t="s">
        <v>778</v>
      </c>
      <c r="F1026" s="403" t="s">
        <v>1372</v>
      </c>
      <c r="G1026" s="403" t="s">
        <v>1467</v>
      </c>
      <c r="H1026" s="403" t="s">
        <v>1281</v>
      </c>
      <c r="I1026" s="403">
        <v>1</v>
      </c>
      <c r="J1026" s="403" t="s">
        <v>109</v>
      </c>
      <c r="K1026" s="403">
        <v>720</v>
      </c>
      <c r="L1026" s="403">
        <v>1280</v>
      </c>
      <c r="M1026" s="403" t="s">
        <v>111</v>
      </c>
      <c r="N1026" s="403">
        <v>0</v>
      </c>
      <c r="O1026" s="403">
        <v>0</v>
      </c>
      <c r="P1026" t="str">
        <f t="shared" ref="P1026:P1089" si="129">LEFT(F1026,5)&amp;" "&amp;J1026&amp;" - "&amp;M1026</f>
        <v>25fps 720p - SD</v>
      </c>
      <c r="Q1026">
        <f t="shared" ref="Q1026:Q1089" si="130">IF(A1025=A1026,Q1025,Q1025+1)</f>
        <v>6</v>
      </c>
      <c r="R1026" t="str">
        <f t="shared" ref="R1026:R1089" si="131">IF(Q1025&lt;&gt;Q1026,Q1026,"")</f>
        <v/>
      </c>
      <c r="S1026" t="str">
        <f t="shared" ref="S1026:S1089" si="132">IF(R1026&lt;&gt;"",B1026&amp;" ("&amp;D1026&amp;")","")</f>
        <v/>
      </c>
      <c r="T1026" s="403" t="str">
        <f t="shared" ref="T1026:T1089" si="133">D1026</f>
        <v>NBE-3503-AL</v>
      </c>
      <c r="U1026" s="403">
        <f t="shared" ref="U1026:U1089" si="134">I1026</f>
        <v>1</v>
      </c>
      <c r="V1026" s="403" t="str">
        <f t="shared" ref="V1026:V1089" si="135">C1026</f>
        <v>CPP_7_3</v>
      </c>
    </row>
    <row r="1027" spans="1:22">
      <c r="A1027" t="str">
        <f t="shared" si="128"/>
        <v>NBE-3503-AL</v>
      </c>
      <c r="B1027" s="403" t="s">
        <v>1370</v>
      </c>
      <c r="C1027" s="403" t="s">
        <v>582</v>
      </c>
      <c r="D1027" s="403" t="s">
        <v>1371</v>
      </c>
      <c r="E1027" s="403" t="s">
        <v>778</v>
      </c>
      <c r="F1027" s="403" t="s">
        <v>1372</v>
      </c>
      <c r="G1027" s="403" t="s">
        <v>1467</v>
      </c>
      <c r="H1027" s="403" t="s">
        <v>1281</v>
      </c>
      <c r="I1027" s="403">
        <v>1</v>
      </c>
      <c r="J1027" s="403" t="s">
        <v>109</v>
      </c>
      <c r="K1027" s="403">
        <v>720</v>
      </c>
      <c r="L1027" s="403">
        <v>1280</v>
      </c>
      <c r="M1027" s="403" t="s">
        <v>1279</v>
      </c>
      <c r="N1027" s="403">
        <v>0</v>
      </c>
      <c r="O1027" s="403">
        <v>0</v>
      </c>
      <c r="P1027" t="str">
        <f t="shared" si="129"/>
        <v>25fps 720p - SD ROI PTZ</v>
      </c>
      <c r="Q1027">
        <f t="shared" si="130"/>
        <v>6</v>
      </c>
      <c r="R1027" t="str">
        <f t="shared" si="131"/>
        <v/>
      </c>
      <c r="S1027" t="str">
        <f t="shared" si="132"/>
        <v/>
      </c>
      <c r="T1027" s="403" t="str">
        <f t="shared" si="133"/>
        <v>NBE-3503-AL</v>
      </c>
      <c r="U1027" s="403">
        <f t="shared" si="134"/>
        <v>1</v>
      </c>
      <c r="V1027" s="403" t="str">
        <f t="shared" si="135"/>
        <v>CPP_7_3</v>
      </c>
    </row>
    <row r="1028" spans="1:22">
      <c r="A1028" t="str">
        <f t="shared" si="128"/>
        <v>NBE-3503-AL</v>
      </c>
      <c r="B1028" s="403" t="s">
        <v>1370</v>
      </c>
      <c r="C1028" s="403" t="s">
        <v>582</v>
      </c>
      <c r="D1028" s="403" t="s">
        <v>1371</v>
      </c>
      <c r="E1028" s="403" t="s">
        <v>778</v>
      </c>
      <c r="F1028" s="403" t="s">
        <v>1372</v>
      </c>
      <c r="G1028" s="403" t="s">
        <v>1467</v>
      </c>
      <c r="H1028" s="403" t="s">
        <v>1281</v>
      </c>
      <c r="I1028" s="403">
        <v>1</v>
      </c>
      <c r="J1028" s="403" t="s">
        <v>109</v>
      </c>
      <c r="K1028" s="403">
        <v>720</v>
      </c>
      <c r="L1028" s="403">
        <v>1280</v>
      </c>
      <c r="M1028" s="403" t="s">
        <v>1283</v>
      </c>
      <c r="N1028" s="403">
        <v>0</v>
      </c>
      <c r="O1028" s="403">
        <v>0</v>
      </c>
      <c r="P1028" t="str">
        <f t="shared" si="129"/>
        <v>25fps 720p - SD 4CIF resolution 4:3 format (cropped)</v>
      </c>
      <c r="Q1028">
        <f t="shared" si="130"/>
        <v>6</v>
      </c>
      <c r="R1028" t="str">
        <f t="shared" si="131"/>
        <v/>
      </c>
      <c r="S1028" t="str">
        <f t="shared" si="132"/>
        <v/>
      </c>
      <c r="T1028" s="403" t="str">
        <f t="shared" si="133"/>
        <v>NBE-3503-AL</v>
      </c>
      <c r="U1028" s="403">
        <f t="shared" si="134"/>
        <v>1</v>
      </c>
      <c r="V1028" s="403" t="str">
        <f t="shared" si="135"/>
        <v>CPP_7_3</v>
      </c>
    </row>
    <row r="1029" spans="1:22">
      <c r="A1029" t="str">
        <f t="shared" si="128"/>
        <v>NBE-3503-AL</v>
      </c>
      <c r="B1029" s="403" t="s">
        <v>1370</v>
      </c>
      <c r="C1029" s="403" t="s">
        <v>582</v>
      </c>
      <c r="D1029" s="403" t="s">
        <v>1371</v>
      </c>
      <c r="E1029" s="403" t="s">
        <v>778</v>
      </c>
      <c r="F1029" s="403" t="s">
        <v>1372</v>
      </c>
      <c r="G1029" s="403" t="s">
        <v>1467</v>
      </c>
      <c r="H1029" s="403" t="s">
        <v>1281</v>
      </c>
      <c r="I1029" s="403">
        <v>1</v>
      </c>
      <c r="J1029" s="403" t="s">
        <v>109</v>
      </c>
      <c r="K1029" s="403">
        <v>720</v>
      </c>
      <c r="L1029" s="403">
        <v>1280</v>
      </c>
      <c r="M1029" s="403" t="s">
        <v>1284</v>
      </c>
      <c r="N1029" s="403">
        <v>0</v>
      </c>
      <c r="O1029" s="403">
        <v>0</v>
      </c>
      <c r="P1029" t="str">
        <f t="shared" si="129"/>
        <v>25fps 720p - SD VGA (cropped)</v>
      </c>
      <c r="Q1029">
        <f t="shared" si="130"/>
        <v>6</v>
      </c>
      <c r="R1029" t="str">
        <f t="shared" si="131"/>
        <v/>
      </c>
      <c r="S1029" t="str">
        <f t="shared" si="132"/>
        <v/>
      </c>
      <c r="T1029" s="403" t="str">
        <f t="shared" si="133"/>
        <v>NBE-3503-AL</v>
      </c>
      <c r="U1029" s="403">
        <f t="shared" si="134"/>
        <v>1</v>
      </c>
      <c r="V1029" s="403" t="str">
        <f t="shared" si="135"/>
        <v>CPP_7_3</v>
      </c>
    </row>
    <row r="1030" spans="1:22">
      <c r="A1030" t="str">
        <f t="shared" si="128"/>
        <v>NBE-3503-AL</v>
      </c>
      <c r="B1030" s="403" t="s">
        <v>1370</v>
      </c>
      <c r="C1030" s="403" t="s">
        <v>582</v>
      </c>
      <c r="D1030" s="403" t="s">
        <v>1371</v>
      </c>
      <c r="E1030" s="403" t="s">
        <v>778</v>
      </c>
      <c r="F1030" s="403" t="s">
        <v>1372</v>
      </c>
      <c r="G1030" s="403" t="s">
        <v>1467</v>
      </c>
      <c r="H1030" s="403" t="s">
        <v>1281</v>
      </c>
      <c r="I1030" s="403">
        <v>1</v>
      </c>
      <c r="J1030" s="403" t="s">
        <v>1374</v>
      </c>
      <c r="K1030" s="403">
        <v>1296</v>
      </c>
      <c r="L1030" s="403">
        <v>2304</v>
      </c>
      <c r="M1030" s="403" t="s">
        <v>1280</v>
      </c>
      <c r="N1030" s="403">
        <v>1296</v>
      </c>
      <c r="O1030" s="403">
        <v>2304</v>
      </c>
      <c r="P1030" t="str">
        <f t="shared" si="129"/>
        <v>25fps 2304x1296 - copy other stream</v>
      </c>
      <c r="Q1030">
        <f t="shared" si="130"/>
        <v>6</v>
      </c>
      <c r="R1030" t="str">
        <f t="shared" si="131"/>
        <v/>
      </c>
      <c r="S1030" t="str">
        <f t="shared" si="132"/>
        <v/>
      </c>
      <c r="T1030" s="403" t="str">
        <f t="shared" si="133"/>
        <v>NBE-3503-AL</v>
      </c>
      <c r="U1030" s="403">
        <f t="shared" si="134"/>
        <v>1</v>
      </c>
      <c r="V1030" s="403" t="str">
        <f t="shared" si="135"/>
        <v>CPP_7_3</v>
      </c>
    </row>
    <row r="1031" spans="1:22">
      <c r="A1031" t="str">
        <f t="shared" si="128"/>
        <v>NBE-3503-AL</v>
      </c>
      <c r="B1031" s="403" t="s">
        <v>1370</v>
      </c>
      <c r="C1031" s="403" t="s">
        <v>582</v>
      </c>
      <c r="D1031" s="403" t="s">
        <v>1371</v>
      </c>
      <c r="E1031" s="403" t="s">
        <v>778</v>
      </c>
      <c r="F1031" s="403" t="s">
        <v>1372</v>
      </c>
      <c r="G1031" s="403" t="s">
        <v>1467</v>
      </c>
      <c r="H1031" s="403" t="s">
        <v>1281</v>
      </c>
      <c r="I1031" s="403">
        <v>1</v>
      </c>
      <c r="J1031" s="403" t="s">
        <v>110</v>
      </c>
      <c r="K1031" s="403">
        <v>1080</v>
      </c>
      <c r="L1031" s="403">
        <v>1920</v>
      </c>
      <c r="M1031" s="403" t="s">
        <v>111</v>
      </c>
      <c r="N1031" s="403">
        <v>432</v>
      </c>
      <c r="O1031" s="403">
        <v>768</v>
      </c>
      <c r="P1031" t="str">
        <f t="shared" si="129"/>
        <v>25fps 1080p - SD</v>
      </c>
      <c r="Q1031">
        <f t="shared" si="130"/>
        <v>6</v>
      </c>
      <c r="R1031" t="str">
        <f t="shared" si="131"/>
        <v/>
      </c>
      <c r="S1031" t="str">
        <f t="shared" si="132"/>
        <v/>
      </c>
      <c r="T1031" s="403" t="str">
        <f t="shared" si="133"/>
        <v>NBE-3503-AL</v>
      </c>
      <c r="U1031" s="403">
        <f t="shared" si="134"/>
        <v>1</v>
      </c>
      <c r="V1031" s="403" t="str">
        <f t="shared" si="135"/>
        <v>CPP_7_3</v>
      </c>
    </row>
    <row r="1032" spans="1:22">
      <c r="A1032" t="str">
        <f t="shared" si="128"/>
        <v>NBE-3503-AL</v>
      </c>
      <c r="B1032" s="403" t="s">
        <v>1370</v>
      </c>
      <c r="C1032" s="403" t="s">
        <v>582</v>
      </c>
      <c r="D1032" s="403" t="s">
        <v>1371</v>
      </c>
      <c r="E1032" s="403" t="s">
        <v>778</v>
      </c>
      <c r="F1032" s="403" t="s">
        <v>1372</v>
      </c>
      <c r="G1032" s="403" t="s">
        <v>1467</v>
      </c>
      <c r="H1032" s="403" t="s">
        <v>1281</v>
      </c>
      <c r="I1032" s="403">
        <v>1</v>
      </c>
      <c r="J1032" s="403" t="s">
        <v>110</v>
      </c>
      <c r="K1032" s="403">
        <v>1080</v>
      </c>
      <c r="L1032" s="403">
        <v>1920</v>
      </c>
      <c r="M1032" s="403" t="s">
        <v>109</v>
      </c>
      <c r="N1032" s="403">
        <v>720</v>
      </c>
      <c r="O1032" s="403">
        <v>1280</v>
      </c>
      <c r="P1032" t="str">
        <f t="shared" si="129"/>
        <v>25fps 1080p - 720p</v>
      </c>
      <c r="Q1032">
        <f t="shared" si="130"/>
        <v>6</v>
      </c>
      <c r="R1032" t="str">
        <f t="shared" si="131"/>
        <v/>
      </c>
      <c r="S1032" t="str">
        <f t="shared" si="132"/>
        <v/>
      </c>
      <c r="T1032" s="403" t="str">
        <f t="shared" si="133"/>
        <v>NBE-3503-AL</v>
      </c>
      <c r="U1032" s="403">
        <f t="shared" si="134"/>
        <v>1</v>
      </c>
      <c r="V1032" s="403" t="str">
        <f t="shared" si="135"/>
        <v>CPP_7_3</v>
      </c>
    </row>
    <row r="1033" spans="1:22">
      <c r="A1033" t="str">
        <f t="shared" si="128"/>
        <v>NBE-3503-AL</v>
      </c>
      <c r="B1033" s="403" t="s">
        <v>1370</v>
      </c>
      <c r="C1033" s="403" t="s">
        <v>582</v>
      </c>
      <c r="D1033" s="403" t="s">
        <v>1371</v>
      </c>
      <c r="E1033" s="403" t="s">
        <v>778</v>
      </c>
      <c r="F1033" s="403" t="s">
        <v>1372</v>
      </c>
      <c r="G1033" s="403" t="s">
        <v>1467</v>
      </c>
      <c r="H1033" s="403" t="s">
        <v>1281</v>
      </c>
      <c r="I1033" s="403">
        <v>1</v>
      </c>
      <c r="J1033" s="403" t="s">
        <v>110</v>
      </c>
      <c r="K1033" s="403">
        <v>1080</v>
      </c>
      <c r="L1033" s="403">
        <v>1920</v>
      </c>
      <c r="M1033" s="403" t="s">
        <v>1285</v>
      </c>
      <c r="N1033" s="403">
        <v>1024</v>
      </c>
      <c r="O1033" s="403">
        <v>1280</v>
      </c>
      <c r="P1033" t="str">
        <f t="shared" si="129"/>
        <v>25fps 1080p - 1280x1024 5:4 (cropped)</v>
      </c>
      <c r="Q1033">
        <f t="shared" si="130"/>
        <v>6</v>
      </c>
      <c r="R1033" t="str">
        <f t="shared" si="131"/>
        <v/>
      </c>
      <c r="S1033" t="str">
        <f t="shared" si="132"/>
        <v/>
      </c>
      <c r="T1033" s="403" t="str">
        <f t="shared" si="133"/>
        <v>NBE-3503-AL</v>
      </c>
      <c r="U1033" s="403">
        <f t="shared" si="134"/>
        <v>1</v>
      </c>
      <c r="V1033" s="403" t="str">
        <f t="shared" si="135"/>
        <v>CPP_7_3</v>
      </c>
    </row>
    <row r="1034" spans="1:22">
      <c r="A1034" t="str">
        <f t="shared" si="128"/>
        <v>NBE-3503-AL</v>
      </c>
      <c r="B1034" s="403" t="s">
        <v>1370</v>
      </c>
      <c r="C1034" s="403" t="s">
        <v>582</v>
      </c>
      <c r="D1034" s="403" t="s">
        <v>1371</v>
      </c>
      <c r="E1034" s="403" t="s">
        <v>778</v>
      </c>
      <c r="F1034" s="403" t="s">
        <v>1372</v>
      </c>
      <c r="G1034" s="403" t="s">
        <v>1467</v>
      </c>
      <c r="H1034" s="403" t="s">
        <v>1281</v>
      </c>
      <c r="I1034" s="403">
        <v>1</v>
      </c>
      <c r="J1034" s="403" t="s">
        <v>110</v>
      </c>
      <c r="K1034" s="403">
        <v>1080</v>
      </c>
      <c r="L1034" s="403">
        <v>1920</v>
      </c>
      <c r="M1034" s="403" t="s">
        <v>1279</v>
      </c>
      <c r="N1034" s="403">
        <v>432</v>
      </c>
      <c r="O1034" s="403">
        <v>768</v>
      </c>
      <c r="P1034" t="str">
        <f t="shared" si="129"/>
        <v>25fps 1080p - SD ROI PTZ</v>
      </c>
      <c r="Q1034">
        <f t="shared" si="130"/>
        <v>6</v>
      </c>
      <c r="R1034" t="str">
        <f t="shared" si="131"/>
        <v/>
      </c>
      <c r="S1034" t="str">
        <f t="shared" si="132"/>
        <v/>
      </c>
      <c r="T1034" s="403" t="str">
        <f t="shared" si="133"/>
        <v>NBE-3503-AL</v>
      </c>
      <c r="U1034" s="403">
        <f t="shared" si="134"/>
        <v>1</v>
      </c>
      <c r="V1034" s="403" t="str">
        <f t="shared" si="135"/>
        <v>CPP_7_3</v>
      </c>
    </row>
    <row r="1035" spans="1:22">
      <c r="A1035" t="str">
        <f t="shared" si="128"/>
        <v>NBE-3503-AL</v>
      </c>
      <c r="B1035" s="403" t="s">
        <v>1370</v>
      </c>
      <c r="C1035" s="403" t="s">
        <v>582</v>
      </c>
      <c r="D1035" s="403" t="s">
        <v>1371</v>
      </c>
      <c r="E1035" s="403" t="s">
        <v>778</v>
      </c>
      <c r="F1035" s="403" t="s">
        <v>1372</v>
      </c>
      <c r="G1035" s="403" t="s">
        <v>1467</v>
      </c>
      <c r="H1035" s="403" t="s">
        <v>1281</v>
      </c>
      <c r="I1035" s="403">
        <v>1</v>
      </c>
      <c r="J1035" s="403" t="s">
        <v>110</v>
      </c>
      <c r="K1035" s="403">
        <v>1080</v>
      </c>
      <c r="L1035" s="403">
        <v>1920</v>
      </c>
      <c r="M1035" s="403" t="s">
        <v>1283</v>
      </c>
      <c r="N1035" s="403">
        <v>576</v>
      </c>
      <c r="O1035" s="403">
        <v>720</v>
      </c>
      <c r="P1035" t="str">
        <f t="shared" si="129"/>
        <v>25fps 1080p - SD 4CIF resolution 4:3 format (cropped)</v>
      </c>
      <c r="Q1035">
        <f t="shared" si="130"/>
        <v>6</v>
      </c>
      <c r="R1035" t="str">
        <f t="shared" si="131"/>
        <v/>
      </c>
      <c r="S1035" t="str">
        <f t="shared" si="132"/>
        <v/>
      </c>
      <c r="T1035" s="403" t="str">
        <f t="shared" si="133"/>
        <v>NBE-3503-AL</v>
      </c>
      <c r="U1035" s="403">
        <f t="shared" si="134"/>
        <v>1</v>
      </c>
      <c r="V1035" s="403" t="str">
        <f t="shared" si="135"/>
        <v>CPP_7_3</v>
      </c>
    </row>
    <row r="1036" spans="1:22">
      <c r="A1036" t="str">
        <f t="shared" si="128"/>
        <v>NBE-3503-AL</v>
      </c>
      <c r="B1036" s="403" t="s">
        <v>1370</v>
      </c>
      <c r="C1036" s="403" t="s">
        <v>582</v>
      </c>
      <c r="D1036" s="403" t="s">
        <v>1371</v>
      </c>
      <c r="E1036" s="403" t="s">
        <v>778</v>
      </c>
      <c r="F1036" s="403" t="s">
        <v>1372</v>
      </c>
      <c r="G1036" s="403" t="s">
        <v>1467</v>
      </c>
      <c r="H1036" s="403" t="s">
        <v>1281</v>
      </c>
      <c r="I1036" s="403">
        <v>1</v>
      </c>
      <c r="J1036" s="403" t="s">
        <v>110</v>
      </c>
      <c r="K1036" s="403">
        <v>1080</v>
      </c>
      <c r="L1036" s="403">
        <v>1920</v>
      </c>
      <c r="M1036" s="403" t="s">
        <v>1284</v>
      </c>
      <c r="N1036" s="403">
        <v>480</v>
      </c>
      <c r="O1036" s="403">
        <v>640</v>
      </c>
      <c r="P1036" t="str">
        <f t="shared" si="129"/>
        <v>25fps 1080p - SD VGA (cropped)</v>
      </c>
      <c r="Q1036">
        <f t="shared" si="130"/>
        <v>6</v>
      </c>
      <c r="R1036" t="str">
        <f t="shared" si="131"/>
        <v/>
      </c>
      <c r="S1036" t="str">
        <f t="shared" si="132"/>
        <v/>
      </c>
      <c r="T1036" s="403" t="str">
        <f t="shared" si="133"/>
        <v>NBE-3503-AL</v>
      </c>
      <c r="U1036" s="403">
        <f t="shared" si="134"/>
        <v>1</v>
      </c>
      <c r="V1036" s="403" t="str">
        <f t="shared" si="135"/>
        <v>CPP_7_3</v>
      </c>
    </row>
    <row r="1037" spans="1:22">
      <c r="A1037" t="str">
        <f t="shared" si="128"/>
        <v>NBE-3503-AL</v>
      </c>
      <c r="B1037" s="403" t="s">
        <v>1370</v>
      </c>
      <c r="C1037" s="403" t="s">
        <v>582</v>
      </c>
      <c r="D1037" s="403" t="s">
        <v>1371</v>
      </c>
      <c r="E1037" s="403" t="s">
        <v>778</v>
      </c>
      <c r="F1037" s="403" t="s">
        <v>1372</v>
      </c>
      <c r="G1037" s="403" t="s">
        <v>1467</v>
      </c>
      <c r="H1037" s="403" t="s">
        <v>1281</v>
      </c>
      <c r="I1037" s="403">
        <v>1</v>
      </c>
      <c r="J1037" s="403" t="s">
        <v>109</v>
      </c>
      <c r="K1037" s="403">
        <v>720</v>
      </c>
      <c r="L1037" s="403">
        <v>1280</v>
      </c>
      <c r="M1037" s="403" t="s">
        <v>109</v>
      </c>
      <c r="N1037" s="403">
        <v>720</v>
      </c>
      <c r="O1037" s="403">
        <v>1280</v>
      </c>
      <c r="P1037" t="str">
        <f t="shared" si="129"/>
        <v>25fps 720p - 720p</v>
      </c>
      <c r="Q1037">
        <f t="shared" si="130"/>
        <v>6</v>
      </c>
      <c r="R1037" t="str">
        <f t="shared" si="131"/>
        <v/>
      </c>
      <c r="S1037" t="str">
        <f t="shared" si="132"/>
        <v/>
      </c>
      <c r="T1037" s="403" t="str">
        <f t="shared" si="133"/>
        <v>NBE-3503-AL</v>
      </c>
      <c r="U1037" s="403">
        <f t="shared" si="134"/>
        <v>1</v>
      </c>
      <c r="V1037" s="403" t="str">
        <f t="shared" si="135"/>
        <v>CPP_7_3</v>
      </c>
    </row>
    <row r="1038" spans="1:22">
      <c r="A1038" t="str">
        <f t="shared" si="128"/>
        <v>NBE-3503-AL</v>
      </c>
      <c r="B1038" s="403" t="s">
        <v>1370</v>
      </c>
      <c r="C1038" s="403" t="s">
        <v>582</v>
      </c>
      <c r="D1038" s="403" t="s">
        <v>1371</v>
      </c>
      <c r="E1038" s="403" t="s">
        <v>778</v>
      </c>
      <c r="F1038" s="403" t="s">
        <v>1372</v>
      </c>
      <c r="G1038" s="403" t="s">
        <v>1467</v>
      </c>
      <c r="H1038" s="403" t="s">
        <v>1281</v>
      </c>
      <c r="I1038" s="403">
        <v>1</v>
      </c>
      <c r="J1038" s="403" t="s">
        <v>109</v>
      </c>
      <c r="K1038" s="403">
        <v>720</v>
      </c>
      <c r="L1038" s="403">
        <v>1280</v>
      </c>
      <c r="M1038" s="403" t="s">
        <v>111</v>
      </c>
      <c r="N1038" s="403">
        <v>432</v>
      </c>
      <c r="O1038" s="403">
        <v>768</v>
      </c>
      <c r="P1038" t="str">
        <f t="shared" si="129"/>
        <v>25fps 720p - SD</v>
      </c>
      <c r="Q1038">
        <f t="shared" si="130"/>
        <v>6</v>
      </c>
      <c r="R1038" t="str">
        <f t="shared" si="131"/>
        <v/>
      </c>
      <c r="S1038" t="str">
        <f t="shared" si="132"/>
        <v/>
      </c>
      <c r="T1038" s="403" t="str">
        <f t="shared" si="133"/>
        <v>NBE-3503-AL</v>
      </c>
      <c r="U1038" s="403">
        <f t="shared" si="134"/>
        <v>1</v>
      </c>
      <c r="V1038" s="403" t="str">
        <f t="shared" si="135"/>
        <v>CPP_7_3</v>
      </c>
    </row>
    <row r="1039" spans="1:22">
      <c r="A1039" t="str">
        <f t="shared" si="128"/>
        <v>NBE-3503-AL</v>
      </c>
      <c r="B1039" s="403" t="s">
        <v>1370</v>
      </c>
      <c r="C1039" s="403" t="s">
        <v>582</v>
      </c>
      <c r="D1039" s="403" t="s">
        <v>1371</v>
      </c>
      <c r="E1039" s="403" t="s">
        <v>778</v>
      </c>
      <c r="F1039" s="403" t="s">
        <v>1372</v>
      </c>
      <c r="G1039" s="403" t="s">
        <v>1467</v>
      </c>
      <c r="H1039" s="403" t="s">
        <v>1281</v>
      </c>
      <c r="I1039" s="403">
        <v>1</v>
      </c>
      <c r="J1039" s="403" t="s">
        <v>109</v>
      </c>
      <c r="K1039" s="403">
        <v>720</v>
      </c>
      <c r="L1039" s="403">
        <v>1280</v>
      </c>
      <c r="M1039" s="403" t="s">
        <v>1279</v>
      </c>
      <c r="N1039" s="403">
        <v>432</v>
      </c>
      <c r="O1039" s="403">
        <v>768</v>
      </c>
      <c r="P1039" t="str">
        <f t="shared" si="129"/>
        <v>25fps 720p - SD ROI PTZ</v>
      </c>
      <c r="Q1039">
        <f t="shared" si="130"/>
        <v>6</v>
      </c>
      <c r="R1039" t="str">
        <f t="shared" si="131"/>
        <v/>
      </c>
      <c r="S1039" t="str">
        <f t="shared" si="132"/>
        <v/>
      </c>
      <c r="T1039" s="403" t="str">
        <f t="shared" si="133"/>
        <v>NBE-3503-AL</v>
      </c>
      <c r="U1039" s="403">
        <f t="shared" si="134"/>
        <v>1</v>
      </c>
      <c r="V1039" s="403" t="str">
        <f t="shared" si="135"/>
        <v>CPP_7_3</v>
      </c>
    </row>
    <row r="1040" spans="1:22">
      <c r="A1040" t="str">
        <f t="shared" si="128"/>
        <v>NBE-3503-AL</v>
      </c>
      <c r="B1040" s="403" t="s">
        <v>1370</v>
      </c>
      <c r="C1040" s="403" t="s">
        <v>582</v>
      </c>
      <c r="D1040" s="403" t="s">
        <v>1371</v>
      </c>
      <c r="E1040" s="403" t="s">
        <v>778</v>
      </c>
      <c r="F1040" s="403" t="s">
        <v>1372</v>
      </c>
      <c r="G1040" s="403" t="s">
        <v>1467</v>
      </c>
      <c r="H1040" s="403" t="s">
        <v>1281</v>
      </c>
      <c r="I1040" s="403">
        <v>1</v>
      </c>
      <c r="J1040" s="403" t="s">
        <v>109</v>
      </c>
      <c r="K1040" s="403">
        <v>720</v>
      </c>
      <c r="L1040" s="403">
        <v>1280</v>
      </c>
      <c r="M1040" s="403" t="s">
        <v>1283</v>
      </c>
      <c r="N1040" s="403">
        <v>576</v>
      </c>
      <c r="O1040" s="403">
        <v>720</v>
      </c>
      <c r="P1040" t="str">
        <f t="shared" si="129"/>
        <v>25fps 720p - SD 4CIF resolution 4:3 format (cropped)</v>
      </c>
      <c r="Q1040">
        <f t="shared" si="130"/>
        <v>6</v>
      </c>
      <c r="R1040" t="str">
        <f t="shared" si="131"/>
        <v/>
      </c>
      <c r="S1040" t="str">
        <f t="shared" si="132"/>
        <v/>
      </c>
      <c r="T1040" s="403" t="str">
        <f t="shared" si="133"/>
        <v>NBE-3503-AL</v>
      </c>
      <c r="U1040" s="403">
        <f t="shared" si="134"/>
        <v>1</v>
      </c>
      <c r="V1040" s="403" t="str">
        <f t="shared" si="135"/>
        <v>CPP_7_3</v>
      </c>
    </row>
    <row r="1041" spans="1:22">
      <c r="A1041" t="str">
        <f t="shared" si="128"/>
        <v>NBE-3503-AL</v>
      </c>
      <c r="B1041" s="403" t="s">
        <v>1370</v>
      </c>
      <c r="C1041" s="403" t="s">
        <v>582</v>
      </c>
      <c r="D1041" s="403" t="s">
        <v>1371</v>
      </c>
      <c r="E1041" s="403" t="s">
        <v>778</v>
      </c>
      <c r="F1041" s="403" t="s">
        <v>1372</v>
      </c>
      <c r="G1041" s="403" t="s">
        <v>1467</v>
      </c>
      <c r="H1041" s="403" t="s">
        <v>1281</v>
      </c>
      <c r="I1041" s="403">
        <v>1</v>
      </c>
      <c r="J1041" s="403" t="s">
        <v>109</v>
      </c>
      <c r="K1041" s="403">
        <v>720</v>
      </c>
      <c r="L1041" s="403">
        <v>1280</v>
      </c>
      <c r="M1041" s="403" t="s">
        <v>1284</v>
      </c>
      <c r="N1041" s="403">
        <v>480</v>
      </c>
      <c r="O1041" s="403">
        <v>640</v>
      </c>
      <c r="P1041" t="str">
        <f t="shared" si="129"/>
        <v>25fps 720p - SD VGA (cropped)</v>
      </c>
      <c r="Q1041">
        <f t="shared" si="130"/>
        <v>6</v>
      </c>
      <c r="R1041" t="str">
        <f t="shared" si="131"/>
        <v/>
      </c>
      <c r="S1041" t="str">
        <f t="shared" si="132"/>
        <v/>
      </c>
      <c r="T1041" s="403" t="str">
        <f t="shared" si="133"/>
        <v>NBE-3503-AL</v>
      </c>
      <c r="U1041" s="403">
        <f t="shared" si="134"/>
        <v>1</v>
      </c>
      <c r="V1041" s="403" t="str">
        <f t="shared" si="135"/>
        <v>CPP_7_3</v>
      </c>
    </row>
    <row r="1042" spans="1:22">
      <c r="A1042" t="str">
        <f t="shared" si="128"/>
        <v>NBE-3503-AL</v>
      </c>
      <c r="B1042" s="403" t="s">
        <v>1370</v>
      </c>
      <c r="C1042" s="403" t="s">
        <v>582</v>
      </c>
      <c r="D1042" s="403" t="s">
        <v>1371</v>
      </c>
      <c r="E1042" s="403" t="s">
        <v>778</v>
      </c>
      <c r="F1042" s="403" t="s">
        <v>1375</v>
      </c>
      <c r="G1042" s="403" t="s">
        <v>1466</v>
      </c>
      <c r="H1042" s="403" t="s">
        <v>1276</v>
      </c>
      <c r="I1042" s="403">
        <v>1</v>
      </c>
      <c r="J1042" s="403" t="s">
        <v>1376</v>
      </c>
      <c r="K1042" s="403">
        <v>3072</v>
      </c>
      <c r="L1042" s="403">
        <v>1728</v>
      </c>
      <c r="M1042" s="403" t="s">
        <v>111</v>
      </c>
      <c r="N1042" s="403">
        <v>0</v>
      </c>
      <c r="O1042" s="403">
        <v>0</v>
      </c>
      <c r="P1042" t="str">
        <f t="shared" si="129"/>
        <v>20fps 3072x1728 - SD</v>
      </c>
      <c r="Q1042">
        <f t="shared" si="130"/>
        <v>6</v>
      </c>
      <c r="R1042" t="str">
        <f t="shared" si="131"/>
        <v/>
      </c>
      <c r="S1042" t="str">
        <f t="shared" si="132"/>
        <v/>
      </c>
      <c r="T1042" s="403" t="str">
        <f t="shared" si="133"/>
        <v>NBE-3503-AL</v>
      </c>
      <c r="U1042" s="403">
        <f t="shared" si="134"/>
        <v>1</v>
      </c>
      <c r="V1042" s="403" t="str">
        <f t="shared" si="135"/>
        <v>CPP_7_3</v>
      </c>
    </row>
    <row r="1043" spans="1:22">
      <c r="A1043" t="str">
        <f t="shared" si="128"/>
        <v>NBE-3503-AL</v>
      </c>
      <c r="B1043" s="403" t="s">
        <v>1370</v>
      </c>
      <c r="C1043" s="403" t="s">
        <v>582</v>
      </c>
      <c r="D1043" s="403" t="s">
        <v>1371</v>
      </c>
      <c r="E1043" s="403" t="s">
        <v>778</v>
      </c>
      <c r="F1043" s="403" t="s">
        <v>1375</v>
      </c>
      <c r="G1043" s="403" t="s">
        <v>1466</v>
      </c>
      <c r="H1043" s="403" t="s">
        <v>1276</v>
      </c>
      <c r="I1043" s="403">
        <v>1</v>
      </c>
      <c r="J1043" s="403" t="s">
        <v>1376</v>
      </c>
      <c r="K1043" s="403">
        <v>3072</v>
      </c>
      <c r="L1043" s="403">
        <v>1728</v>
      </c>
      <c r="M1043" s="403" t="s">
        <v>1280</v>
      </c>
      <c r="N1043" s="403">
        <v>0</v>
      </c>
      <c r="O1043" s="403">
        <v>0</v>
      </c>
      <c r="P1043" t="str">
        <f t="shared" si="129"/>
        <v>20fps 3072x1728 - copy other stream</v>
      </c>
      <c r="Q1043">
        <f t="shared" si="130"/>
        <v>6</v>
      </c>
      <c r="R1043" t="str">
        <f t="shared" si="131"/>
        <v/>
      </c>
      <c r="S1043" t="str">
        <f t="shared" si="132"/>
        <v/>
      </c>
      <c r="T1043" s="403" t="str">
        <f t="shared" si="133"/>
        <v>NBE-3503-AL</v>
      </c>
      <c r="U1043" s="403">
        <f t="shared" si="134"/>
        <v>1</v>
      </c>
      <c r="V1043" s="403" t="str">
        <f t="shared" si="135"/>
        <v>CPP_7_3</v>
      </c>
    </row>
    <row r="1044" spans="1:22">
      <c r="A1044" t="str">
        <f t="shared" si="128"/>
        <v>NBE-3503-AL</v>
      </c>
      <c r="B1044" s="403" t="s">
        <v>1370</v>
      </c>
      <c r="C1044" s="403" t="s">
        <v>582</v>
      </c>
      <c r="D1044" s="403" t="s">
        <v>1371</v>
      </c>
      <c r="E1044" s="403" t="s">
        <v>778</v>
      </c>
      <c r="F1044" s="403" t="s">
        <v>1375</v>
      </c>
      <c r="G1044" s="403" t="s">
        <v>1466</v>
      </c>
      <c r="H1044" s="403" t="s">
        <v>1276</v>
      </c>
      <c r="I1044" s="403">
        <v>1</v>
      </c>
      <c r="J1044" s="403" t="s">
        <v>1376</v>
      </c>
      <c r="K1044" s="403">
        <v>3072</v>
      </c>
      <c r="L1044" s="403">
        <v>1728</v>
      </c>
      <c r="M1044" s="403" t="s">
        <v>1283</v>
      </c>
      <c r="N1044" s="403">
        <v>0</v>
      </c>
      <c r="O1044" s="403">
        <v>0</v>
      </c>
      <c r="P1044" t="str">
        <f t="shared" si="129"/>
        <v>20fps 3072x1728 - SD 4CIF resolution 4:3 format (cropped)</v>
      </c>
      <c r="Q1044">
        <f t="shared" si="130"/>
        <v>6</v>
      </c>
      <c r="R1044" t="str">
        <f t="shared" si="131"/>
        <v/>
      </c>
      <c r="S1044" t="str">
        <f t="shared" si="132"/>
        <v/>
      </c>
      <c r="T1044" s="403" t="str">
        <f t="shared" si="133"/>
        <v>NBE-3503-AL</v>
      </c>
      <c r="U1044" s="403">
        <f t="shared" si="134"/>
        <v>1</v>
      </c>
      <c r="V1044" s="403" t="str">
        <f t="shared" si="135"/>
        <v>CPP_7_3</v>
      </c>
    </row>
    <row r="1045" spans="1:22">
      <c r="A1045" t="str">
        <f t="shared" si="128"/>
        <v>NBE-3503-AL</v>
      </c>
      <c r="B1045" s="403" t="s">
        <v>1370</v>
      </c>
      <c r="C1045" s="403" t="s">
        <v>582</v>
      </c>
      <c r="D1045" s="403" t="s">
        <v>1371</v>
      </c>
      <c r="E1045" s="403" t="s">
        <v>778</v>
      </c>
      <c r="F1045" s="403" t="s">
        <v>1375</v>
      </c>
      <c r="G1045" s="403" t="s">
        <v>1466</v>
      </c>
      <c r="H1045" s="403" t="s">
        <v>1276</v>
      </c>
      <c r="I1045" s="403">
        <v>1</v>
      </c>
      <c r="J1045" s="403" t="s">
        <v>1376</v>
      </c>
      <c r="K1045" s="403">
        <v>3072</v>
      </c>
      <c r="L1045" s="403">
        <v>1728</v>
      </c>
      <c r="M1045" s="403" t="s">
        <v>1279</v>
      </c>
      <c r="N1045" s="403">
        <v>0</v>
      </c>
      <c r="O1045" s="403">
        <v>0</v>
      </c>
      <c r="P1045" t="str">
        <f t="shared" si="129"/>
        <v>20fps 3072x1728 - SD ROI PTZ</v>
      </c>
      <c r="Q1045">
        <f t="shared" si="130"/>
        <v>6</v>
      </c>
      <c r="R1045" t="str">
        <f t="shared" si="131"/>
        <v/>
      </c>
      <c r="S1045" t="str">
        <f t="shared" si="132"/>
        <v/>
      </c>
      <c r="T1045" s="403" t="str">
        <f t="shared" si="133"/>
        <v>NBE-3503-AL</v>
      </c>
      <c r="U1045" s="403">
        <f t="shared" si="134"/>
        <v>1</v>
      </c>
      <c r="V1045" s="403" t="str">
        <f t="shared" si="135"/>
        <v>CPP_7_3</v>
      </c>
    </row>
    <row r="1046" spans="1:22">
      <c r="A1046" t="str">
        <f t="shared" si="128"/>
        <v>NBE-3503-AL</v>
      </c>
      <c r="B1046" s="403" t="s">
        <v>1370</v>
      </c>
      <c r="C1046" s="403" t="s">
        <v>582</v>
      </c>
      <c r="D1046" s="403" t="s">
        <v>1371</v>
      </c>
      <c r="E1046" s="403" t="s">
        <v>778</v>
      </c>
      <c r="F1046" s="403" t="s">
        <v>1375</v>
      </c>
      <c r="G1046" s="403" t="s">
        <v>1466</v>
      </c>
      <c r="H1046" s="403" t="s">
        <v>1276</v>
      </c>
      <c r="I1046" s="403">
        <v>1</v>
      </c>
      <c r="J1046" s="403" t="s">
        <v>1376</v>
      </c>
      <c r="K1046" s="403">
        <v>3072</v>
      </c>
      <c r="L1046" s="403">
        <v>1728</v>
      </c>
      <c r="M1046" s="403" t="s">
        <v>1284</v>
      </c>
      <c r="N1046" s="403">
        <v>0</v>
      </c>
      <c r="O1046" s="403">
        <v>0</v>
      </c>
      <c r="P1046" t="str">
        <f t="shared" si="129"/>
        <v>20fps 3072x1728 - SD VGA (cropped)</v>
      </c>
      <c r="Q1046">
        <f t="shared" si="130"/>
        <v>6</v>
      </c>
      <c r="R1046" t="str">
        <f t="shared" si="131"/>
        <v/>
      </c>
      <c r="S1046" t="str">
        <f t="shared" si="132"/>
        <v/>
      </c>
      <c r="T1046" s="403" t="str">
        <f t="shared" si="133"/>
        <v>NBE-3503-AL</v>
      </c>
      <c r="U1046" s="403">
        <f t="shared" si="134"/>
        <v>1</v>
      </c>
      <c r="V1046" s="403" t="str">
        <f t="shared" si="135"/>
        <v>CPP_7_3</v>
      </c>
    </row>
    <row r="1047" spans="1:22">
      <c r="A1047" t="str">
        <f t="shared" si="128"/>
        <v>NBE-3503-AL</v>
      </c>
      <c r="B1047" s="403" t="s">
        <v>1370</v>
      </c>
      <c r="C1047" s="403" t="s">
        <v>582</v>
      </c>
      <c r="D1047" s="403" t="s">
        <v>1371</v>
      </c>
      <c r="E1047" s="403" t="s">
        <v>778</v>
      </c>
      <c r="F1047" s="403" t="s">
        <v>1375</v>
      </c>
      <c r="G1047" s="403" t="s">
        <v>1466</v>
      </c>
      <c r="H1047" s="403" t="s">
        <v>1276</v>
      </c>
      <c r="I1047" s="403">
        <v>1</v>
      </c>
      <c r="J1047" s="403" t="s">
        <v>1377</v>
      </c>
      <c r="K1047" s="403">
        <v>2720</v>
      </c>
      <c r="L1047" s="403">
        <v>1528</v>
      </c>
      <c r="M1047" s="403" t="s">
        <v>109</v>
      </c>
      <c r="N1047" s="403">
        <v>0</v>
      </c>
      <c r="O1047" s="403">
        <v>0</v>
      </c>
      <c r="P1047" t="str">
        <f t="shared" si="129"/>
        <v>20fps 2720x1530 - 720p</v>
      </c>
      <c r="Q1047">
        <f t="shared" si="130"/>
        <v>6</v>
      </c>
      <c r="R1047" t="str">
        <f t="shared" si="131"/>
        <v/>
      </c>
      <c r="S1047" t="str">
        <f t="shared" si="132"/>
        <v/>
      </c>
      <c r="T1047" s="403" t="str">
        <f t="shared" si="133"/>
        <v>NBE-3503-AL</v>
      </c>
      <c r="U1047" s="403">
        <f t="shared" si="134"/>
        <v>1</v>
      </c>
      <c r="V1047" s="403" t="str">
        <f t="shared" si="135"/>
        <v>CPP_7_3</v>
      </c>
    </row>
    <row r="1048" spans="1:22">
      <c r="A1048" t="str">
        <f t="shared" si="128"/>
        <v>NBE-3503-AL</v>
      </c>
      <c r="B1048" s="403" t="s">
        <v>1370</v>
      </c>
      <c r="C1048" s="403" t="s">
        <v>582</v>
      </c>
      <c r="D1048" s="403" t="s">
        <v>1371</v>
      </c>
      <c r="E1048" s="403" t="s">
        <v>778</v>
      </c>
      <c r="F1048" s="403" t="s">
        <v>1375</v>
      </c>
      <c r="G1048" s="403" t="s">
        <v>1466</v>
      </c>
      <c r="H1048" s="403" t="s">
        <v>1276</v>
      </c>
      <c r="I1048" s="403">
        <v>1</v>
      </c>
      <c r="J1048" s="403" t="s">
        <v>1377</v>
      </c>
      <c r="K1048" s="403">
        <v>2720</v>
      </c>
      <c r="L1048" s="403">
        <v>1528</v>
      </c>
      <c r="M1048" s="403" t="s">
        <v>111</v>
      </c>
      <c r="N1048" s="403">
        <v>0</v>
      </c>
      <c r="O1048" s="403">
        <v>0</v>
      </c>
      <c r="P1048" t="str">
        <f t="shared" si="129"/>
        <v>20fps 2720x1530 - SD</v>
      </c>
      <c r="Q1048">
        <f t="shared" si="130"/>
        <v>6</v>
      </c>
      <c r="R1048" t="str">
        <f t="shared" si="131"/>
        <v/>
      </c>
      <c r="S1048" t="str">
        <f t="shared" si="132"/>
        <v/>
      </c>
      <c r="T1048" s="403" t="str">
        <f t="shared" si="133"/>
        <v>NBE-3503-AL</v>
      </c>
      <c r="U1048" s="403">
        <f t="shared" si="134"/>
        <v>1</v>
      </c>
      <c r="V1048" s="403" t="str">
        <f t="shared" si="135"/>
        <v>CPP_7_3</v>
      </c>
    </row>
    <row r="1049" spans="1:22">
      <c r="A1049" t="str">
        <f t="shared" si="128"/>
        <v>NBE-3503-AL</v>
      </c>
      <c r="B1049" s="403" t="s">
        <v>1370</v>
      </c>
      <c r="C1049" s="403" t="s">
        <v>582</v>
      </c>
      <c r="D1049" s="403" t="s">
        <v>1371</v>
      </c>
      <c r="E1049" s="403" t="s">
        <v>778</v>
      </c>
      <c r="F1049" s="403" t="s">
        <v>1375</v>
      </c>
      <c r="G1049" s="403" t="s">
        <v>1466</v>
      </c>
      <c r="H1049" s="403" t="s">
        <v>1276</v>
      </c>
      <c r="I1049" s="403">
        <v>1</v>
      </c>
      <c r="J1049" s="403" t="s">
        <v>1377</v>
      </c>
      <c r="K1049" s="403">
        <v>2720</v>
      </c>
      <c r="L1049" s="403">
        <v>1528</v>
      </c>
      <c r="M1049" s="403" t="s">
        <v>1279</v>
      </c>
      <c r="N1049" s="403">
        <v>0</v>
      </c>
      <c r="O1049" s="403">
        <v>0</v>
      </c>
      <c r="P1049" t="str">
        <f t="shared" si="129"/>
        <v>20fps 2720x1530 - SD ROI PTZ</v>
      </c>
      <c r="Q1049">
        <f t="shared" si="130"/>
        <v>6</v>
      </c>
      <c r="R1049" t="str">
        <f t="shared" si="131"/>
        <v/>
      </c>
      <c r="S1049" t="str">
        <f t="shared" si="132"/>
        <v/>
      </c>
      <c r="T1049" s="403" t="str">
        <f t="shared" si="133"/>
        <v>NBE-3503-AL</v>
      </c>
      <c r="U1049" s="403">
        <f t="shared" si="134"/>
        <v>1</v>
      </c>
      <c r="V1049" s="403" t="str">
        <f t="shared" si="135"/>
        <v>CPP_7_3</v>
      </c>
    </row>
    <row r="1050" spans="1:22">
      <c r="A1050" t="str">
        <f t="shared" si="128"/>
        <v>NBE-3503-AL</v>
      </c>
      <c r="B1050" s="403" t="s">
        <v>1370</v>
      </c>
      <c r="C1050" s="403" t="s">
        <v>582</v>
      </c>
      <c r="D1050" s="403" t="s">
        <v>1371</v>
      </c>
      <c r="E1050" s="403" t="s">
        <v>778</v>
      </c>
      <c r="F1050" s="403" t="s">
        <v>1375</v>
      </c>
      <c r="G1050" s="403" t="s">
        <v>1466</v>
      </c>
      <c r="H1050" s="403" t="s">
        <v>1276</v>
      </c>
      <c r="I1050" s="403">
        <v>1</v>
      </c>
      <c r="J1050" s="403" t="s">
        <v>1377</v>
      </c>
      <c r="K1050" s="403">
        <v>2720</v>
      </c>
      <c r="L1050" s="403">
        <v>1528</v>
      </c>
      <c r="M1050" s="403" t="s">
        <v>1285</v>
      </c>
      <c r="N1050" s="403">
        <v>0</v>
      </c>
      <c r="O1050" s="403">
        <v>0</v>
      </c>
      <c r="P1050" t="str">
        <f t="shared" si="129"/>
        <v>20fps 2720x1530 - 1280x1024 5:4 (cropped)</v>
      </c>
      <c r="Q1050">
        <f t="shared" si="130"/>
        <v>6</v>
      </c>
      <c r="R1050" t="str">
        <f t="shared" si="131"/>
        <v/>
      </c>
      <c r="S1050" t="str">
        <f t="shared" si="132"/>
        <v/>
      </c>
      <c r="T1050" s="403" t="str">
        <f t="shared" si="133"/>
        <v>NBE-3503-AL</v>
      </c>
      <c r="U1050" s="403">
        <f t="shared" si="134"/>
        <v>1</v>
      </c>
      <c r="V1050" s="403" t="str">
        <f t="shared" si="135"/>
        <v>CPP_7_3</v>
      </c>
    </row>
    <row r="1051" spans="1:22">
      <c r="A1051" t="str">
        <f t="shared" si="128"/>
        <v>NBE-3503-AL</v>
      </c>
      <c r="B1051" s="403" t="s">
        <v>1370</v>
      </c>
      <c r="C1051" s="403" t="s">
        <v>582</v>
      </c>
      <c r="D1051" s="403" t="s">
        <v>1371</v>
      </c>
      <c r="E1051" s="403" t="s">
        <v>778</v>
      </c>
      <c r="F1051" s="403" t="s">
        <v>1375</v>
      </c>
      <c r="G1051" s="403" t="s">
        <v>1466</v>
      </c>
      <c r="H1051" s="403" t="s">
        <v>1276</v>
      </c>
      <c r="I1051" s="403">
        <v>1</v>
      </c>
      <c r="J1051" s="403" t="s">
        <v>1377</v>
      </c>
      <c r="K1051" s="403">
        <v>2720</v>
      </c>
      <c r="L1051" s="403">
        <v>1528</v>
      </c>
      <c r="M1051" s="403" t="s">
        <v>1283</v>
      </c>
      <c r="N1051" s="403">
        <v>0</v>
      </c>
      <c r="O1051" s="403">
        <v>0</v>
      </c>
      <c r="P1051" t="str">
        <f t="shared" si="129"/>
        <v>20fps 2720x1530 - SD 4CIF resolution 4:3 format (cropped)</v>
      </c>
      <c r="Q1051">
        <f t="shared" si="130"/>
        <v>6</v>
      </c>
      <c r="R1051" t="str">
        <f t="shared" si="131"/>
        <v/>
      </c>
      <c r="S1051" t="str">
        <f t="shared" si="132"/>
        <v/>
      </c>
      <c r="T1051" s="403" t="str">
        <f t="shared" si="133"/>
        <v>NBE-3503-AL</v>
      </c>
      <c r="U1051" s="403">
        <f t="shared" si="134"/>
        <v>1</v>
      </c>
      <c r="V1051" s="403" t="str">
        <f t="shared" si="135"/>
        <v>CPP_7_3</v>
      </c>
    </row>
    <row r="1052" spans="1:22">
      <c r="A1052" t="str">
        <f t="shared" si="128"/>
        <v>NBE-3503-AL</v>
      </c>
      <c r="B1052" s="403" t="s">
        <v>1370</v>
      </c>
      <c r="C1052" s="403" t="s">
        <v>582</v>
      </c>
      <c r="D1052" s="403" t="s">
        <v>1371</v>
      </c>
      <c r="E1052" s="403" t="s">
        <v>778</v>
      </c>
      <c r="F1052" s="403" t="s">
        <v>1375</v>
      </c>
      <c r="G1052" s="403" t="s">
        <v>1466</v>
      </c>
      <c r="H1052" s="403" t="s">
        <v>1276</v>
      </c>
      <c r="I1052" s="403">
        <v>1</v>
      </c>
      <c r="J1052" s="403" t="s">
        <v>1377</v>
      </c>
      <c r="K1052" s="403">
        <v>2720</v>
      </c>
      <c r="L1052" s="403">
        <v>1528</v>
      </c>
      <c r="M1052" s="403" t="s">
        <v>1284</v>
      </c>
      <c r="N1052" s="403">
        <v>0</v>
      </c>
      <c r="O1052" s="403">
        <v>0</v>
      </c>
      <c r="P1052" t="str">
        <f t="shared" si="129"/>
        <v>20fps 2720x1530 - SD VGA (cropped)</v>
      </c>
      <c r="Q1052">
        <f t="shared" si="130"/>
        <v>6</v>
      </c>
      <c r="R1052" t="str">
        <f t="shared" si="131"/>
        <v/>
      </c>
      <c r="S1052" t="str">
        <f t="shared" si="132"/>
        <v/>
      </c>
      <c r="T1052" s="403" t="str">
        <f t="shared" si="133"/>
        <v>NBE-3503-AL</v>
      </c>
      <c r="U1052" s="403">
        <f t="shared" si="134"/>
        <v>1</v>
      </c>
      <c r="V1052" s="403" t="str">
        <f t="shared" si="135"/>
        <v>CPP_7_3</v>
      </c>
    </row>
    <row r="1053" spans="1:22">
      <c r="A1053" t="str">
        <f t="shared" si="128"/>
        <v>NBE-3503-AL</v>
      </c>
      <c r="B1053" s="403" t="s">
        <v>1370</v>
      </c>
      <c r="C1053" s="403" t="s">
        <v>582</v>
      </c>
      <c r="D1053" s="403" t="s">
        <v>1371</v>
      </c>
      <c r="E1053" s="403" t="s">
        <v>778</v>
      </c>
      <c r="F1053" s="403" t="s">
        <v>1375</v>
      </c>
      <c r="G1053" s="403" t="s">
        <v>1466</v>
      </c>
      <c r="H1053" s="403" t="s">
        <v>1276</v>
      </c>
      <c r="I1053" s="403">
        <v>1</v>
      </c>
      <c r="J1053" s="403" t="s">
        <v>1377</v>
      </c>
      <c r="K1053" s="403">
        <v>2720</v>
      </c>
      <c r="L1053" s="403">
        <v>1528</v>
      </c>
      <c r="M1053" s="403" t="s">
        <v>1280</v>
      </c>
      <c r="N1053" s="403">
        <v>0</v>
      </c>
      <c r="O1053" s="403">
        <v>0</v>
      </c>
      <c r="P1053" t="str">
        <f t="shared" si="129"/>
        <v>20fps 2720x1530 - copy other stream</v>
      </c>
      <c r="Q1053">
        <f t="shared" si="130"/>
        <v>6</v>
      </c>
      <c r="R1053" t="str">
        <f t="shared" si="131"/>
        <v/>
      </c>
      <c r="S1053" t="str">
        <f t="shared" si="132"/>
        <v/>
      </c>
      <c r="T1053" s="403" t="str">
        <f t="shared" si="133"/>
        <v>NBE-3503-AL</v>
      </c>
      <c r="U1053" s="403">
        <f t="shared" si="134"/>
        <v>1</v>
      </c>
      <c r="V1053" s="403" t="str">
        <f t="shared" si="135"/>
        <v>CPP_7_3</v>
      </c>
    </row>
    <row r="1054" spans="1:22">
      <c r="A1054" t="str">
        <f t="shared" si="128"/>
        <v>NBE-3503-AL</v>
      </c>
      <c r="B1054" s="403" t="s">
        <v>1370</v>
      </c>
      <c r="C1054" s="403" t="s">
        <v>582</v>
      </c>
      <c r="D1054" s="403" t="s">
        <v>1371</v>
      </c>
      <c r="E1054" s="403" t="s">
        <v>778</v>
      </c>
      <c r="F1054" s="403" t="s">
        <v>1375</v>
      </c>
      <c r="G1054" s="403" t="s">
        <v>1466</v>
      </c>
      <c r="H1054" s="403" t="s">
        <v>1276</v>
      </c>
      <c r="I1054" s="403">
        <v>1</v>
      </c>
      <c r="J1054" s="403" t="s">
        <v>1374</v>
      </c>
      <c r="K1054" s="403">
        <v>2304</v>
      </c>
      <c r="L1054" s="403">
        <v>1296</v>
      </c>
      <c r="M1054" s="403" t="s">
        <v>110</v>
      </c>
      <c r="N1054" s="403">
        <v>0</v>
      </c>
      <c r="O1054" s="403">
        <v>0</v>
      </c>
      <c r="P1054" t="str">
        <f t="shared" si="129"/>
        <v>20fps 2304x1296 - 1080p</v>
      </c>
      <c r="Q1054">
        <f t="shared" si="130"/>
        <v>6</v>
      </c>
      <c r="R1054" t="str">
        <f t="shared" si="131"/>
        <v/>
      </c>
      <c r="S1054" t="str">
        <f t="shared" si="132"/>
        <v/>
      </c>
      <c r="T1054" s="403" t="str">
        <f t="shared" si="133"/>
        <v>NBE-3503-AL</v>
      </c>
      <c r="U1054" s="403">
        <f t="shared" si="134"/>
        <v>1</v>
      </c>
      <c r="V1054" s="403" t="str">
        <f t="shared" si="135"/>
        <v>CPP_7_3</v>
      </c>
    </row>
    <row r="1055" spans="1:22">
      <c r="A1055" t="str">
        <f t="shared" si="128"/>
        <v>NBE-3503-AL</v>
      </c>
      <c r="B1055" s="403" t="s">
        <v>1370</v>
      </c>
      <c r="C1055" s="403" t="s">
        <v>582</v>
      </c>
      <c r="D1055" s="403" t="s">
        <v>1371</v>
      </c>
      <c r="E1055" s="403" t="s">
        <v>778</v>
      </c>
      <c r="F1055" s="403" t="s">
        <v>1375</v>
      </c>
      <c r="G1055" s="403" t="s">
        <v>1466</v>
      </c>
      <c r="H1055" s="403" t="s">
        <v>1276</v>
      </c>
      <c r="I1055" s="403">
        <v>1</v>
      </c>
      <c r="J1055" s="403" t="s">
        <v>1374</v>
      </c>
      <c r="K1055" s="403">
        <v>2304</v>
      </c>
      <c r="L1055" s="403">
        <v>1296</v>
      </c>
      <c r="M1055" s="403" t="s">
        <v>109</v>
      </c>
      <c r="N1055" s="403">
        <v>0</v>
      </c>
      <c r="O1055" s="403">
        <v>0</v>
      </c>
      <c r="P1055" t="str">
        <f t="shared" si="129"/>
        <v>20fps 2304x1296 - 720p</v>
      </c>
      <c r="Q1055">
        <f t="shared" si="130"/>
        <v>6</v>
      </c>
      <c r="R1055" t="str">
        <f t="shared" si="131"/>
        <v/>
      </c>
      <c r="S1055" t="str">
        <f t="shared" si="132"/>
        <v/>
      </c>
      <c r="T1055" s="403" t="str">
        <f t="shared" si="133"/>
        <v>NBE-3503-AL</v>
      </c>
      <c r="U1055" s="403">
        <f t="shared" si="134"/>
        <v>1</v>
      </c>
      <c r="V1055" s="403" t="str">
        <f t="shared" si="135"/>
        <v>CPP_7_3</v>
      </c>
    </row>
    <row r="1056" spans="1:22">
      <c r="A1056" t="str">
        <f t="shared" si="128"/>
        <v>NBE-3503-AL</v>
      </c>
      <c r="B1056" s="403" t="s">
        <v>1370</v>
      </c>
      <c r="C1056" s="403" t="s">
        <v>582</v>
      </c>
      <c r="D1056" s="403" t="s">
        <v>1371</v>
      </c>
      <c r="E1056" s="403" t="s">
        <v>778</v>
      </c>
      <c r="F1056" s="403" t="s">
        <v>1375</v>
      </c>
      <c r="G1056" s="403" t="s">
        <v>1466</v>
      </c>
      <c r="H1056" s="403" t="s">
        <v>1276</v>
      </c>
      <c r="I1056" s="403">
        <v>1</v>
      </c>
      <c r="J1056" s="403" t="s">
        <v>1374</v>
      </c>
      <c r="K1056" s="403">
        <v>2304</v>
      </c>
      <c r="L1056" s="403">
        <v>1296</v>
      </c>
      <c r="M1056" s="403" t="s">
        <v>111</v>
      </c>
      <c r="N1056" s="403">
        <v>0</v>
      </c>
      <c r="O1056" s="403">
        <v>0</v>
      </c>
      <c r="P1056" t="str">
        <f t="shared" si="129"/>
        <v>20fps 2304x1296 - SD</v>
      </c>
      <c r="Q1056">
        <f t="shared" si="130"/>
        <v>6</v>
      </c>
      <c r="R1056" t="str">
        <f t="shared" si="131"/>
        <v/>
      </c>
      <c r="S1056" t="str">
        <f t="shared" si="132"/>
        <v/>
      </c>
      <c r="T1056" s="403" t="str">
        <f t="shared" si="133"/>
        <v>NBE-3503-AL</v>
      </c>
      <c r="U1056" s="403">
        <f t="shared" si="134"/>
        <v>1</v>
      </c>
      <c r="V1056" s="403" t="str">
        <f t="shared" si="135"/>
        <v>CPP_7_3</v>
      </c>
    </row>
    <row r="1057" spans="1:22">
      <c r="A1057" t="str">
        <f t="shared" si="128"/>
        <v>NBE-3503-AL</v>
      </c>
      <c r="B1057" s="403" t="s">
        <v>1370</v>
      </c>
      <c r="C1057" s="403" t="s">
        <v>582</v>
      </c>
      <c r="D1057" s="403" t="s">
        <v>1371</v>
      </c>
      <c r="E1057" s="403" t="s">
        <v>778</v>
      </c>
      <c r="F1057" s="403" t="s">
        <v>1375</v>
      </c>
      <c r="G1057" s="403" t="s">
        <v>1466</v>
      </c>
      <c r="H1057" s="403" t="s">
        <v>1276</v>
      </c>
      <c r="I1057" s="403">
        <v>1</v>
      </c>
      <c r="J1057" s="403" t="s">
        <v>1374</v>
      </c>
      <c r="K1057" s="403">
        <v>2304</v>
      </c>
      <c r="L1057" s="403">
        <v>1296</v>
      </c>
      <c r="M1057" s="403" t="s">
        <v>1279</v>
      </c>
      <c r="N1057" s="403">
        <v>768</v>
      </c>
      <c r="O1057" s="403">
        <v>432</v>
      </c>
      <c r="P1057" t="str">
        <f t="shared" si="129"/>
        <v>20fps 2304x1296 - SD ROI PTZ</v>
      </c>
      <c r="Q1057">
        <f t="shared" si="130"/>
        <v>6</v>
      </c>
      <c r="R1057" t="str">
        <f t="shared" si="131"/>
        <v/>
      </c>
      <c r="S1057" t="str">
        <f t="shared" si="132"/>
        <v/>
      </c>
      <c r="T1057" s="403" t="str">
        <f t="shared" si="133"/>
        <v>NBE-3503-AL</v>
      </c>
      <c r="U1057" s="403">
        <f t="shared" si="134"/>
        <v>1</v>
      </c>
      <c r="V1057" s="403" t="str">
        <f t="shared" si="135"/>
        <v>CPP_7_3</v>
      </c>
    </row>
    <row r="1058" spans="1:22">
      <c r="A1058" t="str">
        <f t="shared" si="128"/>
        <v>NBE-3503-AL</v>
      </c>
      <c r="B1058" s="403" t="s">
        <v>1370</v>
      </c>
      <c r="C1058" s="403" t="s">
        <v>582</v>
      </c>
      <c r="D1058" s="403" t="s">
        <v>1371</v>
      </c>
      <c r="E1058" s="403" t="s">
        <v>778</v>
      </c>
      <c r="F1058" s="403" t="s">
        <v>1375</v>
      </c>
      <c r="G1058" s="403" t="s">
        <v>1466</v>
      </c>
      <c r="H1058" s="403" t="s">
        <v>1276</v>
      </c>
      <c r="I1058" s="403">
        <v>1</v>
      </c>
      <c r="J1058" s="403" t="s">
        <v>1374</v>
      </c>
      <c r="K1058" s="403">
        <v>2304</v>
      </c>
      <c r="L1058" s="403">
        <v>1296</v>
      </c>
      <c r="M1058" s="403" t="s">
        <v>1285</v>
      </c>
      <c r="N1058" s="403">
        <v>1280</v>
      </c>
      <c r="O1058" s="403">
        <v>1024</v>
      </c>
      <c r="P1058" t="str">
        <f t="shared" si="129"/>
        <v>20fps 2304x1296 - 1280x1024 5:4 (cropped)</v>
      </c>
      <c r="Q1058">
        <f t="shared" si="130"/>
        <v>6</v>
      </c>
      <c r="R1058" t="str">
        <f t="shared" si="131"/>
        <v/>
      </c>
      <c r="S1058" t="str">
        <f t="shared" si="132"/>
        <v/>
      </c>
      <c r="T1058" s="403" t="str">
        <f t="shared" si="133"/>
        <v>NBE-3503-AL</v>
      </c>
      <c r="U1058" s="403">
        <f t="shared" si="134"/>
        <v>1</v>
      </c>
      <c r="V1058" s="403" t="str">
        <f t="shared" si="135"/>
        <v>CPP_7_3</v>
      </c>
    </row>
    <row r="1059" spans="1:22">
      <c r="A1059" t="str">
        <f t="shared" si="128"/>
        <v>NBE-3503-AL</v>
      </c>
      <c r="B1059" s="403" t="s">
        <v>1370</v>
      </c>
      <c r="C1059" s="403" t="s">
        <v>582</v>
      </c>
      <c r="D1059" s="403" t="s">
        <v>1371</v>
      </c>
      <c r="E1059" s="403" t="s">
        <v>778</v>
      </c>
      <c r="F1059" s="403" t="s">
        <v>1375</v>
      </c>
      <c r="G1059" s="403" t="s">
        <v>1466</v>
      </c>
      <c r="H1059" s="403" t="s">
        <v>1276</v>
      </c>
      <c r="I1059" s="403">
        <v>1</v>
      </c>
      <c r="J1059" s="403" t="s">
        <v>1374</v>
      </c>
      <c r="K1059" s="403">
        <v>2304</v>
      </c>
      <c r="L1059" s="403">
        <v>1296</v>
      </c>
      <c r="M1059" s="403" t="s">
        <v>1283</v>
      </c>
      <c r="N1059" s="403">
        <v>720</v>
      </c>
      <c r="O1059" s="403">
        <v>480</v>
      </c>
      <c r="P1059" t="str">
        <f t="shared" si="129"/>
        <v>20fps 2304x1296 - SD 4CIF resolution 4:3 format (cropped)</v>
      </c>
      <c r="Q1059">
        <f t="shared" si="130"/>
        <v>6</v>
      </c>
      <c r="R1059" t="str">
        <f t="shared" si="131"/>
        <v/>
      </c>
      <c r="S1059" t="str">
        <f t="shared" si="132"/>
        <v/>
      </c>
      <c r="T1059" s="403" t="str">
        <f t="shared" si="133"/>
        <v>NBE-3503-AL</v>
      </c>
      <c r="U1059" s="403">
        <f t="shared" si="134"/>
        <v>1</v>
      </c>
      <c r="V1059" s="403" t="str">
        <f t="shared" si="135"/>
        <v>CPP_7_3</v>
      </c>
    </row>
    <row r="1060" spans="1:22">
      <c r="A1060" t="str">
        <f t="shared" si="128"/>
        <v>NBE-3503-AL</v>
      </c>
      <c r="B1060" s="403" t="s">
        <v>1370</v>
      </c>
      <c r="C1060" s="403" t="s">
        <v>582</v>
      </c>
      <c r="D1060" s="403" t="s">
        <v>1371</v>
      </c>
      <c r="E1060" s="403" t="s">
        <v>778</v>
      </c>
      <c r="F1060" s="403" t="s">
        <v>1375</v>
      </c>
      <c r="G1060" s="403" t="s">
        <v>1466</v>
      </c>
      <c r="H1060" s="403" t="s">
        <v>1276</v>
      </c>
      <c r="I1060" s="403">
        <v>1</v>
      </c>
      <c r="J1060" s="403" t="s">
        <v>1374</v>
      </c>
      <c r="K1060" s="403">
        <v>2304</v>
      </c>
      <c r="L1060" s="403">
        <v>1296</v>
      </c>
      <c r="M1060" s="403" t="s">
        <v>1284</v>
      </c>
      <c r="N1060" s="403">
        <v>640</v>
      </c>
      <c r="O1060" s="403">
        <v>480</v>
      </c>
      <c r="P1060" t="str">
        <f t="shared" si="129"/>
        <v>20fps 2304x1296 - SD VGA (cropped)</v>
      </c>
      <c r="Q1060">
        <f t="shared" si="130"/>
        <v>6</v>
      </c>
      <c r="R1060" t="str">
        <f t="shared" si="131"/>
        <v/>
      </c>
      <c r="S1060" t="str">
        <f t="shared" si="132"/>
        <v/>
      </c>
      <c r="T1060" s="403" t="str">
        <f t="shared" si="133"/>
        <v>NBE-3503-AL</v>
      </c>
      <c r="U1060" s="403">
        <f t="shared" si="134"/>
        <v>1</v>
      </c>
      <c r="V1060" s="403" t="str">
        <f t="shared" si="135"/>
        <v>CPP_7_3</v>
      </c>
    </row>
    <row r="1061" spans="1:22">
      <c r="A1061" t="str">
        <f t="shared" si="128"/>
        <v>NBE-3503-AL</v>
      </c>
      <c r="B1061" s="403" t="s">
        <v>1370</v>
      </c>
      <c r="C1061" s="403" t="s">
        <v>582</v>
      </c>
      <c r="D1061" s="403" t="s">
        <v>1371</v>
      </c>
      <c r="E1061" s="403" t="s">
        <v>778</v>
      </c>
      <c r="F1061" s="403" t="s">
        <v>1375</v>
      </c>
      <c r="G1061" s="403" t="s">
        <v>1466</v>
      </c>
      <c r="H1061" s="403" t="s">
        <v>1276</v>
      </c>
      <c r="I1061" s="403">
        <v>1</v>
      </c>
      <c r="J1061" s="403" t="s">
        <v>1374</v>
      </c>
      <c r="K1061" s="403">
        <v>2304</v>
      </c>
      <c r="L1061" s="403">
        <v>1296</v>
      </c>
      <c r="M1061" s="403" t="s">
        <v>1280</v>
      </c>
      <c r="N1061" s="403">
        <v>2304</v>
      </c>
      <c r="O1061" s="403">
        <v>1296</v>
      </c>
      <c r="P1061" t="str">
        <f t="shared" si="129"/>
        <v>20fps 2304x1296 - copy other stream</v>
      </c>
      <c r="Q1061">
        <f t="shared" si="130"/>
        <v>6</v>
      </c>
      <c r="R1061" t="str">
        <f t="shared" si="131"/>
        <v/>
      </c>
      <c r="S1061" t="str">
        <f t="shared" si="132"/>
        <v/>
      </c>
      <c r="T1061" s="403" t="str">
        <f t="shared" si="133"/>
        <v>NBE-3503-AL</v>
      </c>
      <c r="U1061" s="403">
        <f t="shared" si="134"/>
        <v>1</v>
      </c>
      <c r="V1061" s="403" t="str">
        <f t="shared" si="135"/>
        <v>CPP_7_3</v>
      </c>
    </row>
    <row r="1062" spans="1:22">
      <c r="A1062" t="str">
        <f t="shared" si="128"/>
        <v>NBE-3503-AL</v>
      </c>
      <c r="B1062" s="403" t="s">
        <v>1370</v>
      </c>
      <c r="C1062" s="403" t="s">
        <v>582</v>
      </c>
      <c r="D1062" s="403" t="s">
        <v>1371</v>
      </c>
      <c r="E1062" s="403" t="s">
        <v>778</v>
      </c>
      <c r="F1062" s="403" t="s">
        <v>1375</v>
      </c>
      <c r="G1062" s="403" t="s">
        <v>1466</v>
      </c>
      <c r="H1062" s="403" t="s">
        <v>1276</v>
      </c>
      <c r="I1062" s="403">
        <v>1</v>
      </c>
      <c r="J1062" s="403" t="s">
        <v>110</v>
      </c>
      <c r="K1062" s="403">
        <v>1920</v>
      </c>
      <c r="L1062" s="403">
        <v>1080</v>
      </c>
      <c r="M1062" s="403" t="s">
        <v>111</v>
      </c>
      <c r="N1062" s="403">
        <v>768</v>
      </c>
      <c r="O1062" s="403">
        <v>432</v>
      </c>
      <c r="P1062" t="str">
        <f t="shared" si="129"/>
        <v>20fps 1080p - SD</v>
      </c>
      <c r="Q1062">
        <f t="shared" si="130"/>
        <v>6</v>
      </c>
      <c r="R1062" t="str">
        <f t="shared" si="131"/>
        <v/>
      </c>
      <c r="S1062" t="str">
        <f t="shared" si="132"/>
        <v/>
      </c>
      <c r="T1062" s="403" t="str">
        <f t="shared" si="133"/>
        <v>NBE-3503-AL</v>
      </c>
      <c r="U1062" s="403">
        <f t="shared" si="134"/>
        <v>1</v>
      </c>
      <c r="V1062" s="403" t="str">
        <f t="shared" si="135"/>
        <v>CPP_7_3</v>
      </c>
    </row>
    <row r="1063" spans="1:22">
      <c r="A1063" t="str">
        <f t="shared" si="128"/>
        <v>NBE-3503-AL</v>
      </c>
      <c r="B1063" s="403" t="s">
        <v>1370</v>
      </c>
      <c r="C1063" s="403" t="s">
        <v>582</v>
      </c>
      <c r="D1063" s="403" t="s">
        <v>1371</v>
      </c>
      <c r="E1063" s="403" t="s">
        <v>778</v>
      </c>
      <c r="F1063" s="403" t="s">
        <v>1375</v>
      </c>
      <c r="G1063" s="403" t="s">
        <v>1466</v>
      </c>
      <c r="H1063" s="403" t="s">
        <v>1276</v>
      </c>
      <c r="I1063" s="403">
        <v>1</v>
      </c>
      <c r="J1063" s="403" t="s">
        <v>110</v>
      </c>
      <c r="K1063" s="403">
        <v>1920</v>
      </c>
      <c r="L1063" s="403">
        <v>1080</v>
      </c>
      <c r="M1063" s="403" t="s">
        <v>110</v>
      </c>
      <c r="N1063" s="403">
        <v>1920</v>
      </c>
      <c r="O1063" s="403">
        <v>1080</v>
      </c>
      <c r="P1063" t="str">
        <f t="shared" si="129"/>
        <v>20fps 1080p - 1080p</v>
      </c>
      <c r="Q1063">
        <f t="shared" si="130"/>
        <v>6</v>
      </c>
      <c r="R1063" t="str">
        <f t="shared" si="131"/>
        <v/>
      </c>
      <c r="S1063" t="str">
        <f t="shared" si="132"/>
        <v/>
      </c>
      <c r="T1063" s="403" t="str">
        <f t="shared" si="133"/>
        <v>NBE-3503-AL</v>
      </c>
      <c r="U1063" s="403">
        <f t="shared" si="134"/>
        <v>1</v>
      </c>
      <c r="V1063" s="403" t="str">
        <f t="shared" si="135"/>
        <v>CPP_7_3</v>
      </c>
    </row>
    <row r="1064" spans="1:22">
      <c r="A1064" t="str">
        <f t="shared" si="128"/>
        <v>NBE-3503-AL</v>
      </c>
      <c r="B1064" s="403" t="s">
        <v>1370</v>
      </c>
      <c r="C1064" s="403" t="s">
        <v>582</v>
      </c>
      <c r="D1064" s="403" t="s">
        <v>1371</v>
      </c>
      <c r="E1064" s="403" t="s">
        <v>778</v>
      </c>
      <c r="F1064" s="403" t="s">
        <v>1375</v>
      </c>
      <c r="G1064" s="403" t="s">
        <v>1466</v>
      </c>
      <c r="H1064" s="403" t="s">
        <v>1276</v>
      </c>
      <c r="I1064" s="403">
        <v>1</v>
      </c>
      <c r="J1064" s="403" t="s">
        <v>110</v>
      </c>
      <c r="K1064" s="403">
        <v>1920</v>
      </c>
      <c r="L1064" s="403">
        <v>1080</v>
      </c>
      <c r="M1064" s="403" t="s">
        <v>109</v>
      </c>
      <c r="N1064" s="403">
        <v>1280</v>
      </c>
      <c r="O1064" s="403">
        <v>720</v>
      </c>
      <c r="P1064" t="str">
        <f t="shared" si="129"/>
        <v>20fps 1080p - 720p</v>
      </c>
      <c r="Q1064">
        <f t="shared" si="130"/>
        <v>6</v>
      </c>
      <c r="R1064" t="str">
        <f t="shared" si="131"/>
        <v/>
      </c>
      <c r="S1064" t="str">
        <f t="shared" si="132"/>
        <v/>
      </c>
      <c r="T1064" s="403" t="str">
        <f t="shared" si="133"/>
        <v>NBE-3503-AL</v>
      </c>
      <c r="U1064" s="403">
        <f t="shared" si="134"/>
        <v>1</v>
      </c>
      <c r="V1064" s="403" t="str">
        <f t="shared" si="135"/>
        <v>CPP_7_3</v>
      </c>
    </row>
    <row r="1065" spans="1:22">
      <c r="A1065" t="str">
        <f t="shared" si="128"/>
        <v>NBE-3503-AL</v>
      </c>
      <c r="B1065" s="403" t="s">
        <v>1370</v>
      </c>
      <c r="C1065" s="403" t="s">
        <v>582</v>
      </c>
      <c r="D1065" s="403" t="s">
        <v>1371</v>
      </c>
      <c r="E1065" s="403" t="s">
        <v>778</v>
      </c>
      <c r="F1065" s="403" t="s">
        <v>1375</v>
      </c>
      <c r="G1065" s="403" t="s">
        <v>1466</v>
      </c>
      <c r="H1065" s="403" t="s">
        <v>1276</v>
      </c>
      <c r="I1065" s="403">
        <v>1</v>
      </c>
      <c r="J1065" s="403" t="s">
        <v>110</v>
      </c>
      <c r="K1065" s="403">
        <v>1920</v>
      </c>
      <c r="L1065" s="403">
        <v>1080</v>
      </c>
      <c r="M1065" s="403" t="s">
        <v>1285</v>
      </c>
      <c r="N1065" s="403">
        <v>1280</v>
      </c>
      <c r="O1065" s="403">
        <v>1024</v>
      </c>
      <c r="P1065" t="str">
        <f t="shared" si="129"/>
        <v>20fps 1080p - 1280x1024 5:4 (cropped)</v>
      </c>
      <c r="Q1065">
        <f t="shared" si="130"/>
        <v>6</v>
      </c>
      <c r="R1065" t="str">
        <f t="shared" si="131"/>
        <v/>
      </c>
      <c r="S1065" t="str">
        <f t="shared" si="132"/>
        <v/>
      </c>
      <c r="T1065" s="403" t="str">
        <f t="shared" si="133"/>
        <v>NBE-3503-AL</v>
      </c>
      <c r="U1065" s="403">
        <f t="shared" si="134"/>
        <v>1</v>
      </c>
      <c r="V1065" s="403" t="str">
        <f t="shared" si="135"/>
        <v>CPP_7_3</v>
      </c>
    </row>
    <row r="1066" spans="1:22">
      <c r="A1066" t="str">
        <f t="shared" si="128"/>
        <v>NBE-3503-AL</v>
      </c>
      <c r="B1066" s="403" t="s">
        <v>1370</v>
      </c>
      <c r="C1066" s="403" t="s">
        <v>582</v>
      </c>
      <c r="D1066" s="403" t="s">
        <v>1371</v>
      </c>
      <c r="E1066" s="403" t="s">
        <v>778</v>
      </c>
      <c r="F1066" s="403" t="s">
        <v>1375</v>
      </c>
      <c r="G1066" s="403" t="s">
        <v>1466</v>
      </c>
      <c r="H1066" s="403" t="s">
        <v>1276</v>
      </c>
      <c r="I1066" s="403">
        <v>1</v>
      </c>
      <c r="J1066" s="403" t="s">
        <v>110</v>
      </c>
      <c r="K1066" s="403">
        <v>1920</v>
      </c>
      <c r="L1066" s="403">
        <v>1080</v>
      </c>
      <c r="M1066" s="403" t="s">
        <v>1279</v>
      </c>
      <c r="N1066" s="403">
        <v>768</v>
      </c>
      <c r="O1066" s="403">
        <v>432</v>
      </c>
      <c r="P1066" t="str">
        <f t="shared" si="129"/>
        <v>20fps 1080p - SD ROI PTZ</v>
      </c>
      <c r="Q1066">
        <f t="shared" si="130"/>
        <v>6</v>
      </c>
      <c r="R1066" t="str">
        <f t="shared" si="131"/>
        <v/>
      </c>
      <c r="S1066" t="str">
        <f t="shared" si="132"/>
        <v/>
      </c>
      <c r="T1066" s="403" t="str">
        <f t="shared" si="133"/>
        <v>NBE-3503-AL</v>
      </c>
      <c r="U1066" s="403">
        <f t="shared" si="134"/>
        <v>1</v>
      </c>
      <c r="V1066" s="403" t="str">
        <f t="shared" si="135"/>
        <v>CPP_7_3</v>
      </c>
    </row>
    <row r="1067" spans="1:22">
      <c r="A1067" t="str">
        <f t="shared" si="128"/>
        <v>NBE-3503-AL</v>
      </c>
      <c r="B1067" s="403" t="s">
        <v>1370</v>
      </c>
      <c r="C1067" s="403" t="s">
        <v>582</v>
      </c>
      <c r="D1067" s="403" t="s">
        <v>1371</v>
      </c>
      <c r="E1067" s="403" t="s">
        <v>778</v>
      </c>
      <c r="F1067" s="403" t="s">
        <v>1375</v>
      </c>
      <c r="G1067" s="403" t="s">
        <v>1466</v>
      </c>
      <c r="H1067" s="403" t="s">
        <v>1276</v>
      </c>
      <c r="I1067" s="403">
        <v>1</v>
      </c>
      <c r="J1067" s="403" t="s">
        <v>110</v>
      </c>
      <c r="K1067" s="403">
        <v>1920</v>
      </c>
      <c r="L1067" s="403">
        <v>1080</v>
      </c>
      <c r="M1067" s="403" t="s">
        <v>1283</v>
      </c>
      <c r="N1067" s="403">
        <v>720</v>
      </c>
      <c r="O1067" s="403">
        <v>480</v>
      </c>
      <c r="P1067" t="str">
        <f t="shared" si="129"/>
        <v>20fps 1080p - SD 4CIF resolution 4:3 format (cropped)</v>
      </c>
      <c r="Q1067">
        <f t="shared" si="130"/>
        <v>6</v>
      </c>
      <c r="R1067" t="str">
        <f t="shared" si="131"/>
        <v/>
      </c>
      <c r="S1067" t="str">
        <f t="shared" si="132"/>
        <v/>
      </c>
      <c r="T1067" s="403" t="str">
        <f t="shared" si="133"/>
        <v>NBE-3503-AL</v>
      </c>
      <c r="U1067" s="403">
        <f t="shared" si="134"/>
        <v>1</v>
      </c>
      <c r="V1067" s="403" t="str">
        <f t="shared" si="135"/>
        <v>CPP_7_3</v>
      </c>
    </row>
    <row r="1068" spans="1:22">
      <c r="A1068" t="str">
        <f t="shared" si="128"/>
        <v>NBE-3503-AL</v>
      </c>
      <c r="B1068" s="403" t="s">
        <v>1370</v>
      </c>
      <c r="C1068" s="403" t="s">
        <v>582</v>
      </c>
      <c r="D1068" s="403" t="s">
        <v>1371</v>
      </c>
      <c r="E1068" s="403" t="s">
        <v>778</v>
      </c>
      <c r="F1068" s="403" t="s">
        <v>1375</v>
      </c>
      <c r="G1068" s="403" t="s">
        <v>1466</v>
      </c>
      <c r="H1068" s="403" t="s">
        <v>1276</v>
      </c>
      <c r="I1068" s="403">
        <v>1</v>
      </c>
      <c r="J1068" s="403" t="s">
        <v>110</v>
      </c>
      <c r="K1068" s="403">
        <v>1920</v>
      </c>
      <c r="L1068" s="403">
        <v>1080</v>
      </c>
      <c r="M1068" s="403" t="s">
        <v>1284</v>
      </c>
      <c r="N1068" s="403">
        <v>640</v>
      </c>
      <c r="O1068" s="403">
        <v>480</v>
      </c>
      <c r="P1068" t="str">
        <f t="shared" si="129"/>
        <v>20fps 1080p - SD VGA (cropped)</v>
      </c>
      <c r="Q1068">
        <f t="shared" si="130"/>
        <v>6</v>
      </c>
      <c r="R1068" t="str">
        <f t="shared" si="131"/>
        <v/>
      </c>
      <c r="S1068" t="str">
        <f t="shared" si="132"/>
        <v/>
      </c>
      <c r="T1068" s="403" t="str">
        <f t="shared" si="133"/>
        <v>NBE-3503-AL</v>
      </c>
      <c r="U1068" s="403">
        <f t="shared" si="134"/>
        <v>1</v>
      </c>
      <c r="V1068" s="403" t="str">
        <f t="shared" si="135"/>
        <v>CPP_7_3</v>
      </c>
    </row>
    <row r="1069" spans="1:22">
      <c r="A1069" t="str">
        <f t="shared" si="128"/>
        <v>NBE-3503-AL</v>
      </c>
      <c r="B1069" s="403" t="s">
        <v>1370</v>
      </c>
      <c r="C1069" s="403" t="s">
        <v>582</v>
      </c>
      <c r="D1069" s="403" t="s">
        <v>1371</v>
      </c>
      <c r="E1069" s="403" t="s">
        <v>778</v>
      </c>
      <c r="F1069" s="403" t="s">
        <v>1375</v>
      </c>
      <c r="G1069" s="403" t="s">
        <v>1466</v>
      </c>
      <c r="H1069" s="403" t="s">
        <v>1276</v>
      </c>
      <c r="I1069" s="403">
        <v>1</v>
      </c>
      <c r="J1069" s="403" t="s">
        <v>109</v>
      </c>
      <c r="K1069" s="403">
        <v>1280</v>
      </c>
      <c r="L1069" s="403">
        <v>720</v>
      </c>
      <c r="M1069" s="403" t="s">
        <v>109</v>
      </c>
      <c r="N1069" s="403">
        <v>1280</v>
      </c>
      <c r="O1069" s="403">
        <v>720</v>
      </c>
      <c r="P1069" t="str">
        <f t="shared" si="129"/>
        <v>20fps 720p - 720p</v>
      </c>
      <c r="Q1069">
        <f t="shared" si="130"/>
        <v>6</v>
      </c>
      <c r="R1069" t="str">
        <f t="shared" si="131"/>
        <v/>
      </c>
      <c r="S1069" t="str">
        <f t="shared" si="132"/>
        <v/>
      </c>
      <c r="T1069" s="403" t="str">
        <f t="shared" si="133"/>
        <v>NBE-3503-AL</v>
      </c>
      <c r="U1069" s="403">
        <f t="shared" si="134"/>
        <v>1</v>
      </c>
      <c r="V1069" s="403" t="str">
        <f t="shared" si="135"/>
        <v>CPP_7_3</v>
      </c>
    </row>
    <row r="1070" spans="1:22">
      <c r="A1070" t="str">
        <f t="shared" si="128"/>
        <v>NBE-3503-AL</v>
      </c>
      <c r="B1070" s="403" t="s">
        <v>1370</v>
      </c>
      <c r="C1070" s="403" t="s">
        <v>582</v>
      </c>
      <c r="D1070" s="403" t="s">
        <v>1371</v>
      </c>
      <c r="E1070" s="403" t="s">
        <v>778</v>
      </c>
      <c r="F1070" s="403" t="s">
        <v>1375</v>
      </c>
      <c r="G1070" s="403" t="s">
        <v>1466</v>
      </c>
      <c r="H1070" s="403" t="s">
        <v>1276</v>
      </c>
      <c r="I1070" s="403">
        <v>1</v>
      </c>
      <c r="J1070" s="403" t="s">
        <v>109</v>
      </c>
      <c r="K1070" s="403">
        <v>1280</v>
      </c>
      <c r="L1070" s="403">
        <v>720</v>
      </c>
      <c r="M1070" s="403" t="s">
        <v>111</v>
      </c>
      <c r="N1070" s="403">
        <v>768</v>
      </c>
      <c r="O1070" s="403">
        <v>432</v>
      </c>
      <c r="P1070" t="str">
        <f t="shared" si="129"/>
        <v>20fps 720p - SD</v>
      </c>
      <c r="Q1070">
        <f t="shared" si="130"/>
        <v>6</v>
      </c>
      <c r="R1070" t="str">
        <f t="shared" si="131"/>
        <v/>
      </c>
      <c r="S1070" t="str">
        <f t="shared" si="132"/>
        <v/>
      </c>
      <c r="T1070" s="403" t="str">
        <f t="shared" si="133"/>
        <v>NBE-3503-AL</v>
      </c>
      <c r="U1070" s="403">
        <f t="shared" si="134"/>
        <v>1</v>
      </c>
      <c r="V1070" s="403" t="str">
        <f t="shared" si="135"/>
        <v>CPP_7_3</v>
      </c>
    </row>
    <row r="1071" spans="1:22">
      <c r="A1071" t="str">
        <f t="shared" si="128"/>
        <v>NBE-3503-AL</v>
      </c>
      <c r="B1071" s="403" t="s">
        <v>1370</v>
      </c>
      <c r="C1071" s="403" t="s">
        <v>582</v>
      </c>
      <c r="D1071" s="403" t="s">
        <v>1371</v>
      </c>
      <c r="E1071" s="403" t="s">
        <v>778</v>
      </c>
      <c r="F1071" s="403" t="s">
        <v>1375</v>
      </c>
      <c r="G1071" s="403" t="s">
        <v>1466</v>
      </c>
      <c r="H1071" s="403" t="s">
        <v>1276</v>
      </c>
      <c r="I1071" s="403">
        <v>1</v>
      </c>
      <c r="J1071" s="403" t="s">
        <v>109</v>
      </c>
      <c r="K1071" s="403">
        <v>1280</v>
      </c>
      <c r="L1071" s="403">
        <v>720</v>
      </c>
      <c r="M1071" s="403" t="s">
        <v>1279</v>
      </c>
      <c r="N1071" s="403">
        <v>768</v>
      </c>
      <c r="O1071" s="403">
        <v>432</v>
      </c>
      <c r="P1071" t="str">
        <f t="shared" si="129"/>
        <v>20fps 720p - SD ROI PTZ</v>
      </c>
      <c r="Q1071">
        <f t="shared" si="130"/>
        <v>6</v>
      </c>
      <c r="R1071" t="str">
        <f t="shared" si="131"/>
        <v/>
      </c>
      <c r="S1071" t="str">
        <f t="shared" si="132"/>
        <v/>
      </c>
      <c r="T1071" s="403" t="str">
        <f t="shared" si="133"/>
        <v>NBE-3503-AL</v>
      </c>
      <c r="U1071" s="403">
        <f t="shared" si="134"/>
        <v>1</v>
      </c>
      <c r="V1071" s="403" t="str">
        <f t="shared" si="135"/>
        <v>CPP_7_3</v>
      </c>
    </row>
    <row r="1072" spans="1:22">
      <c r="A1072" t="str">
        <f t="shared" si="128"/>
        <v>NBE-3503-AL</v>
      </c>
      <c r="B1072" s="403" t="s">
        <v>1370</v>
      </c>
      <c r="C1072" s="403" t="s">
        <v>582</v>
      </c>
      <c r="D1072" s="403" t="s">
        <v>1371</v>
      </c>
      <c r="E1072" s="403" t="s">
        <v>778</v>
      </c>
      <c r="F1072" s="403" t="s">
        <v>1375</v>
      </c>
      <c r="G1072" s="403" t="s">
        <v>1466</v>
      </c>
      <c r="H1072" s="403" t="s">
        <v>1276</v>
      </c>
      <c r="I1072" s="403">
        <v>1</v>
      </c>
      <c r="J1072" s="403" t="s">
        <v>109</v>
      </c>
      <c r="K1072" s="403">
        <v>1280</v>
      </c>
      <c r="L1072" s="403">
        <v>720</v>
      </c>
      <c r="M1072" s="403" t="s">
        <v>1283</v>
      </c>
      <c r="N1072" s="403">
        <v>720</v>
      </c>
      <c r="O1072" s="403">
        <v>480</v>
      </c>
      <c r="P1072" t="str">
        <f t="shared" si="129"/>
        <v>20fps 720p - SD 4CIF resolution 4:3 format (cropped)</v>
      </c>
      <c r="Q1072">
        <f t="shared" si="130"/>
        <v>6</v>
      </c>
      <c r="R1072" t="str">
        <f t="shared" si="131"/>
        <v/>
      </c>
      <c r="S1072" t="str">
        <f t="shared" si="132"/>
        <v/>
      </c>
      <c r="T1072" s="403" t="str">
        <f t="shared" si="133"/>
        <v>NBE-3503-AL</v>
      </c>
      <c r="U1072" s="403">
        <f t="shared" si="134"/>
        <v>1</v>
      </c>
      <c r="V1072" s="403" t="str">
        <f t="shared" si="135"/>
        <v>CPP_7_3</v>
      </c>
    </row>
    <row r="1073" spans="1:22">
      <c r="A1073" t="str">
        <f t="shared" si="128"/>
        <v>NBE-3503-AL</v>
      </c>
      <c r="B1073" s="403" t="s">
        <v>1370</v>
      </c>
      <c r="C1073" s="403" t="s">
        <v>582</v>
      </c>
      <c r="D1073" s="403" t="s">
        <v>1371</v>
      </c>
      <c r="E1073" s="403" t="s">
        <v>778</v>
      </c>
      <c r="F1073" s="403" t="s">
        <v>1375</v>
      </c>
      <c r="G1073" s="403" t="s">
        <v>1466</v>
      </c>
      <c r="H1073" s="403" t="s">
        <v>1276</v>
      </c>
      <c r="I1073" s="403">
        <v>1</v>
      </c>
      <c r="J1073" s="403" t="s">
        <v>109</v>
      </c>
      <c r="K1073" s="403">
        <v>1280</v>
      </c>
      <c r="L1073" s="403">
        <v>720</v>
      </c>
      <c r="M1073" s="403" t="s">
        <v>1284</v>
      </c>
      <c r="N1073" s="403">
        <v>640</v>
      </c>
      <c r="O1073" s="403">
        <v>480</v>
      </c>
      <c r="P1073" t="str">
        <f t="shared" si="129"/>
        <v>20fps 720p - SD VGA (cropped)</v>
      </c>
      <c r="Q1073">
        <f t="shared" si="130"/>
        <v>6</v>
      </c>
      <c r="R1073" t="str">
        <f t="shared" si="131"/>
        <v/>
      </c>
      <c r="S1073" t="str">
        <f t="shared" si="132"/>
        <v/>
      </c>
      <c r="T1073" s="403" t="str">
        <f t="shared" si="133"/>
        <v>NBE-3503-AL</v>
      </c>
      <c r="U1073" s="403">
        <f t="shared" si="134"/>
        <v>1</v>
      </c>
      <c r="V1073" s="403" t="str">
        <f t="shared" si="135"/>
        <v>CPP_7_3</v>
      </c>
    </row>
    <row r="1074" spans="1:22">
      <c r="A1074" t="str">
        <f t="shared" si="128"/>
        <v>NBE-3503-AL</v>
      </c>
      <c r="B1074" s="403" t="s">
        <v>1370</v>
      </c>
      <c r="C1074" s="403" t="s">
        <v>582</v>
      </c>
      <c r="D1074" s="403" t="s">
        <v>1371</v>
      </c>
      <c r="E1074" s="403" t="s">
        <v>778</v>
      </c>
      <c r="F1074" s="403" t="s">
        <v>1375</v>
      </c>
      <c r="G1074" s="403" t="s">
        <v>1466</v>
      </c>
      <c r="H1074" s="403" t="s">
        <v>1276</v>
      </c>
      <c r="I1074" s="403">
        <v>1</v>
      </c>
      <c r="J1074" s="403" t="s">
        <v>1376</v>
      </c>
      <c r="K1074" s="403">
        <v>3072</v>
      </c>
      <c r="L1074" s="403">
        <v>1728</v>
      </c>
      <c r="M1074" s="403" t="s">
        <v>111</v>
      </c>
      <c r="N1074" s="403">
        <v>768</v>
      </c>
      <c r="O1074" s="403">
        <v>432</v>
      </c>
      <c r="P1074" t="str">
        <f t="shared" si="129"/>
        <v>20fps 3072x1728 - SD</v>
      </c>
      <c r="Q1074">
        <f t="shared" si="130"/>
        <v>6</v>
      </c>
      <c r="R1074" t="str">
        <f t="shared" si="131"/>
        <v/>
      </c>
      <c r="S1074" t="str">
        <f t="shared" si="132"/>
        <v/>
      </c>
      <c r="T1074" s="403" t="str">
        <f t="shared" si="133"/>
        <v>NBE-3503-AL</v>
      </c>
      <c r="U1074" s="403">
        <f t="shared" si="134"/>
        <v>1</v>
      </c>
      <c r="V1074" s="403" t="str">
        <f t="shared" si="135"/>
        <v>CPP_7_3</v>
      </c>
    </row>
    <row r="1075" spans="1:22">
      <c r="A1075" t="str">
        <f t="shared" si="128"/>
        <v>NBE-3503-AL</v>
      </c>
      <c r="B1075" s="403" t="s">
        <v>1370</v>
      </c>
      <c r="C1075" s="403" t="s">
        <v>582</v>
      </c>
      <c r="D1075" s="403" t="s">
        <v>1371</v>
      </c>
      <c r="E1075" s="403" t="s">
        <v>778</v>
      </c>
      <c r="F1075" s="403" t="s">
        <v>1375</v>
      </c>
      <c r="G1075" s="403" t="s">
        <v>1466</v>
      </c>
      <c r="H1075" s="403" t="s">
        <v>1276</v>
      </c>
      <c r="I1075" s="403">
        <v>1</v>
      </c>
      <c r="J1075" s="403" t="s">
        <v>1376</v>
      </c>
      <c r="K1075" s="403">
        <v>3072</v>
      </c>
      <c r="L1075" s="403">
        <v>1728</v>
      </c>
      <c r="M1075" s="403" t="s">
        <v>1280</v>
      </c>
      <c r="N1075" s="403">
        <v>3072</v>
      </c>
      <c r="O1075" s="403">
        <v>1728</v>
      </c>
      <c r="P1075" t="str">
        <f t="shared" si="129"/>
        <v>20fps 3072x1728 - copy other stream</v>
      </c>
      <c r="Q1075">
        <f t="shared" si="130"/>
        <v>6</v>
      </c>
      <c r="R1075" t="str">
        <f t="shared" si="131"/>
        <v/>
      </c>
      <c r="S1075" t="str">
        <f t="shared" si="132"/>
        <v/>
      </c>
      <c r="T1075" s="403" t="str">
        <f t="shared" si="133"/>
        <v>NBE-3503-AL</v>
      </c>
      <c r="U1075" s="403">
        <f t="shared" si="134"/>
        <v>1</v>
      </c>
      <c r="V1075" s="403" t="str">
        <f t="shared" si="135"/>
        <v>CPP_7_3</v>
      </c>
    </row>
    <row r="1076" spans="1:22">
      <c r="A1076" t="str">
        <f t="shared" si="128"/>
        <v>NBE-3503-AL</v>
      </c>
      <c r="B1076" s="403" t="s">
        <v>1370</v>
      </c>
      <c r="C1076" s="403" t="s">
        <v>582</v>
      </c>
      <c r="D1076" s="403" t="s">
        <v>1371</v>
      </c>
      <c r="E1076" s="403" t="s">
        <v>778</v>
      </c>
      <c r="F1076" s="403" t="s">
        <v>1375</v>
      </c>
      <c r="G1076" s="403" t="s">
        <v>1466</v>
      </c>
      <c r="H1076" s="403" t="s">
        <v>1276</v>
      </c>
      <c r="I1076" s="403">
        <v>1</v>
      </c>
      <c r="J1076" s="403" t="s">
        <v>1376</v>
      </c>
      <c r="K1076" s="403">
        <v>3072</v>
      </c>
      <c r="L1076" s="403">
        <v>1728</v>
      </c>
      <c r="M1076" s="403" t="s">
        <v>1283</v>
      </c>
      <c r="N1076" s="403">
        <v>720</v>
      </c>
      <c r="O1076" s="403">
        <v>480</v>
      </c>
      <c r="P1076" t="str">
        <f t="shared" si="129"/>
        <v>20fps 3072x1728 - SD 4CIF resolution 4:3 format (cropped)</v>
      </c>
      <c r="Q1076">
        <f t="shared" si="130"/>
        <v>6</v>
      </c>
      <c r="R1076" t="str">
        <f t="shared" si="131"/>
        <v/>
      </c>
      <c r="S1076" t="str">
        <f t="shared" si="132"/>
        <v/>
      </c>
      <c r="T1076" s="403" t="str">
        <f t="shared" si="133"/>
        <v>NBE-3503-AL</v>
      </c>
      <c r="U1076" s="403">
        <f t="shared" si="134"/>
        <v>1</v>
      </c>
      <c r="V1076" s="403" t="str">
        <f t="shared" si="135"/>
        <v>CPP_7_3</v>
      </c>
    </row>
    <row r="1077" spans="1:22">
      <c r="A1077" t="str">
        <f t="shared" si="128"/>
        <v>NBE-3503-AL</v>
      </c>
      <c r="B1077" s="403" t="s">
        <v>1370</v>
      </c>
      <c r="C1077" s="403" t="s">
        <v>582</v>
      </c>
      <c r="D1077" s="403" t="s">
        <v>1371</v>
      </c>
      <c r="E1077" s="403" t="s">
        <v>778</v>
      </c>
      <c r="F1077" s="403" t="s">
        <v>1375</v>
      </c>
      <c r="G1077" s="403" t="s">
        <v>1466</v>
      </c>
      <c r="H1077" s="403" t="s">
        <v>1276</v>
      </c>
      <c r="I1077" s="403">
        <v>1</v>
      </c>
      <c r="J1077" s="403" t="s">
        <v>1376</v>
      </c>
      <c r="K1077" s="403">
        <v>3072</v>
      </c>
      <c r="L1077" s="403">
        <v>1728</v>
      </c>
      <c r="M1077" s="403" t="s">
        <v>1279</v>
      </c>
      <c r="N1077" s="403">
        <v>768</v>
      </c>
      <c r="O1077" s="403">
        <v>432</v>
      </c>
      <c r="P1077" t="str">
        <f t="shared" si="129"/>
        <v>20fps 3072x1728 - SD ROI PTZ</v>
      </c>
      <c r="Q1077">
        <f t="shared" si="130"/>
        <v>6</v>
      </c>
      <c r="R1077" t="str">
        <f t="shared" si="131"/>
        <v/>
      </c>
      <c r="S1077" t="str">
        <f t="shared" si="132"/>
        <v/>
      </c>
      <c r="T1077" s="403" t="str">
        <f t="shared" si="133"/>
        <v>NBE-3503-AL</v>
      </c>
      <c r="U1077" s="403">
        <f t="shared" si="134"/>
        <v>1</v>
      </c>
      <c r="V1077" s="403" t="str">
        <f t="shared" si="135"/>
        <v>CPP_7_3</v>
      </c>
    </row>
    <row r="1078" spans="1:22">
      <c r="A1078" t="str">
        <f t="shared" si="128"/>
        <v>NBE-3503-AL</v>
      </c>
      <c r="B1078" s="403" t="s">
        <v>1370</v>
      </c>
      <c r="C1078" s="403" t="s">
        <v>582</v>
      </c>
      <c r="D1078" s="403" t="s">
        <v>1371</v>
      </c>
      <c r="E1078" s="403" t="s">
        <v>778</v>
      </c>
      <c r="F1078" s="403" t="s">
        <v>1375</v>
      </c>
      <c r="G1078" s="403" t="s">
        <v>1466</v>
      </c>
      <c r="H1078" s="403" t="s">
        <v>1276</v>
      </c>
      <c r="I1078" s="403">
        <v>1</v>
      </c>
      <c r="J1078" s="403" t="s">
        <v>1376</v>
      </c>
      <c r="K1078" s="403">
        <v>3072</v>
      </c>
      <c r="L1078" s="403">
        <v>1728</v>
      </c>
      <c r="M1078" s="403" t="s">
        <v>1284</v>
      </c>
      <c r="N1078" s="403">
        <v>640</v>
      </c>
      <c r="O1078" s="403">
        <v>480</v>
      </c>
      <c r="P1078" t="str">
        <f t="shared" si="129"/>
        <v>20fps 3072x1728 - SD VGA (cropped)</v>
      </c>
      <c r="Q1078">
        <f t="shared" si="130"/>
        <v>6</v>
      </c>
      <c r="R1078" t="str">
        <f t="shared" si="131"/>
        <v/>
      </c>
      <c r="S1078" t="str">
        <f t="shared" si="132"/>
        <v/>
      </c>
      <c r="T1078" s="403" t="str">
        <f t="shared" si="133"/>
        <v>NBE-3503-AL</v>
      </c>
      <c r="U1078" s="403">
        <f t="shared" si="134"/>
        <v>1</v>
      </c>
      <c r="V1078" s="403" t="str">
        <f t="shared" si="135"/>
        <v>CPP_7_3</v>
      </c>
    </row>
    <row r="1079" spans="1:22">
      <c r="A1079" t="str">
        <f t="shared" si="128"/>
        <v>NBE-3503-AL</v>
      </c>
      <c r="B1079" s="403" t="s">
        <v>1370</v>
      </c>
      <c r="C1079" s="403" t="s">
        <v>582</v>
      </c>
      <c r="D1079" s="403" t="s">
        <v>1371</v>
      </c>
      <c r="E1079" s="403" t="s">
        <v>778</v>
      </c>
      <c r="F1079" s="403" t="s">
        <v>1375</v>
      </c>
      <c r="G1079" s="403" t="s">
        <v>1466</v>
      </c>
      <c r="H1079" s="403" t="s">
        <v>1276</v>
      </c>
      <c r="I1079" s="403">
        <v>1</v>
      </c>
      <c r="J1079" s="403" t="s">
        <v>1377</v>
      </c>
      <c r="K1079" s="403">
        <v>2720</v>
      </c>
      <c r="L1079" s="403">
        <v>1528</v>
      </c>
      <c r="M1079" s="403" t="s">
        <v>109</v>
      </c>
      <c r="N1079" s="403">
        <v>1280</v>
      </c>
      <c r="O1079" s="403">
        <v>720</v>
      </c>
      <c r="P1079" t="str">
        <f t="shared" si="129"/>
        <v>20fps 2720x1530 - 720p</v>
      </c>
      <c r="Q1079">
        <f t="shared" si="130"/>
        <v>6</v>
      </c>
      <c r="R1079" t="str">
        <f t="shared" si="131"/>
        <v/>
      </c>
      <c r="S1079" t="str">
        <f t="shared" si="132"/>
        <v/>
      </c>
      <c r="T1079" s="403" t="str">
        <f t="shared" si="133"/>
        <v>NBE-3503-AL</v>
      </c>
      <c r="U1079" s="403">
        <f t="shared" si="134"/>
        <v>1</v>
      </c>
      <c r="V1079" s="403" t="str">
        <f t="shared" si="135"/>
        <v>CPP_7_3</v>
      </c>
    </row>
    <row r="1080" spans="1:22">
      <c r="A1080" t="str">
        <f t="shared" si="128"/>
        <v>NBE-3503-AL</v>
      </c>
      <c r="B1080" s="403" t="s">
        <v>1370</v>
      </c>
      <c r="C1080" s="403" t="s">
        <v>582</v>
      </c>
      <c r="D1080" s="403" t="s">
        <v>1371</v>
      </c>
      <c r="E1080" s="403" t="s">
        <v>778</v>
      </c>
      <c r="F1080" s="403" t="s">
        <v>1375</v>
      </c>
      <c r="G1080" s="403" t="s">
        <v>1466</v>
      </c>
      <c r="H1080" s="403" t="s">
        <v>1276</v>
      </c>
      <c r="I1080" s="403">
        <v>1</v>
      </c>
      <c r="J1080" s="403" t="s">
        <v>1377</v>
      </c>
      <c r="K1080" s="403">
        <v>2720</v>
      </c>
      <c r="L1080" s="403">
        <v>1528</v>
      </c>
      <c r="M1080" s="403" t="s">
        <v>111</v>
      </c>
      <c r="N1080" s="403">
        <v>768</v>
      </c>
      <c r="O1080" s="403">
        <v>432</v>
      </c>
      <c r="P1080" t="str">
        <f t="shared" si="129"/>
        <v>20fps 2720x1530 - SD</v>
      </c>
      <c r="Q1080">
        <f t="shared" si="130"/>
        <v>6</v>
      </c>
      <c r="R1080" t="str">
        <f t="shared" si="131"/>
        <v/>
      </c>
      <c r="S1080" t="str">
        <f t="shared" si="132"/>
        <v/>
      </c>
      <c r="T1080" s="403" t="str">
        <f t="shared" si="133"/>
        <v>NBE-3503-AL</v>
      </c>
      <c r="U1080" s="403">
        <f t="shared" si="134"/>
        <v>1</v>
      </c>
      <c r="V1080" s="403" t="str">
        <f t="shared" si="135"/>
        <v>CPP_7_3</v>
      </c>
    </row>
    <row r="1081" spans="1:22">
      <c r="A1081" t="str">
        <f t="shared" si="128"/>
        <v>NBE-3503-AL</v>
      </c>
      <c r="B1081" s="403" t="s">
        <v>1370</v>
      </c>
      <c r="C1081" s="403" t="s">
        <v>582</v>
      </c>
      <c r="D1081" s="403" t="s">
        <v>1371</v>
      </c>
      <c r="E1081" s="403" t="s">
        <v>778</v>
      </c>
      <c r="F1081" s="403" t="s">
        <v>1375</v>
      </c>
      <c r="G1081" s="403" t="s">
        <v>1466</v>
      </c>
      <c r="H1081" s="403" t="s">
        <v>1276</v>
      </c>
      <c r="I1081" s="403">
        <v>1</v>
      </c>
      <c r="J1081" s="403" t="s">
        <v>1377</v>
      </c>
      <c r="K1081" s="403">
        <v>2720</v>
      </c>
      <c r="L1081" s="403">
        <v>1528</v>
      </c>
      <c r="M1081" s="403" t="s">
        <v>1279</v>
      </c>
      <c r="N1081" s="403">
        <v>768</v>
      </c>
      <c r="O1081" s="403">
        <v>432</v>
      </c>
      <c r="P1081" t="str">
        <f t="shared" si="129"/>
        <v>20fps 2720x1530 - SD ROI PTZ</v>
      </c>
      <c r="Q1081">
        <f t="shared" si="130"/>
        <v>6</v>
      </c>
      <c r="R1081" t="str">
        <f t="shared" si="131"/>
        <v/>
      </c>
      <c r="S1081" t="str">
        <f t="shared" si="132"/>
        <v/>
      </c>
      <c r="T1081" s="403" t="str">
        <f t="shared" si="133"/>
        <v>NBE-3503-AL</v>
      </c>
      <c r="U1081" s="403">
        <f t="shared" si="134"/>
        <v>1</v>
      </c>
      <c r="V1081" s="403" t="str">
        <f t="shared" si="135"/>
        <v>CPP_7_3</v>
      </c>
    </row>
    <row r="1082" spans="1:22">
      <c r="A1082" t="str">
        <f t="shared" si="128"/>
        <v>NBE-3503-AL</v>
      </c>
      <c r="B1082" s="403" t="s">
        <v>1370</v>
      </c>
      <c r="C1082" s="403" t="s">
        <v>582</v>
      </c>
      <c r="D1082" s="403" t="s">
        <v>1371</v>
      </c>
      <c r="E1082" s="403" t="s">
        <v>778</v>
      </c>
      <c r="F1082" s="403" t="s">
        <v>1375</v>
      </c>
      <c r="G1082" s="403" t="s">
        <v>1466</v>
      </c>
      <c r="H1082" s="403" t="s">
        <v>1276</v>
      </c>
      <c r="I1082" s="403">
        <v>1</v>
      </c>
      <c r="J1082" s="403" t="s">
        <v>1377</v>
      </c>
      <c r="K1082" s="403">
        <v>2720</v>
      </c>
      <c r="L1082" s="403">
        <v>1528</v>
      </c>
      <c r="M1082" s="403" t="s">
        <v>1285</v>
      </c>
      <c r="N1082" s="403">
        <v>1280</v>
      </c>
      <c r="O1082" s="403">
        <v>1024</v>
      </c>
      <c r="P1082" t="str">
        <f t="shared" si="129"/>
        <v>20fps 2720x1530 - 1280x1024 5:4 (cropped)</v>
      </c>
      <c r="Q1082">
        <f t="shared" si="130"/>
        <v>6</v>
      </c>
      <c r="R1082" t="str">
        <f t="shared" si="131"/>
        <v/>
      </c>
      <c r="S1082" t="str">
        <f t="shared" si="132"/>
        <v/>
      </c>
      <c r="T1082" s="403" t="str">
        <f t="shared" si="133"/>
        <v>NBE-3503-AL</v>
      </c>
      <c r="U1082" s="403">
        <f t="shared" si="134"/>
        <v>1</v>
      </c>
      <c r="V1082" s="403" t="str">
        <f t="shared" si="135"/>
        <v>CPP_7_3</v>
      </c>
    </row>
    <row r="1083" spans="1:22">
      <c r="A1083" t="str">
        <f t="shared" si="128"/>
        <v>NBE-3503-AL</v>
      </c>
      <c r="B1083" s="403" t="s">
        <v>1370</v>
      </c>
      <c r="C1083" s="403" t="s">
        <v>582</v>
      </c>
      <c r="D1083" s="403" t="s">
        <v>1371</v>
      </c>
      <c r="E1083" s="403" t="s">
        <v>778</v>
      </c>
      <c r="F1083" s="403" t="s">
        <v>1375</v>
      </c>
      <c r="G1083" s="403" t="s">
        <v>1466</v>
      </c>
      <c r="H1083" s="403" t="s">
        <v>1276</v>
      </c>
      <c r="I1083" s="403">
        <v>1</v>
      </c>
      <c r="J1083" s="403" t="s">
        <v>1377</v>
      </c>
      <c r="K1083" s="403">
        <v>2720</v>
      </c>
      <c r="L1083" s="403">
        <v>1528</v>
      </c>
      <c r="M1083" s="403" t="s">
        <v>1283</v>
      </c>
      <c r="N1083" s="403">
        <v>720</v>
      </c>
      <c r="O1083" s="403">
        <v>480</v>
      </c>
      <c r="P1083" t="str">
        <f t="shared" si="129"/>
        <v>20fps 2720x1530 - SD 4CIF resolution 4:3 format (cropped)</v>
      </c>
      <c r="Q1083">
        <f t="shared" si="130"/>
        <v>6</v>
      </c>
      <c r="R1083" t="str">
        <f t="shared" si="131"/>
        <v/>
      </c>
      <c r="S1083" t="str">
        <f t="shared" si="132"/>
        <v/>
      </c>
      <c r="T1083" s="403" t="str">
        <f t="shared" si="133"/>
        <v>NBE-3503-AL</v>
      </c>
      <c r="U1083" s="403">
        <f t="shared" si="134"/>
        <v>1</v>
      </c>
      <c r="V1083" s="403" t="str">
        <f t="shared" si="135"/>
        <v>CPP_7_3</v>
      </c>
    </row>
    <row r="1084" spans="1:22">
      <c r="A1084" t="str">
        <f t="shared" si="128"/>
        <v>NBE-3503-AL</v>
      </c>
      <c r="B1084" s="403" t="s">
        <v>1370</v>
      </c>
      <c r="C1084" s="403" t="s">
        <v>582</v>
      </c>
      <c r="D1084" s="403" t="s">
        <v>1371</v>
      </c>
      <c r="E1084" s="403" t="s">
        <v>778</v>
      </c>
      <c r="F1084" s="403" t="s">
        <v>1375</v>
      </c>
      <c r="G1084" s="403" t="s">
        <v>1466</v>
      </c>
      <c r="H1084" s="403" t="s">
        <v>1276</v>
      </c>
      <c r="I1084" s="403">
        <v>1</v>
      </c>
      <c r="J1084" s="403" t="s">
        <v>1377</v>
      </c>
      <c r="K1084" s="403">
        <v>0</v>
      </c>
      <c r="L1084" s="403">
        <v>0</v>
      </c>
      <c r="M1084" s="403" t="s">
        <v>1284</v>
      </c>
      <c r="N1084" s="403">
        <v>0</v>
      </c>
      <c r="O1084" s="403">
        <v>0</v>
      </c>
      <c r="P1084" t="str">
        <f t="shared" si="129"/>
        <v>20fps 2720x1530 - SD VGA (cropped)</v>
      </c>
      <c r="Q1084">
        <f t="shared" si="130"/>
        <v>6</v>
      </c>
      <c r="R1084" t="str">
        <f t="shared" si="131"/>
        <v/>
      </c>
      <c r="S1084" t="str">
        <f t="shared" si="132"/>
        <v/>
      </c>
      <c r="T1084" s="403" t="str">
        <f t="shared" si="133"/>
        <v>NBE-3503-AL</v>
      </c>
      <c r="U1084" s="403">
        <f t="shared" si="134"/>
        <v>1</v>
      </c>
      <c r="V1084" s="403" t="str">
        <f t="shared" si="135"/>
        <v>CPP_7_3</v>
      </c>
    </row>
    <row r="1085" spans="1:22">
      <c r="A1085" t="str">
        <f t="shared" si="128"/>
        <v>NBE-3503-AL</v>
      </c>
      <c r="B1085" s="403" t="s">
        <v>1370</v>
      </c>
      <c r="C1085" s="403" t="s">
        <v>582</v>
      </c>
      <c r="D1085" s="403" t="s">
        <v>1371</v>
      </c>
      <c r="E1085" s="403" t="s">
        <v>778</v>
      </c>
      <c r="F1085" s="403" t="s">
        <v>1375</v>
      </c>
      <c r="G1085" s="403" t="s">
        <v>1466</v>
      </c>
      <c r="H1085" s="403" t="s">
        <v>1276</v>
      </c>
      <c r="I1085" s="403">
        <v>1</v>
      </c>
      <c r="J1085" s="403" t="s">
        <v>1377</v>
      </c>
      <c r="K1085" s="403">
        <v>0</v>
      </c>
      <c r="L1085" s="403">
        <v>0</v>
      </c>
      <c r="M1085" s="403" t="s">
        <v>1280</v>
      </c>
      <c r="N1085" s="403">
        <v>0</v>
      </c>
      <c r="O1085" s="403">
        <v>0</v>
      </c>
      <c r="P1085" t="str">
        <f t="shared" si="129"/>
        <v>20fps 2720x1530 - copy other stream</v>
      </c>
      <c r="Q1085">
        <f t="shared" si="130"/>
        <v>6</v>
      </c>
      <c r="R1085" t="str">
        <f t="shared" si="131"/>
        <v/>
      </c>
      <c r="S1085" t="str">
        <f t="shared" si="132"/>
        <v/>
      </c>
      <c r="T1085" s="403" t="str">
        <f t="shared" si="133"/>
        <v>NBE-3503-AL</v>
      </c>
      <c r="U1085" s="403">
        <f t="shared" si="134"/>
        <v>1</v>
      </c>
      <c r="V1085" s="403" t="str">
        <f t="shared" si="135"/>
        <v>CPP_7_3</v>
      </c>
    </row>
    <row r="1086" spans="1:22">
      <c r="A1086" t="str">
        <f t="shared" si="128"/>
        <v>NBE-3503-AL</v>
      </c>
      <c r="B1086" s="403" t="s">
        <v>1370</v>
      </c>
      <c r="C1086" s="403" t="s">
        <v>582</v>
      </c>
      <c r="D1086" s="403" t="s">
        <v>1371</v>
      </c>
      <c r="E1086" s="403" t="s">
        <v>778</v>
      </c>
      <c r="F1086" s="403" t="s">
        <v>1375</v>
      </c>
      <c r="G1086" s="403" t="s">
        <v>1466</v>
      </c>
      <c r="H1086" s="403" t="s">
        <v>1276</v>
      </c>
      <c r="I1086" s="403">
        <v>1</v>
      </c>
      <c r="J1086" s="403" t="s">
        <v>1374</v>
      </c>
      <c r="K1086" s="403">
        <v>0</v>
      </c>
      <c r="L1086" s="403">
        <v>0</v>
      </c>
      <c r="M1086" s="403" t="s">
        <v>110</v>
      </c>
      <c r="N1086" s="403">
        <v>0</v>
      </c>
      <c r="O1086" s="403">
        <v>0</v>
      </c>
      <c r="P1086" t="str">
        <f t="shared" si="129"/>
        <v>20fps 2304x1296 - 1080p</v>
      </c>
      <c r="Q1086">
        <f t="shared" si="130"/>
        <v>6</v>
      </c>
      <c r="R1086" t="str">
        <f t="shared" si="131"/>
        <v/>
      </c>
      <c r="S1086" t="str">
        <f t="shared" si="132"/>
        <v/>
      </c>
      <c r="T1086" s="403" t="str">
        <f t="shared" si="133"/>
        <v>NBE-3503-AL</v>
      </c>
      <c r="U1086" s="403">
        <f t="shared" si="134"/>
        <v>1</v>
      </c>
      <c r="V1086" s="403" t="str">
        <f t="shared" si="135"/>
        <v>CPP_7_3</v>
      </c>
    </row>
    <row r="1087" spans="1:22">
      <c r="A1087" t="str">
        <f t="shared" si="128"/>
        <v>NBE-3503-AL</v>
      </c>
      <c r="B1087" s="403" t="s">
        <v>1370</v>
      </c>
      <c r="C1087" s="403" t="s">
        <v>582</v>
      </c>
      <c r="D1087" s="403" t="s">
        <v>1371</v>
      </c>
      <c r="E1087" s="403" t="s">
        <v>778</v>
      </c>
      <c r="F1087" s="403" t="s">
        <v>1375</v>
      </c>
      <c r="G1087" s="403" t="s">
        <v>1466</v>
      </c>
      <c r="H1087" s="403" t="s">
        <v>1276</v>
      </c>
      <c r="I1087" s="403">
        <v>1</v>
      </c>
      <c r="J1087" s="403" t="s">
        <v>1374</v>
      </c>
      <c r="K1087" s="403">
        <v>0</v>
      </c>
      <c r="L1087" s="403">
        <v>0</v>
      </c>
      <c r="M1087" s="403" t="s">
        <v>109</v>
      </c>
      <c r="N1087" s="403">
        <v>0</v>
      </c>
      <c r="O1087" s="403">
        <v>0</v>
      </c>
      <c r="P1087" t="str">
        <f t="shared" si="129"/>
        <v>20fps 2304x1296 - 720p</v>
      </c>
      <c r="Q1087">
        <f t="shared" si="130"/>
        <v>6</v>
      </c>
      <c r="R1087" t="str">
        <f t="shared" si="131"/>
        <v/>
      </c>
      <c r="S1087" t="str">
        <f t="shared" si="132"/>
        <v/>
      </c>
      <c r="T1087" s="403" t="str">
        <f t="shared" si="133"/>
        <v>NBE-3503-AL</v>
      </c>
      <c r="U1087" s="403">
        <f t="shared" si="134"/>
        <v>1</v>
      </c>
      <c r="V1087" s="403" t="str">
        <f t="shared" si="135"/>
        <v>CPP_7_3</v>
      </c>
    </row>
    <row r="1088" spans="1:22">
      <c r="A1088" t="str">
        <f t="shared" si="128"/>
        <v>NBE-3503-AL</v>
      </c>
      <c r="B1088" s="403" t="s">
        <v>1370</v>
      </c>
      <c r="C1088" s="403" t="s">
        <v>582</v>
      </c>
      <c r="D1088" s="403" t="s">
        <v>1371</v>
      </c>
      <c r="E1088" s="403" t="s">
        <v>778</v>
      </c>
      <c r="F1088" s="403" t="s">
        <v>1375</v>
      </c>
      <c r="G1088" s="403" t="s">
        <v>1466</v>
      </c>
      <c r="H1088" s="403" t="s">
        <v>1276</v>
      </c>
      <c r="I1088" s="403">
        <v>1</v>
      </c>
      <c r="J1088" s="403" t="s">
        <v>1374</v>
      </c>
      <c r="K1088" s="403">
        <v>0</v>
      </c>
      <c r="L1088" s="403">
        <v>0</v>
      </c>
      <c r="M1088" s="403" t="s">
        <v>111</v>
      </c>
      <c r="N1088" s="403">
        <v>0</v>
      </c>
      <c r="O1088" s="403">
        <v>0</v>
      </c>
      <c r="P1088" t="str">
        <f t="shared" si="129"/>
        <v>20fps 2304x1296 - SD</v>
      </c>
      <c r="Q1088">
        <f t="shared" si="130"/>
        <v>6</v>
      </c>
      <c r="R1088" t="str">
        <f t="shared" si="131"/>
        <v/>
      </c>
      <c r="S1088" t="str">
        <f t="shared" si="132"/>
        <v/>
      </c>
      <c r="T1088" s="403" t="str">
        <f t="shared" si="133"/>
        <v>NBE-3503-AL</v>
      </c>
      <c r="U1088" s="403">
        <f t="shared" si="134"/>
        <v>1</v>
      </c>
      <c r="V1088" s="403" t="str">
        <f t="shared" si="135"/>
        <v>CPP_7_3</v>
      </c>
    </row>
    <row r="1089" spans="1:22">
      <c r="A1089" t="str">
        <f t="shared" si="128"/>
        <v>NBE-3503-AL</v>
      </c>
      <c r="B1089" s="403" t="s">
        <v>1370</v>
      </c>
      <c r="C1089" s="403" t="s">
        <v>582</v>
      </c>
      <c r="D1089" s="403" t="s">
        <v>1371</v>
      </c>
      <c r="E1089" s="403" t="s">
        <v>778</v>
      </c>
      <c r="F1089" s="403" t="s">
        <v>1375</v>
      </c>
      <c r="G1089" s="403" t="s">
        <v>1466</v>
      </c>
      <c r="H1089" s="403" t="s">
        <v>1276</v>
      </c>
      <c r="I1089" s="403">
        <v>1</v>
      </c>
      <c r="J1089" s="403" t="s">
        <v>1374</v>
      </c>
      <c r="K1089" s="403">
        <v>0</v>
      </c>
      <c r="L1089" s="403">
        <v>0</v>
      </c>
      <c r="M1089" s="403" t="s">
        <v>1279</v>
      </c>
      <c r="N1089" s="403">
        <v>0</v>
      </c>
      <c r="O1089" s="403">
        <v>0</v>
      </c>
      <c r="P1089" t="str">
        <f t="shared" si="129"/>
        <v>20fps 2304x1296 - SD ROI PTZ</v>
      </c>
      <c r="Q1089">
        <f t="shared" si="130"/>
        <v>6</v>
      </c>
      <c r="R1089" t="str">
        <f t="shared" si="131"/>
        <v/>
      </c>
      <c r="S1089" t="str">
        <f t="shared" si="132"/>
        <v/>
      </c>
      <c r="T1089" s="403" t="str">
        <f t="shared" si="133"/>
        <v>NBE-3503-AL</v>
      </c>
      <c r="U1089" s="403">
        <f t="shared" si="134"/>
        <v>1</v>
      </c>
      <c r="V1089" s="403" t="str">
        <f t="shared" si="135"/>
        <v>CPP_7_3</v>
      </c>
    </row>
    <row r="1090" spans="1:22">
      <c r="A1090" t="str">
        <f t="shared" ref="A1090:A1153" si="136">IF(AND(G1090&lt;&gt;"rotate 90°"),D1090,"")</f>
        <v>NBE-3503-AL</v>
      </c>
      <c r="B1090" s="403" t="s">
        <v>1370</v>
      </c>
      <c r="C1090" s="403" t="s">
        <v>582</v>
      </c>
      <c r="D1090" s="403" t="s">
        <v>1371</v>
      </c>
      <c r="E1090" s="403" t="s">
        <v>778</v>
      </c>
      <c r="F1090" s="403" t="s">
        <v>1375</v>
      </c>
      <c r="G1090" s="403" t="s">
        <v>1466</v>
      </c>
      <c r="H1090" s="403" t="s">
        <v>1276</v>
      </c>
      <c r="I1090" s="403">
        <v>1</v>
      </c>
      <c r="J1090" s="403" t="s">
        <v>1374</v>
      </c>
      <c r="K1090" s="403">
        <v>0</v>
      </c>
      <c r="L1090" s="403">
        <v>0</v>
      </c>
      <c r="M1090" s="403" t="s">
        <v>1285</v>
      </c>
      <c r="N1090" s="403">
        <v>0</v>
      </c>
      <c r="O1090" s="403">
        <v>0</v>
      </c>
      <c r="P1090" t="str">
        <f t="shared" ref="P1090:P1153" si="137">LEFT(F1090,5)&amp;" "&amp;J1090&amp;" - "&amp;M1090</f>
        <v>20fps 2304x1296 - 1280x1024 5:4 (cropped)</v>
      </c>
      <c r="Q1090">
        <f t="shared" ref="Q1090:Q1153" si="138">IF(A1089=A1090,Q1089,Q1089+1)</f>
        <v>6</v>
      </c>
      <c r="R1090" t="str">
        <f t="shared" ref="R1090:R1153" si="139">IF(Q1089&lt;&gt;Q1090,Q1090,"")</f>
        <v/>
      </c>
      <c r="S1090" t="str">
        <f t="shared" ref="S1090:S1153" si="140">IF(R1090&lt;&gt;"",B1090&amp;" ("&amp;D1090&amp;")","")</f>
        <v/>
      </c>
      <c r="T1090" s="403" t="str">
        <f t="shared" ref="T1090:T1153" si="141">D1090</f>
        <v>NBE-3503-AL</v>
      </c>
      <c r="U1090" s="403">
        <f t="shared" ref="U1090:U1153" si="142">I1090</f>
        <v>1</v>
      </c>
      <c r="V1090" s="403" t="str">
        <f t="shared" ref="V1090:V1153" si="143">C1090</f>
        <v>CPP_7_3</v>
      </c>
    </row>
    <row r="1091" spans="1:22">
      <c r="A1091" t="str">
        <f t="shared" si="136"/>
        <v>NBE-3503-AL</v>
      </c>
      <c r="B1091" s="403" t="s">
        <v>1370</v>
      </c>
      <c r="C1091" s="403" t="s">
        <v>582</v>
      </c>
      <c r="D1091" s="403" t="s">
        <v>1371</v>
      </c>
      <c r="E1091" s="403" t="s">
        <v>778</v>
      </c>
      <c r="F1091" s="403" t="s">
        <v>1375</v>
      </c>
      <c r="G1091" s="403" t="s">
        <v>1466</v>
      </c>
      <c r="H1091" s="403" t="s">
        <v>1276</v>
      </c>
      <c r="I1091" s="403">
        <v>1</v>
      </c>
      <c r="J1091" s="403" t="s">
        <v>1374</v>
      </c>
      <c r="K1091" s="403">
        <v>0</v>
      </c>
      <c r="L1091" s="403">
        <v>0</v>
      </c>
      <c r="M1091" s="403" t="s">
        <v>1283</v>
      </c>
      <c r="N1091" s="403">
        <v>0</v>
      </c>
      <c r="O1091" s="403">
        <v>0</v>
      </c>
      <c r="P1091" t="str">
        <f t="shared" si="137"/>
        <v>20fps 2304x1296 - SD 4CIF resolution 4:3 format (cropped)</v>
      </c>
      <c r="Q1091">
        <f t="shared" si="138"/>
        <v>6</v>
      </c>
      <c r="R1091" t="str">
        <f t="shared" si="139"/>
        <v/>
      </c>
      <c r="S1091" t="str">
        <f t="shared" si="140"/>
        <v/>
      </c>
      <c r="T1091" s="403" t="str">
        <f t="shared" si="141"/>
        <v>NBE-3503-AL</v>
      </c>
      <c r="U1091" s="403">
        <f t="shared" si="142"/>
        <v>1</v>
      </c>
      <c r="V1091" s="403" t="str">
        <f t="shared" si="143"/>
        <v>CPP_7_3</v>
      </c>
    </row>
    <row r="1092" spans="1:22">
      <c r="A1092" t="str">
        <f t="shared" si="136"/>
        <v>NBE-3503-AL</v>
      </c>
      <c r="B1092" s="403" t="s">
        <v>1370</v>
      </c>
      <c r="C1092" s="403" t="s">
        <v>582</v>
      </c>
      <c r="D1092" s="403" t="s">
        <v>1371</v>
      </c>
      <c r="E1092" s="403" t="s">
        <v>778</v>
      </c>
      <c r="F1092" s="403" t="s">
        <v>1375</v>
      </c>
      <c r="G1092" s="403" t="s">
        <v>1466</v>
      </c>
      <c r="H1092" s="403" t="s">
        <v>1276</v>
      </c>
      <c r="I1092" s="403">
        <v>1</v>
      </c>
      <c r="J1092" s="403" t="s">
        <v>1374</v>
      </c>
      <c r="K1092" s="403">
        <v>0</v>
      </c>
      <c r="L1092" s="403">
        <v>0</v>
      </c>
      <c r="M1092" s="403" t="s">
        <v>1284</v>
      </c>
      <c r="N1092" s="403">
        <v>0</v>
      </c>
      <c r="O1092" s="403">
        <v>0</v>
      </c>
      <c r="P1092" t="str">
        <f t="shared" si="137"/>
        <v>20fps 2304x1296 - SD VGA (cropped)</v>
      </c>
      <c r="Q1092">
        <f t="shared" si="138"/>
        <v>6</v>
      </c>
      <c r="R1092" t="str">
        <f t="shared" si="139"/>
        <v/>
      </c>
      <c r="S1092" t="str">
        <f t="shared" si="140"/>
        <v/>
      </c>
      <c r="T1092" s="403" t="str">
        <f t="shared" si="141"/>
        <v>NBE-3503-AL</v>
      </c>
      <c r="U1092" s="403">
        <f t="shared" si="142"/>
        <v>1</v>
      </c>
      <c r="V1092" s="403" t="str">
        <f t="shared" si="143"/>
        <v>CPP_7_3</v>
      </c>
    </row>
    <row r="1093" spans="1:22">
      <c r="A1093" t="str">
        <f t="shared" si="136"/>
        <v>NBE-3503-AL</v>
      </c>
      <c r="B1093" s="403" t="s">
        <v>1370</v>
      </c>
      <c r="C1093" s="403" t="s">
        <v>582</v>
      </c>
      <c r="D1093" s="403" t="s">
        <v>1371</v>
      </c>
      <c r="E1093" s="403" t="s">
        <v>778</v>
      </c>
      <c r="F1093" s="403" t="s">
        <v>1375</v>
      </c>
      <c r="G1093" s="403" t="s">
        <v>1466</v>
      </c>
      <c r="H1093" s="403" t="s">
        <v>1276</v>
      </c>
      <c r="I1093" s="403">
        <v>1</v>
      </c>
      <c r="J1093" s="403" t="s">
        <v>1374</v>
      </c>
      <c r="K1093" s="403">
        <v>0</v>
      </c>
      <c r="L1093" s="403">
        <v>0</v>
      </c>
      <c r="M1093" s="403" t="s">
        <v>1280</v>
      </c>
      <c r="N1093" s="403">
        <v>0</v>
      </c>
      <c r="O1093" s="403">
        <v>0</v>
      </c>
      <c r="P1093" t="str">
        <f t="shared" si="137"/>
        <v>20fps 2304x1296 - copy other stream</v>
      </c>
      <c r="Q1093">
        <f t="shared" si="138"/>
        <v>6</v>
      </c>
      <c r="R1093" t="str">
        <f t="shared" si="139"/>
        <v/>
      </c>
      <c r="S1093" t="str">
        <f t="shared" si="140"/>
        <v/>
      </c>
      <c r="T1093" s="403" t="str">
        <f t="shared" si="141"/>
        <v>NBE-3503-AL</v>
      </c>
      <c r="U1093" s="403">
        <f t="shared" si="142"/>
        <v>1</v>
      </c>
      <c r="V1093" s="403" t="str">
        <f t="shared" si="143"/>
        <v>CPP_7_3</v>
      </c>
    </row>
    <row r="1094" spans="1:22">
      <c r="A1094" t="str">
        <f t="shared" si="136"/>
        <v>NBE-3503-AL</v>
      </c>
      <c r="B1094" s="403" t="s">
        <v>1370</v>
      </c>
      <c r="C1094" s="403" t="s">
        <v>582</v>
      </c>
      <c r="D1094" s="403" t="s">
        <v>1371</v>
      </c>
      <c r="E1094" s="403" t="s">
        <v>778</v>
      </c>
      <c r="F1094" s="403" t="s">
        <v>1375</v>
      </c>
      <c r="G1094" s="403" t="s">
        <v>1466</v>
      </c>
      <c r="H1094" s="403" t="s">
        <v>1276</v>
      </c>
      <c r="I1094" s="403">
        <v>1</v>
      </c>
      <c r="J1094" s="403" t="s">
        <v>110</v>
      </c>
      <c r="K1094" s="403">
        <v>0</v>
      </c>
      <c r="L1094" s="403">
        <v>0</v>
      </c>
      <c r="M1094" s="403" t="s">
        <v>111</v>
      </c>
      <c r="N1094" s="403">
        <v>0</v>
      </c>
      <c r="O1094" s="403">
        <v>0</v>
      </c>
      <c r="P1094" t="str">
        <f t="shared" si="137"/>
        <v>20fps 1080p - SD</v>
      </c>
      <c r="Q1094">
        <f t="shared" si="138"/>
        <v>6</v>
      </c>
      <c r="R1094" t="str">
        <f t="shared" si="139"/>
        <v/>
      </c>
      <c r="S1094" t="str">
        <f t="shared" si="140"/>
        <v/>
      </c>
      <c r="T1094" s="403" t="str">
        <f t="shared" si="141"/>
        <v>NBE-3503-AL</v>
      </c>
      <c r="U1094" s="403">
        <f t="shared" si="142"/>
        <v>1</v>
      </c>
      <c r="V1094" s="403" t="str">
        <f t="shared" si="143"/>
        <v>CPP_7_3</v>
      </c>
    </row>
    <row r="1095" spans="1:22">
      <c r="A1095" t="str">
        <f t="shared" si="136"/>
        <v>NBE-3503-AL</v>
      </c>
      <c r="B1095" s="403" t="s">
        <v>1370</v>
      </c>
      <c r="C1095" s="403" t="s">
        <v>582</v>
      </c>
      <c r="D1095" s="403" t="s">
        <v>1371</v>
      </c>
      <c r="E1095" s="403" t="s">
        <v>778</v>
      </c>
      <c r="F1095" s="403" t="s">
        <v>1375</v>
      </c>
      <c r="G1095" s="403" t="s">
        <v>1466</v>
      </c>
      <c r="H1095" s="403" t="s">
        <v>1281</v>
      </c>
      <c r="I1095" s="403">
        <v>1</v>
      </c>
      <c r="J1095" s="403" t="s">
        <v>1377</v>
      </c>
      <c r="K1095" s="403">
        <v>2720</v>
      </c>
      <c r="L1095" s="403">
        <v>1528</v>
      </c>
      <c r="M1095" s="403" t="s">
        <v>1280</v>
      </c>
      <c r="N1095" s="403">
        <v>2720</v>
      </c>
      <c r="O1095" s="403">
        <v>1528</v>
      </c>
      <c r="P1095" t="str">
        <f t="shared" si="137"/>
        <v>20fps 2720x1530 - copy other stream</v>
      </c>
      <c r="Q1095">
        <f t="shared" si="138"/>
        <v>6</v>
      </c>
      <c r="R1095" t="str">
        <f t="shared" si="139"/>
        <v/>
      </c>
      <c r="S1095" t="str">
        <f t="shared" si="140"/>
        <v/>
      </c>
      <c r="T1095" s="403" t="str">
        <f t="shared" si="141"/>
        <v>NBE-3503-AL</v>
      </c>
      <c r="U1095" s="403">
        <f t="shared" si="142"/>
        <v>1</v>
      </c>
      <c r="V1095" s="403" t="str">
        <f t="shared" si="143"/>
        <v>CPP_7_3</v>
      </c>
    </row>
    <row r="1096" spans="1:22">
      <c r="A1096" t="str">
        <f t="shared" si="136"/>
        <v>NBE-3503-AL</v>
      </c>
      <c r="B1096" s="403" t="s">
        <v>1370</v>
      </c>
      <c r="C1096" s="403" t="s">
        <v>582</v>
      </c>
      <c r="D1096" s="403" t="s">
        <v>1371</v>
      </c>
      <c r="E1096" s="403" t="s">
        <v>778</v>
      </c>
      <c r="F1096" s="403" t="s">
        <v>1375</v>
      </c>
      <c r="G1096" s="403" t="s">
        <v>1466</v>
      </c>
      <c r="H1096" s="403" t="s">
        <v>1281</v>
      </c>
      <c r="I1096" s="403">
        <v>1</v>
      </c>
      <c r="J1096" s="403" t="s">
        <v>1374</v>
      </c>
      <c r="K1096" s="403">
        <v>2304</v>
      </c>
      <c r="L1096" s="403">
        <v>1296</v>
      </c>
      <c r="M1096" s="403" t="s">
        <v>109</v>
      </c>
      <c r="N1096" s="403">
        <v>1280</v>
      </c>
      <c r="O1096" s="403">
        <v>720</v>
      </c>
      <c r="P1096" t="str">
        <f t="shared" si="137"/>
        <v>20fps 2304x1296 - 720p</v>
      </c>
      <c r="Q1096">
        <f t="shared" si="138"/>
        <v>6</v>
      </c>
      <c r="R1096" t="str">
        <f t="shared" si="139"/>
        <v/>
      </c>
      <c r="S1096" t="str">
        <f t="shared" si="140"/>
        <v/>
      </c>
      <c r="T1096" s="403" t="str">
        <f t="shared" si="141"/>
        <v>NBE-3503-AL</v>
      </c>
      <c r="U1096" s="403">
        <f t="shared" si="142"/>
        <v>1</v>
      </c>
      <c r="V1096" s="403" t="str">
        <f t="shared" si="143"/>
        <v>CPP_7_3</v>
      </c>
    </row>
    <row r="1097" spans="1:22">
      <c r="A1097" t="str">
        <f t="shared" si="136"/>
        <v>NBE-3503-AL</v>
      </c>
      <c r="B1097" s="403" t="s">
        <v>1370</v>
      </c>
      <c r="C1097" s="403" t="s">
        <v>582</v>
      </c>
      <c r="D1097" s="403" t="s">
        <v>1371</v>
      </c>
      <c r="E1097" s="403" t="s">
        <v>778</v>
      </c>
      <c r="F1097" s="403" t="s">
        <v>1375</v>
      </c>
      <c r="G1097" s="403" t="s">
        <v>1466</v>
      </c>
      <c r="H1097" s="403" t="s">
        <v>1281</v>
      </c>
      <c r="I1097" s="403">
        <v>1</v>
      </c>
      <c r="J1097" s="403" t="s">
        <v>1374</v>
      </c>
      <c r="K1097" s="403">
        <v>2304</v>
      </c>
      <c r="L1097" s="403">
        <v>1296</v>
      </c>
      <c r="M1097" s="403" t="s">
        <v>111</v>
      </c>
      <c r="N1097" s="403">
        <v>768</v>
      </c>
      <c r="O1097" s="403">
        <v>432</v>
      </c>
      <c r="P1097" t="str">
        <f t="shared" si="137"/>
        <v>20fps 2304x1296 - SD</v>
      </c>
      <c r="Q1097">
        <f t="shared" si="138"/>
        <v>6</v>
      </c>
      <c r="R1097" t="str">
        <f t="shared" si="139"/>
        <v/>
      </c>
      <c r="S1097" t="str">
        <f t="shared" si="140"/>
        <v/>
      </c>
      <c r="T1097" s="403" t="str">
        <f t="shared" si="141"/>
        <v>NBE-3503-AL</v>
      </c>
      <c r="U1097" s="403">
        <f t="shared" si="142"/>
        <v>1</v>
      </c>
      <c r="V1097" s="403" t="str">
        <f t="shared" si="143"/>
        <v>CPP_7_3</v>
      </c>
    </row>
    <row r="1098" spans="1:22">
      <c r="A1098" t="str">
        <f t="shared" si="136"/>
        <v>NBE-3503-AL</v>
      </c>
      <c r="B1098" s="403" t="s">
        <v>1370</v>
      </c>
      <c r="C1098" s="403" t="s">
        <v>582</v>
      </c>
      <c r="D1098" s="403" t="s">
        <v>1371</v>
      </c>
      <c r="E1098" s="403" t="s">
        <v>778</v>
      </c>
      <c r="F1098" s="403" t="s">
        <v>1375</v>
      </c>
      <c r="G1098" s="403" t="s">
        <v>1466</v>
      </c>
      <c r="H1098" s="403" t="s">
        <v>1281</v>
      </c>
      <c r="I1098" s="403">
        <v>1</v>
      </c>
      <c r="J1098" s="403" t="s">
        <v>1374</v>
      </c>
      <c r="K1098" s="403">
        <v>2304</v>
      </c>
      <c r="L1098" s="403">
        <v>1296</v>
      </c>
      <c r="M1098" s="403" t="s">
        <v>1279</v>
      </c>
      <c r="N1098" s="403">
        <v>768</v>
      </c>
      <c r="O1098" s="403">
        <v>432</v>
      </c>
      <c r="P1098" t="str">
        <f t="shared" si="137"/>
        <v>20fps 2304x1296 - SD ROI PTZ</v>
      </c>
      <c r="Q1098">
        <f t="shared" si="138"/>
        <v>6</v>
      </c>
      <c r="R1098" t="str">
        <f t="shared" si="139"/>
        <v/>
      </c>
      <c r="S1098" t="str">
        <f t="shared" si="140"/>
        <v/>
      </c>
      <c r="T1098" s="403" t="str">
        <f t="shared" si="141"/>
        <v>NBE-3503-AL</v>
      </c>
      <c r="U1098" s="403">
        <f t="shared" si="142"/>
        <v>1</v>
      </c>
      <c r="V1098" s="403" t="str">
        <f t="shared" si="143"/>
        <v>CPP_7_3</v>
      </c>
    </row>
    <row r="1099" spans="1:22">
      <c r="A1099" t="str">
        <f t="shared" si="136"/>
        <v>NBE-3503-AL</v>
      </c>
      <c r="B1099" s="403" t="s">
        <v>1370</v>
      </c>
      <c r="C1099" s="403" t="s">
        <v>582</v>
      </c>
      <c r="D1099" s="403" t="s">
        <v>1371</v>
      </c>
      <c r="E1099" s="403" t="s">
        <v>778</v>
      </c>
      <c r="F1099" s="403" t="s">
        <v>1375</v>
      </c>
      <c r="G1099" s="403" t="s">
        <v>1466</v>
      </c>
      <c r="H1099" s="403" t="s">
        <v>1281</v>
      </c>
      <c r="I1099" s="403">
        <v>1</v>
      </c>
      <c r="J1099" s="403" t="s">
        <v>1374</v>
      </c>
      <c r="K1099" s="403">
        <v>2304</v>
      </c>
      <c r="L1099" s="403">
        <v>1296</v>
      </c>
      <c r="M1099" s="403" t="s">
        <v>1285</v>
      </c>
      <c r="N1099" s="403">
        <v>1280</v>
      </c>
      <c r="O1099" s="403">
        <v>1024</v>
      </c>
      <c r="P1099" t="str">
        <f t="shared" si="137"/>
        <v>20fps 2304x1296 - 1280x1024 5:4 (cropped)</v>
      </c>
      <c r="Q1099">
        <f t="shared" si="138"/>
        <v>6</v>
      </c>
      <c r="R1099" t="str">
        <f t="shared" si="139"/>
        <v/>
      </c>
      <c r="S1099" t="str">
        <f t="shared" si="140"/>
        <v/>
      </c>
      <c r="T1099" s="403" t="str">
        <f t="shared" si="141"/>
        <v>NBE-3503-AL</v>
      </c>
      <c r="U1099" s="403">
        <f t="shared" si="142"/>
        <v>1</v>
      </c>
      <c r="V1099" s="403" t="str">
        <f t="shared" si="143"/>
        <v>CPP_7_3</v>
      </c>
    </row>
    <row r="1100" spans="1:22">
      <c r="A1100" t="str">
        <f t="shared" si="136"/>
        <v>NBE-3503-AL</v>
      </c>
      <c r="B1100" s="403" t="s">
        <v>1370</v>
      </c>
      <c r="C1100" s="403" t="s">
        <v>582</v>
      </c>
      <c r="D1100" s="403" t="s">
        <v>1371</v>
      </c>
      <c r="E1100" s="403" t="s">
        <v>778</v>
      </c>
      <c r="F1100" s="403" t="s">
        <v>1375</v>
      </c>
      <c r="G1100" s="403" t="s">
        <v>1466</v>
      </c>
      <c r="H1100" s="403" t="s">
        <v>1281</v>
      </c>
      <c r="I1100" s="403">
        <v>1</v>
      </c>
      <c r="J1100" s="403" t="s">
        <v>1374</v>
      </c>
      <c r="K1100" s="403">
        <v>2304</v>
      </c>
      <c r="L1100" s="403">
        <v>1296</v>
      </c>
      <c r="M1100" s="403" t="s">
        <v>1283</v>
      </c>
      <c r="N1100" s="403">
        <v>720</v>
      </c>
      <c r="O1100" s="403">
        <v>480</v>
      </c>
      <c r="P1100" t="str">
        <f t="shared" si="137"/>
        <v>20fps 2304x1296 - SD 4CIF resolution 4:3 format (cropped)</v>
      </c>
      <c r="Q1100">
        <f t="shared" si="138"/>
        <v>6</v>
      </c>
      <c r="R1100" t="str">
        <f t="shared" si="139"/>
        <v/>
      </c>
      <c r="S1100" t="str">
        <f t="shared" si="140"/>
        <v/>
      </c>
      <c r="T1100" s="403" t="str">
        <f t="shared" si="141"/>
        <v>NBE-3503-AL</v>
      </c>
      <c r="U1100" s="403">
        <f t="shared" si="142"/>
        <v>1</v>
      </c>
      <c r="V1100" s="403" t="str">
        <f t="shared" si="143"/>
        <v>CPP_7_3</v>
      </c>
    </row>
    <row r="1101" spans="1:22">
      <c r="A1101" t="str">
        <f t="shared" si="136"/>
        <v>NBE-3503-AL</v>
      </c>
      <c r="B1101" s="403" t="s">
        <v>1370</v>
      </c>
      <c r="C1101" s="403" t="s">
        <v>582</v>
      </c>
      <c r="D1101" s="403" t="s">
        <v>1371</v>
      </c>
      <c r="E1101" s="403" t="s">
        <v>778</v>
      </c>
      <c r="F1101" s="403" t="s">
        <v>1375</v>
      </c>
      <c r="G1101" s="403" t="s">
        <v>1466</v>
      </c>
      <c r="H1101" s="403" t="s">
        <v>1281</v>
      </c>
      <c r="I1101" s="403">
        <v>1</v>
      </c>
      <c r="J1101" s="403" t="s">
        <v>1374</v>
      </c>
      <c r="K1101" s="403">
        <v>2304</v>
      </c>
      <c r="L1101" s="403">
        <v>1296</v>
      </c>
      <c r="M1101" s="403" t="s">
        <v>1284</v>
      </c>
      <c r="N1101" s="403">
        <v>640</v>
      </c>
      <c r="O1101" s="403">
        <v>480</v>
      </c>
      <c r="P1101" t="str">
        <f t="shared" si="137"/>
        <v>20fps 2304x1296 - SD VGA (cropped)</v>
      </c>
      <c r="Q1101">
        <f t="shared" si="138"/>
        <v>6</v>
      </c>
      <c r="R1101" t="str">
        <f t="shared" si="139"/>
        <v/>
      </c>
      <c r="S1101" t="str">
        <f t="shared" si="140"/>
        <v/>
      </c>
      <c r="T1101" s="403" t="str">
        <f t="shared" si="141"/>
        <v>NBE-3503-AL</v>
      </c>
      <c r="U1101" s="403">
        <f t="shared" si="142"/>
        <v>1</v>
      </c>
      <c r="V1101" s="403" t="str">
        <f t="shared" si="143"/>
        <v>CPP_7_3</v>
      </c>
    </row>
    <row r="1102" spans="1:22">
      <c r="A1102" t="str">
        <f t="shared" si="136"/>
        <v>NBE-3503-AL</v>
      </c>
      <c r="B1102" s="403" t="s">
        <v>1370</v>
      </c>
      <c r="C1102" s="403" t="s">
        <v>582</v>
      </c>
      <c r="D1102" s="403" t="s">
        <v>1371</v>
      </c>
      <c r="E1102" s="403" t="s">
        <v>778</v>
      </c>
      <c r="F1102" s="403" t="s">
        <v>1375</v>
      </c>
      <c r="G1102" s="403" t="s">
        <v>1466</v>
      </c>
      <c r="H1102" s="403" t="s">
        <v>1281</v>
      </c>
      <c r="I1102" s="403">
        <v>1</v>
      </c>
      <c r="J1102" s="403" t="s">
        <v>1374</v>
      </c>
      <c r="K1102" s="403">
        <v>2304</v>
      </c>
      <c r="L1102" s="403">
        <v>1296</v>
      </c>
      <c r="M1102" s="403" t="s">
        <v>1280</v>
      </c>
      <c r="N1102" s="403">
        <v>2304</v>
      </c>
      <c r="O1102" s="403">
        <v>1296</v>
      </c>
      <c r="P1102" t="str">
        <f t="shared" si="137"/>
        <v>20fps 2304x1296 - copy other stream</v>
      </c>
      <c r="Q1102">
        <f t="shared" si="138"/>
        <v>6</v>
      </c>
      <c r="R1102" t="str">
        <f t="shared" si="139"/>
        <v/>
      </c>
      <c r="S1102" t="str">
        <f t="shared" si="140"/>
        <v/>
      </c>
      <c r="T1102" s="403" t="str">
        <f t="shared" si="141"/>
        <v>NBE-3503-AL</v>
      </c>
      <c r="U1102" s="403">
        <f t="shared" si="142"/>
        <v>1</v>
      </c>
      <c r="V1102" s="403" t="str">
        <f t="shared" si="143"/>
        <v>CPP_7_3</v>
      </c>
    </row>
    <row r="1103" spans="1:22">
      <c r="A1103" t="str">
        <f t="shared" si="136"/>
        <v>NBE-3503-AL</v>
      </c>
      <c r="B1103" s="403" t="s">
        <v>1370</v>
      </c>
      <c r="C1103" s="403" t="s">
        <v>582</v>
      </c>
      <c r="D1103" s="403" t="s">
        <v>1371</v>
      </c>
      <c r="E1103" s="403" t="s">
        <v>778</v>
      </c>
      <c r="F1103" s="403" t="s">
        <v>1375</v>
      </c>
      <c r="G1103" s="403" t="s">
        <v>1466</v>
      </c>
      <c r="H1103" s="403" t="s">
        <v>1281</v>
      </c>
      <c r="I1103" s="403">
        <v>1</v>
      </c>
      <c r="J1103" s="403" t="s">
        <v>110</v>
      </c>
      <c r="K1103" s="403">
        <v>0</v>
      </c>
      <c r="L1103" s="403">
        <v>0</v>
      </c>
      <c r="M1103" s="403" t="s">
        <v>111</v>
      </c>
      <c r="N1103" s="403">
        <v>0</v>
      </c>
      <c r="O1103" s="403">
        <v>0</v>
      </c>
      <c r="P1103" t="str">
        <f t="shared" si="137"/>
        <v>20fps 1080p - SD</v>
      </c>
      <c r="Q1103">
        <f t="shared" si="138"/>
        <v>6</v>
      </c>
      <c r="R1103" t="str">
        <f t="shared" si="139"/>
        <v/>
      </c>
      <c r="S1103" t="str">
        <f t="shared" si="140"/>
        <v/>
      </c>
      <c r="T1103" s="403" t="str">
        <f t="shared" si="141"/>
        <v>NBE-3503-AL</v>
      </c>
      <c r="U1103" s="403">
        <f t="shared" si="142"/>
        <v>1</v>
      </c>
      <c r="V1103" s="403" t="str">
        <f t="shared" si="143"/>
        <v>CPP_7_3</v>
      </c>
    </row>
    <row r="1104" spans="1:22">
      <c r="A1104" t="str">
        <f t="shared" si="136"/>
        <v>NBE-3503-AL</v>
      </c>
      <c r="B1104" s="403" t="s">
        <v>1370</v>
      </c>
      <c r="C1104" s="403" t="s">
        <v>582</v>
      </c>
      <c r="D1104" s="403" t="s">
        <v>1371</v>
      </c>
      <c r="E1104" s="403" t="s">
        <v>778</v>
      </c>
      <c r="F1104" s="403" t="s">
        <v>1375</v>
      </c>
      <c r="G1104" s="403" t="s">
        <v>1466</v>
      </c>
      <c r="H1104" s="403" t="s">
        <v>1281</v>
      </c>
      <c r="I1104" s="403">
        <v>1</v>
      </c>
      <c r="J1104" s="403" t="s">
        <v>110</v>
      </c>
      <c r="K1104" s="403">
        <v>0</v>
      </c>
      <c r="L1104" s="403">
        <v>0</v>
      </c>
      <c r="M1104" s="403" t="s">
        <v>110</v>
      </c>
      <c r="N1104" s="403">
        <v>0</v>
      </c>
      <c r="O1104" s="403">
        <v>0</v>
      </c>
      <c r="P1104" t="str">
        <f t="shared" si="137"/>
        <v>20fps 1080p - 1080p</v>
      </c>
      <c r="Q1104">
        <f t="shared" si="138"/>
        <v>6</v>
      </c>
      <c r="R1104" t="str">
        <f t="shared" si="139"/>
        <v/>
      </c>
      <c r="S1104" t="str">
        <f t="shared" si="140"/>
        <v/>
      </c>
      <c r="T1104" s="403" t="str">
        <f t="shared" si="141"/>
        <v>NBE-3503-AL</v>
      </c>
      <c r="U1104" s="403">
        <f t="shared" si="142"/>
        <v>1</v>
      </c>
      <c r="V1104" s="403" t="str">
        <f t="shared" si="143"/>
        <v>CPP_7_3</v>
      </c>
    </row>
    <row r="1105" spans="1:22">
      <c r="A1105" t="str">
        <f t="shared" si="136"/>
        <v>NBE-3503-AL</v>
      </c>
      <c r="B1105" s="403" t="s">
        <v>1370</v>
      </c>
      <c r="C1105" s="403" t="s">
        <v>582</v>
      </c>
      <c r="D1105" s="403" t="s">
        <v>1371</v>
      </c>
      <c r="E1105" s="403" t="s">
        <v>778</v>
      </c>
      <c r="F1105" s="403" t="s">
        <v>1375</v>
      </c>
      <c r="G1105" s="403" t="s">
        <v>1466</v>
      </c>
      <c r="H1105" s="403" t="s">
        <v>1281</v>
      </c>
      <c r="I1105" s="403">
        <v>1</v>
      </c>
      <c r="J1105" s="403" t="s">
        <v>110</v>
      </c>
      <c r="K1105" s="403">
        <v>0</v>
      </c>
      <c r="L1105" s="403">
        <v>0</v>
      </c>
      <c r="M1105" s="403" t="s">
        <v>109</v>
      </c>
      <c r="N1105" s="403">
        <v>0</v>
      </c>
      <c r="O1105" s="403">
        <v>0</v>
      </c>
      <c r="P1105" t="str">
        <f t="shared" si="137"/>
        <v>20fps 1080p - 720p</v>
      </c>
      <c r="Q1105">
        <f t="shared" si="138"/>
        <v>6</v>
      </c>
      <c r="R1105" t="str">
        <f t="shared" si="139"/>
        <v/>
      </c>
      <c r="S1105" t="str">
        <f t="shared" si="140"/>
        <v/>
      </c>
      <c r="T1105" s="403" t="str">
        <f t="shared" si="141"/>
        <v>NBE-3503-AL</v>
      </c>
      <c r="U1105" s="403">
        <f t="shared" si="142"/>
        <v>1</v>
      </c>
      <c r="V1105" s="403" t="str">
        <f t="shared" si="143"/>
        <v>CPP_7_3</v>
      </c>
    </row>
    <row r="1106" spans="1:22">
      <c r="A1106" t="str">
        <f t="shared" si="136"/>
        <v>NBE-3503-AL</v>
      </c>
      <c r="B1106" s="403" t="s">
        <v>1370</v>
      </c>
      <c r="C1106" s="403" t="s">
        <v>582</v>
      </c>
      <c r="D1106" s="403" t="s">
        <v>1371</v>
      </c>
      <c r="E1106" s="403" t="s">
        <v>778</v>
      </c>
      <c r="F1106" s="403" t="s">
        <v>1375</v>
      </c>
      <c r="G1106" s="403" t="s">
        <v>1466</v>
      </c>
      <c r="H1106" s="403" t="s">
        <v>1281</v>
      </c>
      <c r="I1106" s="403">
        <v>1</v>
      </c>
      <c r="J1106" s="403" t="s">
        <v>110</v>
      </c>
      <c r="K1106" s="403">
        <v>0</v>
      </c>
      <c r="L1106" s="403">
        <v>0</v>
      </c>
      <c r="M1106" s="403" t="s">
        <v>1285</v>
      </c>
      <c r="N1106" s="403">
        <v>0</v>
      </c>
      <c r="O1106" s="403">
        <v>0</v>
      </c>
      <c r="P1106" t="str">
        <f t="shared" si="137"/>
        <v>20fps 1080p - 1280x1024 5:4 (cropped)</v>
      </c>
      <c r="Q1106">
        <f t="shared" si="138"/>
        <v>6</v>
      </c>
      <c r="R1106" t="str">
        <f t="shared" si="139"/>
        <v/>
      </c>
      <c r="S1106" t="str">
        <f t="shared" si="140"/>
        <v/>
      </c>
      <c r="T1106" s="403" t="str">
        <f t="shared" si="141"/>
        <v>NBE-3503-AL</v>
      </c>
      <c r="U1106" s="403">
        <f t="shared" si="142"/>
        <v>1</v>
      </c>
      <c r="V1106" s="403" t="str">
        <f t="shared" si="143"/>
        <v>CPP_7_3</v>
      </c>
    </row>
    <row r="1107" spans="1:22">
      <c r="A1107" t="str">
        <f t="shared" si="136"/>
        <v>NBE-3503-AL</v>
      </c>
      <c r="B1107" s="403" t="s">
        <v>1370</v>
      </c>
      <c r="C1107" s="403" t="s">
        <v>582</v>
      </c>
      <c r="D1107" s="403" t="s">
        <v>1371</v>
      </c>
      <c r="E1107" s="403" t="s">
        <v>778</v>
      </c>
      <c r="F1107" s="403" t="s">
        <v>1375</v>
      </c>
      <c r="G1107" s="403" t="s">
        <v>1466</v>
      </c>
      <c r="H1107" s="403" t="s">
        <v>1281</v>
      </c>
      <c r="I1107" s="403">
        <v>1</v>
      </c>
      <c r="J1107" s="403" t="s">
        <v>110</v>
      </c>
      <c r="K1107" s="403">
        <v>1920</v>
      </c>
      <c r="L1107" s="403">
        <v>1080</v>
      </c>
      <c r="M1107" s="403" t="s">
        <v>1279</v>
      </c>
      <c r="N1107" s="403">
        <v>0</v>
      </c>
      <c r="O1107" s="403">
        <v>0</v>
      </c>
      <c r="P1107" t="str">
        <f t="shared" si="137"/>
        <v>20fps 1080p - SD ROI PTZ</v>
      </c>
      <c r="Q1107">
        <f t="shared" si="138"/>
        <v>6</v>
      </c>
      <c r="R1107" t="str">
        <f t="shared" si="139"/>
        <v/>
      </c>
      <c r="S1107" t="str">
        <f t="shared" si="140"/>
        <v/>
      </c>
      <c r="T1107" s="403" t="str">
        <f t="shared" si="141"/>
        <v>NBE-3503-AL</v>
      </c>
      <c r="U1107" s="403">
        <f t="shared" si="142"/>
        <v>1</v>
      </c>
      <c r="V1107" s="403" t="str">
        <f t="shared" si="143"/>
        <v>CPP_7_3</v>
      </c>
    </row>
    <row r="1108" spans="1:22">
      <c r="A1108" t="str">
        <f t="shared" si="136"/>
        <v>NBE-3503-AL</v>
      </c>
      <c r="B1108" s="403" t="s">
        <v>1370</v>
      </c>
      <c r="C1108" s="403" t="s">
        <v>582</v>
      </c>
      <c r="D1108" s="403" t="s">
        <v>1371</v>
      </c>
      <c r="E1108" s="403" t="s">
        <v>778</v>
      </c>
      <c r="F1108" s="403" t="s">
        <v>1375</v>
      </c>
      <c r="G1108" s="403" t="s">
        <v>1466</v>
      </c>
      <c r="H1108" s="403" t="s">
        <v>1281</v>
      </c>
      <c r="I1108" s="403">
        <v>1</v>
      </c>
      <c r="J1108" s="403" t="s">
        <v>110</v>
      </c>
      <c r="K1108" s="403">
        <v>1920</v>
      </c>
      <c r="L1108" s="403">
        <v>1080</v>
      </c>
      <c r="M1108" s="403" t="s">
        <v>1283</v>
      </c>
      <c r="N1108" s="403">
        <v>0</v>
      </c>
      <c r="O1108" s="403">
        <v>0</v>
      </c>
      <c r="P1108" t="str">
        <f t="shared" si="137"/>
        <v>20fps 1080p - SD 4CIF resolution 4:3 format (cropped)</v>
      </c>
      <c r="Q1108">
        <f t="shared" si="138"/>
        <v>6</v>
      </c>
      <c r="R1108" t="str">
        <f t="shared" si="139"/>
        <v/>
      </c>
      <c r="S1108" t="str">
        <f t="shared" si="140"/>
        <v/>
      </c>
      <c r="T1108" s="403" t="str">
        <f t="shared" si="141"/>
        <v>NBE-3503-AL</v>
      </c>
      <c r="U1108" s="403">
        <f t="shared" si="142"/>
        <v>1</v>
      </c>
      <c r="V1108" s="403" t="str">
        <f t="shared" si="143"/>
        <v>CPP_7_3</v>
      </c>
    </row>
    <row r="1109" spans="1:22">
      <c r="A1109" t="str">
        <f t="shared" si="136"/>
        <v>NBE-3503-AL</v>
      </c>
      <c r="B1109" s="403" t="s">
        <v>1370</v>
      </c>
      <c r="C1109" s="403" t="s">
        <v>582</v>
      </c>
      <c r="D1109" s="403" t="s">
        <v>1371</v>
      </c>
      <c r="E1109" s="403" t="s">
        <v>778</v>
      </c>
      <c r="F1109" s="403" t="s">
        <v>1375</v>
      </c>
      <c r="G1109" s="403" t="s">
        <v>1466</v>
      </c>
      <c r="H1109" s="403" t="s">
        <v>1281</v>
      </c>
      <c r="I1109" s="403">
        <v>1</v>
      </c>
      <c r="J1109" s="403" t="s">
        <v>110</v>
      </c>
      <c r="K1109" s="403">
        <v>1920</v>
      </c>
      <c r="L1109" s="403">
        <v>1080</v>
      </c>
      <c r="M1109" s="403" t="s">
        <v>1284</v>
      </c>
      <c r="N1109" s="403">
        <v>0</v>
      </c>
      <c r="O1109" s="403">
        <v>0</v>
      </c>
      <c r="P1109" t="str">
        <f t="shared" si="137"/>
        <v>20fps 1080p - SD VGA (cropped)</v>
      </c>
      <c r="Q1109">
        <f t="shared" si="138"/>
        <v>6</v>
      </c>
      <c r="R1109" t="str">
        <f t="shared" si="139"/>
        <v/>
      </c>
      <c r="S1109" t="str">
        <f t="shared" si="140"/>
        <v/>
      </c>
      <c r="T1109" s="403" t="str">
        <f t="shared" si="141"/>
        <v>NBE-3503-AL</v>
      </c>
      <c r="U1109" s="403">
        <f t="shared" si="142"/>
        <v>1</v>
      </c>
      <c r="V1109" s="403" t="str">
        <f t="shared" si="143"/>
        <v>CPP_7_3</v>
      </c>
    </row>
    <row r="1110" spans="1:22">
      <c r="A1110" t="str">
        <f t="shared" si="136"/>
        <v>NBE-3503-AL</v>
      </c>
      <c r="B1110" s="403" t="s">
        <v>1370</v>
      </c>
      <c r="C1110" s="403" t="s">
        <v>582</v>
      </c>
      <c r="D1110" s="403" t="s">
        <v>1371</v>
      </c>
      <c r="E1110" s="403" t="s">
        <v>778</v>
      </c>
      <c r="F1110" s="403" t="s">
        <v>1375</v>
      </c>
      <c r="G1110" s="403" t="s">
        <v>1466</v>
      </c>
      <c r="H1110" s="403" t="s">
        <v>1281</v>
      </c>
      <c r="I1110" s="403">
        <v>1</v>
      </c>
      <c r="J1110" s="403" t="s">
        <v>109</v>
      </c>
      <c r="K1110" s="403">
        <v>1280</v>
      </c>
      <c r="L1110" s="403">
        <v>720</v>
      </c>
      <c r="M1110" s="403" t="s">
        <v>109</v>
      </c>
      <c r="N1110" s="403">
        <v>0</v>
      </c>
      <c r="O1110" s="403">
        <v>0</v>
      </c>
      <c r="P1110" t="str">
        <f t="shared" si="137"/>
        <v>20fps 720p - 720p</v>
      </c>
      <c r="Q1110">
        <f t="shared" si="138"/>
        <v>6</v>
      </c>
      <c r="R1110" t="str">
        <f t="shared" si="139"/>
        <v/>
      </c>
      <c r="S1110" t="str">
        <f t="shared" si="140"/>
        <v/>
      </c>
      <c r="T1110" s="403" t="str">
        <f t="shared" si="141"/>
        <v>NBE-3503-AL</v>
      </c>
      <c r="U1110" s="403">
        <f t="shared" si="142"/>
        <v>1</v>
      </c>
      <c r="V1110" s="403" t="str">
        <f t="shared" si="143"/>
        <v>CPP_7_3</v>
      </c>
    </row>
    <row r="1111" spans="1:22">
      <c r="A1111" t="str">
        <f t="shared" si="136"/>
        <v>NBE-3503-AL</v>
      </c>
      <c r="B1111" s="403" t="s">
        <v>1370</v>
      </c>
      <c r="C1111" s="403" t="s">
        <v>582</v>
      </c>
      <c r="D1111" s="403" t="s">
        <v>1371</v>
      </c>
      <c r="E1111" s="403" t="s">
        <v>778</v>
      </c>
      <c r="F1111" s="403" t="s">
        <v>1375</v>
      </c>
      <c r="G1111" s="403" t="s">
        <v>1466</v>
      </c>
      <c r="H1111" s="403" t="s">
        <v>1281</v>
      </c>
      <c r="I1111" s="403">
        <v>1</v>
      </c>
      <c r="J1111" s="403" t="s">
        <v>109</v>
      </c>
      <c r="K1111" s="403">
        <v>1280</v>
      </c>
      <c r="L1111" s="403">
        <v>720</v>
      </c>
      <c r="M1111" s="403" t="s">
        <v>111</v>
      </c>
      <c r="N1111" s="403">
        <v>0</v>
      </c>
      <c r="O1111" s="403">
        <v>0</v>
      </c>
      <c r="P1111" t="str">
        <f t="shared" si="137"/>
        <v>20fps 720p - SD</v>
      </c>
      <c r="Q1111">
        <f t="shared" si="138"/>
        <v>6</v>
      </c>
      <c r="R1111" t="str">
        <f t="shared" si="139"/>
        <v/>
      </c>
      <c r="S1111" t="str">
        <f t="shared" si="140"/>
        <v/>
      </c>
      <c r="T1111" s="403" t="str">
        <f t="shared" si="141"/>
        <v>NBE-3503-AL</v>
      </c>
      <c r="U1111" s="403">
        <f t="shared" si="142"/>
        <v>1</v>
      </c>
      <c r="V1111" s="403" t="str">
        <f t="shared" si="143"/>
        <v>CPP_7_3</v>
      </c>
    </row>
    <row r="1112" spans="1:22">
      <c r="A1112" t="str">
        <f t="shared" si="136"/>
        <v>NBE-3503-AL</v>
      </c>
      <c r="B1112" s="403" t="s">
        <v>1370</v>
      </c>
      <c r="C1112" s="403" t="s">
        <v>582</v>
      </c>
      <c r="D1112" s="403" t="s">
        <v>1371</v>
      </c>
      <c r="E1112" s="403" t="s">
        <v>778</v>
      </c>
      <c r="F1112" s="403" t="s">
        <v>1375</v>
      </c>
      <c r="G1112" s="403" t="s">
        <v>1466</v>
      </c>
      <c r="H1112" s="403" t="s">
        <v>1281</v>
      </c>
      <c r="I1112" s="403">
        <v>1</v>
      </c>
      <c r="J1112" s="403" t="s">
        <v>109</v>
      </c>
      <c r="K1112" s="403">
        <v>1280</v>
      </c>
      <c r="L1112" s="403">
        <v>720</v>
      </c>
      <c r="M1112" s="403" t="s">
        <v>1279</v>
      </c>
      <c r="N1112" s="403">
        <v>0</v>
      </c>
      <c r="O1112" s="403">
        <v>0</v>
      </c>
      <c r="P1112" t="str">
        <f t="shared" si="137"/>
        <v>20fps 720p - SD ROI PTZ</v>
      </c>
      <c r="Q1112">
        <f t="shared" si="138"/>
        <v>6</v>
      </c>
      <c r="R1112" t="str">
        <f t="shared" si="139"/>
        <v/>
      </c>
      <c r="S1112" t="str">
        <f t="shared" si="140"/>
        <v/>
      </c>
      <c r="T1112" s="403" t="str">
        <f t="shared" si="141"/>
        <v>NBE-3503-AL</v>
      </c>
      <c r="U1112" s="403">
        <f t="shared" si="142"/>
        <v>1</v>
      </c>
      <c r="V1112" s="403" t="str">
        <f t="shared" si="143"/>
        <v>CPP_7_3</v>
      </c>
    </row>
    <row r="1113" spans="1:22">
      <c r="A1113" t="str">
        <f t="shared" si="136"/>
        <v>NBE-3503-AL</v>
      </c>
      <c r="B1113" s="403" t="s">
        <v>1370</v>
      </c>
      <c r="C1113" s="403" t="s">
        <v>582</v>
      </c>
      <c r="D1113" s="403" t="s">
        <v>1371</v>
      </c>
      <c r="E1113" s="403" t="s">
        <v>778</v>
      </c>
      <c r="F1113" s="403" t="s">
        <v>1375</v>
      </c>
      <c r="G1113" s="403" t="s">
        <v>1466</v>
      </c>
      <c r="H1113" s="403" t="s">
        <v>1281</v>
      </c>
      <c r="I1113" s="403">
        <v>1</v>
      </c>
      <c r="J1113" s="403" t="s">
        <v>109</v>
      </c>
      <c r="K1113" s="403">
        <v>1280</v>
      </c>
      <c r="L1113" s="403">
        <v>720</v>
      </c>
      <c r="M1113" s="403" t="s">
        <v>1283</v>
      </c>
      <c r="N1113" s="403">
        <v>0</v>
      </c>
      <c r="O1113" s="403">
        <v>0</v>
      </c>
      <c r="P1113" t="str">
        <f t="shared" si="137"/>
        <v>20fps 720p - SD 4CIF resolution 4:3 format (cropped)</v>
      </c>
      <c r="Q1113">
        <f t="shared" si="138"/>
        <v>6</v>
      </c>
      <c r="R1113" t="str">
        <f t="shared" si="139"/>
        <v/>
      </c>
      <c r="S1113" t="str">
        <f t="shared" si="140"/>
        <v/>
      </c>
      <c r="T1113" s="403" t="str">
        <f t="shared" si="141"/>
        <v>NBE-3503-AL</v>
      </c>
      <c r="U1113" s="403">
        <f t="shared" si="142"/>
        <v>1</v>
      </c>
      <c r="V1113" s="403" t="str">
        <f t="shared" si="143"/>
        <v>CPP_7_3</v>
      </c>
    </row>
    <row r="1114" spans="1:22">
      <c r="A1114" t="str">
        <f t="shared" si="136"/>
        <v>NBE-3503-AL</v>
      </c>
      <c r="B1114" s="403" t="s">
        <v>1370</v>
      </c>
      <c r="C1114" s="403" t="s">
        <v>582</v>
      </c>
      <c r="D1114" s="403" t="s">
        <v>1371</v>
      </c>
      <c r="E1114" s="403" t="s">
        <v>778</v>
      </c>
      <c r="F1114" s="403" t="s">
        <v>1375</v>
      </c>
      <c r="G1114" s="403" t="s">
        <v>1466</v>
      </c>
      <c r="H1114" s="403" t="s">
        <v>1281</v>
      </c>
      <c r="I1114" s="403">
        <v>1</v>
      </c>
      <c r="J1114" s="403" t="s">
        <v>109</v>
      </c>
      <c r="K1114" s="403">
        <v>1280</v>
      </c>
      <c r="L1114" s="403">
        <v>720</v>
      </c>
      <c r="M1114" s="403" t="s">
        <v>1284</v>
      </c>
      <c r="N1114" s="403">
        <v>0</v>
      </c>
      <c r="O1114" s="403">
        <v>0</v>
      </c>
      <c r="P1114" t="str">
        <f t="shared" si="137"/>
        <v>20fps 720p - SD VGA (cropped)</v>
      </c>
      <c r="Q1114">
        <f t="shared" si="138"/>
        <v>6</v>
      </c>
      <c r="R1114" t="str">
        <f t="shared" si="139"/>
        <v/>
      </c>
      <c r="S1114" t="str">
        <f t="shared" si="140"/>
        <v/>
      </c>
      <c r="T1114" s="403" t="str">
        <f t="shared" si="141"/>
        <v>NBE-3503-AL</v>
      </c>
      <c r="U1114" s="403">
        <f t="shared" si="142"/>
        <v>1</v>
      </c>
      <c r="V1114" s="403" t="str">
        <f t="shared" si="143"/>
        <v>CPP_7_3</v>
      </c>
    </row>
    <row r="1115" spans="1:22">
      <c r="A1115" t="str">
        <f t="shared" si="136"/>
        <v>NBE-3503-AL</v>
      </c>
      <c r="B1115" s="403" t="s">
        <v>1370</v>
      </c>
      <c r="C1115" s="403" t="s">
        <v>582</v>
      </c>
      <c r="D1115" s="403" t="s">
        <v>1371</v>
      </c>
      <c r="E1115" s="403" t="s">
        <v>778</v>
      </c>
      <c r="F1115" s="403" t="s">
        <v>1375</v>
      </c>
      <c r="G1115" s="403" t="s">
        <v>1466</v>
      </c>
      <c r="H1115" s="403" t="s">
        <v>1281</v>
      </c>
      <c r="I1115" s="403">
        <v>1</v>
      </c>
      <c r="J1115" s="403" t="s">
        <v>110</v>
      </c>
      <c r="K1115" s="403">
        <v>1920</v>
      </c>
      <c r="L1115" s="403">
        <v>1080</v>
      </c>
      <c r="M1115" s="403" t="s">
        <v>111</v>
      </c>
      <c r="N1115" s="403">
        <v>768</v>
      </c>
      <c r="O1115" s="403">
        <v>432</v>
      </c>
      <c r="P1115" t="str">
        <f t="shared" si="137"/>
        <v>20fps 1080p - SD</v>
      </c>
      <c r="Q1115">
        <f t="shared" si="138"/>
        <v>6</v>
      </c>
      <c r="R1115" t="str">
        <f t="shared" si="139"/>
        <v/>
      </c>
      <c r="S1115" t="str">
        <f t="shared" si="140"/>
        <v/>
      </c>
      <c r="T1115" s="403" t="str">
        <f t="shared" si="141"/>
        <v>NBE-3503-AL</v>
      </c>
      <c r="U1115" s="403">
        <f t="shared" si="142"/>
        <v>1</v>
      </c>
      <c r="V1115" s="403" t="str">
        <f t="shared" si="143"/>
        <v>CPP_7_3</v>
      </c>
    </row>
    <row r="1116" spans="1:22">
      <c r="A1116" t="str">
        <f t="shared" si="136"/>
        <v>NBE-3503-AL</v>
      </c>
      <c r="B1116" s="403" t="s">
        <v>1370</v>
      </c>
      <c r="C1116" s="403" t="s">
        <v>582</v>
      </c>
      <c r="D1116" s="403" t="s">
        <v>1371</v>
      </c>
      <c r="E1116" s="403" t="s">
        <v>778</v>
      </c>
      <c r="F1116" s="403" t="s">
        <v>1375</v>
      </c>
      <c r="G1116" s="403" t="s">
        <v>1466</v>
      </c>
      <c r="H1116" s="403" t="s">
        <v>1281</v>
      </c>
      <c r="I1116" s="403">
        <v>1</v>
      </c>
      <c r="J1116" s="403" t="s">
        <v>110</v>
      </c>
      <c r="K1116" s="403">
        <v>1920</v>
      </c>
      <c r="L1116" s="403">
        <v>1080</v>
      </c>
      <c r="M1116" s="403" t="s">
        <v>110</v>
      </c>
      <c r="N1116" s="403">
        <v>1920</v>
      </c>
      <c r="O1116" s="403">
        <v>1080</v>
      </c>
      <c r="P1116" t="str">
        <f t="shared" si="137"/>
        <v>20fps 1080p - 1080p</v>
      </c>
      <c r="Q1116">
        <f t="shared" si="138"/>
        <v>6</v>
      </c>
      <c r="R1116" t="str">
        <f t="shared" si="139"/>
        <v/>
      </c>
      <c r="S1116" t="str">
        <f t="shared" si="140"/>
        <v/>
      </c>
      <c r="T1116" s="403" t="str">
        <f t="shared" si="141"/>
        <v>NBE-3503-AL</v>
      </c>
      <c r="U1116" s="403">
        <f t="shared" si="142"/>
        <v>1</v>
      </c>
      <c r="V1116" s="403" t="str">
        <f t="shared" si="143"/>
        <v>CPP_7_3</v>
      </c>
    </row>
    <row r="1117" spans="1:22">
      <c r="A1117" t="str">
        <f t="shared" si="136"/>
        <v>NBE-3503-AL</v>
      </c>
      <c r="B1117" s="403" t="s">
        <v>1370</v>
      </c>
      <c r="C1117" s="403" t="s">
        <v>582</v>
      </c>
      <c r="D1117" s="403" t="s">
        <v>1371</v>
      </c>
      <c r="E1117" s="403" t="s">
        <v>778</v>
      </c>
      <c r="F1117" s="403" t="s">
        <v>1375</v>
      </c>
      <c r="G1117" s="403" t="s">
        <v>1466</v>
      </c>
      <c r="H1117" s="403" t="s">
        <v>1281</v>
      </c>
      <c r="I1117" s="403">
        <v>1</v>
      </c>
      <c r="J1117" s="403" t="s">
        <v>110</v>
      </c>
      <c r="K1117" s="403">
        <v>1920</v>
      </c>
      <c r="L1117" s="403">
        <v>1080</v>
      </c>
      <c r="M1117" s="403" t="s">
        <v>109</v>
      </c>
      <c r="N1117" s="403">
        <v>1280</v>
      </c>
      <c r="O1117" s="403">
        <v>720</v>
      </c>
      <c r="P1117" t="str">
        <f t="shared" si="137"/>
        <v>20fps 1080p - 720p</v>
      </c>
      <c r="Q1117">
        <f t="shared" si="138"/>
        <v>6</v>
      </c>
      <c r="R1117" t="str">
        <f t="shared" si="139"/>
        <v/>
      </c>
      <c r="S1117" t="str">
        <f t="shared" si="140"/>
        <v/>
      </c>
      <c r="T1117" s="403" t="str">
        <f t="shared" si="141"/>
        <v>NBE-3503-AL</v>
      </c>
      <c r="U1117" s="403">
        <f t="shared" si="142"/>
        <v>1</v>
      </c>
      <c r="V1117" s="403" t="str">
        <f t="shared" si="143"/>
        <v>CPP_7_3</v>
      </c>
    </row>
    <row r="1118" spans="1:22">
      <c r="A1118" t="str">
        <f t="shared" si="136"/>
        <v>NBE-3503-AL</v>
      </c>
      <c r="B1118" s="403" t="s">
        <v>1370</v>
      </c>
      <c r="C1118" s="403" t="s">
        <v>582</v>
      </c>
      <c r="D1118" s="403" t="s">
        <v>1371</v>
      </c>
      <c r="E1118" s="403" t="s">
        <v>778</v>
      </c>
      <c r="F1118" s="403" t="s">
        <v>1375</v>
      </c>
      <c r="G1118" s="403" t="s">
        <v>1466</v>
      </c>
      <c r="H1118" s="403" t="s">
        <v>1281</v>
      </c>
      <c r="I1118" s="403">
        <v>1</v>
      </c>
      <c r="J1118" s="403" t="s">
        <v>110</v>
      </c>
      <c r="K1118" s="403">
        <v>1920</v>
      </c>
      <c r="L1118" s="403">
        <v>1080</v>
      </c>
      <c r="M1118" s="403" t="s">
        <v>1285</v>
      </c>
      <c r="N1118" s="403">
        <v>1280</v>
      </c>
      <c r="O1118" s="403">
        <v>1024</v>
      </c>
      <c r="P1118" t="str">
        <f t="shared" si="137"/>
        <v>20fps 1080p - 1280x1024 5:4 (cropped)</v>
      </c>
      <c r="Q1118">
        <f t="shared" si="138"/>
        <v>6</v>
      </c>
      <c r="R1118" t="str">
        <f t="shared" si="139"/>
        <v/>
      </c>
      <c r="S1118" t="str">
        <f t="shared" si="140"/>
        <v/>
      </c>
      <c r="T1118" s="403" t="str">
        <f t="shared" si="141"/>
        <v>NBE-3503-AL</v>
      </c>
      <c r="U1118" s="403">
        <f t="shared" si="142"/>
        <v>1</v>
      </c>
      <c r="V1118" s="403" t="str">
        <f t="shared" si="143"/>
        <v>CPP_7_3</v>
      </c>
    </row>
    <row r="1119" spans="1:22">
      <c r="A1119" t="str">
        <f t="shared" si="136"/>
        <v>NBE-3503-AL</v>
      </c>
      <c r="B1119" s="403" t="s">
        <v>1370</v>
      </c>
      <c r="C1119" s="403" t="s">
        <v>582</v>
      </c>
      <c r="D1119" s="403" t="s">
        <v>1371</v>
      </c>
      <c r="E1119" s="403" t="s">
        <v>778</v>
      </c>
      <c r="F1119" s="403" t="s">
        <v>1375</v>
      </c>
      <c r="G1119" s="403" t="s">
        <v>1466</v>
      </c>
      <c r="H1119" s="403" t="s">
        <v>1281</v>
      </c>
      <c r="I1119" s="403">
        <v>1</v>
      </c>
      <c r="J1119" s="403" t="s">
        <v>110</v>
      </c>
      <c r="K1119" s="403">
        <v>1920</v>
      </c>
      <c r="L1119" s="403">
        <v>1080</v>
      </c>
      <c r="M1119" s="403" t="s">
        <v>1279</v>
      </c>
      <c r="N1119" s="403">
        <v>768</v>
      </c>
      <c r="O1119" s="403">
        <v>432</v>
      </c>
      <c r="P1119" t="str">
        <f t="shared" si="137"/>
        <v>20fps 1080p - SD ROI PTZ</v>
      </c>
      <c r="Q1119">
        <f t="shared" si="138"/>
        <v>6</v>
      </c>
      <c r="R1119" t="str">
        <f t="shared" si="139"/>
        <v/>
      </c>
      <c r="S1119" t="str">
        <f t="shared" si="140"/>
        <v/>
      </c>
      <c r="T1119" s="403" t="str">
        <f t="shared" si="141"/>
        <v>NBE-3503-AL</v>
      </c>
      <c r="U1119" s="403">
        <f t="shared" si="142"/>
        <v>1</v>
      </c>
      <c r="V1119" s="403" t="str">
        <f t="shared" si="143"/>
        <v>CPP_7_3</v>
      </c>
    </row>
    <row r="1120" spans="1:22">
      <c r="A1120" t="str">
        <f t="shared" si="136"/>
        <v>NBE-3503-AL</v>
      </c>
      <c r="B1120" s="403" t="s">
        <v>1370</v>
      </c>
      <c r="C1120" s="403" t="s">
        <v>582</v>
      </c>
      <c r="D1120" s="403" t="s">
        <v>1371</v>
      </c>
      <c r="E1120" s="403" t="s">
        <v>778</v>
      </c>
      <c r="F1120" s="403" t="s">
        <v>1375</v>
      </c>
      <c r="G1120" s="403" t="s">
        <v>1466</v>
      </c>
      <c r="H1120" s="403" t="s">
        <v>1281</v>
      </c>
      <c r="I1120" s="403">
        <v>1</v>
      </c>
      <c r="J1120" s="403" t="s">
        <v>110</v>
      </c>
      <c r="K1120" s="403">
        <v>1920</v>
      </c>
      <c r="L1120" s="403">
        <v>1080</v>
      </c>
      <c r="M1120" s="403" t="s">
        <v>1283</v>
      </c>
      <c r="N1120" s="403">
        <v>720</v>
      </c>
      <c r="O1120" s="403">
        <v>480</v>
      </c>
      <c r="P1120" t="str">
        <f t="shared" si="137"/>
        <v>20fps 1080p - SD 4CIF resolution 4:3 format (cropped)</v>
      </c>
      <c r="Q1120">
        <f t="shared" si="138"/>
        <v>6</v>
      </c>
      <c r="R1120" t="str">
        <f t="shared" si="139"/>
        <v/>
      </c>
      <c r="S1120" t="str">
        <f t="shared" si="140"/>
        <v/>
      </c>
      <c r="T1120" s="403" t="str">
        <f t="shared" si="141"/>
        <v>NBE-3503-AL</v>
      </c>
      <c r="U1120" s="403">
        <f t="shared" si="142"/>
        <v>1</v>
      </c>
      <c r="V1120" s="403" t="str">
        <f t="shared" si="143"/>
        <v>CPP_7_3</v>
      </c>
    </row>
    <row r="1121" spans="1:22">
      <c r="A1121" t="str">
        <f t="shared" si="136"/>
        <v>NBE-3503-AL</v>
      </c>
      <c r="B1121" s="403" t="s">
        <v>1370</v>
      </c>
      <c r="C1121" s="403" t="s">
        <v>582</v>
      </c>
      <c r="D1121" s="403" t="s">
        <v>1371</v>
      </c>
      <c r="E1121" s="403" t="s">
        <v>778</v>
      </c>
      <c r="F1121" s="403" t="s">
        <v>1375</v>
      </c>
      <c r="G1121" s="403" t="s">
        <v>1466</v>
      </c>
      <c r="H1121" s="403" t="s">
        <v>1281</v>
      </c>
      <c r="I1121" s="403">
        <v>1</v>
      </c>
      <c r="J1121" s="403" t="s">
        <v>110</v>
      </c>
      <c r="K1121" s="403">
        <v>1920</v>
      </c>
      <c r="L1121" s="403">
        <v>1080</v>
      </c>
      <c r="M1121" s="403" t="s">
        <v>1284</v>
      </c>
      <c r="N1121" s="403">
        <v>640</v>
      </c>
      <c r="O1121" s="403">
        <v>480</v>
      </c>
      <c r="P1121" t="str">
        <f t="shared" si="137"/>
        <v>20fps 1080p - SD VGA (cropped)</v>
      </c>
      <c r="Q1121">
        <f t="shared" si="138"/>
        <v>6</v>
      </c>
      <c r="R1121" t="str">
        <f t="shared" si="139"/>
        <v/>
      </c>
      <c r="S1121" t="str">
        <f t="shared" si="140"/>
        <v/>
      </c>
      <c r="T1121" s="403" t="str">
        <f t="shared" si="141"/>
        <v>NBE-3503-AL</v>
      </c>
      <c r="U1121" s="403">
        <f t="shared" si="142"/>
        <v>1</v>
      </c>
      <c r="V1121" s="403" t="str">
        <f t="shared" si="143"/>
        <v>CPP_7_3</v>
      </c>
    </row>
    <row r="1122" spans="1:22">
      <c r="A1122" t="str">
        <f t="shared" si="136"/>
        <v>NBE-3503-AL</v>
      </c>
      <c r="B1122" s="403" t="s">
        <v>1370</v>
      </c>
      <c r="C1122" s="403" t="s">
        <v>582</v>
      </c>
      <c r="D1122" s="403" t="s">
        <v>1371</v>
      </c>
      <c r="E1122" s="403" t="s">
        <v>778</v>
      </c>
      <c r="F1122" s="403" t="s">
        <v>1375</v>
      </c>
      <c r="G1122" s="403" t="s">
        <v>1466</v>
      </c>
      <c r="H1122" s="403" t="s">
        <v>1281</v>
      </c>
      <c r="I1122" s="403">
        <v>1</v>
      </c>
      <c r="J1122" s="403" t="s">
        <v>109</v>
      </c>
      <c r="K1122" s="403">
        <v>1280</v>
      </c>
      <c r="L1122" s="403">
        <v>720</v>
      </c>
      <c r="M1122" s="403" t="s">
        <v>109</v>
      </c>
      <c r="N1122" s="403">
        <v>1280</v>
      </c>
      <c r="O1122" s="403">
        <v>720</v>
      </c>
      <c r="P1122" t="str">
        <f t="shared" si="137"/>
        <v>20fps 720p - 720p</v>
      </c>
      <c r="Q1122">
        <f t="shared" si="138"/>
        <v>6</v>
      </c>
      <c r="R1122" t="str">
        <f t="shared" si="139"/>
        <v/>
      </c>
      <c r="S1122" t="str">
        <f t="shared" si="140"/>
        <v/>
      </c>
      <c r="T1122" s="403" t="str">
        <f t="shared" si="141"/>
        <v>NBE-3503-AL</v>
      </c>
      <c r="U1122" s="403">
        <f t="shared" si="142"/>
        <v>1</v>
      </c>
      <c r="V1122" s="403" t="str">
        <f t="shared" si="143"/>
        <v>CPP_7_3</v>
      </c>
    </row>
    <row r="1123" spans="1:22">
      <c r="A1123" t="str">
        <f t="shared" si="136"/>
        <v>NBE-3503-AL</v>
      </c>
      <c r="B1123" s="403" t="s">
        <v>1370</v>
      </c>
      <c r="C1123" s="403" t="s">
        <v>582</v>
      </c>
      <c r="D1123" s="403" t="s">
        <v>1371</v>
      </c>
      <c r="E1123" s="403" t="s">
        <v>778</v>
      </c>
      <c r="F1123" s="403" t="s">
        <v>1375</v>
      </c>
      <c r="G1123" s="403" t="s">
        <v>1466</v>
      </c>
      <c r="H1123" s="403" t="s">
        <v>1281</v>
      </c>
      <c r="I1123" s="403">
        <v>1</v>
      </c>
      <c r="J1123" s="403" t="s">
        <v>109</v>
      </c>
      <c r="K1123" s="403">
        <v>1280</v>
      </c>
      <c r="L1123" s="403">
        <v>720</v>
      </c>
      <c r="M1123" s="403" t="s">
        <v>111</v>
      </c>
      <c r="N1123" s="403">
        <v>768</v>
      </c>
      <c r="O1123" s="403">
        <v>432</v>
      </c>
      <c r="P1123" t="str">
        <f t="shared" si="137"/>
        <v>20fps 720p - SD</v>
      </c>
      <c r="Q1123">
        <f t="shared" si="138"/>
        <v>6</v>
      </c>
      <c r="R1123" t="str">
        <f t="shared" si="139"/>
        <v/>
      </c>
      <c r="S1123" t="str">
        <f t="shared" si="140"/>
        <v/>
      </c>
      <c r="T1123" s="403" t="str">
        <f t="shared" si="141"/>
        <v>NBE-3503-AL</v>
      </c>
      <c r="U1123" s="403">
        <f t="shared" si="142"/>
        <v>1</v>
      </c>
      <c r="V1123" s="403" t="str">
        <f t="shared" si="143"/>
        <v>CPP_7_3</v>
      </c>
    </row>
    <row r="1124" spans="1:22">
      <c r="A1124" t="str">
        <f t="shared" si="136"/>
        <v>NBE-3503-AL</v>
      </c>
      <c r="B1124" s="403" t="s">
        <v>1370</v>
      </c>
      <c r="C1124" s="403" t="s">
        <v>582</v>
      </c>
      <c r="D1124" s="403" t="s">
        <v>1371</v>
      </c>
      <c r="E1124" s="403" t="s">
        <v>778</v>
      </c>
      <c r="F1124" s="403" t="s">
        <v>1375</v>
      </c>
      <c r="G1124" s="403" t="s">
        <v>1466</v>
      </c>
      <c r="H1124" s="403" t="s">
        <v>1281</v>
      </c>
      <c r="I1124" s="403">
        <v>1</v>
      </c>
      <c r="J1124" s="403" t="s">
        <v>109</v>
      </c>
      <c r="K1124" s="403">
        <v>1280</v>
      </c>
      <c r="L1124" s="403">
        <v>720</v>
      </c>
      <c r="M1124" s="403" t="s">
        <v>1279</v>
      </c>
      <c r="N1124" s="403">
        <v>768</v>
      </c>
      <c r="O1124" s="403">
        <v>432</v>
      </c>
      <c r="P1124" t="str">
        <f t="shared" si="137"/>
        <v>20fps 720p - SD ROI PTZ</v>
      </c>
      <c r="Q1124">
        <f t="shared" si="138"/>
        <v>6</v>
      </c>
      <c r="R1124" t="str">
        <f t="shared" si="139"/>
        <v/>
      </c>
      <c r="S1124" t="str">
        <f t="shared" si="140"/>
        <v/>
      </c>
      <c r="T1124" s="403" t="str">
        <f t="shared" si="141"/>
        <v>NBE-3503-AL</v>
      </c>
      <c r="U1124" s="403">
        <f t="shared" si="142"/>
        <v>1</v>
      </c>
      <c r="V1124" s="403" t="str">
        <f t="shared" si="143"/>
        <v>CPP_7_3</v>
      </c>
    </row>
    <row r="1125" spans="1:22">
      <c r="A1125" t="str">
        <f t="shared" si="136"/>
        <v>NBE-3503-AL</v>
      </c>
      <c r="B1125" s="403" t="s">
        <v>1370</v>
      </c>
      <c r="C1125" s="403" t="s">
        <v>582</v>
      </c>
      <c r="D1125" s="403" t="s">
        <v>1371</v>
      </c>
      <c r="E1125" s="403" t="s">
        <v>778</v>
      </c>
      <c r="F1125" s="403" t="s">
        <v>1375</v>
      </c>
      <c r="G1125" s="403" t="s">
        <v>1466</v>
      </c>
      <c r="H1125" s="403" t="s">
        <v>1281</v>
      </c>
      <c r="I1125" s="403">
        <v>1</v>
      </c>
      <c r="J1125" s="403" t="s">
        <v>109</v>
      </c>
      <c r="K1125" s="403">
        <v>1280</v>
      </c>
      <c r="L1125" s="403">
        <v>720</v>
      </c>
      <c r="M1125" s="403" t="s">
        <v>1283</v>
      </c>
      <c r="N1125" s="403">
        <v>720</v>
      </c>
      <c r="O1125" s="403">
        <v>480</v>
      </c>
      <c r="P1125" t="str">
        <f t="shared" si="137"/>
        <v>20fps 720p - SD 4CIF resolution 4:3 format (cropped)</v>
      </c>
      <c r="Q1125">
        <f t="shared" si="138"/>
        <v>6</v>
      </c>
      <c r="R1125" t="str">
        <f t="shared" si="139"/>
        <v/>
      </c>
      <c r="S1125" t="str">
        <f t="shared" si="140"/>
        <v/>
      </c>
      <c r="T1125" s="403" t="str">
        <f t="shared" si="141"/>
        <v>NBE-3503-AL</v>
      </c>
      <c r="U1125" s="403">
        <f t="shared" si="142"/>
        <v>1</v>
      </c>
      <c r="V1125" s="403" t="str">
        <f t="shared" si="143"/>
        <v>CPP_7_3</v>
      </c>
    </row>
    <row r="1126" spans="1:22">
      <c r="A1126" t="str">
        <f t="shared" si="136"/>
        <v>NBE-3503-AL</v>
      </c>
      <c r="B1126" s="403" t="s">
        <v>1370</v>
      </c>
      <c r="C1126" s="403" t="s">
        <v>582</v>
      </c>
      <c r="D1126" s="403" t="s">
        <v>1371</v>
      </c>
      <c r="E1126" s="403" t="s">
        <v>778</v>
      </c>
      <c r="F1126" s="403" t="s">
        <v>1375</v>
      </c>
      <c r="G1126" s="403" t="s">
        <v>1466</v>
      </c>
      <c r="H1126" s="403" t="s">
        <v>1281</v>
      </c>
      <c r="I1126" s="403">
        <v>1</v>
      </c>
      <c r="J1126" s="403" t="s">
        <v>109</v>
      </c>
      <c r="K1126" s="403">
        <v>1280</v>
      </c>
      <c r="L1126" s="403">
        <v>720</v>
      </c>
      <c r="M1126" s="403" t="s">
        <v>1284</v>
      </c>
      <c r="N1126" s="403">
        <v>640</v>
      </c>
      <c r="O1126" s="403">
        <v>480</v>
      </c>
      <c r="P1126" t="str">
        <f t="shared" si="137"/>
        <v>20fps 720p - SD VGA (cropped)</v>
      </c>
      <c r="Q1126">
        <f t="shared" si="138"/>
        <v>6</v>
      </c>
      <c r="R1126" t="str">
        <f t="shared" si="139"/>
        <v/>
      </c>
      <c r="S1126" t="str">
        <f t="shared" si="140"/>
        <v/>
      </c>
      <c r="T1126" s="403" t="str">
        <f t="shared" si="141"/>
        <v>NBE-3503-AL</v>
      </c>
      <c r="U1126" s="403">
        <f t="shared" si="142"/>
        <v>1</v>
      </c>
      <c r="V1126" s="403" t="str">
        <f t="shared" si="143"/>
        <v>CPP_7_3</v>
      </c>
    </row>
    <row r="1127" spans="1:22">
      <c r="A1127" t="str">
        <f t="shared" si="136"/>
        <v>NBE-3503-AL</v>
      </c>
      <c r="B1127" s="403" t="s">
        <v>1370</v>
      </c>
      <c r="C1127" s="403" t="s">
        <v>582</v>
      </c>
      <c r="D1127" s="403" t="s">
        <v>1371</v>
      </c>
      <c r="E1127" s="403" t="s">
        <v>778</v>
      </c>
      <c r="F1127" s="403" t="s">
        <v>1375</v>
      </c>
      <c r="G1127" s="403" t="s">
        <v>1467</v>
      </c>
      <c r="H1127" s="403" t="s">
        <v>1276</v>
      </c>
      <c r="I1127" s="403">
        <v>1</v>
      </c>
      <c r="J1127" s="403" t="s">
        <v>1377</v>
      </c>
      <c r="K1127" s="403">
        <v>1528</v>
      </c>
      <c r="L1127" s="403">
        <v>2720</v>
      </c>
      <c r="M1127" s="403" t="s">
        <v>1280</v>
      </c>
      <c r="N1127" s="403">
        <v>0</v>
      </c>
      <c r="O1127" s="403">
        <v>0</v>
      </c>
      <c r="P1127" t="str">
        <f t="shared" si="137"/>
        <v>20fps 2720x1530 - copy other stream</v>
      </c>
      <c r="Q1127">
        <f t="shared" si="138"/>
        <v>6</v>
      </c>
      <c r="R1127" t="str">
        <f t="shared" si="139"/>
        <v/>
      </c>
      <c r="S1127" t="str">
        <f t="shared" si="140"/>
        <v/>
      </c>
      <c r="T1127" s="403" t="str">
        <f t="shared" si="141"/>
        <v>NBE-3503-AL</v>
      </c>
      <c r="U1127" s="403">
        <f t="shared" si="142"/>
        <v>1</v>
      </c>
      <c r="V1127" s="403" t="str">
        <f t="shared" si="143"/>
        <v>CPP_7_3</v>
      </c>
    </row>
    <row r="1128" spans="1:22">
      <c r="A1128" t="str">
        <f t="shared" si="136"/>
        <v>NBE-3503-AL</v>
      </c>
      <c r="B1128" s="403" t="s">
        <v>1370</v>
      </c>
      <c r="C1128" s="403" t="s">
        <v>582</v>
      </c>
      <c r="D1128" s="403" t="s">
        <v>1371</v>
      </c>
      <c r="E1128" s="403" t="s">
        <v>778</v>
      </c>
      <c r="F1128" s="403" t="s">
        <v>1375</v>
      </c>
      <c r="G1128" s="403" t="s">
        <v>1467</v>
      </c>
      <c r="H1128" s="403" t="s">
        <v>1276</v>
      </c>
      <c r="I1128" s="403">
        <v>1</v>
      </c>
      <c r="J1128" s="403" t="s">
        <v>1374</v>
      </c>
      <c r="K1128" s="403">
        <v>1296</v>
      </c>
      <c r="L1128" s="403">
        <v>2304</v>
      </c>
      <c r="M1128" s="403" t="s">
        <v>109</v>
      </c>
      <c r="N1128" s="403">
        <v>0</v>
      </c>
      <c r="O1128" s="403">
        <v>0</v>
      </c>
      <c r="P1128" t="str">
        <f t="shared" si="137"/>
        <v>20fps 2304x1296 - 720p</v>
      </c>
      <c r="Q1128">
        <f t="shared" si="138"/>
        <v>6</v>
      </c>
      <c r="R1128" t="str">
        <f t="shared" si="139"/>
        <v/>
      </c>
      <c r="S1128" t="str">
        <f t="shared" si="140"/>
        <v/>
      </c>
      <c r="T1128" s="403" t="str">
        <f t="shared" si="141"/>
        <v>NBE-3503-AL</v>
      </c>
      <c r="U1128" s="403">
        <f t="shared" si="142"/>
        <v>1</v>
      </c>
      <c r="V1128" s="403" t="str">
        <f t="shared" si="143"/>
        <v>CPP_7_3</v>
      </c>
    </row>
    <row r="1129" spans="1:22">
      <c r="A1129" t="str">
        <f t="shared" si="136"/>
        <v>NBE-3503-AL</v>
      </c>
      <c r="B1129" s="403" t="s">
        <v>1370</v>
      </c>
      <c r="C1129" s="403" t="s">
        <v>582</v>
      </c>
      <c r="D1129" s="403" t="s">
        <v>1371</v>
      </c>
      <c r="E1129" s="403" t="s">
        <v>778</v>
      </c>
      <c r="F1129" s="403" t="s">
        <v>1375</v>
      </c>
      <c r="G1129" s="403" t="s">
        <v>1467</v>
      </c>
      <c r="H1129" s="403" t="s">
        <v>1276</v>
      </c>
      <c r="I1129" s="403">
        <v>1</v>
      </c>
      <c r="J1129" s="403" t="s">
        <v>1374</v>
      </c>
      <c r="K1129" s="403">
        <v>1296</v>
      </c>
      <c r="L1129" s="403">
        <v>2304</v>
      </c>
      <c r="M1129" s="403" t="s">
        <v>111</v>
      </c>
      <c r="N1129" s="403">
        <v>0</v>
      </c>
      <c r="O1129" s="403">
        <v>0</v>
      </c>
      <c r="P1129" t="str">
        <f t="shared" si="137"/>
        <v>20fps 2304x1296 - SD</v>
      </c>
      <c r="Q1129">
        <f t="shared" si="138"/>
        <v>6</v>
      </c>
      <c r="R1129" t="str">
        <f t="shared" si="139"/>
        <v/>
      </c>
      <c r="S1129" t="str">
        <f t="shared" si="140"/>
        <v/>
      </c>
      <c r="T1129" s="403" t="str">
        <f t="shared" si="141"/>
        <v>NBE-3503-AL</v>
      </c>
      <c r="U1129" s="403">
        <f t="shared" si="142"/>
        <v>1</v>
      </c>
      <c r="V1129" s="403" t="str">
        <f t="shared" si="143"/>
        <v>CPP_7_3</v>
      </c>
    </row>
    <row r="1130" spans="1:22">
      <c r="A1130" t="str">
        <f t="shared" si="136"/>
        <v>NBE-3503-AL</v>
      </c>
      <c r="B1130" s="403" t="s">
        <v>1370</v>
      </c>
      <c r="C1130" s="403" t="s">
        <v>582</v>
      </c>
      <c r="D1130" s="403" t="s">
        <v>1371</v>
      </c>
      <c r="E1130" s="403" t="s">
        <v>778</v>
      </c>
      <c r="F1130" s="403" t="s">
        <v>1375</v>
      </c>
      <c r="G1130" s="403" t="s">
        <v>1467</v>
      </c>
      <c r="H1130" s="403" t="s">
        <v>1276</v>
      </c>
      <c r="I1130" s="403">
        <v>1</v>
      </c>
      <c r="J1130" s="403" t="s">
        <v>1374</v>
      </c>
      <c r="K1130" s="403">
        <v>1296</v>
      </c>
      <c r="L1130" s="403">
        <v>2304</v>
      </c>
      <c r="M1130" s="403" t="s">
        <v>1279</v>
      </c>
      <c r="N1130" s="403">
        <v>0</v>
      </c>
      <c r="O1130" s="403">
        <v>0</v>
      </c>
      <c r="P1130" t="str">
        <f t="shared" si="137"/>
        <v>20fps 2304x1296 - SD ROI PTZ</v>
      </c>
      <c r="Q1130">
        <f t="shared" si="138"/>
        <v>6</v>
      </c>
      <c r="R1130" t="str">
        <f t="shared" si="139"/>
        <v/>
      </c>
      <c r="S1130" t="str">
        <f t="shared" si="140"/>
        <v/>
      </c>
      <c r="T1130" s="403" t="str">
        <f t="shared" si="141"/>
        <v>NBE-3503-AL</v>
      </c>
      <c r="U1130" s="403">
        <f t="shared" si="142"/>
        <v>1</v>
      </c>
      <c r="V1130" s="403" t="str">
        <f t="shared" si="143"/>
        <v>CPP_7_3</v>
      </c>
    </row>
    <row r="1131" spans="1:22">
      <c r="A1131" t="str">
        <f t="shared" si="136"/>
        <v>NBE-3503-AL</v>
      </c>
      <c r="B1131" s="403" t="s">
        <v>1370</v>
      </c>
      <c r="C1131" s="403" t="s">
        <v>582</v>
      </c>
      <c r="D1131" s="403" t="s">
        <v>1371</v>
      </c>
      <c r="E1131" s="403" t="s">
        <v>778</v>
      </c>
      <c r="F1131" s="403" t="s">
        <v>1375</v>
      </c>
      <c r="G1131" s="403" t="s">
        <v>1467</v>
      </c>
      <c r="H1131" s="403" t="s">
        <v>1276</v>
      </c>
      <c r="I1131" s="403">
        <v>1</v>
      </c>
      <c r="J1131" s="403" t="s">
        <v>1374</v>
      </c>
      <c r="K1131" s="403">
        <v>0</v>
      </c>
      <c r="L1131" s="403">
        <v>0</v>
      </c>
      <c r="M1131" s="403" t="s">
        <v>1285</v>
      </c>
      <c r="N1131" s="403">
        <v>0</v>
      </c>
      <c r="O1131" s="403">
        <v>0</v>
      </c>
      <c r="P1131" t="str">
        <f t="shared" si="137"/>
        <v>20fps 2304x1296 - 1280x1024 5:4 (cropped)</v>
      </c>
      <c r="Q1131">
        <f t="shared" si="138"/>
        <v>6</v>
      </c>
      <c r="R1131" t="str">
        <f t="shared" si="139"/>
        <v/>
      </c>
      <c r="S1131" t="str">
        <f t="shared" si="140"/>
        <v/>
      </c>
      <c r="T1131" s="403" t="str">
        <f t="shared" si="141"/>
        <v>NBE-3503-AL</v>
      </c>
      <c r="U1131" s="403">
        <f t="shared" si="142"/>
        <v>1</v>
      </c>
      <c r="V1131" s="403" t="str">
        <f t="shared" si="143"/>
        <v>CPP_7_3</v>
      </c>
    </row>
    <row r="1132" spans="1:22">
      <c r="A1132" t="str">
        <f t="shared" si="136"/>
        <v>NBE-3503-AL</v>
      </c>
      <c r="B1132" s="403" t="s">
        <v>1370</v>
      </c>
      <c r="C1132" s="403" t="s">
        <v>582</v>
      </c>
      <c r="D1132" s="403" t="s">
        <v>1371</v>
      </c>
      <c r="E1132" s="403" t="s">
        <v>778</v>
      </c>
      <c r="F1132" s="403" t="s">
        <v>1375</v>
      </c>
      <c r="G1132" s="403" t="s">
        <v>1467</v>
      </c>
      <c r="H1132" s="403" t="s">
        <v>1276</v>
      </c>
      <c r="I1132" s="403">
        <v>1</v>
      </c>
      <c r="J1132" s="403" t="s">
        <v>1374</v>
      </c>
      <c r="K1132" s="403">
        <v>0</v>
      </c>
      <c r="L1132" s="403">
        <v>0</v>
      </c>
      <c r="M1132" s="403" t="s">
        <v>1283</v>
      </c>
      <c r="N1132" s="403">
        <v>0</v>
      </c>
      <c r="O1132" s="403">
        <v>0</v>
      </c>
      <c r="P1132" t="str">
        <f t="shared" si="137"/>
        <v>20fps 2304x1296 - SD 4CIF resolution 4:3 format (cropped)</v>
      </c>
      <c r="Q1132">
        <f t="shared" si="138"/>
        <v>6</v>
      </c>
      <c r="R1132" t="str">
        <f t="shared" si="139"/>
        <v/>
      </c>
      <c r="S1132" t="str">
        <f t="shared" si="140"/>
        <v/>
      </c>
      <c r="T1132" s="403" t="str">
        <f t="shared" si="141"/>
        <v>NBE-3503-AL</v>
      </c>
      <c r="U1132" s="403">
        <f t="shared" si="142"/>
        <v>1</v>
      </c>
      <c r="V1132" s="403" t="str">
        <f t="shared" si="143"/>
        <v>CPP_7_3</v>
      </c>
    </row>
    <row r="1133" spans="1:22">
      <c r="A1133" t="str">
        <f t="shared" si="136"/>
        <v>NBE-3503-AL</v>
      </c>
      <c r="B1133" s="403" t="s">
        <v>1370</v>
      </c>
      <c r="C1133" s="403" t="s">
        <v>582</v>
      </c>
      <c r="D1133" s="403" t="s">
        <v>1371</v>
      </c>
      <c r="E1133" s="403" t="s">
        <v>778</v>
      </c>
      <c r="F1133" s="403" t="s">
        <v>1375</v>
      </c>
      <c r="G1133" s="403" t="s">
        <v>1467</v>
      </c>
      <c r="H1133" s="403" t="s">
        <v>1276</v>
      </c>
      <c r="I1133" s="403">
        <v>1</v>
      </c>
      <c r="J1133" s="403" t="s">
        <v>1374</v>
      </c>
      <c r="K1133" s="403">
        <v>0</v>
      </c>
      <c r="L1133" s="403">
        <v>0</v>
      </c>
      <c r="M1133" s="403" t="s">
        <v>1284</v>
      </c>
      <c r="N1133" s="403">
        <v>0</v>
      </c>
      <c r="O1133" s="403">
        <v>0</v>
      </c>
      <c r="P1133" t="str">
        <f t="shared" si="137"/>
        <v>20fps 2304x1296 - SD VGA (cropped)</v>
      </c>
      <c r="Q1133">
        <f t="shared" si="138"/>
        <v>6</v>
      </c>
      <c r="R1133" t="str">
        <f t="shared" si="139"/>
        <v/>
      </c>
      <c r="S1133" t="str">
        <f t="shared" si="140"/>
        <v/>
      </c>
      <c r="T1133" s="403" t="str">
        <f t="shared" si="141"/>
        <v>NBE-3503-AL</v>
      </c>
      <c r="U1133" s="403">
        <f t="shared" si="142"/>
        <v>1</v>
      </c>
      <c r="V1133" s="403" t="str">
        <f t="shared" si="143"/>
        <v>CPP_7_3</v>
      </c>
    </row>
    <row r="1134" spans="1:22">
      <c r="A1134" t="str">
        <f t="shared" si="136"/>
        <v>NBE-3503-AL</v>
      </c>
      <c r="B1134" s="403" t="s">
        <v>1370</v>
      </c>
      <c r="C1134" s="403" t="s">
        <v>582</v>
      </c>
      <c r="D1134" s="403" t="s">
        <v>1371</v>
      </c>
      <c r="E1134" s="403" t="s">
        <v>778</v>
      </c>
      <c r="F1134" s="403" t="s">
        <v>1375</v>
      </c>
      <c r="G1134" s="403" t="s">
        <v>1467</v>
      </c>
      <c r="H1134" s="403" t="s">
        <v>1276</v>
      </c>
      <c r="I1134" s="403">
        <v>1</v>
      </c>
      <c r="J1134" s="403" t="s">
        <v>1374</v>
      </c>
      <c r="K1134" s="403">
        <v>0</v>
      </c>
      <c r="L1134" s="403">
        <v>0</v>
      </c>
      <c r="M1134" s="403" t="s">
        <v>1280</v>
      </c>
      <c r="N1134" s="403">
        <v>0</v>
      </c>
      <c r="O1134" s="403">
        <v>0</v>
      </c>
      <c r="P1134" t="str">
        <f t="shared" si="137"/>
        <v>20fps 2304x1296 - copy other stream</v>
      </c>
      <c r="Q1134">
        <f t="shared" si="138"/>
        <v>6</v>
      </c>
      <c r="R1134" t="str">
        <f t="shared" si="139"/>
        <v/>
      </c>
      <c r="S1134" t="str">
        <f t="shared" si="140"/>
        <v/>
      </c>
      <c r="T1134" s="403" t="str">
        <f t="shared" si="141"/>
        <v>NBE-3503-AL</v>
      </c>
      <c r="U1134" s="403">
        <f t="shared" si="142"/>
        <v>1</v>
      </c>
      <c r="V1134" s="403" t="str">
        <f t="shared" si="143"/>
        <v>CPP_7_3</v>
      </c>
    </row>
    <row r="1135" spans="1:22">
      <c r="A1135" t="str">
        <f t="shared" si="136"/>
        <v>NBE-3503-AL</v>
      </c>
      <c r="B1135" s="403" t="s">
        <v>1370</v>
      </c>
      <c r="C1135" s="403" t="s">
        <v>582</v>
      </c>
      <c r="D1135" s="403" t="s">
        <v>1371</v>
      </c>
      <c r="E1135" s="403" t="s">
        <v>778</v>
      </c>
      <c r="F1135" s="403" t="s">
        <v>1375</v>
      </c>
      <c r="G1135" s="403" t="s">
        <v>1467</v>
      </c>
      <c r="H1135" s="403" t="s">
        <v>1276</v>
      </c>
      <c r="I1135" s="403">
        <v>1</v>
      </c>
      <c r="J1135" s="403" t="s">
        <v>110</v>
      </c>
      <c r="K1135" s="403">
        <v>0</v>
      </c>
      <c r="L1135" s="403">
        <v>0</v>
      </c>
      <c r="M1135" s="403" t="s">
        <v>111</v>
      </c>
      <c r="N1135" s="403">
        <v>0</v>
      </c>
      <c r="O1135" s="403">
        <v>0</v>
      </c>
      <c r="P1135" t="str">
        <f t="shared" si="137"/>
        <v>20fps 1080p - SD</v>
      </c>
      <c r="Q1135">
        <f t="shared" si="138"/>
        <v>6</v>
      </c>
      <c r="R1135" t="str">
        <f t="shared" si="139"/>
        <v/>
      </c>
      <c r="S1135" t="str">
        <f t="shared" si="140"/>
        <v/>
      </c>
      <c r="T1135" s="403" t="str">
        <f t="shared" si="141"/>
        <v>NBE-3503-AL</v>
      </c>
      <c r="U1135" s="403">
        <f t="shared" si="142"/>
        <v>1</v>
      </c>
      <c r="V1135" s="403" t="str">
        <f t="shared" si="143"/>
        <v>CPP_7_3</v>
      </c>
    </row>
    <row r="1136" spans="1:22">
      <c r="A1136" t="str">
        <f t="shared" si="136"/>
        <v>NBE-3503-AL</v>
      </c>
      <c r="B1136" s="403" t="s">
        <v>1370</v>
      </c>
      <c r="C1136" s="403" t="s">
        <v>582</v>
      </c>
      <c r="D1136" s="403" t="s">
        <v>1371</v>
      </c>
      <c r="E1136" s="403" t="s">
        <v>778</v>
      </c>
      <c r="F1136" s="403" t="s">
        <v>1375</v>
      </c>
      <c r="G1136" s="403" t="s">
        <v>1467</v>
      </c>
      <c r="H1136" s="403" t="s">
        <v>1276</v>
      </c>
      <c r="I1136" s="403">
        <v>1</v>
      </c>
      <c r="J1136" s="403" t="s">
        <v>110</v>
      </c>
      <c r="K1136" s="403">
        <v>0</v>
      </c>
      <c r="L1136" s="403">
        <v>0</v>
      </c>
      <c r="M1136" s="403" t="s">
        <v>110</v>
      </c>
      <c r="N1136" s="403">
        <v>0</v>
      </c>
      <c r="O1136" s="403">
        <v>0</v>
      </c>
      <c r="P1136" t="str">
        <f t="shared" si="137"/>
        <v>20fps 1080p - 1080p</v>
      </c>
      <c r="Q1136">
        <f t="shared" si="138"/>
        <v>6</v>
      </c>
      <c r="R1136" t="str">
        <f t="shared" si="139"/>
        <v/>
      </c>
      <c r="S1136" t="str">
        <f t="shared" si="140"/>
        <v/>
      </c>
      <c r="T1136" s="403" t="str">
        <f t="shared" si="141"/>
        <v>NBE-3503-AL</v>
      </c>
      <c r="U1136" s="403">
        <f t="shared" si="142"/>
        <v>1</v>
      </c>
      <c r="V1136" s="403" t="str">
        <f t="shared" si="143"/>
        <v>CPP_7_3</v>
      </c>
    </row>
    <row r="1137" spans="1:22">
      <c r="A1137" t="str">
        <f t="shared" si="136"/>
        <v>NBE-3503-AL</v>
      </c>
      <c r="B1137" s="403" t="s">
        <v>1370</v>
      </c>
      <c r="C1137" s="403" t="s">
        <v>582</v>
      </c>
      <c r="D1137" s="403" t="s">
        <v>1371</v>
      </c>
      <c r="E1137" s="403" t="s">
        <v>778</v>
      </c>
      <c r="F1137" s="403" t="s">
        <v>1375</v>
      </c>
      <c r="G1137" s="403" t="s">
        <v>1467</v>
      </c>
      <c r="H1137" s="403" t="s">
        <v>1276</v>
      </c>
      <c r="I1137" s="403">
        <v>1</v>
      </c>
      <c r="J1137" s="403" t="s">
        <v>110</v>
      </c>
      <c r="K1137" s="403">
        <v>0</v>
      </c>
      <c r="L1137" s="403">
        <v>0</v>
      </c>
      <c r="M1137" s="403" t="s">
        <v>109</v>
      </c>
      <c r="N1137" s="403">
        <v>0</v>
      </c>
      <c r="O1137" s="403">
        <v>0</v>
      </c>
      <c r="P1137" t="str">
        <f t="shared" si="137"/>
        <v>20fps 1080p - 720p</v>
      </c>
      <c r="Q1137">
        <f t="shared" si="138"/>
        <v>6</v>
      </c>
      <c r="R1137" t="str">
        <f t="shared" si="139"/>
        <v/>
      </c>
      <c r="S1137" t="str">
        <f t="shared" si="140"/>
        <v/>
      </c>
      <c r="T1137" s="403" t="str">
        <f t="shared" si="141"/>
        <v>NBE-3503-AL</v>
      </c>
      <c r="U1137" s="403">
        <f t="shared" si="142"/>
        <v>1</v>
      </c>
      <c r="V1137" s="403" t="str">
        <f t="shared" si="143"/>
        <v>CPP_7_3</v>
      </c>
    </row>
    <row r="1138" spans="1:22">
      <c r="A1138" t="str">
        <f t="shared" si="136"/>
        <v>NBE-3503-AL</v>
      </c>
      <c r="B1138" s="403" t="s">
        <v>1370</v>
      </c>
      <c r="C1138" s="403" t="s">
        <v>582</v>
      </c>
      <c r="D1138" s="403" t="s">
        <v>1371</v>
      </c>
      <c r="E1138" s="403" t="s">
        <v>778</v>
      </c>
      <c r="F1138" s="403" t="s">
        <v>1375</v>
      </c>
      <c r="G1138" s="403" t="s">
        <v>1467</v>
      </c>
      <c r="H1138" s="403" t="s">
        <v>1276</v>
      </c>
      <c r="I1138" s="403">
        <v>1</v>
      </c>
      <c r="J1138" s="403" t="s">
        <v>110</v>
      </c>
      <c r="K1138" s="403">
        <v>0</v>
      </c>
      <c r="L1138" s="403">
        <v>0</v>
      </c>
      <c r="M1138" s="403" t="s">
        <v>1285</v>
      </c>
      <c r="N1138" s="403">
        <v>0</v>
      </c>
      <c r="O1138" s="403">
        <v>0</v>
      </c>
      <c r="P1138" t="str">
        <f t="shared" si="137"/>
        <v>20fps 1080p - 1280x1024 5:4 (cropped)</v>
      </c>
      <c r="Q1138">
        <f t="shared" si="138"/>
        <v>6</v>
      </c>
      <c r="R1138" t="str">
        <f t="shared" si="139"/>
        <v/>
      </c>
      <c r="S1138" t="str">
        <f t="shared" si="140"/>
        <v/>
      </c>
      <c r="T1138" s="403" t="str">
        <f t="shared" si="141"/>
        <v>NBE-3503-AL</v>
      </c>
      <c r="U1138" s="403">
        <f t="shared" si="142"/>
        <v>1</v>
      </c>
      <c r="V1138" s="403" t="str">
        <f t="shared" si="143"/>
        <v>CPP_7_3</v>
      </c>
    </row>
    <row r="1139" spans="1:22">
      <c r="A1139" t="str">
        <f t="shared" si="136"/>
        <v>NBE-3503-AL</v>
      </c>
      <c r="B1139" s="403" t="s">
        <v>1370</v>
      </c>
      <c r="C1139" s="403" t="s">
        <v>582</v>
      </c>
      <c r="D1139" s="403" t="s">
        <v>1371</v>
      </c>
      <c r="E1139" s="403" t="s">
        <v>778</v>
      </c>
      <c r="F1139" s="403" t="s">
        <v>1375</v>
      </c>
      <c r="G1139" s="403" t="s">
        <v>1467</v>
      </c>
      <c r="H1139" s="403" t="s">
        <v>1276</v>
      </c>
      <c r="I1139" s="403">
        <v>1</v>
      </c>
      <c r="J1139" s="403" t="s">
        <v>110</v>
      </c>
      <c r="K1139" s="403">
        <v>0</v>
      </c>
      <c r="L1139" s="403">
        <v>0</v>
      </c>
      <c r="M1139" s="403" t="s">
        <v>1279</v>
      </c>
      <c r="N1139" s="403">
        <v>0</v>
      </c>
      <c r="O1139" s="403">
        <v>0</v>
      </c>
      <c r="P1139" t="str">
        <f t="shared" si="137"/>
        <v>20fps 1080p - SD ROI PTZ</v>
      </c>
      <c r="Q1139">
        <f t="shared" si="138"/>
        <v>6</v>
      </c>
      <c r="R1139" t="str">
        <f t="shared" si="139"/>
        <v/>
      </c>
      <c r="S1139" t="str">
        <f t="shared" si="140"/>
        <v/>
      </c>
      <c r="T1139" s="403" t="str">
        <f t="shared" si="141"/>
        <v>NBE-3503-AL</v>
      </c>
      <c r="U1139" s="403">
        <f t="shared" si="142"/>
        <v>1</v>
      </c>
      <c r="V1139" s="403" t="str">
        <f t="shared" si="143"/>
        <v>CPP_7_3</v>
      </c>
    </row>
    <row r="1140" spans="1:22">
      <c r="A1140" t="str">
        <f t="shared" si="136"/>
        <v>NBE-3503-AL</v>
      </c>
      <c r="B1140" s="403" t="s">
        <v>1370</v>
      </c>
      <c r="C1140" s="403" t="s">
        <v>582</v>
      </c>
      <c r="D1140" s="403" t="s">
        <v>1371</v>
      </c>
      <c r="E1140" s="403" t="s">
        <v>778</v>
      </c>
      <c r="F1140" s="403" t="s">
        <v>1375</v>
      </c>
      <c r="G1140" s="403" t="s">
        <v>1467</v>
      </c>
      <c r="H1140" s="403" t="s">
        <v>1276</v>
      </c>
      <c r="I1140" s="403">
        <v>1</v>
      </c>
      <c r="J1140" s="403" t="s">
        <v>110</v>
      </c>
      <c r="K1140" s="403">
        <v>0</v>
      </c>
      <c r="L1140" s="403">
        <v>0</v>
      </c>
      <c r="M1140" s="403" t="s">
        <v>1283</v>
      </c>
      <c r="N1140" s="403">
        <v>0</v>
      </c>
      <c r="O1140" s="403">
        <v>0</v>
      </c>
      <c r="P1140" t="str">
        <f t="shared" si="137"/>
        <v>20fps 1080p - SD 4CIF resolution 4:3 format (cropped)</v>
      </c>
      <c r="Q1140">
        <f t="shared" si="138"/>
        <v>6</v>
      </c>
      <c r="R1140" t="str">
        <f t="shared" si="139"/>
        <v/>
      </c>
      <c r="S1140" t="str">
        <f t="shared" si="140"/>
        <v/>
      </c>
      <c r="T1140" s="403" t="str">
        <f t="shared" si="141"/>
        <v>NBE-3503-AL</v>
      </c>
      <c r="U1140" s="403">
        <f t="shared" si="142"/>
        <v>1</v>
      </c>
      <c r="V1140" s="403" t="str">
        <f t="shared" si="143"/>
        <v>CPP_7_3</v>
      </c>
    </row>
    <row r="1141" spans="1:22">
      <c r="A1141" t="str">
        <f t="shared" si="136"/>
        <v>NBE-3503-AL</v>
      </c>
      <c r="B1141" s="403" t="s">
        <v>1370</v>
      </c>
      <c r="C1141" s="403" t="s">
        <v>582</v>
      </c>
      <c r="D1141" s="403" t="s">
        <v>1371</v>
      </c>
      <c r="E1141" s="403" t="s">
        <v>778</v>
      </c>
      <c r="F1141" s="403" t="s">
        <v>1375</v>
      </c>
      <c r="G1141" s="403" t="s">
        <v>1467</v>
      </c>
      <c r="H1141" s="403" t="s">
        <v>1276</v>
      </c>
      <c r="I1141" s="403">
        <v>1</v>
      </c>
      <c r="J1141" s="403" t="s">
        <v>110</v>
      </c>
      <c r="K1141" s="403">
        <v>0</v>
      </c>
      <c r="L1141" s="403">
        <v>0</v>
      </c>
      <c r="M1141" s="403" t="s">
        <v>1284</v>
      </c>
      <c r="N1141" s="403">
        <v>0</v>
      </c>
      <c r="O1141" s="403">
        <v>0</v>
      </c>
      <c r="P1141" t="str">
        <f t="shared" si="137"/>
        <v>20fps 1080p - SD VGA (cropped)</v>
      </c>
      <c r="Q1141">
        <f t="shared" si="138"/>
        <v>6</v>
      </c>
      <c r="R1141" t="str">
        <f t="shared" si="139"/>
        <v/>
      </c>
      <c r="S1141" t="str">
        <f t="shared" si="140"/>
        <v/>
      </c>
      <c r="T1141" s="403" t="str">
        <f t="shared" si="141"/>
        <v>NBE-3503-AL</v>
      </c>
      <c r="U1141" s="403">
        <f t="shared" si="142"/>
        <v>1</v>
      </c>
      <c r="V1141" s="403" t="str">
        <f t="shared" si="143"/>
        <v>CPP_7_3</v>
      </c>
    </row>
    <row r="1142" spans="1:22">
      <c r="A1142" t="str">
        <f t="shared" si="136"/>
        <v>NBE-3503-AL</v>
      </c>
      <c r="B1142" s="403" t="s">
        <v>1370</v>
      </c>
      <c r="C1142" s="403" t="s">
        <v>582</v>
      </c>
      <c r="D1142" s="403" t="s">
        <v>1371</v>
      </c>
      <c r="E1142" s="403" t="s">
        <v>778</v>
      </c>
      <c r="F1142" s="403" t="s">
        <v>1375</v>
      </c>
      <c r="G1142" s="403" t="s">
        <v>1467</v>
      </c>
      <c r="H1142" s="403" t="s">
        <v>1276</v>
      </c>
      <c r="I1142" s="403">
        <v>1</v>
      </c>
      <c r="J1142" s="403" t="s">
        <v>109</v>
      </c>
      <c r="K1142" s="403">
        <v>720</v>
      </c>
      <c r="L1142" s="403">
        <v>1280</v>
      </c>
      <c r="M1142" s="403" t="s">
        <v>109</v>
      </c>
      <c r="N1142" s="403">
        <v>720</v>
      </c>
      <c r="O1142" s="403">
        <v>1280</v>
      </c>
      <c r="P1142" t="str">
        <f t="shared" si="137"/>
        <v>20fps 720p - 720p</v>
      </c>
      <c r="Q1142">
        <f t="shared" si="138"/>
        <v>6</v>
      </c>
      <c r="R1142" t="str">
        <f t="shared" si="139"/>
        <v/>
      </c>
      <c r="S1142" t="str">
        <f t="shared" si="140"/>
        <v/>
      </c>
      <c r="T1142" s="403" t="str">
        <f t="shared" si="141"/>
        <v>NBE-3503-AL</v>
      </c>
      <c r="U1142" s="403">
        <f t="shared" si="142"/>
        <v>1</v>
      </c>
      <c r="V1142" s="403" t="str">
        <f t="shared" si="143"/>
        <v>CPP_7_3</v>
      </c>
    </row>
    <row r="1143" spans="1:22">
      <c r="A1143" t="str">
        <f t="shared" si="136"/>
        <v>NBE-3503-AL</v>
      </c>
      <c r="B1143" s="403" t="s">
        <v>1370</v>
      </c>
      <c r="C1143" s="403" t="s">
        <v>582</v>
      </c>
      <c r="D1143" s="403" t="s">
        <v>1371</v>
      </c>
      <c r="E1143" s="403" t="s">
        <v>778</v>
      </c>
      <c r="F1143" s="403" t="s">
        <v>1375</v>
      </c>
      <c r="G1143" s="403" t="s">
        <v>1467</v>
      </c>
      <c r="H1143" s="403" t="s">
        <v>1276</v>
      </c>
      <c r="I1143" s="403">
        <v>1</v>
      </c>
      <c r="J1143" s="403" t="s">
        <v>109</v>
      </c>
      <c r="K1143" s="403">
        <v>720</v>
      </c>
      <c r="L1143" s="403">
        <v>1280</v>
      </c>
      <c r="M1143" s="403" t="s">
        <v>111</v>
      </c>
      <c r="N1143" s="403">
        <v>432</v>
      </c>
      <c r="O1143" s="403">
        <v>768</v>
      </c>
      <c r="P1143" t="str">
        <f t="shared" si="137"/>
        <v>20fps 720p - SD</v>
      </c>
      <c r="Q1143">
        <f t="shared" si="138"/>
        <v>6</v>
      </c>
      <c r="R1143" t="str">
        <f t="shared" si="139"/>
        <v/>
      </c>
      <c r="S1143" t="str">
        <f t="shared" si="140"/>
        <v/>
      </c>
      <c r="T1143" s="403" t="str">
        <f t="shared" si="141"/>
        <v>NBE-3503-AL</v>
      </c>
      <c r="U1143" s="403">
        <f t="shared" si="142"/>
        <v>1</v>
      </c>
      <c r="V1143" s="403" t="str">
        <f t="shared" si="143"/>
        <v>CPP_7_3</v>
      </c>
    </row>
    <row r="1144" spans="1:22">
      <c r="A1144" t="str">
        <f t="shared" si="136"/>
        <v>NBE-3503-AL</v>
      </c>
      <c r="B1144" s="403" t="s">
        <v>1370</v>
      </c>
      <c r="C1144" s="403" t="s">
        <v>582</v>
      </c>
      <c r="D1144" s="403" t="s">
        <v>1371</v>
      </c>
      <c r="E1144" s="403" t="s">
        <v>778</v>
      </c>
      <c r="F1144" s="403" t="s">
        <v>1375</v>
      </c>
      <c r="G1144" s="403" t="s">
        <v>1467</v>
      </c>
      <c r="H1144" s="403" t="s">
        <v>1276</v>
      </c>
      <c r="I1144" s="403">
        <v>1</v>
      </c>
      <c r="J1144" s="403" t="s">
        <v>109</v>
      </c>
      <c r="K1144" s="403">
        <v>720</v>
      </c>
      <c r="L1144" s="403">
        <v>1280</v>
      </c>
      <c r="M1144" s="403" t="s">
        <v>1279</v>
      </c>
      <c r="N1144" s="403">
        <v>432</v>
      </c>
      <c r="O1144" s="403">
        <v>768</v>
      </c>
      <c r="P1144" t="str">
        <f t="shared" si="137"/>
        <v>20fps 720p - SD ROI PTZ</v>
      </c>
      <c r="Q1144">
        <f t="shared" si="138"/>
        <v>6</v>
      </c>
      <c r="R1144" t="str">
        <f t="shared" si="139"/>
        <v/>
      </c>
      <c r="S1144" t="str">
        <f t="shared" si="140"/>
        <v/>
      </c>
      <c r="T1144" s="403" t="str">
        <f t="shared" si="141"/>
        <v>NBE-3503-AL</v>
      </c>
      <c r="U1144" s="403">
        <f t="shared" si="142"/>
        <v>1</v>
      </c>
      <c r="V1144" s="403" t="str">
        <f t="shared" si="143"/>
        <v>CPP_7_3</v>
      </c>
    </row>
    <row r="1145" spans="1:22">
      <c r="A1145" t="str">
        <f t="shared" si="136"/>
        <v>NBE-3503-AL</v>
      </c>
      <c r="B1145" s="403" t="s">
        <v>1370</v>
      </c>
      <c r="C1145" s="403" t="s">
        <v>582</v>
      </c>
      <c r="D1145" s="403" t="s">
        <v>1371</v>
      </c>
      <c r="E1145" s="403" t="s">
        <v>778</v>
      </c>
      <c r="F1145" s="403" t="s">
        <v>1375</v>
      </c>
      <c r="G1145" s="403" t="s">
        <v>1467</v>
      </c>
      <c r="H1145" s="403" t="s">
        <v>1276</v>
      </c>
      <c r="I1145" s="403">
        <v>1</v>
      </c>
      <c r="J1145" s="403" t="s">
        <v>109</v>
      </c>
      <c r="K1145" s="403">
        <v>720</v>
      </c>
      <c r="L1145" s="403">
        <v>1280</v>
      </c>
      <c r="M1145" s="403" t="s">
        <v>1283</v>
      </c>
      <c r="N1145" s="403">
        <v>480</v>
      </c>
      <c r="O1145" s="403">
        <v>720</v>
      </c>
      <c r="P1145" t="str">
        <f t="shared" si="137"/>
        <v>20fps 720p - SD 4CIF resolution 4:3 format (cropped)</v>
      </c>
      <c r="Q1145">
        <f t="shared" si="138"/>
        <v>6</v>
      </c>
      <c r="R1145" t="str">
        <f t="shared" si="139"/>
        <v/>
      </c>
      <c r="S1145" t="str">
        <f t="shared" si="140"/>
        <v/>
      </c>
      <c r="T1145" s="403" t="str">
        <f t="shared" si="141"/>
        <v>NBE-3503-AL</v>
      </c>
      <c r="U1145" s="403">
        <f t="shared" si="142"/>
        <v>1</v>
      </c>
      <c r="V1145" s="403" t="str">
        <f t="shared" si="143"/>
        <v>CPP_7_3</v>
      </c>
    </row>
    <row r="1146" spans="1:22">
      <c r="A1146" t="str">
        <f t="shared" si="136"/>
        <v>NBE-3503-AL</v>
      </c>
      <c r="B1146" s="403" t="s">
        <v>1370</v>
      </c>
      <c r="C1146" s="403" t="s">
        <v>582</v>
      </c>
      <c r="D1146" s="403" t="s">
        <v>1371</v>
      </c>
      <c r="E1146" s="403" t="s">
        <v>778</v>
      </c>
      <c r="F1146" s="403" t="s">
        <v>1375</v>
      </c>
      <c r="G1146" s="403" t="s">
        <v>1467</v>
      </c>
      <c r="H1146" s="403" t="s">
        <v>1276</v>
      </c>
      <c r="I1146" s="403">
        <v>1</v>
      </c>
      <c r="J1146" s="403" t="s">
        <v>109</v>
      </c>
      <c r="K1146" s="403">
        <v>720</v>
      </c>
      <c r="L1146" s="403">
        <v>1280</v>
      </c>
      <c r="M1146" s="403" t="s">
        <v>1284</v>
      </c>
      <c r="N1146" s="403">
        <v>480</v>
      </c>
      <c r="O1146" s="403">
        <v>640</v>
      </c>
      <c r="P1146" t="str">
        <f t="shared" si="137"/>
        <v>20fps 720p - SD VGA (cropped)</v>
      </c>
      <c r="Q1146">
        <f t="shared" si="138"/>
        <v>6</v>
      </c>
      <c r="R1146" t="str">
        <f t="shared" si="139"/>
        <v/>
      </c>
      <c r="S1146" t="str">
        <f t="shared" si="140"/>
        <v/>
      </c>
      <c r="T1146" s="403" t="str">
        <f t="shared" si="141"/>
        <v>NBE-3503-AL</v>
      </c>
      <c r="U1146" s="403">
        <f t="shared" si="142"/>
        <v>1</v>
      </c>
      <c r="V1146" s="403" t="str">
        <f t="shared" si="143"/>
        <v>CPP_7_3</v>
      </c>
    </row>
    <row r="1147" spans="1:22">
      <c r="A1147" t="str">
        <f t="shared" si="136"/>
        <v>NBE-3503-AL</v>
      </c>
      <c r="B1147" s="403" t="s">
        <v>1370</v>
      </c>
      <c r="C1147" s="403" t="s">
        <v>582</v>
      </c>
      <c r="D1147" s="403" t="s">
        <v>1371</v>
      </c>
      <c r="E1147" s="403" t="s">
        <v>778</v>
      </c>
      <c r="F1147" s="403" t="s">
        <v>1375</v>
      </c>
      <c r="G1147" s="403" t="s">
        <v>1467</v>
      </c>
      <c r="H1147" s="403" t="s">
        <v>1276</v>
      </c>
      <c r="I1147" s="403">
        <v>1</v>
      </c>
      <c r="J1147" s="403" t="s">
        <v>1377</v>
      </c>
      <c r="K1147" s="403">
        <v>1528</v>
      </c>
      <c r="L1147" s="403">
        <v>2720</v>
      </c>
      <c r="M1147" s="403" t="s">
        <v>1280</v>
      </c>
      <c r="N1147" s="403">
        <v>1528</v>
      </c>
      <c r="O1147" s="403">
        <v>2720</v>
      </c>
      <c r="P1147" t="str">
        <f t="shared" si="137"/>
        <v>20fps 2720x1530 - copy other stream</v>
      </c>
      <c r="Q1147">
        <f t="shared" si="138"/>
        <v>6</v>
      </c>
      <c r="R1147" t="str">
        <f t="shared" si="139"/>
        <v/>
      </c>
      <c r="S1147" t="str">
        <f t="shared" si="140"/>
        <v/>
      </c>
      <c r="T1147" s="403" t="str">
        <f t="shared" si="141"/>
        <v>NBE-3503-AL</v>
      </c>
      <c r="U1147" s="403">
        <f t="shared" si="142"/>
        <v>1</v>
      </c>
      <c r="V1147" s="403" t="str">
        <f t="shared" si="143"/>
        <v>CPP_7_3</v>
      </c>
    </row>
    <row r="1148" spans="1:22">
      <c r="A1148" t="str">
        <f t="shared" si="136"/>
        <v>NBE-3503-AL</v>
      </c>
      <c r="B1148" s="403" t="s">
        <v>1370</v>
      </c>
      <c r="C1148" s="403" t="s">
        <v>582</v>
      </c>
      <c r="D1148" s="403" t="s">
        <v>1371</v>
      </c>
      <c r="E1148" s="403" t="s">
        <v>778</v>
      </c>
      <c r="F1148" s="403" t="s">
        <v>1375</v>
      </c>
      <c r="G1148" s="403" t="s">
        <v>1467</v>
      </c>
      <c r="H1148" s="403" t="s">
        <v>1276</v>
      </c>
      <c r="I1148" s="403">
        <v>1</v>
      </c>
      <c r="J1148" s="403" t="s">
        <v>1374</v>
      </c>
      <c r="K1148" s="403">
        <v>1296</v>
      </c>
      <c r="L1148" s="403">
        <v>2304</v>
      </c>
      <c r="M1148" s="403" t="s">
        <v>109</v>
      </c>
      <c r="N1148" s="403">
        <v>720</v>
      </c>
      <c r="O1148" s="403">
        <v>1280</v>
      </c>
      <c r="P1148" t="str">
        <f t="shared" si="137"/>
        <v>20fps 2304x1296 - 720p</v>
      </c>
      <c r="Q1148">
        <f t="shared" si="138"/>
        <v>6</v>
      </c>
      <c r="R1148" t="str">
        <f t="shared" si="139"/>
        <v/>
      </c>
      <c r="S1148" t="str">
        <f t="shared" si="140"/>
        <v/>
      </c>
      <c r="T1148" s="403" t="str">
        <f t="shared" si="141"/>
        <v>NBE-3503-AL</v>
      </c>
      <c r="U1148" s="403">
        <f t="shared" si="142"/>
        <v>1</v>
      </c>
      <c r="V1148" s="403" t="str">
        <f t="shared" si="143"/>
        <v>CPP_7_3</v>
      </c>
    </row>
    <row r="1149" spans="1:22">
      <c r="A1149" t="str">
        <f t="shared" si="136"/>
        <v>NBE-3503-AL</v>
      </c>
      <c r="B1149" s="403" t="s">
        <v>1370</v>
      </c>
      <c r="C1149" s="403" t="s">
        <v>582</v>
      </c>
      <c r="D1149" s="403" t="s">
        <v>1371</v>
      </c>
      <c r="E1149" s="403" t="s">
        <v>778</v>
      </c>
      <c r="F1149" s="403" t="s">
        <v>1375</v>
      </c>
      <c r="G1149" s="403" t="s">
        <v>1467</v>
      </c>
      <c r="H1149" s="403" t="s">
        <v>1276</v>
      </c>
      <c r="I1149" s="403">
        <v>1</v>
      </c>
      <c r="J1149" s="403" t="s">
        <v>1374</v>
      </c>
      <c r="K1149" s="403">
        <v>1296</v>
      </c>
      <c r="L1149" s="403">
        <v>2304</v>
      </c>
      <c r="M1149" s="403" t="s">
        <v>111</v>
      </c>
      <c r="N1149" s="403">
        <v>432</v>
      </c>
      <c r="O1149" s="403">
        <v>768</v>
      </c>
      <c r="P1149" t="str">
        <f t="shared" si="137"/>
        <v>20fps 2304x1296 - SD</v>
      </c>
      <c r="Q1149">
        <f t="shared" si="138"/>
        <v>6</v>
      </c>
      <c r="R1149" t="str">
        <f t="shared" si="139"/>
        <v/>
      </c>
      <c r="S1149" t="str">
        <f t="shared" si="140"/>
        <v/>
      </c>
      <c r="T1149" s="403" t="str">
        <f t="shared" si="141"/>
        <v>NBE-3503-AL</v>
      </c>
      <c r="U1149" s="403">
        <f t="shared" si="142"/>
        <v>1</v>
      </c>
      <c r="V1149" s="403" t="str">
        <f t="shared" si="143"/>
        <v>CPP_7_3</v>
      </c>
    </row>
    <row r="1150" spans="1:22">
      <c r="A1150" t="str">
        <f t="shared" si="136"/>
        <v>NBE-3503-AL</v>
      </c>
      <c r="B1150" s="403" t="s">
        <v>1370</v>
      </c>
      <c r="C1150" s="403" t="s">
        <v>582</v>
      </c>
      <c r="D1150" s="403" t="s">
        <v>1371</v>
      </c>
      <c r="E1150" s="403" t="s">
        <v>778</v>
      </c>
      <c r="F1150" s="403" t="s">
        <v>1375</v>
      </c>
      <c r="G1150" s="403" t="s">
        <v>1467</v>
      </c>
      <c r="H1150" s="403" t="s">
        <v>1276</v>
      </c>
      <c r="I1150" s="403">
        <v>1</v>
      </c>
      <c r="J1150" s="403" t="s">
        <v>1374</v>
      </c>
      <c r="K1150" s="403">
        <v>1296</v>
      </c>
      <c r="L1150" s="403">
        <v>2304</v>
      </c>
      <c r="M1150" s="403" t="s">
        <v>1279</v>
      </c>
      <c r="N1150" s="403">
        <v>432</v>
      </c>
      <c r="O1150" s="403">
        <v>768</v>
      </c>
      <c r="P1150" t="str">
        <f t="shared" si="137"/>
        <v>20fps 2304x1296 - SD ROI PTZ</v>
      </c>
      <c r="Q1150">
        <f t="shared" si="138"/>
        <v>6</v>
      </c>
      <c r="R1150" t="str">
        <f t="shared" si="139"/>
        <v/>
      </c>
      <c r="S1150" t="str">
        <f t="shared" si="140"/>
        <v/>
      </c>
      <c r="T1150" s="403" t="str">
        <f t="shared" si="141"/>
        <v>NBE-3503-AL</v>
      </c>
      <c r="U1150" s="403">
        <f t="shared" si="142"/>
        <v>1</v>
      </c>
      <c r="V1150" s="403" t="str">
        <f t="shared" si="143"/>
        <v>CPP_7_3</v>
      </c>
    </row>
    <row r="1151" spans="1:22">
      <c r="A1151" t="str">
        <f t="shared" si="136"/>
        <v>NBE-3503-AL</v>
      </c>
      <c r="B1151" s="403" t="s">
        <v>1370</v>
      </c>
      <c r="C1151" s="403" t="s">
        <v>582</v>
      </c>
      <c r="D1151" s="403" t="s">
        <v>1371</v>
      </c>
      <c r="E1151" s="403" t="s">
        <v>778</v>
      </c>
      <c r="F1151" s="403" t="s">
        <v>1375</v>
      </c>
      <c r="G1151" s="403" t="s">
        <v>1467</v>
      </c>
      <c r="H1151" s="403" t="s">
        <v>1276</v>
      </c>
      <c r="I1151" s="403">
        <v>1</v>
      </c>
      <c r="J1151" s="403" t="s">
        <v>1374</v>
      </c>
      <c r="K1151" s="403">
        <v>1296</v>
      </c>
      <c r="L1151" s="403">
        <v>2304</v>
      </c>
      <c r="M1151" s="403" t="s">
        <v>1285</v>
      </c>
      <c r="N1151" s="403">
        <v>1024</v>
      </c>
      <c r="O1151" s="403">
        <v>1280</v>
      </c>
      <c r="P1151" t="str">
        <f t="shared" si="137"/>
        <v>20fps 2304x1296 - 1280x1024 5:4 (cropped)</v>
      </c>
      <c r="Q1151">
        <f t="shared" si="138"/>
        <v>6</v>
      </c>
      <c r="R1151" t="str">
        <f t="shared" si="139"/>
        <v/>
      </c>
      <c r="S1151" t="str">
        <f t="shared" si="140"/>
        <v/>
      </c>
      <c r="T1151" s="403" t="str">
        <f t="shared" si="141"/>
        <v>NBE-3503-AL</v>
      </c>
      <c r="U1151" s="403">
        <f t="shared" si="142"/>
        <v>1</v>
      </c>
      <c r="V1151" s="403" t="str">
        <f t="shared" si="143"/>
        <v>CPP_7_3</v>
      </c>
    </row>
    <row r="1152" spans="1:22">
      <c r="A1152" t="str">
        <f t="shared" si="136"/>
        <v>NBE-3503-AL</v>
      </c>
      <c r="B1152" s="403" t="s">
        <v>1370</v>
      </c>
      <c r="C1152" s="403" t="s">
        <v>582</v>
      </c>
      <c r="D1152" s="403" t="s">
        <v>1371</v>
      </c>
      <c r="E1152" s="403" t="s">
        <v>778</v>
      </c>
      <c r="F1152" s="403" t="s">
        <v>1375</v>
      </c>
      <c r="G1152" s="403" t="s">
        <v>1467</v>
      </c>
      <c r="H1152" s="403" t="s">
        <v>1276</v>
      </c>
      <c r="I1152" s="403">
        <v>1</v>
      </c>
      <c r="J1152" s="403" t="s">
        <v>1374</v>
      </c>
      <c r="K1152" s="403">
        <v>1296</v>
      </c>
      <c r="L1152" s="403">
        <v>2304</v>
      </c>
      <c r="M1152" s="403" t="s">
        <v>1283</v>
      </c>
      <c r="N1152" s="403">
        <v>480</v>
      </c>
      <c r="O1152" s="403">
        <v>720</v>
      </c>
      <c r="P1152" t="str">
        <f t="shared" si="137"/>
        <v>20fps 2304x1296 - SD 4CIF resolution 4:3 format (cropped)</v>
      </c>
      <c r="Q1152">
        <f t="shared" si="138"/>
        <v>6</v>
      </c>
      <c r="R1152" t="str">
        <f t="shared" si="139"/>
        <v/>
      </c>
      <c r="S1152" t="str">
        <f t="shared" si="140"/>
        <v/>
      </c>
      <c r="T1152" s="403" t="str">
        <f t="shared" si="141"/>
        <v>NBE-3503-AL</v>
      </c>
      <c r="U1152" s="403">
        <f t="shared" si="142"/>
        <v>1</v>
      </c>
      <c r="V1152" s="403" t="str">
        <f t="shared" si="143"/>
        <v>CPP_7_3</v>
      </c>
    </row>
    <row r="1153" spans="1:22">
      <c r="A1153" t="str">
        <f t="shared" si="136"/>
        <v>NBE-3503-AL</v>
      </c>
      <c r="B1153" s="403" t="s">
        <v>1370</v>
      </c>
      <c r="C1153" s="403" t="s">
        <v>582</v>
      </c>
      <c r="D1153" s="403" t="s">
        <v>1371</v>
      </c>
      <c r="E1153" s="403" t="s">
        <v>778</v>
      </c>
      <c r="F1153" s="403" t="s">
        <v>1375</v>
      </c>
      <c r="G1153" s="403" t="s">
        <v>1467</v>
      </c>
      <c r="H1153" s="403" t="s">
        <v>1276</v>
      </c>
      <c r="I1153" s="403">
        <v>1</v>
      </c>
      <c r="J1153" s="403" t="s">
        <v>1374</v>
      </c>
      <c r="K1153" s="403">
        <v>1296</v>
      </c>
      <c r="L1153" s="403">
        <v>2304</v>
      </c>
      <c r="M1153" s="403" t="s">
        <v>1284</v>
      </c>
      <c r="N1153" s="403">
        <v>480</v>
      </c>
      <c r="O1153" s="403">
        <v>640</v>
      </c>
      <c r="P1153" t="str">
        <f t="shared" si="137"/>
        <v>20fps 2304x1296 - SD VGA (cropped)</v>
      </c>
      <c r="Q1153">
        <f t="shared" si="138"/>
        <v>6</v>
      </c>
      <c r="R1153" t="str">
        <f t="shared" si="139"/>
        <v/>
      </c>
      <c r="S1153" t="str">
        <f t="shared" si="140"/>
        <v/>
      </c>
      <c r="T1153" s="403" t="str">
        <f t="shared" si="141"/>
        <v>NBE-3503-AL</v>
      </c>
      <c r="U1153" s="403">
        <f t="shared" si="142"/>
        <v>1</v>
      </c>
      <c r="V1153" s="403" t="str">
        <f t="shared" si="143"/>
        <v>CPP_7_3</v>
      </c>
    </row>
    <row r="1154" spans="1:22">
      <c r="A1154" t="str">
        <f t="shared" ref="A1154:A1217" si="144">IF(AND(G1154&lt;&gt;"rotate 90°"),D1154,"")</f>
        <v>NBE-3503-AL</v>
      </c>
      <c r="B1154" s="403" t="s">
        <v>1370</v>
      </c>
      <c r="C1154" s="403" t="s">
        <v>582</v>
      </c>
      <c r="D1154" s="403" t="s">
        <v>1371</v>
      </c>
      <c r="E1154" s="403" t="s">
        <v>778</v>
      </c>
      <c r="F1154" s="403" t="s">
        <v>1375</v>
      </c>
      <c r="G1154" s="403" t="s">
        <v>1467</v>
      </c>
      <c r="H1154" s="403" t="s">
        <v>1276</v>
      </c>
      <c r="I1154" s="403">
        <v>1</v>
      </c>
      <c r="J1154" s="403" t="s">
        <v>1374</v>
      </c>
      <c r="K1154" s="403">
        <v>1296</v>
      </c>
      <c r="L1154" s="403">
        <v>2304</v>
      </c>
      <c r="M1154" s="403" t="s">
        <v>1280</v>
      </c>
      <c r="N1154" s="403">
        <v>1296</v>
      </c>
      <c r="O1154" s="403">
        <v>2304</v>
      </c>
      <c r="P1154" t="str">
        <f t="shared" ref="P1154:P1217" si="145">LEFT(F1154,5)&amp;" "&amp;J1154&amp;" - "&amp;M1154</f>
        <v>20fps 2304x1296 - copy other stream</v>
      </c>
      <c r="Q1154">
        <f t="shared" ref="Q1154:Q1217" si="146">IF(A1153=A1154,Q1153,Q1153+1)</f>
        <v>6</v>
      </c>
      <c r="R1154" t="str">
        <f t="shared" ref="R1154:R1217" si="147">IF(Q1153&lt;&gt;Q1154,Q1154,"")</f>
        <v/>
      </c>
      <c r="S1154" t="str">
        <f t="shared" ref="S1154:S1217" si="148">IF(R1154&lt;&gt;"",B1154&amp;" ("&amp;D1154&amp;")","")</f>
        <v/>
      </c>
      <c r="T1154" s="403" t="str">
        <f t="shared" ref="T1154:T1217" si="149">D1154</f>
        <v>NBE-3503-AL</v>
      </c>
      <c r="U1154" s="403">
        <f t="shared" ref="U1154:U1217" si="150">I1154</f>
        <v>1</v>
      </c>
      <c r="V1154" s="403" t="str">
        <f t="shared" ref="V1154:V1217" si="151">C1154</f>
        <v>CPP_7_3</v>
      </c>
    </row>
    <row r="1155" spans="1:22">
      <c r="A1155" t="str">
        <f t="shared" si="144"/>
        <v>NBE-3503-AL</v>
      </c>
      <c r="B1155" s="403" t="s">
        <v>1370</v>
      </c>
      <c r="C1155" s="403" t="s">
        <v>582</v>
      </c>
      <c r="D1155" s="403" t="s">
        <v>1371</v>
      </c>
      <c r="E1155" s="403" t="s">
        <v>778</v>
      </c>
      <c r="F1155" s="403" t="s">
        <v>1375</v>
      </c>
      <c r="G1155" s="403" t="s">
        <v>1467</v>
      </c>
      <c r="H1155" s="403" t="s">
        <v>1276</v>
      </c>
      <c r="I1155" s="403">
        <v>1</v>
      </c>
      <c r="J1155" s="403" t="s">
        <v>110</v>
      </c>
      <c r="K1155" s="403">
        <v>1080</v>
      </c>
      <c r="L1155" s="403">
        <v>1920</v>
      </c>
      <c r="M1155" s="403" t="s">
        <v>111</v>
      </c>
      <c r="N1155" s="403">
        <v>432</v>
      </c>
      <c r="O1155" s="403">
        <v>768</v>
      </c>
      <c r="P1155" t="str">
        <f t="shared" si="145"/>
        <v>20fps 1080p - SD</v>
      </c>
      <c r="Q1155">
        <f t="shared" si="146"/>
        <v>6</v>
      </c>
      <c r="R1155" t="str">
        <f t="shared" si="147"/>
        <v/>
      </c>
      <c r="S1155" t="str">
        <f t="shared" si="148"/>
        <v/>
      </c>
      <c r="T1155" s="403" t="str">
        <f t="shared" si="149"/>
        <v>NBE-3503-AL</v>
      </c>
      <c r="U1155" s="403">
        <f t="shared" si="150"/>
        <v>1</v>
      </c>
      <c r="V1155" s="403" t="str">
        <f t="shared" si="151"/>
        <v>CPP_7_3</v>
      </c>
    </row>
    <row r="1156" spans="1:22">
      <c r="A1156" t="str">
        <f t="shared" si="144"/>
        <v>NBE-3503-AL</v>
      </c>
      <c r="B1156" s="403" t="s">
        <v>1370</v>
      </c>
      <c r="C1156" s="403" t="s">
        <v>582</v>
      </c>
      <c r="D1156" s="403" t="s">
        <v>1371</v>
      </c>
      <c r="E1156" s="403" t="s">
        <v>778</v>
      </c>
      <c r="F1156" s="403" t="s">
        <v>1375</v>
      </c>
      <c r="G1156" s="403" t="s">
        <v>1467</v>
      </c>
      <c r="H1156" s="403" t="s">
        <v>1276</v>
      </c>
      <c r="I1156" s="403">
        <v>1</v>
      </c>
      <c r="J1156" s="403" t="s">
        <v>110</v>
      </c>
      <c r="K1156" s="403">
        <v>1080</v>
      </c>
      <c r="L1156" s="403">
        <v>1920</v>
      </c>
      <c r="M1156" s="403" t="s">
        <v>110</v>
      </c>
      <c r="N1156" s="403">
        <v>1080</v>
      </c>
      <c r="O1156" s="403">
        <v>1920</v>
      </c>
      <c r="P1156" t="str">
        <f t="shared" si="145"/>
        <v>20fps 1080p - 1080p</v>
      </c>
      <c r="Q1156">
        <f t="shared" si="146"/>
        <v>6</v>
      </c>
      <c r="R1156" t="str">
        <f t="shared" si="147"/>
        <v/>
      </c>
      <c r="S1156" t="str">
        <f t="shared" si="148"/>
        <v/>
      </c>
      <c r="T1156" s="403" t="str">
        <f t="shared" si="149"/>
        <v>NBE-3503-AL</v>
      </c>
      <c r="U1156" s="403">
        <f t="shared" si="150"/>
        <v>1</v>
      </c>
      <c r="V1156" s="403" t="str">
        <f t="shared" si="151"/>
        <v>CPP_7_3</v>
      </c>
    </row>
    <row r="1157" spans="1:22">
      <c r="A1157" t="str">
        <f t="shared" si="144"/>
        <v>NBE-3503-AL</v>
      </c>
      <c r="B1157" s="403" t="s">
        <v>1370</v>
      </c>
      <c r="C1157" s="403" t="s">
        <v>582</v>
      </c>
      <c r="D1157" s="403" t="s">
        <v>1371</v>
      </c>
      <c r="E1157" s="403" t="s">
        <v>778</v>
      </c>
      <c r="F1157" s="403" t="s">
        <v>1375</v>
      </c>
      <c r="G1157" s="403" t="s">
        <v>1467</v>
      </c>
      <c r="H1157" s="403" t="s">
        <v>1276</v>
      </c>
      <c r="I1157" s="403">
        <v>1</v>
      </c>
      <c r="J1157" s="403" t="s">
        <v>110</v>
      </c>
      <c r="K1157" s="403">
        <v>1080</v>
      </c>
      <c r="L1157" s="403">
        <v>1920</v>
      </c>
      <c r="M1157" s="403" t="s">
        <v>109</v>
      </c>
      <c r="N1157" s="403">
        <v>720</v>
      </c>
      <c r="O1157" s="403">
        <v>1280</v>
      </c>
      <c r="P1157" t="str">
        <f t="shared" si="145"/>
        <v>20fps 1080p - 720p</v>
      </c>
      <c r="Q1157">
        <f t="shared" si="146"/>
        <v>6</v>
      </c>
      <c r="R1157" t="str">
        <f t="shared" si="147"/>
        <v/>
      </c>
      <c r="S1157" t="str">
        <f t="shared" si="148"/>
        <v/>
      </c>
      <c r="T1157" s="403" t="str">
        <f t="shared" si="149"/>
        <v>NBE-3503-AL</v>
      </c>
      <c r="U1157" s="403">
        <f t="shared" si="150"/>
        <v>1</v>
      </c>
      <c r="V1157" s="403" t="str">
        <f t="shared" si="151"/>
        <v>CPP_7_3</v>
      </c>
    </row>
    <row r="1158" spans="1:22">
      <c r="A1158" t="str">
        <f t="shared" si="144"/>
        <v>NBE-3503-AL</v>
      </c>
      <c r="B1158" s="403" t="s">
        <v>1370</v>
      </c>
      <c r="C1158" s="403" t="s">
        <v>582</v>
      </c>
      <c r="D1158" s="403" t="s">
        <v>1371</v>
      </c>
      <c r="E1158" s="403" t="s">
        <v>778</v>
      </c>
      <c r="F1158" s="403" t="s">
        <v>1375</v>
      </c>
      <c r="G1158" s="403" t="s">
        <v>1467</v>
      </c>
      <c r="H1158" s="403" t="s">
        <v>1276</v>
      </c>
      <c r="I1158" s="403">
        <v>1</v>
      </c>
      <c r="J1158" s="403" t="s">
        <v>110</v>
      </c>
      <c r="K1158" s="403">
        <v>1080</v>
      </c>
      <c r="L1158" s="403">
        <v>1920</v>
      </c>
      <c r="M1158" s="403" t="s">
        <v>1285</v>
      </c>
      <c r="N1158" s="403">
        <v>1024</v>
      </c>
      <c r="O1158" s="403">
        <v>1280</v>
      </c>
      <c r="P1158" t="str">
        <f t="shared" si="145"/>
        <v>20fps 1080p - 1280x1024 5:4 (cropped)</v>
      </c>
      <c r="Q1158">
        <f t="shared" si="146"/>
        <v>6</v>
      </c>
      <c r="R1158" t="str">
        <f t="shared" si="147"/>
        <v/>
      </c>
      <c r="S1158" t="str">
        <f t="shared" si="148"/>
        <v/>
      </c>
      <c r="T1158" s="403" t="str">
        <f t="shared" si="149"/>
        <v>NBE-3503-AL</v>
      </c>
      <c r="U1158" s="403">
        <f t="shared" si="150"/>
        <v>1</v>
      </c>
      <c r="V1158" s="403" t="str">
        <f t="shared" si="151"/>
        <v>CPP_7_3</v>
      </c>
    </row>
    <row r="1159" spans="1:22">
      <c r="A1159" t="str">
        <f t="shared" si="144"/>
        <v>NBE-3503-AL</v>
      </c>
      <c r="B1159" s="403" t="s">
        <v>1370</v>
      </c>
      <c r="C1159" s="403" t="s">
        <v>582</v>
      </c>
      <c r="D1159" s="403" t="s">
        <v>1371</v>
      </c>
      <c r="E1159" s="403" t="s">
        <v>778</v>
      </c>
      <c r="F1159" s="403" t="s">
        <v>1375</v>
      </c>
      <c r="G1159" s="403" t="s">
        <v>1467</v>
      </c>
      <c r="H1159" s="403" t="s">
        <v>1276</v>
      </c>
      <c r="I1159" s="403">
        <v>1</v>
      </c>
      <c r="J1159" s="403" t="s">
        <v>110</v>
      </c>
      <c r="K1159" s="403">
        <v>1080</v>
      </c>
      <c r="L1159" s="403">
        <v>1920</v>
      </c>
      <c r="M1159" s="403" t="s">
        <v>1279</v>
      </c>
      <c r="N1159" s="403">
        <v>432</v>
      </c>
      <c r="O1159" s="403">
        <v>768</v>
      </c>
      <c r="P1159" t="str">
        <f t="shared" si="145"/>
        <v>20fps 1080p - SD ROI PTZ</v>
      </c>
      <c r="Q1159">
        <f t="shared" si="146"/>
        <v>6</v>
      </c>
      <c r="R1159" t="str">
        <f t="shared" si="147"/>
        <v/>
      </c>
      <c r="S1159" t="str">
        <f t="shared" si="148"/>
        <v/>
      </c>
      <c r="T1159" s="403" t="str">
        <f t="shared" si="149"/>
        <v>NBE-3503-AL</v>
      </c>
      <c r="U1159" s="403">
        <f t="shared" si="150"/>
        <v>1</v>
      </c>
      <c r="V1159" s="403" t="str">
        <f t="shared" si="151"/>
        <v>CPP_7_3</v>
      </c>
    </row>
    <row r="1160" spans="1:22">
      <c r="A1160" t="str">
        <f t="shared" si="144"/>
        <v>NBE-3503-AL</v>
      </c>
      <c r="B1160" s="403" t="s">
        <v>1370</v>
      </c>
      <c r="C1160" s="403" t="s">
        <v>582</v>
      </c>
      <c r="D1160" s="403" t="s">
        <v>1371</v>
      </c>
      <c r="E1160" s="403" t="s">
        <v>778</v>
      </c>
      <c r="F1160" s="403" t="s">
        <v>1375</v>
      </c>
      <c r="G1160" s="403" t="s">
        <v>1467</v>
      </c>
      <c r="H1160" s="403" t="s">
        <v>1276</v>
      </c>
      <c r="I1160" s="403">
        <v>1</v>
      </c>
      <c r="J1160" s="403" t="s">
        <v>110</v>
      </c>
      <c r="K1160" s="403">
        <v>1080</v>
      </c>
      <c r="L1160" s="403">
        <v>1920</v>
      </c>
      <c r="M1160" s="403" t="s">
        <v>1283</v>
      </c>
      <c r="N1160" s="403">
        <v>480</v>
      </c>
      <c r="O1160" s="403">
        <v>720</v>
      </c>
      <c r="P1160" t="str">
        <f t="shared" si="145"/>
        <v>20fps 1080p - SD 4CIF resolution 4:3 format (cropped)</v>
      </c>
      <c r="Q1160">
        <f t="shared" si="146"/>
        <v>6</v>
      </c>
      <c r="R1160" t="str">
        <f t="shared" si="147"/>
        <v/>
      </c>
      <c r="S1160" t="str">
        <f t="shared" si="148"/>
        <v/>
      </c>
      <c r="T1160" s="403" t="str">
        <f t="shared" si="149"/>
        <v>NBE-3503-AL</v>
      </c>
      <c r="U1160" s="403">
        <f t="shared" si="150"/>
        <v>1</v>
      </c>
      <c r="V1160" s="403" t="str">
        <f t="shared" si="151"/>
        <v>CPP_7_3</v>
      </c>
    </row>
    <row r="1161" spans="1:22">
      <c r="A1161" t="str">
        <f t="shared" si="144"/>
        <v>NBE-3503-AL</v>
      </c>
      <c r="B1161" s="403" t="s">
        <v>1370</v>
      </c>
      <c r="C1161" s="403" t="s">
        <v>582</v>
      </c>
      <c r="D1161" s="403" t="s">
        <v>1371</v>
      </c>
      <c r="E1161" s="403" t="s">
        <v>778</v>
      </c>
      <c r="F1161" s="403" t="s">
        <v>1375</v>
      </c>
      <c r="G1161" s="403" t="s">
        <v>1467</v>
      </c>
      <c r="H1161" s="403" t="s">
        <v>1276</v>
      </c>
      <c r="I1161" s="403">
        <v>1</v>
      </c>
      <c r="J1161" s="403" t="s">
        <v>110</v>
      </c>
      <c r="K1161" s="403">
        <v>1080</v>
      </c>
      <c r="L1161" s="403">
        <v>1920</v>
      </c>
      <c r="M1161" s="403" t="s">
        <v>1284</v>
      </c>
      <c r="N1161" s="403">
        <v>480</v>
      </c>
      <c r="O1161" s="403">
        <v>640</v>
      </c>
      <c r="P1161" t="str">
        <f t="shared" si="145"/>
        <v>20fps 1080p - SD VGA (cropped)</v>
      </c>
      <c r="Q1161">
        <f t="shared" si="146"/>
        <v>6</v>
      </c>
      <c r="R1161" t="str">
        <f t="shared" si="147"/>
        <v/>
      </c>
      <c r="S1161" t="str">
        <f t="shared" si="148"/>
        <v/>
      </c>
      <c r="T1161" s="403" t="str">
        <f t="shared" si="149"/>
        <v>NBE-3503-AL</v>
      </c>
      <c r="U1161" s="403">
        <f t="shared" si="150"/>
        <v>1</v>
      </c>
      <c r="V1161" s="403" t="str">
        <f t="shared" si="151"/>
        <v>CPP_7_3</v>
      </c>
    </row>
    <row r="1162" spans="1:22">
      <c r="A1162" t="str">
        <f t="shared" si="144"/>
        <v>NBE-3503-AL</v>
      </c>
      <c r="B1162" s="403" t="s">
        <v>1370</v>
      </c>
      <c r="C1162" s="403" t="s">
        <v>582</v>
      </c>
      <c r="D1162" s="403" t="s">
        <v>1371</v>
      </c>
      <c r="E1162" s="403" t="s">
        <v>778</v>
      </c>
      <c r="F1162" s="403" t="s">
        <v>1375</v>
      </c>
      <c r="G1162" s="403" t="s">
        <v>1467</v>
      </c>
      <c r="H1162" s="403" t="s">
        <v>1281</v>
      </c>
      <c r="I1162" s="403">
        <v>1</v>
      </c>
      <c r="J1162" s="403" t="s">
        <v>1377</v>
      </c>
      <c r="K1162" s="403">
        <v>1528</v>
      </c>
      <c r="L1162" s="403">
        <v>2720</v>
      </c>
      <c r="M1162" s="403" t="s">
        <v>1280</v>
      </c>
      <c r="N1162" s="403">
        <v>1528</v>
      </c>
      <c r="O1162" s="403">
        <v>2720</v>
      </c>
      <c r="P1162" t="str">
        <f t="shared" si="145"/>
        <v>20fps 2720x1530 - copy other stream</v>
      </c>
      <c r="Q1162">
        <f t="shared" si="146"/>
        <v>6</v>
      </c>
      <c r="R1162" t="str">
        <f t="shared" si="147"/>
        <v/>
      </c>
      <c r="S1162" t="str">
        <f t="shared" si="148"/>
        <v/>
      </c>
      <c r="T1162" s="403" t="str">
        <f t="shared" si="149"/>
        <v>NBE-3503-AL</v>
      </c>
      <c r="U1162" s="403">
        <f t="shared" si="150"/>
        <v>1</v>
      </c>
      <c r="V1162" s="403" t="str">
        <f t="shared" si="151"/>
        <v>CPP_7_3</v>
      </c>
    </row>
    <row r="1163" spans="1:22">
      <c r="A1163" t="str">
        <f t="shared" si="144"/>
        <v>NBE-3503-AL</v>
      </c>
      <c r="B1163" s="403" t="s">
        <v>1370</v>
      </c>
      <c r="C1163" s="403" t="s">
        <v>582</v>
      </c>
      <c r="D1163" s="403" t="s">
        <v>1371</v>
      </c>
      <c r="E1163" s="403" t="s">
        <v>778</v>
      </c>
      <c r="F1163" s="403" t="s">
        <v>1375</v>
      </c>
      <c r="G1163" s="403" t="s">
        <v>1467</v>
      </c>
      <c r="H1163" s="403" t="s">
        <v>1281</v>
      </c>
      <c r="I1163" s="403">
        <v>1</v>
      </c>
      <c r="J1163" s="403" t="s">
        <v>1374</v>
      </c>
      <c r="K1163" s="403">
        <v>1296</v>
      </c>
      <c r="L1163" s="403">
        <v>2304</v>
      </c>
      <c r="M1163" s="403" t="s">
        <v>109</v>
      </c>
      <c r="N1163" s="403">
        <v>720</v>
      </c>
      <c r="O1163" s="403">
        <v>1280</v>
      </c>
      <c r="P1163" t="str">
        <f t="shared" si="145"/>
        <v>20fps 2304x1296 - 720p</v>
      </c>
      <c r="Q1163">
        <f t="shared" si="146"/>
        <v>6</v>
      </c>
      <c r="R1163" t="str">
        <f t="shared" si="147"/>
        <v/>
      </c>
      <c r="S1163" t="str">
        <f t="shared" si="148"/>
        <v/>
      </c>
      <c r="T1163" s="403" t="str">
        <f t="shared" si="149"/>
        <v>NBE-3503-AL</v>
      </c>
      <c r="U1163" s="403">
        <f t="shared" si="150"/>
        <v>1</v>
      </c>
      <c r="V1163" s="403" t="str">
        <f t="shared" si="151"/>
        <v>CPP_7_3</v>
      </c>
    </row>
    <row r="1164" spans="1:22">
      <c r="A1164" t="str">
        <f t="shared" si="144"/>
        <v>NBE-3503-AL</v>
      </c>
      <c r="B1164" s="403" t="s">
        <v>1370</v>
      </c>
      <c r="C1164" s="403" t="s">
        <v>582</v>
      </c>
      <c r="D1164" s="403" t="s">
        <v>1371</v>
      </c>
      <c r="E1164" s="403" t="s">
        <v>778</v>
      </c>
      <c r="F1164" s="403" t="s">
        <v>1375</v>
      </c>
      <c r="G1164" s="403" t="s">
        <v>1467</v>
      </c>
      <c r="H1164" s="403" t="s">
        <v>1281</v>
      </c>
      <c r="I1164" s="403">
        <v>1</v>
      </c>
      <c r="J1164" s="403" t="s">
        <v>1374</v>
      </c>
      <c r="K1164" s="403">
        <v>1296</v>
      </c>
      <c r="L1164" s="403">
        <v>2304</v>
      </c>
      <c r="M1164" s="403" t="s">
        <v>111</v>
      </c>
      <c r="N1164" s="403">
        <v>432</v>
      </c>
      <c r="O1164" s="403">
        <v>768</v>
      </c>
      <c r="P1164" t="str">
        <f t="shared" si="145"/>
        <v>20fps 2304x1296 - SD</v>
      </c>
      <c r="Q1164">
        <f t="shared" si="146"/>
        <v>6</v>
      </c>
      <c r="R1164" t="str">
        <f t="shared" si="147"/>
        <v/>
      </c>
      <c r="S1164" t="str">
        <f t="shared" si="148"/>
        <v/>
      </c>
      <c r="T1164" s="403" t="str">
        <f t="shared" si="149"/>
        <v>NBE-3503-AL</v>
      </c>
      <c r="U1164" s="403">
        <f t="shared" si="150"/>
        <v>1</v>
      </c>
      <c r="V1164" s="403" t="str">
        <f t="shared" si="151"/>
        <v>CPP_7_3</v>
      </c>
    </row>
    <row r="1165" spans="1:22">
      <c r="A1165" t="str">
        <f t="shared" si="144"/>
        <v>NBE-3503-AL</v>
      </c>
      <c r="B1165" s="403" t="s">
        <v>1370</v>
      </c>
      <c r="C1165" s="403" t="s">
        <v>582</v>
      </c>
      <c r="D1165" s="403" t="s">
        <v>1371</v>
      </c>
      <c r="E1165" s="403" t="s">
        <v>778</v>
      </c>
      <c r="F1165" s="403" t="s">
        <v>1375</v>
      </c>
      <c r="G1165" s="403" t="s">
        <v>1467</v>
      </c>
      <c r="H1165" s="403" t="s">
        <v>1281</v>
      </c>
      <c r="I1165" s="403">
        <v>1</v>
      </c>
      <c r="J1165" s="403" t="s">
        <v>1374</v>
      </c>
      <c r="K1165" s="403">
        <v>1296</v>
      </c>
      <c r="L1165" s="403">
        <v>2304</v>
      </c>
      <c r="M1165" s="403" t="s">
        <v>1279</v>
      </c>
      <c r="N1165" s="403">
        <v>432</v>
      </c>
      <c r="O1165" s="403">
        <v>768</v>
      </c>
      <c r="P1165" t="str">
        <f t="shared" si="145"/>
        <v>20fps 2304x1296 - SD ROI PTZ</v>
      </c>
      <c r="Q1165">
        <f t="shared" si="146"/>
        <v>6</v>
      </c>
      <c r="R1165" t="str">
        <f t="shared" si="147"/>
        <v/>
      </c>
      <c r="S1165" t="str">
        <f t="shared" si="148"/>
        <v/>
      </c>
      <c r="T1165" s="403" t="str">
        <f t="shared" si="149"/>
        <v>NBE-3503-AL</v>
      </c>
      <c r="U1165" s="403">
        <f t="shared" si="150"/>
        <v>1</v>
      </c>
      <c r="V1165" s="403" t="str">
        <f t="shared" si="151"/>
        <v>CPP_7_3</v>
      </c>
    </row>
    <row r="1166" spans="1:22">
      <c r="A1166" t="str">
        <f t="shared" si="144"/>
        <v>NBE-3503-AL</v>
      </c>
      <c r="B1166" s="403" t="s">
        <v>1370</v>
      </c>
      <c r="C1166" s="403" t="s">
        <v>582</v>
      </c>
      <c r="D1166" s="403" t="s">
        <v>1371</v>
      </c>
      <c r="E1166" s="403" t="s">
        <v>778</v>
      </c>
      <c r="F1166" s="403" t="s">
        <v>1375</v>
      </c>
      <c r="G1166" s="403" t="s">
        <v>1467</v>
      </c>
      <c r="H1166" s="403" t="s">
        <v>1281</v>
      </c>
      <c r="I1166" s="403">
        <v>1</v>
      </c>
      <c r="J1166" s="403" t="s">
        <v>1374</v>
      </c>
      <c r="K1166" s="403">
        <v>1296</v>
      </c>
      <c r="L1166" s="403">
        <v>2304</v>
      </c>
      <c r="M1166" s="403" t="s">
        <v>1285</v>
      </c>
      <c r="N1166" s="403">
        <v>1024</v>
      </c>
      <c r="O1166" s="403">
        <v>1280</v>
      </c>
      <c r="P1166" t="str">
        <f t="shared" si="145"/>
        <v>20fps 2304x1296 - 1280x1024 5:4 (cropped)</v>
      </c>
      <c r="Q1166">
        <f t="shared" si="146"/>
        <v>6</v>
      </c>
      <c r="R1166" t="str">
        <f t="shared" si="147"/>
        <v/>
      </c>
      <c r="S1166" t="str">
        <f t="shared" si="148"/>
        <v/>
      </c>
      <c r="T1166" s="403" t="str">
        <f t="shared" si="149"/>
        <v>NBE-3503-AL</v>
      </c>
      <c r="U1166" s="403">
        <f t="shared" si="150"/>
        <v>1</v>
      </c>
      <c r="V1166" s="403" t="str">
        <f t="shared" si="151"/>
        <v>CPP_7_3</v>
      </c>
    </row>
    <row r="1167" spans="1:22">
      <c r="A1167" t="str">
        <f t="shared" si="144"/>
        <v>NBE-3503-AL</v>
      </c>
      <c r="B1167" s="403" t="s">
        <v>1370</v>
      </c>
      <c r="C1167" s="403" t="s">
        <v>582</v>
      </c>
      <c r="D1167" s="403" t="s">
        <v>1371</v>
      </c>
      <c r="E1167" s="403" t="s">
        <v>778</v>
      </c>
      <c r="F1167" s="403" t="s">
        <v>1375</v>
      </c>
      <c r="G1167" s="403" t="s">
        <v>1467</v>
      </c>
      <c r="H1167" s="403" t="s">
        <v>1281</v>
      </c>
      <c r="I1167" s="403">
        <v>1</v>
      </c>
      <c r="J1167" s="403" t="s">
        <v>1374</v>
      </c>
      <c r="K1167" s="403">
        <v>1296</v>
      </c>
      <c r="L1167" s="403">
        <v>2304</v>
      </c>
      <c r="M1167" s="403" t="s">
        <v>1283</v>
      </c>
      <c r="N1167" s="403">
        <v>480</v>
      </c>
      <c r="O1167" s="403">
        <v>720</v>
      </c>
      <c r="P1167" t="str">
        <f t="shared" si="145"/>
        <v>20fps 2304x1296 - SD 4CIF resolution 4:3 format (cropped)</v>
      </c>
      <c r="Q1167">
        <f t="shared" si="146"/>
        <v>6</v>
      </c>
      <c r="R1167" t="str">
        <f t="shared" si="147"/>
        <v/>
      </c>
      <c r="S1167" t="str">
        <f t="shared" si="148"/>
        <v/>
      </c>
      <c r="T1167" s="403" t="str">
        <f t="shared" si="149"/>
        <v>NBE-3503-AL</v>
      </c>
      <c r="U1167" s="403">
        <f t="shared" si="150"/>
        <v>1</v>
      </c>
      <c r="V1167" s="403" t="str">
        <f t="shared" si="151"/>
        <v>CPP_7_3</v>
      </c>
    </row>
    <row r="1168" spans="1:22">
      <c r="A1168" t="str">
        <f t="shared" si="144"/>
        <v>NBE-3503-AL</v>
      </c>
      <c r="B1168" s="403" t="s">
        <v>1370</v>
      </c>
      <c r="C1168" s="403" t="s">
        <v>582</v>
      </c>
      <c r="D1168" s="403" t="s">
        <v>1371</v>
      </c>
      <c r="E1168" s="403" t="s">
        <v>778</v>
      </c>
      <c r="F1168" s="403" t="s">
        <v>1375</v>
      </c>
      <c r="G1168" s="403" t="s">
        <v>1467</v>
      </c>
      <c r="H1168" s="403" t="s">
        <v>1281</v>
      </c>
      <c r="I1168" s="403">
        <v>1</v>
      </c>
      <c r="J1168" s="403" t="s">
        <v>1374</v>
      </c>
      <c r="K1168" s="403">
        <v>1296</v>
      </c>
      <c r="L1168" s="403">
        <v>2304</v>
      </c>
      <c r="M1168" s="403" t="s">
        <v>1284</v>
      </c>
      <c r="N1168" s="403">
        <v>480</v>
      </c>
      <c r="O1168" s="403">
        <v>640</v>
      </c>
      <c r="P1168" t="str">
        <f t="shared" si="145"/>
        <v>20fps 2304x1296 - SD VGA (cropped)</v>
      </c>
      <c r="Q1168">
        <f t="shared" si="146"/>
        <v>6</v>
      </c>
      <c r="R1168" t="str">
        <f t="shared" si="147"/>
        <v/>
      </c>
      <c r="S1168" t="str">
        <f t="shared" si="148"/>
        <v/>
      </c>
      <c r="T1168" s="403" t="str">
        <f t="shared" si="149"/>
        <v>NBE-3503-AL</v>
      </c>
      <c r="U1168" s="403">
        <f t="shared" si="150"/>
        <v>1</v>
      </c>
      <c r="V1168" s="403" t="str">
        <f t="shared" si="151"/>
        <v>CPP_7_3</v>
      </c>
    </row>
    <row r="1169" spans="1:22">
      <c r="A1169" t="str">
        <f t="shared" si="144"/>
        <v>NBE-3503-AL</v>
      </c>
      <c r="B1169" s="403" t="s">
        <v>1370</v>
      </c>
      <c r="C1169" s="403" t="s">
        <v>582</v>
      </c>
      <c r="D1169" s="403" t="s">
        <v>1371</v>
      </c>
      <c r="E1169" s="403" t="s">
        <v>778</v>
      </c>
      <c r="F1169" s="403" t="s">
        <v>1375</v>
      </c>
      <c r="G1169" s="403" t="s">
        <v>1467</v>
      </c>
      <c r="H1169" s="403" t="s">
        <v>1281</v>
      </c>
      <c r="I1169" s="403">
        <v>1</v>
      </c>
      <c r="J1169" s="403" t="s">
        <v>1374</v>
      </c>
      <c r="K1169" s="403">
        <v>1296</v>
      </c>
      <c r="L1169" s="403">
        <v>2304</v>
      </c>
      <c r="M1169" s="403" t="s">
        <v>1280</v>
      </c>
      <c r="N1169" s="403">
        <v>1296</v>
      </c>
      <c r="O1169" s="403">
        <v>2304</v>
      </c>
      <c r="P1169" t="str">
        <f t="shared" si="145"/>
        <v>20fps 2304x1296 - copy other stream</v>
      </c>
      <c r="Q1169">
        <f t="shared" si="146"/>
        <v>6</v>
      </c>
      <c r="R1169" t="str">
        <f t="shared" si="147"/>
        <v/>
      </c>
      <c r="S1169" t="str">
        <f t="shared" si="148"/>
        <v/>
      </c>
      <c r="T1169" s="403" t="str">
        <f t="shared" si="149"/>
        <v>NBE-3503-AL</v>
      </c>
      <c r="U1169" s="403">
        <f t="shared" si="150"/>
        <v>1</v>
      </c>
      <c r="V1169" s="403" t="str">
        <f t="shared" si="151"/>
        <v>CPP_7_3</v>
      </c>
    </row>
    <row r="1170" spans="1:22">
      <c r="A1170" t="str">
        <f t="shared" si="144"/>
        <v>NBE-3503-AL</v>
      </c>
      <c r="B1170" s="403" t="s">
        <v>1370</v>
      </c>
      <c r="C1170" s="403" t="s">
        <v>582</v>
      </c>
      <c r="D1170" s="403" t="s">
        <v>1371</v>
      </c>
      <c r="E1170" s="403" t="s">
        <v>778</v>
      </c>
      <c r="F1170" s="403" t="s">
        <v>1375</v>
      </c>
      <c r="G1170" s="403" t="s">
        <v>1467</v>
      </c>
      <c r="H1170" s="403" t="s">
        <v>1281</v>
      </c>
      <c r="I1170" s="403">
        <v>1</v>
      </c>
      <c r="J1170" s="403" t="s">
        <v>110</v>
      </c>
      <c r="K1170" s="403">
        <v>0</v>
      </c>
      <c r="L1170" s="403">
        <v>0</v>
      </c>
      <c r="M1170" s="403" t="s">
        <v>111</v>
      </c>
      <c r="N1170" s="403">
        <v>0</v>
      </c>
      <c r="O1170" s="403">
        <v>0</v>
      </c>
      <c r="P1170" t="str">
        <f t="shared" si="145"/>
        <v>20fps 1080p - SD</v>
      </c>
      <c r="Q1170">
        <f t="shared" si="146"/>
        <v>6</v>
      </c>
      <c r="R1170" t="str">
        <f t="shared" si="147"/>
        <v/>
      </c>
      <c r="S1170" t="str">
        <f t="shared" si="148"/>
        <v/>
      </c>
      <c r="T1170" s="403" t="str">
        <f t="shared" si="149"/>
        <v>NBE-3503-AL</v>
      </c>
      <c r="U1170" s="403">
        <f t="shared" si="150"/>
        <v>1</v>
      </c>
      <c r="V1170" s="403" t="str">
        <f t="shared" si="151"/>
        <v>CPP_7_3</v>
      </c>
    </row>
    <row r="1171" spans="1:22">
      <c r="A1171" t="str">
        <f t="shared" si="144"/>
        <v>NBE-3503-AL</v>
      </c>
      <c r="B1171" s="403" t="s">
        <v>1370</v>
      </c>
      <c r="C1171" s="403" t="s">
        <v>582</v>
      </c>
      <c r="D1171" s="403" t="s">
        <v>1371</v>
      </c>
      <c r="E1171" s="403" t="s">
        <v>778</v>
      </c>
      <c r="F1171" s="403" t="s">
        <v>1375</v>
      </c>
      <c r="G1171" s="403" t="s">
        <v>1467</v>
      </c>
      <c r="H1171" s="403" t="s">
        <v>1281</v>
      </c>
      <c r="I1171" s="403">
        <v>1</v>
      </c>
      <c r="J1171" s="403" t="s">
        <v>110</v>
      </c>
      <c r="K1171" s="403">
        <v>0</v>
      </c>
      <c r="L1171" s="403">
        <v>0</v>
      </c>
      <c r="M1171" s="403" t="s">
        <v>110</v>
      </c>
      <c r="N1171" s="403">
        <v>0</v>
      </c>
      <c r="O1171" s="403">
        <v>0</v>
      </c>
      <c r="P1171" t="str">
        <f t="shared" si="145"/>
        <v>20fps 1080p - 1080p</v>
      </c>
      <c r="Q1171">
        <f t="shared" si="146"/>
        <v>6</v>
      </c>
      <c r="R1171" t="str">
        <f t="shared" si="147"/>
        <v/>
      </c>
      <c r="S1171" t="str">
        <f t="shared" si="148"/>
        <v/>
      </c>
      <c r="T1171" s="403" t="str">
        <f t="shared" si="149"/>
        <v>NBE-3503-AL</v>
      </c>
      <c r="U1171" s="403">
        <f t="shared" si="150"/>
        <v>1</v>
      </c>
      <c r="V1171" s="403" t="str">
        <f t="shared" si="151"/>
        <v>CPP_7_3</v>
      </c>
    </row>
    <row r="1172" spans="1:22">
      <c r="A1172" t="str">
        <f t="shared" si="144"/>
        <v>NBE-3503-AL</v>
      </c>
      <c r="B1172" s="403" t="s">
        <v>1370</v>
      </c>
      <c r="C1172" s="403" t="s">
        <v>582</v>
      </c>
      <c r="D1172" s="403" t="s">
        <v>1371</v>
      </c>
      <c r="E1172" s="403" t="s">
        <v>778</v>
      </c>
      <c r="F1172" s="403" t="s">
        <v>1375</v>
      </c>
      <c r="G1172" s="403" t="s">
        <v>1467</v>
      </c>
      <c r="H1172" s="403" t="s">
        <v>1281</v>
      </c>
      <c r="I1172" s="403">
        <v>1</v>
      </c>
      <c r="J1172" s="403" t="s">
        <v>110</v>
      </c>
      <c r="K1172" s="403">
        <v>0</v>
      </c>
      <c r="L1172" s="403">
        <v>0</v>
      </c>
      <c r="M1172" s="403" t="s">
        <v>109</v>
      </c>
      <c r="N1172" s="403">
        <v>0</v>
      </c>
      <c r="O1172" s="403">
        <v>0</v>
      </c>
      <c r="P1172" t="str">
        <f t="shared" si="145"/>
        <v>20fps 1080p - 720p</v>
      </c>
      <c r="Q1172">
        <f t="shared" si="146"/>
        <v>6</v>
      </c>
      <c r="R1172" t="str">
        <f t="shared" si="147"/>
        <v/>
      </c>
      <c r="S1172" t="str">
        <f t="shared" si="148"/>
        <v/>
      </c>
      <c r="T1172" s="403" t="str">
        <f t="shared" si="149"/>
        <v>NBE-3503-AL</v>
      </c>
      <c r="U1172" s="403">
        <f t="shared" si="150"/>
        <v>1</v>
      </c>
      <c r="V1172" s="403" t="str">
        <f t="shared" si="151"/>
        <v>CPP_7_3</v>
      </c>
    </row>
    <row r="1173" spans="1:22">
      <c r="A1173" t="str">
        <f t="shared" si="144"/>
        <v>NBE-3503-AL</v>
      </c>
      <c r="B1173" s="403" t="s">
        <v>1370</v>
      </c>
      <c r="C1173" s="403" t="s">
        <v>582</v>
      </c>
      <c r="D1173" s="403" t="s">
        <v>1371</v>
      </c>
      <c r="E1173" s="403" t="s">
        <v>778</v>
      </c>
      <c r="F1173" s="403" t="s">
        <v>1375</v>
      </c>
      <c r="G1173" s="403" t="s">
        <v>1467</v>
      </c>
      <c r="H1173" s="403" t="s">
        <v>1281</v>
      </c>
      <c r="I1173" s="403">
        <v>1</v>
      </c>
      <c r="J1173" s="403" t="s">
        <v>110</v>
      </c>
      <c r="K1173" s="403">
        <v>0</v>
      </c>
      <c r="L1173" s="403">
        <v>0</v>
      </c>
      <c r="M1173" s="403" t="s">
        <v>1285</v>
      </c>
      <c r="N1173" s="403">
        <v>0</v>
      </c>
      <c r="O1173" s="403">
        <v>0</v>
      </c>
      <c r="P1173" t="str">
        <f t="shared" si="145"/>
        <v>20fps 1080p - 1280x1024 5:4 (cropped)</v>
      </c>
      <c r="Q1173">
        <f t="shared" si="146"/>
        <v>6</v>
      </c>
      <c r="R1173" t="str">
        <f t="shared" si="147"/>
        <v/>
      </c>
      <c r="S1173" t="str">
        <f t="shared" si="148"/>
        <v/>
      </c>
      <c r="T1173" s="403" t="str">
        <f t="shared" si="149"/>
        <v>NBE-3503-AL</v>
      </c>
      <c r="U1173" s="403">
        <f t="shared" si="150"/>
        <v>1</v>
      </c>
      <c r="V1173" s="403" t="str">
        <f t="shared" si="151"/>
        <v>CPP_7_3</v>
      </c>
    </row>
    <row r="1174" spans="1:22">
      <c r="A1174" t="str">
        <f t="shared" si="144"/>
        <v>NBE-3503-AL</v>
      </c>
      <c r="B1174" s="403" t="s">
        <v>1370</v>
      </c>
      <c r="C1174" s="403" t="s">
        <v>582</v>
      </c>
      <c r="D1174" s="403" t="s">
        <v>1371</v>
      </c>
      <c r="E1174" s="403" t="s">
        <v>778</v>
      </c>
      <c r="F1174" s="403" t="s">
        <v>1375</v>
      </c>
      <c r="G1174" s="403" t="s">
        <v>1467</v>
      </c>
      <c r="H1174" s="403" t="s">
        <v>1281</v>
      </c>
      <c r="I1174" s="403">
        <v>1</v>
      </c>
      <c r="J1174" s="403" t="s">
        <v>110</v>
      </c>
      <c r="K1174" s="403">
        <v>1080</v>
      </c>
      <c r="L1174" s="403">
        <v>1920</v>
      </c>
      <c r="M1174" s="403" t="s">
        <v>1279</v>
      </c>
      <c r="N1174" s="403">
        <v>0</v>
      </c>
      <c r="O1174" s="403">
        <v>0</v>
      </c>
      <c r="P1174" t="str">
        <f t="shared" si="145"/>
        <v>20fps 1080p - SD ROI PTZ</v>
      </c>
      <c r="Q1174">
        <f t="shared" si="146"/>
        <v>6</v>
      </c>
      <c r="R1174" t="str">
        <f t="shared" si="147"/>
        <v/>
      </c>
      <c r="S1174" t="str">
        <f t="shared" si="148"/>
        <v/>
      </c>
      <c r="T1174" s="403" t="str">
        <f t="shared" si="149"/>
        <v>NBE-3503-AL</v>
      </c>
      <c r="U1174" s="403">
        <f t="shared" si="150"/>
        <v>1</v>
      </c>
      <c r="V1174" s="403" t="str">
        <f t="shared" si="151"/>
        <v>CPP_7_3</v>
      </c>
    </row>
    <row r="1175" spans="1:22">
      <c r="A1175" t="str">
        <f t="shared" si="144"/>
        <v>NBE-3503-AL</v>
      </c>
      <c r="B1175" s="403" t="s">
        <v>1370</v>
      </c>
      <c r="C1175" s="403" t="s">
        <v>582</v>
      </c>
      <c r="D1175" s="403" t="s">
        <v>1371</v>
      </c>
      <c r="E1175" s="403" t="s">
        <v>778</v>
      </c>
      <c r="F1175" s="403" t="s">
        <v>1375</v>
      </c>
      <c r="G1175" s="403" t="s">
        <v>1467</v>
      </c>
      <c r="H1175" s="403" t="s">
        <v>1281</v>
      </c>
      <c r="I1175" s="403">
        <v>1</v>
      </c>
      <c r="J1175" s="403" t="s">
        <v>110</v>
      </c>
      <c r="K1175" s="403">
        <v>1080</v>
      </c>
      <c r="L1175" s="403">
        <v>1920</v>
      </c>
      <c r="M1175" s="403" t="s">
        <v>1283</v>
      </c>
      <c r="N1175" s="403">
        <v>0</v>
      </c>
      <c r="O1175" s="403">
        <v>0</v>
      </c>
      <c r="P1175" t="str">
        <f t="shared" si="145"/>
        <v>20fps 1080p - SD 4CIF resolution 4:3 format (cropped)</v>
      </c>
      <c r="Q1175">
        <f t="shared" si="146"/>
        <v>6</v>
      </c>
      <c r="R1175" t="str">
        <f t="shared" si="147"/>
        <v/>
      </c>
      <c r="S1175" t="str">
        <f t="shared" si="148"/>
        <v/>
      </c>
      <c r="T1175" s="403" t="str">
        <f t="shared" si="149"/>
        <v>NBE-3503-AL</v>
      </c>
      <c r="U1175" s="403">
        <f t="shared" si="150"/>
        <v>1</v>
      </c>
      <c r="V1175" s="403" t="str">
        <f t="shared" si="151"/>
        <v>CPP_7_3</v>
      </c>
    </row>
    <row r="1176" spans="1:22">
      <c r="A1176" t="str">
        <f t="shared" si="144"/>
        <v>NBE-3503-AL</v>
      </c>
      <c r="B1176" s="403" t="s">
        <v>1370</v>
      </c>
      <c r="C1176" s="403" t="s">
        <v>582</v>
      </c>
      <c r="D1176" s="403" t="s">
        <v>1371</v>
      </c>
      <c r="E1176" s="403" t="s">
        <v>778</v>
      </c>
      <c r="F1176" s="403" t="s">
        <v>1375</v>
      </c>
      <c r="G1176" s="403" t="s">
        <v>1467</v>
      </c>
      <c r="H1176" s="403" t="s">
        <v>1281</v>
      </c>
      <c r="I1176" s="403">
        <v>1</v>
      </c>
      <c r="J1176" s="403" t="s">
        <v>110</v>
      </c>
      <c r="K1176" s="403">
        <v>1080</v>
      </c>
      <c r="L1176" s="403">
        <v>1920</v>
      </c>
      <c r="M1176" s="403" t="s">
        <v>1284</v>
      </c>
      <c r="N1176" s="403">
        <v>0</v>
      </c>
      <c r="O1176" s="403">
        <v>0</v>
      </c>
      <c r="P1176" t="str">
        <f t="shared" si="145"/>
        <v>20fps 1080p - SD VGA (cropped)</v>
      </c>
      <c r="Q1176">
        <f t="shared" si="146"/>
        <v>6</v>
      </c>
      <c r="R1176" t="str">
        <f t="shared" si="147"/>
        <v/>
      </c>
      <c r="S1176" t="str">
        <f t="shared" si="148"/>
        <v/>
      </c>
      <c r="T1176" s="403" t="str">
        <f t="shared" si="149"/>
        <v>NBE-3503-AL</v>
      </c>
      <c r="U1176" s="403">
        <f t="shared" si="150"/>
        <v>1</v>
      </c>
      <c r="V1176" s="403" t="str">
        <f t="shared" si="151"/>
        <v>CPP_7_3</v>
      </c>
    </row>
    <row r="1177" spans="1:22">
      <c r="A1177" t="str">
        <f t="shared" si="144"/>
        <v>NBE-3503-AL</v>
      </c>
      <c r="B1177" s="403" t="s">
        <v>1370</v>
      </c>
      <c r="C1177" s="403" t="s">
        <v>582</v>
      </c>
      <c r="D1177" s="403" t="s">
        <v>1371</v>
      </c>
      <c r="E1177" s="403" t="s">
        <v>778</v>
      </c>
      <c r="F1177" s="403" t="s">
        <v>1375</v>
      </c>
      <c r="G1177" s="403" t="s">
        <v>1467</v>
      </c>
      <c r="H1177" s="403" t="s">
        <v>1281</v>
      </c>
      <c r="I1177" s="403">
        <v>1</v>
      </c>
      <c r="J1177" s="403" t="s">
        <v>109</v>
      </c>
      <c r="K1177" s="403">
        <v>720</v>
      </c>
      <c r="L1177" s="403">
        <v>1280</v>
      </c>
      <c r="M1177" s="403" t="s">
        <v>109</v>
      </c>
      <c r="N1177" s="403">
        <v>0</v>
      </c>
      <c r="O1177" s="403">
        <v>0</v>
      </c>
      <c r="P1177" t="str">
        <f t="shared" si="145"/>
        <v>20fps 720p - 720p</v>
      </c>
      <c r="Q1177">
        <f t="shared" si="146"/>
        <v>6</v>
      </c>
      <c r="R1177" t="str">
        <f t="shared" si="147"/>
        <v/>
      </c>
      <c r="S1177" t="str">
        <f t="shared" si="148"/>
        <v/>
      </c>
      <c r="T1177" s="403" t="str">
        <f t="shared" si="149"/>
        <v>NBE-3503-AL</v>
      </c>
      <c r="U1177" s="403">
        <f t="shared" si="150"/>
        <v>1</v>
      </c>
      <c r="V1177" s="403" t="str">
        <f t="shared" si="151"/>
        <v>CPP_7_3</v>
      </c>
    </row>
    <row r="1178" spans="1:22">
      <c r="A1178" t="str">
        <f t="shared" si="144"/>
        <v>NBE-3503-AL</v>
      </c>
      <c r="B1178" s="403" t="s">
        <v>1370</v>
      </c>
      <c r="C1178" s="403" t="s">
        <v>582</v>
      </c>
      <c r="D1178" s="403" t="s">
        <v>1371</v>
      </c>
      <c r="E1178" s="403" t="s">
        <v>778</v>
      </c>
      <c r="F1178" s="403" t="s">
        <v>1375</v>
      </c>
      <c r="G1178" s="403" t="s">
        <v>1467</v>
      </c>
      <c r="H1178" s="403" t="s">
        <v>1281</v>
      </c>
      <c r="I1178" s="403">
        <v>1</v>
      </c>
      <c r="J1178" s="403" t="s">
        <v>109</v>
      </c>
      <c r="K1178" s="403">
        <v>720</v>
      </c>
      <c r="L1178" s="403">
        <v>1280</v>
      </c>
      <c r="M1178" s="403" t="s">
        <v>111</v>
      </c>
      <c r="N1178" s="403">
        <v>0</v>
      </c>
      <c r="O1178" s="403">
        <v>0</v>
      </c>
      <c r="P1178" t="str">
        <f t="shared" si="145"/>
        <v>20fps 720p - SD</v>
      </c>
      <c r="Q1178">
        <f t="shared" si="146"/>
        <v>6</v>
      </c>
      <c r="R1178" t="str">
        <f t="shared" si="147"/>
        <v/>
      </c>
      <c r="S1178" t="str">
        <f t="shared" si="148"/>
        <v/>
      </c>
      <c r="T1178" s="403" t="str">
        <f t="shared" si="149"/>
        <v>NBE-3503-AL</v>
      </c>
      <c r="U1178" s="403">
        <f t="shared" si="150"/>
        <v>1</v>
      </c>
      <c r="V1178" s="403" t="str">
        <f t="shared" si="151"/>
        <v>CPP_7_3</v>
      </c>
    </row>
    <row r="1179" spans="1:22">
      <c r="A1179" t="str">
        <f t="shared" si="144"/>
        <v>NBE-3503-AL</v>
      </c>
      <c r="B1179" s="403" t="s">
        <v>1370</v>
      </c>
      <c r="C1179" s="403" t="s">
        <v>582</v>
      </c>
      <c r="D1179" s="403" t="s">
        <v>1371</v>
      </c>
      <c r="E1179" s="403" t="s">
        <v>778</v>
      </c>
      <c r="F1179" s="403" t="s">
        <v>1375</v>
      </c>
      <c r="G1179" s="403" t="s">
        <v>1467</v>
      </c>
      <c r="H1179" s="403" t="s">
        <v>1281</v>
      </c>
      <c r="I1179" s="403">
        <v>1</v>
      </c>
      <c r="J1179" s="403" t="s">
        <v>109</v>
      </c>
      <c r="K1179" s="403">
        <v>720</v>
      </c>
      <c r="L1179" s="403">
        <v>1280</v>
      </c>
      <c r="M1179" s="403" t="s">
        <v>1279</v>
      </c>
      <c r="N1179" s="403">
        <v>0</v>
      </c>
      <c r="O1179" s="403">
        <v>0</v>
      </c>
      <c r="P1179" t="str">
        <f t="shared" si="145"/>
        <v>20fps 720p - SD ROI PTZ</v>
      </c>
      <c r="Q1179">
        <f t="shared" si="146"/>
        <v>6</v>
      </c>
      <c r="R1179" t="str">
        <f t="shared" si="147"/>
        <v/>
      </c>
      <c r="S1179" t="str">
        <f t="shared" si="148"/>
        <v/>
      </c>
      <c r="T1179" s="403" t="str">
        <f t="shared" si="149"/>
        <v>NBE-3503-AL</v>
      </c>
      <c r="U1179" s="403">
        <f t="shared" si="150"/>
        <v>1</v>
      </c>
      <c r="V1179" s="403" t="str">
        <f t="shared" si="151"/>
        <v>CPP_7_3</v>
      </c>
    </row>
    <row r="1180" spans="1:22">
      <c r="A1180" t="str">
        <f t="shared" si="144"/>
        <v>NBE-3503-AL</v>
      </c>
      <c r="B1180" s="403" t="s">
        <v>1370</v>
      </c>
      <c r="C1180" s="403" t="s">
        <v>582</v>
      </c>
      <c r="D1180" s="403" t="s">
        <v>1371</v>
      </c>
      <c r="E1180" s="403" t="s">
        <v>778</v>
      </c>
      <c r="F1180" s="403" t="s">
        <v>1375</v>
      </c>
      <c r="G1180" s="403" t="s">
        <v>1467</v>
      </c>
      <c r="H1180" s="403" t="s">
        <v>1281</v>
      </c>
      <c r="I1180" s="403">
        <v>1</v>
      </c>
      <c r="J1180" s="403" t="s">
        <v>109</v>
      </c>
      <c r="K1180" s="403">
        <v>720</v>
      </c>
      <c r="L1180" s="403">
        <v>1280</v>
      </c>
      <c r="M1180" s="403" t="s">
        <v>1283</v>
      </c>
      <c r="N1180" s="403">
        <v>0</v>
      </c>
      <c r="O1180" s="403">
        <v>0</v>
      </c>
      <c r="P1180" t="str">
        <f t="shared" si="145"/>
        <v>20fps 720p - SD 4CIF resolution 4:3 format (cropped)</v>
      </c>
      <c r="Q1180">
        <f t="shared" si="146"/>
        <v>6</v>
      </c>
      <c r="R1180" t="str">
        <f t="shared" si="147"/>
        <v/>
      </c>
      <c r="S1180" t="str">
        <f t="shared" si="148"/>
        <v/>
      </c>
      <c r="T1180" s="403" t="str">
        <f t="shared" si="149"/>
        <v>NBE-3503-AL</v>
      </c>
      <c r="U1180" s="403">
        <f t="shared" si="150"/>
        <v>1</v>
      </c>
      <c r="V1180" s="403" t="str">
        <f t="shared" si="151"/>
        <v>CPP_7_3</v>
      </c>
    </row>
    <row r="1181" spans="1:22">
      <c r="A1181" t="str">
        <f t="shared" si="144"/>
        <v>NBE-3503-AL</v>
      </c>
      <c r="B1181" s="403" t="s">
        <v>1370</v>
      </c>
      <c r="C1181" s="403" t="s">
        <v>582</v>
      </c>
      <c r="D1181" s="403" t="s">
        <v>1371</v>
      </c>
      <c r="E1181" s="403" t="s">
        <v>778</v>
      </c>
      <c r="F1181" s="403" t="s">
        <v>1375</v>
      </c>
      <c r="G1181" s="403" t="s">
        <v>1467</v>
      </c>
      <c r="H1181" s="403" t="s">
        <v>1281</v>
      </c>
      <c r="I1181" s="403">
        <v>1</v>
      </c>
      <c r="J1181" s="403" t="s">
        <v>109</v>
      </c>
      <c r="K1181" s="403">
        <v>720</v>
      </c>
      <c r="L1181" s="403">
        <v>1280</v>
      </c>
      <c r="M1181" s="403" t="s">
        <v>1284</v>
      </c>
      <c r="N1181" s="403">
        <v>0</v>
      </c>
      <c r="O1181" s="403">
        <v>0</v>
      </c>
      <c r="P1181" t="str">
        <f t="shared" si="145"/>
        <v>20fps 720p - SD VGA (cropped)</v>
      </c>
      <c r="Q1181">
        <f t="shared" si="146"/>
        <v>6</v>
      </c>
      <c r="R1181" t="str">
        <f t="shared" si="147"/>
        <v/>
      </c>
      <c r="S1181" t="str">
        <f t="shared" si="148"/>
        <v/>
      </c>
      <c r="T1181" s="403" t="str">
        <f t="shared" si="149"/>
        <v>NBE-3503-AL</v>
      </c>
      <c r="U1181" s="403">
        <f t="shared" si="150"/>
        <v>1</v>
      </c>
      <c r="V1181" s="403" t="str">
        <f t="shared" si="151"/>
        <v>CPP_7_3</v>
      </c>
    </row>
    <row r="1182" spans="1:22">
      <c r="A1182" t="str">
        <f t="shared" si="144"/>
        <v>NBE-3503-AL</v>
      </c>
      <c r="B1182" s="403" t="s">
        <v>1370</v>
      </c>
      <c r="C1182" s="403" t="s">
        <v>582</v>
      </c>
      <c r="D1182" s="403" t="s">
        <v>1371</v>
      </c>
      <c r="E1182" s="403" t="s">
        <v>778</v>
      </c>
      <c r="F1182" s="403" t="s">
        <v>1375</v>
      </c>
      <c r="G1182" s="403" t="s">
        <v>1467</v>
      </c>
      <c r="H1182" s="403" t="s">
        <v>1281</v>
      </c>
      <c r="I1182" s="403">
        <v>1</v>
      </c>
      <c r="J1182" s="403" t="s">
        <v>110</v>
      </c>
      <c r="K1182" s="403">
        <v>1080</v>
      </c>
      <c r="L1182" s="403">
        <v>1920</v>
      </c>
      <c r="M1182" s="403" t="s">
        <v>111</v>
      </c>
      <c r="N1182" s="403">
        <v>432</v>
      </c>
      <c r="O1182" s="403">
        <v>768</v>
      </c>
      <c r="P1182" t="str">
        <f t="shared" si="145"/>
        <v>20fps 1080p - SD</v>
      </c>
      <c r="Q1182">
        <f t="shared" si="146"/>
        <v>6</v>
      </c>
      <c r="R1182" t="str">
        <f t="shared" si="147"/>
        <v/>
      </c>
      <c r="S1182" t="str">
        <f t="shared" si="148"/>
        <v/>
      </c>
      <c r="T1182" s="403" t="str">
        <f t="shared" si="149"/>
        <v>NBE-3503-AL</v>
      </c>
      <c r="U1182" s="403">
        <f t="shared" si="150"/>
        <v>1</v>
      </c>
      <c r="V1182" s="403" t="str">
        <f t="shared" si="151"/>
        <v>CPP_7_3</v>
      </c>
    </row>
    <row r="1183" spans="1:22">
      <c r="A1183" t="str">
        <f t="shared" si="144"/>
        <v>NBE-3503-AL</v>
      </c>
      <c r="B1183" s="403" t="s">
        <v>1370</v>
      </c>
      <c r="C1183" s="403" t="s">
        <v>582</v>
      </c>
      <c r="D1183" s="403" t="s">
        <v>1371</v>
      </c>
      <c r="E1183" s="403" t="s">
        <v>778</v>
      </c>
      <c r="F1183" s="403" t="s">
        <v>1375</v>
      </c>
      <c r="G1183" s="403" t="s">
        <v>1467</v>
      </c>
      <c r="H1183" s="403" t="s">
        <v>1281</v>
      </c>
      <c r="I1183" s="403">
        <v>1</v>
      </c>
      <c r="J1183" s="403" t="s">
        <v>110</v>
      </c>
      <c r="K1183" s="403">
        <v>1080</v>
      </c>
      <c r="L1183" s="403">
        <v>1920</v>
      </c>
      <c r="M1183" s="403" t="s">
        <v>110</v>
      </c>
      <c r="N1183" s="403">
        <v>1080</v>
      </c>
      <c r="O1183" s="403">
        <v>1920</v>
      </c>
      <c r="P1183" t="str">
        <f t="shared" si="145"/>
        <v>20fps 1080p - 1080p</v>
      </c>
      <c r="Q1183">
        <f t="shared" si="146"/>
        <v>6</v>
      </c>
      <c r="R1183" t="str">
        <f t="shared" si="147"/>
        <v/>
      </c>
      <c r="S1183" t="str">
        <f t="shared" si="148"/>
        <v/>
      </c>
      <c r="T1183" s="403" t="str">
        <f t="shared" si="149"/>
        <v>NBE-3503-AL</v>
      </c>
      <c r="U1183" s="403">
        <f t="shared" si="150"/>
        <v>1</v>
      </c>
      <c r="V1183" s="403" t="str">
        <f t="shared" si="151"/>
        <v>CPP_7_3</v>
      </c>
    </row>
    <row r="1184" spans="1:22">
      <c r="A1184" t="str">
        <f t="shared" si="144"/>
        <v>NBE-3503-AL</v>
      </c>
      <c r="B1184" s="403" t="s">
        <v>1370</v>
      </c>
      <c r="C1184" s="403" t="s">
        <v>582</v>
      </c>
      <c r="D1184" s="403" t="s">
        <v>1371</v>
      </c>
      <c r="E1184" s="403" t="s">
        <v>778</v>
      </c>
      <c r="F1184" s="403" t="s">
        <v>1375</v>
      </c>
      <c r="G1184" s="403" t="s">
        <v>1467</v>
      </c>
      <c r="H1184" s="403" t="s">
        <v>1281</v>
      </c>
      <c r="I1184" s="403">
        <v>1</v>
      </c>
      <c r="J1184" s="403" t="s">
        <v>110</v>
      </c>
      <c r="K1184" s="403">
        <v>1080</v>
      </c>
      <c r="L1184" s="403">
        <v>1920</v>
      </c>
      <c r="M1184" s="403" t="s">
        <v>109</v>
      </c>
      <c r="N1184" s="403">
        <v>720</v>
      </c>
      <c r="O1184" s="403">
        <v>1280</v>
      </c>
      <c r="P1184" t="str">
        <f t="shared" si="145"/>
        <v>20fps 1080p - 720p</v>
      </c>
      <c r="Q1184">
        <f t="shared" si="146"/>
        <v>6</v>
      </c>
      <c r="R1184" t="str">
        <f t="shared" si="147"/>
        <v/>
      </c>
      <c r="S1184" t="str">
        <f t="shared" si="148"/>
        <v/>
      </c>
      <c r="T1184" s="403" t="str">
        <f t="shared" si="149"/>
        <v>NBE-3503-AL</v>
      </c>
      <c r="U1184" s="403">
        <f t="shared" si="150"/>
        <v>1</v>
      </c>
      <c r="V1184" s="403" t="str">
        <f t="shared" si="151"/>
        <v>CPP_7_3</v>
      </c>
    </row>
    <row r="1185" spans="1:22">
      <c r="A1185" t="str">
        <f t="shared" si="144"/>
        <v>NBE-3503-AL</v>
      </c>
      <c r="B1185" s="403" t="s">
        <v>1370</v>
      </c>
      <c r="C1185" s="403" t="s">
        <v>582</v>
      </c>
      <c r="D1185" s="403" t="s">
        <v>1371</v>
      </c>
      <c r="E1185" s="403" t="s">
        <v>778</v>
      </c>
      <c r="F1185" s="403" t="s">
        <v>1375</v>
      </c>
      <c r="G1185" s="403" t="s">
        <v>1467</v>
      </c>
      <c r="H1185" s="403" t="s">
        <v>1281</v>
      </c>
      <c r="I1185" s="403">
        <v>1</v>
      </c>
      <c r="J1185" s="403" t="s">
        <v>110</v>
      </c>
      <c r="K1185" s="403">
        <v>1080</v>
      </c>
      <c r="L1185" s="403">
        <v>1920</v>
      </c>
      <c r="M1185" s="403" t="s">
        <v>1285</v>
      </c>
      <c r="N1185" s="403">
        <v>1024</v>
      </c>
      <c r="O1185" s="403">
        <v>1280</v>
      </c>
      <c r="P1185" t="str">
        <f t="shared" si="145"/>
        <v>20fps 1080p - 1280x1024 5:4 (cropped)</v>
      </c>
      <c r="Q1185">
        <f t="shared" si="146"/>
        <v>6</v>
      </c>
      <c r="R1185" t="str">
        <f t="shared" si="147"/>
        <v/>
      </c>
      <c r="S1185" t="str">
        <f t="shared" si="148"/>
        <v/>
      </c>
      <c r="T1185" s="403" t="str">
        <f t="shared" si="149"/>
        <v>NBE-3503-AL</v>
      </c>
      <c r="U1185" s="403">
        <f t="shared" si="150"/>
        <v>1</v>
      </c>
      <c r="V1185" s="403" t="str">
        <f t="shared" si="151"/>
        <v>CPP_7_3</v>
      </c>
    </row>
    <row r="1186" spans="1:22">
      <c r="A1186" t="str">
        <f t="shared" si="144"/>
        <v>NBE-3503-AL</v>
      </c>
      <c r="B1186" s="403" t="s">
        <v>1370</v>
      </c>
      <c r="C1186" s="403" t="s">
        <v>582</v>
      </c>
      <c r="D1186" s="403" t="s">
        <v>1371</v>
      </c>
      <c r="E1186" s="403" t="s">
        <v>778</v>
      </c>
      <c r="F1186" s="403" t="s">
        <v>1375</v>
      </c>
      <c r="G1186" s="403" t="s">
        <v>1467</v>
      </c>
      <c r="H1186" s="403" t="s">
        <v>1281</v>
      </c>
      <c r="I1186" s="403">
        <v>1</v>
      </c>
      <c r="J1186" s="403" t="s">
        <v>110</v>
      </c>
      <c r="K1186" s="403">
        <v>1080</v>
      </c>
      <c r="L1186" s="403">
        <v>1920</v>
      </c>
      <c r="M1186" s="403" t="s">
        <v>1279</v>
      </c>
      <c r="N1186" s="403">
        <v>432</v>
      </c>
      <c r="O1186" s="403">
        <v>768</v>
      </c>
      <c r="P1186" t="str">
        <f t="shared" si="145"/>
        <v>20fps 1080p - SD ROI PTZ</v>
      </c>
      <c r="Q1186">
        <f t="shared" si="146"/>
        <v>6</v>
      </c>
      <c r="R1186" t="str">
        <f t="shared" si="147"/>
        <v/>
      </c>
      <c r="S1186" t="str">
        <f t="shared" si="148"/>
        <v/>
      </c>
      <c r="T1186" s="403" t="str">
        <f t="shared" si="149"/>
        <v>NBE-3503-AL</v>
      </c>
      <c r="U1186" s="403">
        <f t="shared" si="150"/>
        <v>1</v>
      </c>
      <c r="V1186" s="403" t="str">
        <f t="shared" si="151"/>
        <v>CPP_7_3</v>
      </c>
    </row>
    <row r="1187" spans="1:22">
      <c r="A1187" t="str">
        <f t="shared" si="144"/>
        <v>NBE-3503-AL</v>
      </c>
      <c r="B1187" s="403" t="s">
        <v>1370</v>
      </c>
      <c r="C1187" s="403" t="s">
        <v>582</v>
      </c>
      <c r="D1187" s="403" t="s">
        <v>1371</v>
      </c>
      <c r="E1187" s="403" t="s">
        <v>778</v>
      </c>
      <c r="F1187" s="403" t="s">
        <v>1375</v>
      </c>
      <c r="G1187" s="403" t="s">
        <v>1467</v>
      </c>
      <c r="H1187" s="403" t="s">
        <v>1281</v>
      </c>
      <c r="I1187" s="403">
        <v>1</v>
      </c>
      <c r="J1187" s="403" t="s">
        <v>110</v>
      </c>
      <c r="K1187" s="403">
        <v>1080</v>
      </c>
      <c r="L1187" s="403">
        <v>1920</v>
      </c>
      <c r="M1187" s="403" t="s">
        <v>1283</v>
      </c>
      <c r="N1187" s="403">
        <v>480</v>
      </c>
      <c r="O1187" s="403">
        <v>720</v>
      </c>
      <c r="P1187" t="str">
        <f t="shared" si="145"/>
        <v>20fps 1080p - SD 4CIF resolution 4:3 format (cropped)</v>
      </c>
      <c r="Q1187">
        <f t="shared" si="146"/>
        <v>6</v>
      </c>
      <c r="R1187" t="str">
        <f t="shared" si="147"/>
        <v/>
      </c>
      <c r="S1187" t="str">
        <f t="shared" si="148"/>
        <v/>
      </c>
      <c r="T1187" s="403" t="str">
        <f t="shared" si="149"/>
        <v>NBE-3503-AL</v>
      </c>
      <c r="U1187" s="403">
        <f t="shared" si="150"/>
        <v>1</v>
      </c>
      <c r="V1187" s="403" t="str">
        <f t="shared" si="151"/>
        <v>CPP_7_3</v>
      </c>
    </row>
    <row r="1188" spans="1:22">
      <c r="A1188" t="str">
        <f t="shared" si="144"/>
        <v>NBE-3503-AL</v>
      </c>
      <c r="B1188" s="403" t="s">
        <v>1370</v>
      </c>
      <c r="C1188" s="403" t="s">
        <v>582</v>
      </c>
      <c r="D1188" s="403" t="s">
        <v>1371</v>
      </c>
      <c r="E1188" s="403" t="s">
        <v>778</v>
      </c>
      <c r="F1188" s="403" t="s">
        <v>1375</v>
      </c>
      <c r="G1188" s="403" t="s">
        <v>1467</v>
      </c>
      <c r="H1188" s="403" t="s">
        <v>1281</v>
      </c>
      <c r="I1188" s="403">
        <v>1</v>
      </c>
      <c r="J1188" s="403" t="s">
        <v>110</v>
      </c>
      <c r="K1188" s="403">
        <v>1080</v>
      </c>
      <c r="L1188" s="403">
        <v>1920</v>
      </c>
      <c r="M1188" s="403" t="s">
        <v>1284</v>
      </c>
      <c r="N1188" s="403">
        <v>480</v>
      </c>
      <c r="O1188" s="403">
        <v>640</v>
      </c>
      <c r="P1188" t="str">
        <f t="shared" si="145"/>
        <v>20fps 1080p - SD VGA (cropped)</v>
      </c>
      <c r="Q1188">
        <f t="shared" si="146"/>
        <v>6</v>
      </c>
      <c r="R1188" t="str">
        <f t="shared" si="147"/>
        <v/>
      </c>
      <c r="S1188" t="str">
        <f t="shared" si="148"/>
        <v/>
      </c>
      <c r="T1188" s="403" t="str">
        <f t="shared" si="149"/>
        <v>NBE-3503-AL</v>
      </c>
      <c r="U1188" s="403">
        <f t="shared" si="150"/>
        <v>1</v>
      </c>
      <c r="V1188" s="403" t="str">
        <f t="shared" si="151"/>
        <v>CPP_7_3</v>
      </c>
    </row>
    <row r="1189" spans="1:22">
      <c r="A1189" t="str">
        <f t="shared" si="144"/>
        <v>NBE-3503-AL</v>
      </c>
      <c r="B1189" s="403" t="s">
        <v>1370</v>
      </c>
      <c r="C1189" s="403" t="s">
        <v>582</v>
      </c>
      <c r="D1189" s="403" t="s">
        <v>1371</v>
      </c>
      <c r="E1189" s="403" t="s">
        <v>778</v>
      </c>
      <c r="F1189" s="403" t="s">
        <v>1375</v>
      </c>
      <c r="G1189" s="403" t="s">
        <v>1467</v>
      </c>
      <c r="H1189" s="403" t="s">
        <v>1281</v>
      </c>
      <c r="I1189" s="403">
        <v>1</v>
      </c>
      <c r="J1189" s="403" t="s">
        <v>109</v>
      </c>
      <c r="K1189" s="403">
        <v>720</v>
      </c>
      <c r="L1189" s="403">
        <v>1280</v>
      </c>
      <c r="M1189" s="403" t="s">
        <v>109</v>
      </c>
      <c r="N1189" s="403">
        <v>720</v>
      </c>
      <c r="O1189" s="403">
        <v>1280</v>
      </c>
      <c r="P1189" t="str">
        <f t="shared" si="145"/>
        <v>20fps 720p - 720p</v>
      </c>
      <c r="Q1189">
        <f t="shared" si="146"/>
        <v>6</v>
      </c>
      <c r="R1189" t="str">
        <f t="shared" si="147"/>
        <v/>
      </c>
      <c r="S1189" t="str">
        <f t="shared" si="148"/>
        <v/>
      </c>
      <c r="T1189" s="403" t="str">
        <f t="shared" si="149"/>
        <v>NBE-3503-AL</v>
      </c>
      <c r="U1189" s="403">
        <f t="shared" si="150"/>
        <v>1</v>
      </c>
      <c r="V1189" s="403" t="str">
        <f t="shared" si="151"/>
        <v>CPP_7_3</v>
      </c>
    </row>
    <row r="1190" spans="1:22">
      <c r="A1190" t="str">
        <f t="shared" si="144"/>
        <v>NBE-3503-AL</v>
      </c>
      <c r="B1190" s="403" t="s">
        <v>1370</v>
      </c>
      <c r="C1190" s="403" t="s">
        <v>582</v>
      </c>
      <c r="D1190" s="403" t="s">
        <v>1371</v>
      </c>
      <c r="E1190" s="403" t="s">
        <v>778</v>
      </c>
      <c r="F1190" s="403" t="s">
        <v>1375</v>
      </c>
      <c r="G1190" s="403" t="s">
        <v>1467</v>
      </c>
      <c r="H1190" s="403" t="s">
        <v>1281</v>
      </c>
      <c r="I1190" s="403">
        <v>1</v>
      </c>
      <c r="J1190" s="403" t="s">
        <v>109</v>
      </c>
      <c r="K1190" s="403">
        <v>720</v>
      </c>
      <c r="L1190" s="403">
        <v>1280</v>
      </c>
      <c r="M1190" s="403" t="s">
        <v>111</v>
      </c>
      <c r="N1190" s="403">
        <v>432</v>
      </c>
      <c r="O1190" s="403">
        <v>768</v>
      </c>
      <c r="P1190" t="str">
        <f t="shared" si="145"/>
        <v>20fps 720p - SD</v>
      </c>
      <c r="Q1190">
        <f t="shared" si="146"/>
        <v>6</v>
      </c>
      <c r="R1190" t="str">
        <f t="shared" si="147"/>
        <v/>
      </c>
      <c r="S1190" t="str">
        <f t="shared" si="148"/>
        <v/>
      </c>
      <c r="T1190" s="403" t="str">
        <f t="shared" si="149"/>
        <v>NBE-3503-AL</v>
      </c>
      <c r="U1190" s="403">
        <f t="shared" si="150"/>
        <v>1</v>
      </c>
      <c r="V1190" s="403" t="str">
        <f t="shared" si="151"/>
        <v>CPP_7_3</v>
      </c>
    </row>
    <row r="1191" spans="1:22">
      <c r="A1191" t="str">
        <f t="shared" si="144"/>
        <v>NBE-3503-AL</v>
      </c>
      <c r="B1191" s="403" t="s">
        <v>1370</v>
      </c>
      <c r="C1191" s="403" t="s">
        <v>582</v>
      </c>
      <c r="D1191" s="403" t="s">
        <v>1371</v>
      </c>
      <c r="E1191" s="403" t="s">
        <v>778</v>
      </c>
      <c r="F1191" s="403" t="s">
        <v>1375</v>
      </c>
      <c r="G1191" s="403" t="s">
        <v>1467</v>
      </c>
      <c r="H1191" s="403" t="s">
        <v>1281</v>
      </c>
      <c r="I1191" s="403">
        <v>1</v>
      </c>
      <c r="J1191" s="403" t="s">
        <v>109</v>
      </c>
      <c r="K1191" s="403">
        <v>720</v>
      </c>
      <c r="L1191" s="403">
        <v>1280</v>
      </c>
      <c r="M1191" s="403" t="s">
        <v>1279</v>
      </c>
      <c r="N1191" s="403">
        <v>432</v>
      </c>
      <c r="O1191" s="403">
        <v>768</v>
      </c>
      <c r="P1191" t="str">
        <f t="shared" si="145"/>
        <v>20fps 720p - SD ROI PTZ</v>
      </c>
      <c r="Q1191">
        <f t="shared" si="146"/>
        <v>6</v>
      </c>
      <c r="R1191" t="str">
        <f t="shared" si="147"/>
        <v/>
      </c>
      <c r="S1191" t="str">
        <f t="shared" si="148"/>
        <v/>
      </c>
      <c r="T1191" s="403" t="str">
        <f t="shared" si="149"/>
        <v>NBE-3503-AL</v>
      </c>
      <c r="U1191" s="403">
        <f t="shared" si="150"/>
        <v>1</v>
      </c>
      <c r="V1191" s="403" t="str">
        <f t="shared" si="151"/>
        <v>CPP_7_3</v>
      </c>
    </row>
    <row r="1192" spans="1:22">
      <c r="A1192" t="str">
        <f t="shared" si="144"/>
        <v>NBE-3503-AL</v>
      </c>
      <c r="B1192" s="403" t="s">
        <v>1370</v>
      </c>
      <c r="C1192" s="403" t="s">
        <v>582</v>
      </c>
      <c r="D1192" s="403" t="s">
        <v>1371</v>
      </c>
      <c r="E1192" s="403" t="s">
        <v>778</v>
      </c>
      <c r="F1192" s="403" t="s">
        <v>1375</v>
      </c>
      <c r="G1192" s="403" t="s">
        <v>1467</v>
      </c>
      <c r="H1192" s="403" t="s">
        <v>1281</v>
      </c>
      <c r="I1192" s="403">
        <v>1</v>
      </c>
      <c r="J1192" s="403" t="s">
        <v>109</v>
      </c>
      <c r="K1192" s="403">
        <v>720</v>
      </c>
      <c r="L1192" s="403">
        <v>1280</v>
      </c>
      <c r="M1192" s="403" t="s">
        <v>1283</v>
      </c>
      <c r="N1192" s="403">
        <v>480</v>
      </c>
      <c r="O1192" s="403">
        <v>720</v>
      </c>
      <c r="P1192" t="str">
        <f t="shared" si="145"/>
        <v>20fps 720p - SD 4CIF resolution 4:3 format (cropped)</v>
      </c>
      <c r="Q1192">
        <f t="shared" si="146"/>
        <v>6</v>
      </c>
      <c r="R1192" t="str">
        <f t="shared" si="147"/>
        <v/>
      </c>
      <c r="S1192" t="str">
        <f t="shared" si="148"/>
        <v/>
      </c>
      <c r="T1192" s="403" t="str">
        <f t="shared" si="149"/>
        <v>NBE-3503-AL</v>
      </c>
      <c r="U1192" s="403">
        <f t="shared" si="150"/>
        <v>1</v>
      </c>
      <c r="V1192" s="403" t="str">
        <f t="shared" si="151"/>
        <v>CPP_7_3</v>
      </c>
    </row>
    <row r="1193" spans="1:22">
      <c r="A1193" t="str">
        <f t="shared" si="144"/>
        <v>NBE-3503-AL</v>
      </c>
      <c r="B1193" s="403" t="s">
        <v>1370</v>
      </c>
      <c r="C1193" s="403" t="s">
        <v>582</v>
      </c>
      <c r="D1193" s="403" t="s">
        <v>1371</v>
      </c>
      <c r="E1193" s="403" t="s">
        <v>778</v>
      </c>
      <c r="F1193" s="403" t="s">
        <v>1375</v>
      </c>
      <c r="G1193" s="403" t="s">
        <v>1467</v>
      </c>
      <c r="H1193" s="403" t="s">
        <v>1281</v>
      </c>
      <c r="I1193" s="403">
        <v>1</v>
      </c>
      <c r="J1193" s="403" t="s">
        <v>109</v>
      </c>
      <c r="K1193" s="403">
        <v>720</v>
      </c>
      <c r="L1193" s="403">
        <v>1280</v>
      </c>
      <c r="M1193" s="403" t="s">
        <v>1284</v>
      </c>
      <c r="N1193" s="403">
        <v>480</v>
      </c>
      <c r="O1193" s="403">
        <v>640</v>
      </c>
      <c r="P1193" t="str">
        <f t="shared" si="145"/>
        <v>20fps 720p - SD VGA (cropped)</v>
      </c>
      <c r="Q1193">
        <f t="shared" si="146"/>
        <v>6</v>
      </c>
      <c r="R1193" t="str">
        <f t="shared" si="147"/>
        <v/>
      </c>
      <c r="S1193" t="str">
        <f t="shared" si="148"/>
        <v/>
      </c>
      <c r="T1193" s="403" t="str">
        <f t="shared" si="149"/>
        <v>NBE-3503-AL</v>
      </c>
      <c r="U1193" s="403">
        <f t="shared" si="150"/>
        <v>1</v>
      </c>
      <c r="V1193" s="403" t="str">
        <f t="shared" si="151"/>
        <v>CPP_7_3</v>
      </c>
    </row>
    <row r="1194" spans="1:22">
      <c r="A1194" t="str">
        <f t="shared" si="144"/>
        <v>NBE-4502-AL</v>
      </c>
      <c r="B1194" s="403" t="s">
        <v>1378</v>
      </c>
      <c r="C1194" s="403" t="s">
        <v>582</v>
      </c>
      <c r="D1194" s="403" t="s">
        <v>1379</v>
      </c>
      <c r="E1194" s="403" t="s">
        <v>778</v>
      </c>
      <c r="F1194" s="403" t="s">
        <v>1286</v>
      </c>
      <c r="G1194" s="403" t="s">
        <v>1466</v>
      </c>
      <c r="H1194" s="403" t="s">
        <v>1276</v>
      </c>
      <c r="I1194" s="403">
        <v>1</v>
      </c>
      <c r="J1194" s="403" t="s">
        <v>110</v>
      </c>
      <c r="K1194" s="403">
        <v>1920</v>
      </c>
      <c r="L1194" s="403">
        <v>1080</v>
      </c>
      <c r="M1194" s="403" t="s">
        <v>111</v>
      </c>
      <c r="N1194" s="403">
        <v>768</v>
      </c>
      <c r="O1194" s="403">
        <v>432</v>
      </c>
      <c r="P1194" t="str">
        <f t="shared" si="145"/>
        <v>30fps 1080p - SD</v>
      </c>
      <c r="Q1194">
        <f t="shared" si="146"/>
        <v>7</v>
      </c>
      <c r="R1194">
        <f t="shared" si="147"/>
        <v>7</v>
      </c>
      <c r="S1194" t="str">
        <f t="shared" si="148"/>
        <v>DINION IP 4000i IR (NBE-4502-AL)</v>
      </c>
      <c r="T1194" s="403" t="str">
        <f t="shared" si="149"/>
        <v>NBE-4502-AL</v>
      </c>
      <c r="U1194" s="403">
        <f t="shared" si="150"/>
        <v>1</v>
      </c>
      <c r="V1194" s="403" t="str">
        <f t="shared" si="151"/>
        <v>CPP_7_3</v>
      </c>
    </row>
    <row r="1195" spans="1:22">
      <c r="A1195" t="str">
        <f t="shared" si="144"/>
        <v>NBE-4502-AL</v>
      </c>
      <c r="B1195" s="403" t="s">
        <v>1378</v>
      </c>
      <c r="C1195" s="403" t="s">
        <v>582</v>
      </c>
      <c r="D1195" s="403" t="s">
        <v>1379</v>
      </c>
      <c r="E1195" s="403" t="s">
        <v>778</v>
      </c>
      <c r="F1195" s="403" t="s">
        <v>1286</v>
      </c>
      <c r="G1195" s="403" t="s">
        <v>1466</v>
      </c>
      <c r="H1195" s="403" t="s">
        <v>1276</v>
      </c>
      <c r="I1195" s="403">
        <v>1</v>
      </c>
      <c r="J1195" s="403" t="s">
        <v>110</v>
      </c>
      <c r="K1195" s="403">
        <v>1920</v>
      </c>
      <c r="L1195" s="403">
        <v>1080</v>
      </c>
      <c r="M1195" s="403" t="s">
        <v>110</v>
      </c>
      <c r="N1195" s="403">
        <v>1920</v>
      </c>
      <c r="O1195" s="403">
        <v>1080</v>
      </c>
      <c r="P1195" t="str">
        <f t="shared" si="145"/>
        <v>30fps 1080p - 1080p</v>
      </c>
      <c r="Q1195">
        <f t="shared" si="146"/>
        <v>7</v>
      </c>
      <c r="R1195" t="str">
        <f t="shared" si="147"/>
        <v/>
      </c>
      <c r="S1195" t="str">
        <f t="shared" si="148"/>
        <v/>
      </c>
      <c r="T1195" s="403" t="str">
        <f t="shared" si="149"/>
        <v>NBE-4502-AL</v>
      </c>
      <c r="U1195" s="403">
        <f t="shared" si="150"/>
        <v>1</v>
      </c>
      <c r="V1195" s="403" t="str">
        <f t="shared" si="151"/>
        <v>CPP_7_3</v>
      </c>
    </row>
    <row r="1196" spans="1:22">
      <c r="A1196" t="str">
        <f t="shared" si="144"/>
        <v>NBE-4502-AL</v>
      </c>
      <c r="B1196" s="403" t="s">
        <v>1378</v>
      </c>
      <c r="C1196" s="403" t="s">
        <v>582</v>
      </c>
      <c r="D1196" s="403" t="s">
        <v>1379</v>
      </c>
      <c r="E1196" s="403" t="s">
        <v>778</v>
      </c>
      <c r="F1196" s="403" t="s">
        <v>1286</v>
      </c>
      <c r="G1196" s="403" t="s">
        <v>1466</v>
      </c>
      <c r="H1196" s="403" t="s">
        <v>1276</v>
      </c>
      <c r="I1196" s="403">
        <v>1</v>
      </c>
      <c r="J1196" s="403" t="s">
        <v>110</v>
      </c>
      <c r="K1196" s="403">
        <v>1920</v>
      </c>
      <c r="L1196" s="403">
        <v>1080</v>
      </c>
      <c r="M1196" s="403" t="s">
        <v>109</v>
      </c>
      <c r="N1196" s="403">
        <v>1280</v>
      </c>
      <c r="O1196" s="403">
        <v>720</v>
      </c>
      <c r="P1196" t="str">
        <f t="shared" si="145"/>
        <v>30fps 1080p - 720p</v>
      </c>
      <c r="Q1196">
        <f t="shared" si="146"/>
        <v>7</v>
      </c>
      <c r="R1196" t="str">
        <f t="shared" si="147"/>
        <v/>
      </c>
      <c r="S1196" t="str">
        <f t="shared" si="148"/>
        <v/>
      </c>
      <c r="T1196" s="403" t="str">
        <f t="shared" si="149"/>
        <v>NBE-4502-AL</v>
      </c>
      <c r="U1196" s="403">
        <f t="shared" si="150"/>
        <v>1</v>
      </c>
      <c r="V1196" s="403" t="str">
        <f t="shared" si="151"/>
        <v>CPP_7_3</v>
      </c>
    </row>
    <row r="1197" spans="1:22">
      <c r="A1197" t="str">
        <f t="shared" si="144"/>
        <v>NBE-4502-AL</v>
      </c>
      <c r="B1197" s="403" t="s">
        <v>1378</v>
      </c>
      <c r="C1197" s="403" t="s">
        <v>582</v>
      </c>
      <c r="D1197" s="403" t="s">
        <v>1379</v>
      </c>
      <c r="E1197" s="403" t="s">
        <v>778</v>
      </c>
      <c r="F1197" s="403" t="s">
        <v>1286</v>
      </c>
      <c r="G1197" s="403" t="s">
        <v>1466</v>
      </c>
      <c r="H1197" s="403" t="s">
        <v>1276</v>
      </c>
      <c r="I1197" s="403">
        <v>1</v>
      </c>
      <c r="J1197" s="403" t="s">
        <v>110</v>
      </c>
      <c r="K1197" s="403">
        <v>1920</v>
      </c>
      <c r="L1197" s="403">
        <v>1080</v>
      </c>
      <c r="M1197" s="403" t="s">
        <v>1285</v>
      </c>
      <c r="N1197" s="403">
        <v>1280</v>
      </c>
      <c r="O1197" s="403">
        <v>1024</v>
      </c>
      <c r="P1197" t="str">
        <f t="shared" si="145"/>
        <v>30fps 1080p - 1280x1024 5:4 (cropped)</v>
      </c>
      <c r="Q1197">
        <f t="shared" si="146"/>
        <v>7</v>
      </c>
      <c r="R1197" t="str">
        <f t="shared" si="147"/>
        <v/>
      </c>
      <c r="S1197" t="str">
        <f t="shared" si="148"/>
        <v/>
      </c>
      <c r="T1197" s="403" t="str">
        <f t="shared" si="149"/>
        <v>NBE-4502-AL</v>
      </c>
      <c r="U1197" s="403">
        <f t="shared" si="150"/>
        <v>1</v>
      </c>
      <c r="V1197" s="403" t="str">
        <f t="shared" si="151"/>
        <v>CPP_7_3</v>
      </c>
    </row>
    <row r="1198" spans="1:22">
      <c r="A1198" t="str">
        <f t="shared" si="144"/>
        <v>NBE-4502-AL</v>
      </c>
      <c r="B1198" s="403" t="s">
        <v>1378</v>
      </c>
      <c r="C1198" s="403" t="s">
        <v>582</v>
      </c>
      <c r="D1198" s="403" t="s">
        <v>1379</v>
      </c>
      <c r="E1198" s="403" t="s">
        <v>778</v>
      </c>
      <c r="F1198" s="403" t="s">
        <v>1286</v>
      </c>
      <c r="G1198" s="403" t="s">
        <v>1466</v>
      </c>
      <c r="H1198" s="403" t="s">
        <v>1276</v>
      </c>
      <c r="I1198" s="403">
        <v>1</v>
      </c>
      <c r="J1198" s="403" t="s">
        <v>110</v>
      </c>
      <c r="K1198" s="403">
        <v>1920</v>
      </c>
      <c r="L1198" s="403">
        <v>1080</v>
      </c>
      <c r="M1198" s="403" t="s">
        <v>1279</v>
      </c>
      <c r="N1198" s="403">
        <v>768</v>
      </c>
      <c r="O1198" s="403">
        <v>432</v>
      </c>
      <c r="P1198" t="str">
        <f t="shared" si="145"/>
        <v>30fps 1080p - SD ROI PTZ</v>
      </c>
      <c r="Q1198">
        <f t="shared" si="146"/>
        <v>7</v>
      </c>
      <c r="R1198" t="str">
        <f t="shared" si="147"/>
        <v/>
      </c>
      <c r="S1198" t="str">
        <f t="shared" si="148"/>
        <v/>
      </c>
      <c r="T1198" s="403" t="str">
        <f t="shared" si="149"/>
        <v>NBE-4502-AL</v>
      </c>
      <c r="U1198" s="403">
        <f t="shared" si="150"/>
        <v>1</v>
      </c>
      <c r="V1198" s="403" t="str">
        <f t="shared" si="151"/>
        <v>CPP_7_3</v>
      </c>
    </row>
    <row r="1199" spans="1:22">
      <c r="A1199" t="str">
        <f t="shared" si="144"/>
        <v>NBE-4502-AL</v>
      </c>
      <c r="B1199" s="403" t="s">
        <v>1378</v>
      </c>
      <c r="C1199" s="403" t="s">
        <v>582</v>
      </c>
      <c r="D1199" s="403" t="s">
        <v>1379</v>
      </c>
      <c r="E1199" s="403" t="s">
        <v>778</v>
      </c>
      <c r="F1199" s="403" t="s">
        <v>1286</v>
      </c>
      <c r="G1199" s="403" t="s">
        <v>1466</v>
      </c>
      <c r="H1199" s="403" t="s">
        <v>1276</v>
      </c>
      <c r="I1199" s="403">
        <v>1</v>
      </c>
      <c r="J1199" s="403" t="s">
        <v>110</v>
      </c>
      <c r="K1199" s="403">
        <v>1920</v>
      </c>
      <c r="L1199" s="403">
        <v>1080</v>
      </c>
      <c r="M1199" s="403" t="s">
        <v>1283</v>
      </c>
      <c r="N1199" s="403">
        <v>720</v>
      </c>
      <c r="O1199" s="403">
        <v>480</v>
      </c>
      <c r="P1199" t="str">
        <f t="shared" si="145"/>
        <v>30fps 1080p - SD 4CIF resolution 4:3 format (cropped)</v>
      </c>
      <c r="Q1199">
        <f t="shared" si="146"/>
        <v>7</v>
      </c>
      <c r="R1199" t="str">
        <f t="shared" si="147"/>
        <v/>
      </c>
      <c r="S1199" t="str">
        <f t="shared" si="148"/>
        <v/>
      </c>
      <c r="T1199" s="403" t="str">
        <f t="shared" si="149"/>
        <v>NBE-4502-AL</v>
      </c>
      <c r="U1199" s="403">
        <f t="shared" si="150"/>
        <v>1</v>
      </c>
      <c r="V1199" s="403" t="str">
        <f t="shared" si="151"/>
        <v>CPP_7_3</v>
      </c>
    </row>
    <row r="1200" spans="1:22">
      <c r="A1200" t="str">
        <f t="shared" si="144"/>
        <v>NBE-4502-AL</v>
      </c>
      <c r="B1200" s="403" t="s">
        <v>1378</v>
      </c>
      <c r="C1200" s="403" t="s">
        <v>582</v>
      </c>
      <c r="D1200" s="403" t="s">
        <v>1379</v>
      </c>
      <c r="E1200" s="403" t="s">
        <v>778</v>
      </c>
      <c r="F1200" s="403" t="s">
        <v>1286</v>
      </c>
      <c r="G1200" s="403" t="s">
        <v>1466</v>
      </c>
      <c r="H1200" s="403" t="s">
        <v>1276</v>
      </c>
      <c r="I1200" s="403">
        <v>1</v>
      </c>
      <c r="J1200" s="403" t="s">
        <v>110</v>
      </c>
      <c r="K1200" s="403">
        <v>1920</v>
      </c>
      <c r="L1200" s="403">
        <v>1080</v>
      </c>
      <c r="M1200" s="403" t="s">
        <v>1284</v>
      </c>
      <c r="N1200" s="403">
        <v>640</v>
      </c>
      <c r="O1200" s="403">
        <v>480</v>
      </c>
      <c r="P1200" t="str">
        <f t="shared" si="145"/>
        <v>30fps 1080p - SD VGA (cropped)</v>
      </c>
      <c r="Q1200">
        <f t="shared" si="146"/>
        <v>7</v>
      </c>
      <c r="R1200" t="str">
        <f t="shared" si="147"/>
        <v/>
      </c>
      <c r="S1200" t="str">
        <f t="shared" si="148"/>
        <v/>
      </c>
      <c r="T1200" s="403" t="str">
        <f t="shared" si="149"/>
        <v>NBE-4502-AL</v>
      </c>
      <c r="U1200" s="403">
        <f t="shared" si="150"/>
        <v>1</v>
      </c>
      <c r="V1200" s="403" t="str">
        <f t="shared" si="151"/>
        <v>CPP_7_3</v>
      </c>
    </row>
    <row r="1201" spans="1:22">
      <c r="A1201" t="str">
        <f t="shared" si="144"/>
        <v>NBE-4502-AL</v>
      </c>
      <c r="B1201" s="403" t="s">
        <v>1378</v>
      </c>
      <c r="C1201" s="403" t="s">
        <v>582</v>
      </c>
      <c r="D1201" s="403" t="s">
        <v>1379</v>
      </c>
      <c r="E1201" s="403" t="s">
        <v>778</v>
      </c>
      <c r="F1201" s="403" t="s">
        <v>1286</v>
      </c>
      <c r="G1201" s="403" t="s">
        <v>1466</v>
      </c>
      <c r="H1201" s="403" t="s">
        <v>1276</v>
      </c>
      <c r="I1201" s="403">
        <v>1</v>
      </c>
      <c r="J1201" s="403" t="s">
        <v>109</v>
      </c>
      <c r="K1201" s="403">
        <v>1280</v>
      </c>
      <c r="L1201" s="403">
        <v>720</v>
      </c>
      <c r="M1201" s="403" t="s">
        <v>109</v>
      </c>
      <c r="N1201" s="403">
        <v>1280</v>
      </c>
      <c r="O1201" s="403">
        <v>720</v>
      </c>
      <c r="P1201" t="str">
        <f t="shared" si="145"/>
        <v>30fps 720p - 720p</v>
      </c>
      <c r="Q1201">
        <f t="shared" si="146"/>
        <v>7</v>
      </c>
      <c r="R1201" t="str">
        <f t="shared" si="147"/>
        <v/>
      </c>
      <c r="S1201" t="str">
        <f t="shared" si="148"/>
        <v/>
      </c>
      <c r="T1201" s="403" t="str">
        <f t="shared" si="149"/>
        <v>NBE-4502-AL</v>
      </c>
      <c r="U1201" s="403">
        <f t="shared" si="150"/>
        <v>1</v>
      </c>
      <c r="V1201" s="403" t="str">
        <f t="shared" si="151"/>
        <v>CPP_7_3</v>
      </c>
    </row>
    <row r="1202" spans="1:22">
      <c r="A1202" t="str">
        <f t="shared" si="144"/>
        <v>NBE-4502-AL</v>
      </c>
      <c r="B1202" s="403" t="s">
        <v>1378</v>
      </c>
      <c r="C1202" s="403" t="s">
        <v>582</v>
      </c>
      <c r="D1202" s="403" t="s">
        <v>1379</v>
      </c>
      <c r="E1202" s="403" t="s">
        <v>778</v>
      </c>
      <c r="F1202" s="403" t="s">
        <v>1286</v>
      </c>
      <c r="G1202" s="403" t="s">
        <v>1466</v>
      </c>
      <c r="H1202" s="403" t="s">
        <v>1276</v>
      </c>
      <c r="I1202" s="403">
        <v>1</v>
      </c>
      <c r="J1202" s="403" t="s">
        <v>109</v>
      </c>
      <c r="K1202" s="403">
        <v>1280</v>
      </c>
      <c r="L1202" s="403">
        <v>720</v>
      </c>
      <c r="M1202" s="403" t="s">
        <v>111</v>
      </c>
      <c r="N1202" s="403">
        <v>768</v>
      </c>
      <c r="O1202" s="403">
        <v>432</v>
      </c>
      <c r="P1202" t="str">
        <f t="shared" si="145"/>
        <v>30fps 720p - SD</v>
      </c>
      <c r="Q1202">
        <f t="shared" si="146"/>
        <v>7</v>
      </c>
      <c r="R1202" t="str">
        <f t="shared" si="147"/>
        <v/>
      </c>
      <c r="S1202" t="str">
        <f t="shared" si="148"/>
        <v/>
      </c>
      <c r="T1202" s="403" t="str">
        <f t="shared" si="149"/>
        <v>NBE-4502-AL</v>
      </c>
      <c r="U1202" s="403">
        <f t="shared" si="150"/>
        <v>1</v>
      </c>
      <c r="V1202" s="403" t="str">
        <f t="shared" si="151"/>
        <v>CPP_7_3</v>
      </c>
    </row>
    <row r="1203" spans="1:22">
      <c r="A1203" t="str">
        <f t="shared" si="144"/>
        <v>NBE-4502-AL</v>
      </c>
      <c r="B1203" s="403" t="s">
        <v>1378</v>
      </c>
      <c r="C1203" s="403" t="s">
        <v>582</v>
      </c>
      <c r="D1203" s="403" t="s">
        <v>1379</v>
      </c>
      <c r="E1203" s="403" t="s">
        <v>778</v>
      </c>
      <c r="F1203" s="403" t="s">
        <v>1286</v>
      </c>
      <c r="G1203" s="403" t="s">
        <v>1466</v>
      </c>
      <c r="H1203" s="403" t="s">
        <v>1276</v>
      </c>
      <c r="I1203" s="403">
        <v>1</v>
      </c>
      <c r="J1203" s="403" t="s">
        <v>109</v>
      </c>
      <c r="K1203" s="403">
        <v>1280</v>
      </c>
      <c r="L1203" s="403">
        <v>720</v>
      </c>
      <c r="M1203" s="403" t="s">
        <v>1279</v>
      </c>
      <c r="N1203" s="403">
        <v>768</v>
      </c>
      <c r="O1203" s="403">
        <v>432</v>
      </c>
      <c r="P1203" t="str">
        <f t="shared" si="145"/>
        <v>30fps 720p - SD ROI PTZ</v>
      </c>
      <c r="Q1203">
        <f t="shared" si="146"/>
        <v>7</v>
      </c>
      <c r="R1203" t="str">
        <f t="shared" si="147"/>
        <v/>
      </c>
      <c r="S1203" t="str">
        <f t="shared" si="148"/>
        <v/>
      </c>
      <c r="T1203" s="403" t="str">
        <f t="shared" si="149"/>
        <v>NBE-4502-AL</v>
      </c>
      <c r="U1203" s="403">
        <f t="shared" si="150"/>
        <v>1</v>
      </c>
      <c r="V1203" s="403" t="str">
        <f t="shared" si="151"/>
        <v>CPP_7_3</v>
      </c>
    </row>
    <row r="1204" spans="1:22">
      <c r="A1204" t="str">
        <f t="shared" si="144"/>
        <v>NBE-4502-AL</v>
      </c>
      <c r="B1204" s="403" t="s">
        <v>1378</v>
      </c>
      <c r="C1204" s="403" t="s">
        <v>582</v>
      </c>
      <c r="D1204" s="403" t="s">
        <v>1379</v>
      </c>
      <c r="E1204" s="403" t="s">
        <v>778</v>
      </c>
      <c r="F1204" s="403" t="s">
        <v>1286</v>
      </c>
      <c r="G1204" s="403" t="s">
        <v>1466</v>
      </c>
      <c r="H1204" s="403" t="s">
        <v>1276</v>
      </c>
      <c r="I1204" s="403">
        <v>1</v>
      </c>
      <c r="J1204" s="403" t="s">
        <v>109</v>
      </c>
      <c r="K1204" s="403">
        <v>1280</v>
      </c>
      <c r="L1204" s="403">
        <v>720</v>
      </c>
      <c r="M1204" s="403" t="s">
        <v>1283</v>
      </c>
      <c r="N1204" s="403">
        <v>720</v>
      </c>
      <c r="O1204" s="403">
        <v>480</v>
      </c>
      <c r="P1204" t="str">
        <f t="shared" si="145"/>
        <v>30fps 720p - SD 4CIF resolution 4:3 format (cropped)</v>
      </c>
      <c r="Q1204">
        <f t="shared" si="146"/>
        <v>7</v>
      </c>
      <c r="R1204" t="str">
        <f t="shared" si="147"/>
        <v/>
      </c>
      <c r="S1204" t="str">
        <f t="shared" si="148"/>
        <v/>
      </c>
      <c r="T1204" s="403" t="str">
        <f t="shared" si="149"/>
        <v>NBE-4502-AL</v>
      </c>
      <c r="U1204" s="403">
        <f t="shared" si="150"/>
        <v>1</v>
      </c>
      <c r="V1204" s="403" t="str">
        <f t="shared" si="151"/>
        <v>CPP_7_3</v>
      </c>
    </row>
    <row r="1205" spans="1:22">
      <c r="A1205" t="str">
        <f t="shared" si="144"/>
        <v>NBE-4502-AL</v>
      </c>
      <c r="B1205" s="403" t="s">
        <v>1378</v>
      </c>
      <c r="C1205" s="403" t="s">
        <v>582</v>
      </c>
      <c r="D1205" s="403" t="s">
        <v>1379</v>
      </c>
      <c r="E1205" s="403" t="s">
        <v>778</v>
      </c>
      <c r="F1205" s="403" t="s">
        <v>1286</v>
      </c>
      <c r="G1205" s="403" t="s">
        <v>1466</v>
      </c>
      <c r="H1205" s="403" t="s">
        <v>1276</v>
      </c>
      <c r="I1205" s="403">
        <v>1</v>
      </c>
      <c r="J1205" s="403" t="s">
        <v>109</v>
      </c>
      <c r="K1205" s="403">
        <v>1280</v>
      </c>
      <c r="L1205" s="403">
        <v>720</v>
      </c>
      <c r="M1205" s="403" t="s">
        <v>1284</v>
      </c>
      <c r="N1205" s="403">
        <v>640</v>
      </c>
      <c r="O1205" s="403">
        <v>480</v>
      </c>
      <c r="P1205" t="str">
        <f t="shared" si="145"/>
        <v>30fps 720p - SD VGA (cropped)</v>
      </c>
      <c r="Q1205">
        <f t="shared" si="146"/>
        <v>7</v>
      </c>
      <c r="R1205" t="str">
        <f t="shared" si="147"/>
        <v/>
      </c>
      <c r="S1205" t="str">
        <f t="shared" si="148"/>
        <v/>
      </c>
      <c r="T1205" s="403" t="str">
        <f t="shared" si="149"/>
        <v>NBE-4502-AL</v>
      </c>
      <c r="U1205" s="403">
        <f t="shared" si="150"/>
        <v>1</v>
      </c>
      <c r="V1205" s="403" t="str">
        <f t="shared" si="151"/>
        <v>CPP_7_3</v>
      </c>
    </row>
    <row r="1206" spans="1:22">
      <c r="A1206" t="str">
        <f t="shared" si="144"/>
        <v>NBE-4502-AL</v>
      </c>
      <c r="B1206" s="403" t="s">
        <v>1378</v>
      </c>
      <c r="C1206" s="403" t="s">
        <v>582</v>
      </c>
      <c r="D1206" s="403" t="s">
        <v>1379</v>
      </c>
      <c r="E1206" s="403" t="s">
        <v>778</v>
      </c>
      <c r="F1206" s="403" t="s">
        <v>1286</v>
      </c>
      <c r="G1206" s="403" t="s">
        <v>1466</v>
      </c>
      <c r="H1206" s="403" t="s">
        <v>1281</v>
      </c>
      <c r="I1206" s="403">
        <v>1</v>
      </c>
      <c r="J1206" s="403" t="s">
        <v>110</v>
      </c>
      <c r="K1206" s="403">
        <v>1920</v>
      </c>
      <c r="L1206" s="403">
        <v>1080</v>
      </c>
      <c r="M1206" s="403" t="s">
        <v>111</v>
      </c>
      <c r="N1206" s="403">
        <v>768</v>
      </c>
      <c r="O1206" s="403">
        <v>432</v>
      </c>
      <c r="P1206" t="str">
        <f t="shared" si="145"/>
        <v>30fps 1080p - SD</v>
      </c>
      <c r="Q1206">
        <f t="shared" si="146"/>
        <v>7</v>
      </c>
      <c r="R1206" t="str">
        <f t="shared" si="147"/>
        <v/>
      </c>
      <c r="S1206" t="str">
        <f t="shared" si="148"/>
        <v/>
      </c>
      <c r="T1206" s="403" t="str">
        <f t="shared" si="149"/>
        <v>NBE-4502-AL</v>
      </c>
      <c r="U1206" s="403">
        <f t="shared" si="150"/>
        <v>1</v>
      </c>
      <c r="V1206" s="403" t="str">
        <f t="shared" si="151"/>
        <v>CPP_7_3</v>
      </c>
    </row>
    <row r="1207" spans="1:22">
      <c r="A1207" t="str">
        <f t="shared" si="144"/>
        <v>NBE-4502-AL</v>
      </c>
      <c r="B1207" s="403" t="s">
        <v>1378</v>
      </c>
      <c r="C1207" s="403" t="s">
        <v>582</v>
      </c>
      <c r="D1207" s="403" t="s">
        <v>1379</v>
      </c>
      <c r="E1207" s="403" t="s">
        <v>778</v>
      </c>
      <c r="F1207" s="403" t="s">
        <v>1286</v>
      </c>
      <c r="G1207" s="403" t="s">
        <v>1466</v>
      </c>
      <c r="H1207" s="403" t="s">
        <v>1281</v>
      </c>
      <c r="I1207" s="403">
        <v>1</v>
      </c>
      <c r="J1207" s="403" t="s">
        <v>110</v>
      </c>
      <c r="K1207" s="403">
        <v>1920</v>
      </c>
      <c r="L1207" s="403">
        <v>1080</v>
      </c>
      <c r="M1207" s="403" t="s">
        <v>110</v>
      </c>
      <c r="N1207" s="403">
        <v>1920</v>
      </c>
      <c r="O1207" s="403">
        <v>1080</v>
      </c>
      <c r="P1207" t="str">
        <f t="shared" si="145"/>
        <v>30fps 1080p - 1080p</v>
      </c>
      <c r="Q1207">
        <f t="shared" si="146"/>
        <v>7</v>
      </c>
      <c r="R1207" t="str">
        <f t="shared" si="147"/>
        <v/>
      </c>
      <c r="S1207" t="str">
        <f t="shared" si="148"/>
        <v/>
      </c>
      <c r="T1207" s="403" t="str">
        <f t="shared" si="149"/>
        <v>NBE-4502-AL</v>
      </c>
      <c r="U1207" s="403">
        <f t="shared" si="150"/>
        <v>1</v>
      </c>
      <c r="V1207" s="403" t="str">
        <f t="shared" si="151"/>
        <v>CPP_7_3</v>
      </c>
    </row>
    <row r="1208" spans="1:22">
      <c r="A1208" t="str">
        <f t="shared" si="144"/>
        <v>NBE-4502-AL</v>
      </c>
      <c r="B1208" s="403" t="s">
        <v>1378</v>
      </c>
      <c r="C1208" s="403" t="s">
        <v>582</v>
      </c>
      <c r="D1208" s="403" t="s">
        <v>1379</v>
      </c>
      <c r="E1208" s="403" t="s">
        <v>778</v>
      </c>
      <c r="F1208" s="403" t="s">
        <v>1286</v>
      </c>
      <c r="G1208" s="403" t="s">
        <v>1466</v>
      </c>
      <c r="H1208" s="403" t="s">
        <v>1281</v>
      </c>
      <c r="I1208" s="403">
        <v>1</v>
      </c>
      <c r="J1208" s="403" t="s">
        <v>110</v>
      </c>
      <c r="K1208" s="403">
        <v>1920</v>
      </c>
      <c r="L1208" s="403">
        <v>1080</v>
      </c>
      <c r="M1208" s="403" t="s">
        <v>109</v>
      </c>
      <c r="N1208" s="403">
        <v>1280</v>
      </c>
      <c r="O1208" s="403">
        <v>720</v>
      </c>
      <c r="P1208" t="str">
        <f t="shared" si="145"/>
        <v>30fps 1080p - 720p</v>
      </c>
      <c r="Q1208">
        <f t="shared" si="146"/>
        <v>7</v>
      </c>
      <c r="R1208" t="str">
        <f t="shared" si="147"/>
        <v/>
      </c>
      <c r="S1208" t="str">
        <f t="shared" si="148"/>
        <v/>
      </c>
      <c r="T1208" s="403" t="str">
        <f t="shared" si="149"/>
        <v>NBE-4502-AL</v>
      </c>
      <c r="U1208" s="403">
        <f t="shared" si="150"/>
        <v>1</v>
      </c>
      <c r="V1208" s="403" t="str">
        <f t="shared" si="151"/>
        <v>CPP_7_3</v>
      </c>
    </row>
    <row r="1209" spans="1:22">
      <c r="A1209" t="str">
        <f t="shared" si="144"/>
        <v>NBE-4502-AL</v>
      </c>
      <c r="B1209" s="403" t="s">
        <v>1378</v>
      </c>
      <c r="C1209" s="403" t="s">
        <v>582</v>
      </c>
      <c r="D1209" s="403" t="s">
        <v>1379</v>
      </c>
      <c r="E1209" s="403" t="s">
        <v>778</v>
      </c>
      <c r="F1209" s="403" t="s">
        <v>1286</v>
      </c>
      <c r="G1209" s="403" t="s">
        <v>1466</v>
      </c>
      <c r="H1209" s="403" t="s">
        <v>1281</v>
      </c>
      <c r="I1209" s="403">
        <v>1</v>
      </c>
      <c r="J1209" s="403" t="s">
        <v>110</v>
      </c>
      <c r="K1209" s="403">
        <v>1920</v>
      </c>
      <c r="L1209" s="403">
        <v>1080</v>
      </c>
      <c r="M1209" s="403" t="s">
        <v>1285</v>
      </c>
      <c r="N1209" s="403">
        <v>1280</v>
      </c>
      <c r="O1209" s="403">
        <v>1024</v>
      </c>
      <c r="P1209" t="str">
        <f t="shared" si="145"/>
        <v>30fps 1080p - 1280x1024 5:4 (cropped)</v>
      </c>
      <c r="Q1209">
        <f t="shared" si="146"/>
        <v>7</v>
      </c>
      <c r="R1209" t="str">
        <f t="shared" si="147"/>
        <v/>
      </c>
      <c r="S1209" t="str">
        <f t="shared" si="148"/>
        <v/>
      </c>
      <c r="T1209" s="403" t="str">
        <f t="shared" si="149"/>
        <v>NBE-4502-AL</v>
      </c>
      <c r="U1209" s="403">
        <f t="shared" si="150"/>
        <v>1</v>
      </c>
      <c r="V1209" s="403" t="str">
        <f t="shared" si="151"/>
        <v>CPP_7_3</v>
      </c>
    </row>
    <row r="1210" spans="1:22">
      <c r="A1210" t="str">
        <f t="shared" si="144"/>
        <v>NBE-4502-AL</v>
      </c>
      <c r="B1210" s="403" t="s">
        <v>1378</v>
      </c>
      <c r="C1210" s="403" t="s">
        <v>582</v>
      </c>
      <c r="D1210" s="403" t="s">
        <v>1379</v>
      </c>
      <c r="E1210" s="403" t="s">
        <v>778</v>
      </c>
      <c r="F1210" s="403" t="s">
        <v>1286</v>
      </c>
      <c r="G1210" s="403" t="s">
        <v>1466</v>
      </c>
      <c r="H1210" s="403" t="s">
        <v>1281</v>
      </c>
      <c r="I1210" s="403">
        <v>1</v>
      </c>
      <c r="J1210" s="403" t="s">
        <v>110</v>
      </c>
      <c r="K1210" s="403">
        <v>1920</v>
      </c>
      <c r="L1210" s="403">
        <v>1080</v>
      </c>
      <c r="M1210" s="403" t="s">
        <v>1279</v>
      </c>
      <c r="N1210" s="403">
        <v>768</v>
      </c>
      <c r="O1210" s="403">
        <v>432</v>
      </c>
      <c r="P1210" t="str">
        <f t="shared" si="145"/>
        <v>30fps 1080p - SD ROI PTZ</v>
      </c>
      <c r="Q1210">
        <f t="shared" si="146"/>
        <v>7</v>
      </c>
      <c r="R1210" t="str">
        <f t="shared" si="147"/>
        <v/>
      </c>
      <c r="S1210" t="str">
        <f t="shared" si="148"/>
        <v/>
      </c>
      <c r="T1210" s="403" t="str">
        <f t="shared" si="149"/>
        <v>NBE-4502-AL</v>
      </c>
      <c r="U1210" s="403">
        <f t="shared" si="150"/>
        <v>1</v>
      </c>
      <c r="V1210" s="403" t="str">
        <f t="shared" si="151"/>
        <v>CPP_7_3</v>
      </c>
    </row>
    <row r="1211" spans="1:22">
      <c r="A1211" t="str">
        <f t="shared" si="144"/>
        <v>NBE-4502-AL</v>
      </c>
      <c r="B1211" s="403" t="s">
        <v>1378</v>
      </c>
      <c r="C1211" s="403" t="s">
        <v>582</v>
      </c>
      <c r="D1211" s="403" t="s">
        <v>1379</v>
      </c>
      <c r="E1211" s="403" t="s">
        <v>778</v>
      </c>
      <c r="F1211" s="403" t="s">
        <v>1286</v>
      </c>
      <c r="G1211" s="403" t="s">
        <v>1466</v>
      </c>
      <c r="H1211" s="403" t="s">
        <v>1281</v>
      </c>
      <c r="I1211" s="403">
        <v>1</v>
      </c>
      <c r="J1211" s="403" t="s">
        <v>110</v>
      </c>
      <c r="K1211" s="403">
        <v>1920</v>
      </c>
      <c r="L1211" s="403">
        <v>1080</v>
      </c>
      <c r="M1211" s="403" t="s">
        <v>1283</v>
      </c>
      <c r="N1211" s="403">
        <v>720</v>
      </c>
      <c r="O1211" s="403">
        <v>480</v>
      </c>
      <c r="P1211" t="str">
        <f t="shared" si="145"/>
        <v>30fps 1080p - SD 4CIF resolution 4:3 format (cropped)</v>
      </c>
      <c r="Q1211">
        <f t="shared" si="146"/>
        <v>7</v>
      </c>
      <c r="R1211" t="str">
        <f t="shared" si="147"/>
        <v/>
      </c>
      <c r="S1211" t="str">
        <f t="shared" si="148"/>
        <v/>
      </c>
      <c r="T1211" s="403" t="str">
        <f t="shared" si="149"/>
        <v>NBE-4502-AL</v>
      </c>
      <c r="U1211" s="403">
        <f t="shared" si="150"/>
        <v>1</v>
      </c>
      <c r="V1211" s="403" t="str">
        <f t="shared" si="151"/>
        <v>CPP_7_3</v>
      </c>
    </row>
    <row r="1212" spans="1:22">
      <c r="A1212" t="str">
        <f t="shared" si="144"/>
        <v>NBE-4502-AL</v>
      </c>
      <c r="B1212" s="403" t="s">
        <v>1378</v>
      </c>
      <c r="C1212" s="403" t="s">
        <v>582</v>
      </c>
      <c r="D1212" s="403" t="s">
        <v>1379</v>
      </c>
      <c r="E1212" s="403" t="s">
        <v>778</v>
      </c>
      <c r="F1212" s="403" t="s">
        <v>1286</v>
      </c>
      <c r="G1212" s="403" t="s">
        <v>1466</v>
      </c>
      <c r="H1212" s="403" t="s">
        <v>1281</v>
      </c>
      <c r="I1212" s="403">
        <v>1</v>
      </c>
      <c r="J1212" s="403" t="s">
        <v>110</v>
      </c>
      <c r="K1212" s="403">
        <v>1920</v>
      </c>
      <c r="L1212" s="403">
        <v>1080</v>
      </c>
      <c r="M1212" s="403" t="s">
        <v>1284</v>
      </c>
      <c r="N1212" s="403">
        <v>640</v>
      </c>
      <c r="O1212" s="403">
        <v>480</v>
      </c>
      <c r="P1212" t="str">
        <f t="shared" si="145"/>
        <v>30fps 1080p - SD VGA (cropped)</v>
      </c>
      <c r="Q1212">
        <f t="shared" si="146"/>
        <v>7</v>
      </c>
      <c r="R1212" t="str">
        <f t="shared" si="147"/>
        <v/>
      </c>
      <c r="S1212" t="str">
        <f t="shared" si="148"/>
        <v/>
      </c>
      <c r="T1212" s="403" t="str">
        <f t="shared" si="149"/>
        <v>NBE-4502-AL</v>
      </c>
      <c r="U1212" s="403">
        <f t="shared" si="150"/>
        <v>1</v>
      </c>
      <c r="V1212" s="403" t="str">
        <f t="shared" si="151"/>
        <v>CPP_7_3</v>
      </c>
    </row>
    <row r="1213" spans="1:22">
      <c r="A1213" t="str">
        <f t="shared" si="144"/>
        <v>NBE-4502-AL</v>
      </c>
      <c r="B1213" s="403" t="s">
        <v>1378</v>
      </c>
      <c r="C1213" s="403" t="s">
        <v>582</v>
      </c>
      <c r="D1213" s="403" t="s">
        <v>1379</v>
      </c>
      <c r="E1213" s="403" t="s">
        <v>778</v>
      </c>
      <c r="F1213" s="403" t="s">
        <v>1286</v>
      </c>
      <c r="G1213" s="403" t="s">
        <v>1466</v>
      </c>
      <c r="H1213" s="403" t="s">
        <v>1281</v>
      </c>
      <c r="I1213" s="403">
        <v>1</v>
      </c>
      <c r="J1213" s="403" t="s">
        <v>109</v>
      </c>
      <c r="K1213" s="403">
        <v>1280</v>
      </c>
      <c r="L1213" s="403">
        <v>720</v>
      </c>
      <c r="M1213" s="403" t="s">
        <v>109</v>
      </c>
      <c r="N1213" s="403">
        <v>1280</v>
      </c>
      <c r="O1213" s="403">
        <v>720</v>
      </c>
      <c r="P1213" t="str">
        <f t="shared" si="145"/>
        <v>30fps 720p - 720p</v>
      </c>
      <c r="Q1213">
        <f t="shared" si="146"/>
        <v>7</v>
      </c>
      <c r="R1213" t="str">
        <f t="shared" si="147"/>
        <v/>
      </c>
      <c r="S1213" t="str">
        <f t="shared" si="148"/>
        <v/>
      </c>
      <c r="T1213" s="403" t="str">
        <f t="shared" si="149"/>
        <v>NBE-4502-AL</v>
      </c>
      <c r="U1213" s="403">
        <f t="shared" si="150"/>
        <v>1</v>
      </c>
      <c r="V1213" s="403" t="str">
        <f t="shared" si="151"/>
        <v>CPP_7_3</v>
      </c>
    </row>
    <row r="1214" spans="1:22">
      <c r="A1214" t="str">
        <f t="shared" si="144"/>
        <v>NBE-4502-AL</v>
      </c>
      <c r="B1214" s="403" t="s">
        <v>1378</v>
      </c>
      <c r="C1214" s="403" t="s">
        <v>582</v>
      </c>
      <c r="D1214" s="403" t="s">
        <v>1379</v>
      </c>
      <c r="E1214" s="403" t="s">
        <v>778</v>
      </c>
      <c r="F1214" s="403" t="s">
        <v>1286</v>
      </c>
      <c r="G1214" s="403" t="s">
        <v>1466</v>
      </c>
      <c r="H1214" s="403" t="s">
        <v>1281</v>
      </c>
      <c r="I1214" s="403">
        <v>1</v>
      </c>
      <c r="J1214" s="403" t="s">
        <v>109</v>
      </c>
      <c r="K1214" s="403">
        <v>1280</v>
      </c>
      <c r="L1214" s="403">
        <v>720</v>
      </c>
      <c r="M1214" s="403" t="s">
        <v>111</v>
      </c>
      <c r="N1214" s="403">
        <v>768</v>
      </c>
      <c r="O1214" s="403">
        <v>432</v>
      </c>
      <c r="P1214" t="str">
        <f t="shared" si="145"/>
        <v>30fps 720p - SD</v>
      </c>
      <c r="Q1214">
        <f t="shared" si="146"/>
        <v>7</v>
      </c>
      <c r="R1214" t="str">
        <f t="shared" si="147"/>
        <v/>
      </c>
      <c r="S1214" t="str">
        <f t="shared" si="148"/>
        <v/>
      </c>
      <c r="T1214" s="403" t="str">
        <f t="shared" si="149"/>
        <v>NBE-4502-AL</v>
      </c>
      <c r="U1214" s="403">
        <f t="shared" si="150"/>
        <v>1</v>
      </c>
      <c r="V1214" s="403" t="str">
        <f t="shared" si="151"/>
        <v>CPP_7_3</v>
      </c>
    </row>
    <row r="1215" spans="1:22">
      <c r="A1215" t="str">
        <f t="shared" si="144"/>
        <v>NBE-4502-AL</v>
      </c>
      <c r="B1215" s="403" t="s">
        <v>1378</v>
      </c>
      <c r="C1215" s="403" t="s">
        <v>582</v>
      </c>
      <c r="D1215" s="403" t="s">
        <v>1379</v>
      </c>
      <c r="E1215" s="403" t="s">
        <v>778</v>
      </c>
      <c r="F1215" s="403" t="s">
        <v>1286</v>
      </c>
      <c r="G1215" s="403" t="s">
        <v>1466</v>
      </c>
      <c r="H1215" s="403" t="s">
        <v>1281</v>
      </c>
      <c r="I1215" s="403">
        <v>1</v>
      </c>
      <c r="J1215" s="403" t="s">
        <v>109</v>
      </c>
      <c r="K1215" s="403">
        <v>1280</v>
      </c>
      <c r="L1215" s="403">
        <v>720</v>
      </c>
      <c r="M1215" s="403" t="s">
        <v>1279</v>
      </c>
      <c r="N1215" s="403">
        <v>768</v>
      </c>
      <c r="O1215" s="403">
        <v>432</v>
      </c>
      <c r="P1215" t="str">
        <f t="shared" si="145"/>
        <v>30fps 720p - SD ROI PTZ</v>
      </c>
      <c r="Q1215">
        <f t="shared" si="146"/>
        <v>7</v>
      </c>
      <c r="R1215" t="str">
        <f t="shared" si="147"/>
        <v/>
      </c>
      <c r="S1215" t="str">
        <f t="shared" si="148"/>
        <v/>
      </c>
      <c r="T1215" s="403" t="str">
        <f t="shared" si="149"/>
        <v>NBE-4502-AL</v>
      </c>
      <c r="U1215" s="403">
        <f t="shared" si="150"/>
        <v>1</v>
      </c>
      <c r="V1215" s="403" t="str">
        <f t="shared" si="151"/>
        <v>CPP_7_3</v>
      </c>
    </row>
    <row r="1216" spans="1:22">
      <c r="A1216" t="str">
        <f t="shared" si="144"/>
        <v>NBE-4502-AL</v>
      </c>
      <c r="B1216" s="403" t="s">
        <v>1378</v>
      </c>
      <c r="C1216" s="403" t="s">
        <v>582</v>
      </c>
      <c r="D1216" s="403" t="s">
        <v>1379</v>
      </c>
      <c r="E1216" s="403" t="s">
        <v>778</v>
      </c>
      <c r="F1216" s="403" t="s">
        <v>1286</v>
      </c>
      <c r="G1216" s="403" t="s">
        <v>1466</v>
      </c>
      <c r="H1216" s="403" t="s">
        <v>1281</v>
      </c>
      <c r="I1216" s="403">
        <v>1</v>
      </c>
      <c r="J1216" s="403" t="s">
        <v>109</v>
      </c>
      <c r="K1216" s="403">
        <v>1280</v>
      </c>
      <c r="L1216" s="403">
        <v>720</v>
      </c>
      <c r="M1216" s="403" t="s">
        <v>1283</v>
      </c>
      <c r="N1216" s="403">
        <v>720</v>
      </c>
      <c r="O1216" s="403">
        <v>480</v>
      </c>
      <c r="P1216" t="str">
        <f t="shared" si="145"/>
        <v>30fps 720p - SD 4CIF resolution 4:3 format (cropped)</v>
      </c>
      <c r="Q1216">
        <f t="shared" si="146"/>
        <v>7</v>
      </c>
      <c r="R1216" t="str">
        <f t="shared" si="147"/>
        <v/>
      </c>
      <c r="S1216" t="str">
        <f t="shared" si="148"/>
        <v/>
      </c>
      <c r="T1216" s="403" t="str">
        <f t="shared" si="149"/>
        <v>NBE-4502-AL</v>
      </c>
      <c r="U1216" s="403">
        <f t="shared" si="150"/>
        <v>1</v>
      </c>
      <c r="V1216" s="403" t="str">
        <f t="shared" si="151"/>
        <v>CPP_7_3</v>
      </c>
    </row>
    <row r="1217" spans="1:22">
      <c r="A1217" t="str">
        <f t="shared" si="144"/>
        <v>NBE-4502-AL</v>
      </c>
      <c r="B1217" s="403" t="s">
        <v>1378</v>
      </c>
      <c r="C1217" s="403" t="s">
        <v>582</v>
      </c>
      <c r="D1217" s="403" t="s">
        <v>1379</v>
      </c>
      <c r="E1217" s="403" t="s">
        <v>778</v>
      </c>
      <c r="F1217" s="403" t="s">
        <v>1286</v>
      </c>
      <c r="G1217" s="403" t="s">
        <v>1466</v>
      </c>
      <c r="H1217" s="403" t="s">
        <v>1281</v>
      </c>
      <c r="I1217" s="403">
        <v>1</v>
      </c>
      <c r="J1217" s="403" t="s">
        <v>109</v>
      </c>
      <c r="K1217" s="403">
        <v>1280</v>
      </c>
      <c r="L1217" s="403">
        <v>720</v>
      </c>
      <c r="M1217" s="403" t="s">
        <v>1284</v>
      </c>
      <c r="N1217" s="403">
        <v>640</v>
      </c>
      <c r="O1217" s="403">
        <v>480</v>
      </c>
      <c r="P1217" t="str">
        <f t="shared" si="145"/>
        <v>30fps 720p - SD VGA (cropped)</v>
      </c>
      <c r="Q1217">
        <f t="shared" si="146"/>
        <v>7</v>
      </c>
      <c r="R1217" t="str">
        <f t="shared" si="147"/>
        <v/>
      </c>
      <c r="S1217" t="str">
        <f t="shared" si="148"/>
        <v/>
      </c>
      <c r="T1217" s="403" t="str">
        <f t="shared" si="149"/>
        <v>NBE-4502-AL</v>
      </c>
      <c r="U1217" s="403">
        <f t="shared" si="150"/>
        <v>1</v>
      </c>
      <c r="V1217" s="403" t="str">
        <f t="shared" si="151"/>
        <v>CPP_7_3</v>
      </c>
    </row>
    <row r="1218" spans="1:22">
      <c r="A1218" t="str">
        <f t="shared" ref="A1218:A1281" si="152">IF(AND(G1218&lt;&gt;"rotate 90°"),D1218,"")</f>
        <v>NBE-4502-AL</v>
      </c>
      <c r="B1218" s="403" t="s">
        <v>1378</v>
      </c>
      <c r="C1218" s="403" t="s">
        <v>582</v>
      </c>
      <c r="D1218" s="403" t="s">
        <v>1379</v>
      </c>
      <c r="E1218" s="403" t="s">
        <v>778</v>
      </c>
      <c r="F1218" s="403" t="s">
        <v>1286</v>
      </c>
      <c r="G1218" s="403" t="s">
        <v>1466</v>
      </c>
      <c r="H1218" s="403" t="s">
        <v>1282</v>
      </c>
      <c r="I1218" s="403">
        <v>1</v>
      </c>
      <c r="J1218" s="403" t="s">
        <v>110</v>
      </c>
      <c r="K1218" s="403">
        <v>1920</v>
      </c>
      <c r="L1218" s="403">
        <v>1080</v>
      </c>
      <c r="M1218" s="403" t="s">
        <v>111</v>
      </c>
      <c r="N1218" s="403">
        <v>768</v>
      </c>
      <c r="O1218" s="403">
        <v>432</v>
      </c>
      <c r="P1218" t="str">
        <f t="shared" ref="P1218:P1281" si="153">LEFT(F1218,5)&amp;" "&amp;J1218&amp;" - "&amp;M1218</f>
        <v>30fps 1080p - SD</v>
      </c>
      <c r="Q1218">
        <f t="shared" ref="Q1218:Q1281" si="154">IF(A1217=A1218,Q1217,Q1217+1)</f>
        <v>7</v>
      </c>
      <c r="R1218" t="str">
        <f t="shared" ref="R1218:R1281" si="155">IF(Q1217&lt;&gt;Q1218,Q1218,"")</f>
        <v/>
      </c>
      <c r="S1218" t="str">
        <f t="shared" ref="S1218:S1281" si="156">IF(R1218&lt;&gt;"",B1218&amp;" ("&amp;D1218&amp;")","")</f>
        <v/>
      </c>
      <c r="T1218" s="403" t="str">
        <f t="shared" ref="T1218:T1281" si="157">D1218</f>
        <v>NBE-4502-AL</v>
      </c>
      <c r="U1218" s="403">
        <f t="shared" ref="U1218:U1281" si="158">I1218</f>
        <v>1</v>
      </c>
      <c r="V1218" s="403" t="str">
        <f t="shared" ref="V1218:V1281" si="159">C1218</f>
        <v>CPP_7_3</v>
      </c>
    </row>
    <row r="1219" spans="1:22">
      <c r="A1219" t="str">
        <f t="shared" si="152"/>
        <v>NBE-4502-AL</v>
      </c>
      <c r="B1219" s="403" t="s">
        <v>1378</v>
      </c>
      <c r="C1219" s="403" t="s">
        <v>582</v>
      </c>
      <c r="D1219" s="403" t="s">
        <v>1379</v>
      </c>
      <c r="E1219" s="403" t="s">
        <v>778</v>
      </c>
      <c r="F1219" s="403" t="s">
        <v>1286</v>
      </c>
      <c r="G1219" s="403" t="s">
        <v>1466</v>
      </c>
      <c r="H1219" s="403" t="s">
        <v>1282</v>
      </c>
      <c r="I1219" s="403">
        <v>1</v>
      </c>
      <c r="J1219" s="403" t="s">
        <v>110</v>
      </c>
      <c r="K1219" s="403">
        <v>1920</v>
      </c>
      <c r="L1219" s="403">
        <v>1080</v>
      </c>
      <c r="M1219" s="403" t="s">
        <v>110</v>
      </c>
      <c r="N1219" s="403">
        <v>1920</v>
      </c>
      <c r="O1219" s="403">
        <v>1080</v>
      </c>
      <c r="P1219" t="str">
        <f t="shared" si="153"/>
        <v>30fps 1080p - 1080p</v>
      </c>
      <c r="Q1219">
        <f t="shared" si="154"/>
        <v>7</v>
      </c>
      <c r="R1219" t="str">
        <f t="shared" si="155"/>
        <v/>
      </c>
      <c r="S1219" t="str">
        <f t="shared" si="156"/>
        <v/>
      </c>
      <c r="T1219" s="403" t="str">
        <f t="shared" si="157"/>
        <v>NBE-4502-AL</v>
      </c>
      <c r="U1219" s="403">
        <f t="shared" si="158"/>
        <v>1</v>
      </c>
      <c r="V1219" s="403" t="str">
        <f t="shared" si="159"/>
        <v>CPP_7_3</v>
      </c>
    </row>
    <row r="1220" spans="1:22">
      <c r="A1220" t="str">
        <f t="shared" si="152"/>
        <v>NBE-4502-AL</v>
      </c>
      <c r="B1220" s="403" t="s">
        <v>1378</v>
      </c>
      <c r="C1220" s="403" t="s">
        <v>582</v>
      </c>
      <c r="D1220" s="403" t="s">
        <v>1379</v>
      </c>
      <c r="E1220" s="403" t="s">
        <v>778</v>
      </c>
      <c r="F1220" s="403" t="s">
        <v>1286</v>
      </c>
      <c r="G1220" s="403" t="s">
        <v>1466</v>
      </c>
      <c r="H1220" s="403" t="s">
        <v>1282</v>
      </c>
      <c r="I1220" s="403">
        <v>1</v>
      </c>
      <c r="J1220" s="403" t="s">
        <v>110</v>
      </c>
      <c r="K1220" s="403">
        <v>1920</v>
      </c>
      <c r="L1220" s="403">
        <v>1080</v>
      </c>
      <c r="M1220" s="403" t="s">
        <v>109</v>
      </c>
      <c r="N1220" s="403">
        <v>1280</v>
      </c>
      <c r="O1220" s="403">
        <v>720</v>
      </c>
      <c r="P1220" t="str">
        <f t="shared" si="153"/>
        <v>30fps 1080p - 720p</v>
      </c>
      <c r="Q1220">
        <f t="shared" si="154"/>
        <v>7</v>
      </c>
      <c r="R1220" t="str">
        <f t="shared" si="155"/>
        <v/>
      </c>
      <c r="S1220" t="str">
        <f t="shared" si="156"/>
        <v/>
      </c>
      <c r="T1220" s="403" t="str">
        <f t="shared" si="157"/>
        <v>NBE-4502-AL</v>
      </c>
      <c r="U1220" s="403">
        <f t="shared" si="158"/>
        <v>1</v>
      </c>
      <c r="V1220" s="403" t="str">
        <f t="shared" si="159"/>
        <v>CPP_7_3</v>
      </c>
    </row>
    <row r="1221" spans="1:22">
      <c r="A1221" t="str">
        <f t="shared" si="152"/>
        <v>NBE-4502-AL</v>
      </c>
      <c r="B1221" s="403" t="s">
        <v>1378</v>
      </c>
      <c r="C1221" s="403" t="s">
        <v>582</v>
      </c>
      <c r="D1221" s="403" t="s">
        <v>1379</v>
      </c>
      <c r="E1221" s="403" t="s">
        <v>778</v>
      </c>
      <c r="F1221" s="403" t="s">
        <v>1286</v>
      </c>
      <c r="G1221" s="403" t="s">
        <v>1466</v>
      </c>
      <c r="H1221" s="403" t="s">
        <v>1282</v>
      </c>
      <c r="I1221" s="403">
        <v>1</v>
      </c>
      <c r="J1221" s="403" t="s">
        <v>110</v>
      </c>
      <c r="K1221" s="403">
        <v>1920</v>
      </c>
      <c r="L1221" s="403">
        <v>1080</v>
      </c>
      <c r="M1221" s="403" t="s">
        <v>1285</v>
      </c>
      <c r="N1221" s="403">
        <v>1280</v>
      </c>
      <c r="O1221" s="403">
        <v>1024</v>
      </c>
      <c r="P1221" t="str">
        <f t="shared" si="153"/>
        <v>30fps 1080p - 1280x1024 5:4 (cropped)</v>
      </c>
      <c r="Q1221">
        <f t="shared" si="154"/>
        <v>7</v>
      </c>
      <c r="R1221" t="str">
        <f t="shared" si="155"/>
        <v/>
      </c>
      <c r="S1221" t="str">
        <f t="shared" si="156"/>
        <v/>
      </c>
      <c r="T1221" s="403" t="str">
        <f t="shared" si="157"/>
        <v>NBE-4502-AL</v>
      </c>
      <c r="U1221" s="403">
        <f t="shared" si="158"/>
        <v>1</v>
      </c>
      <c r="V1221" s="403" t="str">
        <f t="shared" si="159"/>
        <v>CPP_7_3</v>
      </c>
    </row>
    <row r="1222" spans="1:22">
      <c r="A1222" t="str">
        <f t="shared" si="152"/>
        <v>NBE-4502-AL</v>
      </c>
      <c r="B1222" s="403" t="s">
        <v>1378</v>
      </c>
      <c r="C1222" s="403" t="s">
        <v>582</v>
      </c>
      <c r="D1222" s="403" t="s">
        <v>1379</v>
      </c>
      <c r="E1222" s="403" t="s">
        <v>778</v>
      </c>
      <c r="F1222" s="403" t="s">
        <v>1286</v>
      </c>
      <c r="G1222" s="403" t="s">
        <v>1466</v>
      </c>
      <c r="H1222" s="403" t="s">
        <v>1282</v>
      </c>
      <c r="I1222" s="403">
        <v>1</v>
      </c>
      <c r="J1222" s="403" t="s">
        <v>110</v>
      </c>
      <c r="K1222" s="403">
        <v>1920</v>
      </c>
      <c r="L1222" s="403">
        <v>1080</v>
      </c>
      <c r="M1222" s="403" t="s">
        <v>1279</v>
      </c>
      <c r="N1222" s="403">
        <v>768</v>
      </c>
      <c r="O1222" s="403">
        <v>432</v>
      </c>
      <c r="P1222" t="str">
        <f t="shared" si="153"/>
        <v>30fps 1080p - SD ROI PTZ</v>
      </c>
      <c r="Q1222">
        <f t="shared" si="154"/>
        <v>7</v>
      </c>
      <c r="R1222" t="str">
        <f t="shared" si="155"/>
        <v/>
      </c>
      <c r="S1222" t="str">
        <f t="shared" si="156"/>
        <v/>
      </c>
      <c r="T1222" s="403" t="str">
        <f t="shared" si="157"/>
        <v>NBE-4502-AL</v>
      </c>
      <c r="U1222" s="403">
        <f t="shared" si="158"/>
        <v>1</v>
      </c>
      <c r="V1222" s="403" t="str">
        <f t="shared" si="159"/>
        <v>CPP_7_3</v>
      </c>
    </row>
    <row r="1223" spans="1:22">
      <c r="A1223" t="str">
        <f t="shared" si="152"/>
        <v>NBE-4502-AL</v>
      </c>
      <c r="B1223" s="403" t="s">
        <v>1378</v>
      </c>
      <c r="C1223" s="403" t="s">
        <v>582</v>
      </c>
      <c r="D1223" s="403" t="s">
        <v>1379</v>
      </c>
      <c r="E1223" s="403" t="s">
        <v>778</v>
      </c>
      <c r="F1223" s="403" t="s">
        <v>1286</v>
      </c>
      <c r="G1223" s="403" t="s">
        <v>1466</v>
      </c>
      <c r="H1223" s="403" t="s">
        <v>1282</v>
      </c>
      <c r="I1223" s="403">
        <v>1</v>
      </c>
      <c r="J1223" s="403" t="s">
        <v>110</v>
      </c>
      <c r="K1223" s="403">
        <v>1920</v>
      </c>
      <c r="L1223" s="403">
        <v>1080</v>
      </c>
      <c r="M1223" s="403" t="s">
        <v>1283</v>
      </c>
      <c r="N1223" s="403">
        <v>720</v>
      </c>
      <c r="O1223" s="403">
        <v>480</v>
      </c>
      <c r="P1223" t="str">
        <f t="shared" si="153"/>
        <v>30fps 1080p - SD 4CIF resolution 4:3 format (cropped)</v>
      </c>
      <c r="Q1223">
        <f t="shared" si="154"/>
        <v>7</v>
      </c>
      <c r="R1223" t="str">
        <f t="shared" si="155"/>
        <v/>
      </c>
      <c r="S1223" t="str">
        <f t="shared" si="156"/>
        <v/>
      </c>
      <c r="T1223" s="403" t="str">
        <f t="shared" si="157"/>
        <v>NBE-4502-AL</v>
      </c>
      <c r="U1223" s="403">
        <f t="shared" si="158"/>
        <v>1</v>
      </c>
      <c r="V1223" s="403" t="str">
        <f t="shared" si="159"/>
        <v>CPP_7_3</v>
      </c>
    </row>
    <row r="1224" spans="1:22">
      <c r="A1224" t="str">
        <f t="shared" si="152"/>
        <v>NBE-4502-AL</v>
      </c>
      <c r="B1224" s="403" t="s">
        <v>1378</v>
      </c>
      <c r="C1224" s="403" t="s">
        <v>582</v>
      </c>
      <c r="D1224" s="403" t="s">
        <v>1379</v>
      </c>
      <c r="E1224" s="403" t="s">
        <v>778</v>
      </c>
      <c r="F1224" s="403" t="s">
        <v>1286</v>
      </c>
      <c r="G1224" s="403" t="s">
        <v>1466</v>
      </c>
      <c r="H1224" s="403" t="s">
        <v>1282</v>
      </c>
      <c r="I1224" s="403">
        <v>1</v>
      </c>
      <c r="J1224" s="403" t="s">
        <v>110</v>
      </c>
      <c r="K1224" s="403">
        <v>1920</v>
      </c>
      <c r="L1224" s="403">
        <v>1080</v>
      </c>
      <c r="M1224" s="403" t="s">
        <v>1284</v>
      </c>
      <c r="N1224" s="403">
        <v>640</v>
      </c>
      <c r="O1224" s="403">
        <v>480</v>
      </c>
      <c r="P1224" t="str">
        <f t="shared" si="153"/>
        <v>30fps 1080p - SD VGA (cropped)</v>
      </c>
      <c r="Q1224">
        <f t="shared" si="154"/>
        <v>7</v>
      </c>
      <c r="R1224" t="str">
        <f t="shared" si="155"/>
        <v/>
      </c>
      <c r="S1224" t="str">
        <f t="shared" si="156"/>
        <v/>
      </c>
      <c r="T1224" s="403" t="str">
        <f t="shared" si="157"/>
        <v>NBE-4502-AL</v>
      </c>
      <c r="U1224" s="403">
        <f t="shared" si="158"/>
        <v>1</v>
      </c>
      <c r="V1224" s="403" t="str">
        <f t="shared" si="159"/>
        <v>CPP_7_3</v>
      </c>
    </row>
    <row r="1225" spans="1:22">
      <c r="A1225" t="str">
        <f t="shared" si="152"/>
        <v>NBE-4502-AL</v>
      </c>
      <c r="B1225" s="403" t="s">
        <v>1378</v>
      </c>
      <c r="C1225" s="403" t="s">
        <v>582</v>
      </c>
      <c r="D1225" s="403" t="s">
        <v>1379</v>
      </c>
      <c r="E1225" s="403" t="s">
        <v>778</v>
      </c>
      <c r="F1225" s="403" t="s">
        <v>1286</v>
      </c>
      <c r="G1225" s="403" t="s">
        <v>1466</v>
      </c>
      <c r="H1225" s="403" t="s">
        <v>1282</v>
      </c>
      <c r="I1225" s="403">
        <v>1</v>
      </c>
      <c r="J1225" s="403" t="s">
        <v>109</v>
      </c>
      <c r="K1225" s="403">
        <v>1280</v>
      </c>
      <c r="L1225" s="403">
        <v>720</v>
      </c>
      <c r="M1225" s="403" t="s">
        <v>109</v>
      </c>
      <c r="N1225" s="403">
        <v>1280</v>
      </c>
      <c r="O1225" s="403">
        <v>720</v>
      </c>
      <c r="P1225" t="str">
        <f t="shared" si="153"/>
        <v>30fps 720p - 720p</v>
      </c>
      <c r="Q1225">
        <f t="shared" si="154"/>
        <v>7</v>
      </c>
      <c r="R1225" t="str">
        <f t="shared" si="155"/>
        <v/>
      </c>
      <c r="S1225" t="str">
        <f t="shared" si="156"/>
        <v/>
      </c>
      <c r="T1225" s="403" t="str">
        <f t="shared" si="157"/>
        <v>NBE-4502-AL</v>
      </c>
      <c r="U1225" s="403">
        <f t="shared" si="158"/>
        <v>1</v>
      </c>
      <c r="V1225" s="403" t="str">
        <f t="shared" si="159"/>
        <v>CPP_7_3</v>
      </c>
    </row>
    <row r="1226" spans="1:22">
      <c r="A1226" t="str">
        <f t="shared" si="152"/>
        <v>NBE-4502-AL</v>
      </c>
      <c r="B1226" s="403" t="s">
        <v>1378</v>
      </c>
      <c r="C1226" s="403" t="s">
        <v>582</v>
      </c>
      <c r="D1226" s="403" t="s">
        <v>1379</v>
      </c>
      <c r="E1226" s="403" t="s">
        <v>778</v>
      </c>
      <c r="F1226" s="403" t="s">
        <v>1286</v>
      </c>
      <c r="G1226" s="403" t="s">
        <v>1466</v>
      </c>
      <c r="H1226" s="403" t="s">
        <v>1282</v>
      </c>
      <c r="I1226" s="403">
        <v>1</v>
      </c>
      <c r="J1226" s="403" t="s">
        <v>109</v>
      </c>
      <c r="K1226" s="403">
        <v>1280</v>
      </c>
      <c r="L1226" s="403">
        <v>720</v>
      </c>
      <c r="M1226" s="403" t="s">
        <v>111</v>
      </c>
      <c r="N1226" s="403">
        <v>768</v>
      </c>
      <c r="O1226" s="403">
        <v>432</v>
      </c>
      <c r="P1226" t="str">
        <f t="shared" si="153"/>
        <v>30fps 720p - SD</v>
      </c>
      <c r="Q1226">
        <f t="shared" si="154"/>
        <v>7</v>
      </c>
      <c r="R1226" t="str">
        <f t="shared" si="155"/>
        <v/>
      </c>
      <c r="S1226" t="str">
        <f t="shared" si="156"/>
        <v/>
      </c>
      <c r="T1226" s="403" t="str">
        <f t="shared" si="157"/>
        <v>NBE-4502-AL</v>
      </c>
      <c r="U1226" s="403">
        <f t="shared" si="158"/>
        <v>1</v>
      </c>
      <c r="V1226" s="403" t="str">
        <f t="shared" si="159"/>
        <v>CPP_7_3</v>
      </c>
    </row>
    <row r="1227" spans="1:22">
      <c r="A1227" t="str">
        <f t="shared" si="152"/>
        <v>NBE-4502-AL</v>
      </c>
      <c r="B1227" s="403" t="s">
        <v>1378</v>
      </c>
      <c r="C1227" s="403" t="s">
        <v>582</v>
      </c>
      <c r="D1227" s="403" t="s">
        <v>1379</v>
      </c>
      <c r="E1227" s="403" t="s">
        <v>778</v>
      </c>
      <c r="F1227" s="403" t="s">
        <v>1286</v>
      </c>
      <c r="G1227" s="403" t="s">
        <v>1466</v>
      </c>
      <c r="H1227" s="403" t="s">
        <v>1282</v>
      </c>
      <c r="I1227" s="403">
        <v>1</v>
      </c>
      <c r="J1227" s="403" t="s">
        <v>109</v>
      </c>
      <c r="K1227" s="403">
        <v>1280</v>
      </c>
      <c r="L1227" s="403">
        <v>720</v>
      </c>
      <c r="M1227" s="403" t="s">
        <v>1279</v>
      </c>
      <c r="N1227" s="403">
        <v>768</v>
      </c>
      <c r="O1227" s="403">
        <v>432</v>
      </c>
      <c r="P1227" t="str">
        <f t="shared" si="153"/>
        <v>30fps 720p - SD ROI PTZ</v>
      </c>
      <c r="Q1227">
        <f t="shared" si="154"/>
        <v>7</v>
      </c>
      <c r="R1227" t="str">
        <f t="shared" si="155"/>
        <v/>
      </c>
      <c r="S1227" t="str">
        <f t="shared" si="156"/>
        <v/>
      </c>
      <c r="T1227" s="403" t="str">
        <f t="shared" si="157"/>
        <v>NBE-4502-AL</v>
      </c>
      <c r="U1227" s="403">
        <f t="shared" si="158"/>
        <v>1</v>
      </c>
      <c r="V1227" s="403" t="str">
        <f t="shared" si="159"/>
        <v>CPP_7_3</v>
      </c>
    </row>
    <row r="1228" spans="1:22">
      <c r="A1228" t="str">
        <f t="shared" si="152"/>
        <v>NBE-4502-AL</v>
      </c>
      <c r="B1228" s="403" t="s">
        <v>1378</v>
      </c>
      <c r="C1228" s="403" t="s">
        <v>582</v>
      </c>
      <c r="D1228" s="403" t="s">
        <v>1379</v>
      </c>
      <c r="E1228" s="403" t="s">
        <v>778</v>
      </c>
      <c r="F1228" s="403" t="s">
        <v>1286</v>
      </c>
      <c r="G1228" s="403" t="s">
        <v>1466</v>
      </c>
      <c r="H1228" s="403" t="s">
        <v>1282</v>
      </c>
      <c r="I1228" s="403">
        <v>1</v>
      </c>
      <c r="J1228" s="403" t="s">
        <v>109</v>
      </c>
      <c r="K1228" s="403">
        <v>1280</v>
      </c>
      <c r="L1228" s="403">
        <v>720</v>
      </c>
      <c r="M1228" s="403" t="s">
        <v>1283</v>
      </c>
      <c r="N1228" s="403">
        <v>720</v>
      </c>
      <c r="O1228" s="403">
        <v>480</v>
      </c>
      <c r="P1228" t="str">
        <f t="shared" si="153"/>
        <v>30fps 720p - SD 4CIF resolution 4:3 format (cropped)</v>
      </c>
      <c r="Q1228">
        <f t="shared" si="154"/>
        <v>7</v>
      </c>
      <c r="R1228" t="str">
        <f t="shared" si="155"/>
        <v/>
      </c>
      <c r="S1228" t="str">
        <f t="shared" si="156"/>
        <v/>
      </c>
      <c r="T1228" s="403" t="str">
        <f t="shared" si="157"/>
        <v>NBE-4502-AL</v>
      </c>
      <c r="U1228" s="403">
        <f t="shared" si="158"/>
        <v>1</v>
      </c>
      <c r="V1228" s="403" t="str">
        <f t="shared" si="159"/>
        <v>CPP_7_3</v>
      </c>
    </row>
    <row r="1229" spans="1:22">
      <c r="A1229" t="str">
        <f t="shared" si="152"/>
        <v>NBE-4502-AL</v>
      </c>
      <c r="B1229" s="403" t="s">
        <v>1378</v>
      </c>
      <c r="C1229" s="403" t="s">
        <v>582</v>
      </c>
      <c r="D1229" s="403" t="s">
        <v>1379</v>
      </c>
      <c r="E1229" s="403" t="s">
        <v>778</v>
      </c>
      <c r="F1229" s="403" t="s">
        <v>1286</v>
      </c>
      <c r="G1229" s="403" t="s">
        <v>1466</v>
      </c>
      <c r="H1229" s="403" t="s">
        <v>1282</v>
      </c>
      <c r="I1229" s="403">
        <v>1</v>
      </c>
      <c r="J1229" s="403" t="s">
        <v>109</v>
      </c>
      <c r="K1229" s="403">
        <v>1280</v>
      </c>
      <c r="L1229" s="403">
        <v>720</v>
      </c>
      <c r="M1229" s="403" t="s">
        <v>1284</v>
      </c>
      <c r="N1229" s="403">
        <v>640</v>
      </c>
      <c r="O1229" s="403">
        <v>480</v>
      </c>
      <c r="P1229" t="str">
        <f t="shared" si="153"/>
        <v>30fps 720p - SD VGA (cropped)</v>
      </c>
      <c r="Q1229">
        <f t="shared" si="154"/>
        <v>7</v>
      </c>
      <c r="R1229" t="str">
        <f t="shared" si="155"/>
        <v/>
      </c>
      <c r="S1229" t="str">
        <f t="shared" si="156"/>
        <v/>
      </c>
      <c r="T1229" s="403" t="str">
        <f t="shared" si="157"/>
        <v>NBE-4502-AL</v>
      </c>
      <c r="U1229" s="403">
        <f t="shared" si="158"/>
        <v>1</v>
      </c>
      <c r="V1229" s="403" t="str">
        <f t="shared" si="159"/>
        <v>CPP_7_3</v>
      </c>
    </row>
    <row r="1230" spans="1:22">
      <c r="A1230" t="str">
        <f t="shared" si="152"/>
        <v>NBE-4502-AL</v>
      </c>
      <c r="B1230" s="403" t="s">
        <v>1378</v>
      </c>
      <c r="C1230" s="403" t="s">
        <v>582</v>
      </c>
      <c r="D1230" s="403" t="s">
        <v>1379</v>
      </c>
      <c r="E1230" s="403" t="s">
        <v>778</v>
      </c>
      <c r="F1230" s="403" t="s">
        <v>1286</v>
      </c>
      <c r="G1230" s="403" t="s">
        <v>1467</v>
      </c>
      <c r="H1230" s="403" t="s">
        <v>1276</v>
      </c>
      <c r="I1230" s="403">
        <v>1</v>
      </c>
      <c r="J1230" s="403" t="s">
        <v>110</v>
      </c>
      <c r="K1230" s="403">
        <v>1080</v>
      </c>
      <c r="L1230" s="403">
        <v>1920</v>
      </c>
      <c r="M1230" s="403" t="s">
        <v>111</v>
      </c>
      <c r="N1230" s="403">
        <v>432</v>
      </c>
      <c r="O1230" s="403">
        <v>768</v>
      </c>
      <c r="P1230" t="str">
        <f t="shared" si="153"/>
        <v>30fps 1080p - SD</v>
      </c>
      <c r="Q1230">
        <f t="shared" si="154"/>
        <v>7</v>
      </c>
      <c r="R1230" t="str">
        <f t="shared" si="155"/>
        <v/>
      </c>
      <c r="S1230" t="str">
        <f t="shared" si="156"/>
        <v/>
      </c>
      <c r="T1230" s="403" t="str">
        <f t="shared" si="157"/>
        <v>NBE-4502-AL</v>
      </c>
      <c r="U1230" s="403">
        <f t="shared" si="158"/>
        <v>1</v>
      </c>
      <c r="V1230" s="403" t="str">
        <f t="shared" si="159"/>
        <v>CPP_7_3</v>
      </c>
    </row>
    <row r="1231" spans="1:22">
      <c r="A1231" t="str">
        <f t="shared" si="152"/>
        <v>NBE-4502-AL</v>
      </c>
      <c r="B1231" s="403" t="s">
        <v>1378</v>
      </c>
      <c r="C1231" s="403" t="s">
        <v>582</v>
      </c>
      <c r="D1231" s="403" t="s">
        <v>1379</v>
      </c>
      <c r="E1231" s="403" t="s">
        <v>778</v>
      </c>
      <c r="F1231" s="403" t="s">
        <v>1286</v>
      </c>
      <c r="G1231" s="403" t="s">
        <v>1467</v>
      </c>
      <c r="H1231" s="403" t="s">
        <v>1276</v>
      </c>
      <c r="I1231" s="403">
        <v>1</v>
      </c>
      <c r="J1231" s="403" t="s">
        <v>110</v>
      </c>
      <c r="K1231" s="403">
        <v>1080</v>
      </c>
      <c r="L1231" s="403">
        <v>1920</v>
      </c>
      <c r="M1231" s="403" t="s">
        <v>110</v>
      </c>
      <c r="N1231" s="403">
        <v>1080</v>
      </c>
      <c r="O1231" s="403">
        <v>1920</v>
      </c>
      <c r="P1231" t="str">
        <f t="shared" si="153"/>
        <v>30fps 1080p - 1080p</v>
      </c>
      <c r="Q1231">
        <f t="shared" si="154"/>
        <v>7</v>
      </c>
      <c r="R1231" t="str">
        <f t="shared" si="155"/>
        <v/>
      </c>
      <c r="S1231" t="str">
        <f t="shared" si="156"/>
        <v/>
      </c>
      <c r="T1231" s="403" t="str">
        <f t="shared" si="157"/>
        <v>NBE-4502-AL</v>
      </c>
      <c r="U1231" s="403">
        <f t="shared" si="158"/>
        <v>1</v>
      </c>
      <c r="V1231" s="403" t="str">
        <f t="shared" si="159"/>
        <v>CPP_7_3</v>
      </c>
    </row>
    <row r="1232" spans="1:22">
      <c r="A1232" t="str">
        <f t="shared" si="152"/>
        <v>NBE-4502-AL</v>
      </c>
      <c r="B1232" s="403" t="s">
        <v>1378</v>
      </c>
      <c r="C1232" s="403" t="s">
        <v>582</v>
      </c>
      <c r="D1232" s="403" t="s">
        <v>1379</v>
      </c>
      <c r="E1232" s="403" t="s">
        <v>778</v>
      </c>
      <c r="F1232" s="403" t="s">
        <v>1286</v>
      </c>
      <c r="G1232" s="403" t="s">
        <v>1467</v>
      </c>
      <c r="H1232" s="403" t="s">
        <v>1276</v>
      </c>
      <c r="I1232" s="403">
        <v>1</v>
      </c>
      <c r="J1232" s="403" t="s">
        <v>110</v>
      </c>
      <c r="K1232" s="403">
        <v>1080</v>
      </c>
      <c r="L1232" s="403">
        <v>1920</v>
      </c>
      <c r="M1232" s="403" t="s">
        <v>109</v>
      </c>
      <c r="N1232" s="403">
        <v>720</v>
      </c>
      <c r="O1232" s="403">
        <v>1280</v>
      </c>
      <c r="P1232" t="str">
        <f t="shared" si="153"/>
        <v>30fps 1080p - 720p</v>
      </c>
      <c r="Q1232">
        <f t="shared" si="154"/>
        <v>7</v>
      </c>
      <c r="R1232" t="str">
        <f t="shared" si="155"/>
        <v/>
      </c>
      <c r="S1232" t="str">
        <f t="shared" si="156"/>
        <v/>
      </c>
      <c r="T1232" s="403" t="str">
        <f t="shared" si="157"/>
        <v>NBE-4502-AL</v>
      </c>
      <c r="U1232" s="403">
        <f t="shared" si="158"/>
        <v>1</v>
      </c>
      <c r="V1232" s="403" t="str">
        <f t="shared" si="159"/>
        <v>CPP_7_3</v>
      </c>
    </row>
    <row r="1233" spans="1:22">
      <c r="A1233" t="str">
        <f t="shared" si="152"/>
        <v>NBE-4502-AL</v>
      </c>
      <c r="B1233" s="403" t="s">
        <v>1378</v>
      </c>
      <c r="C1233" s="403" t="s">
        <v>582</v>
      </c>
      <c r="D1233" s="403" t="s">
        <v>1379</v>
      </c>
      <c r="E1233" s="403" t="s">
        <v>778</v>
      </c>
      <c r="F1233" s="403" t="s">
        <v>1286</v>
      </c>
      <c r="G1233" s="403" t="s">
        <v>1467</v>
      </c>
      <c r="H1233" s="403" t="s">
        <v>1276</v>
      </c>
      <c r="I1233" s="403">
        <v>1</v>
      </c>
      <c r="J1233" s="403" t="s">
        <v>110</v>
      </c>
      <c r="K1233" s="403">
        <v>1080</v>
      </c>
      <c r="L1233" s="403">
        <v>1920</v>
      </c>
      <c r="M1233" s="403" t="s">
        <v>1285</v>
      </c>
      <c r="N1233" s="403">
        <v>1024</v>
      </c>
      <c r="O1233" s="403">
        <v>1280</v>
      </c>
      <c r="P1233" t="str">
        <f t="shared" si="153"/>
        <v>30fps 1080p - 1280x1024 5:4 (cropped)</v>
      </c>
      <c r="Q1233">
        <f t="shared" si="154"/>
        <v>7</v>
      </c>
      <c r="R1233" t="str">
        <f t="shared" si="155"/>
        <v/>
      </c>
      <c r="S1233" t="str">
        <f t="shared" si="156"/>
        <v/>
      </c>
      <c r="T1233" s="403" t="str">
        <f t="shared" si="157"/>
        <v>NBE-4502-AL</v>
      </c>
      <c r="U1233" s="403">
        <f t="shared" si="158"/>
        <v>1</v>
      </c>
      <c r="V1233" s="403" t="str">
        <f t="shared" si="159"/>
        <v>CPP_7_3</v>
      </c>
    </row>
    <row r="1234" spans="1:22">
      <c r="A1234" t="str">
        <f t="shared" si="152"/>
        <v>NBE-4502-AL</v>
      </c>
      <c r="B1234" s="403" t="s">
        <v>1378</v>
      </c>
      <c r="C1234" s="403" t="s">
        <v>582</v>
      </c>
      <c r="D1234" s="403" t="s">
        <v>1379</v>
      </c>
      <c r="E1234" s="403" t="s">
        <v>778</v>
      </c>
      <c r="F1234" s="403" t="s">
        <v>1286</v>
      </c>
      <c r="G1234" s="403" t="s">
        <v>1467</v>
      </c>
      <c r="H1234" s="403" t="s">
        <v>1276</v>
      </c>
      <c r="I1234" s="403">
        <v>1</v>
      </c>
      <c r="J1234" s="403" t="s">
        <v>110</v>
      </c>
      <c r="K1234" s="403">
        <v>1080</v>
      </c>
      <c r="L1234" s="403">
        <v>1920</v>
      </c>
      <c r="M1234" s="403" t="s">
        <v>1279</v>
      </c>
      <c r="N1234" s="403">
        <v>432</v>
      </c>
      <c r="O1234" s="403">
        <v>768</v>
      </c>
      <c r="P1234" t="str">
        <f t="shared" si="153"/>
        <v>30fps 1080p - SD ROI PTZ</v>
      </c>
      <c r="Q1234">
        <f t="shared" si="154"/>
        <v>7</v>
      </c>
      <c r="R1234" t="str">
        <f t="shared" si="155"/>
        <v/>
      </c>
      <c r="S1234" t="str">
        <f t="shared" si="156"/>
        <v/>
      </c>
      <c r="T1234" s="403" t="str">
        <f t="shared" si="157"/>
        <v>NBE-4502-AL</v>
      </c>
      <c r="U1234" s="403">
        <f t="shared" si="158"/>
        <v>1</v>
      </c>
      <c r="V1234" s="403" t="str">
        <f t="shared" si="159"/>
        <v>CPP_7_3</v>
      </c>
    </row>
    <row r="1235" spans="1:22">
      <c r="A1235" t="str">
        <f t="shared" si="152"/>
        <v>NBE-4502-AL</v>
      </c>
      <c r="B1235" s="403" t="s">
        <v>1378</v>
      </c>
      <c r="C1235" s="403" t="s">
        <v>582</v>
      </c>
      <c r="D1235" s="403" t="s">
        <v>1379</v>
      </c>
      <c r="E1235" s="403" t="s">
        <v>778</v>
      </c>
      <c r="F1235" s="403" t="s">
        <v>1286</v>
      </c>
      <c r="G1235" s="403" t="s">
        <v>1467</v>
      </c>
      <c r="H1235" s="403" t="s">
        <v>1276</v>
      </c>
      <c r="I1235" s="403">
        <v>1</v>
      </c>
      <c r="J1235" s="403" t="s">
        <v>110</v>
      </c>
      <c r="K1235" s="403">
        <v>1080</v>
      </c>
      <c r="L1235" s="403">
        <v>1920</v>
      </c>
      <c r="M1235" s="403" t="s">
        <v>1283</v>
      </c>
      <c r="N1235" s="403">
        <v>480</v>
      </c>
      <c r="O1235" s="403">
        <v>720</v>
      </c>
      <c r="P1235" t="str">
        <f t="shared" si="153"/>
        <v>30fps 1080p - SD 4CIF resolution 4:3 format (cropped)</v>
      </c>
      <c r="Q1235">
        <f t="shared" si="154"/>
        <v>7</v>
      </c>
      <c r="R1235" t="str">
        <f t="shared" si="155"/>
        <v/>
      </c>
      <c r="S1235" t="str">
        <f t="shared" si="156"/>
        <v/>
      </c>
      <c r="T1235" s="403" t="str">
        <f t="shared" si="157"/>
        <v>NBE-4502-AL</v>
      </c>
      <c r="U1235" s="403">
        <f t="shared" si="158"/>
        <v>1</v>
      </c>
      <c r="V1235" s="403" t="str">
        <f t="shared" si="159"/>
        <v>CPP_7_3</v>
      </c>
    </row>
    <row r="1236" spans="1:22">
      <c r="A1236" t="str">
        <f t="shared" si="152"/>
        <v>NBE-4502-AL</v>
      </c>
      <c r="B1236" s="403" t="s">
        <v>1378</v>
      </c>
      <c r="C1236" s="403" t="s">
        <v>582</v>
      </c>
      <c r="D1236" s="403" t="s">
        <v>1379</v>
      </c>
      <c r="E1236" s="403" t="s">
        <v>778</v>
      </c>
      <c r="F1236" s="403" t="s">
        <v>1286</v>
      </c>
      <c r="G1236" s="403" t="s">
        <v>1467</v>
      </c>
      <c r="H1236" s="403" t="s">
        <v>1276</v>
      </c>
      <c r="I1236" s="403">
        <v>1</v>
      </c>
      <c r="J1236" s="403" t="s">
        <v>110</v>
      </c>
      <c r="K1236" s="403">
        <v>1080</v>
      </c>
      <c r="L1236" s="403">
        <v>1920</v>
      </c>
      <c r="M1236" s="403" t="s">
        <v>1284</v>
      </c>
      <c r="N1236" s="403">
        <v>480</v>
      </c>
      <c r="O1236" s="403">
        <v>640</v>
      </c>
      <c r="P1236" t="str">
        <f t="shared" si="153"/>
        <v>30fps 1080p - SD VGA (cropped)</v>
      </c>
      <c r="Q1236">
        <f t="shared" si="154"/>
        <v>7</v>
      </c>
      <c r="R1236" t="str">
        <f t="shared" si="155"/>
        <v/>
      </c>
      <c r="S1236" t="str">
        <f t="shared" si="156"/>
        <v/>
      </c>
      <c r="T1236" s="403" t="str">
        <f t="shared" si="157"/>
        <v>NBE-4502-AL</v>
      </c>
      <c r="U1236" s="403">
        <f t="shared" si="158"/>
        <v>1</v>
      </c>
      <c r="V1236" s="403" t="str">
        <f t="shared" si="159"/>
        <v>CPP_7_3</v>
      </c>
    </row>
    <row r="1237" spans="1:22">
      <c r="A1237" t="str">
        <f t="shared" si="152"/>
        <v>NBE-4502-AL</v>
      </c>
      <c r="B1237" s="403" t="s">
        <v>1378</v>
      </c>
      <c r="C1237" s="403" t="s">
        <v>582</v>
      </c>
      <c r="D1237" s="403" t="s">
        <v>1379</v>
      </c>
      <c r="E1237" s="403" t="s">
        <v>778</v>
      </c>
      <c r="F1237" s="403" t="s">
        <v>1286</v>
      </c>
      <c r="G1237" s="403" t="s">
        <v>1467</v>
      </c>
      <c r="H1237" s="403" t="s">
        <v>1276</v>
      </c>
      <c r="I1237" s="403">
        <v>1</v>
      </c>
      <c r="J1237" s="403" t="s">
        <v>109</v>
      </c>
      <c r="K1237" s="403">
        <v>720</v>
      </c>
      <c r="L1237" s="403">
        <v>1280</v>
      </c>
      <c r="M1237" s="403" t="s">
        <v>109</v>
      </c>
      <c r="N1237" s="403">
        <v>720</v>
      </c>
      <c r="O1237" s="403">
        <v>1280</v>
      </c>
      <c r="P1237" t="str">
        <f t="shared" si="153"/>
        <v>30fps 720p - 720p</v>
      </c>
      <c r="Q1237">
        <f t="shared" si="154"/>
        <v>7</v>
      </c>
      <c r="R1237" t="str">
        <f t="shared" si="155"/>
        <v/>
      </c>
      <c r="S1237" t="str">
        <f t="shared" si="156"/>
        <v/>
      </c>
      <c r="T1237" s="403" t="str">
        <f t="shared" si="157"/>
        <v>NBE-4502-AL</v>
      </c>
      <c r="U1237" s="403">
        <f t="shared" si="158"/>
        <v>1</v>
      </c>
      <c r="V1237" s="403" t="str">
        <f t="shared" si="159"/>
        <v>CPP_7_3</v>
      </c>
    </row>
    <row r="1238" spans="1:22">
      <c r="A1238" t="str">
        <f t="shared" si="152"/>
        <v>NBE-4502-AL</v>
      </c>
      <c r="B1238" s="403" t="s">
        <v>1378</v>
      </c>
      <c r="C1238" s="403" t="s">
        <v>582</v>
      </c>
      <c r="D1238" s="403" t="s">
        <v>1379</v>
      </c>
      <c r="E1238" s="403" t="s">
        <v>778</v>
      </c>
      <c r="F1238" s="403" t="s">
        <v>1286</v>
      </c>
      <c r="G1238" s="403" t="s">
        <v>1467</v>
      </c>
      <c r="H1238" s="403" t="s">
        <v>1276</v>
      </c>
      <c r="I1238" s="403">
        <v>1</v>
      </c>
      <c r="J1238" s="403" t="s">
        <v>109</v>
      </c>
      <c r="K1238" s="403">
        <v>720</v>
      </c>
      <c r="L1238" s="403">
        <v>1280</v>
      </c>
      <c r="M1238" s="403" t="s">
        <v>111</v>
      </c>
      <c r="N1238" s="403">
        <v>432</v>
      </c>
      <c r="O1238" s="403">
        <v>768</v>
      </c>
      <c r="P1238" t="str">
        <f t="shared" si="153"/>
        <v>30fps 720p - SD</v>
      </c>
      <c r="Q1238">
        <f t="shared" si="154"/>
        <v>7</v>
      </c>
      <c r="R1238" t="str">
        <f t="shared" si="155"/>
        <v/>
      </c>
      <c r="S1238" t="str">
        <f t="shared" si="156"/>
        <v/>
      </c>
      <c r="T1238" s="403" t="str">
        <f t="shared" si="157"/>
        <v>NBE-4502-AL</v>
      </c>
      <c r="U1238" s="403">
        <f t="shared" si="158"/>
        <v>1</v>
      </c>
      <c r="V1238" s="403" t="str">
        <f t="shared" si="159"/>
        <v>CPP_7_3</v>
      </c>
    </row>
    <row r="1239" spans="1:22">
      <c r="A1239" t="str">
        <f t="shared" si="152"/>
        <v>NBE-4502-AL</v>
      </c>
      <c r="B1239" s="403" t="s">
        <v>1378</v>
      </c>
      <c r="C1239" s="403" t="s">
        <v>582</v>
      </c>
      <c r="D1239" s="403" t="s">
        <v>1379</v>
      </c>
      <c r="E1239" s="403" t="s">
        <v>778</v>
      </c>
      <c r="F1239" s="403" t="s">
        <v>1286</v>
      </c>
      <c r="G1239" s="403" t="s">
        <v>1467</v>
      </c>
      <c r="H1239" s="403" t="s">
        <v>1276</v>
      </c>
      <c r="I1239" s="403">
        <v>1</v>
      </c>
      <c r="J1239" s="403" t="s">
        <v>109</v>
      </c>
      <c r="K1239" s="403">
        <v>720</v>
      </c>
      <c r="L1239" s="403">
        <v>1280</v>
      </c>
      <c r="M1239" s="403" t="s">
        <v>1279</v>
      </c>
      <c r="N1239" s="403">
        <v>432</v>
      </c>
      <c r="O1239" s="403">
        <v>768</v>
      </c>
      <c r="P1239" t="str">
        <f t="shared" si="153"/>
        <v>30fps 720p - SD ROI PTZ</v>
      </c>
      <c r="Q1239">
        <f t="shared" si="154"/>
        <v>7</v>
      </c>
      <c r="R1239" t="str">
        <f t="shared" si="155"/>
        <v/>
      </c>
      <c r="S1239" t="str">
        <f t="shared" si="156"/>
        <v/>
      </c>
      <c r="T1239" s="403" t="str">
        <f t="shared" si="157"/>
        <v>NBE-4502-AL</v>
      </c>
      <c r="U1239" s="403">
        <f t="shared" si="158"/>
        <v>1</v>
      </c>
      <c r="V1239" s="403" t="str">
        <f t="shared" si="159"/>
        <v>CPP_7_3</v>
      </c>
    </row>
    <row r="1240" spans="1:22">
      <c r="A1240" t="str">
        <f t="shared" si="152"/>
        <v>NBE-4502-AL</v>
      </c>
      <c r="B1240" s="403" t="s">
        <v>1378</v>
      </c>
      <c r="C1240" s="403" t="s">
        <v>582</v>
      </c>
      <c r="D1240" s="403" t="s">
        <v>1379</v>
      </c>
      <c r="E1240" s="403" t="s">
        <v>778</v>
      </c>
      <c r="F1240" s="403" t="s">
        <v>1286</v>
      </c>
      <c r="G1240" s="403" t="s">
        <v>1467</v>
      </c>
      <c r="H1240" s="403" t="s">
        <v>1276</v>
      </c>
      <c r="I1240" s="403">
        <v>1</v>
      </c>
      <c r="J1240" s="403" t="s">
        <v>109</v>
      </c>
      <c r="K1240" s="403">
        <v>720</v>
      </c>
      <c r="L1240" s="403">
        <v>1280</v>
      </c>
      <c r="M1240" s="403" t="s">
        <v>1283</v>
      </c>
      <c r="N1240" s="403">
        <v>480</v>
      </c>
      <c r="O1240" s="403">
        <v>720</v>
      </c>
      <c r="P1240" t="str">
        <f t="shared" si="153"/>
        <v>30fps 720p - SD 4CIF resolution 4:3 format (cropped)</v>
      </c>
      <c r="Q1240">
        <f t="shared" si="154"/>
        <v>7</v>
      </c>
      <c r="R1240" t="str">
        <f t="shared" si="155"/>
        <v/>
      </c>
      <c r="S1240" t="str">
        <f t="shared" si="156"/>
        <v/>
      </c>
      <c r="T1240" s="403" t="str">
        <f t="shared" si="157"/>
        <v>NBE-4502-AL</v>
      </c>
      <c r="U1240" s="403">
        <f t="shared" si="158"/>
        <v>1</v>
      </c>
      <c r="V1240" s="403" t="str">
        <f t="shared" si="159"/>
        <v>CPP_7_3</v>
      </c>
    </row>
    <row r="1241" spans="1:22">
      <c r="A1241" t="str">
        <f t="shared" si="152"/>
        <v>NBE-4502-AL</v>
      </c>
      <c r="B1241" s="403" t="s">
        <v>1378</v>
      </c>
      <c r="C1241" s="403" t="s">
        <v>582</v>
      </c>
      <c r="D1241" s="403" t="s">
        <v>1379</v>
      </c>
      <c r="E1241" s="403" t="s">
        <v>778</v>
      </c>
      <c r="F1241" s="403" t="s">
        <v>1286</v>
      </c>
      <c r="G1241" s="403" t="s">
        <v>1467</v>
      </c>
      <c r="H1241" s="403" t="s">
        <v>1276</v>
      </c>
      <c r="I1241" s="403">
        <v>1</v>
      </c>
      <c r="J1241" s="403" t="s">
        <v>109</v>
      </c>
      <c r="K1241" s="403">
        <v>720</v>
      </c>
      <c r="L1241" s="403">
        <v>1280</v>
      </c>
      <c r="M1241" s="403" t="s">
        <v>1284</v>
      </c>
      <c r="N1241" s="403">
        <v>480</v>
      </c>
      <c r="O1241" s="403">
        <v>640</v>
      </c>
      <c r="P1241" t="str">
        <f t="shared" si="153"/>
        <v>30fps 720p - SD VGA (cropped)</v>
      </c>
      <c r="Q1241">
        <f t="shared" si="154"/>
        <v>7</v>
      </c>
      <c r="R1241" t="str">
        <f t="shared" si="155"/>
        <v/>
      </c>
      <c r="S1241" t="str">
        <f t="shared" si="156"/>
        <v/>
      </c>
      <c r="T1241" s="403" t="str">
        <f t="shared" si="157"/>
        <v>NBE-4502-AL</v>
      </c>
      <c r="U1241" s="403">
        <f t="shared" si="158"/>
        <v>1</v>
      </c>
      <c r="V1241" s="403" t="str">
        <f t="shared" si="159"/>
        <v>CPP_7_3</v>
      </c>
    </row>
    <row r="1242" spans="1:22">
      <c r="A1242" t="str">
        <f t="shared" si="152"/>
        <v>NBE-4502-AL</v>
      </c>
      <c r="B1242" s="403" t="s">
        <v>1378</v>
      </c>
      <c r="C1242" s="403" t="s">
        <v>582</v>
      </c>
      <c r="D1242" s="403" t="s">
        <v>1379</v>
      </c>
      <c r="E1242" s="403" t="s">
        <v>778</v>
      </c>
      <c r="F1242" s="403" t="s">
        <v>1286</v>
      </c>
      <c r="G1242" s="403" t="s">
        <v>1467</v>
      </c>
      <c r="H1242" s="403" t="s">
        <v>1281</v>
      </c>
      <c r="I1242" s="403">
        <v>1</v>
      </c>
      <c r="J1242" s="403" t="s">
        <v>110</v>
      </c>
      <c r="K1242" s="403">
        <v>1080</v>
      </c>
      <c r="L1242" s="403">
        <v>1920</v>
      </c>
      <c r="M1242" s="403" t="s">
        <v>111</v>
      </c>
      <c r="N1242" s="403">
        <v>432</v>
      </c>
      <c r="O1242" s="403">
        <v>768</v>
      </c>
      <c r="P1242" t="str">
        <f t="shared" si="153"/>
        <v>30fps 1080p - SD</v>
      </c>
      <c r="Q1242">
        <f t="shared" si="154"/>
        <v>7</v>
      </c>
      <c r="R1242" t="str">
        <f t="shared" si="155"/>
        <v/>
      </c>
      <c r="S1242" t="str">
        <f t="shared" si="156"/>
        <v/>
      </c>
      <c r="T1242" s="403" t="str">
        <f t="shared" si="157"/>
        <v>NBE-4502-AL</v>
      </c>
      <c r="U1242" s="403">
        <f t="shared" si="158"/>
        <v>1</v>
      </c>
      <c r="V1242" s="403" t="str">
        <f t="shared" si="159"/>
        <v>CPP_7_3</v>
      </c>
    </row>
    <row r="1243" spans="1:22">
      <c r="A1243" t="str">
        <f t="shared" si="152"/>
        <v>NBE-4502-AL</v>
      </c>
      <c r="B1243" s="403" t="s">
        <v>1378</v>
      </c>
      <c r="C1243" s="403" t="s">
        <v>582</v>
      </c>
      <c r="D1243" s="403" t="s">
        <v>1379</v>
      </c>
      <c r="E1243" s="403" t="s">
        <v>778</v>
      </c>
      <c r="F1243" s="403" t="s">
        <v>1286</v>
      </c>
      <c r="G1243" s="403" t="s">
        <v>1467</v>
      </c>
      <c r="H1243" s="403" t="s">
        <v>1281</v>
      </c>
      <c r="I1243" s="403">
        <v>1</v>
      </c>
      <c r="J1243" s="403" t="s">
        <v>110</v>
      </c>
      <c r="K1243" s="403">
        <v>1080</v>
      </c>
      <c r="L1243" s="403">
        <v>1920</v>
      </c>
      <c r="M1243" s="403" t="s">
        <v>110</v>
      </c>
      <c r="N1243" s="403">
        <v>1080</v>
      </c>
      <c r="O1243" s="403">
        <v>1920</v>
      </c>
      <c r="P1243" t="str">
        <f t="shared" si="153"/>
        <v>30fps 1080p - 1080p</v>
      </c>
      <c r="Q1243">
        <f t="shared" si="154"/>
        <v>7</v>
      </c>
      <c r="R1243" t="str">
        <f t="shared" si="155"/>
        <v/>
      </c>
      <c r="S1243" t="str">
        <f t="shared" si="156"/>
        <v/>
      </c>
      <c r="T1243" s="403" t="str">
        <f t="shared" si="157"/>
        <v>NBE-4502-AL</v>
      </c>
      <c r="U1243" s="403">
        <f t="shared" si="158"/>
        <v>1</v>
      </c>
      <c r="V1243" s="403" t="str">
        <f t="shared" si="159"/>
        <v>CPP_7_3</v>
      </c>
    </row>
    <row r="1244" spans="1:22">
      <c r="A1244" t="str">
        <f t="shared" si="152"/>
        <v>NBE-4502-AL</v>
      </c>
      <c r="B1244" s="403" t="s">
        <v>1378</v>
      </c>
      <c r="C1244" s="403" t="s">
        <v>582</v>
      </c>
      <c r="D1244" s="403" t="s">
        <v>1379</v>
      </c>
      <c r="E1244" s="403" t="s">
        <v>778</v>
      </c>
      <c r="F1244" s="403" t="s">
        <v>1286</v>
      </c>
      <c r="G1244" s="403" t="s">
        <v>1467</v>
      </c>
      <c r="H1244" s="403" t="s">
        <v>1281</v>
      </c>
      <c r="I1244" s="403">
        <v>1</v>
      </c>
      <c r="J1244" s="403" t="s">
        <v>110</v>
      </c>
      <c r="K1244" s="403">
        <v>1080</v>
      </c>
      <c r="L1244" s="403">
        <v>1920</v>
      </c>
      <c r="M1244" s="403" t="s">
        <v>109</v>
      </c>
      <c r="N1244" s="403">
        <v>720</v>
      </c>
      <c r="O1244" s="403">
        <v>1280</v>
      </c>
      <c r="P1244" t="str">
        <f t="shared" si="153"/>
        <v>30fps 1080p - 720p</v>
      </c>
      <c r="Q1244">
        <f t="shared" si="154"/>
        <v>7</v>
      </c>
      <c r="R1244" t="str">
        <f t="shared" si="155"/>
        <v/>
      </c>
      <c r="S1244" t="str">
        <f t="shared" si="156"/>
        <v/>
      </c>
      <c r="T1244" s="403" t="str">
        <f t="shared" si="157"/>
        <v>NBE-4502-AL</v>
      </c>
      <c r="U1244" s="403">
        <f t="shared" si="158"/>
        <v>1</v>
      </c>
      <c r="V1244" s="403" t="str">
        <f t="shared" si="159"/>
        <v>CPP_7_3</v>
      </c>
    </row>
    <row r="1245" spans="1:22">
      <c r="A1245" t="str">
        <f t="shared" si="152"/>
        <v>NBE-4502-AL</v>
      </c>
      <c r="B1245" s="403" t="s">
        <v>1378</v>
      </c>
      <c r="C1245" s="403" t="s">
        <v>582</v>
      </c>
      <c r="D1245" s="403" t="s">
        <v>1379</v>
      </c>
      <c r="E1245" s="403" t="s">
        <v>778</v>
      </c>
      <c r="F1245" s="403" t="s">
        <v>1286</v>
      </c>
      <c r="G1245" s="403" t="s">
        <v>1467</v>
      </c>
      <c r="H1245" s="403" t="s">
        <v>1281</v>
      </c>
      <c r="I1245" s="403">
        <v>1</v>
      </c>
      <c r="J1245" s="403" t="s">
        <v>110</v>
      </c>
      <c r="K1245" s="403">
        <v>1080</v>
      </c>
      <c r="L1245" s="403">
        <v>1920</v>
      </c>
      <c r="M1245" s="403" t="s">
        <v>1285</v>
      </c>
      <c r="N1245" s="403">
        <v>1024</v>
      </c>
      <c r="O1245" s="403">
        <v>1280</v>
      </c>
      <c r="P1245" t="str">
        <f t="shared" si="153"/>
        <v>30fps 1080p - 1280x1024 5:4 (cropped)</v>
      </c>
      <c r="Q1245">
        <f t="shared" si="154"/>
        <v>7</v>
      </c>
      <c r="R1245" t="str">
        <f t="shared" si="155"/>
        <v/>
      </c>
      <c r="S1245" t="str">
        <f t="shared" si="156"/>
        <v/>
      </c>
      <c r="T1245" s="403" t="str">
        <f t="shared" si="157"/>
        <v>NBE-4502-AL</v>
      </c>
      <c r="U1245" s="403">
        <f t="shared" si="158"/>
        <v>1</v>
      </c>
      <c r="V1245" s="403" t="str">
        <f t="shared" si="159"/>
        <v>CPP_7_3</v>
      </c>
    </row>
    <row r="1246" spans="1:22">
      <c r="A1246" t="str">
        <f t="shared" si="152"/>
        <v>NBE-4502-AL</v>
      </c>
      <c r="B1246" s="403" t="s">
        <v>1378</v>
      </c>
      <c r="C1246" s="403" t="s">
        <v>582</v>
      </c>
      <c r="D1246" s="403" t="s">
        <v>1379</v>
      </c>
      <c r="E1246" s="403" t="s">
        <v>778</v>
      </c>
      <c r="F1246" s="403" t="s">
        <v>1286</v>
      </c>
      <c r="G1246" s="403" t="s">
        <v>1467</v>
      </c>
      <c r="H1246" s="403" t="s">
        <v>1281</v>
      </c>
      <c r="I1246" s="403">
        <v>1</v>
      </c>
      <c r="J1246" s="403" t="s">
        <v>110</v>
      </c>
      <c r="K1246" s="403">
        <v>1080</v>
      </c>
      <c r="L1246" s="403">
        <v>1920</v>
      </c>
      <c r="M1246" s="403" t="s">
        <v>1279</v>
      </c>
      <c r="N1246" s="403">
        <v>432</v>
      </c>
      <c r="O1246" s="403">
        <v>768</v>
      </c>
      <c r="P1246" t="str">
        <f t="shared" si="153"/>
        <v>30fps 1080p - SD ROI PTZ</v>
      </c>
      <c r="Q1246">
        <f t="shared" si="154"/>
        <v>7</v>
      </c>
      <c r="R1246" t="str">
        <f t="shared" si="155"/>
        <v/>
      </c>
      <c r="S1246" t="str">
        <f t="shared" si="156"/>
        <v/>
      </c>
      <c r="T1246" s="403" t="str">
        <f t="shared" si="157"/>
        <v>NBE-4502-AL</v>
      </c>
      <c r="U1246" s="403">
        <f t="shared" si="158"/>
        <v>1</v>
      </c>
      <c r="V1246" s="403" t="str">
        <f t="shared" si="159"/>
        <v>CPP_7_3</v>
      </c>
    </row>
    <row r="1247" spans="1:22">
      <c r="A1247" t="str">
        <f t="shared" si="152"/>
        <v>NBE-4502-AL</v>
      </c>
      <c r="B1247" s="403" t="s">
        <v>1378</v>
      </c>
      <c r="C1247" s="403" t="s">
        <v>582</v>
      </c>
      <c r="D1247" s="403" t="s">
        <v>1379</v>
      </c>
      <c r="E1247" s="403" t="s">
        <v>778</v>
      </c>
      <c r="F1247" s="403" t="s">
        <v>1286</v>
      </c>
      <c r="G1247" s="403" t="s">
        <v>1467</v>
      </c>
      <c r="H1247" s="403" t="s">
        <v>1281</v>
      </c>
      <c r="I1247" s="403">
        <v>1</v>
      </c>
      <c r="J1247" s="403" t="s">
        <v>110</v>
      </c>
      <c r="K1247" s="403">
        <v>1080</v>
      </c>
      <c r="L1247" s="403">
        <v>1920</v>
      </c>
      <c r="M1247" s="403" t="s">
        <v>1283</v>
      </c>
      <c r="N1247" s="403">
        <v>480</v>
      </c>
      <c r="O1247" s="403">
        <v>720</v>
      </c>
      <c r="P1247" t="str">
        <f t="shared" si="153"/>
        <v>30fps 1080p - SD 4CIF resolution 4:3 format (cropped)</v>
      </c>
      <c r="Q1247">
        <f t="shared" si="154"/>
        <v>7</v>
      </c>
      <c r="R1247" t="str">
        <f t="shared" si="155"/>
        <v/>
      </c>
      <c r="S1247" t="str">
        <f t="shared" si="156"/>
        <v/>
      </c>
      <c r="T1247" s="403" t="str">
        <f t="shared" si="157"/>
        <v>NBE-4502-AL</v>
      </c>
      <c r="U1247" s="403">
        <f t="shared" si="158"/>
        <v>1</v>
      </c>
      <c r="V1247" s="403" t="str">
        <f t="shared" si="159"/>
        <v>CPP_7_3</v>
      </c>
    </row>
    <row r="1248" spans="1:22">
      <c r="A1248" t="str">
        <f t="shared" si="152"/>
        <v>NBE-4502-AL</v>
      </c>
      <c r="B1248" s="403" t="s">
        <v>1378</v>
      </c>
      <c r="C1248" s="403" t="s">
        <v>582</v>
      </c>
      <c r="D1248" s="403" t="s">
        <v>1379</v>
      </c>
      <c r="E1248" s="403" t="s">
        <v>778</v>
      </c>
      <c r="F1248" s="403" t="s">
        <v>1286</v>
      </c>
      <c r="G1248" s="403" t="s">
        <v>1467</v>
      </c>
      <c r="H1248" s="403" t="s">
        <v>1281</v>
      </c>
      <c r="I1248" s="403">
        <v>1</v>
      </c>
      <c r="J1248" s="403" t="s">
        <v>110</v>
      </c>
      <c r="K1248" s="403">
        <v>1080</v>
      </c>
      <c r="L1248" s="403">
        <v>1920</v>
      </c>
      <c r="M1248" s="403" t="s">
        <v>1284</v>
      </c>
      <c r="N1248" s="403">
        <v>480</v>
      </c>
      <c r="O1248" s="403">
        <v>640</v>
      </c>
      <c r="P1248" t="str">
        <f t="shared" si="153"/>
        <v>30fps 1080p - SD VGA (cropped)</v>
      </c>
      <c r="Q1248">
        <f t="shared" si="154"/>
        <v>7</v>
      </c>
      <c r="R1248" t="str">
        <f t="shared" si="155"/>
        <v/>
      </c>
      <c r="S1248" t="str">
        <f t="shared" si="156"/>
        <v/>
      </c>
      <c r="T1248" s="403" t="str">
        <f t="shared" si="157"/>
        <v>NBE-4502-AL</v>
      </c>
      <c r="U1248" s="403">
        <f t="shared" si="158"/>
        <v>1</v>
      </c>
      <c r="V1248" s="403" t="str">
        <f t="shared" si="159"/>
        <v>CPP_7_3</v>
      </c>
    </row>
    <row r="1249" spans="1:22">
      <c r="A1249" t="str">
        <f t="shared" si="152"/>
        <v>NBE-4502-AL</v>
      </c>
      <c r="B1249" s="403" t="s">
        <v>1378</v>
      </c>
      <c r="C1249" s="403" t="s">
        <v>582</v>
      </c>
      <c r="D1249" s="403" t="s">
        <v>1379</v>
      </c>
      <c r="E1249" s="403" t="s">
        <v>778</v>
      </c>
      <c r="F1249" s="403" t="s">
        <v>1286</v>
      </c>
      <c r="G1249" s="403" t="s">
        <v>1467</v>
      </c>
      <c r="H1249" s="403" t="s">
        <v>1281</v>
      </c>
      <c r="I1249" s="403">
        <v>1</v>
      </c>
      <c r="J1249" s="403" t="s">
        <v>109</v>
      </c>
      <c r="K1249" s="403">
        <v>720</v>
      </c>
      <c r="L1249" s="403">
        <v>1280</v>
      </c>
      <c r="M1249" s="403" t="s">
        <v>109</v>
      </c>
      <c r="N1249" s="403">
        <v>720</v>
      </c>
      <c r="O1249" s="403">
        <v>1280</v>
      </c>
      <c r="P1249" t="str">
        <f t="shared" si="153"/>
        <v>30fps 720p - 720p</v>
      </c>
      <c r="Q1249">
        <f t="shared" si="154"/>
        <v>7</v>
      </c>
      <c r="R1249" t="str">
        <f t="shared" si="155"/>
        <v/>
      </c>
      <c r="S1249" t="str">
        <f t="shared" si="156"/>
        <v/>
      </c>
      <c r="T1249" s="403" t="str">
        <f t="shared" si="157"/>
        <v>NBE-4502-AL</v>
      </c>
      <c r="U1249" s="403">
        <f t="shared" si="158"/>
        <v>1</v>
      </c>
      <c r="V1249" s="403" t="str">
        <f t="shared" si="159"/>
        <v>CPP_7_3</v>
      </c>
    </row>
    <row r="1250" spans="1:22">
      <c r="A1250" t="str">
        <f t="shared" si="152"/>
        <v>NBE-4502-AL</v>
      </c>
      <c r="B1250" s="403" t="s">
        <v>1378</v>
      </c>
      <c r="C1250" s="403" t="s">
        <v>582</v>
      </c>
      <c r="D1250" s="403" t="s">
        <v>1379</v>
      </c>
      <c r="E1250" s="403" t="s">
        <v>778</v>
      </c>
      <c r="F1250" s="403" t="s">
        <v>1286</v>
      </c>
      <c r="G1250" s="403" t="s">
        <v>1467</v>
      </c>
      <c r="H1250" s="403" t="s">
        <v>1281</v>
      </c>
      <c r="I1250" s="403">
        <v>1</v>
      </c>
      <c r="J1250" s="403" t="s">
        <v>109</v>
      </c>
      <c r="K1250" s="403">
        <v>720</v>
      </c>
      <c r="L1250" s="403">
        <v>1280</v>
      </c>
      <c r="M1250" s="403" t="s">
        <v>111</v>
      </c>
      <c r="N1250" s="403">
        <v>432</v>
      </c>
      <c r="O1250" s="403">
        <v>768</v>
      </c>
      <c r="P1250" t="str">
        <f t="shared" si="153"/>
        <v>30fps 720p - SD</v>
      </c>
      <c r="Q1250">
        <f t="shared" si="154"/>
        <v>7</v>
      </c>
      <c r="R1250" t="str">
        <f t="shared" si="155"/>
        <v/>
      </c>
      <c r="S1250" t="str">
        <f t="shared" si="156"/>
        <v/>
      </c>
      <c r="T1250" s="403" t="str">
        <f t="shared" si="157"/>
        <v>NBE-4502-AL</v>
      </c>
      <c r="U1250" s="403">
        <f t="shared" si="158"/>
        <v>1</v>
      </c>
      <c r="V1250" s="403" t="str">
        <f t="shared" si="159"/>
        <v>CPP_7_3</v>
      </c>
    </row>
    <row r="1251" spans="1:22">
      <c r="A1251" t="str">
        <f t="shared" si="152"/>
        <v>NBE-4502-AL</v>
      </c>
      <c r="B1251" s="403" t="s">
        <v>1378</v>
      </c>
      <c r="C1251" s="403" t="s">
        <v>582</v>
      </c>
      <c r="D1251" s="403" t="s">
        <v>1379</v>
      </c>
      <c r="E1251" s="403" t="s">
        <v>778</v>
      </c>
      <c r="F1251" s="403" t="s">
        <v>1286</v>
      </c>
      <c r="G1251" s="403" t="s">
        <v>1467</v>
      </c>
      <c r="H1251" s="403" t="s">
        <v>1281</v>
      </c>
      <c r="I1251" s="403">
        <v>1</v>
      </c>
      <c r="J1251" s="403" t="s">
        <v>109</v>
      </c>
      <c r="K1251" s="403">
        <v>720</v>
      </c>
      <c r="L1251" s="403">
        <v>1280</v>
      </c>
      <c r="M1251" s="403" t="s">
        <v>1279</v>
      </c>
      <c r="N1251" s="403">
        <v>432</v>
      </c>
      <c r="O1251" s="403">
        <v>768</v>
      </c>
      <c r="P1251" t="str">
        <f t="shared" si="153"/>
        <v>30fps 720p - SD ROI PTZ</v>
      </c>
      <c r="Q1251">
        <f t="shared" si="154"/>
        <v>7</v>
      </c>
      <c r="R1251" t="str">
        <f t="shared" si="155"/>
        <v/>
      </c>
      <c r="S1251" t="str">
        <f t="shared" si="156"/>
        <v/>
      </c>
      <c r="T1251" s="403" t="str">
        <f t="shared" si="157"/>
        <v>NBE-4502-AL</v>
      </c>
      <c r="U1251" s="403">
        <f t="shared" si="158"/>
        <v>1</v>
      </c>
      <c r="V1251" s="403" t="str">
        <f t="shared" si="159"/>
        <v>CPP_7_3</v>
      </c>
    </row>
    <row r="1252" spans="1:22">
      <c r="A1252" t="str">
        <f t="shared" si="152"/>
        <v>NBE-4502-AL</v>
      </c>
      <c r="B1252" s="403" t="s">
        <v>1378</v>
      </c>
      <c r="C1252" s="403" t="s">
        <v>582</v>
      </c>
      <c r="D1252" s="403" t="s">
        <v>1379</v>
      </c>
      <c r="E1252" s="403" t="s">
        <v>778</v>
      </c>
      <c r="F1252" s="403" t="s">
        <v>1286</v>
      </c>
      <c r="G1252" s="403" t="s">
        <v>1467</v>
      </c>
      <c r="H1252" s="403" t="s">
        <v>1281</v>
      </c>
      <c r="I1252" s="403">
        <v>1</v>
      </c>
      <c r="J1252" s="403" t="s">
        <v>109</v>
      </c>
      <c r="K1252" s="403">
        <v>720</v>
      </c>
      <c r="L1252" s="403">
        <v>1280</v>
      </c>
      <c r="M1252" s="403" t="s">
        <v>1283</v>
      </c>
      <c r="N1252" s="403">
        <v>480</v>
      </c>
      <c r="O1252" s="403">
        <v>720</v>
      </c>
      <c r="P1252" t="str">
        <f t="shared" si="153"/>
        <v>30fps 720p - SD 4CIF resolution 4:3 format (cropped)</v>
      </c>
      <c r="Q1252">
        <f t="shared" si="154"/>
        <v>7</v>
      </c>
      <c r="R1252" t="str">
        <f t="shared" si="155"/>
        <v/>
      </c>
      <c r="S1252" t="str">
        <f t="shared" si="156"/>
        <v/>
      </c>
      <c r="T1252" s="403" t="str">
        <f t="shared" si="157"/>
        <v>NBE-4502-AL</v>
      </c>
      <c r="U1252" s="403">
        <f t="shared" si="158"/>
        <v>1</v>
      </c>
      <c r="V1252" s="403" t="str">
        <f t="shared" si="159"/>
        <v>CPP_7_3</v>
      </c>
    </row>
    <row r="1253" spans="1:22">
      <c r="A1253" t="str">
        <f t="shared" si="152"/>
        <v>NBE-4502-AL</v>
      </c>
      <c r="B1253" s="403" t="s">
        <v>1378</v>
      </c>
      <c r="C1253" s="403" t="s">
        <v>582</v>
      </c>
      <c r="D1253" s="403" t="s">
        <v>1379</v>
      </c>
      <c r="E1253" s="403" t="s">
        <v>778</v>
      </c>
      <c r="F1253" s="403" t="s">
        <v>1286</v>
      </c>
      <c r="G1253" s="403" t="s">
        <v>1467</v>
      </c>
      <c r="H1253" s="403" t="s">
        <v>1281</v>
      </c>
      <c r="I1253" s="403">
        <v>1</v>
      </c>
      <c r="J1253" s="403" t="s">
        <v>109</v>
      </c>
      <c r="K1253" s="403">
        <v>720</v>
      </c>
      <c r="L1253" s="403">
        <v>1280</v>
      </c>
      <c r="M1253" s="403" t="s">
        <v>1284</v>
      </c>
      <c r="N1253" s="403">
        <v>480</v>
      </c>
      <c r="O1253" s="403">
        <v>640</v>
      </c>
      <c r="P1253" t="str">
        <f t="shared" si="153"/>
        <v>30fps 720p - SD VGA (cropped)</v>
      </c>
      <c r="Q1253">
        <f t="shared" si="154"/>
        <v>7</v>
      </c>
      <c r="R1253" t="str">
        <f t="shared" si="155"/>
        <v/>
      </c>
      <c r="S1253" t="str">
        <f t="shared" si="156"/>
        <v/>
      </c>
      <c r="T1253" s="403" t="str">
        <f t="shared" si="157"/>
        <v>NBE-4502-AL</v>
      </c>
      <c r="U1253" s="403">
        <f t="shared" si="158"/>
        <v>1</v>
      </c>
      <c r="V1253" s="403" t="str">
        <f t="shared" si="159"/>
        <v>CPP_7_3</v>
      </c>
    </row>
    <row r="1254" spans="1:22">
      <c r="A1254" t="str">
        <f t="shared" si="152"/>
        <v>NBE-4502-AL</v>
      </c>
      <c r="B1254" s="403" t="s">
        <v>1378</v>
      </c>
      <c r="C1254" s="403" t="s">
        <v>582</v>
      </c>
      <c r="D1254" s="403" t="s">
        <v>1379</v>
      </c>
      <c r="E1254" s="403" t="s">
        <v>778</v>
      </c>
      <c r="F1254" s="403" t="s">
        <v>1286</v>
      </c>
      <c r="G1254" s="403" t="s">
        <v>1467</v>
      </c>
      <c r="H1254" s="403" t="s">
        <v>1282</v>
      </c>
      <c r="I1254" s="403">
        <v>1</v>
      </c>
      <c r="J1254" s="403" t="s">
        <v>110</v>
      </c>
      <c r="K1254" s="403">
        <v>1080</v>
      </c>
      <c r="L1254" s="403">
        <v>1920</v>
      </c>
      <c r="M1254" s="403" t="s">
        <v>111</v>
      </c>
      <c r="N1254" s="403">
        <v>432</v>
      </c>
      <c r="O1254" s="403">
        <v>768</v>
      </c>
      <c r="P1254" t="str">
        <f t="shared" si="153"/>
        <v>30fps 1080p - SD</v>
      </c>
      <c r="Q1254">
        <f t="shared" si="154"/>
        <v>7</v>
      </c>
      <c r="R1254" t="str">
        <f t="shared" si="155"/>
        <v/>
      </c>
      <c r="S1254" t="str">
        <f t="shared" si="156"/>
        <v/>
      </c>
      <c r="T1254" s="403" t="str">
        <f t="shared" si="157"/>
        <v>NBE-4502-AL</v>
      </c>
      <c r="U1254" s="403">
        <f t="shared" si="158"/>
        <v>1</v>
      </c>
      <c r="V1254" s="403" t="str">
        <f t="shared" si="159"/>
        <v>CPP_7_3</v>
      </c>
    </row>
    <row r="1255" spans="1:22">
      <c r="A1255" t="str">
        <f t="shared" si="152"/>
        <v>NBE-4502-AL</v>
      </c>
      <c r="B1255" s="403" t="s">
        <v>1378</v>
      </c>
      <c r="C1255" s="403" t="s">
        <v>582</v>
      </c>
      <c r="D1255" s="403" t="s">
        <v>1379</v>
      </c>
      <c r="E1255" s="403" t="s">
        <v>778</v>
      </c>
      <c r="F1255" s="403" t="s">
        <v>1286</v>
      </c>
      <c r="G1255" s="403" t="s">
        <v>1467</v>
      </c>
      <c r="H1255" s="403" t="s">
        <v>1282</v>
      </c>
      <c r="I1255" s="403">
        <v>1</v>
      </c>
      <c r="J1255" s="403" t="s">
        <v>110</v>
      </c>
      <c r="K1255" s="403">
        <v>1080</v>
      </c>
      <c r="L1255" s="403">
        <v>1920</v>
      </c>
      <c r="M1255" s="403" t="s">
        <v>110</v>
      </c>
      <c r="N1255" s="403">
        <v>1080</v>
      </c>
      <c r="O1255" s="403">
        <v>1920</v>
      </c>
      <c r="P1255" t="str">
        <f t="shared" si="153"/>
        <v>30fps 1080p - 1080p</v>
      </c>
      <c r="Q1255">
        <f t="shared" si="154"/>
        <v>7</v>
      </c>
      <c r="R1255" t="str">
        <f t="shared" si="155"/>
        <v/>
      </c>
      <c r="S1255" t="str">
        <f t="shared" si="156"/>
        <v/>
      </c>
      <c r="T1255" s="403" t="str">
        <f t="shared" si="157"/>
        <v>NBE-4502-AL</v>
      </c>
      <c r="U1255" s="403">
        <f t="shared" si="158"/>
        <v>1</v>
      </c>
      <c r="V1255" s="403" t="str">
        <f t="shared" si="159"/>
        <v>CPP_7_3</v>
      </c>
    </row>
    <row r="1256" spans="1:22">
      <c r="A1256" t="str">
        <f t="shared" si="152"/>
        <v>NBE-4502-AL</v>
      </c>
      <c r="B1256" s="403" t="s">
        <v>1378</v>
      </c>
      <c r="C1256" s="403" t="s">
        <v>582</v>
      </c>
      <c r="D1256" s="403" t="s">
        <v>1379</v>
      </c>
      <c r="E1256" s="403" t="s">
        <v>778</v>
      </c>
      <c r="F1256" s="403" t="s">
        <v>1286</v>
      </c>
      <c r="G1256" s="403" t="s">
        <v>1467</v>
      </c>
      <c r="H1256" s="403" t="s">
        <v>1282</v>
      </c>
      <c r="I1256" s="403">
        <v>1</v>
      </c>
      <c r="J1256" s="403" t="s">
        <v>110</v>
      </c>
      <c r="K1256" s="403">
        <v>1080</v>
      </c>
      <c r="L1256" s="403">
        <v>1920</v>
      </c>
      <c r="M1256" s="403" t="s">
        <v>109</v>
      </c>
      <c r="N1256" s="403">
        <v>720</v>
      </c>
      <c r="O1256" s="403">
        <v>1280</v>
      </c>
      <c r="P1256" t="str">
        <f t="shared" si="153"/>
        <v>30fps 1080p - 720p</v>
      </c>
      <c r="Q1256">
        <f t="shared" si="154"/>
        <v>7</v>
      </c>
      <c r="R1256" t="str">
        <f t="shared" si="155"/>
        <v/>
      </c>
      <c r="S1256" t="str">
        <f t="shared" si="156"/>
        <v/>
      </c>
      <c r="T1256" s="403" t="str">
        <f t="shared" si="157"/>
        <v>NBE-4502-AL</v>
      </c>
      <c r="U1256" s="403">
        <f t="shared" si="158"/>
        <v>1</v>
      </c>
      <c r="V1256" s="403" t="str">
        <f t="shared" si="159"/>
        <v>CPP_7_3</v>
      </c>
    </row>
    <row r="1257" spans="1:22">
      <c r="A1257" t="str">
        <f t="shared" si="152"/>
        <v>NBE-4502-AL</v>
      </c>
      <c r="B1257" s="403" t="s">
        <v>1378</v>
      </c>
      <c r="C1257" s="403" t="s">
        <v>582</v>
      </c>
      <c r="D1257" s="403" t="s">
        <v>1379</v>
      </c>
      <c r="E1257" s="403" t="s">
        <v>778</v>
      </c>
      <c r="F1257" s="403" t="s">
        <v>1286</v>
      </c>
      <c r="G1257" s="403" t="s">
        <v>1467</v>
      </c>
      <c r="H1257" s="403" t="s">
        <v>1282</v>
      </c>
      <c r="I1257" s="403">
        <v>1</v>
      </c>
      <c r="J1257" s="403" t="s">
        <v>110</v>
      </c>
      <c r="K1257" s="403">
        <v>1080</v>
      </c>
      <c r="L1257" s="403">
        <v>1920</v>
      </c>
      <c r="M1257" s="403" t="s">
        <v>1285</v>
      </c>
      <c r="N1257" s="403">
        <v>1024</v>
      </c>
      <c r="O1257" s="403">
        <v>1280</v>
      </c>
      <c r="P1257" t="str">
        <f t="shared" si="153"/>
        <v>30fps 1080p - 1280x1024 5:4 (cropped)</v>
      </c>
      <c r="Q1257">
        <f t="shared" si="154"/>
        <v>7</v>
      </c>
      <c r="R1257" t="str">
        <f t="shared" si="155"/>
        <v/>
      </c>
      <c r="S1257" t="str">
        <f t="shared" si="156"/>
        <v/>
      </c>
      <c r="T1257" s="403" t="str">
        <f t="shared" si="157"/>
        <v>NBE-4502-AL</v>
      </c>
      <c r="U1257" s="403">
        <f t="shared" si="158"/>
        <v>1</v>
      </c>
      <c r="V1257" s="403" t="str">
        <f t="shared" si="159"/>
        <v>CPP_7_3</v>
      </c>
    </row>
    <row r="1258" spans="1:22">
      <c r="A1258" t="str">
        <f t="shared" si="152"/>
        <v>NBE-4502-AL</v>
      </c>
      <c r="B1258" s="403" t="s">
        <v>1378</v>
      </c>
      <c r="C1258" s="403" t="s">
        <v>582</v>
      </c>
      <c r="D1258" s="403" t="s">
        <v>1379</v>
      </c>
      <c r="E1258" s="403" t="s">
        <v>778</v>
      </c>
      <c r="F1258" s="403" t="s">
        <v>1286</v>
      </c>
      <c r="G1258" s="403" t="s">
        <v>1467</v>
      </c>
      <c r="H1258" s="403" t="s">
        <v>1282</v>
      </c>
      <c r="I1258" s="403">
        <v>1</v>
      </c>
      <c r="J1258" s="403" t="s">
        <v>110</v>
      </c>
      <c r="K1258" s="403">
        <v>1080</v>
      </c>
      <c r="L1258" s="403">
        <v>1920</v>
      </c>
      <c r="M1258" s="403" t="s">
        <v>1279</v>
      </c>
      <c r="N1258" s="403">
        <v>432</v>
      </c>
      <c r="O1258" s="403">
        <v>768</v>
      </c>
      <c r="P1258" t="str">
        <f t="shared" si="153"/>
        <v>30fps 1080p - SD ROI PTZ</v>
      </c>
      <c r="Q1258">
        <f t="shared" si="154"/>
        <v>7</v>
      </c>
      <c r="R1258" t="str">
        <f t="shared" si="155"/>
        <v/>
      </c>
      <c r="S1258" t="str">
        <f t="shared" si="156"/>
        <v/>
      </c>
      <c r="T1258" s="403" t="str">
        <f t="shared" si="157"/>
        <v>NBE-4502-AL</v>
      </c>
      <c r="U1258" s="403">
        <f t="shared" si="158"/>
        <v>1</v>
      </c>
      <c r="V1258" s="403" t="str">
        <f t="shared" si="159"/>
        <v>CPP_7_3</v>
      </c>
    </row>
    <row r="1259" spans="1:22">
      <c r="A1259" t="str">
        <f t="shared" si="152"/>
        <v>NBE-4502-AL</v>
      </c>
      <c r="B1259" s="403" t="s">
        <v>1378</v>
      </c>
      <c r="C1259" s="403" t="s">
        <v>582</v>
      </c>
      <c r="D1259" s="403" t="s">
        <v>1379</v>
      </c>
      <c r="E1259" s="403" t="s">
        <v>778</v>
      </c>
      <c r="F1259" s="403" t="s">
        <v>1286</v>
      </c>
      <c r="G1259" s="403" t="s">
        <v>1467</v>
      </c>
      <c r="H1259" s="403" t="s">
        <v>1282</v>
      </c>
      <c r="I1259" s="403">
        <v>1</v>
      </c>
      <c r="J1259" s="403" t="s">
        <v>110</v>
      </c>
      <c r="K1259" s="403">
        <v>1080</v>
      </c>
      <c r="L1259" s="403">
        <v>1920</v>
      </c>
      <c r="M1259" s="403" t="s">
        <v>1283</v>
      </c>
      <c r="N1259" s="403">
        <v>480</v>
      </c>
      <c r="O1259" s="403">
        <v>720</v>
      </c>
      <c r="P1259" t="str">
        <f t="shared" si="153"/>
        <v>30fps 1080p - SD 4CIF resolution 4:3 format (cropped)</v>
      </c>
      <c r="Q1259">
        <f t="shared" si="154"/>
        <v>7</v>
      </c>
      <c r="R1259" t="str">
        <f t="shared" si="155"/>
        <v/>
      </c>
      <c r="S1259" t="str">
        <f t="shared" si="156"/>
        <v/>
      </c>
      <c r="T1259" s="403" t="str">
        <f t="shared" si="157"/>
        <v>NBE-4502-AL</v>
      </c>
      <c r="U1259" s="403">
        <f t="shared" si="158"/>
        <v>1</v>
      </c>
      <c r="V1259" s="403" t="str">
        <f t="shared" si="159"/>
        <v>CPP_7_3</v>
      </c>
    </row>
    <row r="1260" spans="1:22">
      <c r="A1260" t="str">
        <f t="shared" si="152"/>
        <v>NBE-4502-AL</v>
      </c>
      <c r="B1260" s="403" t="s">
        <v>1378</v>
      </c>
      <c r="C1260" s="403" t="s">
        <v>582</v>
      </c>
      <c r="D1260" s="403" t="s">
        <v>1379</v>
      </c>
      <c r="E1260" s="403" t="s">
        <v>778</v>
      </c>
      <c r="F1260" s="403" t="s">
        <v>1286</v>
      </c>
      <c r="G1260" s="403" t="s">
        <v>1467</v>
      </c>
      <c r="H1260" s="403" t="s">
        <v>1282</v>
      </c>
      <c r="I1260" s="403">
        <v>1</v>
      </c>
      <c r="J1260" s="403" t="s">
        <v>110</v>
      </c>
      <c r="K1260" s="403">
        <v>1080</v>
      </c>
      <c r="L1260" s="403">
        <v>1920</v>
      </c>
      <c r="M1260" s="403" t="s">
        <v>1284</v>
      </c>
      <c r="N1260" s="403">
        <v>480</v>
      </c>
      <c r="O1260" s="403">
        <v>640</v>
      </c>
      <c r="P1260" t="str">
        <f t="shared" si="153"/>
        <v>30fps 1080p - SD VGA (cropped)</v>
      </c>
      <c r="Q1260">
        <f t="shared" si="154"/>
        <v>7</v>
      </c>
      <c r="R1260" t="str">
        <f t="shared" si="155"/>
        <v/>
      </c>
      <c r="S1260" t="str">
        <f t="shared" si="156"/>
        <v/>
      </c>
      <c r="T1260" s="403" t="str">
        <f t="shared" si="157"/>
        <v>NBE-4502-AL</v>
      </c>
      <c r="U1260" s="403">
        <f t="shared" si="158"/>
        <v>1</v>
      </c>
      <c r="V1260" s="403" t="str">
        <f t="shared" si="159"/>
        <v>CPP_7_3</v>
      </c>
    </row>
    <row r="1261" spans="1:22">
      <c r="A1261" t="str">
        <f t="shared" si="152"/>
        <v>NBE-4502-AL</v>
      </c>
      <c r="B1261" s="403" t="s">
        <v>1378</v>
      </c>
      <c r="C1261" s="403" t="s">
        <v>582</v>
      </c>
      <c r="D1261" s="403" t="s">
        <v>1379</v>
      </c>
      <c r="E1261" s="403" t="s">
        <v>778</v>
      </c>
      <c r="F1261" s="403" t="s">
        <v>1286</v>
      </c>
      <c r="G1261" s="403" t="s">
        <v>1467</v>
      </c>
      <c r="H1261" s="403" t="s">
        <v>1282</v>
      </c>
      <c r="I1261" s="403">
        <v>1</v>
      </c>
      <c r="J1261" s="403" t="s">
        <v>109</v>
      </c>
      <c r="K1261" s="403">
        <v>720</v>
      </c>
      <c r="L1261" s="403">
        <v>1280</v>
      </c>
      <c r="M1261" s="403" t="s">
        <v>109</v>
      </c>
      <c r="N1261" s="403">
        <v>720</v>
      </c>
      <c r="O1261" s="403">
        <v>1280</v>
      </c>
      <c r="P1261" t="str">
        <f t="shared" si="153"/>
        <v>30fps 720p - 720p</v>
      </c>
      <c r="Q1261">
        <f t="shared" si="154"/>
        <v>7</v>
      </c>
      <c r="R1261" t="str">
        <f t="shared" si="155"/>
        <v/>
      </c>
      <c r="S1261" t="str">
        <f t="shared" si="156"/>
        <v/>
      </c>
      <c r="T1261" s="403" t="str">
        <f t="shared" si="157"/>
        <v>NBE-4502-AL</v>
      </c>
      <c r="U1261" s="403">
        <f t="shared" si="158"/>
        <v>1</v>
      </c>
      <c r="V1261" s="403" t="str">
        <f t="shared" si="159"/>
        <v>CPP_7_3</v>
      </c>
    </row>
    <row r="1262" spans="1:22">
      <c r="A1262" t="str">
        <f t="shared" si="152"/>
        <v>NBE-4502-AL</v>
      </c>
      <c r="B1262" s="403" t="s">
        <v>1378</v>
      </c>
      <c r="C1262" s="403" t="s">
        <v>582</v>
      </c>
      <c r="D1262" s="403" t="s">
        <v>1379</v>
      </c>
      <c r="E1262" s="403" t="s">
        <v>778</v>
      </c>
      <c r="F1262" s="403" t="s">
        <v>1286</v>
      </c>
      <c r="G1262" s="403" t="s">
        <v>1467</v>
      </c>
      <c r="H1262" s="403" t="s">
        <v>1282</v>
      </c>
      <c r="I1262" s="403">
        <v>1</v>
      </c>
      <c r="J1262" s="403" t="s">
        <v>109</v>
      </c>
      <c r="K1262" s="403">
        <v>720</v>
      </c>
      <c r="L1262" s="403">
        <v>1280</v>
      </c>
      <c r="M1262" s="403" t="s">
        <v>111</v>
      </c>
      <c r="N1262" s="403">
        <v>432</v>
      </c>
      <c r="O1262" s="403">
        <v>768</v>
      </c>
      <c r="P1262" t="str">
        <f t="shared" si="153"/>
        <v>30fps 720p - SD</v>
      </c>
      <c r="Q1262">
        <f t="shared" si="154"/>
        <v>7</v>
      </c>
      <c r="R1262" t="str">
        <f t="shared" si="155"/>
        <v/>
      </c>
      <c r="S1262" t="str">
        <f t="shared" si="156"/>
        <v/>
      </c>
      <c r="T1262" s="403" t="str">
        <f t="shared" si="157"/>
        <v>NBE-4502-AL</v>
      </c>
      <c r="U1262" s="403">
        <f t="shared" si="158"/>
        <v>1</v>
      </c>
      <c r="V1262" s="403" t="str">
        <f t="shared" si="159"/>
        <v>CPP_7_3</v>
      </c>
    </row>
    <row r="1263" spans="1:22">
      <c r="A1263" t="str">
        <f t="shared" si="152"/>
        <v>NBE-4502-AL</v>
      </c>
      <c r="B1263" s="403" t="s">
        <v>1378</v>
      </c>
      <c r="C1263" s="403" t="s">
        <v>582</v>
      </c>
      <c r="D1263" s="403" t="s">
        <v>1379</v>
      </c>
      <c r="E1263" s="403" t="s">
        <v>778</v>
      </c>
      <c r="F1263" s="403" t="s">
        <v>1286</v>
      </c>
      <c r="G1263" s="403" t="s">
        <v>1467</v>
      </c>
      <c r="H1263" s="403" t="s">
        <v>1282</v>
      </c>
      <c r="I1263" s="403">
        <v>1</v>
      </c>
      <c r="J1263" s="403" t="s">
        <v>109</v>
      </c>
      <c r="K1263" s="403">
        <v>720</v>
      </c>
      <c r="L1263" s="403">
        <v>1280</v>
      </c>
      <c r="M1263" s="403" t="s">
        <v>1279</v>
      </c>
      <c r="N1263" s="403">
        <v>432</v>
      </c>
      <c r="O1263" s="403">
        <v>768</v>
      </c>
      <c r="P1263" t="str">
        <f t="shared" si="153"/>
        <v>30fps 720p - SD ROI PTZ</v>
      </c>
      <c r="Q1263">
        <f t="shared" si="154"/>
        <v>7</v>
      </c>
      <c r="R1263" t="str">
        <f t="shared" si="155"/>
        <v/>
      </c>
      <c r="S1263" t="str">
        <f t="shared" si="156"/>
        <v/>
      </c>
      <c r="T1263" s="403" t="str">
        <f t="shared" si="157"/>
        <v>NBE-4502-AL</v>
      </c>
      <c r="U1263" s="403">
        <f t="shared" si="158"/>
        <v>1</v>
      </c>
      <c r="V1263" s="403" t="str">
        <f t="shared" si="159"/>
        <v>CPP_7_3</v>
      </c>
    </row>
    <row r="1264" spans="1:22">
      <c r="A1264" t="str">
        <f t="shared" si="152"/>
        <v>NBE-4502-AL</v>
      </c>
      <c r="B1264" s="403" t="s">
        <v>1378</v>
      </c>
      <c r="C1264" s="403" t="s">
        <v>582</v>
      </c>
      <c r="D1264" s="403" t="s">
        <v>1379</v>
      </c>
      <c r="E1264" s="403" t="s">
        <v>778</v>
      </c>
      <c r="F1264" s="403" t="s">
        <v>1286</v>
      </c>
      <c r="G1264" s="403" t="s">
        <v>1467</v>
      </c>
      <c r="H1264" s="403" t="s">
        <v>1282</v>
      </c>
      <c r="I1264" s="403">
        <v>1</v>
      </c>
      <c r="J1264" s="403" t="s">
        <v>109</v>
      </c>
      <c r="K1264" s="403">
        <v>720</v>
      </c>
      <c r="L1264" s="403">
        <v>1280</v>
      </c>
      <c r="M1264" s="403" t="s">
        <v>1283</v>
      </c>
      <c r="N1264" s="403">
        <v>480</v>
      </c>
      <c r="O1264" s="403">
        <v>720</v>
      </c>
      <c r="P1264" t="str">
        <f t="shared" si="153"/>
        <v>30fps 720p - SD 4CIF resolution 4:3 format (cropped)</v>
      </c>
      <c r="Q1264">
        <f t="shared" si="154"/>
        <v>7</v>
      </c>
      <c r="R1264" t="str">
        <f t="shared" si="155"/>
        <v/>
      </c>
      <c r="S1264" t="str">
        <f t="shared" si="156"/>
        <v/>
      </c>
      <c r="T1264" s="403" t="str">
        <f t="shared" si="157"/>
        <v>NBE-4502-AL</v>
      </c>
      <c r="U1264" s="403">
        <f t="shared" si="158"/>
        <v>1</v>
      </c>
      <c r="V1264" s="403" t="str">
        <f t="shared" si="159"/>
        <v>CPP_7_3</v>
      </c>
    </row>
    <row r="1265" spans="1:22">
      <c r="A1265" t="str">
        <f t="shared" si="152"/>
        <v>NBE-4502-AL</v>
      </c>
      <c r="B1265" s="403" t="s">
        <v>1378</v>
      </c>
      <c r="C1265" s="403" t="s">
        <v>582</v>
      </c>
      <c r="D1265" s="403" t="s">
        <v>1379</v>
      </c>
      <c r="E1265" s="403" t="s">
        <v>778</v>
      </c>
      <c r="F1265" s="403" t="s">
        <v>1286</v>
      </c>
      <c r="G1265" s="403" t="s">
        <v>1467</v>
      </c>
      <c r="H1265" s="403" t="s">
        <v>1282</v>
      </c>
      <c r="I1265" s="403">
        <v>1</v>
      </c>
      <c r="J1265" s="403" t="s">
        <v>109</v>
      </c>
      <c r="K1265" s="403">
        <v>720</v>
      </c>
      <c r="L1265" s="403">
        <v>1280</v>
      </c>
      <c r="M1265" s="403" t="s">
        <v>1284</v>
      </c>
      <c r="N1265" s="403">
        <v>480</v>
      </c>
      <c r="O1265" s="403">
        <v>640</v>
      </c>
      <c r="P1265" t="str">
        <f t="shared" si="153"/>
        <v>30fps 720p - SD VGA (cropped)</v>
      </c>
      <c r="Q1265">
        <f t="shared" si="154"/>
        <v>7</v>
      </c>
      <c r="R1265" t="str">
        <f t="shared" si="155"/>
        <v/>
      </c>
      <c r="S1265" t="str">
        <f t="shared" si="156"/>
        <v/>
      </c>
      <c r="T1265" s="403" t="str">
        <f t="shared" si="157"/>
        <v>NBE-4502-AL</v>
      </c>
      <c r="U1265" s="403">
        <f t="shared" si="158"/>
        <v>1</v>
      </c>
      <c r="V1265" s="403" t="str">
        <f t="shared" si="159"/>
        <v>CPP_7_3</v>
      </c>
    </row>
    <row r="1266" spans="1:22">
      <c r="A1266" t="str">
        <f t="shared" si="152"/>
        <v>NBE-4502-AL</v>
      </c>
      <c r="B1266" s="403" t="s">
        <v>1378</v>
      </c>
      <c r="C1266" s="403" t="s">
        <v>582</v>
      </c>
      <c r="D1266" s="403" t="s">
        <v>1379</v>
      </c>
      <c r="E1266" s="403" t="s">
        <v>778</v>
      </c>
      <c r="F1266" s="403" t="s">
        <v>1287</v>
      </c>
      <c r="G1266" s="403" t="s">
        <v>1466</v>
      </c>
      <c r="H1266" s="403" t="s">
        <v>1276</v>
      </c>
      <c r="I1266" s="403">
        <v>1</v>
      </c>
      <c r="J1266" s="403" t="s">
        <v>110</v>
      </c>
      <c r="K1266" s="403">
        <v>1920</v>
      </c>
      <c r="L1266" s="403">
        <v>1080</v>
      </c>
      <c r="M1266" s="403" t="s">
        <v>111</v>
      </c>
      <c r="N1266" s="403">
        <v>768</v>
      </c>
      <c r="O1266" s="403">
        <v>432</v>
      </c>
      <c r="P1266" t="str">
        <f t="shared" si="153"/>
        <v>25fps 1080p - SD</v>
      </c>
      <c r="Q1266">
        <f t="shared" si="154"/>
        <v>7</v>
      </c>
      <c r="R1266" t="str">
        <f t="shared" si="155"/>
        <v/>
      </c>
      <c r="S1266" t="str">
        <f t="shared" si="156"/>
        <v/>
      </c>
      <c r="T1266" s="403" t="str">
        <f t="shared" si="157"/>
        <v>NBE-4502-AL</v>
      </c>
      <c r="U1266" s="403">
        <f t="shared" si="158"/>
        <v>1</v>
      </c>
      <c r="V1266" s="403" t="str">
        <f t="shared" si="159"/>
        <v>CPP_7_3</v>
      </c>
    </row>
    <row r="1267" spans="1:22">
      <c r="A1267" t="str">
        <f t="shared" si="152"/>
        <v>NBE-4502-AL</v>
      </c>
      <c r="B1267" s="403" t="s">
        <v>1378</v>
      </c>
      <c r="C1267" s="403" t="s">
        <v>582</v>
      </c>
      <c r="D1267" s="403" t="s">
        <v>1379</v>
      </c>
      <c r="E1267" s="403" t="s">
        <v>778</v>
      </c>
      <c r="F1267" s="403" t="s">
        <v>1287</v>
      </c>
      <c r="G1267" s="403" t="s">
        <v>1466</v>
      </c>
      <c r="H1267" s="403" t="s">
        <v>1276</v>
      </c>
      <c r="I1267" s="403">
        <v>1</v>
      </c>
      <c r="J1267" s="403" t="s">
        <v>110</v>
      </c>
      <c r="K1267" s="403">
        <v>1920</v>
      </c>
      <c r="L1267" s="403">
        <v>1080</v>
      </c>
      <c r="M1267" s="403" t="s">
        <v>110</v>
      </c>
      <c r="N1267" s="403">
        <v>1920</v>
      </c>
      <c r="O1267" s="403">
        <v>1080</v>
      </c>
      <c r="P1267" t="str">
        <f t="shared" si="153"/>
        <v>25fps 1080p - 1080p</v>
      </c>
      <c r="Q1267">
        <f t="shared" si="154"/>
        <v>7</v>
      </c>
      <c r="R1267" t="str">
        <f t="shared" si="155"/>
        <v/>
      </c>
      <c r="S1267" t="str">
        <f t="shared" si="156"/>
        <v/>
      </c>
      <c r="T1267" s="403" t="str">
        <f t="shared" si="157"/>
        <v>NBE-4502-AL</v>
      </c>
      <c r="U1267" s="403">
        <f t="shared" si="158"/>
        <v>1</v>
      </c>
      <c r="V1267" s="403" t="str">
        <f t="shared" si="159"/>
        <v>CPP_7_3</v>
      </c>
    </row>
    <row r="1268" spans="1:22">
      <c r="A1268" t="str">
        <f t="shared" si="152"/>
        <v>NBE-4502-AL</v>
      </c>
      <c r="B1268" s="403" t="s">
        <v>1378</v>
      </c>
      <c r="C1268" s="403" t="s">
        <v>582</v>
      </c>
      <c r="D1268" s="403" t="s">
        <v>1379</v>
      </c>
      <c r="E1268" s="403" t="s">
        <v>778</v>
      </c>
      <c r="F1268" s="403" t="s">
        <v>1287</v>
      </c>
      <c r="G1268" s="403" t="s">
        <v>1466</v>
      </c>
      <c r="H1268" s="403" t="s">
        <v>1276</v>
      </c>
      <c r="I1268" s="403">
        <v>1</v>
      </c>
      <c r="J1268" s="403" t="s">
        <v>110</v>
      </c>
      <c r="K1268" s="403">
        <v>1920</v>
      </c>
      <c r="L1268" s="403">
        <v>1080</v>
      </c>
      <c r="M1268" s="403" t="s">
        <v>109</v>
      </c>
      <c r="N1268" s="403">
        <v>1280</v>
      </c>
      <c r="O1268" s="403">
        <v>720</v>
      </c>
      <c r="P1268" t="str">
        <f t="shared" si="153"/>
        <v>25fps 1080p - 720p</v>
      </c>
      <c r="Q1268">
        <f t="shared" si="154"/>
        <v>7</v>
      </c>
      <c r="R1268" t="str">
        <f t="shared" si="155"/>
        <v/>
      </c>
      <c r="S1268" t="str">
        <f t="shared" si="156"/>
        <v/>
      </c>
      <c r="T1268" s="403" t="str">
        <f t="shared" si="157"/>
        <v>NBE-4502-AL</v>
      </c>
      <c r="U1268" s="403">
        <f t="shared" si="158"/>
        <v>1</v>
      </c>
      <c r="V1268" s="403" t="str">
        <f t="shared" si="159"/>
        <v>CPP_7_3</v>
      </c>
    </row>
    <row r="1269" spans="1:22">
      <c r="A1269" t="str">
        <f t="shared" si="152"/>
        <v>NBE-4502-AL</v>
      </c>
      <c r="B1269" s="403" t="s">
        <v>1378</v>
      </c>
      <c r="C1269" s="403" t="s">
        <v>582</v>
      </c>
      <c r="D1269" s="403" t="s">
        <v>1379</v>
      </c>
      <c r="E1269" s="403" t="s">
        <v>778</v>
      </c>
      <c r="F1269" s="403" t="s">
        <v>1287</v>
      </c>
      <c r="G1269" s="403" t="s">
        <v>1466</v>
      </c>
      <c r="H1269" s="403" t="s">
        <v>1276</v>
      </c>
      <c r="I1269" s="403">
        <v>1</v>
      </c>
      <c r="J1269" s="403" t="s">
        <v>110</v>
      </c>
      <c r="K1269" s="403">
        <v>1920</v>
      </c>
      <c r="L1269" s="403">
        <v>1080</v>
      </c>
      <c r="M1269" s="403" t="s">
        <v>1285</v>
      </c>
      <c r="N1269" s="403">
        <v>1280</v>
      </c>
      <c r="O1269" s="403">
        <v>1024</v>
      </c>
      <c r="P1269" t="str">
        <f t="shared" si="153"/>
        <v>25fps 1080p - 1280x1024 5:4 (cropped)</v>
      </c>
      <c r="Q1269">
        <f t="shared" si="154"/>
        <v>7</v>
      </c>
      <c r="R1269" t="str">
        <f t="shared" si="155"/>
        <v/>
      </c>
      <c r="S1269" t="str">
        <f t="shared" si="156"/>
        <v/>
      </c>
      <c r="T1269" s="403" t="str">
        <f t="shared" si="157"/>
        <v>NBE-4502-AL</v>
      </c>
      <c r="U1269" s="403">
        <f t="shared" si="158"/>
        <v>1</v>
      </c>
      <c r="V1269" s="403" t="str">
        <f t="shared" si="159"/>
        <v>CPP_7_3</v>
      </c>
    </row>
    <row r="1270" spans="1:22">
      <c r="A1270" t="str">
        <f t="shared" si="152"/>
        <v>NBE-4502-AL</v>
      </c>
      <c r="B1270" s="403" t="s">
        <v>1378</v>
      </c>
      <c r="C1270" s="403" t="s">
        <v>582</v>
      </c>
      <c r="D1270" s="403" t="s">
        <v>1379</v>
      </c>
      <c r="E1270" s="403" t="s">
        <v>778</v>
      </c>
      <c r="F1270" s="403" t="s">
        <v>1287</v>
      </c>
      <c r="G1270" s="403" t="s">
        <v>1466</v>
      </c>
      <c r="H1270" s="403" t="s">
        <v>1276</v>
      </c>
      <c r="I1270" s="403">
        <v>1</v>
      </c>
      <c r="J1270" s="403" t="s">
        <v>110</v>
      </c>
      <c r="K1270" s="403">
        <v>1920</v>
      </c>
      <c r="L1270" s="403">
        <v>1080</v>
      </c>
      <c r="M1270" s="403" t="s">
        <v>1279</v>
      </c>
      <c r="N1270" s="403">
        <v>768</v>
      </c>
      <c r="O1270" s="403">
        <v>432</v>
      </c>
      <c r="P1270" t="str">
        <f t="shared" si="153"/>
        <v>25fps 1080p - SD ROI PTZ</v>
      </c>
      <c r="Q1270">
        <f t="shared" si="154"/>
        <v>7</v>
      </c>
      <c r="R1270" t="str">
        <f t="shared" si="155"/>
        <v/>
      </c>
      <c r="S1270" t="str">
        <f t="shared" si="156"/>
        <v/>
      </c>
      <c r="T1270" s="403" t="str">
        <f t="shared" si="157"/>
        <v>NBE-4502-AL</v>
      </c>
      <c r="U1270" s="403">
        <f t="shared" si="158"/>
        <v>1</v>
      </c>
      <c r="V1270" s="403" t="str">
        <f t="shared" si="159"/>
        <v>CPP_7_3</v>
      </c>
    </row>
    <row r="1271" spans="1:22">
      <c r="A1271" t="str">
        <f t="shared" si="152"/>
        <v>NBE-4502-AL</v>
      </c>
      <c r="B1271" s="403" t="s">
        <v>1378</v>
      </c>
      <c r="C1271" s="403" t="s">
        <v>582</v>
      </c>
      <c r="D1271" s="403" t="s">
        <v>1379</v>
      </c>
      <c r="E1271" s="403" t="s">
        <v>778</v>
      </c>
      <c r="F1271" s="403" t="s">
        <v>1287</v>
      </c>
      <c r="G1271" s="403" t="s">
        <v>1466</v>
      </c>
      <c r="H1271" s="403" t="s">
        <v>1276</v>
      </c>
      <c r="I1271" s="403">
        <v>1</v>
      </c>
      <c r="J1271" s="403" t="s">
        <v>110</v>
      </c>
      <c r="K1271" s="403">
        <v>1920</v>
      </c>
      <c r="L1271" s="403">
        <v>1080</v>
      </c>
      <c r="M1271" s="403" t="s">
        <v>1283</v>
      </c>
      <c r="N1271" s="403">
        <v>720</v>
      </c>
      <c r="O1271" s="403">
        <v>576</v>
      </c>
      <c r="P1271" t="str">
        <f t="shared" si="153"/>
        <v>25fps 1080p - SD 4CIF resolution 4:3 format (cropped)</v>
      </c>
      <c r="Q1271">
        <f t="shared" si="154"/>
        <v>7</v>
      </c>
      <c r="R1271" t="str">
        <f t="shared" si="155"/>
        <v/>
      </c>
      <c r="S1271" t="str">
        <f t="shared" si="156"/>
        <v/>
      </c>
      <c r="T1271" s="403" t="str">
        <f t="shared" si="157"/>
        <v>NBE-4502-AL</v>
      </c>
      <c r="U1271" s="403">
        <f t="shared" si="158"/>
        <v>1</v>
      </c>
      <c r="V1271" s="403" t="str">
        <f t="shared" si="159"/>
        <v>CPP_7_3</v>
      </c>
    </row>
    <row r="1272" spans="1:22">
      <c r="A1272" t="str">
        <f t="shared" si="152"/>
        <v>NBE-4502-AL</v>
      </c>
      <c r="B1272" s="403" t="s">
        <v>1378</v>
      </c>
      <c r="C1272" s="403" t="s">
        <v>582</v>
      </c>
      <c r="D1272" s="403" t="s">
        <v>1379</v>
      </c>
      <c r="E1272" s="403" t="s">
        <v>778</v>
      </c>
      <c r="F1272" s="403" t="s">
        <v>1287</v>
      </c>
      <c r="G1272" s="403" t="s">
        <v>1466</v>
      </c>
      <c r="H1272" s="403" t="s">
        <v>1276</v>
      </c>
      <c r="I1272" s="403">
        <v>1</v>
      </c>
      <c r="J1272" s="403" t="s">
        <v>110</v>
      </c>
      <c r="K1272" s="403">
        <v>1920</v>
      </c>
      <c r="L1272" s="403">
        <v>1080</v>
      </c>
      <c r="M1272" s="403" t="s">
        <v>1284</v>
      </c>
      <c r="N1272" s="403">
        <v>640</v>
      </c>
      <c r="O1272" s="403">
        <v>480</v>
      </c>
      <c r="P1272" t="str">
        <f t="shared" si="153"/>
        <v>25fps 1080p - SD VGA (cropped)</v>
      </c>
      <c r="Q1272">
        <f t="shared" si="154"/>
        <v>7</v>
      </c>
      <c r="R1272" t="str">
        <f t="shared" si="155"/>
        <v/>
      </c>
      <c r="S1272" t="str">
        <f t="shared" si="156"/>
        <v/>
      </c>
      <c r="T1272" s="403" t="str">
        <f t="shared" si="157"/>
        <v>NBE-4502-AL</v>
      </c>
      <c r="U1272" s="403">
        <f t="shared" si="158"/>
        <v>1</v>
      </c>
      <c r="V1272" s="403" t="str">
        <f t="shared" si="159"/>
        <v>CPP_7_3</v>
      </c>
    </row>
    <row r="1273" spans="1:22">
      <c r="A1273" t="str">
        <f t="shared" si="152"/>
        <v>NBE-4502-AL</v>
      </c>
      <c r="B1273" s="403" t="s">
        <v>1378</v>
      </c>
      <c r="C1273" s="403" t="s">
        <v>582</v>
      </c>
      <c r="D1273" s="403" t="s">
        <v>1379</v>
      </c>
      <c r="E1273" s="403" t="s">
        <v>778</v>
      </c>
      <c r="F1273" s="403" t="s">
        <v>1287</v>
      </c>
      <c r="G1273" s="403" t="s">
        <v>1466</v>
      </c>
      <c r="H1273" s="403" t="s">
        <v>1276</v>
      </c>
      <c r="I1273" s="403">
        <v>1</v>
      </c>
      <c r="J1273" s="403" t="s">
        <v>109</v>
      </c>
      <c r="K1273" s="403">
        <v>1280</v>
      </c>
      <c r="L1273" s="403">
        <v>720</v>
      </c>
      <c r="M1273" s="403" t="s">
        <v>109</v>
      </c>
      <c r="N1273" s="403">
        <v>1280</v>
      </c>
      <c r="O1273" s="403">
        <v>720</v>
      </c>
      <c r="P1273" t="str">
        <f t="shared" si="153"/>
        <v>25fps 720p - 720p</v>
      </c>
      <c r="Q1273">
        <f t="shared" si="154"/>
        <v>7</v>
      </c>
      <c r="R1273" t="str">
        <f t="shared" si="155"/>
        <v/>
      </c>
      <c r="S1273" t="str">
        <f t="shared" si="156"/>
        <v/>
      </c>
      <c r="T1273" s="403" t="str">
        <f t="shared" si="157"/>
        <v>NBE-4502-AL</v>
      </c>
      <c r="U1273" s="403">
        <f t="shared" si="158"/>
        <v>1</v>
      </c>
      <c r="V1273" s="403" t="str">
        <f t="shared" si="159"/>
        <v>CPP_7_3</v>
      </c>
    </row>
    <row r="1274" spans="1:22">
      <c r="A1274" t="str">
        <f t="shared" si="152"/>
        <v>NBE-4502-AL</v>
      </c>
      <c r="B1274" s="403" t="s">
        <v>1378</v>
      </c>
      <c r="C1274" s="403" t="s">
        <v>582</v>
      </c>
      <c r="D1274" s="403" t="s">
        <v>1379</v>
      </c>
      <c r="E1274" s="403" t="s">
        <v>778</v>
      </c>
      <c r="F1274" s="403" t="s">
        <v>1287</v>
      </c>
      <c r="G1274" s="403" t="s">
        <v>1466</v>
      </c>
      <c r="H1274" s="403" t="s">
        <v>1276</v>
      </c>
      <c r="I1274" s="403">
        <v>1</v>
      </c>
      <c r="J1274" s="403" t="s">
        <v>109</v>
      </c>
      <c r="K1274" s="403">
        <v>1280</v>
      </c>
      <c r="L1274" s="403">
        <v>720</v>
      </c>
      <c r="M1274" s="403" t="s">
        <v>111</v>
      </c>
      <c r="N1274" s="403">
        <v>768</v>
      </c>
      <c r="O1274" s="403">
        <v>432</v>
      </c>
      <c r="P1274" t="str">
        <f t="shared" si="153"/>
        <v>25fps 720p - SD</v>
      </c>
      <c r="Q1274">
        <f t="shared" si="154"/>
        <v>7</v>
      </c>
      <c r="R1274" t="str">
        <f t="shared" si="155"/>
        <v/>
      </c>
      <c r="S1274" t="str">
        <f t="shared" si="156"/>
        <v/>
      </c>
      <c r="T1274" s="403" t="str">
        <f t="shared" si="157"/>
        <v>NBE-4502-AL</v>
      </c>
      <c r="U1274" s="403">
        <f t="shared" si="158"/>
        <v>1</v>
      </c>
      <c r="V1274" s="403" t="str">
        <f t="shared" si="159"/>
        <v>CPP_7_3</v>
      </c>
    </row>
    <row r="1275" spans="1:22">
      <c r="A1275" t="str">
        <f t="shared" si="152"/>
        <v>NBE-4502-AL</v>
      </c>
      <c r="B1275" s="403" t="s">
        <v>1378</v>
      </c>
      <c r="C1275" s="403" t="s">
        <v>582</v>
      </c>
      <c r="D1275" s="403" t="s">
        <v>1379</v>
      </c>
      <c r="E1275" s="403" t="s">
        <v>778</v>
      </c>
      <c r="F1275" s="403" t="s">
        <v>1287</v>
      </c>
      <c r="G1275" s="403" t="s">
        <v>1466</v>
      </c>
      <c r="H1275" s="403" t="s">
        <v>1276</v>
      </c>
      <c r="I1275" s="403">
        <v>1</v>
      </c>
      <c r="J1275" s="403" t="s">
        <v>109</v>
      </c>
      <c r="K1275" s="403">
        <v>1280</v>
      </c>
      <c r="L1275" s="403">
        <v>720</v>
      </c>
      <c r="M1275" s="403" t="s">
        <v>1279</v>
      </c>
      <c r="N1275" s="403">
        <v>768</v>
      </c>
      <c r="O1275" s="403">
        <v>432</v>
      </c>
      <c r="P1275" t="str">
        <f t="shared" si="153"/>
        <v>25fps 720p - SD ROI PTZ</v>
      </c>
      <c r="Q1275">
        <f t="shared" si="154"/>
        <v>7</v>
      </c>
      <c r="R1275" t="str">
        <f t="shared" si="155"/>
        <v/>
      </c>
      <c r="S1275" t="str">
        <f t="shared" si="156"/>
        <v/>
      </c>
      <c r="T1275" s="403" t="str">
        <f t="shared" si="157"/>
        <v>NBE-4502-AL</v>
      </c>
      <c r="U1275" s="403">
        <f t="shared" si="158"/>
        <v>1</v>
      </c>
      <c r="V1275" s="403" t="str">
        <f t="shared" si="159"/>
        <v>CPP_7_3</v>
      </c>
    </row>
    <row r="1276" spans="1:22">
      <c r="A1276" t="str">
        <f t="shared" si="152"/>
        <v>NBE-4502-AL</v>
      </c>
      <c r="B1276" s="403" t="s">
        <v>1378</v>
      </c>
      <c r="C1276" s="403" t="s">
        <v>582</v>
      </c>
      <c r="D1276" s="403" t="s">
        <v>1379</v>
      </c>
      <c r="E1276" s="403" t="s">
        <v>778</v>
      </c>
      <c r="F1276" s="403" t="s">
        <v>1287</v>
      </c>
      <c r="G1276" s="403" t="s">
        <v>1466</v>
      </c>
      <c r="H1276" s="403" t="s">
        <v>1276</v>
      </c>
      <c r="I1276" s="403">
        <v>1</v>
      </c>
      <c r="J1276" s="403" t="s">
        <v>109</v>
      </c>
      <c r="K1276" s="403">
        <v>1280</v>
      </c>
      <c r="L1276" s="403">
        <v>720</v>
      </c>
      <c r="M1276" s="403" t="s">
        <v>1283</v>
      </c>
      <c r="N1276" s="403">
        <v>720</v>
      </c>
      <c r="O1276" s="403">
        <v>576</v>
      </c>
      <c r="P1276" t="str">
        <f t="shared" si="153"/>
        <v>25fps 720p - SD 4CIF resolution 4:3 format (cropped)</v>
      </c>
      <c r="Q1276">
        <f t="shared" si="154"/>
        <v>7</v>
      </c>
      <c r="R1276" t="str">
        <f t="shared" si="155"/>
        <v/>
      </c>
      <c r="S1276" t="str">
        <f t="shared" si="156"/>
        <v/>
      </c>
      <c r="T1276" s="403" t="str">
        <f t="shared" si="157"/>
        <v>NBE-4502-AL</v>
      </c>
      <c r="U1276" s="403">
        <f t="shared" si="158"/>
        <v>1</v>
      </c>
      <c r="V1276" s="403" t="str">
        <f t="shared" si="159"/>
        <v>CPP_7_3</v>
      </c>
    </row>
    <row r="1277" spans="1:22">
      <c r="A1277" t="str">
        <f t="shared" si="152"/>
        <v>NBE-4502-AL</v>
      </c>
      <c r="B1277" s="403" t="s">
        <v>1378</v>
      </c>
      <c r="C1277" s="403" t="s">
        <v>582</v>
      </c>
      <c r="D1277" s="403" t="s">
        <v>1379</v>
      </c>
      <c r="E1277" s="403" t="s">
        <v>778</v>
      </c>
      <c r="F1277" s="403" t="s">
        <v>1287</v>
      </c>
      <c r="G1277" s="403" t="s">
        <v>1466</v>
      </c>
      <c r="H1277" s="403" t="s">
        <v>1276</v>
      </c>
      <c r="I1277" s="403">
        <v>1</v>
      </c>
      <c r="J1277" s="403" t="s">
        <v>109</v>
      </c>
      <c r="K1277" s="403">
        <v>1280</v>
      </c>
      <c r="L1277" s="403">
        <v>720</v>
      </c>
      <c r="M1277" s="403" t="s">
        <v>1284</v>
      </c>
      <c r="N1277" s="403">
        <v>640</v>
      </c>
      <c r="O1277" s="403">
        <v>480</v>
      </c>
      <c r="P1277" t="str">
        <f t="shared" si="153"/>
        <v>25fps 720p - SD VGA (cropped)</v>
      </c>
      <c r="Q1277">
        <f t="shared" si="154"/>
        <v>7</v>
      </c>
      <c r="R1277" t="str">
        <f t="shared" si="155"/>
        <v/>
      </c>
      <c r="S1277" t="str">
        <f t="shared" si="156"/>
        <v/>
      </c>
      <c r="T1277" s="403" t="str">
        <f t="shared" si="157"/>
        <v>NBE-4502-AL</v>
      </c>
      <c r="U1277" s="403">
        <f t="shared" si="158"/>
        <v>1</v>
      </c>
      <c r="V1277" s="403" t="str">
        <f t="shared" si="159"/>
        <v>CPP_7_3</v>
      </c>
    </row>
    <row r="1278" spans="1:22">
      <c r="A1278" t="str">
        <f t="shared" si="152"/>
        <v>NBE-4502-AL</v>
      </c>
      <c r="B1278" s="403" t="s">
        <v>1378</v>
      </c>
      <c r="C1278" s="403" t="s">
        <v>582</v>
      </c>
      <c r="D1278" s="403" t="s">
        <v>1379</v>
      </c>
      <c r="E1278" s="403" t="s">
        <v>778</v>
      </c>
      <c r="F1278" s="403" t="s">
        <v>1287</v>
      </c>
      <c r="G1278" s="403" t="s">
        <v>1466</v>
      </c>
      <c r="H1278" s="403" t="s">
        <v>1281</v>
      </c>
      <c r="I1278" s="403">
        <v>1</v>
      </c>
      <c r="J1278" s="403" t="s">
        <v>110</v>
      </c>
      <c r="K1278" s="403">
        <v>1920</v>
      </c>
      <c r="L1278" s="403">
        <v>1080</v>
      </c>
      <c r="M1278" s="403" t="s">
        <v>111</v>
      </c>
      <c r="N1278" s="403">
        <v>768</v>
      </c>
      <c r="O1278" s="403">
        <v>432</v>
      </c>
      <c r="P1278" t="str">
        <f t="shared" si="153"/>
        <v>25fps 1080p - SD</v>
      </c>
      <c r="Q1278">
        <f t="shared" si="154"/>
        <v>7</v>
      </c>
      <c r="R1278" t="str">
        <f t="shared" si="155"/>
        <v/>
      </c>
      <c r="S1278" t="str">
        <f t="shared" si="156"/>
        <v/>
      </c>
      <c r="T1278" s="403" t="str">
        <f t="shared" si="157"/>
        <v>NBE-4502-AL</v>
      </c>
      <c r="U1278" s="403">
        <f t="shared" si="158"/>
        <v>1</v>
      </c>
      <c r="V1278" s="403" t="str">
        <f t="shared" si="159"/>
        <v>CPP_7_3</v>
      </c>
    </row>
    <row r="1279" spans="1:22">
      <c r="A1279" t="str">
        <f t="shared" si="152"/>
        <v>NBE-4502-AL</v>
      </c>
      <c r="B1279" s="403" t="s">
        <v>1378</v>
      </c>
      <c r="C1279" s="403" t="s">
        <v>582</v>
      </c>
      <c r="D1279" s="403" t="s">
        <v>1379</v>
      </c>
      <c r="E1279" s="403" t="s">
        <v>778</v>
      </c>
      <c r="F1279" s="403" t="s">
        <v>1287</v>
      </c>
      <c r="G1279" s="403" t="s">
        <v>1466</v>
      </c>
      <c r="H1279" s="403" t="s">
        <v>1281</v>
      </c>
      <c r="I1279" s="403">
        <v>1</v>
      </c>
      <c r="J1279" s="403" t="s">
        <v>110</v>
      </c>
      <c r="K1279" s="403">
        <v>1920</v>
      </c>
      <c r="L1279" s="403">
        <v>1080</v>
      </c>
      <c r="M1279" s="403" t="s">
        <v>110</v>
      </c>
      <c r="N1279" s="403">
        <v>1920</v>
      </c>
      <c r="O1279" s="403">
        <v>1080</v>
      </c>
      <c r="P1279" t="str">
        <f t="shared" si="153"/>
        <v>25fps 1080p - 1080p</v>
      </c>
      <c r="Q1279">
        <f t="shared" si="154"/>
        <v>7</v>
      </c>
      <c r="R1279" t="str">
        <f t="shared" si="155"/>
        <v/>
      </c>
      <c r="S1279" t="str">
        <f t="shared" si="156"/>
        <v/>
      </c>
      <c r="T1279" s="403" t="str">
        <f t="shared" si="157"/>
        <v>NBE-4502-AL</v>
      </c>
      <c r="U1279" s="403">
        <f t="shared" si="158"/>
        <v>1</v>
      </c>
      <c r="V1279" s="403" t="str">
        <f t="shared" si="159"/>
        <v>CPP_7_3</v>
      </c>
    </row>
    <row r="1280" spans="1:22">
      <c r="A1280" t="str">
        <f t="shared" si="152"/>
        <v>NBE-4502-AL</v>
      </c>
      <c r="B1280" s="403" t="s">
        <v>1378</v>
      </c>
      <c r="C1280" s="403" t="s">
        <v>582</v>
      </c>
      <c r="D1280" s="403" t="s">
        <v>1379</v>
      </c>
      <c r="E1280" s="403" t="s">
        <v>778</v>
      </c>
      <c r="F1280" s="403" t="s">
        <v>1287</v>
      </c>
      <c r="G1280" s="403" t="s">
        <v>1466</v>
      </c>
      <c r="H1280" s="403" t="s">
        <v>1281</v>
      </c>
      <c r="I1280" s="403">
        <v>1</v>
      </c>
      <c r="J1280" s="403" t="s">
        <v>110</v>
      </c>
      <c r="K1280" s="403">
        <v>1920</v>
      </c>
      <c r="L1280" s="403">
        <v>1080</v>
      </c>
      <c r="M1280" s="403" t="s">
        <v>109</v>
      </c>
      <c r="N1280" s="403">
        <v>1280</v>
      </c>
      <c r="O1280" s="403">
        <v>720</v>
      </c>
      <c r="P1280" t="str">
        <f t="shared" si="153"/>
        <v>25fps 1080p - 720p</v>
      </c>
      <c r="Q1280">
        <f t="shared" si="154"/>
        <v>7</v>
      </c>
      <c r="R1280" t="str">
        <f t="shared" si="155"/>
        <v/>
      </c>
      <c r="S1280" t="str">
        <f t="shared" si="156"/>
        <v/>
      </c>
      <c r="T1280" s="403" t="str">
        <f t="shared" si="157"/>
        <v>NBE-4502-AL</v>
      </c>
      <c r="U1280" s="403">
        <f t="shared" si="158"/>
        <v>1</v>
      </c>
      <c r="V1280" s="403" t="str">
        <f t="shared" si="159"/>
        <v>CPP_7_3</v>
      </c>
    </row>
    <row r="1281" spans="1:22">
      <c r="A1281" t="str">
        <f t="shared" si="152"/>
        <v>NBE-4502-AL</v>
      </c>
      <c r="B1281" s="403" t="s">
        <v>1378</v>
      </c>
      <c r="C1281" s="403" t="s">
        <v>582</v>
      </c>
      <c r="D1281" s="403" t="s">
        <v>1379</v>
      </c>
      <c r="E1281" s="403" t="s">
        <v>778</v>
      </c>
      <c r="F1281" s="403" t="s">
        <v>1287</v>
      </c>
      <c r="G1281" s="403" t="s">
        <v>1466</v>
      </c>
      <c r="H1281" s="403" t="s">
        <v>1281</v>
      </c>
      <c r="I1281" s="403">
        <v>1</v>
      </c>
      <c r="J1281" s="403" t="s">
        <v>110</v>
      </c>
      <c r="K1281" s="403">
        <v>1920</v>
      </c>
      <c r="L1281" s="403">
        <v>1080</v>
      </c>
      <c r="M1281" s="403" t="s">
        <v>1285</v>
      </c>
      <c r="N1281" s="403">
        <v>1280</v>
      </c>
      <c r="O1281" s="403">
        <v>1024</v>
      </c>
      <c r="P1281" t="str">
        <f t="shared" si="153"/>
        <v>25fps 1080p - 1280x1024 5:4 (cropped)</v>
      </c>
      <c r="Q1281">
        <f t="shared" si="154"/>
        <v>7</v>
      </c>
      <c r="R1281" t="str">
        <f t="shared" si="155"/>
        <v/>
      </c>
      <c r="S1281" t="str">
        <f t="shared" si="156"/>
        <v/>
      </c>
      <c r="T1281" s="403" t="str">
        <f t="shared" si="157"/>
        <v>NBE-4502-AL</v>
      </c>
      <c r="U1281" s="403">
        <f t="shared" si="158"/>
        <v>1</v>
      </c>
      <c r="V1281" s="403" t="str">
        <f t="shared" si="159"/>
        <v>CPP_7_3</v>
      </c>
    </row>
    <row r="1282" spans="1:22">
      <c r="A1282" t="str">
        <f t="shared" ref="A1282:A1345" si="160">IF(AND(G1282&lt;&gt;"rotate 90°"),D1282,"")</f>
        <v>NBE-4502-AL</v>
      </c>
      <c r="B1282" s="403" t="s">
        <v>1378</v>
      </c>
      <c r="C1282" s="403" t="s">
        <v>582</v>
      </c>
      <c r="D1282" s="403" t="s">
        <v>1379</v>
      </c>
      <c r="E1282" s="403" t="s">
        <v>778</v>
      </c>
      <c r="F1282" s="403" t="s">
        <v>1287</v>
      </c>
      <c r="G1282" s="403" t="s">
        <v>1466</v>
      </c>
      <c r="H1282" s="403" t="s">
        <v>1281</v>
      </c>
      <c r="I1282" s="403">
        <v>1</v>
      </c>
      <c r="J1282" s="403" t="s">
        <v>110</v>
      </c>
      <c r="K1282" s="403">
        <v>1920</v>
      </c>
      <c r="L1282" s="403">
        <v>1080</v>
      </c>
      <c r="M1282" s="403" t="s">
        <v>1279</v>
      </c>
      <c r="N1282" s="403">
        <v>768</v>
      </c>
      <c r="O1282" s="403">
        <v>432</v>
      </c>
      <c r="P1282" t="str">
        <f t="shared" ref="P1282:P1345" si="161">LEFT(F1282,5)&amp;" "&amp;J1282&amp;" - "&amp;M1282</f>
        <v>25fps 1080p - SD ROI PTZ</v>
      </c>
      <c r="Q1282">
        <f t="shared" ref="Q1282:Q1345" si="162">IF(A1281=A1282,Q1281,Q1281+1)</f>
        <v>7</v>
      </c>
      <c r="R1282" t="str">
        <f t="shared" ref="R1282:R1345" si="163">IF(Q1281&lt;&gt;Q1282,Q1282,"")</f>
        <v/>
      </c>
      <c r="S1282" t="str">
        <f t="shared" ref="S1282:S1345" si="164">IF(R1282&lt;&gt;"",B1282&amp;" ("&amp;D1282&amp;")","")</f>
        <v/>
      </c>
      <c r="T1282" s="403" t="str">
        <f t="shared" ref="T1282:T1345" si="165">D1282</f>
        <v>NBE-4502-AL</v>
      </c>
      <c r="U1282" s="403">
        <f t="shared" ref="U1282:U1345" si="166">I1282</f>
        <v>1</v>
      </c>
      <c r="V1282" s="403" t="str">
        <f t="shared" ref="V1282:V1345" si="167">C1282</f>
        <v>CPP_7_3</v>
      </c>
    </row>
    <row r="1283" spans="1:22">
      <c r="A1283" t="str">
        <f t="shared" si="160"/>
        <v>NBE-4502-AL</v>
      </c>
      <c r="B1283" s="403" t="s">
        <v>1378</v>
      </c>
      <c r="C1283" s="403" t="s">
        <v>582</v>
      </c>
      <c r="D1283" s="403" t="s">
        <v>1379</v>
      </c>
      <c r="E1283" s="403" t="s">
        <v>778</v>
      </c>
      <c r="F1283" s="403" t="s">
        <v>1287</v>
      </c>
      <c r="G1283" s="403" t="s">
        <v>1466</v>
      </c>
      <c r="H1283" s="403" t="s">
        <v>1281</v>
      </c>
      <c r="I1283" s="403">
        <v>1</v>
      </c>
      <c r="J1283" s="403" t="s">
        <v>110</v>
      </c>
      <c r="K1283" s="403">
        <v>1920</v>
      </c>
      <c r="L1283" s="403">
        <v>1080</v>
      </c>
      <c r="M1283" s="403" t="s">
        <v>1283</v>
      </c>
      <c r="N1283" s="403">
        <v>720</v>
      </c>
      <c r="O1283" s="403">
        <v>576</v>
      </c>
      <c r="P1283" t="str">
        <f t="shared" si="161"/>
        <v>25fps 1080p - SD 4CIF resolution 4:3 format (cropped)</v>
      </c>
      <c r="Q1283">
        <f t="shared" si="162"/>
        <v>7</v>
      </c>
      <c r="R1283" t="str">
        <f t="shared" si="163"/>
        <v/>
      </c>
      <c r="S1283" t="str">
        <f t="shared" si="164"/>
        <v/>
      </c>
      <c r="T1283" s="403" t="str">
        <f t="shared" si="165"/>
        <v>NBE-4502-AL</v>
      </c>
      <c r="U1283" s="403">
        <f t="shared" si="166"/>
        <v>1</v>
      </c>
      <c r="V1283" s="403" t="str">
        <f t="shared" si="167"/>
        <v>CPP_7_3</v>
      </c>
    </row>
    <row r="1284" spans="1:22">
      <c r="A1284" t="str">
        <f t="shared" si="160"/>
        <v>NBE-4502-AL</v>
      </c>
      <c r="B1284" s="403" t="s">
        <v>1378</v>
      </c>
      <c r="C1284" s="403" t="s">
        <v>582</v>
      </c>
      <c r="D1284" s="403" t="s">
        <v>1379</v>
      </c>
      <c r="E1284" s="403" t="s">
        <v>778</v>
      </c>
      <c r="F1284" s="403" t="s">
        <v>1287</v>
      </c>
      <c r="G1284" s="403" t="s">
        <v>1466</v>
      </c>
      <c r="H1284" s="403" t="s">
        <v>1281</v>
      </c>
      <c r="I1284" s="403">
        <v>1</v>
      </c>
      <c r="J1284" s="403" t="s">
        <v>110</v>
      </c>
      <c r="K1284" s="403">
        <v>1920</v>
      </c>
      <c r="L1284" s="403">
        <v>1080</v>
      </c>
      <c r="M1284" s="403" t="s">
        <v>1284</v>
      </c>
      <c r="N1284" s="403">
        <v>640</v>
      </c>
      <c r="O1284" s="403">
        <v>480</v>
      </c>
      <c r="P1284" t="str">
        <f t="shared" si="161"/>
        <v>25fps 1080p - SD VGA (cropped)</v>
      </c>
      <c r="Q1284">
        <f t="shared" si="162"/>
        <v>7</v>
      </c>
      <c r="R1284" t="str">
        <f t="shared" si="163"/>
        <v/>
      </c>
      <c r="S1284" t="str">
        <f t="shared" si="164"/>
        <v/>
      </c>
      <c r="T1284" s="403" t="str">
        <f t="shared" si="165"/>
        <v>NBE-4502-AL</v>
      </c>
      <c r="U1284" s="403">
        <f t="shared" si="166"/>
        <v>1</v>
      </c>
      <c r="V1284" s="403" t="str">
        <f t="shared" si="167"/>
        <v>CPP_7_3</v>
      </c>
    </row>
    <row r="1285" spans="1:22">
      <c r="A1285" t="str">
        <f t="shared" si="160"/>
        <v>NBE-4502-AL</v>
      </c>
      <c r="B1285" s="403" t="s">
        <v>1378</v>
      </c>
      <c r="C1285" s="403" t="s">
        <v>582</v>
      </c>
      <c r="D1285" s="403" t="s">
        <v>1379</v>
      </c>
      <c r="E1285" s="403" t="s">
        <v>778</v>
      </c>
      <c r="F1285" s="403" t="s">
        <v>1287</v>
      </c>
      <c r="G1285" s="403" t="s">
        <v>1466</v>
      </c>
      <c r="H1285" s="403" t="s">
        <v>1281</v>
      </c>
      <c r="I1285" s="403">
        <v>1</v>
      </c>
      <c r="J1285" s="403" t="s">
        <v>109</v>
      </c>
      <c r="K1285" s="403">
        <v>1280</v>
      </c>
      <c r="L1285" s="403">
        <v>720</v>
      </c>
      <c r="M1285" s="403" t="s">
        <v>109</v>
      </c>
      <c r="N1285" s="403">
        <v>1280</v>
      </c>
      <c r="O1285" s="403">
        <v>720</v>
      </c>
      <c r="P1285" t="str">
        <f t="shared" si="161"/>
        <v>25fps 720p - 720p</v>
      </c>
      <c r="Q1285">
        <f t="shared" si="162"/>
        <v>7</v>
      </c>
      <c r="R1285" t="str">
        <f t="shared" si="163"/>
        <v/>
      </c>
      <c r="S1285" t="str">
        <f t="shared" si="164"/>
        <v/>
      </c>
      <c r="T1285" s="403" t="str">
        <f t="shared" si="165"/>
        <v>NBE-4502-AL</v>
      </c>
      <c r="U1285" s="403">
        <f t="shared" si="166"/>
        <v>1</v>
      </c>
      <c r="V1285" s="403" t="str">
        <f t="shared" si="167"/>
        <v>CPP_7_3</v>
      </c>
    </row>
    <row r="1286" spans="1:22">
      <c r="A1286" t="str">
        <f t="shared" si="160"/>
        <v>NBE-4502-AL</v>
      </c>
      <c r="B1286" s="403" t="s">
        <v>1378</v>
      </c>
      <c r="C1286" s="403" t="s">
        <v>582</v>
      </c>
      <c r="D1286" s="403" t="s">
        <v>1379</v>
      </c>
      <c r="E1286" s="403" t="s">
        <v>778</v>
      </c>
      <c r="F1286" s="403" t="s">
        <v>1287</v>
      </c>
      <c r="G1286" s="403" t="s">
        <v>1466</v>
      </c>
      <c r="H1286" s="403" t="s">
        <v>1281</v>
      </c>
      <c r="I1286" s="403">
        <v>1</v>
      </c>
      <c r="J1286" s="403" t="s">
        <v>109</v>
      </c>
      <c r="K1286" s="403">
        <v>1280</v>
      </c>
      <c r="L1286" s="403">
        <v>720</v>
      </c>
      <c r="M1286" s="403" t="s">
        <v>111</v>
      </c>
      <c r="N1286" s="403">
        <v>768</v>
      </c>
      <c r="O1286" s="403">
        <v>432</v>
      </c>
      <c r="P1286" t="str">
        <f t="shared" si="161"/>
        <v>25fps 720p - SD</v>
      </c>
      <c r="Q1286">
        <f t="shared" si="162"/>
        <v>7</v>
      </c>
      <c r="R1286" t="str">
        <f t="shared" si="163"/>
        <v/>
      </c>
      <c r="S1286" t="str">
        <f t="shared" si="164"/>
        <v/>
      </c>
      <c r="T1286" s="403" t="str">
        <f t="shared" si="165"/>
        <v>NBE-4502-AL</v>
      </c>
      <c r="U1286" s="403">
        <f t="shared" si="166"/>
        <v>1</v>
      </c>
      <c r="V1286" s="403" t="str">
        <f t="shared" si="167"/>
        <v>CPP_7_3</v>
      </c>
    </row>
    <row r="1287" spans="1:22">
      <c r="A1287" t="str">
        <f t="shared" si="160"/>
        <v>NBE-4502-AL</v>
      </c>
      <c r="B1287" s="403" t="s">
        <v>1378</v>
      </c>
      <c r="C1287" s="403" t="s">
        <v>582</v>
      </c>
      <c r="D1287" s="403" t="s">
        <v>1379</v>
      </c>
      <c r="E1287" s="403" t="s">
        <v>778</v>
      </c>
      <c r="F1287" s="403" t="s">
        <v>1287</v>
      </c>
      <c r="G1287" s="403" t="s">
        <v>1466</v>
      </c>
      <c r="H1287" s="403" t="s">
        <v>1281</v>
      </c>
      <c r="I1287" s="403">
        <v>1</v>
      </c>
      <c r="J1287" s="403" t="s">
        <v>109</v>
      </c>
      <c r="K1287" s="403">
        <v>1280</v>
      </c>
      <c r="L1287" s="403">
        <v>720</v>
      </c>
      <c r="M1287" s="403" t="s">
        <v>1279</v>
      </c>
      <c r="N1287" s="403">
        <v>768</v>
      </c>
      <c r="O1287" s="403">
        <v>432</v>
      </c>
      <c r="P1287" t="str">
        <f t="shared" si="161"/>
        <v>25fps 720p - SD ROI PTZ</v>
      </c>
      <c r="Q1287">
        <f t="shared" si="162"/>
        <v>7</v>
      </c>
      <c r="R1287" t="str">
        <f t="shared" si="163"/>
        <v/>
      </c>
      <c r="S1287" t="str">
        <f t="shared" si="164"/>
        <v/>
      </c>
      <c r="T1287" s="403" t="str">
        <f t="shared" si="165"/>
        <v>NBE-4502-AL</v>
      </c>
      <c r="U1287" s="403">
        <f t="shared" si="166"/>
        <v>1</v>
      </c>
      <c r="V1287" s="403" t="str">
        <f t="shared" si="167"/>
        <v>CPP_7_3</v>
      </c>
    </row>
    <row r="1288" spans="1:22">
      <c r="A1288" t="str">
        <f t="shared" si="160"/>
        <v>NBE-4502-AL</v>
      </c>
      <c r="B1288" s="403" t="s">
        <v>1378</v>
      </c>
      <c r="C1288" s="403" t="s">
        <v>582</v>
      </c>
      <c r="D1288" s="403" t="s">
        <v>1379</v>
      </c>
      <c r="E1288" s="403" t="s">
        <v>778</v>
      </c>
      <c r="F1288" s="403" t="s">
        <v>1287</v>
      </c>
      <c r="G1288" s="403" t="s">
        <v>1466</v>
      </c>
      <c r="H1288" s="403" t="s">
        <v>1281</v>
      </c>
      <c r="I1288" s="403">
        <v>1</v>
      </c>
      <c r="J1288" s="403" t="s">
        <v>109</v>
      </c>
      <c r="K1288" s="403">
        <v>1280</v>
      </c>
      <c r="L1288" s="403">
        <v>720</v>
      </c>
      <c r="M1288" s="403" t="s">
        <v>1283</v>
      </c>
      <c r="N1288" s="403">
        <v>720</v>
      </c>
      <c r="O1288" s="403">
        <v>576</v>
      </c>
      <c r="P1288" t="str">
        <f t="shared" si="161"/>
        <v>25fps 720p - SD 4CIF resolution 4:3 format (cropped)</v>
      </c>
      <c r="Q1288">
        <f t="shared" si="162"/>
        <v>7</v>
      </c>
      <c r="R1288" t="str">
        <f t="shared" si="163"/>
        <v/>
      </c>
      <c r="S1288" t="str">
        <f t="shared" si="164"/>
        <v/>
      </c>
      <c r="T1288" s="403" t="str">
        <f t="shared" si="165"/>
        <v>NBE-4502-AL</v>
      </c>
      <c r="U1288" s="403">
        <f t="shared" si="166"/>
        <v>1</v>
      </c>
      <c r="V1288" s="403" t="str">
        <f t="shared" si="167"/>
        <v>CPP_7_3</v>
      </c>
    </row>
    <row r="1289" spans="1:22">
      <c r="A1289" t="str">
        <f t="shared" si="160"/>
        <v>NBE-4502-AL</v>
      </c>
      <c r="B1289" s="403" t="s">
        <v>1378</v>
      </c>
      <c r="C1289" s="403" t="s">
        <v>582</v>
      </c>
      <c r="D1289" s="403" t="s">
        <v>1379</v>
      </c>
      <c r="E1289" s="403" t="s">
        <v>778</v>
      </c>
      <c r="F1289" s="403" t="s">
        <v>1287</v>
      </c>
      <c r="G1289" s="403" t="s">
        <v>1466</v>
      </c>
      <c r="H1289" s="403" t="s">
        <v>1281</v>
      </c>
      <c r="I1289" s="403">
        <v>1</v>
      </c>
      <c r="J1289" s="403" t="s">
        <v>109</v>
      </c>
      <c r="K1289" s="403">
        <v>1280</v>
      </c>
      <c r="L1289" s="403">
        <v>720</v>
      </c>
      <c r="M1289" s="403" t="s">
        <v>1284</v>
      </c>
      <c r="N1289" s="403">
        <v>640</v>
      </c>
      <c r="O1289" s="403">
        <v>480</v>
      </c>
      <c r="P1289" t="str">
        <f t="shared" si="161"/>
        <v>25fps 720p - SD VGA (cropped)</v>
      </c>
      <c r="Q1289">
        <f t="shared" si="162"/>
        <v>7</v>
      </c>
      <c r="R1289" t="str">
        <f t="shared" si="163"/>
        <v/>
      </c>
      <c r="S1289" t="str">
        <f t="shared" si="164"/>
        <v/>
      </c>
      <c r="T1289" s="403" t="str">
        <f t="shared" si="165"/>
        <v>NBE-4502-AL</v>
      </c>
      <c r="U1289" s="403">
        <f t="shared" si="166"/>
        <v>1</v>
      </c>
      <c r="V1289" s="403" t="str">
        <f t="shared" si="167"/>
        <v>CPP_7_3</v>
      </c>
    </row>
    <row r="1290" spans="1:22">
      <c r="A1290" t="str">
        <f t="shared" si="160"/>
        <v>NBE-4502-AL</v>
      </c>
      <c r="B1290" s="403" t="s">
        <v>1378</v>
      </c>
      <c r="C1290" s="403" t="s">
        <v>582</v>
      </c>
      <c r="D1290" s="403" t="s">
        <v>1379</v>
      </c>
      <c r="E1290" s="403" t="s">
        <v>778</v>
      </c>
      <c r="F1290" s="403" t="s">
        <v>1287</v>
      </c>
      <c r="G1290" s="403" t="s">
        <v>1466</v>
      </c>
      <c r="H1290" s="403" t="s">
        <v>1282</v>
      </c>
      <c r="I1290" s="403">
        <v>1</v>
      </c>
      <c r="J1290" s="403" t="s">
        <v>110</v>
      </c>
      <c r="K1290" s="403">
        <v>1920</v>
      </c>
      <c r="L1290" s="403">
        <v>1080</v>
      </c>
      <c r="M1290" s="403" t="s">
        <v>111</v>
      </c>
      <c r="N1290" s="403">
        <v>768</v>
      </c>
      <c r="O1290" s="403">
        <v>432</v>
      </c>
      <c r="P1290" t="str">
        <f t="shared" si="161"/>
        <v>25fps 1080p - SD</v>
      </c>
      <c r="Q1290">
        <f t="shared" si="162"/>
        <v>7</v>
      </c>
      <c r="R1290" t="str">
        <f t="shared" si="163"/>
        <v/>
      </c>
      <c r="S1290" t="str">
        <f t="shared" si="164"/>
        <v/>
      </c>
      <c r="T1290" s="403" t="str">
        <f t="shared" si="165"/>
        <v>NBE-4502-AL</v>
      </c>
      <c r="U1290" s="403">
        <f t="shared" si="166"/>
        <v>1</v>
      </c>
      <c r="V1290" s="403" t="str">
        <f t="shared" si="167"/>
        <v>CPP_7_3</v>
      </c>
    </row>
    <row r="1291" spans="1:22">
      <c r="A1291" t="str">
        <f t="shared" si="160"/>
        <v>NBE-4502-AL</v>
      </c>
      <c r="B1291" s="403" t="s">
        <v>1378</v>
      </c>
      <c r="C1291" s="403" t="s">
        <v>582</v>
      </c>
      <c r="D1291" s="403" t="s">
        <v>1379</v>
      </c>
      <c r="E1291" s="403" t="s">
        <v>778</v>
      </c>
      <c r="F1291" s="403" t="s">
        <v>1287</v>
      </c>
      <c r="G1291" s="403" t="s">
        <v>1466</v>
      </c>
      <c r="H1291" s="403" t="s">
        <v>1282</v>
      </c>
      <c r="I1291" s="403">
        <v>1</v>
      </c>
      <c r="J1291" s="403" t="s">
        <v>110</v>
      </c>
      <c r="K1291" s="403">
        <v>1920</v>
      </c>
      <c r="L1291" s="403">
        <v>1080</v>
      </c>
      <c r="M1291" s="403" t="s">
        <v>110</v>
      </c>
      <c r="N1291" s="403">
        <v>1920</v>
      </c>
      <c r="O1291" s="403">
        <v>1080</v>
      </c>
      <c r="P1291" t="str">
        <f t="shared" si="161"/>
        <v>25fps 1080p - 1080p</v>
      </c>
      <c r="Q1291">
        <f t="shared" si="162"/>
        <v>7</v>
      </c>
      <c r="R1291" t="str">
        <f t="shared" si="163"/>
        <v/>
      </c>
      <c r="S1291" t="str">
        <f t="shared" si="164"/>
        <v/>
      </c>
      <c r="T1291" s="403" t="str">
        <f t="shared" si="165"/>
        <v>NBE-4502-AL</v>
      </c>
      <c r="U1291" s="403">
        <f t="shared" si="166"/>
        <v>1</v>
      </c>
      <c r="V1291" s="403" t="str">
        <f t="shared" si="167"/>
        <v>CPP_7_3</v>
      </c>
    </row>
    <row r="1292" spans="1:22">
      <c r="A1292" t="str">
        <f t="shared" si="160"/>
        <v>NBE-4502-AL</v>
      </c>
      <c r="B1292" s="403" t="s">
        <v>1378</v>
      </c>
      <c r="C1292" s="403" t="s">
        <v>582</v>
      </c>
      <c r="D1292" s="403" t="s">
        <v>1379</v>
      </c>
      <c r="E1292" s="403" t="s">
        <v>778</v>
      </c>
      <c r="F1292" s="403" t="s">
        <v>1287</v>
      </c>
      <c r="G1292" s="403" t="s">
        <v>1466</v>
      </c>
      <c r="H1292" s="403" t="s">
        <v>1282</v>
      </c>
      <c r="I1292" s="403">
        <v>1</v>
      </c>
      <c r="J1292" s="403" t="s">
        <v>110</v>
      </c>
      <c r="K1292" s="403">
        <v>1920</v>
      </c>
      <c r="L1292" s="403">
        <v>1080</v>
      </c>
      <c r="M1292" s="403" t="s">
        <v>109</v>
      </c>
      <c r="N1292" s="403">
        <v>1280</v>
      </c>
      <c r="O1292" s="403">
        <v>720</v>
      </c>
      <c r="P1292" t="str">
        <f t="shared" si="161"/>
        <v>25fps 1080p - 720p</v>
      </c>
      <c r="Q1292">
        <f t="shared" si="162"/>
        <v>7</v>
      </c>
      <c r="R1292" t="str">
        <f t="shared" si="163"/>
        <v/>
      </c>
      <c r="S1292" t="str">
        <f t="shared" si="164"/>
        <v/>
      </c>
      <c r="T1292" s="403" t="str">
        <f t="shared" si="165"/>
        <v>NBE-4502-AL</v>
      </c>
      <c r="U1292" s="403">
        <f t="shared" si="166"/>
        <v>1</v>
      </c>
      <c r="V1292" s="403" t="str">
        <f t="shared" si="167"/>
        <v>CPP_7_3</v>
      </c>
    </row>
    <row r="1293" spans="1:22">
      <c r="A1293" t="str">
        <f t="shared" si="160"/>
        <v>NBE-4502-AL</v>
      </c>
      <c r="B1293" s="403" t="s">
        <v>1378</v>
      </c>
      <c r="C1293" s="403" t="s">
        <v>582</v>
      </c>
      <c r="D1293" s="403" t="s">
        <v>1379</v>
      </c>
      <c r="E1293" s="403" t="s">
        <v>778</v>
      </c>
      <c r="F1293" s="403" t="s">
        <v>1287</v>
      </c>
      <c r="G1293" s="403" t="s">
        <v>1466</v>
      </c>
      <c r="H1293" s="403" t="s">
        <v>1282</v>
      </c>
      <c r="I1293" s="403">
        <v>1</v>
      </c>
      <c r="J1293" s="403" t="s">
        <v>110</v>
      </c>
      <c r="K1293" s="403">
        <v>1920</v>
      </c>
      <c r="L1293" s="403">
        <v>1080</v>
      </c>
      <c r="M1293" s="403" t="s">
        <v>1285</v>
      </c>
      <c r="N1293" s="403">
        <v>1280</v>
      </c>
      <c r="O1293" s="403">
        <v>1024</v>
      </c>
      <c r="P1293" t="str">
        <f t="shared" si="161"/>
        <v>25fps 1080p - 1280x1024 5:4 (cropped)</v>
      </c>
      <c r="Q1293">
        <f t="shared" si="162"/>
        <v>7</v>
      </c>
      <c r="R1293" t="str">
        <f t="shared" si="163"/>
        <v/>
      </c>
      <c r="S1293" t="str">
        <f t="shared" si="164"/>
        <v/>
      </c>
      <c r="T1293" s="403" t="str">
        <f t="shared" si="165"/>
        <v>NBE-4502-AL</v>
      </c>
      <c r="U1293" s="403">
        <f t="shared" si="166"/>
        <v>1</v>
      </c>
      <c r="V1293" s="403" t="str">
        <f t="shared" si="167"/>
        <v>CPP_7_3</v>
      </c>
    </row>
    <row r="1294" spans="1:22">
      <c r="A1294" t="str">
        <f t="shared" si="160"/>
        <v>NBE-4502-AL</v>
      </c>
      <c r="B1294" s="403" t="s">
        <v>1378</v>
      </c>
      <c r="C1294" s="403" t="s">
        <v>582</v>
      </c>
      <c r="D1294" s="403" t="s">
        <v>1379</v>
      </c>
      <c r="E1294" s="403" t="s">
        <v>778</v>
      </c>
      <c r="F1294" s="403" t="s">
        <v>1287</v>
      </c>
      <c r="G1294" s="403" t="s">
        <v>1466</v>
      </c>
      <c r="H1294" s="403" t="s">
        <v>1282</v>
      </c>
      <c r="I1294" s="403">
        <v>1</v>
      </c>
      <c r="J1294" s="403" t="s">
        <v>110</v>
      </c>
      <c r="K1294" s="403">
        <v>1920</v>
      </c>
      <c r="L1294" s="403">
        <v>1080</v>
      </c>
      <c r="M1294" s="403" t="s">
        <v>1279</v>
      </c>
      <c r="N1294" s="403">
        <v>768</v>
      </c>
      <c r="O1294" s="403">
        <v>432</v>
      </c>
      <c r="P1294" t="str">
        <f t="shared" si="161"/>
        <v>25fps 1080p - SD ROI PTZ</v>
      </c>
      <c r="Q1294">
        <f t="shared" si="162"/>
        <v>7</v>
      </c>
      <c r="R1294" t="str">
        <f t="shared" si="163"/>
        <v/>
      </c>
      <c r="S1294" t="str">
        <f t="shared" si="164"/>
        <v/>
      </c>
      <c r="T1294" s="403" t="str">
        <f t="shared" si="165"/>
        <v>NBE-4502-AL</v>
      </c>
      <c r="U1294" s="403">
        <f t="shared" si="166"/>
        <v>1</v>
      </c>
      <c r="V1294" s="403" t="str">
        <f t="shared" si="167"/>
        <v>CPP_7_3</v>
      </c>
    </row>
    <row r="1295" spans="1:22">
      <c r="A1295" t="str">
        <f t="shared" si="160"/>
        <v>NBE-4502-AL</v>
      </c>
      <c r="B1295" s="403" t="s">
        <v>1378</v>
      </c>
      <c r="C1295" s="403" t="s">
        <v>582</v>
      </c>
      <c r="D1295" s="403" t="s">
        <v>1379</v>
      </c>
      <c r="E1295" s="403" t="s">
        <v>778</v>
      </c>
      <c r="F1295" s="403" t="s">
        <v>1287</v>
      </c>
      <c r="G1295" s="403" t="s">
        <v>1466</v>
      </c>
      <c r="H1295" s="403" t="s">
        <v>1282</v>
      </c>
      <c r="I1295" s="403">
        <v>1</v>
      </c>
      <c r="J1295" s="403" t="s">
        <v>110</v>
      </c>
      <c r="K1295" s="403">
        <v>1920</v>
      </c>
      <c r="L1295" s="403">
        <v>1080</v>
      </c>
      <c r="M1295" s="403" t="s">
        <v>1283</v>
      </c>
      <c r="N1295" s="403">
        <v>720</v>
      </c>
      <c r="O1295" s="403">
        <v>576</v>
      </c>
      <c r="P1295" t="str">
        <f t="shared" si="161"/>
        <v>25fps 1080p - SD 4CIF resolution 4:3 format (cropped)</v>
      </c>
      <c r="Q1295">
        <f t="shared" si="162"/>
        <v>7</v>
      </c>
      <c r="R1295" t="str">
        <f t="shared" si="163"/>
        <v/>
      </c>
      <c r="S1295" t="str">
        <f t="shared" si="164"/>
        <v/>
      </c>
      <c r="T1295" s="403" t="str">
        <f t="shared" si="165"/>
        <v>NBE-4502-AL</v>
      </c>
      <c r="U1295" s="403">
        <f t="shared" si="166"/>
        <v>1</v>
      </c>
      <c r="V1295" s="403" t="str">
        <f t="shared" si="167"/>
        <v>CPP_7_3</v>
      </c>
    </row>
    <row r="1296" spans="1:22">
      <c r="A1296" t="str">
        <f t="shared" si="160"/>
        <v>NBE-4502-AL</v>
      </c>
      <c r="B1296" s="403" t="s">
        <v>1378</v>
      </c>
      <c r="C1296" s="403" t="s">
        <v>582</v>
      </c>
      <c r="D1296" s="403" t="s">
        <v>1379</v>
      </c>
      <c r="E1296" s="403" t="s">
        <v>778</v>
      </c>
      <c r="F1296" s="403" t="s">
        <v>1287</v>
      </c>
      <c r="G1296" s="403" t="s">
        <v>1466</v>
      </c>
      <c r="H1296" s="403" t="s">
        <v>1282</v>
      </c>
      <c r="I1296" s="403">
        <v>1</v>
      </c>
      <c r="J1296" s="403" t="s">
        <v>110</v>
      </c>
      <c r="K1296" s="403">
        <v>1920</v>
      </c>
      <c r="L1296" s="403">
        <v>1080</v>
      </c>
      <c r="M1296" s="403" t="s">
        <v>1284</v>
      </c>
      <c r="N1296" s="403">
        <v>640</v>
      </c>
      <c r="O1296" s="403">
        <v>480</v>
      </c>
      <c r="P1296" t="str">
        <f t="shared" si="161"/>
        <v>25fps 1080p - SD VGA (cropped)</v>
      </c>
      <c r="Q1296">
        <f t="shared" si="162"/>
        <v>7</v>
      </c>
      <c r="R1296" t="str">
        <f t="shared" si="163"/>
        <v/>
      </c>
      <c r="S1296" t="str">
        <f t="shared" si="164"/>
        <v/>
      </c>
      <c r="T1296" s="403" t="str">
        <f t="shared" si="165"/>
        <v>NBE-4502-AL</v>
      </c>
      <c r="U1296" s="403">
        <f t="shared" si="166"/>
        <v>1</v>
      </c>
      <c r="V1296" s="403" t="str">
        <f t="shared" si="167"/>
        <v>CPP_7_3</v>
      </c>
    </row>
    <row r="1297" spans="1:22">
      <c r="A1297" t="str">
        <f t="shared" si="160"/>
        <v>NBE-4502-AL</v>
      </c>
      <c r="B1297" s="403" t="s">
        <v>1378</v>
      </c>
      <c r="C1297" s="403" t="s">
        <v>582</v>
      </c>
      <c r="D1297" s="403" t="s">
        <v>1379</v>
      </c>
      <c r="E1297" s="403" t="s">
        <v>778</v>
      </c>
      <c r="F1297" s="403" t="s">
        <v>1287</v>
      </c>
      <c r="G1297" s="403" t="s">
        <v>1466</v>
      </c>
      <c r="H1297" s="403" t="s">
        <v>1282</v>
      </c>
      <c r="I1297" s="403">
        <v>1</v>
      </c>
      <c r="J1297" s="403" t="s">
        <v>109</v>
      </c>
      <c r="K1297" s="403">
        <v>1280</v>
      </c>
      <c r="L1297" s="403">
        <v>720</v>
      </c>
      <c r="M1297" s="403" t="s">
        <v>109</v>
      </c>
      <c r="N1297" s="403">
        <v>1280</v>
      </c>
      <c r="O1297" s="403">
        <v>720</v>
      </c>
      <c r="P1297" t="str">
        <f t="shared" si="161"/>
        <v>25fps 720p - 720p</v>
      </c>
      <c r="Q1297">
        <f t="shared" si="162"/>
        <v>7</v>
      </c>
      <c r="R1297" t="str">
        <f t="shared" si="163"/>
        <v/>
      </c>
      <c r="S1297" t="str">
        <f t="shared" si="164"/>
        <v/>
      </c>
      <c r="T1297" s="403" t="str">
        <f t="shared" si="165"/>
        <v>NBE-4502-AL</v>
      </c>
      <c r="U1297" s="403">
        <f t="shared" si="166"/>
        <v>1</v>
      </c>
      <c r="V1297" s="403" t="str">
        <f t="shared" si="167"/>
        <v>CPP_7_3</v>
      </c>
    </row>
    <row r="1298" spans="1:22">
      <c r="A1298" t="str">
        <f t="shared" si="160"/>
        <v>NBE-4502-AL</v>
      </c>
      <c r="B1298" s="403" t="s">
        <v>1378</v>
      </c>
      <c r="C1298" s="403" t="s">
        <v>582</v>
      </c>
      <c r="D1298" s="403" t="s">
        <v>1379</v>
      </c>
      <c r="E1298" s="403" t="s">
        <v>778</v>
      </c>
      <c r="F1298" s="403" t="s">
        <v>1287</v>
      </c>
      <c r="G1298" s="403" t="s">
        <v>1466</v>
      </c>
      <c r="H1298" s="403" t="s">
        <v>1282</v>
      </c>
      <c r="I1298" s="403">
        <v>1</v>
      </c>
      <c r="J1298" s="403" t="s">
        <v>109</v>
      </c>
      <c r="K1298" s="403">
        <v>1280</v>
      </c>
      <c r="L1298" s="403">
        <v>720</v>
      </c>
      <c r="M1298" s="403" t="s">
        <v>111</v>
      </c>
      <c r="N1298" s="403">
        <v>768</v>
      </c>
      <c r="O1298" s="403">
        <v>432</v>
      </c>
      <c r="P1298" t="str">
        <f t="shared" si="161"/>
        <v>25fps 720p - SD</v>
      </c>
      <c r="Q1298">
        <f t="shared" si="162"/>
        <v>7</v>
      </c>
      <c r="R1298" t="str">
        <f t="shared" si="163"/>
        <v/>
      </c>
      <c r="S1298" t="str">
        <f t="shared" si="164"/>
        <v/>
      </c>
      <c r="T1298" s="403" t="str">
        <f t="shared" si="165"/>
        <v>NBE-4502-AL</v>
      </c>
      <c r="U1298" s="403">
        <f t="shared" si="166"/>
        <v>1</v>
      </c>
      <c r="V1298" s="403" t="str">
        <f t="shared" si="167"/>
        <v>CPP_7_3</v>
      </c>
    </row>
    <row r="1299" spans="1:22">
      <c r="A1299" t="str">
        <f t="shared" si="160"/>
        <v>NBE-4502-AL</v>
      </c>
      <c r="B1299" s="403" t="s">
        <v>1378</v>
      </c>
      <c r="C1299" s="403" t="s">
        <v>582</v>
      </c>
      <c r="D1299" s="403" t="s">
        <v>1379</v>
      </c>
      <c r="E1299" s="403" t="s">
        <v>778</v>
      </c>
      <c r="F1299" s="403" t="s">
        <v>1287</v>
      </c>
      <c r="G1299" s="403" t="s">
        <v>1466</v>
      </c>
      <c r="H1299" s="403" t="s">
        <v>1282</v>
      </c>
      <c r="I1299" s="403">
        <v>1</v>
      </c>
      <c r="J1299" s="403" t="s">
        <v>109</v>
      </c>
      <c r="K1299" s="403">
        <v>1280</v>
      </c>
      <c r="L1299" s="403">
        <v>720</v>
      </c>
      <c r="M1299" s="403" t="s">
        <v>1279</v>
      </c>
      <c r="N1299" s="403">
        <v>768</v>
      </c>
      <c r="O1299" s="403">
        <v>432</v>
      </c>
      <c r="P1299" t="str">
        <f t="shared" si="161"/>
        <v>25fps 720p - SD ROI PTZ</v>
      </c>
      <c r="Q1299">
        <f t="shared" si="162"/>
        <v>7</v>
      </c>
      <c r="R1299" t="str">
        <f t="shared" si="163"/>
        <v/>
      </c>
      <c r="S1299" t="str">
        <f t="shared" si="164"/>
        <v/>
      </c>
      <c r="T1299" s="403" t="str">
        <f t="shared" si="165"/>
        <v>NBE-4502-AL</v>
      </c>
      <c r="U1299" s="403">
        <f t="shared" si="166"/>
        <v>1</v>
      </c>
      <c r="V1299" s="403" t="str">
        <f t="shared" si="167"/>
        <v>CPP_7_3</v>
      </c>
    </row>
    <row r="1300" spans="1:22">
      <c r="A1300" t="str">
        <f t="shared" si="160"/>
        <v>NBE-4502-AL</v>
      </c>
      <c r="B1300" s="403" t="s">
        <v>1378</v>
      </c>
      <c r="C1300" s="403" t="s">
        <v>582</v>
      </c>
      <c r="D1300" s="403" t="s">
        <v>1379</v>
      </c>
      <c r="E1300" s="403" t="s">
        <v>778</v>
      </c>
      <c r="F1300" s="403" t="s">
        <v>1287</v>
      </c>
      <c r="G1300" s="403" t="s">
        <v>1466</v>
      </c>
      <c r="H1300" s="403" t="s">
        <v>1282</v>
      </c>
      <c r="I1300" s="403">
        <v>1</v>
      </c>
      <c r="J1300" s="403" t="s">
        <v>109</v>
      </c>
      <c r="K1300" s="403">
        <v>1280</v>
      </c>
      <c r="L1300" s="403">
        <v>720</v>
      </c>
      <c r="M1300" s="403" t="s">
        <v>1283</v>
      </c>
      <c r="N1300" s="403">
        <v>720</v>
      </c>
      <c r="O1300" s="403">
        <v>576</v>
      </c>
      <c r="P1300" t="str">
        <f t="shared" si="161"/>
        <v>25fps 720p - SD 4CIF resolution 4:3 format (cropped)</v>
      </c>
      <c r="Q1300">
        <f t="shared" si="162"/>
        <v>7</v>
      </c>
      <c r="R1300" t="str">
        <f t="shared" si="163"/>
        <v/>
      </c>
      <c r="S1300" t="str">
        <f t="shared" si="164"/>
        <v/>
      </c>
      <c r="T1300" s="403" t="str">
        <f t="shared" si="165"/>
        <v>NBE-4502-AL</v>
      </c>
      <c r="U1300" s="403">
        <f t="shared" si="166"/>
        <v>1</v>
      </c>
      <c r="V1300" s="403" t="str">
        <f t="shared" si="167"/>
        <v>CPP_7_3</v>
      </c>
    </row>
    <row r="1301" spans="1:22">
      <c r="A1301" t="str">
        <f t="shared" si="160"/>
        <v>NBE-4502-AL</v>
      </c>
      <c r="B1301" s="403" t="s">
        <v>1378</v>
      </c>
      <c r="C1301" s="403" t="s">
        <v>582</v>
      </c>
      <c r="D1301" s="403" t="s">
        <v>1379</v>
      </c>
      <c r="E1301" s="403" t="s">
        <v>778</v>
      </c>
      <c r="F1301" s="403" t="s">
        <v>1287</v>
      </c>
      <c r="G1301" s="403" t="s">
        <v>1466</v>
      </c>
      <c r="H1301" s="403" t="s">
        <v>1282</v>
      </c>
      <c r="I1301" s="403">
        <v>1</v>
      </c>
      <c r="J1301" s="403" t="s">
        <v>109</v>
      </c>
      <c r="K1301" s="403">
        <v>1280</v>
      </c>
      <c r="L1301" s="403">
        <v>720</v>
      </c>
      <c r="M1301" s="403" t="s">
        <v>1284</v>
      </c>
      <c r="N1301" s="403">
        <v>640</v>
      </c>
      <c r="O1301" s="403">
        <v>480</v>
      </c>
      <c r="P1301" t="str">
        <f t="shared" si="161"/>
        <v>25fps 720p - SD VGA (cropped)</v>
      </c>
      <c r="Q1301">
        <f t="shared" si="162"/>
        <v>7</v>
      </c>
      <c r="R1301" t="str">
        <f t="shared" si="163"/>
        <v/>
      </c>
      <c r="S1301" t="str">
        <f t="shared" si="164"/>
        <v/>
      </c>
      <c r="T1301" s="403" t="str">
        <f t="shared" si="165"/>
        <v>NBE-4502-AL</v>
      </c>
      <c r="U1301" s="403">
        <f t="shared" si="166"/>
        <v>1</v>
      </c>
      <c r="V1301" s="403" t="str">
        <f t="shared" si="167"/>
        <v>CPP_7_3</v>
      </c>
    </row>
    <row r="1302" spans="1:22">
      <c r="A1302" t="str">
        <f t="shared" si="160"/>
        <v>NBE-4502-AL</v>
      </c>
      <c r="B1302" s="403" t="s">
        <v>1378</v>
      </c>
      <c r="C1302" s="403" t="s">
        <v>582</v>
      </c>
      <c r="D1302" s="403" t="s">
        <v>1379</v>
      </c>
      <c r="E1302" s="403" t="s">
        <v>778</v>
      </c>
      <c r="F1302" s="403" t="s">
        <v>1287</v>
      </c>
      <c r="G1302" s="403" t="s">
        <v>1467</v>
      </c>
      <c r="H1302" s="403" t="s">
        <v>1276</v>
      </c>
      <c r="I1302" s="403">
        <v>1</v>
      </c>
      <c r="J1302" s="403" t="s">
        <v>110</v>
      </c>
      <c r="K1302" s="403">
        <v>1080</v>
      </c>
      <c r="L1302" s="403">
        <v>1920</v>
      </c>
      <c r="M1302" s="403" t="s">
        <v>111</v>
      </c>
      <c r="N1302" s="403">
        <v>432</v>
      </c>
      <c r="O1302" s="403">
        <v>768</v>
      </c>
      <c r="P1302" t="str">
        <f t="shared" si="161"/>
        <v>25fps 1080p - SD</v>
      </c>
      <c r="Q1302">
        <f t="shared" si="162"/>
        <v>7</v>
      </c>
      <c r="R1302" t="str">
        <f t="shared" si="163"/>
        <v/>
      </c>
      <c r="S1302" t="str">
        <f t="shared" si="164"/>
        <v/>
      </c>
      <c r="T1302" s="403" t="str">
        <f t="shared" si="165"/>
        <v>NBE-4502-AL</v>
      </c>
      <c r="U1302" s="403">
        <f t="shared" si="166"/>
        <v>1</v>
      </c>
      <c r="V1302" s="403" t="str">
        <f t="shared" si="167"/>
        <v>CPP_7_3</v>
      </c>
    </row>
    <row r="1303" spans="1:22">
      <c r="A1303" t="str">
        <f t="shared" si="160"/>
        <v>NBE-4502-AL</v>
      </c>
      <c r="B1303" s="403" t="s">
        <v>1378</v>
      </c>
      <c r="C1303" s="403" t="s">
        <v>582</v>
      </c>
      <c r="D1303" s="403" t="s">
        <v>1379</v>
      </c>
      <c r="E1303" s="403" t="s">
        <v>778</v>
      </c>
      <c r="F1303" s="403" t="s">
        <v>1287</v>
      </c>
      <c r="G1303" s="403" t="s">
        <v>1467</v>
      </c>
      <c r="H1303" s="403" t="s">
        <v>1276</v>
      </c>
      <c r="I1303" s="403">
        <v>1</v>
      </c>
      <c r="J1303" s="403" t="s">
        <v>110</v>
      </c>
      <c r="K1303" s="403">
        <v>1080</v>
      </c>
      <c r="L1303" s="403">
        <v>1920</v>
      </c>
      <c r="M1303" s="403" t="s">
        <v>110</v>
      </c>
      <c r="N1303" s="403">
        <v>1080</v>
      </c>
      <c r="O1303" s="403">
        <v>1920</v>
      </c>
      <c r="P1303" t="str">
        <f t="shared" si="161"/>
        <v>25fps 1080p - 1080p</v>
      </c>
      <c r="Q1303">
        <f t="shared" si="162"/>
        <v>7</v>
      </c>
      <c r="R1303" t="str">
        <f t="shared" si="163"/>
        <v/>
      </c>
      <c r="S1303" t="str">
        <f t="shared" si="164"/>
        <v/>
      </c>
      <c r="T1303" s="403" t="str">
        <f t="shared" si="165"/>
        <v>NBE-4502-AL</v>
      </c>
      <c r="U1303" s="403">
        <f t="shared" si="166"/>
        <v>1</v>
      </c>
      <c r="V1303" s="403" t="str">
        <f t="shared" si="167"/>
        <v>CPP_7_3</v>
      </c>
    </row>
    <row r="1304" spans="1:22">
      <c r="A1304" t="str">
        <f t="shared" si="160"/>
        <v>NBE-4502-AL</v>
      </c>
      <c r="B1304" s="403" t="s">
        <v>1378</v>
      </c>
      <c r="C1304" s="403" t="s">
        <v>582</v>
      </c>
      <c r="D1304" s="403" t="s">
        <v>1379</v>
      </c>
      <c r="E1304" s="403" t="s">
        <v>778</v>
      </c>
      <c r="F1304" s="403" t="s">
        <v>1287</v>
      </c>
      <c r="G1304" s="403" t="s">
        <v>1467</v>
      </c>
      <c r="H1304" s="403" t="s">
        <v>1276</v>
      </c>
      <c r="I1304" s="403">
        <v>1</v>
      </c>
      <c r="J1304" s="403" t="s">
        <v>110</v>
      </c>
      <c r="K1304" s="403">
        <v>1080</v>
      </c>
      <c r="L1304" s="403">
        <v>1920</v>
      </c>
      <c r="M1304" s="403" t="s">
        <v>109</v>
      </c>
      <c r="N1304" s="403">
        <v>720</v>
      </c>
      <c r="O1304" s="403">
        <v>1280</v>
      </c>
      <c r="P1304" t="str">
        <f t="shared" si="161"/>
        <v>25fps 1080p - 720p</v>
      </c>
      <c r="Q1304">
        <f t="shared" si="162"/>
        <v>7</v>
      </c>
      <c r="R1304" t="str">
        <f t="shared" si="163"/>
        <v/>
      </c>
      <c r="S1304" t="str">
        <f t="shared" si="164"/>
        <v/>
      </c>
      <c r="T1304" s="403" t="str">
        <f t="shared" si="165"/>
        <v>NBE-4502-AL</v>
      </c>
      <c r="U1304" s="403">
        <f t="shared" si="166"/>
        <v>1</v>
      </c>
      <c r="V1304" s="403" t="str">
        <f t="shared" si="167"/>
        <v>CPP_7_3</v>
      </c>
    </row>
    <row r="1305" spans="1:22">
      <c r="A1305" t="str">
        <f t="shared" si="160"/>
        <v>NBE-4502-AL</v>
      </c>
      <c r="B1305" s="403" t="s">
        <v>1378</v>
      </c>
      <c r="C1305" s="403" t="s">
        <v>582</v>
      </c>
      <c r="D1305" s="403" t="s">
        <v>1379</v>
      </c>
      <c r="E1305" s="403" t="s">
        <v>778</v>
      </c>
      <c r="F1305" s="403" t="s">
        <v>1287</v>
      </c>
      <c r="G1305" s="403" t="s">
        <v>1467</v>
      </c>
      <c r="H1305" s="403" t="s">
        <v>1276</v>
      </c>
      <c r="I1305" s="403">
        <v>1</v>
      </c>
      <c r="J1305" s="403" t="s">
        <v>110</v>
      </c>
      <c r="K1305" s="403">
        <v>1080</v>
      </c>
      <c r="L1305" s="403">
        <v>1920</v>
      </c>
      <c r="M1305" s="403" t="s">
        <v>1285</v>
      </c>
      <c r="N1305" s="403">
        <v>1024</v>
      </c>
      <c r="O1305" s="403">
        <v>1280</v>
      </c>
      <c r="P1305" t="str">
        <f t="shared" si="161"/>
        <v>25fps 1080p - 1280x1024 5:4 (cropped)</v>
      </c>
      <c r="Q1305">
        <f t="shared" si="162"/>
        <v>7</v>
      </c>
      <c r="R1305" t="str">
        <f t="shared" si="163"/>
        <v/>
      </c>
      <c r="S1305" t="str">
        <f t="shared" si="164"/>
        <v/>
      </c>
      <c r="T1305" s="403" t="str">
        <f t="shared" si="165"/>
        <v>NBE-4502-AL</v>
      </c>
      <c r="U1305" s="403">
        <f t="shared" si="166"/>
        <v>1</v>
      </c>
      <c r="V1305" s="403" t="str">
        <f t="shared" si="167"/>
        <v>CPP_7_3</v>
      </c>
    </row>
    <row r="1306" spans="1:22">
      <c r="A1306" t="str">
        <f t="shared" si="160"/>
        <v>NBE-4502-AL</v>
      </c>
      <c r="B1306" s="403" t="s">
        <v>1378</v>
      </c>
      <c r="C1306" s="403" t="s">
        <v>582</v>
      </c>
      <c r="D1306" s="403" t="s">
        <v>1379</v>
      </c>
      <c r="E1306" s="403" t="s">
        <v>778</v>
      </c>
      <c r="F1306" s="403" t="s">
        <v>1287</v>
      </c>
      <c r="G1306" s="403" t="s">
        <v>1467</v>
      </c>
      <c r="H1306" s="403" t="s">
        <v>1276</v>
      </c>
      <c r="I1306" s="403">
        <v>1</v>
      </c>
      <c r="J1306" s="403" t="s">
        <v>110</v>
      </c>
      <c r="K1306" s="403">
        <v>1080</v>
      </c>
      <c r="L1306" s="403">
        <v>1920</v>
      </c>
      <c r="M1306" s="403" t="s">
        <v>1279</v>
      </c>
      <c r="N1306" s="403">
        <v>432</v>
      </c>
      <c r="O1306" s="403">
        <v>768</v>
      </c>
      <c r="P1306" t="str">
        <f t="shared" si="161"/>
        <v>25fps 1080p - SD ROI PTZ</v>
      </c>
      <c r="Q1306">
        <f t="shared" si="162"/>
        <v>7</v>
      </c>
      <c r="R1306" t="str">
        <f t="shared" si="163"/>
        <v/>
      </c>
      <c r="S1306" t="str">
        <f t="shared" si="164"/>
        <v/>
      </c>
      <c r="T1306" s="403" t="str">
        <f t="shared" si="165"/>
        <v>NBE-4502-AL</v>
      </c>
      <c r="U1306" s="403">
        <f t="shared" si="166"/>
        <v>1</v>
      </c>
      <c r="V1306" s="403" t="str">
        <f t="shared" si="167"/>
        <v>CPP_7_3</v>
      </c>
    </row>
    <row r="1307" spans="1:22">
      <c r="A1307" t="str">
        <f t="shared" si="160"/>
        <v>NBE-4502-AL</v>
      </c>
      <c r="B1307" s="403" t="s">
        <v>1378</v>
      </c>
      <c r="C1307" s="403" t="s">
        <v>582</v>
      </c>
      <c r="D1307" s="403" t="s">
        <v>1379</v>
      </c>
      <c r="E1307" s="403" t="s">
        <v>778</v>
      </c>
      <c r="F1307" s="403" t="s">
        <v>1287</v>
      </c>
      <c r="G1307" s="403" t="s">
        <v>1467</v>
      </c>
      <c r="H1307" s="403" t="s">
        <v>1276</v>
      </c>
      <c r="I1307" s="403">
        <v>1</v>
      </c>
      <c r="J1307" s="403" t="s">
        <v>110</v>
      </c>
      <c r="K1307" s="403">
        <v>1080</v>
      </c>
      <c r="L1307" s="403">
        <v>1920</v>
      </c>
      <c r="M1307" s="403" t="s">
        <v>1283</v>
      </c>
      <c r="N1307" s="403">
        <v>576</v>
      </c>
      <c r="O1307" s="403">
        <v>720</v>
      </c>
      <c r="P1307" t="str">
        <f t="shared" si="161"/>
        <v>25fps 1080p - SD 4CIF resolution 4:3 format (cropped)</v>
      </c>
      <c r="Q1307">
        <f t="shared" si="162"/>
        <v>7</v>
      </c>
      <c r="R1307" t="str">
        <f t="shared" si="163"/>
        <v/>
      </c>
      <c r="S1307" t="str">
        <f t="shared" si="164"/>
        <v/>
      </c>
      <c r="T1307" s="403" t="str">
        <f t="shared" si="165"/>
        <v>NBE-4502-AL</v>
      </c>
      <c r="U1307" s="403">
        <f t="shared" si="166"/>
        <v>1</v>
      </c>
      <c r="V1307" s="403" t="str">
        <f t="shared" si="167"/>
        <v>CPP_7_3</v>
      </c>
    </row>
    <row r="1308" spans="1:22">
      <c r="A1308" t="str">
        <f t="shared" si="160"/>
        <v>NBE-4502-AL</v>
      </c>
      <c r="B1308" s="403" t="s">
        <v>1378</v>
      </c>
      <c r="C1308" s="403" t="s">
        <v>582</v>
      </c>
      <c r="D1308" s="403" t="s">
        <v>1379</v>
      </c>
      <c r="E1308" s="403" t="s">
        <v>778</v>
      </c>
      <c r="F1308" s="403" t="s">
        <v>1287</v>
      </c>
      <c r="G1308" s="403" t="s">
        <v>1467</v>
      </c>
      <c r="H1308" s="403" t="s">
        <v>1276</v>
      </c>
      <c r="I1308" s="403">
        <v>1</v>
      </c>
      <c r="J1308" s="403" t="s">
        <v>110</v>
      </c>
      <c r="K1308" s="403">
        <v>1080</v>
      </c>
      <c r="L1308" s="403">
        <v>1920</v>
      </c>
      <c r="M1308" s="403" t="s">
        <v>1284</v>
      </c>
      <c r="N1308" s="403">
        <v>480</v>
      </c>
      <c r="O1308" s="403">
        <v>640</v>
      </c>
      <c r="P1308" t="str">
        <f t="shared" si="161"/>
        <v>25fps 1080p - SD VGA (cropped)</v>
      </c>
      <c r="Q1308">
        <f t="shared" si="162"/>
        <v>7</v>
      </c>
      <c r="R1308" t="str">
        <f t="shared" si="163"/>
        <v/>
      </c>
      <c r="S1308" t="str">
        <f t="shared" si="164"/>
        <v/>
      </c>
      <c r="T1308" s="403" t="str">
        <f t="shared" si="165"/>
        <v>NBE-4502-AL</v>
      </c>
      <c r="U1308" s="403">
        <f t="shared" si="166"/>
        <v>1</v>
      </c>
      <c r="V1308" s="403" t="str">
        <f t="shared" si="167"/>
        <v>CPP_7_3</v>
      </c>
    </row>
    <row r="1309" spans="1:22">
      <c r="A1309" t="str">
        <f t="shared" si="160"/>
        <v>NBE-4502-AL</v>
      </c>
      <c r="B1309" s="403" t="s">
        <v>1378</v>
      </c>
      <c r="C1309" s="403" t="s">
        <v>582</v>
      </c>
      <c r="D1309" s="403" t="s">
        <v>1379</v>
      </c>
      <c r="E1309" s="403" t="s">
        <v>778</v>
      </c>
      <c r="F1309" s="403" t="s">
        <v>1287</v>
      </c>
      <c r="G1309" s="403" t="s">
        <v>1467</v>
      </c>
      <c r="H1309" s="403" t="s">
        <v>1276</v>
      </c>
      <c r="I1309" s="403">
        <v>1</v>
      </c>
      <c r="J1309" s="403" t="s">
        <v>109</v>
      </c>
      <c r="K1309" s="403">
        <v>720</v>
      </c>
      <c r="L1309" s="403">
        <v>1280</v>
      </c>
      <c r="M1309" s="403" t="s">
        <v>109</v>
      </c>
      <c r="N1309" s="403">
        <v>720</v>
      </c>
      <c r="O1309" s="403">
        <v>1280</v>
      </c>
      <c r="P1309" t="str">
        <f t="shared" si="161"/>
        <v>25fps 720p - 720p</v>
      </c>
      <c r="Q1309">
        <f t="shared" si="162"/>
        <v>7</v>
      </c>
      <c r="R1309" t="str">
        <f t="shared" si="163"/>
        <v/>
      </c>
      <c r="S1309" t="str">
        <f t="shared" si="164"/>
        <v/>
      </c>
      <c r="T1309" s="403" t="str">
        <f t="shared" si="165"/>
        <v>NBE-4502-AL</v>
      </c>
      <c r="U1309" s="403">
        <f t="shared" si="166"/>
        <v>1</v>
      </c>
      <c r="V1309" s="403" t="str">
        <f t="shared" si="167"/>
        <v>CPP_7_3</v>
      </c>
    </row>
    <row r="1310" spans="1:22">
      <c r="A1310" t="str">
        <f t="shared" si="160"/>
        <v>NBE-4502-AL</v>
      </c>
      <c r="B1310" s="403" t="s">
        <v>1378</v>
      </c>
      <c r="C1310" s="403" t="s">
        <v>582</v>
      </c>
      <c r="D1310" s="403" t="s">
        <v>1379</v>
      </c>
      <c r="E1310" s="403" t="s">
        <v>778</v>
      </c>
      <c r="F1310" s="403" t="s">
        <v>1287</v>
      </c>
      <c r="G1310" s="403" t="s">
        <v>1467</v>
      </c>
      <c r="H1310" s="403" t="s">
        <v>1276</v>
      </c>
      <c r="I1310" s="403">
        <v>1</v>
      </c>
      <c r="J1310" s="403" t="s">
        <v>109</v>
      </c>
      <c r="K1310" s="403">
        <v>720</v>
      </c>
      <c r="L1310" s="403">
        <v>1280</v>
      </c>
      <c r="M1310" s="403" t="s">
        <v>111</v>
      </c>
      <c r="N1310" s="403">
        <v>432</v>
      </c>
      <c r="O1310" s="403">
        <v>768</v>
      </c>
      <c r="P1310" t="str">
        <f t="shared" si="161"/>
        <v>25fps 720p - SD</v>
      </c>
      <c r="Q1310">
        <f t="shared" si="162"/>
        <v>7</v>
      </c>
      <c r="R1310" t="str">
        <f t="shared" si="163"/>
        <v/>
      </c>
      <c r="S1310" t="str">
        <f t="shared" si="164"/>
        <v/>
      </c>
      <c r="T1310" s="403" t="str">
        <f t="shared" si="165"/>
        <v>NBE-4502-AL</v>
      </c>
      <c r="U1310" s="403">
        <f t="shared" si="166"/>
        <v>1</v>
      </c>
      <c r="V1310" s="403" t="str">
        <f t="shared" si="167"/>
        <v>CPP_7_3</v>
      </c>
    </row>
    <row r="1311" spans="1:22">
      <c r="A1311" t="str">
        <f t="shared" si="160"/>
        <v>NBE-4502-AL</v>
      </c>
      <c r="B1311" s="403" t="s">
        <v>1378</v>
      </c>
      <c r="C1311" s="403" t="s">
        <v>582</v>
      </c>
      <c r="D1311" s="403" t="s">
        <v>1379</v>
      </c>
      <c r="E1311" s="403" t="s">
        <v>778</v>
      </c>
      <c r="F1311" s="403" t="s">
        <v>1287</v>
      </c>
      <c r="G1311" s="403" t="s">
        <v>1467</v>
      </c>
      <c r="H1311" s="403" t="s">
        <v>1276</v>
      </c>
      <c r="I1311" s="403">
        <v>1</v>
      </c>
      <c r="J1311" s="403" t="s">
        <v>109</v>
      </c>
      <c r="K1311" s="403">
        <v>720</v>
      </c>
      <c r="L1311" s="403">
        <v>1280</v>
      </c>
      <c r="M1311" s="403" t="s">
        <v>1279</v>
      </c>
      <c r="N1311" s="403">
        <v>432</v>
      </c>
      <c r="O1311" s="403">
        <v>768</v>
      </c>
      <c r="P1311" t="str">
        <f t="shared" si="161"/>
        <v>25fps 720p - SD ROI PTZ</v>
      </c>
      <c r="Q1311">
        <f t="shared" si="162"/>
        <v>7</v>
      </c>
      <c r="R1311" t="str">
        <f t="shared" si="163"/>
        <v/>
      </c>
      <c r="S1311" t="str">
        <f t="shared" si="164"/>
        <v/>
      </c>
      <c r="T1311" s="403" t="str">
        <f t="shared" si="165"/>
        <v>NBE-4502-AL</v>
      </c>
      <c r="U1311" s="403">
        <f t="shared" si="166"/>
        <v>1</v>
      </c>
      <c r="V1311" s="403" t="str">
        <f t="shared" si="167"/>
        <v>CPP_7_3</v>
      </c>
    </row>
    <row r="1312" spans="1:22">
      <c r="A1312" t="str">
        <f t="shared" si="160"/>
        <v>NBE-4502-AL</v>
      </c>
      <c r="B1312" s="403" t="s">
        <v>1378</v>
      </c>
      <c r="C1312" s="403" t="s">
        <v>582</v>
      </c>
      <c r="D1312" s="403" t="s">
        <v>1379</v>
      </c>
      <c r="E1312" s="403" t="s">
        <v>778</v>
      </c>
      <c r="F1312" s="403" t="s">
        <v>1287</v>
      </c>
      <c r="G1312" s="403" t="s">
        <v>1467</v>
      </c>
      <c r="H1312" s="403" t="s">
        <v>1276</v>
      </c>
      <c r="I1312" s="403">
        <v>1</v>
      </c>
      <c r="J1312" s="403" t="s">
        <v>109</v>
      </c>
      <c r="K1312" s="403">
        <v>720</v>
      </c>
      <c r="L1312" s="403">
        <v>1280</v>
      </c>
      <c r="M1312" s="403" t="s">
        <v>1283</v>
      </c>
      <c r="N1312" s="403">
        <v>576</v>
      </c>
      <c r="O1312" s="403">
        <v>720</v>
      </c>
      <c r="P1312" t="str">
        <f t="shared" si="161"/>
        <v>25fps 720p - SD 4CIF resolution 4:3 format (cropped)</v>
      </c>
      <c r="Q1312">
        <f t="shared" si="162"/>
        <v>7</v>
      </c>
      <c r="R1312" t="str">
        <f t="shared" si="163"/>
        <v/>
      </c>
      <c r="S1312" t="str">
        <f t="shared" si="164"/>
        <v/>
      </c>
      <c r="T1312" s="403" t="str">
        <f t="shared" si="165"/>
        <v>NBE-4502-AL</v>
      </c>
      <c r="U1312" s="403">
        <f t="shared" si="166"/>
        <v>1</v>
      </c>
      <c r="V1312" s="403" t="str">
        <f t="shared" si="167"/>
        <v>CPP_7_3</v>
      </c>
    </row>
    <row r="1313" spans="1:22">
      <c r="A1313" t="str">
        <f t="shared" si="160"/>
        <v>NBE-4502-AL</v>
      </c>
      <c r="B1313" s="403" t="s">
        <v>1378</v>
      </c>
      <c r="C1313" s="403" t="s">
        <v>582</v>
      </c>
      <c r="D1313" s="403" t="s">
        <v>1379</v>
      </c>
      <c r="E1313" s="403" t="s">
        <v>778</v>
      </c>
      <c r="F1313" s="403" t="s">
        <v>1287</v>
      </c>
      <c r="G1313" s="403" t="s">
        <v>1467</v>
      </c>
      <c r="H1313" s="403" t="s">
        <v>1276</v>
      </c>
      <c r="I1313" s="403">
        <v>1</v>
      </c>
      <c r="J1313" s="403" t="s">
        <v>109</v>
      </c>
      <c r="K1313" s="403">
        <v>720</v>
      </c>
      <c r="L1313" s="403">
        <v>1280</v>
      </c>
      <c r="M1313" s="403" t="s">
        <v>1284</v>
      </c>
      <c r="N1313" s="403">
        <v>480</v>
      </c>
      <c r="O1313" s="403">
        <v>640</v>
      </c>
      <c r="P1313" t="str">
        <f t="shared" si="161"/>
        <v>25fps 720p - SD VGA (cropped)</v>
      </c>
      <c r="Q1313">
        <f t="shared" si="162"/>
        <v>7</v>
      </c>
      <c r="R1313" t="str">
        <f t="shared" si="163"/>
        <v/>
      </c>
      <c r="S1313" t="str">
        <f t="shared" si="164"/>
        <v/>
      </c>
      <c r="T1313" s="403" t="str">
        <f t="shared" si="165"/>
        <v>NBE-4502-AL</v>
      </c>
      <c r="U1313" s="403">
        <f t="shared" si="166"/>
        <v>1</v>
      </c>
      <c r="V1313" s="403" t="str">
        <f t="shared" si="167"/>
        <v>CPP_7_3</v>
      </c>
    </row>
    <row r="1314" spans="1:22">
      <c r="A1314" t="str">
        <f t="shared" si="160"/>
        <v>NBE-4502-AL</v>
      </c>
      <c r="B1314" s="403" t="s">
        <v>1378</v>
      </c>
      <c r="C1314" s="403" t="s">
        <v>582</v>
      </c>
      <c r="D1314" s="403" t="s">
        <v>1379</v>
      </c>
      <c r="E1314" s="403" t="s">
        <v>778</v>
      </c>
      <c r="F1314" s="403" t="s">
        <v>1287</v>
      </c>
      <c r="G1314" s="403" t="s">
        <v>1467</v>
      </c>
      <c r="H1314" s="403" t="s">
        <v>1281</v>
      </c>
      <c r="I1314" s="403">
        <v>1</v>
      </c>
      <c r="J1314" s="403" t="s">
        <v>110</v>
      </c>
      <c r="K1314" s="403">
        <v>1080</v>
      </c>
      <c r="L1314" s="403">
        <v>1920</v>
      </c>
      <c r="M1314" s="403" t="s">
        <v>111</v>
      </c>
      <c r="N1314" s="403">
        <v>432</v>
      </c>
      <c r="O1314" s="403">
        <v>768</v>
      </c>
      <c r="P1314" t="str">
        <f t="shared" si="161"/>
        <v>25fps 1080p - SD</v>
      </c>
      <c r="Q1314">
        <f t="shared" si="162"/>
        <v>7</v>
      </c>
      <c r="R1314" t="str">
        <f t="shared" si="163"/>
        <v/>
      </c>
      <c r="S1314" t="str">
        <f t="shared" si="164"/>
        <v/>
      </c>
      <c r="T1314" s="403" t="str">
        <f t="shared" si="165"/>
        <v>NBE-4502-AL</v>
      </c>
      <c r="U1314" s="403">
        <f t="shared" si="166"/>
        <v>1</v>
      </c>
      <c r="V1314" s="403" t="str">
        <f t="shared" si="167"/>
        <v>CPP_7_3</v>
      </c>
    </row>
    <row r="1315" spans="1:22">
      <c r="A1315" t="str">
        <f t="shared" si="160"/>
        <v>NBE-4502-AL</v>
      </c>
      <c r="B1315" s="403" t="s">
        <v>1378</v>
      </c>
      <c r="C1315" s="403" t="s">
        <v>582</v>
      </c>
      <c r="D1315" s="403" t="s">
        <v>1379</v>
      </c>
      <c r="E1315" s="403" t="s">
        <v>778</v>
      </c>
      <c r="F1315" s="403" t="s">
        <v>1287</v>
      </c>
      <c r="G1315" s="403" t="s">
        <v>1467</v>
      </c>
      <c r="H1315" s="403" t="s">
        <v>1281</v>
      </c>
      <c r="I1315" s="403">
        <v>1</v>
      </c>
      <c r="J1315" s="403" t="s">
        <v>110</v>
      </c>
      <c r="K1315" s="403">
        <v>1080</v>
      </c>
      <c r="L1315" s="403">
        <v>1920</v>
      </c>
      <c r="M1315" s="403" t="s">
        <v>110</v>
      </c>
      <c r="N1315" s="403">
        <v>1080</v>
      </c>
      <c r="O1315" s="403">
        <v>1920</v>
      </c>
      <c r="P1315" t="str">
        <f t="shared" si="161"/>
        <v>25fps 1080p - 1080p</v>
      </c>
      <c r="Q1315">
        <f t="shared" si="162"/>
        <v>7</v>
      </c>
      <c r="R1315" t="str">
        <f t="shared" si="163"/>
        <v/>
      </c>
      <c r="S1315" t="str">
        <f t="shared" si="164"/>
        <v/>
      </c>
      <c r="T1315" s="403" t="str">
        <f t="shared" si="165"/>
        <v>NBE-4502-AL</v>
      </c>
      <c r="U1315" s="403">
        <f t="shared" si="166"/>
        <v>1</v>
      </c>
      <c r="V1315" s="403" t="str">
        <f t="shared" si="167"/>
        <v>CPP_7_3</v>
      </c>
    </row>
    <row r="1316" spans="1:22">
      <c r="A1316" t="str">
        <f t="shared" si="160"/>
        <v>NBE-4502-AL</v>
      </c>
      <c r="B1316" s="403" t="s">
        <v>1378</v>
      </c>
      <c r="C1316" s="403" t="s">
        <v>582</v>
      </c>
      <c r="D1316" s="403" t="s">
        <v>1379</v>
      </c>
      <c r="E1316" s="403" t="s">
        <v>778</v>
      </c>
      <c r="F1316" s="403" t="s">
        <v>1287</v>
      </c>
      <c r="G1316" s="403" t="s">
        <v>1467</v>
      </c>
      <c r="H1316" s="403" t="s">
        <v>1281</v>
      </c>
      <c r="I1316" s="403">
        <v>1</v>
      </c>
      <c r="J1316" s="403" t="s">
        <v>110</v>
      </c>
      <c r="K1316" s="403">
        <v>1080</v>
      </c>
      <c r="L1316" s="403">
        <v>1920</v>
      </c>
      <c r="M1316" s="403" t="s">
        <v>109</v>
      </c>
      <c r="N1316" s="403">
        <v>720</v>
      </c>
      <c r="O1316" s="403">
        <v>1280</v>
      </c>
      <c r="P1316" t="str">
        <f t="shared" si="161"/>
        <v>25fps 1080p - 720p</v>
      </c>
      <c r="Q1316">
        <f t="shared" si="162"/>
        <v>7</v>
      </c>
      <c r="R1316" t="str">
        <f t="shared" si="163"/>
        <v/>
      </c>
      <c r="S1316" t="str">
        <f t="shared" si="164"/>
        <v/>
      </c>
      <c r="T1316" s="403" t="str">
        <f t="shared" si="165"/>
        <v>NBE-4502-AL</v>
      </c>
      <c r="U1316" s="403">
        <f t="shared" si="166"/>
        <v>1</v>
      </c>
      <c r="V1316" s="403" t="str">
        <f t="shared" si="167"/>
        <v>CPP_7_3</v>
      </c>
    </row>
    <row r="1317" spans="1:22">
      <c r="A1317" t="str">
        <f t="shared" si="160"/>
        <v>NBE-4502-AL</v>
      </c>
      <c r="B1317" s="403" t="s">
        <v>1378</v>
      </c>
      <c r="C1317" s="403" t="s">
        <v>582</v>
      </c>
      <c r="D1317" s="403" t="s">
        <v>1379</v>
      </c>
      <c r="E1317" s="403" t="s">
        <v>778</v>
      </c>
      <c r="F1317" s="403" t="s">
        <v>1287</v>
      </c>
      <c r="G1317" s="403" t="s">
        <v>1467</v>
      </c>
      <c r="H1317" s="403" t="s">
        <v>1281</v>
      </c>
      <c r="I1317" s="403">
        <v>1</v>
      </c>
      <c r="J1317" s="403" t="s">
        <v>110</v>
      </c>
      <c r="K1317" s="403">
        <v>1080</v>
      </c>
      <c r="L1317" s="403">
        <v>1920</v>
      </c>
      <c r="M1317" s="403" t="s">
        <v>1285</v>
      </c>
      <c r="N1317" s="403">
        <v>1024</v>
      </c>
      <c r="O1317" s="403">
        <v>1280</v>
      </c>
      <c r="P1317" t="str">
        <f t="shared" si="161"/>
        <v>25fps 1080p - 1280x1024 5:4 (cropped)</v>
      </c>
      <c r="Q1317">
        <f t="shared" si="162"/>
        <v>7</v>
      </c>
      <c r="R1317" t="str">
        <f t="shared" si="163"/>
        <v/>
      </c>
      <c r="S1317" t="str">
        <f t="shared" si="164"/>
        <v/>
      </c>
      <c r="T1317" s="403" t="str">
        <f t="shared" si="165"/>
        <v>NBE-4502-AL</v>
      </c>
      <c r="U1317" s="403">
        <f t="shared" si="166"/>
        <v>1</v>
      </c>
      <c r="V1317" s="403" t="str">
        <f t="shared" si="167"/>
        <v>CPP_7_3</v>
      </c>
    </row>
    <row r="1318" spans="1:22">
      <c r="A1318" t="str">
        <f t="shared" si="160"/>
        <v>NBE-4502-AL</v>
      </c>
      <c r="B1318" s="403" t="s">
        <v>1378</v>
      </c>
      <c r="C1318" s="403" t="s">
        <v>582</v>
      </c>
      <c r="D1318" s="403" t="s">
        <v>1379</v>
      </c>
      <c r="E1318" s="403" t="s">
        <v>778</v>
      </c>
      <c r="F1318" s="403" t="s">
        <v>1287</v>
      </c>
      <c r="G1318" s="403" t="s">
        <v>1467</v>
      </c>
      <c r="H1318" s="403" t="s">
        <v>1281</v>
      </c>
      <c r="I1318" s="403">
        <v>1</v>
      </c>
      <c r="J1318" s="403" t="s">
        <v>110</v>
      </c>
      <c r="K1318" s="403">
        <v>1080</v>
      </c>
      <c r="L1318" s="403">
        <v>1920</v>
      </c>
      <c r="M1318" s="403" t="s">
        <v>1279</v>
      </c>
      <c r="N1318" s="403">
        <v>432</v>
      </c>
      <c r="O1318" s="403">
        <v>768</v>
      </c>
      <c r="P1318" t="str">
        <f t="shared" si="161"/>
        <v>25fps 1080p - SD ROI PTZ</v>
      </c>
      <c r="Q1318">
        <f t="shared" si="162"/>
        <v>7</v>
      </c>
      <c r="R1318" t="str">
        <f t="shared" si="163"/>
        <v/>
      </c>
      <c r="S1318" t="str">
        <f t="shared" si="164"/>
        <v/>
      </c>
      <c r="T1318" s="403" t="str">
        <f t="shared" si="165"/>
        <v>NBE-4502-AL</v>
      </c>
      <c r="U1318" s="403">
        <f t="shared" si="166"/>
        <v>1</v>
      </c>
      <c r="V1318" s="403" t="str">
        <f t="shared" si="167"/>
        <v>CPP_7_3</v>
      </c>
    </row>
    <row r="1319" spans="1:22">
      <c r="A1319" t="str">
        <f t="shared" si="160"/>
        <v>NBE-4502-AL</v>
      </c>
      <c r="B1319" s="403" t="s">
        <v>1378</v>
      </c>
      <c r="C1319" s="403" t="s">
        <v>582</v>
      </c>
      <c r="D1319" s="403" t="s">
        <v>1379</v>
      </c>
      <c r="E1319" s="403" t="s">
        <v>778</v>
      </c>
      <c r="F1319" s="403" t="s">
        <v>1287</v>
      </c>
      <c r="G1319" s="403" t="s">
        <v>1467</v>
      </c>
      <c r="H1319" s="403" t="s">
        <v>1281</v>
      </c>
      <c r="I1319" s="403">
        <v>1</v>
      </c>
      <c r="J1319" s="403" t="s">
        <v>110</v>
      </c>
      <c r="K1319" s="403">
        <v>1080</v>
      </c>
      <c r="L1319" s="403">
        <v>1920</v>
      </c>
      <c r="M1319" s="403" t="s">
        <v>1283</v>
      </c>
      <c r="N1319" s="403">
        <v>576</v>
      </c>
      <c r="O1319" s="403">
        <v>720</v>
      </c>
      <c r="P1319" t="str">
        <f t="shared" si="161"/>
        <v>25fps 1080p - SD 4CIF resolution 4:3 format (cropped)</v>
      </c>
      <c r="Q1319">
        <f t="shared" si="162"/>
        <v>7</v>
      </c>
      <c r="R1319" t="str">
        <f t="shared" si="163"/>
        <v/>
      </c>
      <c r="S1319" t="str">
        <f t="shared" si="164"/>
        <v/>
      </c>
      <c r="T1319" s="403" t="str">
        <f t="shared" si="165"/>
        <v>NBE-4502-AL</v>
      </c>
      <c r="U1319" s="403">
        <f t="shared" si="166"/>
        <v>1</v>
      </c>
      <c r="V1319" s="403" t="str">
        <f t="shared" si="167"/>
        <v>CPP_7_3</v>
      </c>
    </row>
    <row r="1320" spans="1:22">
      <c r="A1320" t="str">
        <f t="shared" si="160"/>
        <v>NBE-4502-AL</v>
      </c>
      <c r="B1320" s="403" t="s">
        <v>1378</v>
      </c>
      <c r="C1320" s="403" t="s">
        <v>582</v>
      </c>
      <c r="D1320" s="403" t="s">
        <v>1379</v>
      </c>
      <c r="E1320" s="403" t="s">
        <v>778</v>
      </c>
      <c r="F1320" s="403" t="s">
        <v>1287</v>
      </c>
      <c r="G1320" s="403" t="s">
        <v>1467</v>
      </c>
      <c r="H1320" s="403" t="s">
        <v>1281</v>
      </c>
      <c r="I1320" s="403">
        <v>1</v>
      </c>
      <c r="J1320" s="403" t="s">
        <v>110</v>
      </c>
      <c r="K1320" s="403">
        <v>1080</v>
      </c>
      <c r="L1320" s="403">
        <v>1920</v>
      </c>
      <c r="M1320" s="403" t="s">
        <v>1284</v>
      </c>
      <c r="N1320" s="403">
        <v>480</v>
      </c>
      <c r="O1320" s="403">
        <v>640</v>
      </c>
      <c r="P1320" t="str">
        <f t="shared" si="161"/>
        <v>25fps 1080p - SD VGA (cropped)</v>
      </c>
      <c r="Q1320">
        <f t="shared" si="162"/>
        <v>7</v>
      </c>
      <c r="R1320" t="str">
        <f t="shared" si="163"/>
        <v/>
      </c>
      <c r="S1320" t="str">
        <f t="shared" si="164"/>
        <v/>
      </c>
      <c r="T1320" s="403" t="str">
        <f t="shared" si="165"/>
        <v>NBE-4502-AL</v>
      </c>
      <c r="U1320" s="403">
        <f t="shared" si="166"/>
        <v>1</v>
      </c>
      <c r="V1320" s="403" t="str">
        <f t="shared" si="167"/>
        <v>CPP_7_3</v>
      </c>
    </row>
    <row r="1321" spans="1:22">
      <c r="A1321" t="str">
        <f t="shared" si="160"/>
        <v>NBE-4502-AL</v>
      </c>
      <c r="B1321" s="403" t="s">
        <v>1378</v>
      </c>
      <c r="C1321" s="403" t="s">
        <v>582</v>
      </c>
      <c r="D1321" s="403" t="s">
        <v>1379</v>
      </c>
      <c r="E1321" s="403" t="s">
        <v>778</v>
      </c>
      <c r="F1321" s="403" t="s">
        <v>1287</v>
      </c>
      <c r="G1321" s="403" t="s">
        <v>1467</v>
      </c>
      <c r="H1321" s="403" t="s">
        <v>1281</v>
      </c>
      <c r="I1321" s="403">
        <v>1</v>
      </c>
      <c r="J1321" s="403" t="s">
        <v>109</v>
      </c>
      <c r="K1321" s="403">
        <v>720</v>
      </c>
      <c r="L1321" s="403">
        <v>1280</v>
      </c>
      <c r="M1321" s="403" t="s">
        <v>109</v>
      </c>
      <c r="N1321" s="403">
        <v>720</v>
      </c>
      <c r="O1321" s="403">
        <v>1280</v>
      </c>
      <c r="P1321" t="str">
        <f t="shared" si="161"/>
        <v>25fps 720p - 720p</v>
      </c>
      <c r="Q1321">
        <f t="shared" si="162"/>
        <v>7</v>
      </c>
      <c r="R1321" t="str">
        <f t="shared" si="163"/>
        <v/>
      </c>
      <c r="S1321" t="str">
        <f t="shared" si="164"/>
        <v/>
      </c>
      <c r="T1321" s="403" t="str">
        <f t="shared" si="165"/>
        <v>NBE-4502-AL</v>
      </c>
      <c r="U1321" s="403">
        <f t="shared" si="166"/>
        <v>1</v>
      </c>
      <c r="V1321" s="403" t="str">
        <f t="shared" si="167"/>
        <v>CPP_7_3</v>
      </c>
    </row>
    <row r="1322" spans="1:22">
      <c r="A1322" t="str">
        <f t="shared" si="160"/>
        <v>NBE-4502-AL</v>
      </c>
      <c r="B1322" s="403" t="s">
        <v>1378</v>
      </c>
      <c r="C1322" s="403" t="s">
        <v>582</v>
      </c>
      <c r="D1322" s="403" t="s">
        <v>1379</v>
      </c>
      <c r="E1322" s="403" t="s">
        <v>778</v>
      </c>
      <c r="F1322" s="403" t="s">
        <v>1287</v>
      </c>
      <c r="G1322" s="403" t="s">
        <v>1467</v>
      </c>
      <c r="H1322" s="403" t="s">
        <v>1281</v>
      </c>
      <c r="I1322" s="403">
        <v>1</v>
      </c>
      <c r="J1322" s="403" t="s">
        <v>109</v>
      </c>
      <c r="K1322" s="403">
        <v>720</v>
      </c>
      <c r="L1322" s="403">
        <v>1280</v>
      </c>
      <c r="M1322" s="403" t="s">
        <v>111</v>
      </c>
      <c r="N1322" s="403">
        <v>432</v>
      </c>
      <c r="O1322" s="403">
        <v>768</v>
      </c>
      <c r="P1322" t="str">
        <f t="shared" si="161"/>
        <v>25fps 720p - SD</v>
      </c>
      <c r="Q1322">
        <f t="shared" si="162"/>
        <v>7</v>
      </c>
      <c r="R1322" t="str">
        <f t="shared" si="163"/>
        <v/>
      </c>
      <c r="S1322" t="str">
        <f t="shared" si="164"/>
        <v/>
      </c>
      <c r="T1322" s="403" t="str">
        <f t="shared" si="165"/>
        <v>NBE-4502-AL</v>
      </c>
      <c r="U1322" s="403">
        <f t="shared" si="166"/>
        <v>1</v>
      </c>
      <c r="V1322" s="403" t="str">
        <f t="shared" si="167"/>
        <v>CPP_7_3</v>
      </c>
    </row>
    <row r="1323" spans="1:22">
      <c r="A1323" t="str">
        <f t="shared" si="160"/>
        <v>NBE-4502-AL</v>
      </c>
      <c r="B1323" s="403" t="s">
        <v>1378</v>
      </c>
      <c r="C1323" s="403" t="s">
        <v>582</v>
      </c>
      <c r="D1323" s="403" t="s">
        <v>1379</v>
      </c>
      <c r="E1323" s="403" t="s">
        <v>778</v>
      </c>
      <c r="F1323" s="403" t="s">
        <v>1287</v>
      </c>
      <c r="G1323" s="403" t="s">
        <v>1467</v>
      </c>
      <c r="H1323" s="403" t="s">
        <v>1281</v>
      </c>
      <c r="I1323" s="403">
        <v>1</v>
      </c>
      <c r="J1323" s="403" t="s">
        <v>109</v>
      </c>
      <c r="K1323" s="403">
        <v>720</v>
      </c>
      <c r="L1323" s="403">
        <v>1280</v>
      </c>
      <c r="M1323" s="403" t="s">
        <v>1279</v>
      </c>
      <c r="N1323" s="403">
        <v>432</v>
      </c>
      <c r="O1323" s="403">
        <v>768</v>
      </c>
      <c r="P1323" t="str">
        <f t="shared" si="161"/>
        <v>25fps 720p - SD ROI PTZ</v>
      </c>
      <c r="Q1323">
        <f t="shared" si="162"/>
        <v>7</v>
      </c>
      <c r="R1323" t="str">
        <f t="shared" si="163"/>
        <v/>
      </c>
      <c r="S1323" t="str">
        <f t="shared" si="164"/>
        <v/>
      </c>
      <c r="T1323" s="403" t="str">
        <f t="shared" si="165"/>
        <v>NBE-4502-AL</v>
      </c>
      <c r="U1323" s="403">
        <f t="shared" si="166"/>
        <v>1</v>
      </c>
      <c r="V1323" s="403" t="str">
        <f t="shared" si="167"/>
        <v>CPP_7_3</v>
      </c>
    </row>
    <row r="1324" spans="1:22">
      <c r="A1324" t="str">
        <f t="shared" si="160"/>
        <v>NBE-4502-AL</v>
      </c>
      <c r="B1324" s="403" t="s">
        <v>1378</v>
      </c>
      <c r="C1324" s="403" t="s">
        <v>582</v>
      </c>
      <c r="D1324" s="403" t="s">
        <v>1379</v>
      </c>
      <c r="E1324" s="403" t="s">
        <v>778</v>
      </c>
      <c r="F1324" s="403" t="s">
        <v>1287</v>
      </c>
      <c r="G1324" s="403" t="s">
        <v>1467</v>
      </c>
      <c r="H1324" s="403" t="s">
        <v>1281</v>
      </c>
      <c r="I1324" s="403">
        <v>1</v>
      </c>
      <c r="J1324" s="403" t="s">
        <v>109</v>
      </c>
      <c r="K1324" s="403">
        <v>720</v>
      </c>
      <c r="L1324" s="403">
        <v>1280</v>
      </c>
      <c r="M1324" s="403" t="s">
        <v>1283</v>
      </c>
      <c r="N1324" s="403">
        <v>576</v>
      </c>
      <c r="O1324" s="403">
        <v>720</v>
      </c>
      <c r="P1324" t="str">
        <f t="shared" si="161"/>
        <v>25fps 720p - SD 4CIF resolution 4:3 format (cropped)</v>
      </c>
      <c r="Q1324">
        <f t="shared" si="162"/>
        <v>7</v>
      </c>
      <c r="R1324" t="str">
        <f t="shared" si="163"/>
        <v/>
      </c>
      <c r="S1324" t="str">
        <f t="shared" si="164"/>
        <v/>
      </c>
      <c r="T1324" s="403" t="str">
        <f t="shared" si="165"/>
        <v>NBE-4502-AL</v>
      </c>
      <c r="U1324" s="403">
        <f t="shared" si="166"/>
        <v>1</v>
      </c>
      <c r="V1324" s="403" t="str">
        <f t="shared" si="167"/>
        <v>CPP_7_3</v>
      </c>
    </row>
    <row r="1325" spans="1:22">
      <c r="A1325" t="str">
        <f t="shared" si="160"/>
        <v>NBE-4502-AL</v>
      </c>
      <c r="B1325" s="403" t="s">
        <v>1378</v>
      </c>
      <c r="C1325" s="403" t="s">
        <v>582</v>
      </c>
      <c r="D1325" s="403" t="s">
        <v>1379</v>
      </c>
      <c r="E1325" s="403" t="s">
        <v>778</v>
      </c>
      <c r="F1325" s="403" t="s">
        <v>1287</v>
      </c>
      <c r="G1325" s="403" t="s">
        <v>1467</v>
      </c>
      <c r="H1325" s="403" t="s">
        <v>1281</v>
      </c>
      <c r="I1325" s="403">
        <v>1</v>
      </c>
      <c r="J1325" s="403" t="s">
        <v>109</v>
      </c>
      <c r="K1325" s="403">
        <v>720</v>
      </c>
      <c r="L1325" s="403">
        <v>1280</v>
      </c>
      <c r="M1325" s="403" t="s">
        <v>1284</v>
      </c>
      <c r="N1325" s="403">
        <v>480</v>
      </c>
      <c r="O1325" s="403">
        <v>640</v>
      </c>
      <c r="P1325" t="str">
        <f t="shared" si="161"/>
        <v>25fps 720p - SD VGA (cropped)</v>
      </c>
      <c r="Q1325">
        <f t="shared" si="162"/>
        <v>7</v>
      </c>
      <c r="R1325" t="str">
        <f t="shared" si="163"/>
        <v/>
      </c>
      <c r="S1325" t="str">
        <f t="shared" si="164"/>
        <v/>
      </c>
      <c r="T1325" s="403" t="str">
        <f t="shared" si="165"/>
        <v>NBE-4502-AL</v>
      </c>
      <c r="U1325" s="403">
        <f t="shared" si="166"/>
        <v>1</v>
      </c>
      <c r="V1325" s="403" t="str">
        <f t="shared" si="167"/>
        <v>CPP_7_3</v>
      </c>
    </row>
    <row r="1326" spans="1:22">
      <c r="A1326" t="str">
        <f t="shared" si="160"/>
        <v>NBE-4502-AL</v>
      </c>
      <c r="B1326" s="403" t="s">
        <v>1378</v>
      </c>
      <c r="C1326" s="403" t="s">
        <v>582</v>
      </c>
      <c r="D1326" s="403" t="s">
        <v>1379</v>
      </c>
      <c r="E1326" s="403" t="s">
        <v>778</v>
      </c>
      <c r="F1326" s="403" t="s">
        <v>1287</v>
      </c>
      <c r="G1326" s="403" t="s">
        <v>1467</v>
      </c>
      <c r="H1326" s="403" t="s">
        <v>1282</v>
      </c>
      <c r="I1326" s="403">
        <v>1</v>
      </c>
      <c r="J1326" s="403" t="s">
        <v>110</v>
      </c>
      <c r="K1326" s="403">
        <v>1080</v>
      </c>
      <c r="L1326" s="403">
        <v>1920</v>
      </c>
      <c r="M1326" s="403" t="s">
        <v>111</v>
      </c>
      <c r="N1326" s="403">
        <v>432</v>
      </c>
      <c r="O1326" s="403">
        <v>768</v>
      </c>
      <c r="P1326" t="str">
        <f t="shared" si="161"/>
        <v>25fps 1080p - SD</v>
      </c>
      <c r="Q1326">
        <f t="shared" si="162"/>
        <v>7</v>
      </c>
      <c r="R1326" t="str">
        <f t="shared" si="163"/>
        <v/>
      </c>
      <c r="S1326" t="str">
        <f t="shared" si="164"/>
        <v/>
      </c>
      <c r="T1326" s="403" t="str">
        <f t="shared" si="165"/>
        <v>NBE-4502-AL</v>
      </c>
      <c r="U1326" s="403">
        <f t="shared" si="166"/>
        <v>1</v>
      </c>
      <c r="V1326" s="403" t="str">
        <f t="shared" si="167"/>
        <v>CPP_7_3</v>
      </c>
    </row>
    <row r="1327" spans="1:22">
      <c r="A1327" t="str">
        <f t="shared" si="160"/>
        <v>NBE-4502-AL</v>
      </c>
      <c r="B1327" s="403" t="s">
        <v>1378</v>
      </c>
      <c r="C1327" s="403" t="s">
        <v>582</v>
      </c>
      <c r="D1327" s="403" t="s">
        <v>1379</v>
      </c>
      <c r="E1327" s="403" t="s">
        <v>778</v>
      </c>
      <c r="F1327" s="403" t="s">
        <v>1287</v>
      </c>
      <c r="G1327" s="403" t="s">
        <v>1467</v>
      </c>
      <c r="H1327" s="403" t="s">
        <v>1282</v>
      </c>
      <c r="I1327" s="403">
        <v>1</v>
      </c>
      <c r="J1327" s="403" t="s">
        <v>110</v>
      </c>
      <c r="K1327" s="403">
        <v>1080</v>
      </c>
      <c r="L1327" s="403">
        <v>1920</v>
      </c>
      <c r="M1327" s="403" t="s">
        <v>110</v>
      </c>
      <c r="N1327" s="403">
        <v>1080</v>
      </c>
      <c r="O1327" s="403">
        <v>1920</v>
      </c>
      <c r="P1327" t="str">
        <f t="shared" si="161"/>
        <v>25fps 1080p - 1080p</v>
      </c>
      <c r="Q1327">
        <f t="shared" si="162"/>
        <v>7</v>
      </c>
      <c r="R1327" t="str">
        <f t="shared" si="163"/>
        <v/>
      </c>
      <c r="S1327" t="str">
        <f t="shared" si="164"/>
        <v/>
      </c>
      <c r="T1327" s="403" t="str">
        <f t="shared" si="165"/>
        <v>NBE-4502-AL</v>
      </c>
      <c r="U1327" s="403">
        <f t="shared" si="166"/>
        <v>1</v>
      </c>
      <c r="V1327" s="403" t="str">
        <f t="shared" si="167"/>
        <v>CPP_7_3</v>
      </c>
    </row>
    <row r="1328" spans="1:22">
      <c r="A1328" t="str">
        <f t="shared" si="160"/>
        <v>NBE-4502-AL</v>
      </c>
      <c r="B1328" s="403" t="s">
        <v>1378</v>
      </c>
      <c r="C1328" s="403" t="s">
        <v>582</v>
      </c>
      <c r="D1328" s="403" t="s">
        <v>1379</v>
      </c>
      <c r="E1328" s="403" t="s">
        <v>778</v>
      </c>
      <c r="F1328" s="403" t="s">
        <v>1287</v>
      </c>
      <c r="G1328" s="403" t="s">
        <v>1467</v>
      </c>
      <c r="H1328" s="403" t="s">
        <v>1282</v>
      </c>
      <c r="I1328" s="403">
        <v>1</v>
      </c>
      <c r="J1328" s="403" t="s">
        <v>110</v>
      </c>
      <c r="K1328" s="403">
        <v>1080</v>
      </c>
      <c r="L1328" s="403">
        <v>1920</v>
      </c>
      <c r="M1328" s="403" t="s">
        <v>109</v>
      </c>
      <c r="N1328" s="403">
        <v>720</v>
      </c>
      <c r="O1328" s="403">
        <v>1280</v>
      </c>
      <c r="P1328" t="str">
        <f t="shared" si="161"/>
        <v>25fps 1080p - 720p</v>
      </c>
      <c r="Q1328">
        <f t="shared" si="162"/>
        <v>7</v>
      </c>
      <c r="R1328" t="str">
        <f t="shared" si="163"/>
        <v/>
      </c>
      <c r="S1328" t="str">
        <f t="shared" si="164"/>
        <v/>
      </c>
      <c r="T1328" s="403" t="str">
        <f t="shared" si="165"/>
        <v>NBE-4502-AL</v>
      </c>
      <c r="U1328" s="403">
        <f t="shared" si="166"/>
        <v>1</v>
      </c>
      <c r="V1328" s="403" t="str">
        <f t="shared" si="167"/>
        <v>CPP_7_3</v>
      </c>
    </row>
    <row r="1329" spans="1:22">
      <c r="A1329" t="str">
        <f t="shared" si="160"/>
        <v>NBE-4502-AL</v>
      </c>
      <c r="B1329" s="403" t="s">
        <v>1378</v>
      </c>
      <c r="C1329" s="403" t="s">
        <v>582</v>
      </c>
      <c r="D1329" s="403" t="s">
        <v>1379</v>
      </c>
      <c r="E1329" s="403" t="s">
        <v>778</v>
      </c>
      <c r="F1329" s="403" t="s">
        <v>1287</v>
      </c>
      <c r="G1329" s="403" t="s">
        <v>1467</v>
      </c>
      <c r="H1329" s="403" t="s">
        <v>1282</v>
      </c>
      <c r="I1329" s="403">
        <v>1</v>
      </c>
      <c r="J1329" s="403" t="s">
        <v>110</v>
      </c>
      <c r="K1329" s="403">
        <v>1080</v>
      </c>
      <c r="L1329" s="403">
        <v>1920</v>
      </c>
      <c r="M1329" s="403" t="s">
        <v>1285</v>
      </c>
      <c r="N1329" s="403">
        <v>1024</v>
      </c>
      <c r="O1329" s="403">
        <v>1280</v>
      </c>
      <c r="P1329" t="str">
        <f t="shared" si="161"/>
        <v>25fps 1080p - 1280x1024 5:4 (cropped)</v>
      </c>
      <c r="Q1329">
        <f t="shared" si="162"/>
        <v>7</v>
      </c>
      <c r="R1329" t="str">
        <f t="shared" si="163"/>
        <v/>
      </c>
      <c r="S1329" t="str">
        <f t="shared" si="164"/>
        <v/>
      </c>
      <c r="T1329" s="403" t="str">
        <f t="shared" si="165"/>
        <v>NBE-4502-AL</v>
      </c>
      <c r="U1329" s="403">
        <f t="shared" si="166"/>
        <v>1</v>
      </c>
      <c r="V1329" s="403" t="str">
        <f t="shared" si="167"/>
        <v>CPP_7_3</v>
      </c>
    </row>
    <row r="1330" spans="1:22">
      <c r="A1330" t="str">
        <f t="shared" si="160"/>
        <v>NBE-4502-AL</v>
      </c>
      <c r="B1330" s="403" t="s">
        <v>1378</v>
      </c>
      <c r="C1330" s="403" t="s">
        <v>582</v>
      </c>
      <c r="D1330" s="403" t="s">
        <v>1379</v>
      </c>
      <c r="E1330" s="403" t="s">
        <v>778</v>
      </c>
      <c r="F1330" s="403" t="s">
        <v>1287</v>
      </c>
      <c r="G1330" s="403" t="s">
        <v>1467</v>
      </c>
      <c r="H1330" s="403" t="s">
        <v>1282</v>
      </c>
      <c r="I1330" s="403">
        <v>1</v>
      </c>
      <c r="J1330" s="403" t="s">
        <v>110</v>
      </c>
      <c r="K1330" s="403">
        <v>1080</v>
      </c>
      <c r="L1330" s="403">
        <v>1920</v>
      </c>
      <c r="M1330" s="403" t="s">
        <v>1279</v>
      </c>
      <c r="N1330" s="403">
        <v>432</v>
      </c>
      <c r="O1330" s="403">
        <v>768</v>
      </c>
      <c r="P1330" t="str">
        <f t="shared" si="161"/>
        <v>25fps 1080p - SD ROI PTZ</v>
      </c>
      <c r="Q1330">
        <f t="shared" si="162"/>
        <v>7</v>
      </c>
      <c r="R1330" t="str">
        <f t="shared" si="163"/>
        <v/>
      </c>
      <c r="S1330" t="str">
        <f t="shared" si="164"/>
        <v/>
      </c>
      <c r="T1330" s="403" t="str">
        <f t="shared" si="165"/>
        <v>NBE-4502-AL</v>
      </c>
      <c r="U1330" s="403">
        <f t="shared" si="166"/>
        <v>1</v>
      </c>
      <c r="V1330" s="403" t="str">
        <f t="shared" si="167"/>
        <v>CPP_7_3</v>
      </c>
    </row>
    <row r="1331" spans="1:22">
      <c r="A1331" t="str">
        <f t="shared" si="160"/>
        <v>NBE-4502-AL</v>
      </c>
      <c r="B1331" s="403" t="s">
        <v>1378</v>
      </c>
      <c r="C1331" s="403" t="s">
        <v>582</v>
      </c>
      <c r="D1331" s="403" t="s">
        <v>1379</v>
      </c>
      <c r="E1331" s="403" t="s">
        <v>778</v>
      </c>
      <c r="F1331" s="403" t="s">
        <v>1287</v>
      </c>
      <c r="G1331" s="403" t="s">
        <v>1467</v>
      </c>
      <c r="H1331" s="403" t="s">
        <v>1282</v>
      </c>
      <c r="I1331" s="403">
        <v>1</v>
      </c>
      <c r="J1331" s="403" t="s">
        <v>110</v>
      </c>
      <c r="K1331" s="403">
        <v>1080</v>
      </c>
      <c r="L1331" s="403">
        <v>1920</v>
      </c>
      <c r="M1331" s="403" t="s">
        <v>1283</v>
      </c>
      <c r="N1331" s="403">
        <v>576</v>
      </c>
      <c r="O1331" s="403">
        <v>720</v>
      </c>
      <c r="P1331" t="str">
        <f t="shared" si="161"/>
        <v>25fps 1080p - SD 4CIF resolution 4:3 format (cropped)</v>
      </c>
      <c r="Q1331">
        <f t="shared" si="162"/>
        <v>7</v>
      </c>
      <c r="R1331" t="str">
        <f t="shared" si="163"/>
        <v/>
      </c>
      <c r="S1331" t="str">
        <f t="shared" si="164"/>
        <v/>
      </c>
      <c r="T1331" s="403" t="str">
        <f t="shared" si="165"/>
        <v>NBE-4502-AL</v>
      </c>
      <c r="U1331" s="403">
        <f t="shared" si="166"/>
        <v>1</v>
      </c>
      <c r="V1331" s="403" t="str">
        <f t="shared" si="167"/>
        <v>CPP_7_3</v>
      </c>
    </row>
    <row r="1332" spans="1:22">
      <c r="A1332" t="str">
        <f t="shared" si="160"/>
        <v>NBE-4502-AL</v>
      </c>
      <c r="B1332" s="403" t="s">
        <v>1378</v>
      </c>
      <c r="C1332" s="403" t="s">
        <v>582</v>
      </c>
      <c r="D1332" s="403" t="s">
        <v>1379</v>
      </c>
      <c r="E1332" s="403" t="s">
        <v>778</v>
      </c>
      <c r="F1332" s="403" t="s">
        <v>1287</v>
      </c>
      <c r="G1332" s="403" t="s">
        <v>1467</v>
      </c>
      <c r="H1332" s="403" t="s">
        <v>1282</v>
      </c>
      <c r="I1332" s="403">
        <v>1</v>
      </c>
      <c r="J1332" s="403" t="s">
        <v>110</v>
      </c>
      <c r="K1332" s="403">
        <v>1080</v>
      </c>
      <c r="L1332" s="403">
        <v>1920</v>
      </c>
      <c r="M1332" s="403" t="s">
        <v>1284</v>
      </c>
      <c r="N1332" s="403">
        <v>480</v>
      </c>
      <c r="O1332" s="403">
        <v>640</v>
      </c>
      <c r="P1332" t="str">
        <f t="shared" si="161"/>
        <v>25fps 1080p - SD VGA (cropped)</v>
      </c>
      <c r="Q1332">
        <f t="shared" si="162"/>
        <v>7</v>
      </c>
      <c r="R1332" t="str">
        <f t="shared" si="163"/>
        <v/>
      </c>
      <c r="S1332" t="str">
        <f t="shared" si="164"/>
        <v/>
      </c>
      <c r="T1332" s="403" t="str">
        <f t="shared" si="165"/>
        <v>NBE-4502-AL</v>
      </c>
      <c r="U1332" s="403">
        <f t="shared" si="166"/>
        <v>1</v>
      </c>
      <c r="V1332" s="403" t="str">
        <f t="shared" si="167"/>
        <v>CPP_7_3</v>
      </c>
    </row>
    <row r="1333" spans="1:22">
      <c r="A1333" t="str">
        <f t="shared" si="160"/>
        <v>NBE-4502-AL</v>
      </c>
      <c r="B1333" s="403" t="s">
        <v>1378</v>
      </c>
      <c r="C1333" s="403" t="s">
        <v>582</v>
      </c>
      <c r="D1333" s="403" t="s">
        <v>1379</v>
      </c>
      <c r="E1333" s="403" t="s">
        <v>778</v>
      </c>
      <c r="F1333" s="403" t="s">
        <v>1287</v>
      </c>
      <c r="G1333" s="403" t="s">
        <v>1467</v>
      </c>
      <c r="H1333" s="403" t="s">
        <v>1282</v>
      </c>
      <c r="I1333" s="403">
        <v>1</v>
      </c>
      <c r="J1333" s="403" t="s">
        <v>109</v>
      </c>
      <c r="K1333" s="403">
        <v>720</v>
      </c>
      <c r="L1333" s="403">
        <v>1280</v>
      </c>
      <c r="M1333" s="403" t="s">
        <v>109</v>
      </c>
      <c r="N1333" s="403">
        <v>720</v>
      </c>
      <c r="O1333" s="403">
        <v>1280</v>
      </c>
      <c r="P1333" t="str">
        <f t="shared" si="161"/>
        <v>25fps 720p - 720p</v>
      </c>
      <c r="Q1333">
        <f t="shared" si="162"/>
        <v>7</v>
      </c>
      <c r="R1333" t="str">
        <f t="shared" si="163"/>
        <v/>
      </c>
      <c r="S1333" t="str">
        <f t="shared" si="164"/>
        <v/>
      </c>
      <c r="T1333" s="403" t="str">
        <f t="shared" si="165"/>
        <v>NBE-4502-AL</v>
      </c>
      <c r="U1333" s="403">
        <f t="shared" si="166"/>
        <v>1</v>
      </c>
      <c r="V1333" s="403" t="str">
        <f t="shared" si="167"/>
        <v>CPP_7_3</v>
      </c>
    </row>
    <row r="1334" spans="1:22">
      <c r="A1334" t="str">
        <f t="shared" si="160"/>
        <v>NBE-4502-AL</v>
      </c>
      <c r="B1334" s="403" t="s">
        <v>1378</v>
      </c>
      <c r="C1334" s="403" t="s">
        <v>582</v>
      </c>
      <c r="D1334" s="403" t="s">
        <v>1379</v>
      </c>
      <c r="E1334" s="403" t="s">
        <v>778</v>
      </c>
      <c r="F1334" s="403" t="s">
        <v>1287</v>
      </c>
      <c r="G1334" s="403" t="s">
        <v>1467</v>
      </c>
      <c r="H1334" s="403" t="s">
        <v>1282</v>
      </c>
      <c r="I1334" s="403">
        <v>1</v>
      </c>
      <c r="J1334" s="403" t="s">
        <v>109</v>
      </c>
      <c r="K1334" s="403">
        <v>720</v>
      </c>
      <c r="L1334" s="403">
        <v>1280</v>
      </c>
      <c r="M1334" s="403" t="s">
        <v>111</v>
      </c>
      <c r="N1334" s="403">
        <v>432</v>
      </c>
      <c r="O1334" s="403">
        <v>768</v>
      </c>
      <c r="P1334" t="str">
        <f t="shared" si="161"/>
        <v>25fps 720p - SD</v>
      </c>
      <c r="Q1334">
        <f t="shared" si="162"/>
        <v>7</v>
      </c>
      <c r="R1334" t="str">
        <f t="shared" si="163"/>
        <v/>
      </c>
      <c r="S1334" t="str">
        <f t="shared" si="164"/>
        <v/>
      </c>
      <c r="T1334" s="403" t="str">
        <f t="shared" si="165"/>
        <v>NBE-4502-AL</v>
      </c>
      <c r="U1334" s="403">
        <f t="shared" si="166"/>
        <v>1</v>
      </c>
      <c r="V1334" s="403" t="str">
        <f t="shared" si="167"/>
        <v>CPP_7_3</v>
      </c>
    </row>
    <row r="1335" spans="1:22">
      <c r="A1335" t="str">
        <f t="shared" si="160"/>
        <v>NBE-4502-AL</v>
      </c>
      <c r="B1335" s="403" t="s">
        <v>1378</v>
      </c>
      <c r="C1335" s="403" t="s">
        <v>582</v>
      </c>
      <c r="D1335" s="403" t="s">
        <v>1379</v>
      </c>
      <c r="E1335" s="403" t="s">
        <v>778</v>
      </c>
      <c r="F1335" s="403" t="s">
        <v>1287</v>
      </c>
      <c r="G1335" s="403" t="s">
        <v>1467</v>
      </c>
      <c r="H1335" s="403" t="s">
        <v>1282</v>
      </c>
      <c r="I1335" s="403">
        <v>1</v>
      </c>
      <c r="J1335" s="403" t="s">
        <v>109</v>
      </c>
      <c r="K1335" s="403">
        <v>720</v>
      </c>
      <c r="L1335" s="403">
        <v>1280</v>
      </c>
      <c r="M1335" s="403" t="s">
        <v>1279</v>
      </c>
      <c r="N1335" s="403">
        <v>432</v>
      </c>
      <c r="O1335" s="403">
        <v>768</v>
      </c>
      <c r="P1335" t="str">
        <f t="shared" si="161"/>
        <v>25fps 720p - SD ROI PTZ</v>
      </c>
      <c r="Q1335">
        <f t="shared" si="162"/>
        <v>7</v>
      </c>
      <c r="R1335" t="str">
        <f t="shared" si="163"/>
        <v/>
      </c>
      <c r="S1335" t="str">
        <f t="shared" si="164"/>
        <v/>
      </c>
      <c r="T1335" s="403" t="str">
        <f t="shared" si="165"/>
        <v>NBE-4502-AL</v>
      </c>
      <c r="U1335" s="403">
        <f t="shared" si="166"/>
        <v>1</v>
      </c>
      <c r="V1335" s="403" t="str">
        <f t="shared" si="167"/>
        <v>CPP_7_3</v>
      </c>
    </row>
    <row r="1336" spans="1:22">
      <c r="A1336" t="str">
        <f t="shared" si="160"/>
        <v>NBE-4502-AL</v>
      </c>
      <c r="B1336" s="403" t="s">
        <v>1378</v>
      </c>
      <c r="C1336" s="403" t="s">
        <v>582</v>
      </c>
      <c r="D1336" s="403" t="s">
        <v>1379</v>
      </c>
      <c r="E1336" s="403" t="s">
        <v>778</v>
      </c>
      <c r="F1336" s="403" t="s">
        <v>1287</v>
      </c>
      <c r="G1336" s="403" t="s">
        <v>1467</v>
      </c>
      <c r="H1336" s="403" t="s">
        <v>1282</v>
      </c>
      <c r="I1336" s="403">
        <v>1</v>
      </c>
      <c r="J1336" s="403" t="s">
        <v>109</v>
      </c>
      <c r="K1336" s="403">
        <v>720</v>
      </c>
      <c r="L1336" s="403">
        <v>1280</v>
      </c>
      <c r="M1336" s="403" t="s">
        <v>1283</v>
      </c>
      <c r="N1336" s="403">
        <v>576</v>
      </c>
      <c r="O1336" s="403">
        <v>720</v>
      </c>
      <c r="P1336" t="str">
        <f t="shared" si="161"/>
        <v>25fps 720p - SD 4CIF resolution 4:3 format (cropped)</v>
      </c>
      <c r="Q1336">
        <f t="shared" si="162"/>
        <v>7</v>
      </c>
      <c r="R1336" t="str">
        <f t="shared" si="163"/>
        <v/>
      </c>
      <c r="S1336" t="str">
        <f t="shared" si="164"/>
        <v/>
      </c>
      <c r="T1336" s="403" t="str">
        <f t="shared" si="165"/>
        <v>NBE-4502-AL</v>
      </c>
      <c r="U1336" s="403">
        <f t="shared" si="166"/>
        <v>1</v>
      </c>
      <c r="V1336" s="403" t="str">
        <f t="shared" si="167"/>
        <v>CPP_7_3</v>
      </c>
    </row>
    <row r="1337" spans="1:22">
      <c r="A1337" t="str">
        <f t="shared" si="160"/>
        <v>NBE-4502-AL</v>
      </c>
      <c r="B1337" s="403" t="s">
        <v>1378</v>
      </c>
      <c r="C1337" s="403" t="s">
        <v>582</v>
      </c>
      <c r="D1337" s="403" t="s">
        <v>1379</v>
      </c>
      <c r="E1337" s="403" t="s">
        <v>778</v>
      </c>
      <c r="F1337" s="403" t="s">
        <v>1287</v>
      </c>
      <c r="G1337" s="403" t="s">
        <v>1467</v>
      </c>
      <c r="H1337" s="403" t="s">
        <v>1282</v>
      </c>
      <c r="I1337" s="403">
        <v>1</v>
      </c>
      <c r="J1337" s="403" t="s">
        <v>109</v>
      </c>
      <c r="K1337" s="403">
        <v>720</v>
      </c>
      <c r="L1337" s="403">
        <v>1280</v>
      </c>
      <c r="M1337" s="403" t="s">
        <v>1284</v>
      </c>
      <c r="N1337" s="403">
        <v>480</v>
      </c>
      <c r="O1337" s="403">
        <v>640</v>
      </c>
      <c r="P1337" t="str">
        <f t="shared" si="161"/>
        <v>25fps 720p - SD VGA (cropped)</v>
      </c>
      <c r="Q1337">
        <f t="shared" si="162"/>
        <v>7</v>
      </c>
      <c r="R1337" t="str">
        <f t="shared" si="163"/>
        <v/>
      </c>
      <c r="S1337" t="str">
        <f t="shared" si="164"/>
        <v/>
      </c>
      <c r="T1337" s="403" t="str">
        <f t="shared" si="165"/>
        <v>NBE-4502-AL</v>
      </c>
      <c r="U1337" s="403">
        <f t="shared" si="166"/>
        <v>1</v>
      </c>
      <c r="V1337" s="403" t="str">
        <f t="shared" si="167"/>
        <v>CPP_7_3</v>
      </c>
    </row>
    <row r="1338" spans="1:22">
      <c r="A1338" t="str">
        <f t="shared" si="160"/>
        <v>NBE-5503-AL</v>
      </c>
      <c r="B1338" s="403" t="s">
        <v>1380</v>
      </c>
      <c r="C1338" s="403" t="s">
        <v>582</v>
      </c>
      <c r="D1338" s="403" t="s">
        <v>1381</v>
      </c>
      <c r="E1338" s="403" t="s">
        <v>778</v>
      </c>
      <c r="F1338" s="403" t="s">
        <v>1382</v>
      </c>
      <c r="G1338" s="403" t="s">
        <v>1466</v>
      </c>
      <c r="H1338" s="403" t="s">
        <v>1276</v>
      </c>
      <c r="I1338" s="403">
        <v>1</v>
      </c>
      <c r="J1338" s="403" t="s">
        <v>1376</v>
      </c>
      <c r="K1338" s="403">
        <v>3072</v>
      </c>
      <c r="L1338" s="403">
        <v>1728</v>
      </c>
      <c r="M1338" s="403" t="s">
        <v>111</v>
      </c>
      <c r="N1338" s="403">
        <v>768</v>
      </c>
      <c r="O1338" s="403">
        <v>432</v>
      </c>
      <c r="P1338" t="str">
        <f t="shared" si="161"/>
        <v>30fps 3072x1728 - SD</v>
      </c>
      <c r="Q1338">
        <f t="shared" si="162"/>
        <v>8</v>
      </c>
      <c r="R1338">
        <f t="shared" si="163"/>
        <v>8</v>
      </c>
      <c r="S1338" t="str">
        <f t="shared" si="164"/>
        <v>DINION IP 5000i IR (NBE-5503-AL)</v>
      </c>
      <c r="T1338" s="403" t="str">
        <f t="shared" si="165"/>
        <v>NBE-5503-AL</v>
      </c>
      <c r="U1338" s="403">
        <f t="shared" si="166"/>
        <v>1</v>
      </c>
      <c r="V1338" s="403" t="str">
        <f t="shared" si="167"/>
        <v>CPP_7_3</v>
      </c>
    </row>
    <row r="1339" spans="1:22">
      <c r="A1339" t="str">
        <f t="shared" si="160"/>
        <v>NBE-5503-AL</v>
      </c>
      <c r="B1339" s="403" t="s">
        <v>1380</v>
      </c>
      <c r="C1339" s="403" t="s">
        <v>582</v>
      </c>
      <c r="D1339" s="403" t="s">
        <v>1381</v>
      </c>
      <c r="E1339" s="403" t="s">
        <v>778</v>
      </c>
      <c r="F1339" s="403" t="s">
        <v>1382</v>
      </c>
      <c r="G1339" s="403" t="s">
        <v>1466</v>
      </c>
      <c r="H1339" s="403" t="s">
        <v>1276</v>
      </c>
      <c r="I1339" s="403">
        <v>1</v>
      </c>
      <c r="J1339" s="403" t="s">
        <v>1376</v>
      </c>
      <c r="K1339" s="403">
        <v>3072</v>
      </c>
      <c r="L1339" s="403">
        <v>1728</v>
      </c>
      <c r="M1339" s="403" t="s">
        <v>1600</v>
      </c>
      <c r="N1339" s="403">
        <v>3072</v>
      </c>
      <c r="O1339" s="403">
        <v>1728</v>
      </c>
      <c r="P1339" t="str">
        <f t="shared" si="161"/>
        <v>30fps 3072x1728 - 3072x1728 @ SKIP2</v>
      </c>
      <c r="Q1339">
        <f t="shared" si="162"/>
        <v>8</v>
      </c>
      <c r="R1339" t="str">
        <f t="shared" si="163"/>
        <v/>
      </c>
      <c r="S1339" t="str">
        <f t="shared" si="164"/>
        <v/>
      </c>
      <c r="T1339" s="403" t="str">
        <f t="shared" si="165"/>
        <v>NBE-5503-AL</v>
      </c>
      <c r="U1339" s="403">
        <f t="shared" si="166"/>
        <v>1</v>
      </c>
      <c r="V1339" s="403" t="str">
        <f t="shared" si="167"/>
        <v>CPP_7_3</v>
      </c>
    </row>
    <row r="1340" spans="1:22">
      <c r="A1340" t="str">
        <f t="shared" si="160"/>
        <v>NBE-5503-AL</v>
      </c>
      <c r="B1340" s="403" t="s">
        <v>1380</v>
      </c>
      <c r="C1340" s="403" t="s">
        <v>582</v>
      </c>
      <c r="D1340" s="403" t="s">
        <v>1381</v>
      </c>
      <c r="E1340" s="403" t="s">
        <v>778</v>
      </c>
      <c r="F1340" s="403" t="s">
        <v>1382</v>
      </c>
      <c r="G1340" s="403" t="s">
        <v>1466</v>
      </c>
      <c r="H1340" s="403" t="s">
        <v>1276</v>
      </c>
      <c r="I1340" s="403">
        <v>1</v>
      </c>
      <c r="J1340" s="403" t="s">
        <v>1376</v>
      </c>
      <c r="K1340" s="403">
        <v>3072</v>
      </c>
      <c r="L1340" s="403">
        <v>1728</v>
      </c>
      <c r="M1340" s="403" t="s">
        <v>1280</v>
      </c>
      <c r="N1340" s="403">
        <v>3072</v>
      </c>
      <c r="O1340" s="403">
        <v>1728</v>
      </c>
      <c r="P1340" t="str">
        <f t="shared" si="161"/>
        <v>30fps 3072x1728 - copy other stream</v>
      </c>
      <c r="Q1340">
        <f t="shared" si="162"/>
        <v>8</v>
      </c>
      <c r="R1340" t="str">
        <f t="shared" si="163"/>
        <v/>
      </c>
      <c r="S1340" t="str">
        <f t="shared" si="164"/>
        <v/>
      </c>
      <c r="T1340" s="403" t="str">
        <f t="shared" si="165"/>
        <v>NBE-5503-AL</v>
      </c>
      <c r="U1340" s="403">
        <f t="shared" si="166"/>
        <v>1</v>
      </c>
      <c r="V1340" s="403" t="str">
        <f t="shared" si="167"/>
        <v>CPP_7_3</v>
      </c>
    </row>
    <row r="1341" spans="1:22">
      <c r="A1341" t="str">
        <f t="shared" si="160"/>
        <v>NBE-5503-AL</v>
      </c>
      <c r="B1341" s="403" t="s">
        <v>1380</v>
      </c>
      <c r="C1341" s="403" t="s">
        <v>582</v>
      </c>
      <c r="D1341" s="403" t="s">
        <v>1381</v>
      </c>
      <c r="E1341" s="403" t="s">
        <v>778</v>
      </c>
      <c r="F1341" s="403" t="s">
        <v>1382</v>
      </c>
      <c r="G1341" s="403" t="s">
        <v>1466</v>
      </c>
      <c r="H1341" s="403" t="s">
        <v>1276</v>
      </c>
      <c r="I1341" s="403">
        <v>1</v>
      </c>
      <c r="J1341" s="403" t="s">
        <v>1376</v>
      </c>
      <c r="K1341" s="403">
        <v>3072</v>
      </c>
      <c r="L1341" s="403">
        <v>1728</v>
      </c>
      <c r="M1341" s="403" t="s">
        <v>110</v>
      </c>
      <c r="N1341" s="403">
        <v>1920</v>
      </c>
      <c r="O1341" s="403">
        <v>1080</v>
      </c>
      <c r="P1341" t="str">
        <f t="shared" si="161"/>
        <v>30fps 3072x1728 - 1080p</v>
      </c>
      <c r="Q1341">
        <f t="shared" si="162"/>
        <v>8</v>
      </c>
      <c r="R1341" t="str">
        <f t="shared" si="163"/>
        <v/>
      </c>
      <c r="S1341" t="str">
        <f t="shared" si="164"/>
        <v/>
      </c>
      <c r="T1341" s="403" t="str">
        <f t="shared" si="165"/>
        <v>NBE-5503-AL</v>
      </c>
      <c r="U1341" s="403">
        <f t="shared" si="166"/>
        <v>1</v>
      </c>
      <c r="V1341" s="403" t="str">
        <f t="shared" si="167"/>
        <v>CPP_7_3</v>
      </c>
    </row>
    <row r="1342" spans="1:22">
      <c r="A1342" t="str">
        <f t="shared" si="160"/>
        <v>NBE-5503-AL</v>
      </c>
      <c r="B1342" s="403" t="s">
        <v>1380</v>
      </c>
      <c r="C1342" s="403" t="s">
        <v>582</v>
      </c>
      <c r="D1342" s="403" t="s">
        <v>1381</v>
      </c>
      <c r="E1342" s="403" t="s">
        <v>778</v>
      </c>
      <c r="F1342" s="403" t="s">
        <v>1382</v>
      </c>
      <c r="G1342" s="403" t="s">
        <v>1466</v>
      </c>
      <c r="H1342" s="403" t="s">
        <v>1276</v>
      </c>
      <c r="I1342" s="403">
        <v>1</v>
      </c>
      <c r="J1342" s="403" t="s">
        <v>1376</v>
      </c>
      <c r="K1342" s="403">
        <v>3072</v>
      </c>
      <c r="L1342" s="403">
        <v>1728</v>
      </c>
      <c r="M1342" s="403" t="s">
        <v>109</v>
      </c>
      <c r="N1342" s="403">
        <v>1280</v>
      </c>
      <c r="O1342" s="403">
        <v>720</v>
      </c>
      <c r="P1342" t="str">
        <f t="shared" si="161"/>
        <v>30fps 3072x1728 - 720p</v>
      </c>
      <c r="Q1342">
        <f t="shared" si="162"/>
        <v>8</v>
      </c>
      <c r="R1342" t="str">
        <f t="shared" si="163"/>
        <v/>
      </c>
      <c r="S1342" t="str">
        <f t="shared" si="164"/>
        <v/>
      </c>
      <c r="T1342" s="403" t="str">
        <f t="shared" si="165"/>
        <v>NBE-5503-AL</v>
      </c>
      <c r="U1342" s="403">
        <f t="shared" si="166"/>
        <v>1</v>
      </c>
      <c r="V1342" s="403" t="str">
        <f t="shared" si="167"/>
        <v>CPP_7_3</v>
      </c>
    </row>
    <row r="1343" spans="1:22">
      <c r="A1343" t="str">
        <f t="shared" si="160"/>
        <v>NBE-5503-AL</v>
      </c>
      <c r="B1343" s="403" t="s">
        <v>1380</v>
      </c>
      <c r="C1343" s="403" t="s">
        <v>582</v>
      </c>
      <c r="D1343" s="403" t="s">
        <v>1381</v>
      </c>
      <c r="E1343" s="403" t="s">
        <v>778</v>
      </c>
      <c r="F1343" s="403" t="s">
        <v>1382</v>
      </c>
      <c r="G1343" s="403" t="s">
        <v>1466</v>
      </c>
      <c r="H1343" s="403" t="s">
        <v>1276</v>
      </c>
      <c r="I1343" s="403">
        <v>1</v>
      </c>
      <c r="J1343" s="403" t="s">
        <v>1376</v>
      </c>
      <c r="K1343" s="403">
        <v>3072</v>
      </c>
      <c r="L1343" s="403">
        <v>1728</v>
      </c>
      <c r="M1343" s="403" t="s">
        <v>1283</v>
      </c>
      <c r="N1343" s="403">
        <v>720</v>
      </c>
      <c r="O1343" s="403">
        <v>480</v>
      </c>
      <c r="P1343" t="str">
        <f t="shared" si="161"/>
        <v>30fps 3072x1728 - SD 4CIF resolution 4:3 format (cropped)</v>
      </c>
      <c r="Q1343">
        <f t="shared" si="162"/>
        <v>8</v>
      </c>
      <c r="R1343" t="str">
        <f t="shared" si="163"/>
        <v/>
      </c>
      <c r="S1343" t="str">
        <f t="shared" si="164"/>
        <v/>
      </c>
      <c r="T1343" s="403" t="str">
        <f t="shared" si="165"/>
        <v>NBE-5503-AL</v>
      </c>
      <c r="U1343" s="403">
        <f t="shared" si="166"/>
        <v>1</v>
      </c>
      <c r="V1343" s="403" t="str">
        <f t="shared" si="167"/>
        <v>CPP_7_3</v>
      </c>
    </row>
    <row r="1344" spans="1:22">
      <c r="A1344" t="str">
        <f t="shared" si="160"/>
        <v>NBE-5503-AL</v>
      </c>
      <c r="B1344" s="403" t="s">
        <v>1380</v>
      </c>
      <c r="C1344" s="403" t="s">
        <v>582</v>
      </c>
      <c r="D1344" s="403" t="s">
        <v>1381</v>
      </c>
      <c r="E1344" s="403" t="s">
        <v>778</v>
      </c>
      <c r="F1344" s="403" t="s">
        <v>1382</v>
      </c>
      <c r="G1344" s="403" t="s">
        <v>1466</v>
      </c>
      <c r="H1344" s="403" t="s">
        <v>1276</v>
      </c>
      <c r="I1344" s="403">
        <v>1</v>
      </c>
      <c r="J1344" s="403" t="s">
        <v>1376</v>
      </c>
      <c r="K1344" s="403">
        <v>3072</v>
      </c>
      <c r="L1344" s="403">
        <v>1728</v>
      </c>
      <c r="M1344" s="403" t="s">
        <v>1279</v>
      </c>
      <c r="N1344" s="403">
        <v>768</v>
      </c>
      <c r="O1344" s="403">
        <v>432</v>
      </c>
      <c r="P1344" t="str">
        <f t="shared" si="161"/>
        <v>30fps 3072x1728 - SD ROI PTZ</v>
      </c>
      <c r="Q1344">
        <f t="shared" si="162"/>
        <v>8</v>
      </c>
      <c r="R1344" t="str">
        <f t="shared" si="163"/>
        <v/>
      </c>
      <c r="S1344" t="str">
        <f t="shared" si="164"/>
        <v/>
      </c>
      <c r="T1344" s="403" t="str">
        <f t="shared" si="165"/>
        <v>NBE-5503-AL</v>
      </c>
      <c r="U1344" s="403">
        <f t="shared" si="166"/>
        <v>1</v>
      </c>
      <c r="V1344" s="403" t="str">
        <f t="shared" si="167"/>
        <v>CPP_7_3</v>
      </c>
    </row>
    <row r="1345" spans="1:22">
      <c r="A1345" t="str">
        <f t="shared" si="160"/>
        <v>NBE-5503-AL</v>
      </c>
      <c r="B1345" s="403" t="s">
        <v>1380</v>
      </c>
      <c r="C1345" s="403" t="s">
        <v>582</v>
      </c>
      <c r="D1345" s="403" t="s">
        <v>1381</v>
      </c>
      <c r="E1345" s="403" t="s">
        <v>778</v>
      </c>
      <c r="F1345" s="403" t="s">
        <v>1382</v>
      </c>
      <c r="G1345" s="403" t="s">
        <v>1466</v>
      </c>
      <c r="H1345" s="403" t="s">
        <v>1276</v>
      </c>
      <c r="I1345" s="403">
        <v>1</v>
      </c>
      <c r="J1345" s="403" t="s">
        <v>1376</v>
      </c>
      <c r="K1345" s="403">
        <v>3072</v>
      </c>
      <c r="L1345" s="403">
        <v>1728</v>
      </c>
      <c r="M1345" s="403" t="s">
        <v>1284</v>
      </c>
      <c r="N1345" s="403">
        <v>640</v>
      </c>
      <c r="O1345" s="403">
        <v>480</v>
      </c>
      <c r="P1345" t="str">
        <f t="shared" si="161"/>
        <v>30fps 3072x1728 - SD VGA (cropped)</v>
      </c>
      <c r="Q1345">
        <f t="shared" si="162"/>
        <v>8</v>
      </c>
      <c r="R1345" t="str">
        <f t="shared" si="163"/>
        <v/>
      </c>
      <c r="S1345" t="str">
        <f t="shared" si="164"/>
        <v/>
      </c>
      <c r="T1345" s="403" t="str">
        <f t="shared" si="165"/>
        <v>NBE-5503-AL</v>
      </c>
      <c r="U1345" s="403">
        <f t="shared" si="166"/>
        <v>1</v>
      </c>
      <c r="V1345" s="403" t="str">
        <f t="shared" si="167"/>
        <v>CPP_7_3</v>
      </c>
    </row>
    <row r="1346" spans="1:22">
      <c r="A1346" t="str">
        <f t="shared" ref="A1346:A1409" si="168">IF(AND(G1346&lt;&gt;"rotate 90°"),D1346,"")</f>
        <v>NBE-5503-AL</v>
      </c>
      <c r="B1346" s="403" t="s">
        <v>1380</v>
      </c>
      <c r="C1346" s="403" t="s">
        <v>582</v>
      </c>
      <c r="D1346" s="403" t="s">
        <v>1381</v>
      </c>
      <c r="E1346" s="403" t="s">
        <v>778</v>
      </c>
      <c r="F1346" s="403" t="s">
        <v>1382</v>
      </c>
      <c r="G1346" s="403" t="s">
        <v>1466</v>
      </c>
      <c r="H1346" s="403" t="s">
        <v>1276</v>
      </c>
      <c r="I1346" s="403">
        <v>1</v>
      </c>
      <c r="J1346" s="403" t="s">
        <v>1376</v>
      </c>
      <c r="K1346" s="403">
        <v>3072</v>
      </c>
      <c r="L1346" s="403">
        <v>1728</v>
      </c>
      <c r="M1346" s="403" t="s">
        <v>1285</v>
      </c>
      <c r="N1346" s="403">
        <v>1280</v>
      </c>
      <c r="O1346" s="403">
        <v>1024</v>
      </c>
      <c r="P1346" t="str">
        <f t="shared" ref="P1346:P1409" si="169">LEFT(F1346,5)&amp;" "&amp;J1346&amp;" - "&amp;M1346</f>
        <v>30fps 3072x1728 - 1280x1024 5:4 (cropped)</v>
      </c>
      <c r="Q1346">
        <f t="shared" ref="Q1346:Q1409" si="170">IF(A1345=A1346,Q1345,Q1345+1)</f>
        <v>8</v>
      </c>
      <c r="R1346" t="str">
        <f t="shared" ref="R1346:R1409" si="171">IF(Q1345&lt;&gt;Q1346,Q1346,"")</f>
        <v/>
      </c>
      <c r="S1346" t="str">
        <f t="shared" ref="S1346:S1409" si="172">IF(R1346&lt;&gt;"",B1346&amp;" ("&amp;D1346&amp;")","")</f>
        <v/>
      </c>
      <c r="T1346" s="403" t="str">
        <f t="shared" ref="T1346:T1409" si="173">D1346</f>
        <v>NBE-5503-AL</v>
      </c>
      <c r="U1346" s="403">
        <f t="shared" ref="U1346:U1409" si="174">I1346</f>
        <v>1</v>
      </c>
      <c r="V1346" s="403" t="str">
        <f t="shared" ref="V1346:V1409" si="175">C1346</f>
        <v>CPP_7_3</v>
      </c>
    </row>
    <row r="1347" spans="1:22">
      <c r="A1347" t="str">
        <f t="shared" si="168"/>
        <v>NBE-5503-AL</v>
      </c>
      <c r="B1347" s="403" t="s">
        <v>1380</v>
      </c>
      <c r="C1347" s="403" t="s">
        <v>582</v>
      </c>
      <c r="D1347" s="403" t="s">
        <v>1381</v>
      </c>
      <c r="E1347" s="403" t="s">
        <v>778</v>
      </c>
      <c r="F1347" s="403" t="s">
        <v>1382</v>
      </c>
      <c r="G1347" s="403" t="s">
        <v>1466</v>
      </c>
      <c r="H1347" s="403" t="s">
        <v>1276</v>
      </c>
      <c r="I1347" s="403">
        <v>1</v>
      </c>
      <c r="J1347" s="403" t="s">
        <v>1376</v>
      </c>
      <c r="K1347" s="403">
        <v>3072</v>
      </c>
      <c r="L1347" s="403">
        <v>1728</v>
      </c>
      <c r="M1347" s="403" t="s">
        <v>1383</v>
      </c>
      <c r="N1347" s="403">
        <v>1920</v>
      </c>
      <c r="O1347" s="403">
        <v>1440</v>
      </c>
      <c r="P1347" t="str">
        <f t="shared" si="169"/>
        <v>30fps 3072x1728 - 1920x1440_CROP</v>
      </c>
      <c r="Q1347">
        <f t="shared" si="170"/>
        <v>8</v>
      </c>
      <c r="R1347" t="str">
        <f t="shared" si="171"/>
        <v/>
      </c>
      <c r="S1347" t="str">
        <f t="shared" si="172"/>
        <v/>
      </c>
      <c r="T1347" s="403" t="str">
        <f t="shared" si="173"/>
        <v>NBE-5503-AL</v>
      </c>
      <c r="U1347" s="403">
        <f t="shared" si="174"/>
        <v>1</v>
      </c>
      <c r="V1347" s="403" t="str">
        <f t="shared" si="175"/>
        <v>CPP_7_3</v>
      </c>
    </row>
    <row r="1348" spans="1:22">
      <c r="A1348" t="str">
        <f t="shared" si="168"/>
        <v>NBE-5503-AL</v>
      </c>
      <c r="B1348" s="403" t="s">
        <v>1380</v>
      </c>
      <c r="C1348" s="403" t="s">
        <v>582</v>
      </c>
      <c r="D1348" s="403" t="s">
        <v>1381</v>
      </c>
      <c r="E1348" s="403" t="s">
        <v>778</v>
      </c>
      <c r="F1348" s="403" t="s">
        <v>1382</v>
      </c>
      <c r="G1348" s="403" t="s">
        <v>1466</v>
      </c>
      <c r="H1348" s="403" t="s">
        <v>1276</v>
      </c>
      <c r="I1348" s="403">
        <v>1</v>
      </c>
      <c r="J1348" s="403" t="s">
        <v>1373</v>
      </c>
      <c r="K1348" s="403">
        <v>2688</v>
      </c>
      <c r="L1348" s="403">
        <v>1512</v>
      </c>
      <c r="M1348" s="403" t="s">
        <v>110</v>
      </c>
      <c r="N1348" s="403">
        <v>1920</v>
      </c>
      <c r="O1348" s="403">
        <v>1080</v>
      </c>
      <c r="P1348" t="str">
        <f t="shared" si="169"/>
        <v>30fps 2688x1512 - 1080p</v>
      </c>
      <c r="Q1348">
        <f t="shared" si="170"/>
        <v>8</v>
      </c>
      <c r="R1348" t="str">
        <f t="shared" si="171"/>
        <v/>
      </c>
      <c r="S1348" t="str">
        <f t="shared" si="172"/>
        <v/>
      </c>
      <c r="T1348" s="403" t="str">
        <f t="shared" si="173"/>
        <v>NBE-5503-AL</v>
      </c>
      <c r="U1348" s="403">
        <f t="shared" si="174"/>
        <v>1</v>
      </c>
      <c r="V1348" s="403" t="str">
        <f t="shared" si="175"/>
        <v>CPP_7_3</v>
      </c>
    </row>
    <row r="1349" spans="1:22">
      <c r="A1349" t="str">
        <f t="shared" si="168"/>
        <v>NBE-5503-AL</v>
      </c>
      <c r="B1349" s="403" t="s">
        <v>1380</v>
      </c>
      <c r="C1349" s="403" t="s">
        <v>582</v>
      </c>
      <c r="D1349" s="403" t="s">
        <v>1381</v>
      </c>
      <c r="E1349" s="403" t="s">
        <v>778</v>
      </c>
      <c r="F1349" s="403" t="s">
        <v>1382</v>
      </c>
      <c r="G1349" s="403" t="s">
        <v>1466</v>
      </c>
      <c r="H1349" s="403" t="s">
        <v>1276</v>
      </c>
      <c r="I1349" s="403">
        <v>1</v>
      </c>
      <c r="J1349" s="403" t="s">
        <v>1373</v>
      </c>
      <c r="K1349" s="403">
        <v>2688</v>
      </c>
      <c r="L1349" s="403">
        <v>1512</v>
      </c>
      <c r="M1349" s="403" t="s">
        <v>1384</v>
      </c>
      <c r="N1349" s="403">
        <v>2688</v>
      </c>
      <c r="O1349" s="403">
        <v>1512</v>
      </c>
      <c r="P1349" t="str">
        <f t="shared" si="169"/>
        <v>30fps 2688x1512 - 2688x1512 @ SKIP 2</v>
      </c>
      <c r="Q1349">
        <f t="shared" si="170"/>
        <v>8</v>
      </c>
      <c r="R1349" t="str">
        <f t="shared" si="171"/>
        <v/>
      </c>
      <c r="S1349" t="str">
        <f t="shared" si="172"/>
        <v/>
      </c>
      <c r="T1349" s="403" t="str">
        <f t="shared" si="173"/>
        <v>NBE-5503-AL</v>
      </c>
      <c r="U1349" s="403">
        <f t="shared" si="174"/>
        <v>1</v>
      </c>
      <c r="V1349" s="403" t="str">
        <f t="shared" si="175"/>
        <v>CPP_7_3</v>
      </c>
    </row>
    <row r="1350" spans="1:22">
      <c r="A1350" t="str">
        <f t="shared" si="168"/>
        <v>NBE-5503-AL</v>
      </c>
      <c r="B1350" s="403" t="s">
        <v>1380</v>
      </c>
      <c r="C1350" s="403" t="s">
        <v>582</v>
      </c>
      <c r="D1350" s="403" t="s">
        <v>1381</v>
      </c>
      <c r="E1350" s="403" t="s">
        <v>778</v>
      </c>
      <c r="F1350" s="403" t="s">
        <v>1382</v>
      </c>
      <c r="G1350" s="403" t="s">
        <v>1466</v>
      </c>
      <c r="H1350" s="403" t="s">
        <v>1276</v>
      </c>
      <c r="I1350" s="403">
        <v>1</v>
      </c>
      <c r="J1350" s="403" t="s">
        <v>1373</v>
      </c>
      <c r="K1350" s="403">
        <v>2688</v>
      </c>
      <c r="L1350" s="403">
        <v>1512</v>
      </c>
      <c r="M1350" s="403" t="s">
        <v>109</v>
      </c>
      <c r="N1350" s="403">
        <v>1280</v>
      </c>
      <c r="O1350" s="403">
        <v>720</v>
      </c>
      <c r="P1350" t="str">
        <f t="shared" si="169"/>
        <v>30fps 2688x1512 - 720p</v>
      </c>
      <c r="Q1350">
        <f t="shared" si="170"/>
        <v>8</v>
      </c>
      <c r="R1350" t="str">
        <f t="shared" si="171"/>
        <v/>
      </c>
      <c r="S1350" t="str">
        <f t="shared" si="172"/>
        <v/>
      </c>
      <c r="T1350" s="403" t="str">
        <f t="shared" si="173"/>
        <v>NBE-5503-AL</v>
      </c>
      <c r="U1350" s="403">
        <f t="shared" si="174"/>
        <v>1</v>
      </c>
      <c r="V1350" s="403" t="str">
        <f t="shared" si="175"/>
        <v>CPP_7_3</v>
      </c>
    </row>
    <row r="1351" spans="1:22">
      <c r="A1351" t="str">
        <f t="shared" si="168"/>
        <v>NBE-5503-AL</v>
      </c>
      <c r="B1351" s="403" t="s">
        <v>1380</v>
      </c>
      <c r="C1351" s="403" t="s">
        <v>582</v>
      </c>
      <c r="D1351" s="403" t="s">
        <v>1381</v>
      </c>
      <c r="E1351" s="403" t="s">
        <v>778</v>
      </c>
      <c r="F1351" s="403" t="s">
        <v>1382</v>
      </c>
      <c r="G1351" s="403" t="s">
        <v>1466</v>
      </c>
      <c r="H1351" s="403" t="s">
        <v>1276</v>
      </c>
      <c r="I1351" s="403">
        <v>1</v>
      </c>
      <c r="J1351" s="403" t="s">
        <v>1373</v>
      </c>
      <c r="K1351" s="403">
        <v>2688</v>
      </c>
      <c r="L1351" s="403">
        <v>1512</v>
      </c>
      <c r="M1351" s="403" t="s">
        <v>111</v>
      </c>
      <c r="N1351" s="403">
        <v>768</v>
      </c>
      <c r="O1351" s="403">
        <v>432</v>
      </c>
      <c r="P1351" t="str">
        <f t="shared" si="169"/>
        <v>30fps 2688x1512 - SD</v>
      </c>
      <c r="Q1351">
        <f t="shared" si="170"/>
        <v>8</v>
      </c>
      <c r="R1351" t="str">
        <f t="shared" si="171"/>
        <v/>
      </c>
      <c r="S1351" t="str">
        <f t="shared" si="172"/>
        <v/>
      </c>
      <c r="T1351" s="403" t="str">
        <f t="shared" si="173"/>
        <v>NBE-5503-AL</v>
      </c>
      <c r="U1351" s="403">
        <f t="shared" si="174"/>
        <v>1</v>
      </c>
      <c r="V1351" s="403" t="str">
        <f t="shared" si="175"/>
        <v>CPP_7_3</v>
      </c>
    </row>
    <row r="1352" spans="1:22">
      <c r="A1352" t="str">
        <f t="shared" si="168"/>
        <v>NBE-5503-AL</v>
      </c>
      <c r="B1352" s="403" t="s">
        <v>1380</v>
      </c>
      <c r="C1352" s="403" t="s">
        <v>582</v>
      </c>
      <c r="D1352" s="403" t="s">
        <v>1381</v>
      </c>
      <c r="E1352" s="403" t="s">
        <v>778</v>
      </c>
      <c r="F1352" s="403" t="s">
        <v>1382</v>
      </c>
      <c r="G1352" s="403" t="s">
        <v>1466</v>
      </c>
      <c r="H1352" s="403" t="s">
        <v>1276</v>
      </c>
      <c r="I1352" s="403">
        <v>1</v>
      </c>
      <c r="J1352" s="403" t="s">
        <v>1373</v>
      </c>
      <c r="K1352" s="403">
        <v>2688</v>
      </c>
      <c r="L1352" s="403">
        <v>1512</v>
      </c>
      <c r="M1352" s="403" t="s">
        <v>1279</v>
      </c>
      <c r="N1352" s="403">
        <v>768</v>
      </c>
      <c r="O1352" s="403">
        <v>432</v>
      </c>
      <c r="P1352" t="str">
        <f t="shared" si="169"/>
        <v>30fps 2688x1512 - SD ROI PTZ</v>
      </c>
      <c r="Q1352">
        <f t="shared" si="170"/>
        <v>8</v>
      </c>
      <c r="R1352" t="str">
        <f t="shared" si="171"/>
        <v/>
      </c>
      <c r="S1352" t="str">
        <f t="shared" si="172"/>
        <v/>
      </c>
      <c r="T1352" s="403" t="str">
        <f t="shared" si="173"/>
        <v>NBE-5503-AL</v>
      </c>
      <c r="U1352" s="403">
        <f t="shared" si="174"/>
        <v>1</v>
      </c>
      <c r="V1352" s="403" t="str">
        <f t="shared" si="175"/>
        <v>CPP_7_3</v>
      </c>
    </row>
    <row r="1353" spans="1:22">
      <c r="A1353" t="str">
        <f t="shared" si="168"/>
        <v>NBE-5503-AL</v>
      </c>
      <c r="B1353" s="403" t="s">
        <v>1380</v>
      </c>
      <c r="C1353" s="403" t="s">
        <v>582</v>
      </c>
      <c r="D1353" s="403" t="s">
        <v>1381</v>
      </c>
      <c r="E1353" s="403" t="s">
        <v>778</v>
      </c>
      <c r="F1353" s="403" t="s">
        <v>1382</v>
      </c>
      <c r="G1353" s="403" t="s">
        <v>1466</v>
      </c>
      <c r="H1353" s="403" t="s">
        <v>1276</v>
      </c>
      <c r="I1353" s="403">
        <v>1</v>
      </c>
      <c r="J1353" s="403" t="s">
        <v>1373</v>
      </c>
      <c r="K1353" s="403">
        <v>2688</v>
      </c>
      <c r="L1353" s="403">
        <v>1512</v>
      </c>
      <c r="M1353" s="403" t="s">
        <v>1285</v>
      </c>
      <c r="N1353" s="403">
        <v>1280</v>
      </c>
      <c r="O1353" s="403">
        <v>1024</v>
      </c>
      <c r="P1353" t="str">
        <f t="shared" si="169"/>
        <v>30fps 2688x1512 - 1280x1024 5:4 (cropped)</v>
      </c>
      <c r="Q1353">
        <f t="shared" si="170"/>
        <v>8</v>
      </c>
      <c r="R1353" t="str">
        <f t="shared" si="171"/>
        <v/>
      </c>
      <c r="S1353" t="str">
        <f t="shared" si="172"/>
        <v/>
      </c>
      <c r="T1353" s="403" t="str">
        <f t="shared" si="173"/>
        <v>NBE-5503-AL</v>
      </c>
      <c r="U1353" s="403">
        <f t="shared" si="174"/>
        <v>1</v>
      </c>
      <c r="V1353" s="403" t="str">
        <f t="shared" si="175"/>
        <v>CPP_7_3</v>
      </c>
    </row>
    <row r="1354" spans="1:22">
      <c r="A1354" t="str">
        <f t="shared" si="168"/>
        <v>NBE-5503-AL</v>
      </c>
      <c r="B1354" s="403" t="s">
        <v>1380</v>
      </c>
      <c r="C1354" s="403" t="s">
        <v>582</v>
      </c>
      <c r="D1354" s="403" t="s">
        <v>1381</v>
      </c>
      <c r="E1354" s="403" t="s">
        <v>778</v>
      </c>
      <c r="F1354" s="403" t="s">
        <v>1382</v>
      </c>
      <c r="G1354" s="403" t="s">
        <v>1466</v>
      </c>
      <c r="H1354" s="403" t="s">
        <v>1276</v>
      </c>
      <c r="I1354" s="403">
        <v>1</v>
      </c>
      <c r="J1354" s="403" t="s">
        <v>1373</v>
      </c>
      <c r="K1354" s="403">
        <v>2688</v>
      </c>
      <c r="L1354" s="403">
        <v>1512</v>
      </c>
      <c r="M1354" s="403" t="s">
        <v>1283</v>
      </c>
      <c r="N1354" s="403">
        <v>720</v>
      </c>
      <c r="O1354" s="403">
        <v>480</v>
      </c>
      <c r="P1354" t="str">
        <f t="shared" si="169"/>
        <v>30fps 2688x1512 - SD 4CIF resolution 4:3 format (cropped)</v>
      </c>
      <c r="Q1354">
        <f t="shared" si="170"/>
        <v>8</v>
      </c>
      <c r="R1354" t="str">
        <f t="shared" si="171"/>
        <v/>
      </c>
      <c r="S1354" t="str">
        <f t="shared" si="172"/>
        <v/>
      </c>
      <c r="T1354" s="403" t="str">
        <f t="shared" si="173"/>
        <v>NBE-5503-AL</v>
      </c>
      <c r="U1354" s="403">
        <f t="shared" si="174"/>
        <v>1</v>
      </c>
      <c r="V1354" s="403" t="str">
        <f t="shared" si="175"/>
        <v>CPP_7_3</v>
      </c>
    </row>
    <row r="1355" spans="1:22">
      <c r="A1355" t="str">
        <f t="shared" si="168"/>
        <v>NBE-5503-AL</v>
      </c>
      <c r="B1355" s="403" t="s">
        <v>1380</v>
      </c>
      <c r="C1355" s="403" t="s">
        <v>582</v>
      </c>
      <c r="D1355" s="403" t="s">
        <v>1381</v>
      </c>
      <c r="E1355" s="403" t="s">
        <v>778</v>
      </c>
      <c r="F1355" s="403" t="s">
        <v>1382</v>
      </c>
      <c r="G1355" s="403" t="s">
        <v>1466</v>
      </c>
      <c r="H1355" s="403" t="s">
        <v>1276</v>
      </c>
      <c r="I1355" s="403">
        <v>1</v>
      </c>
      <c r="J1355" s="403" t="s">
        <v>1373</v>
      </c>
      <c r="K1355" s="403">
        <v>2688</v>
      </c>
      <c r="L1355" s="403">
        <v>1512</v>
      </c>
      <c r="M1355" s="403" t="s">
        <v>1284</v>
      </c>
      <c r="N1355" s="403">
        <v>640</v>
      </c>
      <c r="O1355" s="403">
        <v>480</v>
      </c>
      <c r="P1355" t="str">
        <f t="shared" si="169"/>
        <v>30fps 2688x1512 - SD VGA (cropped)</v>
      </c>
      <c r="Q1355">
        <f t="shared" si="170"/>
        <v>8</v>
      </c>
      <c r="R1355" t="str">
        <f t="shared" si="171"/>
        <v/>
      </c>
      <c r="S1355" t="str">
        <f t="shared" si="172"/>
        <v/>
      </c>
      <c r="T1355" s="403" t="str">
        <f t="shared" si="173"/>
        <v>NBE-5503-AL</v>
      </c>
      <c r="U1355" s="403">
        <f t="shared" si="174"/>
        <v>1</v>
      </c>
      <c r="V1355" s="403" t="str">
        <f t="shared" si="175"/>
        <v>CPP_7_3</v>
      </c>
    </row>
    <row r="1356" spans="1:22">
      <c r="A1356" t="str">
        <f t="shared" si="168"/>
        <v>NBE-5503-AL</v>
      </c>
      <c r="B1356" s="403" t="s">
        <v>1380</v>
      </c>
      <c r="C1356" s="403" t="s">
        <v>582</v>
      </c>
      <c r="D1356" s="403" t="s">
        <v>1381</v>
      </c>
      <c r="E1356" s="403" t="s">
        <v>778</v>
      </c>
      <c r="F1356" s="403" t="s">
        <v>1382</v>
      </c>
      <c r="G1356" s="403" t="s">
        <v>1466</v>
      </c>
      <c r="H1356" s="403" t="s">
        <v>1276</v>
      </c>
      <c r="I1356" s="403">
        <v>1</v>
      </c>
      <c r="J1356" s="403" t="s">
        <v>1373</v>
      </c>
      <c r="K1356" s="403">
        <v>2688</v>
      </c>
      <c r="L1356" s="403">
        <v>1512</v>
      </c>
      <c r="M1356" s="403" t="s">
        <v>1280</v>
      </c>
      <c r="N1356" s="403">
        <v>2688</v>
      </c>
      <c r="O1356" s="403">
        <v>1512</v>
      </c>
      <c r="P1356" t="str">
        <f t="shared" si="169"/>
        <v>30fps 2688x1512 - copy other stream</v>
      </c>
      <c r="Q1356">
        <f t="shared" si="170"/>
        <v>8</v>
      </c>
      <c r="R1356" t="str">
        <f t="shared" si="171"/>
        <v/>
      </c>
      <c r="S1356" t="str">
        <f t="shared" si="172"/>
        <v/>
      </c>
      <c r="T1356" s="403" t="str">
        <f t="shared" si="173"/>
        <v>NBE-5503-AL</v>
      </c>
      <c r="U1356" s="403">
        <f t="shared" si="174"/>
        <v>1</v>
      </c>
      <c r="V1356" s="403" t="str">
        <f t="shared" si="175"/>
        <v>CPP_7_3</v>
      </c>
    </row>
    <row r="1357" spans="1:22">
      <c r="A1357" t="str">
        <f t="shared" si="168"/>
        <v>NBE-5503-AL</v>
      </c>
      <c r="B1357" s="403" t="s">
        <v>1380</v>
      </c>
      <c r="C1357" s="403" t="s">
        <v>582</v>
      </c>
      <c r="D1357" s="403" t="s">
        <v>1381</v>
      </c>
      <c r="E1357" s="403" t="s">
        <v>778</v>
      </c>
      <c r="F1357" s="403" t="s">
        <v>1382</v>
      </c>
      <c r="G1357" s="403" t="s">
        <v>1466</v>
      </c>
      <c r="H1357" s="403" t="s">
        <v>1276</v>
      </c>
      <c r="I1357" s="403">
        <v>1</v>
      </c>
      <c r="J1357" s="403" t="s">
        <v>1374</v>
      </c>
      <c r="K1357" s="403">
        <v>2304</v>
      </c>
      <c r="L1357" s="403">
        <v>1296</v>
      </c>
      <c r="M1357" s="403" t="s">
        <v>110</v>
      </c>
      <c r="N1357" s="403">
        <v>1920</v>
      </c>
      <c r="O1357" s="403">
        <v>1080</v>
      </c>
      <c r="P1357" t="str">
        <f t="shared" si="169"/>
        <v>30fps 2304x1296 - 1080p</v>
      </c>
      <c r="Q1357">
        <f t="shared" si="170"/>
        <v>8</v>
      </c>
      <c r="R1357" t="str">
        <f t="shared" si="171"/>
        <v/>
      </c>
      <c r="S1357" t="str">
        <f t="shared" si="172"/>
        <v/>
      </c>
      <c r="T1357" s="403" t="str">
        <f t="shared" si="173"/>
        <v>NBE-5503-AL</v>
      </c>
      <c r="U1357" s="403">
        <f t="shared" si="174"/>
        <v>1</v>
      </c>
      <c r="V1357" s="403" t="str">
        <f t="shared" si="175"/>
        <v>CPP_7_3</v>
      </c>
    </row>
    <row r="1358" spans="1:22">
      <c r="A1358" t="str">
        <f t="shared" si="168"/>
        <v>NBE-5503-AL</v>
      </c>
      <c r="B1358" s="403" t="s">
        <v>1380</v>
      </c>
      <c r="C1358" s="403" t="s">
        <v>582</v>
      </c>
      <c r="D1358" s="403" t="s">
        <v>1381</v>
      </c>
      <c r="E1358" s="403" t="s">
        <v>778</v>
      </c>
      <c r="F1358" s="403" t="s">
        <v>1382</v>
      </c>
      <c r="G1358" s="403" t="s">
        <v>1466</v>
      </c>
      <c r="H1358" s="403" t="s">
        <v>1276</v>
      </c>
      <c r="I1358" s="403">
        <v>1</v>
      </c>
      <c r="J1358" s="403" t="s">
        <v>1374</v>
      </c>
      <c r="K1358" s="403">
        <v>2304</v>
      </c>
      <c r="L1358" s="403">
        <v>1296</v>
      </c>
      <c r="M1358" s="403" t="s">
        <v>1374</v>
      </c>
      <c r="N1358" s="403">
        <v>2304</v>
      </c>
      <c r="O1358" s="403">
        <v>1296</v>
      </c>
      <c r="P1358" t="str">
        <f t="shared" si="169"/>
        <v>30fps 2304x1296 - 2304x1296</v>
      </c>
      <c r="Q1358">
        <f t="shared" si="170"/>
        <v>8</v>
      </c>
      <c r="R1358" t="str">
        <f t="shared" si="171"/>
        <v/>
      </c>
      <c r="S1358" t="str">
        <f t="shared" si="172"/>
        <v/>
      </c>
      <c r="T1358" s="403" t="str">
        <f t="shared" si="173"/>
        <v>NBE-5503-AL</v>
      </c>
      <c r="U1358" s="403">
        <f t="shared" si="174"/>
        <v>1</v>
      </c>
      <c r="V1358" s="403" t="str">
        <f t="shared" si="175"/>
        <v>CPP_7_3</v>
      </c>
    </row>
    <row r="1359" spans="1:22">
      <c r="A1359" t="str">
        <f t="shared" si="168"/>
        <v>NBE-5503-AL</v>
      </c>
      <c r="B1359" s="403" t="s">
        <v>1380</v>
      </c>
      <c r="C1359" s="403" t="s">
        <v>582</v>
      </c>
      <c r="D1359" s="403" t="s">
        <v>1381</v>
      </c>
      <c r="E1359" s="403" t="s">
        <v>778</v>
      </c>
      <c r="F1359" s="403" t="s">
        <v>1382</v>
      </c>
      <c r="G1359" s="403" t="s">
        <v>1466</v>
      </c>
      <c r="H1359" s="403" t="s">
        <v>1276</v>
      </c>
      <c r="I1359" s="403">
        <v>1</v>
      </c>
      <c r="J1359" s="403" t="s">
        <v>1374</v>
      </c>
      <c r="K1359" s="403">
        <v>2304</v>
      </c>
      <c r="L1359" s="403">
        <v>1296</v>
      </c>
      <c r="M1359" s="403" t="s">
        <v>109</v>
      </c>
      <c r="N1359" s="403">
        <v>1280</v>
      </c>
      <c r="O1359" s="403">
        <v>720</v>
      </c>
      <c r="P1359" t="str">
        <f t="shared" si="169"/>
        <v>30fps 2304x1296 - 720p</v>
      </c>
      <c r="Q1359">
        <f t="shared" si="170"/>
        <v>8</v>
      </c>
      <c r="R1359" t="str">
        <f t="shared" si="171"/>
        <v/>
      </c>
      <c r="S1359" t="str">
        <f t="shared" si="172"/>
        <v/>
      </c>
      <c r="T1359" s="403" t="str">
        <f t="shared" si="173"/>
        <v>NBE-5503-AL</v>
      </c>
      <c r="U1359" s="403">
        <f t="shared" si="174"/>
        <v>1</v>
      </c>
      <c r="V1359" s="403" t="str">
        <f t="shared" si="175"/>
        <v>CPP_7_3</v>
      </c>
    </row>
    <row r="1360" spans="1:22">
      <c r="A1360" t="str">
        <f t="shared" si="168"/>
        <v>NBE-5503-AL</v>
      </c>
      <c r="B1360" s="403" t="s">
        <v>1380</v>
      </c>
      <c r="C1360" s="403" t="s">
        <v>582</v>
      </c>
      <c r="D1360" s="403" t="s">
        <v>1381</v>
      </c>
      <c r="E1360" s="403" t="s">
        <v>778</v>
      </c>
      <c r="F1360" s="403" t="s">
        <v>1382</v>
      </c>
      <c r="G1360" s="403" t="s">
        <v>1466</v>
      </c>
      <c r="H1360" s="403" t="s">
        <v>1276</v>
      </c>
      <c r="I1360" s="403">
        <v>1</v>
      </c>
      <c r="J1360" s="403" t="s">
        <v>1374</v>
      </c>
      <c r="K1360" s="403">
        <v>2304</v>
      </c>
      <c r="L1360" s="403">
        <v>1296</v>
      </c>
      <c r="M1360" s="403" t="s">
        <v>111</v>
      </c>
      <c r="N1360" s="403">
        <v>768</v>
      </c>
      <c r="O1360" s="403">
        <v>432</v>
      </c>
      <c r="P1360" t="str">
        <f t="shared" si="169"/>
        <v>30fps 2304x1296 - SD</v>
      </c>
      <c r="Q1360">
        <f t="shared" si="170"/>
        <v>8</v>
      </c>
      <c r="R1360" t="str">
        <f t="shared" si="171"/>
        <v/>
      </c>
      <c r="S1360" t="str">
        <f t="shared" si="172"/>
        <v/>
      </c>
      <c r="T1360" s="403" t="str">
        <f t="shared" si="173"/>
        <v>NBE-5503-AL</v>
      </c>
      <c r="U1360" s="403">
        <f t="shared" si="174"/>
        <v>1</v>
      </c>
      <c r="V1360" s="403" t="str">
        <f t="shared" si="175"/>
        <v>CPP_7_3</v>
      </c>
    </row>
    <row r="1361" spans="1:22">
      <c r="A1361" t="str">
        <f t="shared" si="168"/>
        <v>NBE-5503-AL</v>
      </c>
      <c r="B1361" s="403" t="s">
        <v>1380</v>
      </c>
      <c r="C1361" s="403" t="s">
        <v>582</v>
      </c>
      <c r="D1361" s="403" t="s">
        <v>1381</v>
      </c>
      <c r="E1361" s="403" t="s">
        <v>778</v>
      </c>
      <c r="F1361" s="403" t="s">
        <v>1382</v>
      </c>
      <c r="G1361" s="403" t="s">
        <v>1466</v>
      </c>
      <c r="H1361" s="403" t="s">
        <v>1276</v>
      </c>
      <c r="I1361" s="403">
        <v>1</v>
      </c>
      <c r="J1361" s="403" t="s">
        <v>1374</v>
      </c>
      <c r="K1361" s="403">
        <v>2304</v>
      </c>
      <c r="L1361" s="403">
        <v>1296</v>
      </c>
      <c r="M1361" s="403" t="s">
        <v>1279</v>
      </c>
      <c r="N1361" s="403">
        <v>768</v>
      </c>
      <c r="O1361" s="403">
        <v>432</v>
      </c>
      <c r="P1361" t="str">
        <f t="shared" si="169"/>
        <v>30fps 2304x1296 - SD ROI PTZ</v>
      </c>
      <c r="Q1361">
        <f t="shared" si="170"/>
        <v>8</v>
      </c>
      <c r="R1361" t="str">
        <f t="shared" si="171"/>
        <v/>
      </c>
      <c r="S1361" t="str">
        <f t="shared" si="172"/>
        <v/>
      </c>
      <c r="T1361" s="403" t="str">
        <f t="shared" si="173"/>
        <v>NBE-5503-AL</v>
      </c>
      <c r="U1361" s="403">
        <f t="shared" si="174"/>
        <v>1</v>
      </c>
      <c r="V1361" s="403" t="str">
        <f t="shared" si="175"/>
        <v>CPP_7_3</v>
      </c>
    </row>
    <row r="1362" spans="1:22">
      <c r="A1362" t="str">
        <f t="shared" si="168"/>
        <v>NBE-5503-AL</v>
      </c>
      <c r="B1362" s="403" t="s">
        <v>1380</v>
      </c>
      <c r="C1362" s="403" t="s">
        <v>582</v>
      </c>
      <c r="D1362" s="403" t="s">
        <v>1381</v>
      </c>
      <c r="E1362" s="403" t="s">
        <v>778</v>
      </c>
      <c r="F1362" s="403" t="s">
        <v>1382</v>
      </c>
      <c r="G1362" s="403" t="s">
        <v>1466</v>
      </c>
      <c r="H1362" s="403" t="s">
        <v>1276</v>
      </c>
      <c r="I1362" s="403">
        <v>1</v>
      </c>
      <c r="J1362" s="403" t="s">
        <v>1374</v>
      </c>
      <c r="K1362" s="403">
        <v>2304</v>
      </c>
      <c r="L1362" s="403">
        <v>1296</v>
      </c>
      <c r="M1362" s="403" t="s">
        <v>1285</v>
      </c>
      <c r="N1362" s="403">
        <v>1280</v>
      </c>
      <c r="O1362" s="403">
        <v>1024</v>
      </c>
      <c r="P1362" t="str">
        <f t="shared" si="169"/>
        <v>30fps 2304x1296 - 1280x1024 5:4 (cropped)</v>
      </c>
      <c r="Q1362">
        <f t="shared" si="170"/>
        <v>8</v>
      </c>
      <c r="R1362" t="str">
        <f t="shared" si="171"/>
        <v/>
      </c>
      <c r="S1362" t="str">
        <f t="shared" si="172"/>
        <v/>
      </c>
      <c r="T1362" s="403" t="str">
        <f t="shared" si="173"/>
        <v>NBE-5503-AL</v>
      </c>
      <c r="U1362" s="403">
        <f t="shared" si="174"/>
        <v>1</v>
      </c>
      <c r="V1362" s="403" t="str">
        <f t="shared" si="175"/>
        <v>CPP_7_3</v>
      </c>
    </row>
    <row r="1363" spans="1:22">
      <c r="A1363" t="str">
        <f t="shared" si="168"/>
        <v>NBE-5503-AL</v>
      </c>
      <c r="B1363" s="403" t="s">
        <v>1380</v>
      </c>
      <c r="C1363" s="403" t="s">
        <v>582</v>
      </c>
      <c r="D1363" s="403" t="s">
        <v>1381</v>
      </c>
      <c r="E1363" s="403" t="s">
        <v>778</v>
      </c>
      <c r="F1363" s="403" t="s">
        <v>1382</v>
      </c>
      <c r="G1363" s="403" t="s">
        <v>1466</v>
      </c>
      <c r="H1363" s="403" t="s">
        <v>1276</v>
      </c>
      <c r="I1363" s="403">
        <v>1</v>
      </c>
      <c r="J1363" s="403" t="s">
        <v>1374</v>
      </c>
      <c r="K1363" s="403">
        <v>2304</v>
      </c>
      <c r="L1363" s="403">
        <v>1296</v>
      </c>
      <c r="M1363" s="403" t="s">
        <v>1283</v>
      </c>
      <c r="N1363" s="403">
        <v>720</v>
      </c>
      <c r="O1363" s="403">
        <v>480</v>
      </c>
      <c r="P1363" t="str">
        <f t="shared" si="169"/>
        <v>30fps 2304x1296 - SD 4CIF resolution 4:3 format (cropped)</v>
      </c>
      <c r="Q1363">
        <f t="shared" si="170"/>
        <v>8</v>
      </c>
      <c r="R1363" t="str">
        <f t="shared" si="171"/>
        <v/>
      </c>
      <c r="S1363" t="str">
        <f t="shared" si="172"/>
        <v/>
      </c>
      <c r="T1363" s="403" t="str">
        <f t="shared" si="173"/>
        <v>NBE-5503-AL</v>
      </c>
      <c r="U1363" s="403">
        <f t="shared" si="174"/>
        <v>1</v>
      </c>
      <c r="V1363" s="403" t="str">
        <f t="shared" si="175"/>
        <v>CPP_7_3</v>
      </c>
    </row>
    <row r="1364" spans="1:22">
      <c r="A1364" t="str">
        <f t="shared" si="168"/>
        <v>NBE-5503-AL</v>
      </c>
      <c r="B1364" s="403" t="s">
        <v>1380</v>
      </c>
      <c r="C1364" s="403" t="s">
        <v>582</v>
      </c>
      <c r="D1364" s="403" t="s">
        <v>1381</v>
      </c>
      <c r="E1364" s="403" t="s">
        <v>778</v>
      </c>
      <c r="F1364" s="403" t="s">
        <v>1382</v>
      </c>
      <c r="G1364" s="403" t="s">
        <v>1466</v>
      </c>
      <c r="H1364" s="403" t="s">
        <v>1276</v>
      </c>
      <c r="I1364" s="403">
        <v>1</v>
      </c>
      <c r="J1364" s="403" t="s">
        <v>1374</v>
      </c>
      <c r="K1364" s="403">
        <v>2304</v>
      </c>
      <c r="L1364" s="403">
        <v>1296</v>
      </c>
      <c r="M1364" s="403" t="s">
        <v>1284</v>
      </c>
      <c r="N1364" s="403">
        <v>640</v>
      </c>
      <c r="O1364" s="403">
        <v>480</v>
      </c>
      <c r="P1364" t="str">
        <f t="shared" si="169"/>
        <v>30fps 2304x1296 - SD VGA (cropped)</v>
      </c>
      <c r="Q1364">
        <f t="shared" si="170"/>
        <v>8</v>
      </c>
      <c r="R1364" t="str">
        <f t="shared" si="171"/>
        <v/>
      </c>
      <c r="S1364" t="str">
        <f t="shared" si="172"/>
        <v/>
      </c>
      <c r="T1364" s="403" t="str">
        <f t="shared" si="173"/>
        <v>NBE-5503-AL</v>
      </c>
      <c r="U1364" s="403">
        <f t="shared" si="174"/>
        <v>1</v>
      </c>
      <c r="V1364" s="403" t="str">
        <f t="shared" si="175"/>
        <v>CPP_7_3</v>
      </c>
    </row>
    <row r="1365" spans="1:22">
      <c r="A1365" t="str">
        <f t="shared" si="168"/>
        <v>NBE-5503-AL</v>
      </c>
      <c r="B1365" s="403" t="s">
        <v>1380</v>
      </c>
      <c r="C1365" s="403" t="s">
        <v>582</v>
      </c>
      <c r="D1365" s="403" t="s">
        <v>1381</v>
      </c>
      <c r="E1365" s="403" t="s">
        <v>778</v>
      </c>
      <c r="F1365" s="403" t="s">
        <v>1382</v>
      </c>
      <c r="G1365" s="403" t="s">
        <v>1466</v>
      </c>
      <c r="H1365" s="403" t="s">
        <v>1276</v>
      </c>
      <c r="I1365" s="403">
        <v>1</v>
      </c>
      <c r="J1365" s="403" t="s">
        <v>1374</v>
      </c>
      <c r="K1365" s="403">
        <v>2304</v>
      </c>
      <c r="L1365" s="403">
        <v>1296</v>
      </c>
      <c r="M1365" s="403" t="s">
        <v>1280</v>
      </c>
      <c r="N1365" s="403">
        <v>2304</v>
      </c>
      <c r="O1365" s="403">
        <v>1296</v>
      </c>
      <c r="P1365" t="str">
        <f t="shared" si="169"/>
        <v>30fps 2304x1296 - copy other stream</v>
      </c>
      <c r="Q1365">
        <f t="shared" si="170"/>
        <v>8</v>
      </c>
      <c r="R1365" t="str">
        <f t="shared" si="171"/>
        <v/>
      </c>
      <c r="S1365" t="str">
        <f t="shared" si="172"/>
        <v/>
      </c>
      <c r="T1365" s="403" t="str">
        <f t="shared" si="173"/>
        <v>NBE-5503-AL</v>
      </c>
      <c r="U1365" s="403">
        <f t="shared" si="174"/>
        <v>1</v>
      </c>
      <c r="V1365" s="403" t="str">
        <f t="shared" si="175"/>
        <v>CPP_7_3</v>
      </c>
    </row>
    <row r="1366" spans="1:22">
      <c r="A1366" t="str">
        <f t="shared" si="168"/>
        <v>NBE-5503-AL</v>
      </c>
      <c r="B1366" s="403" t="s">
        <v>1380</v>
      </c>
      <c r="C1366" s="403" t="s">
        <v>582</v>
      </c>
      <c r="D1366" s="403" t="s">
        <v>1381</v>
      </c>
      <c r="E1366" s="403" t="s">
        <v>778</v>
      </c>
      <c r="F1366" s="403" t="s">
        <v>1382</v>
      </c>
      <c r="G1366" s="403" t="s">
        <v>1466</v>
      </c>
      <c r="H1366" s="403" t="s">
        <v>1276</v>
      </c>
      <c r="I1366" s="403">
        <v>1</v>
      </c>
      <c r="J1366" s="403" t="s">
        <v>110</v>
      </c>
      <c r="K1366" s="403">
        <v>1920</v>
      </c>
      <c r="L1366" s="403">
        <v>1080</v>
      </c>
      <c r="M1366" s="403" t="s">
        <v>111</v>
      </c>
      <c r="N1366" s="403">
        <v>768</v>
      </c>
      <c r="O1366" s="403">
        <v>432</v>
      </c>
      <c r="P1366" t="str">
        <f t="shared" si="169"/>
        <v>30fps 1080p - SD</v>
      </c>
      <c r="Q1366">
        <f t="shared" si="170"/>
        <v>8</v>
      </c>
      <c r="R1366" t="str">
        <f t="shared" si="171"/>
        <v/>
      </c>
      <c r="S1366" t="str">
        <f t="shared" si="172"/>
        <v/>
      </c>
      <c r="T1366" s="403" t="str">
        <f t="shared" si="173"/>
        <v>NBE-5503-AL</v>
      </c>
      <c r="U1366" s="403">
        <f t="shared" si="174"/>
        <v>1</v>
      </c>
      <c r="V1366" s="403" t="str">
        <f t="shared" si="175"/>
        <v>CPP_7_3</v>
      </c>
    </row>
    <row r="1367" spans="1:22">
      <c r="A1367" t="str">
        <f t="shared" si="168"/>
        <v>NBE-5503-AL</v>
      </c>
      <c r="B1367" s="403" t="s">
        <v>1380</v>
      </c>
      <c r="C1367" s="403" t="s">
        <v>582</v>
      </c>
      <c r="D1367" s="403" t="s">
        <v>1381</v>
      </c>
      <c r="E1367" s="403" t="s">
        <v>778</v>
      </c>
      <c r="F1367" s="403" t="s">
        <v>1382</v>
      </c>
      <c r="G1367" s="403" t="s">
        <v>1466</v>
      </c>
      <c r="H1367" s="403" t="s">
        <v>1276</v>
      </c>
      <c r="I1367" s="403">
        <v>1</v>
      </c>
      <c r="J1367" s="403" t="s">
        <v>110</v>
      </c>
      <c r="K1367" s="403">
        <v>1920</v>
      </c>
      <c r="L1367" s="403">
        <v>1080</v>
      </c>
      <c r="M1367" s="403" t="s">
        <v>110</v>
      </c>
      <c r="N1367" s="403">
        <v>1920</v>
      </c>
      <c r="O1367" s="403">
        <v>1080</v>
      </c>
      <c r="P1367" t="str">
        <f t="shared" si="169"/>
        <v>30fps 1080p - 1080p</v>
      </c>
      <c r="Q1367">
        <f t="shared" si="170"/>
        <v>8</v>
      </c>
      <c r="R1367" t="str">
        <f t="shared" si="171"/>
        <v/>
      </c>
      <c r="S1367" t="str">
        <f t="shared" si="172"/>
        <v/>
      </c>
      <c r="T1367" s="403" t="str">
        <f t="shared" si="173"/>
        <v>NBE-5503-AL</v>
      </c>
      <c r="U1367" s="403">
        <f t="shared" si="174"/>
        <v>1</v>
      </c>
      <c r="V1367" s="403" t="str">
        <f t="shared" si="175"/>
        <v>CPP_7_3</v>
      </c>
    </row>
    <row r="1368" spans="1:22">
      <c r="A1368" t="str">
        <f t="shared" si="168"/>
        <v>NBE-5503-AL</v>
      </c>
      <c r="B1368" s="403" t="s">
        <v>1380</v>
      </c>
      <c r="C1368" s="403" t="s">
        <v>582</v>
      </c>
      <c r="D1368" s="403" t="s">
        <v>1381</v>
      </c>
      <c r="E1368" s="403" t="s">
        <v>778</v>
      </c>
      <c r="F1368" s="403" t="s">
        <v>1382</v>
      </c>
      <c r="G1368" s="403" t="s">
        <v>1466</v>
      </c>
      <c r="H1368" s="403" t="s">
        <v>1276</v>
      </c>
      <c r="I1368" s="403">
        <v>1</v>
      </c>
      <c r="J1368" s="403" t="s">
        <v>110</v>
      </c>
      <c r="K1368" s="403">
        <v>1920</v>
      </c>
      <c r="L1368" s="403">
        <v>1080</v>
      </c>
      <c r="M1368" s="403" t="s">
        <v>109</v>
      </c>
      <c r="N1368" s="403">
        <v>1280</v>
      </c>
      <c r="O1368" s="403">
        <v>720</v>
      </c>
      <c r="P1368" t="str">
        <f t="shared" si="169"/>
        <v>30fps 1080p - 720p</v>
      </c>
      <c r="Q1368">
        <f t="shared" si="170"/>
        <v>8</v>
      </c>
      <c r="R1368" t="str">
        <f t="shared" si="171"/>
        <v/>
      </c>
      <c r="S1368" t="str">
        <f t="shared" si="172"/>
        <v/>
      </c>
      <c r="T1368" s="403" t="str">
        <f t="shared" si="173"/>
        <v>NBE-5503-AL</v>
      </c>
      <c r="U1368" s="403">
        <f t="shared" si="174"/>
        <v>1</v>
      </c>
      <c r="V1368" s="403" t="str">
        <f t="shared" si="175"/>
        <v>CPP_7_3</v>
      </c>
    </row>
    <row r="1369" spans="1:22">
      <c r="A1369" t="str">
        <f t="shared" si="168"/>
        <v>NBE-5503-AL</v>
      </c>
      <c r="B1369" s="403" t="s">
        <v>1380</v>
      </c>
      <c r="C1369" s="403" t="s">
        <v>582</v>
      </c>
      <c r="D1369" s="403" t="s">
        <v>1381</v>
      </c>
      <c r="E1369" s="403" t="s">
        <v>778</v>
      </c>
      <c r="F1369" s="403" t="s">
        <v>1382</v>
      </c>
      <c r="G1369" s="403" t="s">
        <v>1466</v>
      </c>
      <c r="H1369" s="403" t="s">
        <v>1276</v>
      </c>
      <c r="I1369" s="403">
        <v>1</v>
      </c>
      <c r="J1369" s="403" t="s">
        <v>110</v>
      </c>
      <c r="K1369" s="403">
        <v>1920</v>
      </c>
      <c r="L1369" s="403">
        <v>1080</v>
      </c>
      <c r="M1369" s="403" t="s">
        <v>1285</v>
      </c>
      <c r="N1369" s="403">
        <v>1280</v>
      </c>
      <c r="O1369" s="403">
        <v>1024</v>
      </c>
      <c r="P1369" t="str">
        <f t="shared" si="169"/>
        <v>30fps 1080p - 1280x1024 5:4 (cropped)</v>
      </c>
      <c r="Q1369">
        <f t="shared" si="170"/>
        <v>8</v>
      </c>
      <c r="R1369" t="str">
        <f t="shared" si="171"/>
        <v/>
      </c>
      <c r="S1369" t="str">
        <f t="shared" si="172"/>
        <v/>
      </c>
      <c r="T1369" s="403" t="str">
        <f t="shared" si="173"/>
        <v>NBE-5503-AL</v>
      </c>
      <c r="U1369" s="403">
        <f t="shared" si="174"/>
        <v>1</v>
      </c>
      <c r="V1369" s="403" t="str">
        <f t="shared" si="175"/>
        <v>CPP_7_3</v>
      </c>
    </row>
    <row r="1370" spans="1:22">
      <c r="A1370" t="str">
        <f t="shared" si="168"/>
        <v>NBE-5503-AL</v>
      </c>
      <c r="B1370" s="403" t="s">
        <v>1380</v>
      </c>
      <c r="C1370" s="403" t="s">
        <v>582</v>
      </c>
      <c r="D1370" s="403" t="s">
        <v>1381</v>
      </c>
      <c r="E1370" s="403" t="s">
        <v>778</v>
      </c>
      <c r="F1370" s="403" t="s">
        <v>1382</v>
      </c>
      <c r="G1370" s="403" t="s">
        <v>1466</v>
      </c>
      <c r="H1370" s="403" t="s">
        <v>1276</v>
      </c>
      <c r="I1370" s="403">
        <v>1</v>
      </c>
      <c r="J1370" s="403" t="s">
        <v>110</v>
      </c>
      <c r="K1370" s="403">
        <v>1920</v>
      </c>
      <c r="L1370" s="403">
        <v>1080</v>
      </c>
      <c r="M1370" s="403" t="s">
        <v>1279</v>
      </c>
      <c r="N1370" s="403">
        <v>768</v>
      </c>
      <c r="O1370" s="403">
        <v>432</v>
      </c>
      <c r="P1370" t="str">
        <f t="shared" si="169"/>
        <v>30fps 1080p - SD ROI PTZ</v>
      </c>
      <c r="Q1370">
        <f t="shared" si="170"/>
        <v>8</v>
      </c>
      <c r="R1370" t="str">
        <f t="shared" si="171"/>
        <v/>
      </c>
      <c r="S1370" t="str">
        <f t="shared" si="172"/>
        <v/>
      </c>
      <c r="T1370" s="403" t="str">
        <f t="shared" si="173"/>
        <v>NBE-5503-AL</v>
      </c>
      <c r="U1370" s="403">
        <f t="shared" si="174"/>
        <v>1</v>
      </c>
      <c r="V1370" s="403" t="str">
        <f t="shared" si="175"/>
        <v>CPP_7_3</v>
      </c>
    </row>
    <row r="1371" spans="1:22">
      <c r="A1371" t="str">
        <f t="shared" si="168"/>
        <v>NBE-5503-AL</v>
      </c>
      <c r="B1371" s="403" t="s">
        <v>1380</v>
      </c>
      <c r="C1371" s="403" t="s">
        <v>582</v>
      </c>
      <c r="D1371" s="403" t="s">
        <v>1381</v>
      </c>
      <c r="E1371" s="403" t="s">
        <v>778</v>
      </c>
      <c r="F1371" s="403" t="s">
        <v>1382</v>
      </c>
      <c r="G1371" s="403" t="s">
        <v>1466</v>
      </c>
      <c r="H1371" s="403" t="s">
        <v>1276</v>
      </c>
      <c r="I1371" s="403">
        <v>1</v>
      </c>
      <c r="J1371" s="403" t="s">
        <v>110</v>
      </c>
      <c r="K1371" s="403">
        <v>1920</v>
      </c>
      <c r="L1371" s="403">
        <v>1080</v>
      </c>
      <c r="M1371" s="403" t="s">
        <v>1283</v>
      </c>
      <c r="N1371" s="403">
        <v>720</v>
      </c>
      <c r="O1371" s="403">
        <v>480</v>
      </c>
      <c r="P1371" t="str">
        <f t="shared" si="169"/>
        <v>30fps 1080p - SD 4CIF resolution 4:3 format (cropped)</v>
      </c>
      <c r="Q1371">
        <f t="shared" si="170"/>
        <v>8</v>
      </c>
      <c r="R1371" t="str">
        <f t="shared" si="171"/>
        <v/>
      </c>
      <c r="S1371" t="str">
        <f t="shared" si="172"/>
        <v/>
      </c>
      <c r="T1371" s="403" t="str">
        <f t="shared" si="173"/>
        <v>NBE-5503-AL</v>
      </c>
      <c r="U1371" s="403">
        <f t="shared" si="174"/>
        <v>1</v>
      </c>
      <c r="V1371" s="403" t="str">
        <f t="shared" si="175"/>
        <v>CPP_7_3</v>
      </c>
    </row>
    <row r="1372" spans="1:22">
      <c r="A1372" t="str">
        <f t="shared" si="168"/>
        <v>NBE-5503-AL</v>
      </c>
      <c r="B1372" s="403" t="s">
        <v>1380</v>
      </c>
      <c r="C1372" s="403" t="s">
        <v>582</v>
      </c>
      <c r="D1372" s="403" t="s">
        <v>1381</v>
      </c>
      <c r="E1372" s="403" t="s">
        <v>778</v>
      </c>
      <c r="F1372" s="403" t="s">
        <v>1382</v>
      </c>
      <c r="G1372" s="403" t="s">
        <v>1466</v>
      </c>
      <c r="H1372" s="403" t="s">
        <v>1276</v>
      </c>
      <c r="I1372" s="403">
        <v>1</v>
      </c>
      <c r="J1372" s="403" t="s">
        <v>110</v>
      </c>
      <c r="K1372" s="403">
        <v>1920</v>
      </c>
      <c r="L1372" s="403">
        <v>1080</v>
      </c>
      <c r="M1372" s="403" t="s">
        <v>1284</v>
      </c>
      <c r="N1372" s="403">
        <v>640</v>
      </c>
      <c r="O1372" s="403">
        <v>480</v>
      </c>
      <c r="P1372" t="str">
        <f t="shared" si="169"/>
        <v>30fps 1080p - SD VGA (cropped)</v>
      </c>
      <c r="Q1372">
        <f t="shared" si="170"/>
        <v>8</v>
      </c>
      <c r="R1372" t="str">
        <f t="shared" si="171"/>
        <v/>
      </c>
      <c r="S1372" t="str">
        <f t="shared" si="172"/>
        <v/>
      </c>
      <c r="T1372" s="403" t="str">
        <f t="shared" si="173"/>
        <v>NBE-5503-AL</v>
      </c>
      <c r="U1372" s="403">
        <f t="shared" si="174"/>
        <v>1</v>
      </c>
      <c r="V1372" s="403" t="str">
        <f t="shared" si="175"/>
        <v>CPP_7_3</v>
      </c>
    </row>
    <row r="1373" spans="1:22">
      <c r="A1373" t="str">
        <f t="shared" si="168"/>
        <v>NBE-5503-AL</v>
      </c>
      <c r="B1373" s="403" t="s">
        <v>1380</v>
      </c>
      <c r="C1373" s="403" t="s">
        <v>582</v>
      </c>
      <c r="D1373" s="403" t="s">
        <v>1381</v>
      </c>
      <c r="E1373" s="403" t="s">
        <v>778</v>
      </c>
      <c r="F1373" s="403" t="s">
        <v>1382</v>
      </c>
      <c r="G1373" s="403" t="s">
        <v>1466</v>
      </c>
      <c r="H1373" s="403" t="s">
        <v>1276</v>
      </c>
      <c r="I1373" s="403">
        <v>1</v>
      </c>
      <c r="J1373" s="403" t="s">
        <v>109</v>
      </c>
      <c r="K1373" s="403">
        <v>1280</v>
      </c>
      <c r="L1373" s="403">
        <v>720</v>
      </c>
      <c r="M1373" s="403" t="s">
        <v>109</v>
      </c>
      <c r="N1373" s="403">
        <v>1280</v>
      </c>
      <c r="O1373" s="403">
        <v>720</v>
      </c>
      <c r="P1373" t="str">
        <f t="shared" si="169"/>
        <v>30fps 720p - 720p</v>
      </c>
      <c r="Q1373">
        <f t="shared" si="170"/>
        <v>8</v>
      </c>
      <c r="R1373" t="str">
        <f t="shared" si="171"/>
        <v/>
      </c>
      <c r="S1373" t="str">
        <f t="shared" si="172"/>
        <v/>
      </c>
      <c r="T1373" s="403" t="str">
        <f t="shared" si="173"/>
        <v>NBE-5503-AL</v>
      </c>
      <c r="U1373" s="403">
        <f t="shared" si="174"/>
        <v>1</v>
      </c>
      <c r="V1373" s="403" t="str">
        <f t="shared" si="175"/>
        <v>CPP_7_3</v>
      </c>
    </row>
    <row r="1374" spans="1:22">
      <c r="A1374" t="str">
        <f t="shared" si="168"/>
        <v>NBE-5503-AL</v>
      </c>
      <c r="B1374" s="403" t="s">
        <v>1380</v>
      </c>
      <c r="C1374" s="403" t="s">
        <v>582</v>
      </c>
      <c r="D1374" s="403" t="s">
        <v>1381</v>
      </c>
      <c r="E1374" s="403" t="s">
        <v>778</v>
      </c>
      <c r="F1374" s="403" t="s">
        <v>1382</v>
      </c>
      <c r="G1374" s="403" t="s">
        <v>1466</v>
      </c>
      <c r="H1374" s="403" t="s">
        <v>1276</v>
      </c>
      <c r="I1374" s="403">
        <v>1</v>
      </c>
      <c r="J1374" s="403" t="s">
        <v>109</v>
      </c>
      <c r="K1374" s="403">
        <v>1280</v>
      </c>
      <c r="L1374" s="403">
        <v>720</v>
      </c>
      <c r="M1374" s="403" t="s">
        <v>111</v>
      </c>
      <c r="N1374" s="403">
        <v>768</v>
      </c>
      <c r="O1374" s="403">
        <v>432</v>
      </c>
      <c r="P1374" t="str">
        <f t="shared" si="169"/>
        <v>30fps 720p - SD</v>
      </c>
      <c r="Q1374">
        <f t="shared" si="170"/>
        <v>8</v>
      </c>
      <c r="R1374" t="str">
        <f t="shared" si="171"/>
        <v/>
      </c>
      <c r="S1374" t="str">
        <f t="shared" si="172"/>
        <v/>
      </c>
      <c r="T1374" s="403" t="str">
        <f t="shared" si="173"/>
        <v>NBE-5503-AL</v>
      </c>
      <c r="U1374" s="403">
        <f t="shared" si="174"/>
        <v>1</v>
      </c>
      <c r="V1374" s="403" t="str">
        <f t="shared" si="175"/>
        <v>CPP_7_3</v>
      </c>
    </row>
    <row r="1375" spans="1:22">
      <c r="A1375" t="str">
        <f t="shared" si="168"/>
        <v>NBE-5503-AL</v>
      </c>
      <c r="B1375" s="403" t="s">
        <v>1380</v>
      </c>
      <c r="C1375" s="403" t="s">
        <v>582</v>
      </c>
      <c r="D1375" s="403" t="s">
        <v>1381</v>
      </c>
      <c r="E1375" s="403" t="s">
        <v>778</v>
      </c>
      <c r="F1375" s="403" t="s">
        <v>1382</v>
      </c>
      <c r="G1375" s="403" t="s">
        <v>1466</v>
      </c>
      <c r="H1375" s="403" t="s">
        <v>1276</v>
      </c>
      <c r="I1375" s="403">
        <v>1</v>
      </c>
      <c r="J1375" s="403" t="s">
        <v>109</v>
      </c>
      <c r="K1375" s="403">
        <v>1280</v>
      </c>
      <c r="L1375" s="403">
        <v>720</v>
      </c>
      <c r="M1375" s="403" t="s">
        <v>1279</v>
      </c>
      <c r="N1375" s="403">
        <v>768</v>
      </c>
      <c r="O1375" s="403">
        <v>432</v>
      </c>
      <c r="P1375" t="str">
        <f t="shared" si="169"/>
        <v>30fps 720p - SD ROI PTZ</v>
      </c>
      <c r="Q1375">
        <f t="shared" si="170"/>
        <v>8</v>
      </c>
      <c r="R1375" t="str">
        <f t="shared" si="171"/>
        <v/>
      </c>
      <c r="S1375" t="str">
        <f t="shared" si="172"/>
        <v/>
      </c>
      <c r="T1375" s="403" t="str">
        <f t="shared" si="173"/>
        <v>NBE-5503-AL</v>
      </c>
      <c r="U1375" s="403">
        <f t="shared" si="174"/>
        <v>1</v>
      </c>
      <c r="V1375" s="403" t="str">
        <f t="shared" si="175"/>
        <v>CPP_7_3</v>
      </c>
    </row>
    <row r="1376" spans="1:22">
      <c r="A1376" t="str">
        <f t="shared" si="168"/>
        <v>NBE-5503-AL</v>
      </c>
      <c r="B1376" s="403" t="s">
        <v>1380</v>
      </c>
      <c r="C1376" s="403" t="s">
        <v>582</v>
      </c>
      <c r="D1376" s="403" t="s">
        <v>1381</v>
      </c>
      <c r="E1376" s="403" t="s">
        <v>778</v>
      </c>
      <c r="F1376" s="403" t="s">
        <v>1382</v>
      </c>
      <c r="G1376" s="403" t="s">
        <v>1466</v>
      </c>
      <c r="H1376" s="403" t="s">
        <v>1276</v>
      </c>
      <c r="I1376" s="403">
        <v>1</v>
      </c>
      <c r="J1376" s="403" t="s">
        <v>109</v>
      </c>
      <c r="K1376" s="403">
        <v>1280</v>
      </c>
      <c r="L1376" s="403">
        <v>720</v>
      </c>
      <c r="M1376" s="403" t="s">
        <v>1283</v>
      </c>
      <c r="N1376" s="403">
        <v>720</v>
      </c>
      <c r="O1376" s="403">
        <v>480</v>
      </c>
      <c r="P1376" t="str">
        <f t="shared" si="169"/>
        <v>30fps 720p - SD 4CIF resolution 4:3 format (cropped)</v>
      </c>
      <c r="Q1376">
        <f t="shared" si="170"/>
        <v>8</v>
      </c>
      <c r="R1376" t="str">
        <f t="shared" si="171"/>
        <v/>
      </c>
      <c r="S1376" t="str">
        <f t="shared" si="172"/>
        <v/>
      </c>
      <c r="T1376" s="403" t="str">
        <f t="shared" si="173"/>
        <v>NBE-5503-AL</v>
      </c>
      <c r="U1376" s="403">
        <f t="shared" si="174"/>
        <v>1</v>
      </c>
      <c r="V1376" s="403" t="str">
        <f t="shared" si="175"/>
        <v>CPP_7_3</v>
      </c>
    </row>
    <row r="1377" spans="1:22">
      <c r="A1377" t="str">
        <f t="shared" si="168"/>
        <v>NBE-5503-AL</v>
      </c>
      <c r="B1377" s="403" t="s">
        <v>1380</v>
      </c>
      <c r="C1377" s="403" t="s">
        <v>582</v>
      </c>
      <c r="D1377" s="403" t="s">
        <v>1381</v>
      </c>
      <c r="E1377" s="403" t="s">
        <v>778</v>
      </c>
      <c r="F1377" s="403" t="s">
        <v>1382</v>
      </c>
      <c r="G1377" s="403" t="s">
        <v>1466</v>
      </c>
      <c r="H1377" s="403" t="s">
        <v>1276</v>
      </c>
      <c r="I1377" s="403">
        <v>1</v>
      </c>
      <c r="J1377" s="403" t="s">
        <v>109</v>
      </c>
      <c r="K1377" s="403">
        <v>1280</v>
      </c>
      <c r="L1377" s="403">
        <v>720</v>
      </c>
      <c r="M1377" s="403" t="s">
        <v>1284</v>
      </c>
      <c r="N1377" s="403">
        <v>640</v>
      </c>
      <c r="O1377" s="403">
        <v>480</v>
      </c>
      <c r="P1377" t="str">
        <f t="shared" si="169"/>
        <v>30fps 720p - SD VGA (cropped)</v>
      </c>
      <c r="Q1377">
        <f t="shared" si="170"/>
        <v>8</v>
      </c>
      <c r="R1377" t="str">
        <f t="shared" si="171"/>
        <v/>
      </c>
      <c r="S1377" t="str">
        <f t="shared" si="172"/>
        <v/>
      </c>
      <c r="T1377" s="403" t="str">
        <f t="shared" si="173"/>
        <v>NBE-5503-AL</v>
      </c>
      <c r="U1377" s="403">
        <f t="shared" si="174"/>
        <v>1</v>
      </c>
      <c r="V1377" s="403" t="str">
        <f t="shared" si="175"/>
        <v>CPP_7_3</v>
      </c>
    </row>
    <row r="1378" spans="1:22">
      <c r="A1378" t="str">
        <f t="shared" si="168"/>
        <v>NBE-5503-AL</v>
      </c>
      <c r="B1378" s="403" t="s">
        <v>1380</v>
      </c>
      <c r="C1378" s="403" t="s">
        <v>582</v>
      </c>
      <c r="D1378" s="403" t="s">
        <v>1381</v>
      </c>
      <c r="E1378" s="403" t="s">
        <v>778</v>
      </c>
      <c r="F1378" s="403" t="s">
        <v>1382</v>
      </c>
      <c r="G1378" s="403" t="s">
        <v>1466</v>
      </c>
      <c r="H1378" s="403" t="s">
        <v>1281</v>
      </c>
      <c r="I1378" s="403">
        <v>1</v>
      </c>
      <c r="J1378" s="403" t="s">
        <v>1376</v>
      </c>
      <c r="K1378" s="403">
        <v>3072</v>
      </c>
      <c r="L1378" s="403">
        <v>1728</v>
      </c>
      <c r="M1378" s="403" t="s">
        <v>111</v>
      </c>
      <c r="N1378" s="403">
        <v>768</v>
      </c>
      <c r="O1378" s="403">
        <v>432</v>
      </c>
      <c r="P1378" t="str">
        <f t="shared" si="169"/>
        <v>30fps 3072x1728 - SD</v>
      </c>
      <c r="Q1378">
        <f t="shared" si="170"/>
        <v>8</v>
      </c>
      <c r="R1378" t="str">
        <f t="shared" si="171"/>
        <v/>
      </c>
      <c r="S1378" t="str">
        <f t="shared" si="172"/>
        <v/>
      </c>
      <c r="T1378" s="403" t="str">
        <f t="shared" si="173"/>
        <v>NBE-5503-AL</v>
      </c>
      <c r="U1378" s="403">
        <f t="shared" si="174"/>
        <v>1</v>
      </c>
      <c r="V1378" s="403" t="str">
        <f t="shared" si="175"/>
        <v>CPP_7_3</v>
      </c>
    </row>
    <row r="1379" spans="1:22">
      <c r="A1379" t="str">
        <f t="shared" si="168"/>
        <v>NBE-5503-AL</v>
      </c>
      <c r="B1379" s="403" t="s">
        <v>1380</v>
      </c>
      <c r="C1379" s="403" t="s">
        <v>582</v>
      </c>
      <c r="D1379" s="403" t="s">
        <v>1381</v>
      </c>
      <c r="E1379" s="403" t="s">
        <v>778</v>
      </c>
      <c r="F1379" s="403" t="s">
        <v>1382</v>
      </c>
      <c r="G1379" s="403" t="s">
        <v>1466</v>
      </c>
      <c r="H1379" s="403" t="s">
        <v>1281</v>
      </c>
      <c r="I1379" s="403">
        <v>1</v>
      </c>
      <c r="J1379" s="403" t="s">
        <v>1376</v>
      </c>
      <c r="K1379" s="403">
        <v>3072</v>
      </c>
      <c r="L1379" s="403">
        <v>1728</v>
      </c>
      <c r="M1379" s="403" t="s">
        <v>1280</v>
      </c>
      <c r="N1379" s="403">
        <v>3072</v>
      </c>
      <c r="O1379" s="403">
        <v>1728</v>
      </c>
      <c r="P1379" t="str">
        <f t="shared" si="169"/>
        <v>30fps 3072x1728 - copy other stream</v>
      </c>
      <c r="Q1379">
        <f t="shared" si="170"/>
        <v>8</v>
      </c>
      <c r="R1379" t="str">
        <f t="shared" si="171"/>
        <v/>
      </c>
      <c r="S1379" t="str">
        <f t="shared" si="172"/>
        <v/>
      </c>
      <c r="T1379" s="403" t="str">
        <f t="shared" si="173"/>
        <v>NBE-5503-AL</v>
      </c>
      <c r="U1379" s="403">
        <f t="shared" si="174"/>
        <v>1</v>
      </c>
      <c r="V1379" s="403" t="str">
        <f t="shared" si="175"/>
        <v>CPP_7_3</v>
      </c>
    </row>
    <row r="1380" spans="1:22">
      <c r="A1380" t="str">
        <f t="shared" si="168"/>
        <v>NBE-5503-AL</v>
      </c>
      <c r="B1380" s="403" t="s">
        <v>1380</v>
      </c>
      <c r="C1380" s="403" t="s">
        <v>582</v>
      </c>
      <c r="D1380" s="403" t="s">
        <v>1381</v>
      </c>
      <c r="E1380" s="403" t="s">
        <v>778</v>
      </c>
      <c r="F1380" s="403" t="s">
        <v>1382</v>
      </c>
      <c r="G1380" s="403" t="s">
        <v>1466</v>
      </c>
      <c r="H1380" s="403" t="s">
        <v>1281</v>
      </c>
      <c r="I1380" s="403">
        <v>1</v>
      </c>
      <c r="J1380" s="403" t="s">
        <v>1376</v>
      </c>
      <c r="K1380" s="403">
        <v>3072</v>
      </c>
      <c r="L1380" s="403">
        <v>1728</v>
      </c>
      <c r="M1380" s="403" t="s">
        <v>110</v>
      </c>
      <c r="N1380" s="403">
        <v>1920</v>
      </c>
      <c r="O1380" s="403">
        <v>1080</v>
      </c>
      <c r="P1380" t="str">
        <f t="shared" si="169"/>
        <v>30fps 3072x1728 - 1080p</v>
      </c>
      <c r="Q1380">
        <f t="shared" si="170"/>
        <v>8</v>
      </c>
      <c r="R1380" t="str">
        <f t="shared" si="171"/>
        <v/>
      </c>
      <c r="S1380" t="str">
        <f t="shared" si="172"/>
        <v/>
      </c>
      <c r="T1380" s="403" t="str">
        <f t="shared" si="173"/>
        <v>NBE-5503-AL</v>
      </c>
      <c r="U1380" s="403">
        <f t="shared" si="174"/>
        <v>1</v>
      </c>
      <c r="V1380" s="403" t="str">
        <f t="shared" si="175"/>
        <v>CPP_7_3</v>
      </c>
    </row>
    <row r="1381" spans="1:22">
      <c r="A1381" t="str">
        <f t="shared" si="168"/>
        <v>NBE-5503-AL</v>
      </c>
      <c r="B1381" s="403" t="s">
        <v>1380</v>
      </c>
      <c r="C1381" s="403" t="s">
        <v>582</v>
      </c>
      <c r="D1381" s="403" t="s">
        <v>1381</v>
      </c>
      <c r="E1381" s="403" t="s">
        <v>778</v>
      </c>
      <c r="F1381" s="403" t="s">
        <v>1382</v>
      </c>
      <c r="G1381" s="403" t="s">
        <v>1466</v>
      </c>
      <c r="H1381" s="403" t="s">
        <v>1281</v>
      </c>
      <c r="I1381" s="403">
        <v>1</v>
      </c>
      <c r="J1381" s="403" t="s">
        <v>1376</v>
      </c>
      <c r="K1381" s="403">
        <v>3072</v>
      </c>
      <c r="L1381" s="403">
        <v>1728</v>
      </c>
      <c r="M1381" s="403" t="s">
        <v>109</v>
      </c>
      <c r="N1381" s="403">
        <v>1280</v>
      </c>
      <c r="O1381" s="403">
        <v>720</v>
      </c>
      <c r="P1381" t="str">
        <f t="shared" si="169"/>
        <v>30fps 3072x1728 - 720p</v>
      </c>
      <c r="Q1381">
        <f t="shared" si="170"/>
        <v>8</v>
      </c>
      <c r="R1381" t="str">
        <f t="shared" si="171"/>
        <v/>
      </c>
      <c r="S1381" t="str">
        <f t="shared" si="172"/>
        <v/>
      </c>
      <c r="T1381" s="403" t="str">
        <f t="shared" si="173"/>
        <v>NBE-5503-AL</v>
      </c>
      <c r="U1381" s="403">
        <f t="shared" si="174"/>
        <v>1</v>
      </c>
      <c r="V1381" s="403" t="str">
        <f t="shared" si="175"/>
        <v>CPP_7_3</v>
      </c>
    </row>
    <row r="1382" spans="1:22">
      <c r="A1382" t="str">
        <f t="shared" si="168"/>
        <v>NBE-5503-AL</v>
      </c>
      <c r="B1382" s="403" t="s">
        <v>1380</v>
      </c>
      <c r="C1382" s="403" t="s">
        <v>582</v>
      </c>
      <c r="D1382" s="403" t="s">
        <v>1381</v>
      </c>
      <c r="E1382" s="403" t="s">
        <v>778</v>
      </c>
      <c r="F1382" s="403" t="s">
        <v>1382</v>
      </c>
      <c r="G1382" s="403" t="s">
        <v>1466</v>
      </c>
      <c r="H1382" s="403" t="s">
        <v>1281</v>
      </c>
      <c r="I1382" s="403">
        <v>1</v>
      </c>
      <c r="J1382" s="403" t="s">
        <v>1376</v>
      </c>
      <c r="K1382" s="403">
        <v>3072</v>
      </c>
      <c r="L1382" s="403">
        <v>1728</v>
      </c>
      <c r="M1382" s="403" t="s">
        <v>1283</v>
      </c>
      <c r="N1382" s="403">
        <v>720</v>
      </c>
      <c r="O1382" s="403">
        <v>480</v>
      </c>
      <c r="P1382" t="str">
        <f t="shared" si="169"/>
        <v>30fps 3072x1728 - SD 4CIF resolution 4:3 format (cropped)</v>
      </c>
      <c r="Q1382">
        <f t="shared" si="170"/>
        <v>8</v>
      </c>
      <c r="R1382" t="str">
        <f t="shared" si="171"/>
        <v/>
      </c>
      <c r="S1382" t="str">
        <f t="shared" si="172"/>
        <v/>
      </c>
      <c r="T1382" s="403" t="str">
        <f t="shared" si="173"/>
        <v>NBE-5503-AL</v>
      </c>
      <c r="U1382" s="403">
        <f t="shared" si="174"/>
        <v>1</v>
      </c>
      <c r="V1382" s="403" t="str">
        <f t="shared" si="175"/>
        <v>CPP_7_3</v>
      </c>
    </row>
    <row r="1383" spans="1:22">
      <c r="A1383" t="str">
        <f t="shared" si="168"/>
        <v>NBE-5503-AL</v>
      </c>
      <c r="B1383" s="403" t="s">
        <v>1380</v>
      </c>
      <c r="C1383" s="403" t="s">
        <v>582</v>
      </c>
      <c r="D1383" s="403" t="s">
        <v>1381</v>
      </c>
      <c r="E1383" s="403" t="s">
        <v>778</v>
      </c>
      <c r="F1383" s="403" t="s">
        <v>1382</v>
      </c>
      <c r="G1383" s="403" t="s">
        <v>1466</v>
      </c>
      <c r="H1383" s="403" t="s">
        <v>1281</v>
      </c>
      <c r="I1383" s="403">
        <v>1</v>
      </c>
      <c r="J1383" s="403" t="s">
        <v>1376</v>
      </c>
      <c r="K1383" s="403">
        <v>3072</v>
      </c>
      <c r="L1383" s="403">
        <v>1728</v>
      </c>
      <c r="M1383" s="403" t="s">
        <v>1279</v>
      </c>
      <c r="N1383" s="403">
        <v>768</v>
      </c>
      <c r="O1383" s="403">
        <v>432</v>
      </c>
      <c r="P1383" t="str">
        <f t="shared" si="169"/>
        <v>30fps 3072x1728 - SD ROI PTZ</v>
      </c>
      <c r="Q1383">
        <f t="shared" si="170"/>
        <v>8</v>
      </c>
      <c r="R1383" t="str">
        <f t="shared" si="171"/>
        <v/>
      </c>
      <c r="S1383" t="str">
        <f t="shared" si="172"/>
        <v/>
      </c>
      <c r="T1383" s="403" t="str">
        <f t="shared" si="173"/>
        <v>NBE-5503-AL</v>
      </c>
      <c r="U1383" s="403">
        <f t="shared" si="174"/>
        <v>1</v>
      </c>
      <c r="V1383" s="403" t="str">
        <f t="shared" si="175"/>
        <v>CPP_7_3</v>
      </c>
    </row>
    <row r="1384" spans="1:22">
      <c r="A1384" t="str">
        <f t="shared" si="168"/>
        <v>NBE-5503-AL</v>
      </c>
      <c r="B1384" s="403" t="s">
        <v>1380</v>
      </c>
      <c r="C1384" s="403" t="s">
        <v>582</v>
      </c>
      <c r="D1384" s="403" t="s">
        <v>1381</v>
      </c>
      <c r="E1384" s="403" t="s">
        <v>778</v>
      </c>
      <c r="F1384" s="403" t="s">
        <v>1382</v>
      </c>
      <c r="G1384" s="403" t="s">
        <v>1466</v>
      </c>
      <c r="H1384" s="403" t="s">
        <v>1281</v>
      </c>
      <c r="I1384" s="403">
        <v>1</v>
      </c>
      <c r="J1384" s="403" t="s">
        <v>1376</v>
      </c>
      <c r="K1384" s="403">
        <v>3072</v>
      </c>
      <c r="L1384" s="403">
        <v>1728</v>
      </c>
      <c r="M1384" s="403" t="s">
        <v>1284</v>
      </c>
      <c r="N1384" s="403">
        <v>640</v>
      </c>
      <c r="O1384" s="403">
        <v>480</v>
      </c>
      <c r="P1384" t="str">
        <f t="shared" si="169"/>
        <v>30fps 3072x1728 - SD VGA (cropped)</v>
      </c>
      <c r="Q1384">
        <f t="shared" si="170"/>
        <v>8</v>
      </c>
      <c r="R1384" t="str">
        <f t="shared" si="171"/>
        <v/>
      </c>
      <c r="S1384" t="str">
        <f t="shared" si="172"/>
        <v/>
      </c>
      <c r="T1384" s="403" t="str">
        <f t="shared" si="173"/>
        <v>NBE-5503-AL</v>
      </c>
      <c r="U1384" s="403">
        <f t="shared" si="174"/>
        <v>1</v>
      </c>
      <c r="V1384" s="403" t="str">
        <f t="shared" si="175"/>
        <v>CPP_7_3</v>
      </c>
    </row>
    <row r="1385" spans="1:22">
      <c r="A1385" t="str">
        <f t="shared" si="168"/>
        <v>NBE-5503-AL</v>
      </c>
      <c r="B1385" s="403" t="s">
        <v>1380</v>
      </c>
      <c r="C1385" s="403" t="s">
        <v>582</v>
      </c>
      <c r="D1385" s="403" t="s">
        <v>1381</v>
      </c>
      <c r="E1385" s="403" t="s">
        <v>778</v>
      </c>
      <c r="F1385" s="403" t="s">
        <v>1382</v>
      </c>
      <c r="G1385" s="403" t="s">
        <v>1466</v>
      </c>
      <c r="H1385" s="403" t="s">
        <v>1281</v>
      </c>
      <c r="I1385" s="403">
        <v>1</v>
      </c>
      <c r="J1385" s="403" t="s">
        <v>1376</v>
      </c>
      <c r="K1385" s="403">
        <v>3072</v>
      </c>
      <c r="L1385" s="403">
        <v>1728</v>
      </c>
      <c r="M1385" s="403" t="s">
        <v>1285</v>
      </c>
      <c r="N1385" s="403">
        <v>1280</v>
      </c>
      <c r="O1385" s="403">
        <v>1024</v>
      </c>
      <c r="P1385" t="str">
        <f t="shared" si="169"/>
        <v>30fps 3072x1728 - 1280x1024 5:4 (cropped)</v>
      </c>
      <c r="Q1385">
        <f t="shared" si="170"/>
        <v>8</v>
      </c>
      <c r="R1385" t="str">
        <f t="shared" si="171"/>
        <v/>
      </c>
      <c r="S1385" t="str">
        <f t="shared" si="172"/>
        <v/>
      </c>
      <c r="T1385" s="403" t="str">
        <f t="shared" si="173"/>
        <v>NBE-5503-AL</v>
      </c>
      <c r="U1385" s="403">
        <f t="shared" si="174"/>
        <v>1</v>
      </c>
      <c r="V1385" s="403" t="str">
        <f t="shared" si="175"/>
        <v>CPP_7_3</v>
      </c>
    </row>
    <row r="1386" spans="1:22">
      <c r="A1386" t="str">
        <f t="shared" si="168"/>
        <v>NBE-5503-AL</v>
      </c>
      <c r="B1386" s="403" t="s">
        <v>1380</v>
      </c>
      <c r="C1386" s="403" t="s">
        <v>582</v>
      </c>
      <c r="D1386" s="403" t="s">
        <v>1381</v>
      </c>
      <c r="E1386" s="403" t="s">
        <v>778</v>
      </c>
      <c r="F1386" s="403" t="s">
        <v>1382</v>
      </c>
      <c r="G1386" s="403" t="s">
        <v>1466</v>
      </c>
      <c r="H1386" s="403" t="s">
        <v>1281</v>
      </c>
      <c r="I1386" s="403">
        <v>1</v>
      </c>
      <c r="J1386" s="403" t="s">
        <v>1373</v>
      </c>
      <c r="K1386" s="403">
        <v>2688</v>
      </c>
      <c r="L1386" s="403">
        <v>1512</v>
      </c>
      <c r="M1386" s="403" t="s">
        <v>110</v>
      </c>
      <c r="N1386" s="403">
        <v>1920</v>
      </c>
      <c r="O1386" s="403">
        <v>1080</v>
      </c>
      <c r="P1386" t="str">
        <f t="shared" si="169"/>
        <v>30fps 2688x1512 - 1080p</v>
      </c>
      <c r="Q1386">
        <f t="shared" si="170"/>
        <v>8</v>
      </c>
      <c r="R1386" t="str">
        <f t="shared" si="171"/>
        <v/>
      </c>
      <c r="S1386" t="str">
        <f t="shared" si="172"/>
        <v/>
      </c>
      <c r="T1386" s="403" t="str">
        <f t="shared" si="173"/>
        <v>NBE-5503-AL</v>
      </c>
      <c r="U1386" s="403">
        <f t="shared" si="174"/>
        <v>1</v>
      </c>
      <c r="V1386" s="403" t="str">
        <f t="shared" si="175"/>
        <v>CPP_7_3</v>
      </c>
    </row>
    <row r="1387" spans="1:22">
      <c r="A1387" t="str">
        <f t="shared" si="168"/>
        <v>NBE-5503-AL</v>
      </c>
      <c r="B1387" s="403" t="s">
        <v>1380</v>
      </c>
      <c r="C1387" s="403" t="s">
        <v>582</v>
      </c>
      <c r="D1387" s="403" t="s">
        <v>1381</v>
      </c>
      <c r="E1387" s="403" t="s">
        <v>778</v>
      </c>
      <c r="F1387" s="403" t="s">
        <v>1382</v>
      </c>
      <c r="G1387" s="403" t="s">
        <v>1466</v>
      </c>
      <c r="H1387" s="403" t="s">
        <v>1281</v>
      </c>
      <c r="I1387" s="403">
        <v>1</v>
      </c>
      <c r="J1387" s="403" t="s">
        <v>1373</v>
      </c>
      <c r="K1387" s="403">
        <v>2688</v>
      </c>
      <c r="L1387" s="403">
        <v>1512</v>
      </c>
      <c r="M1387" s="403" t="s">
        <v>1384</v>
      </c>
      <c r="N1387" s="403">
        <v>2688</v>
      </c>
      <c r="O1387" s="403">
        <v>1512</v>
      </c>
      <c r="P1387" t="str">
        <f t="shared" si="169"/>
        <v>30fps 2688x1512 - 2688x1512 @ SKIP 2</v>
      </c>
      <c r="Q1387">
        <f t="shared" si="170"/>
        <v>8</v>
      </c>
      <c r="R1387" t="str">
        <f t="shared" si="171"/>
        <v/>
      </c>
      <c r="S1387" t="str">
        <f t="shared" si="172"/>
        <v/>
      </c>
      <c r="T1387" s="403" t="str">
        <f t="shared" si="173"/>
        <v>NBE-5503-AL</v>
      </c>
      <c r="U1387" s="403">
        <f t="shared" si="174"/>
        <v>1</v>
      </c>
      <c r="V1387" s="403" t="str">
        <f t="shared" si="175"/>
        <v>CPP_7_3</v>
      </c>
    </row>
    <row r="1388" spans="1:22">
      <c r="A1388" t="str">
        <f t="shared" si="168"/>
        <v>NBE-5503-AL</v>
      </c>
      <c r="B1388" s="403" t="s">
        <v>1380</v>
      </c>
      <c r="C1388" s="403" t="s">
        <v>582</v>
      </c>
      <c r="D1388" s="403" t="s">
        <v>1381</v>
      </c>
      <c r="E1388" s="403" t="s">
        <v>778</v>
      </c>
      <c r="F1388" s="403" t="s">
        <v>1382</v>
      </c>
      <c r="G1388" s="403" t="s">
        <v>1466</v>
      </c>
      <c r="H1388" s="403" t="s">
        <v>1281</v>
      </c>
      <c r="I1388" s="403">
        <v>1</v>
      </c>
      <c r="J1388" s="403" t="s">
        <v>1373</v>
      </c>
      <c r="K1388" s="403">
        <v>2688</v>
      </c>
      <c r="L1388" s="403">
        <v>1512</v>
      </c>
      <c r="M1388" s="403" t="s">
        <v>109</v>
      </c>
      <c r="N1388" s="403">
        <v>1280</v>
      </c>
      <c r="O1388" s="403">
        <v>720</v>
      </c>
      <c r="P1388" t="str">
        <f t="shared" si="169"/>
        <v>30fps 2688x1512 - 720p</v>
      </c>
      <c r="Q1388">
        <f t="shared" si="170"/>
        <v>8</v>
      </c>
      <c r="R1388" t="str">
        <f t="shared" si="171"/>
        <v/>
      </c>
      <c r="S1388" t="str">
        <f t="shared" si="172"/>
        <v/>
      </c>
      <c r="T1388" s="403" t="str">
        <f t="shared" si="173"/>
        <v>NBE-5503-AL</v>
      </c>
      <c r="U1388" s="403">
        <f t="shared" si="174"/>
        <v>1</v>
      </c>
      <c r="V1388" s="403" t="str">
        <f t="shared" si="175"/>
        <v>CPP_7_3</v>
      </c>
    </row>
    <row r="1389" spans="1:22">
      <c r="A1389" t="str">
        <f t="shared" si="168"/>
        <v>NBE-5503-AL</v>
      </c>
      <c r="B1389" s="403" t="s">
        <v>1380</v>
      </c>
      <c r="C1389" s="403" t="s">
        <v>582</v>
      </c>
      <c r="D1389" s="403" t="s">
        <v>1381</v>
      </c>
      <c r="E1389" s="403" t="s">
        <v>778</v>
      </c>
      <c r="F1389" s="403" t="s">
        <v>1382</v>
      </c>
      <c r="G1389" s="403" t="s">
        <v>1466</v>
      </c>
      <c r="H1389" s="403" t="s">
        <v>1281</v>
      </c>
      <c r="I1389" s="403">
        <v>1</v>
      </c>
      <c r="J1389" s="403" t="s">
        <v>1373</v>
      </c>
      <c r="K1389" s="403">
        <v>2688</v>
      </c>
      <c r="L1389" s="403">
        <v>1512</v>
      </c>
      <c r="M1389" s="403" t="s">
        <v>111</v>
      </c>
      <c r="N1389" s="403">
        <v>768</v>
      </c>
      <c r="O1389" s="403">
        <v>432</v>
      </c>
      <c r="P1389" t="str">
        <f t="shared" si="169"/>
        <v>30fps 2688x1512 - SD</v>
      </c>
      <c r="Q1389">
        <f t="shared" si="170"/>
        <v>8</v>
      </c>
      <c r="R1389" t="str">
        <f t="shared" si="171"/>
        <v/>
      </c>
      <c r="S1389" t="str">
        <f t="shared" si="172"/>
        <v/>
      </c>
      <c r="T1389" s="403" t="str">
        <f t="shared" si="173"/>
        <v>NBE-5503-AL</v>
      </c>
      <c r="U1389" s="403">
        <f t="shared" si="174"/>
        <v>1</v>
      </c>
      <c r="V1389" s="403" t="str">
        <f t="shared" si="175"/>
        <v>CPP_7_3</v>
      </c>
    </row>
    <row r="1390" spans="1:22">
      <c r="A1390" t="str">
        <f t="shared" si="168"/>
        <v>NBE-5503-AL</v>
      </c>
      <c r="B1390" s="403" t="s">
        <v>1380</v>
      </c>
      <c r="C1390" s="403" t="s">
        <v>582</v>
      </c>
      <c r="D1390" s="403" t="s">
        <v>1381</v>
      </c>
      <c r="E1390" s="403" t="s">
        <v>778</v>
      </c>
      <c r="F1390" s="403" t="s">
        <v>1382</v>
      </c>
      <c r="G1390" s="403" t="s">
        <v>1466</v>
      </c>
      <c r="H1390" s="403" t="s">
        <v>1281</v>
      </c>
      <c r="I1390" s="403">
        <v>1</v>
      </c>
      <c r="J1390" s="403" t="s">
        <v>1373</v>
      </c>
      <c r="K1390" s="403">
        <v>2688</v>
      </c>
      <c r="L1390" s="403">
        <v>1512</v>
      </c>
      <c r="M1390" s="403" t="s">
        <v>1279</v>
      </c>
      <c r="N1390" s="403">
        <v>768</v>
      </c>
      <c r="O1390" s="403">
        <v>432</v>
      </c>
      <c r="P1390" t="str">
        <f t="shared" si="169"/>
        <v>30fps 2688x1512 - SD ROI PTZ</v>
      </c>
      <c r="Q1390">
        <f t="shared" si="170"/>
        <v>8</v>
      </c>
      <c r="R1390" t="str">
        <f t="shared" si="171"/>
        <v/>
      </c>
      <c r="S1390" t="str">
        <f t="shared" si="172"/>
        <v/>
      </c>
      <c r="T1390" s="403" t="str">
        <f t="shared" si="173"/>
        <v>NBE-5503-AL</v>
      </c>
      <c r="U1390" s="403">
        <f t="shared" si="174"/>
        <v>1</v>
      </c>
      <c r="V1390" s="403" t="str">
        <f t="shared" si="175"/>
        <v>CPP_7_3</v>
      </c>
    </row>
    <row r="1391" spans="1:22">
      <c r="A1391" t="str">
        <f t="shared" si="168"/>
        <v>NBE-5503-AL</v>
      </c>
      <c r="B1391" s="403" t="s">
        <v>1380</v>
      </c>
      <c r="C1391" s="403" t="s">
        <v>582</v>
      </c>
      <c r="D1391" s="403" t="s">
        <v>1381</v>
      </c>
      <c r="E1391" s="403" t="s">
        <v>778</v>
      </c>
      <c r="F1391" s="403" t="s">
        <v>1382</v>
      </c>
      <c r="G1391" s="403" t="s">
        <v>1466</v>
      </c>
      <c r="H1391" s="403" t="s">
        <v>1281</v>
      </c>
      <c r="I1391" s="403">
        <v>1</v>
      </c>
      <c r="J1391" s="403" t="s">
        <v>1373</v>
      </c>
      <c r="K1391" s="403">
        <v>2688</v>
      </c>
      <c r="L1391" s="403">
        <v>1512</v>
      </c>
      <c r="M1391" s="403" t="s">
        <v>1285</v>
      </c>
      <c r="N1391" s="403">
        <v>1280</v>
      </c>
      <c r="O1391" s="403">
        <v>1024</v>
      </c>
      <c r="P1391" t="str">
        <f t="shared" si="169"/>
        <v>30fps 2688x1512 - 1280x1024 5:4 (cropped)</v>
      </c>
      <c r="Q1391">
        <f t="shared" si="170"/>
        <v>8</v>
      </c>
      <c r="R1391" t="str">
        <f t="shared" si="171"/>
        <v/>
      </c>
      <c r="S1391" t="str">
        <f t="shared" si="172"/>
        <v/>
      </c>
      <c r="T1391" s="403" t="str">
        <f t="shared" si="173"/>
        <v>NBE-5503-AL</v>
      </c>
      <c r="U1391" s="403">
        <f t="shared" si="174"/>
        <v>1</v>
      </c>
      <c r="V1391" s="403" t="str">
        <f t="shared" si="175"/>
        <v>CPP_7_3</v>
      </c>
    </row>
    <row r="1392" spans="1:22">
      <c r="A1392" t="str">
        <f t="shared" si="168"/>
        <v>NBE-5503-AL</v>
      </c>
      <c r="B1392" s="403" t="s">
        <v>1380</v>
      </c>
      <c r="C1392" s="403" t="s">
        <v>582</v>
      </c>
      <c r="D1392" s="403" t="s">
        <v>1381</v>
      </c>
      <c r="E1392" s="403" t="s">
        <v>778</v>
      </c>
      <c r="F1392" s="403" t="s">
        <v>1382</v>
      </c>
      <c r="G1392" s="403" t="s">
        <v>1466</v>
      </c>
      <c r="H1392" s="403" t="s">
        <v>1281</v>
      </c>
      <c r="I1392" s="403">
        <v>1</v>
      </c>
      <c r="J1392" s="403" t="s">
        <v>1373</v>
      </c>
      <c r="K1392" s="403">
        <v>2688</v>
      </c>
      <c r="L1392" s="403">
        <v>1512</v>
      </c>
      <c r="M1392" s="403" t="s">
        <v>1283</v>
      </c>
      <c r="N1392" s="403">
        <v>720</v>
      </c>
      <c r="O1392" s="403">
        <v>480</v>
      </c>
      <c r="P1392" t="str">
        <f t="shared" si="169"/>
        <v>30fps 2688x1512 - SD 4CIF resolution 4:3 format (cropped)</v>
      </c>
      <c r="Q1392">
        <f t="shared" si="170"/>
        <v>8</v>
      </c>
      <c r="R1392" t="str">
        <f t="shared" si="171"/>
        <v/>
      </c>
      <c r="S1392" t="str">
        <f t="shared" si="172"/>
        <v/>
      </c>
      <c r="T1392" s="403" t="str">
        <f t="shared" si="173"/>
        <v>NBE-5503-AL</v>
      </c>
      <c r="U1392" s="403">
        <f t="shared" si="174"/>
        <v>1</v>
      </c>
      <c r="V1392" s="403" t="str">
        <f t="shared" si="175"/>
        <v>CPP_7_3</v>
      </c>
    </row>
    <row r="1393" spans="1:22">
      <c r="A1393" t="str">
        <f t="shared" si="168"/>
        <v>NBE-5503-AL</v>
      </c>
      <c r="B1393" s="403" t="s">
        <v>1380</v>
      </c>
      <c r="C1393" s="403" t="s">
        <v>582</v>
      </c>
      <c r="D1393" s="403" t="s">
        <v>1381</v>
      </c>
      <c r="E1393" s="403" t="s">
        <v>778</v>
      </c>
      <c r="F1393" s="403" t="s">
        <v>1382</v>
      </c>
      <c r="G1393" s="403" t="s">
        <v>1466</v>
      </c>
      <c r="H1393" s="403" t="s">
        <v>1281</v>
      </c>
      <c r="I1393" s="403">
        <v>1</v>
      </c>
      <c r="J1393" s="403" t="s">
        <v>1373</v>
      </c>
      <c r="K1393" s="403">
        <v>2688</v>
      </c>
      <c r="L1393" s="403">
        <v>1512</v>
      </c>
      <c r="M1393" s="403" t="s">
        <v>1284</v>
      </c>
      <c r="N1393" s="403">
        <v>640</v>
      </c>
      <c r="O1393" s="403">
        <v>480</v>
      </c>
      <c r="P1393" t="str">
        <f t="shared" si="169"/>
        <v>30fps 2688x1512 - SD VGA (cropped)</v>
      </c>
      <c r="Q1393">
        <f t="shared" si="170"/>
        <v>8</v>
      </c>
      <c r="R1393" t="str">
        <f t="shared" si="171"/>
        <v/>
      </c>
      <c r="S1393" t="str">
        <f t="shared" si="172"/>
        <v/>
      </c>
      <c r="T1393" s="403" t="str">
        <f t="shared" si="173"/>
        <v>NBE-5503-AL</v>
      </c>
      <c r="U1393" s="403">
        <f t="shared" si="174"/>
        <v>1</v>
      </c>
      <c r="V1393" s="403" t="str">
        <f t="shared" si="175"/>
        <v>CPP_7_3</v>
      </c>
    </row>
    <row r="1394" spans="1:22">
      <c r="A1394" t="str">
        <f t="shared" si="168"/>
        <v>NBE-5503-AL</v>
      </c>
      <c r="B1394" s="403" t="s">
        <v>1380</v>
      </c>
      <c r="C1394" s="403" t="s">
        <v>582</v>
      </c>
      <c r="D1394" s="403" t="s">
        <v>1381</v>
      </c>
      <c r="E1394" s="403" t="s">
        <v>778</v>
      </c>
      <c r="F1394" s="403" t="s">
        <v>1382</v>
      </c>
      <c r="G1394" s="403" t="s">
        <v>1466</v>
      </c>
      <c r="H1394" s="403" t="s">
        <v>1281</v>
      </c>
      <c r="I1394" s="403">
        <v>1</v>
      </c>
      <c r="J1394" s="403" t="s">
        <v>1373</v>
      </c>
      <c r="K1394" s="403">
        <v>2688</v>
      </c>
      <c r="L1394" s="403">
        <v>1512</v>
      </c>
      <c r="M1394" s="403" t="s">
        <v>1280</v>
      </c>
      <c r="N1394" s="403">
        <v>2688</v>
      </c>
      <c r="O1394" s="403">
        <v>1512</v>
      </c>
      <c r="P1394" t="str">
        <f t="shared" si="169"/>
        <v>30fps 2688x1512 - copy other stream</v>
      </c>
      <c r="Q1394">
        <f t="shared" si="170"/>
        <v>8</v>
      </c>
      <c r="R1394" t="str">
        <f t="shared" si="171"/>
        <v/>
      </c>
      <c r="S1394" t="str">
        <f t="shared" si="172"/>
        <v/>
      </c>
      <c r="T1394" s="403" t="str">
        <f t="shared" si="173"/>
        <v>NBE-5503-AL</v>
      </c>
      <c r="U1394" s="403">
        <f t="shared" si="174"/>
        <v>1</v>
      </c>
      <c r="V1394" s="403" t="str">
        <f t="shared" si="175"/>
        <v>CPP_7_3</v>
      </c>
    </row>
    <row r="1395" spans="1:22">
      <c r="A1395" t="str">
        <f t="shared" si="168"/>
        <v>NBE-5503-AL</v>
      </c>
      <c r="B1395" s="403" t="s">
        <v>1380</v>
      </c>
      <c r="C1395" s="403" t="s">
        <v>582</v>
      </c>
      <c r="D1395" s="403" t="s">
        <v>1381</v>
      </c>
      <c r="E1395" s="403" t="s">
        <v>778</v>
      </c>
      <c r="F1395" s="403" t="s">
        <v>1382</v>
      </c>
      <c r="G1395" s="403" t="s">
        <v>1466</v>
      </c>
      <c r="H1395" s="403" t="s">
        <v>1281</v>
      </c>
      <c r="I1395" s="403">
        <v>1</v>
      </c>
      <c r="J1395" s="403" t="s">
        <v>1374</v>
      </c>
      <c r="K1395" s="403">
        <v>2304</v>
      </c>
      <c r="L1395" s="403">
        <v>1296</v>
      </c>
      <c r="M1395" s="403" t="s">
        <v>110</v>
      </c>
      <c r="N1395" s="403">
        <v>1920</v>
      </c>
      <c r="O1395" s="403">
        <v>1080</v>
      </c>
      <c r="P1395" t="str">
        <f t="shared" si="169"/>
        <v>30fps 2304x1296 - 1080p</v>
      </c>
      <c r="Q1395">
        <f t="shared" si="170"/>
        <v>8</v>
      </c>
      <c r="R1395" t="str">
        <f t="shared" si="171"/>
        <v/>
      </c>
      <c r="S1395" t="str">
        <f t="shared" si="172"/>
        <v/>
      </c>
      <c r="T1395" s="403" t="str">
        <f t="shared" si="173"/>
        <v>NBE-5503-AL</v>
      </c>
      <c r="U1395" s="403">
        <f t="shared" si="174"/>
        <v>1</v>
      </c>
      <c r="V1395" s="403" t="str">
        <f t="shared" si="175"/>
        <v>CPP_7_3</v>
      </c>
    </row>
    <row r="1396" spans="1:22">
      <c r="A1396" t="str">
        <f t="shared" si="168"/>
        <v>NBE-5503-AL</v>
      </c>
      <c r="B1396" s="403" t="s">
        <v>1380</v>
      </c>
      <c r="C1396" s="403" t="s">
        <v>582</v>
      </c>
      <c r="D1396" s="403" t="s">
        <v>1381</v>
      </c>
      <c r="E1396" s="403" t="s">
        <v>778</v>
      </c>
      <c r="F1396" s="403" t="s">
        <v>1382</v>
      </c>
      <c r="G1396" s="403" t="s">
        <v>1466</v>
      </c>
      <c r="H1396" s="403" t="s">
        <v>1281</v>
      </c>
      <c r="I1396" s="403">
        <v>1</v>
      </c>
      <c r="J1396" s="403" t="s">
        <v>1374</v>
      </c>
      <c r="K1396" s="403">
        <v>2304</v>
      </c>
      <c r="L1396" s="403">
        <v>1296</v>
      </c>
      <c r="M1396" s="403" t="s">
        <v>1374</v>
      </c>
      <c r="N1396" s="403">
        <v>2304</v>
      </c>
      <c r="O1396" s="403">
        <v>1296</v>
      </c>
      <c r="P1396" t="str">
        <f t="shared" si="169"/>
        <v>30fps 2304x1296 - 2304x1296</v>
      </c>
      <c r="Q1396">
        <f t="shared" si="170"/>
        <v>8</v>
      </c>
      <c r="R1396" t="str">
        <f t="shared" si="171"/>
        <v/>
      </c>
      <c r="S1396" t="str">
        <f t="shared" si="172"/>
        <v/>
      </c>
      <c r="T1396" s="403" t="str">
        <f t="shared" si="173"/>
        <v>NBE-5503-AL</v>
      </c>
      <c r="U1396" s="403">
        <f t="shared" si="174"/>
        <v>1</v>
      </c>
      <c r="V1396" s="403" t="str">
        <f t="shared" si="175"/>
        <v>CPP_7_3</v>
      </c>
    </row>
    <row r="1397" spans="1:22">
      <c r="A1397" t="str">
        <f t="shared" si="168"/>
        <v>NBE-5503-AL</v>
      </c>
      <c r="B1397" s="403" t="s">
        <v>1380</v>
      </c>
      <c r="C1397" s="403" t="s">
        <v>582</v>
      </c>
      <c r="D1397" s="403" t="s">
        <v>1381</v>
      </c>
      <c r="E1397" s="403" t="s">
        <v>778</v>
      </c>
      <c r="F1397" s="403" t="s">
        <v>1382</v>
      </c>
      <c r="G1397" s="403" t="s">
        <v>1466</v>
      </c>
      <c r="H1397" s="403" t="s">
        <v>1281</v>
      </c>
      <c r="I1397" s="403">
        <v>1</v>
      </c>
      <c r="J1397" s="403" t="s">
        <v>1374</v>
      </c>
      <c r="K1397" s="403">
        <v>2304</v>
      </c>
      <c r="L1397" s="403">
        <v>1296</v>
      </c>
      <c r="M1397" s="403" t="s">
        <v>109</v>
      </c>
      <c r="N1397" s="403">
        <v>1280</v>
      </c>
      <c r="O1397" s="403">
        <v>720</v>
      </c>
      <c r="P1397" t="str">
        <f t="shared" si="169"/>
        <v>30fps 2304x1296 - 720p</v>
      </c>
      <c r="Q1397">
        <f t="shared" si="170"/>
        <v>8</v>
      </c>
      <c r="R1397" t="str">
        <f t="shared" si="171"/>
        <v/>
      </c>
      <c r="S1397" t="str">
        <f t="shared" si="172"/>
        <v/>
      </c>
      <c r="T1397" s="403" t="str">
        <f t="shared" si="173"/>
        <v>NBE-5503-AL</v>
      </c>
      <c r="U1397" s="403">
        <f t="shared" si="174"/>
        <v>1</v>
      </c>
      <c r="V1397" s="403" t="str">
        <f t="shared" si="175"/>
        <v>CPP_7_3</v>
      </c>
    </row>
    <row r="1398" spans="1:22">
      <c r="A1398" t="str">
        <f t="shared" si="168"/>
        <v>NBE-5503-AL</v>
      </c>
      <c r="B1398" s="403" t="s">
        <v>1380</v>
      </c>
      <c r="C1398" s="403" t="s">
        <v>582</v>
      </c>
      <c r="D1398" s="403" t="s">
        <v>1381</v>
      </c>
      <c r="E1398" s="403" t="s">
        <v>778</v>
      </c>
      <c r="F1398" s="403" t="s">
        <v>1382</v>
      </c>
      <c r="G1398" s="403" t="s">
        <v>1466</v>
      </c>
      <c r="H1398" s="403" t="s">
        <v>1281</v>
      </c>
      <c r="I1398" s="403">
        <v>1</v>
      </c>
      <c r="J1398" s="403" t="s">
        <v>1374</v>
      </c>
      <c r="K1398" s="403">
        <v>2304</v>
      </c>
      <c r="L1398" s="403">
        <v>1296</v>
      </c>
      <c r="M1398" s="403" t="s">
        <v>111</v>
      </c>
      <c r="N1398" s="403">
        <v>768</v>
      </c>
      <c r="O1398" s="403">
        <v>432</v>
      </c>
      <c r="P1398" t="str">
        <f t="shared" si="169"/>
        <v>30fps 2304x1296 - SD</v>
      </c>
      <c r="Q1398">
        <f t="shared" si="170"/>
        <v>8</v>
      </c>
      <c r="R1398" t="str">
        <f t="shared" si="171"/>
        <v/>
      </c>
      <c r="S1398" t="str">
        <f t="shared" si="172"/>
        <v/>
      </c>
      <c r="T1398" s="403" t="str">
        <f t="shared" si="173"/>
        <v>NBE-5503-AL</v>
      </c>
      <c r="U1398" s="403">
        <f t="shared" si="174"/>
        <v>1</v>
      </c>
      <c r="V1398" s="403" t="str">
        <f t="shared" si="175"/>
        <v>CPP_7_3</v>
      </c>
    </row>
    <row r="1399" spans="1:22">
      <c r="A1399" t="str">
        <f t="shared" si="168"/>
        <v>NBE-5503-AL</v>
      </c>
      <c r="B1399" s="403" t="s">
        <v>1380</v>
      </c>
      <c r="C1399" s="403" t="s">
        <v>582</v>
      </c>
      <c r="D1399" s="403" t="s">
        <v>1381</v>
      </c>
      <c r="E1399" s="403" t="s">
        <v>778</v>
      </c>
      <c r="F1399" s="403" t="s">
        <v>1382</v>
      </c>
      <c r="G1399" s="403" t="s">
        <v>1466</v>
      </c>
      <c r="H1399" s="403" t="s">
        <v>1281</v>
      </c>
      <c r="I1399" s="403">
        <v>1</v>
      </c>
      <c r="J1399" s="403" t="s">
        <v>1374</v>
      </c>
      <c r="K1399" s="403">
        <v>2304</v>
      </c>
      <c r="L1399" s="403">
        <v>1296</v>
      </c>
      <c r="M1399" s="403" t="s">
        <v>1279</v>
      </c>
      <c r="N1399" s="403">
        <v>768</v>
      </c>
      <c r="O1399" s="403">
        <v>432</v>
      </c>
      <c r="P1399" t="str">
        <f t="shared" si="169"/>
        <v>30fps 2304x1296 - SD ROI PTZ</v>
      </c>
      <c r="Q1399">
        <f t="shared" si="170"/>
        <v>8</v>
      </c>
      <c r="R1399" t="str">
        <f t="shared" si="171"/>
        <v/>
      </c>
      <c r="S1399" t="str">
        <f t="shared" si="172"/>
        <v/>
      </c>
      <c r="T1399" s="403" t="str">
        <f t="shared" si="173"/>
        <v>NBE-5503-AL</v>
      </c>
      <c r="U1399" s="403">
        <f t="shared" si="174"/>
        <v>1</v>
      </c>
      <c r="V1399" s="403" t="str">
        <f t="shared" si="175"/>
        <v>CPP_7_3</v>
      </c>
    </row>
    <row r="1400" spans="1:22">
      <c r="A1400" t="str">
        <f t="shared" si="168"/>
        <v>NBE-5503-AL</v>
      </c>
      <c r="B1400" s="403" t="s">
        <v>1380</v>
      </c>
      <c r="C1400" s="403" t="s">
        <v>582</v>
      </c>
      <c r="D1400" s="403" t="s">
        <v>1381</v>
      </c>
      <c r="E1400" s="403" t="s">
        <v>778</v>
      </c>
      <c r="F1400" s="403" t="s">
        <v>1382</v>
      </c>
      <c r="G1400" s="403" t="s">
        <v>1466</v>
      </c>
      <c r="H1400" s="403" t="s">
        <v>1281</v>
      </c>
      <c r="I1400" s="403">
        <v>1</v>
      </c>
      <c r="J1400" s="403" t="s">
        <v>1374</v>
      </c>
      <c r="K1400" s="403">
        <v>2304</v>
      </c>
      <c r="L1400" s="403">
        <v>1296</v>
      </c>
      <c r="M1400" s="403" t="s">
        <v>1285</v>
      </c>
      <c r="N1400" s="403">
        <v>1280</v>
      </c>
      <c r="O1400" s="403">
        <v>1024</v>
      </c>
      <c r="P1400" t="str">
        <f t="shared" si="169"/>
        <v>30fps 2304x1296 - 1280x1024 5:4 (cropped)</v>
      </c>
      <c r="Q1400">
        <f t="shared" si="170"/>
        <v>8</v>
      </c>
      <c r="R1400" t="str">
        <f t="shared" si="171"/>
        <v/>
      </c>
      <c r="S1400" t="str">
        <f t="shared" si="172"/>
        <v/>
      </c>
      <c r="T1400" s="403" t="str">
        <f t="shared" si="173"/>
        <v>NBE-5503-AL</v>
      </c>
      <c r="U1400" s="403">
        <f t="shared" si="174"/>
        <v>1</v>
      </c>
      <c r="V1400" s="403" t="str">
        <f t="shared" si="175"/>
        <v>CPP_7_3</v>
      </c>
    </row>
    <row r="1401" spans="1:22">
      <c r="A1401" t="str">
        <f t="shared" si="168"/>
        <v>NBE-5503-AL</v>
      </c>
      <c r="B1401" s="403" t="s">
        <v>1380</v>
      </c>
      <c r="C1401" s="403" t="s">
        <v>582</v>
      </c>
      <c r="D1401" s="403" t="s">
        <v>1381</v>
      </c>
      <c r="E1401" s="403" t="s">
        <v>778</v>
      </c>
      <c r="F1401" s="403" t="s">
        <v>1382</v>
      </c>
      <c r="G1401" s="403" t="s">
        <v>1466</v>
      </c>
      <c r="H1401" s="403" t="s">
        <v>1281</v>
      </c>
      <c r="I1401" s="403">
        <v>1</v>
      </c>
      <c r="J1401" s="403" t="s">
        <v>1374</v>
      </c>
      <c r="K1401" s="403">
        <v>2304</v>
      </c>
      <c r="L1401" s="403">
        <v>1296</v>
      </c>
      <c r="M1401" s="403" t="s">
        <v>1283</v>
      </c>
      <c r="N1401" s="403">
        <v>720</v>
      </c>
      <c r="O1401" s="403">
        <v>480</v>
      </c>
      <c r="P1401" t="str">
        <f t="shared" si="169"/>
        <v>30fps 2304x1296 - SD 4CIF resolution 4:3 format (cropped)</v>
      </c>
      <c r="Q1401">
        <f t="shared" si="170"/>
        <v>8</v>
      </c>
      <c r="R1401" t="str">
        <f t="shared" si="171"/>
        <v/>
      </c>
      <c r="S1401" t="str">
        <f t="shared" si="172"/>
        <v/>
      </c>
      <c r="T1401" s="403" t="str">
        <f t="shared" si="173"/>
        <v>NBE-5503-AL</v>
      </c>
      <c r="U1401" s="403">
        <f t="shared" si="174"/>
        <v>1</v>
      </c>
      <c r="V1401" s="403" t="str">
        <f t="shared" si="175"/>
        <v>CPP_7_3</v>
      </c>
    </row>
    <row r="1402" spans="1:22">
      <c r="A1402" t="str">
        <f t="shared" si="168"/>
        <v>NBE-5503-AL</v>
      </c>
      <c r="B1402" s="403" t="s">
        <v>1380</v>
      </c>
      <c r="C1402" s="403" t="s">
        <v>582</v>
      </c>
      <c r="D1402" s="403" t="s">
        <v>1381</v>
      </c>
      <c r="E1402" s="403" t="s">
        <v>778</v>
      </c>
      <c r="F1402" s="403" t="s">
        <v>1382</v>
      </c>
      <c r="G1402" s="403" t="s">
        <v>1466</v>
      </c>
      <c r="H1402" s="403" t="s">
        <v>1281</v>
      </c>
      <c r="I1402" s="403">
        <v>1</v>
      </c>
      <c r="J1402" s="403" t="s">
        <v>1374</v>
      </c>
      <c r="K1402" s="403">
        <v>2304</v>
      </c>
      <c r="L1402" s="403">
        <v>1296</v>
      </c>
      <c r="M1402" s="403" t="s">
        <v>1284</v>
      </c>
      <c r="N1402" s="403">
        <v>640</v>
      </c>
      <c r="O1402" s="403">
        <v>480</v>
      </c>
      <c r="P1402" t="str">
        <f t="shared" si="169"/>
        <v>30fps 2304x1296 - SD VGA (cropped)</v>
      </c>
      <c r="Q1402">
        <f t="shared" si="170"/>
        <v>8</v>
      </c>
      <c r="R1402" t="str">
        <f t="shared" si="171"/>
        <v/>
      </c>
      <c r="S1402" t="str">
        <f t="shared" si="172"/>
        <v/>
      </c>
      <c r="T1402" s="403" t="str">
        <f t="shared" si="173"/>
        <v>NBE-5503-AL</v>
      </c>
      <c r="U1402" s="403">
        <f t="shared" si="174"/>
        <v>1</v>
      </c>
      <c r="V1402" s="403" t="str">
        <f t="shared" si="175"/>
        <v>CPP_7_3</v>
      </c>
    </row>
    <row r="1403" spans="1:22">
      <c r="A1403" t="str">
        <f t="shared" si="168"/>
        <v>NBE-5503-AL</v>
      </c>
      <c r="B1403" s="403" t="s">
        <v>1380</v>
      </c>
      <c r="C1403" s="403" t="s">
        <v>582</v>
      </c>
      <c r="D1403" s="403" t="s">
        <v>1381</v>
      </c>
      <c r="E1403" s="403" t="s">
        <v>778</v>
      </c>
      <c r="F1403" s="403" t="s">
        <v>1382</v>
      </c>
      <c r="G1403" s="403" t="s">
        <v>1466</v>
      </c>
      <c r="H1403" s="403" t="s">
        <v>1281</v>
      </c>
      <c r="I1403" s="403">
        <v>1</v>
      </c>
      <c r="J1403" s="403" t="s">
        <v>1374</v>
      </c>
      <c r="K1403" s="403">
        <v>2304</v>
      </c>
      <c r="L1403" s="403">
        <v>1296</v>
      </c>
      <c r="M1403" s="403" t="s">
        <v>1280</v>
      </c>
      <c r="N1403" s="403">
        <v>2304</v>
      </c>
      <c r="O1403" s="403">
        <v>1296</v>
      </c>
      <c r="P1403" t="str">
        <f t="shared" si="169"/>
        <v>30fps 2304x1296 - copy other stream</v>
      </c>
      <c r="Q1403">
        <f t="shared" si="170"/>
        <v>8</v>
      </c>
      <c r="R1403" t="str">
        <f t="shared" si="171"/>
        <v/>
      </c>
      <c r="S1403" t="str">
        <f t="shared" si="172"/>
        <v/>
      </c>
      <c r="T1403" s="403" t="str">
        <f t="shared" si="173"/>
        <v>NBE-5503-AL</v>
      </c>
      <c r="U1403" s="403">
        <f t="shared" si="174"/>
        <v>1</v>
      </c>
      <c r="V1403" s="403" t="str">
        <f t="shared" si="175"/>
        <v>CPP_7_3</v>
      </c>
    </row>
    <row r="1404" spans="1:22">
      <c r="A1404" t="str">
        <f t="shared" si="168"/>
        <v>NBE-5503-AL</v>
      </c>
      <c r="B1404" s="403" t="s">
        <v>1380</v>
      </c>
      <c r="C1404" s="403" t="s">
        <v>582</v>
      </c>
      <c r="D1404" s="403" t="s">
        <v>1381</v>
      </c>
      <c r="E1404" s="403" t="s">
        <v>778</v>
      </c>
      <c r="F1404" s="403" t="s">
        <v>1382</v>
      </c>
      <c r="G1404" s="403" t="s">
        <v>1466</v>
      </c>
      <c r="H1404" s="403" t="s">
        <v>1281</v>
      </c>
      <c r="I1404" s="403">
        <v>1</v>
      </c>
      <c r="J1404" s="403" t="s">
        <v>110</v>
      </c>
      <c r="K1404" s="403">
        <v>1920</v>
      </c>
      <c r="L1404" s="403">
        <v>1080</v>
      </c>
      <c r="M1404" s="403" t="s">
        <v>111</v>
      </c>
      <c r="N1404" s="403">
        <v>768</v>
      </c>
      <c r="O1404" s="403">
        <v>432</v>
      </c>
      <c r="P1404" t="str">
        <f t="shared" si="169"/>
        <v>30fps 1080p - SD</v>
      </c>
      <c r="Q1404">
        <f t="shared" si="170"/>
        <v>8</v>
      </c>
      <c r="R1404" t="str">
        <f t="shared" si="171"/>
        <v/>
      </c>
      <c r="S1404" t="str">
        <f t="shared" si="172"/>
        <v/>
      </c>
      <c r="T1404" s="403" t="str">
        <f t="shared" si="173"/>
        <v>NBE-5503-AL</v>
      </c>
      <c r="U1404" s="403">
        <f t="shared" si="174"/>
        <v>1</v>
      </c>
      <c r="V1404" s="403" t="str">
        <f t="shared" si="175"/>
        <v>CPP_7_3</v>
      </c>
    </row>
    <row r="1405" spans="1:22">
      <c r="A1405" t="str">
        <f t="shared" si="168"/>
        <v>NBE-5503-AL</v>
      </c>
      <c r="B1405" s="403" t="s">
        <v>1380</v>
      </c>
      <c r="C1405" s="403" t="s">
        <v>582</v>
      </c>
      <c r="D1405" s="403" t="s">
        <v>1381</v>
      </c>
      <c r="E1405" s="403" t="s">
        <v>778</v>
      </c>
      <c r="F1405" s="403" t="s">
        <v>1382</v>
      </c>
      <c r="G1405" s="403" t="s">
        <v>1466</v>
      </c>
      <c r="H1405" s="403" t="s">
        <v>1281</v>
      </c>
      <c r="I1405" s="403">
        <v>1</v>
      </c>
      <c r="J1405" s="403" t="s">
        <v>110</v>
      </c>
      <c r="K1405" s="403">
        <v>1920</v>
      </c>
      <c r="L1405" s="403">
        <v>1080</v>
      </c>
      <c r="M1405" s="403" t="s">
        <v>110</v>
      </c>
      <c r="N1405" s="403">
        <v>1920</v>
      </c>
      <c r="O1405" s="403">
        <v>1080</v>
      </c>
      <c r="P1405" t="str">
        <f t="shared" si="169"/>
        <v>30fps 1080p - 1080p</v>
      </c>
      <c r="Q1405">
        <f t="shared" si="170"/>
        <v>8</v>
      </c>
      <c r="R1405" t="str">
        <f t="shared" si="171"/>
        <v/>
      </c>
      <c r="S1405" t="str">
        <f t="shared" si="172"/>
        <v/>
      </c>
      <c r="T1405" s="403" t="str">
        <f t="shared" si="173"/>
        <v>NBE-5503-AL</v>
      </c>
      <c r="U1405" s="403">
        <f t="shared" si="174"/>
        <v>1</v>
      </c>
      <c r="V1405" s="403" t="str">
        <f t="shared" si="175"/>
        <v>CPP_7_3</v>
      </c>
    </row>
    <row r="1406" spans="1:22">
      <c r="A1406" t="str">
        <f t="shared" si="168"/>
        <v>NBE-5503-AL</v>
      </c>
      <c r="B1406" s="403" t="s">
        <v>1380</v>
      </c>
      <c r="C1406" s="403" t="s">
        <v>582</v>
      </c>
      <c r="D1406" s="403" t="s">
        <v>1381</v>
      </c>
      <c r="E1406" s="403" t="s">
        <v>778</v>
      </c>
      <c r="F1406" s="403" t="s">
        <v>1382</v>
      </c>
      <c r="G1406" s="403" t="s">
        <v>1466</v>
      </c>
      <c r="H1406" s="403" t="s">
        <v>1281</v>
      </c>
      <c r="I1406" s="403">
        <v>1</v>
      </c>
      <c r="J1406" s="403" t="s">
        <v>110</v>
      </c>
      <c r="K1406" s="403">
        <v>1920</v>
      </c>
      <c r="L1406" s="403">
        <v>1080</v>
      </c>
      <c r="M1406" s="403" t="s">
        <v>109</v>
      </c>
      <c r="N1406" s="403">
        <v>1280</v>
      </c>
      <c r="O1406" s="403">
        <v>720</v>
      </c>
      <c r="P1406" t="str">
        <f t="shared" si="169"/>
        <v>30fps 1080p - 720p</v>
      </c>
      <c r="Q1406">
        <f t="shared" si="170"/>
        <v>8</v>
      </c>
      <c r="R1406" t="str">
        <f t="shared" si="171"/>
        <v/>
      </c>
      <c r="S1406" t="str">
        <f t="shared" si="172"/>
        <v/>
      </c>
      <c r="T1406" s="403" t="str">
        <f t="shared" si="173"/>
        <v>NBE-5503-AL</v>
      </c>
      <c r="U1406" s="403">
        <f t="shared" si="174"/>
        <v>1</v>
      </c>
      <c r="V1406" s="403" t="str">
        <f t="shared" si="175"/>
        <v>CPP_7_3</v>
      </c>
    </row>
    <row r="1407" spans="1:22">
      <c r="A1407" t="str">
        <f t="shared" si="168"/>
        <v>NBE-5503-AL</v>
      </c>
      <c r="B1407" s="403" t="s">
        <v>1380</v>
      </c>
      <c r="C1407" s="403" t="s">
        <v>582</v>
      </c>
      <c r="D1407" s="403" t="s">
        <v>1381</v>
      </c>
      <c r="E1407" s="403" t="s">
        <v>778</v>
      </c>
      <c r="F1407" s="403" t="s">
        <v>1382</v>
      </c>
      <c r="G1407" s="403" t="s">
        <v>1466</v>
      </c>
      <c r="H1407" s="403" t="s">
        <v>1281</v>
      </c>
      <c r="I1407" s="403">
        <v>1</v>
      </c>
      <c r="J1407" s="403" t="s">
        <v>110</v>
      </c>
      <c r="K1407" s="403">
        <v>1920</v>
      </c>
      <c r="L1407" s="403">
        <v>1080</v>
      </c>
      <c r="M1407" s="403" t="s">
        <v>1285</v>
      </c>
      <c r="N1407" s="403">
        <v>1280</v>
      </c>
      <c r="O1407" s="403">
        <v>1024</v>
      </c>
      <c r="P1407" t="str">
        <f t="shared" si="169"/>
        <v>30fps 1080p - 1280x1024 5:4 (cropped)</v>
      </c>
      <c r="Q1407">
        <f t="shared" si="170"/>
        <v>8</v>
      </c>
      <c r="R1407" t="str">
        <f t="shared" si="171"/>
        <v/>
      </c>
      <c r="S1407" t="str">
        <f t="shared" si="172"/>
        <v/>
      </c>
      <c r="T1407" s="403" t="str">
        <f t="shared" si="173"/>
        <v>NBE-5503-AL</v>
      </c>
      <c r="U1407" s="403">
        <f t="shared" si="174"/>
        <v>1</v>
      </c>
      <c r="V1407" s="403" t="str">
        <f t="shared" si="175"/>
        <v>CPP_7_3</v>
      </c>
    </row>
    <row r="1408" spans="1:22">
      <c r="A1408" t="str">
        <f t="shared" si="168"/>
        <v>NBE-5503-AL</v>
      </c>
      <c r="B1408" s="403" t="s">
        <v>1380</v>
      </c>
      <c r="C1408" s="403" t="s">
        <v>582</v>
      </c>
      <c r="D1408" s="403" t="s">
        <v>1381</v>
      </c>
      <c r="E1408" s="403" t="s">
        <v>778</v>
      </c>
      <c r="F1408" s="403" t="s">
        <v>1382</v>
      </c>
      <c r="G1408" s="403" t="s">
        <v>1466</v>
      </c>
      <c r="H1408" s="403" t="s">
        <v>1281</v>
      </c>
      <c r="I1408" s="403">
        <v>1</v>
      </c>
      <c r="J1408" s="403" t="s">
        <v>110</v>
      </c>
      <c r="K1408" s="403">
        <v>1920</v>
      </c>
      <c r="L1408" s="403">
        <v>1080</v>
      </c>
      <c r="M1408" s="403" t="s">
        <v>1279</v>
      </c>
      <c r="N1408" s="403">
        <v>768</v>
      </c>
      <c r="O1408" s="403">
        <v>432</v>
      </c>
      <c r="P1408" t="str">
        <f t="shared" si="169"/>
        <v>30fps 1080p - SD ROI PTZ</v>
      </c>
      <c r="Q1408">
        <f t="shared" si="170"/>
        <v>8</v>
      </c>
      <c r="R1408" t="str">
        <f t="shared" si="171"/>
        <v/>
      </c>
      <c r="S1408" t="str">
        <f t="shared" si="172"/>
        <v/>
      </c>
      <c r="T1408" s="403" t="str">
        <f t="shared" si="173"/>
        <v>NBE-5503-AL</v>
      </c>
      <c r="U1408" s="403">
        <f t="shared" si="174"/>
        <v>1</v>
      </c>
      <c r="V1408" s="403" t="str">
        <f t="shared" si="175"/>
        <v>CPP_7_3</v>
      </c>
    </row>
    <row r="1409" spans="1:22">
      <c r="A1409" t="str">
        <f t="shared" si="168"/>
        <v>NBE-5503-AL</v>
      </c>
      <c r="B1409" s="403" t="s">
        <v>1380</v>
      </c>
      <c r="C1409" s="403" t="s">
        <v>582</v>
      </c>
      <c r="D1409" s="403" t="s">
        <v>1381</v>
      </c>
      <c r="E1409" s="403" t="s">
        <v>778</v>
      </c>
      <c r="F1409" s="403" t="s">
        <v>1382</v>
      </c>
      <c r="G1409" s="403" t="s">
        <v>1466</v>
      </c>
      <c r="H1409" s="403" t="s">
        <v>1281</v>
      </c>
      <c r="I1409" s="403">
        <v>1</v>
      </c>
      <c r="J1409" s="403" t="s">
        <v>110</v>
      </c>
      <c r="K1409" s="403">
        <v>1920</v>
      </c>
      <c r="L1409" s="403">
        <v>1080</v>
      </c>
      <c r="M1409" s="403" t="s">
        <v>1283</v>
      </c>
      <c r="N1409" s="403">
        <v>720</v>
      </c>
      <c r="O1409" s="403">
        <v>480</v>
      </c>
      <c r="P1409" t="str">
        <f t="shared" si="169"/>
        <v>30fps 1080p - SD 4CIF resolution 4:3 format (cropped)</v>
      </c>
      <c r="Q1409">
        <f t="shared" si="170"/>
        <v>8</v>
      </c>
      <c r="R1409" t="str">
        <f t="shared" si="171"/>
        <v/>
      </c>
      <c r="S1409" t="str">
        <f t="shared" si="172"/>
        <v/>
      </c>
      <c r="T1409" s="403" t="str">
        <f t="shared" si="173"/>
        <v>NBE-5503-AL</v>
      </c>
      <c r="U1409" s="403">
        <f t="shared" si="174"/>
        <v>1</v>
      </c>
      <c r="V1409" s="403" t="str">
        <f t="shared" si="175"/>
        <v>CPP_7_3</v>
      </c>
    </row>
    <row r="1410" spans="1:22">
      <c r="A1410" t="str">
        <f t="shared" ref="A1410:A1473" si="176">IF(AND(G1410&lt;&gt;"rotate 90°"),D1410,"")</f>
        <v>NBE-5503-AL</v>
      </c>
      <c r="B1410" s="403" t="s">
        <v>1380</v>
      </c>
      <c r="C1410" s="403" t="s">
        <v>582</v>
      </c>
      <c r="D1410" s="403" t="s">
        <v>1381</v>
      </c>
      <c r="E1410" s="403" t="s">
        <v>778</v>
      </c>
      <c r="F1410" s="403" t="s">
        <v>1382</v>
      </c>
      <c r="G1410" s="403" t="s">
        <v>1466</v>
      </c>
      <c r="H1410" s="403" t="s">
        <v>1281</v>
      </c>
      <c r="I1410" s="403">
        <v>1</v>
      </c>
      <c r="J1410" s="403" t="s">
        <v>110</v>
      </c>
      <c r="K1410" s="403">
        <v>1920</v>
      </c>
      <c r="L1410" s="403">
        <v>1080</v>
      </c>
      <c r="M1410" s="403" t="s">
        <v>1284</v>
      </c>
      <c r="N1410" s="403">
        <v>640</v>
      </c>
      <c r="O1410" s="403">
        <v>480</v>
      </c>
      <c r="P1410" t="str">
        <f t="shared" ref="P1410:P1473" si="177">LEFT(F1410,5)&amp;" "&amp;J1410&amp;" - "&amp;M1410</f>
        <v>30fps 1080p - SD VGA (cropped)</v>
      </c>
      <c r="Q1410">
        <f t="shared" ref="Q1410:Q1473" si="178">IF(A1409=A1410,Q1409,Q1409+1)</f>
        <v>8</v>
      </c>
      <c r="R1410" t="str">
        <f t="shared" ref="R1410:R1473" si="179">IF(Q1409&lt;&gt;Q1410,Q1410,"")</f>
        <v/>
      </c>
      <c r="S1410" t="str">
        <f t="shared" ref="S1410:S1473" si="180">IF(R1410&lt;&gt;"",B1410&amp;" ("&amp;D1410&amp;")","")</f>
        <v/>
      </c>
      <c r="T1410" s="403" t="str">
        <f t="shared" ref="T1410:T1473" si="181">D1410</f>
        <v>NBE-5503-AL</v>
      </c>
      <c r="U1410" s="403">
        <f t="shared" ref="U1410:U1473" si="182">I1410</f>
        <v>1</v>
      </c>
      <c r="V1410" s="403" t="str">
        <f t="shared" ref="V1410:V1473" si="183">C1410</f>
        <v>CPP_7_3</v>
      </c>
    </row>
    <row r="1411" spans="1:22">
      <c r="A1411" t="str">
        <f t="shared" si="176"/>
        <v>NBE-5503-AL</v>
      </c>
      <c r="B1411" s="403" t="s">
        <v>1380</v>
      </c>
      <c r="C1411" s="403" t="s">
        <v>582</v>
      </c>
      <c r="D1411" s="403" t="s">
        <v>1381</v>
      </c>
      <c r="E1411" s="403" t="s">
        <v>778</v>
      </c>
      <c r="F1411" s="403" t="s">
        <v>1382</v>
      </c>
      <c r="G1411" s="403" t="s">
        <v>1466</v>
      </c>
      <c r="H1411" s="403" t="s">
        <v>1281</v>
      </c>
      <c r="I1411" s="403">
        <v>1</v>
      </c>
      <c r="J1411" s="403" t="s">
        <v>109</v>
      </c>
      <c r="K1411" s="403">
        <v>1280</v>
      </c>
      <c r="L1411" s="403">
        <v>720</v>
      </c>
      <c r="M1411" s="403" t="s">
        <v>109</v>
      </c>
      <c r="N1411" s="403">
        <v>1280</v>
      </c>
      <c r="O1411" s="403">
        <v>720</v>
      </c>
      <c r="P1411" t="str">
        <f t="shared" si="177"/>
        <v>30fps 720p - 720p</v>
      </c>
      <c r="Q1411">
        <f t="shared" si="178"/>
        <v>8</v>
      </c>
      <c r="R1411" t="str">
        <f t="shared" si="179"/>
        <v/>
      </c>
      <c r="S1411" t="str">
        <f t="shared" si="180"/>
        <v/>
      </c>
      <c r="T1411" s="403" t="str">
        <f t="shared" si="181"/>
        <v>NBE-5503-AL</v>
      </c>
      <c r="U1411" s="403">
        <f t="shared" si="182"/>
        <v>1</v>
      </c>
      <c r="V1411" s="403" t="str">
        <f t="shared" si="183"/>
        <v>CPP_7_3</v>
      </c>
    </row>
    <row r="1412" spans="1:22">
      <c r="A1412" t="str">
        <f t="shared" si="176"/>
        <v>NBE-5503-AL</v>
      </c>
      <c r="B1412" s="403" t="s">
        <v>1380</v>
      </c>
      <c r="C1412" s="403" t="s">
        <v>582</v>
      </c>
      <c r="D1412" s="403" t="s">
        <v>1381</v>
      </c>
      <c r="E1412" s="403" t="s">
        <v>778</v>
      </c>
      <c r="F1412" s="403" t="s">
        <v>1382</v>
      </c>
      <c r="G1412" s="403" t="s">
        <v>1466</v>
      </c>
      <c r="H1412" s="403" t="s">
        <v>1281</v>
      </c>
      <c r="I1412" s="403">
        <v>1</v>
      </c>
      <c r="J1412" s="403" t="s">
        <v>109</v>
      </c>
      <c r="K1412" s="403">
        <v>1280</v>
      </c>
      <c r="L1412" s="403">
        <v>720</v>
      </c>
      <c r="M1412" s="403" t="s">
        <v>111</v>
      </c>
      <c r="N1412" s="403">
        <v>768</v>
      </c>
      <c r="O1412" s="403">
        <v>432</v>
      </c>
      <c r="P1412" t="str">
        <f t="shared" si="177"/>
        <v>30fps 720p - SD</v>
      </c>
      <c r="Q1412">
        <f t="shared" si="178"/>
        <v>8</v>
      </c>
      <c r="R1412" t="str">
        <f t="shared" si="179"/>
        <v/>
      </c>
      <c r="S1412" t="str">
        <f t="shared" si="180"/>
        <v/>
      </c>
      <c r="T1412" s="403" t="str">
        <f t="shared" si="181"/>
        <v>NBE-5503-AL</v>
      </c>
      <c r="U1412" s="403">
        <f t="shared" si="182"/>
        <v>1</v>
      </c>
      <c r="V1412" s="403" t="str">
        <f t="shared" si="183"/>
        <v>CPP_7_3</v>
      </c>
    </row>
    <row r="1413" spans="1:22">
      <c r="A1413" t="str">
        <f t="shared" si="176"/>
        <v>NBE-5503-AL</v>
      </c>
      <c r="B1413" s="403" t="s">
        <v>1380</v>
      </c>
      <c r="C1413" s="403" t="s">
        <v>582</v>
      </c>
      <c r="D1413" s="403" t="s">
        <v>1381</v>
      </c>
      <c r="E1413" s="403" t="s">
        <v>778</v>
      </c>
      <c r="F1413" s="403" t="s">
        <v>1382</v>
      </c>
      <c r="G1413" s="403" t="s">
        <v>1466</v>
      </c>
      <c r="H1413" s="403" t="s">
        <v>1281</v>
      </c>
      <c r="I1413" s="403">
        <v>1</v>
      </c>
      <c r="J1413" s="403" t="s">
        <v>109</v>
      </c>
      <c r="K1413" s="403">
        <v>1280</v>
      </c>
      <c r="L1413" s="403">
        <v>720</v>
      </c>
      <c r="M1413" s="403" t="s">
        <v>1279</v>
      </c>
      <c r="N1413" s="403">
        <v>768</v>
      </c>
      <c r="O1413" s="403">
        <v>432</v>
      </c>
      <c r="P1413" t="str">
        <f t="shared" si="177"/>
        <v>30fps 720p - SD ROI PTZ</v>
      </c>
      <c r="Q1413">
        <f t="shared" si="178"/>
        <v>8</v>
      </c>
      <c r="R1413" t="str">
        <f t="shared" si="179"/>
        <v/>
      </c>
      <c r="S1413" t="str">
        <f t="shared" si="180"/>
        <v/>
      </c>
      <c r="T1413" s="403" t="str">
        <f t="shared" si="181"/>
        <v>NBE-5503-AL</v>
      </c>
      <c r="U1413" s="403">
        <f t="shared" si="182"/>
        <v>1</v>
      </c>
      <c r="V1413" s="403" t="str">
        <f t="shared" si="183"/>
        <v>CPP_7_3</v>
      </c>
    </row>
    <row r="1414" spans="1:22">
      <c r="A1414" t="str">
        <f t="shared" si="176"/>
        <v>NBE-5503-AL</v>
      </c>
      <c r="B1414" s="403" t="s">
        <v>1380</v>
      </c>
      <c r="C1414" s="403" t="s">
        <v>582</v>
      </c>
      <c r="D1414" s="403" t="s">
        <v>1381</v>
      </c>
      <c r="E1414" s="403" t="s">
        <v>778</v>
      </c>
      <c r="F1414" s="403" t="s">
        <v>1382</v>
      </c>
      <c r="G1414" s="403" t="s">
        <v>1466</v>
      </c>
      <c r="H1414" s="403" t="s">
        <v>1281</v>
      </c>
      <c r="I1414" s="403">
        <v>1</v>
      </c>
      <c r="J1414" s="403" t="s">
        <v>109</v>
      </c>
      <c r="K1414" s="403">
        <v>1280</v>
      </c>
      <c r="L1414" s="403">
        <v>720</v>
      </c>
      <c r="M1414" s="403" t="s">
        <v>1283</v>
      </c>
      <c r="N1414" s="403">
        <v>720</v>
      </c>
      <c r="O1414" s="403">
        <v>480</v>
      </c>
      <c r="P1414" t="str">
        <f t="shared" si="177"/>
        <v>30fps 720p - SD 4CIF resolution 4:3 format (cropped)</v>
      </c>
      <c r="Q1414">
        <f t="shared" si="178"/>
        <v>8</v>
      </c>
      <c r="R1414" t="str">
        <f t="shared" si="179"/>
        <v/>
      </c>
      <c r="S1414" t="str">
        <f t="shared" si="180"/>
        <v/>
      </c>
      <c r="T1414" s="403" t="str">
        <f t="shared" si="181"/>
        <v>NBE-5503-AL</v>
      </c>
      <c r="U1414" s="403">
        <f t="shared" si="182"/>
        <v>1</v>
      </c>
      <c r="V1414" s="403" t="str">
        <f t="shared" si="183"/>
        <v>CPP_7_3</v>
      </c>
    </row>
    <row r="1415" spans="1:22">
      <c r="A1415" t="str">
        <f t="shared" si="176"/>
        <v>NBE-5503-AL</v>
      </c>
      <c r="B1415" s="403" t="s">
        <v>1380</v>
      </c>
      <c r="C1415" s="403" t="s">
        <v>582</v>
      </c>
      <c r="D1415" s="403" t="s">
        <v>1381</v>
      </c>
      <c r="E1415" s="403" t="s">
        <v>778</v>
      </c>
      <c r="F1415" s="403" t="s">
        <v>1382</v>
      </c>
      <c r="G1415" s="403" t="s">
        <v>1466</v>
      </c>
      <c r="H1415" s="403" t="s">
        <v>1281</v>
      </c>
      <c r="I1415" s="403">
        <v>1</v>
      </c>
      <c r="J1415" s="403" t="s">
        <v>109</v>
      </c>
      <c r="K1415" s="403">
        <v>1280</v>
      </c>
      <c r="L1415" s="403">
        <v>720</v>
      </c>
      <c r="M1415" s="403" t="s">
        <v>1284</v>
      </c>
      <c r="N1415" s="403">
        <v>640</v>
      </c>
      <c r="O1415" s="403">
        <v>480</v>
      </c>
      <c r="P1415" t="str">
        <f t="shared" si="177"/>
        <v>30fps 720p - SD VGA (cropped)</v>
      </c>
      <c r="Q1415">
        <f t="shared" si="178"/>
        <v>8</v>
      </c>
      <c r="R1415" t="str">
        <f t="shared" si="179"/>
        <v/>
      </c>
      <c r="S1415" t="str">
        <f t="shared" si="180"/>
        <v/>
      </c>
      <c r="T1415" s="403" t="str">
        <f t="shared" si="181"/>
        <v>NBE-5503-AL</v>
      </c>
      <c r="U1415" s="403">
        <f t="shared" si="182"/>
        <v>1</v>
      </c>
      <c r="V1415" s="403" t="str">
        <f t="shared" si="183"/>
        <v>CPP_7_3</v>
      </c>
    </row>
    <row r="1416" spans="1:22">
      <c r="A1416" t="str">
        <f t="shared" si="176"/>
        <v>NBE-5503-AL</v>
      </c>
      <c r="B1416" s="403" t="s">
        <v>1380</v>
      </c>
      <c r="C1416" s="403" t="s">
        <v>582</v>
      </c>
      <c r="D1416" s="403" t="s">
        <v>1381</v>
      </c>
      <c r="E1416" s="403" t="s">
        <v>778</v>
      </c>
      <c r="F1416" s="403" t="s">
        <v>1382</v>
      </c>
      <c r="G1416" s="403" t="s">
        <v>1467</v>
      </c>
      <c r="H1416" s="403" t="s">
        <v>1276</v>
      </c>
      <c r="I1416" s="403">
        <v>1</v>
      </c>
      <c r="J1416" s="403" t="s">
        <v>1376</v>
      </c>
      <c r="K1416" s="403">
        <v>1728</v>
      </c>
      <c r="L1416" s="403">
        <v>3072</v>
      </c>
      <c r="M1416" s="403" t="s">
        <v>111</v>
      </c>
      <c r="N1416" s="403">
        <v>432</v>
      </c>
      <c r="O1416" s="403">
        <v>768</v>
      </c>
      <c r="P1416" t="str">
        <f t="shared" si="177"/>
        <v>30fps 3072x1728 - SD</v>
      </c>
      <c r="Q1416">
        <f t="shared" si="178"/>
        <v>8</v>
      </c>
      <c r="R1416" t="str">
        <f t="shared" si="179"/>
        <v/>
      </c>
      <c r="S1416" t="str">
        <f t="shared" si="180"/>
        <v/>
      </c>
      <c r="T1416" s="403" t="str">
        <f t="shared" si="181"/>
        <v>NBE-5503-AL</v>
      </c>
      <c r="U1416" s="403">
        <f t="shared" si="182"/>
        <v>1</v>
      </c>
      <c r="V1416" s="403" t="str">
        <f t="shared" si="183"/>
        <v>CPP_7_3</v>
      </c>
    </row>
    <row r="1417" spans="1:22">
      <c r="A1417" t="str">
        <f t="shared" si="176"/>
        <v>NBE-5503-AL</v>
      </c>
      <c r="B1417" s="403" t="s">
        <v>1380</v>
      </c>
      <c r="C1417" s="403" t="s">
        <v>582</v>
      </c>
      <c r="D1417" s="403" t="s">
        <v>1381</v>
      </c>
      <c r="E1417" s="403" t="s">
        <v>778</v>
      </c>
      <c r="F1417" s="403" t="s">
        <v>1382</v>
      </c>
      <c r="G1417" s="403" t="s">
        <v>1467</v>
      </c>
      <c r="H1417" s="403" t="s">
        <v>1276</v>
      </c>
      <c r="I1417" s="403">
        <v>1</v>
      </c>
      <c r="J1417" s="403" t="s">
        <v>1376</v>
      </c>
      <c r="K1417" s="403">
        <v>1728</v>
      </c>
      <c r="L1417" s="403">
        <v>3072</v>
      </c>
      <c r="M1417" s="403" t="s">
        <v>1280</v>
      </c>
      <c r="N1417" s="403">
        <v>1728</v>
      </c>
      <c r="O1417" s="403">
        <v>3072</v>
      </c>
      <c r="P1417" t="str">
        <f t="shared" si="177"/>
        <v>30fps 3072x1728 - copy other stream</v>
      </c>
      <c r="Q1417">
        <f t="shared" si="178"/>
        <v>8</v>
      </c>
      <c r="R1417" t="str">
        <f t="shared" si="179"/>
        <v/>
      </c>
      <c r="S1417" t="str">
        <f t="shared" si="180"/>
        <v/>
      </c>
      <c r="T1417" s="403" t="str">
        <f t="shared" si="181"/>
        <v>NBE-5503-AL</v>
      </c>
      <c r="U1417" s="403">
        <f t="shared" si="182"/>
        <v>1</v>
      </c>
      <c r="V1417" s="403" t="str">
        <f t="shared" si="183"/>
        <v>CPP_7_3</v>
      </c>
    </row>
    <row r="1418" spans="1:22">
      <c r="A1418" t="str">
        <f t="shared" si="176"/>
        <v>NBE-5503-AL</v>
      </c>
      <c r="B1418" s="403" t="s">
        <v>1380</v>
      </c>
      <c r="C1418" s="403" t="s">
        <v>582</v>
      </c>
      <c r="D1418" s="403" t="s">
        <v>1381</v>
      </c>
      <c r="E1418" s="403" t="s">
        <v>778</v>
      </c>
      <c r="F1418" s="403" t="s">
        <v>1382</v>
      </c>
      <c r="G1418" s="403" t="s">
        <v>1467</v>
      </c>
      <c r="H1418" s="403" t="s">
        <v>1276</v>
      </c>
      <c r="I1418" s="403">
        <v>1</v>
      </c>
      <c r="J1418" s="403" t="s">
        <v>1376</v>
      </c>
      <c r="K1418" s="403">
        <v>1728</v>
      </c>
      <c r="L1418" s="403">
        <v>3072</v>
      </c>
      <c r="M1418" s="403" t="s">
        <v>110</v>
      </c>
      <c r="N1418" s="403">
        <v>1080</v>
      </c>
      <c r="O1418" s="403">
        <v>1920</v>
      </c>
      <c r="P1418" t="str">
        <f t="shared" si="177"/>
        <v>30fps 3072x1728 - 1080p</v>
      </c>
      <c r="Q1418">
        <f t="shared" si="178"/>
        <v>8</v>
      </c>
      <c r="R1418" t="str">
        <f t="shared" si="179"/>
        <v/>
      </c>
      <c r="S1418" t="str">
        <f t="shared" si="180"/>
        <v/>
      </c>
      <c r="T1418" s="403" t="str">
        <f t="shared" si="181"/>
        <v>NBE-5503-AL</v>
      </c>
      <c r="U1418" s="403">
        <f t="shared" si="182"/>
        <v>1</v>
      </c>
      <c r="V1418" s="403" t="str">
        <f t="shared" si="183"/>
        <v>CPP_7_3</v>
      </c>
    </row>
    <row r="1419" spans="1:22">
      <c r="A1419" t="str">
        <f t="shared" si="176"/>
        <v>NBE-5503-AL</v>
      </c>
      <c r="B1419" s="403" t="s">
        <v>1380</v>
      </c>
      <c r="C1419" s="403" t="s">
        <v>582</v>
      </c>
      <c r="D1419" s="403" t="s">
        <v>1381</v>
      </c>
      <c r="E1419" s="403" t="s">
        <v>778</v>
      </c>
      <c r="F1419" s="403" t="s">
        <v>1382</v>
      </c>
      <c r="G1419" s="403" t="s">
        <v>1467</v>
      </c>
      <c r="H1419" s="403" t="s">
        <v>1276</v>
      </c>
      <c r="I1419" s="403">
        <v>1</v>
      </c>
      <c r="J1419" s="403" t="s">
        <v>1376</v>
      </c>
      <c r="K1419" s="403">
        <v>1728</v>
      </c>
      <c r="L1419" s="403">
        <v>3072</v>
      </c>
      <c r="M1419" s="403" t="s">
        <v>109</v>
      </c>
      <c r="N1419" s="403">
        <v>720</v>
      </c>
      <c r="O1419" s="403">
        <v>1280</v>
      </c>
      <c r="P1419" t="str">
        <f t="shared" si="177"/>
        <v>30fps 3072x1728 - 720p</v>
      </c>
      <c r="Q1419">
        <f t="shared" si="178"/>
        <v>8</v>
      </c>
      <c r="R1419" t="str">
        <f t="shared" si="179"/>
        <v/>
      </c>
      <c r="S1419" t="str">
        <f t="shared" si="180"/>
        <v/>
      </c>
      <c r="T1419" s="403" t="str">
        <f t="shared" si="181"/>
        <v>NBE-5503-AL</v>
      </c>
      <c r="U1419" s="403">
        <f t="shared" si="182"/>
        <v>1</v>
      </c>
      <c r="V1419" s="403" t="str">
        <f t="shared" si="183"/>
        <v>CPP_7_3</v>
      </c>
    </row>
    <row r="1420" spans="1:22">
      <c r="A1420" t="str">
        <f t="shared" si="176"/>
        <v>NBE-5503-AL</v>
      </c>
      <c r="B1420" s="403" t="s">
        <v>1380</v>
      </c>
      <c r="C1420" s="403" t="s">
        <v>582</v>
      </c>
      <c r="D1420" s="403" t="s">
        <v>1381</v>
      </c>
      <c r="E1420" s="403" t="s">
        <v>778</v>
      </c>
      <c r="F1420" s="403" t="s">
        <v>1382</v>
      </c>
      <c r="G1420" s="403" t="s">
        <v>1467</v>
      </c>
      <c r="H1420" s="403" t="s">
        <v>1276</v>
      </c>
      <c r="I1420" s="403">
        <v>1</v>
      </c>
      <c r="J1420" s="403" t="s">
        <v>1376</v>
      </c>
      <c r="K1420" s="403">
        <v>1728</v>
      </c>
      <c r="L1420" s="403">
        <v>3072</v>
      </c>
      <c r="M1420" s="403" t="s">
        <v>1283</v>
      </c>
      <c r="N1420" s="403">
        <v>480</v>
      </c>
      <c r="O1420" s="403">
        <v>720</v>
      </c>
      <c r="P1420" t="str">
        <f t="shared" si="177"/>
        <v>30fps 3072x1728 - SD 4CIF resolution 4:3 format (cropped)</v>
      </c>
      <c r="Q1420">
        <f t="shared" si="178"/>
        <v>8</v>
      </c>
      <c r="R1420" t="str">
        <f t="shared" si="179"/>
        <v/>
      </c>
      <c r="S1420" t="str">
        <f t="shared" si="180"/>
        <v/>
      </c>
      <c r="T1420" s="403" t="str">
        <f t="shared" si="181"/>
        <v>NBE-5503-AL</v>
      </c>
      <c r="U1420" s="403">
        <f t="shared" si="182"/>
        <v>1</v>
      </c>
      <c r="V1420" s="403" t="str">
        <f t="shared" si="183"/>
        <v>CPP_7_3</v>
      </c>
    </row>
    <row r="1421" spans="1:22">
      <c r="A1421" t="str">
        <f t="shared" si="176"/>
        <v>NBE-5503-AL</v>
      </c>
      <c r="B1421" s="403" t="s">
        <v>1380</v>
      </c>
      <c r="C1421" s="403" t="s">
        <v>582</v>
      </c>
      <c r="D1421" s="403" t="s">
        <v>1381</v>
      </c>
      <c r="E1421" s="403" t="s">
        <v>778</v>
      </c>
      <c r="F1421" s="403" t="s">
        <v>1382</v>
      </c>
      <c r="G1421" s="403" t="s">
        <v>1467</v>
      </c>
      <c r="H1421" s="403" t="s">
        <v>1276</v>
      </c>
      <c r="I1421" s="403">
        <v>1</v>
      </c>
      <c r="J1421" s="403" t="s">
        <v>1376</v>
      </c>
      <c r="K1421" s="403">
        <v>1728</v>
      </c>
      <c r="L1421" s="403">
        <v>3072</v>
      </c>
      <c r="M1421" s="403" t="s">
        <v>1279</v>
      </c>
      <c r="N1421" s="403">
        <v>432</v>
      </c>
      <c r="O1421" s="403">
        <v>768</v>
      </c>
      <c r="P1421" t="str">
        <f t="shared" si="177"/>
        <v>30fps 3072x1728 - SD ROI PTZ</v>
      </c>
      <c r="Q1421">
        <f t="shared" si="178"/>
        <v>8</v>
      </c>
      <c r="R1421" t="str">
        <f t="shared" si="179"/>
        <v/>
      </c>
      <c r="S1421" t="str">
        <f t="shared" si="180"/>
        <v/>
      </c>
      <c r="T1421" s="403" t="str">
        <f t="shared" si="181"/>
        <v>NBE-5503-AL</v>
      </c>
      <c r="U1421" s="403">
        <f t="shared" si="182"/>
        <v>1</v>
      </c>
      <c r="V1421" s="403" t="str">
        <f t="shared" si="183"/>
        <v>CPP_7_3</v>
      </c>
    </row>
    <row r="1422" spans="1:22">
      <c r="A1422" t="str">
        <f t="shared" si="176"/>
        <v>NBE-5503-AL</v>
      </c>
      <c r="B1422" s="403" t="s">
        <v>1380</v>
      </c>
      <c r="C1422" s="403" t="s">
        <v>582</v>
      </c>
      <c r="D1422" s="403" t="s">
        <v>1381</v>
      </c>
      <c r="E1422" s="403" t="s">
        <v>778</v>
      </c>
      <c r="F1422" s="403" t="s">
        <v>1382</v>
      </c>
      <c r="G1422" s="403" t="s">
        <v>1467</v>
      </c>
      <c r="H1422" s="403" t="s">
        <v>1276</v>
      </c>
      <c r="I1422" s="403">
        <v>1</v>
      </c>
      <c r="J1422" s="403" t="s">
        <v>1376</v>
      </c>
      <c r="K1422" s="403">
        <v>1728</v>
      </c>
      <c r="L1422" s="403">
        <v>3072</v>
      </c>
      <c r="M1422" s="403" t="s">
        <v>1284</v>
      </c>
      <c r="N1422" s="403">
        <v>480</v>
      </c>
      <c r="O1422" s="403">
        <v>640</v>
      </c>
      <c r="P1422" t="str">
        <f t="shared" si="177"/>
        <v>30fps 3072x1728 - SD VGA (cropped)</v>
      </c>
      <c r="Q1422">
        <f t="shared" si="178"/>
        <v>8</v>
      </c>
      <c r="R1422" t="str">
        <f t="shared" si="179"/>
        <v/>
      </c>
      <c r="S1422" t="str">
        <f t="shared" si="180"/>
        <v/>
      </c>
      <c r="T1422" s="403" t="str">
        <f t="shared" si="181"/>
        <v>NBE-5503-AL</v>
      </c>
      <c r="U1422" s="403">
        <f t="shared" si="182"/>
        <v>1</v>
      </c>
      <c r="V1422" s="403" t="str">
        <f t="shared" si="183"/>
        <v>CPP_7_3</v>
      </c>
    </row>
    <row r="1423" spans="1:22">
      <c r="A1423" t="str">
        <f t="shared" si="176"/>
        <v>NBE-5503-AL</v>
      </c>
      <c r="B1423" s="403" t="s">
        <v>1380</v>
      </c>
      <c r="C1423" s="403" t="s">
        <v>582</v>
      </c>
      <c r="D1423" s="403" t="s">
        <v>1381</v>
      </c>
      <c r="E1423" s="403" t="s">
        <v>778</v>
      </c>
      <c r="F1423" s="403" t="s">
        <v>1382</v>
      </c>
      <c r="G1423" s="403" t="s">
        <v>1467</v>
      </c>
      <c r="H1423" s="403" t="s">
        <v>1276</v>
      </c>
      <c r="I1423" s="403">
        <v>1</v>
      </c>
      <c r="J1423" s="403" t="s">
        <v>1376</v>
      </c>
      <c r="K1423" s="403">
        <v>1728</v>
      </c>
      <c r="L1423" s="403">
        <v>3072</v>
      </c>
      <c r="M1423" s="403" t="s">
        <v>1285</v>
      </c>
      <c r="N1423" s="403">
        <v>1024</v>
      </c>
      <c r="O1423" s="403">
        <v>1280</v>
      </c>
      <c r="P1423" t="str">
        <f t="shared" si="177"/>
        <v>30fps 3072x1728 - 1280x1024 5:4 (cropped)</v>
      </c>
      <c r="Q1423">
        <f t="shared" si="178"/>
        <v>8</v>
      </c>
      <c r="R1423" t="str">
        <f t="shared" si="179"/>
        <v/>
      </c>
      <c r="S1423" t="str">
        <f t="shared" si="180"/>
        <v/>
      </c>
      <c r="T1423" s="403" t="str">
        <f t="shared" si="181"/>
        <v>NBE-5503-AL</v>
      </c>
      <c r="U1423" s="403">
        <f t="shared" si="182"/>
        <v>1</v>
      </c>
      <c r="V1423" s="403" t="str">
        <f t="shared" si="183"/>
        <v>CPP_7_3</v>
      </c>
    </row>
    <row r="1424" spans="1:22">
      <c r="A1424" t="str">
        <f t="shared" si="176"/>
        <v>NBE-5503-AL</v>
      </c>
      <c r="B1424" s="403" t="s">
        <v>1380</v>
      </c>
      <c r="C1424" s="403" t="s">
        <v>582</v>
      </c>
      <c r="D1424" s="403" t="s">
        <v>1381</v>
      </c>
      <c r="E1424" s="403" t="s">
        <v>778</v>
      </c>
      <c r="F1424" s="403" t="s">
        <v>1382</v>
      </c>
      <c r="G1424" s="403" t="s">
        <v>1467</v>
      </c>
      <c r="H1424" s="403" t="s">
        <v>1276</v>
      </c>
      <c r="I1424" s="403">
        <v>1</v>
      </c>
      <c r="J1424" s="403" t="s">
        <v>1373</v>
      </c>
      <c r="K1424" s="403">
        <v>1512</v>
      </c>
      <c r="L1424" s="403">
        <v>2688</v>
      </c>
      <c r="M1424" s="403" t="s">
        <v>110</v>
      </c>
      <c r="N1424" s="403">
        <v>1080</v>
      </c>
      <c r="O1424" s="403">
        <v>1920</v>
      </c>
      <c r="P1424" t="str">
        <f t="shared" si="177"/>
        <v>30fps 2688x1512 - 1080p</v>
      </c>
      <c r="Q1424">
        <f t="shared" si="178"/>
        <v>8</v>
      </c>
      <c r="R1424" t="str">
        <f t="shared" si="179"/>
        <v/>
      </c>
      <c r="S1424" t="str">
        <f t="shared" si="180"/>
        <v/>
      </c>
      <c r="T1424" s="403" t="str">
        <f t="shared" si="181"/>
        <v>NBE-5503-AL</v>
      </c>
      <c r="U1424" s="403">
        <f t="shared" si="182"/>
        <v>1</v>
      </c>
      <c r="V1424" s="403" t="str">
        <f t="shared" si="183"/>
        <v>CPP_7_3</v>
      </c>
    </row>
    <row r="1425" spans="1:22">
      <c r="A1425" t="str">
        <f t="shared" si="176"/>
        <v>NBE-5503-AL</v>
      </c>
      <c r="B1425" s="403" t="s">
        <v>1380</v>
      </c>
      <c r="C1425" s="403" t="s">
        <v>582</v>
      </c>
      <c r="D1425" s="403" t="s">
        <v>1381</v>
      </c>
      <c r="E1425" s="403" t="s">
        <v>778</v>
      </c>
      <c r="F1425" s="403" t="s">
        <v>1382</v>
      </c>
      <c r="G1425" s="403" t="s">
        <v>1467</v>
      </c>
      <c r="H1425" s="403" t="s">
        <v>1276</v>
      </c>
      <c r="I1425" s="403">
        <v>1</v>
      </c>
      <c r="J1425" s="403" t="s">
        <v>1373</v>
      </c>
      <c r="K1425" s="403">
        <v>1512</v>
      </c>
      <c r="L1425" s="403">
        <v>2688</v>
      </c>
      <c r="M1425" s="403" t="s">
        <v>1384</v>
      </c>
      <c r="N1425" s="403">
        <v>1512</v>
      </c>
      <c r="O1425" s="403">
        <v>2688</v>
      </c>
      <c r="P1425" t="str">
        <f t="shared" si="177"/>
        <v>30fps 2688x1512 - 2688x1512 @ SKIP 2</v>
      </c>
      <c r="Q1425">
        <f t="shared" si="178"/>
        <v>8</v>
      </c>
      <c r="R1425" t="str">
        <f t="shared" si="179"/>
        <v/>
      </c>
      <c r="S1425" t="str">
        <f t="shared" si="180"/>
        <v/>
      </c>
      <c r="T1425" s="403" t="str">
        <f t="shared" si="181"/>
        <v>NBE-5503-AL</v>
      </c>
      <c r="U1425" s="403">
        <f t="shared" si="182"/>
        <v>1</v>
      </c>
      <c r="V1425" s="403" t="str">
        <f t="shared" si="183"/>
        <v>CPP_7_3</v>
      </c>
    </row>
    <row r="1426" spans="1:22">
      <c r="A1426" t="str">
        <f t="shared" si="176"/>
        <v>NBE-5503-AL</v>
      </c>
      <c r="B1426" s="403" t="s">
        <v>1380</v>
      </c>
      <c r="C1426" s="403" t="s">
        <v>582</v>
      </c>
      <c r="D1426" s="403" t="s">
        <v>1381</v>
      </c>
      <c r="E1426" s="403" t="s">
        <v>778</v>
      </c>
      <c r="F1426" s="403" t="s">
        <v>1382</v>
      </c>
      <c r="G1426" s="403" t="s">
        <v>1467</v>
      </c>
      <c r="H1426" s="403" t="s">
        <v>1276</v>
      </c>
      <c r="I1426" s="403">
        <v>1</v>
      </c>
      <c r="J1426" s="403" t="s">
        <v>1373</v>
      </c>
      <c r="K1426" s="403">
        <v>1512</v>
      </c>
      <c r="L1426" s="403">
        <v>2688</v>
      </c>
      <c r="M1426" s="403" t="s">
        <v>109</v>
      </c>
      <c r="N1426" s="403">
        <v>720</v>
      </c>
      <c r="O1426" s="403">
        <v>1280</v>
      </c>
      <c r="P1426" t="str">
        <f t="shared" si="177"/>
        <v>30fps 2688x1512 - 720p</v>
      </c>
      <c r="Q1426">
        <f t="shared" si="178"/>
        <v>8</v>
      </c>
      <c r="R1426" t="str">
        <f t="shared" si="179"/>
        <v/>
      </c>
      <c r="S1426" t="str">
        <f t="shared" si="180"/>
        <v/>
      </c>
      <c r="T1426" s="403" t="str">
        <f t="shared" si="181"/>
        <v>NBE-5503-AL</v>
      </c>
      <c r="U1426" s="403">
        <f t="shared" si="182"/>
        <v>1</v>
      </c>
      <c r="V1426" s="403" t="str">
        <f t="shared" si="183"/>
        <v>CPP_7_3</v>
      </c>
    </row>
    <row r="1427" spans="1:22">
      <c r="A1427" t="str">
        <f t="shared" si="176"/>
        <v>NBE-5503-AL</v>
      </c>
      <c r="B1427" s="403" t="s">
        <v>1380</v>
      </c>
      <c r="C1427" s="403" t="s">
        <v>582</v>
      </c>
      <c r="D1427" s="403" t="s">
        <v>1381</v>
      </c>
      <c r="E1427" s="403" t="s">
        <v>778</v>
      </c>
      <c r="F1427" s="403" t="s">
        <v>1382</v>
      </c>
      <c r="G1427" s="403" t="s">
        <v>1467</v>
      </c>
      <c r="H1427" s="403" t="s">
        <v>1276</v>
      </c>
      <c r="I1427" s="403">
        <v>1</v>
      </c>
      <c r="J1427" s="403" t="s">
        <v>1373</v>
      </c>
      <c r="K1427" s="403">
        <v>1512</v>
      </c>
      <c r="L1427" s="403">
        <v>2688</v>
      </c>
      <c r="M1427" s="403" t="s">
        <v>111</v>
      </c>
      <c r="N1427" s="403">
        <v>432</v>
      </c>
      <c r="O1427" s="403">
        <v>768</v>
      </c>
      <c r="P1427" t="str">
        <f t="shared" si="177"/>
        <v>30fps 2688x1512 - SD</v>
      </c>
      <c r="Q1427">
        <f t="shared" si="178"/>
        <v>8</v>
      </c>
      <c r="R1427" t="str">
        <f t="shared" si="179"/>
        <v/>
      </c>
      <c r="S1427" t="str">
        <f t="shared" si="180"/>
        <v/>
      </c>
      <c r="T1427" s="403" t="str">
        <f t="shared" si="181"/>
        <v>NBE-5503-AL</v>
      </c>
      <c r="U1427" s="403">
        <f t="shared" si="182"/>
        <v>1</v>
      </c>
      <c r="V1427" s="403" t="str">
        <f t="shared" si="183"/>
        <v>CPP_7_3</v>
      </c>
    </row>
    <row r="1428" spans="1:22">
      <c r="A1428" t="str">
        <f t="shared" si="176"/>
        <v>NBE-5503-AL</v>
      </c>
      <c r="B1428" s="403" t="s">
        <v>1380</v>
      </c>
      <c r="C1428" s="403" t="s">
        <v>582</v>
      </c>
      <c r="D1428" s="403" t="s">
        <v>1381</v>
      </c>
      <c r="E1428" s="403" t="s">
        <v>778</v>
      </c>
      <c r="F1428" s="403" t="s">
        <v>1382</v>
      </c>
      <c r="G1428" s="403" t="s">
        <v>1467</v>
      </c>
      <c r="H1428" s="403" t="s">
        <v>1276</v>
      </c>
      <c r="I1428" s="403">
        <v>1</v>
      </c>
      <c r="J1428" s="403" t="s">
        <v>1373</v>
      </c>
      <c r="K1428" s="403">
        <v>1512</v>
      </c>
      <c r="L1428" s="403">
        <v>2688</v>
      </c>
      <c r="M1428" s="403" t="s">
        <v>1279</v>
      </c>
      <c r="N1428" s="403">
        <v>432</v>
      </c>
      <c r="O1428" s="403">
        <v>768</v>
      </c>
      <c r="P1428" t="str">
        <f t="shared" si="177"/>
        <v>30fps 2688x1512 - SD ROI PTZ</v>
      </c>
      <c r="Q1428">
        <f t="shared" si="178"/>
        <v>8</v>
      </c>
      <c r="R1428" t="str">
        <f t="shared" si="179"/>
        <v/>
      </c>
      <c r="S1428" t="str">
        <f t="shared" si="180"/>
        <v/>
      </c>
      <c r="T1428" s="403" t="str">
        <f t="shared" si="181"/>
        <v>NBE-5503-AL</v>
      </c>
      <c r="U1428" s="403">
        <f t="shared" si="182"/>
        <v>1</v>
      </c>
      <c r="V1428" s="403" t="str">
        <f t="shared" si="183"/>
        <v>CPP_7_3</v>
      </c>
    </row>
    <row r="1429" spans="1:22">
      <c r="A1429" t="str">
        <f t="shared" si="176"/>
        <v>NBE-5503-AL</v>
      </c>
      <c r="B1429" s="403" t="s">
        <v>1380</v>
      </c>
      <c r="C1429" s="403" t="s">
        <v>582</v>
      </c>
      <c r="D1429" s="403" t="s">
        <v>1381</v>
      </c>
      <c r="E1429" s="403" t="s">
        <v>778</v>
      </c>
      <c r="F1429" s="403" t="s">
        <v>1382</v>
      </c>
      <c r="G1429" s="403" t="s">
        <v>1467</v>
      </c>
      <c r="H1429" s="403" t="s">
        <v>1276</v>
      </c>
      <c r="I1429" s="403">
        <v>1</v>
      </c>
      <c r="J1429" s="403" t="s">
        <v>1373</v>
      </c>
      <c r="K1429" s="403">
        <v>1512</v>
      </c>
      <c r="L1429" s="403">
        <v>2688</v>
      </c>
      <c r="M1429" s="403" t="s">
        <v>1285</v>
      </c>
      <c r="N1429" s="403">
        <v>1024</v>
      </c>
      <c r="O1429" s="403">
        <v>1280</v>
      </c>
      <c r="P1429" t="str">
        <f t="shared" si="177"/>
        <v>30fps 2688x1512 - 1280x1024 5:4 (cropped)</v>
      </c>
      <c r="Q1429">
        <f t="shared" si="178"/>
        <v>8</v>
      </c>
      <c r="R1429" t="str">
        <f t="shared" si="179"/>
        <v/>
      </c>
      <c r="S1429" t="str">
        <f t="shared" si="180"/>
        <v/>
      </c>
      <c r="T1429" s="403" t="str">
        <f t="shared" si="181"/>
        <v>NBE-5503-AL</v>
      </c>
      <c r="U1429" s="403">
        <f t="shared" si="182"/>
        <v>1</v>
      </c>
      <c r="V1429" s="403" t="str">
        <f t="shared" si="183"/>
        <v>CPP_7_3</v>
      </c>
    </row>
    <row r="1430" spans="1:22">
      <c r="A1430" t="str">
        <f t="shared" si="176"/>
        <v>NBE-5503-AL</v>
      </c>
      <c r="B1430" s="403" t="s">
        <v>1380</v>
      </c>
      <c r="C1430" s="403" t="s">
        <v>582</v>
      </c>
      <c r="D1430" s="403" t="s">
        <v>1381</v>
      </c>
      <c r="E1430" s="403" t="s">
        <v>778</v>
      </c>
      <c r="F1430" s="403" t="s">
        <v>1382</v>
      </c>
      <c r="G1430" s="403" t="s">
        <v>1467</v>
      </c>
      <c r="H1430" s="403" t="s">
        <v>1276</v>
      </c>
      <c r="I1430" s="403">
        <v>1</v>
      </c>
      <c r="J1430" s="403" t="s">
        <v>1373</v>
      </c>
      <c r="K1430" s="403">
        <v>1512</v>
      </c>
      <c r="L1430" s="403">
        <v>2688</v>
      </c>
      <c r="M1430" s="403" t="s">
        <v>1283</v>
      </c>
      <c r="N1430" s="403">
        <v>480</v>
      </c>
      <c r="O1430" s="403">
        <v>720</v>
      </c>
      <c r="P1430" t="str">
        <f t="shared" si="177"/>
        <v>30fps 2688x1512 - SD 4CIF resolution 4:3 format (cropped)</v>
      </c>
      <c r="Q1430">
        <f t="shared" si="178"/>
        <v>8</v>
      </c>
      <c r="R1430" t="str">
        <f t="shared" si="179"/>
        <v/>
      </c>
      <c r="S1430" t="str">
        <f t="shared" si="180"/>
        <v/>
      </c>
      <c r="T1430" s="403" t="str">
        <f t="shared" si="181"/>
        <v>NBE-5503-AL</v>
      </c>
      <c r="U1430" s="403">
        <f t="shared" si="182"/>
        <v>1</v>
      </c>
      <c r="V1430" s="403" t="str">
        <f t="shared" si="183"/>
        <v>CPP_7_3</v>
      </c>
    </row>
    <row r="1431" spans="1:22">
      <c r="A1431" t="str">
        <f t="shared" si="176"/>
        <v>NBE-5503-AL</v>
      </c>
      <c r="B1431" s="403" t="s">
        <v>1380</v>
      </c>
      <c r="C1431" s="403" t="s">
        <v>582</v>
      </c>
      <c r="D1431" s="403" t="s">
        <v>1381</v>
      </c>
      <c r="E1431" s="403" t="s">
        <v>778</v>
      </c>
      <c r="F1431" s="403" t="s">
        <v>1382</v>
      </c>
      <c r="G1431" s="403" t="s">
        <v>1467</v>
      </c>
      <c r="H1431" s="403" t="s">
        <v>1276</v>
      </c>
      <c r="I1431" s="403">
        <v>1</v>
      </c>
      <c r="J1431" s="403" t="s">
        <v>1373</v>
      </c>
      <c r="K1431" s="403">
        <v>1512</v>
      </c>
      <c r="L1431" s="403">
        <v>2688</v>
      </c>
      <c r="M1431" s="403" t="s">
        <v>1284</v>
      </c>
      <c r="N1431" s="403">
        <v>480</v>
      </c>
      <c r="O1431" s="403">
        <v>640</v>
      </c>
      <c r="P1431" t="str">
        <f t="shared" si="177"/>
        <v>30fps 2688x1512 - SD VGA (cropped)</v>
      </c>
      <c r="Q1431">
        <f t="shared" si="178"/>
        <v>8</v>
      </c>
      <c r="R1431" t="str">
        <f t="shared" si="179"/>
        <v/>
      </c>
      <c r="S1431" t="str">
        <f t="shared" si="180"/>
        <v/>
      </c>
      <c r="T1431" s="403" t="str">
        <f t="shared" si="181"/>
        <v>NBE-5503-AL</v>
      </c>
      <c r="U1431" s="403">
        <f t="shared" si="182"/>
        <v>1</v>
      </c>
      <c r="V1431" s="403" t="str">
        <f t="shared" si="183"/>
        <v>CPP_7_3</v>
      </c>
    </row>
    <row r="1432" spans="1:22">
      <c r="A1432" t="str">
        <f t="shared" si="176"/>
        <v>NBE-5503-AL</v>
      </c>
      <c r="B1432" s="403" t="s">
        <v>1380</v>
      </c>
      <c r="C1432" s="403" t="s">
        <v>582</v>
      </c>
      <c r="D1432" s="403" t="s">
        <v>1381</v>
      </c>
      <c r="E1432" s="403" t="s">
        <v>778</v>
      </c>
      <c r="F1432" s="403" t="s">
        <v>1382</v>
      </c>
      <c r="G1432" s="403" t="s">
        <v>1467</v>
      </c>
      <c r="H1432" s="403" t="s">
        <v>1276</v>
      </c>
      <c r="I1432" s="403">
        <v>1</v>
      </c>
      <c r="J1432" s="403" t="s">
        <v>1373</v>
      </c>
      <c r="K1432" s="403">
        <v>1512</v>
      </c>
      <c r="L1432" s="403">
        <v>2688</v>
      </c>
      <c r="M1432" s="403" t="s">
        <v>1280</v>
      </c>
      <c r="N1432" s="403">
        <v>1512</v>
      </c>
      <c r="O1432" s="403">
        <v>2688</v>
      </c>
      <c r="P1432" t="str">
        <f t="shared" si="177"/>
        <v>30fps 2688x1512 - copy other stream</v>
      </c>
      <c r="Q1432">
        <f t="shared" si="178"/>
        <v>8</v>
      </c>
      <c r="R1432" t="str">
        <f t="shared" si="179"/>
        <v/>
      </c>
      <c r="S1432" t="str">
        <f t="shared" si="180"/>
        <v/>
      </c>
      <c r="T1432" s="403" t="str">
        <f t="shared" si="181"/>
        <v>NBE-5503-AL</v>
      </c>
      <c r="U1432" s="403">
        <f t="shared" si="182"/>
        <v>1</v>
      </c>
      <c r="V1432" s="403" t="str">
        <f t="shared" si="183"/>
        <v>CPP_7_3</v>
      </c>
    </row>
    <row r="1433" spans="1:22">
      <c r="A1433" t="str">
        <f t="shared" si="176"/>
        <v>NBE-5503-AL</v>
      </c>
      <c r="B1433" s="403" t="s">
        <v>1380</v>
      </c>
      <c r="C1433" s="403" t="s">
        <v>582</v>
      </c>
      <c r="D1433" s="403" t="s">
        <v>1381</v>
      </c>
      <c r="E1433" s="403" t="s">
        <v>778</v>
      </c>
      <c r="F1433" s="403" t="s">
        <v>1382</v>
      </c>
      <c r="G1433" s="403" t="s">
        <v>1467</v>
      </c>
      <c r="H1433" s="403" t="s">
        <v>1276</v>
      </c>
      <c r="I1433" s="403">
        <v>1</v>
      </c>
      <c r="J1433" s="403" t="s">
        <v>1374</v>
      </c>
      <c r="K1433" s="403">
        <v>1296</v>
      </c>
      <c r="L1433" s="403">
        <v>2304</v>
      </c>
      <c r="M1433" s="403" t="s">
        <v>110</v>
      </c>
      <c r="N1433" s="403">
        <v>1080</v>
      </c>
      <c r="O1433" s="403">
        <v>1920</v>
      </c>
      <c r="P1433" t="str">
        <f t="shared" si="177"/>
        <v>30fps 2304x1296 - 1080p</v>
      </c>
      <c r="Q1433">
        <f t="shared" si="178"/>
        <v>8</v>
      </c>
      <c r="R1433" t="str">
        <f t="shared" si="179"/>
        <v/>
      </c>
      <c r="S1433" t="str">
        <f t="shared" si="180"/>
        <v/>
      </c>
      <c r="T1433" s="403" t="str">
        <f t="shared" si="181"/>
        <v>NBE-5503-AL</v>
      </c>
      <c r="U1433" s="403">
        <f t="shared" si="182"/>
        <v>1</v>
      </c>
      <c r="V1433" s="403" t="str">
        <f t="shared" si="183"/>
        <v>CPP_7_3</v>
      </c>
    </row>
    <row r="1434" spans="1:22">
      <c r="A1434" t="str">
        <f t="shared" si="176"/>
        <v>NBE-5503-AL</v>
      </c>
      <c r="B1434" s="403" t="s">
        <v>1380</v>
      </c>
      <c r="C1434" s="403" t="s">
        <v>582</v>
      </c>
      <c r="D1434" s="403" t="s">
        <v>1381</v>
      </c>
      <c r="E1434" s="403" t="s">
        <v>778</v>
      </c>
      <c r="F1434" s="403" t="s">
        <v>1382</v>
      </c>
      <c r="G1434" s="403" t="s">
        <v>1467</v>
      </c>
      <c r="H1434" s="403" t="s">
        <v>1276</v>
      </c>
      <c r="I1434" s="403">
        <v>1</v>
      </c>
      <c r="J1434" s="403" t="s">
        <v>1374</v>
      </c>
      <c r="K1434" s="403">
        <v>1296</v>
      </c>
      <c r="L1434" s="403">
        <v>2304</v>
      </c>
      <c r="M1434" s="403" t="s">
        <v>1374</v>
      </c>
      <c r="N1434" s="403">
        <v>1296</v>
      </c>
      <c r="O1434" s="403">
        <v>2304</v>
      </c>
      <c r="P1434" t="str">
        <f t="shared" si="177"/>
        <v>30fps 2304x1296 - 2304x1296</v>
      </c>
      <c r="Q1434">
        <f t="shared" si="178"/>
        <v>8</v>
      </c>
      <c r="R1434" t="str">
        <f t="shared" si="179"/>
        <v/>
      </c>
      <c r="S1434" t="str">
        <f t="shared" si="180"/>
        <v/>
      </c>
      <c r="T1434" s="403" t="str">
        <f t="shared" si="181"/>
        <v>NBE-5503-AL</v>
      </c>
      <c r="U1434" s="403">
        <f t="shared" si="182"/>
        <v>1</v>
      </c>
      <c r="V1434" s="403" t="str">
        <f t="shared" si="183"/>
        <v>CPP_7_3</v>
      </c>
    </row>
    <row r="1435" spans="1:22">
      <c r="A1435" t="str">
        <f t="shared" si="176"/>
        <v>NBE-5503-AL</v>
      </c>
      <c r="B1435" s="403" t="s">
        <v>1380</v>
      </c>
      <c r="C1435" s="403" t="s">
        <v>582</v>
      </c>
      <c r="D1435" s="403" t="s">
        <v>1381</v>
      </c>
      <c r="E1435" s="403" t="s">
        <v>778</v>
      </c>
      <c r="F1435" s="403" t="s">
        <v>1382</v>
      </c>
      <c r="G1435" s="403" t="s">
        <v>1467</v>
      </c>
      <c r="H1435" s="403" t="s">
        <v>1276</v>
      </c>
      <c r="I1435" s="403">
        <v>1</v>
      </c>
      <c r="J1435" s="403" t="s">
        <v>1374</v>
      </c>
      <c r="K1435" s="403">
        <v>1296</v>
      </c>
      <c r="L1435" s="403">
        <v>2304</v>
      </c>
      <c r="M1435" s="403" t="s">
        <v>109</v>
      </c>
      <c r="N1435" s="403">
        <v>720</v>
      </c>
      <c r="O1435" s="403">
        <v>1280</v>
      </c>
      <c r="P1435" t="str">
        <f t="shared" si="177"/>
        <v>30fps 2304x1296 - 720p</v>
      </c>
      <c r="Q1435">
        <f t="shared" si="178"/>
        <v>8</v>
      </c>
      <c r="R1435" t="str">
        <f t="shared" si="179"/>
        <v/>
      </c>
      <c r="S1435" t="str">
        <f t="shared" si="180"/>
        <v/>
      </c>
      <c r="T1435" s="403" t="str">
        <f t="shared" si="181"/>
        <v>NBE-5503-AL</v>
      </c>
      <c r="U1435" s="403">
        <f t="shared" si="182"/>
        <v>1</v>
      </c>
      <c r="V1435" s="403" t="str">
        <f t="shared" si="183"/>
        <v>CPP_7_3</v>
      </c>
    </row>
    <row r="1436" spans="1:22">
      <c r="A1436" t="str">
        <f t="shared" si="176"/>
        <v>NBE-5503-AL</v>
      </c>
      <c r="B1436" s="403" t="s">
        <v>1380</v>
      </c>
      <c r="C1436" s="403" t="s">
        <v>582</v>
      </c>
      <c r="D1436" s="403" t="s">
        <v>1381</v>
      </c>
      <c r="E1436" s="403" t="s">
        <v>778</v>
      </c>
      <c r="F1436" s="403" t="s">
        <v>1382</v>
      </c>
      <c r="G1436" s="403" t="s">
        <v>1467</v>
      </c>
      <c r="H1436" s="403" t="s">
        <v>1276</v>
      </c>
      <c r="I1436" s="403">
        <v>1</v>
      </c>
      <c r="J1436" s="403" t="s">
        <v>1374</v>
      </c>
      <c r="K1436" s="403">
        <v>1296</v>
      </c>
      <c r="L1436" s="403">
        <v>2304</v>
      </c>
      <c r="M1436" s="403" t="s">
        <v>111</v>
      </c>
      <c r="N1436" s="403">
        <v>432</v>
      </c>
      <c r="O1436" s="403">
        <v>768</v>
      </c>
      <c r="P1436" t="str">
        <f t="shared" si="177"/>
        <v>30fps 2304x1296 - SD</v>
      </c>
      <c r="Q1436">
        <f t="shared" si="178"/>
        <v>8</v>
      </c>
      <c r="R1436" t="str">
        <f t="shared" si="179"/>
        <v/>
      </c>
      <c r="S1436" t="str">
        <f t="shared" si="180"/>
        <v/>
      </c>
      <c r="T1436" s="403" t="str">
        <f t="shared" si="181"/>
        <v>NBE-5503-AL</v>
      </c>
      <c r="U1436" s="403">
        <f t="shared" si="182"/>
        <v>1</v>
      </c>
      <c r="V1436" s="403" t="str">
        <f t="shared" si="183"/>
        <v>CPP_7_3</v>
      </c>
    </row>
    <row r="1437" spans="1:22">
      <c r="A1437" t="str">
        <f t="shared" si="176"/>
        <v>NBE-5503-AL</v>
      </c>
      <c r="B1437" s="403" t="s">
        <v>1380</v>
      </c>
      <c r="C1437" s="403" t="s">
        <v>582</v>
      </c>
      <c r="D1437" s="403" t="s">
        <v>1381</v>
      </c>
      <c r="E1437" s="403" t="s">
        <v>778</v>
      </c>
      <c r="F1437" s="403" t="s">
        <v>1382</v>
      </c>
      <c r="G1437" s="403" t="s">
        <v>1467</v>
      </c>
      <c r="H1437" s="403" t="s">
        <v>1276</v>
      </c>
      <c r="I1437" s="403">
        <v>1</v>
      </c>
      <c r="J1437" s="403" t="s">
        <v>1374</v>
      </c>
      <c r="K1437" s="403">
        <v>1296</v>
      </c>
      <c r="L1437" s="403">
        <v>2304</v>
      </c>
      <c r="M1437" s="403" t="s">
        <v>1279</v>
      </c>
      <c r="N1437" s="403">
        <v>432</v>
      </c>
      <c r="O1437" s="403">
        <v>768</v>
      </c>
      <c r="P1437" t="str">
        <f t="shared" si="177"/>
        <v>30fps 2304x1296 - SD ROI PTZ</v>
      </c>
      <c r="Q1437">
        <f t="shared" si="178"/>
        <v>8</v>
      </c>
      <c r="R1437" t="str">
        <f t="shared" si="179"/>
        <v/>
      </c>
      <c r="S1437" t="str">
        <f t="shared" si="180"/>
        <v/>
      </c>
      <c r="T1437" s="403" t="str">
        <f t="shared" si="181"/>
        <v>NBE-5503-AL</v>
      </c>
      <c r="U1437" s="403">
        <f t="shared" si="182"/>
        <v>1</v>
      </c>
      <c r="V1437" s="403" t="str">
        <f t="shared" si="183"/>
        <v>CPP_7_3</v>
      </c>
    </row>
    <row r="1438" spans="1:22">
      <c r="A1438" t="str">
        <f t="shared" si="176"/>
        <v>NBE-5503-AL</v>
      </c>
      <c r="B1438" s="403" t="s">
        <v>1380</v>
      </c>
      <c r="C1438" s="403" t="s">
        <v>582</v>
      </c>
      <c r="D1438" s="403" t="s">
        <v>1381</v>
      </c>
      <c r="E1438" s="403" t="s">
        <v>778</v>
      </c>
      <c r="F1438" s="403" t="s">
        <v>1382</v>
      </c>
      <c r="G1438" s="403" t="s">
        <v>1467</v>
      </c>
      <c r="H1438" s="403" t="s">
        <v>1276</v>
      </c>
      <c r="I1438" s="403">
        <v>1</v>
      </c>
      <c r="J1438" s="403" t="s">
        <v>1374</v>
      </c>
      <c r="K1438" s="403">
        <v>1296</v>
      </c>
      <c r="L1438" s="403">
        <v>2304</v>
      </c>
      <c r="M1438" s="403" t="s">
        <v>1285</v>
      </c>
      <c r="N1438" s="403">
        <v>1024</v>
      </c>
      <c r="O1438" s="403">
        <v>1280</v>
      </c>
      <c r="P1438" t="str">
        <f t="shared" si="177"/>
        <v>30fps 2304x1296 - 1280x1024 5:4 (cropped)</v>
      </c>
      <c r="Q1438">
        <f t="shared" si="178"/>
        <v>8</v>
      </c>
      <c r="R1438" t="str">
        <f t="shared" si="179"/>
        <v/>
      </c>
      <c r="S1438" t="str">
        <f t="shared" si="180"/>
        <v/>
      </c>
      <c r="T1438" s="403" t="str">
        <f t="shared" si="181"/>
        <v>NBE-5503-AL</v>
      </c>
      <c r="U1438" s="403">
        <f t="shared" si="182"/>
        <v>1</v>
      </c>
      <c r="V1438" s="403" t="str">
        <f t="shared" si="183"/>
        <v>CPP_7_3</v>
      </c>
    </row>
    <row r="1439" spans="1:22">
      <c r="A1439" t="str">
        <f t="shared" si="176"/>
        <v>NBE-5503-AL</v>
      </c>
      <c r="B1439" s="403" t="s">
        <v>1380</v>
      </c>
      <c r="C1439" s="403" t="s">
        <v>582</v>
      </c>
      <c r="D1439" s="403" t="s">
        <v>1381</v>
      </c>
      <c r="E1439" s="403" t="s">
        <v>778</v>
      </c>
      <c r="F1439" s="403" t="s">
        <v>1382</v>
      </c>
      <c r="G1439" s="403" t="s">
        <v>1467</v>
      </c>
      <c r="H1439" s="403" t="s">
        <v>1276</v>
      </c>
      <c r="I1439" s="403">
        <v>1</v>
      </c>
      <c r="J1439" s="403" t="s">
        <v>1374</v>
      </c>
      <c r="K1439" s="403">
        <v>1296</v>
      </c>
      <c r="L1439" s="403">
        <v>2304</v>
      </c>
      <c r="M1439" s="403" t="s">
        <v>1283</v>
      </c>
      <c r="N1439" s="403">
        <v>480</v>
      </c>
      <c r="O1439" s="403">
        <v>720</v>
      </c>
      <c r="P1439" t="str">
        <f t="shared" si="177"/>
        <v>30fps 2304x1296 - SD 4CIF resolution 4:3 format (cropped)</v>
      </c>
      <c r="Q1439">
        <f t="shared" si="178"/>
        <v>8</v>
      </c>
      <c r="R1439" t="str">
        <f t="shared" si="179"/>
        <v/>
      </c>
      <c r="S1439" t="str">
        <f t="shared" si="180"/>
        <v/>
      </c>
      <c r="T1439" s="403" t="str">
        <f t="shared" si="181"/>
        <v>NBE-5503-AL</v>
      </c>
      <c r="U1439" s="403">
        <f t="shared" si="182"/>
        <v>1</v>
      </c>
      <c r="V1439" s="403" t="str">
        <f t="shared" si="183"/>
        <v>CPP_7_3</v>
      </c>
    </row>
    <row r="1440" spans="1:22">
      <c r="A1440" t="str">
        <f t="shared" si="176"/>
        <v>NBE-5503-AL</v>
      </c>
      <c r="B1440" s="403" t="s">
        <v>1380</v>
      </c>
      <c r="C1440" s="403" t="s">
        <v>582</v>
      </c>
      <c r="D1440" s="403" t="s">
        <v>1381</v>
      </c>
      <c r="E1440" s="403" t="s">
        <v>778</v>
      </c>
      <c r="F1440" s="403" t="s">
        <v>1382</v>
      </c>
      <c r="G1440" s="403" t="s">
        <v>1467</v>
      </c>
      <c r="H1440" s="403" t="s">
        <v>1276</v>
      </c>
      <c r="I1440" s="403">
        <v>1</v>
      </c>
      <c r="J1440" s="403" t="s">
        <v>1374</v>
      </c>
      <c r="K1440" s="403">
        <v>1296</v>
      </c>
      <c r="L1440" s="403">
        <v>2304</v>
      </c>
      <c r="M1440" s="403" t="s">
        <v>1284</v>
      </c>
      <c r="N1440" s="403">
        <v>480</v>
      </c>
      <c r="O1440" s="403">
        <v>640</v>
      </c>
      <c r="P1440" t="str">
        <f t="shared" si="177"/>
        <v>30fps 2304x1296 - SD VGA (cropped)</v>
      </c>
      <c r="Q1440">
        <f t="shared" si="178"/>
        <v>8</v>
      </c>
      <c r="R1440" t="str">
        <f t="shared" si="179"/>
        <v/>
      </c>
      <c r="S1440" t="str">
        <f t="shared" si="180"/>
        <v/>
      </c>
      <c r="T1440" s="403" t="str">
        <f t="shared" si="181"/>
        <v>NBE-5503-AL</v>
      </c>
      <c r="U1440" s="403">
        <f t="shared" si="182"/>
        <v>1</v>
      </c>
      <c r="V1440" s="403" t="str">
        <f t="shared" si="183"/>
        <v>CPP_7_3</v>
      </c>
    </row>
    <row r="1441" spans="1:22">
      <c r="A1441" t="str">
        <f t="shared" si="176"/>
        <v>NBE-5503-AL</v>
      </c>
      <c r="B1441" s="403" t="s">
        <v>1380</v>
      </c>
      <c r="C1441" s="403" t="s">
        <v>582</v>
      </c>
      <c r="D1441" s="403" t="s">
        <v>1381</v>
      </c>
      <c r="E1441" s="403" t="s">
        <v>778</v>
      </c>
      <c r="F1441" s="403" t="s">
        <v>1382</v>
      </c>
      <c r="G1441" s="403" t="s">
        <v>1467</v>
      </c>
      <c r="H1441" s="403" t="s">
        <v>1276</v>
      </c>
      <c r="I1441" s="403">
        <v>1</v>
      </c>
      <c r="J1441" s="403" t="s">
        <v>1374</v>
      </c>
      <c r="K1441" s="403">
        <v>1296</v>
      </c>
      <c r="L1441" s="403">
        <v>2304</v>
      </c>
      <c r="M1441" s="403" t="s">
        <v>1280</v>
      </c>
      <c r="N1441" s="403">
        <v>1296</v>
      </c>
      <c r="O1441" s="403">
        <v>2304</v>
      </c>
      <c r="P1441" t="str">
        <f t="shared" si="177"/>
        <v>30fps 2304x1296 - copy other stream</v>
      </c>
      <c r="Q1441">
        <f t="shared" si="178"/>
        <v>8</v>
      </c>
      <c r="R1441" t="str">
        <f t="shared" si="179"/>
        <v/>
      </c>
      <c r="S1441" t="str">
        <f t="shared" si="180"/>
        <v/>
      </c>
      <c r="T1441" s="403" t="str">
        <f t="shared" si="181"/>
        <v>NBE-5503-AL</v>
      </c>
      <c r="U1441" s="403">
        <f t="shared" si="182"/>
        <v>1</v>
      </c>
      <c r="V1441" s="403" t="str">
        <f t="shared" si="183"/>
        <v>CPP_7_3</v>
      </c>
    </row>
    <row r="1442" spans="1:22">
      <c r="A1442" t="str">
        <f t="shared" si="176"/>
        <v>NBE-5503-AL</v>
      </c>
      <c r="B1442" s="403" t="s">
        <v>1380</v>
      </c>
      <c r="C1442" s="403" t="s">
        <v>582</v>
      </c>
      <c r="D1442" s="403" t="s">
        <v>1381</v>
      </c>
      <c r="E1442" s="403" t="s">
        <v>778</v>
      </c>
      <c r="F1442" s="403" t="s">
        <v>1382</v>
      </c>
      <c r="G1442" s="403" t="s">
        <v>1467</v>
      </c>
      <c r="H1442" s="403" t="s">
        <v>1276</v>
      </c>
      <c r="I1442" s="403">
        <v>1</v>
      </c>
      <c r="J1442" s="403" t="s">
        <v>110</v>
      </c>
      <c r="K1442" s="403">
        <v>1080</v>
      </c>
      <c r="L1442" s="403">
        <v>1920</v>
      </c>
      <c r="M1442" s="403" t="s">
        <v>111</v>
      </c>
      <c r="N1442" s="403">
        <v>432</v>
      </c>
      <c r="O1442" s="403">
        <v>768</v>
      </c>
      <c r="P1442" t="str">
        <f t="shared" si="177"/>
        <v>30fps 1080p - SD</v>
      </c>
      <c r="Q1442">
        <f t="shared" si="178"/>
        <v>8</v>
      </c>
      <c r="R1442" t="str">
        <f t="shared" si="179"/>
        <v/>
      </c>
      <c r="S1442" t="str">
        <f t="shared" si="180"/>
        <v/>
      </c>
      <c r="T1442" s="403" t="str">
        <f t="shared" si="181"/>
        <v>NBE-5503-AL</v>
      </c>
      <c r="U1442" s="403">
        <f t="shared" si="182"/>
        <v>1</v>
      </c>
      <c r="V1442" s="403" t="str">
        <f t="shared" si="183"/>
        <v>CPP_7_3</v>
      </c>
    </row>
    <row r="1443" spans="1:22">
      <c r="A1443" t="str">
        <f t="shared" si="176"/>
        <v>NBE-5503-AL</v>
      </c>
      <c r="B1443" s="403" t="s">
        <v>1380</v>
      </c>
      <c r="C1443" s="403" t="s">
        <v>582</v>
      </c>
      <c r="D1443" s="403" t="s">
        <v>1381</v>
      </c>
      <c r="E1443" s="403" t="s">
        <v>778</v>
      </c>
      <c r="F1443" s="403" t="s">
        <v>1382</v>
      </c>
      <c r="G1443" s="403" t="s">
        <v>1467</v>
      </c>
      <c r="H1443" s="403" t="s">
        <v>1276</v>
      </c>
      <c r="I1443" s="403">
        <v>1</v>
      </c>
      <c r="J1443" s="403" t="s">
        <v>110</v>
      </c>
      <c r="K1443" s="403">
        <v>1080</v>
      </c>
      <c r="L1443" s="403">
        <v>1920</v>
      </c>
      <c r="M1443" s="403" t="s">
        <v>110</v>
      </c>
      <c r="N1443" s="403">
        <v>1080</v>
      </c>
      <c r="O1443" s="403">
        <v>1920</v>
      </c>
      <c r="P1443" t="str">
        <f t="shared" si="177"/>
        <v>30fps 1080p - 1080p</v>
      </c>
      <c r="Q1443">
        <f t="shared" si="178"/>
        <v>8</v>
      </c>
      <c r="R1443" t="str">
        <f t="shared" si="179"/>
        <v/>
      </c>
      <c r="S1443" t="str">
        <f t="shared" si="180"/>
        <v/>
      </c>
      <c r="T1443" s="403" t="str">
        <f t="shared" si="181"/>
        <v>NBE-5503-AL</v>
      </c>
      <c r="U1443" s="403">
        <f t="shared" si="182"/>
        <v>1</v>
      </c>
      <c r="V1443" s="403" t="str">
        <f t="shared" si="183"/>
        <v>CPP_7_3</v>
      </c>
    </row>
    <row r="1444" spans="1:22">
      <c r="A1444" t="str">
        <f t="shared" si="176"/>
        <v>NBE-5503-AL</v>
      </c>
      <c r="B1444" s="403" t="s">
        <v>1380</v>
      </c>
      <c r="C1444" s="403" t="s">
        <v>582</v>
      </c>
      <c r="D1444" s="403" t="s">
        <v>1381</v>
      </c>
      <c r="E1444" s="403" t="s">
        <v>778</v>
      </c>
      <c r="F1444" s="403" t="s">
        <v>1382</v>
      </c>
      <c r="G1444" s="403" t="s">
        <v>1467</v>
      </c>
      <c r="H1444" s="403" t="s">
        <v>1276</v>
      </c>
      <c r="I1444" s="403">
        <v>1</v>
      </c>
      <c r="J1444" s="403" t="s">
        <v>110</v>
      </c>
      <c r="K1444" s="403">
        <v>1080</v>
      </c>
      <c r="L1444" s="403">
        <v>1920</v>
      </c>
      <c r="M1444" s="403" t="s">
        <v>109</v>
      </c>
      <c r="N1444" s="403">
        <v>720</v>
      </c>
      <c r="O1444" s="403">
        <v>1280</v>
      </c>
      <c r="P1444" t="str">
        <f t="shared" si="177"/>
        <v>30fps 1080p - 720p</v>
      </c>
      <c r="Q1444">
        <f t="shared" si="178"/>
        <v>8</v>
      </c>
      <c r="R1444" t="str">
        <f t="shared" si="179"/>
        <v/>
      </c>
      <c r="S1444" t="str">
        <f t="shared" si="180"/>
        <v/>
      </c>
      <c r="T1444" s="403" t="str">
        <f t="shared" si="181"/>
        <v>NBE-5503-AL</v>
      </c>
      <c r="U1444" s="403">
        <f t="shared" si="182"/>
        <v>1</v>
      </c>
      <c r="V1444" s="403" t="str">
        <f t="shared" si="183"/>
        <v>CPP_7_3</v>
      </c>
    </row>
    <row r="1445" spans="1:22">
      <c r="A1445" t="str">
        <f t="shared" si="176"/>
        <v>NBE-5503-AL</v>
      </c>
      <c r="B1445" s="403" t="s">
        <v>1380</v>
      </c>
      <c r="C1445" s="403" t="s">
        <v>582</v>
      </c>
      <c r="D1445" s="403" t="s">
        <v>1381</v>
      </c>
      <c r="E1445" s="403" t="s">
        <v>778</v>
      </c>
      <c r="F1445" s="403" t="s">
        <v>1382</v>
      </c>
      <c r="G1445" s="403" t="s">
        <v>1467</v>
      </c>
      <c r="H1445" s="403" t="s">
        <v>1276</v>
      </c>
      <c r="I1445" s="403">
        <v>1</v>
      </c>
      <c r="J1445" s="403" t="s">
        <v>110</v>
      </c>
      <c r="K1445" s="403">
        <v>1080</v>
      </c>
      <c r="L1445" s="403">
        <v>1920</v>
      </c>
      <c r="M1445" s="403" t="s">
        <v>1285</v>
      </c>
      <c r="N1445" s="403">
        <v>1024</v>
      </c>
      <c r="O1445" s="403">
        <v>1280</v>
      </c>
      <c r="P1445" t="str">
        <f t="shared" si="177"/>
        <v>30fps 1080p - 1280x1024 5:4 (cropped)</v>
      </c>
      <c r="Q1445">
        <f t="shared" si="178"/>
        <v>8</v>
      </c>
      <c r="R1445" t="str">
        <f t="shared" si="179"/>
        <v/>
      </c>
      <c r="S1445" t="str">
        <f t="shared" si="180"/>
        <v/>
      </c>
      <c r="T1445" s="403" t="str">
        <f t="shared" si="181"/>
        <v>NBE-5503-AL</v>
      </c>
      <c r="U1445" s="403">
        <f t="shared" si="182"/>
        <v>1</v>
      </c>
      <c r="V1445" s="403" t="str">
        <f t="shared" si="183"/>
        <v>CPP_7_3</v>
      </c>
    </row>
    <row r="1446" spans="1:22">
      <c r="A1446" t="str">
        <f t="shared" si="176"/>
        <v>NBE-5503-AL</v>
      </c>
      <c r="B1446" s="403" t="s">
        <v>1380</v>
      </c>
      <c r="C1446" s="403" t="s">
        <v>582</v>
      </c>
      <c r="D1446" s="403" t="s">
        <v>1381</v>
      </c>
      <c r="E1446" s="403" t="s">
        <v>778</v>
      </c>
      <c r="F1446" s="403" t="s">
        <v>1382</v>
      </c>
      <c r="G1446" s="403" t="s">
        <v>1467</v>
      </c>
      <c r="H1446" s="403" t="s">
        <v>1276</v>
      </c>
      <c r="I1446" s="403">
        <v>1</v>
      </c>
      <c r="J1446" s="403" t="s">
        <v>110</v>
      </c>
      <c r="K1446" s="403">
        <v>1080</v>
      </c>
      <c r="L1446" s="403">
        <v>1920</v>
      </c>
      <c r="M1446" s="403" t="s">
        <v>1279</v>
      </c>
      <c r="N1446" s="403">
        <v>432</v>
      </c>
      <c r="O1446" s="403">
        <v>768</v>
      </c>
      <c r="P1446" t="str">
        <f t="shared" si="177"/>
        <v>30fps 1080p - SD ROI PTZ</v>
      </c>
      <c r="Q1446">
        <f t="shared" si="178"/>
        <v>8</v>
      </c>
      <c r="R1446" t="str">
        <f t="shared" si="179"/>
        <v/>
      </c>
      <c r="S1446" t="str">
        <f t="shared" si="180"/>
        <v/>
      </c>
      <c r="T1446" s="403" t="str">
        <f t="shared" si="181"/>
        <v>NBE-5503-AL</v>
      </c>
      <c r="U1446" s="403">
        <f t="shared" si="182"/>
        <v>1</v>
      </c>
      <c r="V1446" s="403" t="str">
        <f t="shared" si="183"/>
        <v>CPP_7_3</v>
      </c>
    </row>
    <row r="1447" spans="1:22">
      <c r="A1447" t="str">
        <f t="shared" si="176"/>
        <v>NBE-5503-AL</v>
      </c>
      <c r="B1447" s="403" t="s">
        <v>1380</v>
      </c>
      <c r="C1447" s="403" t="s">
        <v>582</v>
      </c>
      <c r="D1447" s="403" t="s">
        <v>1381</v>
      </c>
      <c r="E1447" s="403" t="s">
        <v>778</v>
      </c>
      <c r="F1447" s="403" t="s">
        <v>1382</v>
      </c>
      <c r="G1447" s="403" t="s">
        <v>1467</v>
      </c>
      <c r="H1447" s="403" t="s">
        <v>1276</v>
      </c>
      <c r="I1447" s="403">
        <v>1</v>
      </c>
      <c r="J1447" s="403" t="s">
        <v>110</v>
      </c>
      <c r="K1447" s="403">
        <v>1080</v>
      </c>
      <c r="L1447" s="403">
        <v>1920</v>
      </c>
      <c r="M1447" s="403" t="s">
        <v>1283</v>
      </c>
      <c r="N1447" s="403">
        <v>480</v>
      </c>
      <c r="O1447" s="403">
        <v>720</v>
      </c>
      <c r="P1447" t="str">
        <f t="shared" si="177"/>
        <v>30fps 1080p - SD 4CIF resolution 4:3 format (cropped)</v>
      </c>
      <c r="Q1447">
        <f t="shared" si="178"/>
        <v>8</v>
      </c>
      <c r="R1447" t="str">
        <f t="shared" si="179"/>
        <v/>
      </c>
      <c r="S1447" t="str">
        <f t="shared" si="180"/>
        <v/>
      </c>
      <c r="T1447" s="403" t="str">
        <f t="shared" si="181"/>
        <v>NBE-5503-AL</v>
      </c>
      <c r="U1447" s="403">
        <f t="shared" si="182"/>
        <v>1</v>
      </c>
      <c r="V1447" s="403" t="str">
        <f t="shared" si="183"/>
        <v>CPP_7_3</v>
      </c>
    </row>
    <row r="1448" spans="1:22">
      <c r="A1448" t="str">
        <f t="shared" si="176"/>
        <v>NBE-5503-AL</v>
      </c>
      <c r="B1448" s="403" t="s">
        <v>1380</v>
      </c>
      <c r="C1448" s="403" t="s">
        <v>582</v>
      </c>
      <c r="D1448" s="403" t="s">
        <v>1381</v>
      </c>
      <c r="E1448" s="403" t="s">
        <v>778</v>
      </c>
      <c r="F1448" s="403" t="s">
        <v>1382</v>
      </c>
      <c r="G1448" s="403" t="s">
        <v>1467</v>
      </c>
      <c r="H1448" s="403" t="s">
        <v>1276</v>
      </c>
      <c r="I1448" s="403">
        <v>1</v>
      </c>
      <c r="J1448" s="403" t="s">
        <v>110</v>
      </c>
      <c r="K1448" s="403">
        <v>1080</v>
      </c>
      <c r="L1448" s="403">
        <v>1920</v>
      </c>
      <c r="M1448" s="403" t="s">
        <v>1284</v>
      </c>
      <c r="N1448" s="403">
        <v>480</v>
      </c>
      <c r="O1448" s="403">
        <v>640</v>
      </c>
      <c r="P1448" t="str">
        <f t="shared" si="177"/>
        <v>30fps 1080p - SD VGA (cropped)</v>
      </c>
      <c r="Q1448">
        <f t="shared" si="178"/>
        <v>8</v>
      </c>
      <c r="R1448" t="str">
        <f t="shared" si="179"/>
        <v/>
      </c>
      <c r="S1448" t="str">
        <f t="shared" si="180"/>
        <v/>
      </c>
      <c r="T1448" s="403" t="str">
        <f t="shared" si="181"/>
        <v>NBE-5503-AL</v>
      </c>
      <c r="U1448" s="403">
        <f t="shared" si="182"/>
        <v>1</v>
      </c>
      <c r="V1448" s="403" t="str">
        <f t="shared" si="183"/>
        <v>CPP_7_3</v>
      </c>
    </row>
    <row r="1449" spans="1:22">
      <c r="A1449" t="str">
        <f t="shared" si="176"/>
        <v>NBE-5503-AL</v>
      </c>
      <c r="B1449" s="403" t="s">
        <v>1380</v>
      </c>
      <c r="C1449" s="403" t="s">
        <v>582</v>
      </c>
      <c r="D1449" s="403" t="s">
        <v>1381</v>
      </c>
      <c r="E1449" s="403" t="s">
        <v>778</v>
      </c>
      <c r="F1449" s="403" t="s">
        <v>1382</v>
      </c>
      <c r="G1449" s="403" t="s">
        <v>1467</v>
      </c>
      <c r="H1449" s="403" t="s">
        <v>1276</v>
      </c>
      <c r="I1449" s="403">
        <v>1</v>
      </c>
      <c r="J1449" s="403" t="s">
        <v>109</v>
      </c>
      <c r="K1449" s="403">
        <v>720</v>
      </c>
      <c r="L1449" s="403">
        <v>1280</v>
      </c>
      <c r="M1449" s="403" t="s">
        <v>109</v>
      </c>
      <c r="N1449" s="403">
        <v>720</v>
      </c>
      <c r="O1449" s="403">
        <v>1280</v>
      </c>
      <c r="P1449" t="str">
        <f t="shared" si="177"/>
        <v>30fps 720p - 720p</v>
      </c>
      <c r="Q1449">
        <f t="shared" si="178"/>
        <v>8</v>
      </c>
      <c r="R1449" t="str">
        <f t="shared" si="179"/>
        <v/>
      </c>
      <c r="S1449" t="str">
        <f t="shared" si="180"/>
        <v/>
      </c>
      <c r="T1449" s="403" t="str">
        <f t="shared" si="181"/>
        <v>NBE-5503-AL</v>
      </c>
      <c r="U1449" s="403">
        <f t="shared" si="182"/>
        <v>1</v>
      </c>
      <c r="V1449" s="403" t="str">
        <f t="shared" si="183"/>
        <v>CPP_7_3</v>
      </c>
    </row>
    <row r="1450" spans="1:22">
      <c r="A1450" t="str">
        <f t="shared" si="176"/>
        <v>NBE-5503-AL</v>
      </c>
      <c r="B1450" s="403" t="s">
        <v>1380</v>
      </c>
      <c r="C1450" s="403" t="s">
        <v>582</v>
      </c>
      <c r="D1450" s="403" t="s">
        <v>1381</v>
      </c>
      <c r="E1450" s="403" t="s">
        <v>778</v>
      </c>
      <c r="F1450" s="403" t="s">
        <v>1382</v>
      </c>
      <c r="G1450" s="403" t="s">
        <v>1467</v>
      </c>
      <c r="H1450" s="403" t="s">
        <v>1276</v>
      </c>
      <c r="I1450" s="403">
        <v>1</v>
      </c>
      <c r="J1450" s="403" t="s">
        <v>109</v>
      </c>
      <c r="K1450" s="403">
        <v>720</v>
      </c>
      <c r="L1450" s="403">
        <v>1280</v>
      </c>
      <c r="M1450" s="403" t="s">
        <v>111</v>
      </c>
      <c r="N1450" s="403">
        <v>432</v>
      </c>
      <c r="O1450" s="403">
        <v>768</v>
      </c>
      <c r="P1450" t="str">
        <f t="shared" si="177"/>
        <v>30fps 720p - SD</v>
      </c>
      <c r="Q1450">
        <f t="shared" si="178"/>
        <v>8</v>
      </c>
      <c r="R1450" t="str">
        <f t="shared" si="179"/>
        <v/>
      </c>
      <c r="S1450" t="str">
        <f t="shared" si="180"/>
        <v/>
      </c>
      <c r="T1450" s="403" t="str">
        <f t="shared" si="181"/>
        <v>NBE-5503-AL</v>
      </c>
      <c r="U1450" s="403">
        <f t="shared" si="182"/>
        <v>1</v>
      </c>
      <c r="V1450" s="403" t="str">
        <f t="shared" si="183"/>
        <v>CPP_7_3</v>
      </c>
    </row>
    <row r="1451" spans="1:22">
      <c r="A1451" t="str">
        <f t="shared" si="176"/>
        <v>NBE-5503-AL</v>
      </c>
      <c r="B1451" s="403" t="s">
        <v>1380</v>
      </c>
      <c r="C1451" s="403" t="s">
        <v>582</v>
      </c>
      <c r="D1451" s="403" t="s">
        <v>1381</v>
      </c>
      <c r="E1451" s="403" t="s">
        <v>778</v>
      </c>
      <c r="F1451" s="403" t="s">
        <v>1382</v>
      </c>
      <c r="G1451" s="403" t="s">
        <v>1467</v>
      </c>
      <c r="H1451" s="403" t="s">
        <v>1276</v>
      </c>
      <c r="I1451" s="403">
        <v>1</v>
      </c>
      <c r="J1451" s="403" t="s">
        <v>109</v>
      </c>
      <c r="K1451" s="403">
        <v>720</v>
      </c>
      <c r="L1451" s="403">
        <v>1280</v>
      </c>
      <c r="M1451" s="403" t="s">
        <v>1279</v>
      </c>
      <c r="N1451" s="403">
        <v>432</v>
      </c>
      <c r="O1451" s="403">
        <v>768</v>
      </c>
      <c r="P1451" t="str">
        <f t="shared" si="177"/>
        <v>30fps 720p - SD ROI PTZ</v>
      </c>
      <c r="Q1451">
        <f t="shared" si="178"/>
        <v>8</v>
      </c>
      <c r="R1451" t="str">
        <f t="shared" si="179"/>
        <v/>
      </c>
      <c r="S1451" t="str">
        <f t="shared" si="180"/>
        <v/>
      </c>
      <c r="T1451" s="403" t="str">
        <f t="shared" si="181"/>
        <v>NBE-5503-AL</v>
      </c>
      <c r="U1451" s="403">
        <f t="shared" si="182"/>
        <v>1</v>
      </c>
      <c r="V1451" s="403" t="str">
        <f t="shared" si="183"/>
        <v>CPP_7_3</v>
      </c>
    </row>
    <row r="1452" spans="1:22">
      <c r="A1452" t="str">
        <f t="shared" si="176"/>
        <v>NBE-5503-AL</v>
      </c>
      <c r="B1452" s="403" t="s">
        <v>1380</v>
      </c>
      <c r="C1452" s="403" t="s">
        <v>582</v>
      </c>
      <c r="D1452" s="403" t="s">
        <v>1381</v>
      </c>
      <c r="E1452" s="403" t="s">
        <v>778</v>
      </c>
      <c r="F1452" s="403" t="s">
        <v>1382</v>
      </c>
      <c r="G1452" s="403" t="s">
        <v>1467</v>
      </c>
      <c r="H1452" s="403" t="s">
        <v>1276</v>
      </c>
      <c r="I1452" s="403">
        <v>1</v>
      </c>
      <c r="J1452" s="403" t="s">
        <v>109</v>
      </c>
      <c r="K1452" s="403">
        <v>720</v>
      </c>
      <c r="L1452" s="403">
        <v>1280</v>
      </c>
      <c r="M1452" s="403" t="s">
        <v>1283</v>
      </c>
      <c r="N1452" s="403">
        <v>480</v>
      </c>
      <c r="O1452" s="403">
        <v>720</v>
      </c>
      <c r="P1452" t="str">
        <f t="shared" si="177"/>
        <v>30fps 720p - SD 4CIF resolution 4:3 format (cropped)</v>
      </c>
      <c r="Q1452">
        <f t="shared" si="178"/>
        <v>8</v>
      </c>
      <c r="R1452" t="str">
        <f t="shared" si="179"/>
        <v/>
      </c>
      <c r="S1452" t="str">
        <f t="shared" si="180"/>
        <v/>
      </c>
      <c r="T1452" s="403" t="str">
        <f t="shared" si="181"/>
        <v>NBE-5503-AL</v>
      </c>
      <c r="U1452" s="403">
        <f t="shared" si="182"/>
        <v>1</v>
      </c>
      <c r="V1452" s="403" t="str">
        <f t="shared" si="183"/>
        <v>CPP_7_3</v>
      </c>
    </row>
    <row r="1453" spans="1:22">
      <c r="A1453" t="str">
        <f t="shared" si="176"/>
        <v>NBE-5503-AL</v>
      </c>
      <c r="B1453" s="403" t="s">
        <v>1380</v>
      </c>
      <c r="C1453" s="403" t="s">
        <v>582</v>
      </c>
      <c r="D1453" s="403" t="s">
        <v>1381</v>
      </c>
      <c r="E1453" s="403" t="s">
        <v>778</v>
      </c>
      <c r="F1453" s="403" t="s">
        <v>1382</v>
      </c>
      <c r="G1453" s="403" t="s">
        <v>1467</v>
      </c>
      <c r="H1453" s="403" t="s">
        <v>1276</v>
      </c>
      <c r="I1453" s="403">
        <v>1</v>
      </c>
      <c r="J1453" s="403" t="s">
        <v>109</v>
      </c>
      <c r="K1453" s="403">
        <v>720</v>
      </c>
      <c r="L1453" s="403">
        <v>1280</v>
      </c>
      <c r="M1453" s="403" t="s">
        <v>1284</v>
      </c>
      <c r="N1453" s="403">
        <v>480</v>
      </c>
      <c r="O1453" s="403">
        <v>640</v>
      </c>
      <c r="P1453" t="str">
        <f t="shared" si="177"/>
        <v>30fps 720p - SD VGA (cropped)</v>
      </c>
      <c r="Q1453">
        <f t="shared" si="178"/>
        <v>8</v>
      </c>
      <c r="R1453" t="str">
        <f t="shared" si="179"/>
        <v/>
      </c>
      <c r="S1453" t="str">
        <f t="shared" si="180"/>
        <v/>
      </c>
      <c r="T1453" s="403" t="str">
        <f t="shared" si="181"/>
        <v>NBE-5503-AL</v>
      </c>
      <c r="U1453" s="403">
        <f t="shared" si="182"/>
        <v>1</v>
      </c>
      <c r="V1453" s="403" t="str">
        <f t="shared" si="183"/>
        <v>CPP_7_3</v>
      </c>
    </row>
    <row r="1454" spans="1:22">
      <c r="A1454" t="str">
        <f t="shared" si="176"/>
        <v>NBE-5503-AL</v>
      </c>
      <c r="B1454" s="403" t="s">
        <v>1380</v>
      </c>
      <c r="C1454" s="403" t="s">
        <v>582</v>
      </c>
      <c r="D1454" s="403" t="s">
        <v>1381</v>
      </c>
      <c r="E1454" s="403" t="s">
        <v>778</v>
      </c>
      <c r="F1454" s="403" t="s">
        <v>1382</v>
      </c>
      <c r="G1454" s="403" t="s">
        <v>1467</v>
      </c>
      <c r="H1454" s="403" t="s">
        <v>1281</v>
      </c>
      <c r="I1454" s="403">
        <v>1</v>
      </c>
      <c r="J1454" s="403" t="s">
        <v>1376</v>
      </c>
      <c r="K1454" s="403">
        <v>1728</v>
      </c>
      <c r="L1454" s="403">
        <v>3072</v>
      </c>
      <c r="M1454" s="403" t="s">
        <v>111</v>
      </c>
      <c r="N1454" s="403">
        <v>432</v>
      </c>
      <c r="O1454" s="403">
        <v>768</v>
      </c>
      <c r="P1454" t="str">
        <f t="shared" si="177"/>
        <v>30fps 3072x1728 - SD</v>
      </c>
      <c r="Q1454">
        <f t="shared" si="178"/>
        <v>8</v>
      </c>
      <c r="R1454" t="str">
        <f t="shared" si="179"/>
        <v/>
      </c>
      <c r="S1454" t="str">
        <f t="shared" si="180"/>
        <v/>
      </c>
      <c r="T1454" s="403" t="str">
        <f t="shared" si="181"/>
        <v>NBE-5503-AL</v>
      </c>
      <c r="U1454" s="403">
        <f t="shared" si="182"/>
        <v>1</v>
      </c>
      <c r="V1454" s="403" t="str">
        <f t="shared" si="183"/>
        <v>CPP_7_3</v>
      </c>
    </row>
    <row r="1455" spans="1:22">
      <c r="A1455" t="str">
        <f t="shared" si="176"/>
        <v>NBE-5503-AL</v>
      </c>
      <c r="B1455" s="403" t="s">
        <v>1380</v>
      </c>
      <c r="C1455" s="403" t="s">
        <v>582</v>
      </c>
      <c r="D1455" s="403" t="s">
        <v>1381</v>
      </c>
      <c r="E1455" s="403" t="s">
        <v>778</v>
      </c>
      <c r="F1455" s="403" t="s">
        <v>1382</v>
      </c>
      <c r="G1455" s="403" t="s">
        <v>1467</v>
      </c>
      <c r="H1455" s="403" t="s">
        <v>1281</v>
      </c>
      <c r="I1455" s="403">
        <v>1</v>
      </c>
      <c r="J1455" s="403" t="s">
        <v>1376</v>
      </c>
      <c r="K1455" s="403">
        <v>1728</v>
      </c>
      <c r="L1455" s="403">
        <v>3072</v>
      </c>
      <c r="M1455" s="403" t="s">
        <v>1280</v>
      </c>
      <c r="N1455" s="403">
        <v>1728</v>
      </c>
      <c r="O1455" s="403">
        <v>3072</v>
      </c>
      <c r="P1455" t="str">
        <f t="shared" si="177"/>
        <v>30fps 3072x1728 - copy other stream</v>
      </c>
      <c r="Q1455">
        <f t="shared" si="178"/>
        <v>8</v>
      </c>
      <c r="R1455" t="str">
        <f t="shared" si="179"/>
        <v/>
      </c>
      <c r="S1455" t="str">
        <f t="shared" si="180"/>
        <v/>
      </c>
      <c r="T1455" s="403" t="str">
        <f t="shared" si="181"/>
        <v>NBE-5503-AL</v>
      </c>
      <c r="U1455" s="403">
        <f t="shared" si="182"/>
        <v>1</v>
      </c>
      <c r="V1455" s="403" t="str">
        <f t="shared" si="183"/>
        <v>CPP_7_3</v>
      </c>
    </row>
    <row r="1456" spans="1:22">
      <c r="A1456" t="str">
        <f t="shared" si="176"/>
        <v>NBE-5503-AL</v>
      </c>
      <c r="B1456" s="403" t="s">
        <v>1380</v>
      </c>
      <c r="C1456" s="403" t="s">
        <v>582</v>
      </c>
      <c r="D1456" s="403" t="s">
        <v>1381</v>
      </c>
      <c r="E1456" s="403" t="s">
        <v>778</v>
      </c>
      <c r="F1456" s="403" t="s">
        <v>1382</v>
      </c>
      <c r="G1456" s="403" t="s">
        <v>1467</v>
      </c>
      <c r="H1456" s="403" t="s">
        <v>1281</v>
      </c>
      <c r="I1456" s="403">
        <v>1</v>
      </c>
      <c r="J1456" s="403" t="s">
        <v>1376</v>
      </c>
      <c r="K1456" s="403">
        <v>1728</v>
      </c>
      <c r="L1456" s="403">
        <v>3072</v>
      </c>
      <c r="M1456" s="403" t="s">
        <v>110</v>
      </c>
      <c r="N1456" s="403">
        <v>1080</v>
      </c>
      <c r="O1456" s="403">
        <v>1920</v>
      </c>
      <c r="P1456" t="str">
        <f t="shared" si="177"/>
        <v>30fps 3072x1728 - 1080p</v>
      </c>
      <c r="Q1456">
        <f t="shared" si="178"/>
        <v>8</v>
      </c>
      <c r="R1456" t="str">
        <f t="shared" si="179"/>
        <v/>
      </c>
      <c r="S1456" t="str">
        <f t="shared" si="180"/>
        <v/>
      </c>
      <c r="T1456" s="403" t="str">
        <f t="shared" si="181"/>
        <v>NBE-5503-AL</v>
      </c>
      <c r="U1456" s="403">
        <f t="shared" si="182"/>
        <v>1</v>
      </c>
      <c r="V1456" s="403" t="str">
        <f t="shared" si="183"/>
        <v>CPP_7_3</v>
      </c>
    </row>
    <row r="1457" spans="1:22">
      <c r="A1457" t="str">
        <f t="shared" si="176"/>
        <v>NBE-5503-AL</v>
      </c>
      <c r="B1457" s="403" t="s">
        <v>1380</v>
      </c>
      <c r="C1457" s="403" t="s">
        <v>582</v>
      </c>
      <c r="D1457" s="403" t="s">
        <v>1381</v>
      </c>
      <c r="E1457" s="403" t="s">
        <v>778</v>
      </c>
      <c r="F1457" s="403" t="s">
        <v>1382</v>
      </c>
      <c r="G1457" s="403" t="s">
        <v>1467</v>
      </c>
      <c r="H1457" s="403" t="s">
        <v>1281</v>
      </c>
      <c r="I1457" s="403">
        <v>1</v>
      </c>
      <c r="J1457" s="403" t="s">
        <v>1376</v>
      </c>
      <c r="K1457" s="403">
        <v>1728</v>
      </c>
      <c r="L1457" s="403">
        <v>3072</v>
      </c>
      <c r="M1457" s="403" t="s">
        <v>109</v>
      </c>
      <c r="N1457" s="403">
        <v>720</v>
      </c>
      <c r="O1457" s="403">
        <v>1280</v>
      </c>
      <c r="P1457" t="str">
        <f t="shared" si="177"/>
        <v>30fps 3072x1728 - 720p</v>
      </c>
      <c r="Q1457">
        <f t="shared" si="178"/>
        <v>8</v>
      </c>
      <c r="R1457" t="str">
        <f t="shared" si="179"/>
        <v/>
      </c>
      <c r="S1457" t="str">
        <f t="shared" si="180"/>
        <v/>
      </c>
      <c r="T1457" s="403" t="str">
        <f t="shared" si="181"/>
        <v>NBE-5503-AL</v>
      </c>
      <c r="U1457" s="403">
        <f t="shared" si="182"/>
        <v>1</v>
      </c>
      <c r="V1457" s="403" t="str">
        <f t="shared" si="183"/>
        <v>CPP_7_3</v>
      </c>
    </row>
    <row r="1458" spans="1:22">
      <c r="A1458" t="str">
        <f t="shared" si="176"/>
        <v>NBE-5503-AL</v>
      </c>
      <c r="B1458" s="403" t="s">
        <v>1380</v>
      </c>
      <c r="C1458" s="403" t="s">
        <v>582</v>
      </c>
      <c r="D1458" s="403" t="s">
        <v>1381</v>
      </c>
      <c r="E1458" s="403" t="s">
        <v>778</v>
      </c>
      <c r="F1458" s="403" t="s">
        <v>1382</v>
      </c>
      <c r="G1458" s="403" t="s">
        <v>1467</v>
      </c>
      <c r="H1458" s="403" t="s">
        <v>1281</v>
      </c>
      <c r="I1458" s="403">
        <v>1</v>
      </c>
      <c r="J1458" s="403" t="s">
        <v>1376</v>
      </c>
      <c r="K1458" s="403">
        <v>1728</v>
      </c>
      <c r="L1458" s="403">
        <v>3072</v>
      </c>
      <c r="M1458" s="403" t="s">
        <v>1283</v>
      </c>
      <c r="N1458" s="403">
        <v>480</v>
      </c>
      <c r="O1458" s="403">
        <v>720</v>
      </c>
      <c r="P1458" t="str">
        <f t="shared" si="177"/>
        <v>30fps 3072x1728 - SD 4CIF resolution 4:3 format (cropped)</v>
      </c>
      <c r="Q1458">
        <f t="shared" si="178"/>
        <v>8</v>
      </c>
      <c r="R1458" t="str">
        <f t="shared" si="179"/>
        <v/>
      </c>
      <c r="S1458" t="str">
        <f t="shared" si="180"/>
        <v/>
      </c>
      <c r="T1458" s="403" t="str">
        <f t="shared" si="181"/>
        <v>NBE-5503-AL</v>
      </c>
      <c r="U1458" s="403">
        <f t="shared" si="182"/>
        <v>1</v>
      </c>
      <c r="V1458" s="403" t="str">
        <f t="shared" si="183"/>
        <v>CPP_7_3</v>
      </c>
    </row>
    <row r="1459" spans="1:22">
      <c r="A1459" t="str">
        <f t="shared" si="176"/>
        <v>NBE-5503-AL</v>
      </c>
      <c r="B1459" s="403" t="s">
        <v>1380</v>
      </c>
      <c r="C1459" s="403" t="s">
        <v>582</v>
      </c>
      <c r="D1459" s="403" t="s">
        <v>1381</v>
      </c>
      <c r="E1459" s="403" t="s">
        <v>778</v>
      </c>
      <c r="F1459" s="403" t="s">
        <v>1382</v>
      </c>
      <c r="G1459" s="403" t="s">
        <v>1467</v>
      </c>
      <c r="H1459" s="403" t="s">
        <v>1281</v>
      </c>
      <c r="I1459" s="403">
        <v>1</v>
      </c>
      <c r="J1459" s="403" t="s">
        <v>1376</v>
      </c>
      <c r="K1459" s="403">
        <v>1728</v>
      </c>
      <c r="L1459" s="403">
        <v>3072</v>
      </c>
      <c r="M1459" s="403" t="s">
        <v>1279</v>
      </c>
      <c r="N1459" s="403">
        <v>432</v>
      </c>
      <c r="O1459" s="403">
        <v>768</v>
      </c>
      <c r="P1459" t="str">
        <f t="shared" si="177"/>
        <v>30fps 3072x1728 - SD ROI PTZ</v>
      </c>
      <c r="Q1459">
        <f t="shared" si="178"/>
        <v>8</v>
      </c>
      <c r="R1459" t="str">
        <f t="shared" si="179"/>
        <v/>
      </c>
      <c r="S1459" t="str">
        <f t="shared" si="180"/>
        <v/>
      </c>
      <c r="T1459" s="403" t="str">
        <f t="shared" si="181"/>
        <v>NBE-5503-AL</v>
      </c>
      <c r="U1459" s="403">
        <f t="shared" si="182"/>
        <v>1</v>
      </c>
      <c r="V1459" s="403" t="str">
        <f t="shared" si="183"/>
        <v>CPP_7_3</v>
      </c>
    </row>
    <row r="1460" spans="1:22">
      <c r="A1460" t="str">
        <f t="shared" si="176"/>
        <v>NBE-5503-AL</v>
      </c>
      <c r="B1460" s="403" t="s">
        <v>1380</v>
      </c>
      <c r="C1460" s="403" t="s">
        <v>582</v>
      </c>
      <c r="D1460" s="403" t="s">
        <v>1381</v>
      </c>
      <c r="E1460" s="403" t="s">
        <v>778</v>
      </c>
      <c r="F1460" s="403" t="s">
        <v>1382</v>
      </c>
      <c r="G1460" s="403" t="s">
        <v>1467</v>
      </c>
      <c r="H1460" s="403" t="s">
        <v>1281</v>
      </c>
      <c r="I1460" s="403">
        <v>1</v>
      </c>
      <c r="J1460" s="403" t="s">
        <v>1376</v>
      </c>
      <c r="K1460" s="403">
        <v>1728</v>
      </c>
      <c r="L1460" s="403">
        <v>3072</v>
      </c>
      <c r="M1460" s="403" t="s">
        <v>1284</v>
      </c>
      <c r="N1460" s="403">
        <v>480</v>
      </c>
      <c r="O1460" s="403">
        <v>640</v>
      </c>
      <c r="P1460" t="str">
        <f t="shared" si="177"/>
        <v>30fps 3072x1728 - SD VGA (cropped)</v>
      </c>
      <c r="Q1460">
        <f t="shared" si="178"/>
        <v>8</v>
      </c>
      <c r="R1460" t="str">
        <f t="shared" si="179"/>
        <v/>
      </c>
      <c r="S1460" t="str">
        <f t="shared" si="180"/>
        <v/>
      </c>
      <c r="T1460" s="403" t="str">
        <f t="shared" si="181"/>
        <v>NBE-5503-AL</v>
      </c>
      <c r="U1460" s="403">
        <f t="shared" si="182"/>
        <v>1</v>
      </c>
      <c r="V1460" s="403" t="str">
        <f t="shared" si="183"/>
        <v>CPP_7_3</v>
      </c>
    </row>
    <row r="1461" spans="1:22">
      <c r="A1461" t="str">
        <f t="shared" si="176"/>
        <v>NBE-5503-AL</v>
      </c>
      <c r="B1461" s="403" t="s">
        <v>1380</v>
      </c>
      <c r="C1461" s="403" t="s">
        <v>582</v>
      </c>
      <c r="D1461" s="403" t="s">
        <v>1381</v>
      </c>
      <c r="E1461" s="403" t="s">
        <v>778</v>
      </c>
      <c r="F1461" s="403" t="s">
        <v>1382</v>
      </c>
      <c r="G1461" s="403" t="s">
        <v>1467</v>
      </c>
      <c r="H1461" s="403" t="s">
        <v>1281</v>
      </c>
      <c r="I1461" s="403">
        <v>1</v>
      </c>
      <c r="J1461" s="403" t="s">
        <v>1376</v>
      </c>
      <c r="K1461" s="403">
        <v>1728</v>
      </c>
      <c r="L1461" s="403">
        <v>3072</v>
      </c>
      <c r="M1461" s="403" t="s">
        <v>1285</v>
      </c>
      <c r="N1461" s="403">
        <v>1024</v>
      </c>
      <c r="O1461" s="403">
        <v>1280</v>
      </c>
      <c r="P1461" t="str">
        <f t="shared" si="177"/>
        <v>30fps 3072x1728 - 1280x1024 5:4 (cropped)</v>
      </c>
      <c r="Q1461">
        <f t="shared" si="178"/>
        <v>8</v>
      </c>
      <c r="R1461" t="str">
        <f t="shared" si="179"/>
        <v/>
      </c>
      <c r="S1461" t="str">
        <f t="shared" si="180"/>
        <v/>
      </c>
      <c r="T1461" s="403" t="str">
        <f t="shared" si="181"/>
        <v>NBE-5503-AL</v>
      </c>
      <c r="U1461" s="403">
        <f t="shared" si="182"/>
        <v>1</v>
      </c>
      <c r="V1461" s="403" t="str">
        <f t="shared" si="183"/>
        <v>CPP_7_3</v>
      </c>
    </row>
    <row r="1462" spans="1:22">
      <c r="A1462" t="str">
        <f t="shared" si="176"/>
        <v>NBE-5503-AL</v>
      </c>
      <c r="B1462" s="403" t="s">
        <v>1380</v>
      </c>
      <c r="C1462" s="403" t="s">
        <v>582</v>
      </c>
      <c r="D1462" s="403" t="s">
        <v>1381</v>
      </c>
      <c r="E1462" s="403" t="s">
        <v>778</v>
      </c>
      <c r="F1462" s="403" t="s">
        <v>1382</v>
      </c>
      <c r="G1462" s="403" t="s">
        <v>1467</v>
      </c>
      <c r="H1462" s="403" t="s">
        <v>1281</v>
      </c>
      <c r="I1462" s="403">
        <v>1</v>
      </c>
      <c r="J1462" s="403" t="s">
        <v>1373</v>
      </c>
      <c r="K1462" s="403">
        <v>1512</v>
      </c>
      <c r="L1462" s="403">
        <v>2688</v>
      </c>
      <c r="M1462" s="403" t="s">
        <v>110</v>
      </c>
      <c r="N1462" s="403">
        <v>1080</v>
      </c>
      <c r="O1462" s="403">
        <v>1920</v>
      </c>
      <c r="P1462" t="str">
        <f t="shared" si="177"/>
        <v>30fps 2688x1512 - 1080p</v>
      </c>
      <c r="Q1462">
        <f t="shared" si="178"/>
        <v>8</v>
      </c>
      <c r="R1462" t="str">
        <f t="shared" si="179"/>
        <v/>
      </c>
      <c r="S1462" t="str">
        <f t="shared" si="180"/>
        <v/>
      </c>
      <c r="T1462" s="403" t="str">
        <f t="shared" si="181"/>
        <v>NBE-5503-AL</v>
      </c>
      <c r="U1462" s="403">
        <f t="shared" si="182"/>
        <v>1</v>
      </c>
      <c r="V1462" s="403" t="str">
        <f t="shared" si="183"/>
        <v>CPP_7_3</v>
      </c>
    </row>
    <row r="1463" spans="1:22">
      <c r="A1463" t="str">
        <f t="shared" si="176"/>
        <v>NBE-5503-AL</v>
      </c>
      <c r="B1463" s="403" t="s">
        <v>1380</v>
      </c>
      <c r="C1463" s="403" t="s">
        <v>582</v>
      </c>
      <c r="D1463" s="403" t="s">
        <v>1381</v>
      </c>
      <c r="E1463" s="403" t="s">
        <v>778</v>
      </c>
      <c r="F1463" s="403" t="s">
        <v>1382</v>
      </c>
      <c r="G1463" s="403" t="s">
        <v>1467</v>
      </c>
      <c r="H1463" s="403" t="s">
        <v>1281</v>
      </c>
      <c r="I1463" s="403">
        <v>1</v>
      </c>
      <c r="J1463" s="403" t="s">
        <v>1373</v>
      </c>
      <c r="K1463" s="403">
        <v>1512</v>
      </c>
      <c r="L1463" s="403">
        <v>2688</v>
      </c>
      <c r="M1463" s="403" t="s">
        <v>1384</v>
      </c>
      <c r="N1463" s="403">
        <v>1512</v>
      </c>
      <c r="O1463" s="403">
        <v>2688</v>
      </c>
      <c r="P1463" t="str">
        <f t="shared" si="177"/>
        <v>30fps 2688x1512 - 2688x1512 @ SKIP 2</v>
      </c>
      <c r="Q1463">
        <f t="shared" si="178"/>
        <v>8</v>
      </c>
      <c r="R1463" t="str">
        <f t="shared" si="179"/>
        <v/>
      </c>
      <c r="S1463" t="str">
        <f t="shared" si="180"/>
        <v/>
      </c>
      <c r="T1463" s="403" t="str">
        <f t="shared" si="181"/>
        <v>NBE-5503-AL</v>
      </c>
      <c r="U1463" s="403">
        <f t="shared" si="182"/>
        <v>1</v>
      </c>
      <c r="V1463" s="403" t="str">
        <f t="shared" si="183"/>
        <v>CPP_7_3</v>
      </c>
    </row>
    <row r="1464" spans="1:22">
      <c r="A1464" t="str">
        <f t="shared" si="176"/>
        <v>NBE-5503-AL</v>
      </c>
      <c r="B1464" s="403" t="s">
        <v>1380</v>
      </c>
      <c r="C1464" s="403" t="s">
        <v>582</v>
      </c>
      <c r="D1464" s="403" t="s">
        <v>1381</v>
      </c>
      <c r="E1464" s="403" t="s">
        <v>778</v>
      </c>
      <c r="F1464" s="403" t="s">
        <v>1382</v>
      </c>
      <c r="G1464" s="403" t="s">
        <v>1467</v>
      </c>
      <c r="H1464" s="403" t="s">
        <v>1281</v>
      </c>
      <c r="I1464" s="403">
        <v>1</v>
      </c>
      <c r="J1464" s="403" t="s">
        <v>1373</v>
      </c>
      <c r="K1464" s="403">
        <v>1512</v>
      </c>
      <c r="L1464" s="403">
        <v>2688</v>
      </c>
      <c r="M1464" s="403" t="s">
        <v>109</v>
      </c>
      <c r="N1464" s="403">
        <v>720</v>
      </c>
      <c r="O1464" s="403">
        <v>1280</v>
      </c>
      <c r="P1464" t="str">
        <f t="shared" si="177"/>
        <v>30fps 2688x1512 - 720p</v>
      </c>
      <c r="Q1464">
        <f t="shared" si="178"/>
        <v>8</v>
      </c>
      <c r="R1464" t="str">
        <f t="shared" si="179"/>
        <v/>
      </c>
      <c r="S1464" t="str">
        <f t="shared" si="180"/>
        <v/>
      </c>
      <c r="T1464" s="403" t="str">
        <f t="shared" si="181"/>
        <v>NBE-5503-AL</v>
      </c>
      <c r="U1464" s="403">
        <f t="shared" si="182"/>
        <v>1</v>
      </c>
      <c r="V1464" s="403" t="str">
        <f t="shared" si="183"/>
        <v>CPP_7_3</v>
      </c>
    </row>
    <row r="1465" spans="1:22">
      <c r="A1465" t="str">
        <f t="shared" si="176"/>
        <v>NBE-5503-AL</v>
      </c>
      <c r="B1465" s="403" t="s">
        <v>1380</v>
      </c>
      <c r="C1465" s="403" t="s">
        <v>582</v>
      </c>
      <c r="D1465" s="403" t="s">
        <v>1381</v>
      </c>
      <c r="E1465" s="403" t="s">
        <v>778</v>
      </c>
      <c r="F1465" s="403" t="s">
        <v>1382</v>
      </c>
      <c r="G1465" s="403" t="s">
        <v>1467</v>
      </c>
      <c r="H1465" s="403" t="s">
        <v>1281</v>
      </c>
      <c r="I1465" s="403">
        <v>1</v>
      </c>
      <c r="J1465" s="403" t="s">
        <v>1373</v>
      </c>
      <c r="K1465" s="403">
        <v>1512</v>
      </c>
      <c r="L1465" s="403">
        <v>2688</v>
      </c>
      <c r="M1465" s="403" t="s">
        <v>111</v>
      </c>
      <c r="N1465" s="403">
        <v>432</v>
      </c>
      <c r="O1465" s="403">
        <v>768</v>
      </c>
      <c r="P1465" t="str">
        <f t="shared" si="177"/>
        <v>30fps 2688x1512 - SD</v>
      </c>
      <c r="Q1465">
        <f t="shared" si="178"/>
        <v>8</v>
      </c>
      <c r="R1465" t="str">
        <f t="shared" si="179"/>
        <v/>
      </c>
      <c r="S1465" t="str">
        <f t="shared" si="180"/>
        <v/>
      </c>
      <c r="T1465" s="403" t="str">
        <f t="shared" si="181"/>
        <v>NBE-5503-AL</v>
      </c>
      <c r="U1465" s="403">
        <f t="shared" si="182"/>
        <v>1</v>
      </c>
      <c r="V1465" s="403" t="str">
        <f t="shared" si="183"/>
        <v>CPP_7_3</v>
      </c>
    </row>
    <row r="1466" spans="1:22">
      <c r="A1466" t="str">
        <f t="shared" si="176"/>
        <v>NBE-5503-AL</v>
      </c>
      <c r="B1466" s="403" t="s">
        <v>1380</v>
      </c>
      <c r="C1466" s="403" t="s">
        <v>582</v>
      </c>
      <c r="D1466" s="403" t="s">
        <v>1381</v>
      </c>
      <c r="E1466" s="403" t="s">
        <v>778</v>
      </c>
      <c r="F1466" s="403" t="s">
        <v>1382</v>
      </c>
      <c r="G1466" s="403" t="s">
        <v>1467</v>
      </c>
      <c r="H1466" s="403" t="s">
        <v>1281</v>
      </c>
      <c r="I1466" s="403">
        <v>1</v>
      </c>
      <c r="J1466" s="403" t="s">
        <v>1373</v>
      </c>
      <c r="K1466" s="403">
        <v>1512</v>
      </c>
      <c r="L1466" s="403">
        <v>2688</v>
      </c>
      <c r="M1466" s="403" t="s">
        <v>1279</v>
      </c>
      <c r="N1466" s="403">
        <v>432</v>
      </c>
      <c r="O1466" s="403">
        <v>768</v>
      </c>
      <c r="P1466" t="str">
        <f t="shared" si="177"/>
        <v>30fps 2688x1512 - SD ROI PTZ</v>
      </c>
      <c r="Q1466">
        <f t="shared" si="178"/>
        <v>8</v>
      </c>
      <c r="R1466" t="str">
        <f t="shared" si="179"/>
        <v/>
      </c>
      <c r="S1466" t="str">
        <f t="shared" si="180"/>
        <v/>
      </c>
      <c r="T1466" s="403" t="str">
        <f t="shared" si="181"/>
        <v>NBE-5503-AL</v>
      </c>
      <c r="U1466" s="403">
        <f t="shared" si="182"/>
        <v>1</v>
      </c>
      <c r="V1466" s="403" t="str">
        <f t="shared" si="183"/>
        <v>CPP_7_3</v>
      </c>
    </row>
    <row r="1467" spans="1:22">
      <c r="A1467" t="str">
        <f t="shared" si="176"/>
        <v>NBE-5503-AL</v>
      </c>
      <c r="B1467" s="403" t="s">
        <v>1380</v>
      </c>
      <c r="C1467" s="403" t="s">
        <v>582</v>
      </c>
      <c r="D1467" s="403" t="s">
        <v>1381</v>
      </c>
      <c r="E1467" s="403" t="s">
        <v>778</v>
      </c>
      <c r="F1467" s="403" t="s">
        <v>1382</v>
      </c>
      <c r="G1467" s="403" t="s">
        <v>1467</v>
      </c>
      <c r="H1467" s="403" t="s">
        <v>1281</v>
      </c>
      <c r="I1467" s="403">
        <v>1</v>
      </c>
      <c r="J1467" s="403" t="s">
        <v>1373</v>
      </c>
      <c r="K1467" s="403">
        <v>1512</v>
      </c>
      <c r="L1467" s="403">
        <v>2688</v>
      </c>
      <c r="M1467" s="403" t="s">
        <v>1285</v>
      </c>
      <c r="N1467" s="403">
        <v>1024</v>
      </c>
      <c r="O1467" s="403">
        <v>1280</v>
      </c>
      <c r="P1467" t="str">
        <f t="shared" si="177"/>
        <v>30fps 2688x1512 - 1280x1024 5:4 (cropped)</v>
      </c>
      <c r="Q1467">
        <f t="shared" si="178"/>
        <v>8</v>
      </c>
      <c r="R1467" t="str">
        <f t="shared" si="179"/>
        <v/>
      </c>
      <c r="S1467" t="str">
        <f t="shared" si="180"/>
        <v/>
      </c>
      <c r="T1467" s="403" t="str">
        <f t="shared" si="181"/>
        <v>NBE-5503-AL</v>
      </c>
      <c r="U1467" s="403">
        <f t="shared" si="182"/>
        <v>1</v>
      </c>
      <c r="V1467" s="403" t="str">
        <f t="shared" si="183"/>
        <v>CPP_7_3</v>
      </c>
    </row>
    <row r="1468" spans="1:22">
      <c r="A1468" t="str">
        <f t="shared" si="176"/>
        <v>NBE-5503-AL</v>
      </c>
      <c r="B1468" s="403" t="s">
        <v>1380</v>
      </c>
      <c r="C1468" s="403" t="s">
        <v>582</v>
      </c>
      <c r="D1468" s="403" t="s">
        <v>1381</v>
      </c>
      <c r="E1468" s="403" t="s">
        <v>778</v>
      </c>
      <c r="F1468" s="403" t="s">
        <v>1382</v>
      </c>
      <c r="G1468" s="403" t="s">
        <v>1467</v>
      </c>
      <c r="H1468" s="403" t="s">
        <v>1281</v>
      </c>
      <c r="I1468" s="403">
        <v>1</v>
      </c>
      <c r="J1468" s="403" t="s">
        <v>1373</v>
      </c>
      <c r="K1468" s="403">
        <v>1512</v>
      </c>
      <c r="L1468" s="403">
        <v>2688</v>
      </c>
      <c r="M1468" s="403" t="s">
        <v>1283</v>
      </c>
      <c r="N1468" s="403">
        <v>480</v>
      </c>
      <c r="O1468" s="403">
        <v>720</v>
      </c>
      <c r="P1468" t="str">
        <f t="shared" si="177"/>
        <v>30fps 2688x1512 - SD 4CIF resolution 4:3 format (cropped)</v>
      </c>
      <c r="Q1468">
        <f t="shared" si="178"/>
        <v>8</v>
      </c>
      <c r="R1468" t="str">
        <f t="shared" si="179"/>
        <v/>
      </c>
      <c r="S1468" t="str">
        <f t="shared" si="180"/>
        <v/>
      </c>
      <c r="T1468" s="403" t="str">
        <f t="shared" si="181"/>
        <v>NBE-5503-AL</v>
      </c>
      <c r="U1468" s="403">
        <f t="shared" si="182"/>
        <v>1</v>
      </c>
      <c r="V1468" s="403" t="str">
        <f t="shared" si="183"/>
        <v>CPP_7_3</v>
      </c>
    </row>
    <row r="1469" spans="1:22">
      <c r="A1469" t="str">
        <f t="shared" si="176"/>
        <v>NBE-5503-AL</v>
      </c>
      <c r="B1469" s="403" t="s">
        <v>1380</v>
      </c>
      <c r="C1469" s="403" t="s">
        <v>582</v>
      </c>
      <c r="D1469" s="403" t="s">
        <v>1381</v>
      </c>
      <c r="E1469" s="403" t="s">
        <v>778</v>
      </c>
      <c r="F1469" s="403" t="s">
        <v>1382</v>
      </c>
      <c r="G1469" s="403" t="s">
        <v>1467</v>
      </c>
      <c r="H1469" s="403" t="s">
        <v>1281</v>
      </c>
      <c r="I1469" s="403">
        <v>1</v>
      </c>
      <c r="J1469" s="403" t="s">
        <v>1373</v>
      </c>
      <c r="K1469" s="403">
        <v>1512</v>
      </c>
      <c r="L1469" s="403">
        <v>2688</v>
      </c>
      <c r="M1469" s="403" t="s">
        <v>1284</v>
      </c>
      <c r="N1469" s="403">
        <v>480</v>
      </c>
      <c r="O1469" s="403">
        <v>640</v>
      </c>
      <c r="P1469" t="str">
        <f t="shared" si="177"/>
        <v>30fps 2688x1512 - SD VGA (cropped)</v>
      </c>
      <c r="Q1469">
        <f t="shared" si="178"/>
        <v>8</v>
      </c>
      <c r="R1469" t="str">
        <f t="shared" si="179"/>
        <v/>
      </c>
      <c r="S1469" t="str">
        <f t="shared" si="180"/>
        <v/>
      </c>
      <c r="T1469" s="403" t="str">
        <f t="shared" si="181"/>
        <v>NBE-5503-AL</v>
      </c>
      <c r="U1469" s="403">
        <f t="shared" si="182"/>
        <v>1</v>
      </c>
      <c r="V1469" s="403" t="str">
        <f t="shared" si="183"/>
        <v>CPP_7_3</v>
      </c>
    </row>
    <row r="1470" spans="1:22">
      <c r="A1470" t="str">
        <f t="shared" si="176"/>
        <v>NBE-5503-AL</v>
      </c>
      <c r="B1470" s="403" t="s">
        <v>1380</v>
      </c>
      <c r="C1470" s="403" t="s">
        <v>582</v>
      </c>
      <c r="D1470" s="403" t="s">
        <v>1381</v>
      </c>
      <c r="E1470" s="403" t="s">
        <v>778</v>
      </c>
      <c r="F1470" s="403" t="s">
        <v>1382</v>
      </c>
      <c r="G1470" s="403" t="s">
        <v>1467</v>
      </c>
      <c r="H1470" s="403" t="s">
        <v>1281</v>
      </c>
      <c r="I1470" s="403">
        <v>1</v>
      </c>
      <c r="J1470" s="403" t="s">
        <v>1373</v>
      </c>
      <c r="K1470" s="403">
        <v>1512</v>
      </c>
      <c r="L1470" s="403">
        <v>2688</v>
      </c>
      <c r="M1470" s="403" t="s">
        <v>1280</v>
      </c>
      <c r="N1470" s="403">
        <v>1512</v>
      </c>
      <c r="O1470" s="403">
        <v>2688</v>
      </c>
      <c r="P1470" t="str">
        <f t="shared" si="177"/>
        <v>30fps 2688x1512 - copy other stream</v>
      </c>
      <c r="Q1470">
        <f t="shared" si="178"/>
        <v>8</v>
      </c>
      <c r="R1470" t="str">
        <f t="shared" si="179"/>
        <v/>
      </c>
      <c r="S1470" t="str">
        <f t="shared" si="180"/>
        <v/>
      </c>
      <c r="T1470" s="403" t="str">
        <f t="shared" si="181"/>
        <v>NBE-5503-AL</v>
      </c>
      <c r="U1470" s="403">
        <f t="shared" si="182"/>
        <v>1</v>
      </c>
      <c r="V1470" s="403" t="str">
        <f t="shared" si="183"/>
        <v>CPP_7_3</v>
      </c>
    </row>
    <row r="1471" spans="1:22">
      <c r="A1471" t="str">
        <f t="shared" si="176"/>
        <v>NBE-5503-AL</v>
      </c>
      <c r="B1471" s="403" t="s">
        <v>1380</v>
      </c>
      <c r="C1471" s="403" t="s">
        <v>582</v>
      </c>
      <c r="D1471" s="403" t="s">
        <v>1381</v>
      </c>
      <c r="E1471" s="403" t="s">
        <v>778</v>
      </c>
      <c r="F1471" s="403" t="s">
        <v>1382</v>
      </c>
      <c r="G1471" s="403" t="s">
        <v>1467</v>
      </c>
      <c r="H1471" s="403" t="s">
        <v>1281</v>
      </c>
      <c r="I1471" s="403">
        <v>1</v>
      </c>
      <c r="J1471" s="403" t="s">
        <v>1374</v>
      </c>
      <c r="K1471" s="403">
        <v>1296</v>
      </c>
      <c r="L1471" s="403">
        <v>2304</v>
      </c>
      <c r="M1471" s="403" t="s">
        <v>110</v>
      </c>
      <c r="N1471" s="403">
        <v>1080</v>
      </c>
      <c r="O1471" s="403">
        <v>1920</v>
      </c>
      <c r="P1471" t="str">
        <f t="shared" si="177"/>
        <v>30fps 2304x1296 - 1080p</v>
      </c>
      <c r="Q1471">
        <f t="shared" si="178"/>
        <v>8</v>
      </c>
      <c r="R1471" t="str">
        <f t="shared" si="179"/>
        <v/>
      </c>
      <c r="S1471" t="str">
        <f t="shared" si="180"/>
        <v/>
      </c>
      <c r="T1471" s="403" t="str">
        <f t="shared" si="181"/>
        <v>NBE-5503-AL</v>
      </c>
      <c r="U1471" s="403">
        <f t="shared" si="182"/>
        <v>1</v>
      </c>
      <c r="V1471" s="403" t="str">
        <f t="shared" si="183"/>
        <v>CPP_7_3</v>
      </c>
    </row>
    <row r="1472" spans="1:22">
      <c r="A1472" t="str">
        <f t="shared" si="176"/>
        <v>NBE-5503-AL</v>
      </c>
      <c r="B1472" s="403" t="s">
        <v>1380</v>
      </c>
      <c r="C1472" s="403" t="s">
        <v>582</v>
      </c>
      <c r="D1472" s="403" t="s">
        <v>1381</v>
      </c>
      <c r="E1472" s="403" t="s">
        <v>778</v>
      </c>
      <c r="F1472" s="403" t="s">
        <v>1382</v>
      </c>
      <c r="G1472" s="403" t="s">
        <v>1467</v>
      </c>
      <c r="H1472" s="403" t="s">
        <v>1281</v>
      </c>
      <c r="I1472" s="403">
        <v>1</v>
      </c>
      <c r="J1472" s="403" t="s">
        <v>1374</v>
      </c>
      <c r="K1472" s="403">
        <v>1296</v>
      </c>
      <c r="L1472" s="403">
        <v>2304</v>
      </c>
      <c r="M1472" s="403" t="s">
        <v>1374</v>
      </c>
      <c r="N1472" s="403">
        <v>1296</v>
      </c>
      <c r="O1472" s="403">
        <v>2304</v>
      </c>
      <c r="P1472" t="str">
        <f t="shared" si="177"/>
        <v>30fps 2304x1296 - 2304x1296</v>
      </c>
      <c r="Q1472">
        <f t="shared" si="178"/>
        <v>8</v>
      </c>
      <c r="R1472" t="str">
        <f t="shared" si="179"/>
        <v/>
      </c>
      <c r="S1472" t="str">
        <f t="shared" si="180"/>
        <v/>
      </c>
      <c r="T1472" s="403" t="str">
        <f t="shared" si="181"/>
        <v>NBE-5503-AL</v>
      </c>
      <c r="U1472" s="403">
        <f t="shared" si="182"/>
        <v>1</v>
      </c>
      <c r="V1472" s="403" t="str">
        <f t="shared" si="183"/>
        <v>CPP_7_3</v>
      </c>
    </row>
    <row r="1473" spans="1:22">
      <c r="A1473" t="str">
        <f t="shared" si="176"/>
        <v>NBE-5503-AL</v>
      </c>
      <c r="B1473" s="403" t="s">
        <v>1380</v>
      </c>
      <c r="C1473" s="403" t="s">
        <v>582</v>
      </c>
      <c r="D1473" s="403" t="s">
        <v>1381</v>
      </c>
      <c r="E1473" s="403" t="s">
        <v>778</v>
      </c>
      <c r="F1473" s="403" t="s">
        <v>1382</v>
      </c>
      <c r="G1473" s="403" t="s">
        <v>1467</v>
      </c>
      <c r="H1473" s="403" t="s">
        <v>1281</v>
      </c>
      <c r="I1473" s="403">
        <v>1</v>
      </c>
      <c r="J1473" s="403" t="s">
        <v>1374</v>
      </c>
      <c r="K1473" s="403">
        <v>1296</v>
      </c>
      <c r="L1473" s="403">
        <v>2304</v>
      </c>
      <c r="M1473" s="403" t="s">
        <v>109</v>
      </c>
      <c r="N1473" s="403">
        <v>720</v>
      </c>
      <c r="O1473" s="403">
        <v>1280</v>
      </c>
      <c r="P1473" t="str">
        <f t="shared" si="177"/>
        <v>30fps 2304x1296 - 720p</v>
      </c>
      <c r="Q1473">
        <f t="shared" si="178"/>
        <v>8</v>
      </c>
      <c r="R1473" t="str">
        <f t="shared" si="179"/>
        <v/>
      </c>
      <c r="S1473" t="str">
        <f t="shared" si="180"/>
        <v/>
      </c>
      <c r="T1473" s="403" t="str">
        <f t="shared" si="181"/>
        <v>NBE-5503-AL</v>
      </c>
      <c r="U1473" s="403">
        <f t="shared" si="182"/>
        <v>1</v>
      </c>
      <c r="V1473" s="403" t="str">
        <f t="shared" si="183"/>
        <v>CPP_7_3</v>
      </c>
    </row>
    <row r="1474" spans="1:22">
      <c r="A1474" t="str">
        <f t="shared" ref="A1474:A1537" si="184">IF(AND(G1474&lt;&gt;"rotate 90°"),D1474,"")</f>
        <v>NBE-5503-AL</v>
      </c>
      <c r="B1474" s="403" t="s">
        <v>1380</v>
      </c>
      <c r="C1474" s="403" t="s">
        <v>582</v>
      </c>
      <c r="D1474" s="403" t="s">
        <v>1381</v>
      </c>
      <c r="E1474" s="403" t="s">
        <v>778</v>
      </c>
      <c r="F1474" s="403" t="s">
        <v>1382</v>
      </c>
      <c r="G1474" s="403" t="s">
        <v>1467</v>
      </c>
      <c r="H1474" s="403" t="s">
        <v>1281</v>
      </c>
      <c r="I1474" s="403">
        <v>1</v>
      </c>
      <c r="J1474" s="403" t="s">
        <v>1374</v>
      </c>
      <c r="K1474" s="403">
        <v>1296</v>
      </c>
      <c r="L1474" s="403">
        <v>2304</v>
      </c>
      <c r="M1474" s="403" t="s">
        <v>111</v>
      </c>
      <c r="N1474" s="403">
        <v>432</v>
      </c>
      <c r="O1474" s="403">
        <v>768</v>
      </c>
      <c r="P1474" t="str">
        <f t="shared" ref="P1474:P1537" si="185">LEFT(F1474,5)&amp;" "&amp;J1474&amp;" - "&amp;M1474</f>
        <v>30fps 2304x1296 - SD</v>
      </c>
      <c r="Q1474">
        <f t="shared" ref="Q1474:Q1537" si="186">IF(A1473=A1474,Q1473,Q1473+1)</f>
        <v>8</v>
      </c>
      <c r="R1474" t="str">
        <f t="shared" ref="R1474:R1537" si="187">IF(Q1473&lt;&gt;Q1474,Q1474,"")</f>
        <v/>
      </c>
      <c r="S1474" t="str">
        <f t="shared" ref="S1474:S1537" si="188">IF(R1474&lt;&gt;"",B1474&amp;" ("&amp;D1474&amp;")","")</f>
        <v/>
      </c>
      <c r="T1474" s="403" t="str">
        <f t="shared" ref="T1474:T1537" si="189">D1474</f>
        <v>NBE-5503-AL</v>
      </c>
      <c r="U1474" s="403">
        <f t="shared" ref="U1474:U1537" si="190">I1474</f>
        <v>1</v>
      </c>
      <c r="V1474" s="403" t="str">
        <f t="shared" ref="V1474:V1537" si="191">C1474</f>
        <v>CPP_7_3</v>
      </c>
    </row>
    <row r="1475" spans="1:22">
      <c r="A1475" t="str">
        <f t="shared" si="184"/>
        <v>NBE-5503-AL</v>
      </c>
      <c r="B1475" s="403" t="s">
        <v>1380</v>
      </c>
      <c r="C1475" s="403" t="s">
        <v>582</v>
      </c>
      <c r="D1475" s="403" t="s">
        <v>1381</v>
      </c>
      <c r="E1475" s="403" t="s">
        <v>778</v>
      </c>
      <c r="F1475" s="403" t="s">
        <v>1382</v>
      </c>
      <c r="G1475" s="403" t="s">
        <v>1467</v>
      </c>
      <c r="H1475" s="403" t="s">
        <v>1281</v>
      </c>
      <c r="I1475" s="403">
        <v>1</v>
      </c>
      <c r="J1475" s="403" t="s">
        <v>1374</v>
      </c>
      <c r="K1475" s="403">
        <v>1296</v>
      </c>
      <c r="L1475" s="403">
        <v>2304</v>
      </c>
      <c r="M1475" s="403" t="s">
        <v>1279</v>
      </c>
      <c r="N1475" s="403">
        <v>432</v>
      </c>
      <c r="O1475" s="403">
        <v>768</v>
      </c>
      <c r="P1475" t="str">
        <f t="shared" si="185"/>
        <v>30fps 2304x1296 - SD ROI PTZ</v>
      </c>
      <c r="Q1475">
        <f t="shared" si="186"/>
        <v>8</v>
      </c>
      <c r="R1475" t="str">
        <f t="shared" si="187"/>
        <v/>
      </c>
      <c r="S1475" t="str">
        <f t="shared" si="188"/>
        <v/>
      </c>
      <c r="T1475" s="403" t="str">
        <f t="shared" si="189"/>
        <v>NBE-5503-AL</v>
      </c>
      <c r="U1475" s="403">
        <f t="shared" si="190"/>
        <v>1</v>
      </c>
      <c r="V1475" s="403" t="str">
        <f t="shared" si="191"/>
        <v>CPP_7_3</v>
      </c>
    </row>
    <row r="1476" spans="1:22">
      <c r="A1476" t="str">
        <f t="shared" si="184"/>
        <v>NBE-5503-AL</v>
      </c>
      <c r="B1476" s="403" t="s">
        <v>1380</v>
      </c>
      <c r="C1476" s="403" t="s">
        <v>582</v>
      </c>
      <c r="D1476" s="403" t="s">
        <v>1381</v>
      </c>
      <c r="E1476" s="403" t="s">
        <v>778</v>
      </c>
      <c r="F1476" s="403" t="s">
        <v>1382</v>
      </c>
      <c r="G1476" s="403" t="s">
        <v>1467</v>
      </c>
      <c r="H1476" s="403" t="s">
        <v>1281</v>
      </c>
      <c r="I1476" s="403">
        <v>1</v>
      </c>
      <c r="J1476" s="403" t="s">
        <v>1374</v>
      </c>
      <c r="K1476" s="403">
        <v>1296</v>
      </c>
      <c r="L1476" s="403">
        <v>2304</v>
      </c>
      <c r="M1476" s="403" t="s">
        <v>1285</v>
      </c>
      <c r="N1476" s="403">
        <v>1024</v>
      </c>
      <c r="O1476" s="403">
        <v>1280</v>
      </c>
      <c r="P1476" t="str">
        <f t="shared" si="185"/>
        <v>30fps 2304x1296 - 1280x1024 5:4 (cropped)</v>
      </c>
      <c r="Q1476">
        <f t="shared" si="186"/>
        <v>8</v>
      </c>
      <c r="R1476" t="str">
        <f t="shared" si="187"/>
        <v/>
      </c>
      <c r="S1476" t="str">
        <f t="shared" si="188"/>
        <v/>
      </c>
      <c r="T1476" s="403" t="str">
        <f t="shared" si="189"/>
        <v>NBE-5503-AL</v>
      </c>
      <c r="U1476" s="403">
        <f t="shared" si="190"/>
        <v>1</v>
      </c>
      <c r="V1476" s="403" t="str">
        <f t="shared" si="191"/>
        <v>CPP_7_3</v>
      </c>
    </row>
    <row r="1477" spans="1:22">
      <c r="A1477" t="str">
        <f t="shared" si="184"/>
        <v>NBE-5503-AL</v>
      </c>
      <c r="B1477" s="403" t="s">
        <v>1380</v>
      </c>
      <c r="C1477" s="403" t="s">
        <v>582</v>
      </c>
      <c r="D1477" s="403" t="s">
        <v>1381</v>
      </c>
      <c r="E1477" s="403" t="s">
        <v>778</v>
      </c>
      <c r="F1477" s="403" t="s">
        <v>1382</v>
      </c>
      <c r="G1477" s="403" t="s">
        <v>1467</v>
      </c>
      <c r="H1477" s="403" t="s">
        <v>1281</v>
      </c>
      <c r="I1477" s="403">
        <v>1</v>
      </c>
      <c r="J1477" s="403" t="s">
        <v>1374</v>
      </c>
      <c r="K1477" s="403">
        <v>1296</v>
      </c>
      <c r="L1477" s="403">
        <v>2304</v>
      </c>
      <c r="M1477" s="403" t="s">
        <v>1283</v>
      </c>
      <c r="N1477" s="403">
        <v>480</v>
      </c>
      <c r="O1477" s="403">
        <v>720</v>
      </c>
      <c r="P1477" t="str">
        <f t="shared" si="185"/>
        <v>30fps 2304x1296 - SD 4CIF resolution 4:3 format (cropped)</v>
      </c>
      <c r="Q1477">
        <f t="shared" si="186"/>
        <v>8</v>
      </c>
      <c r="R1477" t="str">
        <f t="shared" si="187"/>
        <v/>
      </c>
      <c r="S1477" t="str">
        <f t="shared" si="188"/>
        <v/>
      </c>
      <c r="T1477" s="403" t="str">
        <f t="shared" si="189"/>
        <v>NBE-5503-AL</v>
      </c>
      <c r="U1477" s="403">
        <f t="shared" si="190"/>
        <v>1</v>
      </c>
      <c r="V1477" s="403" t="str">
        <f t="shared" si="191"/>
        <v>CPP_7_3</v>
      </c>
    </row>
    <row r="1478" spans="1:22">
      <c r="A1478" t="str">
        <f t="shared" si="184"/>
        <v>NBE-5503-AL</v>
      </c>
      <c r="B1478" s="403" t="s">
        <v>1380</v>
      </c>
      <c r="C1478" s="403" t="s">
        <v>582</v>
      </c>
      <c r="D1478" s="403" t="s">
        <v>1381</v>
      </c>
      <c r="E1478" s="403" t="s">
        <v>778</v>
      </c>
      <c r="F1478" s="403" t="s">
        <v>1382</v>
      </c>
      <c r="G1478" s="403" t="s">
        <v>1467</v>
      </c>
      <c r="H1478" s="403" t="s">
        <v>1281</v>
      </c>
      <c r="I1478" s="403">
        <v>1</v>
      </c>
      <c r="J1478" s="403" t="s">
        <v>1374</v>
      </c>
      <c r="K1478" s="403">
        <v>1296</v>
      </c>
      <c r="L1478" s="403">
        <v>2304</v>
      </c>
      <c r="M1478" s="403" t="s">
        <v>1284</v>
      </c>
      <c r="N1478" s="403">
        <v>480</v>
      </c>
      <c r="O1478" s="403">
        <v>640</v>
      </c>
      <c r="P1478" t="str">
        <f t="shared" si="185"/>
        <v>30fps 2304x1296 - SD VGA (cropped)</v>
      </c>
      <c r="Q1478">
        <f t="shared" si="186"/>
        <v>8</v>
      </c>
      <c r="R1478" t="str">
        <f t="shared" si="187"/>
        <v/>
      </c>
      <c r="S1478" t="str">
        <f t="shared" si="188"/>
        <v/>
      </c>
      <c r="T1478" s="403" t="str">
        <f t="shared" si="189"/>
        <v>NBE-5503-AL</v>
      </c>
      <c r="U1478" s="403">
        <f t="shared" si="190"/>
        <v>1</v>
      </c>
      <c r="V1478" s="403" t="str">
        <f t="shared" si="191"/>
        <v>CPP_7_3</v>
      </c>
    </row>
    <row r="1479" spans="1:22">
      <c r="A1479" t="str">
        <f t="shared" si="184"/>
        <v>NBE-5503-AL</v>
      </c>
      <c r="B1479" s="403" t="s">
        <v>1380</v>
      </c>
      <c r="C1479" s="403" t="s">
        <v>582</v>
      </c>
      <c r="D1479" s="403" t="s">
        <v>1381</v>
      </c>
      <c r="E1479" s="403" t="s">
        <v>778</v>
      </c>
      <c r="F1479" s="403" t="s">
        <v>1382</v>
      </c>
      <c r="G1479" s="403" t="s">
        <v>1467</v>
      </c>
      <c r="H1479" s="403" t="s">
        <v>1281</v>
      </c>
      <c r="I1479" s="403">
        <v>1</v>
      </c>
      <c r="J1479" s="403" t="s">
        <v>1374</v>
      </c>
      <c r="K1479" s="403">
        <v>1296</v>
      </c>
      <c r="L1479" s="403">
        <v>2304</v>
      </c>
      <c r="M1479" s="403" t="s">
        <v>1280</v>
      </c>
      <c r="N1479" s="403">
        <v>1296</v>
      </c>
      <c r="O1479" s="403">
        <v>2304</v>
      </c>
      <c r="P1479" t="str">
        <f t="shared" si="185"/>
        <v>30fps 2304x1296 - copy other stream</v>
      </c>
      <c r="Q1479">
        <f t="shared" si="186"/>
        <v>8</v>
      </c>
      <c r="R1479" t="str">
        <f t="shared" si="187"/>
        <v/>
      </c>
      <c r="S1479" t="str">
        <f t="shared" si="188"/>
        <v/>
      </c>
      <c r="T1479" s="403" t="str">
        <f t="shared" si="189"/>
        <v>NBE-5503-AL</v>
      </c>
      <c r="U1479" s="403">
        <f t="shared" si="190"/>
        <v>1</v>
      </c>
      <c r="V1479" s="403" t="str">
        <f t="shared" si="191"/>
        <v>CPP_7_3</v>
      </c>
    </row>
    <row r="1480" spans="1:22">
      <c r="A1480" t="str">
        <f t="shared" si="184"/>
        <v>NBE-5503-AL</v>
      </c>
      <c r="B1480" s="403" t="s">
        <v>1380</v>
      </c>
      <c r="C1480" s="403" t="s">
        <v>582</v>
      </c>
      <c r="D1480" s="403" t="s">
        <v>1381</v>
      </c>
      <c r="E1480" s="403" t="s">
        <v>778</v>
      </c>
      <c r="F1480" s="403" t="s">
        <v>1382</v>
      </c>
      <c r="G1480" s="403" t="s">
        <v>1467</v>
      </c>
      <c r="H1480" s="403" t="s">
        <v>1281</v>
      </c>
      <c r="I1480" s="403">
        <v>1</v>
      </c>
      <c r="J1480" s="403" t="s">
        <v>110</v>
      </c>
      <c r="K1480" s="403">
        <v>1080</v>
      </c>
      <c r="L1480" s="403">
        <v>1920</v>
      </c>
      <c r="M1480" s="403" t="s">
        <v>111</v>
      </c>
      <c r="N1480" s="403">
        <v>432</v>
      </c>
      <c r="O1480" s="403">
        <v>768</v>
      </c>
      <c r="P1480" t="str">
        <f t="shared" si="185"/>
        <v>30fps 1080p - SD</v>
      </c>
      <c r="Q1480">
        <f t="shared" si="186"/>
        <v>8</v>
      </c>
      <c r="R1480" t="str">
        <f t="shared" si="187"/>
        <v/>
      </c>
      <c r="S1480" t="str">
        <f t="shared" si="188"/>
        <v/>
      </c>
      <c r="T1480" s="403" t="str">
        <f t="shared" si="189"/>
        <v>NBE-5503-AL</v>
      </c>
      <c r="U1480" s="403">
        <f t="shared" si="190"/>
        <v>1</v>
      </c>
      <c r="V1480" s="403" t="str">
        <f t="shared" si="191"/>
        <v>CPP_7_3</v>
      </c>
    </row>
    <row r="1481" spans="1:22">
      <c r="A1481" t="str">
        <f t="shared" si="184"/>
        <v>NBE-5503-AL</v>
      </c>
      <c r="B1481" s="403" t="s">
        <v>1380</v>
      </c>
      <c r="C1481" s="403" t="s">
        <v>582</v>
      </c>
      <c r="D1481" s="403" t="s">
        <v>1381</v>
      </c>
      <c r="E1481" s="403" t="s">
        <v>778</v>
      </c>
      <c r="F1481" s="403" t="s">
        <v>1382</v>
      </c>
      <c r="G1481" s="403" t="s">
        <v>1467</v>
      </c>
      <c r="H1481" s="403" t="s">
        <v>1281</v>
      </c>
      <c r="I1481" s="403">
        <v>1</v>
      </c>
      <c r="J1481" s="403" t="s">
        <v>110</v>
      </c>
      <c r="K1481" s="403">
        <v>1080</v>
      </c>
      <c r="L1481" s="403">
        <v>1920</v>
      </c>
      <c r="M1481" s="403" t="s">
        <v>110</v>
      </c>
      <c r="N1481" s="403">
        <v>1080</v>
      </c>
      <c r="O1481" s="403">
        <v>1920</v>
      </c>
      <c r="P1481" t="str">
        <f t="shared" si="185"/>
        <v>30fps 1080p - 1080p</v>
      </c>
      <c r="Q1481">
        <f t="shared" si="186"/>
        <v>8</v>
      </c>
      <c r="R1481" t="str">
        <f t="shared" si="187"/>
        <v/>
      </c>
      <c r="S1481" t="str">
        <f t="shared" si="188"/>
        <v/>
      </c>
      <c r="T1481" s="403" t="str">
        <f t="shared" si="189"/>
        <v>NBE-5503-AL</v>
      </c>
      <c r="U1481" s="403">
        <f t="shared" si="190"/>
        <v>1</v>
      </c>
      <c r="V1481" s="403" t="str">
        <f t="shared" si="191"/>
        <v>CPP_7_3</v>
      </c>
    </row>
    <row r="1482" spans="1:22">
      <c r="A1482" t="str">
        <f t="shared" si="184"/>
        <v>NBE-5503-AL</v>
      </c>
      <c r="B1482" s="403" t="s">
        <v>1380</v>
      </c>
      <c r="C1482" s="403" t="s">
        <v>582</v>
      </c>
      <c r="D1482" s="403" t="s">
        <v>1381</v>
      </c>
      <c r="E1482" s="403" t="s">
        <v>778</v>
      </c>
      <c r="F1482" s="403" t="s">
        <v>1382</v>
      </c>
      <c r="G1482" s="403" t="s">
        <v>1467</v>
      </c>
      <c r="H1482" s="403" t="s">
        <v>1281</v>
      </c>
      <c r="I1482" s="403">
        <v>1</v>
      </c>
      <c r="J1482" s="403" t="s">
        <v>110</v>
      </c>
      <c r="K1482" s="403">
        <v>1080</v>
      </c>
      <c r="L1482" s="403">
        <v>1920</v>
      </c>
      <c r="M1482" s="403" t="s">
        <v>109</v>
      </c>
      <c r="N1482" s="403">
        <v>720</v>
      </c>
      <c r="O1482" s="403">
        <v>1280</v>
      </c>
      <c r="P1482" t="str">
        <f t="shared" si="185"/>
        <v>30fps 1080p - 720p</v>
      </c>
      <c r="Q1482">
        <f t="shared" si="186"/>
        <v>8</v>
      </c>
      <c r="R1482" t="str">
        <f t="shared" si="187"/>
        <v/>
      </c>
      <c r="S1482" t="str">
        <f t="shared" si="188"/>
        <v/>
      </c>
      <c r="T1482" s="403" t="str">
        <f t="shared" si="189"/>
        <v>NBE-5503-AL</v>
      </c>
      <c r="U1482" s="403">
        <f t="shared" si="190"/>
        <v>1</v>
      </c>
      <c r="V1482" s="403" t="str">
        <f t="shared" si="191"/>
        <v>CPP_7_3</v>
      </c>
    </row>
    <row r="1483" spans="1:22">
      <c r="A1483" t="str">
        <f t="shared" si="184"/>
        <v>NBE-5503-AL</v>
      </c>
      <c r="B1483" s="403" t="s">
        <v>1380</v>
      </c>
      <c r="C1483" s="403" t="s">
        <v>582</v>
      </c>
      <c r="D1483" s="403" t="s">
        <v>1381</v>
      </c>
      <c r="E1483" s="403" t="s">
        <v>778</v>
      </c>
      <c r="F1483" s="403" t="s">
        <v>1382</v>
      </c>
      <c r="G1483" s="403" t="s">
        <v>1467</v>
      </c>
      <c r="H1483" s="403" t="s">
        <v>1281</v>
      </c>
      <c r="I1483" s="403">
        <v>1</v>
      </c>
      <c r="J1483" s="403" t="s">
        <v>110</v>
      </c>
      <c r="K1483" s="403">
        <v>1080</v>
      </c>
      <c r="L1483" s="403">
        <v>1920</v>
      </c>
      <c r="M1483" s="403" t="s">
        <v>1285</v>
      </c>
      <c r="N1483" s="403">
        <v>1024</v>
      </c>
      <c r="O1483" s="403">
        <v>1280</v>
      </c>
      <c r="P1483" t="str">
        <f t="shared" si="185"/>
        <v>30fps 1080p - 1280x1024 5:4 (cropped)</v>
      </c>
      <c r="Q1483">
        <f t="shared" si="186"/>
        <v>8</v>
      </c>
      <c r="R1483" t="str">
        <f t="shared" si="187"/>
        <v/>
      </c>
      <c r="S1483" t="str">
        <f t="shared" si="188"/>
        <v/>
      </c>
      <c r="T1483" s="403" t="str">
        <f t="shared" si="189"/>
        <v>NBE-5503-AL</v>
      </c>
      <c r="U1483" s="403">
        <f t="shared" si="190"/>
        <v>1</v>
      </c>
      <c r="V1483" s="403" t="str">
        <f t="shared" si="191"/>
        <v>CPP_7_3</v>
      </c>
    </row>
    <row r="1484" spans="1:22">
      <c r="A1484" t="str">
        <f t="shared" si="184"/>
        <v>NBE-5503-AL</v>
      </c>
      <c r="B1484" s="403" t="s">
        <v>1380</v>
      </c>
      <c r="C1484" s="403" t="s">
        <v>582</v>
      </c>
      <c r="D1484" s="403" t="s">
        <v>1381</v>
      </c>
      <c r="E1484" s="403" t="s">
        <v>778</v>
      </c>
      <c r="F1484" s="403" t="s">
        <v>1382</v>
      </c>
      <c r="G1484" s="403" t="s">
        <v>1467</v>
      </c>
      <c r="H1484" s="403" t="s">
        <v>1281</v>
      </c>
      <c r="I1484" s="403">
        <v>1</v>
      </c>
      <c r="J1484" s="403" t="s">
        <v>110</v>
      </c>
      <c r="K1484" s="403">
        <v>1080</v>
      </c>
      <c r="L1484" s="403">
        <v>1920</v>
      </c>
      <c r="M1484" s="403" t="s">
        <v>1279</v>
      </c>
      <c r="N1484" s="403">
        <v>432</v>
      </c>
      <c r="O1484" s="403">
        <v>768</v>
      </c>
      <c r="P1484" t="str">
        <f t="shared" si="185"/>
        <v>30fps 1080p - SD ROI PTZ</v>
      </c>
      <c r="Q1484">
        <f t="shared" si="186"/>
        <v>8</v>
      </c>
      <c r="R1484" t="str">
        <f t="shared" si="187"/>
        <v/>
      </c>
      <c r="S1484" t="str">
        <f t="shared" si="188"/>
        <v/>
      </c>
      <c r="T1484" s="403" t="str">
        <f t="shared" si="189"/>
        <v>NBE-5503-AL</v>
      </c>
      <c r="U1484" s="403">
        <f t="shared" si="190"/>
        <v>1</v>
      </c>
      <c r="V1484" s="403" t="str">
        <f t="shared" si="191"/>
        <v>CPP_7_3</v>
      </c>
    </row>
    <row r="1485" spans="1:22">
      <c r="A1485" t="str">
        <f t="shared" si="184"/>
        <v>NBE-5503-AL</v>
      </c>
      <c r="B1485" s="403" t="s">
        <v>1380</v>
      </c>
      <c r="C1485" s="403" t="s">
        <v>582</v>
      </c>
      <c r="D1485" s="403" t="s">
        <v>1381</v>
      </c>
      <c r="E1485" s="403" t="s">
        <v>778</v>
      </c>
      <c r="F1485" s="403" t="s">
        <v>1382</v>
      </c>
      <c r="G1485" s="403" t="s">
        <v>1467</v>
      </c>
      <c r="H1485" s="403" t="s">
        <v>1281</v>
      </c>
      <c r="I1485" s="403">
        <v>1</v>
      </c>
      <c r="J1485" s="403" t="s">
        <v>110</v>
      </c>
      <c r="K1485" s="403">
        <v>1080</v>
      </c>
      <c r="L1485" s="403">
        <v>1920</v>
      </c>
      <c r="M1485" s="403" t="s">
        <v>1283</v>
      </c>
      <c r="N1485" s="403">
        <v>480</v>
      </c>
      <c r="O1485" s="403">
        <v>720</v>
      </c>
      <c r="P1485" t="str">
        <f t="shared" si="185"/>
        <v>30fps 1080p - SD 4CIF resolution 4:3 format (cropped)</v>
      </c>
      <c r="Q1485">
        <f t="shared" si="186"/>
        <v>8</v>
      </c>
      <c r="R1485" t="str">
        <f t="shared" si="187"/>
        <v/>
      </c>
      <c r="S1485" t="str">
        <f t="shared" si="188"/>
        <v/>
      </c>
      <c r="T1485" s="403" t="str">
        <f t="shared" si="189"/>
        <v>NBE-5503-AL</v>
      </c>
      <c r="U1485" s="403">
        <f t="shared" si="190"/>
        <v>1</v>
      </c>
      <c r="V1485" s="403" t="str">
        <f t="shared" si="191"/>
        <v>CPP_7_3</v>
      </c>
    </row>
    <row r="1486" spans="1:22">
      <c r="A1486" t="str">
        <f t="shared" si="184"/>
        <v>NBE-5503-AL</v>
      </c>
      <c r="B1486" s="403" t="s">
        <v>1380</v>
      </c>
      <c r="C1486" s="403" t="s">
        <v>582</v>
      </c>
      <c r="D1486" s="403" t="s">
        <v>1381</v>
      </c>
      <c r="E1486" s="403" t="s">
        <v>778</v>
      </c>
      <c r="F1486" s="403" t="s">
        <v>1382</v>
      </c>
      <c r="G1486" s="403" t="s">
        <v>1467</v>
      </c>
      <c r="H1486" s="403" t="s">
        <v>1281</v>
      </c>
      <c r="I1486" s="403">
        <v>1</v>
      </c>
      <c r="J1486" s="403" t="s">
        <v>110</v>
      </c>
      <c r="K1486" s="403">
        <v>1080</v>
      </c>
      <c r="L1486" s="403">
        <v>1920</v>
      </c>
      <c r="M1486" s="403" t="s">
        <v>1284</v>
      </c>
      <c r="N1486" s="403">
        <v>480</v>
      </c>
      <c r="O1486" s="403">
        <v>640</v>
      </c>
      <c r="P1486" t="str">
        <f t="shared" si="185"/>
        <v>30fps 1080p - SD VGA (cropped)</v>
      </c>
      <c r="Q1486">
        <f t="shared" si="186"/>
        <v>8</v>
      </c>
      <c r="R1486" t="str">
        <f t="shared" si="187"/>
        <v/>
      </c>
      <c r="S1486" t="str">
        <f t="shared" si="188"/>
        <v/>
      </c>
      <c r="T1486" s="403" t="str">
        <f t="shared" si="189"/>
        <v>NBE-5503-AL</v>
      </c>
      <c r="U1486" s="403">
        <f t="shared" si="190"/>
        <v>1</v>
      </c>
      <c r="V1486" s="403" t="str">
        <f t="shared" si="191"/>
        <v>CPP_7_3</v>
      </c>
    </row>
    <row r="1487" spans="1:22">
      <c r="A1487" t="str">
        <f t="shared" si="184"/>
        <v>NBE-5503-AL</v>
      </c>
      <c r="B1487" s="403" t="s">
        <v>1380</v>
      </c>
      <c r="C1487" s="403" t="s">
        <v>582</v>
      </c>
      <c r="D1487" s="403" t="s">
        <v>1381</v>
      </c>
      <c r="E1487" s="403" t="s">
        <v>778</v>
      </c>
      <c r="F1487" s="403" t="s">
        <v>1382</v>
      </c>
      <c r="G1487" s="403" t="s">
        <v>1467</v>
      </c>
      <c r="H1487" s="403" t="s">
        <v>1281</v>
      </c>
      <c r="I1487" s="403">
        <v>1</v>
      </c>
      <c r="J1487" s="403" t="s">
        <v>109</v>
      </c>
      <c r="K1487" s="403">
        <v>720</v>
      </c>
      <c r="L1487" s="403">
        <v>1280</v>
      </c>
      <c r="M1487" s="403" t="s">
        <v>109</v>
      </c>
      <c r="N1487" s="403">
        <v>720</v>
      </c>
      <c r="O1487" s="403">
        <v>1280</v>
      </c>
      <c r="P1487" t="str">
        <f t="shared" si="185"/>
        <v>30fps 720p - 720p</v>
      </c>
      <c r="Q1487">
        <f t="shared" si="186"/>
        <v>8</v>
      </c>
      <c r="R1487" t="str">
        <f t="shared" si="187"/>
        <v/>
      </c>
      <c r="S1487" t="str">
        <f t="shared" si="188"/>
        <v/>
      </c>
      <c r="T1487" s="403" t="str">
        <f t="shared" si="189"/>
        <v>NBE-5503-AL</v>
      </c>
      <c r="U1487" s="403">
        <f t="shared" si="190"/>
        <v>1</v>
      </c>
      <c r="V1487" s="403" t="str">
        <f t="shared" si="191"/>
        <v>CPP_7_3</v>
      </c>
    </row>
    <row r="1488" spans="1:22">
      <c r="A1488" t="str">
        <f t="shared" si="184"/>
        <v>NBE-5503-AL</v>
      </c>
      <c r="B1488" s="403" t="s">
        <v>1380</v>
      </c>
      <c r="C1488" s="403" t="s">
        <v>582</v>
      </c>
      <c r="D1488" s="403" t="s">
        <v>1381</v>
      </c>
      <c r="E1488" s="403" t="s">
        <v>778</v>
      </c>
      <c r="F1488" s="403" t="s">
        <v>1382</v>
      </c>
      <c r="G1488" s="403" t="s">
        <v>1467</v>
      </c>
      <c r="H1488" s="403" t="s">
        <v>1281</v>
      </c>
      <c r="I1488" s="403">
        <v>1</v>
      </c>
      <c r="J1488" s="403" t="s">
        <v>109</v>
      </c>
      <c r="K1488" s="403">
        <v>720</v>
      </c>
      <c r="L1488" s="403">
        <v>1280</v>
      </c>
      <c r="M1488" s="403" t="s">
        <v>111</v>
      </c>
      <c r="N1488" s="403">
        <v>432</v>
      </c>
      <c r="O1488" s="403">
        <v>768</v>
      </c>
      <c r="P1488" t="str">
        <f t="shared" si="185"/>
        <v>30fps 720p - SD</v>
      </c>
      <c r="Q1488">
        <f t="shared" si="186"/>
        <v>8</v>
      </c>
      <c r="R1488" t="str">
        <f t="shared" si="187"/>
        <v/>
      </c>
      <c r="S1488" t="str">
        <f t="shared" si="188"/>
        <v/>
      </c>
      <c r="T1488" s="403" t="str">
        <f t="shared" si="189"/>
        <v>NBE-5503-AL</v>
      </c>
      <c r="U1488" s="403">
        <f t="shared" si="190"/>
        <v>1</v>
      </c>
      <c r="V1488" s="403" t="str">
        <f t="shared" si="191"/>
        <v>CPP_7_3</v>
      </c>
    </row>
    <row r="1489" spans="1:22">
      <c r="A1489" t="str">
        <f t="shared" si="184"/>
        <v>NBE-5503-AL</v>
      </c>
      <c r="B1489" s="403" t="s">
        <v>1380</v>
      </c>
      <c r="C1489" s="403" t="s">
        <v>582</v>
      </c>
      <c r="D1489" s="403" t="s">
        <v>1381</v>
      </c>
      <c r="E1489" s="403" t="s">
        <v>778</v>
      </c>
      <c r="F1489" s="403" t="s">
        <v>1382</v>
      </c>
      <c r="G1489" s="403" t="s">
        <v>1467</v>
      </c>
      <c r="H1489" s="403" t="s">
        <v>1281</v>
      </c>
      <c r="I1489" s="403">
        <v>1</v>
      </c>
      <c r="J1489" s="403" t="s">
        <v>109</v>
      </c>
      <c r="K1489" s="403">
        <v>720</v>
      </c>
      <c r="L1489" s="403">
        <v>1280</v>
      </c>
      <c r="M1489" s="403" t="s">
        <v>1279</v>
      </c>
      <c r="N1489" s="403">
        <v>432</v>
      </c>
      <c r="O1489" s="403">
        <v>768</v>
      </c>
      <c r="P1489" t="str">
        <f t="shared" si="185"/>
        <v>30fps 720p - SD ROI PTZ</v>
      </c>
      <c r="Q1489">
        <f t="shared" si="186"/>
        <v>8</v>
      </c>
      <c r="R1489" t="str">
        <f t="shared" si="187"/>
        <v/>
      </c>
      <c r="S1489" t="str">
        <f t="shared" si="188"/>
        <v/>
      </c>
      <c r="T1489" s="403" t="str">
        <f t="shared" si="189"/>
        <v>NBE-5503-AL</v>
      </c>
      <c r="U1489" s="403">
        <f t="shared" si="190"/>
        <v>1</v>
      </c>
      <c r="V1489" s="403" t="str">
        <f t="shared" si="191"/>
        <v>CPP_7_3</v>
      </c>
    </row>
    <row r="1490" spans="1:22">
      <c r="A1490" t="str">
        <f t="shared" si="184"/>
        <v>NBE-5503-AL</v>
      </c>
      <c r="B1490" s="403" t="s">
        <v>1380</v>
      </c>
      <c r="C1490" s="403" t="s">
        <v>582</v>
      </c>
      <c r="D1490" s="403" t="s">
        <v>1381</v>
      </c>
      <c r="E1490" s="403" t="s">
        <v>778</v>
      </c>
      <c r="F1490" s="403" t="s">
        <v>1382</v>
      </c>
      <c r="G1490" s="403" t="s">
        <v>1467</v>
      </c>
      <c r="H1490" s="403" t="s">
        <v>1281</v>
      </c>
      <c r="I1490" s="403">
        <v>1</v>
      </c>
      <c r="J1490" s="403" t="s">
        <v>109</v>
      </c>
      <c r="K1490" s="403">
        <v>720</v>
      </c>
      <c r="L1490" s="403">
        <v>1280</v>
      </c>
      <c r="M1490" s="403" t="s">
        <v>1283</v>
      </c>
      <c r="N1490" s="403">
        <v>480</v>
      </c>
      <c r="O1490" s="403">
        <v>720</v>
      </c>
      <c r="P1490" t="str">
        <f t="shared" si="185"/>
        <v>30fps 720p - SD 4CIF resolution 4:3 format (cropped)</v>
      </c>
      <c r="Q1490">
        <f t="shared" si="186"/>
        <v>8</v>
      </c>
      <c r="R1490" t="str">
        <f t="shared" si="187"/>
        <v/>
      </c>
      <c r="S1490" t="str">
        <f t="shared" si="188"/>
        <v/>
      </c>
      <c r="T1490" s="403" t="str">
        <f t="shared" si="189"/>
        <v>NBE-5503-AL</v>
      </c>
      <c r="U1490" s="403">
        <f t="shared" si="190"/>
        <v>1</v>
      </c>
      <c r="V1490" s="403" t="str">
        <f t="shared" si="191"/>
        <v>CPP_7_3</v>
      </c>
    </row>
    <row r="1491" spans="1:22">
      <c r="A1491" t="str">
        <f t="shared" si="184"/>
        <v>NBE-5503-AL</v>
      </c>
      <c r="B1491" s="403" t="s">
        <v>1380</v>
      </c>
      <c r="C1491" s="403" t="s">
        <v>582</v>
      </c>
      <c r="D1491" s="403" t="s">
        <v>1381</v>
      </c>
      <c r="E1491" s="403" t="s">
        <v>778</v>
      </c>
      <c r="F1491" s="403" t="s">
        <v>1382</v>
      </c>
      <c r="G1491" s="403" t="s">
        <v>1467</v>
      </c>
      <c r="H1491" s="403" t="s">
        <v>1281</v>
      </c>
      <c r="I1491" s="403">
        <v>1</v>
      </c>
      <c r="J1491" s="403" t="s">
        <v>109</v>
      </c>
      <c r="K1491" s="403">
        <v>720</v>
      </c>
      <c r="L1491" s="403">
        <v>1280</v>
      </c>
      <c r="M1491" s="403" t="s">
        <v>1284</v>
      </c>
      <c r="N1491" s="403">
        <v>480</v>
      </c>
      <c r="O1491" s="403">
        <v>640</v>
      </c>
      <c r="P1491" t="str">
        <f t="shared" si="185"/>
        <v>30fps 720p - SD VGA (cropped)</v>
      </c>
      <c r="Q1491">
        <f t="shared" si="186"/>
        <v>8</v>
      </c>
      <c r="R1491" t="str">
        <f t="shared" si="187"/>
        <v/>
      </c>
      <c r="S1491" t="str">
        <f t="shared" si="188"/>
        <v/>
      </c>
      <c r="T1491" s="403" t="str">
        <f t="shared" si="189"/>
        <v>NBE-5503-AL</v>
      </c>
      <c r="U1491" s="403">
        <f t="shared" si="190"/>
        <v>1</v>
      </c>
      <c r="V1491" s="403" t="str">
        <f t="shared" si="191"/>
        <v>CPP_7_3</v>
      </c>
    </row>
    <row r="1492" spans="1:22">
      <c r="A1492" t="str">
        <f t="shared" si="184"/>
        <v>NBE-5503-AL</v>
      </c>
      <c r="B1492" s="403" t="s">
        <v>1380</v>
      </c>
      <c r="C1492" s="403" t="s">
        <v>582</v>
      </c>
      <c r="D1492" s="403" t="s">
        <v>1381</v>
      </c>
      <c r="E1492" s="403" t="s">
        <v>778</v>
      </c>
      <c r="F1492" s="403" t="s">
        <v>1385</v>
      </c>
      <c r="G1492" s="403" t="s">
        <v>1466</v>
      </c>
      <c r="H1492" s="403" t="s">
        <v>1276</v>
      </c>
      <c r="I1492" s="403">
        <v>1</v>
      </c>
      <c r="J1492" s="403" t="s">
        <v>1376</v>
      </c>
      <c r="K1492" s="403">
        <v>3072</v>
      </c>
      <c r="L1492" s="403">
        <v>1728</v>
      </c>
      <c r="M1492" s="403" t="s">
        <v>111</v>
      </c>
      <c r="N1492" s="403">
        <v>768</v>
      </c>
      <c r="O1492" s="403">
        <v>432</v>
      </c>
      <c r="P1492" t="str">
        <f t="shared" si="185"/>
        <v>25fps 3072x1728 - SD</v>
      </c>
      <c r="Q1492">
        <f t="shared" si="186"/>
        <v>8</v>
      </c>
      <c r="R1492" t="str">
        <f t="shared" si="187"/>
        <v/>
      </c>
      <c r="S1492" t="str">
        <f t="shared" si="188"/>
        <v/>
      </c>
      <c r="T1492" s="403" t="str">
        <f t="shared" si="189"/>
        <v>NBE-5503-AL</v>
      </c>
      <c r="U1492" s="403">
        <f t="shared" si="190"/>
        <v>1</v>
      </c>
      <c r="V1492" s="403" t="str">
        <f t="shared" si="191"/>
        <v>CPP_7_3</v>
      </c>
    </row>
    <row r="1493" spans="1:22">
      <c r="A1493" t="str">
        <f t="shared" si="184"/>
        <v>NBE-5503-AL</v>
      </c>
      <c r="B1493" s="403" t="s">
        <v>1380</v>
      </c>
      <c r="C1493" s="403" t="s">
        <v>582</v>
      </c>
      <c r="D1493" s="403" t="s">
        <v>1381</v>
      </c>
      <c r="E1493" s="403" t="s">
        <v>778</v>
      </c>
      <c r="F1493" s="403" t="s">
        <v>1385</v>
      </c>
      <c r="G1493" s="403" t="s">
        <v>1466</v>
      </c>
      <c r="H1493" s="403" t="s">
        <v>1276</v>
      </c>
      <c r="I1493" s="403">
        <v>1</v>
      </c>
      <c r="J1493" s="403" t="s">
        <v>1376</v>
      </c>
      <c r="K1493" s="403">
        <v>3072</v>
      </c>
      <c r="L1493" s="403">
        <v>1728</v>
      </c>
      <c r="M1493" s="403" t="s">
        <v>1600</v>
      </c>
      <c r="N1493" s="403">
        <v>3072</v>
      </c>
      <c r="O1493" s="403">
        <v>1728</v>
      </c>
      <c r="P1493" t="str">
        <f t="shared" si="185"/>
        <v>25fps 3072x1728 - 3072x1728 @ SKIP2</v>
      </c>
      <c r="Q1493">
        <f t="shared" si="186"/>
        <v>8</v>
      </c>
      <c r="R1493" t="str">
        <f t="shared" si="187"/>
        <v/>
      </c>
      <c r="S1493" t="str">
        <f t="shared" si="188"/>
        <v/>
      </c>
      <c r="T1493" s="403" t="str">
        <f t="shared" si="189"/>
        <v>NBE-5503-AL</v>
      </c>
      <c r="U1493" s="403">
        <f t="shared" si="190"/>
        <v>1</v>
      </c>
      <c r="V1493" s="403" t="str">
        <f t="shared" si="191"/>
        <v>CPP_7_3</v>
      </c>
    </row>
    <row r="1494" spans="1:22">
      <c r="A1494" t="str">
        <f t="shared" si="184"/>
        <v>NBE-5503-AL</v>
      </c>
      <c r="B1494" s="403" t="s">
        <v>1380</v>
      </c>
      <c r="C1494" s="403" t="s">
        <v>582</v>
      </c>
      <c r="D1494" s="403" t="s">
        <v>1381</v>
      </c>
      <c r="E1494" s="403" t="s">
        <v>778</v>
      </c>
      <c r="F1494" s="403" t="s">
        <v>1385</v>
      </c>
      <c r="G1494" s="403" t="s">
        <v>1466</v>
      </c>
      <c r="H1494" s="403" t="s">
        <v>1276</v>
      </c>
      <c r="I1494" s="403">
        <v>1</v>
      </c>
      <c r="J1494" s="403" t="s">
        <v>1376</v>
      </c>
      <c r="K1494" s="403">
        <v>3072</v>
      </c>
      <c r="L1494" s="403">
        <v>1728</v>
      </c>
      <c r="M1494" s="403" t="s">
        <v>1280</v>
      </c>
      <c r="N1494" s="403">
        <v>3072</v>
      </c>
      <c r="O1494" s="403">
        <v>1728</v>
      </c>
      <c r="P1494" t="str">
        <f t="shared" si="185"/>
        <v>25fps 3072x1728 - copy other stream</v>
      </c>
      <c r="Q1494">
        <f t="shared" si="186"/>
        <v>8</v>
      </c>
      <c r="R1494" t="str">
        <f t="shared" si="187"/>
        <v/>
      </c>
      <c r="S1494" t="str">
        <f t="shared" si="188"/>
        <v/>
      </c>
      <c r="T1494" s="403" t="str">
        <f t="shared" si="189"/>
        <v>NBE-5503-AL</v>
      </c>
      <c r="U1494" s="403">
        <f t="shared" si="190"/>
        <v>1</v>
      </c>
      <c r="V1494" s="403" t="str">
        <f t="shared" si="191"/>
        <v>CPP_7_3</v>
      </c>
    </row>
    <row r="1495" spans="1:22">
      <c r="A1495" t="str">
        <f t="shared" si="184"/>
        <v>NBE-5503-AL</v>
      </c>
      <c r="B1495" s="403" t="s">
        <v>1380</v>
      </c>
      <c r="C1495" s="403" t="s">
        <v>582</v>
      </c>
      <c r="D1495" s="403" t="s">
        <v>1381</v>
      </c>
      <c r="E1495" s="403" t="s">
        <v>778</v>
      </c>
      <c r="F1495" s="403" t="s">
        <v>1385</v>
      </c>
      <c r="G1495" s="403" t="s">
        <v>1466</v>
      </c>
      <c r="H1495" s="403" t="s">
        <v>1276</v>
      </c>
      <c r="I1495" s="403">
        <v>1</v>
      </c>
      <c r="J1495" s="403" t="s">
        <v>1376</v>
      </c>
      <c r="K1495" s="403">
        <v>3072</v>
      </c>
      <c r="L1495" s="403">
        <v>1728</v>
      </c>
      <c r="M1495" s="403" t="s">
        <v>110</v>
      </c>
      <c r="N1495" s="403">
        <v>1920</v>
      </c>
      <c r="O1495" s="403">
        <v>1080</v>
      </c>
      <c r="P1495" t="str">
        <f t="shared" si="185"/>
        <v>25fps 3072x1728 - 1080p</v>
      </c>
      <c r="Q1495">
        <f t="shared" si="186"/>
        <v>8</v>
      </c>
      <c r="R1495" t="str">
        <f t="shared" si="187"/>
        <v/>
      </c>
      <c r="S1495" t="str">
        <f t="shared" si="188"/>
        <v/>
      </c>
      <c r="T1495" s="403" t="str">
        <f t="shared" si="189"/>
        <v>NBE-5503-AL</v>
      </c>
      <c r="U1495" s="403">
        <f t="shared" si="190"/>
        <v>1</v>
      </c>
      <c r="V1495" s="403" t="str">
        <f t="shared" si="191"/>
        <v>CPP_7_3</v>
      </c>
    </row>
    <row r="1496" spans="1:22">
      <c r="A1496" t="str">
        <f t="shared" si="184"/>
        <v>NBE-5503-AL</v>
      </c>
      <c r="B1496" s="403" t="s">
        <v>1380</v>
      </c>
      <c r="C1496" s="403" t="s">
        <v>582</v>
      </c>
      <c r="D1496" s="403" t="s">
        <v>1381</v>
      </c>
      <c r="E1496" s="403" t="s">
        <v>778</v>
      </c>
      <c r="F1496" s="403" t="s">
        <v>1385</v>
      </c>
      <c r="G1496" s="403" t="s">
        <v>1466</v>
      </c>
      <c r="H1496" s="403" t="s">
        <v>1276</v>
      </c>
      <c r="I1496" s="403">
        <v>1</v>
      </c>
      <c r="J1496" s="403" t="s">
        <v>1376</v>
      </c>
      <c r="K1496" s="403">
        <v>3072</v>
      </c>
      <c r="L1496" s="403">
        <v>1728</v>
      </c>
      <c r="M1496" s="403" t="s">
        <v>109</v>
      </c>
      <c r="N1496" s="403">
        <v>1280</v>
      </c>
      <c r="O1496" s="403">
        <v>720</v>
      </c>
      <c r="P1496" t="str">
        <f t="shared" si="185"/>
        <v>25fps 3072x1728 - 720p</v>
      </c>
      <c r="Q1496">
        <f t="shared" si="186"/>
        <v>8</v>
      </c>
      <c r="R1496" t="str">
        <f t="shared" si="187"/>
        <v/>
      </c>
      <c r="S1496" t="str">
        <f t="shared" si="188"/>
        <v/>
      </c>
      <c r="T1496" s="403" t="str">
        <f t="shared" si="189"/>
        <v>NBE-5503-AL</v>
      </c>
      <c r="U1496" s="403">
        <f t="shared" si="190"/>
        <v>1</v>
      </c>
      <c r="V1496" s="403" t="str">
        <f t="shared" si="191"/>
        <v>CPP_7_3</v>
      </c>
    </row>
    <row r="1497" spans="1:22">
      <c r="A1497" t="str">
        <f t="shared" si="184"/>
        <v>NBE-5503-AL</v>
      </c>
      <c r="B1497" s="403" t="s">
        <v>1380</v>
      </c>
      <c r="C1497" s="403" t="s">
        <v>582</v>
      </c>
      <c r="D1497" s="403" t="s">
        <v>1381</v>
      </c>
      <c r="E1497" s="403" t="s">
        <v>778</v>
      </c>
      <c r="F1497" s="403" t="s">
        <v>1385</v>
      </c>
      <c r="G1497" s="403" t="s">
        <v>1466</v>
      </c>
      <c r="H1497" s="403" t="s">
        <v>1276</v>
      </c>
      <c r="I1497" s="403">
        <v>1</v>
      </c>
      <c r="J1497" s="403" t="s">
        <v>1376</v>
      </c>
      <c r="K1497" s="403">
        <v>3072</v>
      </c>
      <c r="L1497" s="403">
        <v>1728</v>
      </c>
      <c r="M1497" s="403" t="s">
        <v>1283</v>
      </c>
      <c r="N1497" s="403">
        <v>720</v>
      </c>
      <c r="O1497" s="403">
        <v>576</v>
      </c>
      <c r="P1497" t="str">
        <f t="shared" si="185"/>
        <v>25fps 3072x1728 - SD 4CIF resolution 4:3 format (cropped)</v>
      </c>
      <c r="Q1497">
        <f t="shared" si="186"/>
        <v>8</v>
      </c>
      <c r="R1497" t="str">
        <f t="shared" si="187"/>
        <v/>
      </c>
      <c r="S1497" t="str">
        <f t="shared" si="188"/>
        <v/>
      </c>
      <c r="T1497" s="403" t="str">
        <f t="shared" si="189"/>
        <v>NBE-5503-AL</v>
      </c>
      <c r="U1497" s="403">
        <f t="shared" si="190"/>
        <v>1</v>
      </c>
      <c r="V1497" s="403" t="str">
        <f t="shared" si="191"/>
        <v>CPP_7_3</v>
      </c>
    </row>
    <row r="1498" spans="1:22">
      <c r="A1498" t="str">
        <f t="shared" si="184"/>
        <v>NBE-5503-AL</v>
      </c>
      <c r="B1498" s="403" t="s">
        <v>1380</v>
      </c>
      <c r="C1498" s="403" t="s">
        <v>582</v>
      </c>
      <c r="D1498" s="403" t="s">
        <v>1381</v>
      </c>
      <c r="E1498" s="403" t="s">
        <v>778</v>
      </c>
      <c r="F1498" s="403" t="s">
        <v>1385</v>
      </c>
      <c r="G1498" s="403" t="s">
        <v>1466</v>
      </c>
      <c r="H1498" s="403" t="s">
        <v>1276</v>
      </c>
      <c r="I1498" s="403">
        <v>1</v>
      </c>
      <c r="J1498" s="403" t="s">
        <v>1376</v>
      </c>
      <c r="K1498" s="403">
        <v>3072</v>
      </c>
      <c r="L1498" s="403">
        <v>1728</v>
      </c>
      <c r="M1498" s="403" t="s">
        <v>1279</v>
      </c>
      <c r="N1498" s="403">
        <v>768</v>
      </c>
      <c r="O1498" s="403">
        <v>432</v>
      </c>
      <c r="P1498" t="str">
        <f t="shared" si="185"/>
        <v>25fps 3072x1728 - SD ROI PTZ</v>
      </c>
      <c r="Q1498">
        <f t="shared" si="186"/>
        <v>8</v>
      </c>
      <c r="R1498" t="str">
        <f t="shared" si="187"/>
        <v/>
      </c>
      <c r="S1498" t="str">
        <f t="shared" si="188"/>
        <v/>
      </c>
      <c r="T1498" s="403" t="str">
        <f t="shared" si="189"/>
        <v>NBE-5503-AL</v>
      </c>
      <c r="U1498" s="403">
        <f t="shared" si="190"/>
        <v>1</v>
      </c>
      <c r="V1498" s="403" t="str">
        <f t="shared" si="191"/>
        <v>CPP_7_3</v>
      </c>
    </row>
    <row r="1499" spans="1:22">
      <c r="A1499" t="str">
        <f t="shared" si="184"/>
        <v>NBE-5503-AL</v>
      </c>
      <c r="B1499" s="403" t="s">
        <v>1380</v>
      </c>
      <c r="C1499" s="403" t="s">
        <v>582</v>
      </c>
      <c r="D1499" s="403" t="s">
        <v>1381</v>
      </c>
      <c r="E1499" s="403" t="s">
        <v>778</v>
      </c>
      <c r="F1499" s="403" t="s">
        <v>1385</v>
      </c>
      <c r="G1499" s="403" t="s">
        <v>1466</v>
      </c>
      <c r="H1499" s="403" t="s">
        <v>1276</v>
      </c>
      <c r="I1499" s="403">
        <v>1</v>
      </c>
      <c r="J1499" s="403" t="s">
        <v>1376</v>
      </c>
      <c r="K1499" s="403">
        <v>3072</v>
      </c>
      <c r="L1499" s="403">
        <v>1728</v>
      </c>
      <c r="M1499" s="403" t="s">
        <v>1284</v>
      </c>
      <c r="N1499" s="403">
        <v>640</v>
      </c>
      <c r="O1499" s="403">
        <v>480</v>
      </c>
      <c r="P1499" t="str">
        <f t="shared" si="185"/>
        <v>25fps 3072x1728 - SD VGA (cropped)</v>
      </c>
      <c r="Q1499">
        <f t="shared" si="186"/>
        <v>8</v>
      </c>
      <c r="R1499" t="str">
        <f t="shared" si="187"/>
        <v/>
      </c>
      <c r="S1499" t="str">
        <f t="shared" si="188"/>
        <v/>
      </c>
      <c r="T1499" s="403" t="str">
        <f t="shared" si="189"/>
        <v>NBE-5503-AL</v>
      </c>
      <c r="U1499" s="403">
        <f t="shared" si="190"/>
        <v>1</v>
      </c>
      <c r="V1499" s="403" t="str">
        <f t="shared" si="191"/>
        <v>CPP_7_3</v>
      </c>
    </row>
    <row r="1500" spans="1:22">
      <c r="A1500" t="str">
        <f t="shared" si="184"/>
        <v>NBE-5503-AL</v>
      </c>
      <c r="B1500" s="403" t="s">
        <v>1380</v>
      </c>
      <c r="C1500" s="403" t="s">
        <v>582</v>
      </c>
      <c r="D1500" s="403" t="s">
        <v>1381</v>
      </c>
      <c r="E1500" s="403" t="s">
        <v>778</v>
      </c>
      <c r="F1500" s="403" t="s">
        <v>1385</v>
      </c>
      <c r="G1500" s="403" t="s">
        <v>1466</v>
      </c>
      <c r="H1500" s="403" t="s">
        <v>1276</v>
      </c>
      <c r="I1500" s="403">
        <v>1</v>
      </c>
      <c r="J1500" s="403" t="s">
        <v>1376</v>
      </c>
      <c r="K1500" s="403">
        <v>3072</v>
      </c>
      <c r="L1500" s="403">
        <v>1728</v>
      </c>
      <c r="M1500" s="403" t="s">
        <v>1285</v>
      </c>
      <c r="N1500" s="403">
        <v>1280</v>
      </c>
      <c r="O1500" s="403">
        <v>1024</v>
      </c>
      <c r="P1500" t="str">
        <f t="shared" si="185"/>
        <v>25fps 3072x1728 - 1280x1024 5:4 (cropped)</v>
      </c>
      <c r="Q1500">
        <f t="shared" si="186"/>
        <v>8</v>
      </c>
      <c r="R1500" t="str">
        <f t="shared" si="187"/>
        <v/>
      </c>
      <c r="S1500" t="str">
        <f t="shared" si="188"/>
        <v/>
      </c>
      <c r="T1500" s="403" t="str">
        <f t="shared" si="189"/>
        <v>NBE-5503-AL</v>
      </c>
      <c r="U1500" s="403">
        <f t="shared" si="190"/>
        <v>1</v>
      </c>
      <c r="V1500" s="403" t="str">
        <f t="shared" si="191"/>
        <v>CPP_7_3</v>
      </c>
    </row>
    <row r="1501" spans="1:22">
      <c r="A1501" t="str">
        <f t="shared" si="184"/>
        <v>NBE-5503-AL</v>
      </c>
      <c r="B1501" s="403" t="s">
        <v>1380</v>
      </c>
      <c r="C1501" s="403" t="s">
        <v>582</v>
      </c>
      <c r="D1501" s="403" t="s">
        <v>1381</v>
      </c>
      <c r="E1501" s="403" t="s">
        <v>778</v>
      </c>
      <c r="F1501" s="403" t="s">
        <v>1385</v>
      </c>
      <c r="G1501" s="403" t="s">
        <v>1466</v>
      </c>
      <c r="H1501" s="403" t="s">
        <v>1276</v>
      </c>
      <c r="I1501" s="403">
        <v>1</v>
      </c>
      <c r="J1501" s="403" t="s">
        <v>1376</v>
      </c>
      <c r="K1501" s="403">
        <v>3072</v>
      </c>
      <c r="L1501" s="403">
        <v>1728</v>
      </c>
      <c r="M1501" s="403" t="s">
        <v>1383</v>
      </c>
      <c r="N1501" s="403">
        <v>1920</v>
      </c>
      <c r="O1501" s="403">
        <v>1440</v>
      </c>
      <c r="P1501" t="str">
        <f t="shared" si="185"/>
        <v>25fps 3072x1728 - 1920x1440_CROP</v>
      </c>
      <c r="Q1501">
        <f t="shared" si="186"/>
        <v>8</v>
      </c>
      <c r="R1501" t="str">
        <f t="shared" si="187"/>
        <v/>
      </c>
      <c r="S1501" t="str">
        <f t="shared" si="188"/>
        <v/>
      </c>
      <c r="T1501" s="403" t="str">
        <f t="shared" si="189"/>
        <v>NBE-5503-AL</v>
      </c>
      <c r="U1501" s="403">
        <f t="shared" si="190"/>
        <v>1</v>
      </c>
      <c r="V1501" s="403" t="str">
        <f t="shared" si="191"/>
        <v>CPP_7_3</v>
      </c>
    </row>
    <row r="1502" spans="1:22">
      <c r="A1502" t="str">
        <f t="shared" si="184"/>
        <v>NBE-5503-AL</v>
      </c>
      <c r="B1502" s="403" t="s">
        <v>1380</v>
      </c>
      <c r="C1502" s="403" t="s">
        <v>582</v>
      </c>
      <c r="D1502" s="403" t="s">
        <v>1381</v>
      </c>
      <c r="E1502" s="403" t="s">
        <v>778</v>
      </c>
      <c r="F1502" s="403" t="s">
        <v>1385</v>
      </c>
      <c r="G1502" s="403" t="s">
        <v>1466</v>
      </c>
      <c r="H1502" s="403" t="s">
        <v>1276</v>
      </c>
      <c r="I1502" s="403">
        <v>1</v>
      </c>
      <c r="J1502" s="403" t="s">
        <v>1373</v>
      </c>
      <c r="K1502" s="403">
        <v>2688</v>
      </c>
      <c r="L1502" s="403">
        <v>1512</v>
      </c>
      <c r="M1502" s="403" t="s">
        <v>110</v>
      </c>
      <c r="N1502" s="403">
        <v>1920</v>
      </c>
      <c r="O1502" s="403">
        <v>1080</v>
      </c>
      <c r="P1502" t="str">
        <f t="shared" si="185"/>
        <v>25fps 2688x1512 - 1080p</v>
      </c>
      <c r="Q1502">
        <f t="shared" si="186"/>
        <v>8</v>
      </c>
      <c r="R1502" t="str">
        <f t="shared" si="187"/>
        <v/>
      </c>
      <c r="S1502" t="str">
        <f t="shared" si="188"/>
        <v/>
      </c>
      <c r="T1502" s="403" t="str">
        <f t="shared" si="189"/>
        <v>NBE-5503-AL</v>
      </c>
      <c r="U1502" s="403">
        <f t="shared" si="190"/>
        <v>1</v>
      </c>
      <c r="V1502" s="403" t="str">
        <f t="shared" si="191"/>
        <v>CPP_7_3</v>
      </c>
    </row>
    <row r="1503" spans="1:22">
      <c r="A1503" t="str">
        <f t="shared" si="184"/>
        <v>NBE-5503-AL</v>
      </c>
      <c r="B1503" s="403" t="s">
        <v>1380</v>
      </c>
      <c r="C1503" s="403" t="s">
        <v>582</v>
      </c>
      <c r="D1503" s="403" t="s">
        <v>1381</v>
      </c>
      <c r="E1503" s="403" t="s">
        <v>778</v>
      </c>
      <c r="F1503" s="403" t="s">
        <v>1385</v>
      </c>
      <c r="G1503" s="403" t="s">
        <v>1466</v>
      </c>
      <c r="H1503" s="403" t="s">
        <v>1276</v>
      </c>
      <c r="I1503" s="403">
        <v>1</v>
      </c>
      <c r="J1503" s="403" t="s">
        <v>1373</v>
      </c>
      <c r="K1503" s="403">
        <v>2688</v>
      </c>
      <c r="L1503" s="403">
        <v>1512</v>
      </c>
      <c r="M1503" s="403" t="s">
        <v>1384</v>
      </c>
      <c r="N1503" s="403">
        <v>2688</v>
      </c>
      <c r="O1503" s="403">
        <v>1512</v>
      </c>
      <c r="P1503" t="str">
        <f t="shared" si="185"/>
        <v>25fps 2688x1512 - 2688x1512 @ SKIP 2</v>
      </c>
      <c r="Q1503">
        <f t="shared" si="186"/>
        <v>8</v>
      </c>
      <c r="R1503" t="str">
        <f t="shared" si="187"/>
        <v/>
      </c>
      <c r="S1503" t="str">
        <f t="shared" si="188"/>
        <v/>
      </c>
      <c r="T1503" s="403" t="str">
        <f t="shared" si="189"/>
        <v>NBE-5503-AL</v>
      </c>
      <c r="U1503" s="403">
        <f t="shared" si="190"/>
        <v>1</v>
      </c>
      <c r="V1503" s="403" t="str">
        <f t="shared" si="191"/>
        <v>CPP_7_3</v>
      </c>
    </row>
    <row r="1504" spans="1:22">
      <c r="A1504" t="str">
        <f t="shared" si="184"/>
        <v>NBE-5503-AL</v>
      </c>
      <c r="B1504" s="403" t="s">
        <v>1380</v>
      </c>
      <c r="C1504" s="403" t="s">
        <v>582</v>
      </c>
      <c r="D1504" s="403" t="s">
        <v>1381</v>
      </c>
      <c r="E1504" s="403" t="s">
        <v>778</v>
      </c>
      <c r="F1504" s="403" t="s">
        <v>1385</v>
      </c>
      <c r="G1504" s="403" t="s">
        <v>1466</v>
      </c>
      <c r="H1504" s="403" t="s">
        <v>1276</v>
      </c>
      <c r="I1504" s="403">
        <v>1</v>
      </c>
      <c r="J1504" s="403" t="s">
        <v>1373</v>
      </c>
      <c r="K1504" s="403">
        <v>2688</v>
      </c>
      <c r="L1504" s="403">
        <v>1512</v>
      </c>
      <c r="M1504" s="403" t="s">
        <v>109</v>
      </c>
      <c r="N1504" s="403">
        <v>1280</v>
      </c>
      <c r="O1504" s="403">
        <v>720</v>
      </c>
      <c r="P1504" t="str">
        <f t="shared" si="185"/>
        <v>25fps 2688x1512 - 720p</v>
      </c>
      <c r="Q1504">
        <f t="shared" si="186"/>
        <v>8</v>
      </c>
      <c r="R1504" t="str">
        <f t="shared" si="187"/>
        <v/>
      </c>
      <c r="S1504" t="str">
        <f t="shared" si="188"/>
        <v/>
      </c>
      <c r="T1504" s="403" t="str">
        <f t="shared" si="189"/>
        <v>NBE-5503-AL</v>
      </c>
      <c r="U1504" s="403">
        <f t="shared" si="190"/>
        <v>1</v>
      </c>
      <c r="V1504" s="403" t="str">
        <f t="shared" si="191"/>
        <v>CPP_7_3</v>
      </c>
    </row>
    <row r="1505" spans="1:22">
      <c r="A1505" t="str">
        <f t="shared" si="184"/>
        <v>NBE-5503-AL</v>
      </c>
      <c r="B1505" s="403" t="s">
        <v>1380</v>
      </c>
      <c r="C1505" s="403" t="s">
        <v>582</v>
      </c>
      <c r="D1505" s="403" t="s">
        <v>1381</v>
      </c>
      <c r="E1505" s="403" t="s">
        <v>778</v>
      </c>
      <c r="F1505" s="403" t="s">
        <v>1385</v>
      </c>
      <c r="G1505" s="403" t="s">
        <v>1466</v>
      </c>
      <c r="H1505" s="403" t="s">
        <v>1276</v>
      </c>
      <c r="I1505" s="403">
        <v>1</v>
      </c>
      <c r="J1505" s="403" t="s">
        <v>1373</v>
      </c>
      <c r="K1505" s="403">
        <v>2688</v>
      </c>
      <c r="L1505" s="403">
        <v>1512</v>
      </c>
      <c r="M1505" s="403" t="s">
        <v>111</v>
      </c>
      <c r="N1505" s="403">
        <v>768</v>
      </c>
      <c r="O1505" s="403">
        <v>432</v>
      </c>
      <c r="P1505" t="str">
        <f t="shared" si="185"/>
        <v>25fps 2688x1512 - SD</v>
      </c>
      <c r="Q1505">
        <f t="shared" si="186"/>
        <v>8</v>
      </c>
      <c r="R1505" t="str">
        <f t="shared" si="187"/>
        <v/>
      </c>
      <c r="S1505" t="str">
        <f t="shared" si="188"/>
        <v/>
      </c>
      <c r="T1505" s="403" t="str">
        <f t="shared" si="189"/>
        <v>NBE-5503-AL</v>
      </c>
      <c r="U1505" s="403">
        <f t="shared" si="190"/>
        <v>1</v>
      </c>
      <c r="V1505" s="403" t="str">
        <f t="shared" si="191"/>
        <v>CPP_7_3</v>
      </c>
    </row>
    <row r="1506" spans="1:22">
      <c r="A1506" t="str">
        <f t="shared" si="184"/>
        <v>NBE-5503-AL</v>
      </c>
      <c r="B1506" s="403" t="s">
        <v>1380</v>
      </c>
      <c r="C1506" s="403" t="s">
        <v>582</v>
      </c>
      <c r="D1506" s="403" t="s">
        <v>1381</v>
      </c>
      <c r="E1506" s="403" t="s">
        <v>778</v>
      </c>
      <c r="F1506" s="403" t="s">
        <v>1385</v>
      </c>
      <c r="G1506" s="403" t="s">
        <v>1466</v>
      </c>
      <c r="H1506" s="403" t="s">
        <v>1276</v>
      </c>
      <c r="I1506" s="403">
        <v>1</v>
      </c>
      <c r="J1506" s="403" t="s">
        <v>1373</v>
      </c>
      <c r="K1506" s="403">
        <v>2688</v>
      </c>
      <c r="L1506" s="403">
        <v>1512</v>
      </c>
      <c r="M1506" s="403" t="s">
        <v>1279</v>
      </c>
      <c r="N1506" s="403">
        <v>768</v>
      </c>
      <c r="O1506" s="403">
        <v>432</v>
      </c>
      <c r="P1506" t="str">
        <f t="shared" si="185"/>
        <v>25fps 2688x1512 - SD ROI PTZ</v>
      </c>
      <c r="Q1506">
        <f t="shared" si="186"/>
        <v>8</v>
      </c>
      <c r="R1506" t="str">
        <f t="shared" si="187"/>
        <v/>
      </c>
      <c r="S1506" t="str">
        <f t="shared" si="188"/>
        <v/>
      </c>
      <c r="T1506" s="403" t="str">
        <f t="shared" si="189"/>
        <v>NBE-5503-AL</v>
      </c>
      <c r="U1506" s="403">
        <f t="shared" si="190"/>
        <v>1</v>
      </c>
      <c r="V1506" s="403" t="str">
        <f t="shared" si="191"/>
        <v>CPP_7_3</v>
      </c>
    </row>
    <row r="1507" spans="1:22">
      <c r="A1507" t="str">
        <f t="shared" si="184"/>
        <v>NBE-5503-AL</v>
      </c>
      <c r="B1507" s="403" t="s">
        <v>1380</v>
      </c>
      <c r="C1507" s="403" t="s">
        <v>582</v>
      </c>
      <c r="D1507" s="403" t="s">
        <v>1381</v>
      </c>
      <c r="E1507" s="403" t="s">
        <v>778</v>
      </c>
      <c r="F1507" s="403" t="s">
        <v>1385</v>
      </c>
      <c r="G1507" s="403" t="s">
        <v>1466</v>
      </c>
      <c r="H1507" s="403" t="s">
        <v>1276</v>
      </c>
      <c r="I1507" s="403">
        <v>1</v>
      </c>
      <c r="J1507" s="403" t="s">
        <v>1373</v>
      </c>
      <c r="K1507" s="403">
        <v>2688</v>
      </c>
      <c r="L1507" s="403">
        <v>1512</v>
      </c>
      <c r="M1507" s="403" t="s">
        <v>1285</v>
      </c>
      <c r="N1507" s="403">
        <v>1280</v>
      </c>
      <c r="O1507" s="403">
        <v>1024</v>
      </c>
      <c r="P1507" t="str">
        <f t="shared" si="185"/>
        <v>25fps 2688x1512 - 1280x1024 5:4 (cropped)</v>
      </c>
      <c r="Q1507">
        <f t="shared" si="186"/>
        <v>8</v>
      </c>
      <c r="R1507" t="str">
        <f t="shared" si="187"/>
        <v/>
      </c>
      <c r="S1507" t="str">
        <f t="shared" si="188"/>
        <v/>
      </c>
      <c r="T1507" s="403" t="str">
        <f t="shared" si="189"/>
        <v>NBE-5503-AL</v>
      </c>
      <c r="U1507" s="403">
        <f t="shared" si="190"/>
        <v>1</v>
      </c>
      <c r="V1507" s="403" t="str">
        <f t="shared" si="191"/>
        <v>CPP_7_3</v>
      </c>
    </row>
    <row r="1508" spans="1:22">
      <c r="A1508" t="str">
        <f t="shared" si="184"/>
        <v>NBE-5503-AL</v>
      </c>
      <c r="B1508" s="403" t="s">
        <v>1380</v>
      </c>
      <c r="C1508" s="403" t="s">
        <v>582</v>
      </c>
      <c r="D1508" s="403" t="s">
        <v>1381</v>
      </c>
      <c r="E1508" s="403" t="s">
        <v>778</v>
      </c>
      <c r="F1508" s="403" t="s">
        <v>1385</v>
      </c>
      <c r="G1508" s="403" t="s">
        <v>1466</v>
      </c>
      <c r="H1508" s="403" t="s">
        <v>1276</v>
      </c>
      <c r="I1508" s="403">
        <v>1</v>
      </c>
      <c r="J1508" s="403" t="s">
        <v>1373</v>
      </c>
      <c r="K1508" s="403">
        <v>2688</v>
      </c>
      <c r="L1508" s="403">
        <v>1512</v>
      </c>
      <c r="M1508" s="403" t="s">
        <v>1283</v>
      </c>
      <c r="N1508" s="403">
        <v>720</v>
      </c>
      <c r="O1508" s="403">
        <v>576</v>
      </c>
      <c r="P1508" t="str">
        <f t="shared" si="185"/>
        <v>25fps 2688x1512 - SD 4CIF resolution 4:3 format (cropped)</v>
      </c>
      <c r="Q1508">
        <f t="shared" si="186"/>
        <v>8</v>
      </c>
      <c r="R1508" t="str">
        <f t="shared" si="187"/>
        <v/>
      </c>
      <c r="S1508" t="str">
        <f t="shared" si="188"/>
        <v/>
      </c>
      <c r="T1508" s="403" t="str">
        <f t="shared" si="189"/>
        <v>NBE-5503-AL</v>
      </c>
      <c r="U1508" s="403">
        <f t="shared" si="190"/>
        <v>1</v>
      </c>
      <c r="V1508" s="403" t="str">
        <f t="shared" si="191"/>
        <v>CPP_7_3</v>
      </c>
    </row>
    <row r="1509" spans="1:22">
      <c r="A1509" t="str">
        <f t="shared" si="184"/>
        <v>NBE-5503-AL</v>
      </c>
      <c r="B1509" s="403" t="s">
        <v>1380</v>
      </c>
      <c r="C1509" s="403" t="s">
        <v>582</v>
      </c>
      <c r="D1509" s="403" t="s">
        <v>1381</v>
      </c>
      <c r="E1509" s="403" t="s">
        <v>778</v>
      </c>
      <c r="F1509" s="403" t="s">
        <v>1385</v>
      </c>
      <c r="G1509" s="403" t="s">
        <v>1466</v>
      </c>
      <c r="H1509" s="403" t="s">
        <v>1276</v>
      </c>
      <c r="I1509" s="403">
        <v>1</v>
      </c>
      <c r="J1509" s="403" t="s">
        <v>1373</v>
      </c>
      <c r="K1509" s="403">
        <v>2688</v>
      </c>
      <c r="L1509" s="403">
        <v>1512</v>
      </c>
      <c r="M1509" s="403" t="s">
        <v>1284</v>
      </c>
      <c r="N1509" s="403">
        <v>640</v>
      </c>
      <c r="O1509" s="403">
        <v>480</v>
      </c>
      <c r="P1509" t="str">
        <f t="shared" si="185"/>
        <v>25fps 2688x1512 - SD VGA (cropped)</v>
      </c>
      <c r="Q1509">
        <f t="shared" si="186"/>
        <v>8</v>
      </c>
      <c r="R1509" t="str">
        <f t="shared" si="187"/>
        <v/>
      </c>
      <c r="S1509" t="str">
        <f t="shared" si="188"/>
        <v/>
      </c>
      <c r="T1509" s="403" t="str">
        <f t="shared" si="189"/>
        <v>NBE-5503-AL</v>
      </c>
      <c r="U1509" s="403">
        <f t="shared" si="190"/>
        <v>1</v>
      </c>
      <c r="V1509" s="403" t="str">
        <f t="shared" si="191"/>
        <v>CPP_7_3</v>
      </c>
    </row>
    <row r="1510" spans="1:22">
      <c r="A1510" t="str">
        <f t="shared" si="184"/>
        <v>NBE-5503-AL</v>
      </c>
      <c r="B1510" s="403" t="s">
        <v>1380</v>
      </c>
      <c r="C1510" s="403" t="s">
        <v>582</v>
      </c>
      <c r="D1510" s="403" t="s">
        <v>1381</v>
      </c>
      <c r="E1510" s="403" t="s">
        <v>778</v>
      </c>
      <c r="F1510" s="403" t="s">
        <v>1385</v>
      </c>
      <c r="G1510" s="403" t="s">
        <v>1466</v>
      </c>
      <c r="H1510" s="403" t="s">
        <v>1276</v>
      </c>
      <c r="I1510" s="403">
        <v>1</v>
      </c>
      <c r="J1510" s="403" t="s">
        <v>1373</v>
      </c>
      <c r="K1510" s="403">
        <v>2688</v>
      </c>
      <c r="L1510" s="403">
        <v>1512</v>
      </c>
      <c r="M1510" s="403" t="s">
        <v>1280</v>
      </c>
      <c r="N1510" s="403">
        <v>2688</v>
      </c>
      <c r="O1510" s="403">
        <v>1512</v>
      </c>
      <c r="P1510" t="str">
        <f t="shared" si="185"/>
        <v>25fps 2688x1512 - copy other stream</v>
      </c>
      <c r="Q1510">
        <f t="shared" si="186"/>
        <v>8</v>
      </c>
      <c r="R1510" t="str">
        <f t="shared" si="187"/>
        <v/>
      </c>
      <c r="S1510" t="str">
        <f t="shared" si="188"/>
        <v/>
      </c>
      <c r="T1510" s="403" t="str">
        <f t="shared" si="189"/>
        <v>NBE-5503-AL</v>
      </c>
      <c r="U1510" s="403">
        <f t="shared" si="190"/>
        <v>1</v>
      </c>
      <c r="V1510" s="403" t="str">
        <f t="shared" si="191"/>
        <v>CPP_7_3</v>
      </c>
    </row>
    <row r="1511" spans="1:22">
      <c r="A1511" t="str">
        <f t="shared" si="184"/>
        <v>NBE-5503-AL</v>
      </c>
      <c r="B1511" s="403" t="s">
        <v>1380</v>
      </c>
      <c r="C1511" s="403" t="s">
        <v>582</v>
      </c>
      <c r="D1511" s="403" t="s">
        <v>1381</v>
      </c>
      <c r="E1511" s="403" t="s">
        <v>778</v>
      </c>
      <c r="F1511" s="403" t="s">
        <v>1385</v>
      </c>
      <c r="G1511" s="403" t="s">
        <v>1466</v>
      </c>
      <c r="H1511" s="403" t="s">
        <v>1276</v>
      </c>
      <c r="I1511" s="403">
        <v>1</v>
      </c>
      <c r="J1511" s="403" t="s">
        <v>1374</v>
      </c>
      <c r="K1511" s="403">
        <v>2304</v>
      </c>
      <c r="L1511" s="403">
        <v>1296</v>
      </c>
      <c r="M1511" s="403" t="s">
        <v>110</v>
      </c>
      <c r="N1511" s="403">
        <v>1920</v>
      </c>
      <c r="O1511" s="403">
        <v>1080</v>
      </c>
      <c r="P1511" t="str">
        <f t="shared" si="185"/>
        <v>25fps 2304x1296 - 1080p</v>
      </c>
      <c r="Q1511">
        <f t="shared" si="186"/>
        <v>8</v>
      </c>
      <c r="R1511" t="str">
        <f t="shared" si="187"/>
        <v/>
      </c>
      <c r="S1511" t="str">
        <f t="shared" si="188"/>
        <v/>
      </c>
      <c r="T1511" s="403" t="str">
        <f t="shared" si="189"/>
        <v>NBE-5503-AL</v>
      </c>
      <c r="U1511" s="403">
        <f t="shared" si="190"/>
        <v>1</v>
      </c>
      <c r="V1511" s="403" t="str">
        <f t="shared" si="191"/>
        <v>CPP_7_3</v>
      </c>
    </row>
    <row r="1512" spans="1:22">
      <c r="A1512" t="str">
        <f t="shared" si="184"/>
        <v>NBE-5503-AL</v>
      </c>
      <c r="B1512" s="403" t="s">
        <v>1380</v>
      </c>
      <c r="C1512" s="403" t="s">
        <v>582</v>
      </c>
      <c r="D1512" s="403" t="s">
        <v>1381</v>
      </c>
      <c r="E1512" s="403" t="s">
        <v>778</v>
      </c>
      <c r="F1512" s="403" t="s">
        <v>1385</v>
      </c>
      <c r="G1512" s="403" t="s">
        <v>1466</v>
      </c>
      <c r="H1512" s="403" t="s">
        <v>1276</v>
      </c>
      <c r="I1512" s="403">
        <v>1</v>
      </c>
      <c r="J1512" s="403" t="s">
        <v>1374</v>
      </c>
      <c r="K1512" s="403">
        <v>2304</v>
      </c>
      <c r="L1512" s="403">
        <v>1296</v>
      </c>
      <c r="M1512" s="403" t="s">
        <v>1374</v>
      </c>
      <c r="N1512" s="403">
        <v>2304</v>
      </c>
      <c r="O1512" s="403">
        <v>1296</v>
      </c>
      <c r="P1512" t="str">
        <f t="shared" si="185"/>
        <v>25fps 2304x1296 - 2304x1296</v>
      </c>
      <c r="Q1512">
        <f t="shared" si="186"/>
        <v>8</v>
      </c>
      <c r="R1512" t="str">
        <f t="shared" si="187"/>
        <v/>
      </c>
      <c r="S1512" t="str">
        <f t="shared" si="188"/>
        <v/>
      </c>
      <c r="T1512" s="403" t="str">
        <f t="shared" si="189"/>
        <v>NBE-5503-AL</v>
      </c>
      <c r="U1512" s="403">
        <f t="shared" si="190"/>
        <v>1</v>
      </c>
      <c r="V1512" s="403" t="str">
        <f t="shared" si="191"/>
        <v>CPP_7_3</v>
      </c>
    </row>
    <row r="1513" spans="1:22">
      <c r="A1513" t="str">
        <f t="shared" si="184"/>
        <v>NBE-5503-AL</v>
      </c>
      <c r="B1513" s="403" t="s">
        <v>1380</v>
      </c>
      <c r="C1513" s="403" t="s">
        <v>582</v>
      </c>
      <c r="D1513" s="403" t="s">
        <v>1381</v>
      </c>
      <c r="E1513" s="403" t="s">
        <v>778</v>
      </c>
      <c r="F1513" s="403" t="s">
        <v>1385</v>
      </c>
      <c r="G1513" s="403" t="s">
        <v>1466</v>
      </c>
      <c r="H1513" s="403" t="s">
        <v>1276</v>
      </c>
      <c r="I1513" s="403">
        <v>1</v>
      </c>
      <c r="J1513" s="403" t="s">
        <v>1374</v>
      </c>
      <c r="K1513" s="403">
        <v>2304</v>
      </c>
      <c r="L1513" s="403">
        <v>1296</v>
      </c>
      <c r="M1513" s="403" t="s">
        <v>109</v>
      </c>
      <c r="N1513" s="403">
        <v>1280</v>
      </c>
      <c r="O1513" s="403">
        <v>720</v>
      </c>
      <c r="P1513" t="str">
        <f t="shared" si="185"/>
        <v>25fps 2304x1296 - 720p</v>
      </c>
      <c r="Q1513">
        <f t="shared" si="186"/>
        <v>8</v>
      </c>
      <c r="R1513" t="str">
        <f t="shared" si="187"/>
        <v/>
      </c>
      <c r="S1513" t="str">
        <f t="shared" si="188"/>
        <v/>
      </c>
      <c r="T1513" s="403" t="str">
        <f t="shared" si="189"/>
        <v>NBE-5503-AL</v>
      </c>
      <c r="U1513" s="403">
        <f t="shared" si="190"/>
        <v>1</v>
      </c>
      <c r="V1513" s="403" t="str">
        <f t="shared" si="191"/>
        <v>CPP_7_3</v>
      </c>
    </row>
    <row r="1514" spans="1:22">
      <c r="A1514" t="str">
        <f t="shared" si="184"/>
        <v>NBE-5503-AL</v>
      </c>
      <c r="B1514" s="403" t="s">
        <v>1380</v>
      </c>
      <c r="C1514" s="403" t="s">
        <v>582</v>
      </c>
      <c r="D1514" s="403" t="s">
        <v>1381</v>
      </c>
      <c r="E1514" s="403" t="s">
        <v>778</v>
      </c>
      <c r="F1514" s="403" t="s">
        <v>1385</v>
      </c>
      <c r="G1514" s="403" t="s">
        <v>1466</v>
      </c>
      <c r="H1514" s="403" t="s">
        <v>1276</v>
      </c>
      <c r="I1514" s="403">
        <v>1</v>
      </c>
      <c r="J1514" s="403" t="s">
        <v>1374</v>
      </c>
      <c r="K1514" s="403">
        <v>2304</v>
      </c>
      <c r="L1514" s="403">
        <v>1296</v>
      </c>
      <c r="M1514" s="403" t="s">
        <v>111</v>
      </c>
      <c r="N1514" s="403">
        <v>768</v>
      </c>
      <c r="O1514" s="403">
        <v>432</v>
      </c>
      <c r="P1514" t="str">
        <f t="shared" si="185"/>
        <v>25fps 2304x1296 - SD</v>
      </c>
      <c r="Q1514">
        <f t="shared" si="186"/>
        <v>8</v>
      </c>
      <c r="R1514" t="str">
        <f t="shared" si="187"/>
        <v/>
      </c>
      <c r="S1514" t="str">
        <f t="shared" si="188"/>
        <v/>
      </c>
      <c r="T1514" s="403" t="str">
        <f t="shared" si="189"/>
        <v>NBE-5503-AL</v>
      </c>
      <c r="U1514" s="403">
        <f t="shared" si="190"/>
        <v>1</v>
      </c>
      <c r="V1514" s="403" t="str">
        <f t="shared" si="191"/>
        <v>CPP_7_3</v>
      </c>
    </row>
    <row r="1515" spans="1:22">
      <c r="A1515" t="str">
        <f t="shared" si="184"/>
        <v>NBE-5503-AL</v>
      </c>
      <c r="B1515" s="403" t="s">
        <v>1380</v>
      </c>
      <c r="C1515" s="403" t="s">
        <v>582</v>
      </c>
      <c r="D1515" s="403" t="s">
        <v>1381</v>
      </c>
      <c r="E1515" s="403" t="s">
        <v>778</v>
      </c>
      <c r="F1515" s="403" t="s">
        <v>1385</v>
      </c>
      <c r="G1515" s="403" t="s">
        <v>1466</v>
      </c>
      <c r="H1515" s="403" t="s">
        <v>1276</v>
      </c>
      <c r="I1515" s="403">
        <v>1</v>
      </c>
      <c r="J1515" s="403" t="s">
        <v>1374</v>
      </c>
      <c r="K1515" s="403">
        <v>2304</v>
      </c>
      <c r="L1515" s="403">
        <v>1296</v>
      </c>
      <c r="M1515" s="403" t="s">
        <v>1279</v>
      </c>
      <c r="N1515" s="403">
        <v>768</v>
      </c>
      <c r="O1515" s="403">
        <v>432</v>
      </c>
      <c r="P1515" t="str">
        <f t="shared" si="185"/>
        <v>25fps 2304x1296 - SD ROI PTZ</v>
      </c>
      <c r="Q1515">
        <f t="shared" si="186"/>
        <v>8</v>
      </c>
      <c r="R1515" t="str">
        <f t="shared" si="187"/>
        <v/>
      </c>
      <c r="S1515" t="str">
        <f t="shared" si="188"/>
        <v/>
      </c>
      <c r="T1515" s="403" t="str">
        <f t="shared" si="189"/>
        <v>NBE-5503-AL</v>
      </c>
      <c r="U1515" s="403">
        <f t="shared" si="190"/>
        <v>1</v>
      </c>
      <c r="V1515" s="403" t="str">
        <f t="shared" si="191"/>
        <v>CPP_7_3</v>
      </c>
    </row>
    <row r="1516" spans="1:22">
      <c r="A1516" t="str">
        <f t="shared" si="184"/>
        <v>NBE-5503-AL</v>
      </c>
      <c r="B1516" s="403" t="s">
        <v>1380</v>
      </c>
      <c r="C1516" s="403" t="s">
        <v>582</v>
      </c>
      <c r="D1516" s="403" t="s">
        <v>1381</v>
      </c>
      <c r="E1516" s="403" t="s">
        <v>778</v>
      </c>
      <c r="F1516" s="403" t="s">
        <v>1385</v>
      </c>
      <c r="G1516" s="403" t="s">
        <v>1466</v>
      </c>
      <c r="H1516" s="403" t="s">
        <v>1276</v>
      </c>
      <c r="I1516" s="403">
        <v>1</v>
      </c>
      <c r="J1516" s="403" t="s">
        <v>1374</v>
      </c>
      <c r="K1516" s="403">
        <v>2304</v>
      </c>
      <c r="L1516" s="403">
        <v>1296</v>
      </c>
      <c r="M1516" s="403" t="s">
        <v>1285</v>
      </c>
      <c r="N1516" s="403">
        <v>1280</v>
      </c>
      <c r="O1516" s="403">
        <v>1024</v>
      </c>
      <c r="P1516" t="str">
        <f t="shared" si="185"/>
        <v>25fps 2304x1296 - 1280x1024 5:4 (cropped)</v>
      </c>
      <c r="Q1516">
        <f t="shared" si="186"/>
        <v>8</v>
      </c>
      <c r="R1516" t="str">
        <f t="shared" si="187"/>
        <v/>
      </c>
      <c r="S1516" t="str">
        <f t="shared" si="188"/>
        <v/>
      </c>
      <c r="T1516" s="403" t="str">
        <f t="shared" si="189"/>
        <v>NBE-5503-AL</v>
      </c>
      <c r="U1516" s="403">
        <f t="shared" si="190"/>
        <v>1</v>
      </c>
      <c r="V1516" s="403" t="str">
        <f t="shared" si="191"/>
        <v>CPP_7_3</v>
      </c>
    </row>
    <row r="1517" spans="1:22">
      <c r="A1517" t="str">
        <f t="shared" si="184"/>
        <v>NBE-5503-AL</v>
      </c>
      <c r="B1517" s="403" t="s">
        <v>1380</v>
      </c>
      <c r="C1517" s="403" t="s">
        <v>582</v>
      </c>
      <c r="D1517" s="403" t="s">
        <v>1381</v>
      </c>
      <c r="E1517" s="403" t="s">
        <v>778</v>
      </c>
      <c r="F1517" s="403" t="s">
        <v>1385</v>
      </c>
      <c r="G1517" s="403" t="s">
        <v>1466</v>
      </c>
      <c r="H1517" s="403" t="s">
        <v>1276</v>
      </c>
      <c r="I1517" s="403">
        <v>1</v>
      </c>
      <c r="J1517" s="403" t="s">
        <v>1374</v>
      </c>
      <c r="K1517" s="403">
        <v>2304</v>
      </c>
      <c r="L1517" s="403">
        <v>1296</v>
      </c>
      <c r="M1517" s="403" t="s">
        <v>1283</v>
      </c>
      <c r="N1517" s="403">
        <v>720</v>
      </c>
      <c r="O1517" s="403">
        <v>576</v>
      </c>
      <c r="P1517" t="str">
        <f t="shared" si="185"/>
        <v>25fps 2304x1296 - SD 4CIF resolution 4:3 format (cropped)</v>
      </c>
      <c r="Q1517">
        <f t="shared" si="186"/>
        <v>8</v>
      </c>
      <c r="R1517" t="str">
        <f t="shared" si="187"/>
        <v/>
      </c>
      <c r="S1517" t="str">
        <f t="shared" si="188"/>
        <v/>
      </c>
      <c r="T1517" s="403" t="str">
        <f t="shared" si="189"/>
        <v>NBE-5503-AL</v>
      </c>
      <c r="U1517" s="403">
        <f t="shared" si="190"/>
        <v>1</v>
      </c>
      <c r="V1517" s="403" t="str">
        <f t="shared" si="191"/>
        <v>CPP_7_3</v>
      </c>
    </row>
    <row r="1518" spans="1:22">
      <c r="A1518" t="str">
        <f t="shared" si="184"/>
        <v>NBE-5503-AL</v>
      </c>
      <c r="B1518" s="403" t="s">
        <v>1380</v>
      </c>
      <c r="C1518" s="403" t="s">
        <v>582</v>
      </c>
      <c r="D1518" s="403" t="s">
        <v>1381</v>
      </c>
      <c r="E1518" s="403" t="s">
        <v>778</v>
      </c>
      <c r="F1518" s="403" t="s">
        <v>1385</v>
      </c>
      <c r="G1518" s="403" t="s">
        <v>1466</v>
      </c>
      <c r="H1518" s="403" t="s">
        <v>1276</v>
      </c>
      <c r="I1518" s="403">
        <v>1</v>
      </c>
      <c r="J1518" s="403" t="s">
        <v>1374</v>
      </c>
      <c r="K1518" s="403">
        <v>2304</v>
      </c>
      <c r="L1518" s="403">
        <v>1296</v>
      </c>
      <c r="M1518" s="403" t="s">
        <v>1284</v>
      </c>
      <c r="N1518" s="403">
        <v>640</v>
      </c>
      <c r="O1518" s="403">
        <v>480</v>
      </c>
      <c r="P1518" t="str">
        <f t="shared" si="185"/>
        <v>25fps 2304x1296 - SD VGA (cropped)</v>
      </c>
      <c r="Q1518">
        <f t="shared" si="186"/>
        <v>8</v>
      </c>
      <c r="R1518" t="str">
        <f t="shared" si="187"/>
        <v/>
      </c>
      <c r="S1518" t="str">
        <f t="shared" si="188"/>
        <v/>
      </c>
      <c r="T1518" s="403" t="str">
        <f t="shared" si="189"/>
        <v>NBE-5503-AL</v>
      </c>
      <c r="U1518" s="403">
        <f t="shared" si="190"/>
        <v>1</v>
      </c>
      <c r="V1518" s="403" t="str">
        <f t="shared" si="191"/>
        <v>CPP_7_3</v>
      </c>
    </row>
    <row r="1519" spans="1:22">
      <c r="A1519" t="str">
        <f t="shared" si="184"/>
        <v>NBE-5503-AL</v>
      </c>
      <c r="B1519" s="403" t="s">
        <v>1380</v>
      </c>
      <c r="C1519" s="403" t="s">
        <v>582</v>
      </c>
      <c r="D1519" s="403" t="s">
        <v>1381</v>
      </c>
      <c r="E1519" s="403" t="s">
        <v>778</v>
      </c>
      <c r="F1519" s="403" t="s">
        <v>1385</v>
      </c>
      <c r="G1519" s="403" t="s">
        <v>1466</v>
      </c>
      <c r="H1519" s="403" t="s">
        <v>1276</v>
      </c>
      <c r="I1519" s="403">
        <v>1</v>
      </c>
      <c r="J1519" s="403" t="s">
        <v>1374</v>
      </c>
      <c r="K1519" s="403">
        <v>2304</v>
      </c>
      <c r="L1519" s="403">
        <v>1296</v>
      </c>
      <c r="M1519" s="403" t="s">
        <v>1280</v>
      </c>
      <c r="N1519" s="403">
        <v>2304</v>
      </c>
      <c r="O1519" s="403">
        <v>1296</v>
      </c>
      <c r="P1519" t="str">
        <f t="shared" si="185"/>
        <v>25fps 2304x1296 - copy other stream</v>
      </c>
      <c r="Q1519">
        <f t="shared" si="186"/>
        <v>8</v>
      </c>
      <c r="R1519" t="str">
        <f t="shared" si="187"/>
        <v/>
      </c>
      <c r="S1519" t="str">
        <f t="shared" si="188"/>
        <v/>
      </c>
      <c r="T1519" s="403" t="str">
        <f t="shared" si="189"/>
        <v>NBE-5503-AL</v>
      </c>
      <c r="U1519" s="403">
        <f t="shared" si="190"/>
        <v>1</v>
      </c>
      <c r="V1519" s="403" t="str">
        <f t="shared" si="191"/>
        <v>CPP_7_3</v>
      </c>
    </row>
    <row r="1520" spans="1:22">
      <c r="A1520" t="str">
        <f t="shared" si="184"/>
        <v>NBE-5503-AL</v>
      </c>
      <c r="B1520" s="403" t="s">
        <v>1380</v>
      </c>
      <c r="C1520" s="403" t="s">
        <v>582</v>
      </c>
      <c r="D1520" s="403" t="s">
        <v>1381</v>
      </c>
      <c r="E1520" s="403" t="s">
        <v>778</v>
      </c>
      <c r="F1520" s="403" t="s">
        <v>1385</v>
      </c>
      <c r="G1520" s="403" t="s">
        <v>1466</v>
      </c>
      <c r="H1520" s="403" t="s">
        <v>1276</v>
      </c>
      <c r="I1520" s="403">
        <v>1</v>
      </c>
      <c r="J1520" s="403" t="s">
        <v>110</v>
      </c>
      <c r="K1520" s="403">
        <v>1920</v>
      </c>
      <c r="L1520" s="403">
        <v>1080</v>
      </c>
      <c r="M1520" s="403" t="s">
        <v>111</v>
      </c>
      <c r="N1520" s="403">
        <v>768</v>
      </c>
      <c r="O1520" s="403">
        <v>432</v>
      </c>
      <c r="P1520" t="str">
        <f t="shared" si="185"/>
        <v>25fps 1080p - SD</v>
      </c>
      <c r="Q1520">
        <f t="shared" si="186"/>
        <v>8</v>
      </c>
      <c r="R1520" t="str">
        <f t="shared" si="187"/>
        <v/>
      </c>
      <c r="S1520" t="str">
        <f t="shared" si="188"/>
        <v/>
      </c>
      <c r="T1520" s="403" t="str">
        <f t="shared" si="189"/>
        <v>NBE-5503-AL</v>
      </c>
      <c r="U1520" s="403">
        <f t="shared" si="190"/>
        <v>1</v>
      </c>
      <c r="V1520" s="403" t="str">
        <f t="shared" si="191"/>
        <v>CPP_7_3</v>
      </c>
    </row>
    <row r="1521" spans="1:22">
      <c r="A1521" t="str">
        <f t="shared" si="184"/>
        <v>NBE-5503-AL</v>
      </c>
      <c r="B1521" s="403" t="s">
        <v>1380</v>
      </c>
      <c r="C1521" s="403" t="s">
        <v>582</v>
      </c>
      <c r="D1521" s="403" t="s">
        <v>1381</v>
      </c>
      <c r="E1521" s="403" t="s">
        <v>778</v>
      </c>
      <c r="F1521" s="403" t="s">
        <v>1385</v>
      </c>
      <c r="G1521" s="403" t="s">
        <v>1466</v>
      </c>
      <c r="H1521" s="403" t="s">
        <v>1276</v>
      </c>
      <c r="I1521" s="403">
        <v>1</v>
      </c>
      <c r="J1521" s="403" t="s">
        <v>110</v>
      </c>
      <c r="K1521" s="403">
        <v>1920</v>
      </c>
      <c r="L1521" s="403">
        <v>1080</v>
      </c>
      <c r="M1521" s="403" t="s">
        <v>110</v>
      </c>
      <c r="N1521" s="403">
        <v>1920</v>
      </c>
      <c r="O1521" s="403">
        <v>1080</v>
      </c>
      <c r="P1521" t="str">
        <f t="shared" si="185"/>
        <v>25fps 1080p - 1080p</v>
      </c>
      <c r="Q1521">
        <f t="shared" si="186"/>
        <v>8</v>
      </c>
      <c r="R1521" t="str">
        <f t="shared" si="187"/>
        <v/>
      </c>
      <c r="S1521" t="str">
        <f t="shared" si="188"/>
        <v/>
      </c>
      <c r="T1521" s="403" t="str">
        <f t="shared" si="189"/>
        <v>NBE-5503-AL</v>
      </c>
      <c r="U1521" s="403">
        <f t="shared" si="190"/>
        <v>1</v>
      </c>
      <c r="V1521" s="403" t="str">
        <f t="shared" si="191"/>
        <v>CPP_7_3</v>
      </c>
    </row>
    <row r="1522" spans="1:22">
      <c r="A1522" t="str">
        <f t="shared" si="184"/>
        <v>NBE-5503-AL</v>
      </c>
      <c r="B1522" s="403" t="s">
        <v>1380</v>
      </c>
      <c r="C1522" s="403" t="s">
        <v>582</v>
      </c>
      <c r="D1522" s="403" t="s">
        <v>1381</v>
      </c>
      <c r="E1522" s="403" t="s">
        <v>778</v>
      </c>
      <c r="F1522" s="403" t="s">
        <v>1385</v>
      </c>
      <c r="G1522" s="403" t="s">
        <v>1466</v>
      </c>
      <c r="H1522" s="403" t="s">
        <v>1276</v>
      </c>
      <c r="I1522" s="403">
        <v>1</v>
      </c>
      <c r="J1522" s="403" t="s">
        <v>110</v>
      </c>
      <c r="K1522" s="403">
        <v>1920</v>
      </c>
      <c r="L1522" s="403">
        <v>1080</v>
      </c>
      <c r="M1522" s="403" t="s">
        <v>109</v>
      </c>
      <c r="N1522" s="403">
        <v>1280</v>
      </c>
      <c r="O1522" s="403">
        <v>720</v>
      </c>
      <c r="P1522" t="str">
        <f t="shared" si="185"/>
        <v>25fps 1080p - 720p</v>
      </c>
      <c r="Q1522">
        <f t="shared" si="186"/>
        <v>8</v>
      </c>
      <c r="R1522" t="str">
        <f t="shared" si="187"/>
        <v/>
      </c>
      <c r="S1522" t="str">
        <f t="shared" si="188"/>
        <v/>
      </c>
      <c r="T1522" s="403" t="str">
        <f t="shared" si="189"/>
        <v>NBE-5503-AL</v>
      </c>
      <c r="U1522" s="403">
        <f t="shared" si="190"/>
        <v>1</v>
      </c>
      <c r="V1522" s="403" t="str">
        <f t="shared" si="191"/>
        <v>CPP_7_3</v>
      </c>
    </row>
    <row r="1523" spans="1:22">
      <c r="A1523" t="str">
        <f t="shared" si="184"/>
        <v>NBE-5503-AL</v>
      </c>
      <c r="B1523" s="403" t="s">
        <v>1380</v>
      </c>
      <c r="C1523" s="403" t="s">
        <v>582</v>
      </c>
      <c r="D1523" s="403" t="s">
        <v>1381</v>
      </c>
      <c r="E1523" s="403" t="s">
        <v>778</v>
      </c>
      <c r="F1523" s="403" t="s">
        <v>1385</v>
      </c>
      <c r="G1523" s="403" t="s">
        <v>1466</v>
      </c>
      <c r="H1523" s="403" t="s">
        <v>1276</v>
      </c>
      <c r="I1523" s="403">
        <v>1</v>
      </c>
      <c r="J1523" s="403" t="s">
        <v>110</v>
      </c>
      <c r="K1523" s="403">
        <v>1920</v>
      </c>
      <c r="L1523" s="403">
        <v>1080</v>
      </c>
      <c r="M1523" s="403" t="s">
        <v>1285</v>
      </c>
      <c r="N1523" s="403">
        <v>1280</v>
      </c>
      <c r="O1523" s="403">
        <v>1024</v>
      </c>
      <c r="P1523" t="str">
        <f t="shared" si="185"/>
        <v>25fps 1080p - 1280x1024 5:4 (cropped)</v>
      </c>
      <c r="Q1523">
        <f t="shared" si="186"/>
        <v>8</v>
      </c>
      <c r="R1523" t="str">
        <f t="shared" si="187"/>
        <v/>
      </c>
      <c r="S1523" t="str">
        <f t="shared" si="188"/>
        <v/>
      </c>
      <c r="T1523" s="403" t="str">
        <f t="shared" si="189"/>
        <v>NBE-5503-AL</v>
      </c>
      <c r="U1523" s="403">
        <f t="shared" si="190"/>
        <v>1</v>
      </c>
      <c r="V1523" s="403" t="str">
        <f t="shared" si="191"/>
        <v>CPP_7_3</v>
      </c>
    </row>
    <row r="1524" spans="1:22">
      <c r="A1524" t="str">
        <f t="shared" si="184"/>
        <v>NBE-5503-AL</v>
      </c>
      <c r="B1524" s="403" t="s">
        <v>1380</v>
      </c>
      <c r="C1524" s="403" t="s">
        <v>582</v>
      </c>
      <c r="D1524" s="403" t="s">
        <v>1381</v>
      </c>
      <c r="E1524" s="403" t="s">
        <v>778</v>
      </c>
      <c r="F1524" s="403" t="s">
        <v>1385</v>
      </c>
      <c r="G1524" s="403" t="s">
        <v>1466</v>
      </c>
      <c r="H1524" s="403" t="s">
        <v>1276</v>
      </c>
      <c r="I1524" s="403">
        <v>1</v>
      </c>
      <c r="J1524" s="403" t="s">
        <v>110</v>
      </c>
      <c r="K1524" s="403">
        <v>1920</v>
      </c>
      <c r="L1524" s="403">
        <v>1080</v>
      </c>
      <c r="M1524" s="403" t="s">
        <v>1279</v>
      </c>
      <c r="N1524" s="403">
        <v>768</v>
      </c>
      <c r="O1524" s="403">
        <v>432</v>
      </c>
      <c r="P1524" t="str">
        <f t="shared" si="185"/>
        <v>25fps 1080p - SD ROI PTZ</v>
      </c>
      <c r="Q1524">
        <f t="shared" si="186"/>
        <v>8</v>
      </c>
      <c r="R1524" t="str">
        <f t="shared" si="187"/>
        <v/>
      </c>
      <c r="S1524" t="str">
        <f t="shared" si="188"/>
        <v/>
      </c>
      <c r="T1524" s="403" t="str">
        <f t="shared" si="189"/>
        <v>NBE-5503-AL</v>
      </c>
      <c r="U1524" s="403">
        <f t="shared" si="190"/>
        <v>1</v>
      </c>
      <c r="V1524" s="403" t="str">
        <f t="shared" si="191"/>
        <v>CPP_7_3</v>
      </c>
    </row>
    <row r="1525" spans="1:22">
      <c r="A1525" t="str">
        <f t="shared" si="184"/>
        <v>NBE-5503-AL</v>
      </c>
      <c r="B1525" s="403" t="s">
        <v>1380</v>
      </c>
      <c r="C1525" s="403" t="s">
        <v>582</v>
      </c>
      <c r="D1525" s="403" t="s">
        <v>1381</v>
      </c>
      <c r="E1525" s="403" t="s">
        <v>778</v>
      </c>
      <c r="F1525" s="403" t="s">
        <v>1385</v>
      </c>
      <c r="G1525" s="403" t="s">
        <v>1466</v>
      </c>
      <c r="H1525" s="403" t="s">
        <v>1276</v>
      </c>
      <c r="I1525" s="403">
        <v>1</v>
      </c>
      <c r="J1525" s="403" t="s">
        <v>110</v>
      </c>
      <c r="K1525" s="403">
        <v>1920</v>
      </c>
      <c r="L1525" s="403">
        <v>1080</v>
      </c>
      <c r="M1525" s="403" t="s">
        <v>1283</v>
      </c>
      <c r="N1525" s="403">
        <v>720</v>
      </c>
      <c r="O1525" s="403">
        <v>576</v>
      </c>
      <c r="P1525" t="str">
        <f t="shared" si="185"/>
        <v>25fps 1080p - SD 4CIF resolution 4:3 format (cropped)</v>
      </c>
      <c r="Q1525">
        <f t="shared" si="186"/>
        <v>8</v>
      </c>
      <c r="R1525" t="str">
        <f t="shared" si="187"/>
        <v/>
      </c>
      <c r="S1525" t="str">
        <f t="shared" si="188"/>
        <v/>
      </c>
      <c r="T1525" s="403" t="str">
        <f t="shared" si="189"/>
        <v>NBE-5503-AL</v>
      </c>
      <c r="U1525" s="403">
        <f t="shared" si="190"/>
        <v>1</v>
      </c>
      <c r="V1525" s="403" t="str">
        <f t="shared" si="191"/>
        <v>CPP_7_3</v>
      </c>
    </row>
    <row r="1526" spans="1:22">
      <c r="A1526" t="str">
        <f t="shared" si="184"/>
        <v>NBE-5503-AL</v>
      </c>
      <c r="B1526" s="403" t="s">
        <v>1380</v>
      </c>
      <c r="C1526" s="403" t="s">
        <v>582</v>
      </c>
      <c r="D1526" s="403" t="s">
        <v>1381</v>
      </c>
      <c r="E1526" s="403" t="s">
        <v>778</v>
      </c>
      <c r="F1526" s="403" t="s">
        <v>1385</v>
      </c>
      <c r="G1526" s="403" t="s">
        <v>1466</v>
      </c>
      <c r="H1526" s="403" t="s">
        <v>1276</v>
      </c>
      <c r="I1526" s="403">
        <v>1</v>
      </c>
      <c r="J1526" s="403" t="s">
        <v>110</v>
      </c>
      <c r="K1526" s="403">
        <v>1920</v>
      </c>
      <c r="L1526" s="403">
        <v>1080</v>
      </c>
      <c r="M1526" s="403" t="s">
        <v>1284</v>
      </c>
      <c r="N1526" s="403">
        <v>640</v>
      </c>
      <c r="O1526" s="403">
        <v>480</v>
      </c>
      <c r="P1526" t="str">
        <f t="shared" si="185"/>
        <v>25fps 1080p - SD VGA (cropped)</v>
      </c>
      <c r="Q1526">
        <f t="shared" si="186"/>
        <v>8</v>
      </c>
      <c r="R1526" t="str">
        <f t="shared" si="187"/>
        <v/>
      </c>
      <c r="S1526" t="str">
        <f t="shared" si="188"/>
        <v/>
      </c>
      <c r="T1526" s="403" t="str">
        <f t="shared" si="189"/>
        <v>NBE-5503-AL</v>
      </c>
      <c r="U1526" s="403">
        <f t="shared" si="190"/>
        <v>1</v>
      </c>
      <c r="V1526" s="403" t="str">
        <f t="shared" si="191"/>
        <v>CPP_7_3</v>
      </c>
    </row>
    <row r="1527" spans="1:22">
      <c r="A1527" t="str">
        <f t="shared" si="184"/>
        <v>NBE-5503-AL</v>
      </c>
      <c r="B1527" s="403" t="s">
        <v>1380</v>
      </c>
      <c r="C1527" s="403" t="s">
        <v>582</v>
      </c>
      <c r="D1527" s="403" t="s">
        <v>1381</v>
      </c>
      <c r="E1527" s="403" t="s">
        <v>778</v>
      </c>
      <c r="F1527" s="403" t="s">
        <v>1385</v>
      </c>
      <c r="G1527" s="403" t="s">
        <v>1466</v>
      </c>
      <c r="H1527" s="403" t="s">
        <v>1276</v>
      </c>
      <c r="I1527" s="403">
        <v>1</v>
      </c>
      <c r="J1527" s="403" t="s">
        <v>109</v>
      </c>
      <c r="K1527" s="403">
        <v>1280</v>
      </c>
      <c r="L1527" s="403">
        <v>720</v>
      </c>
      <c r="M1527" s="403" t="s">
        <v>109</v>
      </c>
      <c r="N1527" s="403">
        <v>1280</v>
      </c>
      <c r="O1527" s="403">
        <v>720</v>
      </c>
      <c r="P1527" t="str">
        <f t="shared" si="185"/>
        <v>25fps 720p - 720p</v>
      </c>
      <c r="Q1527">
        <f t="shared" si="186"/>
        <v>8</v>
      </c>
      <c r="R1527" t="str">
        <f t="shared" si="187"/>
        <v/>
      </c>
      <c r="S1527" t="str">
        <f t="shared" si="188"/>
        <v/>
      </c>
      <c r="T1527" s="403" t="str">
        <f t="shared" si="189"/>
        <v>NBE-5503-AL</v>
      </c>
      <c r="U1527" s="403">
        <f t="shared" si="190"/>
        <v>1</v>
      </c>
      <c r="V1527" s="403" t="str">
        <f t="shared" si="191"/>
        <v>CPP_7_3</v>
      </c>
    </row>
    <row r="1528" spans="1:22">
      <c r="A1528" t="str">
        <f t="shared" si="184"/>
        <v>NBE-5503-AL</v>
      </c>
      <c r="B1528" s="403" t="s">
        <v>1380</v>
      </c>
      <c r="C1528" s="403" t="s">
        <v>582</v>
      </c>
      <c r="D1528" s="403" t="s">
        <v>1381</v>
      </c>
      <c r="E1528" s="403" t="s">
        <v>778</v>
      </c>
      <c r="F1528" s="403" t="s">
        <v>1385</v>
      </c>
      <c r="G1528" s="403" t="s">
        <v>1466</v>
      </c>
      <c r="H1528" s="403" t="s">
        <v>1276</v>
      </c>
      <c r="I1528" s="403">
        <v>1</v>
      </c>
      <c r="J1528" s="403" t="s">
        <v>109</v>
      </c>
      <c r="K1528" s="403">
        <v>1280</v>
      </c>
      <c r="L1528" s="403">
        <v>720</v>
      </c>
      <c r="M1528" s="403" t="s">
        <v>111</v>
      </c>
      <c r="N1528" s="403">
        <v>768</v>
      </c>
      <c r="O1528" s="403">
        <v>432</v>
      </c>
      <c r="P1528" t="str">
        <f t="shared" si="185"/>
        <v>25fps 720p - SD</v>
      </c>
      <c r="Q1528">
        <f t="shared" si="186"/>
        <v>8</v>
      </c>
      <c r="R1528" t="str">
        <f t="shared" si="187"/>
        <v/>
      </c>
      <c r="S1528" t="str">
        <f t="shared" si="188"/>
        <v/>
      </c>
      <c r="T1528" s="403" t="str">
        <f t="shared" si="189"/>
        <v>NBE-5503-AL</v>
      </c>
      <c r="U1528" s="403">
        <f t="shared" si="190"/>
        <v>1</v>
      </c>
      <c r="V1528" s="403" t="str">
        <f t="shared" si="191"/>
        <v>CPP_7_3</v>
      </c>
    </row>
    <row r="1529" spans="1:22">
      <c r="A1529" t="str">
        <f t="shared" si="184"/>
        <v>NBE-5503-AL</v>
      </c>
      <c r="B1529" s="403" t="s">
        <v>1380</v>
      </c>
      <c r="C1529" s="403" t="s">
        <v>582</v>
      </c>
      <c r="D1529" s="403" t="s">
        <v>1381</v>
      </c>
      <c r="E1529" s="403" t="s">
        <v>778</v>
      </c>
      <c r="F1529" s="403" t="s">
        <v>1385</v>
      </c>
      <c r="G1529" s="403" t="s">
        <v>1466</v>
      </c>
      <c r="H1529" s="403" t="s">
        <v>1276</v>
      </c>
      <c r="I1529" s="403">
        <v>1</v>
      </c>
      <c r="J1529" s="403" t="s">
        <v>109</v>
      </c>
      <c r="K1529" s="403">
        <v>1280</v>
      </c>
      <c r="L1529" s="403">
        <v>720</v>
      </c>
      <c r="M1529" s="403" t="s">
        <v>1279</v>
      </c>
      <c r="N1529" s="403">
        <v>768</v>
      </c>
      <c r="O1529" s="403">
        <v>432</v>
      </c>
      <c r="P1529" t="str">
        <f t="shared" si="185"/>
        <v>25fps 720p - SD ROI PTZ</v>
      </c>
      <c r="Q1529">
        <f t="shared" si="186"/>
        <v>8</v>
      </c>
      <c r="R1529" t="str">
        <f t="shared" si="187"/>
        <v/>
      </c>
      <c r="S1529" t="str">
        <f t="shared" si="188"/>
        <v/>
      </c>
      <c r="T1529" s="403" t="str">
        <f t="shared" si="189"/>
        <v>NBE-5503-AL</v>
      </c>
      <c r="U1529" s="403">
        <f t="shared" si="190"/>
        <v>1</v>
      </c>
      <c r="V1529" s="403" t="str">
        <f t="shared" si="191"/>
        <v>CPP_7_3</v>
      </c>
    </row>
    <row r="1530" spans="1:22">
      <c r="A1530" t="str">
        <f t="shared" si="184"/>
        <v>NBE-5503-AL</v>
      </c>
      <c r="B1530" s="403" t="s">
        <v>1380</v>
      </c>
      <c r="C1530" s="403" t="s">
        <v>582</v>
      </c>
      <c r="D1530" s="403" t="s">
        <v>1381</v>
      </c>
      <c r="E1530" s="403" t="s">
        <v>778</v>
      </c>
      <c r="F1530" s="403" t="s">
        <v>1385</v>
      </c>
      <c r="G1530" s="403" t="s">
        <v>1466</v>
      </c>
      <c r="H1530" s="403" t="s">
        <v>1276</v>
      </c>
      <c r="I1530" s="403">
        <v>1</v>
      </c>
      <c r="J1530" s="403" t="s">
        <v>109</v>
      </c>
      <c r="K1530" s="403">
        <v>1280</v>
      </c>
      <c r="L1530" s="403">
        <v>720</v>
      </c>
      <c r="M1530" s="403" t="s">
        <v>1283</v>
      </c>
      <c r="N1530" s="403">
        <v>720</v>
      </c>
      <c r="O1530" s="403">
        <v>576</v>
      </c>
      <c r="P1530" t="str">
        <f t="shared" si="185"/>
        <v>25fps 720p - SD 4CIF resolution 4:3 format (cropped)</v>
      </c>
      <c r="Q1530">
        <f t="shared" si="186"/>
        <v>8</v>
      </c>
      <c r="R1530" t="str">
        <f t="shared" si="187"/>
        <v/>
      </c>
      <c r="S1530" t="str">
        <f t="shared" si="188"/>
        <v/>
      </c>
      <c r="T1530" s="403" t="str">
        <f t="shared" si="189"/>
        <v>NBE-5503-AL</v>
      </c>
      <c r="U1530" s="403">
        <f t="shared" si="190"/>
        <v>1</v>
      </c>
      <c r="V1530" s="403" t="str">
        <f t="shared" si="191"/>
        <v>CPP_7_3</v>
      </c>
    </row>
    <row r="1531" spans="1:22">
      <c r="A1531" t="str">
        <f t="shared" si="184"/>
        <v>NBE-5503-AL</v>
      </c>
      <c r="B1531" s="403" t="s">
        <v>1380</v>
      </c>
      <c r="C1531" s="403" t="s">
        <v>582</v>
      </c>
      <c r="D1531" s="403" t="s">
        <v>1381</v>
      </c>
      <c r="E1531" s="403" t="s">
        <v>778</v>
      </c>
      <c r="F1531" s="403" t="s">
        <v>1385</v>
      </c>
      <c r="G1531" s="403" t="s">
        <v>1466</v>
      </c>
      <c r="H1531" s="403" t="s">
        <v>1276</v>
      </c>
      <c r="I1531" s="403">
        <v>1</v>
      </c>
      <c r="J1531" s="403" t="s">
        <v>109</v>
      </c>
      <c r="K1531" s="403">
        <v>1280</v>
      </c>
      <c r="L1531" s="403">
        <v>720</v>
      </c>
      <c r="M1531" s="403" t="s">
        <v>1284</v>
      </c>
      <c r="N1531" s="403">
        <v>640</v>
      </c>
      <c r="O1531" s="403">
        <v>480</v>
      </c>
      <c r="P1531" t="str">
        <f t="shared" si="185"/>
        <v>25fps 720p - SD VGA (cropped)</v>
      </c>
      <c r="Q1531">
        <f t="shared" si="186"/>
        <v>8</v>
      </c>
      <c r="R1531" t="str">
        <f t="shared" si="187"/>
        <v/>
      </c>
      <c r="S1531" t="str">
        <f t="shared" si="188"/>
        <v/>
      </c>
      <c r="T1531" s="403" t="str">
        <f t="shared" si="189"/>
        <v>NBE-5503-AL</v>
      </c>
      <c r="U1531" s="403">
        <f t="shared" si="190"/>
        <v>1</v>
      </c>
      <c r="V1531" s="403" t="str">
        <f t="shared" si="191"/>
        <v>CPP_7_3</v>
      </c>
    </row>
    <row r="1532" spans="1:22">
      <c r="A1532" t="str">
        <f t="shared" si="184"/>
        <v>NBE-5503-AL</v>
      </c>
      <c r="B1532" s="403" t="s">
        <v>1380</v>
      </c>
      <c r="C1532" s="403" t="s">
        <v>582</v>
      </c>
      <c r="D1532" s="403" t="s">
        <v>1381</v>
      </c>
      <c r="E1532" s="403" t="s">
        <v>778</v>
      </c>
      <c r="F1532" s="403" t="s">
        <v>1385</v>
      </c>
      <c r="G1532" s="403" t="s">
        <v>1466</v>
      </c>
      <c r="H1532" s="403" t="s">
        <v>1281</v>
      </c>
      <c r="I1532" s="403">
        <v>1</v>
      </c>
      <c r="J1532" s="403" t="s">
        <v>1376</v>
      </c>
      <c r="K1532" s="403">
        <v>3072</v>
      </c>
      <c r="L1532" s="403">
        <v>1728</v>
      </c>
      <c r="M1532" s="403" t="s">
        <v>111</v>
      </c>
      <c r="N1532" s="403">
        <v>768</v>
      </c>
      <c r="O1532" s="403">
        <v>432</v>
      </c>
      <c r="P1532" t="str">
        <f t="shared" si="185"/>
        <v>25fps 3072x1728 - SD</v>
      </c>
      <c r="Q1532">
        <f t="shared" si="186"/>
        <v>8</v>
      </c>
      <c r="R1532" t="str">
        <f t="shared" si="187"/>
        <v/>
      </c>
      <c r="S1532" t="str">
        <f t="shared" si="188"/>
        <v/>
      </c>
      <c r="T1532" s="403" t="str">
        <f t="shared" si="189"/>
        <v>NBE-5503-AL</v>
      </c>
      <c r="U1532" s="403">
        <f t="shared" si="190"/>
        <v>1</v>
      </c>
      <c r="V1532" s="403" t="str">
        <f t="shared" si="191"/>
        <v>CPP_7_3</v>
      </c>
    </row>
    <row r="1533" spans="1:22">
      <c r="A1533" t="str">
        <f t="shared" si="184"/>
        <v>NBE-5503-AL</v>
      </c>
      <c r="B1533" s="403" t="s">
        <v>1380</v>
      </c>
      <c r="C1533" s="403" t="s">
        <v>582</v>
      </c>
      <c r="D1533" s="403" t="s">
        <v>1381</v>
      </c>
      <c r="E1533" s="403" t="s">
        <v>778</v>
      </c>
      <c r="F1533" s="403" t="s">
        <v>1385</v>
      </c>
      <c r="G1533" s="403" t="s">
        <v>1466</v>
      </c>
      <c r="H1533" s="403" t="s">
        <v>1281</v>
      </c>
      <c r="I1533" s="403">
        <v>1</v>
      </c>
      <c r="J1533" s="403" t="s">
        <v>1376</v>
      </c>
      <c r="K1533" s="403">
        <v>3072</v>
      </c>
      <c r="L1533" s="403">
        <v>1728</v>
      </c>
      <c r="M1533" s="403" t="s">
        <v>1600</v>
      </c>
      <c r="N1533" s="403">
        <v>3072</v>
      </c>
      <c r="O1533" s="403">
        <v>1728</v>
      </c>
      <c r="P1533" t="str">
        <f t="shared" si="185"/>
        <v>25fps 3072x1728 - 3072x1728 @ SKIP2</v>
      </c>
      <c r="Q1533">
        <f t="shared" si="186"/>
        <v>8</v>
      </c>
      <c r="R1533" t="str">
        <f t="shared" si="187"/>
        <v/>
      </c>
      <c r="S1533" t="str">
        <f t="shared" si="188"/>
        <v/>
      </c>
      <c r="T1533" s="403" t="str">
        <f t="shared" si="189"/>
        <v>NBE-5503-AL</v>
      </c>
      <c r="U1533" s="403">
        <f t="shared" si="190"/>
        <v>1</v>
      </c>
      <c r="V1533" s="403" t="str">
        <f t="shared" si="191"/>
        <v>CPP_7_3</v>
      </c>
    </row>
    <row r="1534" spans="1:22">
      <c r="A1534" t="str">
        <f t="shared" si="184"/>
        <v>NBE-5503-AL</v>
      </c>
      <c r="B1534" s="403" t="s">
        <v>1380</v>
      </c>
      <c r="C1534" s="403" t="s">
        <v>582</v>
      </c>
      <c r="D1534" s="403" t="s">
        <v>1381</v>
      </c>
      <c r="E1534" s="403" t="s">
        <v>778</v>
      </c>
      <c r="F1534" s="403" t="s">
        <v>1385</v>
      </c>
      <c r="G1534" s="403" t="s">
        <v>1466</v>
      </c>
      <c r="H1534" s="403" t="s">
        <v>1281</v>
      </c>
      <c r="I1534" s="403">
        <v>1</v>
      </c>
      <c r="J1534" s="403" t="s">
        <v>1376</v>
      </c>
      <c r="K1534" s="403">
        <v>3072</v>
      </c>
      <c r="L1534" s="403">
        <v>1728</v>
      </c>
      <c r="M1534" s="403" t="s">
        <v>1280</v>
      </c>
      <c r="N1534" s="403">
        <v>3072</v>
      </c>
      <c r="O1534" s="403">
        <v>1728</v>
      </c>
      <c r="P1534" t="str">
        <f t="shared" si="185"/>
        <v>25fps 3072x1728 - copy other stream</v>
      </c>
      <c r="Q1534">
        <f t="shared" si="186"/>
        <v>8</v>
      </c>
      <c r="R1534" t="str">
        <f t="shared" si="187"/>
        <v/>
      </c>
      <c r="S1534" t="str">
        <f t="shared" si="188"/>
        <v/>
      </c>
      <c r="T1534" s="403" t="str">
        <f t="shared" si="189"/>
        <v>NBE-5503-AL</v>
      </c>
      <c r="U1534" s="403">
        <f t="shared" si="190"/>
        <v>1</v>
      </c>
      <c r="V1534" s="403" t="str">
        <f t="shared" si="191"/>
        <v>CPP_7_3</v>
      </c>
    </row>
    <row r="1535" spans="1:22">
      <c r="A1535" t="str">
        <f t="shared" si="184"/>
        <v>NBE-5503-AL</v>
      </c>
      <c r="B1535" s="403" t="s">
        <v>1380</v>
      </c>
      <c r="C1535" s="403" t="s">
        <v>582</v>
      </c>
      <c r="D1535" s="403" t="s">
        <v>1381</v>
      </c>
      <c r="E1535" s="403" t="s">
        <v>778</v>
      </c>
      <c r="F1535" s="403" t="s">
        <v>1385</v>
      </c>
      <c r="G1535" s="403" t="s">
        <v>1466</v>
      </c>
      <c r="H1535" s="403" t="s">
        <v>1281</v>
      </c>
      <c r="I1535" s="403">
        <v>1</v>
      </c>
      <c r="J1535" s="403" t="s">
        <v>1376</v>
      </c>
      <c r="K1535" s="403">
        <v>3072</v>
      </c>
      <c r="L1535" s="403">
        <v>1728</v>
      </c>
      <c r="M1535" s="403" t="s">
        <v>110</v>
      </c>
      <c r="N1535" s="403">
        <v>1920</v>
      </c>
      <c r="O1535" s="403">
        <v>1080</v>
      </c>
      <c r="P1535" t="str">
        <f t="shared" si="185"/>
        <v>25fps 3072x1728 - 1080p</v>
      </c>
      <c r="Q1535">
        <f t="shared" si="186"/>
        <v>8</v>
      </c>
      <c r="R1535" t="str">
        <f t="shared" si="187"/>
        <v/>
      </c>
      <c r="S1535" t="str">
        <f t="shared" si="188"/>
        <v/>
      </c>
      <c r="T1535" s="403" t="str">
        <f t="shared" si="189"/>
        <v>NBE-5503-AL</v>
      </c>
      <c r="U1535" s="403">
        <f t="shared" si="190"/>
        <v>1</v>
      </c>
      <c r="V1535" s="403" t="str">
        <f t="shared" si="191"/>
        <v>CPP_7_3</v>
      </c>
    </row>
    <row r="1536" spans="1:22">
      <c r="A1536" t="str">
        <f t="shared" si="184"/>
        <v>NBE-5503-AL</v>
      </c>
      <c r="B1536" s="403" t="s">
        <v>1380</v>
      </c>
      <c r="C1536" s="403" t="s">
        <v>582</v>
      </c>
      <c r="D1536" s="403" t="s">
        <v>1381</v>
      </c>
      <c r="E1536" s="403" t="s">
        <v>778</v>
      </c>
      <c r="F1536" s="403" t="s">
        <v>1385</v>
      </c>
      <c r="G1536" s="403" t="s">
        <v>1466</v>
      </c>
      <c r="H1536" s="403" t="s">
        <v>1281</v>
      </c>
      <c r="I1536" s="403">
        <v>1</v>
      </c>
      <c r="J1536" s="403" t="s">
        <v>1376</v>
      </c>
      <c r="K1536" s="403">
        <v>3072</v>
      </c>
      <c r="L1536" s="403">
        <v>1728</v>
      </c>
      <c r="M1536" s="403" t="s">
        <v>109</v>
      </c>
      <c r="N1536" s="403">
        <v>1280</v>
      </c>
      <c r="O1536" s="403">
        <v>720</v>
      </c>
      <c r="P1536" t="str">
        <f t="shared" si="185"/>
        <v>25fps 3072x1728 - 720p</v>
      </c>
      <c r="Q1536">
        <f t="shared" si="186"/>
        <v>8</v>
      </c>
      <c r="R1536" t="str">
        <f t="shared" si="187"/>
        <v/>
      </c>
      <c r="S1536" t="str">
        <f t="shared" si="188"/>
        <v/>
      </c>
      <c r="T1536" s="403" t="str">
        <f t="shared" si="189"/>
        <v>NBE-5503-AL</v>
      </c>
      <c r="U1536" s="403">
        <f t="shared" si="190"/>
        <v>1</v>
      </c>
      <c r="V1536" s="403" t="str">
        <f t="shared" si="191"/>
        <v>CPP_7_3</v>
      </c>
    </row>
    <row r="1537" spans="1:22">
      <c r="A1537" t="str">
        <f t="shared" si="184"/>
        <v>NBE-5503-AL</v>
      </c>
      <c r="B1537" s="403" t="s">
        <v>1380</v>
      </c>
      <c r="C1537" s="403" t="s">
        <v>582</v>
      </c>
      <c r="D1537" s="403" t="s">
        <v>1381</v>
      </c>
      <c r="E1537" s="403" t="s">
        <v>778</v>
      </c>
      <c r="F1537" s="403" t="s">
        <v>1385</v>
      </c>
      <c r="G1537" s="403" t="s">
        <v>1466</v>
      </c>
      <c r="H1537" s="403" t="s">
        <v>1281</v>
      </c>
      <c r="I1537" s="403">
        <v>1</v>
      </c>
      <c r="J1537" s="403" t="s">
        <v>1376</v>
      </c>
      <c r="K1537" s="403">
        <v>3072</v>
      </c>
      <c r="L1537" s="403">
        <v>1728</v>
      </c>
      <c r="M1537" s="403" t="s">
        <v>1283</v>
      </c>
      <c r="N1537" s="403">
        <v>720</v>
      </c>
      <c r="O1537" s="403">
        <v>576</v>
      </c>
      <c r="P1537" t="str">
        <f t="shared" si="185"/>
        <v>25fps 3072x1728 - SD 4CIF resolution 4:3 format (cropped)</v>
      </c>
      <c r="Q1537">
        <f t="shared" si="186"/>
        <v>8</v>
      </c>
      <c r="R1537" t="str">
        <f t="shared" si="187"/>
        <v/>
      </c>
      <c r="S1537" t="str">
        <f t="shared" si="188"/>
        <v/>
      </c>
      <c r="T1537" s="403" t="str">
        <f t="shared" si="189"/>
        <v>NBE-5503-AL</v>
      </c>
      <c r="U1537" s="403">
        <f t="shared" si="190"/>
        <v>1</v>
      </c>
      <c r="V1537" s="403" t="str">
        <f t="shared" si="191"/>
        <v>CPP_7_3</v>
      </c>
    </row>
    <row r="1538" spans="1:22">
      <c r="A1538" t="str">
        <f t="shared" ref="A1538:A1601" si="192">IF(AND(G1538&lt;&gt;"rotate 90°"),D1538,"")</f>
        <v>NBE-5503-AL</v>
      </c>
      <c r="B1538" s="403" t="s">
        <v>1380</v>
      </c>
      <c r="C1538" s="403" t="s">
        <v>582</v>
      </c>
      <c r="D1538" s="403" t="s">
        <v>1381</v>
      </c>
      <c r="E1538" s="403" t="s">
        <v>778</v>
      </c>
      <c r="F1538" s="403" t="s">
        <v>1385</v>
      </c>
      <c r="G1538" s="403" t="s">
        <v>1466</v>
      </c>
      <c r="H1538" s="403" t="s">
        <v>1281</v>
      </c>
      <c r="I1538" s="403">
        <v>1</v>
      </c>
      <c r="J1538" s="403" t="s">
        <v>1376</v>
      </c>
      <c r="K1538" s="403">
        <v>3072</v>
      </c>
      <c r="L1538" s="403">
        <v>1728</v>
      </c>
      <c r="M1538" s="403" t="s">
        <v>1279</v>
      </c>
      <c r="N1538" s="403">
        <v>768</v>
      </c>
      <c r="O1538" s="403">
        <v>432</v>
      </c>
      <c r="P1538" t="str">
        <f t="shared" ref="P1538:P1601" si="193">LEFT(F1538,5)&amp;" "&amp;J1538&amp;" - "&amp;M1538</f>
        <v>25fps 3072x1728 - SD ROI PTZ</v>
      </c>
      <c r="Q1538">
        <f t="shared" ref="Q1538:Q1601" si="194">IF(A1537=A1538,Q1537,Q1537+1)</f>
        <v>8</v>
      </c>
      <c r="R1538" t="str">
        <f t="shared" ref="R1538:R1601" si="195">IF(Q1537&lt;&gt;Q1538,Q1538,"")</f>
        <v/>
      </c>
      <c r="S1538" t="str">
        <f t="shared" ref="S1538:S1601" si="196">IF(R1538&lt;&gt;"",B1538&amp;" ("&amp;D1538&amp;")","")</f>
        <v/>
      </c>
      <c r="T1538" s="403" t="str">
        <f t="shared" ref="T1538:T1601" si="197">D1538</f>
        <v>NBE-5503-AL</v>
      </c>
      <c r="U1538" s="403">
        <f t="shared" ref="U1538:U1601" si="198">I1538</f>
        <v>1</v>
      </c>
      <c r="V1538" s="403" t="str">
        <f t="shared" ref="V1538:V1601" si="199">C1538</f>
        <v>CPP_7_3</v>
      </c>
    </row>
    <row r="1539" spans="1:22">
      <c r="A1539" t="str">
        <f t="shared" si="192"/>
        <v>NBE-5503-AL</v>
      </c>
      <c r="B1539" s="403" t="s">
        <v>1380</v>
      </c>
      <c r="C1539" s="403" t="s">
        <v>582</v>
      </c>
      <c r="D1539" s="403" t="s">
        <v>1381</v>
      </c>
      <c r="E1539" s="403" t="s">
        <v>778</v>
      </c>
      <c r="F1539" s="403" t="s">
        <v>1385</v>
      </c>
      <c r="G1539" s="403" t="s">
        <v>1466</v>
      </c>
      <c r="H1539" s="403" t="s">
        <v>1281</v>
      </c>
      <c r="I1539" s="403">
        <v>1</v>
      </c>
      <c r="J1539" s="403" t="s">
        <v>1376</v>
      </c>
      <c r="K1539" s="403">
        <v>3072</v>
      </c>
      <c r="L1539" s="403">
        <v>1728</v>
      </c>
      <c r="M1539" s="403" t="s">
        <v>1284</v>
      </c>
      <c r="N1539" s="403">
        <v>640</v>
      </c>
      <c r="O1539" s="403">
        <v>480</v>
      </c>
      <c r="P1539" t="str">
        <f t="shared" si="193"/>
        <v>25fps 3072x1728 - SD VGA (cropped)</v>
      </c>
      <c r="Q1539">
        <f t="shared" si="194"/>
        <v>8</v>
      </c>
      <c r="R1539" t="str">
        <f t="shared" si="195"/>
        <v/>
      </c>
      <c r="S1539" t="str">
        <f t="shared" si="196"/>
        <v/>
      </c>
      <c r="T1539" s="403" t="str">
        <f t="shared" si="197"/>
        <v>NBE-5503-AL</v>
      </c>
      <c r="U1539" s="403">
        <f t="shared" si="198"/>
        <v>1</v>
      </c>
      <c r="V1539" s="403" t="str">
        <f t="shared" si="199"/>
        <v>CPP_7_3</v>
      </c>
    </row>
    <row r="1540" spans="1:22">
      <c r="A1540" t="str">
        <f t="shared" si="192"/>
        <v>NBE-5503-AL</v>
      </c>
      <c r="B1540" s="403" t="s">
        <v>1380</v>
      </c>
      <c r="C1540" s="403" t="s">
        <v>582</v>
      </c>
      <c r="D1540" s="403" t="s">
        <v>1381</v>
      </c>
      <c r="E1540" s="403" t="s">
        <v>778</v>
      </c>
      <c r="F1540" s="403" t="s">
        <v>1385</v>
      </c>
      <c r="G1540" s="403" t="s">
        <v>1466</v>
      </c>
      <c r="H1540" s="403" t="s">
        <v>1281</v>
      </c>
      <c r="I1540" s="403">
        <v>1</v>
      </c>
      <c r="J1540" s="403" t="s">
        <v>1376</v>
      </c>
      <c r="K1540" s="403">
        <v>3072</v>
      </c>
      <c r="L1540" s="403">
        <v>1728</v>
      </c>
      <c r="M1540" s="403" t="s">
        <v>1285</v>
      </c>
      <c r="N1540" s="403">
        <v>1280</v>
      </c>
      <c r="O1540" s="403">
        <v>1024</v>
      </c>
      <c r="P1540" t="str">
        <f t="shared" si="193"/>
        <v>25fps 3072x1728 - 1280x1024 5:4 (cropped)</v>
      </c>
      <c r="Q1540">
        <f t="shared" si="194"/>
        <v>8</v>
      </c>
      <c r="R1540" t="str">
        <f t="shared" si="195"/>
        <v/>
      </c>
      <c r="S1540" t="str">
        <f t="shared" si="196"/>
        <v/>
      </c>
      <c r="T1540" s="403" t="str">
        <f t="shared" si="197"/>
        <v>NBE-5503-AL</v>
      </c>
      <c r="U1540" s="403">
        <f t="shared" si="198"/>
        <v>1</v>
      </c>
      <c r="V1540" s="403" t="str">
        <f t="shared" si="199"/>
        <v>CPP_7_3</v>
      </c>
    </row>
    <row r="1541" spans="1:22">
      <c r="A1541" t="str">
        <f t="shared" si="192"/>
        <v>NBE-5503-AL</v>
      </c>
      <c r="B1541" s="403" t="s">
        <v>1380</v>
      </c>
      <c r="C1541" s="403" t="s">
        <v>582</v>
      </c>
      <c r="D1541" s="403" t="s">
        <v>1381</v>
      </c>
      <c r="E1541" s="403" t="s">
        <v>778</v>
      </c>
      <c r="F1541" s="403" t="s">
        <v>1385</v>
      </c>
      <c r="G1541" s="403" t="s">
        <v>1466</v>
      </c>
      <c r="H1541" s="403" t="s">
        <v>1281</v>
      </c>
      <c r="I1541" s="403">
        <v>1</v>
      </c>
      <c r="J1541" s="403" t="s">
        <v>1376</v>
      </c>
      <c r="K1541" s="403">
        <v>3072</v>
      </c>
      <c r="L1541" s="403">
        <v>1728</v>
      </c>
      <c r="M1541" s="403" t="s">
        <v>1383</v>
      </c>
      <c r="N1541" s="403">
        <v>1920</v>
      </c>
      <c r="O1541" s="403">
        <v>1440</v>
      </c>
      <c r="P1541" t="str">
        <f t="shared" si="193"/>
        <v>25fps 3072x1728 - 1920x1440_CROP</v>
      </c>
      <c r="Q1541">
        <f t="shared" si="194"/>
        <v>8</v>
      </c>
      <c r="R1541" t="str">
        <f t="shared" si="195"/>
        <v/>
      </c>
      <c r="S1541" t="str">
        <f t="shared" si="196"/>
        <v/>
      </c>
      <c r="T1541" s="403" t="str">
        <f t="shared" si="197"/>
        <v>NBE-5503-AL</v>
      </c>
      <c r="U1541" s="403">
        <f t="shared" si="198"/>
        <v>1</v>
      </c>
      <c r="V1541" s="403" t="str">
        <f t="shared" si="199"/>
        <v>CPP_7_3</v>
      </c>
    </row>
    <row r="1542" spans="1:22">
      <c r="A1542" t="str">
        <f t="shared" si="192"/>
        <v>NBE-5503-AL</v>
      </c>
      <c r="B1542" s="403" t="s">
        <v>1380</v>
      </c>
      <c r="C1542" s="403" t="s">
        <v>582</v>
      </c>
      <c r="D1542" s="403" t="s">
        <v>1381</v>
      </c>
      <c r="E1542" s="403" t="s">
        <v>778</v>
      </c>
      <c r="F1542" s="403" t="s">
        <v>1385</v>
      </c>
      <c r="G1542" s="403" t="s">
        <v>1466</v>
      </c>
      <c r="H1542" s="403" t="s">
        <v>1281</v>
      </c>
      <c r="I1542" s="403">
        <v>1</v>
      </c>
      <c r="J1542" s="403" t="s">
        <v>1373</v>
      </c>
      <c r="K1542" s="403">
        <v>2688</v>
      </c>
      <c r="L1542" s="403">
        <v>1512</v>
      </c>
      <c r="M1542" s="403" t="s">
        <v>110</v>
      </c>
      <c r="N1542" s="403">
        <v>1920</v>
      </c>
      <c r="O1542" s="403">
        <v>1080</v>
      </c>
      <c r="P1542" t="str">
        <f t="shared" si="193"/>
        <v>25fps 2688x1512 - 1080p</v>
      </c>
      <c r="Q1542">
        <f t="shared" si="194"/>
        <v>8</v>
      </c>
      <c r="R1542" t="str">
        <f t="shared" si="195"/>
        <v/>
      </c>
      <c r="S1542" t="str">
        <f t="shared" si="196"/>
        <v/>
      </c>
      <c r="T1542" s="403" t="str">
        <f t="shared" si="197"/>
        <v>NBE-5503-AL</v>
      </c>
      <c r="U1542" s="403">
        <f t="shared" si="198"/>
        <v>1</v>
      </c>
      <c r="V1542" s="403" t="str">
        <f t="shared" si="199"/>
        <v>CPP_7_3</v>
      </c>
    </row>
    <row r="1543" spans="1:22">
      <c r="A1543" t="str">
        <f t="shared" si="192"/>
        <v>NBE-5503-AL</v>
      </c>
      <c r="B1543" s="403" t="s">
        <v>1380</v>
      </c>
      <c r="C1543" s="403" t="s">
        <v>582</v>
      </c>
      <c r="D1543" s="403" t="s">
        <v>1381</v>
      </c>
      <c r="E1543" s="403" t="s">
        <v>778</v>
      </c>
      <c r="F1543" s="403" t="s">
        <v>1385</v>
      </c>
      <c r="G1543" s="403" t="s">
        <v>1466</v>
      </c>
      <c r="H1543" s="403" t="s">
        <v>1281</v>
      </c>
      <c r="I1543" s="403">
        <v>1</v>
      </c>
      <c r="J1543" s="403" t="s">
        <v>1373</v>
      </c>
      <c r="K1543" s="403">
        <v>2688</v>
      </c>
      <c r="L1543" s="403">
        <v>1512</v>
      </c>
      <c r="M1543" s="403" t="s">
        <v>1384</v>
      </c>
      <c r="N1543" s="403">
        <v>2688</v>
      </c>
      <c r="O1543" s="403">
        <v>1512</v>
      </c>
      <c r="P1543" t="str">
        <f t="shared" si="193"/>
        <v>25fps 2688x1512 - 2688x1512 @ SKIP 2</v>
      </c>
      <c r="Q1543">
        <f t="shared" si="194"/>
        <v>8</v>
      </c>
      <c r="R1543" t="str">
        <f t="shared" si="195"/>
        <v/>
      </c>
      <c r="S1543" t="str">
        <f t="shared" si="196"/>
        <v/>
      </c>
      <c r="T1543" s="403" t="str">
        <f t="shared" si="197"/>
        <v>NBE-5503-AL</v>
      </c>
      <c r="U1543" s="403">
        <f t="shared" si="198"/>
        <v>1</v>
      </c>
      <c r="V1543" s="403" t="str">
        <f t="shared" si="199"/>
        <v>CPP_7_3</v>
      </c>
    </row>
    <row r="1544" spans="1:22">
      <c r="A1544" t="str">
        <f t="shared" si="192"/>
        <v>NBE-5503-AL</v>
      </c>
      <c r="B1544" s="403" t="s">
        <v>1380</v>
      </c>
      <c r="C1544" s="403" t="s">
        <v>582</v>
      </c>
      <c r="D1544" s="403" t="s">
        <v>1381</v>
      </c>
      <c r="E1544" s="403" t="s">
        <v>778</v>
      </c>
      <c r="F1544" s="403" t="s">
        <v>1385</v>
      </c>
      <c r="G1544" s="403" t="s">
        <v>1466</v>
      </c>
      <c r="H1544" s="403" t="s">
        <v>1281</v>
      </c>
      <c r="I1544" s="403">
        <v>1</v>
      </c>
      <c r="J1544" s="403" t="s">
        <v>1373</v>
      </c>
      <c r="K1544" s="403">
        <v>2688</v>
      </c>
      <c r="L1544" s="403">
        <v>1512</v>
      </c>
      <c r="M1544" s="403" t="s">
        <v>109</v>
      </c>
      <c r="N1544" s="403">
        <v>1280</v>
      </c>
      <c r="O1544" s="403">
        <v>720</v>
      </c>
      <c r="P1544" t="str">
        <f t="shared" si="193"/>
        <v>25fps 2688x1512 - 720p</v>
      </c>
      <c r="Q1544">
        <f t="shared" si="194"/>
        <v>8</v>
      </c>
      <c r="R1544" t="str">
        <f t="shared" si="195"/>
        <v/>
      </c>
      <c r="S1544" t="str">
        <f t="shared" si="196"/>
        <v/>
      </c>
      <c r="T1544" s="403" t="str">
        <f t="shared" si="197"/>
        <v>NBE-5503-AL</v>
      </c>
      <c r="U1544" s="403">
        <f t="shared" si="198"/>
        <v>1</v>
      </c>
      <c r="V1544" s="403" t="str">
        <f t="shared" si="199"/>
        <v>CPP_7_3</v>
      </c>
    </row>
    <row r="1545" spans="1:22">
      <c r="A1545" t="str">
        <f t="shared" si="192"/>
        <v>NBE-5503-AL</v>
      </c>
      <c r="B1545" s="403" t="s">
        <v>1380</v>
      </c>
      <c r="C1545" s="403" t="s">
        <v>582</v>
      </c>
      <c r="D1545" s="403" t="s">
        <v>1381</v>
      </c>
      <c r="E1545" s="403" t="s">
        <v>778</v>
      </c>
      <c r="F1545" s="403" t="s">
        <v>1385</v>
      </c>
      <c r="G1545" s="403" t="s">
        <v>1466</v>
      </c>
      <c r="H1545" s="403" t="s">
        <v>1281</v>
      </c>
      <c r="I1545" s="403">
        <v>1</v>
      </c>
      <c r="J1545" s="403" t="s">
        <v>1373</v>
      </c>
      <c r="K1545" s="403">
        <v>2688</v>
      </c>
      <c r="L1545" s="403">
        <v>1512</v>
      </c>
      <c r="M1545" s="403" t="s">
        <v>111</v>
      </c>
      <c r="N1545" s="403">
        <v>768</v>
      </c>
      <c r="O1545" s="403">
        <v>432</v>
      </c>
      <c r="P1545" t="str">
        <f t="shared" si="193"/>
        <v>25fps 2688x1512 - SD</v>
      </c>
      <c r="Q1545">
        <f t="shared" si="194"/>
        <v>8</v>
      </c>
      <c r="R1545" t="str">
        <f t="shared" si="195"/>
        <v/>
      </c>
      <c r="S1545" t="str">
        <f t="shared" si="196"/>
        <v/>
      </c>
      <c r="T1545" s="403" t="str">
        <f t="shared" si="197"/>
        <v>NBE-5503-AL</v>
      </c>
      <c r="U1545" s="403">
        <f t="shared" si="198"/>
        <v>1</v>
      </c>
      <c r="V1545" s="403" t="str">
        <f t="shared" si="199"/>
        <v>CPP_7_3</v>
      </c>
    </row>
    <row r="1546" spans="1:22">
      <c r="A1546" t="str">
        <f t="shared" si="192"/>
        <v>NBE-5503-AL</v>
      </c>
      <c r="B1546" s="403" t="s">
        <v>1380</v>
      </c>
      <c r="C1546" s="403" t="s">
        <v>582</v>
      </c>
      <c r="D1546" s="403" t="s">
        <v>1381</v>
      </c>
      <c r="E1546" s="403" t="s">
        <v>778</v>
      </c>
      <c r="F1546" s="403" t="s">
        <v>1385</v>
      </c>
      <c r="G1546" s="403" t="s">
        <v>1466</v>
      </c>
      <c r="H1546" s="403" t="s">
        <v>1281</v>
      </c>
      <c r="I1546" s="403">
        <v>1</v>
      </c>
      <c r="J1546" s="403" t="s">
        <v>1373</v>
      </c>
      <c r="K1546" s="403">
        <v>2688</v>
      </c>
      <c r="L1546" s="403">
        <v>1512</v>
      </c>
      <c r="M1546" s="403" t="s">
        <v>1279</v>
      </c>
      <c r="N1546" s="403">
        <v>768</v>
      </c>
      <c r="O1546" s="403">
        <v>432</v>
      </c>
      <c r="P1546" t="str">
        <f t="shared" si="193"/>
        <v>25fps 2688x1512 - SD ROI PTZ</v>
      </c>
      <c r="Q1546">
        <f t="shared" si="194"/>
        <v>8</v>
      </c>
      <c r="R1546" t="str">
        <f t="shared" si="195"/>
        <v/>
      </c>
      <c r="S1546" t="str">
        <f t="shared" si="196"/>
        <v/>
      </c>
      <c r="T1546" s="403" t="str">
        <f t="shared" si="197"/>
        <v>NBE-5503-AL</v>
      </c>
      <c r="U1546" s="403">
        <f t="shared" si="198"/>
        <v>1</v>
      </c>
      <c r="V1546" s="403" t="str">
        <f t="shared" si="199"/>
        <v>CPP_7_3</v>
      </c>
    </row>
    <row r="1547" spans="1:22">
      <c r="A1547" t="str">
        <f t="shared" si="192"/>
        <v>NBE-5503-AL</v>
      </c>
      <c r="B1547" s="403" t="s">
        <v>1380</v>
      </c>
      <c r="C1547" s="403" t="s">
        <v>582</v>
      </c>
      <c r="D1547" s="403" t="s">
        <v>1381</v>
      </c>
      <c r="E1547" s="403" t="s">
        <v>778</v>
      </c>
      <c r="F1547" s="403" t="s">
        <v>1385</v>
      </c>
      <c r="G1547" s="403" t="s">
        <v>1466</v>
      </c>
      <c r="H1547" s="403" t="s">
        <v>1281</v>
      </c>
      <c r="I1547" s="403">
        <v>1</v>
      </c>
      <c r="J1547" s="403" t="s">
        <v>1373</v>
      </c>
      <c r="K1547" s="403">
        <v>2688</v>
      </c>
      <c r="L1547" s="403">
        <v>1512</v>
      </c>
      <c r="M1547" s="403" t="s">
        <v>1285</v>
      </c>
      <c r="N1547" s="403">
        <v>1280</v>
      </c>
      <c r="O1547" s="403">
        <v>1024</v>
      </c>
      <c r="P1547" t="str">
        <f t="shared" si="193"/>
        <v>25fps 2688x1512 - 1280x1024 5:4 (cropped)</v>
      </c>
      <c r="Q1547">
        <f t="shared" si="194"/>
        <v>8</v>
      </c>
      <c r="R1547" t="str">
        <f t="shared" si="195"/>
        <v/>
      </c>
      <c r="S1547" t="str">
        <f t="shared" si="196"/>
        <v/>
      </c>
      <c r="T1547" s="403" t="str">
        <f t="shared" si="197"/>
        <v>NBE-5503-AL</v>
      </c>
      <c r="U1547" s="403">
        <f t="shared" si="198"/>
        <v>1</v>
      </c>
      <c r="V1547" s="403" t="str">
        <f t="shared" si="199"/>
        <v>CPP_7_3</v>
      </c>
    </row>
    <row r="1548" spans="1:22">
      <c r="A1548" t="str">
        <f t="shared" si="192"/>
        <v>NBE-5503-AL</v>
      </c>
      <c r="B1548" s="403" t="s">
        <v>1380</v>
      </c>
      <c r="C1548" s="403" t="s">
        <v>582</v>
      </c>
      <c r="D1548" s="403" t="s">
        <v>1381</v>
      </c>
      <c r="E1548" s="403" t="s">
        <v>778</v>
      </c>
      <c r="F1548" s="403" t="s">
        <v>1385</v>
      </c>
      <c r="G1548" s="403" t="s">
        <v>1466</v>
      </c>
      <c r="H1548" s="403" t="s">
        <v>1281</v>
      </c>
      <c r="I1548" s="403">
        <v>1</v>
      </c>
      <c r="J1548" s="403" t="s">
        <v>1373</v>
      </c>
      <c r="K1548" s="403">
        <v>2688</v>
      </c>
      <c r="L1548" s="403">
        <v>1512</v>
      </c>
      <c r="M1548" s="403" t="s">
        <v>1283</v>
      </c>
      <c r="N1548" s="403">
        <v>720</v>
      </c>
      <c r="O1548" s="403">
        <v>576</v>
      </c>
      <c r="P1548" t="str">
        <f t="shared" si="193"/>
        <v>25fps 2688x1512 - SD 4CIF resolution 4:3 format (cropped)</v>
      </c>
      <c r="Q1548">
        <f t="shared" si="194"/>
        <v>8</v>
      </c>
      <c r="R1548" t="str">
        <f t="shared" si="195"/>
        <v/>
      </c>
      <c r="S1548" t="str">
        <f t="shared" si="196"/>
        <v/>
      </c>
      <c r="T1548" s="403" t="str">
        <f t="shared" si="197"/>
        <v>NBE-5503-AL</v>
      </c>
      <c r="U1548" s="403">
        <f t="shared" si="198"/>
        <v>1</v>
      </c>
      <c r="V1548" s="403" t="str">
        <f t="shared" si="199"/>
        <v>CPP_7_3</v>
      </c>
    </row>
    <row r="1549" spans="1:22">
      <c r="A1549" t="str">
        <f t="shared" si="192"/>
        <v>NBE-5503-AL</v>
      </c>
      <c r="B1549" s="403" t="s">
        <v>1380</v>
      </c>
      <c r="C1549" s="403" t="s">
        <v>582</v>
      </c>
      <c r="D1549" s="403" t="s">
        <v>1381</v>
      </c>
      <c r="E1549" s="403" t="s">
        <v>778</v>
      </c>
      <c r="F1549" s="403" t="s">
        <v>1385</v>
      </c>
      <c r="G1549" s="403" t="s">
        <v>1466</v>
      </c>
      <c r="H1549" s="403" t="s">
        <v>1281</v>
      </c>
      <c r="I1549" s="403">
        <v>1</v>
      </c>
      <c r="J1549" s="403" t="s">
        <v>1373</v>
      </c>
      <c r="K1549" s="403">
        <v>2688</v>
      </c>
      <c r="L1549" s="403">
        <v>1512</v>
      </c>
      <c r="M1549" s="403" t="s">
        <v>1284</v>
      </c>
      <c r="N1549" s="403">
        <v>640</v>
      </c>
      <c r="O1549" s="403">
        <v>480</v>
      </c>
      <c r="P1549" t="str">
        <f t="shared" si="193"/>
        <v>25fps 2688x1512 - SD VGA (cropped)</v>
      </c>
      <c r="Q1549">
        <f t="shared" si="194"/>
        <v>8</v>
      </c>
      <c r="R1549" t="str">
        <f t="shared" si="195"/>
        <v/>
      </c>
      <c r="S1549" t="str">
        <f t="shared" si="196"/>
        <v/>
      </c>
      <c r="T1549" s="403" t="str">
        <f t="shared" si="197"/>
        <v>NBE-5503-AL</v>
      </c>
      <c r="U1549" s="403">
        <f t="shared" si="198"/>
        <v>1</v>
      </c>
      <c r="V1549" s="403" t="str">
        <f t="shared" si="199"/>
        <v>CPP_7_3</v>
      </c>
    </row>
    <row r="1550" spans="1:22">
      <c r="A1550" t="str">
        <f t="shared" si="192"/>
        <v>NBE-5503-AL</v>
      </c>
      <c r="B1550" s="403" t="s">
        <v>1380</v>
      </c>
      <c r="C1550" s="403" t="s">
        <v>582</v>
      </c>
      <c r="D1550" s="403" t="s">
        <v>1381</v>
      </c>
      <c r="E1550" s="403" t="s">
        <v>778</v>
      </c>
      <c r="F1550" s="403" t="s">
        <v>1385</v>
      </c>
      <c r="G1550" s="403" t="s">
        <v>1466</v>
      </c>
      <c r="H1550" s="403" t="s">
        <v>1281</v>
      </c>
      <c r="I1550" s="403">
        <v>1</v>
      </c>
      <c r="J1550" s="403" t="s">
        <v>1373</v>
      </c>
      <c r="K1550" s="403">
        <v>2688</v>
      </c>
      <c r="L1550" s="403">
        <v>1512</v>
      </c>
      <c r="M1550" s="403" t="s">
        <v>1280</v>
      </c>
      <c r="N1550" s="403">
        <v>2688</v>
      </c>
      <c r="O1550" s="403">
        <v>1512</v>
      </c>
      <c r="P1550" t="str">
        <f t="shared" si="193"/>
        <v>25fps 2688x1512 - copy other stream</v>
      </c>
      <c r="Q1550">
        <f t="shared" si="194"/>
        <v>8</v>
      </c>
      <c r="R1550" t="str">
        <f t="shared" si="195"/>
        <v/>
      </c>
      <c r="S1550" t="str">
        <f t="shared" si="196"/>
        <v/>
      </c>
      <c r="T1550" s="403" t="str">
        <f t="shared" si="197"/>
        <v>NBE-5503-AL</v>
      </c>
      <c r="U1550" s="403">
        <f t="shared" si="198"/>
        <v>1</v>
      </c>
      <c r="V1550" s="403" t="str">
        <f t="shared" si="199"/>
        <v>CPP_7_3</v>
      </c>
    </row>
    <row r="1551" spans="1:22">
      <c r="A1551" t="str">
        <f t="shared" si="192"/>
        <v>NBE-5503-AL</v>
      </c>
      <c r="B1551" s="403" t="s">
        <v>1380</v>
      </c>
      <c r="C1551" s="403" t="s">
        <v>582</v>
      </c>
      <c r="D1551" s="403" t="s">
        <v>1381</v>
      </c>
      <c r="E1551" s="403" t="s">
        <v>778</v>
      </c>
      <c r="F1551" s="403" t="s">
        <v>1385</v>
      </c>
      <c r="G1551" s="403" t="s">
        <v>1466</v>
      </c>
      <c r="H1551" s="403" t="s">
        <v>1281</v>
      </c>
      <c r="I1551" s="403">
        <v>1</v>
      </c>
      <c r="J1551" s="403" t="s">
        <v>1374</v>
      </c>
      <c r="K1551" s="403">
        <v>2304</v>
      </c>
      <c r="L1551" s="403">
        <v>1296</v>
      </c>
      <c r="M1551" s="403" t="s">
        <v>110</v>
      </c>
      <c r="N1551" s="403">
        <v>1920</v>
      </c>
      <c r="O1551" s="403">
        <v>1080</v>
      </c>
      <c r="P1551" t="str">
        <f t="shared" si="193"/>
        <v>25fps 2304x1296 - 1080p</v>
      </c>
      <c r="Q1551">
        <f t="shared" si="194"/>
        <v>8</v>
      </c>
      <c r="R1551" t="str">
        <f t="shared" si="195"/>
        <v/>
      </c>
      <c r="S1551" t="str">
        <f t="shared" si="196"/>
        <v/>
      </c>
      <c r="T1551" s="403" t="str">
        <f t="shared" si="197"/>
        <v>NBE-5503-AL</v>
      </c>
      <c r="U1551" s="403">
        <f t="shared" si="198"/>
        <v>1</v>
      </c>
      <c r="V1551" s="403" t="str">
        <f t="shared" si="199"/>
        <v>CPP_7_3</v>
      </c>
    </row>
    <row r="1552" spans="1:22">
      <c r="A1552" t="str">
        <f t="shared" si="192"/>
        <v>NBE-5503-AL</v>
      </c>
      <c r="B1552" s="403" t="s">
        <v>1380</v>
      </c>
      <c r="C1552" s="403" t="s">
        <v>582</v>
      </c>
      <c r="D1552" s="403" t="s">
        <v>1381</v>
      </c>
      <c r="E1552" s="403" t="s">
        <v>778</v>
      </c>
      <c r="F1552" s="403" t="s">
        <v>1385</v>
      </c>
      <c r="G1552" s="403" t="s">
        <v>1466</v>
      </c>
      <c r="H1552" s="403" t="s">
        <v>1281</v>
      </c>
      <c r="I1552" s="403">
        <v>1</v>
      </c>
      <c r="J1552" s="403" t="s">
        <v>1374</v>
      </c>
      <c r="K1552" s="403">
        <v>2304</v>
      </c>
      <c r="L1552" s="403">
        <v>1296</v>
      </c>
      <c r="M1552" s="403" t="s">
        <v>1374</v>
      </c>
      <c r="N1552" s="403">
        <v>2304</v>
      </c>
      <c r="O1552" s="403">
        <v>1296</v>
      </c>
      <c r="P1552" t="str">
        <f t="shared" si="193"/>
        <v>25fps 2304x1296 - 2304x1296</v>
      </c>
      <c r="Q1552">
        <f t="shared" si="194"/>
        <v>8</v>
      </c>
      <c r="R1552" t="str">
        <f t="shared" si="195"/>
        <v/>
      </c>
      <c r="S1552" t="str">
        <f t="shared" si="196"/>
        <v/>
      </c>
      <c r="T1552" s="403" t="str">
        <f t="shared" si="197"/>
        <v>NBE-5503-AL</v>
      </c>
      <c r="U1552" s="403">
        <f t="shared" si="198"/>
        <v>1</v>
      </c>
      <c r="V1552" s="403" t="str">
        <f t="shared" si="199"/>
        <v>CPP_7_3</v>
      </c>
    </row>
    <row r="1553" spans="1:22">
      <c r="A1553" t="str">
        <f t="shared" si="192"/>
        <v>NBE-5503-AL</v>
      </c>
      <c r="B1553" s="403" t="s">
        <v>1380</v>
      </c>
      <c r="C1553" s="403" t="s">
        <v>582</v>
      </c>
      <c r="D1553" s="403" t="s">
        <v>1381</v>
      </c>
      <c r="E1553" s="403" t="s">
        <v>778</v>
      </c>
      <c r="F1553" s="403" t="s">
        <v>1385</v>
      </c>
      <c r="G1553" s="403" t="s">
        <v>1466</v>
      </c>
      <c r="H1553" s="403" t="s">
        <v>1281</v>
      </c>
      <c r="I1553" s="403">
        <v>1</v>
      </c>
      <c r="J1553" s="403" t="s">
        <v>1374</v>
      </c>
      <c r="K1553" s="403">
        <v>2304</v>
      </c>
      <c r="L1553" s="403">
        <v>1296</v>
      </c>
      <c r="M1553" s="403" t="s">
        <v>109</v>
      </c>
      <c r="N1553" s="403">
        <v>1280</v>
      </c>
      <c r="O1553" s="403">
        <v>720</v>
      </c>
      <c r="P1553" t="str">
        <f t="shared" si="193"/>
        <v>25fps 2304x1296 - 720p</v>
      </c>
      <c r="Q1553">
        <f t="shared" si="194"/>
        <v>8</v>
      </c>
      <c r="R1553" t="str">
        <f t="shared" si="195"/>
        <v/>
      </c>
      <c r="S1553" t="str">
        <f t="shared" si="196"/>
        <v/>
      </c>
      <c r="T1553" s="403" t="str">
        <f t="shared" si="197"/>
        <v>NBE-5503-AL</v>
      </c>
      <c r="U1553" s="403">
        <f t="shared" si="198"/>
        <v>1</v>
      </c>
      <c r="V1553" s="403" t="str">
        <f t="shared" si="199"/>
        <v>CPP_7_3</v>
      </c>
    </row>
    <row r="1554" spans="1:22">
      <c r="A1554" t="str">
        <f t="shared" si="192"/>
        <v>NBE-5503-AL</v>
      </c>
      <c r="B1554" s="403" t="s">
        <v>1380</v>
      </c>
      <c r="C1554" s="403" t="s">
        <v>582</v>
      </c>
      <c r="D1554" s="403" t="s">
        <v>1381</v>
      </c>
      <c r="E1554" s="403" t="s">
        <v>778</v>
      </c>
      <c r="F1554" s="403" t="s">
        <v>1385</v>
      </c>
      <c r="G1554" s="403" t="s">
        <v>1466</v>
      </c>
      <c r="H1554" s="403" t="s">
        <v>1281</v>
      </c>
      <c r="I1554" s="403">
        <v>1</v>
      </c>
      <c r="J1554" s="403" t="s">
        <v>1374</v>
      </c>
      <c r="K1554" s="403">
        <v>2304</v>
      </c>
      <c r="L1554" s="403">
        <v>1296</v>
      </c>
      <c r="M1554" s="403" t="s">
        <v>111</v>
      </c>
      <c r="N1554" s="403">
        <v>768</v>
      </c>
      <c r="O1554" s="403">
        <v>432</v>
      </c>
      <c r="P1554" t="str">
        <f t="shared" si="193"/>
        <v>25fps 2304x1296 - SD</v>
      </c>
      <c r="Q1554">
        <f t="shared" si="194"/>
        <v>8</v>
      </c>
      <c r="R1554" t="str">
        <f t="shared" si="195"/>
        <v/>
      </c>
      <c r="S1554" t="str">
        <f t="shared" si="196"/>
        <v/>
      </c>
      <c r="T1554" s="403" t="str">
        <f t="shared" si="197"/>
        <v>NBE-5503-AL</v>
      </c>
      <c r="U1554" s="403">
        <f t="shared" si="198"/>
        <v>1</v>
      </c>
      <c r="V1554" s="403" t="str">
        <f t="shared" si="199"/>
        <v>CPP_7_3</v>
      </c>
    </row>
    <row r="1555" spans="1:22">
      <c r="A1555" t="str">
        <f t="shared" si="192"/>
        <v>NBE-5503-AL</v>
      </c>
      <c r="B1555" s="403" t="s">
        <v>1380</v>
      </c>
      <c r="C1555" s="403" t="s">
        <v>582</v>
      </c>
      <c r="D1555" s="403" t="s">
        <v>1381</v>
      </c>
      <c r="E1555" s="403" t="s">
        <v>778</v>
      </c>
      <c r="F1555" s="403" t="s">
        <v>1385</v>
      </c>
      <c r="G1555" s="403" t="s">
        <v>1466</v>
      </c>
      <c r="H1555" s="403" t="s">
        <v>1281</v>
      </c>
      <c r="I1555" s="403">
        <v>1</v>
      </c>
      <c r="J1555" s="403" t="s">
        <v>1374</v>
      </c>
      <c r="K1555" s="403">
        <v>2304</v>
      </c>
      <c r="L1555" s="403">
        <v>1296</v>
      </c>
      <c r="M1555" s="403" t="s">
        <v>1279</v>
      </c>
      <c r="N1555" s="403">
        <v>768</v>
      </c>
      <c r="O1555" s="403">
        <v>432</v>
      </c>
      <c r="P1555" t="str">
        <f t="shared" si="193"/>
        <v>25fps 2304x1296 - SD ROI PTZ</v>
      </c>
      <c r="Q1555">
        <f t="shared" si="194"/>
        <v>8</v>
      </c>
      <c r="R1555" t="str">
        <f t="shared" si="195"/>
        <v/>
      </c>
      <c r="S1555" t="str">
        <f t="shared" si="196"/>
        <v/>
      </c>
      <c r="T1555" s="403" t="str">
        <f t="shared" si="197"/>
        <v>NBE-5503-AL</v>
      </c>
      <c r="U1555" s="403">
        <f t="shared" si="198"/>
        <v>1</v>
      </c>
      <c r="V1555" s="403" t="str">
        <f t="shared" si="199"/>
        <v>CPP_7_3</v>
      </c>
    </row>
    <row r="1556" spans="1:22">
      <c r="A1556" t="str">
        <f t="shared" si="192"/>
        <v>NBE-5503-AL</v>
      </c>
      <c r="B1556" s="403" t="s">
        <v>1380</v>
      </c>
      <c r="C1556" s="403" t="s">
        <v>582</v>
      </c>
      <c r="D1556" s="403" t="s">
        <v>1381</v>
      </c>
      <c r="E1556" s="403" t="s">
        <v>778</v>
      </c>
      <c r="F1556" s="403" t="s">
        <v>1385</v>
      </c>
      <c r="G1556" s="403" t="s">
        <v>1466</v>
      </c>
      <c r="H1556" s="403" t="s">
        <v>1281</v>
      </c>
      <c r="I1556" s="403">
        <v>1</v>
      </c>
      <c r="J1556" s="403" t="s">
        <v>1374</v>
      </c>
      <c r="K1556" s="403">
        <v>2304</v>
      </c>
      <c r="L1556" s="403">
        <v>1296</v>
      </c>
      <c r="M1556" s="403" t="s">
        <v>1285</v>
      </c>
      <c r="N1556" s="403">
        <v>1280</v>
      </c>
      <c r="O1556" s="403">
        <v>1024</v>
      </c>
      <c r="P1556" t="str">
        <f t="shared" si="193"/>
        <v>25fps 2304x1296 - 1280x1024 5:4 (cropped)</v>
      </c>
      <c r="Q1556">
        <f t="shared" si="194"/>
        <v>8</v>
      </c>
      <c r="R1556" t="str">
        <f t="shared" si="195"/>
        <v/>
      </c>
      <c r="S1556" t="str">
        <f t="shared" si="196"/>
        <v/>
      </c>
      <c r="T1556" s="403" t="str">
        <f t="shared" si="197"/>
        <v>NBE-5503-AL</v>
      </c>
      <c r="U1556" s="403">
        <f t="shared" si="198"/>
        <v>1</v>
      </c>
      <c r="V1556" s="403" t="str">
        <f t="shared" si="199"/>
        <v>CPP_7_3</v>
      </c>
    </row>
    <row r="1557" spans="1:22">
      <c r="A1557" t="str">
        <f t="shared" si="192"/>
        <v>NBE-5503-AL</v>
      </c>
      <c r="B1557" s="403" t="s">
        <v>1380</v>
      </c>
      <c r="C1557" s="403" t="s">
        <v>582</v>
      </c>
      <c r="D1557" s="403" t="s">
        <v>1381</v>
      </c>
      <c r="E1557" s="403" t="s">
        <v>778</v>
      </c>
      <c r="F1557" s="403" t="s">
        <v>1385</v>
      </c>
      <c r="G1557" s="403" t="s">
        <v>1466</v>
      </c>
      <c r="H1557" s="403" t="s">
        <v>1281</v>
      </c>
      <c r="I1557" s="403">
        <v>1</v>
      </c>
      <c r="J1557" s="403" t="s">
        <v>1374</v>
      </c>
      <c r="K1557" s="403">
        <v>2304</v>
      </c>
      <c r="L1557" s="403">
        <v>1296</v>
      </c>
      <c r="M1557" s="403" t="s">
        <v>1283</v>
      </c>
      <c r="N1557" s="403">
        <v>720</v>
      </c>
      <c r="O1557" s="403">
        <v>576</v>
      </c>
      <c r="P1557" t="str">
        <f t="shared" si="193"/>
        <v>25fps 2304x1296 - SD 4CIF resolution 4:3 format (cropped)</v>
      </c>
      <c r="Q1557">
        <f t="shared" si="194"/>
        <v>8</v>
      </c>
      <c r="R1557" t="str">
        <f t="shared" si="195"/>
        <v/>
      </c>
      <c r="S1557" t="str">
        <f t="shared" si="196"/>
        <v/>
      </c>
      <c r="T1557" s="403" t="str">
        <f t="shared" si="197"/>
        <v>NBE-5503-AL</v>
      </c>
      <c r="U1557" s="403">
        <f t="shared" si="198"/>
        <v>1</v>
      </c>
      <c r="V1557" s="403" t="str">
        <f t="shared" si="199"/>
        <v>CPP_7_3</v>
      </c>
    </row>
    <row r="1558" spans="1:22">
      <c r="A1558" t="str">
        <f t="shared" si="192"/>
        <v>NBE-5503-AL</v>
      </c>
      <c r="B1558" s="403" t="s">
        <v>1380</v>
      </c>
      <c r="C1558" s="403" t="s">
        <v>582</v>
      </c>
      <c r="D1558" s="403" t="s">
        <v>1381</v>
      </c>
      <c r="E1558" s="403" t="s">
        <v>778</v>
      </c>
      <c r="F1558" s="403" t="s">
        <v>1385</v>
      </c>
      <c r="G1558" s="403" t="s">
        <v>1466</v>
      </c>
      <c r="H1558" s="403" t="s">
        <v>1281</v>
      </c>
      <c r="I1558" s="403">
        <v>1</v>
      </c>
      <c r="J1558" s="403" t="s">
        <v>1374</v>
      </c>
      <c r="K1558" s="403">
        <v>2304</v>
      </c>
      <c r="L1558" s="403">
        <v>1296</v>
      </c>
      <c r="M1558" s="403" t="s">
        <v>1284</v>
      </c>
      <c r="N1558" s="403">
        <v>640</v>
      </c>
      <c r="O1558" s="403">
        <v>480</v>
      </c>
      <c r="P1558" t="str">
        <f t="shared" si="193"/>
        <v>25fps 2304x1296 - SD VGA (cropped)</v>
      </c>
      <c r="Q1558">
        <f t="shared" si="194"/>
        <v>8</v>
      </c>
      <c r="R1558" t="str">
        <f t="shared" si="195"/>
        <v/>
      </c>
      <c r="S1558" t="str">
        <f t="shared" si="196"/>
        <v/>
      </c>
      <c r="T1558" s="403" t="str">
        <f t="shared" si="197"/>
        <v>NBE-5503-AL</v>
      </c>
      <c r="U1558" s="403">
        <f t="shared" si="198"/>
        <v>1</v>
      </c>
      <c r="V1558" s="403" t="str">
        <f t="shared" si="199"/>
        <v>CPP_7_3</v>
      </c>
    </row>
    <row r="1559" spans="1:22">
      <c r="A1559" t="str">
        <f t="shared" si="192"/>
        <v>NBE-5503-AL</v>
      </c>
      <c r="B1559" s="403" t="s">
        <v>1380</v>
      </c>
      <c r="C1559" s="403" t="s">
        <v>582</v>
      </c>
      <c r="D1559" s="403" t="s">
        <v>1381</v>
      </c>
      <c r="E1559" s="403" t="s">
        <v>778</v>
      </c>
      <c r="F1559" s="403" t="s">
        <v>1385</v>
      </c>
      <c r="G1559" s="403" t="s">
        <v>1466</v>
      </c>
      <c r="H1559" s="403" t="s">
        <v>1281</v>
      </c>
      <c r="I1559" s="403">
        <v>1</v>
      </c>
      <c r="J1559" s="403" t="s">
        <v>1374</v>
      </c>
      <c r="K1559" s="403">
        <v>2304</v>
      </c>
      <c r="L1559" s="403">
        <v>1296</v>
      </c>
      <c r="M1559" s="403" t="s">
        <v>1280</v>
      </c>
      <c r="N1559" s="403">
        <v>2304</v>
      </c>
      <c r="O1559" s="403">
        <v>1296</v>
      </c>
      <c r="P1559" t="str">
        <f t="shared" si="193"/>
        <v>25fps 2304x1296 - copy other stream</v>
      </c>
      <c r="Q1559">
        <f t="shared" si="194"/>
        <v>8</v>
      </c>
      <c r="R1559" t="str">
        <f t="shared" si="195"/>
        <v/>
      </c>
      <c r="S1559" t="str">
        <f t="shared" si="196"/>
        <v/>
      </c>
      <c r="T1559" s="403" t="str">
        <f t="shared" si="197"/>
        <v>NBE-5503-AL</v>
      </c>
      <c r="U1559" s="403">
        <f t="shared" si="198"/>
        <v>1</v>
      </c>
      <c r="V1559" s="403" t="str">
        <f t="shared" si="199"/>
        <v>CPP_7_3</v>
      </c>
    </row>
    <row r="1560" spans="1:22">
      <c r="A1560" t="str">
        <f t="shared" si="192"/>
        <v>NBE-5503-AL</v>
      </c>
      <c r="B1560" s="403" t="s">
        <v>1380</v>
      </c>
      <c r="C1560" s="403" t="s">
        <v>582</v>
      </c>
      <c r="D1560" s="403" t="s">
        <v>1381</v>
      </c>
      <c r="E1560" s="403" t="s">
        <v>778</v>
      </c>
      <c r="F1560" s="403" t="s">
        <v>1385</v>
      </c>
      <c r="G1560" s="403" t="s">
        <v>1466</v>
      </c>
      <c r="H1560" s="403" t="s">
        <v>1281</v>
      </c>
      <c r="I1560" s="403">
        <v>1</v>
      </c>
      <c r="J1560" s="403" t="s">
        <v>110</v>
      </c>
      <c r="K1560" s="403">
        <v>1920</v>
      </c>
      <c r="L1560" s="403">
        <v>1080</v>
      </c>
      <c r="M1560" s="403" t="s">
        <v>111</v>
      </c>
      <c r="N1560" s="403">
        <v>768</v>
      </c>
      <c r="O1560" s="403">
        <v>432</v>
      </c>
      <c r="P1560" t="str">
        <f t="shared" si="193"/>
        <v>25fps 1080p - SD</v>
      </c>
      <c r="Q1560">
        <f t="shared" si="194"/>
        <v>8</v>
      </c>
      <c r="R1560" t="str">
        <f t="shared" si="195"/>
        <v/>
      </c>
      <c r="S1560" t="str">
        <f t="shared" si="196"/>
        <v/>
      </c>
      <c r="T1560" s="403" t="str">
        <f t="shared" si="197"/>
        <v>NBE-5503-AL</v>
      </c>
      <c r="U1560" s="403">
        <f t="shared" si="198"/>
        <v>1</v>
      </c>
      <c r="V1560" s="403" t="str">
        <f t="shared" si="199"/>
        <v>CPP_7_3</v>
      </c>
    </row>
    <row r="1561" spans="1:22">
      <c r="A1561" t="str">
        <f t="shared" si="192"/>
        <v>NBE-5503-AL</v>
      </c>
      <c r="B1561" s="403" t="s">
        <v>1380</v>
      </c>
      <c r="C1561" s="403" t="s">
        <v>582</v>
      </c>
      <c r="D1561" s="403" t="s">
        <v>1381</v>
      </c>
      <c r="E1561" s="403" t="s">
        <v>778</v>
      </c>
      <c r="F1561" s="403" t="s">
        <v>1385</v>
      </c>
      <c r="G1561" s="403" t="s">
        <v>1466</v>
      </c>
      <c r="H1561" s="403" t="s">
        <v>1281</v>
      </c>
      <c r="I1561" s="403">
        <v>1</v>
      </c>
      <c r="J1561" s="403" t="s">
        <v>110</v>
      </c>
      <c r="K1561" s="403">
        <v>1920</v>
      </c>
      <c r="L1561" s="403">
        <v>1080</v>
      </c>
      <c r="M1561" s="403" t="s">
        <v>110</v>
      </c>
      <c r="N1561" s="403">
        <v>1920</v>
      </c>
      <c r="O1561" s="403">
        <v>1080</v>
      </c>
      <c r="P1561" t="str">
        <f t="shared" si="193"/>
        <v>25fps 1080p - 1080p</v>
      </c>
      <c r="Q1561">
        <f t="shared" si="194"/>
        <v>8</v>
      </c>
      <c r="R1561" t="str">
        <f t="shared" si="195"/>
        <v/>
      </c>
      <c r="S1561" t="str">
        <f t="shared" si="196"/>
        <v/>
      </c>
      <c r="T1561" s="403" t="str">
        <f t="shared" si="197"/>
        <v>NBE-5503-AL</v>
      </c>
      <c r="U1561" s="403">
        <f t="shared" si="198"/>
        <v>1</v>
      </c>
      <c r="V1561" s="403" t="str">
        <f t="shared" si="199"/>
        <v>CPP_7_3</v>
      </c>
    </row>
    <row r="1562" spans="1:22">
      <c r="A1562" t="str">
        <f t="shared" si="192"/>
        <v>NBE-5503-AL</v>
      </c>
      <c r="B1562" s="403" t="s">
        <v>1380</v>
      </c>
      <c r="C1562" s="403" t="s">
        <v>582</v>
      </c>
      <c r="D1562" s="403" t="s">
        <v>1381</v>
      </c>
      <c r="E1562" s="403" t="s">
        <v>778</v>
      </c>
      <c r="F1562" s="403" t="s">
        <v>1385</v>
      </c>
      <c r="G1562" s="403" t="s">
        <v>1466</v>
      </c>
      <c r="H1562" s="403" t="s">
        <v>1281</v>
      </c>
      <c r="I1562" s="403">
        <v>1</v>
      </c>
      <c r="J1562" s="403" t="s">
        <v>110</v>
      </c>
      <c r="K1562" s="403">
        <v>1920</v>
      </c>
      <c r="L1562" s="403">
        <v>1080</v>
      </c>
      <c r="M1562" s="403" t="s">
        <v>109</v>
      </c>
      <c r="N1562" s="403">
        <v>1280</v>
      </c>
      <c r="O1562" s="403">
        <v>720</v>
      </c>
      <c r="P1562" t="str">
        <f t="shared" si="193"/>
        <v>25fps 1080p - 720p</v>
      </c>
      <c r="Q1562">
        <f t="shared" si="194"/>
        <v>8</v>
      </c>
      <c r="R1562" t="str">
        <f t="shared" si="195"/>
        <v/>
      </c>
      <c r="S1562" t="str">
        <f t="shared" si="196"/>
        <v/>
      </c>
      <c r="T1562" s="403" t="str">
        <f t="shared" si="197"/>
        <v>NBE-5503-AL</v>
      </c>
      <c r="U1562" s="403">
        <f t="shared" si="198"/>
        <v>1</v>
      </c>
      <c r="V1562" s="403" t="str">
        <f t="shared" si="199"/>
        <v>CPP_7_3</v>
      </c>
    </row>
    <row r="1563" spans="1:22">
      <c r="A1563" t="str">
        <f t="shared" si="192"/>
        <v>NBE-5503-AL</v>
      </c>
      <c r="B1563" s="403" t="s">
        <v>1380</v>
      </c>
      <c r="C1563" s="403" t="s">
        <v>582</v>
      </c>
      <c r="D1563" s="403" t="s">
        <v>1381</v>
      </c>
      <c r="E1563" s="403" t="s">
        <v>778</v>
      </c>
      <c r="F1563" s="403" t="s">
        <v>1385</v>
      </c>
      <c r="G1563" s="403" t="s">
        <v>1466</v>
      </c>
      <c r="H1563" s="403" t="s">
        <v>1281</v>
      </c>
      <c r="I1563" s="403">
        <v>1</v>
      </c>
      <c r="J1563" s="403" t="s">
        <v>110</v>
      </c>
      <c r="K1563" s="403">
        <v>1920</v>
      </c>
      <c r="L1563" s="403">
        <v>1080</v>
      </c>
      <c r="M1563" s="403" t="s">
        <v>1285</v>
      </c>
      <c r="N1563" s="403">
        <v>1280</v>
      </c>
      <c r="O1563" s="403">
        <v>1024</v>
      </c>
      <c r="P1563" t="str">
        <f t="shared" si="193"/>
        <v>25fps 1080p - 1280x1024 5:4 (cropped)</v>
      </c>
      <c r="Q1563">
        <f t="shared" si="194"/>
        <v>8</v>
      </c>
      <c r="R1563" t="str">
        <f t="shared" si="195"/>
        <v/>
      </c>
      <c r="S1563" t="str">
        <f t="shared" si="196"/>
        <v/>
      </c>
      <c r="T1563" s="403" t="str">
        <f t="shared" si="197"/>
        <v>NBE-5503-AL</v>
      </c>
      <c r="U1563" s="403">
        <f t="shared" si="198"/>
        <v>1</v>
      </c>
      <c r="V1563" s="403" t="str">
        <f t="shared" si="199"/>
        <v>CPP_7_3</v>
      </c>
    </row>
    <row r="1564" spans="1:22">
      <c r="A1564" t="str">
        <f t="shared" si="192"/>
        <v>NBE-5503-AL</v>
      </c>
      <c r="B1564" s="403" t="s">
        <v>1380</v>
      </c>
      <c r="C1564" s="403" t="s">
        <v>582</v>
      </c>
      <c r="D1564" s="403" t="s">
        <v>1381</v>
      </c>
      <c r="E1564" s="403" t="s">
        <v>778</v>
      </c>
      <c r="F1564" s="403" t="s">
        <v>1385</v>
      </c>
      <c r="G1564" s="403" t="s">
        <v>1466</v>
      </c>
      <c r="H1564" s="403" t="s">
        <v>1281</v>
      </c>
      <c r="I1564" s="403">
        <v>1</v>
      </c>
      <c r="J1564" s="403" t="s">
        <v>110</v>
      </c>
      <c r="K1564" s="403">
        <v>1920</v>
      </c>
      <c r="L1564" s="403">
        <v>1080</v>
      </c>
      <c r="M1564" s="403" t="s">
        <v>1279</v>
      </c>
      <c r="N1564" s="403">
        <v>768</v>
      </c>
      <c r="O1564" s="403">
        <v>432</v>
      </c>
      <c r="P1564" t="str">
        <f t="shared" si="193"/>
        <v>25fps 1080p - SD ROI PTZ</v>
      </c>
      <c r="Q1564">
        <f t="shared" si="194"/>
        <v>8</v>
      </c>
      <c r="R1564" t="str">
        <f t="shared" si="195"/>
        <v/>
      </c>
      <c r="S1564" t="str">
        <f t="shared" si="196"/>
        <v/>
      </c>
      <c r="T1564" s="403" t="str">
        <f t="shared" si="197"/>
        <v>NBE-5503-AL</v>
      </c>
      <c r="U1564" s="403">
        <f t="shared" si="198"/>
        <v>1</v>
      </c>
      <c r="V1564" s="403" t="str">
        <f t="shared" si="199"/>
        <v>CPP_7_3</v>
      </c>
    </row>
    <row r="1565" spans="1:22">
      <c r="A1565" t="str">
        <f t="shared" si="192"/>
        <v>NBE-5503-AL</v>
      </c>
      <c r="B1565" s="403" t="s">
        <v>1380</v>
      </c>
      <c r="C1565" s="403" t="s">
        <v>582</v>
      </c>
      <c r="D1565" s="403" t="s">
        <v>1381</v>
      </c>
      <c r="E1565" s="403" t="s">
        <v>778</v>
      </c>
      <c r="F1565" s="403" t="s">
        <v>1385</v>
      </c>
      <c r="G1565" s="403" t="s">
        <v>1466</v>
      </c>
      <c r="H1565" s="403" t="s">
        <v>1281</v>
      </c>
      <c r="I1565" s="403">
        <v>1</v>
      </c>
      <c r="J1565" s="403" t="s">
        <v>110</v>
      </c>
      <c r="K1565" s="403">
        <v>1920</v>
      </c>
      <c r="L1565" s="403">
        <v>1080</v>
      </c>
      <c r="M1565" s="403" t="s">
        <v>1283</v>
      </c>
      <c r="N1565" s="403">
        <v>720</v>
      </c>
      <c r="O1565" s="403">
        <v>576</v>
      </c>
      <c r="P1565" t="str">
        <f t="shared" si="193"/>
        <v>25fps 1080p - SD 4CIF resolution 4:3 format (cropped)</v>
      </c>
      <c r="Q1565">
        <f t="shared" si="194"/>
        <v>8</v>
      </c>
      <c r="R1565" t="str">
        <f t="shared" si="195"/>
        <v/>
      </c>
      <c r="S1565" t="str">
        <f t="shared" si="196"/>
        <v/>
      </c>
      <c r="T1565" s="403" t="str">
        <f t="shared" si="197"/>
        <v>NBE-5503-AL</v>
      </c>
      <c r="U1565" s="403">
        <f t="shared" si="198"/>
        <v>1</v>
      </c>
      <c r="V1565" s="403" t="str">
        <f t="shared" si="199"/>
        <v>CPP_7_3</v>
      </c>
    </row>
    <row r="1566" spans="1:22">
      <c r="A1566" t="str">
        <f t="shared" si="192"/>
        <v>NBE-5503-AL</v>
      </c>
      <c r="B1566" s="403" t="s">
        <v>1380</v>
      </c>
      <c r="C1566" s="403" t="s">
        <v>582</v>
      </c>
      <c r="D1566" s="403" t="s">
        <v>1381</v>
      </c>
      <c r="E1566" s="403" t="s">
        <v>778</v>
      </c>
      <c r="F1566" s="403" t="s">
        <v>1385</v>
      </c>
      <c r="G1566" s="403" t="s">
        <v>1466</v>
      </c>
      <c r="H1566" s="403" t="s">
        <v>1281</v>
      </c>
      <c r="I1566" s="403">
        <v>1</v>
      </c>
      <c r="J1566" s="403" t="s">
        <v>110</v>
      </c>
      <c r="K1566" s="403">
        <v>1920</v>
      </c>
      <c r="L1566" s="403">
        <v>1080</v>
      </c>
      <c r="M1566" s="403" t="s">
        <v>1284</v>
      </c>
      <c r="N1566" s="403">
        <v>640</v>
      </c>
      <c r="O1566" s="403">
        <v>480</v>
      </c>
      <c r="P1566" t="str">
        <f t="shared" si="193"/>
        <v>25fps 1080p - SD VGA (cropped)</v>
      </c>
      <c r="Q1566">
        <f t="shared" si="194"/>
        <v>8</v>
      </c>
      <c r="R1566" t="str">
        <f t="shared" si="195"/>
        <v/>
      </c>
      <c r="S1566" t="str">
        <f t="shared" si="196"/>
        <v/>
      </c>
      <c r="T1566" s="403" t="str">
        <f t="shared" si="197"/>
        <v>NBE-5503-AL</v>
      </c>
      <c r="U1566" s="403">
        <f t="shared" si="198"/>
        <v>1</v>
      </c>
      <c r="V1566" s="403" t="str">
        <f t="shared" si="199"/>
        <v>CPP_7_3</v>
      </c>
    </row>
    <row r="1567" spans="1:22">
      <c r="A1567" t="str">
        <f t="shared" si="192"/>
        <v>NBE-5503-AL</v>
      </c>
      <c r="B1567" s="403" t="s">
        <v>1380</v>
      </c>
      <c r="C1567" s="403" t="s">
        <v>582</v>
      </c>
      <c r="D1567" s="403" t="s">
        <v>1381</v>
      </c>
      <c r="E1567" s="403" t="s">
        <v>778</v>
      </c>
      <c r="F1567" s="403" t="s">
        <v>1385</v>
      </c>
      <c r="G1567" s="403" t="s">
        <v>1466</v>
      </c>
      <c r="H1567" s="403" t="s">
        <v>1281</v>
      </c>
      <c r="I1567" s="403">
        <v>1</v>
      </c>
      <c r="J1567" s="403" t="s">
        <v>109</v>
      </c>
      <c r="K1567" s="403">
        <v>1280</v>
      </c>
      <c r="L1567" s="403">
        <v>720</v>
      </c>
      <c r="M1567" s="403" t="s">
        <v>109</v>
      </c>
      <c r="N1567" s="403">
        <v>1280</v>
      </c>
      <c r="O1567" s="403">
        <v>720</v>
      </c>
      <c r="P1567" t="str">
        <f t="shared" si="193"/>
        <v>25fps 720p - 720p</v>
      </c>
      <c r="Q1567">
        <f t="shared" si="194"/>
        <v>8</v>
      </c>
      <c r="R1567" t="str">
        <f t="shared" si="195"/>
        <v/>
      </c>
      <c r="S1567" t="str">
        <f t="shared" si="196"/>
        <v/>
      </c>
      <c r="T1567" s="403" t="str">
        <f t="shared" si="197"/>
        <v>NBE-5503-AL</v>
      </c>
      <c r="U1567" s="403">
        <f t="shared" si="198"/>
        <v>1</v>
      </c>
      <c r="V1567" s="403" t="str">
        <f t="shared" si="199"/>
        <v>CPP_7_3</v>
      </c>
    </row>
    <row r="1568" spans="1:22">
      <c r="A1568" t="str">
        <f t="shared" si="192"/>
        <v>NBE-5503-AL</v>
      </c>
      <c r="B1568" s="403" t="s">
        <v>1380</v>
      </c>
      <c r="C1568" s="403" t="s">
        <v>582</v>
      </c>
      <c r="D1568" s="403" t="s">
        <v>1381</v>
      </c>
      <c r="E1568" s="403" t="s">
        <v>778</v>
      </c>
      <c r="F1568" s="403" t="s">
        <v>1385</v>
      </c>
      <c r="G1568" s="403" t="s">
        <v>1466</v>
      </c>
      <c r="H1568" s="403" t="s">
        <v>1281</v>
      </c>
      <c r="I1568" s="403">
        <v>1</v>
      </c>
      <c r="J1568" s="403" t="s">
        <v>109</v>
      </c>
      <c r="K1568" s="403">
        <v>1280</v>
      </c>
      <c r="L1568" s="403">
        <v>720</v>
      </c>
      <c r="M1568" s="403" t="s">
        <v>111</v>
      </c>
      <c r="N1568" s="403">
        <v>768</v>
      </c>
      <c r="O1568" s="403">
        <v>432</v>
      </c>
      <c r="P1568" t="str">
        <f t="shared" si="193"/>
        <v>25fps 720p - SD</v>
      </c>
      <c r="Q1568">
        <f t="shared" si="194"/>
        <v>8</v>
      </c>
      <c r="R1568" t="str">
        <f t="shared" si="195"/>
        <v/>
      </c>
      <c r="S1568" t="str">
        <f t="shared" si="196"/>
        <v/>
      </c>
      <c r="T1568" s="403" t="str">
        <f t="shared" si="197"/>
        <v>NBE-5503-AL</v>
      </c>
      <c r="U1568" s="403">
        <f t="shared" si="198"/>
        <v>1</v>
      </c>
      <c r="V1568" s="403" t="str">
        <f t="shared" si="199"/>
        <v>CPP_7_3</v>
      </c>
    </row>
    <row r="1569" spans="1:22">
      <c r="A1569" t="str">
        <f t="shared" si="192"/>
        <v>NBE-5503-AL</v>
      </c>
      <c r="B1569" s="403" t="s">
        <v>1380</v>
      </c>
      <c r="C1569" s="403" t="s">
        <v>582</v>
      </c>
      <c r="D1569" s="403" t="s">
        <v>1381</v>
      </c>
      <c r="E1569" s="403" t="s">
        <v>778</v>
      </c>
      <c r="F1569" s="403" t="s">
        <v>1385</v>
      </c>
      <c r="G1569" s="403" t="s">
        <v>1466</v>
      </c>
      <c r="H1569" s="403" t="s">
        <v>1281</v>
      </c>
      <c r="I1569" s="403">
        <v>1</v>
      </c>
      <c r="J1569" s="403" t="s">
        <v>109</v>
      </c>
      <c r="K1569" s="403">
        <v>1280</v>
      </c>
      <c r="L1569" s="403">
        <v>720</v>
      </c>
      <c r="M1569" s="403" t="s">
        <v>1279</v>
      </c>
      <c r="N1569" s="403">
        <v>768</v>
      </c>
      <c r="O1569" s="403">
        <v>432</v>
      </c>
      <c r="P1569" t="str">
        <f t="shared" si="193"/>
        <v>25fps 720p - SD ROI PTZ</v>
      </c>
      <c r="Q1569">
        <f t="shared" si="194"/>
        <v>8</v>
      </c>
      <c r="R1569" t="str">
        <f t="shared" si="195"/>
        <v/>
      </c>
      <c r="S1569" t="str">
        <f t="shared" si="196"/>
        <v/>
      </c>
      <c r="T1569" s="403" t="str">
        <f t="shared" si="197"/>
        <v>NBE-5503-AL</v>
      </c>
      <c r="U1569" s="403">
        <f t="shared" si="198"/>
        <v>1</v>
      </c>
      <c r="V1569" s="403" t="str">
        <f t="shared" si="199"/>
        <v>CPP_7_3</v>
      </c>
    </row>
    <row r="1570" spans="1:22">
      <c r="A1570" t="str">
        <f t="shared" si="192"/>
        <v>NBE-5503-AL</v>
      </c>
      <c r="B1570" s="403" t="s">
        <v>1380</v>
      </c>
      <c r="C1570" s="403" t="s">
        <v>582</v>
      </c>
      <c r="D1570" s="403" t="s">
        <v>1381</v>
      </c>
      <c r="E1570" s="403" t="s">
        <v>778</v>
      </c>
      <c r="F1570" s="403" t="s">
        <v>1385</v>
      </c>
      <c r="G1570" s="403" t="s">
        <v>1466</v>
      </c>
      <c r="H1570" s="403" t="s">
        <v>1281</v>
      </c>
      <c r="I1570" s="403">
        <v>1</v>
      </c>
      <c r="J1570" s="403" t="s">
        <v>109</v>
      </c>
      <c r="K1570" s="403">
        <v>1280</v>
      </c>
      <c r="L1570" s="403">
        <v>720</v>
      </c>
      <c r="M1570" s="403" t="s">
        <v>1283</v>
      </c>
      <c r="N1570" s="403">
        <v>720</v>
      </c>
      <c r="O1570" s="403">
        <v>576</v>
      </c>
      <c r="P1570" t="str">
        <f t="shared" si="193"/>
        <v>25fps 720p - SD 4CIF resolution 4:3 format (cropped)</v>
      </c>
      <c r="Q1570">
        <f t="shared" si="194"/>
        <v>8</v>
      </c>
      <c r="R1570" t="str">
        <f t="shared" si="195"/>
        <v/>
      </c>
      <c r="S1570" t="str">
        <f t="shared" si="196"/>
        <v/>
      </c>
      <c r="T1570" s="403" t="str">
        <f t="shared" si="197"/>
        <v>NBE-5503-AL</v>
      </c>
      <c r="U1570" s="403">
        <f t="shared" si="198"/>
        <v>1</v>
      </c>
      <c r="V1570" s="403" t="str">
        <f t="shared" si="199"/>
        <v>CPP_7_3</v>
      </c>
    </row>
    <row r="1571" spans="1:22">
      <c r="A1571" t="str">
        <f t="shared" si="192"/>
        <v>NBE-5503-AL</v>
      </c>
      <c r="B1571" s="403" t="s">
        <v>1380</v>
      </c>
      <c r="C1571" s="403" t="s">
        <v>582</v>
      </c>
      <c r="D1571" s="403" t="s">
        <v>1381</v>
      </c>
      <c r="E1571" s="403" t="s">
        <v>778</v>
      </c>
      <c r="F1571" s="403" t="s">
        <v>1385</v>
      </c>
      <c r="G1571" s="403" t="s">
        <v>1466</v>
      </c>
      <c r="H1571" s="403" t="s">
        <v>1281</v>
      </c>
      <c r="I1571" s="403">
        <v>1</v>
      </c>
      <c r="J1571" s="403" t="s">
        <v>109</v>
      </c>
      <c r="K1571" s="403">
        <v>1280</v>
      </c>
      <c r="L1571" s="403">
        <v>720</v>
      </c>
      <c r="M1571" s="403" t="s">
        <v>1284</v>
      </c>
      <c r="N1571" s="403">
        <v>640</v>
      </c>
      <c r="O1571" s="403">
        <v>480</v>
      </c>
      <c r="P1571" t="str">
        <f t="shared" si="193"/>
        <v>25fps 720p - SD VGA (cropped)</v>
      </c>
      <c r="Q1571">
        <f t="shared" si="194"/>
        <v>8</v>
      </c>
      <c r="R1571" t="str">
        <f t="shared" si="195"/>
        <v/>
      </c>
      <c r="S1571" t="str">
        <f t="shared" si="196"/>
        <v/>
      </c>
      <c r="T1571" s="403" t="str">
        <f t="shared" si="197"/>
        <v>NBE-5503-AL</v>
      </c>
      <c r="U1571" s="403">
        <f t="shared" si="198"/>
        <v>1</v>
      </c>
      <c r="V1571" s="403" t="str">
        <f t="shared" si="199"/>
        <v>CPP_7_3</v>
      </c>
    </row>
    <row r="1572" spans="1:22">
      <c r="A1572" t="str">
        <f t="shared" si="192"/>
        <v>NBE-5503-AL</v>
      </c>
      <c r="B1572" s="403" t="s">
        <v>1380</v>
      </c>
      <c r="C1572" s="403" t="s">
        <v>582</v>
      </c>
      <c r="D1572" s="403" t="s">
        <v>1381</v>
      </c>
      <c r="E1572" s="403" t="s">
        <v>778</v>
      </c>
      <c r="F1572" s="403" t="s">
        <v>1385</v>
      </c>
      <c r="G1572" s="403" t="s">
        <v>1467</v>
      </c>
      <c r="H1572" s="403" t="s">
        <v>1276</v>
      </c>
      <c r="I1572" s="403">
        <v>1</v>
      </c>
      <c r="J1572" s="403" t="s">
        <v>1376</v>
      </c>
      <c r="K1572" s="403">
        <v>1728</v>
      </c>
      <c r="L1572" s="403">
        <v>3072</v>
      </c>
      <c r="M1572" s="403" t="s">
        <v>111</v>
      </c>
      <c r="N1572" s="403">
        <v>432</v>
      </c>
      <c r="O1572" s="403">
        <v>768</v>
      </c>
      <c r="P1572" t="str">
        <f t="shared" si="193"/>
        <v>25fps 3072x1728 - SD</v>
      </c>
      <c r="Q1572">
        <f t="shared" si="194"/>
        <v>8</v>
      </c>
      <c r="R1572" t="str">
        <f t="shared" si="195"/>
        <v/>
      </c>
      <c r="S1572" t="str">
        <f t="shared" si="196"/>
        <v/>
      </c>
      <c r="T1572" s="403" t="str">
        <f t="shared" si="197"/>
        <v>NBE-5503-AL</v>
      </c>
      <c r="U1572" s="403">
        <f t="shared" si="198"/>
        <v>1</v>
      </c>
      <c r="V1572" s="403" t="str">
        <f t="shared" si="199"/>
        <v>CPP_7_3</v>
      </c>
    </row>
    <row r="1573" spans="1:22">
      <c r="A1573" t="str">
        <f t="shared" si="192"/>
        <v>NBE-5503-AL</v>
      </c>
      <c r="B1573" s="403" t="s">
        <v>1380</v>
      </c>
      <c r="C1573" s="403" t="s">
        <v>582</v>
      </c>
      <c r="D1573" s="403" t="s">
        <v>1381</v>
      </c>
      <c r="E1573" s="403" t="s">
        <v>778</v>
      </c>
      <c r="F1573" s="403" t="s">
        <v>1385</v>
      </c>
      <c r="G1573" s="403" t="s">
        <v>1467</v>
      </c>
      <c r="H1573" s="403" t="s">
        <v>1276</v>
      </c>
      <c r="I1573" s="403">
        <v>1</v>
      </c>
      <c r="J1573" s="403" t="s">
        <v>1376</v>
      </c>
      <c r="K1573" s="403">
        <v>1728</v>
      </c>
      <c r="L1573" s="403">
        <v>3072</v>
      </c>
      <c r="M1573" s="403" t="s">
        <v>1600</v>
      </c>
      <c r="N1573" s="403">
        <v>1728</v>
      </c>
      <c r="O1573" s="403">
        <v>3072</v>
      </c>
      <c r="P1573" t="str">
        <f t="shared" si="193"/>
        <v>25fps 3072x1728 - 3072x1728 @ SKIP2</v>
      </c>
      <c r="Q1573">
        <f t="shared" si="194"/>
        <v>8</v>
      </c>
      <c r="R1573" t="str">
        <f t="shared" si="195"/>
        <v/>
      </c>
      <c r="S1573" t="str">
        <f t="shared" si="196"/>
        <v/>
      </c>
      <c r="T1573" s="403" t="str">
        <f t="shared" si="197"/>
        <v>NBE-5503-AL</v>
      </c>
      <c r="U1573" s="403">
        <f t="shared" si="198"/>
        <v>1</v>
      </c>
      <c r="V1573" s="403" t="str">
        <f t="shared" si="199"/>
        <v>CPP_7_3</v>
      </c>
    </row>
    <row r="1574" spans="1:22">
      <c r="A1574" t="str">
        <f t="shared" si="192"/>
        <v>NBE-5503-AL</v>
      </c>
      <c r="B1574" s="403" t="s">
        <v>1380</v>
      </c>
      <c r="C1574" s="403" t="s">
        <v>582</v>
      </c>
      <c r="D1574" s="403" t="s">
        <v>1381</v>
      </c>
      <c r="E1574" s="403" t="s">
        <v>778</v>
      </c>
      <c r="F1574" s="403" t="s">
        <v>1385</v>
      </c>
      <c r="G1574" s="403" t="s">
        <v>1467</v>
      </c>
      <c r="H1574" s="403" t="s">
        <v>1276</v>
      </c>
      <c r="I1574" s="403">
        <v>1</v>
      </c>
      <c r="J1574" s="403" t="s">
        <v>1376</v>
      </c>
      <c r="K1574" s="403">
        <v>1728</v>
      </c>
      <c r="L1574" s="403">
        <v>3072</v>
      </c>
      <c r="M1574" s="403" t="s">
        <v>1280</v>
      </c>
      <c r="N1574" s="403">
        <v>1728</v>
      </c>
      <c r="O1574" s="403">
        <v>3072</v>
      </c>
      <c r="P1574" t="str">
        <f t="shared" si="193"/>
        <v>25fps 3072x1728 - copy other stream</v>
      </c>
      <c r="Q1574">
        <f t="shared" si="194"/>
        <v>8</v>
      </c>
      <c r="R1574" t="str">
        <f t="shared" si="195"/>
        <v/>
      </c>
      <c r="S1574" t="str">
        <f t="shared" si="196"/>
        <v/>
      </c>
      <c r="T1574" s="403" t="str">
        <f t="shared" si="197"/>
        <v>NBE-5503-AL</v>
      </c>
      <c r="U1574" s="403">
        <f t="shared" si="198"/>
        <v>1</v>
      </c>
      <c r="V1574" s="403" t="str">
        <f t="shared" si="199"/>
        <v>CPP_7_3</v>
      </c>
    </row>
    <row r="1575" spans="1:22">
      <c r="A1575" t="str">
        <f t="shared" si="192"/>
        <v>NBE-5503-AL</v>
      </c>
      <c r="B1575" s="403" t="s">
        <v>1380</v>
      </c>
      <c r="C1575" s="403" t="s">
        <v>582</v>
      </c>
      <c r="D1575" s="403" t="s">
        <v>1381</v>
      </c>
      <c r="E1575" s="403" t="s">
        <v>778</v>
      </c>
      <c r="F1575" s="403" t="s">
        <v>1385</v>
      </c>
      <c r="G1575" s="403" t="s">
        <v>1467</v>
      </c>
      <c r="H1575" s="403" t="s">
        <v>1276</v>
      </c>
      <c r="I1575" s="403">
        <v>1</v>
      </c>
      <c r="J1575" s="403" t="s">
        <v>1376</v>
      </c>
      <c r="K1575" s="403">
        <v>1728</v>
      </c>
      <c r="L1575" s="403">
        <v>3072</v>
      </c>
      <c r="M1575" s="403" t="s">
        <v>110</v>
      </c>
      <c r="N1575" s="403">
        <v>1080</v>
      </c>
      <c r="O1575" s="403">
        <v>1920</v>
      </c>
      <c r="P1575" t="str">
        <f t="shared" si="193"/>
        <v>25fps 3072x1728 - 1080p</v>
      </c>
      <c r="Q1575">
        <f t="shared" si="194"/>
        <v>8</v>
      </c>
      <c r="R1575" t="str">
        <f t="shared" si="195"/>
        <v/>
      </c>
      <c r="S1575" t="str">
        <f t="shared" si="196"/>
        <v/>
      </c>
      <c r="T1575" s="403" t="str">
        <f t="shared" si="197"/>
        <v>NBE-5503-AL</v>
      </c>
      <c r="U1575" s="403">
        <f t="shared" si="198"/>
        <v>1</v>
      </c>
      <c r="V1575" s="403" t="str">
        <f t="shared" si="199"/>
        <v>CPP_7_3</v>
      </c>
    </row>
    <row r="1576" spans="1:22">
      <c r="A1576" t="str">
        <f t="shared" si="192"/>
        <v>NBE-5503-AL</v>
      </c>
      <c r="B1576" s="403" t="s">
        <v>1380</v>
      </c>
      <c r="C1576" s="403" t="s">
        <v>582</v>
      </c>
      <c r="D1576" s="403" t="s">
        <v>1381</v>
      </c>
      <c r="E1576" s="403" t="s">
        <v>778</v>
      </c>
      <c r="F1576" s="403" t="s">
        <v>1385</v>
      </c>
      <c r="G1576" s="403" t="s">
        <v>1467</v>
      </c>
      <c r="H1576" s="403" t="s">
        <v>1276</v>
      </c>
      <c r="I1576" s="403">
        <v>1</v>
      </c>
      <c r="J1576" s="403" t="s">
        <v>1376</v>
      </c>
      <c r="K1576" s="403">
        <v>1728</v>
      </c>
      <c r="L1576" s="403">
        <v>3072</v>
      </c>
      <c r="M1576" s="403" t="s">
        <v>109</v>
      </c>
      <c r="N1576" s="403">
        <v>720</v>
      </c>
      <c r="O1576" s="403">
        <v>1280</v>
      </c>
      <c r="P1576" t="str">
        <f t="shared" si="193"/>
        <v>25fps 3072x1728 - 720p</v>
      </c>
      <c r="Q1576">
        <f t="shared" si="194"/>
        <v>8</v>
      </c>
      <c r="R1576" t="str">
        <f t="shared" si="195"/>
        <v/>
      </c>
      <c r="S1576" t="str">
        <f t="shared" si="196"/>
        <v/>
      </c>
      <c r="T1576" s="403" t="str">
        <f t="shared" si="197"/>
        <v>NBE-5503-AL</v>
      </c>
      <c r="U1576" s="403">
        <f t="shared" si="198"/>
        <v>1</v>
      </c>
      <c r="V1576" s="403" t="str">
        <f t="shared" si="199"/>
        <v>CPP_7_3</v>
      </c>
    </row>
    <row r="1577" spans="1:22">
      <c r="A1577" t="str">
        <f t="shared" si="192"/>
        <v>NBE-5503-AL</v>
      </c>
      <c r="B1577" s="403" t="s">
        <v>1380</v>
      </c>
      <c r="C1577" s="403" t="s">
        <v>582</v>
      </c>
      <c r="D1577" s="403" t="s">
        <v>1381</v>
      </c>
      <c r="E1577" s="403" t="s">
        <v>778</v>
      </c>
      <c r="F1577" s="403" t="s">
        <v>1385</v>
      </c>
      <c r="G1577" s="403" t="s">
        <v>1467</v>
      </c>
      <c r="H1577" s="403" t="s">
        <v>1276</v>
      </c>
      <c r="I1577" s="403">
        <v>1</v>
      </c>
      <c r="J1577" s="403" t="s">
        <v>1376</v>
      </c>
      <c r="K1577" s="403">
        <v>1728</v>
      </c>
      <c r="L1577" s="403">
        <v>3072</v>
      </c>
      <c r="M1577" s="403" t="s">
        <v>1283</v>
      </c>
      <c r="N1577" s="403">
        <v>576</v>
      </c>
      <c r="O1577" s="403">
        <v>720</v>
      </c>
      <c r="P1577" t="str">
        <f t="shared" si="193"/>
        <v>25fps 3072x1728 - SD 4CIF resolution 4:3 format (cropped)</v>
      </c>
      <c r="Q1577">
        <f t="shared" si="194"/>
        <v>8</v>
      </c>
      <c r="R1577" t="str">
        <f t="shared" si="195"/>
        <v/>
      </c>
      <c r="S1577" t="str">
        <f t="shared" si="196"/>
        <v/>
      </c>
      <c r="T1577" s="403" t="str">
        <f t="shared" si="197"/>
        <v>NBE-5503-AL</v>
      </c>
      <c r="U1577" s="403">
        <f t="shared" si="198"/>
        <v>1</v>
      </c>
      <c r="V1577" s="403" t="str">
        <f t="shared" si="199"/>
        <v>CPP_7_3</v>
      </c>
    </row>
    <row r="1578" spans="1:22">
      <c r="A1578" t="str">
        <f t="shared" si="192"/>
        <v>NBE-5503-AL</v>
      </c>
      <c r="B1578" s="403" t="s">
        <v>1380</v>
      </c>
      <c r="C1578" s="403" t="s">
        <v>582</v>
      </c>
      <c r="D1578" s="403" t="s">
        <v>1381</v>
      </c>
      <c r="E1578" s="403" t="s">
        <v>778</v>
      </c>
      <c r="F1578" s="403" t="s">
        <v>1385</v>
      </c>
      <c r="G1578" s="403" t="s">
        <v>1467</v>
      </c>
      <c r="H1578" s="403" t="s">
        <v>1276</v>
      </c>
      <c r="I1578" s="403">
        <v>1</v>
      </c>
      <c r="J1578" s="403" t="s">
        <v>1376</v>
      </c>
      <c r="K1578" s="403">
        <v>1728</v>
      </c>
      <c r="L1578" s="403">
        <v>3072</v>
      </c>
      <c r="M1578" s="403" t="s">
        <v>1279</v>
      </c>
      <c r="N1578" s="403">
        <v>432</v>
      </c>
      <c r="O1578" s="403">
        <v>768</v>
      </c>
      <c r="P1578" t="str">
        <f t="shared" si="193"/>
        <v>25fps 3072x1728 - SD ROI PTZ</v>
      </c>
      <c r="Q1578">
        <f t="shared" si="194"/>
        <v>8</v>
      </c>
      <c r="R1578" t="str">
        <f t="shared" si="195"/>
        <v/>
      </c>
      <c r="S1578" t="str">
        <f t="shared" si="196"/>
        <v/>
      </c>
      <c r="T1578" s="403" t="str">
        <f t="shared" si="197"/>
        <v>NBE-5503-AL</v>
      </c>
      <c r="U1578" s="403">
        <f t="shared" si="198"/>
        <v>1</v>
      </c>
      <c r="V1578" s="403" t="str">
        <f t="shared" si="199"/>
        <v>CPP_7_3</v>
      </c>
    </row>
    <row r="1579" spans="1:22">
      <c r="A1579" t="str">
        <f t="shared" si="192"/>
        <v>NBE-5503-AL</v>
      </c>
      <c r="B1579" s="403" t="s">
        <v>1380</v>
      </c>
      <c r="C1579" s="403" t="s">
        <v>582</v>
      </c>
      <c r="D1579" s="403" t="s">
        <v>1381</v>
      </c>
      <c r="E1579" s="403" t="s">
        <v>778</v>
      </c>
      <c r="F1579" s="403" t="s">
        <v>1385</v>
      </c>
      <c r="G1579" s="403" t="s">
        <v>1467</v>
      </c>
      <c r="H1579" s="403" t="s">
        <v>1276</v>
      </c>
      <c r="I1579" s="403">
        <v>1</v>
      </c>
      <c r="J1579" s="403" t="s">
        <v>1376</v>
      </c>
      <c r="K1579" s="403">
        <v>1728</v>
      </c>
      <c r="L1579" s="403">
        <v>3072</v>
      </c>
      <c r="M1579" s="403" t="s">
        <v>1284</v>
      </c>
      <c r="N1579" s="403">
        <v>480</v>
      </c>
      <c r="O1579" s="403">
        <v>640</v>
      </c>
      <c r="P1579" t="str">
        <f t="shared" si="193"/>
        <v>25fps 3072x1728 - SD VGA (cropped)</v>
      </c>
      <c r="Q1579">
        <f t="shared" si="194"/>
        <v>8</v>
      </c>
      <c r="R1579" t="str">
        <f t="shared" si="195"/>
        <v/>
      </c>
      <c r="S1579" t="str">
        <f t="shared" si="196"/>
        <v/>
      </c>
      <c r="T1579" s="403" t="str">
        <f t="shared" si="197"/>
        <v>NBE-5503-AL</v>
      </c>
      <c r="U1579" s="403">
        <f t="shared" si="198"/>
        <v>1</v>
      </c>
      <c r="V1579" s="403" t="str">
        <f t="shared" si="199"/>
        <v>CPP_7_3</v>
      </c>
    </row>
    <row r="1580" spans="1:22">
      <c r="A1580" t="str">
        <f t="shared" si="192"/>
        <v>NBE-5503-AL</v>
      </c>
      <c r="B1580" s="403" t="s">
        <v>1380</v>
      </c>
      <c r="C1580" s="403" t="s">
        <v>582</v>
      </c>
      <c r="D1580" s="403" t="s">
        <v>1381</v>
      </c>
      <c r="E1580" s="403" t="s">
        <v>778</v>
      </c>
      <c r="F1580" s="403" t="s">
        <v>1385</v>
      </c>
      <c r="G1580" s="403" t="s">
        <v>1467</v>
      </c>
      <c r="H1580" s="403" t="s">
        <v>1276</v>
      </c>
      <c r="I1580" s="403">
        <v>1</v>
      </c>
      <c r="J1580" s="403" t="s">
        <v>1376</v>
      </c>
      <c r="K1580" s="403">
        <v>1728</v>
      </c>
      <c r="L1580" s="403">
        <v>3072</v>
      </c>
      <c r="M1580" s="403" t="s">
        <v>1285</v>
      </c>
      <c r="N1580" s="403">
        <v>1024</v>
      </c>
      <c r="O1580" s="403">
        <v>1280</v>
      </c>
      <c r="P1580" t="str">
        <f t="shared" si="193"/>
        <v>25fps 3072x1728 - 1280x1024 5:4 (cropped)</v>
      </c>
      <c r="Q1580">
        <f t="shared" si="194"/>
        <v>8</v>
      </c>
      <c r="R1580" t="str">
        <f t="shared" si="195"/>
        <v/>
      </c>
      <c r="S1580" t="str">
        <f t="shared" si="196"/>
        <v/>
      </c>
      <c r="T1580" s="403" t="str">
        <f t="shared" si="197"/>
        <v>NBE-5503-AL</v>
      </c>
      <c r="U1580" s="403">
        <f t="shared" si="198"/>
        <v>1</v>
      </c>
      <c r="V1580" s="403" t="str">
        <f t="shared" si="199"/>
        <v>CPP_7_3</v>
      </c>
    </row>
    <row r="1581" spans="1:22">
      <c r="A1581" t="str">
        <f t="shared" si="192"/>
        <v>NBE-5503-AL</v>
      </c>
      <c r="B1581" s="403" t="s">
        <v>1380</v>
      </c>
      <c r="C1581" s="403" t="s">
        <v>582</v>
      </c>
      <c r="D1581" s="403" t="s">
        <v>1381</v>
      </c>
      <c r="E1581" s="403" t="s">
        <v>778</v>
      </c>
      <c r="F1581" s="403" t="s">
        <v>1385</v>
      </c>
      <c r="G1581" s="403" t="s">
        <v>1467</v>
      </c>
      <c r="H1581" s="403" t="s">
        <v>1276</v>
      </c>
      <c r="I1581" s="403">
        <v>1</v>
      </c>
      <c r="J1581" s="403" t="s">
        <v>1376</v>
      </c>
      <c r="K1581" s="403">
        <v>1728</v>
      </c>
      <c r="L1581" s="403">
        <v>3072</v>
      </c>
      <c r="M1581" s="403" t="s">
        <v>1383</v>
      </c>
      <c r="N1581" s="403">
        <v>1440</v>
      </c>
      <c r="O1581" s="403">
        <v>1920</v>
      </c>
      <c r="P1581" t="str">
        <f t="shared" si="193"/>
        <v>25fps 3072x1728 - 1920x1440_CROP</v>
      </c>
      <c r="Q1581">
        <f t="shared" si="194"/>
        <v>8</v>
      </c>
      <c r="R1581" t="str">
        <f t="shared" si="195"/>
        <v/>
      </c>
      <c r="S1581" t="str">
        <f t="shared" si="196"/>
        <v/>
      </c>
      <c r="T1581" s="403" t="str">
        <f t="shared" si="197"/>
        <v>NBE-5503-AL</v>
      </c>
      <c r="U1581" s="403">
        <f t="shared" si="198"/>
        <v>1</v>
      </c>
      <c r="V1581" s="403" t="str">
        <f t="shared" si="199"/>
        <v>CPP_7_3</v>
      </c>
    </row>
    <row r="1582" spans="1:22">
      <c r="A1582" t="str">
        <f t="shared" si="192"/>
        <v>NBE-5503-AL</v>
      </c>
      <c r="B1582" s="403" t="s">
        <v>1380</v>
      </c>
      <c r="C1582" s="403" t="s">
        <v>582</v>
      </c>
      <c r="D1582" s="403" t="s">
        <v>1381</v>
      </c>
      <c r="E1582" s="403" t="s">
        <v>778</v>
      </c>
      <c r="F1582" s="403" t="s">
        <v>1385</v>
      </c>
      <c r="G1582" s="403" t="s">
        <v>1467</v>
      </c>
      <c r="H1582" s="403" t="s">
        <v>1276</v>
      </c>
      <c r="I1582" s="403">
        <v>1</v>
      </c>
      <c r="J1582" s="403" t="s">
        <v>1373</v>
      </c>
      <c r="K1582" s="403">
        <v>1512</v>
      </c>
      <c r="L1582" s="403">
        <v>2688</v>
      </c>
      <c r="M1582" s="403" t="s">
        <v>110</v>
      </c>
      <c r="N1582" s="403">
        <v>1080</v>
      </c>
      <c r="O1582" s="403">
        <v>1920</v>
      </c>
      <c r="P1582" t="str">
        <f t="shared" si="193"/>
        <v>25fps 2688x1512 - 1080p</v>
      </c>
      <c r="Q1582">
        <f t="shared" si="194"/>
        <v>8</v>
      </c>
      <c r="R1582" t="str">
        <f t="shared" si="195"/>
        <v/>
      </c>
      <c r="S1582" t="str">
        <f t="shared" si="196"/>
        <v/>
      </c>
      <c r="T1582" s="403" t="str">
        <f t="shared" si="197"/>
        <v>NBE-5503-AL</v>
      </c>
      <c r="U1582" s="403">
        <f t="shared" si="198"/>
        <v>1</v>
      </c>
      <c r="V1582" s="403" t="str">
        <f t="shared" si="199"/>
        <v>CPP_7_3</v>
      </c>
    </row>
    <row r="1583" spans="1:22">
      <c r="A1583" t="str">
        <f t="shared" si="192"/>
        <v>NBE-5503-AL</v>
      </c>
      <c r="B1583" s="403" t="s">
        <v>1380</v>
      </c>
      <c r="C1583" s="403" t="s">
        <v>582</v>
      </c>
      <c r="D1583" s="403" t="s">
        <v>1381</v>
      </c>
      <c r="E1583" s="403" t="s">
        <v>778</v>
      </c>
      <c r="F1583" s="403" t="s">
        <v>1385</v>
      </c>
      <c r="G1583" s="403" t="s">
        <v>1467</v>
      </c>
      <c r="H1583" s="403" t="s">
        <v>1276</v>
      </c>
      <c r="I1583" s="403">
        <v>1</v>
      </c>
      <c r="J1583" s="403" t="s">
        <v>1373</v>
      </c>
      <c r="K1583" s="403">
        <v>1512</v>
      </c>
      <c r="L1583" s="403">
        <v>2688</v>
      </c>
      <c r="M1583" s="403" t="s">
        <v>1384</v>
      </c>
      <c r="N1583" s="403">
        <v>1512</v>
      </c>
      <c r="O1583" s="403">
        <v>2688</v>
      </c>
      <c r="P1583" t="str">
        <f t="shared" si="193"/>
        <v>25fps 2688x1512 - 2688x1512 @ SKIP 2</v>
      </c>
      <c r="Q1583">
        <f t="shared" si="194"/>
        <v>8</v>
      </c>
      <c r="R1583" t="str">
        <f t="shared" si="195"/>
        <v/>
      </c>
      <c r="S1583" t="str">
        <f t="shared" si="196"/>
        <v/>
      </c>
      <c r="T1583" s="403" t="str">
        <f t="shared" si="197"/>
        <v>NBE-5503-AL</v>
      </c>
      <c r="U1583" s="403">
        <f t="shared" si="198"/>
        <v>1</v>
      </c>
      <c r="V1583" s="403" t="str">
        <f t="shared" si="199"/>
        <v>CPP_7_3</v>
      </c>
    </row>
    <row r="1584" spans="1:22">
      <c r="A1584" t="str">
        <f t="shared" si="192"/>
        <v>NBE-5503-AL</v>
      </c>
      <c r="B1584" s="403" t="s">
        <v>1380</v>
      </c>
      <c r="C1584" s="403" t="s">
        <v>582</v>
      </c>
      <c r="D1584" s="403" t="s">
        <v>1381</v>
      </c>
      <c r="E1584" s="403" t="s">
        <v>778</v>
      </c>
      <c r="F1584" s="403" t="s">
        <v>1385</v>
      </c>
      <c r="G1584" s="403" t="s">
        <v>1467</v>
      </c>
      <c r="H1584" s="403" t="s">
        <v>1276</v>
      </c>
      <c r="I1584" s="403">
        <v>1</v>
      </c>
      <c r="J1584" s="403" t="s">
        <v>1373</v>
      </c>
      <c r="K1584" s="403">
        <v>1512</v>
      </c>
      <c r="L1584" s="403">
        <v>2688</v>
      </c>
      <c r="M1584" s="403" t="s">
        <v>109</v>
      </c>
      <c r="N1584" s="403">
        <v>720</v>
      </c>
      <c r="O1584" s="403">
        <v>1280</v>
      </c>
      <c r="P1584" t="str">
        <f t="shared" si="193"/>
        <v>25fps 2688x1512 - 720p</v>
      </c>
      <c r="Q1584">
        <f t="shared" si="194"/>
        <v>8</v>
      </c>
      <c r="R1584" t="str">
        <f t="shared" si="195"/>
        <v/>
      </c>
      <c r="S1584" t="str">
        <f t="shared" si="196"/>
        <v/>
      </c>
      <c r="T1584" s="403" t="str">
        <f t="shared" si="197"/>
        <v>NBE-5503-AL</v>
      </c>
      <c r="U1584" s="403">
        <f t="shared" si="198"/>
        <v>1</v>
      </c>
      <c r="V1584" s="403" t="str">
        <f t="shared" si="199"/>
        <v>CPP_7_3</v>
      </c>
    </row>
    <row r="1585" spans="1:22">
      <c r="A1585" t="str">
        <f t="shared" si="192"/>
        <v>NBE-5503-AL</v>
      </c>
      <c r="B1585" s="403" t="s">
        <v>1380</v>
      </c>
      <c r="C1585" s="403" t="s">
        <v>582</v>
      </c>
      <c r="D1585" s="403" t="s">
        <v>1381</v>
      </c>
      <c r="E1585" s="403" t="s">
        <v>778</v>
      </c>
      <c r="F1585" s="403" t="s">
        <v>1385</v>
      </c>
      <c r="G1585" s="403" t="s">
        <v>1467</v>
      </c>
      <c r="H1585" s="403" t="s">
        <v>1276</v>
      </c>
      <c r="I1585" s="403">
        <v>1</v>
      </c>
      <c r="J1585" s="403" t="s">
        <v>1373</v>
      </c>
      <c r="K1585" s="403">
        <v>1512</v>
      </c>
      <c r="L1585" s="403">
        <v>2688</v>
      </c>
      <c r="M1585" s="403" t="s">
        <v>111</v>
      </c>
      <c r="N1585" s="403">
        <v>432</v>
      </c>
      <c r="O1585" s="403">
        <v>768</v>
      </c>
      <c r="P1585" t="str">
        <f t="shared" si="193"/>
        <v>25fps 2688x1512 - SD</v>
      </c>
      <c r="Q1585">
        <f t="shared" si="194"/>
        <v>8</v>
      </c>
      <c r="R1585" t="str">
        <f t="shared" si="195"/>
        <v/>
      </c>
      <c r="S1585" t="str">
        <f t="shared" si="196"/>
        <v/>
      </c>
      <c r="T1585" s="403" t="str">
        <f t="shared" si="197"/>
        <v>NBE-5503-AL</v>
      </c>
      <c r="U1585" s="403">
        <f t="shared" si="198"/>
        <v>1</v>
      </c>
      <c r="V1585" s="403" t="str">
        <f t="shared" si="199"/>
        <v>CPP_7_3</v>
      </c>
    </row>
    <row r="1586" spans="1:22">
      <c r="A1586" t="str">
        <f t="shared" si="192"/>
        <v>NBE-5503-AL</v>
      </c>
      <c r="B1586" s="403" t="s">
        <v>1380</v>
      </c>
      <c r="C1586" s="403" t="s">
        <v>582</v>
      </c>
      <c r="D1586" s="403" t="s">
        <v>1381</v>
      </c>
      <c r="E1586" s="403" t="s">
        <v>778</v>
      </c>
      <c r="F1586" s="403" t="s">
        <v>1385</v>
      </c>
      <c r="G1586" s="403" t="s">
        <v>1467</v>
      </c>
      <c r="H1586" s="403" t="s">
        <v>1276</v>
      </c>
      <c r="I1586" s="403">
        <v>1</v>
      </c>
      <c r="J1586" s="403" t="s">
        <v>1373</v>
      </c>
      <c r="K1586" s="403">
        <v>1512</v>
      </c>
      <c r="L1586" s="403">
        <v>2688</v>
      </c>
      <c r="M1586" s="403" t="s">
        <v>1279</v>
      </c>
      <c r="N1586" s="403">
        <v>432</v>
      </c>
      <c r="O1586" s="403">
        <v>768</v>
      </c>
      <c r="P1586" t="str">
        <f t="shared" si="193"/>
        <v>25fps 2688x1512 - SD ROI PTZ</v>
      </c>
      <c r="Q1586">
        <f t="shared" si="194"/>
        <v>8</v>
      </c>
      <c r="R1586" t="str">
        <f t="shared" si="195"/>
        <v/>
      </c>
      <c r="S1586" t="str">
        <f t="shared" si="196"/>
        <v/>
      </c>
      <c r="T1586" s="403" t="str">
        <f t="shared" si="197"/>
        <v>NBE-5503-AL</v>
      </c>
      <c r="U1586" s="403">
        <f t="shared" si="198"/>
        <v>1</v>
      </c>
      <c r="V1586" s="403" t="str">
        <f t="shared" si="199"/>
        <v>CPP_7_3</v>
      </c>
    </row>
    <row r="1587" spans="1:22">
      <c r="A1587" t="str">
        <f t="shared" si="192"/>
        <v>NBE-5503-AL</v>
      </c>
      <c r="B1587" s="403" t="s">
        <v>1380</v>
      </c>
      <c r="C1587" s="403" t="s">
        <v>582</v>
      </c>
      <c r="D1587" s="403" t="s">
        <v>1381</v>
      </c>
      <c r="E1587" s="403" t="s">
        <v>778</v>
      </c>
      <c r="F1587" s="403" t="s">
        <v>1385</v>
      </c>
      <c r="G1587" s="403" t="s">
        <v>1467</v>
      </c>
      <c r="H1587" s="403" t="s">
        <v>1276</v>
      </c>
      <c r="I1587" s="403">
        <v>1</v>
      </c>
      <c r="J1587" s="403" t="s">
        <v>1373</v>
      </c>
      <c r="K1587" s="403">
        <v>1512</v>
      </c>
      <c r="L1587" s="403">
        <v>2688</v>
      </c>
      <c r="M1587" s="403" t="s">
        <v>1285</v>
      </c>
      <c r="N1587" s="403">
        <v>1024</v>
      </c>
      <c r="O1587" s="403">
        <v>1280</v>
      </c>
      <c r="P1587" t="str">
        <f t="shared" si="193"/>
        <v>25fps 2688x1512 - 1280x1024 5:4 (cropped)</v>
      </c>
      <c r="Q1587">
        <f t="shared" si="194"/>
        <v>8</v>
      </c>
      <c r="R1587" t="str">
        <f t="shared" si="195"/>
        <v/>
      </c>
      <c r="S1587" t="str">
        <f t="shared" si="196"/>
        <v/>
      </c>
      <c r="T1587" s="403" t="str">
        <f t="shared" si="197"/>
        <v>NBE-5503-AL</v>
      </c>
      <c r="U1587" s="403">
        <f t="shared" si="198"/>
        <v>1</v>
      </c>
      <c r="V1587" s="403" t="str">
        <f t="shared" si="199"/>
        <v>CPP_7_3</v>
      </c>
    </row>
    <row r="1588" spans="1:22">
      <c r="A1588" t="str">
        <f t="shared" si="192"/>
        <v>NBE-5503-AL</v>
      </c>
      <c r="B1588" s="403" t="s">
        <v>1380</v>
      </c>
      <c r="C1588" s="403" t="s">
        <v>582</v>
      </c>
      <c r="D1588" s="403" t="s">
        <v>1381</v>
      </c>
      <c r="E1588" s="403" t="s">
        <v>778</v>
      </c>
      <c r="F1588" s="403" t="s">
        <v>1385</v>
      </c>
      <c r="G1588" s="403" t="s">
        <v>1467</v>
      </c>
      <c r="H1588" s="403" t="s">
        <v>1276</v>
      </c>
      <c r="I1588" s="403">
        <v>1</v>
      </c>
      <c r="J1588" s="403" t="s">
        <v>1373</v>
      </c>
      <c r="K1588" s="403">
        <v>1512</v>
      </c>
      <c r="L1588" s="403">
        <v>2688</v>
      </c>
      <c r="M1588" s="403" t="s">
        <v>1283</v>
      </c>
      <c r="N1588" s="403">
        <v>576</v>
      </c>
      <c r="O1588" s="403">
        <v>720</v>
      </c>
      <c r="P1588" t="str">
        <f t="shared" si="193"/>
        <v>25fps 2688x1512 - SD 4CIF resolution 4:3 format (cropped)</v>
      </c>
      <c r="Q1588">
        <f t="shared" si="194"/>
        <v>8</v>
      </c>
      <c r="R1588" t="str">
        <f t="shared" si="195"/>
        <v/>
      </c>
      <c r="S1588" t="str">
        <f t="shared" si="196"/>
        <v/>
      </c>
      <c r="T1588" s="403" t="str">
        <f t="shared" si="197"/>
        <v>NBE-5503-AL</v>
      </c>
      <c r="U1588" s="403">
        <f t="shared" si="198"/>
        <v>1</v>
      </c>
      <c r="V1588" s="403" t="str">
        <f t="shared" si="199"/>
        <v>CPP_7_3</v>
      </c>
    </row>
    <row r="1589" spans="1:22">
      <c r="A1589" t="str">
        <f t="shared" si="192"/>
        <v>NBE-5503-AL</v>
      </c>
      <c r="B1589" s="403" t="s">
        <v>1380</v>
      </c>
      <c r="C1589" s="403" t="s">
        <v>582</v>
      </c>
      <c r="D1589" s="403" t="s">
        <v>1381</v>
      </c>
      <c r="E1589" s="403" t="s">
        <v>778</v>
      </c>
      <c r="F1589" s="403" t="s">
        <v>1385</v>
      </c>
      <c r="G1589" s="403" t="s">
        <v>1467</v>
      </c>
      <c r="H1589" s="403" t="s">
        <v>1276</v>
      </c>
      <c r="I1589" s="403">
        <v>1</v>
      </c>
      <c r="J1589" s="403" t="s">
        <v>1373</v>
      </c>
      <c r="K1589" s="403">
        <v>1512</v>
      </c>
      <c r="L1589" s="403">
        <v>2688</v>
      </c>
      <c r="M1589" s="403" t="s">
        <v>1284</v>
      </c>
      <c r="N1589" s="403">
        <v>480</v>
      </c>
      <c r="O1589" s="403">
        <v>640</v>
      </c>
      <c r="P1589" t="str">
        <f t="shared" si="193"/>
        <v>25fps 2688x1512 - SD VGA (cropped)</v>
      </c>
      <c r="Q1589">
        <f t="shared" si="194"/>
        <v>8</v>
      </c>
      <c r="R1589" t="str">
        <f t="shared" si="195"/>
        <v/>
      </c>
      <c r="S1589" t="str">
        <f t="shared" si="196"/>
        <v/>
      </c>
      <c r="T1589" s="403" t="str">
        <f t="shared" si="197"/>
        <v>NBE-5503-AL</v>
      </c>
      <c r="U1589" s="403">
        <f t="shared" si="198"/>
        <v>1</v>
      </c>
      <c r="V1589" s="403" t="str">
        <f t="shared" si="199"/>
        <v>CPP_7_3</v>
      </c>
    </row>
    <row r="1590" spans="1:22">
      <c r="A1590" t="str">
        <f t="shared" si="192"/>
        <v>NBE-5503-AL</v>
      </c>
      <c r="B1590" s="403" t="s">
        <v>1380</v>
      </c>
      <c r="C1590" s="403" t="s">
        <v>582</v>
      </c>
      <c r="D1590" s="403" t="s">
        <v>1381</v>
      </c>
      <c r="E1590" s="403" t="s">
        <v>778</v>
      </c>
      <c r="F1590" s="403" t="s">
        <v>1385</v>
      </c>
      <c r="G1590" s="403" t="s">
        <v>1467</v>
      </c>
      <c r="H1590" s="403" t="s">
        <v>1276</v>
      </c>
      <c r="I1590" s="403">
        <v>1</v>
      </c>
      <c r="J1590" s="403" t="s">
        <v>1373</v>
      </c>
      <c r="K1590" s="403">
        <v>1512</v>
      </c>
      <c r="L1590" s="403">
        <v>2688</v>
      </c>
      <c r="M1590" s="403" t="s">
        <v>1280</v>
      </c>
      <c r="N1590" s="403">
        <v>1512</v>
      </c>
      <c r="O1590" s="403">
        <v>2688</v>
      </c>
      <c r="P1590" t="str">
        <f t="shared" si="193"/>
        <v>25fps 2688x1512 - copy other stream</v>
      </c>
      <c r="Q1590">
        <f t="shared" si="194"/>
        <v>8</v>
      </c>
      <c r="R1590" t="str">
        <f t="shared" si="195"/>
        <v/>
      </c>
      <c r="S1590" t="str">
        <f t="shared" si="196"/>
        <v/>
      </c>
      <c r="T1590" s="403" t="str">
        <f t="shared" si="197"/>
        <v>NBE-5503-AL</v>
      </c>
      <c r="U1590" s="403">
        <f t="shared" si="198"/>
        <v>1</v>
      </c>
      <c r="V1590" s="403" t="str">
        <f t="shared" si="199"/>
        <v>CPP_7_3</v>
      </c>
    </row>
    <row r="1591" spans="1:22">
      <c r="A1591" t="str">
        <f t="shared" si="192"/>
        <v>NBE-5503-AL</v>
      </c>
      <c r="B1591" s="403" t="s">
        <v>1380</v>
      </c>
      <c r="C1591" s="403" t="s">
        <v>582</v>
      </c>
      <c r="D1591" s="403" t="s">
        <v>1381</v>
      </c>
      <c r="E1591" s="403" t="s">
        <v>778</v>
      </c>
      <c r="F1591" s="403" t="s">
        <v>1385</v>
      </c>
      <c r="G1591" s="403" t="s">
        <v>1467</v>
      </c>
      <c r="H1591" s="403" t="s">
        <v>1276</v>
      </c>
      <c r="I1591" s="403">
        <v>1</v>
      </c>
      <c r="J1591" s="403" t="s">
        <v>1374</v>
      </c>
      <c r="K1591" s="403">
        <v>1296</v>
      </c>
      <c r="L1591" s="403">
        <v>2304</v>
      </c>
      <c r="M1591" s="403" t="s">
        <v>110</v>
      </c>
      <c r="N1591" s="403">
        <v>1080</v>
      </c>
      <c r="O1591" s="403">
        <v>1920</v>
      </c>
      <c r="P1591" t="str">
        <f t="shared" si="193"/>
        <v>25fps 2304x1296 - 1080p</v>
      </c>
      <c r="Q1591">
        <f t="shared" si="194"/>
        <v>8</v>
      </c>
      <c r="R1591" t="str">
        <f t="shared" si="195"/>
        <v/>
      </c>
      <c r="S1591" t="str">
        <f t="shared" si="196"/>
        <v/>
      </c>
      <c r="T1591" s="403" t="str">
        <f t="shared" si="197"/>
        <v>NBE-5503-AL</v>
      </c>
      <c r="U1591" s="403">
        <f t="shared" si="198"/>
        <v>1</v>
      </c>
      <c r="V1591" s="403" t="str">
        <f t="shared" si="199"/>
        <v>CPP_7_3</v>
      </c>
    </row>
    <row r="1592" spans="1:22">
      <c r="A1592" t="str">
        <f t="shared" si="192"/>
        <v>NBE-5503-AL</v>
      </c>
      <c r="B1592" s="403" t="s">
        <v>1380</v>
      </c>
      <c r="C1592" s="403" t="s">
        <v>582</v>
      </c>
      <c r="D1592" s="403" t="s">
        <v>1381</v>
      </c>
      <c r="E1592" s="403" t="s">
        <v>778</v>
      </c>
      <c r="F1592" s="403" t="s">
        <v>1385</v>
      </c>
      <c r="G1592" s="403" t="s">
        <v>1467</v>
      </c>
      <c r="H1592" s="403" t="s">
        <v>1276</v>
      </c>
      <c r="I1592" s="403">
        <v>1</v>
      </c>
      <c r="J1592" s="403" t="s">
        <v>1374</v>
      </c>
      <c r="K1592" s="403">
        <v>1296</v>
      </c>
      <c r="L1592" s="403">
        <v>2304</v>
      </c>
      <c r="M1592" s="403" t="s">
        <v>1374</v>
      </c>
      <c r="N1592" s="403">
        <v>1296</v>
      </c>
      <c r="O1592" s="403">
        <v>2304</v>
      </c>
      <c r="P1592" t="str">
        <f t="shared" si="193"/>
        <v>25fps 2304x1296 - 2304x1296</v>
      </c>
      <c r="Q1592">
        <f t="shared" si="194"/>
        <v>8</v>
      </c>
      <c r="R1592" t="str">
        <f t="shared" si="195"/>
        <v/>
      </c>
      <c r="S1592" t="str">
        <f t="shared" si="196"/>
        <v/>
      </c>
      <c r="T1592" s="403" t="str">
        <f t="shared" si="197"/>
        <v>NBE-5503-AL</v>
      </c>
      <c r="U1592" s="403">
        <f t="shared" si="198"/>
        <v>1</v>
      </c>
      <c r="V1592" s="403" t="str">
        <f t="shared" si="199"/>
        <v>CPP_7_3</v>
      </c>
    </row>
    <row r="1593" spans="1:22">
      <c r="A1593" t="str">
        <f t="shared" si="192"/>
        <v>NBE-5503-AL</v>
      </c>
      <c r="B1593" s="403" t="s">
        <v>1380</v>
      </c>
      <c r="C1593" s="403" t="s">
        <v>582</v>
      </c>
      <c r="D1593" s="403" t="s">
        <v>1381</v>
      </c>
      <c r="E1593" s="403" t="s">
        <v>778</v>
      </c>
      <c r="F1593" s="403" t="s">
        <v>1385</v>
      </c>
      <c r="G1593" s="403" t="s">
        <v>1467</v>
      </c>
      <c r="H1593" s="403" t="s">
        <v>1276</v>
      </c>
      <c r="I1593" s="403">
        <v>1</v>
      </c>
      <c r="J1593" s="403" t="s">
        <v>1374</v>
      </c>
      <c r="K1593" s="403">
        <v>1296</v>
      </c>
      <c r="L1593" s="403">
        <v>2304</v>
      </c>
      <c r="M1593" s="403" t="s">
        <v>109</v>
      </c>
      <c r="N1593" s="403">
        <v>720</v>
      </c>
      <c r="O1593" s="403">
        <v>1280</v>
      </c>
      <c r="P1593" t="str">
        <f t="shared" si="193"/>
        <v>25fps 2304x1296 - 720p</v>
      </c>
      <c r="Q1593">
        <f t="shared" si="194"/>
        <v>8</v>
      </c>
      <c r="R1593" t="str">
        <f t="shared" si="195"/>
        <v/>
      </c>
      <c r="S1593" t="str">
        <f t="shared" si="196"/>
        <v/>
      </c>
      <c r="T1593" s="403" t="str">
        <f t="shared" si="197"/>
        <v>NBE-5503-AL</v>
      </c>
      <c r="U1593" s="403">
        <f t="shared" si="198"/>
        <v>1</v>
      </c>
      <c r="V1593" s="403" t="str">
        <f t="shared" si="199"/>
        <v>CPP_7_3</v>
      </c>
    </row>
    <row r="1594" spans="1:22">
      <c r="A1594" t="str">
        <f t="shared" si="192"/>
        <v>NBE-5503-AL</v>
      </c>
      <c r="B1594" s="403" t="s">
        <v>1380</v>
      </c>
      <c r="C1594" s="403" t="s">
        <v>582</v>
      </c>
      <c r="D1594" s="403" t="s">
        <v>1381</v>
      </c>
      <c r="E1594" s="403" t="s">
        <v>778</v>
      </c>
      <c r="F1594" s="403" t="s">
        <v>1385</v>
      </c>
      <c r="G1594" s="403" t="s">
        <v>1467</v>
      </c>
      <c r="H1594" s="403" t="s">
        <v>1276</v>
      </c>
      <c r="I1594" s="403">
        <v>1</v>
      </c>
      <c r="J1594" s="403" t="s">
        <v>1374</v>
      </c>
      <c r="K1594" s="403">
        <v>1296</v>
      </c>
      <c r="L1594" s="403">
        <v>2304</v>
      </c>
      <c r="M1594" s="403" t="s">
        <v>111</v>
      </c>
      <c r="N1594" s="403">
        <v>432</v>
      </c>
      <c r="O1594" s="403">
        <v>768</v>
      </c>
      <c r="P1594" t="str">
        <f t="shared" si="193"/>
        <v>25fps 2304x1296 - SD</v>
      </c>
      <c r="Q1594">
        <f t="shared" si="194"/>
        <v>8</v>
      </c>
      <c r="R1594" t="str">
        <f t="shared" si="195"/>
        <v/>
      </c>
      <c r="S1594" t="str">
        <f t="shared" si="196"/>
        <v/>
      </c>
      <c r="T1594" s="403" t="str">
        <f t="shared" si="197"/>
        <v>NBE-5503-AL</v>
      </c>
      <c r="U1594" s="403">
        <f t="shared" si="198"/>
        <v>1</v>
      </c>
      <c r="V1594" s="403" t="str">
        <f t="shared" si="199"/>
        <v>CPP_7_3</v>
      </c>
    </row>
    <row r="1595" spans="1:22">
      <c r="A1595" t="str">
        <f t="shared" si="192"/>
        <v>NBE-5503-AL</v>
      </c>
      <c r="B1595" s="403" t="s">
        <v>1380</v>
      </c>
      <c r="C1595" s="403" t="s">
        <v>582</v>
      </c>
      <c r="D1595" s="403" t="s">
        <v>1381</v>
      </c>
      <c r="E1595" s="403" t="s">
        <v>778</v>
      </c>
      <c r="F1595" s="403" t="s">
        <v>1385</v>
      </c>
      <c r="G1595" s="403" t="s">
        <v>1467</v>
      </c>
      <c r="H1595" s="403" t="s">
        <v>1276</v>
      </c>
      <c r="I1595" s="403">
        <v>1</v>
      </c>
      <c r="J1595" s="403" t="s">
        <v>1374</v>
      </c>
      <c r="K1595" s="403">
        <v>1296</v>
      </c>
      <c r="L1595" s="403">
        <v>2304</v>
      </c>
      <c r="M1595" s="403" t="s">
        <v>1279</v>
      </c>
      <c r="N1595" s="403">
        <v>432</v>
      </c>
      <c r="O1595" s="403">
        <v>768</v>
      </c>
      <c r="P1595" t="str">
        <f t="shared" si="193"/>
        <v>25fps 2304x1296 - SD ROI PTZ</v>
      </c>
      <c r="Q1595">
        <f t="shared" si="194"/>
        <v>8</v>
      </c>
      <c r="R1595" t="str">
        <f t="shared" si="195"/>
        <v/>
      </c>
      <c r="S1595" t="str">
        <f t="shared" si="196"/>
        <v/>
      </c>
      <c r="T1595" s="403" t="str">
        <f t="shared" si="197"/>
        <v>NBE-5503-AL</v>
      </c>
      <c r="U1595" s="403">
        <f t="shared" si="198"/>
        <v>1</v>
      </c>
      <c r="V1595" s="403" t="str">
        <f t="shared" si="199"/>
        <v>CPP_7_3</v>
      </c>
    </row>
    <row r="1596" spans="1:22">
      <c r="A1596" t="str">
        <f t="shared" si="192"/>
        <v>NBE-5503-AL</v>
      </c>
      <c r="B1596" s="403" t="s">
        <v>1380</v>
      </c>
      <c r="C1596" s="403" t="s">
        <v>582</v>
      </c>
      <c r="D1596" s="403" t="s">
        <v>1381</v>
      </c>
      <c r="E1596" s="403" t="s">
        <v>778</v>
      </c>
      <c r="F1596" s="403" t="s">
        <v>1385</v>
      </c>
      <c r="G1596" s="403" t="s">
        <v>1467</v>
      </c>
      <c r="H1596" s="403" t="s">
        <v>1276</v>
      </c>
      <c r="I1596" s="403">
        <v>1</v>
      </c>
      <c r="J1596" s="403" t="s">
        <v>1374</v>
      </c>
      <c r="K1596" s="403">
        <v>1296</v>
      </c>
      <c r="L1596" s="403">
        <v>2304</v>
      </c>
      <c r="M1596" s="403" t="s">
        <v>1285</v>
      </c>
      <c r="N1596" s="403">
        <v>1024</v>
      </c>
      <c r="O1596" s="403">
        <v>1280</v>
      </c>
      <c r="P1596" t="str">
        <f t="shared" si="193"/>
        <v>25fps 2304x1296 - 1280x1024 5:4 (cropped)</v>
      </c>
      <c r="Q1596">
        <f t="shared" si="194"/>
        <v>8</v>
      </c>
      <c r="R1596" t="str">
        <f t="shared" si="195"/>
        <v/>
      </c>
      <c r="S1596" t="str">
        <f t="shared" si="196"/>
        <v/>
      </c>
      <c r="T1596" s="403" t="str">
        <f t="shared" si="197"/>
        <v>NBE-5503-AL</v>
      </c>
      <c r="U1596" s="403">
        <f t="shared" si="198"/>
        <v>1</v>
      </c>
      <c r="V1596" s="403" t="str">
        <f t="shared" si="199"/>
        <v>CPP_7_3</v>
      </c>
    </row>
    <row r="1597" spans="1:22">
      <c r="A1597" t="str">
        <f t="shared" si="192"/>
        <v>NBE-5503-AL</v>
      </c>
      <c r="B1597" s="403" t="s">
        <v>1380</v>
      </c>
      <c r="C1597" s="403" t="s">
        <v>582</v>
      </c>
      <c r="D1597" s="403" t="s">
        <v>1381</v>
      </c>
      <c r="E1597" s="403" t="s">
        <v>778</v>
      </c>
      <c r="F1597" s="403" t="s">
        <v>1385</v>
      </c>
      <c r="G1597" s="403" t="s">
        <v>1467</v>
      </c>
      <c r="H1597" s="403" t="s">
        <v>1276</v>
      </c>
      <c r="I1597" s="403">
        <v>1</v>
      </c>
      <c r="J1597" s="403" t="s">
        <v>1374</v>
      </c>
      <c r="K1597" s="403">
        <v>1296</v>
      </c>
      <c r="L1597" s="403">
        <v>2304</v>
      </c>
      <c r="M1597" s="403" t="s">
        <v>1283</v>
      </c>
      <c r="N1597" s="403">
        <v>576</v>
      </c>
      <c r="O1597" s="403">
        <v>720</v>
      </c>
      <c r="P1597" t="str">
        <f t="shared" si="193"/>
        <v>25fps 2304x1296 - SD 4CIF resolution 4:3 format (cropped)</v>
      </c>
      <c r="Q1597">
        <f t="shared" si="194"/>
        <v>8</v>
      </c>
      <c r="R1597" t="str">
        <f t="shared" si="195"/>
        <v/>
      </c>
      <c r="S1597" t="str">
        <f t="shared" si="196"/>
        <v/>
      </c>
      <c r="T1597" s="403" t="str">
        <f t="shared" si="197"/>
        <v>NBE-5503-AL</v>
      </c>
      <c r="U1597" s="403">
        <f t="shared" si="198"/>
        <v>1</v>
      </c>
      <c r="V1597" s="403" t="str">
        <f t="shared" si="199"/>
        <v>CPP_7_3</v>
      </c>
    </row>
    <row r="1598" spans="1:22">
      <c r="A1598" t="str">
        <f t="shared" si="192"/>
        <v>NBE-5503-AL</v>
      </c>
      <c r="B1598" s="403" t="s">
        <v>1380</v>
      </c>
      <c r="C1598" s="403" t="s">
        <v>582</v>
      </c>
      <c r="D1598" s="403" t="s">
        <v>1381</v>
      </c>
      <c r="E1598" s="403" t="s">
        <v>778</v>
      </c>
      <c r="F1598" s="403" t="s">
        <v>1385</v>
      </c>
      <c r="G1598" s="403" t="s">
        <v>1467</v>
      </c>
      <c r="H1598" s="403" t="s">
        <v>1276</v>
      </c>
      <c r="I1598" s="403">
        <v>1</v>
      </c>
      <c r="J1598" s="403" t="s">
        <v>1374</v>
      </c>
      <c r="K1598" s="403">
        <v>1296</v>
      </c>
      <c r="L1598" s="403">
        <v>2304</v>
      </c>
      <c r="M1598" s="403" t="s">
        <v>1284</v>
      </c>
      <c r="N1598" s="403">
        <v>480</v>
      </c>
      <c r="O1598" s="403">
        <v>640</v>
      </c>
      <c r="P1598" t="str">
        <f t="shared" si="193"/>
        <v>25fps 2304x1296 - SD VGA (cropped)</v>
      </c>
      <c r="Q1598">
        <f t="shared" si="194"/>
        <v>8</v>
      </c>
      <c r="R1598" t="str">
        <f t="shared" si="195"/>
        <v/>
      </c>
      <c r="S1598" t="str">
        <f t="shared" si="196"/>
        <v/>
      </c>
      <c r="T1598" s="403" t="str">
        <f t="shared" si="197"/>
        <v>NBE-5503-AL</v>
      </c>
      <c r="U1598" s="403">
        <f t="shared" si="198"/>
        <v>1</v>
      </c>
      <c r="V1598" s="403" t="str">
        <f t="shared" si="199"/>
        <v>CPP_7_3</v>
      </c>
    </row>
    <row r="1599" spans="1:22">
      <c r="A1599" t="str">
        <f t="shared" si="192"/>
        <v>NBE-5503-AL</v>
      </c>
      <c r="B1599" s="403" t="s">
        <v>1380</v>
      </c>
      <c r="C1599" s="403" t="s">
        <v>582</v>
      </c>
      <c r="D1599" s="403" t="s">
        <v>1381</v>
      </c>
      <c r="E1599" s="403" t="s">
        <v>778</v>
      </c>
      <c r="F1599" s="403" t="s">
        <v>1385</v>
      </c>
      <c r="G1599" s="403" t="s">
        <v>1467</v>
      </c>
      <c r="H1599" s="403" t="s">
        <v>1276</v>
      </c>
      <c r="I1599" s="403">
        <v>1</v>
      </c>
      <c r="J1599" s="403" t="s">
        <v>1374</v>
      </c>
      <c r="K1599" s="403">
        <v>1296</v>
      </c>
      <c r="L1599" s="403">
        <v>2304</v>
      </c>
      <c r="M1599" s="403" t="s">
        <v>1280</v>
      </c>
      <c r="N1599" s="403">
        <v>1296</v>
      </c>
      <c r="O1599" s="403">
        <v>2304</v>
      </c>
      <c r="P1599" t="str">
        <f t="shared" si="193"/>
        <v>25fps 2304x1296 - copy other stream</v>
      </c>
      <c r="Q1599">
        <f t="shared" si="194"/>
        <v>8</v>
      </c>
      <c r="R1599" t="str">
        <f t="shared" si="195"/>
        <v/>
      </c>
      <c r="S1599" t="str">
        <f t="shared" si="196"/>
        <v/>
      </c>
      <c r="T1599" s="403" t="str">
        <f t="shared" si="197"/>
        <v>NBE-5503-AL</v>
      </c>
      <c r="U1599" s="403">
        <f t="shared" si="198"/>
        <v>1</v>
      </c>
      <c r="V1599" s="403" t="str">
        <f t="shared" si="199"/>
        <v>CPP_7_3</v>
      </c>
    </row>
    <row r="1600" spans="1:22">
      <c r="A1600" t="str">
        <f t="shared" si="192"/>
        <v>NBE-5503-AL</v>
      </c>
      <c r="B1600" s="403" t="s">
        <v>1380</v>
      </c>
      <c r="C1600" s="403" t="s">
        <v>582</v>
      </c>
      <c r="D1600" s="403" t="s">
        <v>1381</v>
      </c>
      <c r="E1600" s="403" t="s">
        <v>778</v>
      </c>
      <c r="F1600" s="403" t="s">
        <v>1385</v>
      </c>
      <c r="G1600" s="403" t="s">
        <v>1467</v>
      </c>
      <c r="H1600" s="403" t="s">
        <v>1276</v>
      </c>
      <c r="I1600" s="403">
        <v>1</v>
      </c>
      <c r="J1600" s="403" t="s">
        <v>110</v>
      </c>
      <c r="K1600" s="403">
        <v>1080</v>
      </c>
      <c r="L1600" s="403">
        <v>1920</v>
      </c>
      <c r="M1600" s="403" t="s">
        <v>111</v>
      </c>
      <c r="N1600" s="403">
        <v>432</v>
      </c>
      <c r="O1600" s="403">
        <v>768</v>
      </c>
      <c r="P1600" t="str">
        <f t="shared" si="193"/>
        <v>25fps 1080p - SD</v>
      </c>
      <c r="Q1600">
        <f t="shared" si="194"/>
        <v>8</v>
      </c>
      <c r="R1600" t="str">
        <f t="shared" si="195"/>
        <v/>
      </c>
      <c r="S1600" t="str">
        <f t="shared" si="196"/>
        <v/>
      </c>
      <c r="T1600" s="403" t="str">
        <f t="shared" si="197"/>
        <v>NBE-5503-AL</v>
      </c>
      <c r="U1600" s="403">
        <f t="shared" si="198"/>
        <v>1</v>
      </c>
      <c r="V1600" s="403" t="str">
        <f t="shared" si="199"/>
        <v>CPP_7_3</v>
      </c>
    </row>
    <row r="1601" spans="1:22">
      <c r="A1601" t="str">
        <f t="shared" si="192"/>
        <v>NBE-5503-AL</v>
      </c>
      <c r="B1601" s="403" t="s">
        <v>1380</v>
      </c>
      <c r="C1601" s="403" t="s">
        <v>582</v>
      </c>
      <c r="D1601" s="403" t="s">
        <v>1381</v>
      </c>
      <c r="E1601" s="403" t="s">
        <v>778</v>
      </c>
      <c r="F1601" s="403" t="s">
        <v>1385</v>
      </c>
      <c r="G1601" s="403" t="s">
        <v>1467</v>
      </c>
      <c r="H1601" s="403" t="s">
        <v>1276</v>
      </c>
      <c r="I1601" s="403">
        <v>1</v>
      </c>
      <c r="J1601" s="403" t="s">
        <v>110</v>
      </c>
      <c r="K1601" s="403">
        <v>1080</v>
      </c>
      <c r="L1601" s="403">
        <v>1920</v>
      </c>
      <c r="M1601" s="403" t="s">
        <v>110</v>
      </c>
      <c r="N1601" s="403">
        <v>1080</v>
      </c>
      <c r="O1601" s="403">
        <v>1920</v>
      </c>
      <c r="P1601" t="str">
        <f t="shared" si="193"/>
        <v>25fps 1080p - 1080p</v>
      </c>
      <c r="Q1601">
        <f t="shared" si="194"/>
        <v>8</v>
      </c>
      <c r="R1601" t="str">
        <f t="shared" si="195"/>
        <v/>
      </c>
      <c r="S1601" t="str">
        <f t="shared" si="196"/>
        <v/>
      </c>
      <c r="T1601" s="403" t="str">
        <f t="shared" si="197"/>
        <v>NBE-5503-AL</v>
      </c>
      <c r="U1601" s="403">
        <f t="shared" si="198"/>
        <v>1</v>
      </c>
      <c r="V1601" s="403" t="str">
        <f t="shared" si="199"/>
        <v>CPP_7_3</v>
      </c>
    </row>
    <row r="1602" spans="1:22">
      <c r="A1602" t="str">
        <f t="shared" ref="A1602:A1665" si="200">IF(AND(G1602&lt;&gt;"rotate 90°"),D1602,"")</f>
        <v>NBE-5503-AL</v>
      </c>
      <c r="B1602" s="403" t="s">
        <v>1380</v>
      </c>
      <c r="C1602" s="403" t="s">
        <v>582</v>
      </c>
      <c r="D1602" s="403" t="s">
        <v>1381</v>
      </c>
      <c r="E1602" s="403" t="s">
        <v>778</v>
      </c>
      <c r="F1602" s="403" t="s">
        <v>1385</v>
      </c>
      <c r="G1602" s="403" t="s">
        <v>1467</v>
      </c>
      <c r="H1602" s="403" t="s">
        <v>1276</v>
      </c>
      <c r="I1602" s="403">
        <v>1</v>
      </c>
      <c r="J1602" s="403" t="s">
        <v>110</v>
      </c>
      <c r="K1602" s="403">
        <v>1080</v>
      </c>
      <c r="L1602" s="403">
        <v>1920</v>
      </c>
      <c r="M1602" s="403" t="s">
        <v>109</v>
      </c>
      <c r="N1602" s="403">
        <v>720</v>
      </c>
      <c r="O1602" s="403">
        <v>1280</v>
      </c>
      <c r="P1602" t="str">
        <f t="shared" ref="P1602:P1665" si="201">LEFT(F1602,5)&amp;" "&amp;J1602&amp;" - "&amp;M1602</f>
        <v>25fps 1080p - 720p</v>
      </c>
      <c r="Q1602">
        <f t="shared" ref="Q1602:Q1665" si="202">IF(A1601=A1602,Q1601,Q1601+1)</f>
        <v>8</v>
      </c>
      <c r="R1602" t="str">
        <f t="shared" ref="R1602:R1665" si="203">IF(Q1601&lt;&gt;Q1602,Q1602,"")</f>
        <v/>
      </c>
      <c r="S1602" t="str">
        <f t="shared" ref="S1602:S1665" si="204">IF(R1602&lt;&gt;"",B1602&amp;" ("&amp;D1602&amp;")","")</f>
        <v/>
      </c>
      <c r="T1602" s="403" t="str">
        <f t="shared" ref="T1602:T1665" si="205">D1602</f>
        <v>NBE-5503-AL</v>
      </c>
      <c r="U1602" s="403">
        <f t="shared" ref="U1602:U1665" si="206">I1602</f>
        <v>1</v>
      </c>
      <c r="V1602" s="403" t="str">
        <f t="shared" ref="V1602:V1665" si="207">C1602</f>
        <v>CPP_7_3</v>
      </c>
    </row>
    <row r="1603" spans="1:22">
      <c r="A1603" t="str">
        <f t="shared" si="200"/>
        <v>NBE-5503-AL</v>
      </c>
      <c r="B1603" s="403" t="s">
        <v>1380</v>
      </c>
      <c r="C1603" s="403" t="s">
        <v>582</v>
      </c>
      <c r="D1603" s="403" t="s">
        <v>1381</v>
      </c>
      <c r="E1603" s="403" t="s">
        <v>778</v>
      </c>
      <c r="F1603" s="403" t="s">
        <v>1385</v>
      </c>
      <c r="G1603" s="403" t="s">
        <v>1467</v>
      </c>
      <c r="H1603" s="403" t="s">
        <v>1276</v>
      </c>
      <c r="I1603" s="403">
        <v>1</v>
      </c>
      <c r="J1603" s="403" t="s">
        <v>110</v>
      </c>
      <c r="K1603" s="403">
        <v>1080</v>
      </c>
      <c r="L1603" s="403">
        <v>1920</v>
      </c>
      <c r="M1603" s="403" t="s">
        <v>1285</v>
      </c>
      <c r="N1603" s="403">
        <v>1024</v>
      </c>
      <c r="O1603" s="403">
        <v>1280</v>
      </c>
      <c r="P1603" t="str">
        <f t="shared" si="201"/>
        <v>25fps 1080p - 1280x1024 5:4 (cropped)</v>
      </c>
      <c r="Q1603">
        <f t="shared" si="202"/>
        <v>8</v>
      </c>
      <c r="R1603" t="str">
        <f t="shared" si="203"/>
        <v/>
      </c>
      <c r="S1603" t="str">
        <f t="shared" si="204"/>
        <v/>
      </c>
      <c r="T1603" s="403" t="str">
        <f t="shared" si="205"/>
        <v>NBE-5503-AL</v>
      </c>
      <c r="U1603" s="403">
        <f t="shared" si="206"/>
        <v>1</v>
      </c>
      <c r="V1603" s="403" t="str">
        <f t="shared" si="207"/>
        <v>CPP_7_3</v>
      </c>
    </row>
    <row r="1604" spans="1:22">
      <c r="A1604" t="str">
        <f t="shared" si="200"/>
        <v>NBE-5503-AL</v>
      </c>
      <c r="B1604" s="403" t="s">
        <v>1380</v>
      </c>
      <c r="C1604" s="403" t="s">
        <v>582</v>
      </c>
      <c r="D1604" s="403" t="s">
        <v>1381</v>
      </c>
      <c r="E1604" s="403" t="s">
        <v>778</v>
      </c>
      <c r="F1604" s="403" t="s">
        <v>1385</v>
      </c>
      <c r="G1604" s="403" t="s">
        <v>1467</v>
      </c>
      <c r="H1604" s="403" t="s">
        <v>1276</v>
      </c>
      <c r="I1604" s="403">
        <v>1</v>
      </c>
      <c r="J1604" s="403" t="s">
        <v>110</v>
      </c>
      <c r="K1604" s="403">
        <v>1080</v>
      </c>
      <c r="L1604" s="403">
        <v>1920</v>
      </c>
      <c r="M1604" s="403" t="s">
        <v>1279</v>
      </c>
      <c r="N1604" s="403">
        <v>432</v>
      </c>
      <c r="O1604" s="403">
        <v>768</v>
      </c>
      <c r="P1604" t="str">
        <f t="shared" si="201"/>
        <v>25fps 1080p - SD ROI PTZ</v>
      </c>
      <c r="Q1604">
        <f t="shared" si="202"/>
        <v>8</v>
      </c>
      <c r="R1604" t="str">
        <f t="shared" si="203"/>
        <v/>
      </c>
      <c r="S1604" t="str">
        <f t="shared" si="204"/>
        <v/>
      </c>
      <c r="T1604" s="403" t="str">
        <f t="shared" si="205"/>
        <v>NBE-5503-AL</v>
      </c>
      <c r="U1604" s="403">
        <f t="shared" si="206"/>
        <v>1</v>
      </c>
      <c r="V1604" s="403" t="str">
        <f t="shared" si="207"/>
        <v>CPP_7_3</v>
      </c>
    </row>
    <row r="1605" spans="1:22">
      <c r="A1605" t="str">
        <f t="shared" si="200"/>
        <v>NBE-5503-AL</v>
      </c>
      <c r="B1605" s="403" t="s">
        <v>1380</v>
      </c>
      <c r="C1605" s="403" t="s">
        <v>582</v>
      </c>
      <c r="D1605" s="403" t="s">
        <v>1381</v>
      </c>
      <c r="E1605" s="403" t="s">
        <v>778</v>
      </c>
      <c r="F1605" s="403" t="s">
        <v>1385</v>
      </c>
      <c r="G1605" s="403" t="s">
        <v>1467</v>
      </c>
      <c r="H1605" s="403" t="s">
        <v>1276</v>
      </c>
      <c r="I1605" s="403">
        <v>1</v>
      </c>
      <c r="J1605" s="403" t="s">
        <v>110</v>
      </c>
      <c r="K1605" s="403">
        <v>1080</v>
      </c>
      <c r="L1605" s="403">
        <v>1920</v>
      </c>
      <c r="M1605" s="403" t="s">
        <v>1283</v>
      </c>
      <c r="N1605" s="403">
        <v>576</v>
      </c>
      <c r="O1605" s="403">
        <v>720</v>
      </c>
      <c r="P1605" t="str">
        <f t="shared" si="201"/>
        <v>25fps 1080p - SD 4CIF resolution 4:3 format (cropped)</v>
      </c>
      <c r="Q1605">
        <f t="shared" si="202"/>
        <v>8</v>
      </c>
      <c r="R1605" t="str">
        <f t="shared" si="203"/>
        <v/>
      </c>
      <c r="S1605" t="str">
        <f t="shared" si="204"/>
        <v/>
      </c>
      <c r="T1605" s="403" t="str">
        <f t="shared" si="205"/>
        <v>NBE-5503-AL</v>
      </c>
      <c r="U1605" s="403">
        <f t="shared" si="206"/>
        <v>1</v>
      </c>
      <c r="V1605" s="403" t="str">
        <f t="shared" si="207"/>
        <v>CPP_7_3</v>
      </c>
    </row>
    <row r="1606" spans="1:22">
      <c r="A1606" t="str">
        <f t="shared" si="200"/>
        <v>NBE-5503-AL</v>
      </c>
      <c r="B1606" s="403" t="s">
        <v>1380</v>
      </c>
      <c r="C1606" s="403" t="s">
        <v>582</v>
      </c>
      <c r="D1606" s="403" t="s">
        <v>1381</v>
      </c>
      <c r="E1606" s="403" t="s">
        <v>778</v>
      </c>
      <c r="F1606" s="403" t="s">
        <v>1385</v>
      </c>
      <c r="G1606" s="403" t="s">
        <v>1467</v>
      </c>
      <c r="H1606" s="403" t="s">
        <v>1276</v>
      </c>
      <c r="I1606" s="403">
        <v>1</v>
      </c>
      <c r="J1606" s="403" t="s">
        <v>110</v>
      </c>
      <c r="K1606" s="403">
        <v>1080</v>
      </c>
      <c r="L1606" s="403">
        <v>1920</v>
      </c>
      <c r="M1606" s="403" t="s">
        <v>1284</v>
      </c>
      <c r="N1606" s="403">
        <v>480</v>
      </c>
      <c r="O1606" s="403">
        <v>640</v>
      </c>
      <c r="P1606" t="str">
        <f t="shared" si="201"/>
        <v>25fps 1080p - SD VGA (cropped)</v>
      </c>
      <c r="Q1606">
        <f t="shared" si="202"/>
        <v>8</v>
      </c>
      <c r="R1606" t="str">
        <f t="shared" si="203"/>
        <v/>
      </c>
      <c r="S1606" t="str">
        <f t="shared" si="204"/>
        <v/>
      </c>
      <c r="T1606" s="403" t="str">
        <f t="shared" si="205"/>
        <v>NBE-5503-AL</v>
      </c>
      <c r="U1606" s="403">
        <f t="shared" si="206"/>
        <v>1</v>
      </c>
      <c r="V1606" s="403" t="str">
        <f t="shared" si="207"/>
        <v>CPP_7_3</v>
      </c>
    </row>
    <row r="1607" spans="1:22">
      <c r="A1607" t="str">
        <f t="shared" si="200"/>
        <v>NBE-5503-AL</v>
      </c>
      <c r="B1607" s="403" t="s">
        <v>1380</v>
      </c>
      <c r="C1607" s="403" t="s">
        <v>582</v>
      </c>
      <c r="D1607" s="403" t="s">
        <v>1381</v>
      </c>
      <c r="E1607" s="403" t="s">
        <v>778</v>
      </c>
      <c r="F1607" s="403" t="s">
        <v>1385</v>
      </c>
      <c r="G1607" s="403" t="s">
        <v>1467</v>
      </c>
      <c r="H1607" s="403" t="s">
        <v>1276</v>
      </c>
      <c r="I1607" s="403">
        <v>1</v>
      </c>
      <c r="J1607" s="403" t="s">
        <v>109</v>
      </c>
      <c r="K1607" s="403">
        <v>720</v>
      </c>
      <c r="L1607" s="403">
        <v>1280</v>
      </c>
      <c r="M1607" s="403" t="s">
        <v>109</v>
      </c>
      <c r="N1607" s="403">
        <v>720</v>
      </c>
      <c r="O1607" s="403">
        <v>1280</v>
      </c>
      <c r="P1607" t="str">
        <f t="shared" si="201"/>
        <v>25fps 720p - 720p</v>
      </c>
      <c r="Q1607">
        <f t="shared" si="202"/>
        <v>8</v>
      </c>
      <c r="R1607" t="str">
        <f t="shared" si="203"/>
        <v/>
      </c>
      <c r="S1607" t="str">
        <f t="shared" si="204"/>
        <v/>
      </c>
      <c r="T1607" s="403" t="str">
        <f t="shared" si="205"/>
        <v>NBE-5503-AL</v>
      </c>
      <c r="U1607" s="403">
        <f t="shared" si="206"/>
        <v>1</v>
      </c>
      <c r="V1607" s="403" t="str">
        <f t="shared" si="207"/>
        <v>CPP_7_3</v>
      </c>
    </row>
    <row r="1608" spans="1:22">
      <c r="A1608" t="str">
        <f t="shared" si="200"/>
        <v>NBE-5503-AL</v>
      </c>
      <c r="B1608" s="403" t="s">
        <v>1380</v>
      </c>
      <c r="C1608" s="403" t="s">
        <v>582</v>
      </c>
      <c r="D1608" s="403" t="s">
        <v>1381</v>
      </c>
      <c r="E1608" s="403" t="s">
        <v>778</v>
      </c>
      <c r="F1608" s="403" t="s">
        <v>1385</v>
      </c>
      <c r="G1608" s="403" t="s">
        <v>1467</v>
      </c>
      <c r="H1608" s="403" t="s">
        <v>1276</v>
      </c>
      <c r="I1608" s="403">
        <v>1</v>
      </c>
      <c r="J1608" s="403" t="s">
        <v>109</v>
      </c>
      <c r="K1608" s="403">
        <v>720</v>
      </c>
      <c r="L1608" s="403">
        <v>1280</v>
      </c>
      <c r="M1608" s="403" t="s">
        <v>111</v>
      </c>
      <c r="N1608" s="403">
        <v>432</v>
      </c>
      <c r="O1608" s="403">
        <v>768</v>
      </c>
      <c r="P1608" t="str">
        <f t="shared" si="201"/>
        <v>25fps 720p - SD</v>
      </c>
      <c r="Q1608">
        <f t="shared" si="202"/>
        <v>8</v>
      </c>
      <c r="R1608" t="str">
        <f t="shared" si="203"/>
        <v/>
      </c>
      <c r="S1608" t="str">
        <f t="shared" si="204"/>
        <v/>
      </c>
      <c r="T1608" s="403" t="str">
        <f t="shared" si="205"/>
        <v>NBE-5503-AL</v>
      </c>
      <c r="U1608" s="403">
        <f t="shared" si="206"/>
        <v>1</v>
      </c>
      <c r="V1608" s="403" t="str">
        <f t="shared" si="207"/>
        <v>CPP_7_3</v>
      </c>
    </row>
    <row r="1609" spans="1:22">
      <c r="A1609" t="str">
        <f t="shared" si="200"/>
        <v>NBE-5503-AL</v>
      </c>
      <c r="B1609" s="403" t="s">
        <v>1380</v>
      </c>
      <c r="C1609" s="403" t="s">
        <v>582</v>
      </c>
      <c r="D1609" s="403" t="s">
        <v>1381</v>
      </c>
      <c r="E1609" s="403" t="s">
        <v>778</v>
      </c>
      <c r="F1609" s="403" t="s">
        <v>1385</v>
      </c>
      <c r="G1609" s="403" t="s">
        <v>1467</v>
      </c>
      <c r="H1609" s="403" t="s">
        <v>1276</v>
      </c>
      <c r="I1609" s="403">
        <v>1</v>
      </c>
      <c r="J1609" s="403" t="s">
        <v>109</v>
      </c>
      <c r="K1609" s="403">
        <v>720</v>
      </c>
      <c r="L1609" s="403">
        <v>1280</v>
      </c>
      <c r="M1609" s="403" t="s">
        <v>1279</v>
      </c>
      <c r="N1609" s="403">
        <v>432</v>
      </c>
      <c r="O1609" s="403">
        <v>768</v>
      </c>
      <c r="P1609" t="str">
        <f t="shared" si="201"/>
        <v>25fps 720p - SD ROI PTZ</v>
      </c>
      <c r="Q1609">
        <f t="shared" si="202"/>
        <v>8</v>
      </c>
      <c r="R1609" t="str">
        <f t="shared" si="203"/>
        <v/>
      </c>
      <c r="S1609" t="str">
        <f t="shared" si="204"/>
        <v/>
      </c>
      <c r="T1609" s="403" t="str">
        <f t="shared" si="205"/>
        <v>NBE-5503-AL</v>
      </c>
      <c r="U1609" s="403">
        <f t="shared" si="206"/>
        <v>1</v>
      </c>
      <c r="V1609" s="403" t="str">
        <f t="shared" si="207"/>
        <v>CPP_7_3</v>
      </c>
    </row>
    <row r="1610" spans="1:22">
      <c r="A1610" t="str">
        <f t="shared" si="200"/>
        <v>NBE-5503-AL</v>
      </c>
      <c r="B1610" s="403" t="s">
        <v>1380</v>
      </c>
      <c r="C1610" s="403" t="s">
        <v>582</v>
      </c>
      <c r="D1610" s="403" t="s">
        <v>1381</v>
      </c>
      <c r="E1610" s="403" t="s">
        <v>778</v>
      </c>
      <c r="F1610" s="403" t="s">
        <v>1385</v>
      </c>
      <c r="G1610" s="403" t="s">
        <v>1467</v>
      </c>
      <c r="H1610" s="403" t="s">
        <v>1276</v>
      </c>
      <c r="I1610" s="403">
        <v>1</v>
      </c>
      <c r="J1610" s="403" t="s">
        <v>109</v>
      </c>
      <c r="K1610" s="403">
        <v>720</v>
      </c>
      <c r="L1610" s="403">
        <v>1280</v>
      </c>
      <c r="M1610" s="403" t="s">
        <v>1283</v>
      </c>
      <c r="N1610" s="403">
        <v>576</v>
      </c>
      <c r="O1610" s="403">
        <v>720</v>
      </c>
      <c r="P1610" t="str">
        <f t="shared" si="201"/>
        <v>25fps 720p - SD 4CIF resolution 4:3 format (cropped)</v>
      </c>
      <c r="Q1610">
        <f t="shared" si="202"/>
        <v>8</v>
      </c>
      <c r="R1610" t="str">
        <f t="shared" si="203"/>
        <v/>
      </c>
      <c r="S1610" t="str">
        <f t="shared" si="204"/>
        <v/>
      </c>
      <c r="T1610" s="403" t="str">
        <f t="shared" si="205"/>
        <v>NBE-5503-AL</v>
      </c>
      <c r="U1610" s="403">
        <f t="shared" si="206"/>
        <v>1</v>
      </c>
      <c r="V1610" s="403" t="str">
        <f t="shared" si="207"/>
        <v>CPP_7_3</v>
      </c>
    </row>
    <row r="1611" spans="1:22">
      <c r="A1611" t="str">
        <f t="shared" si="200"/>
        <v>NBE-5503-AL</v>
      </c>
      <c r="B1611" s="403" t="s">
        <v>1380</v>
      </c>
      <c r="C1611" s="403" t="s">
        <v>582</v>
      </c>
      <c r="D1611" s="403" t="s">
        <v>1381</v>
      </c>
      <c r="E1611" s="403" t="s">
        <v>778</v>
      </c>
      <c r="F1611" s="403" t="s">
        <v>1385</v>
      </c>
      <c r="G1611" s="403" t="s">
        <v>1467</v>
      </c>
      <c r="H1611" s="403" t="s">
        <v>1276</v>
      </c>
      <c r="I1611" s="403">
        <v>1</v>
      </c>
      <c r="J1611" s="403" t="s">
        <v>109</v>
      </c>
      <c r="K1611" s="403">
        <v>720</v>
      </c>
      <c r="L1611" s="403">
        <v>1280</v>
      </c>
      <c r="M1611" s="403" t="s">
        <v>1284</v>
      </c>
      <c r="N1611" s="403">
        <v>480</v>
      </c>
      <c r="O1611" s="403">
        <v>640</v>
      </c>
      <c r="P1611" t="str">
        <f t="shared" si="201"/>
        <v>25fps 720p - SD VGA (cropped)</v>
      </c>
      <c r="Q1611">
        <f t="shared" si="202"/>
        <v>8</v>
      </c>
      <c r="R1611" t="str">
        <f t="shared" si="203"/>
        <v/>
      </c>
      <c r="S1611" t="str">
        <f t="shared" si="204"/>
        <v/>
      </c>
      <c r="T1611" s="403" t="str">
        <f t="shared" si="205"/>
        <v>NBE-5503-AL</v>
      </c>
      <c r="U1611" s="403">
        <f t="shared" si="206"/>
        <v>1</v>
      </c>
      <c r="V1611" s="403" t="str">
        <f t="shared" si="207"/>
        <v>CPP_7_3</v>
      </c>
    </row>
    <row r="1612" spans="1:22">
      <c r="A1612" t="str">
        <f t="shared" si="200"/>
        <v>NBE-5503-AL</v>
      </c>
      <c r="B1612" s="403" t="s">
        <v>1380</v>
      </c>
      <c r="C1612" s="403" t="s">
        <v>582</v>
      </c>
      <c r="D1612" s="403" t="s">
        <v>1381</v>
      </c>
      <c r="E1612" s="403" t="s">
        <v>778</v>
      </c>
      <c r="F1612" s="403" t="s">
        <v>1385</v>
      </c>
      <c r="G1612" s="403" t="s">
        <v>1467</v>
      </c>
      <c r="H1612" s="403" t="s">
        <v>1281</v>
      </c>
      <c r="I1612" s="403">
        <v>1</v>
      </c>
      <c r="J1612" s="403" t="s">
        <v>1376</v>
      </c>
      <c r="K1612" s="403">
        <v>1728</v>
      </c>
      <c r="L1612" s="403">
        <v>3072</v>
      </c>
      <c r="M1612" s="403" t="s">
        <v>111</v>
      </c>
      <c r="N1612" s="403">
        <v>432</v>
      </c>
      <c r="O1612" s="403">
        <v>768</v>
      </c>
      <c r="P1612" t="str">
        <f t="shared" si="201"/>
        <v>25fps 3072x1728 - SD</v>
      </c>
      <c r="Q1612">
        <f t="shared" si="202"/>
        <v>8</v>
      </c>
      <c r="R1612" t="str">
        <f t="shared" si="203"/>
        <v/>
      </c>
      <c r="S1612" t="str">
        <f t="shared" si="204"/>
        <v/>
      </c>
      <c r="T1612" s="403" t="str">
        <f t="shared" si="205"/>
        <v>NBE-5503-AL</v>
      </c>
      <c r="U1612" s="403">
        <f t="shared" si="206"/>
        <v>1</v>
      </c>
      <c r="V1612" s="403" t="str">
        <f t="shared" si="207"/>
        <v>CPP_7_3</v>
      </c>
    </row>
    <row r="1613" spans="1:22">
      <c r="A1613" t="str">
        <f t="shared" si="200"/>
        <v>NBE-5503-AL</v>
      </c>
      <c r="B1613" s="403" t="s">
        <v>1380</v>
      </c>
      <c r="C1613" s="403" t="s">
        <v>582</v>
      </c>
      <c r="D1613" s="403" t="s">
        <v>1381</v>
      </c>
      <c r="E1613" s="403" t="s">
        <v>778</v>
      </c>
      <c r="F1613" s="403" t="s">
        <v>1385</v>
      </c>
      <c r="G1613" s="403" t="s">
        <v>1467</v>
      </c>
      <c r="H1613" s="403" t="s">
        <v>1281</v>
      </c>
      <c r="I1613" s="403">
        <v>1</v>
      </c>
      <c r="J1613" s="403" t="s">
        <v>1376</v>
      </c>
      <c r="K1613" s="403">
        <v>1728</v>
      </c>
      <c r="L1613" s="403">
        <v>3072</v>
      </c>
      <c r="M1613" s="403" t="s">
        <v>1600</v>
      </c>
      <c r="N1613" s="403">
        <v>1728</v>
      </c>
      <c r="O1613" s="403">
        <v>3072</v>
      </c>
      <c r="P1613" t="str">
        <f t="shared" si="201"/>
        <v>25fps 3072x1728 - 3072x1728 @ SKIP2</v>
      </c>
      <c r="Q1613">
        <f t="shared" si="202"/>
        <v>8</v>
      </c>
      <c r="R1613" t="str">
        <f t="shared" si="203"/>
        <v/>
      </c>
      <c r="S1613" t="str">
        <f t="shared" si="204"/>
        <v/>
      </c>
      <c r="T1613" s="403" t="str">
        <f t="shared" si="205"/>
        <v>NBE-5503-AL</v>
      </c>
      <c r="U1613" s="403">
        <f t="shared" si="206"/>
        <v>1</v>
      </c>
      <c r="V1613" s="403" t="str">
        <f t="shared" si="207"/>
        <v>CPP_7_3</v>
      </c>
    </row>
    <row r="1614" spans="1:22">
      <c r="A1614" t="str">
        <f t="shared" si="200"/>
        <v>NBE-5503-AL</v>
      </c>
      <c r="B1614" s="403" t="s">
        <v>1380</v>
      </c>
      <c r="C1614" s="403" t="s">
        <v>582</v>
      </c>
      <c r="D1614" s="403" t="s">
        <v>1381</v>
      </c>
      <c r="E1614" s="403" t="s">
        <v>778</v>
      </c>
      <c r="F1614" s="403" t="s">
        <v>1385</v>
      </c>
      <c r="G1614" s="403" t="s">
        <v>1467</v>
      </c>
      <c r="H1614" s="403" t="s">
        <v>1281</v>
      </c>
      <c r="I1614" s="403">
        <v>1</v>
      </c>
      <c r="J1614" s="403" t="s">
        <v>1376</v>
      </c>
      <c r="K1614" s="403">
        <v>1728</v>
      </c>
      <c r="L1614" s="403">
        <v>3072</v>
      </c>
      <c r="M1614" s="403" t="s">
        <v>1280</v>
      </c>
      <c r="N1614" s="403">
        <v>1728</v>
      </c>
      <c r="O1614" s="403">
        <v>3072</v>
      </c>
      <c r="P1614" t="str">
        <f t="shared" si="201"/>
        <v>25fps 3072x1728 - copy other stream</v>
      </c>
      <c r="Q1614">
        <f t="shared" si="202"/>
        <v>8</v>
      </c>
      <c r="R1614" t="str">
        <f t="shared" si="203"/>
        <v/>
      </c>
      <c r="S1614" t="str">
        <f t="shared" si="204"/>
        <v/>
      </c>
      <c r="T1614" s="403" t="str">
        <f t="shared" si="205"/>
        <v>NBE-5503-AL</v>
      </c>
      <c r="U1614" s="403">
        <f t="shared" si="206"/>
        <v>1</v>
      </c>
      <c r="V1614" s="403" t="str">
        <f t="shared" si="207"/>
        <v>CPP_7_3</v>
      </c>
    </row>
    <row r="1615" spans="1:22">
      <c r="A1615" t="str">
        <f t="shared" si="200"/>
        <v>NBE-5503-AL</v>
      </c>
      <c r="B1615" s="403" t="s">
        <v>1380</v>
      </c>
      <c r="C1615" s="403" t="s">
        <v>582</v>
      </c>
      <c r="D1615" s="403" t="s">
        <v>1381</v>
      </c>
      <c r="E1615" s="403" t="s">
        <v>778</v>
      </c>
      <c r="F1615" s="403" t="s">
        <v>1385</v>
      </c>
      <c r="G1615" s="403" t="s">
        <v>1467</v>
      </c>
      <c r="H1615" s="403" t="s">
        <v>1281</v>
      </c>
      <c r="I1615" s="403">
        <v>1</v>
      </c>
      <c r="J1615" s="403" t="s">
        <v>1376</v>
      </c>
      <c r="K1615" s="403">
        <v>1728</v>
      </c>
      <c r="L1615" s="403">
        <v>3072</v>
      </c>
      <c r="M1615" s="403" t="s">
        <v>110</v>
      </c>
      <c r="N1615" s="403">
        <v>1080</v>
      </c>
      <c r="O1615" s="403">
        <v>1920</v>
      </c>
      <c r="P1615" t="str">
        <f t="shared" si="201"/>
        <v>25fps 3072x1728 - 1080p</v>
      </c>
      <c r="Q1615">
        <f t="shared" si="202"/>
        <v>8</v>
      </c>
      <c r="R1615" t="str">
        <f t="shared" si="203"/>
        <v/>
      </c>
      <c r="S1615" t="str">
        <f t="shared" si="204"/>
        <v/>
      </c>
      <c r="T1615" s="403" t="str">
        <f t="shared" si="205"/>
        <v>NBE-5503-AL</v>
      </c>
      <c r="U1615" s="403">
        <f t="shared" si="206"/>
        <v>1</v>
      </c>
      <c r="V1615" s="403" t="str">
        <f t="shared" si="207"/>
        <v>CPP_7_3</v>
      </c>
    </row>
    <row r="1616" spans="1:22">
      <c r="A1616" t="str">
        <f t="shared" si="200"/>
        <v>NBE-5503-AL</v>
      </c>
      <c r="B1616" s="403" t="s">
        <v>1380</v>
      </c>
      <c r="C1616" s="403" t="s">
        <v>582</v>
      </c>
      <c r="D1616" s="403" t="s">
        <v>1381</v>
      </c>
      <c r="E1616" s="403" t="s">
        <v>778</v>
      </c>
      <c r="F1616" s="403" t="s">
        <v>1385</v>
      </c>
      <c r="G1616" s="403" t="s">
        <v>1467</v>
      </c>
      <c r="H1616" s="403" t="s">
        <v>1281</v>
      </c>
      <c r="I1616" s="403">
        <v>1</v>
      </c>
      <c r="J1616" s="403" t="s">
        <v>1376</v>
      </c>
      <c r="K1616" s="403">
        <v>1728</v>
      </c>
      <c r="L1616" s="403">
        <v>3072</v>
      </c>
      <c r="M1616" s="403" t="s">
        <v>109</v>
      </c>
      <c r="N1616" s="403">
        <v>720</v>
      </c>
      <c r="O1616" s="403">
        <v>1280</v>
      </c>
      <c r="P1616" t="str">
        <f t="shared" si="201"/>
        <v>25fps 3072x1728 - 720p</v>
      </c>
      <c r="Q1616">
        <f t="shared" si="202"/>
        <v>8</v>
      </c>
      <c r="R1616" t="str">
        <f t="shared" si="203"/>
        <v/>
      </c>
      <c r="S1616" t="str">
        <f t="shared" si="204"/>
        <v/>
      </c>
      <c r="T1616" s="403" t="str">
        <f t="shared" si="205"/>
        <v>NBE-5503-AL</v>
      </c>
      <c r="U1616" s="403">
        <f t="shared" si="206"/>
        <v>1</v>
      </c>
      <c r="V1616" s="403" t="str">
        <f t="shared" si="207"/>
        <v>CPP_7_3</v>
      </c>
    </row>
    <row r="1617" spans="1:22">
      <c r="A1617" t="str">
        <f t="shared" si="200"/>
        <v>NBE-5503-AL</v>
      </c>
      <c r="B1617" s="403" t="s">
        <v>1380</v>
      </c>
      <c r="C1617" s="403" t="s">
        <v>582</v>
      </c>
      <c r="D1617" s="403" t="s">
        <v>1381</v>
      </c>
      <c r="E1617" s="403" t="s">
        <v>778</v>
      </c>
      <c r="F1617" s="403" t="s">
        <v>1385</v>
      </c>
      <c r="G1617" s="403" t="s">
        <v>1467</v>
      </c>
      <c r="H1617" s="403" t="s">
        <v>1281</v>
      </c>
      <c r="I1617" s="403">
        <v>1</v>
      </c>
      <c r="J1617" s="403" t="s">
        <v>1376</v>
      </c>
      <c r="K1617" s="403">
        <v>1728</v>
      </c>
      <c r="L1617" s="403">
        <v>3072</v>
      </c>
      <c r="M1617" s="403" t="s">
        <v>1283</v>
      </c>
      <c r="N1617" s="403">
        <v>576</v>
      </c>
      <c r="O1617" s="403">
        <v>720</v>
      </c>
      <c r="P1617" t="str">
        <f t="shared" si="201"/>
        <v>25fps 3072x1728 - SD 4CIF resolution 4:3 format (cropped)</v>
      </c>
      <c r="Q1617">
        <f t="shared" si="202"/>
        <v>8</v>
      </c>
      <c r="R1617" t="str">
        <f t="shared" si="203"/>
        <v/>
      </c>
      <c r="S1617" t="str">
        <f t="shared" si="204"/>
        <v/>
      </c>
      <c r="T1617" s="403" t="str">
        <f t="shared" si="205"/>
        <v>NBE-5503-AL</v>
      </c>
      <c r="U1617" s="403">
        <f t="shared" si="206"/>
        <v>1</v>
      </c>
      <c r="V1617" s="403" t="str">
        <f t="shared" si="207"/>
        <v>CPP_7_3</v>
      </c>
    </row>
    <row r="1618" spans="1:22">
      <c r="A1618" t="str">
        <f t="shared" si="200"/>
        <v>NBE-5503-AL</v>
      </c>
      <c r="B1618" s="403" t="s">
        <v>1380</v>
      </c>
      <c r="C1618" s="403" t="s">
        <v>582</v>
      </c>
      <c r="D1618" s="403" t="s">
        <v>1381</v>
      </c>
      <c r="E1618" s="403" t="s">
        <v>778</v>
      </c>
      <c r="F1618" s="403" t="s">
        <v>1385</v>
      </c>
      <c r="G1618" s="403" t="s">
        <v>1467</v>
      </c>
      <c r="H1618" s="403" t="s">
        <v>1281</v>
      </c>
      <c r="I1618" s="403">
        <v>1</v>
      </c>
      <c r="J1618" s="403" t="s">
        <v>1376</v>
      </c>
      <c r="K1618" s="403">
        <v>1728</v>
      </c>
      <c r="L1618" s="403">
        <v>3072</v>
      </c>
      <c r="M1618" s="403" t="s">
        <v>1279</v>
      </c>
      <c r="N1618" s="403">
        <v>432</v>
      </c>
      <c r="O1618" s="403">
        <v>768</v>
      </c>
      <c r="P1618" t="str">
        <f t="shared" si="201"/>
        <v>25fps 3072x1728 - SD ROI PTZ</v>
      </c>
      <c r="Q1618">
        <f t="shared" si="202"/>
        <v>8</v>
      </c>
      <c r="R1618" t="str">
        <f t="shared" si="203"/>
        <v/>
      </c>
      <c r="S1618" t="str">
        <f t="shared" si="204"/>
        <v/>
      </c>
      <c r="T1618" s="403" t="str">
        <f t="shared" si="205"/>
        <v>NBE-5503-AL</v>
      </c>
      <c r="U1618" s="403">
        <f t="shared" si="206"/>
        <v>1</v>
      </c>
      <c r="V1618" s="403" t="str">
        <f t="shared" si="207"/>
        <v>CPP_7_3</v>
      </c>
    </row>
    <row r="1619" spans="1:22">
      <c r="A1619" t="str">
        <f t="shared" si="200"/>
        <v>NBE-5503-AL</v>
      </c>
      <c r="B1619" s="403" t="s">
        <v>1380</v>
      </c>
      <c r="C1619" s="403" t="s">
        <v>582</v>
      </c>
      <c r="D1619" s="403" t="s">
        <v>1381</v>
      </c>
      <c r="E1619" s="403" t="s">
        <v>778</v>
      </c>
      <c r="F1619" s="403" t="s">
        <v>1385</v>
      </c>
      <c r="G1619" s="403" t="s">
        <v>1467</v>
      </c>
      <c r="H1619" s="403" t="s">
        <v>1281</v>
      </c>
      <c r="I1619" s="403">
        <v>1</v>
      </c>
      <c r="J1619" s="403" t="s">
        <v>1376</v>
      </c>
      <c r="K1619" s="403">
        <v>1728</v>
      </c>
      <c r="L1619" s="403">
        <v>3072</v>
      </c>
      <c r="M1619" s="403" t="s">
        <v>1284</v>
      </c>
      <c r="N1619" s="403">
        <v>480</v>
      </c>
      <c r="O1619" s="403">
        <v>640</v>
      </c>
      <c r="P1619" t="str">
        <f t="shared" si="201"/>
        <v>25fps 3072x1728 - SD VGA (cropped)</v>
      </c>
      <c r="Q1619">
        <f t="shared" si="202"/>
        <v>8</v>
      </c>
      <c r="R1619" t="str">
        <f t="shared" si="203"/>
        <v/>
      </c>
      <c r="S1619" t="str">
        <f t="shared" si="204"/>
        <v/>
      </c>
      <c r="T1619" s="403" t="str">
        <f t="shared" si="205"/>
        <v>NBE-5503-AL</v>
      </c>
      <c r="U1619" s="403">
        <f t="shared" si="206"/>
        <v>1</v>
      </c>
      <c r="V1619" s="403" t="str">
        <f t="shared" si="207"/>
        <v>CPP_7_3</v>
      </c>
    </row>
    <row r="1620" spans="1:22">
      <c r="A1620" t="str">
        <f t="shared" si="200"/>
        <v>NBE-5503-AL</v>
      </c>
      <c r="B1620" s="403" t="s">
        <v>1380</v>
      </c>
      <c r="C1620" s="403" t="s">
        <v>582</v>
      </c>
      <c r="D1620" s="403" t="s">
        <v>1381</v>
      </c>
      <c r="E1620" s="403" t="s">
        <v>778</v>
      </c>
      <c r="F1620" s="403" t="s">
        <v>1385</v>
      </c>
      <c r="G1620" s="403" t="s">
        <v>1467</v>
      </c>
      <c r="H1620" s="403" t="s">
        <v>1281</v>
      </c>
      <c r="I1620" s="403">
        <v>1</v>
      </c>
      <c r="J1620" s="403" t="s">
        <v>1376</v>
      </c>
      <c r="K1620" s="403">
        <v>1728</v>
      </c>
      <c r="L1620" s="403">
        <v>3072</v>
      </c>
      <c r="M1620" s="403" t="s">
        <v>1285</v>
      </c>
      <c r="N1620" s="403">
        <v>1024</v>
      </c>
      <c r="O1620" s="403">
        <v>1280</v>
      </c>
      <c r="P1620" t="str">
        <f t="shared" si="201"/>
        <v>25fps 3072x1728 - 1280x1024 5:4 (cropped)</v>
      </c>
      <c r="Q1620">
        <f t="shared" si="202"/>
        <v>8</v>
      </c>
      <c r="R1620" t="str">
        <f t="shared" si="203"/>
        <v/>
      </c>
      <c r="S1620" t="str">
        <f t="shared" si="204"/>
        <v/>
      </c>
      <c r="T1620" s="403" t="str">
        <f t="shared" si="205"/>
        <v>NBE-5503-AL</v>
      </c>
      <c r="U1620" s="403">
        <f t="shared" si="206"/>
        <v>1</v>
      </c>
      <c r="V1620" s="403" t="str">
        <f t="shared" si="207"/>
        <v>CPP_7_3</v>
      </c>
    </row>
    <row r="1621" spans="1:22">
      <c r="A1621" t="str">
        <f t="shared" si="200"/>
        <v>NBE-5503-AL</v>
      </c>
      <c r="B1621" s="403" t="s">
        <v>1380</v>
      </c>
      <c r="C1621" s="403" t="s">
        <v>582</v>
      </c>
      <c r="D1621" s="403" t="s">
        <v>1381</v>
      </c>
      <c r="E1621" s="403" t="s">
        <v>778</v>
      </c>
      <c r="F1621" s="403" t="s">
        <v>1385</v>
      </c>
      <c r="G1621" s="403" t="s">
        <v>1467</v>
      </c>
      <c r="H1621" s="403" t="s">
        <v>1281</v>
      </c>
      <c r="I1621" s="403">
        <v>1</v>
      </c>
      <c r="J1621" s="403" t="s">
        <v>1376</v>
      </c>
      <c r="K1621" s="403">
        <v>1728</v>
      </c>
      <c r="L1621" s="403">
        <v>3072</v>
      </c>
      <c r="M1621" s="403" t="s">
        <v>1383</v>
      </c>
      <c r="N1621" s="403">
        <v>1440</v>
      </c>
      <c r="O1621" s="403">
        <v>1920</v>
      </c>
      <c r="P1621" t="str">
        <f t="shared" si="201"/>
        <v>25fps 3072x1728 - 1920x1440_CROP</v>
      </c>
      <c r="Q1621">
        <f t="shared" si="202"/>
        <v>8</v>
      </c>
      <c r="R1621" t="str">
        <f t="shared" si="203"/>
        <v/>
      </c>
      <c r="S1621" t="str">
        <f t="shared" si="204"/>
        <v/>
      </c>
      <c r="T1621" s="403" t="str">
        <f t="shared" si="205"/>
        <v>NBE-5503-AL</v>
      </c>
      <c r="U1621" s="403">
        <f t="shared" si="206"/>
        <v>1</v>
      </c>
      <c r="V1621" s="403" t="str">
        <f t="shared" si="207"/>
        <v>CPP_7_3</v>
      </c>
    </row>
    <row r="1622" spans="1:22">
      <c r="A1622" t="str">
        <f t="shared" si="200"/>
        <v>NBE-5503-AL</v>
      </c>
      <c r="B1622" s="403" t="s">
        <v>1380</v>
      </c>
      <c r="C1622" s="403" t="s">
        <v>582</v>
      </c>
      <c r="D1622" s="403" t="s">
        <v>1381</v>
      </c>
      <c r="E1622" s="403" t="s">
        <v>778</v>
      </c>
      <c r="F1622" s="403" t="s">
        <v>1385</v>
      </c>
      <c r="G1622" s="403" t="s">
        <v>1467</v>
      </c>
      <c r="H1622" s="403" t="s">
        <v>1281</v>
      </c>
      <c r="I1622" s="403">
        <v>1</v>
      </c>
      <c r="J1622" s="403" t="s">
        <v>1373</v>
      </c>
      <c r="K1622" s="403">
        <v>1512</v>
      </c>
      <c r="L1622" s="403">
        <v>2688</v>
      </c>
      <c r="M1622" s="403" t="s">
        <v>110</v>
      </c>
      <c r="N1622" s="403">
        <v>1080</v>
      </c>
      <c r="O1622" s="403">
        <v>1920</v>
      </c>
      <c r="P1622" t="str">
        <f t="shared" si="201"/>
        <v>25fps 2688x1512 - 1080p</v>
      </c>
      <c r="Q1622">
        <f t="shared" si="202"/>
        <v>8</v>
      </c>
      <c r="R1622" t="str">
        <f t="shared" si="203"/>
        <v/>
      </c>
      <c r="S1622" t="str">
        <f t="shared" si="204"/>
        <v/>
      </c>
      <c r="T1622" s="403" t="str">
        <f t="shared" si="205"/>
        <v>NBE-5503-AL</v>
      </c>
      <c r="U1622" s="403">
        <f t="shared" si="206"/>
        <v>1</v>
      </c>
      <c r="V1622" s="403" t="str">
        <f t="shared" si="207"/>
        <v>CPP_7_3</v>
      </c>
    </row>
    <row r="1623" spans="1:22">
      <c r="A1623" t="str">
        <f t="shared" si="200"/>
        <v>NBE-5503-AL</v>
      </c>
      <c r="B1623" s="403" t="s">
        <v>1380</v>
      </c>
      <c r="C1623" s="403" t="s">
        <v>582</v>
      </c>
      <c r="D1623" s="403" t="s">
        <v>1381</v>
      </c>
      <c r="E1623" s="403" t="s">
        <v>778</v>
      </c>
      <c r="F1623" s="403" t="s">
        <v>1385</v>
      </c>
      <c r="G1623" s="403" t="s">
        <v>1467</v>
      </c>
      <c r="H1623" s="403" t="s">
        <v>1281</v>
      </c>
      <c r="I1623" s="403">
        <v>1</v>
      </c>
      <c r="J1623" s="403" t="s">
        <v>1373</v>
      </c>
      <c r="K1623" s="403">
        <v>1512</v>
      </c>
      <c r="L1623" s="403">
        <v>2688</v>
      </c>
      <c r="M1623" s="403" t="s">
        <v>1384</v>
      </c>
      <c r="N1623" s="403">
        <v>1512</v>
      </c>
      <c r="O1623" s="403">
        <v>2688</v>
      </c>
      <c r="P1623" t="str">
        <f t="shared" si="201"/>
        <v>25fps 2688x1512 - 2688x1512 @ SKIP 2</v>
      </c>
      <c r="Q1623">
        <f t="shared" si="202"/>
        <v>8</v>
      </c>
      <c r="R1623" t="str">
        <f t="shared" si="203"/>
        <v/>
      </c>
      <c r="S1623" t="str">
        <f t="shared" si="204"/>
        <v/>
      </c>
      <c r="T1623" s="403" t="str">
        <f t="shared" si="205"/>
        <v>NBE-5503-AL</v>
      </c>
      <c r="U1623" s="403">
        <f t="shared" si="206"/>
        <v>1</v>
      </c>
      <c r="V1623" s="403" t="str">
        <f t="shared" si="207"/>
        <v>CPP_7_3</v>
      </c>
    </row>
    <row r="1624" spans="1:22">
      <c r="A1624" t="str">
        <f t="shared" si="200"/>
        <v>NBE-5503-AL</v>
      </c>
      <c r="B1624" s="403" t="s">
        <v>1380</v>
      </c>
      <c r="C1624" s="403" t="s">
        <v>582</v>
      </c>
      <c r="D1624" s="403" t="s">
        <v>1381</v>
      </c>
      <c r="E1624" s="403" t="s">
        <v>778</v>
      </c>
      <c r="F1624" s="403" t="s">
        <v>1385</v>
      </c>
      <c r="G1624" s="403" t="s">
        <v>1467</v>
      </c>
      <c r="H1624" s="403" t="s">
        <v>1281</v>
      </c>
      <c r="I1624" s="403">
        <v>1</v>
      </c>
      <c r="J1624" s="403" t="s">
        <v>1373</v>
      </c>
      <c r="K1624" s="403">
        <v>1512</v>
      </c>
      <c r="L1624" s="403">
        <v>2688</v>
      </c>
      <c r="M1624" s="403" t="s">
        <v>109</v>
      </c>
      <c r="N1624" s="403">
        <v>720</v>
      </c>
      <c r="O1624" s="403">
        <v>1280</v>
      </c>
      <c r="P1624" t="str">
        <f t="shared" si="201"/>
        <v>25fps 2688x1512 - 720p</v>
      </c>
      <c r="Q1624">
        <f t="shared" si="202"/>
        <v>8</v>
      </c>
      <c r="R1624" t="str">
        <f t="shared" si="203"/>
        <v/>
      </c>
      <c r="S1624" t="str">
        <f t="shared" si="204"/>
        <v/>
      </c>
      <c r="T1624" s="403" t="str">
        <f t="shared" si="205"/>
        <v>NBE-5503-AL</v>
      </c>
      <c r="U1624" s="403">
        <f t="shared" si="206"/>
        <v>1</v>
      </c>
      <c r="V1624" s="403" t="str">
        <f t="shared" si="207"/>
        <v>CPP_7_3</v>
      </c>
    </row>
    <row r="1625" spans="1:22">
      <c r="A1625" t="str">
        <f t="shared" si="200"/>
        <v>NBE-5503-AL</v>
      </c>
      <c r="B1625" s="403" t="s">
        <v>1380</v>
      </c>
      <c r="C1625" s="403" t="s">
        <v>582</v>
      </c>
      <c r="D1625" s="403" t="s">
        <v>1381</v>
      </c>
      <c r="E1625" s="403" t="s">
        <v>778</v>
      </c>
      <c r="F1625" s="403" t="s">
        <v>1385</v>
      </c>
      <c r="G1625" s="403" t="s">
        <v>1467</v>
      </c>
      <c r="H1625" s="403" t="s">
        <v>1281</v>
      </c>
      <c r="I1625" s="403">
        <v>1</v>
      </c>
      <c r="J1625" s="403" t="s">
        <v>1373</v>
      </c>
      <c r="K1625" s="403">
        <v>1512</v>
      </c>
      <c r="L1625" s="403">
        <v>2688</v>
      </c>
      <c r="M1625" s="403" t="s">
        <v>111</v>
      </c>
      <c r="N1625" s="403">
        <v>432</v>
      </c>
      <c r="O1625" s="403">
        <v>768</v>
      </c>
      <c r="P1625" t="str">
        <f t="shared" si="201"/>
        <v>25fps 2688x1512 - SD</v>
      </c>
      <c r="Q1625">
        <f t="shared" si="202"/>
        <v>8</v>
      </c>
      <c r="R1625" t="str">
        <f t="shared" si="203"/>
        <v/>
      </c>
      <c r="S1625" t="str">
        <f t="shared" si="204"/>
        <v/>
      </c>
      <c r="T1625" s="403" t="str">
        <f t="shared" si="205"/>
        <v>NBE-5503-AL</v>
      </c>
      <c r="U1625" s="403">
        <f t="shared" si="206"/>
        <v>1</v>
      </c>
      <c r="V1625" s="403" t="str">
        <f t="shared" si="207"/>
        <v>CPP_7_3</v>
      </c>
    </row>
    <row r="1626" spans="1:22">
      <c r="A1626" t="str">
        <f t="shared" si="200"/>
        <v>NBE-5503-AL</v>
      </c>
      <c r="B1626" s="403" t="s">
        <v>1380</v>
      </c>
      <c r="C1626" s="403" t="s">
        <v>582</v>
      </c>
      <c r="D1626" s="403" t="s">
        <v>1381</v>
      </c>
      <c r="E1626" s="403" t="s">
        <v>778</v>
      </c>
      <c r="F1626" s="403" t="s">
        <v>1385</v>
      </c>
      <c r="G1626" s="403" t="s">
        <v>1467</v>
      </c>
      <c r="H1626" s="403" t="s">
        <v>1281</v>
      </c>
      <c r="I1626" s="403">
        <v>1</v>
      </c>
      <c r="J1626" s="403" t="s">
        <v>1373</v>
      </c>
      <c r="K1626" s="403">
        <v>1512</v>
      </c>
      <c r="L1626" s="403">
        <v>2688</v>
      </c>
      <c r="M1626" s="403" t="s">
        <v>1279</v>
      </c>
      <c r="N1626" s="403">
        <v>432</v>
      </c>
      <c r="O1626" s="403">
        <v>768</v>
      </c>
      <c r="P1626" t="str">
        <f t="shared" si="201"/>
        <v>25fps 2688x1512 - SD ROI PTZ</v>
      </c>
      <c r="Q1626">
        <f t="shared" si="202"/>
        <v>8</v>
      </c>
      <c r="R1626" t="str">
        <f t="shared" si="203"/>
        <v/>
      </c>
      <c r="S1626" t="str">
        <f t="shared" si="204"/>
        <v/>
      </c>
      <c r="T1626" s="403" t="str">
        <f t="shared" si="205"/>
        <v>NBE-5503-AL</v>
      </c>
      <c r="U1626" s="403">
        <f t="shared" si="206"/>
        <v>1</v>
      </c>
      <c r="V1626" s="403" t="str">
        <f t="shared" si="207"/>
        <v>CPP_7_3</v>
      </c>
    </row>
    <row r="1627" spans="1:22">
      <c r="A1627" t="str">
        <f t="shared" si="200"/>
        <v>NBE-5503-AL</v>
      </c>
      <c r="B1627" s="403" t="s">
        <v>1380</v>
      </c>
      <c r="C1627" s="403" t="s">
        <v>582</v>
      </c>
      <c r="D1627" s="403" t="s">
        <v>1381</v>
      </c>
      <c r="E1627" s="403" t="s">
        <v>778</v>
      </c>
      <c r="F1627" s="403" t="s">
        <v>1385</v>
      </c>
      <c r="G1627" s="403" t="s">
        <v>1467</v>
      </c>
      <c r="H1627" s="403" t="s">
        <v>1281</v>
      </c>
      <c r="I1627" s="403">
        <v>1</v>
      </c>
      <c r="J1627" s="403" t="s">
        <v>1373</v>
      </c>
      <c r="K1627" s="403">
        <v>1512</v>
      </c>
      <c r="L1627" s="403">
        <v>2688</v>
      </c>
      <c r="M1627" s="403" t="s">
        <v>1285</v>
      </c>
      <c r="N1627" s="403">
        <v>1024</v>
      </c>
      <c r="O1627" s="403">
        <v>1280</v>
      </c>
      <c r="P1627" t="str">
        <f t="shared" si="201"/>
        <v>25fps 2688x1512 - 1280x1024 5:4 (cropped)</v>
      </c>
      <c r="Q1627">
        <f t="shared" si="202"/>
        <v>8</v>
      </c>
      <c r="R1627" t="str">
        <f t="shared" si="203"/>
        <v/>
      </c>
      <c r="S1627" t="str">
        <f t="shared" si="204"/>
        <v/>
      </c>
      <c r="T1627" s="403" t="str">
        <f t="shared" si="205"/>
        <v>NBE-5503-AL</v>
      </c>
      <c r="U1627" s="403">
        <f t="shared" si="206"/>
        <v>1</v>
      </c>
      <c r="V1627" s="403" t="str">
        <f t="shared" si="207"/>
        <v>CPP_7_3</v>
      </c>
    </row>
    <row r="1628" spans="1:22">
      <c r="A1628" t="str">
        <f t="shared" si="200"/>
        <v>NBE-5503-AL</v>
      </c>
      <c r="B1628" s="403" t="s">
        <v>1380</v>
      </c>
      <c r="C1628" s="403" t="s">
        <v>582</v>
      </c>
      <c r="D1628" s="403" t="s">
        <v>1381</v>
      </c>
      <c r="E1628" s="403" t="s">
        <v>778</v>
      </c>
      <c r="F1628" s="403" t="s">
        <v>1385</v>
      </c>
      <c r="G1628" s="403" t="s">
        <v>1467</v>
      </c>
      <c r="H1628" s="403" t="s">
        <v>1281</v>
      </c>
      <c r="I1628" s="403">
        <v>1</v>
      </c>
      <c r="J1628" s="403" t="s">
        <v>1373</v>
      </c>
      <c r="K1628" s="403">
        <v>1512</v>
      </c>
      <c r="L1628" s="403">
        <v>2688</v>
      </c>
      <c r="M1628" s="403" t="s">
        <v>1283</v>
      </c>
      <c r="N1628" s="403">
        <v>576</v>
      </c>
      <c r="O1628" s="403">
        <v>720</v>
      </c>
      <c r="P1628" t="str">
        <f t="shared" si="201"/>
        <v>25fps 2688x1512 - SD 4CIF resolution 4:3 format (cropped)</v>
      </c>
      <c r="Q1628">
        <f t="shared" si="202"/>
        <v>8</v>
      </c>
      <c r="R1628" t="str">
        <f t="shared" si="203"/>
        <v/>
      </c>
      <c r="S1628" t="str">
        <f t="shared" si="204"/>
        <v/>
      </c>
      <c r="T1628" s="403" t="str">
        <f t="shared" si="205"/>
        <v>NBE-5503-AL</v>
      </c>
      <c r="U1628" s="403">
        <f t="shared" si="206"/>
        <v>1</v>
      </c>
      <c r="V1628" s="403" t="str">
        <f t="shared" si="207"/>
        <v>CPP_7_3</v>
      </c>
    </row>
    <row r="1629" spans="1:22">
      <c r="A1629" t="str">
        <f t="shared" si="200"/>
        <v>NBE-5503-AL</v>
      </c>
      <c r="B1629" s="403" t="s">
        <v>1380</v>
      </c>
      <c r="C1629" s="403" t="s">
        <v>582</v>
      </c>
      <c r="D1629" s="403" t="s">
        <v>1381</v>
      </c>
      <c r="E1629" s="403" t="s">
        <v>778</v>
      </c>
      <c r="F1629" s="403" t="s">
        <v>1385</v>
      </c>
      <c r="G1629" s="403" t="s">
        <v>1467</v>
      </c>
      <c r="H1629" s="403" t="s">
        <v>1281</v>
      </c>
      <c r="I1629" s="403">
        <v>1</v>
      </c>
      <c r="J1629" s="403" t="s">
        <v>1373</v>
      </c>
      <c r="K1629" s="403">
        <v>1512</v>
      </c>
      <c r="L1629" s="403">
        <v>2688</v>
      </c>
      <c r="M1629" s="403" t="s">
        <v>1284</v>
      </c>
      <c r="N1629" s="403">
        <v>480</v>
      </c>
      <c r="O1629" s="403">
        <v>640</v>
      </c>
      <c r="P1629" t="str">
        <f t="shared" si="201"/>
        <v>25fps 2688x1512 - SD VGA (cropped)</v>
      </c>
      <c r="Q1629">
        <f t="shared" si="202"/>
        <v>8</v>
      </c>
      <c r="R1629" t="str">
        <f t="shared" si="203"/>
        <v/>
      </c>
      <c r="S1629" t="str">
        <f t="shared" si="204"/>
        <v/>
      </c>
      <c r="T1629" s="403" t="str">
        <f t="shared" si="205"/>
        <v>NBE-5503-AL</v>
      </c>
      <c r="U1629" s="403">
        <f t="shared" si="206"/>
        <v>1</v>
      </c>
      <c r="V1629" s="403" t="str">
        <f t="shared" si="207"/>
        <v>CPP_7_3</v>
      </c>
    </row>
    <row r="1630" spans="1:22">
      <c r="A1630" t="str">
        <f t="shared" si="200"/>
        <v>NBE-5503-AL</v>
      </c>
      <c r="B1630" s="403" t="s">
        <v>1380</v>
      </c>
      <c r="C1630" s="403" t="s">
        <v>582</v>
      </c>
      <c r="D1630" s="403" t="s">
        <v>1381</v>
      </c>
      <c r="E1630" s="403" t="s">
        <v>778</v>
      </c>
      <c r="F1630" s="403" t="s">
        <v>1385</v>
      </c>
      <c r="G1630" s="403" t="s">
        <v>1467</v>
      </c>
      <c r="H1630" s="403" t="s">
        <v>1281</v>
      </c>
      <c r="I1630" s="403">
        <v>1</v>
      </c>
      <c r="J1630" s="403" t="s">
        <v>1373</v>
      </c>
      <c r="K1630" s="403">
        <v>1512</v>
      </c>
      <c r="L1630" s="403">
        <v>2688</v>
      </c>
      <c r="M1630" s="403" t="s">
        <v>1280</v>
      </c>
      <c r="N1630" s="403">
        <v>1512</v>
      </c>
      <c r="O1630" s="403">
        <v>2688</v>
      </c>
      <c r="P1630" t="str">
        <f t="shared" si="201"/>
        <v>25fps 2688x1512 - copy other stream</v>
      </c>
      <c r="Q1630">
        <f t="shared" si="202"/>
        <v>8</v>
      </c>
      <c r="R1630" t="str">
        <f t="shared" si="203"/>
        <v/>
      </c>
      <c r="S1630" t="str">
        <f t="shared" si="204"/>
        <v/>
      </c>
      <c r="T1630" s="403" t="str">
        <f t="shared" si="205"/>
        <v>NBE-5503-AL</v>
      </c>
      <c r="U1630" s="403">
        <f t="shared" si="206"/>
        <v>1</v>
      </c>
      <c r="V1630" s="403" t="str">
        <f t="shared" si="207"/>
        <v>CPP_7_3</v>
      </c>
    </row>
    <row r="1631" spans="1:22">
      <c r="A1631" t="str">
        <f t="shared" si="200"/>
        <v>NBE-5503-AL</v>
      </c>
      <c r="B1631" s="403" t="s">
        <v>1380</v>
      </c>
      <c r="C1631" s="403" t="s">
        <v>582</v>
      </c>
      <c r="D1631" s="403" t="s">
        <v>1381</v>
      </c>
      <c r="E1631" s="403" t="s">
        <v>778</v>
      </c>
      <c r="F1631" s="403" t="s">
        <v>1385</v>
      </c>
      <c r="G1631" s="403" t="s">
        <v>1467</v>
      </c>
      <c r="H1631" s="403" t="s">
        <v>1281</v>
      </c>
      <c r="I1631" s="403">
        <v>1</v>
      </c>
      <c r="J1631" s="403" t="s">
        <v>1374</v>
      </c>
      <c r="K1631" s="403">
        <v>1296</v>
      </c>
      <c r="L1631" s="403">
        <v>2304</v>
      </c>
      <c r="M1631" s="403" t="s">
        <v>110</v>
      </c>
      <c r="N1631" s="403">
        <v>1080</v>
      </c>
      <c r="O1631" s="403">
        <v>1920</v>
      </c>
      <c r="P1631" t="str">
        <f t="shared" si="201"/>
        <v>25fps 2304x1296 - 1080p</v>
      </c>
      <c r="Q1631">
        <f t="shared" si="202"/>
        <v>8</v>
      </c>
      <c r="R1631" t="str">
        <f t="shared" si="203"/>
        <v/>
      </c>
      <c r="S1631" t="str">
        <f t="shared" si="204"/>
        <v/>
      </c>
      <c r="T1631" s="403" t="str">
        <f t="shared" si="205"/>
        <v>NBE-5503-AL</v>
      </c>
      <c r="U1631" s="403">
        <f t="shared" si="206"/>
        <v>1</v>
      </c>
      <c r="V1631" s="403" t="str">
        <f t="shared" si="207"/>
        <v>CPP_7_3</v>
      </c>
    </row>
    <row r="1632" spans="1:22">
      <c r="A1632" t="str">
        <f t="shared" si="200"/>
        <v>NBE-5503-AL</v>
      </c>
      <c r="B1632" s="403" t="s">
        <v>1380</v>
      </c>
      <c r="C1632" s="403" t="s">
        <v>582</v>
      </c>
      <c r="D1632" s="403" t="s">
        <v>1381</v>
      </c>
      <c r="E1632" s="403" t="s">
        <v>778</v>
      </c>
      <c r="F1632" s="403" t="s">
        <v>1385</v>
      </c>
      <c r="G1632" s="403" t="s">
        <v>1467</v>
      </c>
      <c r="H1632" s="403" t="s">
        <v>1281</v>
      </c>
      <c r="I1632" s="403">
        <v>1</v>
      </c>
      <c r="J1632" s="403" t="s">
        <v>1374</v>
      </c>
      <c r="K1632" s="403">
        <v>1296</v>
      </c>
      <c r="L1632" s="403">
        <v>2304</v>
      </c>
      <c r="M1632" s="403" t="s">
        <v>1374</v>
      </c>
      <c r="N1632" s="403">
        <v>1296</v>
      </c>
      <c r="O1632" s="403">
        <v>2304</v>
      </c>
      <c r="P1632" t="str">
        <f t="shared" si="201"/>
        <v>25fps 2304x1296 - 2304x1296</v>
      </c>
      <c r="Q1632">
        <f t="shared" si="202"/>
        <v>8</v>
      </c>
      <c r="R1632" t="str">
        <f t="shared" si="203"/>
        <v/>
      </c>
      <c r="S1632" t="str">
        <f t="shared" si="204"/>
        <v/>
      </c>
      <c r="T1632" s="403" t="str">
        <f t="shared" si="205"/>
        <v>NBE-5503-AL</v>
      </c>
      <c r="U1632" s="403">
        <f t="shared" si="206"/>
        <v>1</v>
      </c>
      <c r="V1632" s="403" t="str">
        <f t="shared" si="207"/>
        <v>CPP_7_3</v>
      </c>
    </row>
    <row r="1633" spans="1:22">
      <c r="A1633" t="str">
        <f t="shared" si="200"/>
        <v>NBE-5503-AL</v>
      </c>
      <c r="B1633" s="403" t="s">
        <v>1380</v>
      </c>
      <c r="C1633" s="403" t="s">
        <v>582</v>
      </c>
      <c r="D1633" s="403" t="s">
        <v>1381</v>
      </c>
      <c r="E1633" s="403" t="s">
        <v>778</v>
      </c>
      <c r="F1633" s="403" t="s">
        <v>1385</v>
      </c>
      <c r="G1633" s="403" t="s">
        <v>1467</v>
      </c>
      <c r="H1633" s="403" t="s">
        <v>1281</v>
      </c>
      <c r="I1633" s="403">
        <v>1</v>
      </c>
      <c r="J1633" s="403" t="s">
        <v>1374</v>
      </c>
      <c r="K1633" s="403">
        <v>1296</v>
      </c>
      <c r="L1633" s="403">
        <v>2304</v>
      </c>
      <c r="M1633" s="403" t="s">
        <v>109</v>
      </c>
      <c r="N1633" s="403">
        <v>720</v>
      </c>
      <c r="O1633" s="403">
        <v>1280</v>
      </c>
      <c r="P1633" t="str">
        <f t="shared" si="201"/>
        <v>25fps 2304x1296 - 720p</v>
      </c>
      <c r="Q1633">
        <f t="shared" si="202"/>
        <v>8</v>
      </c>
      <c r="R1633" t="str">
        <f t="shared" si="203"/>
        <v/>
      </c>
      <c r="S1633" t="str">
        <f t="shared" si="204"/>
        <v/>
      </c>
      <c r="T1633" s="403" t="str">
        <f t="shared" si="205"/>
        <v>NBE-5503-AL</v>
      </c>
      <c r="U1633" s="403">
        <f t="shared" si="206"/>
        <v>1</v>
      </c>
      <c r="V1633" s="403" t="str">
        <f t="shared" si="207"/>
        <v>CPP_7_3</v>
      </c>
    </row>
    <row r="1634" spans="1:22">
      <c r="A1634" t="str">
        <f t="shared" si="200"/>
        <v>NBE-5503-AL</v>
      </c>
      <c r="B1634" s="403" t="s">
        <v>1380</v>
      </c>
      <c r="C1634" s="403" t="s">
        <v>582</v>
      </c>
      <c r="D1634" s="403" t="s">
        <v>1381</v>
      </c>
      <c r="E1634" s="403" t="s">
        <v>778</v>
      </c>
      <c r="F1634" s="403" t="s">
        <v>1385</v>
      </c>
      <c r="G1634" s="403" t="s">
        <v>1467</v>
      </c>
      <c r="H1634" s="403" t="s">
        <v>1281</v>
      </c>
      <c r="I1634" s="403">
        <v>1</v>
      </c>
      <c r="J1634" s="403" t="s">
        <v>1374</v>
      </c>
      <c r="K1634" s="403">
        <v>1296</v>
      </c>
      <c r="L1634" s="403">
        <v>2304</v>
      </c>
      <c r="M1634" s="403" t="s">
        <v>111</v>
      </c>
      <c r="N1634" s="403">
        <v>432</v>
      </c>
      <c r="O1634" s="403">
        <v>768</v>
      </c>
      <c r="P1634" t="str">
        <f t="shared" si="201"/>
        <v>25fps 2304x1296 - SD</v>
      </c>
      <c r="Q1634">
        <f t="shared" si="202"/>
        <v>8</v>
      </c>
      <c r="R1634" t="str">
        <f t="shared" si="203"/>
        <v/>
      </c>
      <c r="S1634" t="str">
        <f t="shared" si="204"/>
        <v/>
      </c>
      <c r="T1634" s="403" t="str">
        <f t="shared" si="205"/>
        <v>NBE-5503-AL</v>
      </c>
      <c r="U1634" s="403">
        <f t="shared" si="206"/>
        <v>1</v>
      </c>
      <c r="V1634" s="403" t="str">
        <f t="shared" si="207"/>
        <v>CPP_7_3</v>
      </c>
    </row>
    <row r="1635" spans="1:22">
      <c r="A1635" t="str">
        <f t="shared" si="200"/>
        <v>NBE-5503-AL</v>
      </c>
      <c r="B1635" s="403" t="s">
        <v>1380</v>
      </c>
      <c r="C1635" s="403" t="s">
        <v>582</v>
      </c>
      <c r="D1635" s="403" t="s">
        <v>1381</v>
      </c>
      <c r="E1635" s="403" t="s">
        <v>778</v>
      </c>
      <c r="F1635" s="403" t="s">
        <v>1385</v>
      </c>
      <c r="G1635" s="403" t="s">
        <v>1467</v>
      </c>
      <c r="H1635" s="403" t="s">
        <v>1281</v>
      </c>
      <c r="I1635" s="403">
        <v>1</v>
      </c>
      <c r="J1635" s="403" t="s">
        <v>1374</v>
      </c>
      <c r="K1635" s="403">
        <v>1296</v>
      </c>
      <c r="L1635" s="403">
        <v>2304</v>
      </c>
      <c r="M1635" s="403" t="s">
        <v>1279</v>
      </c>
      <c r="N1635" s="403">
        <v>432</v>
      </c>
      <c r="O1635" s="403">
        <v>768</v>
      </c>
      <c r="P1635" t="str">
        <f t="shared" si="201"/>
        <v>25fps 2304x1296 - SD ROI PTZ</v>
      </c>
      <c r="Q1635">
        <f t="shared" si="202"/>
        <v>8</v>
      </c>
      <c r="R1635" t="str">
        <f t="shared" si="203"/>
        <v/>
      </c>
      <c r="S1635" t="str">
        <f t="shared" si="204"/>
        <v/>
      </c>
      <c r="T1635" s="403" t="str">
        <f t="shared" si="205"/>
        <v>NBE-5503-AL</v>
      </c>
      <c r="U1635" s="403">
        <f t="shared" si="206"/>
        <v>1</v>
      </c>
      <c r="V1635" s="403" t="str">
        <f t="shared" si="207"/>
        <v>CPP_7_3</v>
      </c>
    </row>
    <row r="1636" spans="1:22">
      <c r="A1636" t="str">
        <f t="shared" si="200"/>
        <v>NBE-5503-AL</v>
      </c>
      <c r="B1636" s="403" t="s">
        <v>1380</v>
      </c>
      <c r="C1636" s="403" t="s">
        <v>582</v>
      </c>
      <c r="D1636" s="403" t="s">
        <v>1381</v>
      </c>
      <c r="E1636" s="403" t="s">
        <v>778</v>
      </c>
      <c r="F1636" s="403" t="s">
        <v>1385</v>
      </c>
      <c r="G1636" s="403" t="s">
        <v>1467</v>
      </c>
      <c r="H1636" s="403" t="s">
        <v>1281</v>
      </c>
      <c r="I1636" s="403">
        <v>1</v>
      </c>
      <c r="J1636" s="403" t="s">
        <v>1374</v>
      </c>
      <c r="K1636" s="403">
        <v>1296</v>
      </c>
      <c r="L1636" s="403">
        <v>2304</v>
      </c>
      <c r="M1636" s="403" t="s">
        <v>1285</v>
      </c>
      <c r="N1636" s="403">
        <v>1024</v>
      </c>
      <c r="O1636" s="403">
        <v>1280</v>
      </c>
      <c r="P1636" t="str">
        <f t="shared" si="201"/>
        <v>25fps 2304x1296 - 1280x1024 5:4 (cropped)</v>
      </c>
      <c r="Q1636">
        <f t="shared" si="202"/>
        <v>8</v>
      </c>
      <c r="R1636" t="str">
        <f t="shared" si="203"/>
        <v/>
      </c>
      <c r="S1636" t="str">
        <f t="shared" si="204"/>
        <v/>
      </c>
      <c r="T1636" s="403" t="str">
        <f t="shared" si="205"/>
        <v>NBE-5503-AL</v>
      </c>
      <c r="U1636" s="403">
        <f t="shared" si="206"/>
        <v>1</v>
      </c>
      <c r="V1636" s="403" t="str">
        <f t="shared" si="207"/>
        <v>CPP_7_3</v>
      </c>
    </row>
    <row r="1637" spans="1:22">
      <c r="A1637" t="str">
        <f t="shared" si="200"/>
        <v>NBE-5503-AL</v>
      </c>
      <c r="B1637" s="403" t="s">
        <v>1380</v>
      </c>
      <c r="C1637" s="403" t="s">
        <v>582</v>
      </c>
      <c r="D1637" s="403" t="s">
        <v>1381</v>
      </c>
      <c r="E1637" s="403" t="s">
        <v>778</v>
      </c>
      <c r="F1637" s="403" t="s">
        <v>1385</v>
      </c>
      <c r="G1637" s="403" t="s">
        <v>1467</v>
      </c>
      <c r="H1637" s="403" t="s">
        <v>1281</v>
      </c>
      <c r="I1637" s="403">
        <v>1</v>
      </c>
      <c r="J1637" s="403" t="s">
        <v>1374</v>
      </c>
      <c r="K1637" s="403">
        <v>1296</v>
      </c>
      <c r="L1637" s="403">
        <v>2304</v>
      </c>
      <c r="M1637" s="403" t="s">
        <v>1283</v>
      </c>
      <c r="N1637" s="403">
        <v>576</v>
      </c>
      <c r="O1637" s="403">
        <v>720</v>
      </c>
      <c r="P1637" t="str">
        <f t="shared" si="201"/>
        <v>25fps 2304x1296 - SD 4CIF resolution 4:3 format (cropped)</v>
      </c>
      <c r="Q1637">
        <f t="shared" si="202"/>
        <v>8</v>
      </c>
      <c r="R1637" t="str">
        <f t="shared" si="203"/>
        <v/>
      </c>
      <c r="S1637" t="str">
        <f t="shared" si="204"/>
        <v/>
      </c>
      <c r="T1637" s="403" t="str">
        <f t="shared" si="205"/>
        <v>NBE-5503-AL</v>
      </c>
      <c r="U1637" s="403">
        <f t="shared" si="206"/>
        <v>1</v>
      </c>
      <c r="V1637" s="403" t="str">
        <f t="shared" si="207"/>
        <v>CPP_7_3</v>
      </c>
    </row>
    <row r="1638" spans="1:22">
      <c r="A1638" t="str">
        <f t="shared" si="200"/>
        <v>NBE-5503-AL</v>
      </c>
      <c r="B1638" s="403" t="s">
        <v>1380</v>
      </c>
      <c r="C1638" s="403" t="s">
        <v>582</v>
      </c>
      <c r="D1638" s="403" t="s">
        <v>1381</v>
      </c>
      <c r="E1638" s="403" t="s">
        <v>778</v>
      </c>
      <c r="F1638" s="403" t="s">
        <v>1385</v>
      </c>
      <c r="G1638" s="403" t="s">
        <v>1467</v>
      </c>
      <c r="H1638" s="403" t="s">
        <v>1281</v>
      </c>
      <c r="I1638" s="403">
        <v>1</v>
      </c>
      <c r="J1638" s="403" t="s">
        <v>1374</v>
      </c>
      <c r="K1638" s="403">
        <v>1296</v>
      </c>
      <c r="L1638" s="403">
        <v>2304</v>
      </c>
      <c r="M1638" s="403" t="s">
        <v>1284</v>
      </c>
      <c r="N1638" s="403">
        <v>480</v>
      </c>
      <c r="O1638" s="403">
        <v>640</v>
      </c>
      <c r="P1638" t="str">
        <f t="shared" si="201"/>
        <v>25fps 2304x1296 - SD VGA (cropped)</v>
      </c>
      <c r="Q1638">
        <f t="shared" si="202"/>
        <v>8</v>
      </c>
      <c r="R1638" t="str">
        <f t="shared" si="203"/>
        <v/>
      </c>
      <c r="S1638" t="str">
        <f t="shared" si="204"/>
        <v/>
      </c>
      <c r="T1638" s="403" t="str">
        <f t="shared" si="205"/>
        <v>NBE-5503-AL</v>
      </c>
      <c r="U1638" s="403">
        <f t="shared" si="206"/>
        <v>1</v>
      </c>
      <c r="V1638" s="403" t="str">
        <f t="shared" si="207"/>
        <v>CPP_7_3</v>
      </c>
    </row>
    <row r="1639" spans="1:22">
      <c r="A1639" t="str">
        <f t="shared" si="200"/>
        <v>NBE-5503-AL</v>
      </c>
      <c r="B1639" s="403" t="s">
        <v>1380</v>
      </c>
      <c r="C1639" s="403" t="s">
        <v>582</v>
      </c>
      <c r="D1639" s="403" t="s">
        <v>1381</v>
      </c>
      <c r="E1639" s="403" t="s">
        <v>778</v>
      </c>
      <c r="F1639" s="403" t="s">
        <v>1385</v>
      </c>
      <c r="G1639" s="403" t="s">
        <v>1467</v>
      </c>
      <c r="H1639" s="403" t="s">
        <v>1281</v>
      </c>
      <c r="I1639" s="403">
        <v>1</v>
      </c>
      <c r="J1639" s="403" t="s">
        <v>1374</v>
      </c>
      <c r="K1639" s="403">
        <v>1296</v>
      </c>
      <c r="L1639" s="403">
        <v>2304</v>
      </c>
      <c r="M1639" s="403" t="s">
        <v>1280</v>
      </c>
      <c r="N1639" s="403">
        <v>1296</v>
      </c>
      <c r="O1639" s="403">
        <v>2304</v>
      </c>
      <c r="P1639" t="str">
        <f t="shared" si="201"/>
        <v>25fps 2304x1296 - copy other stream</v>
      </c>
      <c r="Q1639">
        <f t="shared" si="202"/>
        <v>8</v>
      </c>
      <c r="R1639" t="str">
        <f t="shared" si="203"/>
        <v/>
      </c>
      <c r="S1639" t="str">
        <f t="shared" si="204"/>
        <v/>
      </c>
      <c r="T1639" s="403" t="str">
        <f t="shared" si="205"/>
        <v>NBE-5503-AL</v>
      </c>
      <c r="U1639" s="403">
        <f t="shared" si="206"/>
        <v>1</v>
      </c>
      <c r="V1639" s="403" t="str">
        <f t="shared" si="207"/>
        <v>CPP_7_3</v>
      </c>
    </row>
    <row r="1640" spans="1:22">
      <c r="A1640" t="str">
        <f t="shared" si="200"/>
        <v>NBE-5503-AL</v>
      </c>
      <c r="B1640" s="403" t="s">
        <v>1380</v>
      </c>
      <c r="C1640" s="403" t="s">
        <v>582</v>
      </c>
      <c r="D1640" s="403" t="s">
        <v>1381</v>
      </c>
      <c r="E1640" s="403" t="s">
        <v>778</v>
      </c>
      <c r="F1640" s="403" t="s">
        <v>1385</v>
      </c>
      <c r="G1640" s="403" t="s">
        <v>1467</v>
      </c>
      <c r="H1640" s="403" t="s">
        <v>1281</v>
      </c>
      <c r="I1640" s="403">
        <v>1</v>
      </c>
      <c r="J1640" s="403" t="s">
        <v>110</v>
      </c>
      <c r="K1640" s="403">
        <v>1080</v>
      </c>
      <c r="L1640" s="403">
        <v>1920</v>
      </c>
      <c r="M1640" s="403" t="s">
        <v>111</v>
      </c>
      <c r="N1640" s="403">
        <v>432</v>
      </c>
      <c r="O1640" s="403">
        <v>768</v>
      </c>
      <c r="P1640" t="str">
        <f t="shared" si="201"/>
        <v>25fps 1080p - SD</v>
      </c>
      <c r="Q1640">
        <f t="shared" si="202"/>
        <v>8</v>
      </c>
      <c r="R1640" t="str">
        <f t="shared" si="203"/>
        <v/>
      </c>
      <c r="S1640" t="str">
        <f t="shared" si="204"/>
        <v/>
      </c>
      <c r="T1640" s="403" t="str">
        <f t="shared" si="205"/>
        <v>NBE-5503-AL</v>
      </c>
      <c r="U1640" s="403">
        <f t="shared" si="206"/>
        <v>1</v>
      </c>
      <c r="V1640" s="403" t="str">
        <f t="shared" si="207"/>
        <v>CPP_7_3</v>
      </c>
    </row>
    <row r="1641" spans="1:22">
      <c r="A1641" t="str">
        <f t="shared" si="200"/>
        <v>NBE-5503-AL</v>
      </c>
      <c r="B1641" s="403" t="s">
        <v>1380</v>
      </c>
      <c r="C1641" s="403" t="s">
        <v>582</v>
      </c>
      <c r="D1641" s="403" t="s">
        <v>1381</v>
      </c>
      <c r="E1641" s="403" t="s">
        <v>778</v>
      </c>
      <c r="F1641" s="403" t="s">
        <v>1385</v>
      </c>
      <c r="G1641" s="403" t="s">
        <v>1467</v>
      </c>
      <c r="H1641" s="403" t="s">
        <v>1281</v>
      </c>
      <c r="I1641" s="403">
        <v>1</v>
      </c>
      <c r="J1641" s="403" t="s">
        <v>110</v>
      </c>
      <c r="K1641" s="403">
        <v>1080</v>
      </c>
      <c r="L1641" s="403">
        <v>1920</v>
      </c>
      <c r="M1641" s="403" t="s">
        <v>110</v>
      </c>
      <c r="N1641" s="403">
        <v>1080</v>
      </c>
      <c r="O1641" s="403">
        <v>1920</v>
      </c>
      <c r="P1641" t="str">
        <f t="shared" si="201"/>
        <v>25fps 1080p - 1080p</v>
      </c>
      <c r="Q1641">
        <f t="shared" si="202"/>
        <v>8</v>
      </c>
      <c r="R1641" t="str">
        <f t="shared" si="203"/>
        <v/>
      </c>
      <c r="S1641" t="str">
        <f t="shared" si="204"/>
        <v/>
      </c>
      <c r="T1641" s="403" t="str">
        <f t="shared" si="205"/>
        <v>NBE-5503-AL</v>
      </c>
      <c r="U1641" s="403">
        <f t="shared" si="206"/>
        <v>1</v>
      </c>
      <c r="V1641" s="403" t="str">
        <f t="shared" si="207"/>
        <v>CPP_7_3</v>
      </c>
    </row>
    <row r="1642" spans="1:22">
      <c r="A1642" t="str">
        <f t="shared" si="200"/>
        <v>NBE-5503-AL</v>
      </c>
      <c r="B1642" s="403" t="s">
        <v>1380</v>
      </c>
      <c r="C1642" s="403" t="s">
        <v>582</v>
      </c>
      <c r="D1642" s="403" t="s">
        <v>1381</v>
      </c>
      <c r="E1642" s="403" t="s">
        <v>778</v>
      </c>
      <c r="F1642" s="403" t="s">
        <v>1385</v>
      </c>
      <c r="G1642" s="403" t="s">
        <v>1467</v>
      </c>
      <c r="H1642" s="403" t="s">
        <v>1281</v>
      </c>
      <c r="I1642" s="403">
        <v>1</v>
      </c>
      <c r="J1642" s="403" t="s">
        <v>110</v>
      </c>
      <c r="K1642" s="403">
        <v>1080</v>
      </c>
      <c r="L1642" s="403">
        <v>1920</v>
      </c>
      <c r="M1642" s="403" t="s">
        <v>109</v>
      </c>
      <c r="N1642" s="403">
        <v>720</v>
      </c>
      <c r="O1642" s="403">
        <v>1280</v>
      </c>
      <c r="P1642" t="str">
        <f t="shared" si="201"/>
        <v>25fps 1080p - 720p</v>
      </c>
      <c r="Q1642">
        <f t="shared" si="202"/>
        <v>8</v>
      </c>
      <c r="R1642" t="str">
        <f t="shared" si="203"/>
        <v/>
      </c>
      <c r="S1642" t="str">
        <f t="shared" si="204"/>
        <v/>
      </c>
      <c r="T1642" s="403" t="str">
        <f t="shared" si="205"/>
        <v>NBE-5503-AL</v>
      </c>
      <c r="U1642" s="403">
        <f t="shared" si="206"/>
        <v>1</v>
      </c>
      <c r="V1642" s="403" t="str">
        <f t="shared" si="207"/>
        <v>CPP_7_3</v>
      </c>
    </row>
    <row r="1643" spans="1:22">
      <c r="A1643" t="str">
        <f t="shared" si="200"/>
        <v>NBE-5503-AL</v>
      </c>
      <c r="B1643" s="403" t="s">
        <v>1380</v>
      </c>
      <c r="C1643" s="403" t="s">
        <v>582</v>
      </c>
      <c r="D1643" s="403" t="s">
        <v>1381</v>
      </c>
      <c r="E1643" s="403" t="s">
        <v>778</v>
      </c>
      <c r="F1643" s="403" t="s">
        <v>1385</v>
      </c>
      <c r="G1643" s="403" t="s">
        <v>1467</v>
      </c>
      <c r="H1643" s="403" t="s">
        <v>1281</v>
      </c>
      <c r="I1643" s="403">
        <v>1</v>
      </c>
      <c r="J1643" s="403" t="s">
        <v>110</v>
      </c>
      <c r="K1643" s="403">
        <v>1080</v>
      </c>
      <c r="L1643" s="403">
        <v>1920</v>
      </c>
      <c r="M1643" s="403" t="s">
        <v>1285</v>
      </c>
      <c r="N1643" s="403">
        <v>1024</v>
      </c>
      <c r="O1643" s="403">
        <v>1280</v>
      </c>
      <c r="P1643" t="str">
        <f t="shared" si="201"/>
        <v>25fps 1080p - 1280x1024 5:4 (cropped)</v>
      </c>
      <c r="Q1643">
        <f t="shared" si="202"/>
        <v>8</v>
      </c>
      <c r="R1643" t="str">
        <f t="shared" si="203"/>
        <v/>
      </c>
      <c r="S1643" t="str">
        <f t="shared" si="204"/>
        <v/>
      </c>
      <c r="T1643" s="403" t="str">
        <f t="shared" si="205"/>
        <v>NBE-5503-AL</v>
      </c>
      <c r="U1643" s="403">
        <f t="shared" si="206"/>
        <v>1</v>
      </c>
      <c r="V1643" s="403" t="str">
        <f t="shared" si="207"/>
        <v>CPP_7_3</v>
      </c>
    </row>
    <row r="1644" spans="1:22">
      <c r="A1644" t="str">
        <f t="shared" si="200"/>
        <v>NBE-5503-AL</v>
      </c>
      <c r="B1644" s="403" t="s">
        <v>1380</v>
      </c>
      <c r="C1644" s="403" t="s">
        <v>582</v>
      </c>
      <c r="D1644" s="403" t="s">
        <v>1381</v>
      </c>
      <c r="E1644" s="403" t="s">
        <v>778</v>
      </c>
      <c r="F1644" s="403" t="s">
        <v>1385</v>
      </c>
      <c r="G1644" s="403" t="s">
        <v>1467</v>
      </c>
      <c r="H1644" s="403" t="s">
        <v>1281</v>
      </c>
      <c r="I1644" s="403">
        <v>1</v>
      </c>
      <c r="J1644" s="403" t="s">
        <v>110</v>
      </c>
      <c r="K1644" s="403">
        <v>1080</v>
      </c>
      <c r="L1644" s="403">
        <v>1920</v>
      </c>
      <c r="M1644" s="403" t="s">
        <v>1279</v>
      </c>
      <c r="N1644" s="403">
        <v>432</v>
      </c>
      <c r="O1644" s="403">
        <v>768</v>
      </c>
      <c r="P1644" t="str">
        <f t="shared" si="201"/>
        <v>25fps 1080p - SD ROI PTZ</v>
      </c>
      <c r="Q1644">
        <f t="shared" si="202"/>
        <v>8</v>
      </c>
      <c r="R1644" t="str">
        <f t="shared" si="203"/>
        <v/>
      </c>
      <c r="S1644" t="str">
        <f t="shared" si="204"/>
        <v/>
      </c>
      <c r="T1644" s="403" t="str">
        <f t="shared" si="205"/>
        <v>NBE-5503-AL</v>
      </c>
      <c r="U1644" s="403">
        <f t="shared" si="206"/>
        <v>1</v>
      </c>
      <c r="V1644" s="403" t="str">
        <f t="shared" si="207"/>
        <v>CPP_7_3</v>
      </c>
    </row>
    <row r="1645" spans="1:22">
      <c r="A1645" t="str">
        <f t="shared" si="200"/>
        <v>NBE-5503-AL</v>
      </c>
      <c r="B1645" s="403" t="s">
        <v>1380</v>
      </c>
      <c r="C1645" s="403" t="s">
        <v>582</v>
      </c>
      <c r="D1645" s="403" t="s">
        <v>1381</v>
      </c>
      <c r="E1645" s="403" t="s">
        <v>778</v>
      </c>
      <c r="F1645" s="403" t="s">
        <v>1385</v>
      </c>
      <c r="G1645" s="403" t="s">
        <v>1467</v>
      </c>
      <c r="H1645" s="403" t="s">
        <v>1281</v>
      </c>
      <c r="I1645" s="403">
        <v>1</v>
      </c>
      <c r="J1645" s="403" t="s">
        <v>110</v>
      </c>
      <c r="K1645" s="403">
        <v>1080</v>
      </c>
      <c r="L1645" s="403">
        <v>1920</v>
      </c>
      <c r="M1645" s="403" t="s">
        <v>1283</v>
      </c>
      <c r="N1645" s="403">
        <v>576</v>
      </c>
      <c r="O1645" s="403">
        <v>720</v>
      </c>
      <c r="P1645" t="str">
        <f t="shared" si="201"/>
        <v>25fps 1080p - SD 4CIF resolution 4:3 format (cropped)</v>
      </c>
      <c r="Q1645">
        <f t="shared" si="202"/>
        <v>8</v>
      </c>
      <c r="R1645" t="str">
        <f t="shared" si="203"/>
        <v/>
      </c>
      <c r="S1645" t="str">
        <f t="shared" si="204"/>
        <v/>
      </c>
      <c r="T1645" s="403" t="str">
        <f t="shared" si="205"/>
        <v>NBE-5503-AL</v>
      </c>
      <c r="U1645" s="403">
        <f t="shared" si="206"/>
        <v>1</v>
      </c>
      <c r="V1645" s="403" t="str">
        <f t="shared" si="207"/>
        <v>CPP_7_3</v>
      </c>
    </row>
    <row r="1646" spans="1:22">
      <c r="A1646" t="str">
        <f t="shared" si="200"/>
        <v>NBE-5503-AL</v>
      </c>
      <c r="B1646" s="403" t="s">
        <v>1380</v>
      </c>
      <c r="C1646" s="403" t="s">
        <v>582</v>
      </c>
      <c r="D1646" s="403" t="s">
        <v>1381</v>
      </c>
      <c r="E1646" s="403" t="s">
        <v>778</v>
      </c>
      <c r="F1646" s="403" t="s">
        <v>1385</v>
      </c>
      <c r="G1646" s="403" t="s">
        <v>1467</v>
      </c>
      <c r="H1646" s="403" t="s">
        <v>1281</v>
      </c>
      <c r="I1646" s="403">
        <v>1</v>
      </c>
      <c r="J1646" s="403" t="s">
        <v>110</v>
      </c>
      <c r="K1646" s="403">
        <v>1080</v>
      </c>
      <c r="L1646" s="403">
        <v>1920</v>
      </c>
      <c r="M1646" s="403" t="s">
        <v>1284</v>
      </c>
      <c r="N1646" s="403">
        <v>480</v>
      </c>
      <c r="O1646" s="403">
        <v>640</v>
      </c>
      <c r="P1646" t="str">
        <f t="shared" si="201"/>
        <v>25fps 1080p - SD VGA (cropped)</v>
      </c>
      <c r="Q1646">
        <f t="shared" si="202"/>
        <v>8</v>
      </c>
      <c r="R1646" t="str">
        <f t="shared" si="203"/>
        <v/>
      </c>
      <c r="S1646" t="str">
        <f t="shared" si="204"/>
        <v/>
      </c>
      <c r="T1646" s="403" t="str">
        <f t="shared" si="205"/>
        <v>NBE-5503-AL</v>
      </c>
      <c r="U1646" s="403">
        <f t="shared" si="206"/>
        <v>1</v>
      </c>
      <c r="V1646" s="403" t="str">
        <f t="shared" si="207"/>
        <v>CPP_7_3</v>
      </c>
    </row>
    <row r="1647" spans="1:22">
      <c r="A1647" t="str">
        <f t="shared" si="200"/>
        <v>NBE-5503-AL</v>
      </c>
      <c r="B1647" s="403" t="s">
        <v>1380</v>
      </c>
      <c r="C1647" s="403" t="s">
        <v>582</v>
      </c>
      <c r="D1647" s="403" t="s">
        <v>1381</v>
      </c>
      <c r="E1647" s="403" t="s">
        <v>778</v>
      </c>
      <c r="F1647" s="403" t="s">
        <v>1385</v>
      </c>
      <c r="G1647" s="403" t="s">
        <v>1467</v>
      </c>
      <c r="H1647" s="403" t="s">
        <v>1281</v>
      </c>
      <c r="I1647" s="403">
        <v>1</v>
      </c>
      <c r="J1647" s="403" t="s">
        <v>109</v>
      </c>
      <c r="K1647" s="403">
        <v>720</v>
      </c>
      <c r="L1647" s="403">
        <v>1280</v>
      </c>
      <c r="M1647" s="403" t="s">
        <v>109</v>
      </c>
      <c r="N1647" s="403">
        <v>720</v>
      </c>
      <c r="O1647" s="403">
        <v>1280</v>
      </c>
      <c r="P1647" t="str">
        <f t="shared" si="201"/>
        <v>25fps 720p - 720p</v>
      </c>
      <c r="Q1647">
        <f t="shared" si="202"/>
        <v>8</v>
      </c>
      <c r="R1647" t="str">
        <f t="shared" si="203"/>
        <v/>
      </c>
      <c r="S1647" t="str">
        <f t="shared" si="204"/>
        <v/>
      </c>
      <c r="T1647" s="403" t="str">
        <f t="shared" si="205"/>
        <v>NBE-5503-AL</v>
      </c>
      <c r="U1647" s="403">
        <f t="shared" si="206"/>
        <v>1</v>
      </c>
      <c r="V1647" s="403" t="str">
        <f t="shared" si="207"/>
        <v>CPP_7_3</v>
      </c>
    </row>
    <row r="1648" spans="1:22">
      <c r="A1648" t="str">
        <f t="shared" si="200"/>
        <v>NBE-5503-AL</v>
      </c>
      <c r="B1648" s="403" t="s">
        <v>1380</v>
      </c>
      <c r="C1648" s="403" t="s">
        <v>582</v>
      </c>
      <c r="D1648" s="403" t="s">
        <v>1381</v>
      </c>
      <c r="E1648" s="403" t="s">
        <v>778</v>
      </c>
      <c r="F1648" s="403" t="s">
        <v>1385</v>
      </c>
      <c r="G1648" s="403" t="s">
        <v>1467</v>
      </c>
      <c r="H1648" s="403" t="s">
        <v>1281</v>
      </c>
      <c r="I1648" s="403">
        <v>1</v>
      </c>
      <c r="J1648" s="403" t="s">
        <v>109</v>
      </c>
      <c r="K1648" s="403">
        <v>720</v>
      </c>
      <c r="L1648" s="403">
        <v>1280</v>
      </c>
      <c r="M1648" s="403" t="s">
        <v>111</v>
      </c>
      <c r="N1648" s="403">
        <v>432</v>
      </c>
      <c r="O1648" s="403">
        <v>768</v>
      </c>
      <c r="P1648" t="str">
        <f t="shared" si="201"/>
        <v>25fps 720p - SD</v>
      </c>
      <c r="Q1648">
        <f t="shared" si="202"/>
        <v>8</v>
      </c>
      <c r="R1648" t="str">
        <f t="shared" si="203"/>
        <v/>
      </c>
      <c r="S1648" t="str">
        <f t="shared" si="204"/>
        <v/>
      </c>
      <c r="T1648" s="403" t="str">
        <f t="shared" si="205"/>
        <v>NBE-5503-AL</v>
      </c>
      <c r="U1648" s="403">
        <f t="shared" si="206"/>
        <v>1</v>
      </c>
      <c r="V1648" s="403" t="str">
        <f t="shared" si="207"/>
        <v>CPP_7_3</v>
      </c>
    </row>
    <row r="1649" spans="1:22">
      <c r="A1649" t="str">
        <f t="shared" si="200"/>
        <v>NBE-5503-AL</v>
      </c>
      <c r="B1649" s="403" t="s">
        <v>1380</v>
      </c>
      <c r="C1649" s="403" t="s">
        <v>582</v>
      </c>
      <c r="D1649" s="403" t="s">
        <v>1381</v>
      </c>
      <c r="E1649" s="403" t="s">
        <v>778</v>
      </c>
      <c r="F1649" s="403" t="s">
        <v>1385</v>
      </c>
      <c r="G1649" s="403" t="s">
        <v>1467</v>
      </c>
      <c r="H1649" s="403" t="s">
        <v>1281</v>
      </c>
      <c r="I1649" s="403">
        <v>1</v>
      </c>
      <c r="J1649" s="403" t="s">
        <v>109</v>
      </c>
      <c r="K1649" s="403">
        <v>720</v>
      </c>
      <c r="L1649" s="403">
        <v>1280</v>
      </c>
      <c r="M1649" s="403" t="s">
        <v>1279</v>
      </c>
      <c r="N1649" s="403">
        <v>432</v>
      </c>
      <c r="O1649" s="403">
        <v>768</v>
      </c>
      <c r="P1649" t="str">
        <f t="shared" si="201"/>
        <v>25fps 720p - SD ROI PTZ</v>
      </c>
      <c r="Q1649">
        <f t="shared" si="202"/>
        <v>8</v>
      </c>
      <c r="R1649" t="str">
        <f t="shared" si="203"/>
        <v/>
      </c>
      <c r="S1649" t="str">
        <f t="shared" si="204"/>
        <v/>
      </c>
      <c r="T1649" s="403" t="str">
        <f t="shared" si="205"/>
        <v>NBE-5503-AL</v>
      </c>
      <c r="U1649" s="403">
        <f t="shared" si="206"/>
        <v>1</v>
      </c>
      <c r="V1649" s="403" t="str">
        <f t="shared" si="207"/>
        <v>CPP_7_3</v>
      </c>
    </row>
    <row r="1650" spans="1:22">
      <c r="A1650" t="str">
        <f t="shared" si="200"/>
        <v>NBE-5503-AL</v>
      </c>
      <c r="B1650" s="403" t="s">
        <v>1380</v>
      </c>
      <c r="C1650" s="403" t="s">
        <v>582</v>
      </c>
      <c r="D1650" s="403" t="s">
        <v>1381</v>
      </c>
      <c r="E1650" s="403" t="s">
        <v>778</v>
      </c>
      <c r="F1650" s="403" t="s">
        <v>1385</v>
      </c>
      <c r="G1650" s="403" t="s">
        <v>1467</v>
      </c>
      <c r="H1650" s="403" t="s">
        <v>1281</v>
      </c>
      <c r="I1650" s="403">
        <v>1</v>
      </c>
      <c r="J1650" s="403" t="s">
        <v>109</v>
      </c>
      <c r="K1650" s="403">
        <v>720</v>
      </c>
      <c r="L1650" s="403">
        <v>1280</v>
      </c>
      <c r="M1650" s="403" t="s">
        <v>1283</v>
      </c>
      <c r="N1650" s="403">
        <v>576</v>
      </c>
      <c r="O1650" s="403">
        <v>720</v>
      </c>
      <c r="P1650" t="str">
        <f t="shared" si="201"/>
        <v>25fps 720p - SD 4CIF resolution 4:3 format (cropped)</v>
      </c>
      <c r="Q1650">
        <f t="shared" si="202"/>
        <v>8</v>
      </c>
      <c r="R1650" t="str">
        <f t="shared" si="203"/>
        <v/>
      </c>
      <c r="S1650" t="str">
        <f t="shared" si="204"/>
        <v/>
      </c>
      <c r="T1650" s="403" t="str">
        <f t="shared" si="205"/>
        <v>NBE-5503-AL</v>
      </c>
      <c r="U1650" s="403">
        <f t="shared" si="206"/>
        <v>1</v>
      </c>
      <c r="V1650" s="403" t="str">
        <f t="shared" si="207"/>
        <v>CPP_7_3</v>
      </c>
    </row>
    <row r="1651" spans="1:22">
      <c r="A1651" t="str">
        <f t="shared" si="200"/>
        <v>NBE-5503-AL</v>
      </c>
      <c r="B1651" s="403" t="s">
        <v>1380</v>
      </c>
      <c r="C1651" s="403" t="s">
        <v>582</v>
      </c>
      <c r="D1651" s="403" t="s">
        <v>1381</v>
      </c>
      <c r="E1651" s="403" t="s">
        <v>778</v>
      </c>
      <c r="F1651" s="403" t="s">
        <v>1385</v>
      </c>
      <c r="G1651" s="403" t="s">
        <v>1467</v>
      </c>
      <c r="H1651" s="403" t="s">
        <v>1281</v>
      </c>
      <c r="I1651" s="403">
        <v>1</v>
      </c>
      <c r="J1651" s="403" t="s">
        <v>109</v>
      </c>
      <c r="K1651" s="403">
        <v>720</v>
      </c>
      <c r="L1651" s="403">
        <v>1280</v>
      </c>
      <c r="M1651" s="403" t="s">
        <v>1284</v>
      </c>
      <c r="N1651" s="403">
        <v>480</v>
      </c>
      <c r="O1651" s="403">
        <v>640</v>
      </c>
      <c r="P1651" t="str">
        <f t="shared" si="201"/>
        <v>25fps 720p - SD VGA (cropped)</v>
      </c>
      <c r="Q1651">
        <f t="shared" si="202"/>
        <v>8</v>
      </c>
      <c r="R1651" t="str">
        <f t="shared" si="203"/>
        <v/>
      </c>
      <c r="S1651" t="str">
        <f t="shared" si="204"/>
        <v/>
      </c>
      <c r="T1651" s="403" t="str">
        <f t="shared" si="205"/>
        <v>NBE-5503-AL</v>
      </c>
      <c r="U1651" s="403">
        <f t="shared" si="206"/>
        <v>1</v>
      </c>
      <c r="V1651" s="403" t="str">
        <f t="shared" si="207"/>
        <v>CPP_7_3</v>
      </c>
    </row>
    <row r="1652" spans="1:22">
      <c r="A1652" t="str">
        <f t="shared" si="200"/>
        <v>NBE-6502-AL</v>
      </c>
      <c r="B1652" s="403" t="s">
        <v>1386</v>
      </c>
      <c r="C1652" s="403" t="s">
        <v>582</v>
      </c>
      <c r="D1652" s="403" t="s">
        <v>1387</v>
      </c>
      <c r="E1652" s="403" t="s">
        <v>778</v>
      </c>
      <c r="F1652" s="403" t="s">
        <v>1288</v>
      </c>
      <c r="G1652" s="403" t="s">
        <v>1466</v>
      </c>
      <c r="H1652" s="403" t="s">
        <v>1276</v>
      </c>
      <c r="I1652" s="403">
        <v>1</v>
      </c>
      <c r="J1652" s="403" t="s">
        <v>110</v>
      </c>
      <c r="K1652" s="403">
        <v>1920</v>
      </c>
      <c r="L1652" s="403">
        <v>1080</v>
      </c>
      <c r="M1652" s="403" t="s">
        <v>111</v>
      </c>
      <c r="N1652" s="403">
        <v>768</v>
      </c>
      <c r="O1652" s="403">
        <v>432</v>
      </c>
      <c r="P1652" t="str">
        <f t="shared" si="201"/>
        <v>60fps 1080p - SD</v>
      </c>
      <c r="Q1652">
        <f t="shared" si="202"/>
        <v>9</v>
      </c>
      <c r="R1652">
        <f t="shared" si="203"/>
        <v>9</v>
      </c>
      <c r="S1652" t="str">
        <f t="shared" si="204"/>
        <v>DINION IP starlight 6000i IR (NBE-6502-AL)</v>
      </c>
      <c r="T1652" s="403" t="str">
        <f t="shared" si="205"/>
        <v>NBE-6502-AL</v>
      </c>
      <c r="U1652" s="403">
        <f t="shared" si="206"/>
        <v>1</v>
      </c>
      <c r="V1652" s="403" t="str">
        <f t="shared" si="207"/>
        <v>CPP_7_3</v>
      </c>
    </row>
    <row r="1653" spans="1:22">
      <c r="A1653" t="str">
        <f t="shared" si="200"/>
        <v>NBE-6502-AL</v>
      </c>
      <c r="B1653" s="403" t="s">
        <v>1386</v>
      </c>
      <c r="C1653" s="403" t="s">
        <v>582</v>
      </c>
      <c r="D1653" s="403" t="s">
        <v>1387</v>
      </c>
      <c r="E1653" s="403" t="s">
        <v>778</v>
      </c>
      <c r="F1653" s="403" t="s">
        <v>1288</v>
      </c>
      <c r="G1653" s="403" t="s">
        <v>1466</v>
      </c>
      <c r="H1653" s="403" t="s">
        <v>1276</v>
      </c>
      <c r="I1653" s="403">
        <v>1</v>
      </c>
      <c r="J1653" s="403" t="s">
        <v>110</v>
      </c>
      <c r="K1653" s="403">
        <v>1920</v>
      </c>
      <c r="L1653" s="403">
        <v>1080</v>
      </c>
      <c r="M1653" s="403" t="s">
        <v>110</v>
      </c>
      <c r="N1653" s="403">
        <v>1920</v>
      </c>
      <c r="O1653" s="403">
        <v>1080</v>
      </c>
      <c r="P1653" t="str">
        <f t="shared" si="201"/>
        <v>60fps 1080p - 1080p</v>
      </c>
      <c r="Q1653">
        <f t="shared" si="202"/>
        <v>9</v>
      </c>
      <c r="R1653" t="str">
        <f t="shared" si="203"/>
        <v/>
      </c>
      <c r="S1653" t="str">
        <f t="shared" si="204"/>
        <v/>
      </c>
      <c r="T1653" s="403" t="str">
        <f t="shared" si="205"/>
        <v>NBE-6502-AL</v>
      </c>
      <c r="U1653" s="403">
        <f t="shared" si="206"/>
        <v>1</v>
      </c>
      <c r="V1653" s="403" t="str">
        <f t="shared" si="207"/>
        <v>CPP_7_3</v>
      </c>
    </row>
    <row r="1654" spans="1:22">
      <c r="A1654" t="str">
        <f t="shared" si="200"/>
        <v>NBE-6502-AL</v>
      </c>
      <c r="B1654" s="403" t="s">
        <v>1386</v>
      </c>
      <c r="C1654" s="403" t="s">
        <v>582</v>
      </c>
      <c r="D1654" s="403" t="s">
        <v>1387</v>
      </c>
      <c r="E1654" s="403" t="s">
        <v>778</v>
      </c>
      <c r="F1654" s="403" t="s">
        <v>1288</v>
      </c>
      <c r="G1654" s="403" t="s">
        <v>1466</v>
      </c>
      <c r="H1654" s="403" t="s">
        <v>1276</v>
      </c>
      <c r="I1654" s="403">
        <v>1</v>
      </c>
      <c r="J1654" s="403" t="s">
        <v>110</v>
      </c>
      <c r="K1654" s="403">
        <v>1920</v>
      </c>
      <c r="L1654" s="403">
        <v>1080</v>
      </c>
      <c r="M1654" s="403" t="s">
        <v>1289</v>
      </c>
      <c r="N1654" s="403">
        <v>1280</v>
      </c>
      <c r="O1654" s="403">
        <v>720</v>
      </c>
      <c r="P1654" t="str">
        <f t="shared" si="201"/>
        <v>60fps 1080p - 720p full frame rate</v>
      </c>
      <c r="Q1654">
        <f t="shared" si="202"/>
        <v>9</v>
      </c>
      <c r="R1654" t="str">
        <f t="shared" si="203"/>
        <v/>
      </c>
      <c r="S1654" t="str">
        <f t="shared" si="204"/>
        <v/>
      </c>
      <c r="T1654" s="403" t="str">
        <f t="shared" si="205"/>
        <v>NBE-6502-AL</v>
      </c>
      <c r="U1654" s="403">
        <f t="shared" si="206"/>
        <v>1</v>
      </c>
      <c r="V1654" s="403" t="str">
        <f t="shared" si="207"/>
        <v>CPP_7_3</v>
      </c>
    </row>
    <row r="1655" spans="1:22">
      <c r="A1655" t="str">
        <f t="shared" si="200"/>
        <v>NBE-6502-AL</v>
      </c>
      <c r="B1655" s="403" t="s">
        <v>1386</v>
      </c>
      <c r="C1655" s="403" t="s">
        <v>582</v>
      </c>
      <c r="D1655" s="403" t="s">
        <v>1387</v>
      </c>
      <c r="E1655" s="403" t="s">
        <v>778</v>
      </c>
      <c r="F1655" s="403" t="s">
        <v>1288</v>
      </c>
      <c r="G1655" s="403" t="s">
        <v>1466</v>
      </c>
      <c r="H1655" s="403" t="s">
        <v>1276</v>
      </c>
      <c r="I1655" s="403">
        <v>1</v>
      </c>
      <c r="J1655" s="403" t="s">
        <v>110</v>
      </c>
      <c r="K1655" s="403">
        <v>1920</v>
      </c>
      <c r="L1655" s="403">
        <v>1080</v>
      </c>
      <c r="M1655" s="403" t="s">
        <v>1285</v>
      </c>
      <c r="N1655" s="403">
        <v>1280</v>
      </c>
      <c r="O1655" s="403">
        <v>1024</v>
      </c>
      <c r="P1655" t="str">
        <f t="shared" si="201"/>
        <v>60fps 1080p - 1280x1024 5:4 (cropped)</v>
      </c>
      <c r="Q1655">
        <f t="shared" si="202"/>
        <v>9</v>
      </c>
      <c r="R1655" t="str">
        <f t="shared" si="203"/>
        <v/>
      </c>
      <c r="S1655" t="str">
        <f t="shared" si="204"/>
        <v/>
      </c>
      <c r="T1655" s="403" t="str">
        <f t="shared" si="205"/>
        <v>NBE-6502-AL</v>
      </c>
      <c r="U1655" s="403">
        <f t="shared" si="206"/>
        <v>1</v>
      </c>
      <c r="V1655" s="403" t="str">
        <f t="shared" si="207"/>
        <v>CPP_7_3</v>
      </c>
    </row>
    <row r="1656" spans="1:22">
      <c r="A1656" t="str">
        <f t="shared" si="200"/>
        <v>NBE-6502-AL</v>
      </c>
      <c r="B1656" s="403" t="s">
        <v>1386</v>
      </c>
      <c r="C1656" s="403" t="s">
        <v>582</v>
      </c>
      <c r="D1656" s="403" t="s">
        <v>1387</v>
      </c>
      <c r="E1656" s="403" t="s">
        <v>778</v>
      </c>
      <c r="F1656" s="403" t="s">
        <v>1288</v>
      </c>
      <c r="G1656" s="403" t="s">
        <v>1466</v>
      </c>
      <c r="H1656" s="403" t="s">
        <v>1276</v>
      </c>
      <c r="I1656" s="403">
        <v>1</v>
      </c>
      <c r="J1656" s="403" t="s">
        <v>110</v>
      </c>
      <c r="K1656" s="403">
        <v>1920</v>
      </c>
      <c r="L1656" s="403">
        <v>1080</v>
      </c>
      <c r="M1656" s="403" t="s">
        <v>1279</v>
      </c>
      <c r="N1656" s="403">
        <v>768</v>
      </c>
      <c r="O1656" s="403">
        <v>432</v>
      </c>
      <c r="P1656" t="str">
        <f t="shared" si="201"/>
        <v>60fps 1080p - SD ROI PTZ</v>
      </c>
      <c r="Q1656">
        <f t="shared" si="202"/>
        <v>9</v>
      </c>
      <c r="R1656" t="str">
        <f t="shared" si="203"/>
        <v/>
      </c>
      <c r="S1656" t="str">
        <f t="shared" si="204"/>
        <v/>
      </c>
      <c r="T1656" s="403" t="str">
        <f t="shared" si="205"/>
        <v>NBE-6502-AL</v>
      </c>
      <c r="U1656" s="403">
        <f t="shared" si="206"/>
        <v>1</v>
      </c>
      <c r="V1656" s="403" t="str">
        <f t="shared" si="207"/>
        <v>CPP_7_3</v>
      </c>
    </row>
    <row r="1657" spans="1:22">
      <c r="A1657" t="str">
        <f t="shared" si="200"/>
        <v>NBE-6502-AL</v>
      </c>
      <c r="B1657" s="403" t="s">
        <v>1386</v>
      </c>
      <c r="C1657" s="403" t="s">
        <v>582</v>
      </c>
      <c r="D1657" s="403" t="s">
        <v>1387</v>
      </c>
      <c r="E1657" s="403" t="s">
        <v>778</v>
      </c>
      <c r="F1657" s="403" t="s">
        <v>1288</v>
      </c>
      <c r="G1657" s="403" t="s">
        <v>1466</v>
      </c>
      <c r="H1657" s="403" t="s">
        <v>1276</v>
      </c>
      <c r="I1657" s="403">
        <v>1</v>
      </c>
      <c r="J1657" s="403" t="s">
        <v>110</v>
      </c>
      <c r="K1657" s="403">
        <v>1920</v>
      </c>
      <c r="L1657" s="403">
        <v>1080</v>
      </c>
      <c r="M1657" s="403" t="s">
        <v>1283</v>
      </c>
      <c r="N1657" s="403">
        <v>720</v>
      </c>
      <c r="O1657" s="403">
        <v>480</v>
      </c>
      <c r="P1657" t="str">
        <f t="shared" si="201"/>
        <v>60fps 1080p - SD 4CIF resolution 4:3 format (cropped)</v>
      </c>
      <c r="Q1657">
        <f t="shared" si="202"/>
        <v>9</v>
      </c>
      <c r="R1657" t="str">
        <f t="shared" si="203"/>
        <v/>
      </c>
      <c r="S1657" t="str">
        <f t="shared" si="204"/>
        <v/>
      </c>
      <c r="T1657" s="403" t="str">
        <f t="shared" si="205"/>
        <v>NBE-6502-AL</v>
      </c>
      <c r="U1657" s="403">
        <f t="shared" si="206"/>
        <v>1</v>
      </c>
      <c r="V1657" s="403" t="str">
        <f t="shared" si="207"/>
        <v>CPP_7_3</v>
      </c>
    </row>
    <row r="1658" spans="1:22">
      <c r="A1658" t="str">
        <f t="shared" si="200"/>
        <v>NBE-6502-AL</v>
      </c>
      <c r="B1658" s="403" t="s">
        <v>1386</v>
      </c>
      <c r="C1658" s="403" t="s">
        <v>582</v>
      </c>
      <c r="D1658" s="403" t="s">
        <v>1387</v>
      </c>
      <c r="E1658" s="403" t="s">
        <v>778</v>
      </c>
      <c r="F1658" s="403" t="s">
        <v>1288</v>
      </c>
      <c r="G1658" s="403" t="s">
        <v>1466</v>
      </c>
      <c r="H1658" s="403" t="s">
        <v>1276</v>
      </c>
      <c r="I1658" s="403">
        <v>1</v>
      </c>
      <c r="J1658" s="403" t="s">
        <v>110</v>
      </c>
      <c r="K1658" s="403">
        <v>1920</v>
      </c>
      <c r="L1658" s="403">
        <v>1080</v>
      </c>
      <c r="M1658" s="403" t="s">
        <v>1284</v>
      </c>
      <c r="N1658" s="403">
        <v>640</v>
      </c>
      <c r="O1658" s="403">
        <v>480</v>
      </c>
      <c r="P1658" t="str">
        <f t="shared" si="201"/>
        <v>60fps 1080p - SD VGA (cropped)</v>
      </c>
      <c r="Q1658">
        <f t="shared" si="202"/>
        <v>9</v>
      </c>
      <c r="R1658" t="str">
        <f t="shared" si="203"/>
        <v/>
      </c>
      <c r="S1658" t="str">
        <f t="shared" si="204"/>
        <v/>
      </c>
      <c r="T1658" s="403" t="str">
        <f t="shared" si="205"/>
        <v>NBE-6502-AL</v>
      </c>
      <c r="U1658" s="403">
        <f t="shared" si="206"/>
        <v>1</v>
      </c>
      <c r="V1658" s="403" t="str">
        <f t="shared" si="207"/>
        <v>CPP_7_3</v>
      </c>
    </row>
    <row r="1659" spans="1:22">
      <c r="A1659" t="str">
        <f t="shared" si="200"/>
        <v>NBE-6502-AL</v>
      </c>
      <c r="B1659" s="403" t="s">
        <v>1386</v>
      </c>
      <c r="C1659" s="403" t="s">
        <v>582</v>
      </c>
      <c r="D1659" s="403" t="s">
        <v>1387</v>
      </c>
      <c r="E1659" s="403" t="s">
        <v>778</v>
      </c>
      <c r="F1659" s="403" t="s">
        <v>1288</v>
      </c>
      <c r="G1659" s="403" t="s">
        <v>1466</v>
      </c>
      <c r="H1659" s="403" t="s">
        <v>1276</v>
      </c>
      <c r="I1659" s="403">
        <v>1</v>
      </c>
      <c r="J1659" s="403" t="s">
        <v>1289</v>
      </c>
      <c r="K1659" s="403">
        <v>1280</v>
      </c>
      <c r="L1659" s="403">
        <v>720</v>
      </c>
      <c r="M1659" s="403" t="s">
        <v>1289</v>
      </c>
      <c r="N1659" s="403">
        <v>1280</v>
      </c>
      <c r="O1659" s="403">
        <v>720</v>
      </c>
      <c r="P1659" t="str">
        <f t="shared" si="201"/>
        <v>60fps 720p full frame rate - 720p full frame rate</v>
      </c>
      <c r="Q1659">
        <f t="shared" si="202"/>
        <v>9</v>
      </c>
      <c r="R1659" t="str">
        <f t="shared" si="203"/>
        <v/>
      </c>
      <c r="S1659" t="str">
        <f t="shared" si="204"/>
        <v/>
      </c>
      <c r="T1659" s="403" t="str">
        <f t="shared" si="205"/>
        <v>NBE-6502-AL</v>
      </c>
      <c r="U1659" s="403">
        <f t="shared" si="206"/>
        <v>1</v>
      </c>
      <c r="V1659" s="403" t="str">
        <f t="shared" si="207"/>
        <v>CPP_7_3</v>
      </c>
    </row>
    <row r="1660" spans="1:22">
      <c r="A1660" t="str">
        <f t="shared" si="200"/>
        <v>NBE-6502-AL</v>
      </c>
      <c r="B1660" s="403" t="s">
        <v>1386</v>
      </c>
      <c r="C1660" s="403" t="s">
        <v>582</v>
      </c>
      <c r="D1660" s="403" t="s">
        <v>1387</v>
      </c>
      <c r="E1660" s="403" t="s">
        <v>778</v>
      </c>
      <c r="F1660" s="403" t="s">
        <v>1288</v>
      </c>
      <c r="G1660" s="403" t="s">
        <v>1466</v>
      </c>
      <c r="H1660" s="403" t="s">
        <v>1276</v>
      </c>
      <c r="I1660" s="403">
        <v>1</v>
      </c>
      <c r="J1660" s="403" t="s">
        <v>1289</v>
      </c>
      <c r="K1660" s="403">
        <v>1280</v>
      </c>
      <c r="L1660" s="403">
        <v>720</v>
      </c>
      <c r="M1660" s="403" t="s">
        <v>111</v>
      </c>
      <c r="N1660" s="403">
        <v>768</v>
      </c>
      <c r="O1660" s="403">
        <v>432</v>
      </c>
      <c r="P1660" t="str">
        <f t="shared" si="201"/>
        <v>60fps 720p full frame rate - SD</v>
      </c>
      <c r="Q1660">
        <f t="shared" si="202"/>
        <v>9</v>
      </c>
      <c r="R1660" t="str">
        <f t="shared" si="203"/>
        <v/>
      </c>
      <c r="S1660" t="str">
        <f t="shared" si="204"/>
        <v/>
      </c>
      <c r="T1660" s="403" t="str">
        <f t="shared" si="205"/>
        <v>NBE-6502-AL</v>
      </c>
      <c r="U1660" s="403">
        <f t="shared" si="206"/>
        <v>1</v>
      </c>
      <c r="V1660" s="403" t="str">
        <f t="shared" si="207"/>
        <v>CPP_7_3</v>
      </c>
    </row>
    <row r="1661" spans="1:22">
      <c r="A1661" t="str">
        <f t="shared" si="200"/>
        <v>NBE-6502-AL</v>
      </c>
      <c r="B1661" s="403" t="s">
        <v>1386</v>
      </c>
      <c r="C1661" s="403" t="s">
        <v>582</v>
      </c>
      <c r="D1661" s="403" t="s">
        <v>1387</v>
      </c>
      <c r="E1661" s="403" t="s">
        <v>778</v>
      </c>
      <c r="F1661" s="403" t="s">
        <v>1288</v>
      </c>
      <c r="G1661" s="403" t="s">
        <v>1466</v>
      </c>
      <c r="H1661" s="403" t="s">
        <v>1276</v>
      </c>
      <c r="I1661" s="403">
        <v>1</v>
      </c>
      <c r="J1661" s="403" t="s">
        <v>1289</v>
      </c>
      <c r="K1661" s="403">
        <v>1280</v>
      </c>
      <c r="L1661" s="403">
        <v>720</v>
      </c>
      <c r="M1661" s="403" t="s">
        <v>1279</v>
      </c>
      <c r="N1661" s="403">
        <v>768</v>
      </c>
      <c r="O1661" s="403">
        <v>432</v>
      </c>
      <c r="P1661" t="str">
        <f t="shared" si="201"/>
        <v>60fps 720p full frame rate - SD ROI PTZ</v>
      </c>
      <c r="Q1661">
        <f t="shared" si="202"/>
        <v>9</v>
      </c>
      <c r="R1661" t="str">
        <f t="shared" si="203"/>
        <v/>
      </c>
      <c r="S1661" t="str">
        <f t="shared" si="204"/>
        <v/>
      </c>
      <c r="T1661" s="403" t="str">
        <f t="shared" si="205"/>
        <v>NBE-6502-AL</v>
      </c>
      <c r="U1661" s="403">
        <f t="shared" si="206"/>
        <v>1</v>
      </c>
      <c r="V1661" s="403" t="str">
        <f t="shared" si="207"/>
        <v>CPP_7_3</v>
      </c>
    </row>
    <row r="1662" spans="1:22">
      <c r="A1662" t="str">
        <f t="shared" si="200"/>
        <v>NBE-6502-AL</v>
      </c>
      <c r="B1662" s="403" t="s">
        <v>1386</v>
      </c>
      <c r="C1662" s="403" t="s">
        <v>582</v>
      </c>
      <c r="D1662" s="403" t="s">
        <v>1387</v>
      </c>
      <c r="E1662" s="403" t="s">
        <v>778</v>
      </c>
      <c r="F1662" s="403" t="s">
        <v>1288</v>
      </c>
      <c r="G1662" s="403" t="s">
        <v>1466</v>
      </c>
      <c r="H1662" s="403" t="s">
        <v>1276</v>
      </c>
      <c r="I1662" s="403">
        <v>1</v>
      </c>
      <c r="J1662" s="403" t="s">
        <v>1289</v>
      </c>
      <c r="K1662" s="403">
        <v>1280</v>
      </c>
      <c r="L1662" s="403">
        <v>720</v>
      </c>
      <c r="M1662" s="403" t="s">
        <v>1283</v>
      </c>
      <c r="N1662" s="403">
        <v>720</v>
      </c>
      <c r="O1662" s="403">
        <v>480</v>
      </c>
      <c r="P1662" t="str">
        <f t="shared" si="201"/>
        <v>60fps 720p full frame rate - SD 4CIF resolution 4:3 format (cropped)</v>
      </c>
      <c r="Q1662">
        <f t="shared" si="202"/>
        <v>9</v>
      </c>
      <c r="R1662" t="str">
        <f t="shared" si="203"/>
        <v/>
      </c>
      <c r="S1662" t="str">
        <f t="shared" si="204"/>
        <v/>
      </c>
      <c r="T1662" s="403" t="str">
        <f t="shared" si="205"/>
        <v>NBE-6502-AL</v>
      </c>
      <c r="U1662" s="403">
        <f t="shared" si="206"/>
        <v>1</v>
      </c>
      <c r="V1662" s="403" t="str">
        <f t="shared" si="207"/>
        <v>CPP_7_3</v>
      </c>
    </row>
    <row r="1663" spans="1:22">
      <c r="A1663" t="str">
        <f t="shared" si="200"/>
        <v>NBE-6502-AL</v>
      </c>
      <c r="B1663" s="403" t="s">
        <v>1386</v>
      </c>
      <c r="C1663" s="403" t="s">
        <v>582</v>
      </c>
      <c r="D1663" s="403" t="s">
        <v>1387</v>
      </c>
      <c r="E1663" s="403" t="s">
        <v>778</v>
      </c>
      <c r="F1663" s="403" t="s">
        <v>1288</v>
      </c>
      <c r="G1663" s="403" t="s">
        <v>1466</v>
      </c>
      <c r="H1663" s="403" t="s">
        <v>1276</v>
      </c>
      <c r="I1663" s="403">
        <v>1</v>
      </c>
      <c r="J1663" s="403" t="s">
        <v>1289</v>
      </c>
      <c r="K1663" s="403">
        <v>1280</v>
      </c>
      <c r="L1663" s="403">
        <v>720</v>
      </c>
      <c r="M1663" s="403" t="s">
        <v>1284</v>
      </c>
      <c r="N1663" s="403">
        <v>640</v>
      </c>
      <c r="O1663" s="403">
        <v>480</v>
      </c>
      <c r="P1663" t="str">
        <f t="shared" si="201"/>
        <v>60fps 720p full frame rate - SD VGA (cropped)</v>
      </c>
      <c r="Q1663">
        <f t="shared" si="202"/>
        <v>9</v>
      </c>
      <c r="R1663" t="str">
        <f t="shared" si="203"/>
        <v/>
      </c>
      <c r="S1663" t="str">
        <f t="shared" si="204"/>
        <v/>
      </c>
      <c r="T1663" s="403" t="str">
        <f t="shared" si="205"/>
        <v>NBE-6502-AL</v>
      </c>
      <c r="U1663" s="403">
        <f t="shared" si="206"/>
        <v>1</v>
      </c>
      <c r="V1663" s="403" t="str">
        <f t="shared" si="207"/>
        <v>CPP_7_3</v>
      </c>
    </row>
    <row r="1664" spans="1:22">
      <c r="A1664" t="str">
        <f t="shared" si="200"/>
        <v>NBE-6502-AL</v>
      </c>
      <c r="B1664" s="403" t="s">
        <v>1386</v>
      </c>
      <c r="C1664" s="403" t="s">
        <v>582</v>
      </c>
      <c r="D1664" s="403" t="s">
        <v>1387</v>
      </c>
      <c r="E1664" s="403" t="s">
        <v>778</v>
      </c>
      <c r="F1664" s="403" t="s">
        <v>1288</v>
      </c>
      <c r="G1664" s="403" t="s">
        <v>1466</v>
      </c>
      <c r="H1664" s="403" t="s">
        <v>1281</v>
      </c>
      <c r="I1664" s="403">
        <v>1</v>
      </c>
      <c r="J1664" s="403" t="s">
        <v>110</v>
      </c>
      <c r="K1664" s="403">
        <v>1920</v>
      </c>
      <c r="L1664" s="403">
        <v>1080</v>
      </c>
      <c r="M1664" s="403" t="s">
        <v>111</v>
      </c>
      <c r="N1664" s="403">
        <v>768</v>
      </c>
      <c r="O1664" s="403">
        <v>432</v>
      </c>
      <c r="P1664" t="str">
        <f t="shared" si="201"/>
        <v>60fps 1080p - SD</v>
      </c>
      <c r="Q1664">
        <f t="shared" si="202"/>
        <v>9</v>
      </c>
      <c r="R1664" t="str">
        <f t="shared" si="203"/>
        <v/>
      </c>
      <c r="S1664" t="str">
        <f t="shared" si="204"/>
        <v/>
      </c>
      <c r="T1664" s="403" t="str">
        <f t="shared" si="205"/>
        <v>NBE-6502-AL</v>
      </c>
      <c r="U1664" s="403">
        <f t="shared" si="206"/>
        <v>1</v>
      </c>
      <c r="V1664" s="403" t="str">
        <f t="shared" si="207"/>
        <v>CPP_7_3</v>
      </c>
    </row>
    <row r="1665" spans="1:22">
      <c r="A1665" t="str">
        <f t="shared" si="200"/>
        <v>NBE-6502-AL</v>
      </c>
      <c r="B1665" s="403" t="s">
        <v>1386</v>
      </c>
      <c r="C1665" s="403" t="s">
        <v>582</v>
      </c>
      <c r="D1665" s="403" t="s">
        <v>1387</v>
      </c>
      <c r="E1665" s="403" t="s">
        <v>778</v>
      </c>
      <c r="F1665" s="403" t="s">
        <v>1288</v>
      </c>
      <c r="G1665" s="403" t="s">
        <v>1466</v>
      </c>
      <c r="H1665" s="403" t="s">
        <v>1281</v>
      </c>
      <c r="I1665" s="403">
        <v>1</v>
      </c>
      <c r="J1665" s="403" t="s">
        <v>110</v>
      </c>
      <c r="K1665" s="403">
        <v>1920</v>
      </c>
      <c r="L1665" s="403">
        <v>1080</v>
      </c>
      <c r="M1665" s="403" t="s">
        <v>1279</v>
      </c>
      <c r="N1665" s="403">
        <v>768</v>
      </c>
      <c r="O1665" s="403">
        <v>432</v>
      </c>
      <c r="P1665" t="str">
        <f t="shared" si="201"/>
        <v>60fps 1080p - SD ROI PTZ</v>
      </c>
      <c r="Q1665">
        <f t="shared" si="202"/>
        <v>9</v>
      </c>
      <c r="R1665" t="str">
        <f t="shared" si="203"/>
        <v/>
      </c>
      <c r="S1665" t="str">
        <f t="shared" si="204"/>
        <v/>
      </c>
      <c r="T1665" s="403" t="str">
        <f t="shared" si="205"/>
        <v>NBE-6502-AL</v>
      </c>
      <c r="U1665" s="403">
        <f t="shared" si="206"/>
        <v>1</v>
      </c>
      <c r="V1665" s="403" t="str">
        <f t="shared" si="207"/>
        <v>CPP_7_3</v>
      </c>
    </row>
    <row r="1666" spans="1:22">
      <c r="A1666" t="str">
        <f t="shared" ref="A1666:A1729" si="208">IF(AND(G1666&lt;&gt;"rotate 90°"),D1666,"")</f>
        <v>NBE-6502-AL</v>
      </c>
      <c r="B1666" s="403" t="s">
        <v>1386</v>
      </c>
      <c r="C1666" s="403" t="s">
        <v>582</v>
      </c>
      <c r="D1666" s="403" t="s">
        <v>1387</v>
      </c>
      <c r="E1666" s="403" t="s">
        <v>778</v>
      </c>
      <c r="F1666" s="403" t="s">
        <v>1288</v>
      </c>
      <c r="G1666" s="403" t="s">
        <v>1466</v>
      </c>
      <c r="H1666" s="403" t="s">
        <v>1281</v>
      </c>
      <c r="I1666" s="403">
        <v>1</v>
      </c>
      <c r="J1666" s="403" t="s">
        <v>110</v>
      </c>
      <c r="K1666" s="403">
        <v>1920</v>
      </c>
      <c r="L1666" s="403">
        <v>1080</v>
      </c>
      <c r="M1666" s="403" t="s">
        <v>1283</v>
      </c>
      <c r="N1666" s="403">
        <v>720</v>
      </c>
      <c r="O1666" s="403">
        <v>480</v>
      </c>
      <c r="P1666" t="str">
        <f t="shared" ref="P1666:P1729" si="209">LEFT(F1666,5)&amp;" "&amp;J1666&amp;" - "&amp;M1666</f>
        <v>60fps 1080p - SD 4CIF resolution 4:3 format (cropped)</v>
      </c>
      <c r="Q1666">
        <f t="shared" ref="Q1666:Q1729" si="210">IF(A1665=A1666,Q1665,Q1665+1)</f>
        <v>9</v>
      </c>
      <c r="R1666" t="str">
        <f t="shared" ref="R1666:R1729" si="211">IF(Q1665&lt;&gt;Q1666,Q1666,"")</f>
        <v/>
      </c>
      <c r="S1666" t="str">
        <f t="shared" ref="S1666:S1729" si="212">IF(R1666&lt;&gt;"",B1666&amp;" ("&amp;D1666&amp;")","")</f>
        <v/>
      </c>
      <c r="T1666" s="403" t="str">
        <f t="shared" ref="T1666:T1729" si="213">D1666</f>
        <v>NBE-6502-AL</v>
      </c>
      <c r="U1666" s="403">
        <f t="shared" ref="U1666:U1729" si="214">I1666</f>
        <v>1</v>
      </c>
      <c r="V1666" s="403" t="str">
        <f t="shared" ref="V1666:V1729" si="215">C1666</f>
        <v>CPP_7_3</v>
      </c>
    </row>
    <row r="1667" spans="1:22">
      <c r="A1667" t="str">
        <f t="shared" si="208"/>
        <v>NBE-6502-AL</v>
      </c>
      <c r="B1667" s="403" t="s">
        <v>1386</v>
      </c>
      <c r="C1667" s="403" t="s">
        <v>582</v>
      </c>
      <c r="D1667" s="403" t="s">
        <v>1387</v>
      </c>
      <c r="E1667" s="403" t="s">
        <v>778</v>
      </c>
      <c r="F1667" s="403" t="s">
        <v>1288</v>
      </c>
      <c r="G1667" s="403" t="s">
        <v>1466</v>
      </c>
      <c r="H1667" s="403" t="s">
        <v>1281</v>
      </c>
      <c r="I1667" s="403">
        <v>1</v>
      </c>
      <c r="J1667" s="403" t="s">
        <v>110</v>
      </c>
      <c r="K1667" s="403">
        <v>1920</v>
      </c>
      <c r="L1667" s="403">
        <v>1080</v>
      </c>
      <c r="M1667" s="403" t="s">
        <v>1284</v>
      </c>
      <c r="N1667" s="403">
        <v>640</v>
      </c>
      <c r="O1667" s="403">
        <v>480</v>
      </c>
      <c r="P1667" t="str">
        <f t="shared" si="209"/>
        <v>60fps 1080p - SD VGA (cropped)</v>
      </c>
      <c r="Q1667">
        <f t="shared" si="210"/>
        <v>9</v>
      </c>
      <c r="R1667" t="str">
        <f t="shared" si="211"/>
        <v/>
      </c>
      <c r="S1667" t="str">
        <f t="shared" si="212"/>
        <v/>
      </c>
      <c r="T1667" s="403" t="str">
        <f t="shared" si="213"/>
        <v>NBE-6502-AL</v>
      </c>
      <c r="U1667" s="403">
        <f t="shared" si="214"/>
        <v>1</v>
      </c>
      <c r="V1667" s="403" t="str">
        <f t="shared" si="215"/>
        <v>CPP_7_3</v>
      </c>
    </row>
    <row r="1668" spans="1:22">
      <c r="A1668" t="str">
        <f t="shared" si="208"/>
        <v>NBE-6502-AL</v>
      </c>
      <c r="B1668" s="403" t="s">
        <v>1386</v>
      </c>
      <c r="C1668" s="403" t="s">
        <v>582</v>
      </c>
      <c r="D1668" s="403" t="s">
        <v>1387</v>
      </c>
      <c r="E1668" s="403" t="s">
        <v>778</v>
      </c>
      <c r="F1668" s="403" t="s">
        <v>1288</v>
      </c>
      <c r="G1668" s="403" t="s">
        <v>1466</v>
      </c>
      <c r="H1668" s="403" t="s">
        <v>1281</v>
      </c>
      <c r="I1668" s="403">
        <v>1</v>
      </c>
      <c r="J1668" s="403" t="s">
        <v>1289</v>
      </c>
      <c r="K1668" s="403">
        <v>1280</v>
      </c>
      <c r="L1668" s="403">
        <v>720</v>
      </c>
      <c r="M1668" s="403" t="s">
        <v>1289</v>
      </c>
      <c r="N1668" s="403">
        <v>1280</v>
      </c>
      <c r="O1668" s="403">
        <v>720</v>
      </c>
      <c r="P1668" t="str">
        <f t="shared" si="209"/>
        <v>60fps 720p full frame rate - 720p full frame rate</v>
      </c>
      <c r="Q1668">
        <f t="shared" si="210"/>
        <v>9</v>
      </c>
      <c r="R1668" t="str">
        <f t="shared" si="211"/>
        <v/>
      </c>
      <c r="S1668" t="str">
        <f t="shared" si="212"/>
        <v/>
      </c>
      <c r="T1668" s="403" t="str">
        <f t="shared" si="213"/>
        <v>NBE-6502-AL</v>
      </c>
      <c r="U1668" s="403">
        <f t="shared" si="214"/>
        <v>1</v>
      </c>
      <c r="V1668" s="403" t="str">
        <f t="shared" si="215"/>
        <v>CPP_7_3</v>
      </c>
    </row>
    <row r="1669" spans="1:22">
      <c r="A1669" t="str">
        <f t="shared" si="208"/>
        <v>NBE-6502-AL</v>
      </c>
      <c r="B1669" s="403" t="s">
        <v>1386</v>
      </c>
      <c r="C1669" s="403" t="s">
        <v>582</v>
      </c>
      <c r="D1669" s="403" t="s">
        <v>1387</v>
      </c>
      <c r="E1669" s="403" t="s">
        <v>778</v>
      </c>
      <c r="F1669" s="403" t="s">
        <v>1288</v>
      </c>
      <c r="G1669" s="403" t="s">
        <v>1466</v>
      </c>
      <c r="H1669" s="403" t="s">
        <v>1281</v>
      </c>
      <c r="I1669" s="403">
        <v>1</v>
      </c>
      <c r="J1669" s="403" t="s">
        <v>1289</v>
      </c>
      <c r="K1669" s="403">
        <v>1280</v>
      </c>
      <c r="L1669" s="403">
        <v>720</v>
      </c>
      <c r="M1669" s="403" t="s">
        <v>111</v>
      </c>
      <c r="N1669" s="403">
        <v>768</v>
      </c>
      <c r="O1669" s="403">
        <v>432</v>
      </c>
      <c r="P1669" t="str">
        <f t="shared" si="209"/>
        <v>60fps 720p full frame rate - SD</v>
      </c>
      <c r="Q1669">
        <f t="shared" si="210"/>
        <v>9</v>
      </c>
      <c r="R1669" t="str">
        <f t="shared" si="211"/>
        <v/>
      </c>
      <c r="S1669" t="str">
        <f t="shared" si="212"/>
        <v/>
      </c>
      <c r="T1669" s="403" t="str">
        <f t="shared" si="213"/>
        <v>NBE-6502-AL</v>
      </c>
      <c r="U1669" s="403">
        <f t="shared" si="214"/>
        <v>1</v>
      </c>
      <c r="V1669" s="403" t="str">
        <f t="shared" si="215"/>
        <v>CPP_7_3</v>
      </c>
    </row>
    <row r="1670" spans="1:22">
      <c r="A1670" t="str">
        <f t="shared" si="208"/>
        <v>NBE-6502-AL</v>
      </c>
      <c r="B1670" s="403" t="s">
        <v>1386</v>
      </c>
      <c r="C1670" s="403" t="s">
        <v>582</v>
      </c>
      <c r="D1670" s="403" t="s">
        <v>1387</v>
      </c>
      <c r="E1670" s="403" t="s">
        <v>778</v>
      </c>
      <c r="F1670" s="403" t="s">
        <v>1288</v>
      </c>
      <c r="G1670" s="403" t="s">
        <v>1466</v>
      </c>
      <c r="H1670" s="403" t="s">
        <v>1281</v>
      </c>
      <c r="I1670" s="403">
        <v>1</v>
      </c>
      <c r="J1670" s="403" t="s">
        <v>1289</v>
      </c>
      <c r="K1670" s="403">
        <v>1280</v>
      </c>
      <c r="L1670" s="403">
        <v>720</v>
      </c>
      <c r="M1670" s="403" t="s">
        <v>1279</v>
      </c>
      <c r="N1670" s="403">
        <v>768</v>
      </c>
      <c r="O1670" s="403">
        <v>432</v>
      </c>
      <c r="P1670" t="str">
        <f t="shared" si="209"/>
        <v>60fps 720p full frame rate - SD ROI PTZ</v>
      </c>
      <c r="Q1670">
        <f t="shared" si="210"/>
        <v>9</v>
      </c>
      <c r="R1670" t="str">
        <f t="shared" si="211"/>
        <v/>
      </c>
      <c r="S1670" t="str">
        <f t="shared" si="212"/>
        <v/>
      </c>
      <c r="T1670" s="403" t="str">
        <f t="shared" si="213"/>
        <v>NBE-6502-AL</v>
      </c>
      <c r="U1670" s="403">
        <f t="shared" si="214"/>
        <v>1</v>
      </c>
      <c r="V1670" s="403" t="str">
        <f t="shared" si="215"/>
        <v>CPP_7_3</v>
      </c>
    </row>
    <row r="1671" spans="1:22">
      <c r="A1671" t="str">
        <f t="shared" si="208"/>
        <v>NBE-6502-AL</v>
      </c>
      <c r="B1671" s="403" t="s">
        <v>1386</v>
      </c>
      <c r="C1671" s="403" t="s">
        <v>582</v>
      </c>
      <c r="D1671" s="403" t="s">
        <v>1387</v>
      </c>
      <c r="E1671" s="403" t="s">
        <v>778</v>
      </c>
      <c r="F1671" s="403" t="s">
        <v>1288</v>
      </c>
      <c r="G1671" s="403" t="s">
        <v>1466</v>
      </c>
      <c r="H1671" s="403" t="s">
        <v>1281</v>
      </c>
      <c r="I1671" s="403">
        <v>1</v>
      </c>
      <c r="J1671" s="403" t="s">
        <v>1289</v>
      </c>
      <c r="K1671" s="403">
        <v>1280</v>
      </c>
      <c r="L1671" s="403">
        <v>720</v>
      </c>
      <c r="M1671" s="403" t="s">
        <v>1283</v>
      </c>
      <c r="N1671" s="403">
        <v>720</v>
      </c>
      <c r="O1671" s="403">
        <v>480</v>
      </c>
      <c r="P1671" t="str">
        <f t="shared" si="209"/>
        <v>60fps 720p full frame rate - SD 4CIF resolution 4:3 format (cropped)</v>
      </c>
      <c r="Q1671">
        <f t="shared" si="210"/>
        <v>9</v>
      </c>
      <c r="R1671" t="str">
        <f t="shared" si="211"/>
        <v/>
      </c>
      <c r="S1671" t="str">
        <f t="shared" si="212"/>
        <v/>
      </c>
      <c r="T1671" s="403" t="str">
        <f t="shared" si="213"/>
        <v>NBE-6502-AL</v>
      </c>
      <c r="U1671" s="403">
        <f t="shared" si="214"/>
        <v>1</v>
      </c>
      <c r="V1671" s="403" t="str">
        <f t="shared" si="215"/>
        <v>CPP_7_3</v>
      </c>
    </row>
    <row r="1672" spans="1:22">
      <c r="A1672" t="str">
        <f t="shared" si="208"/>
        <v>NBE-6502-AL</v>
      </c>
      <c r="B1672" s="403" t="s">
        <v>1386</v>
      </c>
      <c r="C1672" s="403" t="s">
        <v>582</v>
      </c>
      <c r="D1672" s="403" t="s">
        <v>1387</v>
      </c>
      <c r="E1672" s="403" t="s">
        <v>778</v>
      </c>
      <c r="F1672" s="403" t="s">
        <v>1288</v>
      </c>
      <c r="G1672" s="403" t="s">
        <v>1466</v>
      </c>
      <c r="H1672" s="403" t="s">
        <v>1281</v>
      </c>
      <c r="I1672" s="403">
        <v>1</v>
      </c>
      <c r="J1672" s="403" t="s">
        <v>1289</v>
      </c>
      <c r="K1672" s="403">
        <v>1280</v>
      </c>
      <c r="L1672" s="403">
        <v>720</v>
      </c>
      <c r="M1672" s="403" t="s">
        <v>1284</v>
      </c>
      <c r="N1672" s="403">
        <v>640</v>
      </c>
      <c r="O1672" s="403">
        <v>480</v>
      </c>
      <c r="P1672" t="str">
        <f t="shared" si="209"/>
        <v>60fps 720p full frame rate - SD VGA (cropped)</v>
      </c>
      <c r="Q1672">
        <f t="shared" si="210"/>
        <v>9</v>
      </c>
      <c r="R1672" t="str">
        <f t="shared" si="211"/>
        <v/>
      </c>
      <c r="S1672" t="str">
        <f t="shared" si="212"/>
        <v/>
      </c>
      <c r="T1672" s="403" t="str">
        <f t="shared" si="213"/>
        <v>NBE-6502-AL</v>
      </c>
      <c r="U1672" s="403">
        <f t="shared" si="214"/>
        <v>1</v>
      </c>
      <c r="V1672" s="403" t="str">
        <f t="shared" si="215"/>
        <v>CPP_7_3</v>
      </c>
    </row>
    <row r="1673" spans="1:22">
      <c r="A1673" t="str">
        <f t="shared" si="208"/>
        <v>NBE-6502-AL</v>
      </c>
      <c r="B1673" s="403" t="s">
        <v>1386</v>
      </c>
      <c r="C1673" s="403" t="s">
        <v>582</v>
      </c>
      <c r="D1673" s="403" t="s">
        <v>1387</v>
      </c>
      <c r="E1673" s="403" t="s">
        <v>778</v>
      </c>
      <c r="F1673" s="403" t="s">
        <v>1288</v>
      </c>
      <c r="G1673" s="403" t="s">
        <v>1466</v>
      </c>
      <c r="H1673" s="403" t="s">
        <v>1282</v>
      </c>
      <c r="I1673" s="403">
        <v>1</v>
      </c>
      <c r="J1673" s="403" t="s">
        <v>110</v>
      </c>
      <c r="K1673" s="403">
        <v>1920</v>
      </c>
      <c r="L1673" s="403">
        <v>1080</v>
      </c>
      <c r="M1673" s="403" t="s">
        <v>111</v>
      </c>
      <c r="N1673" s="403">
        <v>768</v>
      </c>
      <c r="O1673" s="403">
        <v>432</v>
      </c>
      <c r="P1673" t="str">
        <f t="shared" si="209"/>
        <v>60fps 1080p - SD</v>
      </c>
      <c r="Q1673">
        <f t="shared" si="210"/>
        <v>9</v>
      </c>
      <c r="R1673" t="str">
        <f t="shared" si="211"/>
        <v/>
      </c>
      <c r="S1673" t="str">
        <f t="shared" si="212"/>
        <v/>
      </c>
      <c r="T1673" s="403" t="str">
        <f t="shared" si="213"/>
        <v>NBE-6502-AL</v>
      </c>
      <c r="U1673" s="403">
        <f t="shared" si="214"/>
        <v>1</v>
      </c>
      <c r="V1673" s="403" t="str">
        <f t="shared" si="215"/>
        <v>CPP_7_3</v>
      </c>
    </row>
    <row r="1674" spans="1:22">
      <c r="A1674" t="str">
        <f t="shared" si="208"/>
        <v>NBE-6502-AL</v>
      </c>
      <c r="B1674" s="403" t="s">
        <v>1386</v>
      </c>
      <c r="C1674" s="403" t="s">
        <v>582</v>
      </c>
      <c r="D1674" s="403" t="s">
        <v>1387</v>
      </c>
      <c r="E1674" s="403" t="s">
        <v>778</v>
      </c>
      <c r="F1674" s="403" t="s">
        <v>1288</v>
      </c>
      <c r="G1674" s="403" t="s">
        <v>1466</v>
      </c>
      <c r="H1674" s="403" t="s">
        <v>1282</v>
      </c>
      <c r="I1674" s="403">
        <v>1</v>
      </c>
      <c r="J1674" s="403" t="s">
        <v>110</v>
      </c>
      <c r="K1674" s="403">
        <v>1920</v>
      </c>
      <c r="L1674" s="403">
        <v>1080</v>
      </c>
      <c r="M1674" s="403" t="s">
        <v>1289</v>
      </c>
      <c r="N1674" s="403">
        <v>1280</v>
      </c>
      <c r="O1674" s="403">
        <v>720</v>
      </c>
      <c r="P1674" t="str">
        <f t="shared" si="209"/>
        <v>60fps 1080p - 720p full frame rate</v>
      </c>
      <c r="Q1674">
        <f t="shared" si="210"/>
        <v>9</v>
      </c>
      <c r="R1674" t="str">
        <f t="shared" si="211"/>
        <v/>
      </c>
      <c r="S1674" t="str">
        <f t="shared" si="212"/>
        <v/>
      </c>
      <c r="T1674" s="403" t="str">
        <f t="shared" si="213"/>
        <v>NBE-6502-AL</v>
      </c>
      <c r="U1674" s="403">
        <f t="shared" si="214"/>
        <v>1</v>
      </c>
      <c r="V1674" s="403" t="str">
        <f t="shared" si="215"/>
        <v>CPP_7_3</v>
      </c>
    </row>
    <row r="1675" spans="1:22">
      <c r="A1675" t="str">
        <f t="shared" si="208"/>
        <v>NBE-6502-AL</v>
      </c>
      <c r="B1675" s="403" t="s">
        <v>1386</v>
      </c>
      <c r="C1675" s="403" t="s">
        <v>582</v>
      </c>
      <c r="D1675" s="403" t="s">
        <v>1387</v>
      </c>
      <c r="E1675" s="403" t="s">
        <v>778</v>
      </c>
      <c r="F1675" s="403" t="s">
        <v>1288</v>
      </c>
      <c r="G1675" s="403" t="s">
        <v>1466</v>
      </c>
      <c r="H1675" s="403" t="s">
        <v>1282</v>
      </c>
      <c r="I1675" s="403">
        <v>1</v>
      </c>
      <c r="J1675" s="403" t="s">
        <v>110</v>
      </c>
      <c r="K1675" s="403">
        <v>1920</v>
      </c>
      <c r="L1675" s="403">
        <v>1080</v>
      </c>
      <c r="M1675" s="403" t="s">
        <v>1285</v>
      </c>
      <c r="N1675" s="403">
        <v>1280</v>
      </c>
      <c r="O1675" s="403">
        <v>1024</v>
      </c>
      <c r="P1675" t="str">
        <f t="shared" si="209"/>
        <v>60fps 1080p - 1280x1024 5:4 (cropped)</v>
      </c>
      <c r="Q1675">
        <f t="shared" si="210"/>
        <v>9</v>
      </c>
      <c r="R1675" t="str">
        <f t="shared" si="211"/>
        <v/>
      </c>
      <c r="S1675" t="str">
        <f t="shared" si="212"/>
        <v/>
      </c>
      <c r="T1675" s="403" t="str">
        <f t="shared" si="213"/>
        <v>NBE-6502-AL</v>
      </c>
      <c r="U1675" s="403">
        <f t="shared" si="214"/>
        <v>1</v>
      </c>
      <c r="V1675" s="403" t="str">
        <f t="shared" si="215"/>
        <v>CPP_7_3</v>
      </c>
    </row>
    <row r="1676" spans="1:22">
      <c r="A1676" t="str">
        <f t="shared" si="208"/>
        <v>NBE-6502-AL</v>
      </c>
      <c r="B1676" s="403" t="s">
        <v>1386</v>
      </c>
      <c r="C1676" s="403" t="s">
        <v>582</v>
      </c>
      <c r="D1676" s="403" t="s">
        <v>1387</v>
      </c>
      <c r="E1676" s="403" t="s">
        <v>778</v>
      </c>
      <c r="F1676" s="403" t="s">
        <v>1288</v>
      </c>
      <c r="G1676" s="403" t="s">
        <v>1466</v>
      </c>
      <c r="H1676" s="403" t="s">
        <v>1282</v>
      </c>
      <c r="I1676" s="403">
        <v>1</v>
      </c>
      <c r="J1676" s="403" t="s">
        <v>110</v>
      </c>
      <c r="K1676" s="403">
        <v>1920</v>
      </c>
      <c r="L1676" s="403">
        <v>1080</v>
      </c>
      <c r="M1676" s="403" t="s">
        <v>1279</v>
      </c>
      <c r="N1676" s="403">
        <v>768</v>
      </c>
      <c r="O1676" s="403">
        <v>432</v>
      </c>
      <c r="P1676" t="str">
        <f t="shared" si="209"/>
        <v>60fps 1080p - SD ROI PTZ</v>
      </c>
      <c r="Q1676">
        <f t="shared" si="210"/>
        <v>9</v>
      </c>
      <c r="R1676" t="str">
        <f t="shared" si="211"/>
        <v/>
      </c>
      <c r="S1676" t="str">
        <f t="shared" si="212"/>
        <v/>
      </c>
      <c r="T1676" s="403" t="str">
        <f t="shared" si="213"/>
        <v>NBE-6502-AL</v>
      </c>
      <c r="U1676" s="403">
        <f t="shared" si="214"/>
        <v>1</v>
      </c>
      <c r="V1676" s="403" t="str">
        <f t="shared" si="215"/>
        <v>CPP_7_3</v>
      </c>
    </row>
    <row r="1677" spans="1:22">
      <c r="A1677" t="str">
        <f t="shared" si="208"/>
        <v>NBE-6502-AL</v>
      </c>
      <c r="B1677" s="403" t="s">
        <v>1386</v>
      </c>
      <c r="C1677" s="403" t="s">
        <v>582</v>
      </c>
      <c r="D1677" s="403" t="s">
        <v>1387</v>
      </c>
      <c r="E1677" s="403" t="s">
        <v>778</v>
      </c>
      <c r="F1677" s="403" t="s">
        <v>1288</v>
      </c>
      <c r="G1677" s="403" t="s">
        <v>1466</v>
      </c>
      <c r="H1677" s="403" t="s">
        <v>1282</v>
      </c>
      <c r="I1677" s="403">
        <v>1</v>
      </c>
      <c r="J1677" s="403" t="s">
        <v>110</v>
      </c>
      <c r="K1677" s="403">
        <v>1920</v>
      </c>
      <c r="L1677" s="403">
        <v>1080</v>
      </c>
      <c r="M1677" s="403" t="s">
        <v>1283</v>
      </c>
      <c r="N1677" s="403">
        <v>720</v>
      </c>
      <c r="O1677" s="403">
        <v>480</v>
      </c>
      <c r="P1677" t="str">
        <f t="shared" si="209"/>
        <v>60fps 1080p - SD 4CIF resolution 4:3 format (cropped)</v>
      </c>
      <c r="Q1677">
        <f t="shared" si="210"/>
        <v>9</v>
      </c>
      <c r="R1677" t="str">
        <f t="shared" si="211"/>
        <v/>
      </c>
      <c r="S1677" t="str">
        <f t="shared" si="212"/>
        <v/>
      </c>
      <c r="T1677" s="403" t="str">
        <f t="shared" si="213"/>
        <v>NBE-6502-AL</v>
      </c>
      <c r="U1677" s="403">
        <f t="shared" si="214"/>
        <v>1</v>
      </c>
      <c r="V1677" s="403" t="str">
        <f t="shared" si="215"/>
        <v>CPP_7_3</v>
      </c>
    </row>
    <row r="1678" spans="1:22">
      <c r="A1678" t="str">
        <f t="shared" si="208"/>
        <v>NBE-6502-AL</v>
      </c>
      <c r="B1678" s="403" t="s">
        <v>1386</v>
      </c>
      <c r="C1678" s="403" t="s">
        <v>582</v>
      </c>
      <c r="D1678" s="403" t="s">
        <v>1387</v>
      </c>
      <c r="E1678" s="403" t="s">
        <v>778</v>
      </c>
      <c r="F1678" s="403" t="s">
        <v>1288</v>
      </c>
      <c r="G1678" s="403" t="s">
        <v>1466</v>
      </c>
      <c r="H1678" s="403" t="s">
        <v>1282</v>
      </c>
      <c r="I1678" s="403">
        <v>1</v>
      </c>
      <c r="J1678" s="403" t="s">
        <v>110</v>
      </c>
      <c r="K1678" s="403">
        <v>1920</v>
      </c>
      <c r="L1678" s="403">
        <v>1080</v>
      </c>
      <c r="M1678" s="403" t="s">
        <v>1284</v>
      </c>
      <c r="N1678" s="403">
        <v>640</v>
      </c>
      <c r="O1678" s="403">
        <v>480</v>
      </c>
      <c r="P1678" t="str">
        <f t="shared" si="209"/>
        <v>60fps 1080p - SD VGA (cropped)</v>
      </c>
      <c r="Q1678">
        <f t="shared" si="210"/>
        <v>9</v>
      </c>
      <c r="R1678" t="str">
        <f t="shared" si="211"/>
        <v/>
      </c>
      <c r="S1678" t="str">
        <f t="shared" si="212"/>
        <v/>
      </c>
      <c r="T1678" s="403" t="str">
        <f t="shared" si="213"/>
        <v>NBE-6502-AL</v>
      </c>
      <c r="U1678" s="403">
        <f t="shared" si="214"/>
        <v>1</v>
      </c>
      <c r="V1678" s="403" t="str">
        <f t="shared" si="215"/>
        <v>CPP_7_3</v>
      </c>
    </row>
    <row r="1679" spans="1:22">
      <c r="A1679" t="str">
        <f t="shared" si="208"/>
        <v>NBE-6502-AL</v>
      </c>
      <c r="B1679" s="403" t="s">
        <v>1386</v>
      </c>
      <c r="C1679" s="403" t="s">
        <v>582</v>
      </c>
      <c r="D1679" s="403" t="s">
        <v>1387</v>
      </c>
      <c r="E1679" s="403" t="s">
        <v>778</v>
      </c>
      <c r="F1679" s="403" t="s">
        <v>1288</v>
      </c>
      <c r="G1679" s="403" t="s">
        <v>1466</v>
      </c>
      <c r="H1679" s="403" t="s">
        <v>1282</v>
      </c>
      <c r="I1679" s="403">
        <v>1</v>
      </c>
      <c r="J1679" s="403" t="s">
        <v>1289</v>
      </c>
      <c r="K1679" s="403">
        <v>1280</v>
      </c>
      <c r="L1679" s="403">
        <v>720</v>
      </c>
      <c r="M1679" s="403" t="s">
        <v>1289</v>
      </c>
      <c r="N1679" s="403">
        <v>1280</v>
      </c>
      <c r="O1679" s="403">
        <v>720</v>
      </c>
      <c r="P1679" t="str">
        <f t="shared" si="209"/>
        <v>60fps 720p full frame rate - 720p full frame rate</v>
      </c>
      <c r="Q1679">
        <f t="shared" si="210"/>
        <v>9</v>
      </c>
      <c r="R1679" t="str">
        <f t="shared" si="211"/>
        <v/>
      </c>
      <c r="S1679" t="str">
        <f t="shared" si="212"/>
        <v/>
      </c>
      <c r="T1679" s="403" t="str">
        <f t="shared" si="213"/>
        <v>NBE-6502-AL</v>
      </c>
      <c r="U1679" s="403">
        <f t="shared" si="214"/>
        <v>1</v>
      </c>
      <c r="V1679" s="403" t="str">
        <f t="shared" si="215"/>
        <v>CPP_7_3</v>
      </c>
    </row>
    <row r="1680" spans="1:22">
      <c r="A1680" t="str">
        <f t="shared" si="208"/>
        <v>NBE-6502-AL</v>
      </c>
      <c r="B1680" s="403" t="s">
        <v>1386</v>
      </c>
      <c r="C1680" s="403" t="s">
        <v>582</v>
      </c>
      <c r="D1680" s="403" t="s">
        <v>1387</v>
      </c>
      <c r="E1680" s="403" t="s">
        <v>778</v>
      </c>
      <c r="F1680" s="403" t="s">
        <v>1288</v>
      </c>
      <c r="G1680" s="403" t="s">
        <v>1466</v>
      </c>
      <c r="H1680" s="403" t="s">
        <v>1282</v>
      </c>
      <c r="I1680" s="403">
        <v>1</v>
      </c>
      <c r="J1680" s="403" t="s">
        <v>1289</v>
      </c>
      <c r="K1680" s="403">
        <v>1280</v>
      </c>
      <c r="L1680" s="403">
        <v>720</v>
      </c>
      <c r="M1680" s="403" t="s">
        <v>111</v>
      </c>
      <c r="N1680" s="403">
        <v>768</v>
      </c>
      <c r="O1680" s="403">
        <v>432</v>
      </c>
      <c r="P1680" t="str">
        <f t="shared" si="209"/>
        <v>60fps 720p full frame rate - SD</v>
      </c>
      <c r="Q1680">
        <f t="shared" si="210"/>
        <v>9</v>
      </c>
      <c r="R1680" t="str">
        <f t="shared" si="211"/>
        <v/>
      </c>
      <c r="S1680" t="str">
        <f t="shared" si="212"/>
        <v/>
      </c>
      <c r="T1680" s="403" t="str">
        <f t="shared" si="213"/>
        <v>NBE-6502-AL</v>
      </c>
      <c r="U1680" s="403">
        <f t="shared" si="214"/>
        <v>1</v>
      </c>
      <c r="V1680" s="403" t="str">
        <f t="shared" si="215"/>
        <v>CPP_7_3</v>
      </c>
    </row>
    <row r="1681" spans="1:22">
      <c r="A1681" t="str">
        <f t="shared" si="208"/>
        <v>NBE-6502-AL</v>
      </c>
      <c r="B1681" s="403" t="s">
        <v>1386</v>
      </c>
      <c r="C1681" s="403" t="s">
        <v>582</v>
      </c>
      <c r="D1681" s="403" t="s">
        <v>1387</v>
      </c>
      <c r="E1681" s="403" t="s">
        <v>778</v>
      </c>
      <c r="F1681" s="403" t="s">
        <v>1288</v>
      </c>
      <c r="G1681" s="403" t="s">
        <v>1466</v>
      </c>
      <c r="H1681" s="403" t="s">
        <v>1282</v>
      </c>
      <c r="I1681" s="403">
        <v>1</v>
      </c>
      <c r="J1681" s="403" t="s">
        <v>1289</v>
      </c>
      <c r="K1681" s="403">
        <v>1280</v>
      </c>
      <c r="L1681" s="403">
        <v>720</v>
      </c>
      <c r="M1681" s="403" t="s">
        <v>1279</v>
      </c>
      <c r="N1681" s="403">
        <v>768</v>
      </c>
      <c r="O1681" s="403">
        <v>432</v>
      </c>
      <c r="P1681" t="str">
        <f t="shared" si="209"/>
        <v>60fps 720p full frame rate - SD ROI PTZ</v>
      </c>
      <c r="Q1681">
        <f t="shared" si="210"/>
        <v>9</v>
      </c>
      <c r="R1681" t="str">
        <f t="shared" si="211"/>
        <v/>
      </c>
      <c r="S1681" t="str">
        <f t="shared" si="212"/>
        <v/>
      </c>
      <c r="T1681" s="403" t="str">
        <f t="shared" si="213"/>
        <v>NBE-6502-AL</v>
      </c>
      <c r="U1681" s="403">
        <f t="shared" si="214"/>
        <v>1</v>
      </c>
      <c r="V1681" s="403" t="str">
        <f t="shared" si="215"/>
        <v>CPP_7_3</v>
      </c>
    </row>
    <row r="1682" spans="1:22">
      <c r="A1682" t="str">
        <f t="shared" si="208"/>
        <v>NBE-6502-AL</v>
      </c>
      <c r="B1682" s="403" t="s">
        <v>1386</v>
      </c>
      <c r="C1682" s="403" t="s">
        <v>582</v>
      </c>
      <c r="D1682" s="403" t="s">
        <v>1387</v>
      </c>
      <c r="E1682" s="403" t="s">
        <v>778</v>
      </c>
      <c r="F1682" s="403" t="s">
        <v>1288</v>
      </c>
      <c r="G1682" s="403" t="s">
        <v>1466</v>
      </c>
      <c r="H1682" s="403" t="s">
        <v>1282</v>
      </c>
      <c r="I1682" s="403">
        <v>1</v>
      </c>
      <c r="J1682" s="403" t="s">
        <v>1289</v>
      </c>
      <c r="K1682" s="403">
        <v>1280</v>
      </c>
      <c r="L1682" s="403">
        <v>720</v>
      </c>
      <c r="M1682" s="403" t="s">
        <v>1283</v>
      </c>
      <c r="N1682" s="403">
        <v>720</v>
      </c>
      <c r="O1682" s="403">
        <v>480</v>
      </c>
      <c r="P1682" t="str">
        <f t="shared" si="209"/>
        <v>60fps 720p full frame rate - SD 4CIF resolution 4:3 format (cropped)</v>
      </c>
      <c r="Q1682">
        <f t="shared" si="210"/>
        <v>9</v>
      </c>
      <c r="R1682" t="str">
        <f t="shared" si="211"/>
        <v/>
      </c>
      <c r="S1682" t="str">
        <f t="shared" si="212"/>
        <v/>
      </c>
      <c r="T1682" s="403" t="str">
        <f t="shared" si="213"/>
        <v>NBE-6502-AL</v>
      </c>
      <c r="U1682" s="403">
        <f t="shared" si="214"/>
        <v>1</v>
      </c>
      <c r="V1682" s="403" t="str">
        <f t="shared" si="215"/>
        <v>CPP_7_3</v>
      </c>
    </row>
    <row r="1683" spans="1:22">
      <c r="A1683" t="str">
        <f t="shared" si="208"/>
        <v>NBE-6502-AL</v>
      </c>
      <c r="B1683" s="403" t="s">
        <v>1386</v>
      </c>
      <c r="C1683" s="403" t="s">
        <v>582</v>
      </c>
      <c r="D1683" s="403" t="s">
        <v>1387</v>
      </c>
      <c r="E1683" s="403" t="s">
        <v>778</v>
      </c>
      <c r="F1683" s="403" t="s">
        <v>1288</v>
      </c>
      <c r="G1683" s="403" t="s">
        <v>1466</v>
      </c>
      <c r="H1683" s="403" t="s">
        <v>1282</v>
      </c>
      <c r="I1683" s="403">
        <v>1</v>
      </c>
      <c r="J1683" s="403" t="s">
        <v>1289</v>
      </c>
      <c r="K1683" s="403">
        <v>1280</v>
      </c>
      <c r="L1683" s="403">
        <v>720</v>
      </c>
      <c r="M1683" s="403" t="s">
        <v>1284</v>
      </c>
      <c r="N1683" s="403">
        <v>640</v>
      </c>
      <c r="O1683" s="403">
        <v>480</v>
      </c>
      <c r="P1683" t="str">
        <f t="shared" si="209"/>
        <v>60fps 720p full frame rate - SD VGA (cropped)</v>
      </c>
      <c r="Q1683">
        <f t="shared" si="210"/>
        <v>9</v>
      </c>
      <c r="R1683" t="str">
        <f t="shared" si="211"/>
        <v/>
      </c>
      <c r="S1683" t="str">
        <f t="shared" si="212"/>
        <v/>
      </c>
      <c r="T1683" s="403" t="str">
        <f t="shared" si="213"/>
        <v>NBE-6502-AL</v>
      </c>
      <c r="U1683" s="403">
        <f t="shared" si="214"/>
        <v>1</v>
      </c>
      <c r="V1683" s="403" t="str">
        <f t="shared" si="215"/>
        <v>CPP_7_3</v>
      </c>
    </row>
    <row r="1684" spans="1:22">
      <c r="A1684" t="str">
        <f t="shared" si="208"/>
        <v>NBE-6502-AL</v>
      </c>
      <c r="B1684" s="403" t="s">
        <v>1386</v>
      </c>
      <c r="C1684" s="403" t="s">
        <v>582</v>
      </c>
      <c r="D1684" s="403" t="s">
        <v>1387</v>
      </c>
      <c r="E1684" s="403" t="s">
        <v>778</v>
      </c>
      <c r="F1684" s="403" t="s">
        <v>1288</v>
      </c>
      <c r="G1684" s="403" t="s">
        <v>1467</v>
      </c>
      <c r="H1684" s="403" t="s">
        <v>1276</v>
      </c>
      <c r="I1684" s="403">
        <v>1</v>
      </c>
      <c r="J1684" s="403" t="s">
        <v>110</v>
      </c>
      <c r="K1684" s="403">
        <v>1080</v>
      </c>
      <c r="L1684" s="403">
        <v>1920</v>
      </c>
      <c r="M1684" s="403" t="s">
        <v>111</v>
      </c>
      <c r="N1684" s="403">
        <v>432</v>
      </c>
      <c r="O1684" s="403">
        <v>768</v>
      </c>
      <c r="P1684" t="str">
        <f t="shared" si="209"/>
        <v>60fps 1080p - SD</v>
      </c>
      <c r="Q1684">
        <f t="shared" si="210"/>
        <v>9</v>
      </c>
      <c r="R1684" t="str">
        <f t="shared" si="211"/>
        <v/>
      </c>
      <c r="S1684" t="str">
        <f t="shared" si="212"/>
        <v/>
      </c>
      <c r="T1684" s="403" t="str">
        <f t="shared" si="213"/>
        <v>NBE-6502-AL</v>
      </c>
      <c r="U1684" s="403">
        <f t="shared" si="214"/>
        <v>1</v>
      </c>
      <c r="V1684" s="403" t="str">
        <f t="shared" si="215"/>
        <v>CPP_7_3</v>
      </c>
    </row>
    <row r="1685" spans="1:22">
      <c r="A1685" t="str">
        <f t="shared" si="208"/>
        <v>NBE-6502-AL</v>
      </c>
      <c r="B1685" s="403" t="s">
        <v>1386</v>
      </c>
      <c r="C1685" s="403" t="s">
        <v>582</v>
      </c>
      <c r="D1685" s="403" t="s">
        <v>1387</v>
      </c>
      <c r="E1685" s="403" t="s">
        <v>778</v>
      </c>
      <c r="F1685" s="403" t="s">
        <v>1288</v>
      </c>
      <c r="G1685" s="403" t="s">
        <v>1467</v>
      </c>
      <c r="H1685" s="403" t="s">
        <v>1276</v>
      </c>
      <c r="I1685" s="403">
        <v>1</v>
      </c>
      <c r="J1685" s="403" t="s">
        <v>110</v>
      </c>
      <c r="K1685" s="403">
        <v>1080</v>
      </c>
      <c r="L1685" s="403">
        <v>1920</v>
      </c>
      <c r="M1685" s="403" t="s">
        <v>1289</v>
      </c>
      <c r="N1685" s="403">
        <v>720</v>
      </c>
      <c r="O1685" s="403">
        <v>1280</v>
      </c>
      <c r="P1685" t="str">
        <f t="shared" si="209"/>
        <v>60fps 1080p - 720p full frame rate</v>
      </c>
      <c r="Q1685">
        <f t="shared" si="210"/>
        <v>9</v>
      </c>
      <c r="R1685" t="str">
        <f t="shared" si="211"/>
        <v/>
      </c>
      <c r="S1685" t="str">
        <f t="shared" si="212"/>
        <v/>
      </c>
      <c r="T1685" s="403" t="str">
        <f t="shared" si="213"/>
        <v>NBE-6502-AL</v>
      </c>
      <c r="U1685" s="403">
        <f t="shared" si="214"/>
        <v>1</v>
      </c>
      <c r="V1685" s="403" t="str">
        <f t="shared" si="215"/>
        <v>CPP_7_3</v>
      </c>
    </row>
    <row r="1686" spans="1:22">
      <c r="A1686" t="str">
        <f t="shared" si="208"/>
        <v>NBE-6502-AL</v>
      </c>
      <c r="B1686" s="403" t="s">
        <v>1386</v>
      </c>
      <c r="C1686" s="403" t="s">
        <v>582</v>
      </c>
      <c r="D1686" s="403" t="s">
        <v>1387</v>
      </c>
      <c r="E1686" s="403" t="s">
        <v>778</v>
      </c>
      <c r="F1686" s="403" t="s">
        <v>1288</v>
      </c>
      <c r="G1686" s="403" t="s">
        <v>1467</v>
      </c>
      <c r="H1686" s="403" t="s">
        <v>1276</v>
      </c>
      <c r="I1686" s="403">
        <v>1</v>
      </c>
      <c r="J1686" s="403" t="s">
        <v>110</v>
      </c>
      <c r="K1686" s="403">
        <v>1080</v>
      </c>
      <c r="L1686" s="403">
        <v>1920</v>
      </c>
      <c r="M1686" s="403" t="s">
        <v>1285</v>
      </c>
      <c r="N1686" s="403">
        <v>1024</v>
      </c>
      <c r="O1686" s="403">
        <v>1280</v>
      </c>
      <c r="P1686" t="str">
        <f t="shared" si="209"/>
        <v>60fps 1080p - 1280x1024 5:4 (cropped)</v>
      </c>
      <c r="Q1686">
        <f t="shared" si="210"/>
        <v>9</v>
      </c>
      <c r="R1686" t="str">
        <f t="shared" si="211"/>
        <v/>
      </c>
      <c r="S1686" t="str">
        <f t="shared" si="212"/>
        <v/>
      </c>
      <c r="T1686" s="403" t="str">
        <f t="shared" si="213"/>
        <v>NBE-6502-AL</v>
      </c>
      <c r="U1686" s="403">
        <f t="shared" si="214"/>
        <v>1</v>
      </c>
      <c r="V1686" s="403" t="str">
        <f t="shared" si="215"/>
        <v>CPP_7_3</v>
      </c>
    </row>
    <row r="1687" spans="1:22">
      <c r="A1687" t="str">
        <f t="shared" si="208"/>
        <v>NBE-6502-AL</v>
      </c>
      <c r="B1687" s="403" t="s">
        <v>1386</v>
      </c>
      <c r="C1687" s="403" t="s">
        <v>582</v>
      </c>
      <c r="D1687" s="403" t="s">
        <v>1387</v>
      </c>
      <c r="E1687" s="403" t="s">
        <v>778</v>
      </c>
      <c r="F1687" s="403" t="s">
        <v>1288</v>
      </c>
      <c r="G1687" s="403" t="s">
        <v>1467</v>
      </c>
      <c r="H1687" s="403" t="s">
        <v>1276</v>
      </c>
      <c r="I1687" s="403">
        <v>1</v>
      </c>
      <c r="J1687" s="403" t="s">
        <v>110</v>
      </c>
      <c r="K1687" s="403">
        <v>1080</v>
      </c>
      <c r="L1687" s="403">
        <v>1920</v>
      </c>
      <c r="M1687" s="403" t="s">
        <v>1279</v>
      </c>
      <c r="N1687" s="403">
        <v>432</v>
      </c>
      <c r="O1687" s="403">
        <v>768</v>
      </c>
      <c r="P1687" t="str">
        <f t="shared" si="209"/>
        <v>60fps 1080p - SD ROI PTZ</v>
      </c>
      <c r="Q1687">
        <f t="shared" si="210"/>
        <v>9</v>
      </c>
      <c r="R1687" t="str">
        <f t="shared" si="211"/>
        <v/>
      </c>
      <c r="S1687" t="str">
        <f t="shared" si="212"/>
        <v/>
      </c>
      <c r="T1687" s="403" t="str">
        <f t="shared" si="213"/>
        <v>NBE-6502-AL</v>
      </c>
      <c r="U1687" s="403">
        <f t="shared" si="214"/>
        <v>1</v>
      </c>
      <c r="V1687" s="403" t="str">
        <f t="shared" si="215"/>
        <v>CPP_7_3</v>
      </c>
    </row>
    <row r="1688" spans="1:22">
      <c r="A1688" t="str">
        <f t="shared" si="208"/>
        <v>NBE-6502-AL</v>
      </c>
      <c r="B1688" s="403" t="s">
        <v>1386</v>
      </c>
      <c r="C1688" s="403" t="s">
        <v>582</v>
      </c>
      <c r="D1688" s="403" t="s">
        <v>1387</v>
      </c>
      <c r="E1688" s="403" t="s">
        <v>778</v>
      </c>
      <c r="F1688" s="403" t="s">
        <v>1288</v>
      </c>
      <c r="G1688" s="403" t="s">
        <v>1467</v>
      </c>
      <c r="H1688" s="403" t="s">
        <v>1276</v>
      </c>
      <c r="I1688" s="403">
        <v>1</v>
      </c>
      <c r="J1688" s="403" t="s">
        <v>110</v>
      </c>
      <c r="K1688" s="403">
        <v>1080</v>
      </c>
      <c r="L1688" s="403">
        <v>1920</v>
      </c>
      <c r="M1688" s="403" t="s">
        <v>1283</v>
      </c>
      <c r="N1688" s="403">
        <v>480</v>
      </c>
      <c r="O1688" s="403">
        <v>720</v>
      </c>
      <c r="P1688" t="str">
        <f t="shared" si="209"/>
        <v>60fps 1080p - SD 4CIF resolution 4:3 format (cropped)</v>
      </c>
      <c r="Q1688">
        <f t="shared" si="210"/>
        <v>9</v>
      </c>
      <c r="R1688" t="str">
        <f t="shared" si="211"/>
        <v/>
      </c>
      <c r="S1688" t="str">
        <f t="shared" si="212"/>
        <v/>
      </c>
      <c r="T1688" s="403" t="str">
        <f t="shared" si="213"/>
        <v>NBE-6502-AL</v>
      </c>
      <c r="U1688" s="403">
        <f t="shared" si="214"/>
        <v>1</v>
      </c>
      <c r="V1688" s="403" t="str">
        <f t="shared" si="215"/>
        <v>CPP_7_3</v>
      </c>
    </row>
    <row r="1689" spans="1:22">
      <c r="A1689" t="str">
        <f t="shared" si="208"/>
        <v>NBE-6502-AL</v>
      </c>
      <c r="B1689" s="403" t="s">
        <v>1386</v>
      </c>
      <c r="C1689" s="403" t="s">
        <v>582</v>
      </c>
      <c r="D1689" s="403" t="s">
        <v>1387</v>
      </c>
      <c r="E1689" s="403" t="s">
        <v>778</v>
      </c>
      <c r="F1689" s="403" t="s">
        <v>1288</v>
      </c>
      <c r="G1689" s="403" t="s">
        <v>1467</v>
      </c>
      <c r="H1689" s="403" t="s">
        <v>1276</v>
      </c>
      <c r="I1689" s="403">
        <v>1</v>
      </c>
      <c r="J1689" s="403" t="s">
        <v>110</v>
      </c>
      <c r="K1689" s="403">
        <v>1080</v>
      </c>
      <c r="L1689" s="403">
        <v>1920</v>
      </c>
      <c r="M1689" s="403" t="s">
        <v>1284</v>
      </c>
      <c r="N1689" s="403">
        <v>480</v>
      </c>
      <c r="O1689" s="403">
        <v>640</v>
      </c>
      <c r="P1689" t="str">
        <f t="shared" si="209"/>
        <v>60fps 1080p - SD VGA (cropped)</v>
      </c>
      <c r="Q1689">
        <f t="shared" si="210"/>
        <v>9</v>
      </c>
      <c r="R1689" t="str">
        <f t="shared" si="211"/>
        <v/>
      </c>
      <c r="S1689" t="str">
        <f t="shared" si="212"/>
        <v/>
      </c>
      <c r="T1689" s="403" t="str">
        <f t="shared" si="213"/>
        <v>NBE-6502-AL</v>
      </c>
      <c r="U1689" s="403">
        <f t="shared" si="214"/>
        <v>1</v>
      </c>
      <c r="V1689" s="403" t="str">
        <f t="shared" si="215"/>
        <v>CPP_7_3</v>
      </c>
    </row>
    <row r="1690" spans="1:22">
      <c r="A1690" t="str">
        <f t="shared" si="208"/>
        <v>NBE-6502-AL</v>
      </c>
      <c r="B1690" s="403" t="s">
        <v>1386</v>
      </c>
      <c r="C1690" s="403" t="s">
        <v>582</v>
      </c>
      <c r="D1690" s="403" t="s">
        <v>1387</v>
      </c>
      <c r="E1690" s="403" t="s">
        <v>778</v>
      </c>
      <c r="F1690" s="403" t="s">
        <v>1288</v>
      </c>
      <c r="G1690" s="403" t="s">
        <v>1467</v>
      </c>
      <c r="H1690" s="403" t="s">
        <v>1276</v>
      </c>
      <c r="I1690" s="403">
        <v>1</v>
      </c>
      <c r="J1690" s="403" t="s">
        <v>1289</v>
      </c>
      <c r="K1690" s="403">
        <v>720</v>
      </c>
      <c r="L1690" s="403">
        <v>1280</v>
      </c>
      <c r="M1690" s="403" t="s">
        <v>1289</v>
      </c>
      <c r="N1690" s="403">
        <v>720</v>
      </c>
      <c r="O1690" s="403">
        <v>1280</v>
      </c>
      <c r="P1690" t="str">
        <f t="shared" si="209"/>
        <v>60fps 720p full frame rate - 720p full frame rate</v>
      </c>
      <c r="Q1690">
        <f t="shared" si="210"/>
        <v>9</v>
      </c>
      <c r="R1690" t="str">
        <f t="shared" si="211"/>
        <v/>
      </c>
      <c r="S1690" t="str">
        <f t="shared" si="212"/>
        <v/>
      </c>
      <c r="T1690" s="403" t="str">
        <f t="shared" si="213"/>
        <v>NBE-6502-AL</v>
      </c>
      <c r="U1690" s="403">
        <f t="shared" si="214"/>
        <v>1</v>
      </c>
      <c r="V1690" s="403" t="str">
        <f t="shared" si="215"/>
        <v>CPP_7_3</v>
      </c>
    </row>
    <row r="1691" spans="1:22">
      <c r="A1691" t="str">
        <f t="shared" si="208"/>
        <v>NBE-6502-AL</v>
      </c>
      <c r="B1691" s="403" t="s">
        <v>1386</v>
      </c>
      <c r="C1691" s="403" t="s">
        <v>582</v>
      </c>
      <c r="D1691" s="403" t="s">
        <v>1387</v>
      </c>
      <c r="E1691" s="403" t="s">
        <v>778</v>
      </c>
      <c r="F1691" s="403" t="s">
        <v>1288</v>
      </c>
      <c r="G1691" s="403" t="s">
        <v>1467</v>
      </c>
      <c r="H1691" s="403" t="s">
        <v>1276</v>
      </c>
      <c r="I1691" s="403">
        <v>1</v>
      </c>
      <c r="J1691" s="403" t="s">
        <v>1289</v>
      </c>
      <c r="K1691" s="403">
        <v>720</v>
      </c>
      <c r="L1691" s="403">
        <v>1280</v>
      </c>
      <c r="M1691" s="403" t="s">
        <v>111</v>
      </c>
      <c r="N1691" s="403">
        <v>432</v>
      </c>
      <c r="O1691" s="403">
        <v>768</v>
      </c>
      <c r="P1691" t="str">
        <f t="shared" si="209"/>
        <v>60fps 720p full frame rate - SD</v>
      </c>
      <c r="Q1691">
        <f t="shared" si="210"/>
        <v>9</v>
      </c>
      <c r="R1691" t="str">
        <f t="shared" si="211"/>
        <v/>
      </c>
      <c r="S1691" t="str">
        <f t="shared" si="212"/>
        <v/>
      </c>
      <c r="T1691" s="403" t="str">
        <f t="shared" si="213"/>
        <v>NBE-6502-AL</v>
      </c>
      <c r="U1691" s="403">
        <f t="shared" si="214"/>
        <v>1</v>
      </c>
      <c r="V1691" s="403" t="str">
        <f t="shared" si="215"/>
        <v>CPP_7_3</v>
      </c>
    </row>
    <row r="1692" spans="1:22">
      <c r="A1692" t="str">
        <f t="shared" si="208"/>
        <v>NBE-6502-AL</v>
      </c>
      <c r="B1692" s="403" t="s">
        <v>1386</v>
      </c>
      <c r="C1692" s="403" t="s">
        <v>582</v>
      </c>
      <c r="D1692" s="403" t="s">
        <v>1387</v>
      </c>
      <c r="E1692" s="403" t="s">
        <v>778</v>
      </c>
      <c r="F1692" s="403" t="s">
        <v>1288</v>
      </c>
      <c r="G1692" s="403" t="s">
        <v>1467</v>
      </c>
      <c r="H1692" s="403" t="s">
        <v>1276</v>
      </c>
      <c r="I1692" s="403">
        <v>1</v>
      </c>
      <c r="J1692" s="403" t="s">
        <v>1289</v>
      </c>
      <c r="K1692" s="403">
        <v>720</v>
      </c>
      <c r="L1692" s="403">
        <v>1280</v>
      </c>
      <c r="M1692" s="403" t="s">
        <v>1279</v>
      </c>
      <c r="N1692" s="403">
        <v>432</v>
      </c>
      <c r="O1692" s="403">
        <v>768</v>
      </c>
      <c r="P1692" t="str">
        <f t="shared" si="209"/>
        <v>60fps 720p full frame rate - SD ROI PTZ</v>
      </c>
      <c r="Q1692">
        <f t="shared" si="210"/>
        <v>9</v>
      </c>
      <c r="R1692" t="str">
        <f t="shared" si="211"/>
        <v/>
      </c>
      <c r="S1692" t="str">
        <f t="shared" si="212"/>
        <v/>
      </c>
      <c r="T1692" s="403" t="str">
        <f t="shared" si="213"/>
        <v>NBE-6502-AL</v>
      </c>
      <c r="U1692" s="403">
        <f t="shared" si="214"/>
        <v>1</v>
      </c>
      <c r="V1692" s="403" t="str">
        <f t="shared" si="215"/>
        <v>CPP_7_3</v>
      </c>
    </row>
    <row r="1693" spans="1:22">
      <c r="A1693" t="str">
        <f t="shared" si="208"/>
        <v>NBE-6502-AL</v>
      </c>
      <c r="B1693" s="403" t="s">
        <v>1386</v>
      </c>
      <c r="C1693" s="403" t="s">
        <v>582</v>
      </c>
      <c r="D1693" s="403" t="s">
        <v>1387</v>
      </c>
      <c r="E1693" s="403" t="s">
        <v>778</v>
      </c>
      <c r="F1693" s="403" t="s">
        <v>1288</v>
      </c>
      <c r="G1693" s="403" t="s">
        <v>1467</v>
      </c>
      <c r="H1693" s="403" t="s">
        <v>1276</v>
      </c>
      <c r="I1693" s="403">
        <v>1</v>
      </c>
      <c r="J1693" s="403" t="s">
        <v>1289</v>
      </c>
      <c r="K1693" s="403">
        <v>720</v>
      </c>
      <c r="L1693" s="403">
        <v>1280</v>
      </c>
      <c r="M1693" s="403" t="s">
        <v>1283</v>
      </c>
      <c r="N1693" s="403">
        <v>480</v>
      </c>
      <c r="O1693" s="403">
        <v>720</v>
      </c>
      <c r="P1693" t="str">
        <f t="shared" si="209"/>
        <v>60fps 720p full frame rate - SD 4CIF resolution 4:3 format (cropped)</v>
      </c>
      <c r="Q1693">
        <f t="shared" si="210"/>
        <v>9</v>
      </c>
      <c r="R1693" t="str">
        <f t="shared" si="211"/>
        <v/>
      </c>
      <c r="S1693" t="str">
        <f t="shared" si="212"/>
        <v/>
      </c>
      <c r="T1693" s="403" t="str">
        <f t="shared" si="213"/>
        <v>NBE-6502-AL</v>
      </c>
      <c r="U1693" s="403">
        <f t="shared" si="214"/>
        <v>1</v>
      </c>
      <c r="V1693" s="403" t="str">
        <f t="shared" si="215"/>
        <v>CPP_7_3</v>
      </c>
    </row>
    <row r="1694" spans="1:22">
      <c r="A1694" t="str">
        <f t="shared" si="208"/>
        <v>NBE-6502-AL</v>
      </c>
      <c r="B1694" s="403" t="s">
        <v>1386</v>
      </c>
      <c r="C1694" s="403" t="s">
        <v>582</v>
      </c>
      <c r="D1694" s="403" t="s">
        <v>1387</v>
      </c>
      <c r="E1694" s="403" t="s">
        <v>778</v>
      </c>
      <c r="F1694" s="403" t="s">
        <v>1288</v>
      </c>
      <c r="G1694" s="403" t="s">
        <v>1467</v>
      </c>
      <c r="H1694" s="403" t="s">
        <v>1276</v>
      </c>
      <c r="I1694" s="403">
        <v>1</v>
      </c>
      <c r="J1694" s="403" t="s">
        <v>1289</v>
      </c>
      <c r="K1694" s="403">
        <v>720</v>
      </c>
      <c r="L1694" s="403">
        <v>1280</v>
      </c>
      <c r="M1694" s="403" t="s">
        <v>1284</v>
      </c>
      <c r="N1694" s="403">
        <v>480</v>
      </c>
      <c r="O1694" s="403">
        <v>640</v>
      </c>
      <c r="P1694" t="str">
        <f t="shared" si="209"/>
        <v>60fps 720p full frame rate - SD VGA (cropped)</v>
      </c>
      <c r="Q1694">
        <f t="shared" si="210"/>
        <v>9</v>
      </c>
      <c r="R1694" t="str">
        <f t="shared" si="211"/>
        <v/>
      </c>
      <c r="S1694" t="str">
        <f t="shared" si="212"/>
        <v/>
      </c>
      <c r="T1694" s="403" t="str">
        <f t="shared" si="213"/>
        <v>NBE-6502-AL</v>
      </c>
      <c r="U1694" s="403">
        <f t="shared" si="214"/>
        <v>1</v>
      </c>
      <c r="V1694" s="403" t="str">
        <f t="shared" si="215"/>
        <v>CPP_7_3</v>
      </c>
    </row>
    <row r="1695" spans="1:22">
      <c r="A1695" t="str">
        <f t="shared" si="208"/>
        <v>NBE-6502-AL</v>
      </c>
      <c r="B1695" s="403" t="s">
        <v>1386</v>
      </c>
      <c r="C1695" s="403" t="s">
        <v>582</v>
      </c>
      <c r="D1695" s="403" t="s">
        <v>1387</v>
      </c>
      <c r="E1695" s="403" t="s">
        <v>778</v>
      </c>
      <c r="F1695" s="403" t="s">
        <v>1288</v>
      </c>
      <c r="G1695" s="403" t="s">
        <v>1467</v>
      </c>
      <c r="H1695" s="403" t="s">
        <v>1281</v>
      </c>
      <c r="I1695" s="403">
        <v>1</v>
      </c>
      <c r="J1695" s="403" t="s">
        <v>110</v>
      </c>
      <c r="K1695" s="403">
        <v>1080</v>
      </c>
      <c r="L1695" s="403">
        <v>1920</v>
      </c>
      <c r="M1695" s="403" t="s">
        <v>111</v>
      </c>
      <c r="N1695" s="403">
        <v>432</v>
      </c>
      <c r="O1695" s="403">
        <v>768</v>
      </c>
      <c r="P1695" t="str">
        <f t="shared" si="209"/>
        <v>60fps 1080p - SD</v>
      </c>
      <c r="Q1695">
        <f t="shared" si="210"/>
        <v>9</v>
      </c>
      <c r="R1695" t="str">
        <f t="shared" si="211"/>
        <v/>
      </c>
      <c r="S1695" t="str">
        <f t="shared" si="212"/>
        <v/>
      </c>
      <c r="T1695" s="403" t="str">
        <f t="shared" si="213"/>
        <v>NBE-6502-AL</v>
      </c>
      <c r="U1695" s="403">
        <f t="shared" si="214"/>
        <v>1</v>
      </c>
      <c r="V1695" s="403" t="str">
        <f t="shared" si="215"/>
        <v>CPP_7_3</v>
      </c>
    </row>
    <row r="1696" spans="1:22">
      <c r="A1696" t="str">
        <f t="shared" si="208"/>
        <v>NBE-6502-AL</v>
      </c>
      <c r="B1696" s="403" t="s">
        <v>1386</v>
      </c>
      <c r="C1696" s="403" t="s">
        <v>582</v>
      </c>
      <c r="D1696" s="403" t="s">
        <v>1387</v>
      </c>
      <c r="E1696" s="403" t="s">
        <v>778</v>
      </c>
      <c r="F1696" s="403" t="s">
        <v>1288</v>
      </c>
      <c r="G1696" s="403" t="s">
        <v>1467</v>
      </c>
      <c r="H1696" s="403" t="s">
        <v>1281</v>
      </c>
      <c r="I1696" s="403">
        <v>1</v>
      </c>
      <c r="J1696" s="403" t="s">
        <v>110</v>
      </c>
      <c r="K1696" s="403">
        <v>1080</v>
      </c>
      <c r="L1696" s="403">
        <v>1920</v>
      </c>
      <c r="M1696" s="403" t="s">
        <v>1279</v>
      </c>
      <c r="N1696" s="403">
        <v>432</v>
      </c>
      <c r="O1696" s="403">
        <v>768</v>
      </c>
      <c r="P1696" t="str">
        <f t="shared" si="209"/>
        <v>60fps 1080p - SD ROI PTZ</v>
      </c>
      <c r="Q1696">
        <f t="shared" si="210"/>
        <v>9</v>
      </c>
      <c r="R1696" t="str">
        <f t="shared" si="211"/>
        <v/>
      </c>
      <c r="S1696" t="str">
        <f t="shared" si="212"/>
        <v/>
      </c>
      <c r="T1696" s="403" t="str">
        <f t="shared" si="213"/>
        <v>NBE-6502-AL</v>
      </c>
      <c r="U1696" s="403">
        <f t="shared" si="214"/>
        <v>1</v>
      </c>
      <c r="V1696" s="403" t="str">
        <f t="shared" si="215"/>
        <v>CPP_7_3</v>
      </c>
    </row>
    <row r="1697" spans="1:22">
      <c r="A1697" t="str">
        <f t="shared" si="208"/>
        <v>NBE-6502-AL</v>
      </c>
      <c r="B1697" s="403" t="s">
        <v>1386</v>
      </c>
      <c r="C1697" s="403" t="s">
        <v>582</v>
      </c>
      <c r="D1697" s="403" t="s">
        <v>1387</v>
      </c>
      <c r="E1697" s="403" t="s">
        <v>778</v>
      </c>
      <c r="F1697" s="403" t="s">
        <v>1288</v>
      </c>
      <c r="G1697" s="403" t="s">
        <v>1467</v>
      </c>
      <c r="H1697" s="403" t="s">
        <v>1281</v>
      </c>
      <c r="I1697" s="403">
        <v>1</v>
      </c>
      <c r="J1697" s="403" t="s">
        <v>110</v>
      </c>
      <c r="K1697" s="403">
        <v>1080</v>
      </c>
      <c r="L1697" s="403">
        <v>1920</v>
      </c>
      <c r="M1697" s="403" t="s">
        <v>1283</v>
      </c>
      <c r="N1697" s="403">
        <v>480</v>
      </c>
      <c r="O1697" s="403">
        <v>720</v>
      </c>
      <c r="P1697" t="str">
        <f t="shared" si="209"/>
        <v>60fps 1080p - SD 4CIF resolution 4:3 format (cropped)</v>
      </c>
      <c r="Q1697">
        <f t="shared" si="210"/>
        <v>9</v>
      </c>
      <c r="R1697" t="str">
        <f t="shared" si="211"/>
        <v/>
      </c>
      <c r="S1697" t="str">
        <f t="shared" si="212"/>
        <v/>
      </c>
      <c r="T1697" s="403" t="str">
        <f t="shared" si="213"/>
        <v>NBE-6502-AL</v>
      </c>
      <c r="U1697" s="403">
        <f t="shared" si="214"/>
        <v>1</v>
      </c>
      <c r="V1697" s="403" t="str">
        <f t="shared" si="215"/>
        <v>CPP_7_3</v>
      </c>
    </row>
    <row r="1698" spans="1:22">
      <c r="A1698" t="str">
        <f t="shared" si="208"/>
        <v>NBE-6502-AL</v>
      </c>
      <c r="B1698" s="403" t="s">
        <v>1386</v>
      </c>
      <c r="C1698" s="403" t="s">
        <v>582</v>
      </c>
      <c r="D1698" s="403" t="s">
        <v>1387</v>
      </c>
      <c r="E1698" s="403" t="s">
        <v>778</v>
      </c>
      <c r="F1698" s="403" t="s">
        <v>1288</v>
      </c>
      <c r="G1698" s="403" t="s">
        <v>1467</v>
      </c>
      <c r="H1698" s="403" t="s">
        <v>1281</v>
      </c>
      <c r="I1698" s="403">
        <v>1</v>
      </c>
      <c r="J1698" s="403" t="s">
        <v>110</v>
      </c>
      <c r="K1698" s="403">
        <v>1080</v>
      </c>
      <c r="L1698" s="403">
        <v>1920</v>
      </c>
      <c r="M1698" s="403" t="s">
        <v>1284</v>
      </c>
      <c r="N1698" s="403">
        <v>480</v>
      </c>
      <c r="O1698" s="403">
        <v>640</v>
      </c>
      <c r="P1698" t="str">
        <f t="shared" si="209"/>
        <v>60fps 1080p - SD VGA (cropped)</v>
      </c>
      <c r="Q1698">
        <f t="shared" si="210"/>
        <v>9</v>
      </c>
      <c r="R1698" t="str">
        <f t="shared" si="211"/>
        <v/>
      </c>
      <c r="S1698" t="str">
        <f t="shared" si="212"/>
        <v/>
      </c>
      <c r="T1698" s="403" t="str">
        <f t="shared" si="213"/>
        <v>NBE-6502-AL</v>
      </c>
      <c r="U1698" s="403">
        <f t="shared" si="214"/>
        <v>1</v>
      </c>
      <c r="V1698" s="403" t="str">
        <f t="shared" si="215"/>
        <v>CPP_7_3</v>
      </c>
    </row>
    <row r="1699" spans="1:22">
      <c r="A1699" t="str">
        <f t="shared" si="208"/>
        <v>NBE-6502-AL</v>
      </c>
      <c r="B1699" s="403" t="s">
        <v>1386</v>
      </c>
      <c r="C1699" s="403" t="s">
        <v>582</v>
      </c>
      <c r="D1699" s="403" t="s">
        <v>1387</v>
      </c>
      <c r="E1699" s="403" t="s">
        <v>778</v>
      </c>
      <c r="F1699" s="403" t="s">
        <v>1288</v>
      </c>
      <c r="G1699" s="403" t="s">
        <v>1467</v>
      </c>
      <c r="H1699" s="403" t="s">
        <v>1281</v>
      </c>
      <c r="I1699" s="403">
        <v>1</v>
      </c>
      <c r="J1699" s="403" t="s">
        <v>1289</v>
      </c>
      <c r="K1699" s="403">
        <v>720</v>
      </c>
      <c r="L1699" s="403">
        <v>1280</v>
      </c>
      <c r="M1699" s="403" t="s">
        <v>1289</v>
      </c>
      <c r="N1699" s="403">
        <v>720</v>
      </c>
      <c r="O1699" s="403">
        <v>1280</v>
      </c>
      <c r="P1699" t="str">
        <f t="shared" si="209"/>
        <v>60fps 720p full frame rate - 720p full frame rate</v>
      </c>
      <c r="Q1699">
        <f t="shared" si="210"/>
        <v>9</v>
      </c>
      <c r="R1699" t="str">
        <f t="shared" si="211"/>
        <v/>
      </c>
      <c r="S1699" t="str">
        <f t="shared" si="212"/>
        <v/>
      </c>
      <c r="T1699" s="403" t="str">
        <f t="shared" si="213"/>
        <v>NBE-6502-AL</v>
      </c>
      <c r="U1699" s="403">
        <f t="shared" si="214"/>
        <v>1</v>
      </c>
      <c r="V1699" s="403" t="str">
        <f t="shared" si="215"/>
        <v>CPP_7_3</v>
      </c>
    </row>
    <row r="1700" spans="1:22">
      <c r="A1700" t="str">
        <f t="shared" si="208"/>
        <v>NBE-6502-AL</v>
      </c>
      <c r="B1700" s="403" t="s">
        <v>1386</v>
      </c>
      <c r="C1700" s="403" t="s">
        <v>582</v>
      </c>
      <c r="D1700" s="403" t="s">
        <v>1387</v>
      </c>
      <c r="E1700" s="403" t="s">
        <v>778</v>
      </c>
      <c r="F1700" s="403" t="s">
        <v>1288</v>
      </c>
      <c r="G1700" s="403" t="s">
        <v>1467</v>
      </c>
      <c r="H1700" s="403" t="s">
        <v>1281</v>
      </c>
      <c r="I1700" s="403">
        <v>1</v>
      </c>
      <c r="J1700" s="403" t="s">
        <v>1289</v>
      </c>
      <c r="K1700" s="403">
        <v>720</v>
      </c>
      <c r="L1700" s="403">
        <v>1280</v>
      </c>
      <c r="M1700" s="403" t="s">
        <v>111</v>
      </c>
      <c r="N1700" s="403">
        <v>432</v>
      </c>
      <c r="O1700" s="403">
        <v>768</v>
      </c>
      <c r="P1700" t="str">
        <f t="shared" si="209"/>
        <v>60fps 720p full frame rate - SD</v>
      </c>
      <c r="Q1700">
        <f t="shared" si="210"/>
        <v>9</v>
      </c>
      <c r="R1700" t="str">
        <f t="shared" si="211"/>
        <v/>
      </c>
      <c r="S1700" t="str">
        <f t="shared" si="212"/>
        <v/>
      </c>
      <c r="T1700" s="403" t="str">
        <f t="shared" si="213"/>
        <v>NBE-6502-AL</v>
      </c>
      <c r="U1700" s="403">
        <f t="shared" si="214"/>
        <v>1</v>
      </c>
      <c r="V1700" s="403" t="str">
        <f t="shared" si="215"/>
        <v>CPP_7_3</v>
      </c>
    </row>
    <row r="1701" spans="1:22">
      <c r="A1701" t="str">
        <f t="shared" si="208"/>
        <v>NBE-6502-AL</v>
      </c>
      <c r="B1701" s="403" t="s">
        <v>1386</v>
      </c>
      <c r="C1701" s="403" t="s">
        <v>582</v>
      </c>
      <c r="D1701" s="403" t="s">
        <v>1387</v>
      </c>
      <c r="E1701" s="403" t="s">
        <v>778</v>
      </c>
      <c r="F1701" s="403" t="s">
        <v>1288</v>
      </c>
      <c r="G1701" s="403" t="s">
        <v>1467</v>
      </c>
      <c r="H1701" s="403" t="s">
        <v>1281</v>
      </c>
      <c r="I1701" s="403">
        <v>1</v>
      </c>
      <c r="J1701" s="403" t="s">
        <v>1289</v>
      </c>
      <c r="K1701" s="403">
        <v>720</v>
      </c>
      <c r="L1701" s="403">
        <v>1280</v>
      </c>
      <c r="M1701" s="403" t="s">
        <v>1279</v>
      </c>
      <c r="N1701" s="403">
        <v>432</v>
      </c>
      <c r="O1701" s="403">
        <v>768</v>
      </c>
      <c r="P1701" t="str">
        <f t="shared" si="209"/>
        <v>60fps 720p full frame rate - SD ROI PTZ</v>
      </c>
      <c r="Q1701">
        <f t="shared" si="210"/>
        <v>9</v>
      </c>
      <c r="R1701" t="str">
        <f t="shared" si="211"/>
        <v/>
      </c>
      <c r="S1701" t="str">
        <f t="shared" si="212"/>
        <v/>
      </c>
      <c r="T1701" s="403" t="str">
        <f t="shared" si="213"/>
        <v>NBE-6502-AL</v>
      </c>
      <c r="U1701" s="403">
        <f t="shared" si="214"/>
        <v>1</v>
      </c>
      <c r="V1701" s="403" t="str">
        <f t="shared" si="215"/>
        <v>CPP_7_3</v>
      </c>
    </row>
    <row r="1702" spans="1:22">
      <c r="A1702" t="str">
        <f t="shared" si="208"/>
        <v>NBE-6502-AL</v>
      </c>
      <c r="B1702" s="403" t="s">
        <v>1386</v>
      </c>
      <c r="C1702" s="403" t="s">
        <v>582</v>
      </c>
      <c r="D1702" s="403" t="s">
        <v>1387</v>
      </c>
      <c r="E1702" s="403" t="s">
        <v>778</v>
      </c>
      <c r="F1702" s="403" t="s">
        <v>1288</v>
      </c>
      <c r="G1702" s="403" t="s">
        <v>1467</v>
      </c>
      <c r="H1702" s="403" t="s">
        <v>1281</v>
      </c>
      <c r="I1702" s="403">
        <v>1</v>
      </c>
      <c r="J1702" s="403" t="s">
        <v>1289</v>
      </c>
      <c r="K1702" s="403">
        <v>720</v>
      </c>
      <c r="L1702" s="403">
        <v>1280</v>
      </c>
      <c r="M1702" s="403" t="s">
        <v>1283</v>
      </c>
      <c r="N1702" s="403">
        <v>480</v>
      </c>
      <c r="O1702" s="403">
        <v>720</v>
      </c>
      <c r="P1702" t="str">
        <f t="shared" si="209"/>
        <v>60fps 720p full frame rate - SD 4CIF resolution 4:3 format (cropped)</v>
      </c>
      <c r="Q1702">
        <f t="shared" si="210"/>
        <v>9</v>
      </c>
      <c r="R1702" t="str">
        <f t="shared" si="211"/>
        <v/>
      </c>
      <c r="S1702" t="str">
        <f t="shared" si="212"/>
        <v/>
      </c>
      <c r="T1702" s="403" t="str">
        <f t="shared" si="213"/>
        <v>NBE-6502-AL</v>
      </c>
      <c r="U1702" s="403">
        <f t="shared" si="214"/>
        <v>1</v>
      </c>
      <c r="V1702" s="403" t="str">
        <f t="shared" si="215"/>
        <v>CPP_7_3</v>
      </c>
    </row>
    <row r="1703" spans="1:22">
      <c r="A1703" t="str">
        <f t="shared" si="208"/>
        <v>NBE-6502-AL</v>
      </c>
      <c r="B1703" s="403" t="s">
        <v>1386</v>
      </c>
      <c r="C1703" s="403" t="s">
        <v>582</v>
      </c>
      <c r="D1703" s="403" t="s">
        <v>1387</v>
      </c>
      <c r="E1703" s="403" t="s">
        <v>778</v>
      </c>
      <c r="F1703" s="403" t="s">
        <v>1288</v>
      </c>
      <c r="G1703" s="403" t="s">
        <v>1467</v>
      </c>
      <c r="H1703" s="403" t="s">
        <v>1281</v>
      </c>
      <c r="I1703" s="403">
        <v>1</v>
      </c>
      <c r="J1703" s="403" t="s">
        <v>1289</v>
      </c>
      <c r="K1703" s="403">
        <v>720</v>
      </c>
      <c r="L1703" s="403">
        <v>1280</v>
      </c>
      <c r="M1703" s="403" t="s">
        <v>1284</v>
      </c>
      <c r="N1703" s="403">
        <v>480</v>
      </c>
      <c r="O1703" s="403">
        <v>640</v>
      </c>
      <c r="P1703" t="str">
        <f t="shared" si="209"/>
        <v>60fps 720p full frame rate - SD VGA (cropped)</v>
      </c>
      <c r="Q1703">
        <f t="shared" si="210"/>
        <v>9</v>
      </c>
      <c r="R1703" t="str">
        <f t="shared" si="211"/>
        <v/>
      </c>
      <c r="S1703" t="str">
        <f t="shared" si="212"/>
        <v/>
      </c>
      <c r="T1703" s="403" t="str">
        <f t="shared" si="213"/>
        <v>NBE-6502-AL</v>
      </c>
      <c r="U1703" s="403">
        <f t="shared" si="214"/>
        <v>1</v>
      </c>
      <c r="V1703" s="403" t="str">
        <f t="shared" si="215"/>
        <v>CPP_7_3</v>
      </c>
    </row>
    <row r="1704" spans="1:22">
      <c r="A1704" t="str">
        <f t="shared" si="208"/>
        <v>NBE-6502-AL</v>
      </c>
      <c r="B1704" s="403" t="s">
        <v>1386</v>
      </c>
      <c r="C1704" s="403" t="s">
        <v>582</v>
      </c>
      <c r="D1704" s="403" t="s">
        <v>1387</v>
      </c>
      <c r="E1704" s="403" t="s">
        <v>778</v>
      </c>
      <c r="F1704" s="403" t="s">
        <v>1288</v>
      </c>
      <c r="G1704" s="403" t="s">
        <v>1467</v>
      </c>
      <c r="H1704" s="403" t="s">
        <v>1282</v>
      </c>
      <c r="I1704" s="403">
        <v>1</v>
      </c>
      <c r="J1704" s="403" t="s">
        <v>110</v>
      </c>
      <c r="K1704" s="403">
        <v>1080</v>
      </c>
      <c r="L1704" s="403">
        <v>1920</v>
      </c>
      <c r="M1704" s="403" t="s">
        <v>111</v>
      </c>
      <c r="N1704" s="403">
        <v>432</v>
      </c>
      <c r="O1704" s="403">
        <v>768</v>
      </c>
      <c r="P1704" t="str">
        <f t="shared" si="209"/>
        <v>60fps 1080p - SD</v>
      </c>
      <c r="Q1704">
        <f t="shared" si="210"/>
        <v>9</v>
      </c>
      <c r="R1704" t="str">
        <f t="shared" si="211"/>
        <v/>
      </c>
      <c r="S1704" t="str">
        <f t="shared" si="212"/>
        <v/>
      </c>
      <c r="T1704" s="403" t="str">
        <f t="shared" si="213"/>
        <v>NBE-6502-AL</v>
      </c>
      <c r="U1704" s="403">
        <f t="shared" si="214"/>
        <v>1</v>
      </c>
      <c r="V1704" s="403" t="str">
        <f t="shared" si="215"/>
        <v>CPP_7_3</v>
      </c>
    </row>
    <row r="1705" spans="1:22">
      <c r="A1705" t="str">
        <f t="shared" si="208"/>
        <v>NBE-6502-AL</v>
      </c>
      <c r="B1705" s="403" t="s">
        <v>1386</v>
      </c>
      <c r="C1705" s="403" t="s">
        <v>582</v>
      </c>
      <c r="D1705" s="403" t="s">
        <v>1387</v>
      </c>
      <c r="E1705" s="403" t="s">
        <v>778</v>
      </c>
      <c r="F1705" s="403" t="s">
        <v>1288</v>
      </c>
      <c r="G1705" s="403" t="s">
        <v>1467</v>
      </c>
      <c r="H1705" s="403" t="s">
        <v>1282</v>
      </c>
      <c r="I1705" s="403">
        <v>1</v>
      </c>
      <c r="J1705" s="403" t="s">
        <v>110</v>
      </c>
      <c r="K1705" s="403">
        <v>1080</v>
      </c>
      <c r="L1705" s="403">
        <v>1920</v>
      </c>
      <c r="M1705" s="403" t="s">
        <v>1289</v>
      </c>
      <c r="N1705" s="403">
        <v>720</v>
      </c>
      <c r="O1705" s="403">
        <v>1280</v>
      </c>
      <c r="P1705" t="str">
        <f t="shared" si="209"/>
        <v>60fps 1080p - 720p full frame rate</v>
      </c>
      <c r="Q1705">
        <f t="shared" si="210"/>
        <v>9</v>
      </c>
      <c r="R1705" t="str">
        <f t="shared" si="211"/>
        <v/>
      </c>
      <c r="S1705" t="str">
        <f t="shared" si="212"/>
        <v/>
      </c>
      <c r="T1705" s="403" t="str">
        <f t="shared" si="213"/>
        <v>NBE-6502-AL</v>
      </c>
      <c r="U1705" s="403">
        <f t="shared" si="214"/>
        <v>1</v>
      </c>
      <c r="V1705" s="403" t="str">
        <f t="shared" si="215"/>
        <v>CPP_7_3</v>
      </c>
    </row>
    <row r="1706" spans="1:22">
      <c r="A1706" t="str">
        <f t="shared" si="208"/>
        <v>NBE-6502-AL</v>
      </c>
      <c r="B1706" s="403" t="s">
        <v>1386</v>
      </c>
      <c r="C1706" s="403" t="s">
        <v>582</v>
      </c>
      <c r="D1706" s="403" t="s">
        <v>1387</v>
      </c>
      <c r="E1706" s="403" t="s">
        <v>778</v>
      </c>
      <c r="F1706" s="403" t="s">
        <v>1288</v>
      </c>
      <c r="G1706" s="403" t="s">
        <v>1467</v>
      </c>
      <c r="H1706" s="403" t="s">
        <v>1282</v>
      </c>
      <c r="I1706" s="403">
        <v>1</v>
      </c>
      <c r="J1706" s="403" t="s">
        <v>110</v>
      </c>
      <c r="K1706" s="403">
        <v>1080</v>
      </c>
      <c r="L1706" s="403">
        <v>1920</v>
      </c>
      <c r="M1706" s="403" t="s">
        <v>1285</v>
      </c>
      <c r="N1706" s="403">
        <v>1024</v>
      </c>
      <c r="O1706" s="403">
        <v>1280</v>
      </c>
      <c r="P1706" t="str">
        <f t="shared" si="209"/>
        <v>60fps 1080p - 1280x1024 5:4 (cropped)</v>
      </c>
      <c r="Q1706">
        <f t="shared" si="210"/>
        <v>9</v>
      </c>
      <c r="R1706" t="str">
        <f t="shared" si="211"/>
        <v/>
      </c>
      <c r="S1706" t="str">
        <f t="shared" si="212"/>
        <v/>
      </c>
      <c r="T1706" s="403" t="str">
        <f t="shared" si="213"/>
        <v>NBE-6502-AL</v>
      </c>
      <c r="U1706" s="403">
        <f t="shared" si="214"/>
        <v>1</v>
      </c>
      <c r="V1706" s="403" t="str">
        <f t="shared" si="215"/>
        <v>CPP_7_3</v>
      </c>
    </row>
    <row r="1707" spans="1:22">
      <c r="A1707" t="str">
        <f t="shared" si="208"/>
        <v>NBE-6502-AL</v>
      </c>
      <c r="B1707" s="403" t="s">
        <v>1386</v>
      </c>
      <c r="C1707" s="403" t="s">
        <v>582</v>
      </c>
      <c r="D1707" s="403" t="s">
        <v>1387</v>
      </c>
      <c r="E1707" s="403" t="s">
        <v>778</v>
      </c>
      <c r="F1707" s="403" t="s">
        <v>1288</v>
      </c>
      <c r="G1707" s="403" t="s">
        <v>1467</v>
      </c>
      <c r="H1707" s="403" t="s">
        <v>1282</v>
      </c>
      <c r="I1707" s="403">
        <v>1</v>
      </c>
      <c r="J1707" s="403" t="s">
        <v>110</v>
      </c>
      <c r="K1707" s="403">
        <v>1080</v>
      </c>
      <c r="L1707" s="403">
        <v>1920</v>
      </c>
      <c r="M1707" s="403" t="s">
        <v>1279</v>
      </c>
      <c r="N1707" s="403">
        <v>432</v>
      </c>
      <c r="O1707" s="403">
        <v>768</v>
      </c>
      <c r="P1707" t="str">
        <f t="shared" si="209"/>
        <v>60fps 1080p - SD ROI PTZ</v>
      </c>
      <c r="Q1707">
        <f t="shared" si="210"/>
        <v>9</v>
      </c>
      <c r="R1707" t="str">
        <f t="shared" si="211"/>
        <v/>
      </c>
      <c r="S1707" t="str">
        <f t="shared" si="212"/>
        <v/>
      </c>
      <c r="T1707" s="403" t="str">
        <f t="shared" si="213"/>
        <v>NBE-6502-AL</v>
      </c>
      <c r="U1707" s="403">
        <f t="shared" si="214"/>
        <v>1</v>
      </c>
      <c r="V1707" s="403" t="str">
        <f t="shared" si="215"/>
        <v>CPP_7_3</v>
      </c>
    </row>
    <row r="1708" spans="1:22">
      <c r="A1708" t="str">
        <f t="shared" si="208"/>
        <v>NBE-6502-AL</v>
      </c>
      <c r="B1708" s="403" t="s">
        <v>1386</v>
      </c>
      <c r="C1708" s="403" t="s">
        <v>582</v>
      </c>
      <c r="D1708" s="403" t="s">
        <v>1387</v>
      </c>
      <c r="E1708" s="403" t="s">
        <v>778</v>
      </c>
      <c r="F1708" s="403" t="s">
        <v>1288</v>
      </c>
      <c r="G1708" s="403" t="s">
        <v>1467</v>
      </c>
      <c r="H1708" s="403" t="s">
        <v>1282</v>
      </c>
      <c r="I1708" s="403">
        <v>1</v>
      </c>
      <c r="J1708" s="403" t="s">
        <v>110</v>
      </c>
      <c r="K1708" s="403">
        <v>1080</v>
      </c>
      <c r="L1708" s="403">
        <v>1920</v>
      </c>
      <c r="M1708" s="403" t="s">
        <v>1283</v>
      </c>
      <c r="N1708" s="403">
        <v>480</v>
      </c>
      <c r="O1708" s="403">
        <v>720</v>
      </c>
      <c r="P1708" t="str">
        <f t="shared" si="209"/>
        <v>60fps 1080p - SD 4CIF resolution 4:3 format (cropped)</v>
      </c>
      <c r="Q1708">
        <f t="shared" si="210"/>
        <v>9</v>
      </c>
      <c r="R1708" t="str">
        <f t="shared" si="211"/>
        <v/>
      </c>
      <c r="S1708" t="str">
        <f t="shared" si="212"/>
        <v/>
      </c>
      <c r="T1708" s="403" t="str">
        <f t="shared" si="213"/>
        <v>NBE-6502-AL</v>
      </c>
      <c r="U1708" s="403">
        <f t="shared" si="214"/>
        <v>1</v>
      </c>
      <c r="V1708" s="403" t="str">
        <f t="shared" si="215"/>
        <v>CPP_7_3</v>
      </c>
    </row>
    <row r="1709" spans="1:22">
      <c r="A1709" t="str">
        <f t="shared" si="208"/>
        <v>NBE-6502-AL</v>
      </c>
      <c r="B1709" s="403" t="s">
        <v>1386</v>
      </c>
      <c r="C1709" s="403" t="s">
        <v>582</v>
      </c>
      <c r="D1709" s="403" t="s">
        <v>1387</v>
      </c>
      <c r="E1709" s="403" t="s">
        <v>778</v>
      </c>
      <c r="F1709" s="403" t="s">
        <v>1288</v>
      </c>
      <c r="G1709" s="403" t="s">
        <v>1467</v>
      </c>
      <c r="H1709" s="403" t="s">
        <v>1282</v>
      </c>
      <c r="I1709" s="403">
        <v>1</v>
      </c>
      <c r="J1709" s="403" t="s">
        <v>110</v>
      </c>
      <c r="K1709" s="403">
        <v>1080</v>
      </c>
      <c r="L1709" s="403">
        <v>1920</v>
      </c>
      <c r="M1709" s="403" t="s">
        <v>1284</v>
      </c>
      <c r="N1709" s="403">
        <v>480</v>
      </c>
      <c r="O1709" s="403">
        <v>640</v>
      </c>
      <c r="P1709" t="str">
        <f t="shared" si="209"/>
        <v>60fps 1080p - SD VGA (cropped)</v>
      </c>
      <c r="Q1709">
        <f t="shared" si="210"/>
        <v>9</v>
      </c>
      <c r="R1709" t="str">
        <f t="shared" si="211"/>
        <v/>
      </c>
      <c r="S1709" t="str">
        <f t="shared" si="212"/>
        <v/>
      </c>
      <c r="T1709" s="403" t="str">
        <f t="shared" si="213"/>
        <v>NBE-6502-AL</v>
      </c>
      <c r="U1709" s="403">
        <f t="shared" si="214"/>
        <v>1</v>
      </c>
      <c r="V1709" s="403" t="str">
        <f t="shared" si="215"/>
        <v>CPP_7_3</v>
      </c>
    </row>
    <row r="1710" spans="1:22">
      <c r="A1710" t="str">
        <f t="shared" si="208"/>
        <v>NBE-6502-AL</v>
      </c>
      <c r="B1710" s="403" t="s">
        <v>1386</v>
      </c>
      <c r="C1710" s="403" t="s">
        <v>582</v>
      </c>
      <c r="D1710" s="403" t="s">
        <v>1387</v>
      </c>
      <c r="E1710" s="403" t="s">
        <v>778</v>
      </c>
      <c r="F1710" s="403" t="s">
        <v>1288</v>
      </c>
      <c r="G1710" s="403" t="s">
        <v>1467</v>
      </c>
      <c r="H1710" s="403" t="s">
        <v>1282</v>
      </c>
      <c r="I1710" s="403">
        <v>1</v>
      </c>
      <c r="J1710" s="403" t="s">
        <v>1289</v>
      </c>
      <c r="K1710" s="403">
        <v>720</v>
      </c>
      <c r="L1710" s="403">
        <v>1280</v>
      </c>
      <c r="M1710" s="403" t="s">
        <v>1289</v>
      </c>
      <c r="N1710" s="403">
        <v>720</v>
      </c>
      <c r="O1710" s="403">
        <v>1280</v>
      </c>
      <c r="P1710" t="str">
        <f t="shared" si="209"/>
        <v>60fps 720p full frame rate - 720p full frame rate</v>
      </c>
      <c r="Q1710">
        <f t="shared" si="210"/>
        <v>9</v>
      </c>
      <c r="R1710" t="str">
        <f t="shared" si="211"/>
        <v/>
      </c>
      <c r="S1710" t="str">
        <f t="shared" si="212"/>
        <v/>
      </c>
      <c r="T1710" s="403" t="str">
        <f t="shared" si="213"/>
        <v>NBE-6502-AL</v>
      </c>
      <c r="U1710" s="403">
        <f t="shared" si="214"/>
        <v>1</v>
      </c>
      <c r="V1710" s="403" t="str">
        <f t="shared" si="215"/>
        <v>CPP_7_3</v>
      </c>
    </row>
    <row r="1711" spans="1:22">
      <c r="A1711" t="str">
        <f t="shared" si="208"/>
        <v>NBE-6502-AL</v>
      </c>
      <c r="B1711" s="403" t="s">
        <v>1386</v>
      </c>
      <c r="C1711" s="403" t="s">
        <v>582</v>
      </c>
      <c r="D1711" s="403" t="s">
        <v>1387</v>
      </c>
      <c r="E1711" s="403" t="s">
        <v>778</v>
      </c>
      <c r="F1711" s="403" t="s">
        <v>1288</v>
      </c>
      <c r="G1711" s="403" t="s">
        <v>1467</v>
      </c>
      <c r="H1711" s="403" t="s">
        <v>1282</v>
      </c>
      <c r="I1711" s="403">
        <v>1</v>
      </c>
      <c r="J1711" s="403" t="s">
        <v>1289</v>
      </c>
      <c r="K1711" s="403">
        <v>720</v>
      </c>
      <c r="L1711" s="403">
        <v>1280</v>
      </c>
      <c r="M1711" s="403" t="s">
        <v>111</v>
      </c>
      <c r="N1711" s="403">
        <v>432</v>
      </c>
      <c r="O1711" s="403">
        <v>768</v>
      </c>
      <c r="P1711" t="str">
        <f t="shared" si="209"/>
        <v>60fps 720p full frame rate - SD</v>
      </c>
      <c r="Q1711">
        <f t="shared" si="210"/>
        <v>9</v>
      </c>
      <c r="R1711" t="str">
        <f t="shared" si="211"/>
        <v/>
      </c>
      <c r="S1711" t="str">
        <f t="shared" si="212"/>
        <v/>
      </c>
      <c r="T1711" s="403" t="str">
        <f t="shared" si="213"/>
        <v>NBE-6502-AL</v>
      </c>
      <c r="U1711" s="403">
        <f t="shared" si="214"/>
        <v>1</v>
      </c>
      <c r="V1711" s="403" t="str">
        <f t="shared" si="215"/>
        <v>CPP_7_3</v>
      </c>
    </row>
    <row r="1712" spans="1:22">
      <c r="A1712" t="str">
        <f t="shared" si="208"/>
        <v>NBE-6502-AL</v>
      </c>
      <c r="B1712" s="403" t="s">
        <v>1386</v>
      </c>
      <c r="C1712" s="403" t="s">
        <v>582</v>
      </c>
      <c r="D1712" s="403" t="s">
        <v>1387</v>
      </c>
      <c r="E1712" s="403" t="s">
        <v>778</v>
      </c>
      <c r="F1712" s="403" t="s">
        <v>1288</v>
      </c>
      <c r="G1712" s="403" t="s">
        <v>1467</v>
      </c>
      <c r="H1712" s="403" t="s">
        <v>1282</v>
      </c>
      <c r="I1712" s="403">
        <v>1</v>
      </c>
      <c r="J1712" s="403" t="s">
        <v>1289</v>
      </c>
      <c r="K1712" s="403">
        <v>720</v>
      </c>
      <c r="L1712" s="403">
        <v>1280</v>
      </c>
      <c r="M1712" s="403" t="s">
        <v>1279</v>
      </c>
      <c r="N1712" s="403">
        <v>432</v>
      </c>
      <c r="O1712" s="403">
        <v>768</v>
      </c>
      <c r="P1712" t="str">
        <f t="shared" si="209"/>
        <v>60fps 720p full frame rate - SD ROI PTZ</v>
      </c>
      <c r="Q1712">
        <f t="shared" si="210"/>
        <v>9</v>
      </c>
      <c r="R1712" t="str">
        <f t="shared" si="211"/>
        <v/>
      </c>
      <c r="S1712" t="str">
        <f t="shared" si="212"/>
        <v/>
      </c>
      <c r="T1712" s="403" t="str">
        <f t="shared" si="213"/>
        <v>NBE-6502-AL</v>
      </c>
      <c r="U1712" s="403">
        <f t="shared" si="214"/>
        <v>1</v>
      </c>
      <c r="V1712" s="403" t="str">
        <f t="shared" si="215"/>
        <v>CPP_7_3</v>
      </c>
    </row>
    <row r="1713" spans="1:22">
      <c r="A1713" t="str">
        <f t="shared" si="208"/>
        <v>NBE-6502-AL</v>
      </c>
      <c r="B1713" s="403" t="s">
        <v>1386</v>
      </c>
      <c r="C1713" s="403" t="s">
        <v>582</v>
      </c>
      <c r="D1713" s="403" t="s">
        <v>1387</v>
      </c>
      <c r="E1713" s="403" t="s">
        <v>778</v>
      </c>
      <c r="F1713" s="403" t="s">
        <v>1288</v>
      </c>
      <c r="G1713" s="403" t="s">
        <v>1467</v>
      </c>
      <c r="H1713" s="403" t="s">
        <v>1282</v>
      </c>
      <c r="I1713" s="403">
        <v>1</v>
      </c>
      <c r="J1713" s="403" t="s">
        <v>1289</v>
      </c>
      <c r="K1713" s="403">
        <v>720</v>
      </c>
      <c r="L1713" s="403">
        <v>1280</v>
      </c>
      <c r="M1713" s="403" t="s">
        <v>1283</v>
      </c>
      <c r="N1713" s="403">
        <v>480</v>
      </c>
      <c r="O1713" s="403">
        <v>720</v>
      </c>
      <c r="P1713" t="str">
        <f t="shared" si="209"/>
        <v>60fps 720p full frame rate - SD 4CIF resolution 4:3 format (cropped)</v>
      </c>
      <c r="Q1713">
        <f t="shared" si="210"/>
        <v>9</v>
      </c>
      <c r="R1713" t="str">
        <f t="shared" si="211"/>
        <v/>
      </c>
      <c r="S1713" t="str">
        <f t="shared" si="212"/>
        <v/>
      </c>
      <c r="T1713" s="403" t="str">
        <f t="shared" si="213"/>
        <v>NBE-6502-AL</v>
      </c>
      <c r="U1713" s="403">
        <f t="shared" si="214"/>
        <v>1</v>
      </c>
      <c r="V1713" s="403" t="str">
        <f t="shared" si="215"/>
        <v>CPP_7_3</v>
      </c>
    </row>
    <row r="1714" spans="1:22">
      <c r="A1714" t="str">
        <f t="shared" si="208"/>
        <v>NBE-6502-AL</v>
      </c>
      <c r="B1714" s="403" t="s">
        <v>1386</v>
      </c>
      <c r="C1714" s="403" t="s">
        <v>582</v>
      </c>
      <c r="D1714" s="403" t="s">
        <v>1387</v>
      </c>
      <c r="E1714" s="403" t="s">
        <v>778</v>
      </c>
      <c r="F1714" s="403" t="s">
        <v>1288</v>
      </c>
      <c r="G1714" s="403" t="s">
        <v>1467</v>
      </c>
      <c r="H1714" s="403" t="s">
        <v>1282</v>
      </c>
      <c r="I1714" s="403">
        <v>1</v>
      </c>
      <c r="J1714" s="403" t="s">
        <v>1289</v>
      </c>
      <c r="K1714" s="403">
        <v>720</v>
      </c>
      <c r="L1714" s="403">
        <v>1280</v>
      </c>
      <c r="M1714" s="403" t="s">
        <v>1284</v>
      </c>
      <c r="N1714" s="403">
        <v>480</v>
      </c>
      <c r="O1714" s="403">
        <v>640</v>
      </c>
      <c r="P1714" t="str">
        <f t="shared" si="209"/>
        <v>60fps 720p full frame rate - SD VGA (cropped)</v>
      </c>
      <c r="Q1714">
        <f t="shared" si="210"/>
        <v>9</v>
      </c>
      <c r="R1714" t="str">
        <f t="shared" si="211"/>
        <v/>
      </c>
      <c r="S1714" t="str">
        <f t="shared" si="212"/>
        <v/>
      </c>
      <c r="T1714" s="403" t="str">
        <f t="shared" si="213"/>
        <v>NBE-6502-AL</v>
      </c>
      <c r="U1714" s="403">
        <f t="shared" si="214"/>
        <v>1</v>
      </c>
      <c r="V1714" s="403" t="str">
        <f t="shared" si="215"/>
        <v>CPP_7_3</v>
      </c>
    </row>
    <row r="1715" spans="1:22">
      <c r="A1715" t="str">
        <f t="shared" si="208"/>
        <v>NBE-6502-AL</v>
      </c>
      <c r="B1715" s="403" t="s">
        <v>1386</v>
      </c>
      <c r="C1715" s="403" t="s">
        <v>582</v>
      </c>
      <c r="D1715" s="403" t="s">
        <v>1387</v>
      </c>
      <c r="E1715" s="403" t="s">
        <v>778</v>
      </c>
      <c r="F1715" s="403" t="s">
        <v>1290</v>
      </c>
      <c r="G1715" s="403" t="s">
        <v>1466</v>
      </c>
      <c r="H1715" s="403" t="s">
        <v>1276</v>
      </c>
      <c r="I1715" s="403">
        <v>1</v>
      </c>
      <c r="J1715" s="403" t="s">
        <v>110</v>
      </c>
      <c r="K1715" s="403">
        <v>1920</v>
      </c>
      <c r="L1715" s="403">
        <v>1080</v>
      </c>
      <c r="M1715" s="403" t="s">
        <v>111</v>
      </c>
      <c r="N1715" s="403">
        <v>768</v>
      </c>
      <c r="O1715" s="403">
        <v>432</v>
      </c>
      <c r="P1715" t="str">
        <f t="shared" si="209"/>
        <v>50fps 1080p - SD</v>
      </c>
      <c r="Q1715">
        <f t="shared" si="210"/>
        <v>9</v>
      </c>
      <c r="R1715" t="str">
        <f t="shared" si="211"/>
        <v/>
      </c>
      <c r="S1715" t="str">
        <f t="shared" si="212"/>
        <v/>
      </c>
      <c r="T1715" s="403" t="str">
        <f t="shared" si="213"/>
        <v>NBE-6502-AL</v>
      </c>
      <c r="U1715" s="403">
        <f t="shared" si="214"/>
        <v>1</v>
      </c>
      <c r="V1715" s="403" t="str">
        <f t="shared" si="215"/>
        <v>CPP_7_3</v>
      </c>
    </row>
    <row r="1716" spans="1:22">
      <c r="A1716" t="str">
        <f t="shared" si="208"/>
        <v>NBE-6502-AL</v>
      </c>
      <c r="B1716" s="403" t="s">
        <v>1386</v>
      </c>
      <c r="C1716" s="403" t="s">
        <v>582</v>
      </c>
      <c r="D1716" s="403" t="s">
        <v>1387</v>
      </c>
      <c r="E1716" s="403" t="s">
        <v>778</v>
      </c>
      <c r="F1716" s="403" t="s">
        <v>1290</v>
      </c>
      <c r="G1716" s="403" t="s">
        <v>1466</v>
      </c>
      <c r="H1716" s="403" t="s">
        <v>1276</v>
      </c>
      <c r="I1716" s="403">
        <v>1</v>
      </c>
      <c r="J1716" s="403" t="s">
        <v>110</v>
      </c>
      <c r="K1716" s="403">
        <v>1920</v>
      </c>
      <c r="L1716" s="403">
        <v>1080</v>
      </c>
      <c r="M1716" s="403" t="s">
        <v>110</v>
      </c>
      <c r="N1716" s="403">
        <v>1920</v>
      </c>
      <c r="O1716" s="403">
        <v>1080</v>
      </c>
      <c r="P1716" t="str">
        <f t="shared" si="209"/>
        <v>50fps 1080p - 1080p</v>
      </c>
      <c r="Q1716">
        <f t="shared" si="210"/>
        <v>9</v>
      </c>
      <c r="R1716" t="str">
        <f t="shared" si="211"/>
        <v/>
      </c>
      <c r="S1716" t="str">
        <f t="shared" si="212"/>
        <v/>
      </c>
      <c r="T1716" s="403" t="str">
        <f t="shared" si="213"/>
        <v>NBE-6502-AL</v>
      </c>
      <c r="U1716" s="403">
        <f t="shared" si="214"/>
        <v>1</v>
      </c>
      <c r="V1716" s="403" t="str">
        <f t="shared" si="215"/>
        <v>CPP_7_3</v>
      </c>
    </row>
    <row r="1717" spans="1:22">
      <c r="A1717" t="str">
        <f t="shared" si="208"/>
        <v>NBE-6502-AL</v>
      </c>
      <c r="B1717" s="403" t="s">
        <v>1386</v>
      </c>
      <c r="C1717" s="403" t="s">
        <v>582</v>
      </c>
      <c r="D1717" s="403" t="s">
        <v>1387</v>
      </c>
      <c r="E1717" s="403" t="s">
        <v>778</v>
      </c>
      <c r="F1717" s="403" t="s">
        <v>1290</v>
      </c>
      <c r="G1717" s="403" t="s">
        <v>1466</v>
      </c>
      <c r="H1717" s="403" t="s">
        <v>1276</v>
      </c>
      <c r="I1717" s="403">
        <v>1</v>
      </c>
      <c r="J1717" s="403" t="s">
        <v>110</v>
      </c>
      <c r="K1717" s="403">
        <v>1920</v>
      </c>
      <c r="L1717" s="403">
        <v>1080</v>
      </c>
      <c r="M1717" s="403" t="s">
        <v>1289</v>
      </c>
      <c r="N1717" s="403">
        <v>1280</v>
      </c>
      <c r="O1717" s="403">
        <v>720</v>
      </c>
      <c r="P1717" t="str">
        <f t="shared" si="209"/>
        <v>50fps 1080p - 720p full frame rate</v>
      </c>
      <c r="Q1717">
        <f t="shared" si="210"/>
        <v>9</v>
      </c>
      <c r="R1717" t="str">
        <f t="shared" si="211"/>
        <v/>
      </c>
      <c r="S1717" t="str">
        <f t="shared" si="212"/>
        <v/>
      </c>
      <c r="T1717" s="403" t="str">
        <f t="shared" si="213"/>
        <v>NBE-6502-AL</v>
      </c>
      <c r="U1717" s="403">
        <f t="shared" si="214"/>
        <v>1</v>
      </c>
      <c r="V1717" s="403" t="str">
        <f t="shared" si="215"/>
        <v>CPP_7_3</v>
      </c>
    </row>
    <row r="1718" spans="1:22">
      <c r="A1718" t="str">
        <f t="shared" si="208"/>
        <v>NBE-6502-AL</v>
      </c>
      <c r="B1718" s="403" t="s">
        <v>1386</v>
      </c>
      <c r="C1718" s="403" t="s">
        <v>582</v>
      </c>
      <c r="D1718" s="403" t="s">
        <v>1387</v>
      </c>
      <c r="E1718" s="403" t="s">
        <v>778</v>
      </c>
      <c r="F1718" s="403" t="s">
        <v>1290</v>
      </c>
      <c r="G1718" s="403" t="s">
        <v>1466</v>
      </c>
      <c r="H1718" s="403" t="s">
        <v>1276</v>
      </c>
      <c r="I1718" s="403">
        <v>1</v>
      </c>
      <c r="J1718" s="403" t="s">
        <v>110</v>
      </c>
      <c r="K1718" s="403">
        <v>1920</v>
      </c>
      <c r="L1718" s="403">
        <v>1080</v>
      </c>
      <c r="M1718" s="403" t="s">
        <v>1285</v>
      </c>
      <c r="N1718" s="403">
        <v>1280</v>
      </c>
      <c r="O1718" s="403">
        <v>1024</v>
      </c>
      <c r="P1718" t="str">
        <f t="shared" si="209"/>
        <v>50fps 1080p - 1280x1024 5:4 (cropped)</v>
      </c>
      <c r="Q1718">
        <f t="shared" si="210"/>
        <v>9</v>
      </c>
      <c r="R1718" t="str">
        <f t="shared" si="211"/>
        <v/>
      </c>
      <c r="S1718" t="str">
        <f t="shared" si="212"/>
        <v/>
      </c>
      <c r="T1718" s="403" t="str">
        <f t="shared" si="213"/>
        <v>NBE-6502-AL</v>
      </c>
      <c r="U1718" s="403">
        <f t="shared" si="214"/>
        <v>1</v>
      </c>
      <c r="V1718" s="403" t="str">
        <f t="shared" si="215"/>
        <v>CPP_7_3</v>
      </c>
    </row>
    <row r="1719" spans="1:22">
      <c r="A1719" t="str">
        <f t="shared" si="208"/>
        <v>NBE-6502-AL</v>
      </c>
      <c r="B1719" s="403" t="s">
        <v>1386</v>
      </c>
      <c r="C1719" s="403" t="s">
        <v>582</v>
      </c>
      <c r="D1719" s="403" t="s">
        <v>1387</v>
      </c>
      <c r="E1719" s="403" t="s">
        <v>778</v>
      </c>
      <c r="F1719" s="403" t="s">
        <v>1290</v>
      </c>
      <c r="G1719" s="403" t="s">
        <v>1466</v>
      </c>
      <c r="H1719" s="403" t="s">
        <v>1276</v>
      </c>
      <c r="I1719" s="403">
        <v>1</v>
      </c>
      <c r="J1719" s="403" t="s">
        <v>110</v>
      </c>
      <c r="K1719" s="403">
        <v>1920</v>
      </c>
      <c r="L1719" s="403">
        <v>1080</v>
      </c>
      <c r="M1719" s="403" t="s">
        <v>1279</v>
      </c>
      <c r="N1719" s="403">
        <v>768</v>
      </c>
      <c r="O1719" s="403">
        <v>432</v>
      </c>
      <c r="P1719" t="str">
        <f t="shared" si="209"/>
        <v>50fps 1080p - SD ROI PTZ</v>
      </c>
      <c r="Q1719">
        <f t="shared" si="210"/>
        <v>9</v>
      </c>
      <c r="R1719" t="str">
        <f t="shared" si="211"/>
        <v/>
      </c>
      <c r="S1719" t="str">
        <f t="shared" si="212"/>
        <v/>
      </c>
      <c r="T1719" s="403" t="str">
        <f t="shared" si="213"/>
        <v>NBE-6502-AL</v>
      </c>
      <c r="U1719" s="403">
        <f t="shared" si="214"/>
        <v>1</v>
      </c>
      <c r="V1719" s="403" t="str">
        <f t="shared" si="215"/>
        <v>CPP_7_3</v>
      </c>
    </row>
    <row r="1720" spans="1:22">
      <c r="A1720" t="str">
        <f t="shared" si="208"/>
        <v>NBE-6502-AL</v>
      </c>
      <c r="B1720" s="403" t="s">
        <v>1386</v>
      </c>
      <c r="C1720" s="403" t="s">
        <v>582</v>
      </c>
      <c r="D1720" s="403" t="s">
        <v>1387</v>
      </c>
      <c r="E1720" s="403" t="s">
        <v>778</v>
      </c>
      <c r="F1720" s="403" t="s">
        <v>1290</v>
      </c>
      <c r="G1720" s="403" t="s">
        <v>1466</v>
      </c>
      <c r="H1720" s="403" t="s">
        <v>1276</v>
      </c>
      <c r="I1720" s="403">
        <v>1</v>
      </c>
      <c r="J1720" s="403" t="s">
        <v>110</v>
      </c>
      <c r="K1720" s="403">
        <v>1920</v>
      </c>
      <c r="L1720" s="403">
        <v>1080</v>
      </c>
      <c r="M1720" s="403" t="s">
        <v>1283</v>
      </c>
      <c r="N1720" s="403">
        <v>720</v>
      </c>
      <c r="O1720" s="403">
        <v>576</v>
      </c>
      <c r="P1720" t="str">
        <f t="shared" si="209"/>
        <v>50fps 1080p - SD 4CIF resolution 4:3 format (cropped)</v>
      </c>
      <c r="Q1720">
        <f t="shared" si="210"/>
        <v>9</v>
      </c>
      <c r="R1720" t="str">
        <f t="shared" si="211"/>
        <v/>
      </c>
      <c r="S1720" t="str">
        <f t="shared" si="212"/>
        <v/>
      </c>
      <c r="T1720" s="403" t="str">
        <f t="shared" si="213"/>
        <v>NBE-6502-AL</v>
      </c>
      <c r="U1720" s="403">
        <f t="shared" si="214"/>
        <v>1</v>
      </c>
      <c r="V1720" s="403" t="str">
        <f t="shared" si="215"/>
        <v>CPP_7_3</v>
      </c>
    </row>
    <row r="1721" spans="1:22">
      <c r="A1721" t="str">
        <f t="shared" si="208"/>
        <v>NBE-6502-AL</v>
      </c>
      <c r="B1721" s="403" t="s">
        <v>1386</v>
      </c>
      <c r="C1721" s="403" t="s">
        <v>582</v>
      </c>
      <c r="D1721" s="403" t="s">
        <v>1387</v>
      </c>
      <c r="E1721" s="403" t="s">
        <v>778</v>
      </c>
      <c r="F1721" s="403" t="s">
        <v>1290</v>
      </c>
      <c r="G1721" s="403" t="s">
        <v>1466</v>
      </c>
      <c r="H1721" s="403" t="s">
        <v>1276</v>
      </c>
      <c r="I1721" s="403">
        <v>1</v>
      </c>
      <c r="J1721" s="403" t="s">
        <v>110</v>
      </c>
      <c r="K1721" s="403">
        <v>1920</v>
      </c>
      <c r="L1721" s="403">
        <v>1080</v>
      </c>
      <c r="M1721" s="403" t="s">
        <v>1284</v>
      </c>
      <c r="N1721" s="403">
        <v>640</v>
      </c>
      <c r="O1721" s="403">
        <v>480</v>
      </c>
      <c r="P1721" t="str">
        <f t="shared" si="209"/>
        <v>50fps 1080p - SD VGA (cropped)</v>
      </c>
      <c r="Q1721">
        <f t="shared" si="210"/>
        <v>9</v>
      </c>
      <c r="R1721" t="str">
        <f t="shared" si="211"/>
        <v/>
      </c>
      <c r="S1721" t="str">
        <f t="shared" si="212"/>
        <v/>
      </c>
      <c r="T1721" s="403" t="str">
        <f t="shared" si="213"/>
        <v>NBE-6502-AL</v>
      </c>
      <c r="U1721" s="403">
        <f t="shared" si="214"/>
        <v>1</v>
      </c>
      <c r="V1721" s="403" t="str">
        <f t="shared" si="215"/>
        <v>CPP_7_3</v>
      </c>
    </row>
    <row r="1722" spans="1:22">
      <c r="A1722" t="str">
        <f t="shared" si="208"/>
        <v>NBE-6502-AL</v>
      </c>
      <c r="B1722" s="403" t="s">
        <v>1386</v>
      </c>
      <c r="C1722" s="403" t="s">
        <v>582</v>
      </c>
      <c r="D1722" s="403" t="s">
        <v>1387</v>
      </c>
      <c r="E1722" s="403" t="s">
        <v>778</v>
      </c>
      <c r="F1722" s="403" t="s">
        <v>1290</v>
      </c>
      <c r="G1722" s="403" t="s">
        <v>1466</v>
      </c>
      <c r="H1722" s="403" t="s">
        <v>1276</v>
      </c>
      <c r="I1722" s="403">
        <v>1</v>
      </c>
      <c r="J1722" s="403" t="s">
        <v>1289</v>
      </c>
      <c r="K1722" s="403">
        <v>1280</v>
      </c>
      <c r="L1722" s="403">
        <v>720</v>
      </c>
      <c r="M1722" s="403" t="s">
        <v>1289</v>
      </c>
      <c r="N1722" s="403">
        <v>1280</v>
      </c>
      <c r="O1722" s="403">
        <v>720</v>
      </c>
      <c r="P1722" t="str">
        <f t="shared" si="209"/>
        <v>50fps 720p full frame rate - 720p full frame rate</v>
      </c>
      <c r="Q1722">
        <f t="shared" si="210"/>
        <v>9</v>
      </c>
      <c r="R1722" t="str">
        <f t="shared" si="211"/>
        <v/>
      </c>
      <c r="S1722" t="str">
        <f t="shared" si="212"/>
        <v/>
      </c>
      <c r="T1722" s="403" t="str">
        <f t="shared" si="213"/>
        <v>NBE-6502-AL</v>
      </c>
      <c r="U1722" s="403">
        <f t="shared" si="214"/>
        <v>1</v>
      </c>
      <c r="V1722" s="403" t="str">
        <f t="shared" si="215"/>
        <v>CPP_7_3</v>
      </c>
    </row>
    <row r="1723" spans="1:22">
      <c r="A1723" t="str">
        <f t="shared" si="208"/>
        <v>NBE-6502-AL</v>
      </c>
      <c r="B1723" s="403" t="s">
        <v>1386</v>
      </c>
      <c r="C1723" s="403" t="s">
        <v>582</v>
      </c>
      <c r="D1723" s="403" t="s">
        <v>1387</v>
      </c>
      <c r="E1723" s="403" t="s">
        <v>778</v>
      </c>
      <c r="F1723" s="403" t="s">
        <v>1290</v>
      </c>
      <c r="G1723" s="403" t="s">
        <v>1466</v>
      </c>
      <c r="H1723" s="403" t="s">
        <v>1276</v>
      </c>
      <c r="I1723" s="403">
        <v>1</v>
      </c>
      <c r="J1723" s="403" t="s">
        <v>1289</v>
      </c>
      <c r="K1723" s="403">
        <v>1280</v>
      </c>
      <c r="L1723" s="403">
        <v>720</v>
      </c>
      <c r="M1723" s="403" t="s">
        <v>111</v>
      </c>
      <c r="N1723" s="403">
        <v>768</v>
      </c>
      <c r="O1723" s="403">
        <v>432</v>
      </c>
      <c r="P1723" t="str">
        <f t="shared" si="209"/>
        <v>50fps 720p full frame rate - SD</v>
      </c>
      <c r="Q1723">
        <f t="shared" si="210"/>
        <v>9</v>
      </c>
      <c r="R1723" t="str">
        <f t="shared" si="211"/>
        <v/>
      </c>
      <c r="S1723" t="str">
        <f t="shared" si="212"/>
        <v/>
      </c>
      <c r="T1723" s="403" t="str">
        <f t="shared" si="213"/>
        <v>NBE-6502-AL</v>
      </c>
      <c r="U1723" s="403">
        <f t="shared" si="214"/>
        <v>1</v>
      </c>
      <c r="V1723" s="403" t="str">
        <f t="shared" si="215"/>
        <v>CPP_7_3</v>
      </c>
    </row>
    <row r="1724" spans="1:22">
      <c r="A1724" t="str">
        <f t="shared" si="208"/>
        <v>NBE-6502-AL</v>
      </c>
      <c r="B1724" s="403" t="s">
        <v>1386</v>
      </c>
      <c r="C1724" s="403" t="s">
        <v>582</v>
      </c>
      <c r="D1724" s="403" t="s">
        <v>1387</v>
      </c>
      <c r="E1724" s="403" t="s">
        <v>778</v>
      </c>
      <c r="F1724" s="403" t="s">
        <v>1290</v>
      </c>
      <c r="G1724" s="403" t="s">
        <v>1466</v>
      </c>
      <c r="H1724" s="403" t="s">
        <v>1276</v>
      </c>
      <c r="I1724" s="403">
        <v>1</v>
      </c>
      <c r="J1724" s="403" t="s">
        <v>1289</v>
      </c>
      <c r="K1724" s="403">
        <v>1280</v>
      </c>
      <c r="L1724" s="403">
        <v>720</v>
      </c>
      <c r="M1724" s="403" t="s">
        <v>1279</v>
      </c>
      <c r="N1724" s="403">
        <v>768</v>
      </c>
      <c r="O1724" s="403">
        <v>432</v>
      </c>
      <c r="P1724" t="str">
        <f t="shared" si="209"/>
        <v>50fps 720p full frame rate - SD ROI PTZ</v>
      </c>
      <c r="Q1724">
        <f t="shared" si="210"/>
        <v>9</v>
      </c>
      <c r="R1724" t="str">
        <f t="shared" si="211"/>
        <v/>
      </c>
      <c r="S1724" t="str">
        <f t="shared" si="212"/>
        <v/>
      </c>
      <c r="T1724" s="403" t="str">
        <f t="shared" si="213"/>
        <v>NBE-6502-AL</v>
      </c>
      <c r="U1724" s="403">
        <f t="shared" si="214"/>
        <v>1</v>
      </c>
      <c r="V1724" s="403" t="str">
        <f t="shared" si="215"/>
        <v>CPP_7_3</v>
      </c>
    </row>
    <row r="1725" spans="1:22">
      <c r="A1725" t="str">
        <f t="shared" si="208"/>
        <v>NBE-6502-AL</v>
      </c>
      <c r="B1725" s="403" t="s">
        <v>1386</v>
      </c>
      <c r="C1725" s="403" t="s">
        <v>582</v>
      </c>
      <c r="D1725" s="403" t="s">
        <v>1387</v>
      </c>
      <c r="E1725" s="403" t="s">
        <v>778</v>
      </c>
      <c r="F1725" s="403" t="s">
        <v>1290</v>
      </c>
      <c r="G1725" s="403" t="s">
        <v>1466</v>
      </c>
      <c r="H1725" s="403" t="s">
        <v>1276</v>
      </c>
      <c r="I1725" s="403">
        <v>1</v>
      </c>
      <c r="J1725" s="403" t="s">
        <v>1289</v>
      </c>
      <c r="K1725" s="403">
        <v>1280</v>
      </c>
      <c r="L1725" s="403">
        <v>720</v>
      </c>
      <c r="M1725" s="403" t="s">
        <v>1283</v>
      </c>
      <c r="N1725" s="403">
        <v>720</v>
      </c>
      <c r="O1725" s="403">
        <v>576</v>
      </c>
      <c r="P1725" t="str">
        <f t="shared" si="209"/>
        <v>50fps 720p full frame rate - SD 4CIF resolution 4:3 format (cropped)</v>
      </c>
      <c r="Q1725">
        <f t="shared" si="210"/>
        <v>9</v>
      </c>
      <c r="R1725" t="str">
        <f t="shared" si="211"/>
        <v/>
      </c>
      <c r="S1725" t="str">
        <f t="shared" si="212"/>
        <v/>
      </c>
      <c r="T1725" s="403" t="str">
        <f t="shared" si="213"/>
        <v>NBE-6502-AL</v>
      </c>
      <c r="U1725" s="403">
        <f t="shared" si="214"/>
        <v>1</v>
      </c>
      <c r="V1725" s="403" t="str">
        <f t="shared" si="215"/>
        <v>CPP_7_3</v>
      </c>
    </row>
    <row r="1726" spans="1:22">
      <c r="A1726" t="str">
        <f t="shared" si="208"/>
        <v>NBE-6502-AL</v>
      </c>
      <c r="B1726" s="403" t="s">
        <v>1386</v>
      </c>
      <c r="C1726" s="403" t="s">
        <v>582</v>
      </c>
      <c r="D1726" s="403" t="s">
        <v>1387</v>
      </c>
      <c r="E1726" s="403" t="s">
        <v>778</v>
      </c>
      <c r="F1726" s="403" t="s">
        <v>1290</v>
      </c>
      <c r="G1726" s="403" t="s">
        <v>1466</v>
      </c>
      <c r="H1726" s="403" t="s">
        <v>1276</v>
      </c>
      <c r="I1726" s="403">
        <v>1</v>
      </c>
      <c r="J1726" s="403" t="s">
        <v>1289</v>
      </c>
      <c r="K1726" s="403">
        <v>1280</v>
      </c>
      <c r="L1726" s="403">
        <v>720</v>
      </c>
      <c r="M1726" s="403" t="s">
        <v>1284</v>
      </c>
      <c r="N1726" s="403">
        <v>640</v>
      </c>
      <c r="O1726" s="403">
        <v>480</v>
      </c>
      <c r="P1726" t="str">
        <f t="shared" si="209"/>
        <v>50fps 720p full frame rate - SD VGA (cropped)</v>
      </c>
      <c r="Q1726">
        <f t="shared" si="210"/>
        <v>9</v>
      </c>
      <c r="R1726" t="str">
        <f t="shared" si="211"/>
        <v/>
      </c>
      <c r="S1726" t="str">
        <f t="shared" si="212"/>
        <v/>
      </c>
      <c r="T1726" s="403" t="str">
        <f t="shared" si="213"/>
        <v>NBE-6502-AL</v>
      </c>
      <c r="U1726" s="403">
        <f t="shared" si="214"/>
        <v>1</v>
      </c>
      <c r="V1726" s="403" t="str">
        <f t="shared" si="215"/>
        <v>CPP_7_3</v>
      </c>
    </row>
    <row r="1727" spans="1:22">
      <c r="A1727" t="str">
        <f t="shared" si="208"/>
        <v>NBE-6502-AL</v>
      </c>
      <c r="B1727" s="403" t="s">
        <v>1386</v>
      </c>
      <c r="C1727" s="403" t="s">
        <v>582</v>
      </c>
      <c r="D1727" s="403" t="s">
        <v>1387</v>
      </c>
      <c r="E1727" s="403" t="s">
        <v>778</v>
      </c>
      <c r="F1727" s="403" t="s">
        <v>1290</v>
      </c>
      <c r="G1727" s="403" t="s">
        <v>1466</v>
      </c>
      <c r="H1727" s="403" t="s">
        <v>1281</v>
      </c>
      <c r="I1727" s="403">
        <v>1</v>
      </c>
      <c r="J1727" s="403" t="s">
        <v>110</v>
      </c>
      <c r="K1727" s="403">
        <v>1920</v>
      </c>
      <c r="L1727" s="403">
        <v>1080</v>
      </c>
      <c r="M1727" s="403" t="s">
        <v>111</v>
      </c>
      <c r="N1727" s="403">
        <v>768</v>
      </c>
      <c r="O1727" s="403">
        <v>432</v>
      </c>
      <c r="P1727" t="str">
        <f t="shared" si="209"/>
        <v>50fps 1080p - SD</v>
      </c>
      <c r="Q1727">
        <f t="shared" si="210"/>
        <v>9</v>
      </c>
      <c r="R1727" t="str">
        <f t="shared" si="211"/>
        <v/>
      </c>
      <c r="S1727" t="str">
        <f t="shared" si="212"/>
        <v/>
      </c>
      <c r="T1727" s="403" t="str">
        <f t="shared" si="213"/>
        <v>NBE-6502-AL</v>
      </c>
      <c r="U1727" s="403">
        <f t="shared" si="214"/>
        <v>1</v>
      </c>
      <c r="V1727" s="403" t="str">
        <f t="shared" si="215"/>
        <v>CPP_7_3</v>
      </c>
    </row>
    <row r="1728" spans="1:22">
      <c r="A1728" t="str">
        <f t="shared" si="208"/>
        <v>NBE-6502-AL</v>
      </c>
      <c r="B1728" s="403" t="s">
        <v>1386</v>
      </c>
      <c r="C1728" s="403" t="s">
        <v>582</v>
      </c>
      <c r="D1728" s="403" t="s">
        <v>1387</v>
      </c>
      <c r="E1728" s="403" t="s">
        <v>778</v>
      </c>
      <c r="F1728" s="403" t="s">
        <v>1290</v>
      </c>
      <c r="G1728" s="403" t="s">
        <v>1466</v>
      </c>
      <c r="H1728" s="403" t="s">
        <v>1281</v>
      </c>
      <c r="I1728" s="403">
        <v>1</v>
      </c>
      <c r="J1728" s="403" t="s">
        <v>110</v>
      </c>
      <c r="K1728" s="403">
        <v>1920</v>
      </c>
      <c r="L1728" s="403">
        <v>1080</v>
      </c>
      <c r="M1728" s="403" t="s">
        <v>1289</v>
      </c>
      <c r="N1728" s="403">
        <v>1280</v>
      </c>
      <c r="O1728" s="403">
        <v>720</v>
      </c>
      <c r="P1728" t="str">
        <f t="shared" si="209"/>
        <v>50fps 1080p - 720p full frame rate</v>
      </c>
      <c r="Q1728">
        <f t="shared" si="210"/>
        <v>9</v>
      </c>
      <c r="R1728" t="str">
        <f t="shared" si="211"/>
        <v/>
      </c>
      <c r="S1728" t="str">
        <f t="shared" si="212"/>
        <v/>
      </c>
      <c r="T1728" s="403" t="str">
        <f t="shared" si="213"/>
        <v>NBE-6502-AL</v>
      </c>
      <c r="U1728" s="403">
        <f t="shared" si="214"/>
        <v>1</v>
      </c>
      <c r="V1728" s="403" t="str">
        <f t="shared" si="215"/>
        <v>CPP_7_3</v>
      </c>
    </row>
    <row r="1729" spans="1:22">
      <c r="A1729" t="str">
        <f t="shared" si="208"/>
        <v>NBE-6502-AL</v>
      </c>
      <c r="B1729" s="403" t="s">
        <v>1386</v>
      </c>
      <c r="C1729" s="403" t="s">
        <v>582</v>
      </c>
      <c r="D1729" s="403" t="s">
        <v>1387</v>
      </c>
      <c r="E1729" s="403" t="s">
        <v>778</v>
      </c>
      <c r="F1729" s="403" t="s">
        <v>1290</v>
      </c>
      <c r="G1729" s="403" t="s">
        <v>1466</v>
      </c>
      <c r="H1729" s="403" t="s">
        <v>1281</v>
      </c>
      <c r="I1729" s="403">
        <v>1</v>
      </c>
      <c r="J1729" s="403" t="s">
        <v>110</v>
      </c>
      <c r="K1729" s="403">
        <v>1920</v>
      </c>
      <c r="L1729" s="403">
        <v>1080</v>
      </c>
      <c r="M1729" s="403" t="s">
        <v>1279</v>
      </c>
      <c r="N1729" s="403">
        <v>768</v>
      </c>
      <c r="O1729" s="403">
        <v>432</v>
      </c>
      <c r="P1729" t="str">
        <f t="shared" si="209"/>
        <v>50fps 1080p - SD ROI PTZ</v>
      </c>
      <c r="Q1729">
        <f t="shared" si="210"/>
        <v>9</v>
      </c>
      <c r="R1729" t="str">
        <f t="shared" si="211"/>
        <v/>
      </c>
      <c r="S1729" t="str">
        <f t="shared" si="212"/>
        <v/>
      </c>
      <c r="T1729" s="403" t="str">
        <f t="shared" si="213"/>
        <v>NBE-6502-AL</v>
      </c>
      <c r="U1729" s="403">
        <f t="shared" si="214"/>
        <v>1</v>
      </c>
      <c r="V1729" s="403" t="str">
        <f t="shared" si="215"/>
        <v>CPP_7_3</v>
      </c>
    </row>
    <row r="1730" spans="1:22">
      <c r="A1730" t="str">
        <f t="shared" ref="A1730:A1793" si="216">IF(AND(G1730&lt;&gt;"rotate 90°"),D1730,"")</f>
        <v>NBE-6502-AL</v>
      </c>
      <c r="B1730" s="403" t="s">
        <v>1386</v>
      </c>
      <c r="C1730" s="403" t="s">
        <v>582</v>
      </c>
      <c r="D1730" s="403" t="s">
        <v>1387</v>
      </c>
      <c r="E1730" s="403" t="s">
        <v>778</v>
      </c>
      <c r="F1730" s="403" t="s">
        <v>1290</v>
      </c>
      <c r="G1730" s="403" t="s">
        <v>1466</v>
      </c>
      <c r="H1730" s="403" t="s">
        <v>1281</v>
      </c>
      <c r="I1730" s="403">
        <v>1</v>
      </c>
      <c r="J1730" s="403" t="s">
        <v>110</v>
      </c>
      <c r="K1730" s="403">
        <v>1920</v>
      </c>
      <c r="L1730" s="403">
        <v>1080</v>
      </c>
      <c r="M1730" s="403" t="s">
        <v>1283</v>
      </c>
      <c r="N1730" s="403">
        <v>720</v>
      </c>
      <c r="O1730" s="403">
        <v>576</v>
      </c>
      <c r="P1730" t="str">
        <f t="shared" ref="P1730:P1793" si="217">LEFT(F1730,5)&amp;" "&amp;J1730&amp;" - "&amp;M1730</f>
        <v>50fps 1080p - SD 4CIF resolution 4:3 format (cropped)</v>
      </c>
      <c r="Q1730">
        <f t="shared" ref="Q1730:Q1793" si="218">IF(A1729=A1730,Q1729,Q1729+1)</f>
        <v>9</v>
      </c>
      <c r="R1730" t="str">
        <f t="shared" ref="R1730:R1793" si="219">IF(Q1729&lt;&gt;Q1730,Q1730,"")</f>
        <v/>
      </c>
      <c r="S1730" t="str">
        <f t="shared" ref="S1730:S1793" si="220">IF(R1730&lt;&gt;"",B1730&amp;" ("&amp;D1730&amp;")","")</f>
        <v/>
      </c>
      <c r="T1730" s="403" t="str">
        <f t="shared" ref="T1730:T1793" si="221">D1730</f>
        <v>NBE-6502-AL</v>
      </c>
      <c r="U1730" s="403">
        <f t="shared" ref="U1730:U1793" si="222">I1730</f>
        <v>1</v>
      </c>
      <c r="V1730" s="403" t="str">
        <f t="shared" ref="V1730:V1793" si="223">C1730</f>
        <v>CPP_7_3</v>
      </c>
    </row>
    <row r="1731" spans="1:22">
      <c r="A1731" t="str">
        <f t="shared" si="216"/>
        <v>NBE-6502-AL</v>
      </c>
      <c r="B1731" s="403" t="s">
        <v>1386</v>
      </c>
      <c r="C1731" s="403" t="s">
        <v>582</v>
      </c>
      <c r="D1731" s="403" t="s">
        <v>1387</v>
      </c>
      <c r="E1731" s="403" t="s">
        <v>778</v>
      </c>
      <c r="F1731" s="403" t="s">
        <v>1290</v>
      </c>
      <c r="G1731" s="403" t="s">
        <v>1466</v>
      </c>
      <c r="H1731" s="403" t="s">
        <v>1281</v>
      </c>
      <c r="I1731" s="403">
        <v>1</v>
      </c>
      <c r="J1731" s="403" t="s">
        <v>110</v>
      </c>
      <c r="K1731" s="403">
        <v>1920</v>
      </c>
      <c r="L1731" s="403">
        <v>1080</v>
      </c>
      <c r="M1731" s="403" t="s">
        <v>1284</v>
      </c>
      <c r="N1731" s="403">
        <v>640</v>
      </c>
      <c r="O1731" s="403">
        <v>480</v>
      </c>
      <c r="P1731" t="str">
        <f t="shared" si="217"/>
        <v>50fps 1080p - SD VGA (cropped)</v>
      </c>
      <c r="Q1731">
        <f t="shared" si="218"/>
        <v>9</v>
      </c>
      <c r="R1731" t="str">
        <f t="shared" si="219"/>
        <v/>
      </c>
      <c r="S1731" t="str">
        <f t="shared" si="220"/>
        <v/>
      </c>
      <c r="T1731" s="403" t="str">
        <f t="shared" si="221"/>
        <v>NBE-6502-AL</v>
      </c>
      <c r="U1731" s="403">
        <f t="shared" si="222"/>
        <v>1</v>
      </c>
      <c r="V1731" s="403" t="str">
        <f t="shared" si="223"/>
        <v>CPP_7_3</v>
      </c>
    </row>
    <row r="1732" spans="1:22">
      <c r="A1732" t="str">
        <f t="shared" si="216"/>
        <v>NBE-6502-AL</v>
      </c>
      <c r="B1732" s="403" t="s">
        <v>1386</v>
      </c>
      <c r="C1732" s="403" t="s">
        <v>582</v>
      </c>
      <c r="D1732" s="403" t="s">
        <v>1387</v>
      </c>
      <c r="E1732" s="403" t="s">
        <v>778</v>
      </c>
      <c r="F1732" s="403" t="s">
        <v>1290</v>
      </c>
      <c r="G1732" s="403" t="s">
        <v>1466</v>
      </c>
      <c r="H1732" s="403" t="s">
        <v>1281</v>
      </c>
      <c r="I1732" s="403">
        <v>1</v>
      </c>
      <c r="J1732" s="403" t="s">
        <v>1289</v>
      </c>
      <c r="K1732" s="403">
        <v>1280</v>
      </c>
      <c r="L1732" s="403">
        <v>720</v>
      </c>
      <c r="M1732" s="403" t="s">
        <v>1289</v>
      </c>
      <c r="N1732" s="403">
        <v>1280</v>
      </c>
      <c r="O1732" s="403">
        <v>720</v>
      </c>
      <c r="P1732" t="str">
        <f t="shared" si="217"/>
        <v>50fps 720p full frame rate - 720p full frame rate</v>
      </c>
      <c r="Q1732">
        <f t="shared" si="218"/>
        <v>9</v>
      </c>
      <c r="R1732" t="str">
        <f t="shared" si="219"/>
        <v/>
      </c>
      <c r="S1732" t="str">
        <f t="shared" si="220"/>
        <v/>
      </c>
      <c r="T1732" s="403" t="str">
        <f t="shared" si="221"/>
        <v>NBE-6502-AL</v>
      </c>
      <c r="U1732" s="403">
        <f t="shared" si="222"/>
        <v>1</v>
      </c>
      <c r="V1732" s="403" t="str">
        <f t="shared" si="223"/>
        <v>CPP_7_3</v>
      </c>
    </row>
    <row r="1733" spans="1:22">
      <c r="A1733" t="str">
        <f t="shared" si="216"/>
        <v>NBE-6502-AL</v>
      </c>
      <c r="B1733" s="403" t="s">
        <v>1386</v>
      </c>
      <c r="C1733" s="403" t="s">
        <v>582</v>
      </c>
      <c r="D1733" s="403" t="s">
        <v>1387</v>
      </c>
      <c r="E1733" s="403" t="s">
        <v>778</v>
      </c>
      <c r="F1733" s="403" t="s">
        <v>1290</v>
      </c>
      <c r="G1733" s="403" t="s">
        <v>1466</v>
      </c>
      <c r="H1733" s="403" t="s">
        <v>1281</v>
      </c>
      <c r="I1733" s="403">
        <v>1</v>
      </c>
      <c r="J1733" s="403" t="s">
        <v>1289</v>
      </c>
      <c r="K1733" s="403">
        <v>1280</v>
      </c>
      <c r="L1733" s="403">
        <v>720</v>
      </c>
      <c r="M1733" s="403" t="s">
        <v>111</v>
      </c>
      <c r="N1733" s="403">
        <v>768</v>
      </c>
      <c r="O1733" s="403">
        <v>432</v>
      </c>
      <c r="P1733" t="str">
        <f t="shared" si="217"/>
        <v>50fps 720p full frame rate - SD</v>
      </c>
      <c r="Q1733">
        <f t="shared" si="218"/>
        <v>9</v>
      </c>
      <c r="R1733" t="str">
        <f t="shared" si="219"/>
        <v/>
      </c>
      <c r="S1733" t="str">
        <f t="shared" si="220"/>
        <v/>
      </c>
      <c r="T1733" s="403" t="str">
        <f t="shared" si="221"/>
        <v>NBE-6502-AL</v>
      </c>
      <c r="U1733" s="403">
        <f t="shared" si="222"/>
        <v>1</v>
      </c>
      <c r="V1733" s="403" t="str">
        <f t="shared" si="223"/>
        <v>CPP_7_3</v>
      </c>
    </row>
    <row r="1734" spans="1:22">
      <c r="A1734" t="str">
        <f t="shared" si="216"/>
        <v>NBE-6502-AL</v>
      </c>
      <c r="B1734" s="403" t="s">
        <v>1386</v>
      </c>
      <c r="C1734" s="403" t="s">
        <v>582</v>
      </c>
      <c r="D1734" s="403" t="s">
        <v>1387</v>
      </c>
      <c r="E1734" s="403" t="s">
        <v>778</v>
      </c>
      <c r="F1734" s="403" t="s">
        <v>1290</v>
      </c>
      <c r="G1734" s="403" t="s">
        <v>1466</v>
      </c>
      <c r="H1734" s="403" t="s">
        <v>1281</v>
      </c>
      <c r="I1734" s="403">
        <v>1</v>
      </c>
      <c r="J1734" s="403" t="s">
        <v>1289</v>
      </c>
      <c r="K1734" s="403">
        <v>1280</v>
      </c>
      <c r="L1734" s="403">
        <v>720</v>
      </c>
      <c r="M1734" s="403" t="s">
        <v>1279</v>
      </c>
      <c r="N1734" s="403">
        <v>768</v>
      </c>
      <c r="O1734" s="403">
        <v>432</v>
      </c>
      <c r="P1734" t="str">
        <f t="shared" si="217"/>
        <v>50fps 720p full frame rate - SD ROI PTZ</v>
      </c>
      <c r="Q1734">
        <f t="shared" si="218"/>
        <v>9</v>
      </c>
      <c r="R1734" t="str">
        <f t="shared" si="219"/>
        <v/>
      </c>
      <c r="S1734" t="str">
        <f t="shared" si="220"/>
        <v/>
      </c>
      <c r="T1734" s="403" t="str">
        <f t="shared" si="221"/>
        <v>NBE-6502-AL</v>
      </c>
      <c r="U1734" s="403">
        <f t="shared" si="222"/>
        <v>1</v>
      </c>
      <c r="V1734" s="403" t="str">
        <f t="shared" si="223"/>
        <v>CPP_7_3</v>
      </c>
    </row>
    <row r="1735" spans="1:22">
      <c r="A1735" t="str">
        <f t="shared" si="216"/>
        <v>NBE-6502-AL</v>
      </c>
      <c r="B1735" s="403" t="s">
        <v>1386</v>
      </c>
      <c r="C1735" s="403" t="s">
        <v>582</v>
      </c>
      <c r="D1735" s="403" t="s">
        <v>1387</v>
      </c>
      <c r="E1735" s="403" t="s">
        <v>778</v>
      </c>
      <c r="F1735" s="403" t="s">
        <v>1290</v>
      </c>
      <c r="G1735" s="403" t="s">
        <v>1466</v>
      </c>
      <c r="H1735" s="403" t="s">
        <v>1281</v>
      </c>
      <c r="I1735" s="403">
        <v>1</v>
      </c>
      <c r="J1735" s="403" t="s">
        <v>1289</v>
      </c>
      <c r="K1735" s="403">
        <v>1280</v>
      </c>
      <c r="L1735" s="403">
        <v>720</v>
      </c>
      <c r="M1735" s="403" t="s">
        <v>1283</v>
      </c>
      <c r="N1735" s="403">
        <v>720</v>
      </c>
      <c r="O1735" s="403">
        <v>576</v>
      </c>
      <c r="P1735" t="str">
        <f t="shared" si="217"/>
        <v>50fps 720p full frame rate - SD 4CIF resolution 4:3 format (cropped)</v>
      </c>
      <c r="Q1735">
        <f t="shared" si="218"/>
        <v>9</v>
      </c>
      <c r="R1735" t="str">
        <f t="shared" si="219"/>
        <v/>
      </c>
      <c r="S1735" t="str">
        <f t="shared" si="220"/>
        <v/>
      </c>
      <c r="T1735" s="403" t="str">
        <f t="shared" si="221"/>
        <v>NBE-6502-AL</v>
      </c>
      <c r="U1735" s="403">
        <f t="shared" si="222"/>
        <v>1</v>
      </c>
      <c r="V1735" s="403" t="str">
        <f t="shared" si="223"/>
        <v>CPP_7_3</v>
      </c>
    </row>
    <row r="1736" spans="1:22">
      <c r="A1736" t="str">
        <f t="shared" si="216"/>
        <v>NBE-6502-AL</v>
      </c>
      <c r="B1736" s="403" t="s">
        <v>1386</v>
      </c>
      <c r="C1736" s="403" t="s">
        <v>582</v>
      </c>
      <c r="D1736" s="403" t="s">
        <v>1387</v>
      </c>
      <c r="E1736" s="403" t="s">
        <v>778</v>
      </c>
      <c r="F1736" s="403" t="s">
        <v>1290</v>
      </c>
      <c r="G1736" s="403" t="s">
        <v>1466</v>
      </c>
      <c r="H1736" s="403" t="s">
        <v>1281</v>
      </c>
      <c r="I1736" s="403">
        <v>1</v>
      </c>
      <c r="J1736" s="403" t="s">
        <v>1289</v>
      </c>
      <c r="K1736" s="403">
        <v>1280</v>
      </c>
      <c r="L1736" s="403">
        <v>720</v>
      </c>
      <c r="M1736" s="403" t="s">
        <v>1284</v>
      </c>
      <c r="N1736" s="403">
        <v>640</v>
      </c>
      <c r="O1736" s="403">
        <v>480</v>
      </c>
      <c r="P1736" t="str">
        <f t="shared" si="217"/>
        <v>50fps 720p full frame rate - SD VGA (cropped)</v>
      </c>
      <c r="Q1736">
        <f t="shared" si="218"/>
        <v>9</v>
      </c>
      <c r="R1736" t="str">
        <f t="shared" si="219"/>
        <v/>
      </c>
      <c r="S1736" t="str">
        <f t="shared" si="220"/>
        <v/>
      </c>
      <c r="T1736" s="403" t="str">
        <f t="shared" si="221"/>
        <v>NBE-6502-AL</v>
      </c>
      <c r="U1736" s="403">
        <f t="shared" si="222"/>
        <v>1</v>
      </c>
      <c r="V1736" s="403" t="str">
        <f t="shared" si="223"/>
        <v>CPP_7_3</v>
      </c>
    </row>
    <row r="1737" spans="1:22">
      <c r="A1737" t="str">
        <f t="shared" si="216"/>
        <v>NBE-6502-AL</v>
      </c>
      <c r="B1737" s="403" t="s">
        <v>1386</v>
      </c>
      <c r="C1737" s="403" t="s">
        <v>582</v>
      </c>
      <c r="D1737" s="403" t="s">
        <v>1387</v>
      </c>
      <c r="E1737" s="403" t="s">
        <v>778</v>
      </c>
      <c r="F1737" s="403" t="s">
        <v>1290</v>
      </c>
      <c r="G1737" s="403" t="s">
        <v>1466</v>
      </c>
      <c r="H1737" s="403" t="s">
        <v>1282</v>
      </c>
      <c r="I1737" s="403">
        <v>1</v>
      </c>
      <c r="J1737" s="403" t="s">
        <v>110</v>
      </c>
      <c r="K1737" s="403">
        <v>1920</v>
      </c>
      <c r="L1737" s="403">
        <v>1080</v>
      </c>
      <c r="M1737" s="403" t="s">
        <v>111</v>
      </c>
      <c r="N1737" s="403">
        <v>768</v>
      </c>
      <c r="O1737" s="403">
        <v>432</v>
      </c>
      <c r="P1737" t="str">
        <f t="shared" si="217"/>
        <v>50fps 1080p - SD</v>
      </c>
      <c r="Q1737">
        <f t="shared" si="218"/>
        <v>9</v>
      </c>
      <c r="R1737" t="str">
        <f t="shared" si="219"/>
        <v/>
      </c>
      <c r="S1737" t="str">
        <f t="shared" si="220"/>
        <v/>
      </c>
      <c r="T1737" s="403" t="str">
        <f t="shared" si="221"/>
        <v>NBE-6502-AL</v>
      </c>
      <c r="U1737" s="403">
        <f t="shared" si="222"/>
        <v>1</v>
      </c>
      <c r="V1737" s="403" t="str">
        <f t="shared" si="223"/>
        <v>CPP_7_3</v>
      </c>
    </row>
    <row r="1738" spans="1:22">
      <c r="A1738" t="str">
        <f t="shared" si="216"/>
        <v>NBE-6502-AL</v>
      </c>
      <c r="B1738" s="403" t="s">
        <v>1386</v>
      </c>
      <c r="C1738" s="403" t="s">
        <v>582</v>
      </c>
      <c r="D1738" s="403" t="s">
        <v>1387</v>
      </c>
      <c r="E1738" s="403" t="s">
        <v>778</v>
      </c>
      <c r="F1738" s="403" t="s">
        <v>1290</v>
      </c>
      <c r="G1738" s="403" t="s">
        <v>1466</v>
      </c>
      <c r="H1738" s="403" t="s">
        <v>1282</v>
      </c>
      <c r="I1738" s="403">
        <v>1</v>
      </c>
      <c r="J1738" s="403" t="s">
        <v>110</v>
      </c>
      <c r="K1738" s="403">
        <v>1920</v>
      </c>
      <c r="L1738" s="403">
        <v>1080</v>
      </c>
      <c r="M1738" s="403" t="s">
        <v>110</v>
      </c>
      <c r="N1738" s="403">
        <v>1920</v>
      </c>
      <c r="O1738" s="403">
        <v>1080</v>
      </c>
      <c r="P1738" t="str">
        <f t="shared" si="217"/>
        <v>50fps 1080p - 1080p</v>
      </c>
      <c r="Q1738">
        <f t="shared" si="218"/>
        <v>9</v>
      </c>
      <c r="R1738" t="str">
        <f t="shared" si="219"/>
        <v/>
      </c>
      <c r="S1738" t="str">
        <f t="shared" si="220"/>
        <v/>
      </c>
      <c r="T1738" s="403" t="str">
        <f t="shared" si="221"/>
        <v>NBE-6502-AL</v>
      </c>
      <c r="U1738" s="403">
        <f t="shared" si="222"/>
        <v>1</v>
      </c>
      <c r="V1738" s="403" t="str">
        <f t="shared" si="223"/>
        <v>CPP_7_3</v>
      </c>
    </row>
    <row r="1739" spans="1:22">
      <c r="A1739" t="str">
        <f t="shared" si="216"/>
        <v>NBE-6502-AL</v>
      </c>
      <c r="B1739" s="403" t="s">
        <v>1386</v>
      </c>
      <c r="C1739" s="403" t="s">
        <v>582</v>
      </c>
      <c r="D1739" s="403" t="s">
        <v>1387</v>
      </c>
      <c r="E1739" s="403" t="s">
        <v>778</v>
      </c>
      <c r="F1739" s="403" t="s">
        <v>1290</v>
      </c>
      <c r="G1739" s="403" t="s">
        <v>1466</v>
      </c>
      <c r="H1739" s="403" t="s">
        <v>1282</v>
      </c>
      <c r="I1739" s="403">
        <v>1</v>
      </c>
      <c r="J1739" s="403" t="s">
        <v>110</v>
      </c>
      <c r="K1739" s="403">
        <v>1920</v>
      </c>
      <c r="L1739" s="403">
        <v>1080</v>
      </c>
      <c r="M1739" s="403" t="s">
        <v>1289</v>
      </c>
      <c r="N1739" s="403">
        <v>1280</v>
      </c>
      <c r="O1739" s="403">
        <v>720</v>
      </c>
      <c r="P1739" t="str">
        <f t="shared" si="217"/>
        <v>50fps 1080p - 720p full frame rate</v>
      </c>
      <c r="Q1739">
        <f t="shared" si="218"/>
        <v>9</v>
      </c>
      <c r="R1739" t="str">
        <f t="shared" si="219"/>
        <v/>
      </c>
      <c r="S1739" t="str">
        <f t="shared" si="220"/>
        <v/>
      </c>
      <c r="T1739" s="403" t="str">
        <f t="shared" si="221"/>
        <v>NBE-6502-AL</v>
      </c>
      <c r="U1739" s="403">
        <f t="shared" si="222"/>
        <v>1</v>
      </c>
      <c r="V1739" s="403" t="str">
        <f t="shared" si="223"/>
        <v>CPP_7_3</v>
      </c>
    </row>
    <row r="1740" spans="1:22">
      <c r="A1740" t="str">
        <f t="shared" si="216"/>
        <v>NBE-6502-AL</v>
      </c>
      <c r="B1740" s="403" t="s">
        <v>1386</v>
      </c>
      <c r="C1740" s="403" t="s">
        <v>582</v>
      </c>
      <c r="D1740" s="403" t="s">
        <v>1387</v>
      </c>
      <c r="E1740" s="403" t="s">
        <v>778</v>
      </c>
      <c r="F1740" s="403" t="s">
        <v>1290</v>
      </c>
      <c r="G1740" s="403" t="s">
        <v>1466</v>
      </c>
      <c r="H1740" s="403" t="s">
        <v>1282</v>
      </c>
      <c r="I1740" s="403">
        <v>1</v>
      </c>
      <c r="J1740" s="403" t="s">
        <v>110</v>
      </c>
      <c r="K1740" s="403">
        <v>1920</v>
      </c>
      <c r="L1740" s="403">
        <v>1080</v>
      </c>
      <c r="M1740" s="403" t="s">
        <v>1285</v>
      </c>
      <c r="N1740" s="403">
        <v>1280</v>
      </c>
      <c r="O1740" s="403">
        <v>1024</v>
      </c>
      <c r="P1740" t="str">
        <f t="shared" si="217"/>
        <v>50fps 1080p - 1280x1024 5:4 (cropped)</v>
      </c>
      <c r="Q1740">
        <f t="shared" si="218"/>
        <v>9</v>
      </c>
      <c r="R1740" t="str">
        <f t="shared" si="219"/>
        <v/>
      </c>
      <c r="S1740" t="str">
        <f t="shared" si="220"/>
        <v/>
      </c>
      <c r="T1740" s="403" t="str">
        <f t="shared" si="221"/>
        <v>NBE-6502-AL</v>
      </c>
      <c r="U1740" s="403">
        <f t="shared" si="222"/>
        <v>1</v>
      </c>
      <c r="V1740" s="403" t="str">
        <f t="shared" si="223"/>
        <v>CPP_7_3</v>
      </c>
    </row>
    <row r="1741" spans="1:22">
      <c r="A1741" t="str">
        <f t="shared" si="216"/>
        <v>NBE-6502-AL</v>
      </c>
      <c r="B1741" s="403" t="s">
        <v>1386</v>
      </c>
      <c r="C1741" s="403" t="s">
        <v>582</v>
      </c>
      <c r="D1741" s="403" t="s">
        <v>1387</v>
      </c>
      <c r="E1741" s="403" t="s">
        <v>778</v>
      </c>
      <c r="F1741" s="403" t="s">
        <v>1290</v>
      </c>
      <c r="G1741" s="403" t="s">
        <v>1466</v>
      </c>
      <c r="H1741" s="403" t="s">
        <v>1282</v>
      </c>
      <c r="I1741" s="403">
        <v>1</v>
      </c>
      <c r="J1741" s="403" t="s">
        <v>110</v>
      </c>
      <c r="K1741" s="403">
        <v>1920</v>
      </c>
      <c r="L1741" s="403">
        <v>1080</v>
      </c>
      <c r="M1741" s="403" t="s">
        <v>1279</v>
      </c>
      <c r="N1741" s="403">
        <v>768</v>
      </c>
      <c r="O1741" s="403">
        <v>432</v>
      </c>
      <c r="P1741" t="str">
        <f t="shared" si="217"/>
        <v>50fps 1080p - SD ROI PTZ</v>
      </c>
      <c r="Q1741">
        <f t="shared" si="218"/>
        <v>9</v>
      </c>
      <c r="R1741" t="str">
        <f t="shared" si="219"/>
        <v/>
      </c>
      <c r="S1741" t="str">
        <f t="shared" si="220"/>
        <v/>
      </c>
      <c r="T1741" s="403" t="str">
        <f t="shared" si="221"/>
        <v>NBE-6502-AL</v>
      </c>
      <c r="U1741" s="403">
        <f t="shared" si="222"/>
        <v>1</v>
      </c>
      <c r="V1741" s="403" t="str">
        <f t="shared" si="223"/>
        <v>CPP_7_3</v>
      </c>
    </row>
    <row r="1742" spans="1:22">
      <c r="A1742" t="str">
        <f t="shared" si="216"/>
        <v>NBE-6502-AL</v>
      </c>
      <c r="B1742" s="403" t="s">
        <v>1386</v>
      </c>
      <c r="C1742" s="403" t="s">
        <v>582</v>
      </c>
      <c r="D1742" s="403" t="s">
        <v>1387</v>
      </c>
      <c r="E1742" s="403" t="s">
        <v>778</v>
      </c>
      <c r="F1742" s="403" t="s">
        <v>1290</v>
      </c>
      <c r="G1742" s="403" t="s">
        <v>1466</v>
      </c>
      <c r="H1742" s="403" t="s">
        <v>1282</v>
      </c>
      <c r="I1742" s="403">
        <v>1</v>
      </c>
      <c r="J1742" s="403" t="s">
        <v>110</v>
      </c>
      <c r="K1742" s="403">
        <v>1920</v>
      </c>
      <c r="L1742" s="403">
        <v>1080</v>
      </c>
      <c r="M1742" s="403" t="s">
        <v>1283</v>
      </c>
      <c r="N1742" s="403">
        <v>720</v>
      </c>
      <c r="O1742" s="403">
        <v>576</v>
      </c>
      <c r="P1742" t="str">
        <f t="shared" si="217"/>
        <v>50fps 1080p - SD 4CIF resolution 4:3 format (cropped)</v>
      </c>
      <c r="Q1742">
        <f t="shared" si="218"/>
        <v>9</v>
      </c>
      <c r="R1742" t="str">
        <f t="shared" si="219"/>
        <v/>
      </c>
      <c r="S1742" t="str">
        <f t="shared" si="220"/>
        <v/>
      </c>
      <c r="T1742" s="403" t="str">
        <f t="shared" si="221"/>
        <v>NBE-6502-AL</v>
      </c>
      <c r="U1742" s="403">
        <f t="shared" si="222"/>
        <v>1</v>
      </c>
      <c r="V1742" s="403" t="str">
        <f t="shared" si="223"/>
        <v>CPP_7_3</v>
      </c>
    </row>
    <row r="1743" spans="1:22">
      <c r="A1743" t="str">
        <f t="shared" si="216"/>
        <v>NBE-6502-AL</v>
      </c>
      <c r="B1743" s="403" t="s">
        <v>1386</v>
      </c>
      <c r="C1743" s="403" t="s">
        <v>582</v>
      </c>
      <c r="D1743" s="403" t="s">
        <v>1387</v>
      </c>
      <c r="E1743" s="403" t="s">
        <v>778</v>
      </c>
      <c r="F1743" s="403" t="s">
        <v>1290</v>
      </c>
      <c r="G1743" s="403" t="s">
        <v>1466</v>
      </c>
      <c r="H1743" s="403" t="s">
        <v>1282</v>
      </c>
      <c r="I1743" s="403">
        <v>1</v>
      </c>
      <c r="J1743" s="403" t="s">
        <v>110</v>
      </c>
      <c r="K1743" s="403">
        <v>1920</v>
      </c>
      <c r="L1743" s="403">
        <v>1080</v>
      </c>
      <c r="M1743" s="403" t="s">
        <v>1284</v>
      </c>
      <c r="N1743" s="403">
        <v>640</v>
      </c>
      <c r="O1743" s="403">
        <v>480</v>
      </c>
      <c r="P1743" t="str">
        <f t="shared" si="217"/>
        <v>50fps 1080p - SD VGA (cropped)</v>
      </c>
      <c r="Q1743">
        <f t="shared" si="218"/>
        <v>9</v>
      </c>
      <c r="R1743" t="str">
        <f t="shared" si="219"/>
        <v/>
      </c>
      <c r="S1743" t="str">
        <f t="shared" si="220"/>
        <v/>
      </c>
      <c r="T1743" s="403" t="str">
        <f t="shared" si="221"/>
        <v>NBE-6502-AL</v>
      </c>
      <c r="U1743" s="403">
        <f t="shared" si="222"/>
        <v>1</v>
      </c>
      <c r="V1743" s="403" t="str">
        <f t="shared" si="223"/>
        <v>CPP_7_3</v>
      </c>
    </row>
    <row r="1744" spans="1:22">
      <c r="A1744" t="str">
        <f t="shared" si="216"/>
        <v>NBE-6502-AL</v>
      </c>
      <c r="B1744" s="403" t="s">
        <v>1386</v>
      </c>
      <c r="C1744" s="403" t="s">
        <v>582</v>
      </c>
      <c r="D1744" s="403" t="s">
        <v>1387</v>
      </c>
      <c r="E1744" s="403" t="s">
        <v>778</v>
      </c>
      <c r="F1744" s="403" t="s">
        <v>1290</v>
      </c>
      <c r="G1744" s="403" t="s">
        <v>1466</v>
      </c>
      <c r="H1744" s="403" t="s">
        <v>1282</v>
      </c>
      <c r="I1744" s="403">
        <v>1</v>
      </c>
      <c r="J1744" s="403" t="s">
        <v>1289</v>
      </c>
      <c r="K1744" s="403">
        <v>1280</v>
      </c>
      <c r="L1744" s="403">
        <v>720</v>
      </c>
      <c r="M1744" s="403" t="s">
        <v>1289</v>
      </c>
      <c r="N1744" s="403">
        <v>1280</v>
      </c>
      <c r="O1744" s="403">
        <v>720</v>
      </c>
      <c r="P1744" t="str">
        <f t="shared" si="217"/>
        <v>50fps 720p full frame rate - 720p full frame rate</v>
      </c>
      <c r="Q1744">
        <f t="shared" si="218"/>
        <v>9</v>
      </c>
      <c r="R1744" t="str">
        <f t="shared" si="219"/>
        <v/>
      </c>
      <c r="S1744" t="str">
        <f t="shared" si="220"/>
        <v/>
      </c>
      <c r="T1744" s="403" t="str">
        <f t="shared" si="221"/>
        <v>NBE-6502-AL</v>
      </c>
      <c r="U1744" s="403">
        <f t="shared" si="222"/>
        <v>1</v>
      </c>
      <c r="V1744" s="403" t="str">
        <f t="shared" si="223"/>
        <v>CPP_7_3</v>
      </c>
    </row>
    <row r="1745" spans="1:22">
      <c r="A1745" t="str">
        <f t="shared" si="216"/>
        <v>NBE-6502-AL</v>
      </c>
      <c r="B1745" s="403" t="s">
        <v>1386</v>
      </c>
      <c r="C1745" s="403" t="s">
        <v>582</v>
      </c>
      <c r="D1745" s="403" t="s">
        <v>1387</v>
      </c>
      <c r="E1745" s="403" t="s">
        <v>778</v>
      </c>
      <c r="F1745" s="403" t="s">
        <v>1290</v>
      </c>
      <c r="G1745" s="403" t="s">
        <v>1466</v>
      </c>
      <c r="H1745" s="403" t="s">
        <v>1282</v>
      </c>
      <c r="I1745" s="403">
        <v>1</v>
      </c>
      <c r="J1745" s="403" t="s">
        <v>1289</v>
      </c>
      <c r="K1745" s="403">
        <v>1280</v>
      </c>
      <c r="L1745" s="403">
        <v>720</v>
      </c>
      <c r="M1745" s="403" t="s">
        <v>111</v>
      </c>
      <c r="N1745" s="403">
        <v>768</v>
      </c>
      <c r="O1745" s="403">
        <v>432</v>
      </c>
      <c r="P1745" t="str">
        <f t="shared" si="217"/>
        <v>50fps 720p full frame rate - SD</v>
      </c>
      <c r="Q1745">
        <f t="shared" si="218"/>
        <v>9</v>
      </c>
      <c r="R1745" t="str">
        <f t="shared" si="219"/>
        <v/>
      </c>
      <c r="S1745" t="str">
        <f t="shared" si="220"/>
        <v/>
      </c>
      <c r="T1745" s="403" t="str">
        <f t="shared" si="221"/>
        <v>NBE-6502-AL</v>
      </c>
      <c r="U1745" s="403">
        <f t="shared" si="222"/>
        <v>1</v>
      </c>
      <c r="V1745" s="403" t="str">
        <f t="shared" si="223"/>
        <v>CPP_7_3</v>
      </c>
    </row>
    <row r="1746" spans="1:22">
      <c r="A1746" t="str">
        <f t="shared" si="216"/>
        <v>NBE-6502-AL</v>
      </c>
      <c r="B1746" s="403" t="s">
        <v>1386</v>
      </c>
      <c r="C1746" s="403" t="s">
        <v>582</v>
      </c>
      <c r="D1746" s="403" t="s">
        <v>1387</v>
      </c>
      <c r="E1746" s="403" t="s">
        <v>778</v>
      </c>
      <c r="F1746" s="403" t="s">
        <v>1290</v>
      </c>
      <c r="G1746" s="403" t="s">
        <v>1466</v>
      </c>
      <c r="H1746" s="403" t="s">
        <v>1282</v>
      </c>
      <c r="I1746" s="403">
        <v>1</v>
      </c>
      <c r="J1746" s="403" t="s">
        <v>1289</v>
      </c>
      <c r="K1746" s="403">
        <v>1280</v>
      </c>
      <c r="L1746" s="403">
        <v>720</v>
      </c>
      <c r="M1746" s="403" t="s">
        <v>1279</v>
      </c>
      <c r="N1746" s="403">
        <v>768</v>
      </c>
      <c r="O1746" s="403">
        <v>432</v>
      </c>
      <c r="P1746" t="str">
        <f t="shared" si="217"/>
        <v>50fps 720p full frame rate - SD ROI PTZ</v>
      </c>
      <c r="Q1746">
        <f t="shared" si="218"/>
        <v>9</v>
      </c>
      <c r="R1746" t="str">
        <f t="shared" si="219"/>
        <v/>
      </c>
      <c r="S1746" t="str">
        <f t="shared" si="220"/>
        <v/>
      </c>
      <c r="T1746" s="403" t="str">
        <f t="shared" si="221"/>
        <v>NBE-6502-AL</v>
      </c>
      <c r="U1746" s="403">
        <f t="shared" si="222"/>
        <v>1</v>
      </c>
      <c r="V1746" s="403" t="str">
        <f t="shared" si="223"/>
        <v>CPP_7_3</v>
      </c>
    </row>
    <row r="1747" spans="1:22">
      <c r="A1747" t="str">
        <f t="shared" si="216"/>
        <v>NBE-6502-AL</v>
      </c>
      <c r="B1747" s="403" t="s">
        <v>1386</v>
      </c>
      <c r="C1747" s="403" t="s">
        <v>582</v>
      </c>
      <c r="D1747" s="403" t="s">
        <v>1387</v>
      </c>
      <c r="E1747" s="403" t="s">
        <v>778</v>
      </c>
      <c r="F1747" s="403" t="s">
        <v>1290</v>
      </c>
      <c r="G1747" s="403" t="s">
        <v>1466</v>
      </c>
      <c r="H1747" s="403" t="s">
        <v>1282</v>
      </c>
      <c r="I1747" s="403">
        <v>1</v>
      </c>
      <c r="J1747" s="403" t="s">
        <v>1289</v>
      </c>
      <c r="K1747" s="403">
        <v>1280</v>
      </c>
      <c r="L1747" s="403">
        <v>720</v>
      </c>
      <c r="M1747" s="403" t="s">
        <v>1283</v>
      </c>
      <c r="N1747" s="403">
        <v>720</v>
      </c>
      <c r="O1747" s="403">
        <v>576</v>
      </c>
      <c r="P1747" t="str">
        <f t="shared" si="217"/>
        <v>50fps 720p full frame rate - SD 4CIF resolution 4:3 format (cropped)</v>
      </c>
      <c r="Q1747">
        <f t="shared" si="218"/>
        <v>9</v>
      </c>
      <c r="R1747" t="str">
        <f t="shared" si="219"/>
        <v/>
      </c>
      <c r="S1747" t="str">
        <f t="shared" si="220"/>
        <v/>
      </c>
      <c r="T1747" s="403" t="str">
        <f t="shared" si="221"/>
        <v>NBE-6502-AL</v>
      </c>
      <c r="U1747" s="403">
        <f t="shared" si="222"/>
        <v>1</v>
      </c>
      <c r="V1747" s="403" t="str">
        <f t="shared" si="223"/>
        <v>CPP_7_3</v>
      </c>
    </row>
    <row r="1748" spans="1:22">
      <c r="A1748" t="str">
        <f t="shared" si="216"/>
        <v>NBE-6502-AL</v>
      </c>
      <c r="B1748" s="403" t="s">
        <v>1386</v>
      </c>
      <c r="C1748" s="403" t="s">
        <v>582</v>
      </c>
      <c r="D1748" s="403" t="s">
        <v>1387</v>
      </c>
      <c r="E1748" s="403" t="s">
        <v>778</v>
      </c>
      <c r="F1748" s="403" t="s">
        <v>1290</v>
      </c>
      <c r="G1748" s="403" t="s">
        <v>1466</v>
      </c>
      <c r="H1748" s="403" t="s">
        <v>1282</v>
      </c>
      <c r="I1748" s="403">
        <v>1</v>
      </c>
      <c r="J1748" s="403" t="s">
        <v>1289</v>
      </c>
      <c r="K1748" s="403">
        <v>1280</v>
      </c>
      <c r="L1748" s="403">
        <v>720</v>
      </c>
      <c r="M1748" s="403" t="s">
        <v>1284</v>
      </c>
      <c r="N1748" s="403">
        <v>640</v>
      </c>
      <c r="O1748" s="403">
        <v>480</v>
      </c>
      <c r="P1748" t="str">
        <f t="shared" si="217"/>
        <v>50fps 720p full frame rate - SD VGA (cropped)</v>
      </c>
      <c r="Q1748">
        <f t="shared" si="218"/>
        <v>9</v>
      </c>
      <c r="R1748" t="str">
        <f t="shared" si="219"/>
        <v/>
      </c>
      <c r="S1748" t="str">
        <f t="shared" si="220"/>
        <v/>
      </c>
      <c r="T1748" s="403" t="str">
        <f t="shared" si="221"/>
        <v>NBE-6502-AL</v>
      </c>
      <c r="U1748" s="403">
        <f t="shared" si="222"/>
        <v>1</v>
      </c>
      <c r="V1748" s="403" t="str">
        <f t="shared" si="223"/>
        <v>CPP_7_3</v>
      </c>
    </row>
    <row r="1749" spans="1:22">
      <c r="A1749" t="str">
        <f t="shared" si="216"/>
        <v>NBE-6502-AL</v>
      </c>
      <c r="B1749" s="403" t="s">
        <v>1386</v>
      </c>
      <c r="C1749" s="403" t="s">
        <v>582</v>
      </c>
      <c r="D1749" s="403" t="s">
        <v>1387</v>
      </c>
      <c r="E1749" s="403" t="s">
        <v>778</v>
      </c>
      <c r="F1749" s="403" t="s">
        <v>1290</v>
      </c>
      <c r="G1749" s="403" t="s">
        <v>1467</v>
      </c>
      <c r="H1749" s="403" t="s">
        <v>1276</v>
      </c>
      <c r="I1749" s="403">
        <v>1</v>
      </c>
      <c r="J1749" s="403" t="s">
        <v>110</v>
      </c>
      <c r="K1749" s="403">
        <v>1080</v>
      </c>
      <c r="L1749" s="403">
        <v>1920</v>
      </c>
      <c r="M1749" s="403" t="s">
        <v>111</v>
      </c>
      <c r="N1749" s="403">
        <v>432</v>
      </c>
      <c r="O1749" s="403">
        <v>768</v>
      </c>
      <c r="P1749" t="str">
        <f t="shared" si="217"/>
        <v>50fps 1080p - SD</v>
      </c>
      <c r="Q1749">
        <f t="shared" si="218"/>
        <v>9</v>
      </c>
      <c r="R1749" t="str">
        <f t="shared" si="219"/>
        <v/>
      </c>
      <c r="S1749" t="str">
        <f t="shared" si="220"/>
        <v/>
      </c>
      <c r="T1749" s="403" t="str">
        <f t="shared" si="221"/>
        <v>NBE-6502-AL</v>
      </c>
      <c r="U1749" s="403">
        <f t="shared" si="222"/>
        <v>1</v>
      </c>
      <c r="V1749" s="403" t="str">
        <f t="shared" si="223"/>
        <v>CPP_7_3</v>
      </c>
    </row>
    <row r="1750" spans="1:22">
      <c r="A1750" t="str">
        <f t="shared" si="216"/>
        <v>NBE-6502-AL</v>
      </c>
      <c r="B1750" s="403" t="s">
        <v>1386</v>
      </c>
      <c r="C1750" s="403" t="s">
        <v>582</v>
      </c>
      <c r="D1750" s="403" t="s">
        <v>1387</v>
      </c>
      <c r="E1750" s="403" t="s">
        <v>778</v>
      </c>
      <c r="F1750" s="403" t="s">
        <v>1290</v>
      </c>
      <c r="G1750" s="403" t="s">
        <v>1467</v>
      </c>
      <c r="H1750" s="403" t="s">
        <v>1276</v>
      </c>
      <c r="I1750" s="403">
        <v>1</v>
      </c>
      <c r="J1750" s="403" t="s">
        <v>110</v>
      </c>
      <c r="K1750" s="403">
        <v>1080</v>
      </c>
      <c r="L1750" s="403">
        <v>1920</v>
      </c>
      <c r="M1750" s="403" t="s">
        <v>110</v>
      </c>
      <c r="N1750" s="403">
        <v>1080</v>
      </c>
      <c r="O1750" s="403">
        <v>1920</v>
      </c>
      <c r="P1750" t="str">
        <f t="shared" si="217"/>
        <v>50fps 1080p - 1080p</v>
      </c>
      <c r="Q1750">
        <f t="shared" si="218"/>
        <v>9</v>
      </c>
      <c r="R1750" t="str">
        <f t="shared" si="219"/>
        <v/>
      </c>
      <c r="S1750" t="str">
        <f t="shared" si="220"/>
        <v/>
      </c>
      <c r="T1750" s="403" t="str">
        <f t="shared" si="221"/>
        <v>NBE-6502-AL</v>
      </c>
      <c r="U1750" s="403">
        <f t="shared" si="222"/>
        <v>1</v>
      </c>
      <c r="V1750" s="403" t="str">
        <f t="shared" si="223"/>
        <v>CPP_7_3</v>
      </c>
    </row>
    <row r="1751" spans="1:22">
      <c r="A1751" t="str">
        <f t="shared" si="216"/>
        <v>NBE-6502-AL</v>
      </c>
      <c r="B1751" s="403" t="s">
        <v>1386</v>
      </c>
      <c r="C1751" s="403" t="s">
        <v>582</v>
      </c>
      <c r="D1751" s="403" t="s">
        <v>1387</v>
      </c>
      <c r="E1751" s="403" t="s">
        <v>778</v>
      </c>
      <c r="F1751" s="403" t="s">
        <v>1290</v>
      </c>
      <c r="G1751" s="403" t="s">
        <v>1467</v>
      </c>
      <c r="H1751" s="403" t="s">
        <v>1276</v>
      </c>
      <c r="I1751" s="403">
        <v>1</v>
      </c>
      <c r="J1751" s="403" t="s">
        <v>110</v>
      </c>
      <c r="K1751" s="403">
        <v>1080</v>
      </c>
      <c r="L1751" s="403">
        <v>1920</v>
      </c>
      <c r="M1751" s="403" t="s">
        <v>1289</v>
      </c>
      <c r="N1751" s="403">
        <v>720</v>
      </c>
      <c r="O1751" s="403">
        <v>1280</v>
      </c>
      <c r="P1751" t="str">
        <f t="shared" si="217"/>
        <v>50fps 1080p - 720p full frame rate</v>
      </c>
      <c r="Q1751">
        <f t="shared" si="218"/>
        <v>9</v>
      </c>
      <c r="R1751" t="str">
        <f t="shared" si="219"/>
        <v/>
      </c>
      <c r="S1751" t="str">
        <f t="shared" si="220"/>
        <v/>
      </c>
      <c r="T1751" s="403" t="str">
        <f t="shared" si="221"/>
        <v>NBE-6502-AL</v>
      </c>
      <c r="U1751" s="403">
        <f t="shared" si="222"/>
        <v>1</v>
      </c>
      <c r="V1751" s="403" t="str">
        <f t="shared" si="223"/>
        <v>CPP_7_3</v>
      </c>
    </row>
    <row r="1752" spans="1:22">
      <c r="A1752" t="str">
        <f t="shared" si="216"/>
        <v>NBE-6502-AL</v>
      </c>
      <c r="B1752" s="403" t="s">
        <v>1386</v>
      </c>
      <c r="C1752" s="403" t="s">
        <v>582</v>
      </c>
      <c r="D1752" s="403" t="s">
        <v>1387</v>
      </c>
      <c r="E1752" s="403" t="s">
        <v>778</v>
      </c>
      <c r="F1752" s="403" t="s">
        <v>1290</v>
      </c>
      <c r="G1752" s="403" t="s">
        <v>1467</v>
      </c>
      <c r="H1752" s="403" t="s">
        <v>1276</v>
      </c>
      <c r="I1752" s="403">
        <v>1</v>
      </c>
      <c r="J1752" s="403" t="s">
        <v>110</v>
      </c>
      <c r="K1752" s="403">
        <v>1080</v>
      </c>
      <c r="L1752" s="403">
        <v>1920</v>
      </c>
      <c r="M1752" s="403" t="s">
        <v>1285</v>
      </c>
      <c r="N1752" s="403">
        <v>1024</v>
      </c>
      <c r="O1752" s="403">
        <v>1280</v>
      </c>
      <c r="P1752" t="str">
        <f t="shared" si="217"/>
        <v>50fps 1080p - 1280x1024 5:4 (cropped)</v>
      </c>
      <c r="Q1752">
        <f t="shared" si="218"/>
        <v>9</v>
      </c>
      <c r="R1752" t="str">
        <f t="shared" si="219"/>
        <v/>
      </c>
      <c r="S1752" t="str">
        <f t="shared" si="220"/>
        <v/>
      </c>
      <c r="T1752" s="403" t="str">
        <f t="shared" si="221"/>
        <v>NBE-6502-AL</v>
      </c>
      <c r="U1752" s="403">
        <f t="shared" si="222"/>
        <v>1</v>
      </c>
      <c r="V1752" s="403" t="str">
        <f t="shared" si="223"/>
        <v>CPP_7_3</v>
      </c>
    </row>
    <row r="1753" spans="1:22">
      <c r="A1753" t="str">
        <f t="shared" si="216"/>
        <v>NBE-6502-AL</v>
      </c>
      <c r="B1753" s="403" t="s">
        <v>1386</v>
      </c>
      <c r="C1753" s="403" t="s">
        <v>582</v>
      </c>
      <c r="D1753" s="403" t="s">
        <v>1387</v>
      </c>
      <c r="E1753" s="403" t="s">
        <v>778</v>
      </c>
      <c r="F1753" s="403" t="s">
        <v>1290</v>
      </c>
      <c r="G1753" s="403" t="s">
        <v>1467</v>
      </c>
      <c r="H1753" s="403" t="s">
        <v>1276</v>
      </c>
      <c r="I1753" s="403">
        <v>1</v>
      </c>
      <c r="J1753" s="403" t="s">
        <v>110</v>
      </c>
      <c r="K1753" s="403">
        <v>1080</v>
      </c>
      <c r="L1753" s="403">
        <v>1920</v>
      </c>
      <c r="M1753" s="403" t="s">
        <v>1279</v>
      </c>
      <c r="N1753" s="403">
        <v>432</v>
      </c>
      <c r="O1753" s="403">
        <v>768</v>
      </c>
      <c r="P1753" t="str">
        <f t="shared" si="217"/>
        <v>50fps 1080p - SD ROI PTZ</v>
      </c>
      <c r="Q1753">
        <f t="shared" si="218"/>
        <v>9</v>
      </c>
      <c r="R1753" t="str">
        <f t="shared" si="219"/>
        <v/>
      </c>
      <c r="S1753" t="str">
        <f t="shared" si="220"/>
        <v/>
      </c>
      <c r="T1753" s="403" t="str">
        <f t="shared" si="221"/>
        <v>NBE-6502-AL</v>
      </c>
      <c r="U1753" s="403">
        <f t="shared" si="222"/>
        <v>1</v>
      </c>
      <c r="V1753" s="403" t="str">
        <f t="shared" si="223"/>
        <v>CPP_7_3</v>
      </c>
    </row>
    <row r="1754" spans="1:22">
      <c r="A1754" t="str">
        <f t="shared" si="216"/>
        <v>NBE-6502-AL</v>
      </c>
      <c r="B1754" s="403" t="s">
        <v>1386</v>
      </c>
      <c r="C1754" s="403" t="s">
        <v>582</v>
      </c>
      <c r="D1754" s="403" t="s">
        <v>1387</v>
      </c>
      <c r="E1754" s="403" t="s">
        <v>778</v>
      </c>
      <c r="F1754" s="403" t="s">
        <v>1290</v>
      </c>
      <c r="G1754" s="403" t="s">
        <v>1467</v>
      </c>
      <c r="H1754" s="403" t="s">
        <v>1276</v>
      </c>
      <c r="I1754" s="403">
        <v>1</v>
      </c>
      <c r="J1754" s="403" t="s">
        <v>110</v>
      </c>
      <c r="K1754" s="403">
        <v>1080</v>
      </c>
      <c r="L1754" s="403">
        <v>1920</v>
      </c>
      <c r="M1754" s="403" t="s">
        <v>1283</v>
      </c>
      <c r="N1754" s="403">
        <v>576</v>
      </c>
      <c r="O1754" s="403">
        <v>720</v>
      </c>
      <c r="P1754" t="str">
        <f t="shared" si="217"/>
        <v>50fps 1080p - SD 4CIF resolution 4:3 format (cropped)</v>
      </c>
      <c r="Q1754">
        <f t="shared" si="218"/>
        <v>9</v>
      </c>
      <c r="R1754" t="str">
        <f t="shared" si="219"/>
        <v/>
      </c>
      <c r="S1754" t="str">
        <f t="shared" si="220"/>
        <v/>
      </c>
      <c r="T1754" s="403" t="str">
        <f t="shared" si="221"/>
        <v>NBE-6502-AL</v>
      </c>
      <c r="U1754" s="403">
        <f t="shared" si="222"/>
        <v>1</v>
      </c>
      <c r="V1754" s="403" t="str">
        <f t="shared" si="223"/>
        <v>CPP_7_3</v>
      </c>
    </row>
    <row r="1755" spans="1:22">
      <c r="A1755" t="str">
        <f t="shared" si="216"/>
        <v>NBE-6502-AL</v>
      </c>
      <c r="B1755" s="403" t="s">
        <v>1386</v>
      </c>
      <c r="C1755" s="403" t="s">
        <v>582</v>
      </c>
      <c r="D1755" s="403" t="s">
        <v>1387</v>
      </c>
      <c r="E1755" s="403" t="s">
        <v>778</v>
      </c>
      <c r="F1755" s="403" t="s">
        <v>1290</v>
      </c>
      <c r="G1755" s="403" t="s">
        <v>1467</v>
      </c>
      <c r="H1755" s="403" t="s">
        <v>1276</v>
      </c>
      <c r="I1755" s="403">
        <v>1</v>
      </c>
      <c r="J1755" s="403" t="s">
        <v>110</v>
      </c>
      <c r="K1755" s="403">
        <v>1080</v>
      </c>
      <c r="L1755" s="403">
        <v>1920</v>
      </c>
      <c r="M1755" s="403" t="s">
        <v>1284</v>
      </c>
      <c r="N1755" s="403">
        <v>480</v>
      </c>
      <c r="O1755" s="403">
        <v>640</v>
      </c>
      <c r="P1755" t="str">
        <f t="shared" si="217"/>
        <v>50fps 1080p - SD VGA (cropped)</v>
      </c>
      <c r="Q1755">
        <f t="shared" si="218"/>
        <v>9</v>
      </c>
      <c r="R1755" t="str">
        <f t="shared" si="219"/>
        <v/>
      </c>
      <c r="S1755" t="str">
        <f t="shared" si="220"/>
        <v/>
      </c>
      <c r="T1755" s="403" t="str">
        <f t="shared" si="221"/>
        <v>NBE-6502-AL</v>
      </c>
      <c r="U1755" s="403">
        <f t="shared" si="222"/>
        <v>1</v>
      </c>
      <c r="V1755" s="403" t="str">
        <f t="shared" si="223"/>
        <v>CPP_7_3</v>
      </c>
    </row>
    <row r="1756" spans="1:22">
      <c r="A1756" t="str">
        <f t="shared" si="216"/>
        <v>NBE-6502-AL</v>
      </c>
      <c r="B1756" s="403" t="s">
        <v>1386</v>
      </c>
      <c r="C1756" s="403" t="s">
        <v>582</v>
      </c>
      <c r="D1756" s="403" t="s">
        <v>1387</v>
      </c>
      <c r="E1756" s="403" t="s">
        <v>778</v>
      </c>
      <c r="F1756" s="403" t="s">
        <v>1290</v>
      </c>
      <c r="G1756" s="403" t="s">
        <v>1467</v>
      </c>
      <c r="H1756" s="403" t="s">
        <v>1276</v>
      </c>
      <c r="I1756" s="403">
        <v>1</v>
      </c>
      <c r="J1756" s="403" t="s">
        <v>1289</v>
      </c>
      <c r="K1756" s="403">
        <v>720</v>
      </c>
      <c r="L1756" s="403">
        <v>1280</v>
      </c>
      <c r="M1756" s="403" t="s">
        <v>1289</v>
      </c>
      <c r="N1756" s="403">
        <v>720</v>
      </c>
      <c r="O1756" s="403">
        <v>1280</v>
      </c>
      <c r="P1756" t="str">
        <f t="shared" si="217"/>
        <v>50fps 720p full frame rate - 720p full frame rate</v>
      </c>
      <c r="Q1756">
        <f t="shared" si="218"/>
        <v>9</v>
      </c>
      <c r="R1756" t="str">
        <f t="shared" si="219"/>
        <v/>
      </c>
      <c r="S1756" t="str">
        <f t="shared" si="220"/>
        <v/>
      </c>
      <c r="T1756" s="403" t="str">
        <f t="shared" si="221"/>
        <v>NBE-6502-AL</v>
      </c>
      <c r="U1756" s="403">
        <f t="shared" si="222"/>
        <v>1</v>
      </c>
      <c r="V1756" s="403" t="str">
        <f t="shared" si="223"/>
        <v>CPP_7_3</v>
      </c>
    </row>
    <row r="1757" spans="1:22">
      <c r="A1757" t="str">
        <f t="shared" si="216"/>
        <v>NBE-6502-AL</v>
      </c>
      <c r="B1757" s="403" t="s">
        <v>1386</v>
      </c>
      <c r="C1757" s="403" t="s">
        <v>582</v>
      </c>
      <c r="D1757" s="403" t="s">
        <v>1387</v>
      </c>
      <c r="E1757" s="403" t="s">
        <v>778</v>
      </c>
      <c r="F1757" s="403" t="s">
        <v>1290</v>
      </c>
      <c r="G1757" s="403" t="s">
        <v>1467</v>
      </c>
      <c r="H1757" s="403" t="s">
        <v>1276</v>
      </c>
      <c r="I1757" s="403">
        <v>1</v>
      </c>
      <c r="J1757" s="403" t="s">
        <v>1289</v>
      </c>
      <c r="K1757" s="403">
        <v>720</v>
      </c>
      <c r="L1757" s="403">
        <v>1280</v>
      </c>
      <c r="M1757" s="403" t="s">
        <v>111</v>
      </c>
      <c r="N1757" s="403">
        <v>432</v>
      </c>
      <c r="O1757" s="403">
        <v>768</v>
      </c>
      <c r="P1757" t="str">
        <f t="shared" si="217"/>
        <v>50fps 720p full frame rate - SD</v>
      </c>
      <c r="Q1757">
        <f t="shared" si="218"/>
        <v>9</v>
      </c>
      <c r="R1757" t="str">
        <f t="shared" si="219"/>
        <v/>
      </c>
      <c r="S1757" t="str">
        <f t="shared" si="220"/>
        <v/>
      </c>
      <c r="T1757" s="403" t="str">
        <f t="shared" si="221"/>
        <v>NBE-6502-AL</v>
      </c>
      <c r="U1757" s="403">
        <f t="shared" si="222"/>
        <v>1</v>
      </c>
      <c r="V1757" s="403" t="str">
        <f t="shared" si="223"/>
        <v>CPP_7_3</v>
      </c>
    </row>
    <row r="1758" spans="1:22">
      <c r="A1758" t="str">
        <f t="shared" si="216"/>
        <v>NBE-6502-AL</v>
      </c>
      <c r="B1758" s="403" t="s">
        <v>1386</v>
      </c>
      <c r="C1758" s="403" t="s">
        <v>582</v>
      </c>
      <c r="D1758" s="403" t="s">
        <v>1387</v>
      </c>
      <c r="E1758" s="403" t="s">
        <v>778</v>
      </c>
      <c r="F1758" s="403" t="s">
        <v>1290</v>
      </c>
      <c r="G1758" s="403" t="s">
        <v>1467</v>
      </c>
      <c r="H1758" s="403" t="s">
        <v>1276</v>
      </c>
      <c r="I1758" s="403">
        <v>1</v>
      </c>
      <c r="J1758" s="403" t="s">
        <v>1289</v>
      </c>
      <c r="K1758" s="403">
        <v>720</v>
      </c>
      <c r="L1758" s="403">
        <v>1280</v>
      </c>
      <c r="M1758" s="403" t="s">
        <v>1279</v>
      </c>
      <c r="N1758" s="403">
        <v>432</v>
      </c>
      <c r="O1758" s="403">
        <v>768</v>
      </c>
      <c r="P1758" t="str">
        <f t="shared" si="217"/>
        <v>50fps 720p full frame rate - SD ROI PTZ</v>
      </c>
      <c r="Q1758">
        <f t="shared" si="218"/>
        <v>9</v>
      </c>
      <c r="R1758" t="str">
        <f t="shared" si="219"/>
        <v/>
      </c>
      <c r="S1758" t="str">
        <f t="shared" si="220"/>
        <v/>
      </c>
      <c r="T1758" s="403" t="str">
        <f t="shared" si="221"/>
        <v>NBE-6502-AL</v>
      </c>
      <c r="U1758" s="403">
        <f t="shared" si="222"/>
        <v>1</v>
      </c>
      <c r="V1758" s="403" t="str">
        <f t="shared" si="223"/>
        <v>CPP_7_3</v>
      </c>
    </row>
    <row r="1759" spans="1:22">
      <c r="A1759" t="str">
        <f t="shared" si="216"/>
        <v>NBE-6502-AL</v>
      </c>
      <c r="B1759" s="403" t="s">
        <v>1386</v>
      </c>
      <c r="C1759" s="403" t="s">
        <v>582</v>
      </c>
      <c r="D1759" s="403" t="s">
        <v>1387</v>
      </c>
      <c r="E1759" s="403" t="s">
        <v>778</v>
      </c>
      <c r="F1759" s="403" t="s">
        <v>1290</v>
      </c>
      <c r="G1759" s="403" t="s">
        <v>1467</v>
      </c>
      <c r="H1759" s="403" t="s">
        <v>1276</v>
      </c>
      <c r="I1759" s="403">
        <v>1</v>
      </c>
      <c r="J1759" s="403" t="s">
        <v>1289</v>
      </c>
      <c r="K1759" s="403">
        <v>720</v>
      </c>
      <c r="L1759" s="403">
        <v>1280</v>
      </c>
      <c r="M1759" s="403" t="s">
        <v>1283</v>
      </c>
      <c r="N1759" s="403">
        <v>576</v>
      </c>
      <c r="O1759" s="403">
        <v>720</v>
      </c>
      <c r="P1759" t="str">
        <f t="shared" si="217"/>
        <v>50fps 720p full frame rate - SD 4CIF resolution 4:3 format (cropped)</v>
      </c>
      <c r="Q1759">
        <f t="shared" si="218"/>
        <v>9</v>
      </c>
      <c r="R1759" t="str">
        <f t="shared" si="219"/>
        <v/>
      </c>
      <c r="S1759" t="str">
        <f t="shared" si="220"/>
        <v/>
      </c>
      <c r="T1759" s="403" t="str">
        <f t="shared" si="221"/>
        <v>NBE-6502-AL</v>
      </c>
      <c r="U1759" s="403">
        <f t="shared" si="222"/>
        <v>1</v>
      </c>
      <c r="V1759" s="403" t="str">
        <f t="shared" si="223"/>
        <v>CPP_7_3</v>
      </c>
    </row>
    <row r="1760" spans="1:22">
      <c r="A1760" t="str">
        <f t="shared" si="216"/>
        <v>NBE-6502-AL</v>
      </c>
      <c r="B1760" s="403" t="s">
        <v>1386</v>
      </c>
      <c r="C1760" s="403" t="s">
        <v>582</v>
      </c>
      <c r="D1760" s="403" t="s">
        <v>1387</v>
      </c>
      <c r="E1760" s="403" t="s">
        <v>778</v>
      </c>
      <c r="F1760" s="403" t="s">
        <v>1290</v>
      </c>
      <c r="G1760" s="403" t="s">
        <v>1467</v>
      </c>
      <c r="H1760" s="403" t="s">
        <v>1276</v>
      </c>
      <c r="I1760" s="403">
        <v>1</v>
      </c>
      <c r="J1760" s="403" t="s">
        <v>1289</v>
      </c>
      <c r="K1760" s="403">
        <v>720</v>
      </c>
      <c r="L1760" s="403">
        <v>1280</v>
      </c>
      <c r="M1760" s="403" t="s">
        <v>1284</v>
      </c>
      <c r="N1760" s="403">
        <v>480</v>
      </c>
      <c r="O1760" s="403">
        <v>640</v>
      </c>
      <c r="P1760" t="str">
        <f t="shared" si="217"/>
        <v>50fps 720p full frame rate - SD VGA (cropped)</v>
      </c>
      <c r="Q1760">
        <f t="shared" si="218"/>
        <v>9</v>
      </c>
      <c r="R1760" t="str">
        <f t="shared" si="219"/>
        <v/>
      </c>
      <c r="S1760" t="str">
        <f t="shared" si="220"/>
        <v/>
      </c>
      <c r="T1760" s="403" t="str">
        <f t="shared" si="221"/>
        <v>NBE-6502-AL</v>
      </c>
      <c r="U1760" s="403">
        <f t="shared" si="222"/>
        <v>1</v>
      </c>
      <c r="V1760" s="403" t="str">
        <f t="shared" si="223"/>
        <v>CPP_7_3</v>
      </c>
    </row>
    <row r="1761" spans="1:22">
      <c r="A1761" t="str">
        <f t="shared" si="216"/>
        <v>NBE-6502-AL</v>
      </c>
      <c r="B1761" s="403" t="s">
        <v>1386</v>
      </c>
      <c r="C1761" s="403" t="s">
        <v>582</v>
      </c>
      <c r="D1761" s="403" t="s">
        <v>1387</v>
      </c>
      <c r="E1761" s="403" t="s">
        <v>778</v>
      </c>
      <c r="F1761" s="403" t="s">
        <v>1290</v>
      </c>
      <c r="G1761" s="403" t="s">
        <v>1467</v>
      </c>
      <c r="H1761" s="403" t="s">
        <v>1281</v>
      </c>
      <c r="I1761" s="403">
        <v>1</v>
      </c>
      <c r="J1761" s="403" t="s">
        <v>110</v>
      </c>
      <c r="K1761" s="403">
        <v>1080</v>
      </c>
      <c r="L1761" s="403">
        <v>1920</v>
      </c>
      <c r="M1761" s="403" t="s">
        <v>111</v>
      </c>
      <c r="N1761" s="403">
        <v>432</v>
      </c>
      <c r="O1761" s="403">
        <v>768</v>
      </c>
      <c r="P1761" t="str">
        <f t="shared" si="217"/>
        <v>50fps 1080p - SD</v>
      </c>
      <c r="Q1761">
        <f t="shared" si="218"/>
        <v>9</v>
      </c>
      <c r="R1761" t="str">
        <f t="shared" si="219"/>
        <v/>
      </c>
      <c r="S1761" t="str">
        <f t="shared" si="220"/>
        <v/>
      </c>
      <c r="T1761" s="403" t="str">
        <f t="shared" si="221"/>
        <v>NBE-6502-AL</v>
      </c>
      <c r="U1761" s="403">
        <f t="shared" si="222"/>
        <v>1</v>
      </c>
      <c r="V1761" s="403" t="str">
        <f t="shared" si="223"/>
        <v>CPP_7_3</v>
      </c>
    </row>
    <row r="1762" spans="1:22">
      <c r="A1762" t="str">
        <f t="shared" si="216"/>
        <v>NBE-6502-AL</v>
      </c>
      <c r="B1762" s="403" t="s">
        <v>1386</v>
      </c>
      <c r="C1762" s="403" t="s">
        <v>582</v>
      </c>
      <c r="D1762" s="403" t="s">
        <v>1387</v>
      </c>
      <c r="E1762" s="403" t="s">
        <v>778</v>
      </c>
      <c r="F1762" s="403" t="s">
        <v>1290</v>
      </c>
      <c r="G1762" s="403" t="s">
        <v>1467</v>
      </c>
      <c r="H1762" s="403" t="s">
        <v>1281</v>
      </c>
      <c r="I1762" s="403">
        <v>1</v>
      </c>
      <c r="J1762" s="403" t="s">
        <v>110</v>
      </c>
      <c r="K1762" s="403">
        <v>1080</v>
      </c>
      <c r="L1762" s="403">
        <v>1920</v>
      </c>
      <c r="M1762" s="403" t="s">
        <v>1289</v>
      </c>
      <c r="N1762" s="403">
        <v>720</v>
      </c>
      <c r="O1762" s="403">
        <v>1280</v>
      </c>
      <c r="P1762" t="str">
        <f t="shared" si="217"/>
        <v>50fps 1080p - 720p full frame rate</v>
      </c>
      <c r="Q1762">
        <f t="shared" si="218"/>
        <v>9</v>
      </c>
      <c r="R1762" t="str">
        <f t="shared" si="219"/>
        <v/>
      </c>
      <c r="S1762" t="str">
        <f t="shared" si="220"/>
        <v/>
      </c>
      <c r="T1762" s="403" t="str">
        <f t="shared" si="221"/>
        <v>NBE-6502-AL</v>
      </c>
      <c r="U1762" s="403">
        <f t="shared" si="222"/>
        <v>1</v>
      </c>
      <c r="V1762" s="403" t="str">
        <f t="shared" si="223"/>
        <v>CPP_7_3</v>
      </c>
    </row>
    <row r="1763" spans="1:22">
      <c r="A1763" t="str">
        <f t="shared" si="216"/>
        <v>NBE-6502-AL</v>
      </c>
      <c r="B1763" s="403" t="s">
        <v>1386</v>
      </c>
      <c r="C1763" s="403" t="s">
        <v>582</v>
      </c>
      <c r="D1763" s="403" t="s">
        <v>1387</v>
      </c>
      <c r="E1763" s="403" t="s">
        <v>778</v>
      </c>
      <c r="F1763" s="403" t="s">
        <v>1290</v>
      </c>
      <c r="G1763" s="403" t="s">
        <v>1467</v>
      </c>
      <c r="H1763" s="403" t="s">
        <v>1281</v>
      </c>
      <c r="I1763" s="403">
        <v>1</v>
      </c>
      <c r="J1763" s="403" t="s">
        <v>110</v>
      </c>
      <c r="K1763" s="403">
        <v>1080</v>
      </c>
      <c r="L1763" s="403">
        <v>1920</v>
      </c>
      <c r="M1763" s="403" t="s">
        <v>1279</v>
      </c>
      <c r="N1763" s="403">
        <v>432</v>
      </c>
      <c r="O1763" s="403">
        <v>768</v>
      </c>
      <c r="P1763" t="str">
        <f t="shared" si="217"/>
        <v>50fps 1080p - SD ROI PTZ</v>
      </c>
      <c r="Q1763">
        <f t="shared" si="218"/>
        <v>9</v>
      </c>
      <c r="R1763" t="str">
        <f t="shared" si="219"/>
        <v/>
      </c>
      <c r="S1763" t="str">
        <f t="shared" si="220"/>
        <v/>
      </c>
      <c r="T1763" s="403" t="str">
        <f t="shared" si="221"/>
        <v>NBE-6502-AL</v>
      </c>
      <c r="U1763" s="403">
        <f t="shared" si="222"/>
        <v>1</v>
      </c>
      <c r="V1763" s="403" t="str">
        <f t="shared" si="223"/>
        <v>CPP_7_3</v>
      </c>
    </row>
    <row r="1764" spans="1:22">
      <c r="A1764" t="str">
        <f t="shared" si="216"/>
        <v>NBE-6502-AL</v>
      </c>
      <c r="B1764" s="403" t="s">
        <v>1386</v>
      </c>
      <c r="C1764" s="403" t="s">
        <v>582</v>
      </c>
      <c r="D1764" s="403" t="s">
        <v>1387</v>
      </c>
      <c r="E1764" s="403" t="s">
        <v>778</v>
      </c>
      <c r="F1764" s="403" t="s">
        <v>1290</v>
      </c>
      <c r="G1764" s="403" t="s">
        <v>1467</v>
      </c>
      <c r="H1764" s="403" t="s">
        <v>1281</v>
      </c>
      <c r="I1764" s="403">
        <v>1</v>
      </c>
      <c r="J1764" s="403" t="s">
        <v>110</v>
      </c>
      <c r="K1764" s="403">
        <v>1080</v>
      </c>
      <c r="L1764" s="403">
        <v>1920</v>
      </c>
      <c r="M1764" s="403" t="s">
        <v>1283</v>
      </c>
      <c r="N1764" s="403">
        <v>576</v>
      </c>
      <c r="O1764" s="403">
        <v>720</v>
      </c>
      <c r="P1764" t="str">
        <f t="shared" si="217"/>
        <v>50fps 1080p - SD 4CIF resolution 4:3 format (cropped)</v>
      </c>
      <c r="Q1764">
        <f t="shared" si="218"/>
        <v>9</v>
      </c>
      <c r="R1764" t="str">
        <f t="shared" si="219"/>
        <v/>
      </c>
      <c r="S1764" t="str">
        <f t="shared" si="220"/>
        <v/>
      </c>
      <c r="T1764" s="403" t="str">
        <f t="shared" si="221"/>
        <v>NBE-6502-AL</v>
      </c>
      <c r="U1764" s="403">
        <f t="shared" si="222"/>
        <v>1</v>
      </c>
      <c r="V1764" s="403" t="str">
        <f t="shared" si="223"/>
        <v>CPP_7_3</v>
      </c>
    </row>
    <row r="1765" spans="1:22">
      <c r="A1765" t="str">
        <f t="shared" si="216"/>
        <v>NBE-6502-AL</v>
      </c>
      <c r="B1765" s="403" t="s">
        <v>1386</v>
      </c>
      <c r="C1765" s="403" t="s">
        <v>582</v>
      </c>
      <c r="D1765" s="403" t="s">
        <v>1387</v>
      </c>
      <c r="E1765" s="403" t="s">
        <v>778</v>
      </c>
      <c r="F1765" s="403" t="s">
        <v>1290</v>
      </c>
      <c r="G1765" s="403" t="s">
        <v>1467</v>
      </c>
      <c r="H1765" s="403" t="s">
        <v>1281</v>
      </c>
      <c r="I1765" s="403">
        <v>1</v>
      </c>
      <c r="J1765" s="403" t="s">
        <v>110</v>
      </c>
      <c r="K1765" s="403">
        <v>1080</v>
      </c>
      <c r="L1765" s="403">
        <v>1920</v>
      </c>
      <c r="M1765" s="403" t="s">
        <v>1284</v>
      </c>
      <c r="N1765" s="403">
        <v>480</v>
      </c>
      <c r="O1765" s="403">
        <v>640</v>
      </c>
      <c r="P1765" t="str">
        <f t="shared" si="217"/>
        <v>50fps 1080p - SD VGA (cropped)</v>
      </c>
      <c r="Q1765">
        <f t="shared" si="218"/>
        <v>9</v>
      </c>
      <c r="R1765" t="str">
        <f t="shared" si="219"/>
        <v/>
      </c>
      <c r="S1765" t="str">
        <f t="shared" si="220"/>
        <v/>
      </c>
      <c r="T1765" s="403" t="str">
        <f t="shared" si="221"/>
        <v>NBE-6502-AL</v>
      </c>
      <c r="U1765" s="403">
        <f t="shared" si="222"/>
        <v>1</v>
      </c>
      <c r="V1765" s="403" t="str">
        <f t="shared" si="223"/>
        <v>CPP_7_3</v>
      </c>
    </row>
    <row r="1766" spans="1:22">
      <c r="A1766" t="str">
        <f t="shared" si="216"/>
        <v>NBE-6502-AL</v>
      </c>
      <c r="B1766" s="403" t="s">
        <v>1386</v>
      </c>
      <c r="C1766" s="403" t="s">
        <v>582</v>
      </c>
      <c r="D1766" s="403" t="s">
        <v>1387</v>
      </c>
      <c r="E1766" s="403" t="s">
        <v>778</v>
      </c>
      <c r="F1766" s="403" t="s">
        <v>1290</v>
      </c>
      <c r="G1766" s="403" t="s">
        <v>1467</v>
      </c>
      <c r="H1766" s="403" t="s">
        <v>1281</v>
      </c>
      <c r="I1766" s="403">
        <v>1</v>
      </c>
      <c r="J1766" s="403" t="s">
        <v>1289</v>
      </c>
      <c r="K1766" s="403">
        <v>720</v>
      </c>
      <c r="L1766" s="403">
        <v>1280</v>
      </c>
      <c r="M1766" s="403" t="s">
        <v>1289</v>
      </c>
      <c r="N1766" s="403">
        <v>720</v>
      </c>
      <c r="O1766" s="403">
        <v>1280</v>
      </c>
      <c r="P1766" t="str">
        <f t="shared" si="217"/>
        <v>50fps 720p full frame rate - 720p full frame rate</v>
      </c>
      <c r="Q1766">
        <f t="shared" si="218"/>
        <v>9</v>
      </c>
      <c r="R1766" t="str">
        <f t="shared" si="219"/>
        <v/>
      </c>
      <c r="S1766" t="str">
        <f t="shared" si="220"/>
        <v/>
      </c>
      <c r="T1766" s="403" t="str">
        <f t="shared" si="221"/>
        <v>NBE-6502-AL</v>
      </c>
      <c r="U1766" s="403">
        <f t="shared" si="222"/>
        <v>1</v>
      </c>
      <c r="V1766" s="403" t="str">
        <f t="shared" si="223"/>
        <v>CPP_7_3</v>
      </c>
    </row>
    <row r="1767" spans="1:22">
      <c r="A1767" t="str">
        <f t="shared" si="216"/>
        <v>NBE-6502-AL</v>
      </c>
      <c r="B1767" s="403" t="s">
        <v>1386</v>
      </c>
      <c r="C1767" s="403" t="s">
        <v>582</v>
      </c>
      <c r="D1767" s="403" t="s">
        <v>1387</v>
      </c>
      <c r="E1767" s="403" t="s">
        <v>778</v>
      </c>
      <c r="F1767" s="403" t="s">
        <v>1290</v>
      </c>
      <c r="G1767" s="403" t="s">
        <v>1467</v>
      </c>
      <c r="H1767" s="403" t="s">
        <v>1281</v>
      </c>
      <c r="I1767" s="403">
        <v>1</v>
      </c>
      <c r="J1767" s="403" t="s">
        <v>1289</v>
      </c>
      <c r="K1767" s="403">
        <v>720</v>
      </c>
      <c r="L1767" s="403">
        <v>1280</v>
      </c>
      <c r="M1767" s="403" t="s">
        <v>111</v>
      </c>
      <c r="N1767" s="403">
        <v>432</v>
      </c>
      <c r="O1767" s="403">
        <v>768</v>
      </c>
      <c r="P1767" t="str">
        <f t="shared" si="217"/>
        <v>50fps 720p full frame rate - SD</v>
      </c>
      <c r="Q1767">
        <f t="shared" si="218"/>
        <v>9</v>
      </c>
      <c r="R1767" t="str">
        <f t="shared" si="219"/>
        <v/>
      </c>
      <c r="S1767" t="str">
        <f t="shared" si="220"/>
        <v/>
      </c>
      <c r="T1767" s="403" t="str">
        <f t="shared" si="221"/>
        <v>NBE-6502-AL</v>
      </c>
      <c r="U1767" s="403">
        <f t="shared" si="222"/>
        <v>1</v>
      </c>
      <c r="V1767" s="403" t="str">
        <f t="shared" si="223"/>
        <v>CPP_7_3</v>
      </c>
    </row>
    <row r="1768" spans="1:22">
      <c r="A1768" t="str">
        <f t="shared" si="216"/>
        <v>NBE-6502-AL</v>
      </c>
      <c r="B1768" s="403" t="s">
        <v>1386</v>
      </c>
      <c r="C1768" s="403" t="s">
        <v>582</v>
      </c>
      <c r="D1768" s="403" t="s">
        <v>1387</v>
      </c>
      <c r="E1768" s="403" t="s">
        <v>778</v>
      </c>
      <c r="F1768" s="403" t="s">
        <v>1290</v>
      </c>
      <c r="G1768" s="403" t="s">
        <v>1467</v>
      </c>
      <c r="H1768" s="403" t="s">
        <v>1281</v>
      </c>
      <c r="I1768" s="403">
        <v>1</v>
      </c>
      <c r="J1768" s="403" t="s">
        <v>1289</v>
      </c>
      <c r="K1768" s="403">
        <v>720</v>
      </c>
      <c r="L1768" s="403">
        <v>1280</v>
      </c>
      <c r="M1768" s="403" t="s">
        <v>1279</v>
      </c>
      <c r="N1768" s="403">
        <v>432</v>
      </c>
      <c r="O1768" s="403">
        <v>768</v>
      </c>
      <c r="P1768" t="str">
        <f t="shared" si="217"/>
        <v>50fps 720p full frame rate - SD ROI PTZ</v>
      </c>
      <c r="Q1768">
        <f t="shared" si="218"/>
        <v>9</v>
      </c>
      <c r="R1768" t="str">
        <f t="shared" si="219"/>
        <v/>
      </c>
      <c r="S1768" t="str">
        <f t="shared" si="220"/>
        <v/>
      </c>
      <c r="T1768" s="403" t="str">
        <f t="shared" si="221"/>
        <v>NBE-6502-AL</v>
      </c>
      <c r="U1768" s="403">
        <f t="shared" si="222"/>
        <v>1</v>
      </c>
      <c r="V1768" s="403" t="str">
        <f t="shared" si="223"/>
        <v>CPP_7_3</v>
      </c>
    </row>
    <row r="1769" spans="1:22">
      <c r="A1769" t="str">
        <f t="shared" si="216"/>
        <v>NBE-6502-AL</v>
      </c>
      <c r="B1769" s="403" t="s">
        <v>1386</v>
      </c>
      <c r="C1769" s="403" t="s">
        <v>582</v>
      </c>
      <c r="D1769" s="403" t="s">
        <v>1387</v>
      </c>
      <c r="E1769" s="403" t="s">
        <v>778</v>
      </c>
      <c r="F1769" s="403" t="s">
        <v>1290</v>
      </c>
      <c r="G1769" s="403" t="s">
        <v>1467</v>
      </c>
      <c r="H1769" s="403" t="s">
        <v>1281</v>
      </c>
      <c r="I1769" s="403">
        <v>1</v>
      </c>
      <c r="J1769" s="403" t="s">
        <v>1289</v>
      </c>
      <c r="K1769" s="403">
        <v>720</v>
      </c>
      <c r="L1769" s="403">
        <v>1280</v>
      </c>
      <c r="M1769" s="403" t="s">
        <v>1283</v>
      </c>
      <c r="N1769" s="403">
        <v>576</v>
      </c>
      <c r="O1769" s="403">
        <v>720</v>
      </c>
      <c r="P1769" t="str">
        <f t="shared" si="217"/>
        <v>50fps 720p full frame rate - SD 4CIF resolution 4:3 format (cropped)</v>
      </c>
      <c r="Q1769">
        <f t="shared" si="218"/>
        <v>9</v>
      </c>
      <c r="R1769" t="str">
        <f t="shared" si="219"/>
        <v/>
      </c>
      <c r="S1769" t="str">
        <f t="shared" si="220"/>
        <v/>
      </c>
      <c r="T1769" s="403" t="str">
        <f t="shared" si="221"/>
        <v>NBE-6502-AL</v>
      </c>
      <c r="U1769" s="403">
        <f t="shared" si="222"/>
        <v>1</v>
      </c>
      <c r="V1769" s="403" t="str">
        <f t="shared" si="223"/>
        <v>CPP_7_3</v>
      </c>
    </row>
    <row r="1770" spans="1:22">
      <c r="A1770" t="str">
        <f t="shared" si="216"/>
        <v>NBE-6502-AL</v>
      </c>
      <c r="B1770" s="403" t="s">
        <v>1386</v>
      </c>
      <c r="C1770" s="403" t="s">
        <v>582</v>
      </c>
      <c r="D1770" s="403" t="s">
        <v>1387</v>
      </c>
      <c r="E1770" s="403" t="s">
        <v>778</v>
      </c>
      <c r="F1770" s="403" t="s">
        <v>1290</v>
      </c>
      <c r="G1770" s="403" t="s">
        <v>1467</v>
      </c>
      <c r="H1770" s="403" t="s">
        <v>1281</v>
      </c>
      <c r="I1770" s="403">
        <v>1</v>
      </c>
      <c r="J1770" s="403" t="s">
        <v>1289</v>
      </c>
      <c r="K1770" s="403">
        <v>720</v>
      </c>
      <c r="L1770" s="403">
        <v>1280</v>
      </c>
      <c r="M1770" s="403" t="s">
        <v>1284</v>
      </c>
      <c r="N1770" s="403">
        <v>480</v>
      </c>
      <c r="O1770" s="403">
        <v>640</v>
      </c>
      <c r="P1770" t="str">
        <f t="shared" si="217"/>
        <v>50fps 720p full frame rate - SD VGA (cropped)</v>
      </c>
      <c r="Q1770">
        <f t="shared" si="218"/>
        <v>9</v>
      </c>
      <c r="R1770" t="str">
        <f t="shared" si="219"/>
        <v/>
      </c>
      <c r="S1770" t="str">
        <f t="shared" si="220"/>
        <v/>
      </c>
      <c r="T1770" s="403" t="str">
        <f t="shared" si="221"/>
        <v>NBE-6502-AL</v>
      </c>
      <c r="U1770" s="403">
        <f t="shared" si="222"/>
        <v>1</v>
      </c>
      <c r="V1770" s="403" t="str">
        <f t="shared" si="223"/>
        <v>CPP_7_3</v>
      </c>
    </row>
    <row r="1771" spans="1:22">
      <c r="A1771" t="str">
        <f t="shared" si="216"/>
        <v>NBE-6502-AL</v>
      </c>
      <c r="B1771" s="403" t="s">
        <v>1386</v>
      </c>
      <c r="C1771" s="403" t="s">
        <v>582</v>
      </c>
      <c r="D1771" s="403" t="s">
        <v>1387</v>
      </c>
      <c r="E1771" s="403" t="s">
        <v>778</v>
      </c>
      <c r="F1771" s="403" t="s">
        <v>1290</v>
      </c>
      <c r="G1771" s="403" t="s">
        <v>1467</v>
      </c>
      <c r="H1771" s="403" t="s">
        <v>1282</v>
      </c>
      <c r="I1771" s="403">
        <v>1</v>
      </c>
      <c r="J1771" s="403" t="s">
        <v>110</v>
      </c>
      <c r="K1771" s="403">
        <v>1080</v>
      </c>
      <c r="L1771" s="403">
        <v>1920</v>
      </c>
      <c r="M1771" s="403" t="s">
        <v>111</v>
      </c>
      <c r="N1771" s="403">
        <v>432</v>
      </c>
      <c r="O1771" s="403">
        <v>768</v>
      </c>
      <c r="P1771" t="str">
        <f t="shared" si="217"/>
        <v>50fps 1080p - SD</v>
      </c>
      <c r="Q1771">
        <f t="shared" si="218"/>
        <v>9</v>
      </c>
      <c r="R1771" t="str">
        <f t="shared" si="219"/>
        <v/>
      </c>
      <c r="S1771" t="str">
        <f t="shared" si="220"/>
        <v/>
      </c>
      <c r="T1771" s="403" t="str">
        <f t="shared" si="221"/>
        <v>NBE-6502-AL</v>
      </c>
      <c r="U1771" s="403">
        <f t="shared" si="222"/>
        <v>1</v>
      </c>
      <c r="V1771" s="403" t="str">
        <f t="shared" si="223"/>
        <v>CPP_7_3</v>
      </c>
    </row>
    <row r="1772" spans="1:22">
      <c r="A1772" t="str">
        <f t="shared" si="216"/>
        <v>NBE-6502-AL</v>
      </c>
      <c r="B1772" s="403" t="s">
        <v>1386</v>
      </c>
      <c r="C1772" s="403" t="s">
        <v>582</v>
      </c>
      <c r="D1772" s="403" t="s">
        <v>1387</v>
      </c>
      <c r="E1772" s="403" t="s">
        <v>778</v>
      </c>
      <c r="F1772" s="403" t="s">
        <v>1290</v>
      </c>
      <c r="G1772" s="403" t="s">
        <v>1467</v>
      </c>
      <c r="H1772" s="403" t="s">
        <v>1282</v>
      </c>
      <c r="I1772" s="403">
        <v>1</v>
      </c>
      <c r="J1772" s="403" t="s">
        <v>110</v>
      </c>
      <c r="K1772" s="403">
        <v>1080</v>
      </c>
      <c r="L1772" s="403">
        <v>1920</v>
      </c>
      <c r="M1772" s="403" t="s">
        <v>110</v>
      </c>
      <c r="N1772" s="403">
        <v>1080</v>
      </c>
      <c r="O1772" s="403">
        <v>1920</v>
      </c>
      <c r="P1772" t="str">
        <f t="shared" si="217"/>
        <v>50fps 1080p - 1080p</v>
      </c>
      <c r="Q1772">
        <f t="shared" si="218"/>
        <v>9</v>
      </c>
      <c r="R1772" t="str">
        <f t="shared" si="219"/>
        <v/>
      </c>
      <c r="S1772" t="str">
        <f t="shared" si="220"/>
        <v/>
      </c>
      <c r="T1772" s="403" t="str">
        <f t="shared" si="221"/>
        <v>NBE-6502-AL</v>
      </c>
      <c r="U1772" s="403">
        <f t="shared" si="222"/>
        <v>1</v>
      </c>
      <c r="V1772" s="403" t="str">
        <f t="shared" si="223"/>
        <v>CPP_7_3</v>
      </c>
    </row>
    <row r="1773" spans="1:22">
      <c r="A1773" t="str">
        <f t="shared" si="216"/>
        <v>NBE-6502-AL</v>
      </c>
      <c r="B1773" s="403" t="s">
        <v>1386</v>
      </c>
      <c r="C1773" s="403" t="s">
        <v>582</v>
      </c>
      <c r="D1773" s="403" t="s">
        <v>1387</v>
      </c>
      <c r="E1773" s="403" t="s">
        <v>778</v>
      </c>
      <c r="F1773" s="403" t="s">
        <v>1290</v>
      </c>
      <c r="G1773" s="403" t="s">
        <v>1467</v>
      </c>
      <c r="H1773" s="403" t="s">
        <v>1282</v>
      </c>
      <c r="I1773" s="403">
        <v>1</v>
      </c>
      <c r="J1773" s="403" t="s">
        <v>110</v>
      </c>
      <c r="K1773" s="403">
        <v>1080</v>
      </c>
      <c r="L1773" s="403">
        <v>1920</v>
      </c>
      <c r="M1773" s="403" t="s">
        <v>1289</v>
      </c>
      <c r="N1773" s="403">
        <v>720</v>
      </c>
      <c r="O1773" s="403">
        <v>1280</v>
      </c>
      <c r="P1773" t="str">
        <f t="shared" si="217"/>
        <v>50fps 1080p - 720p full frame rate</v>
      </c>
      <c r="Q1773">
        <f t="shared" si="218"/>
        <v>9</v>
      </c>
      <c r="R1773" t="str">
        <f t="shared" si="219"/>
        <v/>
      </c>
      <c r="S1773" t="str">
        <f t="shared" si="220"/>
        <v/>
      </c>
      <c r="T1773" s="403" t="str">
        <f t="shared" si="221"/>
        <v>NBE-6502-AL</v>
      </c>
      <c r="U1773" s="403">
        <f t="shared" si="222"/>
        <v>1</v>
      </c>
      <c r="V1773" s="403" t="str">
        <f t="shared" si="223"/>
        <v>CPP_7_3</v>
      </c>
    </row>
    <row r="1774" spans="1:22">
      <c r="A1774" t="str">
        <f t="shared" si="216"/>
        <v>NBE-6502-AL</v>
      </c>
      <c r="B1774" s="403" t="s">
        <v>1386</v>
      </c>
      <c r="C1774" s="403" t="s">
        <v>582</v>
      </c>
      <c r="D1774" s="403" t="s">
        <v>1387</v>
      </c>
      <c r="E1774" s="403" t="s">
        <v>778</v>
      </c>
      <c r="F1774" s="403" t="s">
        <v>1290</v>
      </c>
      <c r="G1774" s="403" t="s">
        <v>1467</v>
      </c>
      <c r="H1774" s="403" t="s">
        <v>1282</v>
      </c>
      <c r="I1774" s="403">
        <v>1</v>
      </c>
      <c r="J1774" s="403" t="s">
        <v>110</v>
      </c>
      <c r="K1774" s="403">
        <v>1080</v>
      </c>
      <c r="L1774" s="403">
        <v>1920</v>
      </c>
      <c r="M1774" s="403" t="s">
        <v>1285</v>
      </c>
      <c r="N1774" s="403">
        <v>1024</v>
      </c>
      <c r="O1774" s="403">
        <v>1280</v>
      </c>
      <c r="P1774" t="str">
        <f t="shared" si="217"/>
        <v>50fps 1080p - 1280x1024 5:4 (cropped)</v>
      </c>
      <c r="Q1774">
        <f t="shared" si="218"/>
        <v>9</v>
      </c>
      <c r="R1774" t="str">
        <f t="shared" si="219"/>
        <v/>
      </c>
      <c r="S1774" t="str">
        <f t="shared" si="220"/>
        <v/>
      </c>
      <c r="T1774" s="403" t="str">
        <f t="shared" si="221"/>
        <v>NBE-6502-AL</v>
      </c>
      <c r="U1774" s="403">
        <f t="shared" si="222"/>
        <v>1</v>
      </c>
      <c r="V1774" s="403" t="str">
        <f t="shared" si="223"/>
        <v>CPP_7_3</v>
      </c>
    </row>
    <row r="1775" spans="1:22">
      <c r="A1775" t="str">
        <f t="shared" si="216"/>
        <v>NBE-6502-AL</v>
      </c>
      <c r="B1775" s="403" t="s">
        <v>1386</v>
      </c>
      <c r="C1775" s="403" t="s">
        <v>582</v>
      </c>
      <c r="D1775" s="403" t="s">
        <v>1387</v>
      </c>
      <c r="E1775" s="403" t="s">
        <v>778</v>
      </c>
      <c r="F1775" s="403" t="s">
        <v>1290</v>
      </c>
      <c r="G1775" s="403" t="s">
        <v>1467</v>
      </c>
      <c r="H1775" s="403" t="s">
        <v>1282</v>
      </c>
      <c r="I1775" s="403">
        <v>1</v>
      </c>
      <c r="J1775" s="403" t="s">
        <v>110</v>
      </c>
      <c r="K1775" s="403">
        <v>1080</v>
      </c>
      <c r="L1775" s="403">
        <v>1920</v>
      </c>
      <c r="M1775" s="403" t="s">
        <v>1279</v>
      </c>
      <c r="N1775" s="403">
        <v>432</v>
      </c>
      <c r="O1775" s="403">
        <v>768</v>
      </c>
      <c r="P1775" t="str">
        <f t="shared" si="217"/>
        <v>50fps 1080p - SD ROI PTZ</v>
      </c>
      <c r="Q1775">
        <f t="shared" si="218"/>
        <v>9</v>
      </c>
      <c r="R1775" t="str">
        <f t="shared" si="219"/>
        <v/>
      </c>
      <c r="S1775" t="str">
        <f t="shared" si="220"/>
        <v/>
      </c>
      <c r="T1775" s="403" t="str">
        <f t="shared" si="221"/>
        <v>NBE-6502-AL</v>
      </c>
      <c r="U1775" s="403">
        <f t="shared" si="222"/>
        <v>1</v>
      </c>
      <c r="V1775" s="403" t="str">
        <f t="shared" si="223"/>
        <v>CPP_7_3</v>
      </c>
    </row>
    <row r="1776" spans="1:22">
      <c r="A1776" t="str">
        <f t="shared" si="216"/>
        <v>NBE-6502-AL</v>
      </c>
      <c r="B1776" s="403" t="s">
        <v>1386</v>
      </c>
      <c r="C1776" s="403" t="s">
        <v>582</v>
      </c>
      <c r="D1776" s="403" t="s">
        <v>1387</v>
      </c>
      <c r="E1776" s="403" t="s">
        <v>778</v>
      </c>
      <c r="F1776" s="403" t="s">
        <v>1290</v>
      </c>
      <c r="G1776" s="403" t="s">
        <v>1467</v>
      </c>
      <c r="H1776" s="403" t="s">
        <v>1282</v>
      </c>
      <c r="I1776" s="403">
        <v>1</v>
      </c>
      <c r="J1776" s="403" t="s">
        <v>110</v>
      </c>
      <c r="K1776" s="403">
        <v>1080</v>
      </c>
      <c r="L1776" s="403">
        <v>1920</v>
      </c>
      <c r="M1776" s="403" t="s">
        <v>1283</v>
      </c>
      <c r="N1776" s="403">
        <v>576</v>
      </c>
      <c r="O1776" s="403">
        <v>720</v>
      </c>
      <c r="P1776" t="str">
        <f t="shared" si="217"/>
        <v>50fps 1080p - SD 4CIF resolution 4:3 format (cropped)</v>
      </c>
      <c r="Q1776">
        <f t="shared" si="218"/>
        <v>9</v>
      </c>
      <c r="R1776" t="str">
        <f t="shared" si="219"/>
        <v/>
      </c>
      <c r="S1776" t="str">
        <f t="shared" si="220"/>
        <v/>
      </c>
      <c r="T1776" s="403" t="str">
        <f t="shared" si="221"/>
        <v>NBE-6502-AL</v>
      </c>
      <c r="U1776" s="403">
        <f t="shared" si="222"/>
        <v>1</v>
      </c>
      <c r="V1776" s="403" t="str">
        <f t="shared" si="223"/>
        <v>CPP_7_3</v>
      </c>
    </row>
    <row r="1777" spans="1:22">
      <c r="A1777" t="str">
        <f t="shared" si="216"/>
        <v>NBE-6502-AL</v>
      </c>
      <c r="B1777" s="403" t="s">
        <v>1386</v>
      </c>
      <c r="C1777" s="403" t="s">
        <v>582</v>
      </c>
      <c r="D1777" s="403" t="s">
        <v>1387</v>
      </c>
      <c r="E1777" s="403" t="s">
        <v>778</v>
      </c>
      <c r="F1777" s="403" t="s">
        <v>1290</v>
      </c>
      <c r="G1777" s="403" t="s">
        <v>1467</v>
      </c>
      <c r="H1777" s="403" t="s">
        <v>1282</v>
      </c>
      <c r="I1777" s="403">
        <v>1</v>
      </c>
      <c r="J1777" s="403" t="s">
        <v>110</v>
      </c>
      <c r="K1777" s="403">
        <v>1080</v>
      </c>
      <c r="L1777" s="403">
        <v>1920</v>
      </c>
      <c r="M1777" s="403" t="s">
        <v>1284</v>
      </c>
      <c r="N1777" s="403">
        <v>480</v>
      </c>
      <c r="O1777" s="403">
        <v>640</v>
      </c>
      <c r="P1777" t="str">
        <f t="shared" si="217"/>
        <v>50fps 1080p - SD VGA (cropped)</v>
      </c>
      <c r="Q1777">
        <f t="shared" si="218"/>
        <v>9</v>
      </c>
      <c r="R1777" t="str">
        <f t="shared" si="219"/>
        <v/>
      </c>
      <c r="S1777" t="str">
        <f t="shared" si="220"/>
        <v/>
      </c>
      <c r="T1777" s="403" t="str">
        <f t="shared" si="221"/>
        <v>NBE-6502-AL</v>
      </c>
      <c r="U1777" s="403">
        <f t="shared" si="222"/>
        <v>1</v>
      </c>
      <c r="V1777" s="403" t="str">
        <f t="shared" si="223"/>
        <v>CPP_7_3</v>
      </c>
    </row>
    <row r="1778" spans="1:22">
      <c r="A1778" t="str">
        <f t="shared" si="216"/>
        <v>NBE-6502-AL</v>
      </c>
      <c r="B1778" s="403" t="s">
        <v>1386</v>
      </c>
      <c r="C1778" s="403" t="s">
        <v>582</v>
      </c>
      <c r="D1778" s="403" t="s">
        <v>1387</v>
      </c>
      <c r="E1778" s="403" t="s">
        <v>778</v>
      </c>
      <c r="F1778" s="403" t="s">
        <v>1290</v>
      </c>
      <c r="G1778" s="403" t="s">
        <v>1467</v>
      </c>
      <c r="H1778" s="403" t="s">
        <v>1282</v>
      </c>
      <c r="I1778" s="403">
        <v>1</v>
      </c>
      <c r="J1778" s="403" t="s">
        <v>1289</v>
      </c>
      <c r="K1778" s="403">
        <v>720</v>
      </c>
      <c r="L1778" s="403">
        <v>1280</v>
      </c>
      <c r="M1778" s="403" t="s">
        <v>1289</v>
      </c>
      <c r="N1778" s="403">
        <v>720</v>
      </c>
      <c r="O1778" s="403">
        <v>1280</v>
      </c>
      <c r="P1778" t="str">
        <f t="shared" si="217"/>
        <v>50fps 720p full frame rate - 720p full frame rate</v>
      </c>
      <c r="Q1778">
        <f t="shared" si="218"/>
        <v>9</v>
      </c>
      <c r="R1778" t="str">
        <f t="shared" si="219"/>
        <v/>
      </c>
      <c r="S1778" t="str">
        <f t="shared" si="220"/>
        <v/>
      </c>
      <c r="T1778" s="403" t="str">
        <f t="shared" si="221"/>
        <v>NBE-6502-AL</v>
      </c>
      <c r="U1778" s="403">
        <f t="shared" si="222"/>
        <v>1</v>
      </c>
      <c r="V1778" s="403" t="str">
        <f t="shared" si="223"/>
        <v>CPP_7_3</v>
      </c>
    </row>
    <row r="1779" spans="1:22">
      <c r="A1779" t="str">
        <f t="shared" si="216"/>
        <v>NBE-6502-AL</v>
      </c>
      <c r="B1779" s="403" t="s">
        <v>1386</v>
      </c>
      <c r="C1779" s="403" t="s">
        <v>582</v>
      </c>
      <c r="D1779" s="403" t="s">
        <v>1387</v>
      </c>
      <c r="E1779" s="403" t="s">
        <v>778</v>
      </c>
      <c r="F1779" s="403" t="s">
        <v>1290</v>
      </c>
      <c r="G1779" s="403" t="s">
        <v>1467</v>
      </c>
      <c r="H1779" s="403" t="s">
        <v>1282</v>
      </c>
      <c r="I1779" s="403">
        <v>1</v>
      </c>
      <c r="J1779" s="403" t="s">
        <v>1289</v>
      </c>
      <c r="K1779" s="403">
        <v>720</v>
      </c>
      <c r="L1779" s="403">
        <v>1280</v>
      </c>
      <c r="M1779" s="403" t="s">
        <v>111</v>
      </c>
      <c r="N1779" s="403">
        <v>432</v>
      </c>
      <c r="O1779" s="403">
        <v>768</v>
      </c>
      <c r="P1779" t="str">
        <f t="shared" si="217"/>
        <v>50fps 720p full frame rate - SD</v>
      </c>
      <c r="Q1779">
        <f t="shared" si="218"/>
        <v>9</v>
      </c>
      <c r="R1779" t="str">
        <f t="shared" si="219"/>
        <v/>
      </c>
      <c r="S1779" t="str">
        <f t="shared" si="220"/>
        <v/>
      </c>
      <c r="T1779" s="403" t="str">
        <f t="shared" si="221"/>
        <v>NBE-6502-AL</v>
      </c>
      <c r="U1779" s="403">
        <f t="shared" si="222"/>
        <v>1</v>
      </c>
      <c r="V1779" s="403" t="str">
        <f t="shared" si="223"/>
        <v>CPP_7_3</v>
      </c>
    </row>
    <row r="1780" spans="1:22">
      <c r="A1780" t="str">
        <f t="shared" si="216"/>
        <v>NBE-6502-AL</v>
      </c>
      <c r="B1780" s="403" t="s">
        <v>1386</v>
      </c>
      <c r="C1780" s="403" t="s">
        <v>582</v>
      </c>
      <c r="D1780" s="403" t="s">
        <v>1387</v>
      </c>
      <c r="E1780" s="403" t="s">
        <v>778</v>
      </c>
      <c r="F1780" s="403" t="s">
        <v>1290</v>
      </c>
      <c r="G1780" s="403" t="s">
        <v>1467</v>
      </c>
      <c r="H1780" s="403" t="s">
        <v>1282</v>
      </c>
      <c r="I1780" s="403">
        <v>1</v>
      </c>
      <c r="J1780" s="403" t="s">
        <v>1289</v>
      </c>
      <c r="K1780" s="403">
        <v>720</v>
      </c>
      <c r="L1780" s="403">
        <v>1280</v>
      </c>
      <c r="M1780" s="403" t="s">
        <v>1279</v>
      </c>
      <c r="N1780" s="403">
        <v>432</v>
      </c>
      <c r="O1780" s="403">
        <v>768</v>
      </c>
      <c r="P1780" t="str">
        <f t="shared" si="217"/>
        <v>50fps 720p full frame rate - SD ROI PTZ</v>
      </c>
      <c r="Q1780">
        <f t="shared" si="218"/>
        <v>9</v>
      </c>
      <c r="R1780" t="str">
        <f t="shared" si="219"/>
        <v/>
      </c>
      <c r="S1780" t="str">
        <f t="shared" si="220"/>
        <v/>
      </c>
      <c r="T1780" s="403" t="str">
        <f t="shared" si="221"/>
        <v>NBE-6502-AL</v>
      </c>
      <c r="U1780" s="403">
        <f t="shared" si="222"/>
        <v>1</v>
      </c>
      <c r="V1780" s="403" t="str">
        <f t="shared" si="223"/>
        <v>CPP_7_3</v>
      </c>
    </row>
    <row r="1781" spans="1:22">
      <c r="A1781" t="str">
        <f t="shared" si="216"/>
        <v>NBE-6502-AL</v>
      </c>
      <c r="B1781" s="403" t="s">
        <v>1386</v>
      </c>
      <c r="C1781" s="403" t="s">
        <v>582</v>
      </c>
      <c r="D1781" s="403" t="s">
        <v>1387</v>
      </c>
      <c r="E1781" s="403" t="s">
        <v>778</v>
      </c>
      <c r="F1781" s="403" t="s">
        <v>1290</v>
      </c>
      <c r="G1781" s="403" t="s">
        <v>1467</v>
      </c>
      <c r="H1781" s="403" t="s">
        <v>1282</v>
      </c>
      <c r="I1781" s="403">
        <v>1</v>
      </c>
      <c r="J1781" s="403" t="s">
        <v>1289</v>
      </c>
      <c r="K1781" s="403">
        <v>720</v>
      </c>
      <c r="L1781" s="403">
        <v>1280</v>
      </c>
      <c r="M1781" s="403" t="s">
        <v>1283</v>
      </c>
      <c r="N1781" s="403">
        <v>576</v>
      </c>
      <c r="O1781" s="403">
        <v>720</v>
      </c>
      <c r="P1781" t="str">
        <f t="shared" si="217"/>
        <v>50fps 720p full frame rate - SD 4CIF resolution 4:3 format (cropped)</v>
      </c>
      <c r="Q1781">
        <f t="shared" si="218"/>
        <v>9</v>
      </c>
      <c r="R1781" t="str">
        <f t="shared" si="219"/>
        <v/>
      </c>
      <c r="S1781" t="str">
        <f t="shared" si="220"/>
        <v/>
      </c>
      <c r="T1781" s="403" t="str">
        <f t="shared" si="221"/>
        <v>NBE-6502-AL</v>
      </c>
      <c r="U1781" s="403">
        <f t="shared" si="222"/>
        <v>1</v>
      </c>
      <c r="V1781" s="403" t="str">
        <f t="shared" si="223"/>
        <v>CPP_7_3</v>
      </c>
    </row>
    <row r="1782" spans="1:22">
      <c r="A1782" t="str">
        <f t="shared" si="216"/>
        <v>NBE-6502-AL</v>
      </c>
      <c r="B1782" s="403" t="s">
        <v>1386</v>
      </c>
      <c r="C1782" s="403" t="s">
        <v>582</v>
      </c>
      <c r="D1782" s="403" t="s">
        <v>1387</v>
      </c>
      <c r="E1782" s="403" t="s">
        <v>778</v>
      </c>
      <c r="F1782" s="403" t="s">
        <v>1290</v>
      </c>
      <c r="G1782" s="403" t="s">
        <v>1467</v>
      </c>
      <c r="H1782" s="403" t="s">
        <v>1282</v>
      </c>
      <c r="I1782" s="403">
        <v>1</v>
      </c>
      <c r="J1782" s="403" t="s">
        <v>1289</v>
      </c>
      <c r="K1782" s="403">
        <v>720</v>
      </c>
      <c r="L1782" s="403">
        <v>1280</v>
      </c>
      <c r="M1782" s="403" t="s">
        <v>1284</v>
      </c>
      <c r="N1782" s="403">
        <v>480</v>
      </c>
      <c r="O1782" s="403">
        <v>640</v>
      </c>
      <c r="P1782" t="str">
        <f t="shared" si="217"/>
        <v>50fps 720p full frame rate - SD VGA (cropped)</v>
      </c>
      <c r="Q1782">
        <f t="shared" si="218"/>
        <v>9</v>
      </c>
      <c r="R1782" t="str">
        <f t="shared" si="219"/>
        <v/>
      </c>
      <c r="S1782" t="str">
        <f t="shared" si="220"/>
        <v/>
      </c>
      <c r="T1782" s="403" t="str">
        <f t="shared" si="221"/>
        <v>NBE-6502-AL</v>
      </c>
      <c r="U1782" s="403">
        <f t="shared" si="222"/>
        <v>1</v>
      </c>
      <c r="V1782" s="403" t="str">
        <f t="shared" si="223"/>
        <v>CPP_7_3</v>
      </c>
    </row>
    <row r="1783" spans="1:22">
      <c r="A1783" t="str">
        <f t="shared" si="216"/>
        <v>NBE-6502-AL</v>
      </c>
      <c r="B1783" s="403" t="s">
        <v>1386</v>
      </c>
      <c r="C1783" s="403" t="s">
        <v>582</v>
      </c>
      <c r="D1783" s="403" t="s">
        <v>1387</v>
      </c>
      <c r="E1783" s="403" t="s">
        <v>778</v>
      </c>
      <c r="F1783" s="403" t="s">
        <v>1292</v>
      </c>
      <c r="G1783" s="403" t="s">
        <v>1466</v>
      </c>
      <c r="H1783" s="403" t="s">
        <v>1276</v>
      </c>
      <c r="I1783" s="403">
        <v>1</v>
      </c>
      <c r="J1783" s="403" t="s">
        <v>110</v>
      </c>
      <c r="K1783" s="403">
        <v>1920</v>
      </c>
      <c r="L1783" s="403">
        <v>1080</v>
      </c>
      <c r="M1783" s="403" t="s">
        <v>111</v>
      </c>
      <c r="N1783" s="403">
        <v>768</v>
      </c>
      <c r="O1783" s="403">
        <v>432</v>
      </c>
      <c r="P1783" t="str">
        <f t="shared" si="217"/>
        <v>30fps 1080p - SD</v>
      </c>
      <c r="Q1783">
        <f t="shared" si="218"/>
        <v>9</v>
      </c>
      <c r="R1783" t="str">
        <f t="shared" si="219"/>
        <v/>
      </c>
      <c r="S1783" t="str">
        <f t="shared" si="220"/>
        <v/>
      </c>
      <c r="T1783" s="403" t="str">
        <f t="shared" si="221"/>
        <v>NBE-6502-AL</v>
      </c>
      <c r="U1783" s="403">
        <f t="shared" si="222"/>
        <v>1</v>
      </c>
      <c r="V1783" s="403" t="str">
        <f t="shared" si="223"/>
        <v>CPP_7_3</v>
      </c>
    </row>
    <row r="1784" spans="1:22">
      <c r="A1784" t="str">
        <f t="shared" si="216"/>
        <v>NBE-6502-AL</v>
      </c>
      <c r="B1784" s="403" t="s">
        <v>1386</v>
      </c>
      <c r="C1784" s="403" t="s">
        <v>582</v>
      </c>
      <c r="D1784" s="403" t="s">
        <v>1387</v>
      </c>
      <c r="E1784" s="403" t="s">
        <v>778</v>
      </c>
      <c r="F1784" s="403" t="s">
        <v>1292</v>
      </c>
      <c r="G1784" s="403" t="s">
        <v>1466</v>
      </c>
      <c r="H1784" s="403" t="s">
        <v>1276</v>
      </c>
      <c r="I1784" s="403">
        <v>1</v>
      </c>
      <c r="J1784" s="403" t="s">
        <v>110</v>
      </c>
      <c r="K1784" s="403">
        <v>1920</v>
      </c>
      <c r="L1784" s="403">
        <v>1080</v>
      </c>
      <c r="M1784" s="403" t="s">
        <v>110</v>
      </c>
      <c r="N1784" s="403">
        <v>1920</v>
      </c>
      <c r="O1784" s="403">
        <v>1080</v>
      </c>
      <c r="P1784" t="str">
        <f t="shared" si="217"/>
        <v>30fps 1080p - 1080p</v>
      </c>
      <c r="Q1784">
        <f t="shared" si="218"/>
        <v>9</v>
      </c>
      <c r="R1784" t="str">
        <f t="shared" si="219"/>
        <v/>
      </c>
      <c r="S1784" t="str">
        <f t="shared" si="220"/>
        <v/>
      </c>
      <c r="T1784" s="403" t="str">
        <f t="shared" si="221"/>
        <v>NBE-6502-AL</v>
      </c>
      <c r="U1784" s="403">
        <f t="shared" si="222"/>
        <v>1</v>
      </c>
      <c r="V1784" s="403" t="str">
        <f t="shared" si="223"/>
        <v>CPP_7_3</v>
      </c>
    </row>
    <row r="1785" spans="1:22">
      <c r="A1785" t="str">
        <f t="shared" si="216"/>
        <v>NBE-6502-AL</v>
      </c>
      <c r="B1785" s="403" t="s">
        <v>1386</v>
      </c>
      <c r="C1785" s="403" t="s">
        <v>582</v>
      </c>
      <c r="D1785" s="403" t="s">
        <v>1387</v>
      </c>
      <c r="E1785" s="403" t="s">
        <v>778</v>
      </c>
      <c r="F1785" s="403" t="s">
        <v>1292</v>
      </c>
      <c r="G1785" s="403" t="s">
        <v>1466</v>
      </c>
      <c r="H1785" s="403" t="s">
        <v>1276</v>
      </c>
      <c r="I1785" s="403">
        <v>1</v>
      </c>
      <c r="J1785" s="403" t="s">
        <v>110</v>
      </c>
      <c r="K1785" s="403">
        <v>1920</v>
      </c>
      <c r="L1785" s="403">
        <v>1080</v>
      </c>
      <c r="M1785" s="403" t="s">
        <v>109</v>
      </c>
      <c r="N1785" s="403">
        <v>1280</v>
      </c>
      <c r="O1785" s="403">
        <v>720</v>
      </c>
      <c r="P1785" t="str">
        <f t="shared" si="217"/>
        <v>30fps 1080p - 720p</v>
      </c>
      <c r="Q1785">
        <f t="shared" si="218"/>
        <v>9</v>
      </c>
      <c r="R1785" t="str">
        <f t="shared" si="219"/>
        <v/>
      </c>
      <c r="S1785" t="str">
        <f t="shared" si="220"/>
        <v/>
      </c>
      <c r="T1785" s="403" t="str">
        <f t="shared" si="221"/>
        <v>NBE-6502-AL</v>
      </c>
      <c r="U1785" s="403">
        <f t="shared" si="222"/>
        <v>1</v>
      </c>
      <c r="V1785" s="403" t="str">
        <f t="shared" si="223"/>
        <v>CPP_7_3</v>
      </c>
    </row>
    <row r="1786" spans="1:22">
      <c r="A1786" t="str">
        <f t="shared" si="216"/>
        <v>NBE-6502-AL</v>
      </c>
      <c r="B1786" s="403" t="s">
        <v>1386</v>
      </c>
      <c r="C1786" s="403" t="s">
        <v>582</v>
      </c>
      <c r="D1786" s="403" t="s">
        <v>1387</v>
      </c>
      <c r="E1786" s="403" t="s">
        <v>778</v>
      </c>
      <c r="F1786" s="403" t="s">
        <v>1292</v>
      </c>
      <c r="G1786" s="403" t="s">
        <v>1466</v>
      </c>
      <c r="H1786" s="403" t="s">
        <v>1276</v>
      </c>
      <c r="I1786" s="403">
        <v>1</v>
      </c>
      <c r="J1786" s="403" t="s">
        <v>110</v>
      </c>
      <c r="K1786" s="403">
        <v>1920</v>
      </c>
      <c r="L1786" s="403">
        <v>1080</v>
      </c>
      <c r="M1786" s="403" t="s">
        <v>1285</v>
      </c>
      <c r="N1786" s="403">
        <v>1280</v>
      </c>
      <c r="O1786" s="403">
        <v>1024</v>
      </c>
      <c r="P1786" t="str">
        <f t="shared" si="217"/>
        <v>30fps 1080p - 1280x1024 5:4 (cropped)</v>
      </c>
      <c r="Q1786">
        <f t="shared" si="218"/>
        <v>9</v>
      </c>
      <c r="R1786" t="str">
        <f t="shared" si="219"/>
        <v/>
      </c>
      <c r="S1786" t="str">
        <f t="shared" si="220"/>
        <v/>
      </c>
      <c r="T1786" s="403" t="str">
        <f t="shared" si="221"/>
        <v>NBE-6502-AL</v>
      </c>
      <c r="U1786" s="403">
        <f t="shared" si="222"/>
        <v>1</v>
      </c>
      <c r="V1786" s="403" t="str">
        <f t="shared" si="223"/>
        <v>CPP_7_3</v>
      </c>
    </row>
    <row r="1787" spans="1:22">
      <c r="A1787" t="str">
        <f t="shared" si="216"/>
        <v>NBE-6502-AL</v>
      </c>
      <c r="B1787" s="403" t="s">
        <v>1386</v>
      </c>
      <c r="C1787" s="403" t="s">
        <v>582</v>
      </c>
      <c r="D1787" s="403" t="s">
        <v>1387</v>
      </c>
      <c r="E1787" s="403" t="s">
        <v>778</v>
      </c>
      <c r="F1787" s="403" t="s">
        <v>1292</v>
      </c>
      <c r="G1787" s="403" t="s">
        <v>1466</v>
      </c>
      <c r="H1787" s="403" t="s">
        <v>1276</v>
      </c>
      <c r="I1787" s="403">
        <v>1</v>
      </c>
      <c r="J1787" s="403" t="s">
        <v>110</v>
      </c>
      <c r="K1787" s="403">
        <v>1920</v>
      </c>
      <c r="L1787" s="403">
        <v>1080</v>
      </c>
      <c r="M1787" s="403" t="s">
        <v>1279</v>
      </c>
      <c r="N1787" s="403">
        <v>768</v>
      </c>
      <c r="O1787" s="403">
        <v>432</v>
      </c>
      <c r="P1787" t="str">
        <f t="shared" si="217"/>
        <v>30fps 1080p - SD ROI PTZ</v>
      </c>
      <c r="Q1787">
        <f t="shared" si="218"/>
        <v>9</v>
      </c>
      <c r="R1787" t="str">
        <f t="shared" si="219"/>
        <v/>
      </c>
      <c r="S1787" t="str">
        <f t="shared" si="220"/>
        <v/>
      </c>
      <c r="T1787" s="403" t="str">
        <f t="shared" si="221"/>
        <v>NBE-6502-AL</v>
      </c>
      <c r="U1787" s="403">
        <f t="shared" si="222"/>
        <v>1</v>
      </c>
      <c r="V1787" s="403" t="str">
        <f t="shared" si="223"/>
        <v>CPP_7_3</v>
      </c>
    </row>
    <row r="1788" spans="1:22">
      <c r="A1788" t="str">
        <f t="shared" si="216"/>
        <v>NBE-6502-AL</v>
      </c>
      <c r="B1788" s="403" t="s">
        <v>1386</v>
      </c>
      <c r="C1788" s="403" t="s">
        <v>582</v>
      </c>
      <c r="D1788" s="403" t="s">
        <v>1387</v>
      </c>
      <c r="E1788" s="403" t="s">
        <v>778</v>
      </c>
      <c r="F1788" s="403" t="s">
        <v>1292</v>
      </c>
      <c r="G1788" s="403" t="s">
        <v>1466</v>
      </c>
      <c r="H1788" s="403" t="s">
        <v>1276</v>
      </c>
      <c r="I1788" s="403">
        <v>1</v>
      </c>
      <c r="J1788" s="403" t="s">
        <v>110</v>
      </c>
      <c r="K1788" s="403">
        <v>1920</v>
      </c>
      <c r="L1788" s="403">
        <v>1080</v>
      </c>
      <c r="M1788" s="403" t="s">
        <v>1283</v>
      </c>
      <c r="N1788" s="403">
        <v>720</v>
      </c>
      <c r="O1788" s="403">
        <v>480</v>
      </c>
      <c r="P1788" t="str">
        <f t="shared" si="217"/>
        <v>30fps 1080p - SD 4CIF resolution 4:3 format (cropped)</v>
      </c>
      <c r="Q1788">
        <f t="shared" si="218"/>
        <v>9</v>
      </c>
      <c r="R1788" t="str">
        <f t="shared" si="219"/>
        <v/>
      </c>
      <c r="S1788" t="str">
        <f t="shared" si="220"/>
        <v/>
      </c>
      <c r="T1788" s="403" t="str">
        <f t="shared" si="221"/>
        <v>NBE-6502-AL</v>
      </c>
      <c r="U1788" s="403">
        <f t="shared" si="222"/>
        <v>1</v>
      </c>
      <c r="V1788" s="403" t="str">
        <f t="shared" si="223"/>
        <v>CPP_7_3</v>
      </c>
    </row>
    <row r="1789" spans="1:22">
      <c r="A1789" t="str">
        <f t="shared" si="216"/>
        <v>NBE-6502-AL</v>
      </c>
      <c r="B1789" s="403" t="s">
        <v>1386</v>
      </c>
      <c r="C1789" s="403" t="s">
        <v>582</v>
      </c>
      <c r="D1789" s="403" t="s">
        <v>1387</v>
      </c>
      <c r="E1789" s="403" t="s">
        <v>778</v>
      </c>
      <c r="F1789" s="403" t="s">
        <v>1292</v>
      </c>
      <c r="G1789" s="403" t="s">
        <v>1466</v>
      </c>
      <c r="H1789" s="403" t="s">
        <v>1276</v>
      </c>
      <c r="I1789" s="403">
        <v>1</v>
      </c>
      <c r="J1789" s="403" t="s">
        <v>110</v>
      </c>
      <c r="K1789" s="403">
        <v>1920</v>
      </c>
      <c r="L1789" s="403">
        <v>1080</v>
      </c>
      <c r="M1789" s="403" t="s">
        <v>1284</v>
      </c>
      <c r="N1789" s="403">
        <v>640</v>
      </c>
      <c r="O1789" s="403">
        <v>480</v>
      </c>
      <c r="P1789" t="str">
        <f t="shared" si="217"/>
        <v>30fps 1080p - SD VGA (cropped)</v>
      </c>
      <c r="Q1789">
        <f t="shared" si="218"/>
        <v>9</v>
      </c>
      <c r="R1789" t="str">
        <f t="shared" si="219"/>
        <v/>
      </c>
      <c r="S1789" t="str">
        <f t="shared" si="220"/>
        <v/>
      </c>
      <c r="T1789" s="403" t="str">
        <f t="shared" si="221"/>
        <v>NBE-6502-AL</v>
      </c>
      <c r="U1789" s="403">
        <f t="shared" si="222"/>
        <v>1</v>
      </c>
      <c r="V1789" s="403" t="str">
        <f t="shared" si="223"/>
        <v>CPP_7_3</v>
      </c>
    </row>
    <row r="1790" spans="1:22">
      <c r="A1790" t="str">
        <f t="shared" si="216"/>
        <v>NBE-6502-AL</v>
      </c>
      <c r="B1790" s="403" t="s">
        <v>1386</v>
      </c>
      <c r="C1790" s="403" t="s">
        <v>582</v>
      </c>
      <c r="D1790" s="403" t="s">
        <v>1387</v>
      </c>
      <c r="E1790" s="403" t="s">
        <v>778</v>
      </c>
      <c r="F1790" s="403" t="s">
        <v>1292</v>
      </c>
      <c r="G1790" s="403" t="s">
        <v>1466</v>
      </c>
      <c r="H1790" s="403" t="s">
        <v>1276</v>
      </c>
      <c r="I1790" s="403">
        <v>1</v>
      </c>
      <c r="J1790" s="403" t="s">
        <v>109</v>
      </c>
      <c r="K1790" s="403">
        <v>1280</v>
      </c>
      <c r="L1790" s="403">
        <v>720</v>
      </c>
      <c r="M1790" s="403" t="s">
        <v>109</v>
      </c>
      <c r="N1790" s="403">
        <v>1280</v>
      </c>
      <c r="O1790" s="403">
        <v>720</v>
      </c>
      <c r="P1790" t="str">
        <f t="shared" si="217"/>
        <v>30fps 720p - 720p</v>
      </c>
      <c r="Q1790">
        <f t="shared" si="218"/>
        <v>9</v>
      </c>
      <c r="R1790" t="str">
        <f t="shared" si="219"/>
        <v/>
      </c>
      <c r="S1790" t="str">
        <f t="shared" si="220"/>
        <v/>
      </c>
      <c r="T1790" s="403" t="str">
        <f t="shared" si="221"/>
        <v>NBE-6502-AL</v>
      </c>
      <c r="U1790" s="403">
        <f t="shared" si="222"/>
        <v>1</v>
      </c>
      <c r="V1790" s="403" t="str">
        <f t="shared" si="223"/>
        <v>CPP_7_3</v>
      </c>
    </row>
    <row r="1791" spans="1:22">
      <c r="A1791" t="str">
        <f t="shared" si="216"/>
        <v>NBE-6502-AL</v>
      </c>
      <c r="B1791" s="403" t="s">
        <v>1386</v>
      </c>
      <c r="C1791" s="403" t="s">
        <v>582</v>
      </c>
      <c r="D1791" s="403" t="s">
        <v>1387</v>
      </c>
      <c r="E1791" s="403" t="s">
        <v>778</v>
      </c>
      <c r="F1791" s="403" t="s">
        <v>1292</v>
      </c>
      <c r="G1791" s="403" t="s">
        <v>1466</v>
      </c>
      <c r="H1791" s="403" t="s">
        <v>1276</v>
      </c>
      <c r="I1791" s="403">
        <v>1</v>
      </c>
      <c r="J1791" s="403" t="s">
        <v>109</v>
      </c>
      <c r="K1791" s="403">
        <v>1280</v>
      </c>
      <c r="L1791" s="403">
        <v>720</v>
      </c>
      <c r="M1791" s="403" t="s">
        <v>111</v>
      </c>
      <c r="N1791" s="403">
        <v>768</v>
      </c>
      <c r="O1791" s="403">
        <v>432</v>
      </c>
      <c r="P1791" t="str">
        <f t="shared" si="217"/>
        <v>30fps 720p - SD</v>
      </c>
      <c r="Q1791">
        <f t="shared" si="218"/>
        <v>9</v>
      </c>
      <c r="R1791" t="str">
        <f t="shared" si="219"/>
        <v/>
      </c>
      <c r="S1791" t="str">
        <f t="shared" si="220"/>
        <v/>
      </c>
      <c r="T1791" s="403" t="str">
        <f t="shared" si="221"/>
        <v>NBE-6502-AL</v>
      </c>
      <c r="U1791" s="403">
        <f t="shared" si="222"/>
        <v>1</v>
      </c>
      <c r="V1791" s="403" t="str">
        <f t="shared" si="223"/>
        <v>CPP_7_3</v>
      </c>
    </row>
    <row r="1792" spans="1:22">
      <c r="A1792" t="str">
        <f t="shared" si="216"/>
        <v>NBE-6502-AL</v>
      </c>
      <c r="B1792" s="403" t="s">
        <v>1386</v>
      </c>
      <c r="C1792" s="403" t="s">
        <v>582</v>
      </c>
      <c r="D1792" s="403" t="s">
        <v>1387</v>
      </c>
      <c r="E1792" s="403" t="s">
        <v>778</v>
      </c>
      <c r="F1792" s="403" t="s">
        <v>1292</v>
      </c>
      <c r="G1792" s="403" t="s">
        <v>1466</v>
      </c>
      <c r="H1792" s="403" t="s">
        <v>1276</v>
      </c>
      <c r="I1792" s="403">
        <v>1</v>
      </c>
      <c r="J1792" s="403" t="s">
        <v>109</v>
      </c>
      <c r="K1792" s="403">
        <v>1280</v>
      </c>
      <c r="L1792" s="403">
        <v>720</v>
      </c>
      <c r="M1792" s="403" t="s">
        <v>1279</v>
      </c>
      <c r="N1792" s="403">
        <v>768</v>
      </c>
      <c r="O1792" s="403">
        <v>432</v>
      </c>
      <c r="P1792" t="str">
        <f t="shared" si="217"/>
        <v>30fps 720p - SD ROI PTZ</v>
      </c>
      <c r="Q1792">
        <f t="shared" si="218"/>
        <v>9</v>
      </c>
      <c r="R1792" t="str">
        <f t="shared" si="219"/>
        <v/>
      </c>
      <c r="S1792" t="str">
        <f t="shared" si="220"/>
        <v/>
      </c>
      <c r="T1792" s="403" t="str">
        <f t="shared" si="221"/>
        <v>NBE-6502-AL</v>
      </c>
      <c r="U1792" s="403">
        <f t="shared" si="222"/>
        <v>1</v>
      </c>
      <c r="V1792" s="403" t="str">
        <f t="shared" si="223"/>
        <v>CPP_7_3</v>
      </c>
    </row>
    <row r="1793" spans="1:22">
      <c r="A1793" t="str">
        <f t="shared" si="216"/>
        <v>NBE-6502-AL</v>
      </c>
      <c r="B1793" s="403" t="s">
        <v>1386</v>
      </c>
      <c r="C1793" s="403" t="s">
        <v>582</v>
      </c>
      <c r="D1793" s="403" t="s">
        <v>1387</v>
      </c>
      <c r="E1793" s="403" t="s">
        <v>778</v>
      </c>
      <c r="F1793" s="403" t="s">
        <v>1292</v>
      </c>
      <c r="G1793" s="403" t="s">
        <v>1466</v>
      </c>
      <c r="H1793" s="403" t="s">
        <v>1276</v>
      </c>
      <c r="I1793" s="403">
        <v>1</v>
      </c>
      <c r="J1793" s="403" t="s">
        <v>109</v>
      </c>
      <c r="K1793" s="403">
        <v>1280</v>
      </c>
      <c r="L1793" s="403">
        <v>720</v>
      </c>
      <c r="M1793" s="403" t="s">
        <v>1283</v>
      </c>
      <c r="N1793" s="403">
        <v>720</v>
      </c>
      <c r="O1793" s="403">
        <v>480</v>
      </c>
      <c r="P1793" t="str">
        <f t="shared" si="217"/>
        <v>30fps 720p - SD 4CIF resolution 4:3 format (cropped)</v>
      </c>
      <c r="Q1793">
        <f t="shared" si="218"/>
        <v>9</v>
      </c>
      <c r="R1793" t="str">
        <f t="shared" si="219"/>
        <v/>
      </c>
      <c r="S1793" t="str">
        <f t="shared" si="220"/>
        <v/>
      </c>
      <c r="T1793" s="403" t="str">
        <f t="shared" si="221"/>
        <v>NBE-6502-AL</v>
      </c>
      <c r="U1793" s="403">
        <f t="shared" si="222"/>
        <v>1</v>
      </c>
      <c r="V1793" s="403" t="str">
        <f t="shared" si="223"/>
        <v>CPP_7_3</v>
      </c>
    </row>
    <row r="1794" spans="1:22">
      <c r="A1794" t="str">
        <f t="shared" ref="A1794:A1857" si="224">IF(AND(G1794&lt;&gt;"rotate 90°"),D1794,"")</f>
        <v>NBE-6502-AL</v>
      </c>
      <c r="B1794" s="403" t="s">
        <v>1386</v>
      </c>
      <c r="C1794" s="403" t="s">
        <v>582</v>
      </c>
      <c r="D1794" s="403" t="s">
        <v>1387</v>
      </c>
      <c r="E1794" s="403" t="s">
        <v>778</v>
      </c>
      <c r="F1794" s="403" t="s">
        <v>1292</v>
      </c>
      <c r="G1794" s="403" t="s">
        <v>1466</v>
      </c>
      <c r="H1794" s="403" t="s">
        <v>1276</v>
      </c>
      <c r="I1794" s="403">
        <v>1</v>
      </c>
      <c r="J1794" s="403" t="s">
        <v>109</v>
      </c>
      <c r="K1794" s="403">
        <v>1280</v>
      </c>
      <c r="L1794" s="403">
        <v>720</v>
      </c>
      <c r="M1794" s="403" t="s">
        <v>1284</v>
      </c>
      <c r="N1794" s="403">
        <v>640</v>
      </c>
      <c r="O1794" s="403">
        <v>480</v>
      </c>
      <c r="P1794" t="str">
        <f t="shared" ref="P1794:P1857" si="225">LEFT(F1794,5)&amp;" "&amp;J1794&amp;" - "&amp;M1794</f>
        <v>30fps 720p - SD VGA (cropped)</v>
      </c>
      <c r="Q1794">
        <f t="shared" ref="Q1794:Q1857" si="226">IF(A1793=A1794,Q1793,Q1793+1)</f>
        <v>9</v>
      </c>
      <c r="R1794" t="str">
        <f t="shared" ref="R1794:R1857" si="227">IF(Q1793&lt;&gt;Q1794,Q1794,"")</f>
        <v/>
      </c>
      <c r="S1794" t="str">
        <f t="shared" ref="S1794:S1857" si="228">IF(R1794&lt;&gt;"",B1794&amp;" ("&amp;D1794&amp;")","")</f>
        <v/>
      </c>
      <c r="T1794" s="403" t="str">
        <f t="shared" ref="T1794:T1857" si="229">D1794</f>
        <v>NBE-6502-AL</v>
      </c>
      <c r="U1794" s="403">
        <f t="shared" ref="U1794:U1857" si="230">I1794</f>
        <v>1</v>
      </c>
      <c r="V1794" s="403" t="str">
        <f t="shared" ref="V1794:V1857" si="231">C1794</f>
        <v>CPP_7_3</v>
      </c>
    </row>
    <row r="1795" spans="1:22">
      <c r="A1795" t="str">
        <f t="shared" si="224"/>
        <v>NBE-6502-AL</v>
      </c>
      <c r="B1795" s="403" t="s">
        <v>1386</v>
      </c>
      <c r="C1795" s="403" t="s">
        <v>582</v>
      </c>
      <c r="D1795" s="403" t="s">
        <v>1387</v>
      </c>
      <c r="E1795" s="403" t="s">
        <v>778</v>
      </c>
      <c r="F1795" s="403" t="s">
        <v>1292</v>
      </c>
      <c r="G1795" s="403" t="s">
        <v>1466</v>
      </c>
      <c r="H1795" s="403" t="s">
        <v>1281</v>
      </c>
      <c r="I1795" s="403">
        <v>1</v>
      </c>
      <c r="J1795" s="403" t="s">
        <v>110</v>
      </c>
      <c r="K1795" s="403">
        <v>1920</v>
      </c>
      <c r="L1795" s="403">
        <v>1080</v>
      </c>
      <c r="M1795" s="403" t="s">
        <v>111</v>
      </c>
      <c r="N1795" s="403">
        <v>768</v>
      </c>
      <c r="O1795" s="403">
        <v>432</v>
      </c>
      <c r="P1795" t="str">
        <f t="shared" si="225"/>
        <v>30fps 1080p - SD</v>
      </c>
      <c r="Q1795">
        <f t="shared" si="226"/>
        <v>9</v>
      </c>
      <c r="R1795" t="str">
        <f t="shared" si="227"/>
        <v/>
      </c>
      <c r="S1795" t="str">
        <f t="shared" si="228"/>
        <v/>
      </c>
      <c r="T1795" s="403" t="str">
        <f t="shared" si="229"/>
        <v>NBE-6502-AL</v>
      </c>
      <c r="U1795" s="403">
        <f t="shared" si="230"/>
        <v>1</v>
      </c>
      <c r="V1795" s="403" t="str">
        <f t="shared" si="231"/>
        <v>CPP_7_3</v>
      </c>
    </row>
    <row r="1796" spans="1:22">
      <c r="A1796" t="str">
        <f t="shared" si="224"/>
        <v>NBE-6502-AL</v>
      </c>
      <c r="B1796" s="403" t="s">
        <v>1386</v>
      </c>
      <c r="C1796" s="403" t="s">
        <v>582</v>
      </c>
      <c r="D1796" s="403" t="s">
        <v>1387</v>
      </c>
      <c r="E1796" s="403" t="s">
        <v>778</v>
      </c>
      <c r="F1796" s="403" t="s">
        <v>1292</v>
      </c>
      <c r="G1796" s="403" t="s">
        <v>1466</v>
      </c>
      <c r="H1796" s="403" t="s">
        <v>1281</v>
      </c>
      <c r="I1796" s="403">
        <v>1</v>
      </c>
      <c r="J1796" s="403" t="s">
        <v>110</v>
      </c>
      <c r="K1796" s="403">
        <v>1920</v>
      </c>
      <c r="L1796" s="403">
        <v>1080</v>
      </c>
      <c r="M1796" s="403" t="s">
        <v>110</v>
      </c>
      <c r="N1796" s="403">
        <v>1920</v>
      </c>
      <c r="O1796" s="403">
        <v>1080</v>
      </c>
      <c r="P1796" t="str">
        <f t="shared" si="225"/>
        <v>30fps 1080p - 1080p</v>
      </c>
      <c r="Q1796">
        <f t="shared" si="226"/>
        <v>9</v>
      </c>
      <c r="R1796" t="str">
        <f t="shared" si="227"/>
        <v/>
      </c>
      <c r="S1796" t="str">
        <f t="shared" si="228"/>
        <v/>
      </c>
      <c r="T1796" s="403" t="str">
        <f t="shared" si="229"/>
        <v>NBE-6502-AL</v>
      </c>
      <c r="U1796" s="403">
        <f t="shared" si="230"/>
        <v>1</v>
      </c>
      <c r="V1796" s="403" t="str">
        <f t="shared" si="231"/>
        <v>CPP_7_3</v>
      </c>
    </row>
    <row r="1797" spans="1:22">
      <c r="A1797" t="str">
        <f t="shared" si="224"/>
        <v>NBE-6502-AL</v>
      </c>
      <c r="B1797" s="403" t="s">
        <v>1386</v>
      </c>
      <c r="C1797" s="403" t="s">
        <v>582</v>
      </c>
      <c r="D1797" s="403" t="s">
        <v>1387</v>
      </c>
      <c r="E1797" s="403" t="s">
        <v>778</v>
      </c>
      <c r="F1797" s="403" t="s">
        <v>1292</v>
      </c>
      <c r="G1797" s="403" t="s">
        <v>1466</v>
      </c>
      <c r="H1797" s="403" t="s">
        <v>1281</v>
      </c>
      <c r="I1797" s="403">
        <v>1</v>
      </c>
      <c r="J1797" s="403" t="s">
        <v>110</v>
      </c>
      <c r="K1797" s="403">
        <v>1920</v>
      </c>
      <c r="L1797" s="403">
        <v>1080</v>
      </c>
      <c r="M1797" s="403" t="s">
        <v>109</v>
      </c>
      <c r="N1797" s="403">
        <v>1280</v>
      </c>
      <c r="O1797" s="403">
        <v>720</v>
      </c>
      <c r="P1797" t="str">
        <f t="shared" si="225"/>
        <v>30fps 1080p - 720p</v>
      </c>
      <c r="Q1797">
        <f t="shared" si="226"/>
        <v>9</v>
      </c>
      <c r="R1797" t="str">
        <f t="shared" si="227"/>
        <v/>
      </c>
      <c r="S1797" t="str">
        <f t="shared" si="228"/>
        <v/>
      </c>
      <c r="T1797" s="403" t="str">
        <f t="shared" si="229"/>
        <v>NBE-6502-AL</v>
      </c>
      <c r="U1797" s="403">
        <f t="shared" si="230"/>
        <v>1</v>
      </c>
      <c r="V1797" s="403" t="str">
        <f t="shared" si="231"/>
        <v>CPP_7_3</v>
      </c>
    </row>
    <row r="1798" spans="1:22">
      <c r="A1798" t="str">
        <f t="shared" si="224"/>
        <v>NBE-6502-AL</v>
      </c>
      <c r="B1798" s="403" t="s">
        <v>1386</v>
      </c>
      <c r="C1798" s="403" t="s">
        <v>582</v>
      </c>
      <c r="D1798" s="403" t="s">
        <v>1387</v>
      </c>
      <c r="E1798" s="403" t="s">
        <v>778</v>
      </c>
      <c r="F1798" s="403" t="s">
        <v>1292</v>
      </c>
      <c r="G1798" s="403" t="s">
        <v>1466</v>
      </c>
      <c r="H1798" s="403" t="s">
        <v>1281</v>
      </c>
      <c r="I1798" s="403">
        <v>1</v>
      </c>
      <c r="J1798" s="403" t="s">
        <v>110</v>
      </c>
      <c r="K1798" s="403">
        <v>1920</v>
      </c>
      <c r="L1798" s="403">
        <v>1080</v>
      </c>
      <c r="M1798" s="403" t="s">
        <v>1285</v>
      </c>
      <c r="N1798" s="403">
        <v>1280</v>
      </c>
      <c r="O1798" s="403">
        <v>1024</v>
      </c>
      <c r="P1798" t="str">
        <f t="shared" si="225"/>
        <v>30fps 1080p - 1280x1024 5:4 (cropped)</v>
      </c>
      <c r="Q1798">
        <f t="shared" si="226"/>
        <v>9</v>
      </c>
      <c r="R1798" t="str">
        <f t="shared" si="227"/>
        <v/>
      </c>
      <c r="S1798" t="str">
        <f t="shared" si="228"/>
        <v/>
      </c>
      <c r="T1798" s="403" t="str">
        <f t="shared" si="229"/>
        <v>NBE-6502-AL</v>
      </c>
      <c r="U1798" s="403">
        <f t="shared" si="230"/>
        <v>1</v>
      </c>
      <c r="V1798" s="403" t="str">
        <f t="shared" si="231"/>
        <v>CPP_7_3</v>
      </c>
    </row>
    <row r="1799" spans="1:22">
      <c r="A1799" t="str">
        <f t="shared" si="224"/>
        <v>NBE-6502-AL</v>
      </c>
      <c r="B1799" s="403" t="s">
        <v>1386</v>
      </c>
      <c r="C1799" s="403" t="s">
        <v>582</v>
      </c>
      <c r="D1799" s="403" t="s">
        <v>1387</v>
      </c>
      <c r="E1799" s="403" t="s">
        <v>778</v>
      </c>
      <c r="F1799" s="403" t="s">
        <v>1292</v>
      </c>
      <c r="G1799" s="403" t="s">
        <v>1466</v>
      </c>
      <c r="H1799" s="403" t="s">
        <v>1281</v>
      </c>
      <c r="I1799" s="403">
        <v>1</v>
      </c>
      <c r="J1799" s="403" t="s">
        <v>110</v>
      </c>
      <c r="K1799" s="403">
        <v>1920</v>
      </c>
      <c r="L1799" s="403">
        <v>1080</v>
      </c>
      <c r="M1799" s="403" t="s">
        <v>1279</v>
      </c>
      <c r="N1799" s="403">
        <v>768</v>
      </c>
      <c r="O1799" s="403">
        <v>432</v>
      </c>
      <c r="P1799" t="str">
        <f t="shared" si="225"/>
        <v>30fps 1080p - SD ROI PTZ</v>
      </c>
      <c r="Q1799">
        <f t="shared" si="226"/>
        <v>9</v>
      </c>
      <c r="R1799" t="str">
        <f t="shared" si="227"/>
        <v/>
      </c>
      <c r="S1799" t="str">
        <f t="shared" si="228"/>
        <v/>
      </c>
      <c r="T1799" s="403" t="str">
        <f t="shared" si="229"/>
        <v>NBE-6502-AL</v>
      </c>
      <c r="U1799" s="403">
        <f t="shared" si="230"/>
        <v>1</v>
      </c>
      <c r="V1799" s="403" t="str">
        <f t="shared" si="231"/>
        <v>CPP_7_3</v>
      </c>
    </row>
    <row r="1800" spans="1:22">
      <c r="A1800" t="str">
        <f t="shared" si="224"/>
        <v>NBE-6502-AL</v>
      </c>
      <c r="B1800" s="403" t="s">
        <v>1386</v>
      </c>
      <c r="C1800" s="403" t="s">
        <v>582</v>
      </c>
      <c r="D1800" s="403" t="s">
        <v>1387</v>
      </c>
      <c r="E1800" s="403" t="s">
        <v>778</v>
      </c>
      <c r="F1800" s="403" t="s">
        <v>1292</v>
      </c>
      <c r="G1800" s="403" t="s">
        <v>1466</v>
      </c>
      <c r="H1800" s="403" t="s">
        <v>1281</v>
      </c>
      <c r="I1800" s="403">
        <v>1</v>
      </c>
      <c r="J1800" s="403" t="s">
        <v>110</v>
      </c>
      <c r="K1800" s="403">
        <v>1920</v>
      </c>
      <c r="L1800" s="403">
        <v>1080</v>
      </c>
      <c r="M1800" s="403" t="s">
        <v>1283</v>
      </c>
      <c r="N1800" s="403">
        <v>720</v>
      </c>
      <c r="O1800" s="403">
        <v>480</v>
      </c>
      <c r="P1800" t="str">
        <f t="shared" si="225"/>
        <v>30fps 1080p - SD 4CIF resolution 4:3 format (cropped)</v>
      </c>
      <c r="Q1800">
        <f t="shared" si="226"/>
        <v>9</v>
      </c>
      <c r="R1800" t="str">
        <f t="shared" si="227"/>
        <v/>
      </c>
      <c r="S1800" t="str">
        <f t="shared" si="228"/>
        <v/>
      </c>
      <c r="T1800" s="403" t="str">
        <f t="shared" si="229"/>
        <v>NBE-6502-AL</v>
      </c>
      <c r="U1800" s="403">
        <f t="shared" si="230"/>
        <v>1</v>
      </c>
      <c r="V1800" s="403" t="str">
        <f t="shared" si="231"/>
        <v>CPP_7_3</v>
      </c>
    </row>
    <row r="1801" spans="1:22">
      <c r="A1801" t="str">
        <f t="shared" si="224"/>
        <v>NBE-6502-AL</v>
      </c>
      <c r="B1801" s="403" t="s">
        <v>1386</v>
      </c>
      <c r="C1801" s="403" t="s">
        <v>582</v>
      </c>
      <c r="D1801" s="403" t="s">
        <v>1387</v>
      </c>
      <c r="E1801" s="403" t="s">
        <v>778</v>
      </c>
      <c r="F1801" s="403" t="s">
        <v>1292</v>
      </c>
      <c r="G1801" s="403" t="s">
        <v>1466</v>
      </c>
      <c r="H1801" s="403" t="s">
        <v>1281</v>
      </c>
      <c r="I1801" s="403">
        <v>1</v>
      </c>
      <c r="J1801" s="403" t="s">
        <v>110</v>
      </c>
      <c r="K1801" s="403">
        <v>1920</v>
      </c>
      <c r="L1801" s="403">
        <v>1080</v>
      </c>
      <c r="M1801" s="403" t="s">
        <v>1284</v>
      </c>
      <c r="N1801" s="403">
        <v>640</v>
      </c>
      <c r="O1801" s="403">
        <v>480</v>
      </c>
      <c r="P1801" t="str">
        <f t="shared" si="225"/>
        <v>30fps 1080p - SD VGA (cropped)</v>
      </c>
      <c r="Q1801">
        <f t="shared" si="226"/>
        <v>9</v>
      </c>
      <c r="R1801" t="str">
        <f t="shared" si="227"/>
        <v/>
      </c>
      <c r="S1801" t="str">
        <f t="shared" si="228"/>
        <v/>
      </c>
      <c r="T1801" s="403" t="str">
        <f t="shared" si="229"/>
        <v>NBE-6502-AL</v>
      </c>
      <c r="U1801" s="403">
        <f t="shared" si="230"/>
        <v>1</v>
      </c>
      <c r="V1801" s="403" t="str">
        <f t="shared" si="231"/>
        <v>CPP_7_3</v>
      </c>
    </row>
    <row r="1802" spans="1:22">
      <c r="A1802" t="str">
        <f t="shared" si="224"/>
        <v>NBE-6502-AL</v>
      </c>
      <c r="B1802" s="403" t="s">
        <v>1386</v>
      </c>
      <c r="C1802" s="403" t="s">
        <v>582</v>
      </c>
      <c r="D1802" s="403" t="s">
        <v>1387</v>
      </c>
      <c r="E1802" s="403" t="s">
        <v>778</v>
      </c>
      <c r="F1802" s="403" t="s">
        <v>1292</v>
      </c>
      <c r="G1802" s="403" t="s">
        <v>1466</v>
      </c>
      <c r="H1802" s="403" t="s">
        <v>1281</v>
      </c>
      <c r="I1802" s="403">
        <v>1</v>
      </c>
      <c r="J1802" s="403" t="s">
        <v>109</v>
      </c>
      <c r="K1802" s="403">
        <v>1280</v>
      </c>
      <c r="L1802" s="403">
        <v>720</v>
      </c>
      <c r="M1802" s="403" t="s">
        <v>109</v>
      </c>
      <c r="N1802" s="403">
        <v>1280</v>
      </c>
      <c r="O1802" s="403">
        <v>720</v>
      </c>
      <c r="P1802" t="str">
        <f t="shared" si="225"/>
        <v>30fps 720p - 720p</v>
      </c>
      <c r="Q1802">
        <f t="shared" si="226"/>
        <v>9</v>
      </c>
      <c r="R1802" t="str">
        <f t="shared" si="227"/>
        <v/>
      </c>
      <c r="S1802" t="str">
        <f t="shared" si="228"/>
        <v/>
      </c>
      <c r="T1802" s="403" t="str">
        <f t="shared" si="229"/>
        <v>NBE-6502-AL</v>
      </c>
      <c r="U1802" s="403">
        <f t="shared" si="230"/>
        <v>1</v>
      </c>
      <c r="V1802" s="403" t="str">
        <f t="shared" si="231"/>
        <v>CPP_7_3</v>
      </c>
    </row>
    <row r="1803" spans="1:22">
      <c r="A1803" t="str">
        <f t="shared" si="224"/>
        <v>NBE-6502-AL</v>
      </c>
      <c r="B1803" s="403" t="s">
        <v>1386</v>
      </c>
      <c r="C1803" s="403" t="s">
        <v>582</v>
      </c>
      <c r="D1803" s="403" t="s">
        <v>1387</v>
      </c>
      <c r="E1803" s="403" t="s">
        <v>778</v>
      </c>
      <c r="F1803" s="403" t="s">
        <v>1292</v>
      </c>
      <c r="G1803" s="403" t="s">
        <v>1466</v>
      </c>
      <c r="H1803" s="403" t="s">
        <v>1281</v>
      </c>
      <c r="I1803" s="403">
        <v>1</v>
      </c>
      <c r="J1803" s="403" t="s">
        <v>109</v>
      </c>
      <c r="K1803" s="403">
        <v>1280</v>
      </c>
      <c r="L1803" s="403">
        <v>720</v>
      </c>
      <c r="M1803" s="403" t="s">
        <v>111</v>
      </c>
      <c r="N1803" s="403">
        <v>768</v>
      </c>
      <c r="O1803" s="403">
        <v>432</v>
      </c>
      <c r="P1803" t="str">
        <f t="shared" si="225"/>
        <v>30fps 720p - SD</v>
      </c>
      <c r="Q1803">
        <f t="shared" si="226"/>
        <v>9</v>
      </c>
      <c r="R1803" t="str">
        <f t="shared" si="227"/>
        <v/>
      </c>
      <c r="S1803" t="str">
        <f t="shared" si="228"/>
        <v/>
      </c>
      <c r="T1803" s="403" t="str">
        <f t="shared" si="229"/>
        <v>NBE-6502-AL</v>
      </c>
      <c r="U1803" s="403">
        <f t="shared" si="230"/>
        <v>1</v>
      </c>
      <c r="V1803" s="403" t="str">
        <f t="shared" si="231"/>
        <v>CPP_7_3</v>
      </c>
    </row>
    <row r="1804" spans="1:22">
      <c r="A1804" t="str">
        <f t="shared" si="224"/>
        <v>NBE-6502-AL</v>
      </c>
      <c r="B1804" s="403" t="s">
        <v>1386</v>
      </c>
      <c r="C1804" s="403" t="s">
        <v>582</v>
      </c>
      <c r="D1804" s="403" t="s">
        <v>1387</v>
      </c>
      <c r="E1804" s="403" t="s">
        <v>778</v>
      </c>
      <c r="F1804" s="403" t="s">
        <v>1292</v>
      </c>
      <c r="G1804" s="403" t="s">
        <v>1466</v>
      </c>
      <c r="H1804" s="403" t="s">
        <v>1281</v>
      </c>
      <c r="I1804" s="403">
        <v>1</v>
      </c>
      <c r="J1804" s="403" t="s">
        <v>109</v>
      </c>
      <c r="K1804" s="403">
        <v>1280</v>
      </c>
      <c r="L1804" s="403">
        <v>720</v>
      </c>
      <c r="M1804" s="403" t="s">
        <v>1279</v>
      </c>
      <c r="N1804" s="403">
        <v>768</v>
      </c>
      <c r="O1804" s="403">
        <v>432</v>
      </c>
      <c r="P1804" t="str">
        <f t="shared" si="225"/>
        <v>30fps 720p - SD ROI PTZ</v>
      </c>
      <c r="Q1804">
        <f t="shared" si="226"/>
        <v>9</v>
      </c>
      <c r="R1804" t="str">
        <f t="shared" si="227"/>
        <v/>
      </c>
      <c r="S1804" t="str">
        <f t="shared" si="228"/>
        <v/>
      </c>
      <c r="T1804" s="403" t="str">
        <f t="shared" si="229"/>
        <v>NBE-6502-AL</v>
      </c>
      <c r="U1804" s="403">
        <f t="shared" si="230"/>
        <v>1</v>
      </c>
      <c r="V1804" s="403" t="str">
        <f t="shared" si="231"/>
        <v>CPP_7_3</v>
      </c>
    </row>
    <row r="1805" spans="1:22">
      <c r="A1805" t="str">
        <f t="shared" si="224"/>
        <v>NBE-6502-AL</v>
      </c>
      <c r="B1805" s="403" t="s">
        <v>1386</v>
      </c>
      <c r="C1805" s="403" t="s">
        <v>582</v>
      </c>
      <c r="D1805" s="403" t="s">
        <v>1387</v>
      </c>
      <c r="E1805" s="403" t="s">
        <v>778</v>
      </c>
      <c r="F1805" s="403" t="s">
        <v>1292</v>
      </c>
      <c r="G1805" s="403" t="s">
        <v>1466</v>
      </c>
      <c r="H1805" s="403" t="s">
        <v>1281</v>
      </c>
      <c r="I1805" s="403">
        <v>1</v>
      </c>
      <c r="J1805" s="403" t="s">
        <v>109</v>
      </c>
      <c r="K1805" s="403">
        <v>1280</v>
      </c>
      <c r="L1805" s="403">
        <v>720</v>
      </c>
      <c r="M1805" s="403" t="s">
        <v>1283</v>
      </c>
      <c r="N1805" s="403">
        <v>720</v>
      </c>
      <c r="O1805" s="403">
        <v>480</v>
      </c>
      <c r="P1805" t="str">
        <f t="shared" si="225"/>
        <v>30fps 720p - SD 4CIF resolution 4:3 format (cropped)</v>
      </c>
      <c r="Q1805">
        <f t="shared" si="226"/>
        <v>9</v>
      </c>
      <c r="R1805" t="str">
        <f t="shared" si="227"/>
        <v/>
      </c>
      <c r="S1805" t="str">
        <f t="shared" si="228"/>
        <v/>
      </c>
      <c r="T1805" s="403" t="str">
        <f t="shared" si="229"/>
        <v>NBE-6502-AL</v>
      </c>
      <c r="U1805" s="403">
        <f t="shared" si="230"/>
        <v>1</v>
      </c>
      <c r="V1805" s="403" t="str">
        <f t="shared" si="231"/>
        <v>CPP_7_3</v>
      </c>
    </row>
    <row r="1806" spans="1:22">
      <c r="A1806" t="str">
        <f t="shared" si="224"/>
        <v>NBE-6502-AL</v>
      </c>
      <c r="B1806" s="403" t="s">
        <v>1386</v>
      </c>
      <c r="C1806" s="403" t="s">
        <v>582</v>
      </c>
      <c r="D1806" s="403" t="s">
        <v>1387</v>
      </c>
      <c r="E1806" s="403" t="s">
        <v>778</v>
      </c>
      <c r="F1806" s="403" t="s">
        <v>1292</v>
      </c>
      <c r="G1806" s="403" t="s">
        <v>1466</v>
      </c>
      <c r="H1806" s="403" t="s">
        <v>1281</v>
      </c>
      <c r="I1806" s="403">
        <v>1</v>
      </c>
      <c r="J1806" s="403" t="s">
        <v>109</v>
      </c>
      <c r="K1806" s="403">
        <v>1280</v>
      </c>
      <c r="L1806" s="403">
        <v>720</v>
      </c>
      <c r="M1806" s="403" t="s">
        <v>1284</v>
      </c>
      <c r="N1806" s="403">
        <v>640</v>
      </c>
      <c r="O1806" s="403">
        <v>480</v>
      </c>
      <c r="P1806" t="str">
        <f t="shared" si="225"/>
        <v>30fps 720p - SD VGA (cropped)</v>
      </c>
      <c r="Q1806">
        <f t="shared" si="226"/>
        <v>9</v>
      </c>
      <c r="R1806" t="str">
        <f t="shared" si="227"/>
        <v/>
      </c>
      <c r="S1806" t="str">
        <f t="shared" si="228"/>
        <v/>
      </c>
      <c r="T1806" s="403" t="str">
        <f t="shared" si="229"/>
        <v>NBE-6502-AL</v>
      </c>
      <c r="U1806" s="403">
        <f t="shared" si="230"/>
        <v>1</v>
      </c>
      <c r="V1806" s="403" t="str">
        <f t="shared" si="231"/>
        <v>CPP_7_3</v>
      </c>
    </row>
    <row r="1807" spans="1:22">
      <c r="A1807" t="str">
        <f t="shared" si="224"/>
        <v>NBE-6502-AL</v>
      </c>
      <c r="B1807" s="403" t="s">
        <v>1386</v>
      </c>
      <c r="C1807" s="403" t="s">
        <v>582</v>
      </c>
      <c r="D1807" s="403" t="s">
        <v>1387</v>
      </c>
      <c r="E1807" s="403" t="s">
        <v>778</v>
      </c>
      <c r="F1807" s="403" t="s">
        <v>1292</v>
      </c>
      <c r="G1807" s="403" t="s">
        <v>1466</v>
      </c>
      <c r="H1807" s="403" t="s">
        <v>1282</v>
      </c>
      <c r="I1807" s="403">
        <v>1</v>
      </c>
      <c r="J1807" s="403" t="s">
        <v>110</v>
      </c>
      <c r="K1807" s="403">
        <v>1920</v>
      </c>
      <c r="L1807" s="403">
        <v>1080</v>
      </c>
      <c r="M1807" s="403" t="s">
        <v>111</v>
      </c>
      <c r="N1807" s="403">
        <v>768</v>
      </c>
      <c r="O1807" s="403">
        <v>432</v>
      </c>
      <c r="P1807" t="str">
        <f t="shared" si="225"/>
        <v>30fps 1080p - SD</v>
      </c>
      <c r="Q1807">
        <f t="shared" si="226"/>
        <v>9</v>
      </c>
      <c r="R1807" t="str">
        <f t="shared" si="227"/>
        <v/>
      </c>
      <c r="S1807" t="str">
        <f t="shared" si="228"/>
        <v/>
      </c>
      <c r="T1807" s="403" t="str">
        <f t="shared" si="229"/>
        <v>NBE-6502-AL</v>
      </c>
      <c r="U1807" s="403">
        <f t="shared" si="230"/>
        <v>1</v>
      </c>
      <c r="V1807" s="403" t="str">
        <f t="shared" si="231"/>
        <v>CPP_7_3</v>
      </c>
    </row>
    <row r="1808" spans="1:22">
      <c r="A1808" t="str">
        <f t="shared" si="224"/>
        <v>NBE-6502-AL</v>
      </c>
      <c r="B1808" s="403" t="s">
        <v>1386</v>
      </c>
      <c r="C1808" s="403" t="s">
        <v>582</v>
      </c>
      <c r="D1808" s="403" t="s">
        <v>1387</v>
      </c>
      <c r="E1808" s="403" t="s">
        <v>778</v>
      </c>
      <c r="F1808" s="403" t="s">
        <v>1292</v>
      </c>
      <c r="G1808" s="403" t="s">
        <v>1466</v>
      </c>
      <c r="H1808" s="403" t="s">
        <v>1282</v>
      </c>
      <c r="I1808" s="403">
        <v>1</v>
      </c>
      <c r="J1808" s="403" t="s">
        <v>110</v>
      </c>
      <c r="K1808" s="403">
        <v>1920</v>
      </c>
      <c r="L1808" s="403">
        <v>1080</v>
      </c>
      <c r="M1808" s="403" t="s">
        <v>110</v>
      </c>
      <c r="N1808" s="403">
        <v>1920</v>
      </c>
      <c r="O1808" s="403">
        <v>1080</v>
      </c>
      <c r="P1808" t="str">
        <f t="shared" si="225"/>
        <v>30fps 1080p - 1080p</v>
      </c>
      <c r="Q1808">
        <f t="shared" si="226"/>
        <v>9</v>
      </c>
      <c r="R1808" t="str">
        <f t="shared" si="227"/>
        <v/>
      </c>
      <c r="S1808" t="str">
        <f t="shared" si="228"/>
        <v/>
      </c>
      <c r="T1808" s="403" t="str">
        <f t="shared" si="229"/>
        <v>NBE-6502-AL</v>
      </c>
      <c r="U1808" s="403">
        <f t="shared" si="230"/>
        <v>1</v>
      </c>
      <c r="V1808" s="403" t="str">
        <f t="shared" si="231"/>
        <v>CPP_7_3</v>
      </c>
    </row>
    <row r="1809" spans="1:22">
      <c r="A1809" t="str">
        <f t="shared" si="224"/>
        <v>NBE-6502-AL</v>
      </c>
      <c r="B1809" s="403" t="s">
        <v>1386</v>
      </c>
      <c r="C1809" s="403" t="s">
        <v>582</v>
      </c>
      <c r="D1809" s="403" t="s">
        <v>1387</v>
      </c>
      <c r="E1809" s="403" t="s">
        <v>778</v>
      </c>
      <c r="F1809" s="403" t="s">
        <v>1292</v>
      </c>
      <c r="G1809" s="403" t="s">
        <v>1466</v>
      </c>
      <c r="H1809" s="403" t="s">
        <v>1282</v>
      </c>
      <c r="I1809" s="403">
        <v>1</v>
      </c>
      <c r="J1809" s="403" t="s">
        <v>110</v>
      </c>
      <c r="K1809" s="403">
        <v>1920</v>
      </c>
      <c r="L1809" s="403">
        <v>1080</v>
      </c>
      <c r="M1809" s="403" t="s">
        <v>109</v>
      </c>
      <c r="N1809" s="403">
        <v>1280</v>
      </c>
      <c r="O1809" s="403">
        <v>720</v>
      </c>
      <c r="P1809" t="str">
        <f t="shared" si="225"/>
        <v>30fps 1080p - 720p</v>
      </c>
      <c r="Q1809">
        <f t="shared" si="226"/>
        <v>9</v>
      </c>
      <c r="R1809" t="str">
        <f t="shared" si="227"/>
        <v/>
      </c>
      <c r="S1809" t="str">
        <f t="shared" si="228"/>
        <v/>
      </c>
      <c r="T1809" s="403" t="str">
        <f t="shared" si="229"/>
        <v>NBE-6502-AL</v>
      </c>
      <c r="U1809" s="403">
        <f t="shared" si="230"/>
        <v>1</v>
      </c>
      <c r="V1809" s="403" t="str">
        <f t="shared" si="231"/>
        <v>CPP_7_3</v>
      </c>
    </row>
    <row r="1810" spans="1:22">
      <c r="A1810" t="str">
        <f t="shared" si="224"/>
        <v>NBE-6502-AL</v>
      </c>
      <c r="B1810" s="403" t="s">
        <v>1386</v>
      </c>
      <c r="C1810" s="403" t="s">
        <v>582</v>
      </c>
      <c r="D1810" s="403" t="s">
        <v>1387</v>
      </c>
      <c r="E1810" s="403" t="s">
        <v>778</v>
      </c>
      <c r="F1810" s="403" t="s">
        <v>1292</v>
      </c>
      <c r="G1810" s="403" t="s">
        <v>1466</v>
      </c>
      <c r="H1810" s="403" t="s">
        <v>1282</v>
      </c>
      <c r="I1810" s="403">
        <v>1</v>
      </c>
      <c r="J1810" s="403" t="s">
        <v>110</v>
      </c>
      <c r="K1810" s="403">
        <v>1920</v>
      </c>
      <c r="L1810" s="403">
        <v>1080</v>
      </c>
      <c r="M1810" s="403" t="s">
        <v>1285</v>
      </c>
      <c r="N1810" s="403">
        <v>1280</v>
      </c>
      <c r="O1810" s="403">
        <v>1024</v>
      </c>
      <c r="P1810" t="str">
        <f t="shared" si="225"/>
        <v>30fps 1080p - 1280x1024 5:4 (cropped)</v>
      </c>
      <c r="Q1810">
        <f t="shared" si="226"/>
        <v>9</v>
      </c>
      <c r="R1810" t="str">
        <f t="shared" si="227"/>
        <v/>
      </c>
      <c r="S1810" t="str">
        <f t="shared" si="228"/>
        <v/>
      </c>
      <c r="T1810" s="403" t="str">
        <f t="shared" si="229"/>
        <v>NBE-6502-AL</v>
      </c>
      <c r="U1810" s="403">
        <f t="shared" si="230"/>
        <v>1</v>
      </c>
      <c r="V1810" s="403" t="str">
        <f t="shared" si="231"/>
        <v>CPP_7_3</v>
      </c>
    </row>
    <row r="1811" spans="1:22">
      <c r="A1811" t="str">
        <f t="shared" si="224"/>
        <v>NBE-6502-AL</v>
      </c>
      <c r="B1811" s="403" t="s">
        <v>1386</v>
      </c>
      <c r="C1811" s="403" t="s">
        <v>582</v>
      </c>
      <c r="D1811" s="403" t="s">
        <v>1387</v>
      </c>
      <c r="E1811" s="403" t="s">
        <v>778</v>
      </c>
      <c r="F1811" s="403" t="s">
        <v>1292</v>
      </c>
      <c r="G1811" s="403" t="s">
        <v>1466</v>
      </c>
      <c r="H1811" s="403" t="s">
        <v>1282</v>
      </c>
      <c r="I1811" s="403">
        <v>1</v>
      </c>
      <c r="J1811" s="403" t="s">
        <v>110</v>
      </c>
      <c r="K1811" s="403">
        <v>1920</v>
      </c>
      <c r="L1811" s="403">
        <v>1080</v>
      </c>
      <c r="M1811" s="403" t="s">
        <v>1279</v>
      </c>
      <c r="N1811" s="403">
        <v>768</v>
      </c>
      <c r="O1811" s="403">
        <v>432</v>
      </c>
      <c r="P1811" t="str">
        <f t="shared" si="225"/>
        <v>30fps 1080p - SD ROI PTZ</v>
      </c>
      <c r="Q1811">
        <f t="shared" si="226"/>
        <v>9</v>
      </c>
      <c r="R1811" t="str">
        <f t="shared" si="227"/>
        <v/>
      </c>
      <c r="S1811" t="str">
        <f t="shared" si="228"/>
        <v/>
      </c>
      <c r="T1811" s="403" t="str">
        <f t="shared" si="229"/>
        <v>NBE-6502-AL</v>
      </c>
      <c r="U1811" s="403">
        <f t="shared" si="230"/>
        <v>1</v>
      </c>
      <c r="V1811" s="403" t="str">
        <f t="shared" si="231"/>
        <v>CPP_7_3</v>
      </c>
    </row>
    <row r="1812" spans="1:22">
      <c r="A1812" t="str">
        <f t="shared" si="224"/>
        <v>NBE-6502-AL</v>
      </c>
      <c r="B1812" s="403" t="s">
        <v>1386</v>
      </c>
      <c r="C1812" s="403" t="s">
        <v>582</v>
      </c>
      <c r="D1812" s="403" t="s">
        <v>1387</v>
      </c>
      <c r="E1812" s="403" t="s">
        <v>778</v>
      </c>
      <c r="F1812" s="403" t="s">
        <v>1292</v>
      </c>
      <c r="G1812" s="403" t="s">
        <v>1466</v>
      </c>
      <c r="H1812" s="403" t="s">
        <v>1282</v>
      </c>
      <c r="I1812" s="403">
        <v>1</v>
      </c>
      <c r="J1812" s="403" t="s">
        <v>110</v>
      </c>
      <c r="K1812" s="403">
        <v>1920</v>
      </c>
      <c r="L1812" s="403">
        <v>1080</v>
      </c>
      <c r="M1812" s="403" t="s">
        <v>1283</v>
      </c>
      <c r="N1812" s="403">
        <v>720</v>
      </c>
      <c r="O1812" s="403">
        <v>480</v>
      </c>
      <c r="P1812" t="str">
        <f t="shared" si="225"/>
        <v>30fps 1080p - SD 4CIF resolution 4:3 format (cropped)</v>
      </c>
      <c r="Q1812">
        <f t="shared" si="226"/>
        <v>9</v>
      </c>
      <c r="R1812" t="str">
        <f t="shared" si="227"/>
        <v/>
      </c>
      <c r="S1812" t="str">
        <f t="shared" si="228"/>
        <v/>
      </c>
      <c r="T1812" s="403" t="str">
        <f t="shared" si="229"/>
        <v>NBE-6502-AL</v>
      </c>
      <c r="U1812" s="403">
        <f t="shared" si="230"/>
        <v>1</v>
      </c>
      <c r="V1812" s="403" t="str">
        <f t="shared" si="231"/>
        <v>CPP_7_3</v>
      </c>
    </row>
    <row r="1813" spans="1:22">
      <c r="A1813" t="str">
        <f t="shared" si="224"/>
        <v>NBE-6502-AL</v>
      </c>
      <c r="B1813" s="403" t="s">
        <v>1386</v>
      </c>
      <c r="C1813" s="403" t="s">
        <v>582</v>
      </c>
      <c r="D1813" s="403" t="s">
        <v>1387</v>
      </c>
      <c r="E1813" s="403" t="s">
        <v>778</v>
      </c>
      <c r="F1813" s="403" t="s">
        <v>1292</v>
      </c>
      <c r="G1813" s="403" t="s">
        <v>1466</v>
      </c>
      <c r="H1813" s="403" t="s">
        <v>1282</v>
      </c>
      <c r="I1813" s="403">
        <v>1</v>
      </c>
      <c r="J1813" s="403" t="s">
        <v>110</v>
      </c>
      <c r="K1813" s="403">
        <v>1920</v>
      </c>
      <c r="L1813" s="403">
        <v>1080</v>
      </c>
      <c r="M1813" s="403" t="s">
        <v>1284</v>
      </c>
      <c r="N1813" s="403">
        <v>640</v>
      </c>
      <c r="O1813" s="403">
        <v>480</v>
      </c>
      <c r="P1813" t="str">
        <f t="shared" si="225"/>
        <v>30fps 1080p - SD VGA (cropped)</v>
      </c>
      <c r="Q1813">
        <f t="shared" si="226"/>
        <v>9</v>
      </c>
      <c r="R1813" t="str">
        <f t="shared" si="227"/>
        <v/>
      </c>
      <c r="S1813" t="str">
        <f t="shared" si="228"/>
        <v/>
      </c>
      <c r="T1813" s="403" t="str">
        <f t="shared" si="229"/>
        <v>NBE-6502-AL</v>
      </c>
      <c r="U1813" s="403">
        <f t="shared" si="230"/>
        <v>1</v>
      </c>
      <c r="V1813" s="403" t="str">
        <f t="shared" si="231"/>
        <v>CPP_7_3</v>
      </c>
    </row>
    <row r="1814" spans="1:22">
      <c r="A1814" t="str">
        <f t="shared" si="224"/>
        <v>NBE-6502-AL</v>
      </c>
      <c r="B1814" s="403" t="s">
        <v>1386</v>
      </c>
      <c r="C1814" s="403" t="s">
        <v>582</v>
      </c>
      <c r="D1814" s="403" t="s">
        <v>1387</v>
      </c>
      <c r="E1814" s="403" t="s">
        <v>778</v>
      </c>
      <c r="F1814" s="403" t="s">
        <v>1292</v>
      </c>
      <c r="G1814" s="403" t="s">
        <v>1466</v>
      </c>
      <c r="H1814" s="403" t="s">
        <v>1282</v>
      </c>
      <c r="I1814" s="403">
        <v>1</v>
      </c>
      <c r="J1814" s="403" t="s">
        <v>109</v>
      </c>
      <c r="K1814" s="403">
        <v>1280</v>
      </c>
      <c r="L1814" s="403">
        <v>720</v>
      </c>
      <c r="M1814" s="403" t="s">
        <v>109</v>
      </c>
      <c r="N1814" s="403">
        <v>1280</v>
      </c>
      <c r="O1814" s="403">
        <v>720</v>
      </c>
      <c r="P1814" t="str">
        <f t="shared" si="225"/>
        <v>30fps 720p - 720p</v>
      </c>
      <c r="Q1814">
        <f t="shared" si="226"/>
        <v>9</v>
      </c>
      <c r="R1814" t="str">
        <f t="shared" si="227"/>
        <v/>
      </c>
      <c r="S1814" t="str">
        <f t="shared" si="228"/>
        <v/>
      </c>
      <c r="T1814" s="403" t="str">
        <f t="shared" si="229"/>
        <v>NBE-6502-AL</v>
      </c>
      <c r="U1814" s="403">
        <f t="shared" si="230"/>
        <v>1</v>
      </c>
      <c r="V1814" s="403" t="str">
        <f t="shared" si="231"/>
        <v>CPP_7_3</v>
      </c>
    </row>
    <row r="1815" spans="1:22">
      <c r="A1815" t="str">
        <f t="shared" si="224"/>
        <v>NBE-6502-AL</v>
      </c>
      <c r="B1815" s="403" t="s">
        <v>1386</v>
      </c>
      <c r="C1815" s="403" t="s">
        <v>582</v>
      </c>
      <c r="D1815" s="403" t="s">
        <v>1387</v>
      </c>
      <c r="E1815" s="403" t="s">
        <v>778</v>
      </c>
      <c r="F1815" s="403" t="s">
        <v>1292</v>
      </c>
      <c r="G1815" s="403" t="s">
        <v>1466</v>
      </c>
      <c r="H1815" s="403" t="s">
        <v>1282</v>
      </c>
      <c r="I1815" s="403">
        <v>1</v>
      </c>
      <c r="J1815" s="403" t="s">
        <v>109</v>
      </c>
      <c r="K1815" s="403">
        <v>1280</v>
      </c>
      <c r="L1815" s="403">
        <v>720</v>
      </c>
      <c r="M1815" s="403" t="s">
        <v>111</v>
      </c>
      <c r="N1815" s="403">
        <v>768</v>
      </c>
      <c r="O1815" s="403">
        <v>432</v>
      </c>
      <c r="P1815" t="str">
        <f t="shared" si="225"/>
        <v>30fps 720p - SD</v>
      </c>
      <c r="Q1815">
        <f t="shared" si="226"/>
        <v>9</v>
      </c>
      <c r="R1815" t="str">
        <f t="shared" si="227"/>
        <v/>
      </c>
      <c r="S1815" t="str">
        <f t="shared" si="228"/>
        <v/>
      </c>
      <c r="T1815" s="403" t="str">
        <f t="shared" si="229"/>
        <v>NBE-6502-AL</v>
      </c>
      <c r="U1815" s="403">
        <f t="shared" si="230"/>
        <v>1</v>
      </c>
      <c r="V1815" s="403" t="str">
        <f t="shared" si="231"/>
        <v>CPP_7_3</v>
      </c>
    </row>
    <row r="1816" spans="1:22">
      <c r="A1816" t="str">
        <f t="shared" si="224"/>
        <v>NBE-6502-AL</v>
      </c>
      <c r="B1816" s="403" t="s">
        <v>1386</v>
      </c>
      <c r="C1816" s="403" t="s">
        <v>582</v>
      </c>
      <c r="D1816" s="403" t="s">
        <v>1387</v>
      </c>
      <c r="E1816" s="403" t="s">
        <v>778</v>
      </c>
      <c r="F1816" s="403" t="s">
        <v>1292</v>
      </c>
      <c r="G1816" s="403" t="s">
        <v>1466</v>
      </c>
      <c r="H1816" s="403" t="s">
        <v>1282</v>
      </c>
      <c r="I1816" s="403">
        <v>1</v>
      </c>
      <c r="J1816" s="403" t="s">
        <v>109</v>
      </c>
      <c r="K1816" s="403">
        <v>1280</v>
      </c>
      <c r="L1816" s="403">
        <v>720</v>
      </c>
      <c r="M1816" s="403" t="s">
        <v>1279</v>
      </c>
      <c r="N1816" s="403">
        <v>768</v>
      </c>
      <c r="O1816" s="403">
        <v>432</v>
      </c>
      <c r="P1816" t="str">
        <f t="shared" si="225"/>
        <v>30fps 720p - SD ROI PTZ</v>
      </c>
      <c r="Q1816">
        <f t="shared" si="226"/>
        <v>9</v>
      </c>
      <c r="R1816" t="str">
        <f t="shared" si="227"/>
        <v/>
      </c>
      <c r="S1816" t="str">
        <f t="shared" si="228"/>
        <v/>
      </c>
      <c r="T1816" s="403" t="str">
        <f t="shared" si="229"/>
        <v>NBE-6502-AL</v>
      </c>
      <c r="U1816" s="403">
        <f t="shared" si="230"/>
        <v>1</v>
      </c>
      <c r="V1816" s="403" t="str">
        <f t="shared" si="231"/>
        <v>CPP_7_3</v>
      </c>
    </row>
    <row r="1817" spans="1:22">
      <c r="A1817" t="str">
        <f t="shared" si="224"/>
        <v>NBE-6502-AL</v>
      </c>
      <c r="B1817" s="403" t="s">
        <v>1386</v>
      </c>
      <c r="C1817" s="403" t="s">
        <v>582</v>
      </c>
      <c r="D1817" s="403" t="s">
        <v>1387</v>
      </c>
      <c r="E1817" s="403" t="s">
        <v>778</v>
      </c>
      <c r="F1817" s="403" t="s">
        <v>1292</v>
      </c>
      <c r="G1817" s="403" t="s">
        <v>1466</v>
      </c>
      <c r="H1817" s="403" t="s">
        <v>1282</v>
      </c>
      <c r="I1817" s="403">
        <v>1</v>
      </c>
      <c r="J1817" s="403" t="s">
        <v>109</v>
      </c>
      <c r="K1817" s="403">
        <v>1280</v>
      </c>
      <c r="L1817" s="403">
        <v>720</v>
      </c>
      <c r="M1817" s="403" t="s">
        <v>1283</v>
      </c>
      <c r="N1817" s="403">
        <v>720</v>
      </c>
      <c r="O1817" s="403">
        <v>480</v>
      </c>
      <c r="P1817" t="str">
        <f t="shared" si="225"/>
        <v>30fps 720p - SD 4CIF resolution 4:3 format (cropped)</v>
      </c>
      <c r="Q1817">
        <f t="shared" si="226"/>
        <v>9</v>
      </c>
      <c r="R1817" t="str">
        <f t="shared" si="227"/>
        <v/>
      </c>
      <c r="S1817" t="str">
        <f t="shared" si="228"/>
        <v/>
      </c>
      <c r="T1817" s="403" t="str">
        <f t="shared" si="229"/>
        <v>NBE-6502-AL</v>
      </c>
      <c r="U1817" s="403">
        <f t="shared" si="230"/>
        <v>1</v>
      </c>
      <c r="V1817" s="403" t="str">
        <f t="shared" si="231"/>
        <v>CPP_7_3</v>
      </c>
    </row>
    <row r="1818" spans="1:22">
      <c r="A1818" t="str">
        <f t="shared" si="224"/>
        <v>NBE-6502-AL</v>
      </c>
      <c r="B1818" s="403" t="s">
        <v>1386</v>
      </c>
      <c r="C1818" s="403" t="s">
        <v>582</v>
      </c>
      <c r="D1818" s="403" t="s">
        <v>1387</v>
      </c>
      <c r="E1818" s="403" t="s">
        <v>778</v>
      </c>
      <c r="F1818" s="403" t="s">
        <v>1292</v>
      </c>
      <c r="G1818" s="403" t="s">
        <v>1466</v>
      </c>
      <c r="H1818" s="403" t="s">
        <v>1282</v>
      </c>
      <c r="I1818" s="403">
        <v>1</v>
      </c>
      <c r="J1818" s="403" t="s">
        <v>109</v>
      </c>
      <c r="K1818" s="403">
        <v>1280</v>
      </c>
      <c r="L1818" s="403">
        <v>720</v>
      </c>
      <c r="M1818" s="403" t="s">
        <v>1284</v>
      </c>
      <c r="N1818" s="403">
        <v>640</v>
      </c>
      <c r="O1818" s="403">
        <v>480</v>
      </c>
      <c r="P1818" t="str">
        <f t="shared" si="225"/>
        <v>30fps 720p - SD VGA (cropped)</v>
      </c>
      <c r="Q1818">
        <f t="shared" si="226"/>
        <v>9</v>
      </c>
      <c r="R1818" t="str">
        <f t="shared" si="227"/>
        <v/>
      </c>
      <c r="S1818" t="str">
        <f t="shared" si="228"/>
        <v/>
      </c>
      <c r="T1818" s="403" t="str">
        <f t="shared" si="229"/>
        <v>NBE-6502-AL</v>
      </c>
      <c r="U1818" s="403">
        <f t="shared" si="230"/>
        <v>1</v>
      </c>
      <c r="V1818" s="403" t="str">
        <f t="shared" si="231"/>
        <v>CPP_7_3</v>
      </c>
    </row>
    <row r="1819" spans="1:22">
      <c r="A1819" t="str">
        <f t="shared" si="224"/>
        <v>NBE-6502-AL</v>
      </c>
      <c r="B1819" s="403" t="s">
        <v>1386</v>
      </c>
      <c r="C1819" s="403" t="s">
        <v>582</v>
      </c>
      <c r="D1819" s="403" t="s">
        <v>1387</v>
      </c>
      <c r="E1819" s="403" t="s">
        <v>778</v>
      </c>
      <c r="F1819" s="403" t="s">
        <v>1292</v>
      </c>
      <c r="G1819" s="403" t="s">
        <v>1467</v>
      </c>
      <c r="H1819" s="403" t="s">
        <v>1276</v>
      </c>
      <c r="I1819" s="403">
        <v>1</v>
      </c>
      <c r="J1819" s="403" t="s">
        <v>110</v>
      </c>
      <c r="K1819" s="403">
        <v>1080</v>
      </c>
      <c r="L1819" s="403">
        <v>1920</v>
      </c>
      <c r="M1819" s="403" t="s">
        <v>111</v>
      </c>
      <c r="N1819" s="403">
        <v>432</v>
      </c>
      <c r="O1819" s="403">
        <v>768</v>
      </c>
      <c r="P1819" t="str">
        <f t="shared" si="225"/>
        <v>30fps 1080p - SD</v>
      </c>
      <c r="Q1819">
        <f t="shared" si="226"/>
        <v>9</v>
      </c>
      <c r="R1819" t="str">
        <f t="shared" si="227"/>
        <v/>
      </c>
      <c r="S1819" t="str">
        <f t="shared" si="228"/>
        <v/>
      </c>
      <c r="T1819" s="403" t="str">
        <f t="shared" si="229"/>
        <v>NBE-6502-AL</v>
      </c>
      <c r="U1819" s="403">
        <f t="shared" si="230"/>
        <v>1</v>
      </c>
      <c r="V1819" s="403" t="str">
        <f t="shared" si="231"/>
        <v>CPP_7_3</v>
      </c>
    </row>
    <row r="1820" spans="1:22">
      <c r="A1820" t="str">
        <f t="shared" si="224"/>
        <v>NBE-6502-AL</v>
      </c>
      <c r="B1820" s="403" t="s">
        <v>1386</v>
      </c>
      <c r="C1820" s="403" t="s">
        <v>582</v>
      </c>
      <c r="D1820" s="403" t="s">
        <v>1387</v>
      </c>
      <c r="E1820" s="403" t="s">
        <v>778</v>
      </c>
      <c r="F1820" s="403" t="s">
        <v>1292</v>
      </c>
      <c r="G1820" s="403" t="s">
        <v>1467</v>
      </c>
      <c r="H1820" s="403" t="s">
        <v>1276</v>
      </c>
      <c r="I1820" s="403">
        <v>1</v>
      </c>
      <c r="J1820" s="403" t="s">
        <v>110</v>
      </c>
      <c r="K1820" s="403">
        <v>1080</v>
      </c>
      <c r="L1820" s="403">
        <v>1920</v>
      </c>
      <c r="M1820" s="403" t="s">
        <v>110</v>
      </c>
      <c r="N1820" s="403">
        <v>1080</v>
      </c>
      <c r="O1820" s="403">
        <v>1920</v>
      </c>
      <c r="P1820" t="str">
        <f t="shared" si="225"/>
        <v>30fps 1080p - 1080p</v>
      </c>
      <c r="Q1820">
        <f t="shared" si="226"/>
        <v>9</v>
      </c>
      <c r="R1820" t="str">
        <f t="shared" si="227"/>
        <v/>
      </c>
      <c r="S1820" t="str">
        <f t="shared" si="228"/>
        <v/>
      </c>
      <c r="T1820" s="403" t="str">
        <f t="shared" si="229"/>
        <v>NBE-6502-AL</v>
      </c>
      <c r="U1820" s="403">
        <f t="shared" si="230"/>
        <v>1</v>
      </c>
      <c r="V1820" s="403" t="str">
        <f t="shared" si="231"/>
        <v>CPP_7_3</v>
      </c>
    </row>
    <row r="1821" spans="1:22">
      <c r="A1821" t="str">
        <f t="shared" si="224"/>
        <v>NBE-6502-AL</v>
      </c>
      <c r="B1821" s="403" t="s">
        <v>1386</v>
      </c>
      <c r="C1821" s="403" t="s">
        <v>582</v>
      </c>
      <c r="D1821" s="403" t="s">
        <v>1387</v>
      </c>
      <c r="E1821" s="403" t="s">
        <v>778</v>
      </c>
      <c r="F1821" s="403" t="s">
        <v>1292</v>
      </c>
      <c r="G1821" s="403" t="s">
        <v>1467</v>
      </c>
      <c r="H1821" s="403" t="s">
        <v>1276</v>
      </c>
      <c r="I1821" s="403">
        <v>1</v>
      </c>
      <c r="J1821" s="403" t="s">
        <v>110</v>
      </c>
      <c r="K1821" s="403">
        <v>1080</v>
      </c>
      <c r="L1821" s="403">
        <v>1920</v>
      </c>
      <c r="M1821" s="403" t="s">
        <v>109</v>
      </c>
      <c r="N1821" s="403">
        <v>720</v>
      </c>
      <c r="O1821" s="403">
        <v>1280</v>
      </c>
      <c r="P1821" t="str">
        <f t="shared" si="225"/>
        <v>30fps 1080p - 720p</v>
      </c>
      <c r="Q1821">
        <f t="shared" si="226"/>
        <v>9</v>
      </c>
      <c r="R1821" t="str">
        <f t="shared" si="227"/>
        <v/>
      </c>
      <c r="S1821" t="str">
        <f t="shared" si="228"/>
        <v/>
      </c>
      <c r="T1821" s="403" t="str">
        <f t="shared" si="229"/>
        <v>NBE-6502-AL</v>
      </c>
      <c r="U1821" s="403">
        <f t="shared" si="230"/>
        <v>1</v>
      </c>
      <c r="V1821" s="403" t="str">
        <f t="shared" si="231"/>
        <v>CPP_7_3</v>
      </c>
    </row>
    <row r="1822" spans="1:22">
      <c r="A1822" t="str">
        <f t="shared" si="224"/>
        <v>NBE-6502-AL</v>
      </c>
      <c r="B1822" s="403" t="s">
        <v>1386</v>
      </c>
      <c r="C1822" s="403" t="s">
        <v>582</v>
      </c>
      <c r="D1822" s="403" t="s">
        <v>1387</v>
      </c>
      <c r="E1822" s="403" t="s">
        <v>778</v>
      </c>
      <c r="F1822" s="403" t="s">
        <v>1292</v>
      </c>
      <c r="G1822" s="403" t="s">
        <v>1467</v>
      </c>
      <c r="H1822" s="403" t="s">
        <v>1276</v>
      </c>
      <c r="I1822" s="403">
        <v>1</v>
      </c>
      <c r="J1822" s="403" t="s">
        <v>110</v>
      </c>
      <c r="K1822" s="403">
        <v>1080</v>
      </c>
      <c r="L1822" s="403">
        <v>1920</v>
      </c>
      <c r="M1822" s="403" t="s">
        <v>1285</v>
      </c>
      <c r="N1822" s="403">
        <v>1024</v>
      </c>
      <c r="O1822" s="403">
        <v>1280</v>
      </c>
      <c r="P1822" t="str">
        <f t="shared" si="225"/>
        <v>30fps 1080p - 1280x1024 5:4 (cropped)</v>
      </c>
      <c r="Q1822">
        <f t="shared" si="226"/>
        <v>9</v>
      </c>
      <c r="R1822" t="str">
        <f t="shared" si="227"/>
        <v/>
      </c>
      <c r="S1822" t="str">
        <f t="shared" si="228"/>
        <v/>
      </c>
      <c r="T1822" s="403" t="str">
        <f t="shared" si="229"/>
        <v>NBE-6502-AL</v>
      </c>
      <c r="U1822" s="403">
        <f t="shared" si="230"/>
        <v>1</v>
      </c>
      <c r="V1822" s="403" t="str">
        <f t="shared" si="231"/>
        <v>CPP_7_3</v>
      </c>
    </row>
    <row r="1823" spans="1:22">
      <c r="A1823" t="str">
        <f t="shared" si="224"/>
        <v>NBE-6502-AL</v>
      </c>
      <c r="B1823" s="403" t="s">
        <v>1386</v>
      </c>
      <c r="C1823" s="403" t="s">
        <v>582</v>
      </c>
      <c r="D1823" s="403" t="s">
        <v>1387</v>
      </c>
      <c r="E1823" s="403" t="s">
        <v>778</v>
      </c>
      <c r="F1823" s="403" t="s">
        <v>1292</v>
      </c>
      <c r="G1823" s="403" t="s">
        <v>1467</v>
      </c>
      <c r="H1823" s="403" t="s">
        <v>1276</v>
      </c>
      <c r="I1823" s="403">
        <v>1</v>
      </c>
      <c r="J1823" s="403" t="s">
        <v>110</v>
      </c>
      <c r="K1823" s="403">
        <v>1080</v>
      </c>
      <c r="L1823" s="403">
        <v>1920</v>
      </c>
      <c r="M1823" s="403" t="s">
        <v>1279</v>
      </c>
      <c r="N1823" s="403">
        <v>432</v>
      </c>
      <c r="O1823" s="403">
        <v>768</v>
      </c>
      <c r="P1823" t="str">
        <f t="shared" si="225"/>
        <v>30fps 1080p - SD ROI PTZ</v>
      </c>
      <c r="Q1823">
        <f t="shared" si="226"/>
        <v>9</v>
      </c>
      <c r="R1823" t="str">
        <f t="shared" si="227"/>
        <v/>
      </c>
      <c r="S1823" t="str">
        <f t="shared" si="228"/>
        <v/>
      </c>
      <c r="T1823" s="403" t="str">
        <f t="shared" si="229"/>
        <v>NBE-6502-AL</v>
      </c>
      <c r="U1823" s="403">
        <f t="shared" si="230"/>
        <v>1</v>
      </c>
      <c r="V1823" s="403" t="str">
        <f t="shared" si="231"/>
        <v>CPP_7_3</v>
      </c>
    </row>
    <row r="1824" spans="1:22">
      <c r="A1824" t="str">
        <f t="shared" si="224"/>
        <v>NBE-6502-AL</v>
      </c>
      <c r="B1824" s="403" t="s">
        <v>1386</v>
      </c>
      <c r="C1824" s="403" t="s">
        <v>582</v>
      </c>
      <c r="D1824" s="403" t="s">
        <v>1387</v>
      </c>
      <c r="E1824" s="403" t="s">
        <v>778</v>
      </c>
      <c r="F1824" s="403" t="s">
        <v>1292</v>
      </c>
      <c r="G1824" s="403" t="s">
        <v>1467</v>
      </c>
      <c r="H1824" s="403" t="s">
        <v>1276</v>
      </c>
      <c r="I1824" s="403">
        <v>1</v>
      </c>
      <c r="J1824" s="403" t="s">
        <v>110</v>
      </c>
      <c r="K1824" s="403">
        <v>1080</v>
      </c>
      <c r="L1824" s="403">
        <v>1920</v>
      </c>
      <c r="M1824" s="403" t="s">
        <v>1283</v>
      </c>
      <c r="N1824" s="403">
        <v>480</v>
      </c>
      <c r="O1824" s="403">
        <v>720</v>
      </c>
      <c r="P1824" t="str">
        <f t="shared" si="225"/>
        <v>30fps 1080p - SD 4CIF resolution 4:3 format (cropped)</v>
      </c>
      <c r="Q1824">
        <f t="shared" si="226"/>
        <v>9</v>
      </c>
      <c r="R1824" t="str">
        <f t="shared" si="227"/>
        <v/>
      </c>
      <c r="S1824" t="str">
        <f t="shared" si="228"/>
        <v/>
      </c>
      <c r="T1824" s="403" t="str">
        <f t="shared" si="229"/>
        <v>NBE-6502-AL</v>
      </c>
      <c r="U1824" s="403">
        <f t="shared" si="230"/>
        <v>1</v>
      </c>
      <c r="V1824" s="403" t="str">
        <f t="shared" si="231"/>
        <v>CPP_7_3</v>
      </c>
    </row>
    <row r="1825" spans="1:22">
      <c r="A1825" t="str">
        <f t="shared" si="224"/>
        <v>NBE-6502-AL</v>
      </c>
      <c r="B1825" s="403" t="s">
        <v>1386</v>
      </c>
      <c r="C1825" s="403" t="s">
        <v>582</v>
      </c>
      <c r="D1825" s="403" t="s">
        <v>1387</v>
      </c>
      <c r="E1825" s="403" t="s">
        <v>778</v>
      </c>
      <c r="F1825" s="403" t="s">
        <v>1292</v>
      </c>
      <c r="G1825" s="403" t="s">
        <v>1467</v>
      </c>
      <c r="H1825" s="403" t="s">
        <v>1276</v>
      </c>
      <c r="I1825" s="403">
        <v>1</v>
      </c>
      <c r="J1825" s="403" t="s">
        <v>110</v>
      </c>
      <c r="K1825" s="403">
        <v>1080</v>
      </c>
      <c r="L1825" s="403">
        <v>1920</v>
      </c>
      <c r="M1825" s="403" t="s">
        <v>1284</v>
      </c>
      <c r="N1825" s="403">
        <v>480</v>
      </c>
      <c r="O1825" s="403">
        <v>640</v>
      </c>
      <c r="P1825" t="str">
        <f t="shared" si="225"/>
        <v>30fps 1080p - SD VGA (cropped)</v>
      </c>
      <c r="Q1825">
        <f t="shared" si="226"/>
        <v>9</v>
      </c>
      <c r="R1825" t="str">
        <f t="shared" si="227"/>
        <v/>
      </c>
      <c r="S1825" t="str">
        <f t="shared" si="228"/>
        <v/>
      </c>
      <c r="T1825" s="403" t="str">
        <f t="shared" si="229"/>
        <v>NBE-6502-AL</v>
      </c>
      <c r="U1825" s="403">
        <f t="shared" si="230"/>
        <v>1</v>
      </c>
      <c r="V1825" s="403" t="str">
        <f t="shared" si="231"/>
        <v>CPP_7_3</v>
      </c>
    </row>
    <row r="1826" spans="1:22">
      <c r="A1826" t="str">
        <f t="shared" si="224"/>
        <v>NBE-6502-AL</v>
      </c>
      <c r="B1826" s="403" t="s">
        <v>1386</v>
      </c>
      <c r="C1826" s="403" t="s">
        <v>582</v>
      </c>
      <c r="D1826" s="403" t="s">
        <v>1387</v>
      </c>
      <c r="E1826" s="403" t="s">
        <v>778</v>
      </c>
      <c r="F1826" s="403" t="s">
        <v>1292</v>
      </c>
      <c r="G1826" s="403" t="s">
        <v>1467</v>
      </c>
      <c r="H1826" s="403" t="s">
        <v>1276</v>
      </c>
      <c r="I1826" s="403">
        <v>1</v>
      </c>
      <c r="J1826" s="403" t="s">
        <v>109</v>
      </c>
      <c r="K1826" s="403">
        <v>720</v>
      </c>
      <c r="L1826" s="403">
        <v>1280</v>
      </c>
      <c r="M1826" s="403" t="s">
        <v>109</v>
      </c>
      <c r="N1826" s="403">
        <v>720</v>
      </c>
      <c r="O1826" s="403">
        <v>1280</v>
      </c>
      <c r="P1826" t="str">
        <f t="shared" si="225"/>
        <v>30fps 720p - 720p</v>
      </c>
      <c r="Q1826">
        <f t="shared" si="226"/>
        <v>9</v>
      </c>
      <c r="R1826" t="str">
        <f t="shared" si="227"/>
        <v/>
      </c>
      <c r="S1826" t="str">
        <f t="shared" si="228"/>
        <v/>
      </c>
      <c r="T1826" s="403" t="str">
        <f t="shared" si="229"/>
        <v>NBE-6502-AL</v>
      </c>
      <c r="U1826" s="403">
        <f t="shared" si="230"/>
        <v>1</v>
      </c>
      <c r="V1826" s="403" t="str">
        <f t="shared" si="231"/>
        <v>CPP_7_3</v>
      </c>
    </row>
    <row r="1827" spans="1:22">
      <c r="A1827" t="str">
        <f t="shared" si="224"/>
        <v>NBE-6502-AL</v>
      </c>
      <c r="B1827" s="403" t="s">
        <v>1386</v>
      </c>
      <c r="C1827" s="403" t="s">
        <v>582</v>
      </c>
      <c r="D1827" s="403" t="s">
        <v>1387</v>
      </c>
      <c r="E1827" s="403" t="s">
        <v>778</v>
      </c>
      <c r="F1827" s="403" t="s">
        <v>1292</v>
      </c>
      <c r="G1827" s="403" t="s">
        <v>1467</v>
      </c>
      <c r="H1827" s="403" t="s">
        <v>1276</v>
      </c>
      <c r="I1827" s="403">
        <v>1</v>
      </c>
      <c r="J1827" s="403" t="s">
        <v>109</v>
      </c>
      <c r="K1827" s="403">
        <v>720</v>
      </c>
      <c r="L1827" s="403">
        <v>1280</v>
      </c>
      <c r="M1827" s="403" t="s">
        <v>111</v>
      </c>
      <c r="N1827" s="403">
        <v>432</v>
      </c>
      <c r="O1827" s="403">
        <v>768</v>
      </c>
      <c r="P1827" t="str">
        <f t="shared" si="225"/>
        <v>30fps 720p - SD</v>
      </c>
      <c r="Q1827">
        <f t="shared" si="226"/>
        <v>9</v>
      </c>
      <c r="R1827" t="str">
        <f t="shared" si="227"/>
        <v/>
      </c>
      <c r="S1827" t="str">
        <f t="shared" si="228"/>
        <v/>
      </c>
      <c r="T1827" s="403" t="str">
        <f t="shared" si="229"/>
        <v>NBE-6502-AL</v>
      </c>
      <c r="U1827" s="403">
        <f t="shared" si="230"/>
        <v>1</v>
      </c>
      <c r="V1827" s="403" t="str">
        <f t="shared" si="231"/>
        <v>CPP_7_3</v>
      </c>
    </row>
    <row r="1828" spans="1:22">
      <c r="A1828" t="str">
        <f t="shared" si="224"/>
        <v>NBE-6502-AL</v>
      </c>
      <c r="B1828" s="403" t="s">
        <v>1386</v>
      </c>
      <c r="C1828" s="403" t="s">
        <v>582</v>
      </c>
      <c r="D1828" s="403" t="s">
        <v>1387</v>
      </c>
      <c r="E1828" s="403" t="s">
        <v>778</v>
      </c>
      <c r="F1828" s="403" t="s">
        <v>1292</v>
      </c>
      <c r="G1828" s="403" t="s">
        <v>1467</v>
      </c>
      <c r="H1828" s="403" t="s">
        <v>1276</v>
      </c>
      <c r="I1828" s="403">
        <v>1</v>
      </c>
      <c r="J1828" s="403" t="s">
        <v>109</v>
      </c>
      <c r="K1828" s="403">
        <v>720</v>
      </c>
      <c r="L1828" s="403">
        <v>1280</v>
      </c>
      <c r="M1828" s="403" t="s">
        <v>1279</v>
      </c>
      <c r="N1828" s="403">
        <v>432</v>
      </c>
      <c r="O1828" s="403">
        <v>768</v>
      </c>
      <c r="P1828" t="str">
        <f t="shared" si="225"/>
        <v>30fps 720p - SD ROI PTZ</v>
      </c>
      <c r="Q1828">
        <f t="shared" si="226"/>
        <v>9</v>
      </c>
      <c r="R1828" t="str">
        <f t="shared" si="227"/>
        <v/>
      </c>
      <c r="S1828" t="str">
        <f t="shared" si="228"/>
        <v/>
      </c>
      <c r="T1828" s="403" t="str">
        <f t="shared" si="229"/>
        <v>NBE-6502-AL</v>
      </c>
      <c r="U1828" s="403">
        <f t="shared" si="230"/>
        <v>1</v>
      </c>
      <c r="V1828" s="403" t="str">
        <f t="shared" si="231"/>
        <v>CPP_7_3</v>
      </c>
    </row>
    <row r="1829" spans="1:22">
      <c r="A1829" t="str">
        <f t="shared" si="224"/>
        <v>NBE-6502-AL</v>
      </c>
      <c r="B1829" s="403" t="s">
        <v>1386</v>
      </c>
      <c r="C1829" s="403" t="s">
        <v>582</v>
      </c>
      <c r="D1829" s="403" t="s">
        <v>1387</v>
      </c>
      <c r="E1829" s="403" t="s">
        <v>778</v>
      </c>
      <c r="F1829" s="403" t="s">
        <v>1292</v>
      </c>
      <c r="G1829" s="403" t="s">
        <v>1467</v>
      </c>
      <c r="H1829" s="403" t="s">
        <v>1276</v>
      </c>
      <c r="I1829" s="403">
        <v>1</v>
      </c>
      <c r="J1829" s="403" t="s">
        <v>109</v>
      </c>
      <c r="K1829" s="403">
        <v>720</v>
      </c>
      <c r="L1829" s="403">
        <v>1280</v>
      </c>
      <c r="M1829" s="403" t="s">
        <v>1283</v>
      </c>
      <c r="N1829" s="403">
        <v>480</v>
      </c>
      <c r="O1829" s="403">
        <v>720</v>
      </c>
      <c r="P1829" t="str">
        <f t="shared" si="225"/>
        <v>30fps 720p - SD 4CIF resolution 4:3 format (cropped)</v>
      </c>
      <c r="Q1829">
        <f t="shared" si="226"/>
        <v>9</v>
      </c>
      <c r="R1829" t="str">
        <f t="shared" si="227"/>
        <v/>
      </c>
      <c r="S1829" t="str">
        <f t="shared" si="228"/>
        <v/>
      </c>
      <c r="T1829" s="403" t="str">
        <f t="shared" si="229"/>
        <v>NBE-6502-AL</v>
      </c>
      <c r="U1829" s="403">
        <f t="shared" si="230"/>
        <v>1</v>
      </c>
      <c r="V1829" s="403" t="str">
        <f t="shared" si="231"/>
        <v>CPP_7_3</v>
      </c>
    </row>
    <row r="1830" spans="1:22">
      <c r="A1830" t="str">
        <f t="shared" si="224"/>
        <v>NBE-6502-AL</v>
      </c>
      <c r="B1830" s="403" t="s">
        <v>1386</v>
      </c>
      <c r="C1830" s="403" t="s">
        <v>582</v>
      </c>
      <c r="D1830" s="403" t="s">
        <v>1387</v>
      </c>
      <c r="E1830" s="403" t="s">
        <v>778</v>
      </c>
      <c r="F1830" s="403" t="s">
        <v>1292</v>
      </c>
      <c r="G1830" s="403" t="s">
        <v>1467</v>
      </c>
      <c r="H1830" s="403" t="s">
        <v>1276</v>
      </c>
      <c r="I1830" s="403">
        <v>1</v>
      </c>
      <c r="J1830" s="403" t="s">
        <v>109</v>
      </c>
      <c r="K1830" s="403">
        <v>720</v>
      </c>
      <c r="L1830" s="403">
        <v>1280</v>
      </c>
      <c r="M1830" s="403" t="s">
        <v>1284</v>
      </c>
      <c r="N1830" s="403">
        <v>480</v>
      </c>
      <c r="O1830" s="403">
        <v>640</v>
      </c>
      <c r="P1830" t="str">
        <f t="shared" si="225"/>
        <v>30fps 720p - SD VGA (cropped)</v>
      </c>
      <c r="Q1830">
        <f t="shared" si="226"/>
        <v>9</v>
      </c>
      <c r="R1830" t="str">
        <f t="shared" si="227"/>
        <v/>
      </c>
      <c r="S1830" t="str">
        <f t="shared" si="228"/>
        <v/>
      </c>
      <c r="T1830" s="403" t="str">
        <f t="shared" si="229"/>
        <v>NBE-6502-AL</v>
      </c>
      <c r="U1830" s="403">
        <f t="shared" si="230"/>
        <v>1</v>
      </c>
      <c r="V1830" s="403" t="str">
        <f t="shared" si="231"/>
        <v>CPP_7_3</v>
      </c>
    </row>
    <row r="1831" spans="1:22">
      <c r="A1831" t="str">
        <f t="shared" si="224"/>
        <v>NBE-6502-AL</v>
      </c>
      <c r="B1831" s="403" t="s">
        <v>1386</v>
      </c>
      <c r="C1831" s="403" t="s">
        <v>582</v>
      </c>
      <c r="D1831" s="403" t="s">
        <v>1387</v>
      </c>
      <c r="E1831" s="403" t="s">
        <v>778</v>
      </c>
      <c r="F1831" s="403" t="s">
        <v>1292</v>
      </c>
      <c r="G1831" s="403" t="s">
        <v>1467</v>
      </c>
      <c r="H1831" s="403" t="s">
        <v>1281</v>
      </c>
      <c r="I1831" s="403">
        <v>1</v>
      </c>
      <c r="J1831" s="403" t="s">
        <v>110</v>
      </c>
      <c r="K1831" s="403">
        <v>1080</v>
      </c>
      <c r="L1831" s="403">
        <v>1920</v>
      </c>
      <c r="M1831" s="403" t="s">
        <v>111</v>
      </c>
      <c r="N1831" s="403">
        <v>432</v>
      </c>
      <c r="O1831" s="403">
        <v>768</v>
      </c>
      <c r="P1831" t="str">
        <f t="shared" si="225"/>
        <v>30fps 1080p - SD</v>
      </c>
      <c r="Q1831">
        <f t="shared" si="226"/>
        <v>9</v>
      </c>
      <c r="R1831" t="str">
        <f t="shared" si="227"/>
        <v/>
      </c>
      <c r="S1831" t="str">
        <f t="shared" si="228"/>
        <v/>
      </c>
      <c r="T1831" s="403" t="str">
        <f t="shared" si="229"/>
        <v>NBE-6502-AL</v>
      </c>
      <c r="U1831" s="403">
        <f t="shared" si="230"/>
        <v>1</v>
      </c>
      <c r="V1831" s="403" t="str">
        <f t="shared" si="231"/>
        <v>CPP_7_3</v>
      </c>
    </row>
    <row r="1832" spans="1:22">
      <c r="A1832" t="str">
        <f t="shared" si="224"/>
        <v>NBE-6502-AL</v>
      </c>
      <c r="B1832" s="403" t="s">
        <v>1386</v>
      </c>
      <c r="C1832" s="403" t="s">
        <v>582</v>
      </c>
      <c r="D1832" s="403" t="s">
        <v>1387</v>
      </c>
      <c r="E1832" s="403" t="s">
        <v>778</v>
      </c>
      <c r="F1832" s="403" t="s">
        <v>1292</v>
      </c>
      <c r="G1832" s="403" t="s">
        <v>1467</v>
      </c>
      <c r="H1832" s="403" t="s">
        <v>1281</v>
      </c>
      <c r="I1832" s="403">
        <v>1</v>
      </c>
      <c r="J1832" s="403" t="s">
        <v>110</v>
      </c>
      <c r="K1832" s="403">
        <v>1080</v>
      </c>
      <c r="L1832" s="403">
        <v>1920</v>
      </c>
      <c r="M1832" s="403" t="s">
        <v>110</v>
      </c>
      <c r="N1832" s="403">
        <v>1080</v>
      </c>
      <c r="O1832" s="403">
        <v>1920</v>
      </c>
      <c r="P1832" t="str">
        <f t="shared" si="225"/>
        <v>30fps 1080p - 1080p</v>
      </c>
      <c r="Q1832">
        <f t="shared" si="226"/>
        <v>9</v>
      </c>
      <c r="R1832" t="str">
        <f t="shared" si="227"/>
        <v/>
      </c>
      <c r="S1832" t="str">
        <f t="shared" si="228"/>
        <v/>
      </c>
      <c r="T1832" s="403" t="str">
        <f t="shared" si="229"/>
        <v>NBE-6502-AL</v>
      </c>
      <c r="U1832" s="403">
        <f t="shared" si="230"/>
        <v>1</v>
      </c>
      <c r="V1832" s="403" t="str">
        <f t="shared" si="231"/>
        <v>CPP_7_3</v>
      </c>
    </row>
    <row r="1833" spans="1:22">
      <c r="A1833" t="str">
        <f t="shared" si="224"/>
        <v>NBE-6502-AL</v>
      </c>
      <c r="B1833" s="403" t="s">
        <v>1386</v>
      </c>
      <c r="C1833" s="403" t="s">
        <v>582</v>
      </c>
      <c r="D1833" s="403" t="s">
        <v>1387</v>
      </c>
      <c r="E1833" s="403" t="s">
        <v>778</v>
      </c>
      <c r="F1833" s="403" t="s">
        <v>1292</v>
      </c>
      <c r="G1833" s="403" t="s">
        <v>1467</v>
      </c>
      <c r="H1833" s="403" t="s">
        <v>1281</v>
      </c>
      <c r="I1833" s="403">
        <v>1</v>
      </c>
      <c r="J1833" s="403" t="s">
        <v>110</v>
      </c>
      <c r="K1833" s="403">
        <v>1080</v>
      </c>
      <c r="L1833" s="403">
        <v>1920</v>
      </c>
      <c r="M1833" s="403" t="s">
        <v>109</v>
      </c>
      <c r="N1833" s="403">
        <v>720</v>
      </c>
      <c r="O1833" s="403">
        <v>1280</v>
      </c>
      <c r="P1833" t="str">
        <f t="shared" si="225"/>
        <v>30fps 1080p - 720p</v>
      </c>
      <c r="Q1833">
        <f t="shared" si="226"/>
        <v>9</v>
      </c>
      <c r="R1833" t="str">
        <f t="shared" si="227"/>
        <v/>
      </c>
      <c r="S1833" t="str">
        <f t="shared" si="228"/>
        <v/>
      </c>
      <c r="T1833" s="403" t="str">
        <f t="shared" si="229"/>
        <v>NBE-6502-AL</v>
      </c>
      <c r="U1833" s="403">
        <f t="shared" si="230"/>
        <v>1</v>
      </c>
      <c r="V1833" s="403" t="str">
        <f t="shared" si="231"/>
        <v>CPP_7_3</v>
      </c>
    </row>
    <row r="1834" spans="1:22">
      <c r="A1834" t="str">
        <f t="shared" si="224"/>
        <v>NBE-6502-AL</v>
      </c>
      <c r="B1834" s="403" t="s">
        <v>1386</v>
      </c>
      <c r="C1834" s="403" t="s">
        <v>582</v>
      </c>
      <c r="D1834" s="403" t="s">
        <v>1387</v>
      </c>
      <c r="E1834" s="403" t="s">
        <v>778</v>
      </c>
      <c r="F1834" s="403" t="s">
        <v>1292</v>
      </c>
      <c r="G1834" s="403" t="s">
        <v>1467</v>
      </c>
      <c r="H1834" s="403" t="s">
        <v>1281</v>
      </c>
      <c r="I1834" s="403">
        <v>1</v>
      </c>
      <c r="J1834" s="403" t="s">
        <v>110</v>
      </c>
      <c r="K1834" s="403">
        <v>1080</v>
      </c>
      <c r="L1834" s="403">
        <v>1920</v>
      </c>
      <c r="M1834" s="403" t="s">
        <v>1285</v>
      </c>
      <c r="N1834" s="403">
        <v>1024</v>
      </c>
      <c r="O1834" s="403">
        <v>1280</v>
      </c>
      <c r="P1834" t="str">
        <f t="shared" si="225"/>
        <v>30fps 1080p - 1280x1024 5:4 (cropped)</v>
      </c>
      <c r="Q1834">
        <f t="shared" si="226"/>
        <v>9</v>
      </c>
      <c r="R1834" t="str">
        <f t="shared" si="227"/>
        <v/>
      </c>
      <c r="S1834" t="str">
        <f t="shared" si="228"/>
        <v/>
      </c>
      <c r="T1834" s="403" t="str">
        <f t="shared" si="229"/>
        <v>NBE-6502-AL</v>
      </c>
      <c r="U1834" s="403">
        <f t="shared" si="230"/>
        <v>1</v>
      </c>
      <c r="V1834" s="403" t="str">
        <f t="shared" si="231"/>
        <v>CPP_7_3</v>
      </c>
    </row>
    <row r="1835" spans="1:22">
      <c r="A1835" t="str">
        <f t="shared" si="224"/>
        <v>NBE-6502-AL</v>
      </c>
      <c r="B1835" s="403" t="s">
        <v>1386</v>
      </c>
      <c r="C1835" s="403" t="s">
        <v>582</v>
      </c>
      <c r="D1835" s="403" t="s">
        <v>1387</v>
      </c>
      <c r="E1835" s="403" t="s">
        <v>778</v>
      </c>
      <c r="F1835" s="403" t="s">
        <v>1292</v>
      </c>
      <c r="G1835" s="403" t="s">
        <v>1467</v>
      </c>
      <c r="H1835" s="403" t="s">
        <v>1281</v>
      </c>
      <c r="I1835" s="403">
        <v>1</v>
      </c>
      <c r="J1835" s="403" t="s">
        <v>110</v>
      </c>
      <c r="K1835" s="403">
        <v>1080</v>
      </c>
      <c r="L1835" s="403">
        <v>1920</v>
      </c>
      <c r="M1835" s="403" t="s">
        <v>1279</v>
      </c>
      <c r="N1835" s="403">
        <v>432</v>
      </c>
      <c r="O1835" s="403">
        <v>768</v>
      </c>
      <c r="P1835" t="str">
        <f t="shared" si="225"/>
        <v>30fps 1080p - SD ROI PTZ</v>
      </c>
      <c r="Q1835">
        <f t="shared" si="226"/>
        <v>9</v>
      </c>
      <c r="R1835" t="str">
        <f t="shared" si="227"/>
        <v/>
      </c>
      <c r="S1835" t="str">
        <f t="shared" si="228"/>
        <v/>
      </c>
      <c r="T1835" s="403" t="str">
        <f t="shared" si="229"/>
        <v>NBE-6502-AL</v>
      </c>
      <c r="U1835" s="403">
        <f t="shared" si="230"/>
        <v>1</v>
      </c>
      <c r="V1835" s="403" t="str">
        <f t="shared" si="231"/>
        <v>CPP_7_3</v>
      </c>
    </row>
    <row r="1836" spans="1:22">
      <c r="A1836" t="str">
        <f t="shared" si="224"/>
        <v>NBE-6502-AL</v>
      </c>
      <c r="B1836" s="403" t="s">
        <v>1386</v>
      </c>
      <c r="C1836" s="403" t="s">
        <v>582</v>
      </c>
      <c r="D1836" s="403" t="s">
        <v>1387</v>
      </c>
      <c r="E1836" s="403" t="s">
        <v>778</v>
      </c>
      <c r="F1836" s="403" t="s">
        <v>1292</v>
      </c>
      <c r="G1836" s="403" t="s">
        <v>1467</v>
      </c>
      <c r="H1836" s="403" t="s">
        <v>1281</v>
      </c>
      <c r="I1836" s="403">
        <v>1</v>
      </c>
      <c r="J1836" s="403" t="s">
        <v>110</v>
      </c>
      <c r="K1836" s="403">
        <v>1080</v>
      </c>
      <c r="L1836" s="403">
        <v>1920</v>
      </c>
      <c r="M1836" s="403" t="s">
        <v>1283</v>
      </c>
      <c r="N1836" s="403">
        <v>480</v>
      </c>
      <c r="O1836" s="403">
        <v>720</v>
      </c>
      <c r="P1836" t="str">
        <f t="shared" si="225"/>
        <v>30fps 1080p - SD 4CIF resolution 4:3 format (cropped)</v>
      </c>
      <c r="Q1836">
        <f t="shared" si="226"/>
        <v>9</v>
      </c>
      <c r="R1836" t="str">
        <f t="shared" si="227"/>
        <v/>
      </c>
      <c r="S1836" t="str">
        <f t="shared" si="228"/>
        <v/>
      </c>
      <c r="T1836" s="403" t="str">
        <f t="shared" si="229"/>
        <v>NBE-6502-AL</v>
      </c>
      <c r="U1836" s="403">
        <f t="shared" si="230"/>
        <v>1</v>
      </c>
      <c r="V1836" s="403" t="str">
        <f t="shared" si="231"/>
        <v>CPP_7_3</v>
      </c>
    </row>
    <row r="1837" spans="1:22">
      <c r="A1837" t="str">
        <f t="shared" si="224"/>
        <v>NBE-6502-AL</v>
      </c>
      <c r="B1837" s="403" t="s">
        <v>1386</v>
      </c>
      <c r="C1837" s="403" t="s">
        <v>582</v>
      </c>
      <c r="D1837" s="403" t="s">
        <v>1387</v>
      </c>
      <c r="E1837" s="403" t="s">
        <v>778</v>
      </c>
      <c r="F1837" s="403" t="s">
        <v>1292</v>
      </c>
      <c r="G1837" s="403" t="s">
        <v>1467</v>
      </c>
      <c r="H1837" s="403" t="s">
        <v>1281</v>
      </c>
      <c r="I1837" s="403">
        <v>1</v>
      </c>
      <c r="J1837" s="403" t="s">
        <v>110</v>
      </c>
      <c r="K1837" s="403">
        <v>1080</v>
      </c>
      <c r="L1837" s="403">
        <v>1920</v>
      </c>
      <c r="M1837" s="403" t="s">
        <v>1284</v>
      </c>
      <c r="N1837" s="403">
        <v>480</v>
      </c>
      <c r="O1837" s="403">
        <v>640</v>
      </c>
      <c r="P1837" t="str">
        <f t="shared" si="225"/>
        <v>30fps 1080p - SD VGA (cropped)</v>
      </c>
      <c r="Q1837">
        <f t="shared" si="226"/>
        <v>9</v>
      </c>
      <c r="R1837" t="str">
        <f t="shared" si="227"/>
        <v/>
      </c>
      <c r="S1837" t="str">
        <f t="shared" si="228"/>
        <v/>
      </c>
      <c r="T1837" s="403" t="str">
        <f t="shared" si="229"/>
        <v>NBE-6502-AL</v>
      </c>
      <c r="U1837" s="403">
        <f t="shared" si="230"/>
        <v>1</v>
      </c>
      <c r="V1837" s="403" t="str">
        <f t="shared" si="231"/>
        <v>CPP_7_3</v>
      </c>
    </row>
    <row r="1838" spans="1:22">
      <c r="A1838" t="str">
        <f t="shared" si="224"/>
        <v>NBE-6502-AL</v>
      </c>
      <c r="B1838" s="403" t="s">
        <v>1386</v>
      </c>
      <c r="C1838" s="403" t="s">
        <v>582</v>
      </c>
      <c r="D1838" s="403" t="s">
        <v>1387</v>
      </c>
      <c r="E1838" s="403" t="s">
        <v>778</v>
      </c>
      <c r="F1838" s="403" t="s">
        <v>1292</v>
      </c>
      <c r="G1838" s="403" t="s">
        <v>1467</v>
      </c>
      <c r="H1838" s="403" t="s">
        <v>1281</v>
      </c>
      <c r="I1838" s="403">
        <v>1</v>
      </c>
      <c r="J1838" s="403" t="s">
        <v>109</v>
      </c>
      <c r="K1838" s="403">
        <v>720</v>
      </c>
      <c r="L1838" s="403">
        <v>1280</v>
      </c>
      <c r="M1838" s="403" t="s">
        <v>109</v>
      </c>
      <c r="N1838" s="403">
        <v>720</v>
      </c>
      <c r="O1838" s="403">
        <v>1280</v>
      </c>
      <c r="P1838" t="str">
        <f t="shared" si="225"/>
        <v>30fps 720p - 720p</v>
      </c>
      <c r="Q1838">
        <f t="shared" si="226"/>
        <v>9</v>
      </c>
      <c r="R1838" t="str">
        <f t="shared" si="227"/>
        <v/>
      </c>
      <c r="S1838" t="str">
        <f t="shared" si="228"/>
        <v/>
      </c>
      <c r="T1838" s="403" t="str">
        <f t="shared" si="229"/>
        <v>NBE-6502-AL</v>
      </c>
      <c r="U1838" s="403">
        <f t="shared" si="230"/>
        <v>1</v>
      </c>
      <c r="V1838" s="403" t="str">
        <f t="shared" si="231"/>
        <v>CPP_7_3</v>
      </c>
    </row>
    <row r="1839" spans="1:22">
      <c r="A1839" t="str">
        <f t="shared" si="224"/>
        <v>NBE-6502-AL</v>
      </c>
      <c r="B1839" s="403" t="s">
        <v>1386</v>
      </c>
      <c r="C1839" s="403" t="s">
        <v>582</v>
      </c>
      <c r="D1839" s="403" t="s">
        <v>1387</v>
      </c>
      <c r="E1839" s="403" t="s">
        <v>778</v>
      </c>
      <c r="F1839" s="403" t="s">
        <v>1292</v>
      </c>
      <c r="G1839" s="403" t="s">
        <v>1467</v>
      </c>
      <c r="H1839" s="403" t="s">
        <v>1281</v>
      </c>
      <c r="I1839" s="403">
        <v>1</v>
      </c>
      <c r="J1839" s="403" t="s">
        <v>109</v>
      </c>
      <c r="K1839" s="403">
        <v>720</v>
      </c>
      <c r="L1839" s="403">
        <v>1280</v>
      </c>
      <c r="M1839" s="403" t="s">
        <v>111</v>
      </c>
      <c r="N1839" s="403">
        <v>432</v>
      </c>
      <c r="O1839" s="403">
        <v>768</v>
      </c>
      <c r="P1839" t="str">
        <f t="shared" si="225"/>
        <v>30fps 720p - SD</v>
      </c>
      <c r="Q1839">
        <f t="shared" si="226"/>
        <v>9</v>
      </c>
      <c r="R1839" t="str">
        <f t="shared" si="227"/>
        <v/>
      </c>
      <c r="S1839" t="str">
        <f t="shared" si="228"/>
        <v/>
      </c>
      <c r="T1839" s="403" t="str">
        <f t="shared" si="229"/>
        <v>NBE-6502-AL</v>
      </c>
      <c r="U1839" s="403">
        <f t="shared" si="230"/>
        <v>1</v>
      </c>
      <c r="V1839" s="403" t="str">
        <f t="shared" si="231"/>
        <v>CPP_7_3</v>
      </c>
    </row>
    <row r="1840" spans="1:22">
      <c r="A1840" t="str">
        <f t="shared" si="224"/>
        <v>NBE-6502-AL</v>
      </c>
      <c r="B1840" s="403" t="s">
        <v>1386</v>
      </c>
      <c r="C1840" s="403" t="s">
        <v>582</v>
      </c>
      <c r="D1840" s="403" t="s">
        <v>1387</v>
      </c>
      <c r="E1840" s="403" t="s">
        <v>778</v>
      </c>
      <c r="F1840" s="403" t="s">
        <v>1292</v>
      </c>
      <c r="G1840" s="403" t="s">
        <v>1467</v>
      </c>
      <c r="H1840" s="403" t="s">
        <v>1281</v>
      </c>
      <c r="I1840" s="403">
        <v>1</v>
      </c>
      <c r="J1840" s="403" t="s">
        <v>109</v>
      </c>
      <c r="K1840" s="403">
        <v>720</v>
      </c>
      <c r="L1840" s="403">
        <v>1280</v>
      </c>
      <c r="M1840" s="403" t="s">
        <v>1279</v>
      </c>
      <c r="N1840" s="403">
        <v>432</v>
      </c>
      <c r="O1840" s="403">
        <v>768</v>
      </c>
      <c r="P1840" t="str">
        <f t="shared" si="225"/>
        <v>30fps 720p - SD ROI PTZ</v>
      </c>
      <c r="Q1840">
        <f t="shared" si="226"/>
        <v>9</v>
      </c>
      <c r="R1840" t="str">
        <f t="shared" si="227"/>
        <v/>
      </c>
      <c r="S1840" t="str">
        <f t="shared" si="228"/>
        <v/>
      </c>
      <c r="T1840" s="403" t="str">
        <f t="shared" si="229"/>
        <v>NBE-6502-AL</v>
      </c>
      <c r="U1840" s="403">
        <f t="shared" si="230"/>
        <v>1</v>
      </c>
      <c r="V1840" s="403" t="str">
        <f t="shared" si="231"/>
        <v>CPP_7_3</v>
      </c>
    </row>
    <row r="1841" spans="1:22">
      <c r="A1841" t="str">
        <f t="shared" si="224"/>
        <v>NBE-6502-AL</v>
      </c>
      <c r="B1841" s="403" t="s">
        <v>1386</v>
      </c>
      <c r="C1841" s="403" t="s">
        <v>582</v>
      </c>
      <c r="D1841" s="403" t="s">
        <v>1387</v>
      </c>
      <c r="E1841" s="403" t="s">
        <v>778</v>
      </c>
      <c r="F1841" s="403" t="s">
        <v>1292</v>
      </c>
      <c r="G1841" s="403" t="s">
        <v>1467</v>
      </c>
      <c r="H1841" s="403" t="s">
        <v>1281</v>
      </c>
      <c r="I1841" s="403">
        <v>1</v>
      </c>
      <c r="J1841" s="403" t="s">
        <v>109</v>
      </c>
      <c r="K1841" s="403">
        <v>720</v>
      </c>
      <c r="L1841" s="403">
        <v>1280</v>
      </c>
      <c r="M1841" s="403" t="s">
        <v>1283</v>
      </c>
      <c r="N1841" s="403">
        <v>480</v>
      </c>
      <c r="O1841" s="403">
        <v>720</v>
      </c>
      <c r="P1841" t="str">
        <f t="shared" si="225"/>
        <v>30fps 720p - SD 4CIF resolution 4:3 format (cropped)</v>
      </c>
      <c r="Q1841">
        <f t="shared" si="226"/>
        <v>9</v>
      </c>
      <c r="R1841" t="str">
        <f t="shared" si="227"/>
        <v/>
      </c>
      <c r="S1841" t="str">
        <f t="shared" si="228"/>
        <v/>
      </c>
      <c r="T1841" s="403" t="str">
        <f t="shared" si="229"/>
        <v>NBE-6502-AL</v>
      </c>
      <c r="U1841" s="403">
        <f t="shared" si="230"/>
        <v>1</v>
      </c>
      <c r="V1841" s="403" t="str">
        <f t="shared" si="231"/>
        <v>CPP_7_3</v>
      </c>
    </row>
    <row r="1842" spans="1:22">
      <c r="A1842" t="str">
        <f t="shared" si="224"/>
        <v>NBE-6502-AL</v>
      </c>
      <c r="B1842" s="403" t="s">
        <v>1386</v>
      </c>
      <c r="C1842" s="403" t="s">
        <v>582</v>
      </c>
      <c r="D1842" s="403" t="s">
        <v>1387</v>
      </c>
      <c r="E1842" s="403" t="s">
        <v>778</v>
      </c>
      <c r="F1842" s="403" t="s">
        <v>1292</v>
      </c>
      <c r="G1842" s="403" t="s">
        <v>1467</v>
      </c>
      <c r="H1842" s="403" t="s">
        <v>1281</v>
      </c>
      <c r="I1842" s="403">
        <v>1</v>
      </c>
      <c r="J1842" s="403" t="s">
        <v>109</v>
      </c>
      <c r="K1842" s="403">
        <v>720</v>
      </c>
      <c r="L1842" s="403">
        <v>1280</v>
      </c>
      <c r="M1842" s="403" t="s">
        <v>1284</v>
      </c>
      <c r="N1842" s="403">
        <v>480</v>
      </c>
      <c r="O1842" s="403">
        <v>640</v>
      </c>
      <c r="P1842" t="str">
        <f t="shared" si="225"/>
        <v>30fps 720p - SD VGA (cropped)</v>
      </c>
      <c r="Q1842">
        <f t="shared" si="226"/>
        <v>9</v>
      </c>
      <c r="R1842" t="str">
        <f t="shared" si="227"/>
        <v/>
      </c>
      <c r="S1842" t="str">
        <f t="shared" si="228"/>
        <v/>
      </c>
      <c r="T1842" s="403" t="str">
        <f t="shared" si="229"/>
        <v>NBE-6502-AL</v>
      </c>
      <c r="U1842" s="403">
        <f t="shared" si="230"/>
        <v>1</v>
      </c>
      <c r="V1842" s="403" t="str">
        <f t="shared" si="231"/>
        <v>CPP_7_3</v>
      </c>
    </row>
    <row r="1843" spans="1:22">
      <c r="A1843" t="str">
        <f t="shared" si="224"/>
        <v>NBE-6502-AL</v>
      </c>
      <c r="B1843" s="403" t="s">
        <v>1386</v>
      </c>
      <c r="C1843" s="403" t="s">
        <v>582</v>
      </c>
      <c r="D1843" s="403" t="s">
        <v>1387</v>
      </c>
      <c r="E1843" s="403" t="s">
        <v>778</v>
      </c>
      <c r="F1843" s="403" t="s">
        <v>1292</v>
      </c>
      <c r="G1843" s="403" t="s">
        <v>1467</v>
      </c>
      <c r="H1843" s="403" t="s">
        <v>1282</v>
      </c>
      <c r="I1843" s="403">
        <v>1</v>
      </c>
      <c r="J1843" s="403" t="s">
        <v>110</v>
      </c>
      <c r="K1843" s="403">
        <v>1080</v>
      </c>
      <c r="L1843" s="403">
        <v>1920</v>
      </c>
      <c r="M1843" s="403" t="s">
        <v>111</v>
      </c>
      <c r="N1843" s="403">
        <v>432</v>
      </c>
      <c r="O1843" s="403">
        <v>768</v>
      </c>
      <c r="P1843" t="str">
        <f t="shared" si="225"/>
        <v>30fps 1080p - SD</v>
      </c>
      <c r="Q1843">
        <f t="shared" si="226"/>
        <v>9</v>
      </c>
      <c r="R1843" t="str">
        <f t="shared" si="227"/>
        <v/>
      </c>
      <c r="S1843" t="str">
        <f t="shared" si="228"/>
        <v/>
      </c>
      <c r="T1843" s="403" t="str">
        <f t="shared" si="229"/>
        <v>NBE-6502-AL</v>
      </c>
      <c r="U1843" s="403">
        <f t="shared" si="230"/>
        <v>1</v>
      </c>
      <c r="V1843" s="403" t="str">
        <f t="shared" si="231"/>
        <v>CPP_7_3</v>
      </c>
    </row>
    <row r="1844" spans="1:22">
      <c r="A1844" t="str">
        <f t="shared" si="224"/>
        <v>NBE-6502-AL</v>
      </c>
      <c r="B1844" s="403" t="s">
        <v>1386</v>
      </c>
      <c r="C1844" s="403" t="s">
        <v>582</v>
      </c>
      <c r="D1844" s="403" t="s">
        <v>1387</v>
      </c>
      <c r="E1844" s="403" t="s">
        <v>778</v>
      </c>
      <c r="F1844" s="403" t="s">
        <v>1292</v>
      </c>
      <c r="G1844" s="403" t="s">
        <v>1467</v>
      </c>
      <c r="H1844" s="403" t="s">
        <v>1282</v>
      </c>
      <c r="I1844" s="403">
        <v>1</v>
      </c>
      <c r="J1844" s="403" t="s">
        <v>110</v>
      </c>
      <c r="K1844" s="403">
        <v>1080</v>
      </c>
      <c r="L1844" s="403">
        <v>1920</v>
      </c>
      <c r="M1844" s="403" t="s">
        <v>110</v>
      </c>
      <c r="N1844" s="403">
        <v>1080</v>
      </c>
      <c r="O1844" s="403">
        <v>1920</v>
      </c>
      <c r="P1844" t="str">
        <f t="shared" si="225"/>
        <v>30fps 1080p - 1080p</v>
      </c>
      <c r="Q1844">
        <f t="shared" si="226"/>
        <v>9</v>
      </c>
      <c r="R1844" t="str">
        <f t="shared" si="227"/>
        <v/>
      </c>
      <c r="S1844" t="str">
        <f t="shared" si="228"/>
        <v/>
      </c>
      <c r="T1844" s="403" t="str">
        <f t="shared" si="229"/>
        <v>NBE-6502-AL</v>
      </c>
      <c r="U1844" s="403">
        <f t="shared" si="230"/>
        <v>1</v>
      </c>
      <c r="V1844" s="403" t="str">
        <f t="shared" si="231"/>
        <v>CPP_7_3</v>
      </c>
    </row>
    <row r="1845" spans="1:22">
      <c r="A1845" t="str">
        <f t="shared" si="224"/>
        <v>NBE-6502-AL</v>
      </c>
      <c r="B1845" s="403" t="s">
        <v>1386</v>
      </c>
      <c r="C1845" s="403" t="s">
        <v>582</v>
      </c>
      <c r="D1845" s="403" t="s">
        <v>1387</v>
      </c>
      <c r="E1845" s="403" t="s">
        <v>778</v>
      </c>
      <c r="F1845" s="403" t="s">
        <v>1292</v>
      </c>
      <c r="G1845" s="403" t="s">
        <v>1467</v>
      </c>
      <c r="H1845" s="403" t="s">
        <v>1282</v>
      </c>
      <c r="I1845" s="403">
        <v>1</v>
      </c>
      <c r="J1845" s="403" t="s">
        <v>110</v>
      </c>
      <c r="K1845" s="403">
        <v>1080</v>
      </c>
      <c r="L1845" s="403">
        <v>1920</v>
      </c>
      <c r="M1845" s="403" t="s">
        <v>109</v>
      </c>
      <c r="N1845" s="403">
        <v>720</v>
      </c>
      <c r="O1845" s="403">
        <v>1280</v>
      </c>
      <c r="P1845" t="str">
        <f t="shared" si="225"/>
        <v>30fps 1080p - 720p</v>
      </c>
      <c r="Q1845">
        <f t="shared" si="226"/>
        <v>9</v>
      </c>
      <c r="R1845" t="str">
        <f t="shared" si="227"/>
        <v/>
      </c>
      <c r="S1845" t="str">
        <f t="shared" si="228"/>
        <v/>
      </c>
      <c r="T1845" s="403" t="str">
        <f t="shared" si="229"/>
        <v>NBE-6502-AL</v>
      </c>
      <c r="U1845" s="403">
        <f t="shared" si="230"/>
        <v>1</v>
      </c>
      <c r="V1845" s="403" t="str">
        <f t="shared" si="231"/>
        <v>CPP_7_3</v>
      </c>
    </row>
    <row r="1846" spans="1:22">
      <c r="A1846" t="str">
        <f t="shared" si="224"/>
        <v>NBE-6502-AL</v>
      </c>
      <c r="B1846" s="403" t="s">
        <v>1386</v>
      </c>
      <c r="C1846" s="403" t="s">
        <v>582</v>
      </c>
      <c r="D1846" s="403" t="s">
        <v>1387</v>
      </c>
      <c r="E1846" s="403" t="s">
        <v>778</v>
      </c>
      <c r="F1846" s="403" t="s">
        <v>1292</v>
      </c>
      <c r="G1846" s="403" t="s">
        <v>1467</v>
      </c>
      <c r="H1846" s="403" t="s">
        <v>1282</v>
      </c>
      <c r="I1846" s="403">
        <v>1</v>
      </c>
      <c r="J1846" s="403" t="s">
        <v>110</v>
      </c>
      <c r="K1846" s="403">
        <v>1080</v>
      </c>
      <c r="L1846" s="403">
        <v>1920</v>
      </c>
      <c r="M1846" s="403" t="s">
        <v>1285</v>
      </c>
      <c r="N1846" s="403">
        <v>1024</v>
      </c>
      <c r="O1846" s="403">
        <v>1280</v>
      </c>
      <c r="P1846" t="str">
        <f t="shared" si="225"/>
        <v>30fps 1080p - 1280x1024 5:4 (cropped)</v>
      </c>
      <c r="Q1846">
        <f t="shared" si="226"/>
        <v>9</v>
      </c>
      <c r="R1846" t="str">
        <f t="shared" si="227"/>
        <v/>
      </c>
      <c r="S1846" t="str">
        <f t="shared" si="228"/>
        <v/>
      </c>
      <c r="T1846" s="403" t="str">
        <f t="shared" si="229"/>
        <v>NBE-6502-AL</v>
      </c>
      <c r="U1846" s="403">
        <f t="shared" si="230"/>
        <v>1</v>
      </c>
      <c r="V1846" s="403" t="str">
        <f t="shared" si="231"/>
        <v>CPP_7_3</v>
      </c>
    </row>
    <row r="1847" spans="1:22">
      <c r="A1847" t="str">
        <f t="shared" si="224"/>
        <v>NBE-6502-AL</v>
      </c>
      <c r="B1847" s="403" t="s">
        <v>1386</v>
      </c>
      <c r="C1847" s="403" t="s">
        <v>582</v>
      </c>
      <c r="D1847" s="403" t="s">
        <v>1387</v>
      </c>
      <c r="E1847" s="403" t="s">
        <v>778</v>
      </c>
      <c r="F1847" s="403" t="s">
        <v>1292</v>
      </c>
      <c r="G1847" s="403" t="s">
        <v>1467</v>
      </c>
      <c r="H1847" s="403" t="s">
        <v>1282</v>
      </c>
      <c r="I1847" s="403">
        <v>1</v>
      </c>
      <c r="J1847" s="403" t="s">
        <v>110</v>
      </c>
      <c r="K1847" s="403">
        <v>1080</v>
      </c>
      <c r="L1847" s="403">
        <v>1920</v>
      </c>
      <c r="M1847" s="403" t="s">
        <v>1279</v>
      </c>
      <c r="N1847" s="403">
        <v>432</v>
      </c>
      <c r="O1847" s="403">
        <v>768</v>
      </c>
      <c r="P1847" t="str">
        <f t="shared" si="225"/>
        <v>30fps 1080p - SD ROI PTZ</v>
      </c>
      <c r="Q1847">
        <f t="shared" si="226"/>
        <v>9</v>
      </c>
      <c r="R1847" t="str">
        <f t="shared" si="227"/>
        <v/>
      </c>
      <c r="S1847" t="str">
        <f t="shared" si="228"/>
        <v/>
      </c>
      <c r="T1847" s="403" t="str">
        <f t="shared" si="229"/>
        <v>NBE-6502-AL</v>
      </c>
      <c r="U1847" s="403">
        <f t="shared" si="230"/>
        <v>1</v>
      </c>
      <c r="V1847" s="403" t="str">
        <f t="shared" si="231"/>
        <v>CPP_7_3</v>
      </c>
    </row>
    <row r="1848" spans="1:22">
      <c r="A1848" t="str">
        <f t="shared" si="224"/>
        <v>NBE-6502-AL</v>
      </c>
      <c r="B1848" s="403" t="s">
        <v>1386</v>
      </c>
      <c r="C1848" s="403" t="s">
        <v>582</v>
      </c>
      <c r="D1848" s="403" t="s">
        <v>1387</v>
      </c>
      <c r="E1848" s="403" t="s">
        <v>778</v>
      </c>
      <c r="F1848" s="403" t="s">
        <v>1292</v>
      </c>
      <c r="G1848" s="403" t="s">
        <v>1467</v>
      </c>
      <c r="H1848" s="403" t="s">
        <v>1282</v>
      </c>
      <c r="I1848" s="403">
        <v>1</v>
      </c>
      <c r="J1848" s="403" t="s">
        <v>110</v>
      </c>
      <c r="K1848" s="403">
        <v>1080</v>
      </c>
      <c r="L1848" s="403">
        <v>1920</v>
      </c>
      <c r="M1848" s="403" t="s">
        <v>1283</v>
      </c>
      <c r="N1848" s="403">
        <v>480</v>
      </c>
      <c r="O1848" s="403">
        <v>720</v>
      </c>
      <c r="P1848" t="str">
        <f t="shared" si="225"/>
        <v>30fps 1080p - SD 4CIF resolution 4:3 format (cropped)</v>
      </c>
      <c r="Q1848">
        <f t="shared" si="226"/>
        <v>9</v>
      </c>
      <c r="R1848" t="str">
        <f t="shared" si="227"/>
        <v/>
      </c>
      <c r="S1848" t="str">
        <f t="shared" si="228"/>
        <v/>
      </c>
      <c r="T1848" s="403" t="str">
        <f t="shared" si="229"/>
        <v>NBE-6502-AL</v>
      </c>
      <c r="U1848" s="403">
        <f t="shared" si="230"/>
        <v>1</v>
      </c>
      <c r="V1848" s="403" t="str">
        <f t="shared" si="231"/>
        <v>CPP_7_3</v>
      </c>
    </row>
    <row r="1849" spans="1:22">
      <c r="A1849" t="str">
        <f t="shared" si="224"/>
        <v>NBE-6502-AL</v>
      </c>
      <c r="B1849" s="403" t="s">
        <v>1386</v>
      </c>
      <c r="C1849" s="403" t="s">
        <v>582</v>
      </c>
      <c r="D1849" s="403" t="s">
        <v>1387</v>
      </c>
      <c r="E1849" s="403" t="s">
        <v>778</v>
      </c>
      <c r="F1849" s="403" t="s">
        <v>1292</v>
      </c>
      <c r="G1849" s="403" t="s">
        <v>1467</v>
      </c>
      <c r="H1849" s="403" t="s">
        <v>1282</v>
      </c>
      <c r="I1849" s="403">
        <v>1</v>
      </c>
      <c r="J1849" s="403" t="s">
        <v>110</v>
      </c>
      <c r="K1849" s="403">
        <v>1080</v>
      </c>
      <c r="L1849" s="403">
        <v>1920</v>
      </c>
      <c r="M1849" s="403" t="s">
        <v>1284</v>
      </c>
      <c r="N1849" s="403">
        <v>480</v>
      </c>
      <c r="O1849" s="403">
        <v>640</v>
      </c>
      <c r="P1849" t="str">
        <f t="shared" si="225"/>
        <v>30fps 1080p - SD VGA (cropped)</v>
      </c>
      <c r="Q1849">
        <f t="shared" si="226"/>
        <v>9</v>
      </c>
      <c r="R1849" t="str">
        <f t="shared" si="227"/>
        <v/>
      </c>
      <c r="S1849" t="str">
        <f t="shared" si="228"/>
        <v/>
      </c>
      <c r="T1849" s="403" t="str">
        <f t="shared" si="229"/>
        <v>NBE-6502-AL</v>
      </c>
      <c r="U1849" s="403">
        <f t="shared" si="230"/>
        <v>1</v>
      </c>
      <c r="V1849" s="403" t="str">
        <f t="shared" si="231"/>
        <v>CPP_7_3</v>
      </c>
    </row>
    <row r="1850" spans="1:22">
      <c r="A1850" t="str">
        <f t="shared" si="224"/>
        <v>NBE-6502-AL</v>
      </c>
      <c r="B1850" s="403" t="s">
        <v>1386</v>
      </c>
      <c r="C1850" s="403" t="s">
        <v>582</v>
      </c>
      <c r="D1850" s="403" t="s">
        <v>1387</v>
      </c>
      <c r="E1850" s="403" t="s">
        <v>778</v>
      </c>
      <c r="F1850" s="403" t="s">
        <v>1292</v>
      </c>
      <c r="G1850" s="403" t="s">
        <v>1467</v>
      </c>
      <c r="H1850" s="403" t="s">
        <v>1282</v>
      </c>
      <c r="I1850" s="403">
        <v>1</v>
      </c>
      <c r="J1850" s="403" t="s">
        <v>109</v>
      </c>
      <c r="K1850" s="403">
        <v>720</v>
      </c>
      <c r="L1850" s="403">
        <v>1280</v>
      </c>
      <c r="M1850" s="403" t="s">
        <v>109</v>
      </c>
      <c r="N1850" s="403">
        <v>720</v>
      </c>
      <c r="O1850" s="403">
        <v>1280</v>
      </c>
      <c r="P1850" t="str">
        <f t="shared" si="225"/>
        <v>30fps 720p - 720p</v>
      </c>
      <c r="Q1850">
        <f t="shared" si="226"/>
        <v>9</v>
      </c>
      <c r="R1850" t="str">
        <f t="shared" si="227"/>
        <v/>
      </c>
      <c r="S1850" t="str">
        <f t="shared" si="228"/>
        <v/>
      </c>
      <c r="T1850" s="403" t="str">
        <f t="shared" si="229"/>
        <v>NBE-6502-AL</v>
      </c>
      <c r="U1850" s="403">
        <f t="shared" si="230"/>
        <v>1</v>
      </c>
      <c r="V1850" s="403" t="str">
        <f t="shared" si="231"/>
        <v>CPP_7_3</v>
      </c>
    </row>
    <row r="1851" spans="1:22">
      <c r="A1851" t="str">
        <f t="shared" si="224"/>
        <v>NBE-6502-AL</v>
      </c>
      <c r="B1851" s="403" t="s">
        <v>1386</v>
      </c>
      <c r="C1851" s="403" t="s">
        <v>582</v>
      </c>
      <c r="D1851" s="403" t="s">
        <v>1387</v>
      </c>
      <c r="E1851" s="403" t="s">
        <v>778</v>
      </c>
      <c r="F1851" s="403" t="s">
        <v>1292</v>
      </c>
      <c r="G1851" s="403" t="s">
        <v>1467</v>
      </c>
      <c r="H1851" s="403" t="s">
        <v>1282</v>
      </c>
      <c r="I1851" s="403">
        <v>1</v>
      </c>
      <c r="J1851" s="403" t="s">
        <v>109</v>
      </c>
      <c r="K1851" s="403">
        <v>720</v>
      </c>
      <c r="L1851" s="403">
        <v>1280</v>
      </c>
      <c r="M1851" s="403" t="s">
        <v>111</v>
      </c>
      <c r="N1851" s="403">
        <v>432</v>
      </c>
      <c r="O1851" s="403">
        <v>768</v>
      </c>
      <c r="P1851" t="str">
        <f t="shared" si="225"/>
        <v>30fps 720p - SD</v>
      </c>
      <c r="Q1851">
        <f t="shared" si="226"/>
        <v>9</v>
      </c>
      <c r="R1851" t="str">
        <f t="shared" si="227"/>
        <v/>
      </c>
      <c r="S1851" t="str">
        <f t="shared" si="228"/>
        <v/>
      </c>
      <c r="T1851" s="403" t="str">
        <f t="shared" si="229"/>
        <v>NBE-6502-AL</v>
      </c>
      <c r="U1851" s="403">
        <f t="shared" si="230"/>
        <v>1</v>
      </c>
      <c r="V1851" s="403" t="str">
        <f t="shared" si="231"/>
        <v>CPP_7_3</v>
      </c>
    </row>
    <row r="1852" spans="1:22">
      <c r="A1852" t="str">
        <f t="shared" si="224"/>
        <v>NBE-6502-AL</v>
      </c>
      <c r="B1852" s="403" t="s">
        <v>1386</v>
      </c>
      <c r="C1852" s="403" t="s">
        <v>582</v>
      </c>
      <c r="D1852" s="403" t="s">
        <v>1387</v>
      </c>
      <c r="E1852" s="403" t="s">
        <v>778</v>
      </c>
      <c r="F1852" s="403" t="s">
        <v>1292</v>
      </c>
      <c r="G1852" s="403" t="s">
        <v>1467</v>
      </c>
      <c r="H1852" s="403" t="s">
        <v>1282</v>
      </c>
      <c r="I1852" s="403">
        <v>1</v>
      </c>
      <c r="J1852" s="403" t="s">
        <v>109</v>
      </c>
      <c r="K1852" s="403">
        <v>720</v>
      </c>
      <c r="L1852" s="403">
        <v>1280</v>
      </c>
      <c r="M1852" s="403" t="s">
        <v>1279</v>
      </c>
      <c r="N1852" s="403">
        <v>432</v>
      </c>
      <c r="O1852" s="403">
        <v>768</v>
      </c>
      <c r="P1852" t="str">
        <f t="shared" si="225"/>
        <v>30fps 720p - SD ROI PTZ</v>
      </c>
      <c r="Q1852">
        <f t="shared" si="226"/>
        <v>9</v>
      </c>
      <c r="R1852" t="str">
        <f t="shared" si="227"/>
        <v/>
      </c>
      <c r="S1852" t="str">
        <f t="shared" si="228"/>
        <v/>
      </c>
      <c r="T1852" s="403" t="str">
        <f t="shared" si="229"/>
        <v>NBE-6502-AL</v>
      </c>
      <c r="U1852" s="403">
        <f t="shared" si="230"/>
        <v>1</v>
      </c>
      <c r="V1852" s="403" t="str">
        <f t="shared" si="231"/>
        <v>CPP_7_3</v>
      </c>
    </row>
    <row r="1853" spans="1:22">
      <c r="A1853" t="str">
        <f t="shared" si="224"/>
        <v>NBE-6502-AL</v>
      </c>
      <c r="B1853" s="403" t="s">
        <v>1386</v>
      </c>
      <c r="C1853" s="403" t="s">
        <v>582</v>
      </c>
      <c r="D1853" s="403" t="s">
        <v>1387</v>
      </c>
      <c r="E1853" s="403" t="s">
        <v>778</v>
      </c>
      <c r="F1853" s="403" t="s">
        <v>1292</v>
      </c>
      <c r="G1853" s="403" t="s">
        <v>1467</v>
      </c>
      <c r="H1853" s="403" t="s">
        <v>1282</v>
      </c>
      <c r="I1853" s="403">
        <v>1</v>
      </c>
      <c r="J1853" s="403" t="s">
        <v>109</v>
      </c>
      <c r="K1853" s="403">
        <v>720</v>
      </c>
      <c r="L1853" s="403">
        <v>1280</v>
      </c>
      <c r="M1853" s="403" t="s">
        <v>1283</v>
      </c>
      <c r="N1853" s="403">
        <v>480</v>
      </c>
      <c r="O1853" s="403">
        <v>720</v>
      </c>
      <c r="P1853" t="str">
        <f t="shared" si="225"/>
        <v>30fps 720p - SD 4CIF resolution 4:3 format (cropped)</v>
      </c>
      <c r="Q1853">
        <f t="shared" si="226"/>
        <v>9</v>
      </c>
      <c r="R1853" t="str">
        <f t="shared" si="227"/>
        <v/>
      </c>
      <c r="S1853" t="str">
        <f t="shared" si="228"/>
        <v/>
      </c>
      <c r="T1853" s="403" t="str">
        <f t="shared" si="229"/>
        <v>NBE-6502-AL</v>
      </c>
      <c r="U1853" s="403">
        <f t="shared" si="230"/>
        <v>1</v>
      </c>
      <c r="V1853" s="403" t="str">
        <f t="shared" si="231"/>
        <v>CPP_7_3</v>
      </c>
    </row>
    <row r="1854" spans="1:22">
      <c r="A1854" t="str">
        <f t="shared" si="224"/>
        <v>NBE-6502-AL</v>
      </c>
      <c r="B1854" s="403" t="s">
        <v>1386</v>
      </c>
      <c r="C1854" s="403" t="s">
        <v>582</v>
      </c>
      <c r="D1854" s="403" t="s">
        <v>1387</v>
      </c>
      <c r="E1854" s="403" t="s">
        <v>778</v>
      </c>
      <c r="F1854" s="403" t="s">
        <v>1292</v>
      </c>
      <c r="G1854" s="403" t="s">
        <v>1467</v>
      </c>
      <c r="H1854" s="403" t="s">
        <v>1282</v>
      </c>
      <c r="I1854" s="403">
        <v>1</v>
      </c>
      <c r="J1854" s="403" t="s">
        <v>109</v>
      </c>
      <c r="K1854" s="403">
        <v>720</v>
      </c>
      <c r="L1854" s="403">
        <v>1280</v>
      </c>
      <c r="M1854" s="403" t="s">
        <v>1284</v>
      </c>
      <c r="N1854" s="403">
        <v>480</v>
      </c>
      <c r="O1854" s="403">
        <v>640</v>
      </c>
      <c r="P1854" t="str">
        <f t="shared" si="225"/>
        <v>30fps 720p - SD VGA (cropped)</v>
      </c>
      <c r="Q1854">
        <f t="shared" si="226"/>
        <v>9</v>
      </c>
      <c r="R1854" t="str">
        <f t="shared" si="227"/>
        <v/>
      </c>
      <c r="S1854" t="str">
        <f t="shared" si="228"/>
        <v/>
      </c>
      <c r="T1854" s="403" t="str">
        <f t="shared" si="229"/>
        <v>NBE-6502-AL</v>
      </c>
      <c r="U1854" s="403">
        <f t="shared" si="230"/>
        <v>1</v>
      </c>
      <c r="V1854" s="403" t="str">
        <f t="shared" si="231"/>
        <v>CPP_7_3</v>
      </c>
    </row>
    <row r="1855" spans="1:22">
      <c r="A1855" t="str">
        <f t="shared" si="224"/>
        <v>NBE-6502-AL</v>
      </c>
      <c r="B1855" s="403" t="s">
        <v>1386</v>
      </c>
      <c r="C1855" s="403" t="s">
        <v>582</v>
      </c>
      <c r="D1855" s="403" t="s">
        <v>1387</v>
      </c>
      <c r="E1855" s="403" t="s">
        <v>778</v>
      </c>
      <c r="F1855" s="403" t="s">
        <v>1293</v>
      </c>
      <c r="G1855" s="403" t="s">
        <v>1466</v>
      </c>
      <c r="H1855" s="403" t="s">
        <v>1276</v>
      </c>
      <c r="I1855" s="403">
        <v>1</v>
      </c>
      <c r="J1855" s="403" t="s">
        <v>110</v>
      </c>
      <c r="K1855" s="403">
        <v>1920</v>
      </c>
      <c r="L1855" s="403">
        <v>1080</v>
      </c>
      <c r="M1855" s="403" t="s">
        <v>111</v>
      </c>
      <c r="N1855" s="403">
        <v>768</v>
      </c>
      <c r="O1855" s="403">
        <v>432</v>
      </c>
      <c r="P1855" t="str">
        <f t="shared" si="225"/>
        <v>25fps 1080p - SD</v>
      </c>
      <c r="Q1855">
        <f t="shared" si="226"/>
        <v>9</v>
      </c>
      <c r="R1855" t="str">
        <f t="shared" si="227"/>
        <v/>
      </c>
      <c r="S1855" t="str">
        <f t="shared" si="228"/>
        <v/>
      </c>
      <c r="T1855" s="403" t="str">
        <f t="shared" si="229"/>
        <v>NBE-6502-AL</v>
      </c>
      <c r="U1855" s="403">
        <f t="shared" si="230"/>
        <v>1</v>
      </c>
      <c r="V1855" s="403" t="str">
        <f t="shared" si="231"/>
        <v>CPP_7_3</v>
      </c>
    </row>
    <row r="1856" spans="1:22">
      <c r="A1856" t="str">
        <f t="shared" si="224"/>
        <v>NBE-6502-AL</v>
      </c>
      <c r="B1856" s="403" t="s">
        <v>1386</v>
      </c>
      <c r="C1856" s="403" t="s">
        <v>582</v>
      </c>
      <c r="D1856" s="403" t="s">
        <v>1387</v>
      </c>
      <c r="E1856" s="403" t="s">
        <v>778</v>
      </c>
      <c r="F1856" s="403" t="s">
        <v>1293</v>
      </c>
      <c r="G1856" s="403" t="s">
        <v>1466</v>
      </c>
      <c r="H1856" s="403" t="s">
        <v>1276</v>
      </c>
      <c r="I1856" s="403">
        <v>1</v>
      </c>
      <c r="J1856" s="403" t="s">
        <v>110</v>
      </c>
      <c r="K1856" s="403">
        <v>1920</v>
      </c>
      <c r="L1856" s="403">
        <v>1080</v>
      </c>
      <c r="M1856" s="403" t="s">
        <v>110</v>
      </c>
      <c r="N1856" s="403">
        <v>1920</v>
      </c>
      <c r="O1856" s="403">
        <v>1080</v>
      </c>
      <c r="P1856" t="str">
        <f t="shared" si="225"/>
        <v>25fps 1080p - 1080p</v>
      </c>
      <c r="Q1856">
        <f t="shared" si="226"/>
        <v>9</v>
      </c>
      <c r="R1856" t="str">
        <f t="shared" si="227"/>
        <v/>
      </c>
      <c r="S1856" t="str">
        <f t="shared" si="228"/>
        <v/>
      </c>
      <c r="T1856" s="403" t="str">
        <f t="shared" si="229"/>
        <v>NBE-6502-AL</v>
      </c>
      <c r="U1856" s="403">
        <f t="shared" si="230"/>
        <v>1</v>
      </c>
      <c r="V1856" s="403" t="str">
        <f t="shared" si="231"/>
        <v>CPP_7_3</v>
      </c>
    </row>
    <row r="1857" spans="1:22">
      <c r="A1857" t="str">
        <f t="shared" si="224"/>
        <v>NBE-6502-AL</v>
      </c>
      <c r="B1857" s="403" t="s">
        <v>1386</v>
      </c>
      <c r="C1857" s="403" t="s">
        <v>582</v>
      </c>
      <c r="D1857" s="403" t="s">
        <v>1387</v>
      </c>
      <c r="E1857" s="403" t="s">
        <v>778</v>
      </c>
      <c r="F1857" s="403" t="s">
        <v>1293</v>
      </c>
      <c r="G1857" s="403" t="s">
        <v>1466</v>
      </c>
      <c r="H1857" s="403" t="s">
        <v>1276</v>
      </c>
      <c r="I1857" s="403">
        <v>1</v>
      </c>
      <c r="J1857" s="403" t="s">
        <v>110</v>
      </c>
      <c r="K1857" s="403">
        <v>1920</v>
      </c>
      <c r="L1857" s="403">
        <v>1080</v>
      </c>
      <c r="M1857" s="403" t="s">
        <v>109</v>
      </c>
      <c r="N1857" s="403">
        <v>1280</v>
      </c>
      <c r="O1857" s="403">
        <v>720</v>
      </c>
      <c r="P1857" t="str">
        <f t="shared" si="225"/>
        <v>25fps 1080p - 720p</v>
      </c>
      <c r="Q1857">
        <f t="shared" si="226"/>
        <v>9</v>
      </c>
      <c r="R1857" t="str">
        <f t="shared" si="227"/>
        <v/>
      </c>
      <c r="S1857" t="str">
        <f t="shared" si="228"/>
        <v/>
      </c>
      <c r="T1857" s="403" t="str">
        <f t="shared" si="229"/>
        <v>NBE-6502-AL</v>
      </c>
      <c r="U1857" s="403">
        <f t="shared" si="230"/>
        <v>1</v>
      </c>
      <c r="V1857" s="403" t="str">
        <f t="shared" si="231"/>
        <v>CPP_7_3</v>
      </c>
    </row>
    <row r="1858" spans="1:22">
      <c r="A1858" t="str">
        <f t="shared" ref="A1858:A1921" si="232">IF(AND(G1858&lt;&gt;"rotate 90°"),D1858,"")</f>
        <v>NBE-6502-AL</v>
      </c>
      <c r="B1858" s="403" t="s">
        <v>1386</v>
      </c>
      <c r="C1858" s="403" t="s">
        <v>582</v>
      </c>
      <c r="D1858" s="403" t="s">
        <v>1387</v>
      </c>
      <c r="E1858" s="403" t="s">
        <v>778</v>
      </c>
      <c r="F1858" s="403" t="s">
        <v>1293</v>
      </c>
      <c r="G1858" s="403" t="s">
        <v>1466</v>
      </c>
      <c r="H1858" s="403" t="s">
        <v>1276</v>
      </c>
      <c r="I1858" s="403">
        <v>1</v>
      </c>
      <c r="J1858" s="403" t="s">
        <v>110</v>
      </c>
      <c r="K1858" s="403">
        <v>1920</v>
      </c>
      <c r="L1858" s="403">
        <v>1080</v>
      </c>
      <c r="M1858" s="403" t="s">
        <v>1285</v>
      </c>
      <c r="N1858" s="403">
        <v>1280</v>
      </c>
      <c r="O1858" s="403">
        <v>1024</v>
      </c>
      <c r="P1858" t="str">
        <f t="shared" ref="P1858:P1921" si="233">LEFT(F1858,5)&amp;" "&amp;J1858&amp;" - "&amp;M1858</f>
        <v>25fps 1080p - 1280x1024 5:4 (cropped)</v>
      </c>
      <c r="Q1858">
        <f t="shared" ref="Q1858:Q1921" si="234">IF(A1857=A1858,Q1857,Q1857+1)</f>
        <v>9</v>
      </c>
      <c r="R1858" t="str">
        <f t="shared" ref="R1858:R1921" si="235">IF(Q1857&lt;&gt;Q1858,Q1858,"")</f>
        <v/>
      </c>
      <c r="S1858" t="str">
        <f t="shared" ref="S1858:S1921" si="236">IF(R1858&lt;&gt;"",B1858&amp;" ("&amp;D1858&amp;")","")</f>
        <v/>
      </c>
      <c r="T1858" s="403" t="str">
        <f t="shared" ref="T1858:T1921" si="237">D1858</f>
        <v>NBE-6502-AL</v>
      </c>
      <c r="U1858" s="403">
        <f t="shared" ref="U1858:U1921" si="238">I1858</f>
        <v>1</v>
      </c>
      <c r="V1858" s="403" t="str">
        <f t="shared" ref="V1858:V1921" si="239">C1858</f>
        <v>CPP_7_3</v>
      </c>
    </row>
    <row r="1859" spans="1:22">
      <c r="A1859" t="str">
        <f t="shared" si="232"/>
        <v>NBE-6502-AL</v>
      </c>
      <c r="B1859" s="403" t="s">
        <v>1386</v>
      </c>
      <c r="C1859" s="403" t="s">
        <v>582</v>
      </c>
      <c r="D1859" s="403" t="s">
        <v>1387</v>
      </c>
      <c r="E1859" s="403" t="s">
        <v>778</v>
      </c>
      <c r="F1859" s="403" t="s">
        <v>1293</v>
      </c>
      <c r="G1859" s="403" t="s">
        <v>1466</v>
      </c>
      <c r="H1859" s="403" t="s">
        <v>1276</v>
      </c>
      <c r="I1859" s="403">
        <v>1</v>
      </c>
      <c r="J1859" s="403" t="s">
        <v>110</v>
      </c>
      <c r="K1859" s="403">
        <v>1920</v>
      </c>
      <c r="L1859" s="403">
        <v>1080</v>
      </c>
      <c r="M1859" s="403" t="s">
        <v>1279</v>
      </c>
      <c r="N1859" s="403">
        <v>768</v>
      </c>
      <c r="O1859" s="403">
        <v>432</v>
      </c>
      <c r="P1859" t="str">
        <f t="shared" si="233"/>
        <v>25fps 1080p - SD ROI PTZ</v>
      </c>
      <c r="Q1859">
        <f t="shared" si="234"/>
        <v>9</v>
      </c>
      <c r="R1859" t="str">
        <f t="shared" si="235"/>
        <v/>
      </c>
      <c r="S1859" t="str">
        <f t="shared" si="236"/>
        <v/>
      </c>
      <c r="T1859" s="403" t="str">
        <f t="shared" si="237"/>
        <v>NBE-6502-AL</v>
      </c>
      <c r="U1859" s="403">
        <f t="shared" si="238"/>
        <v>1</v>
      </c>
      <c r="V1859" s="403" t="str">
        <f t="shared" si="239"/>
        <v>CPP_7_3</v>
      </c>
    </row>
    <row r="1860" spans="1:22">
      <c r="A1860" t="str">
        <f t="shared" si="232"/>
        <v>NBE-6502-AL</v>
      </c>
      <c r="B1860" s="403" t="s">
        <v>1386</v>
      </c>
      <c r="C1860" s="403" t="s">
        <v>582</v>
      </c>
      <c r="D1860" s="403" t="s">
        <v>1387</v>
      </c>
      <c r="E1860" s="403" t="s">
        <v>778</v>
      </c>
      <c r="F1860" s="403" t="s">
        <v>1293</v>
      </c>
      <c r="G1860" s="403" t="s">
        <v>1466</v>
      </c>
      <c r="H1860" s="403" t="s">
        <v>1276</v>
      </c>
      <c r="I1860" s="403">
        <v>1</v>
      </c>
      <c r="J1860" s="403" t="s">
        <v>110</v>
      </c>
      <c r="K1860" s="403">
        <v>1920</v>
      </c>
      <c r="L1860" s="403">
        <v>1080</v>
      </c>
      <c r="M1860" s="403" t="s">
        <v>1283</v>
      </c>
      <c r="N1860" s="403">
        <v>720</v>
      </c>
      <c r="O1860" s="403">
        <v>576</v>
      </c>
      <c r="P1860" t="str">
        <f t="shared" si="233"/>
        <v>25fps 1080p - SD 4CIF resolution 4:3 format (cropped)</v>
      </c>
      <c r="Q1860">
        <f t="shared" si="234"/>
        <v>9</v>
      </c>
      <c r="R1860" t="str">
        <f t="shared" si="235"/>
        <v/>
      </c>
      <c r="S1860" t="str">
        <f t="shared" si="236"/>
        <v/>
      </c>
      <c r="T1860" s="403" t="str">
        <f t="shared" si="237"/>
        <v>NBE-6502-AL</v>
      </c>
      <c r="U1860" s="403">
        <f t="shared" si="238"/>
        <v>1</v>
      </c>
      <c r="V1860" s="403" t="str">
        <f t="shared" si="239"/>
        <v>CPP_7_3</v>
      </c>
    </row>
    <row r="1861" spans="1:22">
      <c r="A1861" t="str">
        <f t="shared" si="232"/>
        <v>NBE-6502-AL</v>
      </c>
      <c r="B1861" s="403" t="s">
        <v>1386</v>
      </c>
      <c r="C1861" s="403" t="s">
        <v>582</v>
      </c>
      <c r="D1861" s="403" t="s">
        <v>1387</v>
      </c>
      <c r="E1861" s="403" t="s">
        <v>778</v>
      </c>
      <c r="F1861" s="403" t="s">
        <v>1293</v>
      </c>
      <c r="G1861" s="403" t="s">
        <v>1466</v>
      </c>
      <c r="H1861" s="403" t="s">
        <v>1276</v>
      </c>
      <c r="I1861" s="403">
        <v>1</v>
      </c>
      <c r="J1861" s="403" t="s">
        <v>110</v>
      </c>
      <c r="K1861" s="403">
        <v>1920</v>
      </c>
      <c r="L1861" s="403">
        <v>1080</v>
      </c>
      <c r="M1861" s="403" t="s">
        <v>1284</v>
      </c>
      <c r="N1861" s="403">
        <v>640</v>
      </c>
      <c r="O1861" s="403">
        <v>480</v>
      </c>
      <c r="P1861" t="str">
        <f t="shared" si="233"/>
        <v>25fps 1080p - SD VGA (cropped)</v>
      </c>
      <c r="Q1861">
        <f t="shared" si="234"/>
        <v>9</v>
      </c>
      <c r="R1861" t="str">
        <f t="shared" si="235"/>
        <v/>
      </c>
      <c r="S1861" t="str">
        <f t="shared" si="236"/>
        <v/>
      </c>
      <c r="T1861" s="403" t="str">
        <f t="shared" si="237"/>
        <v>NBE-6502-AL</v>
      </c>
      <c r="U1861" s="403">
        <f t="shared" si="238"/>
        <v>1</v>
      </c>
      <c r="V1861" s="403" t="str">
        <f t="shared" si="239"/>
        <v>CPP_7_3</v>
      </c>
    </row>
    <row r="1862" spans="1:22">
      <c r="A1862" t="str">
        <f t="shared" si="232"/>
        <v>NBE-6502-AL</v>
      </c>
      <c r="B1862" s="403" t="s">
        <v>1386</v>
      </c>
      <c r="C1862" s="403" t="s">
        <v>582</v>
      </c>
      <c r="D1862" s="403" t="s">
        <v>1387</v>
      </c>
      <c r="E1862" s="403" t="s">
        <v>778</v>
      </c>
      <c r="F1862" s="403" t="s">
        <v>1293</v>
      </c>
      <c r="G1862" s="403" t="s">
        <v>1466</v>
      </c>
      <c r="H1862" s="403" t="s">
        <v>1276</v>
      </c>
      <c r="I1862" s="403">
        <v>1</v>
      </c>
      <c r="J1862" s="403" t="s">
        <v>109</v>
      </c>
      <c r="K1862" s="403">
        <v>1280</v>
      </c>
      <c r="L1862" s="403">
        <v>720</v>
      </c>
      <c r="M1862" s="403" t="s">
        <v>109</v>
      </c>
      <c r="N1862" s="403">
        <v>1280</v>
      </c>
      <c r="O1862" s="403">
        <v>720</v>
      </c>
      <c r="P1862" t="str">
        <f t="shared" si="233"/>
        <v>25fps 720p - 720p</v>
      </c>
      <c r="Q1862">
        <f t="shared" si="234"/>
        <v>9</v>
      </c>
      <c r="R1862" t="str">
        <f t="shared" si="235"/>
        <v/>
      </c>
      <c r="S1862" t="str">
        <f t="shared" si="236"/>
        <v/>
      </c>
      <c r="T1862" s="403" t="str">
        <f t="shared" si="237"/>
        <v>NBE-6502-AL</v>
      </c>
      <c r="U1862" s="403">
        <f t="shared" si="238"/>
        <v>1</v>
      </c>
      <c r="V1862" s="403" t="str">
        <f t="shared" si="239"/>
        <v>CPP_7_3</v>
      </c>
    </row>
    <row r="1863" spans="1:22">
      <c r="A1863" t="str">
        <f t="shared" si="232"/>
        <v>NBE-6502-AL</v>
      </c>
      <c r="B1863" s="403" t="s">
        <v>1386</v>
      </c>
      <c r="C1863" s="403" t="s">
        <v>582</v>
      </c>
      <c r="D1863" s="403" t="s">
        <v>1387</v>
      </c>
      <c r="E1863" s="403" t="s">
        <v>778</v>
      </c>
      <c r="F1863" s="403" t="s">
        <v>1293</v>
      </c>
      <c r="G1863" s="403" t="s">
        <v>1466</v>
      </c>
      <c r="H1863" s="403" t="s">
        <v>1276</v>
      </c>
      <c r="I1863" s="403">
        <v>1</v>
      </c>
      <c r="J1863" s="403" t="s">
        <v>109</v>
      </c>
      <c r="K1863" s="403">
        <v>1280</v>
      </c>
      <c r="L1863" s="403">
        <v>720</v>
      </c>
      <c r="M1863" s="403" t="s">
        <v>111</v>
      </c>
      <c r="N1863" s="403">
        <v>768</v>
      </c>
      <c r="O1863" s="403">
        <v>432</v>
      </c>
      <c r="P1863" t="str">
        <f t="shared" si="233"/>
        <v>25fps 720p - SD</v>
      </c>
      <c r="Q1863">
        <f t="shared" si="234"/>
        <v>9</v>
      </c>
      <c r="R1863" t="str">
        <f t="shared" si="235"/>
        <v/>
      </c>
      <c r="S1863" t="str">
        <f t="shared" si="236"/>
        <v/>
      </c>
      <c r="T1863" s="403" t="str">
        <f t="shared" si="237"/>
        <v>NBE-6502-AL</v>
      </c>
      <c r="U1863" s="403">
        <f t="shared" si="238"/>
        <v>1</v>
      </c>
      <c r="V1863" s="403" t="str">
        <f t="shared" si="239"/>
        <v>CPP_7_3</v>
      </c>
    </row>
    <row r="1864" spans="1:22">
      <c r="A1864" t="str">
        <f t="shared" si="232"/>
        <v>NBE-6502-AL</v>
      </c>
      <c r="B1864" s="403" t="s">
        <v>1386</v>
      </c>
      <c r="C1864" s="403" t="s">
        <v>582</v>
      </c>
      <c r="D1864" s="403" t="s">
        <v>1387</v>
      </c>
      <c r="E1864" s="403" t="s">
        <v>778</v>
      </c>
      <c r="F1864" s="403" t="s">
        <v>1293</v>
      </c>
      <c r="G1864" s="403" t="s">
        <v>1466</v>
      </c>
      <c r="H1864" s="403" t="s">
        <v>1276</v>
      </c>
      <c r="I1864" s="403">
        <v>1</v>
      </c>
      <c r="J1864" s="403" t="s">
        <v>109</v>
      </c>
      <c r="K1864" s="403">
        <v>1280</v>
      </c>
      <c r="L1864" s="403">
        <v>720</v>
      </c>
      <c r="M1864" s="403" t="s">
        <v>1279</v>
      </c>
      <c r="N1864" s="403">
        <v>768</v>
      </c>
      <c r="O1864" s="403">
        <v>432</v>
      </c>
      <c r="P1864" t="str">
        <f t="shared" si="233"/>
        <v>25fps 720p - SD ROI PTZ</v>
      </c>
      <c r="Q1864">
        <f t="shared" si="234"/>
        <v>9</v>
      </c>
      <c r="R1864" t="str">
        <f t="shared" si="235"/>
        <v/>
      </c>
      <c r="S1864" t="str">
        <f t="shared" si="236"/>
        <v/>
      </c>
      <c r="T1864" s="403" t="str">
        <f t="shared" si="237"/>
        <v>NBE-6502-AL</v>
      </c>
      <c r="U1864" s="403">
        <f t="shared" si="238"/>
        <v>1</v>
      </c>
      <c r="V1864" s="403" t="str">
        <f t="shared" si="239"/>
        <v>CPP_7_3</v>
      </c>
    </row>
    <row r="1865" spans="1:22">
      <c r="A1865" t="str">
        <f t="shared" si="232"/>
        <v>NBE-6502-AL</v>
      </c>
      <c r="B1865" s="403" t="s">
        <v>1386</v>
      </c>
      <c r="C1865" s="403" t="s">
        <v>582</v>
      </c>
      <c r="D1865" s="403" t="s">
        <v>1387</v>
      </c>
      <c r="E1865" s="403" t="s">
        <v>778</v>
      </c>
      <c r="F1865" s="403" t="s">
        <v>1293</v>
      </c>
      <c r="G1865" s="403" t="s">
        <v>1466</v>
      </c>
      <c r="H1865" s="403" t="s">
        <v>1276</v>
      </c>
      <c r="I1865" s="403">
        <v>1</v>
      </c>
      <c r="J1865" s="403" t="s">
        <v>109</v>
      </c>
      <c r="K1865" s="403">
        <v>1280</v>
      </c>
      <c r="L1865" s="403">
        <v>720</v>
      </c>
      <c r="M1865" s="403" t="s">
        <v>1283</v>
      </c>
      <c r="N1865" s="403">
        <v>720</v>
      </c>
      <c r="O1865" s="403">
        <v>576</v>
      </c>
      <c r="P1865" t="str">
        <f t="shared" si="233"/>
        <v>25fps 720p - SD 4CIF resolution 4:3 format (cropped)</v>
      </c>
      <c r="Q1865">
        <f t="shared" si="234"/>
        <v>9</v>
      </c>
      <c r="R1865" t="str">
        <f t="shared" si="235"/>
        <v/>
      </c>
      <c r="S1865" t="str">
        <f t="shared" si="236"/>
        <v/>
      </c>
      <c r="T1865" s="403" t="str">
        <f t="shared" si="237"/>
        <v>NBE-6502-AL</v>
      </c>
      <c r="U1865" s="403">
        <f t="shared" si="238"/>
        <v>1</v>
      </c>
      <c r="V1865" s="403" t="str">
        <f t="shared" si="239"/>
        <v>CPP_7_3</v>
      </c>
    </row>
    <row r="1866" spans="1:22">
      <c r="A1866" t="str">
        <f t="shared" si="232"/>
        <v>NBE-6502-AL</v>
      </c>
      <c r="B1866" s="403" t="s">
        <v>1386</v>
      </c>
      <c r="C1866" s="403" t="s">
        <v>582</v>
      </c>
      <c r="D1866" s="403" t="s">
        <v>1387</v>
      </c>
      <c r="E1866" s="403" t="s">
        <v>778</v>
      </c>
      <c r="F1866" s="403" t="s">
        <v>1293</v>
      </c>
      <c r="G1866" s="403" t="s">
        <v>1466</v>
      </c>
      <c r="H1866" s="403" t="s">
        <v>1276</v>
      </c>
      <c r="I1866" s="403">
        <v>1</v>
      </c>
      <c r="J1866" s="403" t="s">
        <v>109</v>
      </c>
      <c r="K1866" s="403">
        <v>1280</v>
      </c>
      <c r="L1866" s="403">
        <v>720</v>
      </c>
      <c r="M1866" s="403" t="s">
        <v>1284</v>
      </c>
      <c r="N1866" s="403">
        <v>640</v>
      </c>
      <c r="O1866" s="403">
        <v>480</v>
      </c>
      <c r="P1866" t="str">
        <f t="shared" si="233"/>
        <v>25fps 720p - SD VGA (cropped)</v>
      </c>
      <c r="Q1866">
        <f t="shared" si="234"/>
        <v>9</v>
      </c>
      <c r="R1866" t="str">
        <f t="shared" si="235"/>
        <v/>
      </c>
      <c r="S1866" t="str">
        <f t="shared" si="236"/>
        <v/>
      </c>
      <c r="T1866" s="403" t="str">
        <f t="shared" si="237"/>
        <v>NBE-6502-AL</v>
      </c>
      <c r="U1866" s="403">
        <f t="shared" si="238"/>
        <v>1</v>
      </c>
      <c r="V1866" s="403" t="str">
        <f t="shared" si="239"/>
        <v>CPP_7_3</v>
      </c>
    </row>
    <row r="1867" spans="1:22">
      <c r="A1867" t="str">
        <f t="shared" si="232"/>
        <v>NBE-6502-AL</v>
      </c>
      <c r="B1867" s="403" t="s">
        <v>1386</v>
      </c>
      <c r="C1867" s="403" t="s">
        <v>582</v>
      </c>
      <c r="D1867" s="403" t="s">
        <v>1387</v>
      </c>
      <c r="E1867" s="403" t="s">
        <v>778</v>
      </c>
      <c r="F1867" s="403" t="s">
        <v>1293</v>
      </c>
      <c r="G1867" s="403" t="s">
        <v>1466</v>
      </c>
      <c r="H1867" s="403" t="s">
        <v>1281</v>
      </c>
      <c r="I1867" s="403">
        <v>1</v>
      </c>
      <c r="J1867" s="403" t="s">
        <v>110</v>
      </c>
      <c r="K1867" s="403">
        <v>1920</v>
      </c>
      <c r="L1867" s="403">
        <v>1080</v>
      </c>
      <c r="M1867" s="403" t="s">
        <v>111</v>
      </c>
      <c r="N1867" s="403">
        <v>768</v>
      </c>
      <c r="O1867" s="403">
        <v>432</v>
      </c>
      <c r="P1867" t="str">
        <f t="shared" si="233"/>
        <v>25fps 1080p - SD</v>
      </c>
      <c r="Q1867">
        <f t="shared" si="234"/>
        <v>9</v>
      </c>
      <c r="R1867" t="str">
        <f t="shared" si="235"/>
        <v/>
      </c>
      <c r="S1867" t="str">
        <f t="shared" si="236"/>
        <v/>
      </c>
      <c r="T1867" s="403" t="str">
        <f t="shared" si="237"/>
        <v>NBE-6502-AL</v>
      </c>
      <c r="U1867" s="403">
        <f t="shared" si="238"/>
        <v>1</v>
      </c>
      <c r="V1867" s="403" t="str">
        <f t="shared" si="239"/>
        <v>CPP_7_3</v>
      </c>
    </row>
    <row r="1868" spans="1:22">
      <c r="A1868" t="str">
        <f t="shared" si="232"/>
        <v>NBE-6502-AL</v>
      </c>
      <c r="B1868" s="403" t="s">
        <v>1386</v>
      </c>
      <c r="C1868" s="403" t="s">
        <v>582</v>
      </c>
      <c r="D1868" s="403" t="s">
        <v>1387</v>
      </c>
      <c r="E1868" s="403" t="s">
        <v>778</v>
      </c>
      <c r="F1868" s="403" t="s">
        <v>1293</v>
      </c>
      <c r="G1868" s="403" t="s">
        <v>1466</v>
      </c>
      <c r="H1868" s="403" t="s">
        <v>1281</v>
      </c>
      <c r="I1868" s="403">
        <v>1</v>
      </c>
      <c r="J1868" s="403" t="s">
        <v>110</v>
      </c>
      <c r="K1868" s="403">
        <v>1920</v>
      </c>
      <c r="L1868" s="403">
        <v>1080</v>
      </c>
      <c r="M1868" s="403" t="s">
        <v>110</v>
      </c>
      <c r="N1868" s="403">
        <v>1920</v>
      </c>
      <c r="O1868" s="403">
        <v>1080</v>
      </c>
      <c r="P1868" t="str">
        <f t="shared" si="233"/>
        <v>25fps 1080p - 1080p</v>
      </c>
      <c r="Q1868">
        <f t="shared" si="234"/>
        <v>9</v>
      </c>
      <c r="R1868" t="str">
        <f t="shared" si="235"/>
        <v/>
      </c>
      <c r="S1868" t="str">
        <f t="shared" si="236"/>
        <v/>
      </c>
      <c r="T1868" s="403" t="str">
        <f t="shared" si="237"/>
        <v>NBE-6502-AL</v>
      </c>
      <c r="U1868" s="403">
        <f t="shared" si="238"/>
        <v>1</v>
      </c>
      <c r="V1868" s="403" t="str">
        <f t="shared" si="239"/>
        <v>CPP_7_3</v>
      </c>
    </row>
    <row r="1869" spans="1:22">
      <c r="A1869" t="str">
        <f t="shared" si="232"/>
        <v>NBE-6502-AL</v>
      </c>
      <c r="B1869" s="403" t="s">
        <v>1386</v>
      </c>
      <c r="C1869" s="403" t="s">
        <v>582</v>
      </c>
      <c r="D1869" s="403" t="s">
        <v>1387</v>
      </c>
      <c r="E1869" s="403" t="s">
        <v>778</v>
      </c>
      <c r="F1869" s="403" t="s">
        <v>1293</v>
      </c>
      <c r="G1869" s="403" t="s">
        <v>1466</v>
      </c>
      <c r="H1869" s="403" t="s">
        <v>1281</v>
      </c>
      <c r="I1869" s="403">
        <v>1</v>
      </c>
      <c r="J1869" s="403" t="s">
        <v>110</v>
      </c>
      <c r="K1869" s="403">
        <v>1920</v>
      </c>
      <c r="L1869" s="403">
        <v>1080</v>
      </c>
      <c r="M1869" s="403" t="s">
        <v>109</v>
      </c>
      <c r="N1869" s="403">
        <v>1280</v>
      </c>
      <c r="O1869" s="403">
        <v>720</v>
      </c>
      <c r="P1869" t="str">
        <f t="shared" si="233"/>
        <v>25fps 1080p - 720p</v>
      </c>
      <c r="Q1869">
        <f t="shared" si="234"/>
        <v>9</v>
      </c>
      <c r="R1869" t="str">
        <f t="shared" si="235"/>
        <v/>
      </c>
      <c r="S1869" t="str">
        <f t="shared" si="236"/>
        <v/>
      </c>
      <c r="T1869" s="403" t="str">
        <f t="shared" si="237"/>
        <v>NBE-6502-AL</v>
      </c>
      <c r="U1869" s="403">
        <f t="shared" si="238"/>
        <v>1</v>
      </c>
      <c r="V1869" s="403" t="str">
        <f t="shared" si="239"/>
        <v>CPP_7_3</v>
      </c>
    </row>
    <row r="1870" spans="1:22">
      <c r="A1870" t="str">
        <f t="shared" si="232"/>
        <v>NBE-6502-AL</v>
      </c>
      <c r="B1870" s="403" t="s">
        <v>1386</v>
      </c>
      <c r="C1870" s="403" t="s">
        <v>582</v>
      </c>
      <c r="D1870" s="403" t="s">
        <v>1387</v>
      </c>
      <c r="E1870" s="403" t="s">
        <v>778</v>
      </c>
      <c r="F1870" s="403" t="s">
        <v>1293</v>
      </c>
      <c r="G1870" s="403" t="s">
        <v>1466</v>
      </c>
      <c r="H1870" s="403" t="s">
        <v>1281</v>
      </c>
      <c r="I1870" s="403">
        <v>1</v>
      </c>
      <c r="J1870" s="403" t="s">
        <v>110</v>
      </c>
      <c r="K1870" s="403">
        <v>1920</v>
      </c>
      <c r="L1870" s="403">
        <v>1080</v>
      </c>
      <c r="M1870" s="403" t="s">
        <v>1285</v>
      </c>
      <c r="N1870" s="403">
        <v>1280</v>
      </c>
      <c r="O1870" s="403">
        <v>1024</v>
      </c>
      <c r="P1870" t="str">
        <f t="shared" si="233"/>
        <v>25fps 1080p - 1280x1024 5:4 (cropped)</v>
      </c>
      <c r="Q1870">
        <f t="shared" si="234"/>
        <v>9</v>
      </c>
      <c r="R1870" t="str">
        <f t="shared" si="235"/>
        <v/>
      </c>
      <c r="S1870" t="str">
        <f t="shared" si="236"/>
        <v/>
      </c>
      <c r="T1870" s="403" t="str">
        <f t="shared" si="237"/>
        <v>NBE-6502-AL</v>
      </c>
      <c r="U1870" s="403">
        <f t="shared" si="238"/>
        <v>1</v>
      </c>
      <c r="V1870" s="403" t="str">
        <f t="shared" si="239"/>
        <v>CPP_7_3</v>
      </c>
    </row>
    <row r="1871" spans="1:22">
      <c r="A1871" t="str">
        <f t="shared" si="232"/>
        <v>NBE-6502-AL</v>
      </c>
      <c r="B1871" s="403" t="s">
        <v>1386</v>
      </c>
      <c r="C1871" s="403" t="s">
        <v>582</v>
      </c>
      <c r="D1871" s="403" t="s">
        <v>1387</v>
      </c>
      <c r="E1871" s="403" t="s">
        <v>778</v>
      </c>
      <c r="F1871" s="403" t="s">
        <v>1293</v>
      </c>
      <c r="G1871" s="403" t="s">
        <v>1466</v>
      </c>
      <c r="H1871" s="403" t="s">
        <v>1281</v>
      </c>
      <c r="I1871" s="403">
        <v>1</v>
      </c>
      <c r="J1871" s="403" t="s">
        <v>110</v>
      </c>
      <c r="K1871" s="403">
        <v>1920</v>
      </c>
      <c r="L1871" s="403">
        <v>1080</v>
      </c>
      <c r="M1871" s="403" t="s">
        <v>1279</v>
      </c>
      <c r="N1871" s="403">
        <v>768</v>
      </c>
      <c r="O1871" s="403">
        <v>432</v>
      </c>
      <c r="P1871" t="str">
        <f t="shared" si="233"/>
        <v>25fps 1080p - SD ROI PTZ</v>
      </c>
      <c r="Q1871">
        <f t="shared" si="234"/>
        <v>9</v>
      </c>
      <c r="R1871" t="str">
        <f t="shared" si="235"/>
        <v/>
      </c>
      <c r="S1871" t="str">
        <f t="shared" si="236"/>
        <v/>
      </c>
      <c r="T1871" s="403" t="str">
        <f t="shared" si="237"/>
        <v>NBE-6502-AL</v>
      </c>
      <c r="U1871" s="403">
        <f t="shared" si="238"/>
        <v>1</v>
      </c>
      <c r="V1871" s="403" t="str">
        <f t="shared" si="239"/>
        <v>CPP_7_3</v>
      </c>
    </row>
    <row r="1872" spans="1:22">
      <c r="A1872" t="str">
        <f t="shared" si="232"/>
        <v>NBE-6502-AL</v>
      </c>
      <c r="B1872" s="403" t="s">
        <v>1386</v>
      </c>
      <c r="C1872" s="403" t="s">
        <v>582</v>
      </c>
      <c r="D1872" s="403" t="s">
        <v>1387</v>
      </c>
      <c r="E1872" s="403" t="s">
        <v>778</v>
      </c>
      <c r="F1872" s="403" t="s">
        <v>1293</v>
      </c>
      <c r="G1872" s="403" t="s">
        <v>1466</v>
      </c>
      <c r="H1872" s="403" t="s">
        <v>1281</v>
      </c>
      <c r="I1872" s="403">
        <v>1</v>
      </c>
      <c r="J1872" s="403" t="s">
        <v>110</v>
      </c>
      <c r="K1872" s="403">
        <v>1920</v>
      </c>
      <c r="L1872" s="403">
        <v>1080</v>
      </c>
      <c r="M1872" s="403" t="s">
        <v>1283</v>
      </c>
      <c r="N1872" s="403">
        <v>720</v>
      </c>
      <c r="O1872" s="403">
        <v>576</v>
      </c>
      <c r="P1872" t="str">
        <f t="shared" si="233"/>
        <v>25fps 1080p - SD 4CIF resolution 4:3 format (cropped)</v>
      </c>
      <c r="Q1872">
        <f t="shared" si="234"/>
        <v>9</v>
      </c>
      <c r="R1872" t="str">
        <f t="shared" si="235"/>
        <v/>
      </c>
      <c r="S1872" t="str">
        <f t="shared" si="236"/>
        <v/>
      </c>
      <c r="T1872" s="403" t="str">
        <f t="shared" si="237"/>
        <v>NBE-6502-AL</v>
      </c>
      <c r="U1872" s="403">
        <f t="shared" si="238"/>
        <v>1</v>
      </c>
      <c r="V1872" s="403" t="str">
        <f t="shared" si="239"/>
        <v>CPP_7_3</v>
      </c>
    </row>
    <row r="1873" spans="1:22">
      <c r="A1873" t="str">
        <f t="shared" si="232"/>
        <v>NBE-6502-AL</v>
      </c>
      <c r="B1873" s="403" t="s">
        <v>1386</v>
      </c>
      <c r="C1873" s="403" t="s">
        <v>582</v>
      </c>
      <c r="D1873" s="403" t="s">
        <v>1387</v>
      </c>
      <c r="E1873" s="403" t="s">
        <v>778</v>
      </c>
      <c r="F1873" s="403" t="s">
        <v>1293</v>
      </c>
      <c r="G1873" s="403" t="s">
        <v>1466</v>
      </c>
      <c r="H1873" s="403" t="s">
        <v>1281</v>
      </c>
      <c r="I1873" s="403">
        <v>1</v>
      </c>
      <c r="J1873" s="403" t="s">
        <v>110</v>
      </c>
      <c r="K1873" s="403">
        <v>1920</v>
      </c>
      <c r="L1873" s="403">
        <v>1080</v>
      </c>
      <c r="M1873" s="403" t="s">
        <v>1284</v>
      </c>
      <c r="N1873" s="403">
        <v>640</v>
      </c>
      <c r="O1873" s="403">
        <v>480</v>
      </c>
      <c r="P1873" t="str">
        <f t="shared" si="233"/>
        <v>25fps 1080p - SD VGA (cropped)</v>
      </c>
      <c r="Q1873">
        <f t="shared" si="234"/>
        <v>9</v>
      </c>
      <c r="R1873" t="str">
        <f t="shared" si="235"/>
        <v/>
      </c>
      <c r="S1873" t="str">
        <f t="shared" si="236"/>
        <v/>
      </c>
      <c r="T1873" s="403" t="str">
        <f t="shared" si="237"/>
        <v>NBE-6502-AL</v>
      </c>
      <c r="U1873" s="403">
        <f t="shared" si="238"/>
        <v>1</v>
      </c>
      <c r="V1873" s="403" t="str">
        <f t="shared" si="239"/>
        <v>CPP_7_3</v>
      </c>
    </row>
    <row r="1874" spans="1:22">
      <c r="A1874" t="str">
        <f t="shared" si="232"/>
        <v>NBE-6502-AL</v>
      </c>
      <c r="B1874" s="403" t="s">
        <v>1386</v>
      </c>
      <c r="C1874" s="403" t="s">
        <v>582</v>
      </c>
      <c r="D1874" s="403" t="s">
        <v>1387</v>
      </c>
      <c r="E1874" s="403" t="s">
        <v>778</v>
      </c>
      <c r="F1874" s="403" t="s">
        <v>1293</v>
      </c>
      <c r="G1874" s="403" t="s">
        <v>1466</v>
      </c>
      <c r="H1874" s="403" t="s">
        <v>1281</v>
      </c>
      <c r="I1874" s="403">
        <v>1</v>
      </c>
      <c r="J1874" s="403" t="s">
        <v>109</v>
      </c>
      <c r="K1874" s="403">
        <v>1280</v>
      </c>
      <c r="L1874" s="403">
        <v>720</v>
      </c>
      <c r="M1874" s="403" t="s">
        <v>109</v>
      </c>
      <c r="N1874" s="403">
        <v>1280</v>
      </c>
      <c r="O1874" s="403">
        <v>720</v>
      </c>
      <c r="P1874" t="str">
        <f t="shared" si="233"/>
        <v>25fps 720p - 720p</v>
      </c>
      <c r="Q1874">
        <f t="shared" si="234"/>
        <v>9</v>
      </c>
      <c r="R1874" t="str">
        <f t="shared" si="235"/>
        <v/>
      </c>
      <c r="S1874" t="str">
        <f t="shared" si="236"/>
        <v/>
      </c>
      <c r="T1874" s="403" t="str">
        <f t="shared" si="237"/>
        <v>NBE-6502-AL</v>
      </c>
      <c r="U1874" s="403">
        <f t="shared" si="238"/>
        <v>1</v>
      </c>
      <c r="V1874" s="403" t="str">
        <f t="shared" si="239"/>
        <v>CPP_7_3</v>
      </c>
    </row>
    <row r="1875" spans="1:22">
      <c r="A1875" t="str">
        <f t="shared" si="232"/>
        <v>NBE-6502-AL</v>
      </c>
      <c r="B1875" s="403" t="s">
        <v>1386</v>
      </c>
      <c r="C1875" s="403" t="s">
        <v>582</v>
      </c>
      <c r="D1875" s="403" t="s">
        <v>1387</v>
      </c>
      <c r="E1875" s="403" t="s">
        <v>778</v>
      </c>
      <c r="F1875" s="403" t="s">
        <v>1293</v>
      </c>
      <c r="G1875" s="403" t="s">
        <v>1466</v>
      </c>
      <c r="H1875" s="403" t="s">
        <v>1281</v>
      </c>
      <c r="I1875" s="403">
        <v>1</v>
      </c>
      <c r="J1875" s="403" t="s">
        <v>109</v>
      </c>
      <c r="K1875" s="403">
        <v>1280</v>
      </c>
      <c r="L1875" s="403">
        <v>720</v>
      </c>
      <c r="M1875" s="403" t="s">
        <v>111</v>
      </c>
      <c r="N1875" s="403">
        <v>768</v>
      </c>
      <c r="O1875" s="403">
        <v>432</v>
      </c>
      <c r="P1875" t="str">
        <f t="shared" si="233"/>
        <v>25fps 720p - SD</v>
      </c>
      <c r="Q1875">
        <f t="shared" si="234"/>
        <v>9</v>
      </c>
      <c r="R1875" t="str">
        <f t="shared" si="235"/>
        <v/>
      </c>
      <c r="S1875" t="str">
        <f t="shared" si="236"/>
        <v/>
      </c>
      <c r="T1875" s="403" t="str">
        <f t="shared" si="237"/>
        <v>NBE-6502-AL</v>
      </c>
      <c r="U1875" s="403">
        <f t="shared" si="238"/>
        <v>1</v>
      </c>
      <c r="V1875" s="403" t="str">
        <f t="shared" si="239"/>
        <v>CPP_7_3</v>
      </c>
    </row>
    <row r="1876" spans="1:22">
      <c r="A1876" t="str">
        <f t="shared" si="232"/>
        <v>NBE-6502-AL</v>
      </c>
      <c r="B1876" s="403" t="s">
        <v>1386</v>
      </c>
      <c r="C1876" s="403" t="s">
        <v>582</v>
      </c>
      <c r="D1876" s="403" t="s">
        <v>1387</v>
      </c>
      <c r="E1876" s="403" t="s">
        <v>778</v>
      </c>
      <c r="F1876" s="403" t="s">
        <v>1293</v>
      </c>
      <c r="G1876" s="403" t="s">
        <v>1466</v>
      </c>
      <c r="H1876" s="403" t="s">
        <v>1281</v>
      </c>
      <c r="I1876" s="403">
        <v>1</v>
      </c>
      <c r="J1876" s="403" t="s">
        <v>109</v>
      </c>
      <c r="K1876" s="403">
        <v>1280</v>
      </c>
      <c r="L1876" s="403">
        <v>720</v>
      </c>
      <c r="M1876" s="403" t="s">
        <v>1279</v>
      </c>
      <c r="N1876" s="403">
        <v>768</v>
      </c>
      <c r="O1876" s="403">
        <v>432</v>
      </c>
      <c r="P1876" t="str">
        <f t="shared" si="233"/>
        <v>25fps 720p - SD ROI PTZ</v>
      </c>
      <c r="Q1876">
        <f t="shared" si="234"/>
        <v>9</v>
      </c>
      <c r="R1876" t="str">
        <f t="shared" si="235"/>
        <v/>
      </c>
      <c r="S1876" t="str">
        <f t="shared" si="236"/>
        <v/>
      </c>
      <c r="T1876" s="403" t="str">
        <f t="shared" si="237"/>
        <v>NBE-6502-AL</v>
      </c>
      <c r="U1876" s="403">
        <f t="shared" si="238"/>
        <v>1</v>
      </c>
      <c r="V1876" s="403" t="str">
        <f t="shared" si="239"/>
        <v>CPP_7_3</v>
      </c>
    </row>
    <row r="1877" spans="1:22">
      <c r="A1877" t="str">
        <f t="shared" si="232"/>
        <v>NBE-6502-AL</v>
      </c>
      <c r="B1877" s="403" t="s">
        <v>1386</v>
      </c>
      <c r="C1877" s="403" t="s">
        <v>582</v>
      </c>
      <c r="D1877" s="403" t="s">
        <v>1387</v>
      </c>
      <c r="E1877" s="403" t="s">
        <v>778</v>
      </c>
      <c r="F1877" s="403" t="s">
        <v>1293</v>
      </c>
      <c r="G1877" s="403" t="s">
        <v>1466</v>
      </c>
      <c r="H1877" s="403" t="s">
        <v>1281</v>
      </c>
      <c r="I1877" s="403">
        <v>1</v>
      </c>
      <c r="J1877" s="403" t="s">
        <v>109</v>
      </c>
      <c r="K1877" s="403">
        <v>1280</v>
      </c>
      <c r="L1877" s="403">
        <v>720</v>
      </c>
      <c r="M1877" s="403" t="s">
        <v>1283</v>
      </c>
      <c r="N1877" s="403">
        <v>720</v>
      </c>
      <c r="O1877" s="403">
        <v>576</v>
      </c>
      <c r="P1877" t="str">
        <f t="shared" si="233"/>
        <v>25fps 720p - SD 4CIF resolution 4:3 format (cropped)</v>
      </c>
      <c r="Q1877">
        <f t="shared" si="234"/>
        <v>9</v>
      </c>
      <c r="R1877" t="str">
        <f t="shared" si="235"/>
        <v/>
      </c>
      <c r="S1877" t="str">
        <f t="shared" si="236"/>
        <v/>
      </c>
      <c r="T1877" s="403" t="str">
        <f t="shared" si="237"/>
        <v>NBE-6502-AL</v>
      </c>
      <c r="U1877" s="403">
        <f t="shared" si="238"/>
        <v>1</v>
      </c>
      <c r="V1877" s="403" t="str">
        <f t="shared" si="239"/>
        <v>CPP_7_3</v>
      </c>
    </row>
    <row r="1878" spans="1:22">
      <c r="A1878" t="str">
        <f t="shared" si="232"/>
        <v>NBE-6502-AL</v>
      </c>
      <c r="B1878" s="403" t="s">
        <v>1386</v>
      </c>
      <c r="C1878" s="403" t="s">
        <v>582</v>
      </c>
      <c r="D1878" s="403" t="s">
        <v>1387</v>
      </c>
      <c r="E1878" s="403" t="s">
        <v>778</v>
      </c>
      <c r="F1878" s="403" t="s">
        <v>1293</v>
      </c>
      <c r="G1878" s="403" t="s">
        <v>1466</v>
      </c>
      <c r="H1878" s="403" t="s">
        <v>1281</v>
      </c>
      <c r="I1878" s="403">
        <v>1</v>
      </c>
      <c r="J1878" s="403" t="s">
        <v>109</v>
      </c>
      <c r="K1878" s="403">
        <v>1280</v>
      </c>
      <c r="L1878" s="403">
        <v>720</v>
      </c>
      <c r="M1878" s="403" t="s">
        <v>1284</v>
      </c>
      <c r="N1878" s="403">
        <v>640</v>
      </c>
      <c r="O1878" s="403">
        <v>480</v>
      </c>
      <c r="P1878" t="str">
        <f t="shared" si="233"/>
        <v>25fps 720p - SD VGA (cropped)</v>
      </c>
      <c r="Q1878">
        <f t="shared" si="234"/>
        <v>9</v>
      </c>
      <c r="R1878" t="str">
        <f t="shared" si="235"/>
        <v/>
      </c>
      <c r="S1878" t="str">
        <f t="shared" si="236"/>
        <v/>
      </c>
      <c r="T1878" s="403" t="str">
        <f t="shared" si="237"/>
        <v>NBE-6502-AL</v>
      </c>
      <c r="U1878" s="403">
        <f t="shared" si="238"/>
        <v>1</v>
      </c>
      <c r="V1878" s="403" t="str">
        <f t="shared" si="239"/>
        <v>CPP_7_3</v>
      </c>
    </row>
    <row r="1879" spans="1:22">
      <c r="A1879" t="str">
        <f t="shared" si="232"/>
        <v>NBE-6502-AL</v>
      </c>
      <c r="B1879" s="403" t="s">
        <v>1386</v>
      </c>
      <c r="C1879" s="403" t="s">
        <v>582</v>
      </c>
      <c r="D1879" s="403" t="s">
        <v>1387</v>
      </c>
      <c r="E1879" s="403" t="s">
        <v>778</v>
      </c>
      <c r="F1879" s="403" t="s">
        <v>1293</v>
      </c>
      <c r="G1879" s="403" t="s">
        <v>1466</v>
      </c>
      <c r="H1879" s="403" t="s">
        <v>1282</v>
      </c>
      <c r="I1879" s="403">
        <v>1</v>
      </c>
      <c r="J1879" s="403" t="s">
        <v>110</v>
      </c>
      <c r="K1879" s="403">
        <v>1920</v>
      </c>
      <c r="L1879" s="403">
        <v>1080</v>
      </c>
      <c r="M1879" s="403" t="s">
        <v>111</v>
      </c>
      <c r="N1879" s="403">
        <v>768</v>
      </c>
      <c r="O1879" s="403">
        <v>432</v>
      </c>
      <c r="P1879" t="str">
        <f t="shared" si="233"/>
        <v>25fps 1080p - SD</v>
      </c>
      <c r="Q1879">
        <f t="shared" si="234"/>
        <v>9</v>
      </c>
      <c r="R1879" t="str">
        <f t="shared" si="235"/>
        <v/>
      </c>
      <c r="S1879" t="str">
        <f t="shared" si="236"/>
        <v/>
      </c>
      <c r="T1879" s="403" t="str">
        <f t="shared" si="237"/>
        <v>NBE-6502-AL</v>
      </c>
      <c r="U1879" s="403">
        <f t="shared" si="238"/>
        <v>1</v>
      </c>
      <c r="V1879" s="403" t="str">
        <f t="shared" si="239"/>
        <v>CPP_7_3</v>
      </c>
    </row>
    <row r="1880" spans="1:22">
      <c r="A1880" t="str">
        <f t="shared" si="232"/>
        <v>NBE-6502-AL</v>
      </c>
      <c r="B1880" s="403" t="s">
        <v>1386</v>
      </c>
      <c r="C1880" s="403" t="s">
        <v>582</v>
      </c>
      <c r="D1880" s="403" t="s">
        <v>1387</v>
      </c>
      <c r="E1880" s="403" t="s">
        <v>778</v>
      </c>
      <c r="F1880" s="403" t="s">
        <v>1293</v>
      </c>
      <c r="G1880" s="403" t="s">
        <v>1466</v>
      </c>
      <c r="H1880" s="403" t="s">
        <v>1282</v>
      </c>
      <c r="I1880" s="403">
        <v>1</v>
      </c>
      <c r="J1880" s="403" t="s">
        <v>110</v>
      </c>
      <c r="K1880" s="403">
        <v>1920</v>
      </c>
      <c r="L1880" s="403">
        <v>1080</v>
      </c>
      <c r="M1880" s="403" t="s">
        <v>110</v>
      </c>
      <c r="N1880" s="403">
        <v>1920</v>
      </c>
      <c r="O1880" s="403">
        <v>1080</v>
      </c>
      <c r="P1880" t="str">
        <f t="shared" si="233"/>
        <v>25fps 1080p - 1080p</v>
      </c>
      <c r="Q1880">
        <f t="shared" si="234"/>
        <v>9</v>
      </c>
      <c r="R1880" t="str">
        <f t="shared" si="235"/>
        <v/>
      </c>
      <c r="S1880" t="str">
        <f t="shared" si="236"/>
        <v/>
      </c>
      <c r="T1880" s="403" t="str">
        <f t="shared" si="237"/>
        <v>NBE-6502-AL</v>
      </c>
      <c r="U1880" s="403">
        <f t="shared" si="238"/>
        <v>1</v>
      </c>
      <c r="V1880" s="403" t="str">
        <f t="shared" si="239"/>
        <v>CPP_7_3</v>
      </c>
    </row>
    <row r="1881" spans="1:22">
      <c r="A1881" t="str">
        <f t="shared" si="232"/>
        <v>NBE-6502-AL</v>
      </c>
      <c r="B1881" s="403" t="s">
        <v>1386</v>
      </c>
      <c r="C1881" s="403" t="s">
        <v>582</v>
      </c>
      <c r="D1881" s="403" t="s">
        <v>1387</v>
      </c>
      <c r="E1881" s="403" t="s">
        <v>778</v>
      </c>
      <c r="F1881" s="403" t="s">
        <v>1293</v>
      </c>
      <c r="G1881" s="403" t="s">
        <v>1466</v>
      </c>
      <c r="H1881" s="403" t="s">
        <v>1282</v>
      </c>
      <c r="I1881" s="403">
        <v>1</v>
      </c>
      <c r="J1881" s="403" t="s">
        <v>110</v>
      </c>
      <c r="K1881" s="403">
        <v>1920</v>
      </c>
      <c r="L1881" s="403">
        <v>1080</v>
      </c>
      <c r="M1881" s="403" t="s">
        <v>109</v>
      </c>
      <c r="N1881" s="403">
        <v>1280</v>
      </c>
      <c r="O1881" s="403">
        <v>720</v>
      </c>
      <c r="P1881" t="str">
        <f t="shared" si="233"/>
        <v>25fps 1080p - 720p</v>
      </c>
      <c r="Q1881">
        <f t="shared" si="234"/>
        <v>9</v>
      </c>
      <c r="R1881" t="str">
        <f t="shared" si="235"/>
        <v/>
      </c>
      <c r="S1881" t="str">
        <f t="shared" si="236"/>
        <v/>
      </c>
      <c r="T1881" s="403" t="str">
        <f t="shared" si="237"/>
        <v>NBE-6502-AL</v>
      </c>
      <c r="U1881" s="403">
        <f t="shared" si="238"/>
        <v>1</v>
      </c>
      <c r="V1881" s="403" t="str">
        <f t="shared" si="239"/>
        <v>CPP_7_3</v>
      </c>
    </row>
    <row r="1882" spans="1:22">
      <c r="A1882" t="str">
        <f t="shared" si="232"/>
        <v>NBE-6502-AL</v>
      </c>
      <c r="B1882" s="403" t="s">
        <v>1386</v>
      </c>
      <c r="C1882" s="403" t="s">
        <v>582</v>
      </c>
      <c r="D1882" s="403" t="s">
        <v>1387</v>
      </c>
      <c r="E1882" s="403" t="s">
        <v>778</v>
      </c>
      <c r="F1882" s="403" t="s">
        <v>1293</v>
      </c>
      <c r="G1882" s="403" t="s">
        <v>1466</v>
      </c>
      <c r="H1882" s="403" t="s">
        <v>1282</v>
      </c>
      <c r="I1882" s="403">
        <v>1</v>
      </c>
      <c r="J1882" s="403" t="s">
        <v>110</v>
      </c>
      <c r="K1882" s="403">
        <v>1920</v>
      </c>
      <c r="L1882" s="403">
        <v>1080</v>
      </c>
      <c r="M1882" s="403" t="s">
        <v>1285</v>
      </c>
      <c r="N1882" s="403">
        <v>1280</v>
      </c>
      <c r="O1882" s="403">
        <v>1024</v>
      </c>
      <c r="P1882" t="str">
        <f t="shared" si="233"/>
        <v>25fps 1080p - 1280x1024 5:4 (cropped)</v>
      </c>
      <c r="Q1882">
        <f t="shared" si="234"/>
        <v>9</v>
      </c>
      <c r="R1882" t="str">
        <f t="shared" si="235"/>
        <v/>
      </c>
      <c r="S1882" t="str">
        <f t="shared" si="236"/>
        <v/>
      </c>
      <c r="T1882" s="403" t="str">
        <f t="shared" si="237"/>
        <v>NBE-6502-AL</v>
      </c>
      <c r="U1882" s="403">
        <f t="shared" si="238"/>
        <v>1</v>
      </c>
      <c r="V1882" s="403" t="str">
        <f t="shared" si="239"/>
        <v>CPP_7_3</v>
      </c>
    </row>
    <row r="1883" spans="1:22">
      <c r="A1883" t="str">
        <f t="shared" si="232"/>
        <v>NBE-6502-AL</v>
      </c>
      <c r="B1883" s="403" t="s">
        <v>1386</v>
      </c>
      <c r="C1883" s="403" t="s">
        <v>582</v>
      </c>
      <c r="D1883" s="403" t="s">
        <v>1387</v>
      </c>
      <c r="E1883" s="403" t="s">
        <v>778</v>
      </c>
      <c r="F1883" s="403" t="s">
        <v>1293</v>
      </c>
      <c r="G1883" s="403" t="s">
        <v>1466</v>
      </c>
      <c r="H1883" s="403" t="s">
        <v>1282</v>
      </c>
      <c r="I1883" s="403">
        <v>1</v>
      </c>
      <c r="J1883" s="403" t="s">
        <v>110</v>
      </c>
      <c r="K1883" s="403">
        <v>1920</v>
      </c>
      <c r="L1883" s="403">
        <v>1080</v>
      </c>
      <c r="M1883" s="403" t="s">
        <v>1279</v>
      </c>
      <c r="N1883" s="403">
        <v>768</v>
      </c>
      <c r="O1883" s="403">
        <v>432</v>
      </c>
      <c r="P1883" t="str">
        <f t="shared" si="233"/>
        <v>25fps 1080p - SD ROI PTZ</v>
      </c>
      <c r="Q1883">
        <f t="shared" si="234"/>
        <v>9</v>
      </c>
      <c r="R1883" t="str">
        <f t="shared" si="235"/>
        <v/>
      </c>
      <c r="S1883" t="str">
        <f t="shared" si="236"/>
        <v/>
      </c>
      <c r="T1883" s="403" t="str">
        <f t="shared" si="237"/>
        <v>NBE-6502-AL</v>
      </c>
      <c r="U1883" s="403">
        <f t="shared" si="238"/>
        <v>1</v>
      </c>
      <c r="V1883" s="403" t="str">
        <f t="shared" si="239"/>
        <v>CPP_7_3</v>
      </c>
    </row>
    <row r="1884" spans="1:22">
      <c r="A1884" t="str">
        <f t="shared" si="232"/>
        <v>NBE-6502-AL</v>
      </c>
      <c r="B1884" s="403" t="s">
        <v>1386</v>
      </c>
      <c r="C1884" s="403" t="s">
        <v>582</v>
      </c>
      <c r="D1884" s="403" t="s">
        <v>1387</v>
      </c>
      <c r="E1884" s="403" t="s">
        <v>778</v>
      </c>
      <c r="F1884" s="403" t="s">
        <v>1293</v>
      </c>
      <c r="G1884" s="403" t="s">
        <v>1466</v>
      </c>
      <c r="H1884" s="403" t="s">
        <v>1282</v>
      </c>
      <c r="I1884" s="403">
        <v>1</v>
      </c>
      <c r="J1884" s="403" t="s">
        <v>110</v>
      </c>
      <c r="K1884" s="403">
        <v>1920</v>
      </c>
      <c r="L1884" s="403">
        <v>1080</v>
      </c>
      <c r="M1884" s="403" t="s">
        <v>1283</v>
      </c>
      <c r="N1884" s="403">
        <v>720</v>
      </c>
      <c r="O1884" s="403">
        <v>576</v>
      </c>
      <c r="P1884" t="str">
        <f t="shared" si="233"/>
        <v>25fps 1080p - SD 4CIF resolution 4:3 format (cropped)</v>
      </c>
      <c r="Q1884">
        <f t="shared" si="234"/>
        <v>9</v>
      </c>
      <c r="R1884" t="str">
        <f t="shared" si="235"/>
        <v/>
      </c>
      <c r="S1884" t="str">
        <f t="shared" si="236"/>
        <v/>
      </c>
      <c r="T1884" s="403" t="str">
        <f t="shared" si="237"/>
        <v>NBE-6502-AL</v>
      </c>
      <c r="U1884" s="403">
        <f t="shared" si="238"/>
        <v>1</v>
      </c>
      <c r="V1884" s="403" t="str">
        <f t="shared" si="239"/>
        <v>CPP_7_3</v>
      </c>
    </row>
    <row r="1885" spans="1:22">
      <c r="A1885" t="str">
        <f t="shared" si="232"/>
        <v>NBE-6502-AL</v>
      </c>
      <c r="B1885" s="403" t="s">
        <v>1386</v>
      </c>
      <c r="C1885" s="403" t="s">
        <v>582</v>
      </c>
      <c r="D1885" s="403" t="s">
        <v>1387</v>
      </c>
      <c r="E1885" s="403" t="s">
        <v>778</v>
      </c>
      <c r="F1885" s="403" t="s">
        <v>1293</v>
      </c>
      <c r="G1885" s="403" t="s">
        <v>1466</v>
      </c>
      <c r="H1885" s="403" t="s">
        <v>1282</v>
      </c>
      <c r="I1885" s="403">
        <v>1</v>
      </c>
      <c r="J1885" s="403" t="s">
        <v>110</v>
      </c>
      <c r="K1885" s="403">
        <v>1920</v>
      </c>
      <c r="L1885" s="403">
        <v>1080</v>
      </c>
      <c r="M1885" s="403" t="s">
        <v>1284</v>
      </c>
      <c r="N1885" s="403">
        <v>640</v>
      </c>
      <c r="O1885" s="403">
        <v>480</v>
      </c>
      <c r="P1885" t="str">
        <f t="shared" si="233"/>
        <v>25fps 1080p - SD VGA (cropped)</v>
      </c>
      <c r="Q1885">
        <f t="shared" si="234"/>
        <v>9</v>
      </c>
      <c r="R1885" t="str">
        <f t="shared" si="235"/>
        <v/>
      </c>
      <c r="S1885" t="str">
        <f t="shared" si="236"/>
        <v/>
      </c>
      <c r="T1885" s="403" t="str">
        <f t="shared" si="237"/>
        <v>NBE-6502-AL</v>
      </c>
      <c r="U1885" s="403">
        <f t="shared" si="238"/>
        <v>1</v>
      </c>
      <c r="V1885" s="403" t="str">
        <f t="shared" si="239"/>
        <v>CPP_7_3</v>
      </c>
    </row>
    <row r="1886" spans="1:22">
      <c r="A1886" t="str">
        <f t="shared" si="232"/>
        <v>NBE-6502-AL</v>
      </c>
      <c r="B1886" s="403" t="s">
        <v>1386</v>
      </c>
      <c r="C1886" s="403" t="s">
        <v>582</v>
      </c>
      <c r="D1886" s="403" t="s">
        <v>1387</v>
      </c>
      <c r="E1886" s="403" t="s">
        <v>778</v>
      </c>
      <c r="F1886" s="403" t="s">
        <v>1293</v>
      </c>
      <c r="G1886" s="403" t="s">
        <v>1466</v>
      </c>
      <c r="H1886" s="403" t="s">
        <v>1282</v>
      </c>
      <c r="I1886" s="403">
        <v>1</v>
      </c>
      <c r="J1886" s="403" t="s">
        <v>109</v>
      </c>
      <c r="K1886" s="403">
        <v>1280</v>
      </c>
      <c r="L1886" s="403">
        <v>720</v>
      </c>
      <c r="M1886" s="403" t="s">
        <v>109</v>
      </c>
      <c r="N1886" s="403">
        <v>1280</v>
      </c>
      <c r="O1886" s="403">
        <v>720</v>
      </c>
      <c r="P1886" t="str">
        <f t="shared" si="233"/>
        <v>25fps 720p - 720p</v>
      </c>
      <c r="Q1886">
        <f t="shared" si="234"/>
        <v>9</v>
      </c>
      <c r="R1886" t="str">
        <f t="shared" si="235"/>
        <v/>
      </c>
      <c r="S1886" t="str">
        <f t="shared" si="236"/>
        <v/>
      </c>
      <c r="T1886" s="403" t="str">
        <f t="shared" si="237"/>
        <v>NBE-6502-AL</v>
      </c>
      <c r="U1886" s="403">
        <f t="shared" si="238"/>
        <v>1</v>
      </c>
      <c r="V1886" s="403" t="str">
        <f t="shared" si="239"/>
        <v>CPP_7_3</v>
      </c>
    </row>
    <row r="1887" spans="1:22">
      <c r="A1887" t="str">
        <f t="shared" si="232"/>
        <v>NBE-6502-AL</v>
      </c>
      <c r="B1887" s="403" t="s">
        <v>1386</v>
      </c>
      <c r="C1887" s="403" t="s">
        <v>582</v>
      </c>
      <c r="D1887" s="403" t="s">
        <v>1387</v>
      </c>
      <c r="E1887" s="403" t="s">
        <v>778</v>
      </c>
      <c r="F1887" s="403" t="s">
        <v>1293</v>
      </c>
      <c r="G1887" s="403" t="s">
        <v>1466</v>
      </c>
      <c r="H1887" s="403" t="s">
        <v>1282</v>
      </c>
      <c r="I1887" s="403">
        <v>1</v>
      </c>
      <c r="J1887" s="403" t="s">
        <v>109</v>
      </c>
      <c r="K1887" s="403">
        <v>1280</v>
      </c>
      <c r="L1887" s="403">
        <v>720</v>
      </c>
      <c r="M1887" s="403" t="s">
        <v>111</v>
      </c>
      <c r="N1887" s="403">
        <v>768</v>
      </c>
      <c r="O1887" s="403">
        <v>432</v>
      </c>
      <c r="P1887" t="str">
        <f t="shared" si="233"/>
        <v>25fps 720p - SD</v>
      </c>
      <c r="Q1887">
        <f t="shared" si="234"/>
        <v>9</v>
      </c>
      <c r="R1887" t="str">
        <f t="shared" si="235"/>
        <v/>
      </c>
      <c r="S1887" t="str">
        <f t="shared" si="236"/>
        <v/>
      </c>
      <c r="T1887" s="403" t="str">
        <f t="shared" si="237"/>
        <v>NBE-6502-AL</v>
      </c>
      <c r="U1887" s="403">
        <f t="shared" si="238"/>
        <v>1</v>
      </c>
      <c r="V1887" s="403" t="str">
        <f t="shared" si="239"/>
        <v>CPP_7_3</v>
      </c>
    </row>
    <row r="1888" spans="1:22">
      <c r="A1888" t="str">
        <f t="shared" si="232"/>
        <v>NBE-6502-AL</v>
      </c>
      <c r="B1888" s="403" t="s">
        <v>1386</v>
      </c>
      <c r="C1888" s="403" t="s">
        <v>582</v>
      </c>
      <c r="D1888" s="403" t="s">
        <v>1387</v>
      </c>
      <c r="E1888" s="403" t="s">
        <v>778</v>
      </c>
      <c r="F1888" s="403" t="s">
        <v>1293</v>
      </c>
      <c r="G1888" s="403" t="s">
        <v>1466</v>
      </c>
      <c r="H1888" s="403" t="s">
        <v>1282</v>
      </c>
      <c r="I1888" s="403">
        <v>1</v>
      </c>
      <c r="J1888" s="403" t="s">
        <v>109</v>
      </c>
      <c r="K1888" s="403">
        <v>1280</v>
      </c>
      <c r="L1888" s="403">
        <v>720</v>
      </c>
      <c r="M1888" s="403" t="s">
        <v>1279</v>
      </c>
      <c r="N1888" s="403">
        <v>768</v>
      </c>
      <c r="O1888" s="403">
        <v>432</v>
      </c>
      <c r="P1888" t="str">
        <f t="shared" si="233"/>
        <v>25fps 720p - SD ROI PTZ</v>
      </c>
      <c r="Q1888">
        <f t="shared" si="234"/>
        <v>9</v>
      </c>
      <c r="R1888" t="str">
        <f t="shared" si="235"/>
        <v/>
      </c>
      <c r="S1888" t="str">
        <f t="shared" si="236"/>
        <v/>
      </c>
      <c r="T1888" s="403" t="str">
        <f t="shared" si="237"/>
        <v>NBE-6502-AL</v>
      </c>
      <c r="U1888" s="403">
        <f t="shared" si="238"/>
        <v>1</v>
      </c>
      <c r="V1888" s="403" t="str">
        <f t="shared" si="239"/>
        <v>CPP_7_3</v>
      </c>
    </row>
    <row r="1889" spans="1:22">
      <c r="A1889" t="str">
        <f t="shared" si="232"/>
        <v>NBE-6502-AL</v>
      </c>
      <c r="B1889" s="403" t="s">
        <v>1386</v>
      </c>
      <c r="C1889" s="403" t="s">
        <v>582</v>
      </c>
      <c r="D1889" s="403" t="s">
        <v>1387</v>
      </c>
      <c r="E1889" s="403" t="s">
        <v>778</v>
      </c>
      <c r="F1889" s="403" t="s">
        <v>1293</v>
      </c>
      <c r="G1889" s="403" t="s">
        <v>1466</v>
      </c>
      <c r="H1889" s="403" t="s">
        <v>1282</v>
      </c>
      <c r="I1889" s="403">
        <v>1</v>
      </c>
      <c r="J1889" s="403" t="s">
        <v>109</v>
      </c>
      <c r="K1889" s="403">
        <v>1280</v>
      </c>
      <c r="L1889" s="403">
        <v>720</v>
      </c>
      <c r="M1889" s="403" t="s">
        <v>1283</v>
      </c>
      <c r="N1889" s="403">
        <v>720</v>
      </c>
      <c r="O1889" s="403">
        <v>576</v>
      </c>
      <c r="P1889" t="str">
        <f t="shared" si="233"/>
        <v>25fps 720p - SD 4CIF resolution 4:3 format (cropped)</v>
      </c>
      <c r="Q1889">
        <f t="shared" si="234"/>
        <v>9</v>
      </c>
      <c r="R1889" t="str">
        <f t="shared" si="235"/>
        <v/>
      </c>
      <c r="S1889" t="str">
        <f t="shared" si="236"/>
        <v/>
      </c>
      <c r="T1889" s="403" t="str">
        <f t="shared" si="237"/>
        <v>NBE-6502-AL</v>
      </c>
      <c r="U1889" s="403">
        <f t="shared" si="238"/>
        <v>1</v>
      </c>
      <c r="V1889" s="403" t="str">
        <f t="shared" si="239"/>
        <v>CPP_7_3</v>
      </c>
    </row>
    <row r="1890" spans="1:22">
      <c r="A1890" t="str">
        <f t="shared" si="232"/>
        <v>NBE-6502-AL</v>
      </c>
      <c r="B1890" s="403" t="s">
        <v>1386</v>
      </c>
      <c r="C1890" s="403" t="s">
        <v>582</v>
      </c>
      <c r="D1890" s="403" t="s">
        <v>1387</v>
      </c>
      <c r="E1890" s="403" t="s">
        <v>778</v>
      </c>
      <c r="F1890" s="403" t="s">
        <v>1293</v>
      </c>
      <c r="G1890" s="403" t="s">
        <v>1466</v>
      </c>
      <c r="H1890" s="403" t="s">
        <v>1282</v>
      </c>
      <c r="I1890" s="403">
        <v>1</v>
      </c>
      <c r="J1890" s="403" t="s">
        <v>109</v>
      </c>
      <c r="K1890" s="403">
        <v>1280</v>
      </c>
      <c r="L1890" s="403">
        <v>720</v>
      </c>
      <c r="M1890" s="403" t="s">
        <v>1284</v>
      </c>
      <c r="N1890" s="403">
        <v>640</v>
      </c>
      <c r="O1890" s="403">
        <v>480</v>
      </c>
      <c r="P1890" t="str">
        <f t="shared" si="233"/>
        <v>25fps 720p - SD VGA (cropped)</v>
      </c>
      <c r="Q1890">
        <f t="shared" si="234"/>
        <v>9</v>
      </c>
      <c r="R1890" t="str">
        <f t="shared" si="235"/>
        <v/>
      </c>
      <c r="S1890" t="str">
        <f t="shared" si="236"/>
        <v/>
      </c>
      <c r="T1890" s="403" t="str">
        <f t="shared" si="237"/>
        <v>NBE-6502-AL</v>
      </c>
      <c r="U1890" s="403">
        <f t="shared" si="238"/>
        <v>1</v>
      </c>
      <c r="V1890" s="403" t="str">
        <f t="shared" si="239"/>
        <v>CPP_7_3</v>
      </c>
    </row>
    <row r="1891" spans="1:22">
      <c r="A1891" t="str">
        <f t="shared" si="232"/>
        <v>NBE-6502-AL</v>
      </c>
      <c r="B1891" s="403" t="s">
        <v>1386</v>
      </c>
      <c r="C1891" s="403" t="s">
        <v>582</v>
      </c>
      <c r="D1891" s="403" t="s">
        <v>1387</v>
      </c>
      <c r="E1891" s="403" t="s">
        <v>778</v>
      </c>
      <c r="F1891" s="403" t="s">
        <v>1293</v>
      </c>
      <c r="G1891" s="403" t="s">
        <v>1467</v>
      </c>
      <c r="H1891" s="403" t="s">
        <v>1276</v>
      </c>
      <c r="I1891" s="403">
        <v>1</v>
      </c>
      <c r="J1891" s="403" t="s">
        <v>110</v>
      </c>
      <c r="K1891" s="403">
        <v>1080</v>
      </c>
      <c r="L1891" s="403">
        <v>1920</v>
      </c>
      <c r="M1891" s="403" t="s">
        <v>111</v>
      </c>
      <c r="N1891" s="403">
        <v>432</v>
      </c>
      <c r="O1891" s="403">
        <v>768</v>
      </c>
      <c r="P1891" t="str">
        <f t="shared" si="233"/>
        <v>25fps 1080p - SD</v>
      </c>
      <c r="Q1891">
        <f t="shared" si="234"/>
        <v>9</v>
      </c>
      <c r="R1891" t="str">
        <f t="shared" si="235"/>
        <v/>
      </c>
      <c r="S1891" t="str">
        <f t="shared" si="236"/>
        <v/>
      </c>
      <c r="T1891" s="403" t="str">
        <f t="shared" si="237"/>
        <v>NBE-6502-AL</v>
      </c>
      <c r="U1891" s="403">
        <f t="shared" si="238"/>
        <v>1</v>
      </c>
      <c r="V1891" s="403" t="str">
        <f t="shared" si="239"/>
        <v>CPP_7_3</v>
      </c>
    </row>
    <row r="1892" spans="1:22">
      <c r="A1892" t="str">
        <f t="shared" si="232"/>
        <v>NBE-6502-AL</v>
      </c>
      <c r="B1892" s="403" t="s">
        <v>1386</v>
      </c>
      <c r="C1892" s="403" t="s">
        <v>582</v>
      </c>
      <c r="D1892" s="403" t="s">
        <v>1387</v>
      </c>
      <c r="E1892" s="403" t="s">
        <v>778</v>
      </c>
      <c r="F1892" s="403" t="s">
        <v>1293</v>
      </c>
      <c r="G1892" s="403" t="s">
        <v>1467</v>
      </c>
      <c r="H1892" s="403" t="s">
        <v>1276</v>
      </c>
      <c r="I1892" s="403">
        <v>1</v>
      </c>
      <c r="J1892" s="403" t="s">
        <v>110</v>
      </c>
      <c r="K1892" s="403">
        <v>1080</v>
      </c>
      <c r="L1892" s="403">
        <v>1920</v>
      </c>
      <c r="M1892" s="403" t="s">
        <v>110</v>
      </c>
      <c r="N1892" s="403">
        <v>1080</v>
      </c>
      <c r="O1892" s="403">
        <v>1920</v>
      </c>
      <c r="P1892" t="str">
        <f t="shared" si="233"/>
        <v>25fps 1080p - 1080p</v>
      </c>
      <c r="Q1892">
        <f t="shared" si="234"/>
        <v>9</v>
      </c>
      <c r="R1892" t="str">
        <f t="shared" si="235"/>
        <v/>
      </c>
      <c r="S1892" t="str">
        <f t="shared" si="236"/>
        <v/>
      </c>
      <c r="T1892" s="403" t="str">
        <f t="shared" si="237"/>
        <v>NBE-6502-AL</v>
      </c>
      <c r="U1892" s="403">
        <f t="shared" si="238"/>
        <v>1</v>
      </c>
      <c r="V1892" s="403" t="str">
        <f t="shared" si="239"/>
        <v>CPP_7_3</v>
      </c>
    </row>
    <row r="1893" spans="1:22">
      <c r="A1893" t="str">
        <f t="shared" si="232"/>
        <v>NBE-6502-AL</v>
      </c>
      <c r="B1893" s="403" t="s">
        <v>1386</v>
      </c>
      <c r="C1893" s="403" t="s">
        <v>582</v>
      </c>
      <c r="D1893" s="403" t="s">
        <v>1387</v>
      </c>
      <c r="E1893" s="403" t="s">
        <v>778</v>
      </c>
      <c r="F1893" s="403" t="s">
        <v>1293</v>
      </c>
      <c r="G1893" s="403" t="s">
        <v>1467</v>
      </c>
      <c r="H1893" s="403" t="s">
        <v>1276</v>
      </c>
      <c r="I1893" s="403">
        <v>1</v>
      </c>
      <c r="J1893" s="403" t="s">
        <v>110</v>
      </c>
      <c r="K1893" s="403">
        <v>1080</v>
      </c>
      <c r="L1893" s="403">
        <v>1920</v>
      </c>
      <c r="M1893" s="403" t="s">
        <v>109</v>
      </c>
      <c r="N1893" s="403">
        <v>720</v>
      </c>
      <c r="O1893" s="403">
        <v>1280</v>
      </c>
      <c r="P1893" t="str">
        <f t="shared" si="233"/>
        <v>25fps 1080p - 720p</v>
      </c>
      <c r="Q1893">
        <f t="shared" si="234"/>
        <v>9</v>
      </c>
      <c r="R1893" t="str">
        <f t="shared" si="235"/>
        <v/>
      </c>
      <c r="S1893" t="str">
        <f t="shared" si="236"/>
        <v/>
      </c>
      <c r="T1893" s="403" t="str">
        <f t="shared" si="237"/>
        <v>NBE-6502-AL</v>
      </c>
      <c r="U1893" s="403">
        <f t="shared" si="238"/>
        <v>1</v>
      </c>
      <c r="V1893" s="403" t="str">
        <f t="shared" si="239"/>
        <v>CPP_7_3</v>
      </c>
    </row>
    <row r="1894" spans="1:22">
      <c r="A1894" t="str">
        <f t="shared" si="232"/>
        <v>NBE-6502-AL</v>
      </c>
      <c r="B1894" s="403" t="s">
        <v>1386</v>
      </c>
      <c r="C1894" s="403" t="s">
        <v>582</v>
      </c>
      <c r="D1894" s="403" t="s">
        <v>1387</v>
      </c>
      <c r="E1894" s="403" t="s">
        <v>778</v>
      </c>
      <c r="F1894" s="403" t="s">
        <v>1293</v>
      </c>
      <c r="G1894" s="403" t="s">
        <v>1467</v>
      </c>
      <c r="H1894" s="403" t="s">
        <v>1276</v>
      </c>
      <c r="I1894" s="403">
        <v>1</v>
      </c>
      <c r="J1894" s="403" t="s">
        <v>110</v>
      </c>
      <c r="K1894" s="403">
        <v>1080</v>
      </c>
      <c r="L1894" s="403">
        <v>1920</v>
      </c>
      <c r="M1894" s="403" t="s">
        <v>1285</v>
      </c>
      <c r="N1894" s="403">
        <v>1024</v>
      </c>
      <c r="O1894" s="403">
        <v>1280</v>
      </c>
      <c r="P1894" t="str">
        <f t="shared" si="233"/>
        <v>25fps 1080p - 1280x1024 5:4 (cropped)</v>
      </c>
      <c r="Q1894">
        <f t="shared" si="234"/>
        <v>9</v>
      </c>
      <c r="R1894" t="str">
        <f t="shared" si="235"/>
        <v/>
      </c>
      <c r="S1894" t="str">
        <f t="shared" si="236"/>
        <v/>
      </c>
      <c r="T1894" s="403" t="str">
        <f t="shared" si="237"/>
        <v>NBE-6502-AL</v>
      </c>
      <c r="U1894" s="403">
        <f t="shared" si="238"/>
        <v>1</v>
      </c>
      <c r="V1894" s="403" t="str">
        <f t="shared" si="239"/>
        <v>CPP_7_3</v>
      </c>
    </row>
    <row r="1895" spans="1:22">
      <c r="A1895" t="str">
        <f t="shared" si="232"/>
        <v>NBE-6502-AL</v>
      </c>
      <c r="B1895" s="403" t="s">
        <v>1386</v>
      </c>
      <c r="C1895" s="403" t="s">
        <v>582</v>
      </c>
      <c r="D1895" s="403" t="s">
        <v>1387</v>
      </c>
      <c r="E1895" s="403" t="s">
        <v>778</v>
      </c>
      <c r="F1895" s="403" t="s">
        <v>1293</v>
      </c>
      <c r="G1895" s="403" t="s">
        <v>1467</v>
      </c>
      <c r="H1895" s="403" t="s">
        <v>1276</v>
      </c>
      <c r="I1895" s="403">
        <v>1</v>
      </c>
      <c r="J1895" s="403" t="s">
        <v>110</v>
      </c>
      <c r="K1895" s="403">
        <v>1080</v>
      </c>
      <c r="L1895" s="403">
        <v>1920</v>
      </c>
      <c r="M1895" s="403" t="s">
        <v>1279</v>
      </c>
      <c r="N1895" s="403">
        <v>432</v>
      </c>
      <c r="O1895" s="403">
        <v>768</v>
      </c>
      <c r="P1895" t="str">
        <f t="shared" si="233"/>
        <v>25fps 1080p - SD ROI PTZ</v>
      </c>
      <c r="Q1895">
        <f t="shared" si="234"/>
        <v>9</v>
      </c>
      <c r="R1895" t="str">
        <f t="shared" si="235"/>
        <v/>
      </c>
      <c r="S1895" t="str">
        <f t="shared" si="236"/>
        <v/>
      </c>
      <c r="T1895" s="403" t="str">
        <f t="shared" si="237"/>
        <v>NBE-6502-AL</v>
      </c>
      <c r="U1895" s="403">
        <f t="shared" si="238"/>
        <v>1</v>
      </c>
      <c r="V1895" s="403" t="str">
        <f t="shared" si="239"/>
        <v>CPP_7_3</v>
      </c>
    </row>
    <row r="1896" spans="1:22">
      <c r="A1896" t="str">
        <f t="shared" si="232"/>
        <v>NBE-6502-AL</v>
      </c>
      <c r="B1896" s="403" t="s">
        <v>1386</v>
      </c>
      <c r="C1896" s="403" t="s">
        <v>582</v>
      </c>
      <c r="D1896" s="403" t="s">
        <v>1387</v>
      </c>
      <c r="E1896" s="403" t="s">
        <v>778</v>
      </c>
      <c r="F1896" s="403" t="s">
        <v>1293</v>
      </c>
      <c r="G1896" s="403" t="s">
        <v>1467</v>
      </c>
      <c r="H1896" s="403" t="s">
        <v>1276</v>
      </c>
      <c r="I1896" s="403">
        <v>1</v>
      </c>
      <c r="J1896" s="403" t="s">
        <v>110</v>
      </c>
      <c r="K1896" s="403">
        <v>1080</v>
      </c>
      <c r="L1896" s="403">
        <v>1920</v>
      </c>
      <c r="M1896" s="403" t="s">
        <v>1283</v>
      </c>
      <c r="N1896" s="403">
        <v>576</v>
      </c>
      <c r="O1896" s="403">
        <v>720</v>
      </c>
      <c r="P1896" t="str">
        <f t="shared" si="233"/>
        <v>25fps 1080p - SD 4CIF resolution 4:3 format (cropped)</v>
      </c>
      <c r="Q1896">
        <f t="shared" si="234"/>
        <v>9</v>
      </c>
      <c r="R1896" t="str">
        <f t="shared" si="235"/>
        <v/>
      </c>
      <c r="S1896" t="str">
        <f t="shared" si="236"/>
        <v/>
      </c>
      <c r="T1896" s="403" t="str">
        <f t="shared" si="237"/>
        <v>NBE-6502-AL</v>
      </c>
      <c r="U1896" s="403">
        <f t="shared" si="238"/>
        <v>1</v>
      </c>
      <c r="V1896" s="403" t="str">
        <f t="shared" si="239"/>
        <v>CPP_7_3</v>
      </c>
    </row>
    <row r="1897" spans="1:22">
      <c r="A1897" t="str">
        <f t="shared" si="232"/>
        <v>NBE-6502-AL</v>
      </c>
      <c r="B1897" s="403" t="s">
        <v>1386</v>
      </c>
      <c r="C1897" s="403" t="s">
        <v>582</v>
      </c>
      <c r="D1897" s="403" t="s">
        <v>1387</v>
      </c>
      <c r="E1897" s="403" t="s">
        <v>778</v>
      </c>
      <c r="F1897" s="403" t="s">
        <v>1293</v>
      </c>
      <c r="G1897" s="403" t="s">
        <v>1467</v>
      </c>
      <c r="H1897" s="403" t="s">
        <v>1276</v>
      </c>
      <c r="I1897" s="403">
        <v>1</v>
      </c>
      <c r="J1897" s="403" t="s">
        <v>110</v>
      </c>
      <c r="K1897" s="403">
        <v>1080</v>
      </c>
      <c r="L1897" s="403">
        <v>1920</v>
      </c>
      <c r="M1897" s="403" t="s">
        <v>1284</v>
      </c>
      <c r="N1897" s="403">
        <v>480</v>
      </c>
      <c r="O1897" s="403">
        <v>640</v>
      </c>
      <c r="P1897" t="str">
        <f t="shared" si="233"/>
        <v>25fps 1080p - SD VGA (cropped)</v>
      </c>
      <c r="Q1897">
        <f t="shared" si="234"/>
        <v>9</v>
      </c>
      <c r="R1897" t="str">
        <f t="shared" si="235"/>
        <v/>
      </c>
      <c r="S1897" t="str">
        <f t="shared" si="236"/>
        <v/>
      </c>
      <c r="T1897" s="403" t="str">
        <f t="shared" si="237"/>
        <v>NBE-6502-AL</v>
      </c>
      <c r="U1897" s="403">
        <f t="shared" si="238"/>
        <v>1</v>
      </c>
      <c r="V1897" s="403" t="str">
        <f t="shared" si="239"/>
        <v>CPP_7_3</v>
      </c>
    </row>
    <row r="1898" spans="1:22">
      <c r="A1898" t="str">
        <f t="shared" si="232"/>
        <v>NBE-6502-AL</v>
      </c>
      <c r="B1898" s="403" t="s">
        <v>1386</v>
      </c>
      <c r="C1898" s="403" t="s">
        <v>582</v>
      </c>
      <c r="D1898" s="403" t="s">
        <v>1387</v>
      </c>
      <c r="E1898" s="403" t="s">
        <v>778</v>
      </c>
      <c r="F1898" s="403" t="s">
        <v>1293</v>
      </c>
      <c r="G1898" s="403" t="s">
        <v>1467</v>
      </c>
      <c r="H1898" s="403" t="s">
        <v>1276</v>
      </c>
      <c r="I1898" s="403">
        <v>1</v>
      </c>
      <c r="J1898" s="403" t="s">
        <v>109</v>
      </c>
      <c r="K1898" s="403">
        <v>720</v>
      </c>
      <c r="L1898" s="403">
        <v>1280</v>
      </c>
      <c r="M1898" s="403" t="s">
        <v>109</v>
      </c>
      <c r="N1898" s="403">
        <v>720</v>
      </c>
      <c r="O1898" s="403">
        <v>1280</v>
      </c>
      <c r="P1898" t="str">
        <f t="shared" si="233"/>
        <v>25fps 720p - 720p</v>
      </c>
      <c r="Q1898">
        <f t="shared" si="234"/>
        <v>9</v>
      </c>
      <c r="R1898" t="str">
        <f t="shared" si="235"/>
        <v/>
      </c>
      <c r="S1898" t="str">
        <f t="shared" si="236"/>
        <v/>
      </c>
      <c r="T1898" s="403" t="str">
        <f t="shared" si="237"/>
        <v>NBE-6502-AL</v>
      </c>
      <c r="U1898" s="403">
        <f t="shared" si="238"/>
        <v>1</v>
      </c>
      <c r="V1898" s="403" t="str">
        <f t="shared" si="239"/>
        <v>CPP_7_3</v>
      </c>
    </row>
    <row r="1899" spans="1:22">
      <c r="A1899" t="str">
        <f t="shared" si="232"/>
        <v>NBE-6502-AL</v>
      </c>
      <c r="B1899" s="403" t="s">
        <v>1386</v>
      </c>
      <c r="C1899" s="403" t="s">
        <v>582</v>
      </c>
      <c r="D1899" s="403" t="s">
        <v>1387</v>
      </c>
      <c r="E1899" s="403" t="s">
        <v>778</v>
      </c>
      <c r="F1899" s="403" t="s">
        <v>1293</v>
      </c>
      <c r="G1899" s="403" t="s">
        <v>1467</v>
      </c>
      <c r="H1899" s="403" t="s">
        <v>1276</v>
      </c>
      <c r="I1899" s="403">
        <v>1</v>
      </c>
      <c r="J1899" s="403" t="s">
        <v>109</v>
      </c>
      <c r="K1899" s="403">
        <v>720</v>
      </c>
      <c r="L1899" s="403">
        <v>1280</v>
      </c>
      <c r="M1899" s="403" t="s">
        <v>111</v>
      </c>
      <c r="N1899" s="403">
        <v>432</v>
      </c>
      <c r="O1899" s="403">
        <v>768</v>
      </c>
      <c r="P1899" t="str">
        <f t="shared" si="233"/>
        <v>25fps 720p - SD</v>
      </c>
      <c r="Q1899">
        <f t="shared" si="234"/>
        <v>9</v>
      </c>
      <c r="R1899" t="str">
        <f t="shared" si="235"/>
        <v/>
      </c>
      <c r="S1899" t="str">
        <f t="shared" si="236"/>
        <v/>
      </c>
      <c r="T1899" s="403" t="str">
        <f t="shared" si="237"/>
        <v>NBE-6502-AL</v>
      </c>
      <c r="U1899" s="403">
        <f t="shared" si="238"/>
        <v>1</v>
      </c>
      <c r="V1899" s="403" t="str">
        <f t="shared" si="239"/>
        <v>CPP_7_3</v>
      </c>
    </row>
    <row r="1900" spans="1:22">
      <c r="A1900" t="str">
        <f t="shared" si="232"/>
        <v>NBE-6502-AL</v>
      </c>
      <c r="B1900" s="403" t="s">
        <v>1386</v>
      </c>
      <c r="C1900" s="403" t="s">
        <v>582</v>
      </c>
      <c r="D1900" s="403" t="s">
        <v>1387</v>
      </c>
      <c r="E1900" s="403" t="s">
        <v>778</v>
      </c>
      <c r="F1900" s="403" t="s">
        <v>1293</v>
      </c>
      <c r="G1900" s="403" t="s">
        <v>1467</v>
      </c>
      <c r="H1900" s="403" t="s">
        <v>1276</v>
      </c>
      <c r="I1900" s="403">
        <v>1</v>
      </c>
      <c r="J1900" s="403" t="s">
        <v>109</v>
      </c>
      <c r="K1900" s="403">
        <v>720</v>
      </c>
      <c r="L1900" s="403">
        <v>1280</v>
      </c>
      <c r="M1900" s="403" t="s">
        <v>1279</v>
      </c>
      <c r="N1900" s="403">
        <v>432</v>
      </c>
      <c r="O1900" s="403">
        <v>768</v>
      </c>
      <c r="P1900" t="str">
        <f t="shared" si="233"/>
        <v>25fps 720p - SD ROI PTZ</v>
      </c>
      <c r="Q1900">
        <f t="shared" si="234"/>
        <v>9</v>
      </c>
      <c r="R1900" t="str">
        <f t="shared" si="235"/>
        <v/>
      </c>
      <c r="S1900" t="str">
        <f t="shared" si="236"/>
        <v/>
      </c>
      <c r="T1900" s="403" t="str">
        <f t="shared" si="237"/>
        <v>NBE-6502-AL</v>
      </c>
      <c r="U1900" s="403">
        <f t="shared" si="238"/>
        <v>1</v>
      </c>
      <c r="V1900" s="403" t="str">
        <f t="shared" si="239"/>
        <v>CPP_7_3</v>
      </c>
    </row>
    <row r="1901" spans="1:22">
      <c r="A1901" t="str">
        <f t="shared" si="232"/>
        <v>NBE-6502-AL</v>
      </c>
      <c r="B1901" s="403" t="s">
        <v>1386</v>
      </c>
      <c r="C1901" s="403" t="s">
        <v>582</v>
      </c>
      <c r="D1901" s="403" t="s">
        <v>1387</v>
      </c>
      <c r="E1901" s="403" t="s">
        <v>778</v>
      </c>
      <c r="F1901" s="403" t="s">
        <v>1293</v>
      </c>
      <c r="G1901" s="403" t="s">
        <v>1467</v>
      </c>
      <c r="H1901" s="403" t="s">
        <v>1276</v>
      </c>
      <c r="I1901" s="403">
        <v>1</v>
      </c>
      <c r="J1901" s="403" t="s">
        <v>109</v>
      </c>
      <c r="K1901" s="403">
        <v>720</v>
      </c>
      <c r="L1901" s="403">
        <v>1280</v>
      </c>
      <c r="M1901" s="403" t="s">
        <v>1283</v>
      </c>
      <c r="N1901" s="403">
        <v>576</v>
      </c>
      <c r="O1901" s="403">
        <v>720</v>
      </c>
      <c r="P1901" t="str">
        <f t="shared" si="233"/>
        <v>25fps 720p - SD 4CIF resolution 4:3 format (cropped)</v>
      </c>
      <c r="Q1901">
        <f t="shared" si="234"/>
        <v>9</v>
      </c>
      <c r="R1901" t="str">
        <f t="shared" si="235"/>
        <v/>
      </c>
      <c r="S1901" t="str">
        <f t="shared" si="236"/>
        <v/>
      </c>
      <c r="T1901" s="403" t="str">
        <f t="shared" si="237"/>
        <v>NBE-6502-AL</v>
      </c>
      <c r="U1901" s="403">
        <f t="shared" si="238"/>
        <v>1</v>
      </c>
      <c r="V1901" s="403" t="str">
        <f t="shared" si="239"/>
        <v>CPP_7_3</v>
      </c>
    </row>
    <row r="1902" spans="1:22">
      <c r="A1902" t="str">
        <f t="shared" si="232"/>
        <v>NBE-6502-AL</v>
      </c>
      <c r="B1902" s="403" t="s">
        <v>1386</v>
      </c>
      <c r="C1902" s="403" t="s">
        <v>582</v>
      </c>
      <c r="D1902" s="403" t="s">
        <v>1387</v>
      </c>
      <c r="E1902" s="403" t="s">
        <v>778</v>
      </c>
      <c r="F1902" s="403" t="s">
        <v>1293</v>
      </c>
      <c r="G1902" s="403" t="s">
        <v>1467</v>
      </c>
      <c r="H1902" s="403" t="s">
        <v>1276</v>
      </c>
      <c r="I1902" s="403">
        <v>1</v>
      </c>
      <c r="J1902" s="403" t="s">
        <v>109</v>
      </c>
      <c r="K1902" s="403">
        <v>720</v>
      </c>
      <c r="L1902" s="403">
        <v>1280</v>
      </c>
      <c r="M1902" s="403" t="s">
        <v>1284</v>
      </c>
      <c r="N1902" s="403">
        <v>480</v>
      </c>
      <c r="O1902" s="403">
        <v>640</v>
      </c>
      <c r="P1902" t="str">
        <f t="shared" si="233"/>
        <v>25fps 720p - SD VGA (cropped)</v>
      </c>
      <c r="Q1902">
        <f t="shared" si="234"/>
        <v>9</v>
      </c>
      <c r="R1902" t="str">
        <f t="shared" si="235"/>
        <v/>
      </c>
      <c r="S1902" t="str">
        <f t="shared" si="236"/>
        <v/>
      </c>
      <c r="T1902" s="403" t="str">
        <f t="shared" si="237"/>
        <v>NBE-6502-AL</v>
      </c>
      <c r="U1902" s="403">
        <f t="shared" si="238"/>
        <v>1</v>
      </c>
      <c r="V1902" s="403" t="str">
        <f t="shared" si="239"/>
        <v>CPP_7_3</v>
      </c>
    </row>
    <row r="1903" spans="1:22">
      <c r="A1903" t="str">
        <f t="shared" si="232"/>
        <v>NBE-6502-AL</v>
      </c>
      <c r="B1903" s="403" t="s">
        <v>1386</v>
      </c>
      <c r="C1903" s="403" t="s">
        <v>582</v>
      </c>
      <c r="D1903" s="403" t="s">
        <v>1387</v>
      </c>
      <c r="E1903" s="403" t="s">
        <v>778</v>
      </c>
      <c r="F1903" s="403" t="s">
        <v>1293</v>
      </c>
      <c r="G1903" s="403" t="s">
        <v>1467</v>
      </c>
      <c r="H1903" s="403" t="s">
        <v>1281</v>
      </c>
      <c r="I1903" s="403">
        <v>1</v>
      </c>
      <c r="J1903" s="403" t="s">
        <v>110</v>
      </c>
      <c r="K1903" s="403">
        <v>1080</v>
      </c>
      <c r="L1903" s="403">
        <v>1920</v>
      </c>
      <c r="M1903" s="403" t="s">
        <v>111</v>
      </c>
      <c r="N1903" s="403">
        <v>432</v>
      </c>
      <c r="O1903" s="403">
        <v>768</v>
      </c>
      <c r="P1903" t="str">
        <f t="shared" si="233"/>
        <v>25fps 1080p - SD</v>
      </c>
      <c r="Q1903">
        <f t="shared" si="234"/>
        <v>9</v>
      </c>
      <c r="R1903" t="str">
        <f t="shared" si="235"/>
        <v/>
      </c>
      <c r="S1903" t="str">
        <f t="shared" si="236"/>
        <v/>
      </c>
      <c r="T1903" s="403" t="str">
        <f t="shared" si="237"/>
        <v>NBE-6502-AL</v>
      </c>
      <c r="U1903" s="403">
        <f t="shared" si="238"/>
        <v>1</v>
      </c>
      <c r="V1903" s="403" t="str">
        <f t="shared" si="239"/>
        <v>CPP_7_3</v>
      </c>
    </row>
    <row r="1904" spans="1:22">
      <c r="A1904" t="str">
        <f t="shared" si="232"/>
        <v>NBE-6502-AL</v>
      </c>
      <c r="B1904" s="403" t="s">
        <v>1386</v>
      </c>
      <c r="C1904" s="403" t="s">
        <v>582</v>
      </c>
      <c r="D1904" s="403" t="s">
        <v>1387</v>
      </c>
      <c r="E1904" s="403" t="s">
        <v>778</v>
      </c>
      <c r="F1904" s="403" t="s">
        <v>1293</v>
      </c>
      <c r="G1904" s="403" t="s">
        <v>1467</v>
      </c>
      <c r="H1904" s="403" t="s">
        <v>1281</v>
      </c>
      <c r="I1904" s="403">
        <v>1</v>
      </c>
      <c r="J1904" s="403" t="s">
        <v>110</v>
      </c>
      <c r="K1904" s="403">
        <v>1080</v>
      </c>
      <c r="L1904" s="403">
        <v>1920</v>
      </c>
      <c r="M1904" s="403" t="s">
        <v>110</v>
      </c>
      <c r="N1904" s="403">
        <v>1080</v>
      </c>
      <c r="O1904" s="403">
        <v>1920</v>
      </c>
      <c r="P1904" t="str">
        <f t="shared" si="233"/>
        <v>25fps 1080p - 1080p</v>
      </c>
      <c r="Q1904">
        <f t="shared" si="234"/>
        <v>9</v>
      </c>
      <c r="R1904" t="str">
        <f t="shared" si="235"/>
        <v/>
      </c>
      <c r="S1904" t="str">
        <f t="shared" si="236"/>
        <v/>
      </c>
      <c r="T1904" s="403" t="str">
        <f t="shared" si="237"/>
        <v>NBE-6502-AL</v>
      </c>
      <c r="U1904" s="403">
        <f t="shared" si="238"/>
        <v>1</v>
      </c>
      <c r="V1904" s="403" t="str">
        <f t="shared" si="239"/>
        <v>CPP_7_3</v>
      </c>
    </row>
    <row r="1905" spans="1:22">
      <c r="A1905" t="str">
        <f t="shared" si="232"/>
        <v>NBE-6502-AL</v>
      </c>
      <c r="B1905" s="403" t="s">
        <v>1386</v>
      </c>
      <c r="C1905" s="403" t="s">
        <v>582</v>
      </c>
      <c r="D1905" s="403" t="s">
        <v>1387</v>
      </c>
      <c r="E1905" s="403" t="s">
        <v>778</v>
      </c>
      <c r="F1905" s="403" t="s">
        <v>1293</v>
      </c>
      <c r="G1905" s="403" t="s">
        <v>1467</v>
      </c>
      <c r="H1905" s="403" t="s">
        <v>1281</v>
      </c>
      <c r="I1905" s="403">
        <v>1</v>
      </c>
      <c r="J1905" s="403" t="s">
        <v>110</v>
      </c>
      <c r="K1905" s="403">
        <v>1080</v>
      </c>
      <c r="L1905" s="403">
        <v>1920</v>
      </c>
      <c r="M1905" s="403" t="s">
        <v>109</v>
      </c>
      <c r="N1905" s="403">
        <v>720</v>
      </c>
      <c r="O1905" s="403">
        <v>1280</v>
      </c>
      <c r="P1905" t="str">
        <f t="shared" si="233"/>
        <v>25fps 1080p - 720p</v>
      </c>
      <c r="Q1905">
        <f t="shared" si="234"/>
        <v>9</v>
      </c>
      <c r="R1905" t="str">
        <f t="shared" si="235"/>
        <v/>
      </c>
      <c r="S1905" t="str">
        <f t="shared" si="236"/>
        <v/>
      </c>
      <c r="T1905" s="403" t="str">
        <f t="shared" si="237"/>
        <v>NBE-6502-AL</v>
      </c>
      <c r="U1905" s="403">
        <f t="shared" si="238"/>
        <v>1</v>
      </c>
      <c r="V1905" s="403" t="str">
        <f t="shared" si="239"/>
        <v>CPP_7_3</v>
      </c>
    </row>
    <row r="1906" spans="1:22">
      <c r="A1906" t="str">
        <f t="shared" si="232"/>
        <v>NBE-6502-AL</v>
      </c>
      <c r="B1906" s="403" t="s">
        <v>1386</v>
      </c>
      <c r="C1906" s="403" t="s">
        <v>582</v>
      </c>
      <c r="D1906" s="403" t="s">
        <v>1387</v>
      </c>
      <c r="E1906" s="403" t="s">
        <v>778</v>
      </c>
      <c r="F1906" s="403" t="s">
        <v>1293</v>
      </c>
      <c r="G1906" s="403" t="s">
        <v>1467</v>
      </c>
      <c r="H1906" s="403" t="s">
        <v>1281</v>
      </c>
      <c r="I1906" s="403">
        <v>1</v>
      </c>
      <c r="J1906" s="403" t="s">
        <v>110</v>
      </c>
      <c r="K1906" s="403">
        <v>1080</v>
      </c>
      <c r="L1906" s="403">
        <v>1920</v>
      </c>
      <c r="M1906" s="403" t="s">
        <v>1285</v>
      </c>
      <c r="N1906" s="403">
        <v>1024</v>
      </c>
      <c r="O1906" s="403">
        <v>1280</v>
      </c>
      <c r="P1906" t="str">
        <f t="shared" si="233"/>
        <v>25fps 1080p - 1280x1024 5:4 (cropped)</v>
      </c>
      <c r="Q1906">
        <f t="shared" si="234"/>
        <v>9</v>
      </c>
      <c r="R1906" t="str">
        <f t="shared" si="235"/>
        <v/>
      </c>
      <c r="S1906" t="str">
        <f t="shared" si="236"/>
        <v/>
      </c>
      <c r="T1906" s="403" t="str">
        <f t="shared" si="237"/>
        <v>NBE-6502-AL</v>
      </c>
      <c r="U1906" s="403">
        <f t="shared" si="238"/>
        <v>1</v>
      </c>
      <c r="V1906" s="403" t="str">
        <f t="shared" si="239"/>
        <v>CPP_7_3</v>
      </c>
    </row>
    <row r="1907" spans="1:22">
      <c r="A1907" t="str">
        <f t="shared" si="232"/>
        <v>NBE-6502-AL</v>
      </c>
      <c r="B1907" s="403" t="s">
        <v>1386</v>
      </c>
      <c r="C1907" s="403" t="s">
        <v>582</v>
      </c>
      <c r="D1907" s="403" t="s">
        <v>1387</v>
      </c>
      <c r="E1907" s="403" t="s">
        <v>778</v>
      </c>
      <c r="F1907" s="403" t="s">
        <v>1293</v>
      </c>
      <c r="G1907" s="403" t="s">
        <v>1467</v>
      </c>
      <c r="H1907" s="403" t="s">
        <v>1281</v>
      </c>
      <c r="I1907" s="403">
        <v>1</v>
      </c>
      <c r="J1907" s="403" t="s">
        <v>110</v>
      </c>
      <c r="K1907" s="403">
        <v>1080</v>
      </c>
      <c r="L1907" s="403">
        <v>1920</v>
      </c>
      <c r="M1907" s="403" t="s">
        <v>1279</v>
      </c>
      <c r="N1907" s="403">
        <v>432</v>
      </c>
      <c r="O1907" s="403">
        <v>768</v>
      </c>
      <c r="P1907" t="str">
        <f t="shared" si="233"/>
        <v>25fps 1080p - SD ROI PTZ</v>
      </c>
      <c r="Q1907">
        <f t="shared" si="234"/>
        <v>9</v>
      </c>
      <c r="R1907" t="str">
        <f t="shared" si="235"/>
        <v/>
      </c>
      <c r="S1907" t="str">
        <f t="shared" si="236"/>
        <v/>
      </c>
      <c r="T1907" s="403" t="str">
        <f t="shared" si="237"/>
        <v>NBE-6502-AL</v>
      </c>
      <c r="U1907" s="403">
        <f t="shared" si="238"/>
        <v>1</v>
      </c>
      <c r="V1907" s="403" t="str">
        <f t="shared" si="239"/>
        <v>CPP_7_3</v>
      </c>
    </row>
    <row r="1908" spans="1:22">
      <c r="A1908" t="str">
        <f t="shared" si="232"/>
        <v>NBE-6502-AL</v>
      </c>
      <c r="B1908" s="403" t="s">
        <v>1386</v>
      </c>
      <c r="C1908" s="403" t="s">
        <v>582</v>
      </c>
      <c r="D1908" s="403" t="s">
        <v>1387</v>
      </c>
      <c r="E1908" s="403" t="s">
        <v>778</v>
      </c>
      <c r="F1908" s="403" t="s">
        <v>1293</v>
      </c>
      <c r="G1908" s="403" t="s">
        <v>1467</v>
      </c>
      <c r="H1908" s="403" t="s">
        <v>1281</v>
      </c>
      <c r="I1908" s="403">
        <v>1</v>
      </c>
      <c r="J1908" s="403" t="s">
        <v>110</v>
      </c>
      <c r="K1908" s="403">
        <v>1080</v>
      </c>
      <c r="L1908" s="403">
        <v>1920</v>
      </c>
      <c r="M1908" s="403" t="s">
        <v>1283</v>
      </c>
      <c r="N1908" s="403">
        <v>576</v>
      </c>
      <c r="O1908" s="403">
        <v>720</v>
      </c>
      <c r="P1908" t="str">
        <f t="shared" si="233"/>
        <v>25fps 1080p - SD 4CIF resolution 4:3 format (cropped)</v>
      </c>
      <c r="Q1908">
        <f t="shared" si="234"/>
        <v>9</v>
      </c>
      <c r="R1908" t="str">
        <f t="shared" si="235"/>
        <v/>
      </c>
      <c r="S1908" t="str">
        <f t="shared" si="236"/>
        <v/>
      </c>
      <c r="T1908" s="403" t="str">
        <f t="shared" si="237"/>
        <v>NBE-6502-AL</v>
      </c>
      <c r="U1908" s="403">
        <f t="shared" si="238"/>
        <v>1</v>
      </c>
      <c r="V1908" s="403" t="str">
        <f t="shared" si="239"/>
        <v>CPP_7_3</v>
      </c>
    </row>
    <row r="1909" spans="1:22">
      <c r="A1909" t="str">
        <f t="shared" si="232"/>
        <v>NBE-6502-AL</v>
      </c>
      <c r="B1909" s="403" t="s">
        <v>1386</v>
      </c>
      <c r="C1909" s="403" t="s">
        <v>582</v>
      </c>
      <c r="D1909" s="403" t="s">
        <v>1387</v>
      </c>
      <c r="E1909" s="403" t="s">
        <v>778</v>
      </c>
      <c r="F1909" s="403" t="s">
        <v>1293</v>
      </c>
      <c r="G1909" s="403" t="s">
        <v>1467</v>
      </c>
      <c r="H1909" s="403" t="s">
        <v>1281</v>
      </c>
      <c r="I1909" s="403">
        <v>1</v>
      </c>
      <c r="J1909" s="403" t="s">
        <v>110</v>
      </c>
      <c r="K1909" s="403">
        <v>1080</v>
      </c>
      <c r="L1909" s="403">
        <v>1920</v>
      </c>
      <c r="M1909" s="403" t="s">
        <v>1284</v>
      </c>
      <c r="N1909" s="403">
        <v>480</v>
      </c>
      <c r="O1909" s="403">
        <v>640</v>
      </c>
      <c r="P1909" t="str">
        <f t="shared" si="233"/>
        <v>25fps 1080p - SD VGA (cropped)</v>
      </c>
      <c r="Q1909">
        <f t="shared" si="234"/>
        <v>9</v>
      </c>
      <c r="R1909" t="str">
        <f t="shared" si="235"/>
        <v/>
      </c>
      <c r="S1909" t="str">
        <f t="shared" si="236"/>
        <v/>
      </c>
      <c r="T1909" s="403" t="str">
        <f t="shared" si="237"/>
        <v>NBE-6502-AL</v>
      </c>
      <c r="U1909" s="403">
        <f t="shared" si="238"/>
        <v>1</v>
      </c>
      <c r="V1909" s="403" t="str">
        <f t="shared" si="239"/>
        <v>CPP_7_3</v>
      </c>
    </row>
    <row r="1910" spans="1:22">
      <c r="A1910" t="str">
        <f t="shared" si="232"/>
        <v>NBE-6502-AL</v>
      </c>
      <c r="B1910" s="403" t="s">
        <v>1386</v>
      </c>
      <c r="C1910" s="403" t="s">
        <v>582</v>
      </c>
      <c r="D1910" s="403" t="s">
        <v>1387</v>
      </c>
      <c r="E1910" s="403" t="s">
        <v>778</v>
      </c>
      <c r="F1910" s="403" t="s">
        <v>1293</v>
      </c>
      <c r="G1910" s="403" t="s">
        <v>1467</v>
      </c>
      <c r="H1910" s="403" t="s">
        <v>1281</v>
      </c>
      <c r="I1910" s="403">
        <v>1</v>
      </c>
      <c r="J1910" s="403" t="s">
        <v>109</v>
      </c>
      <c r="K1910" s="403">
        <v>720</v>
      </c>
      <c r="L1910" s="403">
        <v>1280</v>
      </c>
      <c r="M1910" s="403" t="s">
        <v>109</v>
      </c>
      <c r="N1910" s="403">
        <v>720</v>
      </c>
      <c r="O1910" s="403">
        <v>1280</v>
      </c>
      <c r="P1910" t="str">
        <f t="shared" si="233"/>
        <v>25fps 720p - 720p</v>
      </c>
      <c r="Q1910">
        <f t="shared" si="234"/>
        <v>9</v>
      </c>
      <c r="R1910" t="str">
        <f t="shared" si="235"/>
        <v/>
      </c>
      <c r="S1910" t="str">
        <f t="shared" si="236"/>
        <v/>
      </c>
      <c r="T1910" s="403" t="str">
        <f t="shared" si="237"/>
        <v>NBE-6502-AL</v>
      </c>
      <c r="U1910" s="403">
        <f t="shared" si="238"/>
        <v>1</v>
      </c>
      <c r="V1910" s="403" t="str">
        <f t="shared" si="239"/>
        <v>CPP_7_3</v>
      </c>
    </row>
    <row r="1911" spans="1:22">
      <c r="A1911" t="str">
        <f t="shared" si="232"/>
        <v>NBE-6502-AL</v>
      </c>
      <c r="B1911" s="403" t="s">
        <v>1386</v>
      </c>
      <c r="C1911" s="403" t="s">
        <v>582</v>
      </c>
      <c r="D1911" s="403" t="s">
        <v>1387</v>
      </c>
      <c r="E1911" s="403" t="s">
        <v>778</v>
      </c>
      <c r="F1911" s="403" t="s">
        <v>1293</v>
      </c>
      <c r="G1911" s="403" t="s">
        <v>1467</v>
      </c>
      <c r="H1911" s="403" t="s">
        <v>1281</v>
      </c>
      <c r="I1911" s="403">
        <v>1</v>
      </c>
      <c r="J1911" s="403" t="s">
        <v>109</v>
      </c>
      <c r="K1911" s="403">
        <v>720</v>
      </c>
      <c r="L1911" s="403">
        <v>1280</v>
      </c>
      <c r="M1911" s="403" t="s">
        <v>111</v>
      </c>
      <c r="N1911" s="403">
        <v>432</v>
      </c>
      <c r="O1911" s="403">
        <v>768</v>
      </c>
      <c r="P1911" t="str">
        <f t="shared" si="233"/>
        <v>25fps 720p - SD</v>
      </c>
      <c r="Q1911">
        <f t="shared" si="234"/>
        <v>9</v>
      </c>
      <c r="R1911" t="str">
        <f t="shared" si="235"/>
        <v/>
      </c>
      <c r="S1911" t="str">
        <f t="shared" si="236"/>
        <v/>
      </c>
      <c r="T1911" s="403" t="str">
        <f t="shared" si="237"/>
        <v>NBE-6502-AL</v>
      </c>
      <c r="U1911" s="403">
        <f t="shared" si="238"/>
        <v>1</v>
      </c>
      <c r="V1911" s="403" t="str">
        <f t="shared" si="239"/>
        <v>CPP_7_3</v>
      </c>
    </row>
    <row r="1912" spans="1:22">
      <c r="A1912" t="str">
        <f t="shared" si="232"/>
        <v>NBE-6502-AL</v>
      </c>
      <c r="B1912" s="403" t="s">
        <v>1386</v>
      </c>
      <c r="C1912" s="403" t="s">
        <v>582</v>
      </c>
      <c r="D1912" s="403" t="s">
        <v>1387</v>
      </c>
      <c r="E1912" s="403" t="s">
        <v>778</v>
      </c>
      <c r="F1912" s="403" t="s">
        <v>1293</v>
      </c>
      <c r="G1912" s="403" t="s">
        <v>1467</v>
      </c>
      <c r="H1912" s="403" t="s">
        <v>1281</v>
      </c>
      <c r="I1912" s="403">
        <v>1</v>
      </c>
      <c r="J1912" s="403" t="s">
        <v>109</v>
      </c>
      <c r="K1912" s="403">
        <v>720</v>
      </c>
      <c r="L1912" s="403">
        <v>1280</v>
      </c>
      <c r="M1912" s="403" t="s">
        <v>1279</v>
      </c>
      <c r="N1912" s="403">
        <v>432</v>
      </c>
      <c r="O1912" s="403">
        <v>768</v>
      </c>
      <c r="P1912" t="str">
        <f t="shared" si="233"/>
        <v>25fps 720p - SD ROI PTZ</v>
      </c>
      <c r="Q1912">
        <f t="shared" si="234"/>
        <v>9</v>
      </c>
      <c r="R1912" t="str">
        <f t="shared" si="235"/>
        <v/>
      </c>
      <c r="S1912" t="str">
        <f t="shared" si="236"/>
        <v/>
      </c>
      <c r="T1912" s="403" t="str">
        <f t="shared" si="237"/>
        <v>NBE-6502-AL</v>
      </c>
      <c r="U1912" s="403">
        <f t="shared" si="238"/>
        <v>1</v>
      </c>
      <c r="V1912" s="403" t="str">
        <f t="shared" si="239"/>
        <v>CPP_7_3</v>
      </c>
    </row>
    <row r="1913" spans="1:22">
      <c r="A1913" t="str">
        <f t="shared" si="232"/>
        <v>NBE-6502-AL</v>
      </c>
      <c r="B1913" s="403" t="s">
        <v>1386</v>
      </c>
      <c r="C1913" s="403" t="s">
        <v>582</v>
      </c>
      <c r="D1913" s="403" t="s">
        <v>1387</v>
      </c>
      <c r="E1913" s="403" t="s">
        <v>778</v>
      </c>
      <c r="F1913" s="403" t="s">
        <v>1293</v>
      </c>
      <c r="G1913" s="403" t="s">
        <v>1467</v>
      </c>
      <c r="H1913" s="403" t="s">
        <v>1281</v>
      </c>
      <c r="I1913" s="403">
        <v>1</v>
      </c>
      <c r="J1913" s="403" t="s">
        <v>109</v>
      </c>
      <c r="K1913" s="403">
        <v>720</v>
      </c>
      <c r="L1913" s="403">
        <v>1280</v>
      </c>
      <c r="M1913" s="403" t="s">
        <v>1283</v>
      </c>
      <c r="N1913" s="403">
        <v>576</v>
      </c>
      <c r="O1913" s="403">
        <v>720</v>
      </c>
      <c r="P1913" t="str">
        <f t="shared" si="233"/>
        <v>25fps 720p - SD 4CIF resolution 4:3 format (cropped)</v>
      </c>
      <c r="Q1913">
        <f t="shared" si="234"/>
        <v>9</v>
      </c>
      <c r="R1913" t="str">
        <f t="shared" si="235"/>
        <v/>
      </c>
      <c r="S1913" t="str">
        <f t="shared" si="236"/>
        <v/>
      </c>
      <c r="T1913" s="403" t="str">
        <f t="shared" si="237"/>
        <v>NBE-6502-AL</v>
      </c>
      <c r="U1913" s="403">
        <f t="shared" si="238"/>
        <v>1</v>
      </c>
      <c r="V1913" s="403" t="str">
        <f t="shared" si="239"/>
        <v>CPP_7_3</v>
      </c>
    </row>
    <row r="1914" spans="1:22">
      <c r="A1914" t="str">
        <f t="shared" si="232"/>
        <v>NBE-6502-AL</v>
      </c>
      <c r="B1914" s="403" t="s">
        <v>1386</v>
      </c>
      <c r="C1914" s="403" t="s">
        <v>582</v>
      </c>
      <c r="D1914" s="403" t="s">
        <v>1387</v>
      </c>
      <c r="E1914" s="403" t="s">
        <v>778</v>
      </c>
      <c r="F1914" s="403" t="s">
        <v>1293</v>
      </c>
      <c r="G1914" s="403" t="s">
        <v>1467</v>
      </c>
      <c r="H1914" s="403" t="s">
        <v>1281</v>
      </c>
      <c r="I1914" s="403">
        <v>1</v>
      </c>
      <c r="J1914" s="403" t="s">
        <v>109</v>
      </c>
      <c r="K1914" s="403">
        <v>720</v>
      </c>
      <c r="L1914" s="403">
        <v>1280</v>
      </c>
      <c r="M1914" s="403" t="s">
        <v>1284</v>
      </c>
      <c r="N1914" s="403">
        <v>480</v>
      </c>
      <c r="O1914" s="403">
        <v>640</v>
      </c>
      <c r="P1914" t="str">
        <f t="shared" si="233"/>
        <v>25fps 720p - SD VGA (cropped)</v>
      </c>
      <c r="Q1914">
        <f t="shared" si="234"/>
        <v>9</v>
      </c>
      <c r="R1914" t="str">
        <f t="shared" si="235"/>
        <v/>
      </c>
      <c r="S1914" t="str">
        <f t="shared" si="236"/>
        <v/>
      </c>
      <c r="T1914" s="403" t="str">
        <f t="shared" si="237"/>
        <v>NBE-6502-AL</v>
      </c>
      <c r="U1914" s="403">
        <f t="shared" si="238"/>
        <v>1</v>
      </c>
      <c r="V1914" s="403" t="str">
        <f t="shared" si="239"/>
        <v>CPP_7_3</v>
      </c>
    </row>
    <row r="1915" spans="1:22">
      <c r="A1915" t="str">
        <f t="shared" si="232"/>
        <v>NBE-6502-AL</v>
      </c>
      <c r="B1915" s="403" t="s">
        <v>1386</v>
      </c>
      <c r="C1915" s="403" t="s">
        <v>582</v>
      </c>
      <c r="D1915" s="403" t="s">
        <v>1387</v>
      </c>
      <c r="E1915" s="403" t="s">
        <v>778</v>
      </c>
      <c r="F1915" s="403" t="s">
        <v>1293</v>
      </c>
      <c r="G1915" s="403" t="s">
        <v>1467</v>
      </c>
      <c r="H1915" s="403" t="s">
        <v>1282</v>
      </c>
      <c r="I1915" s="403">
        <v>1</v>
      </c>
      <c r="J1915" s="403" t="s">
        <v>110</v>
      </c>
      <c r="K1915" s="403">
        <v>1080</v>
      </c>
      <c r="L1915" s="403">
        <v>1920</v>
      </c>
      <c r="M1915" s="403" t="s">
        <v>111</v>
      </c>
      <c r="N1915" s="403">
        <v>432</v>
      </c>
      <c r="O1915" s="403">
        <v>768</v>
      </c>
      <c r="P1915" t="str">
        <f t="shared" si="233"/>
        <v>25fps 1080p - SD</v>
      </c>
      <c r="Q1915">
        <f t="shared" si="234"/>
        <v>9</v>
      </c>
      <c r="R1915" t="str">
        <f t="shared" si="235"/>
        <v/>
      </c>
      <c r="S1915" t="str">
        <f t="shared" si="236"/>
        <v/>
      </c>
      <c r="T1915" s="403" t="str">
        <f t="shared" si="237"/>
        <v>NBE-6502-AL</v>
      </c>
      <c r="U1915" s="403">
        <f t="shared" si="238"/>
        <v>1</v>
      </c>
      <c r="V1915" s="403" t="str">
        <f t="shared" si="239"/>
        <v>CPP_7_3</v>
      </c>
    </row>
    <row r="1916" spans="1:22">
      <c r="A1916" t="str">
        <f t="shared" si="232"/>
        <v>NBE-6502-AL</v>
      </c>
      <c r="B1916" s="403" t="s">
        <v>1386</v>
      </c>
      <c r="C1916" s="403" t="s">
        <v>582</v>
      </c>
      <c r="D1916" s="403" t="s">
        <v>1387</v>
      </c>
      <c r="E1916" s="403" t="s">
        <v>778</v>
      </c>
      <c r="F1916" s="403" t="s">
        <v>1293</v>
      </c>
      <c r="G1916" s="403" t="s">
        <v>1467</v>
      </c>
      <c r="H1916" s="403" t="s">
        <v>1282</v>
      </c>
      <c r="I1916" s="403">
        <v>1</v>
      </c>
      <c r="J1916" s="403" t="s">
        <v>110</v>
      </c>
      <c r="K1916" s="403">
        <v>1080</v>
      </c>
      <c r="L1916" s="403">
        <v>1920</v>
      </c>
      <c r="M1916" s="403" t="s">
        <v>110</v>
      </c>
      <c r="N1916" s="403">
        <v>1080</v>
      </c>
      <c r="O1916" s="403">
        <v>1920</v>
      </c>
      <c r="P1916" t="str">
        <f t="shared" si="233"/>
        <v>25fps 1080p - 1080p</v>
      </c>
      <c r="Q1916">
        <f t="shared" si="234"/>
        <v>9</v>
      </c>
      <c r="R1916" t="str">
        <f t="shared" si="235"/>
        <v/>
      </c>
      <c r="S1916" t="str">
        <f t="shared" si="236"/>
        <v/>
      </c>
      <c r="T1916" s="403" t="str">
        <f t="shared" si="237"/>
        <v>NBE-6502-AL</v>
      </c>
      <c r="U1916" s="403">
        <f t="shared" si="238"/>
        <v>1</v>
      </c>
      <c r="V1916" s="403" t="str">
        <f t="shared" si="239"/>
        <v>CPP_7_3</v>
      </c>
    </row>
    <row r="1917" spans="1:22">
      <c r="A1917" t="str">
        <f t="shared" si="232"/>
        <v>NBE-6502-AL</v>
      </c>
      <c r="B1917" s="403" t="s">
        <v>1386</v>
      </c>
      <c r="C1917" s="403" t="s">
        <v>582</v>
      </c>
      <c r="D1917" s="403" t="s">
        <v>1387</v>
      </c>
      <c r="E1917" s="403" t="s">
        <v>778</v>
      </c>
      <c r="F1917" s="403" t="s">
        <v>1293</v>
      </c>
      <c r="G1917" s="403" t="s">
        <v>1467</v>
      </c>
      <c r="H1917" s="403" t="s">
        <v>1282</v>
      </c>
      <c r="I1917" s="403">
        <v>1</v>
      </c>
      <c r="J1917" s="403" t="s">
        <v>110</v>
      </c>
      <c r="K1917" s="403">
        <v>1080</v>
      </c>
      <c r="L1917" s="403">
        <v>1920</v>
      </c>
      <c r="M1917" s="403" t="s">
        <v>109</v>
      </c>
      <c r="N1917" s="403">
        <v>720</v>
      </c>
      <c r="O1917" s="403">
        <v>1280</v>
      </c>
      <c r="P1917" t="str">
        <f t="shared" si="233"/>
        <v>25fps 1080p - 720p</v>
      </c>
      <c r="Q1917">
        <f t="shared" si="234"/>
        <v>9</v>
      </c>
      <c r="R1917" t="str">
        <f t="shared" si="235"/>
        <v/>
      </c>
      <c r="S1917" t="str">
        <f t="shared" si="236"/>
        <v/>
      </c>
      <c r="T1917" s="403" t="str">
        <f t="shared" si="237"/>
        <v>NBE-6502-AL</v>
      </c>
      <c r="U1917" s="403">
        <f t="shared" si="238"/>
        <v>1</v>
      </c>
      <c r="V1917" s="403" t="str">
        <f t="shared" si="239"/>
        <v>CPP_7_3</v>
      </c>
    </row>
    <row r="1918" spans="1:22">
      <c r="A1918" t="str">
        <f t="shared" si="232"/>
        <v>NBE-6502-AL</v>
      </c>
      <c r="B1918" s="403" t="s">
        <v>1386</v>
      </c>
      <c r="C1918" s="403" t="s">
        <v>582</v>
      </c>
      <c r="D1918" s="403" t="s">
        <v>1387</v>
      </c>
      <c r="E1918" s="403" t="s">
        <v>778</v>
      </c>
      <c r="F1918" s="403" t="s">
        <v>1293</v>
      </c>
      <c r="G1918" s="403" t="s">
        <v>1467</v>
      </c>
      <c r="H1918" s="403" t="s">
        <v>1282</v>
      </c>
      <c r="I1918" s="403">
        <v>1</v>
      </c>
      <c r="J1918" s="403" t="s">
        <v>110</v>
      </c>
      <c r="K1918" s="403">
        <v>1080</v>
      </c>
      <c r="L1918" s="403">
        <v>1920</v>
      </c>
      <c r="M1918" s="403" t="s">
        <v>1285</v>
      </c>
      <c r="N1918" s="403">
        <v>1024</v>
      </c>
      <c r="O1918" s="403">
        <v>1280</v>
      </c>
      <c r="P1918" t="str">
        <f t="shared" si="233"/>
        <v>25fps 1080p - 1280x1024 5:4 (cropped)</v>
      </c>
      <c r="Q1918">
        <f t="shared" si="234"/>
        <v>9</v>
      </c>
      <c r="R1918" t="str">
        <f t="shared" si="235"/>
        <v/>
      </c>
      <c r="S1918" t="str">
        <f t="shared" si="236"/>
        <v/>
      </c>
      <c r="T1918" s="403" t="str">
        <f t="shared" si="237"/>
        <v>NBE-6502-AL</v>
      </c>
      <c r="U1918" s="403">
        <f t="shared" si="238"/>
        <v>1</v>
      </c>
      <c r="V1918" s="403" t="str">
        <f t="shared" si="239"/>
        <v>CPP_7_3</v>
      </c>
    </row>
    <row r="1919" spans="1:22">
      <c r="A1919" t="str">
        <f t="shared" si="232"/>
        <v>NBE-6502-AL</v>
      </c>
      <c r="B1919" s="403" t="s">
        <v>1386</v>
      </c>
      <c r="C1919" s="403" t="s">
        <v>582</v>
      </c>
      <c r="D1919" s="403" t="s">
        <v>1387</v>
      </c>
      <c r="E1919" s="403" t="s">
        <v>778</v>
      </c>
      <c r="F1919" s="403" t="s">
        <v>1293</v>
      </c>
      <c r="G1919" s="403" t="s">
        <v>1467</v>
      </c>
      <c r="H1919" s="403" t="s">
        <v>1282</v>
      </c>
      <c r="I1919" s="403">
        <v>1</v>
      </c>
      <c r="J1919" s="403" t="s">
        <v>110</v>
      </c>
      <c r="K1919" s="403">
        <v>1080</v>
      </c>
      <c r="L1919" s="403">
        <v>1920</v>
      </c>
      <c r="M1919" s="403" t="s">
        <v>1279</v>
      </c>
      <c r="N1919" s="403">
        <v>432</v>
      </c>
      <c r="O1919" s="403">
        <v>768</v>
      </c>
      <c r="P1919" t="str">
        <f t="shared" si="233"/>
        <v>25fps 1080p - SD ROI PTZ</v>
      </c>
      <c r="Q1919">
        <f t="shared" si="234"/>
        <v>9</v>
      </c>
      <c r="R1919" t="str">
        <f t="shared" si="235"/>
        <v/>
      </c>
      <c r="S1919" t="str">
        <f t="shared" si="236"/>
        <v/>
      </c>
      <c r="T1919" s="403" t="str">
        <f t="shared" si="237"/>
        <v>NBE-6502-AL</v>
      </c>
      <c r="U1919" s="403">
        <f t="shared" si="238"/>
        <v>1</v>
      </c>
      <c r="V1919" s="403" t="str">
        <f t="shared" si="239"/>
        <v>CPP_7_3</v>
      </c>
    </row>
    <row r="1920" spans="1:22">
      <c r="A1920" t="str">
        <f t="shared" si="232"/>
        <v>NBE-6502-AL</v>
      </c>
      <c r="B1920" s="403" t="s">
        <v>1386</v>
      </c>
      <c r="C1920" s="403" t="s">
        <v>582</v>
      </c>
      <c r="D1920" s="403" t="s">
        <v>1387</v>
      </c>
      <c r="E1920" s="403" t="s">
        <v>778</v>
      </c>
      <c r="F1920" s="403" t="s">
        <v>1293</v>
      </c>
      <c r="G1920" s="403" t="s">
        <v>1467</v>
      </c>
      <c r="H1920" s="403" t="s">
        <v>1282</v>
      </c>
      <c r="I1920" s="403">
        <v>1</v>
      </c>
      <c r="J1920" s="403" t="s">
        <v>110</v>
      </c>
      <c r="K1920" s="403">
        <v>1080</v>
      </c>
      <c r="L1920" s="403">
        <v>1920</v>
      </c>
      <c r="M1920" s="403" t="s">
        <v>1283</v>
      </c>
      <c r="N1920" s="403">
        <v>576</v>
      </c>
      <c r="O1920" s="403">
        <v>720</v>
      </c>
      <c r="P1920" t="str">
        <f t="shared" si="233"/>
        <v>25fps 1080p - SD 4CIF resolution 4:3 format (cropped)</v>
      </c>
      <c r="Q1920">
        <f t="shared" si="234"/>
        <v>9</v>
      </c>
      <c r="R1920" t="str">
        <f t="shared" si="235"/>
        <v/>
      </c>
      <c r="S1920" t="str">
        <f t="shared" si="236"/>
        <v/>
      </c>
      <c r="T1920" s="403" t="str">
        <f t="shared" si="237"/>
        <v>NBE-6502-AL</v>
      </c>
      <c r="U1920" s="403">
        <f t="shared" si="238"/>
        <v>1</v>
      </c>
      <c r="V1920" s="403" t="str">
        <f t="shared" si="239"/>
        <v>CPP_7_3</v>
      </c>
    </row>
    <row r="1921" spans="1:22">
      <c r="A1921" t="str">
        <f t="shared" si="232"/>
        <v>NBE-6502-AL</v>
      </c>
      <c r="B1921" s="403" t="s">
        <v>1386</v>
      </c>
      <c r="C1921" s="403" t="s">
        <v>582</v>
      </c>
      <c r="D1921" s="403" t="s">
        <v>1387</v>
      </c>
      <c r="E1921" s="403" t="s">
        <v>778</v>
      </c>
      <c r="F1921" s="403" t="s">
        <v>1293</v>
      </c>
      <c r="G1921" s="403" t="s">
        <v>1467</v>
      </c>
      <c r="H1921" s="403" t="s">
        <v>1282</v>
      </c>
      <c r="I1921" s="403">
        <v>1</v>
      </c>
      <c r="J1921" s="403" t="s">
        <v>110</v>
      </c>
      <c r="K1921" s="403">
        <v>1080</v>
      </c>
      <c r="L1921" s="403">
        <v>1920</v>
      </c>
      <c r="M1921" s="403" t="s">
        <v>1284</v>
      </c>
      <c r="N1921" s="403">
        <v>480</v>
      </c>
      <c r="O1921" s="403">
        <v>640</v>
      </c>
      <c r="P1921" t="str">
        <f t="shared" si="233"/>
        <v>25fps 1080p - SD VGA (cropped)</v>
      </c>
      <c r="Q1921">
        <f t="shared" si="234"/>
        <v>9</v>
      </c>
      <c r="R1921" t="str">
        <f t="shared" si="235"/>
        <v/>
      </c>
      <c r="S1921" t="str">
        <f t="shared" si="236"/>
        <v/>
      </c>
      <c r="T1921" s="403" t="str">
        <f t="shared" si="237"/>
        <v>NBE-6502-AL</v>
      </c>
      <c r="U1921" s="403">
        <f t="shared" si="238"/>
        <v>1</v>
      </c>
      <c r="V1921" s="403" t="str">
        <f t="shared" si="239"/>
        <v>CPP_7_3</v>
      </c>
    </row>
    <row r="1922" spans="1:22">
      <c r="A1922" t="str">
        <f t="shared" ref="A1922:A1985" si="240">IF(AND(G1922&lt;&gt;"rotate 90°"),D1922,"")</f>
        <v>NBE-6502-AL</v>
      </c>
      <c r="B1922" s="403" t="s">
        <v>1386</v>
      </c>
      <c r="C1922" s="403" t="s">
        <v>582</v>
      </c>
      <c r="D1922" s="403" t="s">
        <v>1387</v>
      </c>
      <c r="E1922" s="403" t="s">
        <v>778</v>
      </c>
      <c r="F1922" s="403" t="s">
        <v>1293</v>
      </c>
      <c r="G1922" s="403" t="s">
        <v>1467</v>
      </c>
      <c r="H1922" s="403" t="s">
        <v>1282</v>
      </c>
      <c r="I1922" s="403">
        <v>1</v>
      </c>
      <c r="J1922" s="403" t="s">
        <v>109</v>
      </c>
      <c r="K1922" s="403">
        <v>720</v>
      </c>
      <c r="L1922" s="403">
        <v>1280</v>
      </c>
      <c r="M1922" s="403" t="s">
        <v>109</v>
      </c>
      <c r="N1922" s="403">
        <v>720</v>
      </c>
      <c r="O1922" s="403">
        <v>1280</v>
      </c>
      <c r="P1922" t="str">
        <f t="shared" ref="P1922:P1985" si="241">LEFT(F1922,5)&amp;" "&amp;J1922&amp;" - "&amp;M1922</f>
        <v>25fps 720p - 720p</v>
      </c>
      <c r="Q1922">
        <f t="shared" ref="Q1922:Q1985" si="242">IF(A1921=A1922,Q1921,Q1921+1)</f>
        <v>9</v>
      </c>
      <c r="R1922" t="str">
        <f t="shared" ref="R1922:R1985" si="243">IF(Q1921&lt;&gt;Q1922,Q1922,"")</f>
        <v/>
      </c>
      <c r="S1922" t="str">
        <f t="shared" ref="S1922:S1985" si="244">IF(R1922&lt;&gt;"",B1922&amp;" ("&amp;D1922&amp;")","")</f>
        <v/>
      </c>
      <c r="T1922" s="403" t="str">
        <f t="shared" ref="T1922:T1985" si="245">D1922</f>
        <v>NBE-6502-AL</v>
      </c>
      <c r="U1922" s="403">
        <f t="shared" ref="U1922:U1985" si="246">I1922</f>
        <v>1</v>
      </c>
      <c r="V1922" s="403" t="str">
        <f t="shared" ref="V1922:V1985" si="247">C1922</f>
        <v>CPP_7_3</v>
      </c>
    </row>
    <row r="1923" spans="1:22">
      <c r="A1923" t="str">
        <f t="shared" si="240"/>
        <v>NBE-6502-AL</v>
      </c>
      <c r="B1923" s="403" t="s">
        <v>1386</v>
      </c>
      <c r="C1923" s="403" t="s">
        <v>582</v>
      </c>
      <c r="D1923" s="403" t="s">
        <v>1387</v>
      </c>
      <c r="E1923" s="403" t="s">
        <v>778</v>
      </c>
      <c r="F1923" s="403" t="s">
        <v>1293</v>
      </c>
      <c r="G1923" s="403" t="s">
        <v>1467</v>
      </c>
      <c r="H1923" s="403" t="s">
        <v>1282</v>
      </c>
      <c r="I1923" s="403">
        <v>1</v>
      </c>
      <c r="J1923" s="403" t="s">
        <v>109</v>
      </c>
      <c r="K1923" s="403">
        <v>720</v>
      </c>
      <c r="L1923" s="403">
        <v>1280</v>
      </c>
      <c r="M1923" s="403" t="s">
        <v>111</v>
      </c>
      <c r="N1923" s="403">
        <v>432</v>
      </c>
      <c r="O1923" s="403">
        <v>768</v>
      </c>
      <c r="P1923" t="str">
        <f t="shared" si="241"/>
        <v>25fps 720p - SD</v>
      </c>
      <c r="Q1923">
        <f t="shared" si="242"/>
        <v>9</v>
      </c>
      <c r="R1923" t="str">
        <f t="shared" si="243"/>
        <v/>
      </c>
      <c r="S1923" t="str">
        <f t="shared" si="244"/>
        <v/>
      </c>
      <c r="T1923" s="403" t="str">
        <f t="shared" si="245"/>
        <v>NBE-6502-AL</v>
      </c>
      <c r="U1923" s="403">
        <f t="shared" si="246"/>
        <v>1</v>
      </c>
      <c r="V1923" s="403" t="str">
        <f t="shared" si="247"/>
        <v>CPP_7_3</v>
      </c>
    </row>
    <row r="1924" spans="1:22">
      <c r="A1924" t="str">
        <f t="shared" si="240"/>
        <v>NBE-6502-AL</v>
      </c>
      <c r="B1924" s="403" t="s">
        <v>1386</v>
      </c>
      <c r="C1924" s="403" t="s">
        <v>582</v>
      </c>
      <c r="D1924" s="403" t="s">
        <v>1387</v>
      </c>
      <c r="E1924" s="403" t="s">
        <v>778</v>
      </c>
      <c r="F1924" s="403" t="s">
        <v>1293</v>
      </c>
      <c r="G1924" s="403" t="s">
        <v>1467</v>
      </c>
      <c r="H1924" s="403" t="s">
        <v>1282</v>
      </c>
      <c r="I1924" s="403">
        <v>1</v>
      </c>
      <c r="J1924" s="403" t="s">
        <v>109</v>
      </c>
      <c r="K1924" s="403">
        <v>720</v>
      </c>
      <c r="L1924" s="403">
        <v>1280</v>
      </c>
      <c r="M1924" s="403" t="s">
        <v>1279</v>
      </c>
      <c r="N1924" s="403">
        <v>432</v>
      </c>
      <c r="O1924" s="403">
        <v>768</v>
      </c>
      <c r="P1924" t="str">
        <f t="shared" si="241"/>
        <v>25fps 720p - SD ROI PTZ</v>
      </c>
      <c r="Q1924">
        <f t="shared" si="242"/>
        <v>9</v>
      </c>
      <c r="R1924" t="str">
        <f t="shared" si="243"/>
        <v/>
      </c>
      <c r="S1924" t="str">
        <f t="shared" si="244"/>
        <v/>
      </c>
      <c r="T1924" s="403" t="str">
        <f t="shared" si="245"/>
        <v>NBE-6502-AL</v>
      </c>
      <c r="U1924" s="403">
        <f t="shared" si="246"/>
        <v>1</v>
      </c>
      <c r="V1924" s="403" t="str">
        <f t="shared" si="247"/>
        <v>CPP_7_3</v>
      </c>
    </row>
    <row r="1925" spans="1:22">
      <c r="A1925" t="str">
        <f t="shared" si="240"/>
        <v>NBE-6502-AL</v>
      </c>
      <c r="B1925" s="403" t="s">
        <v>1386</v>
      </c>
      <c r="C1925" s="403" t="s">
        <v>582</v>
      </c>
      <c r="D1925" s="403" t="s">
        <v>1387</v>
      </c>
      <c r="E1925" s="403" t="s">
        <v>778</v>
      </c>
      <c r="F1925" s="403" t="s">
        <v>1293</v>
      </c>
      <c r="G1925" s="403" t="s">
        <v>1467</v>
      </c>
      <c r="H1925" s="403" t="s">
        <v>1282</v>
      </c>
      <c r="I1925" s="403">
        <v>1</v>
      </c>
      <c r="J1925" s="403" t="s">
        <v>109</v>
      </c>
      <c r="K1925" s="403">
        <v>720</v>
      </c>
      <c r="L1925" s="403">
        <v>1280</v>
      </c>
      <c r="M1925" s="403" t="s">
        <v>1283</v>
      </c>
      <c r="N1925" s="403">
        <v>576</v>
      </c>
      <c r="O1925" s="403">
        <v>720</v>
      </c>
      <c r="P1925" t="str">
        <f t="shared" si="241"/>
        <v>25fps 720p - SD 4CIF resolution 4:3 format (cropped)</v>
      </c>
      <c r="Q1925">
        <f t="shared" si="242"/>
        <v>9</v>
      </c>
      <c r="R1925" t="str">
        <f t="shared" si="243"/>
        <v/>
      </c>
      <c r="S1925" t="str">
        <f t="shared" si="244"/>
        <v/>
      </c>
      <c r="T1925" s="403" t="str">
        <f t="shared" si="245"/>
        <v>NBE-6502-AL</v>
      </c>
      <c r="U1925" s="403">
        <f t="shared" si="246"/>
        <v>1</v>
      </c>
      <c r="V1925" s="403" t="str">
        <f t="shared" si="247"/>
        <v>CPP_7_3</v>
      </c>
    </row>
    <row r="1926" spans="1:22">
      <c r="A1926" t="str">
        <f t="shared" si="240"/>
        <v>NBE-6502-AL</v>
      </c>
      <c r="B1926" s="403" t="s">
        <v>1386</v>
      </c>
      <c r="C1926" s="403" t="s">
        <v>582</v>
      </c>
      <c r="D1926" s="403" t="s">
        <v>1387</v>
      </c>
      <c r="E1926" s="403" t="s">
        <v>778</v>
      </c>
      <c r="F1926" s="403" t="s">
        <v>1293</v>
      </c>
      <c r="G1926" s="403" t="s">
        <v>1467</v>
      </c>
      <c r="H1926" s="403" t="s">
        <v>1282</v>
      </c>
      <c r="I1926" s="403">
        <v>1</v>
      </c>
      <c r="J1926" s="403" t="s">
        <v>109</v>
      </c>
      <c r="K1926" s="403">
        <v>720</v>
      </c>
      <c r="L1926" s="403">
        <v>1280</v>
      </c>
      <c r="M1926" s="403" t="s">
        <v>1284</v>
      </c>
      <c r="N1926" s="403">
        <v>480</v>
      </c>
      <c r="O1926" s="403">
        <v>640</v>
      </c>
      <c r="P1926" t="str">
        <f t="shared" si="241"/>
        <v>25fps 720p - SD VGA (cropped)</v>
      </c>
      <c r="Q1926">
        <f t="shared" si="242"/>
        <v>9</v>
      </c>
      <c r="R1926" t="str">
        <f t="shared" si="243"/>
        <v/>
      </c>
      <c r="S1926" t="str">
        <f t="shared" si="244"/>
        <v/>
      </c>
      <c r="T1926" s="403" t="str">
        <f t="shared" si="245"/>
        <v>NBE-6502-AL</v>
      </c>
      <c r="U1926" s="403">
        <f t="shared" si="246"/>
        <v>1</v>
      </c>
      <c r="V1926" s="403" t="str">
        <f t="shared" si="247"/>
        <v>CPP_7_3</v>
      </c>
    </row>
    <row r="1927" spans="1:22">
      <c r="A1927" t="str">
        <f t="shared" si="240"/>
        <v>NBN-63013-B</v>
      </c>
      <c r="B1927" s="403" t="s">
        <v>1388</v>
      </c>
      <c r="C1927" s="403" t="s">
        <v>583</v>
      </c>
      <c r="D1927" s="403" t="s">
        <v>1305</v>
      </c>
      <c r="E1927" s="403" t="s">
        <v>1306</v>
      </c>
      <c r="F1927" s="403" t="s">
        <v>1297</v>
      </c>
      <c r="G1927" s="403" t="s">
        <v>1466</v>
      </c>
      <c r="H1927" s="403" t="s">
        <v>1276</v>
      </c>
      <c r="I1927" s="403">
        <v>1</v>
      </c>
      <c r="J1927" s="403" t="s">
        <v>109</v>
      </c>
      <c r="K1927" s="403">
        <v>1280</v>
      </c>
      <c r="L1927" s="403">
        <v>720</v>
      </c>
      <c r="M1927" s="403" t="s">
        <v>111</v>
      </c>
      <c r="N1927" s="403">
        <v>768</v>
      </c>
      <c r="O1927" s="403">
        <v>432</v>
      </c>
      <c r="P1927" t="str">
        <f t="shared" si="241"/>
        <v>30fps 720p - SD</v>
      </c>
      <c r="Q1927">
        <f t="shared" si="242"/>
        <v>10</v>
      </c>
      <c r="R1927">
        <f t="shared" si="243"/>
        <v>10</v>
      </c>
      <c r="S1927" t="str">
        <f t="shared" si="244"/>
        <v>DINION IP starlight 6000 HD (NBN-63013-B)</v>
      </c>
      <c r="T1927" s="403" t="str">
        <f t="shared" si="245"/>
        <v>NBN-63013-B</v>
      </c>
      <c r="U1927" s="403">
        <f t="shared" si="246"/>
        <v>1</v>
      </c>
      <c r="V1927" s="403" t="str">
        <f t="shared" si="247"/>
        <v>CPP_7</v>
      </c>
    </row>
    <row r="1928" spans="1:22">
      <c r="A1928" t="str">
        <f t="shared" si="240"/>
        <v>NBN-63013-B</v>
      </c>
      <c r="B1928" s="403" t="s">
        <v>1388</v>
      </c>
      <c r="C1928" s="403" t="s">
        <v>583</v>
      </c>
      <c r="D1928" s="403" t="s">
        <v>1305</v>
      </c>
      <c r="E1928" s="403" t="s">
        <v>1306</v>
      </c>
      <c r="F1928" s="403" t="s">
        <v>1297</v>
      </c>
      <c r="G1928" s="403" t="s">
        <v>1466</v>
      </c>
      <c r="H1928" s="403" t="s">
        <v>1276</v>
      </c>
      <c r="I1928" s="403">
        <v>1</v>
      </c>
      <c r="J1928" s="403" t="s">
        <v>109</v>
      </c>
      <c r="K1928" s="403">
        <v>1280</v>
      </c>
      <c r="L1928" s="403">
        <v>720</v>
      </c>
      <c r="M1928" s="403" t="s">
        <v>109</v>
      </c>
      <c r="N1928" s="403">
        <v>1280</v>
      </c>
      <c r="O1928" s="403">
        <v>720</v>
      </c>
      <c r="P1928" t="str">
        <f t="shared" si="241"/>
        <v>30fps 720p - 720p</v>
      </c>
      <c r="Q1928">
        <f t="shared" si="242"/>
        <v>10</v>
      </c>
      <c r="R1928" t="str">
        <f t="shared" si="243"/>
        <v/>
      </c>
      <c r="S1928" t="str">
        <f t="shared" si="244"/>
        <v/>
      </c>
      <c r="T1928" s="403" t="str">
        <f t="shared" si="245"/>
        <v>NBN-63013-B</v>
      </c>
      <c r="U1928" s="403">
        <f t="shared" si="246"/>
        <v>1</v>
      </c>
      <c r="V1928" s="403" t="str">
        <f t="shared" si="247"/>
        <v>CPP_7</v>
      </c>
    </row>
    <row r="1929" spans="1:22">
      <c r="A1929" t="str">
        <f t="shared" si="240"/>
        <v>NBN-63013-B</v>
      </c>
      <c r="B1929" s="403" t="s">
        <v>1388</v>
      </c>
      <c r="C1929" s="403" t="s">
        <v>583</v>
      </c>
      <c r="D1929" s="403" t="s">
        <v>1305</v>
      </c>
      <c r="E1929" s="403" t="s">
        <v>1306</v>
      </c>
      <c r="F1929" s="403" t="s">
        <v>1297</v>
      </c>
      <c r="G1929" s="403" t="s">
        <v>1466</v>
      </c>
      <c r="H1929" s="403" t="s">
        <v>1276</v>
      </c>
      <c r="I1929" s="403">
        <v>1</v>
      </c>
      <c r="J1929" s="403" t="s">
        <v>109</v>
      </c>
      <c r="K1929" s="403">
        <v>1280</v>
      </c>
      <c r="L1929" s="403">
        <v>720</v>
      </c>
      <c r="M1929" s="403" t="s">
        <v>1279</v>
      </c>
      <c r="N1929" s="403">
        <v>768</v>
      </c>
      <c r="O1929" s="403">
        <v>432</v>
      </c>
      <c r="P1929" t="str">
        <f t="shared" si="241"/>
        <v>30fps 720p - SD ROI PTZ</v>
      </c>
      <c r="Q1929">
        <f t="shared" si="242"/>
        <v>10</v>
      </c>
      <c r="R1929" t="str">
        <f t="shared" si="243"/>
        <v/>
      </c>
      <c r="S1929" t="str">
        <f t="shared" si="244"/>
        <v/>
      </c>
      <c r="T1929" s="403" t="str">
        <f t="shared" si="245"/>
        <v>NBN-63013-B</v>
      </c>
      <c r="U1929" s="403">
        <f t="shared" si="246"/>
        <v>1</v>
      </c>
      <c r="V1929" s="403" t="str">
        <f t="shared" si="247"/>
        <v>CPP_7</v>
      </c>
    </row>
    <row r="1930" spans="1:22">
      <c r="A1930" t="str">
        <f t="shared" si="240"/>
        <v>NBN-63013-B</v>
      </c>
      <c r="B1930" s="403" t="s">
        <v>1388</v>
      </c>
      <c r="C1930" s="403" t="s">
        <v>583</v>
      </c>
      <c r="D1930" s="403" t="s">
        <v>1305</v>
      </c>
      <c r="E1930" s="403" t="s">
        <v>1306</v>
      </c>
      <c r="F1930" s="403" t="s">
        <v>1297</v>
      </c>
      <c r="G1930" s="403" t="s">
        <v>1466</v>
      </c>
      <c r="H1930" s="403" t="s">
        <v>1276</v>
      </c>
      <c r="I1930" s="403">
        <v>1</v>
      </c>
      <c r="J1930" s="403" t="s">
        <v>109</v>
      </c>
      <c r="K1930" s="403">
        <v>1280</v>
      </c>
      <c r="L1930" s="403">
        <v>720</v>
      </c>
      <c r="M1930" s="403" t="s">
        <v>1298</v>
      </c>
      <c r="N1930" s="403">
        <v>768</v>
      </c>
      <c r="O1930" s="403">
        <v>432</v>
      </c>
      <c r="P1930" t="str">
        <f t="shared" si="241"/>
        <v>30fps 720p - SD dual stream with independent ROI PTZ</v>
      </c>
      <c r="Q1930">
        <f t="shared" si="242"/>
        <v>10</v>
      </c>
      <c r="R1930" t="str">
        <f t="shared" si="243"/>
        <v/>
      </c>
      <c r="S1930" t="str">
        <f t="shared" si="244"/>
        <v/>
      </c>
      <c r="T1930" s="403" t="str">
        <f t="shared" si="245"/>
        <v>NBN-63013-B</v>
      </c>
      <c r="U1930" s="403">
        <f t="shared" si="246"/>
        <v>1</v>
      </c>
      <c r="V1930" s="403" t="str">
        <f t="shared" si="247"/>
        <v>CPP_7</v>
      </c>
    </row>
    <row r="1931" spans="1:22">
      <c r="A1931" t="str">
        <f t="shared" si="240"/>
        <v>NBN-63013-B</v>
      </c>
      <c r="B1931" s="403" t="s">
        <v>1388</v>
      </c>
      <c r="C1931" s="403" t="s">
        <v>583</v>
      </c>
      <c r="D1931" s="403" t="s">
        <v>1305</v>
      </c>
      <c r="E1931" s="403" t="s">
        <v>1306</v>
      </c>
      <c r="F1931" s="403" t="s">
        <v>1297</v>
      </c>
      <c r="G1931" s="403" t="s">
        <v>1466</v>
      </c>
      <c r="H1931" s="403" t="s">
        <v>1276</v>
      </c>
      <c r="I1931" s="403">
        <v>1</v>
      </c>
      <c r="J1931" s="403" t="s">
        <v>109</v>
      </c>
      <c r="K1931" s="403">
        <v>1280</v>
      </c>
      <c r="L1931" s="403">
        <v>720</v>
      </c>
      <c r="M1931" s="403" t="s">
        <v>1283</v>
      </c>
      <c r="N1931" s="403">
        <v>704</v>
      </c>
      <c r="O1931" s="403">
        <v>480</v>
      </c>
      <c r="P1931" t="str">
        <f t="shared" si="241"/>
        <v>30fps 720p - SD 4CIF resolution 4:3 format (cropped)</v>
      </c>
      <c r="Q1931">
        <f t="shared" si="242"/>
        <v>10</v>
      </c>
      <c r="R1931" t="str">
        <f t="shared" si="243"/>
        <v/>
      </c>
      <c r="S1931" t="str">
        <f t="shared" si="244"/>
        <v/>
      </c>
      <c r="T1931" s="403" t="str">
        <f t="shared" si="245"/>
        <v>NBN-63013-B</v>
      </c>
      <c r="U1931" s="403">
        <f t="shared" si="246"/>
        <v>1</v>
      </c>
      <c r="V1931" s="403" t="str">
        <f t="shared" si="247"/>
        <v>CPP_7</v>
      </c>
    </row>
    <row r="1932" spans="1:22">
      <c r="A1932" t="str">
        <f t="shared" si="240"/>
        <v>NBN-63013-B</v>
      </c>
      <c r="B1932" s="403" t="s">
        <v>1388</v>
      </c>
      <c r="C1932" s="403" t="s">
        <v>583</v>
      </c>
      <c r="D1932" s="403" t="s">
        <v>1305</v>
      </c>
      <c r="E1932" s="403" t="s">
        <v>1306</v>
      </c>
      <c r="F1932" s="403" t="s">
        <v>1297</v>
      </c>
      <c r="G1932" s="403" t="s">
        <v>1466</v>
      </c>
      <c r="H1932" s="403" t="s">
        <v>1276</v>
      </c>
      <c r="I1932" s="403">
        <v>1</v>
      </c>
      <c r="J1932" s="403" t="s">
        <v>109</v>
      </c>
      <c r="K1932" s="403">
        <v>1280</v>
      </c>
      <c r="L1932" s="403">
        <v>720</v>
      </c>
      <c r="M1932" s="403" t="s">
        <v>1284</v>
      </c>
      <c r="N1932" s="403">
        <v>640</v>
      </c>
      <c r="O1932" s="403">
        <v>480</v>
      </c>
      <c r="P1932" t="str">
        <f t="shared" si="241"/>
        <v>30fps 720p - SD VGA (cropped)</v>
      </c>
      <c r="Q1932">
        <f t="shared" si="242"/>
        <v>10</v>
      </c>
      <c r="R1932" t="str">
        <f t="shared" si="243"/>
        <v/>
      </c>
      <c r="S1932" t="str">
        <f t="shared" si="244"/>
        <v/>
      </c>
      <c r="T1932" s="403" t="str">
        <f t="shared" si="245"/>
        <v>NBN-63013-B</v>
      </c>
      <c r="U1932" s="403">
        <f t="shared" si="246"/>
        <v>1</v>
      </c>
      <c r="V1932" s="403" t="str">
        <f t="shared" si="247"/>
        <v>CPP_7</v>
      </c>
    </row>
    <row r="1933" spans="1:22">
      <c r="A1933" t="str">
        <f t="shared" si="240"/>
        <v>NBN-63013-B</v>
      </c>
      <c r="B1933" s="403" t="s">
        <v>1388</v>
      </c>
      <c r="C1933" s="403" t="s">
        <v>583</v>
      </c>
      <c r="D1933" s="403" t="s">
        <v>1305</v>
      </c>
      <c r="E1933" s="403" t="s">
        <v>1306</v>
      </c>
      <c r="F1933" s="403" t="s">
        <v>1297</v>
      </c>
      <c r="G1933" s="403" t="s">
        <v>1466</v>
      </c>
      <c r="H1933" s="403" t="s">
        <v>1276</v>
      </c>
      <c r="I1933" s="403">
        <v>1</v>
      </c>
      <c r="J1933" s="403" t="s">
        <v>111</v>
      </c>
      <c r="K1933" s="403">
        <v>768</v>
      </c>
      <c r="L1933" s="403">
        <v>432</v>
      </c>
      <c r="M1933" s="403" t="s">
        <v>111</v>
      </c>
      <c r="N1933" s="403">
        <v>768</v>
      </c>
      <c r="O1933" s="403">
        <v>432</v>
      </c>
      <c r="P1933" t="str">
        <f t="shared" si="241"/>
        <v>30fps SD - SD</v>
      </c>
      <c r="Q1933">
        <f t="shared" si="242"/>
        <v>10</v>
      </c>
      <c r="R1933" t="str">
        <f t="shared" si="243"/>
        <v/>
      </c>
      <c r="S1933" t="str">
        <f t="shared" si="244"/>
        <v/>
      </c>
      <c r="T1933" s="403" t="str">
        <f t="shared" si="245"/>
        <v>NBN-63013-B</v>
      </c>
      <c r="U1933" s="403">
        <f t="shared" si="246"/>
        <v>1</v>
      </c>
      <c r="V1933" s="403" t="str">
        <f t="shared" si="247"/>
        <v>CPP_7</v>
      </c>
    </row>
    <row r="1934" spans="1:22">
      <c r="A1934" t="str">
        <f t="shared" si="240"/>
        <v>NBN-63013-B</v>
      </c>
      <c r="B1934" s="403" t="s">
        <v>1388</v>
      </c>
      <c r="C1934" s="403" t="s">
        <v>583</v>
      </c>
      <c r="D1934" s="403" t="s">
        <v>1305</v>
      </c>
      <c r="E1934" s="403" t="s">
        <v>1306</v>
      </c>
      <c r="F1934" s="403" t="s">
        <v>1297</v>
      </c>
      <c r="G1934" s="403" t="s">
        <v>1467</v>
      </c>
      <c r="H1934" s="403" t="s">
        <v>1276</v>
      </c>
      <c r="I1934" s="403">
        <v>1</v>
      </c>
      <c r="J1934" s="403" t="s">
        <v>109</v>
      </c>
      <c r="K1934" s="403">
        <v>720</v>
      </c>
      <c r="L1934" s="403">
        <v>1280</v>
      </c>
      <c r="M1934" s="403" t="s">
        <v>111</v>
      </c>
      <c r="N1934" s="403">
        <v>432</v>
      </c>
      <c r="O1934" s="403">
        <v>768</v>
      </c>
      <c r="P1934" t="str">
        <f t="shared" si="241"/>
        <v>30fps 720p - SD</v>
      </c>
      <c r="Q1934">
        <f t="shared" si="242"/>
        <v>10</v>
      </c>
      <c r="R1934" t="str">
        <f t="shared" si="243"/>
        <v/>
      </c>
      <c r="S1934" t="str">
        <f t="shared" si="244"/>
        <v/>
      </c>
      <c r="T1934" s="403" t="str">
        <f t="shared" si="245"/>
        <v>NBN-63013-B</v>
      </c>
      <c r="U1934" s="403">
        <f t="shared" si="246"/>
        <v>1</v>
      </c>
      <c r="V1934" s="403" t="str">
        <f t="shared" si="247"/>
        <v>CPP_7</v>
      </c>
    </row>
    <row r="1935" spans="1:22">
      <c r="A1935" t="str">
        <f t="shared" si="240"/>
        <v>NBN-63013-B</v>
      </c>
      <c r="B1935" s="403" t="s">
        <v>1388</v>
      </c>
      <c r="C1935" s="403" t="s">
        <v>583</v>
      </c>
      <c r="D1935" s="403" t="s">
        <v>1305</v>
      </c>
      <c r="E1935" s="403" t="s">
        <v>1306</v>
      </c>
      <c r="F1935" s="403" t="s">
        <v>1297</v>
      </c>
      <c r="G1935" s="403" t="s">
        <v>1467</v>
      </c>
      <c r="H1935" s="403" t="s">
        <v>1276</v>
      </c>
      <c r="I1935" s="403">
        <v>1</v>
      </c>
      <c r="J1935" s="403" t="s">
        <v>109</v>
      </c>
      <c r="K1935" s="403">
        <v>720</v>
      </c>
      <c r="L1935" s="403">
        <v>1280</v>
      </c>
      <c r="M1935" s="403" t="s">
        <v>109</v>
      </c>
      <c r="N1935" s="403">
        <v>720</v>
      </c>
      <c r="O1935" s="403">
        <v>1280</v>
      </c>
      <c r="P1935" t="str">
        <f t="shared" si="241"/>
        <v>30fps 720p - 720p</v>
      </c>
      <c r="Q1935">
        <f t="shared" si="242"/>
        <v>10</v>
      </c>
      <c r="R1935" t="str">
        <f t="shared" si="243"/>
        <v/>
      </c>
      <c r="S1935" t="str">
        <f t="shared" si="244"/>
        <v/>
      </c>
      <c r="T1935" s="403" t="str">
        <f t="shared" si="245"/>
        <v>NBN-63013-B</v>
      </c>
      <c r="U1935" s="403">
        <f t="shared" si="246"/>
        <v>1</v>
      </c>
      <c r="V1935" s="403" t="str">
        <f t="shared" si="247"/>
        <v>CPP_7</v>
      </c>
    </row>
    <row r="1936" spans="1:22">
      <c r="A1936" t="str">
        <f t="shared" si="240"/>
        <v>NBN-63013-B</v>
      </c>
      <c r="B1936" s="403" t="s">
        <v>1388</v>
      </c>
      <c r="C1936" s="403" t="s">
        <v>583</v>
      </c>
      <c r="D1936" s="403" t="s">
        <v>1305</v>
      </c>
      <c r="E1936" s="403" t="s">
        <v>1306</v>
      </c>
      <c r="F1936" s="403" t="s">
        <v>1297</v>
      </c>
      <c r="G1936" s="403" t="s">
        <v>1467</v>
      </c>
      <c r="H1936" s="403" t="s">
        <v>1276</v>
      </c>
      <c r="I1936" s="403">
        <v>1</v>
      </c>
      <c r="J1936" s="403" t="s">
        <v>109</v>
      </c>
      <c r="K1936" s="403">
        <v>720</v>
      </c>
      <c r="L1936" s="403">
        <v>1280</v>
      </c>
      <c r="M1936" s="403" t="s">
        <v>1279</v>
      </c>
      <c r="N1936" s="403">
        <v>432</v>
      </c>
      <c r="O1936" s="403">
        <v>768</v>
      </c>
      <c r="P1936" t="str">
        <f t="shared" si="241"/>
        <v>30fps 720p - SD ROI PTZ</v>
      </c>
      <c r="Q1936">
        <f t="shared" si="242"/>
        <v>10</v>
      </c>
      <c r="R1936" t="str">
        <f t="shared" si="243"/>
        <v/>
      </c>
      <c r="S1936" t="str">
        <f t="shared" si="244"/>
        <v/>
      </c>
      <c r="T1936" s="403" t="str">
        <f t="shared" si="245"/>
        <v>NBN-63013-B</v>
      </c>
      <c r="U1936" s="403">
        <f t="shared" si="246"/>
        <v>1</v>
      </c>
      <c r="V1936" s="403" t="str">
        <f t="shared" si="247"/>
        <v>CPP_7</v>
      </c>
    </row>
    <row r="1937" spans="1:22">
      <c r="A1937" t="str">
        <f t="shared" si="240"/>
        <v>NBN-63013-B</v>
      </c>
      <c r="B1937" s="403" t="s">
        <v>1388</v>
      </c>
      <c r="C1937" s="403" t="s">
        <v>583</v>
      </c>
      <c r="D1937" s="403" t="s">
        <v>1305</v>
      </c>
      <c r="E1937" s="403" t="s">
        <v>1306</v>
      </c>
      <c r="F1937" s="403" t="s">
        <v>1297</v>
      </c>
      <c r="G1937" s="403" t="s">
        <v>1467</v>
      </c>
      <c r="H1937" s="403" t="s">
        <v>1276</v>
      </c>
      <c r="I1937" s="403">
        <v>1</v>
      </c>
      <c r="J1937" s="403" t="s">
        <v>109</v>
      </c>
      <c r="K1937" s="403">
        <v>720</v>
      </c>
      <c r="L1937" s="403">
        <v>1280</v>
      </c>
      <c r="M1937" s="403" t="s">
        <v>1298</v>
      </c>
      <c r="N1937" s="403">
        <v>432</v>
      </c>
      <c r="O1937" s="403">
        <v>768</v>
      </c>
      <c r="P1937" t="str">
        <f t="shared" si="241"/>
        <v>30fps 720p - SD dual stream with independent ROI PTZ</v>
      </c>
      <c r="Q1937">
        <f t="shared" si="242"/>
        <v>10</v>
      </c>
      <c r="R1937" t="str">
        <f t="shared" si="243"/>
        <v/>
      </c>
      <c r="S1937" t="str">
        <f t="shared" si="244"/>
        <v/>
      </c>
      <c r="T1937" s="403" t="str">
        <f t="shared" si="245"/>
        <v>NBN-63013-B</v>
      </c>
      <c r="U1937" s="403">
        <f t="shared" si="246"/>
        <v>1</v>
      </c>
      <c r="V1937" s="403" t="str">
        <f t="shared" si="247"/>
        <v>CPP_7</v>
      </c>
    </row>
    <row r="1938" spans="1:22">
      <c r="A1938" t="str">
        <f t="shared" si="240"/>
        <v>NBN-63013-B</v>
      </c>
      <c r="B1938" s="403" t="s">
        <v>1388</v>
      </c>
      <c r="C1938" s="403" t="s">
        <v>583</v>
      </c>
      <c r="D1938" s="403" t="s">
        <v>1305</v>
      </c>
      <c r="E1938" s="403" t="s">
        <v>1306</v>
      </c>
      <c r="F1938" s="403" t="s">
        <v>1297</v>
      </c>
      <c r="G1938" s="403" t="s">
        <v>1467</v>
      </c>
      <c r="H1938" s="403" t="s">
        <v>1276</v>
      </c>
      <c r="I1938" s="403">
        <v>1</v>
      </c>
      <c r="J1938" s="403" t="s">
        <v>109</v>
      </c>
      <c r="K1938" s="403">
        <v>720</v>
      </c>
      <c r="L1938" s="403">
        <v>1280</v>
      </c>
      <c r="M1938" s="403" t="s">
        <v>1283</v>
      </c>
      <c r="N1938" s="403">
        <v>480</v>
      </c>
      <c r="O1938" s="403">
        <v>704</v>
      </c>
      <c r="P1938" t="str">
        <f t="shared" si="241"/>
        <v>30fps 720p - SD 4CIF resolution 4:3 format (cropped)</v>
      </c>
      <c r="Q1938">
        <f t="shared" si="242"/>
        <v>10</v>
      </c>
      <c r="R1938" t="str">
        <f t="shared" si="243"/>
        <v/>
      </c>
      <c r="S1938" t="str">
        <f t="shared" si="244"/>
        <v/>
      </c>
      <c r="T1938" s="403" t="str">
        <f t="shared" si="245"/>
        <v>NBN-63013-B</v>
      </c>
      <c r="U1938" s="403">
        <f t="shared" si="246"/>
        <v>1</v>
      </c>
      <c r="V1938" s="403" t="str">
        <f t="shared" si="247"/>
        <v>CPP_7</v>
      </c>
    </row>
    <row r="1939" spans="1:22">
      <c r="A1939" t="str">
        <f t="shared" si="240"/>
        <v>NBN-63013-B</v>
      </c>
      <c r="B1939" s="403" t="s">
        <v>1388</v>
      </c>
      <c r="C1939" s="403" t="s">
        <v>583</v>
      </c>
      <c r="D1939" s="403" t="s">
        <v>1305</v>
      </c>
      <c r="E1939" s="403" t="s">
        <v>1306</v>
      </c>
      <c r="F1939" s="403" t="s">
        <v>1297</v>
      </c>
      <c r="G1939" s="403" t="s">
        <v>1467</v>
      </c>
      <c r="H1939" s="403" t="s">
        <v>1276</v>
      </c>
      <c r="I1939" s="403">
        <v>1</v>
      </c>
      <c r="J1939" s="403" t="s">
        <v>109</v>
      </c>
      <c r="K1939" s="403">
        <v>720</v>
      </c>
      <c r="L1939" s="403">
        <v>1280</v>
      </c>
      <c r="M1939" s="403" t="s">
        <v>1284</v>
      </c>
      <c r="N1939" s="403">
        <v>480</v>
      </c>
      <c r="O1939" s="403">
        <v>640</v>
      </c>
      <c r="P1939" t="str">
        <f t="shared" si="241"/>
        <v>30fps 720p - SD VGA (cropped)</v>
      </c>
      <c r="Q1939">
        <f t="shared" si="242"/>
        <v>10</v>
      </c>
      <c r="R1939" t="str">
        <f t="shared" si="243"/>
        <v/>
      </c>
      <c r="S1939" t="str">
        <f t="shared" si="244"/>
        <v/>
      </c>
      <c r="T1939" s="403" t="str">
        <f t="shared" si="245"/>
        <v>NBN-63013-B</v>
      </c>
      <c r="U1939" s="403">
        <f t="shared" si="246"/>
        <v>1</v>
      </c>
      <c r="V1939" s="403" t="str">
        <f t="shared" si="247"/>
        <v>CPP_7</v>
      </c>
    </row>
    <row r="1940" spans="1:22">
      <c r="A1940" t="str">
        <f t="shared" si="240"/>
        <v>NBN-63013-B</v>
      </c>
      <c r="B1940" s="403" t="s">
        <v>1388</v>
      </c>
      <c r="C1940" s="403" t="s">
        <v>583</v>
      </c>
      <c r="D1940" s="403" t="s">
        <v>1305</v>
      </c>
      <c r="E1940" s="403" t="s">
        <v>1306</v>
      </c>
      <c r="F1940" s="403" t="s">
        <v>1297</v>
      </c>
      <c r="G1940" s="403" t="s">
        <v>1467</v>
      </c>
      <c r="H1940" s="403" t="s">
        <v>1276</v>
      </c>
      <c r="I1940" s="403">
        <v>1</v>
      </c>
      <c r="J1940" s="403" t="s">
        <v>111</v>
      </c>
      <c r="K1940" s="403">
        <v>432</v>
      </c>
      <c r="L1940" s="403">
        <v>768</v>
      </c>
      <c r="M1940" s="403" t="s">
        <v>111</v>
      </c>
      <c r="N1940" s="403">
        <v>432</v>
      </c>
      <c r="O1940" s="403">
        <v>768</v>
      </c>
      <c r="P1940" t="str">
        <f t="shared" si="241"/>
        <v>30fps SD - SD</v>
      </c>
      <c r="Q1940">
        <f t="shared" si="242"/>
        <v>10</v>
      </c>
      <c r="R1940" t="str">
        <f t="shared" si="243"/>
        <v/>
      </c>
      <c r="S1940" t="str">
        <f t="shared" si="244"/>
        <v/>
      </c>
      <c r="T1940" s="403" t="str">
        <f t="shared" si="245"/>
        <v>NBN-63013-B</v>
      </c>
      <c r="U1940" s="403">
        <f t="shared" si="246"/>
        <v>1</v>
      </c>
      <c r="V1940" s="403" t="str">
        <f t="shared" si="247"/>
        <v>CPP_7</v>
      </c>
    </row>
    <row r="1941" spans="1:22">
      <c r="A1941" t="str">
        <f t="shared" si="240"/>
        <v>NBN-63013-B</v>
      </c>
      <c r="B1941" s="403" t="s">
        <v>1388</v>
      </c>
      <c r="C1941" s="403" t="s">
        <v>583</v>
      </c>
      <c r="D1941" s="403" t="s">
        <v>1305</v>
      </c>
      <c r="E1941" s="403" t="s">
        <v>1306</v>
      </c>
      <c r="F1941" s="403" t="s">
        <v>1299</v>
      </c>
      <c r="G1941" s="403" t="s">
        <v>1466</v>
      </c>
      <c r="H1941" s="403" t="s">
        <v>1276</v>
      </c>
      <c r="I1941" s="403">
        <v>1</v>
      </c>
      <c r="J1941" s="403" t="s">
        <v>109</v>
      </c>
      <c r="K1941" s="403">
        <v>1280</v>
      </c>
      <c r="L1941" s="403">
        <v>720</v>
      </c>
      <c r="M1941" s="403" t="s">
        <v>111</v>
      </c>
      <c r="N1941" s="403">
        <v>768</v>
      </c>
      <c r="O1941" s="403">
        <v>432</v>
      </c>
      <c r="P1941" t="str">
        <f t="shared" si="241"/>
        <v>25fps 720p - SD</v>
      </c>
      <c r="Q1941">
        <f t="shared" si="242"/>
        <v>10</v>
      </c>
      <c r="R1941" t="str">
        <f t="shared" si="243"/>
        <v/>
      </c>
      <c r="S1941" t="str">
        <f t="shared" si="244"/>
        <v/>
      </c>
      <c r="T1941" s="403" t="str">
        <f t="shared" si="245"/>
        <v>NBN-63013-B</v>
      </c>
      <c r="U1941" s="403">
        <f t="shared" si="246"/>
        <v>1</v>
      </c>
      <c r="V1941" s="403" t="str">
        <f t="shared" si="247"/>
        <v>CPP_7</v>
      </c>
    </row>
    <row r="1942" spans="1:22">
      <c r="A1942" t="str">
        <f t="shared" si="240"/>
        <v>NBN-63013-B</v>
      </c>
      <c r="B1942" s="403" t="s">
        <v>1388</v>
      </c>
      <c r="C1942" s="403" t="s">
        <v>583</v>
      </c>
      <c r="D1942" s="403" t="s">
        <v>1305</v>
      </c>
      <c r="E1942" s="403" t="s">
        <v>1306</v>
      </c>
      <c r="F1942" s="403" t="s">
        <v>1299</v>
      </c>
      <c r="G1942" s="403" t="s">
        <v>1466</v>
      </c>
      <c r="H1942" s="403" t="s">
        <v>1276</v>
      </c>
      <c r="I1942" s="403">
        <v>1</v>
      </c>
      <c r="J1942" s="403" t="s">
        <v>109</v>
      </c>
      <c r="K1942" s="403">
        <v>1280</v>
      </c>
      <c r="L1942" s="403">
        <v>720</v>
      </c>
      <c r="M1942" s="403" t="s">
        <v>109</v>
      </c>
      <c r="N1942" s="403">
        <v>1280</v>
      </c>
      <c r="O1942" s="403">
        <v>720</v>
      </c>
      <c r="P1942" t="str">
        <f t="shared" si="241"/>
        <v>25fps 720p - 720p</v>
      </c>
      <c r="Q1942">
        <f t="shared" si="242"/>
        <v>10</v>
      </c>
      <c r="R1942" t="str">
        <f t="shared" si="243"/>
        <v/>
      </c>
      <c r="S1942" t="str">
        <f t="shared" si="244"/>
        <v/>
      </c>
      <c r="T1942" s="403" t="str">
        <f t="shared" si="245"/>
        <v>NBN-63013-B</v>
      </c>
      <c r="U1942" s="403">
        <f t="shared" si="246"/>
        <v>1</v>
      </c>
      <c r="V1942" s="403" t="str">
        <f t="shared" si="247"/>
        <v>CPP_7</v>
      </c>
    </row>
    <row r="1943" spans="1:22">
      <c r="A1943" t="str">
        <f t="shared" si="240"/>
        <v>NBN-63013-B</v>
      </c>
      <c r="B1943" s="403" t="s">
        <v>1388</v>
      </c>
      <c r="C1943" s="403" t="s">
        <v>583</v>
      </c>
      <c r="D1943" s="403" t="s">
        <v>1305</v>
      </c>
      <c r="E1943" s="403" t="s">
        <v>1306</v>
      </c>
      <c r="F1943" s="403" t="s">
        <v>1299</v>
      </c>
      <c r="G1943" s="403" t="s">
        <v>1466</v>
      </c>
      <c r="H1943" s="403" t="s">
        <v>1276</v>
      </c>
      <c r="I1943" s="403">
        <v>1</v>
      </c>
      <c r="J1943" s="403" t="s">
        <v>109</v>
      </c>
      <c r="K1943" s="403">
        <v>1280</v>
      </c>
      <c r="L1943" s="403">
        <v>720</v>
      </c>
      <c r="M1943" s="403" t="s">
        <v>1279</v>
      </c>
      <c r="N1943" s="403">
        <v>768</v>
      </c>
      <c r="O1943" s="403">
        <v>432</v>
      </c>
      <c r="P1943" t="str">
        <f t="shared" si="241"/>
        <v>25fps 720p - SD ROI PTZ</v>
      </c>
      <c r="Q1943">
        <f t="shared" si="242"/>
        <v>10</v>
      </c>
      <c r="R1943" t="str">
        <f t="shared" si="243"/>
        <v/>
      </c>
      <c r="S1943" t="str">
        <f t="shared" si="244"/>
        <v/>
      </c>
      <c r="T1943" s="403" t="str">
        <f t="shared" si="245"/>
        <v>NBN-63013-B</v>
      </c>
      <c r="U1943" s="403">
        <f t="shared" si="246"/>
        <v>1</v>
      </c>
      <c r="V1943" s="403" t="str">
        <f t="shared" si="247"/>
        <v>CPP_7</v>
      </c>
    </row>
    <row r="1944" spans="1:22">
      <c r="A1944" t="str">
        <f t="shared" si="240"/>
        <v>NBN-63013-B</v>
      </c>
      <c r="B1944" s="403" t="s">
        <v>1388</v>
      </c>
      <c r="C1944" s="403" t="s">
        <v>583</v>
      </c>
      <c r="D1944" s="403" t="s">
        <v>1305</v>
      </c>
      <c r="E1944" s="403" t="s">
        <v>1306</v>
      </c>
      <c r="F1944" s="403" t="s">
        <v>1299</v>
      </c>
      <c r="G1944" s="403" t="s">
        <v>1466</v>
      </c>
      <c r="H1944" s="403" t="s">
        <v>1276</v>
      </c>
      <c r="I1944" s="403">
        <v>1</v>
      </c>
      <c r="J1944" s="403" t="s">
        <v>109</v>
      </c>
      <c r="K1944" s="403">
        <v>1280</v>
      </c>
      <c r="L1944" s="403">
        <v>720</v>
      </c>
      <c r="M1944" s="403" t="s">
        <v>1298</v>
      </c>
      <c r="N1944" s="403">
        <v>768</v>
      </c>
      <c r="O1944" s="403">
        <v>432</v>
      </c>
      <c r="P1944" t="str">
        <f t="shared" si="241"/>
        <v>25fps 720p - SD dual stream with independent ROI PTZ</v>
      </c>
      <c r="Q1944">
        <f t="shared" si="242"/>
        <v>10</v>
      </c>
      <c r="R1944" t="str">
        <f t="shared" si="243"/>
        <v/>
      </c>
      <c r="S1944" t="str">
        <f t="shared" si="244"/>
        <v/>
      </c>
      <c r="T1944" s="403" t="str">
        <f t="shared" si="245"/>
        <v>NBN-63013-B</v>
      </c>
      <c r="U1944" s="403">
        <f t="shared" si="246"/>
        <v>1</v>
      </c>
      <c r="V1944" s="403" t="str">
        <f t="shared" si="247"/>
        <v>CPP_7</v>
      </c>
    </row>
    <row r="1945" spans="1:22">
      <c r="A1945" t="str">
        <f t="shared" si="240"/>
        <v>NBN-63013-B</v>
      </c>
      <c r="B1945" s="403" t="s">
        <v>1388</v>
      </c>
      <c r="C1945" s="403" t="s">
        <v>583</v>
      </c>
      <c r="D1945" s="403" t="s">
        <v>1305</v>
      </c>
      <c r="E1945" s="403" t="s">
        <v>1306</v>
      </c>
      <c r="F1945" s="403" t="s">
        <v>1299</v>
      </c>
      <c r="G1945" s="403" t="s">
        <v>1466</v>
      </c>
      <c r="H1945" s="403" t="s">
        <v>1276</v>
      </c>
      <c r="I1945" s="403">
        <v>1</v>
      </c>
      <c r="J1945" s="403" t="s">
        <v>109</v>
      </c>
      <c r="K1945" s="403">
        <v>1280</v>
      </c>
      <c r="L1945" s="403">
        <v>720</v>
      </c>
      <c r="M1945" s="403" t="s">
        <v>1283</v>
      </c>
      <c r="N1945" s="403">
        <v>704</v>
      </c>
      <c r="O1945" s="403">
        <v>576</v>
      </c>
      <c r="P1945" t="str">
        <f t="shared" si="241"/>
        <v>25fps 720p - SD 4CIF resolution 4:3 format (cropped)</v>
      </c>
      <c r="Q1945">
        <f t="shared" si="242"/>
        <v>10</v>
      </c>
      <c r="R1945" t="str">
        <f t="shared" si="243"/>
        <v/>
      </c>
      <c r="S1945" t="str">
        <f t="shared" si="244"/>
        <v/>
      </c>
      <c r="T1945" s="403" t="str">
        <f t="shared" si="245"/>
        <v>NBN-63013-B</v>
      </c>
      <c r="U1945" s="403">
        <f t="shared" si="246"/>
        <v>1</v>
      </c>
      <c r="V1945" s="403" t="str">
        <f t="shared" si="247"/>
        <v>CPP_7</v>
      </c>
    </row>
    <row r="1946" spans="1:22">
      <c r="A1946" t="str">
        <f t="shared" si="240"/>
        <v>NBN-63013-B</v>
      </c>
      <c r="B1946" s="403" t="s">
        <v>1388</v>
      </c>
      <c r="C1946" s="403" t="s">
        <v>583</v>
      </c>
      <c r="D1946" s="403" t="s">
        <v>1305</v>
      </c>
      <c r="E1946" s="403" t="s">
        <v>1306</v>
      </c>
      <c r="F1946" s="403" t="s">
        <v>1299</v>
      </c>
      <c r="G1946" s="403" t="s">
        <v>1466</v>
      </c>
      <c r="H1946" s="403" t="s">
        <v>1276</v>
      </c>
      <c r="I1946" s="403">
        <v>1</v>
      </c>
      <c r="J1946" s="403" t="s">
        <v>109</v>
      </c>
      <c r="K1946" s="403">
        <v>1280</v>
      </c>
      <c r="L1946" s="403">
        <v>720</v>
      </c>
      <c r="M1946" s="403" t="s">
        <v>1284</v>
      </c>
      <c r="N1946" s="403">
        <v>640</v>
      </c>
      <c r="O1946" s="403">
        <v>480</v>
      </c>
      <c r="P1946" t="str">
        <f t="shared" si="241"/>
        <v>25fps 720p - SD VGA (cropped)</v>
      </c>
      <c r="Q1946">
        <f t="shared" si="242"/>
        <v>10</v>
      </c>
      <c r="R1946" t="str">
        <f t="shared" si="243"/>
        <v/>
      </c>
      <c r="S1946" t="str">
        <f t="shared" si="244"/>
        <v/>
      </c>
      <c r="T1946" s="403" t="str">
        <f t="shared" si="245"/>
        <v>NBN-63013-B</v>
      </c>
      <c r="U1946" s="403">
        <f t="shared" si="246"/>
        <v>1</v>
      </c>
      <c r="V1946" s="403" t="str">
        <f t="shared" si="247"/>
        <v>CPP_7</v>
      </c>
    </row>
    <row r="1947" spans="1:22">
      <c r="A1947" t="str">
        <f t="shared" si="240"/>
        <v>NBN-63013-B</v>
      </c>
      <c r="B1947" s="403" t="s">
        <v>1388</v>
      </c>
      <c r="C1947" s="403" t="s">
        <v>583</v>
      </c>
      <c r="D1947" s="403" t="s">
        <v>1305</v>
      </c>
      <c r="E1947" s="403" t="s">
        <v>1306</v>
      </c>
      <c r="F1947" s="403" t="s">
        <v>1299</v>
      </c>
      <c r="G1947" s="403" t="s">
        <v>1466</v>
      </c>
      <c r="H1947" s="403" t="s">
        <v>1276</v>
      </c>
      <c r="I1947" s="403">
        <v>1</v>
      </c>
      <c r="J1947" s="403" t="s">
        <v>111</v>
      </c>
      <c r="K1947" s="403">
        <v>768</v>
      </c>
      <c r="L1947" s="403">
        <v>432</v>
      </c>
      <c r="M1947" s="403" t="s">
        <v>111</v>
      </c>
      <c r="N1947" s="403">
        <v>768</v>
      </c>
      <c r="O1947" s="403">
        <v>432</v>
      </c>
      <c r="P1947" t="str">
        <f t="shared" si="241"/>
        <v>25fps SD - SD</v>
      </c>
      <c r="Q1947">
        <f t="shared" si="242"/>
        <v>10</v>
      </c>
      <c r="R1947" t="str">
        <f t="shared" si="243"/>
        <v/>
      </c>
      <c r="S1947" t="str">
        <f t="shared" si="244"/>
        <v/>
      </c>
      <c r="T1947" s="403" t="str">
        <f t="shared" si="245"/>
        <v>NBN-63013-B</v>
      </c>
      <c r="U1947" s="403">
        <f t="shared" si="246"/>
        <v>1</v>
      </c>
      <c r="V1947" s="403" t="str">
        <f t="shared" si="247"/>
        <v>CPP_7</v>
      </c>
    </row>
    <row r="1948" spans="1:22">
      <c r="A1948" t="str">
        <f t="shared" si="240"/>
        <v>NBN-63013-B</v>
      </c>
      <c r="B1948" s="403" t="s">
        <v>1388</v>
      </c>
      <c r="C1948" s="403" t="s">
        <v>583</v>
      </c>
      <c r="D1948" s="403" t="s">
        <v>1305</v>
      </c>
      <c r="E1948" s="403" t="s">
        <v>1306</v>
      </c>
      <c r="F1948" s="403" t="s">
        <v>1299</v>
      </c>
      <c r="G1948" s="403" t="s">
        <v>1467</v>
      </c>
      <c r="H1948" s="403" t="s">
        <v>1276</v>
      </c>
      <c r="I1948" s="403">
        <v>1</v>
      </c>
      <c r="J1948" s="403" t="s">
        <v>109</v>
      </c>
      <c r="K1948" s="403">
        <v>720</v>
      </c>
      <c r="L1948" s="403">
        <v>1280</v>
      </c>
      <c r="M1948" s="403" t="s">
        <v>111</v>
      </c>
      <c r="N1948" s="403">
        <v>432</v>
      </c>
      <c r="O1948" s="403">
        <v>768</v>
      </c>
      <c r="P1948" t="str">
        <f t="shared" si="241"/>
        <v>25fps 720p - SD</v>
      </c>
      <c r="Q1948">
        <f t="shared" si="242"/>
        <v>10</v>
      </c>
      <c r="R1948" t="str">
        <f t="shared" si="243"/>
        <v/>
      </c>
      <c r="S1948" t="str">
        <f t="shared" si="244"/>
        <v/>
      </c>
      <c r="T1948" s="403" t="str">
        <f t="shared" si="245"/>
        <v>NBN-63013-B</v>
      </c>
      <c r="U1948" s="403">
        <f t="shared" si="246"/>
        <v>1</v>
      </c>
      <c r="V1948" s="403" t="str">
        <f t="shared" si="247"/>
        <v>CPP_7</v>
      </c>
    </row>
    <row r="1949" spans="1:22">
      <c r="A1949" t="str">
        <f t="shared" si="240"/>
        <v>NBN-63013-B</v>
      </c>
      <c r="B1949" s="403" t="s">
        <v>1388</v>
      </c>
      <c r="C1949" s="403" t="s">
        <v>583</v>
      </c>
      <c r="D1949" s="403" t="s">
        <v>1305</v>
      </c>
      <c r="E1949" s="403" t="s">
        <v>1306</v>
      </c>
      <c r="F1949" s="403" t="s">
        <v>1299</v>
      </c>
      <c r="G1949" s="403" t="s">
        <v>1467</v>
      </c>
      <c r="H1949" s="403" t="s">
        <v>1276</v>
      </c>
      <c r="I1949" s="403">
        <v>1</v>
      </c>
      <c r="J1949" s="403" t="s">
        <v>109</v>
      </c>
      <c r="K1949" s="403">
        <v>720</v>
      </c>
      <c r="L1949" s="403">
        <v>1280</v>
      </c>
      <c r="M1949" s="403" t="s">
        <v>109</v>
      </c>
      <c r="N1949" s="403">
        <v>720</v>
      </c>
      <c r="O1949" s="403">
        <v>1280</v>
      </c>
      <c r="P1949" t="str">
        <f t="shared" si="241"/>
        <v>25fps 720p - 720p</v>
      </c>
      <c r="Q1949">
        <f t="shared" si="242"/>
        <v>10</v>
      </c>
      <c r="R1949" t="str">
        <f t="shared" si="243"/>
        <v/>
      </c>
      <c r="S1949" t="str">
        <f t="shared" si="244"/>
        <v/>
      </c>
      <c r="T1949" s="403" t="str">
        <f t="shared" si="245"/>
        <v>NBN-63013-B</v>
      </c>
      <c r="U1949" s="403">
        <f t="shared" si="246"/>
        <v>1</v>
      </c>
      <c r="V1949" s="403" t="str">
        <f t="shared" si="247"/>
        <v>CPP_7</v>
      </c>
    </row>
    <row r="1950" spans="1:22">
      <c r="A1950" t="str">
        <f t="shared" si="240"/>
        <v>NBN-63013-B</v>
      </c>
      <c r="B1950" s="403" t="s">
        <v>1388</v>
      </c>
      <c r="C1950" s="403" t="s">
        <v>583</v>
      </c>
      <c r="D1950" s="403" t="s">
        <v>1305</v>
      </c>
      <c r="E1950" s="403" t="s">
        <v>1306</v>
      </c>
      <c r="F1950" s="403" t="s">
        <v>1299</v>
      </c>
      <c r="G1950" s="403" t="s">
        <v>1467</v>
      </c>
      <c r="H1950" s="403" t="s">
        <v>1276</v>
      </c>
      <c r="I1950" s="403">
        <v>1</v>
      </c>
      <c r="J1950" s="403" t="s">
        <v>109</v>
      </c>
      <c r="K1950" s="403">
        <v>720</v>
      </c>
      <c r="L1950" s="403">
        <v>1280</v>
      </c>
      <c r="M1950" s="403" t="s">
        <v>1279</v>
      </c>
      <c r="N1950" s="403">
        <v>432</v>
      </c>
      <c r="O1950" s="403">
        <v>768</v>
      </c>
      <c r="P1950" t="str">
        <f t="shared" si="241"/>
        <v>25fps 720p - SD ROI PTZ</v>
      </c>
      <c r="Q1950">
        <f t="shared" si="242"/>
        <v>10</v>
      </c>
      <c r="R1950" t="str">
        <f t="shared" si="243"/>
        <v/>
      </c>
      <c r="S1950" t="str">
        <f t="shared" si="244"/>
        <v/>
      </c>
      <c r="T1950" s="403" t="str">
        <f t="shared" si="245"/>
        <v>NBN-63013-B</v>
      </c>
      <c r="U1950" s="403">
        <f t="shared" si="246"/>
        <v>1</v>
      </c>
      <c r="V1950" s="403" t="str">
        <f t="shared" si="247"/>
        <v>CPP_7</v>
      </c>
    </row>
    <row r="1951" spans="1:22">
      <c r="A1951" t="str">
        <f t="shared" si="240"/>
        <v>NBN-63013-B</v>
      </c>
      <c r="B1951" s="403" t="s">
        <v>1388</v>
      </c>
      <c r="C1951" s="403" t="s">
        <v>583</v>
      </c>
      <c r="D1951" s="403" t="s">
        <v>1305</v>
      </c>
      <c r="E1951" s="403" t="s">
        <v>1306</v>
      </c>
      <c r="F1951" s="403" t="s">
        <v>1299</v>
      </c>
      <c r="G1951" s="403" t="s">
        <v>1467</v>
      </c>
      <c r="H1951" s="403" t="s">
        <v>1276</v>
      </c>
      <c r="I1951" s="403">
        <v>1</v>
      </c>
      <c r="J1951" s="403" t="s">
        <v>109</v>
      </c>
      <c r="K1951" s="403">
        <v>720</v>
      </c>
      <c r="L1951" s="403">
        <v>1280</v>
      </c>
      <c r="M1951" s="403" t="s">
        <v>1298</v>
      </c>
      <c r="N1951" s="403">
        <v>432</v>
      </c>
      <c r="O1951" s="403">
        <v>768</v>
      </c>
      <c r="P1951" t="str">
        <f t="shared" si="241"/>
        <v>25fps 720p - SD dual stream with independent ROI PTZ</v>
      </c>
      <c r="Q1951">
        <f t="shared" si="242"/>
        <v>10</v>
      </c>
      <c r="R1951" t="str">
        <f t="shared" si="243"/>
        <v/>
      </c>
      <c r="S1951" t="str">
        <f t="shared" si="244"/>
        <v/>
      </c>
      <c r="T1951" s="403" t="str">
        <f t="shared" si="245"/>
        <v>NBN-63013-B</v>
      </c>
      <c r="U1951" s="403">
        <f t="shared" si="246"/>
        <v>1</v>
      </c>
      <c r="V1951" s="403" t="str">
        <f t="shared" si="247"/>
        <v>CPP_7</v>
      </c>
    </row>
    <row r="1952" spans="1:22">
      <c r="A1952" t="str">
        <f t="shared" si="240"/>
        <v>NBN-63013-B</v>
      </c>
      <c r="B1952" s="403" t="s">
        <v>1388</v>
      </c>
      <c r="C1952" s="403" t="s">
        <v>583</v>
      </c>
      <c r="D1952" s="403" t="s">
        <v>1305</v>
      </c>
      <c r="E1952" s="403" t="s">
        <v>1306</v>
      </c>
      <c r="F1952" s="403" t="s">
        <v>1299</v>
      </c>
      <c r="G1952" s="403" t="s">
        <v>1467</v>
      </c>
      <c r="H1952" s="403" t="s">
        <v>1276</v>
      </c>
      <c r="I1952" s="403">
        <v>1</v>
      </c>
      <c r="J1952" s="403" t="s">
        <v>109</v>
      </c>
      <c r="K1952" s="403">
        <v>720</v>
      </c>
      <c r="L1952" s="403">
        <v>1280</v>
      </c>
      <c r="M1952" s="403" t="s">
        <v>1283</v>
      </c>
      <c r="N1952" s="403">
        <v>576</v>
      </c>
      <c r="O1952" s="403">
        <v>704</v>
      </c>
      <c r="P1952" t="str">
        <f t="shared" si="241"/>
        <v>25fps 720p - SD 4CIF resolution 4:3 format (cropped)</v>
      </c>
      <c r="Q1952">
        <f t="shared" si="242"/>
        <v>10</v>
      </c>
      <c r="R1952" t="str">
        <f t="shared" si="243"/>
        <v/>
      </c>
      <c r="S1952" t="str">
        <f t="shared" si="244"/>
        <v/>
      </c>
      <c r="T1952" s="403" t="str">
        <f t="shared" si="245"/>
        <v>NBN-63013-B</v>
      </c>
      <c r="U1952" s="403">
        <f t="shared" si="246"/>
        <v>1</v>
      </c>
      <c r="V1952" s="403" t="str">
        <f t="shared" si="247"/>
        <v>CPP_7</v>
      </c>
    </row>
    <row r="1953" spans="1:22">
      <c r="A1953" t="str">
        <f t="shared" si="240"/>
        <v>NBN-63013-B</v>
      </c>
      <c r="B1953" s="403" t="s">
        <v>1388</v>
      </c>
      <c r="C1953" s="403" t="s">
        <v>583</v>
      </c>
      <c r="D1953" s="403" t="s">
        <v>1305</v>
      </c>
      <c r="E1953" s="403" t="s">
        <v>1306</v>
      </c>
      <c r="F1953" s="403" t="s">
        <v>1299</v>
      </c>
      <c r="G1953" s="403" t="s">
        <v>1467</v>
      </c>
      <c r="H1953" s="403" t="s">
        <v>1276</v>
      </c>
      <c r="I1953" s="403">
        <v>1</v>
      </c>
      <c r="J1953" s="403" t="s">
        <v>109</v>
      </c>
      <c r="K1953" s="403">
        <v>720</v>
      </c>
      <c r="L1953" s="403">
        <v>1280</v>
      </c>
      <c r="M1953" s="403" t="s">
        <v>1284</v>
      </c>
      <c r="N1953" s="403">
        <v>480</v>
      </c>
      <c r="O1953" s="403">
        <v>640</v>
      </c>
      <c r="P1953" t="str">
        <f t="shared" si="241"/>
        <v>25fps 720p - SD VGA (cropped)</v>
      </c>
      <c r="Q1953">
        <f t="shared" si="242"/>
        <v>10</v>
      </c>
      <c r="R1953" t="str">
        <f t="shared" si="243"/>
        <v/>
      </c>
      <c r="S1953" t="str">
        <f t="shared" si="244"/>
        <v/>
      </c>
      <c r="T1953" s="403" t="str">
        <f t="shared" si="245"/>
        <v>NBN-63013-B</v>
      </c>
      <c r="U1953" s="403">
        <f t="shared" si="246"/>
        <v>1</v>
      </c>
      <c r="V1953" s="403" t="str">
        <f t="shared" si="247"/>
        <v>CPP_7</v>
      </c>
    </row>
    <row r="1954" spans="1:22">
      <c r="A1954" t="str">
        <f t="shared" si="240"/>
        <v>NBN-63013-B</v>
      </c>
      <c r="B1954" s="403" t="s">
        <v>1388</v>
      </c>
      <c r="C1954" s="403" t="s">
        <v>583</v>
      </c>
      <c r="D1954" s="403" t="s">
        <v>1305</v>
      </c>
      <c r="E1954" s="403" t="s">
        <v>1306</v>
      </c>
      <c r="F1954" s="403" t="s">
        <v>1299</v>
      </c>
      <c r="G1954" s="403" t="s">
        <v>1467</v>
      </c>
      <c r="H1954" s="403" t="s">
        <v>1276</v>
      </c>
      <c r="I1954" s="403">
        <v>1</v>
      </c>
      <c r="J1954" s="403" t="s">
        <v>111</v>
      </c>
      <c r="K1954" s="403">
        <v>432</v>
      </c>
      <c r="L1954" s="403">
        <v>768</v>
      </c>
      <c r="M1954" s="403" t="s">
        <v>111</v>
      </c>
      <c r="N1954" s="403">
        <v>432</v>
      </c>
      <c r="O1954" s="403">
        <v>768</v>
      </c>
      <c r="P1954" t="str">
        <f t="shared" si="241"/>
        <v>25fps SD - SD</v>
      </c>
      <c r="Q1954">
        <f t="shared" si="242"/>
        <v>10</v>
      </c>
      <c r="R1954" t="str">
        <f t="shared" si="243"/>
        <v/>
      </c>
      <c r="S1954" t="str">
        <f t="shared" si="244"/>
        <v/>
      </c>
      <c r="T1954" s="403" t="str">
        <f t="shared" si="245"/>
        <v>NBN-63013-B</v>
      </c>
      <c r="U1954" s="403">
        <f t="shared" si="246"/>
        <v>1</v>
      </c>
      <c r="V1954" s="403" t="str">
        <f t="shared" si="247"/>
        <v>CPP_7</v>
      </c>
    </row>
    <row r="1955" spans="1:22">
      <c r="A1955" t="str">
        <f t="shared" si="240"/>
        <v>NBN-63013-B</v>
      </c>
      <c r="B1955" s="403" t="s">
        <v>1388</v>
      </c>
      <c r="C1955" s="403" t="s">
        <v>583</v>
      </c>
      <c r="D1955" s="403" t="s">
        <v>1305</v>
      </c>
      <c r="E1955" s="403" t="s">
        <v>1306</v>
      </c>
      <c r="F1955" s="403" t="s">
        <v>1300</v>
      </c>
      <c r="G1955" s="403" t="s">
        <v>1466</v>
      </c>
      <c r="H1955" s="403" t="s">
        <v>1276</v>
      </c>
      <c r="I1955" s="403">
        <v>1</v>
      </c>
      <c r="J1955" s="403" t="s">
        <v>1289</v>
      </c>
      <c r="K1955" s="403">
        <v>1280</v>
      </c>
      <c r="L1955" s="403">
        <v>720</v>
      </c>
      <c r="M1955" s="403" t="s">
        <v>111</v>
      </c>
      <c r="N1955" s="403">
        <v>768</v>
      </c>
      <c r="O1955" s="403">
        <v>432</v>
      </c>
      <c r="P1955" t="str">
        <f t="shared" si="241"/>
        <v>60fps 720p full frame rate - SD</v>
      </c>
      <c r="Q1955">
        <f t="shared" si="242"/>
        <v>10</v>
      </c>
      <c r="R1955" t="str">
        <f t="shared" si="243"/>
        <v/>
      </c>
      <c r="S1955" t="str">
        <f t="shared" si="244"/>
        <v/>
      </c>
      <c r="T1955" s="403" t="str">
        <f t="shared" si="245"/>
        <v>NBN-63013-B</v>
      </c>
      <c r="U1955" s="403">
        <f t="shared" si="246"/>
        <v>1</v>
      </c>
      <c r="V1955" s="403" t="str">
        <f t="shared" si="247"/>
        <v>CPP_7</v>
      </c>
    </row>
    <row r="1956" spans="1:22">
      <c r="A1956" t="str">
        <f t="shared" si="240"/>
        <v>NBN-63013-B</v>
      </c>
      <c r="B1956" s="403" t="s">
        <v>1388</v>
      </c>
      <c r="C1956" s="403" t="s">
        <v>583</v>
      </c>
      <c r="D1956" s="403" t="s">
        <v>1305</v>
      </c>
      <c r="E1956" s="403" t="s">
        <v>1306</v>
      </c>
      <c r="F1956" s="403" t="s">
        <v>1300</v>
      </c>
      <c r="G1956" s="403" t="s">
        <v>1466</v>
      </c>
      <c r="H1956" s="403" t="s">
        <v>1276</v>
      </c>
      <c r="I1956" s="403">
        <v>1</v>
      </c>
      <c r="J1956" s="403" t="s">
        <v>1289</v>
      </c>
      <c r="K1956" s="403">
        <v>1280</v>
      </c>
      <c r="L1956" s="403">
        <v>720</v>
      </c>
      <c r="M1956" s="403" t="s">
        <v>1279</v>
      </c>
      <c r="N1956" s="403">
        <v>768</v>
      </c>
      <c r="O1956" s="403">
        <v>432</v>
      </c>
      <c r="P1956" t="str">
        <f t="shared" si="241"/>
        <v>60fps 720p full frame rate - SD ROI PTZ</v>
      </c>
      <c r="Q1956">
        <f t="shared" si="242"/>
        <v>10</v>
      </c>
      <c r="R1956" t="str">
        <f t="shared" si="243"/>
        <v/>
      </c>
      <c r="S1956" t="str">
        <f t="shared" si="244"/>
        <v/>
      </c>
      <c r="T1956" s="403" t="str">
        <f t="shared" si="245"/>
        <v>NBN-63013-B</v>
      </c>
      <c r="U1956" s="403">
        <f t="shared" si="246"/>
        <v>1</v>
      </c>
      <c r="V1956" s="403" t="str">
        <f t="shared" si="247"/>
        <v>CPP_7</v>
      </c>
    </row>
    <row r="1957" spans="1:22">
      <c r="A1957" t="str">
        <f t="shared" si="240"/>
        <v>NBN-63013-B</v>
      </c>
      <c r="B1957" s="403" t="s">
        <v>1388</v>
      </c>
      <c r="C1957" s="403" t="s">
        <v>583</v>
      </c>
      <c r="D1957" s="403" t="s">
        <v>1305</v>
      </c>
      <c r="E1957" s="403" t="s">
        <v>1306</v>
      </c>
      <c r="F1957" s="403" t="s">
        <v>1300</v>
      </c>
      <c r="G1957" s="403" t="s">
        <v>1466</v>
      </c>
      <c r="H1957" s="403" t="s">
        <v>1276</v>
      </c>
      <c r="I1957" s="403">
        <v>1</v>
      </c>
      <c r="J1957" s="403" t="s">
        <v>1289</v>
      </c>
      <c r="K1957" s="403">
        <v>1280</v>
      </c>
      <c r="L1957" s="403">
        <v>720</v>
      </c>
      <c r="M1957" s="403" t="s">
        <v>1298</v>
      </c>
      <c r="N1957" s="403">
        <v>768</v>
      </c>
      <c r="O1957" s="403">
        <v>432</v>
      </c>
      <c r="P1957" t="str">
        <f t="shared" si="241"/>
        <v>60fps 720p full frame rate - SD dual stream with independent ROI PTZ</v>
      </c>
      <c r="Q1957">
        <f t="shared" si="242"/>
        <v>10</v>
      </c>
      <c r="R1957" t="str">
        <f t="shared" si="243"/>
        <v/>
      </c>
      <c r="S1957" t="str">
        <f t="shared" si="244"/>
        <v/>
      </c>
      <c r="T1957" s="403" t="str">
        <f t="shared" si="245"/>
        <v>NBN-63013-B</v>
      </c>
      <c r="U1957" s="403">
        <f t="shared" si="246"/>
        <v>1</v>
      </c>
      <c r="V1957" s="403" t="str">
        <f t="shared" si="247"/>
        <v>CPP_7</v>
      </c>
    </row>
    <row r="1958" spans="1:22">
      <c r="A1958" t="str">
        <f t="shared" si="240"/>
        <v>NBN-63013-B</v>
      </c>
      <c r="B1958" s="403" t="s">
        <v>1388</v>
      </c>
      <c r="C1958" s="403" t="s">
        <v>583</v>
      </c>
      <c r="D1958" s="403" t="s">
        <v>1305</v>
      </c>
      <c r="E1958" s="403" t="s">
        <v>1306</v>
      </c>
      <c r="F1958" s="403" t="s">
        <v>1300</v>
      </c>
      <c r="G1958" s="403" t="s">
        <v>1466</v>
      </c>
      <c r="H1958" s="403" t="s">
        <v>1276</v>
      </c>
      <c r="I1958" s="403">
        <v>1</v>
      </c>
      <c r="J1958" s="403" t="s">
        <v>1289</v>
      </c>
      <c r="K1958" s="403">
        <v>1280</v>
      </c>
      <c r="L1958" s="403">
        <v>720</v>
      </c>
      <c r="M1958" s="403" t="s">
        <v>1301</v>
      </c>
      <c r="N1958" s="403">
        <v>1280</v>
      </c>
      <c r="O1958" s="403">
        <v>720</v>
      </c>
      <c r="P1958" t="str">
        <f t="shared" si="241"/>
        <v>60fps 720p full frame rate - 720p skip=4</v>
      </c>
      <c r="Q1958">
        <f t="shared" si="242"/>
        <v>10</v>
      </c>
      <c r="R1958" t="str">
        <f t="shared" si="243"/>
        <v/>
      </c>
      <c r="S1958" t="str">
        <f t="shared" si="244"/>
        <v/>
      </c>
      <c r="T1958" s="403" t="str">
        <f t="shared" si="245"/>
        <v>NBN-63013-B</v>
      </c>
      <c r="U1958" s="403">
        <f t="shared" si="246"/>
        <v>1</v>
      </c>
      <c r="V1958" s="403" t="str">
        <f t="shared" si="247"/>
        <v>CPP_7</v>
      </c>
    </row>
    <row r="1959" spans="1:22">
      <c r="A1959" t="str">
        <f t="shared" si="240"/>
        <v>NBN-63013-B</v>
      </c>
      <c r="B1959" s="403" t="s">
        <v>1388</v>
      </c>
      <c r="C1959" s="403" t="s">
        <v>583</v>
      </c>
      <c r="D1959" s="403" t="s">
        <v>1305</v>
      </c>
      <c r="E1959" s="403" t="s">
        <v>1306</v>
      </c>
      <c r="F1959" s="403" t="s">
        <v>1300</v>
      </c>
      <c r="G1959" s="403" t="s">
        <v>1466</v>
      </c>
      <c r="H1959" s="403" t="s">
        <v>1276</v>
      </c>
      <c r="I1959" s="403">
        <v>1</v>
      </c>
      <c r="J1959" s="403" t="s">
        <v>1289</v>
      </c>
      <c r="K1959" s="403">
        <v>1280</v>
      </c>
      <c r="L1959" s="403">
        <v>720</v>
      </c>
      <c r="M1959" s="403" t="s">
        <v>1280</v>
      </c>
      <c r="N1959" s="403">
        <v>1280</v>
      </c>
      <c r="O1959" s="403">
        <v>720</v>
      </c>
      <c r="P1959" t="str">
        <f t="shared" si="241"/>
        <v>60fps 720p full frame rate - copy other stream</v>
      </c>
      <c r="Q1959">
        <f t="shared" si="242"/>
        <v>10</v>
      </c>
      <c r="R1959" t="str">
        <f t="shared" si="243"/>
        <v/>
      </c>
      <c r="S1959" t="str">
        <f t="shared" si="244"/>
        <v/>
      </c>
      <c r="T1959" s="403" t="str">
        <f t="shared" si="245"/>
        <v>NBN-63013-B</v>
      </c>
      <c r="U1959" s="403">
        <f t="shared" si="246"/>
        <v>1</v>
      </c>
      <c r="V1959" s="403" t="str">
        <f t="shared" si="247"/>
        <v>CPP_7</v>
      </c>
    </row>
    <row r="1960" spans="1:22">
      <c r="A1960" t="str">
        <f t="shared" si="240"/>
        <v>NBN-63013-B</v>
      </c>
      <c r="B1960" s="403" t="s">
        <v>1388</v>
      </c>
      <c r="C1960" s="403" t="s">
        <v>583</v>
      </c>
      <c r="D1960" s="403" t="s">
        <v>1305</v>
      </c>
      <c r="E1960" s="403" t="s">
        <v>1306</v>
      </c>
      <c r="F1960" s="403" t="s">
        <v>1300</v>
      </c>
      <c r="G1960" s="403" t="s">
        <v>1466</v>
      </c>
      <c r="H1960" s="403" t="s">
        <v>1276</v>
      </c>
      <c r="I1960" s="403">
        <v>1</v>
      </c>
      <c r="J1960" s="403" t="s">
        <v>1289</v>
      </c>
      <c r="K1960" s="403">
        <v>1280</v>
      </c>
      <c r="L1960" s="403">
        <v>720</v>
      </c>
      <c r="M1960" s="403" t="s">
        <v>1302</v>
      </c>
      <c r="N1960" s="403">
        <v>400</v>
      </c>
      <c r="O1960" s="403">
        <v>720</v>
      </c>
      <c r="P1960" t="str">
        <f t="shared" si="241"/>
        <v>60fps 720p full frame rate - 400x720 upright (cropped)</v>
      </c>
      <c r="Q1960">
        <f t="shared" si="242"/>
        <v>10</v>
      </c>
      <c r="R1960" t="str">
        <f t="shared" si="243"/>
        <v/>
      </c>
      <c r="S1960" t="str">
        <f t="shared" si="244"/>
        <v/>
      </c>
      <c r="T1960" s="403" t="str">
        <f t="shared" si="245"/>
        <v>NBN-63013-B</v>
      </c>
      <c r="U1960" s="403">
        <f t="shared" si="246"/>
        <v>1</v>
      </c>
      <c r="V1960" s="403" t="str">
        <f t="shared" si="247"/>
        <v>CPP_7</v>
      </c>
    </row>
    <row r="1961" spans="1:22">
      <c r="A1961" t="str">
        <f t="shared" si="240"/>
        <v>NBN-63013-B</v>
      </c>
      <c r="B1961" s="403" t="s">
        <v>1388</v>
      </c>
      <c r="C1961" s="403" t="s">
        <v>583</v>
      </c>
      <c r="D1961" s="403" t="s">
        <v>1305</v>
      </c>
      <c r="E1961" s="403" t="s">
        <v>1306</v>
      </c>
      <c r="F1961" s="403" t="s">
        <v>1300</v>
      </c>
      <c r="G1961" s="403" t="s">
        <v>1466</v>
      </c>
      <c r="H1961" s="403" t="s">
        <v>1276</v>
      </c>
      <c r="I1961" s="403">
        <v>1</v>
      </c>
      <c r="J1961" s="403" t="s">
        <v>1289</v>
      </c>
      <c r="K1961" s="403">
        <v>1280</v>
      </c>
      <c r="L1961" s="403">
        <v>720</v>
      </c>
      <c r="M1961" s="403" t="s">
        <v>1283</v>
      </c>
      <c r="N1961" s="403">
        <v>704</v>
      </c>
      <c r="O1961" s="403">
        <v>480</v>
      </c>
      <c r="P1961" t="str">
        <f t="shared" si="241"/>
        <v>60fps 720p full frame rate - SD 4CIF resolution 4:3 format (cropped)</v>
      </c>
      <c r="Q1961">
        <f t="shared" si="242"/>
        <v>10</v>
      </c>
      <c r="R1961" t="str">
        <f t="shared" si="243"/>
        <v/>
      </c>
      <c r="S1961" t="str">
        <f t="shared" si="244"/>
        <v/>
      </c>
      <c r="T1961" s="403" t="str">
        <f t="shared" si="245"/>
        <v>NBN-63013-B</v>
      </c>
      <c r="U1961" s="403">
        <f t="shared" si="246"/>
        <v>1</v>
      </c>
      <c r="V1961" s="403" t="str">
        <f t="shared" si="247"/>
        <v>CPP_7</v>
      </c>
    </row>
    <row r="1962" spans="1:22">
      <c r="A1962" t="str">
        <f t="shared" si="240"/>
        <v>NBN-63013-B</v>
      </c>
      <c r="B1962" s="403" t="s">
        <v>1388</v>
      </c>
      <c r="C1962" s="403" t="s">
        <v>583</v>
      </c>
      <c r="D1962" s="403" t="s">
        <v>1305</v>
      </c>
      <c r="E1962" s="403" t="s">
        <v>1306</v>
      </c>
      <c r="F1962" s="403" t="s">
        <v>1300</v>
      </c>
      <c r="G1962" s="403" t="s">
        <v>1466</v>
      </c>
      <c r="H1962" s="403" t="s">
        <v>1276</v>
      </c>
      <c r="I1962" s="403">
        <v>1</v>
      </c>
      <c r="J1962" s="403" t="s">
        <v>1289</v>
      </c>
      <c r="K1962" s="403">
        <v>1280</v>
      </c>
      <c r="L1962" s="403">
        <v>720</v>
      </c>
      <c r="M1962" s="403" t="s">
        <v>1284</v>
      </c>
      <c r="N1962" s="403">
        <v>640</v>
      </c>
      <c r="O1962" s="403">
        <v>480</v>
      </c>
      <c r="P1962" t="str">
        <f t="shared" si="241"/>
        <v>60fps 720p full frame rate - SD VGA (cropped)</v>
      </c>
      <c r="Q1962">
        <f t="shared" si="242"/>
        <v>10</v>
      </c>
      <c r="R1962" t="str">
        <f t="shared" si="243"/>
        <v/>
      </c>
      <c r="S1962" t="str">
        <f t="shared" si="244"/>
        <v/>
      </c>
      <c r="T1962" s="403" t="str">
        <f t="shared" si="245"/>
        <v>NBN-63013-B</v>
      </c>
      <c r="U1962" s="403">
        <f t="shared" si="246"/>
        <v>1</v>
      </c>
      <c r="V1962" s="403" t="str">
        <f t="shared" si="247"/>
        <v>CPP_7</v>
      </c>
    </row>
    <row r="1963" spans="1:22">
      <c r="A1963" t="str">
        <f t="shared" si="240"/>
        <v>NBN-63013-B</v>
      </c>
      <c r="B1963" s="403" t="s">
        <v>1388</v>
      </c>
      <c r="C1963" s="403" t="s">
        <v>583</v>
      </c>
      <c r="D1963" s="403" t="s">
        <v>1305</v>
      </c>
      <c r="E1963" s="403" t="s">
        <v>1306</v>
      </c>
      <c r="F1963" s="403" t="s">
        <v>1300</v>
      </c>
      <c r="G1963" s="403" t="s">
        <v>1466</v>
      </c>
      <c r="H1963" s="403" t="s">
        <v>1276</v>
      </c>
      <c r="I1963" s="403">
        <v>1</v>
      </c>
      <c r="J1963" s="403" t="s">
        <v>111</v>
      </c>
      <c r="K1963" s="403">
        <v>768</v>
      </c>
      <c r="L1963" s="403">
        <v>432</v>
      </c>
      <c r="M1963" s="403" t="s">
        <v>111</v>
      </c>
      <c r="N1963" s="403">
        <v>768</v>
      </c>
      <c r="O1963" s="403">
        <v>432</v>
      </c>
      <c r="P1963" t="str">
        <f t="shared" si="241"/>
        <v>60fps SD - SD</v>
      </c>
      <c r="Q1963">
        <f t="shared" si="242"/>
        <v>10</v>
      </c>
      <c r="R1963" t="str">
        <f t="shared" si="243"/>
        <v/>
      </c>
      <c r="S1963" t="str">
        <f t="shared" si="244"/>
        <v/>
      </c>
      <c r="T1963" s="403" t="str">
        <f t="shared" si="245"/>
        <v>NBN-63013-B</v>
      </c>
      <c r="U1963" s="403">
        <f t="shared" si="246"/>
        <v>1</v>
      </c>
      <c r="V1963" s="403" t="str">
        <f t="shared" si="247"/>
        <v>CPP_7</v>
      </c>
    </row>
    <row r="1964" spans="1:22">
      <c r="A1964" t="str">
        <f t="shared" si="240"/>
        <v>NBN-63013-B</v>
      </c>
      <c r="B1964" s="403" t="s">
        <v>1388</v>
      </c>
      <c r="C1964" s="403" t="s">
        <v>583</v>
      </c>
      <c r="D1964" s="403" t="s">
        <v>1305</v>
      </c>
      <c r="E1964" s="403" t="s">
        <v>1306</v>
      </c>
      <c r="F1964" s="403" t="s">
        <v>1300</v>
      </c>
      <c r="G1964" s="403" t="s">
        <v>1467</v>
      </c>
      <c r="H1964" s="403" t="s">
        <v>1276</v>
      </c>
      <c r="I1964" s="403">
        <v>1</v>
      </c>
      <c r="J1964" s="403" t="s">
        <v>1289</v>
      </c>
      <c r="K1964" s="403">
        <v>720</v>
      </c>
      <c r="L1964" s="403">
        <v>1280</v>
      </c>
      <c r="M1964" s="403" t="s">
        <v>111</v>
      </c>
      <c r="N1964" s="403">
        <v>432</v>
      </c>
      <c r="O1964" s="403">
        <v>768</v>
      </c>
      <c r="P1964" t="str">
        <f t="shared" si="241"/>
        <v>60fps 720p full frame rate - SD</v>
      </c>
      <c r="Q1964">
        <f t="shared" si="242"/>
        <v>10</v>
      </c>
      <c r="R1964" t="str">
        <f t="shared" si="243"/>
        <v/>
      </c>
      <c r="S1964" t="str">
        <f t="shared" si="244"/>
        <v/>
      </c>
      <c r="T1964" s="403" t="str">
        <f t="shared" si="245"/>
        <v>NBN-63013-B</v>
      </c>
      <c r="U1964" s="403">
        <f t="shared" si="246"/>
        <v>1</v>
      </c>
      <c r="V1964" s="403" t="str">
        <f t="shared" si="247"/>
        <v>CPP_7</v>
      </c>
    </row>
    <row r="1965" spans="1:22">
      <c r="A1965" t="str">
        <f t="shared" si="240"/>
        <v>NBN-63013-B</v>
      </c>
      <c r="B1965" s="403" t="s">
        <v>1388</v>
      </c>
      <c r="C1965" s="403" t="s">
        <v>583</v>
      </c>
      <c r="D1965" s="403" t="s">
        <v>1305</v>
      </c>
      <c r="E1965" s="403" t="s">
        <v>1306</v>
      </c>
      <c r="F1965" s="403" t="s">
        <v>1300</v>
      </c>
      <c r="G1965" s="403" t="s">
        <v>1467</v>
      </c>
      <c r="H1965" s="403" t="s">
        <v>1276</v>
      </c>
      <c r="I1965" s="403">
        <v>1</v>
      </c>
      <c r="J1965" s="403" t="s">
        <v>1289</v>
      </c>
      <c r="K1965" s="403">
        <v>720</v>
      </c>
      <c r="L1965" s="403">
        <v>1280</v>
      </c>
      <c r="M1965" s="403" t="s">
        <v>1279</v>
      </c>
      <c r="N1965" s="403">
        <v>432</v>
      </c>
      <c r="O1965" s="403">
        <v>768</v>
      </c>
      <c r="P1965" t="str">
        <f t="shared" si="241"/>
        <v>60fps 720p full frame rate - SD ROI PTZ</v>
      </c>
      <c r="Q1965">
        <f t="shared" si="242"/>
        <v>10</v>
      </c>
      <c r="R1965" t="str">
        <f t="shared" si="243"/>
        <v/>
      </c>
      <c r="S1965" t="str">
        <f t="shared" si="244"/>
        <v/>
      </c>
      <c r="T1965" s="403" t="str">
        <f t="shared" si="245"/>
        <v>NBN-63013-B</v>
      </c>
      <c r="U1965" s="403">
        <f t="shared" si="246"/>
        <v>1</v>
      </c>
      <c r="V1965" s="403" t="str">
        <f t="shared" si="247"/>
        <v>CPP_7</v>
      </c>
    </row>
    <row r="1966" spans="1:22">
      <c r="A1966" t="str">
        <f t="shared" si="240"/>
        <v>NBN-63013-B</v>
      </c>
      <c r="B1966" s="403" t="s">
        <v>1388</v>
      </c>
      <c r="C1966" s="403" t="s">
        <v>583</v>
      </c>
      <c r="D1966" s="403" t="s">
        <v>1305</v>
      </c>
      <c r="E1966" s="403" t="s">
        <v>1306</v>
      </c>
      <c r="F1966" s="403" t="s">
        <v>1300</v>
      </c>
      <c r="G1966" s="403" t="s">
        <v>1467</v>
      </c>
      <c r="H1966" s="403" t="s">
        <v>1276</v>
      </c>
      <c r="I1966" s="403">
        <v>1</v>
      </c>
      <c r="J1966" s="403" t="s">
        <v>1289</v>
      </c>
      <c r="K1966" s="403">
        <v>720</v>
      </c>
      <c r="L1966" s="403">
        <v>1280</v>
      </c>
      <c r="M1966" s="403" t="s">
        <v>1298</v>
      </c>
      <c r="N1966" s="403">
        <v>432</v>
      </c>
      <c r="O1966" s="403">
        <v>768</v>
      </c>
      <c r="P1966" t="str">
        <f t="shared" si="241"/>
        <v>60fps 720p full frame rate - SD dual stream with independent ROI PTZ</v>
      </c>
      <c r="Q1966">
        <f t="shared" si="242"/>
        <v>10</v>
      </c>
      <c r="R1966" t="str">
        <f t="shared" si="243"/>
        <v/>
      </c>
      <c r="S1966" t="str">
        <f t="shared" si="244"/>
        <v/>
      </c>
      <c r="T1966" s="403" t="str">
        <f t="shared" si="245"/>
        <v>NBN-63013-B</v>
      </c>
      <c r="U1966" s="403">
        <f t="shared" si="246"/>
        <v>1</v>
      </c>
      <c r="V1966" s="403" t="str">
        <f t="shared" si="247"/>
        <v>CPP_7</v>
      </c>
    </row>
    <row r="1967" spans="1:22">
      <c r="A1967" t="str">
        <f t="shared" si="240"/>
        <v>NBN-63013-B</v>
      </c>
      <c r="B1967" s="403" t="s">
        <v>1388</v>
      </c>
      <c r="C1967" s="403" t="s">
        <v>583</v>
      </c>
      <c r="D1967" s="403" t="s">
        <v>1305</v>
      </c>
      <c r="E1967" s="403" t="s">
        <v>1306</v>
      </c>
      <c r="F1967" s="403" t="s">
        <v>1300</v>
      </c>
      <c r="G1967" s="403" t="s">
        <v>1467</v>
      </c>
      <c r="H1967" s="403" t="s">
        <v>1276</v>
      </c>
      <c r="I1967" s="403">
        <v>1</v>
      </c>
      <c r="J1967" s="403" t="s">
        <v>1289</v>
      </c>
      <c r="K1967" s="403">
        <v>720</v>
      </c>
      <c r="L1967" s="403">
        <v>1280</v>
      </c>
      <c r="M1967" s="403" t="s">
        <v>1301</v>
      </c>
      <c r="N1967" s="403">
        <v>720</v>
      </c>
      <c r="O1967" s="403">
        <v>1280</v>
      </c>
      <c r="P1967" t="str">
        <f t="shared" si="241"/>
        <v>60fps 720p full frame rate - 720p skip=4</v>
      </c>
      <c r="Q1967">
        <f t="shared" si="242"/>
        <v>10</v>
      </c>
      <c r="R1967" t="str">
        <f t="shared" si="243"/>
        <v/>
      </c>
      <c r="S1967" t="str">
        <f t="shared" si="244"/>
        <v/>
      </c>
      <c r="T1967" s="403" t="str">
        <f t="shared" si="245"/>
        <v>NBN-63013-B</v>
      </c>
      <c r="U1967" s="403">
        <f t="shared" si="246"/>
        <v>1</v>
      </c>
      <c r="V1967" s="403" t="str">
        <f t="shared" si="247"/>
        <v>CPP_7</v>
      </c>
    </row>
    <row r="1968" spans="1:22">
      <c r="A1968" t="str">
        <f t="shared" si="240"/>
        <v>NBN-63013-B</v>
      </c>
      <c r="B1968" s="403" t="s">
        <v>1388</v>
      </c>
      <c r="C1968" s="403" t="s">
        <v>583</v>
      </c>
      <c r="D1968" s="403" t="s">
        <v>1305</v>
      </c>
      <c r="E1968" s="403" t="s">
        <v>1306</v>
      </c>
      <c r="F1968" s="403" t="s">
        <v>1300</v>
      </c>
      <c r="G1968" s="403" t="s">
        <v>1467</v>
      </c>
      <c r="H1968" s="403" t="s">
        <v>1276</v>
      </c>
      <c r="I1968" s="403">
        <v>1</v>
      </c>
      <c r="J1968" s="403" t="s">
        <v>1289</v>
      </c>
      <c r="K1968" s="403">
        <v>720</v>
      </c>
      <c r="L1968" s="403">
        <v>1280</v>
      </c>
      <c r="M1968" s="403" t="s">
        <v>1280</v>
      </c>
      <c r="N1968" s="403">
        <v>720</v>
      </c>
      <c r="O1968" s="403">
        <v>1280</v>
      </c>
      <c r="P1968" t="str">
        <f t="shared" si="241"/>
        <v>60fps 720p full frame rate - copy other stream</v>
      </c>
      <c r="Q1968">
        <f t="shared" si="242"/>
        <v>10</v>
      </c>
      <c r="R1968" t="str">
        <f t="shared" si="243"/>
        <v/>
      </c>
      <c r="S1968" t="str">
        <f t="shared" si="244"/>
        <v/>
      </c>
      <c r="T1968" s="403" t="str">
        <f t="shared" si="245"/>
        <v>NBN-63013-B</v>
      </c>
      <c r="U1968" s="403">
        <f t="shared" si="246"/>
        <v>1</v>
      </c>
      <c r="V1968" s="403" t="str">
        <f t="shared" si="247"/>
        <v>CPP_7</v>
      </c>
    </row>
    <row r="1969" spans="1:22">
      <c r="A1969" t="str">
        <f t="shared" si="240"/>
        <v>NBN-63013-B</v>
      </c>
      <c r="B1969" s="403" t="s">
        <v>1388</v>
      </c>
      <c r="C1969" s="403" t="s">
        <v>583</v>
      </c>
      <c r="D1969" s="403" t="s">
        <v>1305</v>
      </c>
      <c r="E1969" s="403" t="s">
        <v>1306</v>
      </c>
      <c r="F1969" s="403" t="s">
        <v>1300</v>
      </c>
      <c r="G1969" s="403" t="s">
        <v>1467</v>
      </c>
      <c r="H1969" s="403" t="s">
        <v>1276</v>
      </c>
      <c r="I1969" s="403">
        <v>1</v>
      </c>
      <c r="J1969" s="403" t="s">
        <v>1289</v>
      </c>
      <c r="K1969" s="403">
        <v>720</v>
      </c>
      <c r="L1969" s="403">
        <v>1280</v>
      </c>
      <c r="M1969" s="403" t="s">
        <v>1302</v>
      </c>
      <c r="N1969" s="403">
        <v>720</v>
      </c>
      <c r="O1969" s="403">
        <v>400</v>
      </c>
      <c r="P1969" t="str">
        <f t="shared" si="241"/>
        <v>60fps 720p full frame rate - 400x720 upright (cropped)</v>
      </c>
      <c r="Q1969">
        <f t="shared" si="242"/>
        <v>10</v>
      </c>
      <c r="R1969" t="str">
        <f t="shared" si="243"/>
        <v/>
      </c>
      <c r="S1969" t="str">
        <f t="shared" si="244"/>
        <v/>
      </c>
      <c r="T1969" s="403" t="str">
        <f t="shared" si="245"/>
        <v>NBN-63013-B</v>
      </c>
      <c r="U1969" s="403">
        <f t="shared" si="246"/>
        <v>1</v>
      </c>
      <c r="V1969" s="403" t="str">
        <f t="shared" si="247"/>
        <v>CPP_7</v>
      </c>
    </row>
    <row r="1970" spans="1:22">
      <c r="A1970" t="str">
        <f t="shared" si="240"/>
        <v>NBN-63013-B</v>
      </c>
      <c r="B1970" s="403" t="s">
        <v>1388</v>
      </c>
      <c r="C1970" s="403" t="s">
        <v>583</v>
      </c>
      <c r="D1970" s="403" t="s">
        <v>1305</v>
      </c>
      <c r="E1970" s="403" t="s">
        <v>1306</v>
      </c>
      <c r="F1970" s="403" t="s">
        <v>1300</v>
      </c>
      <c r="G1970" s="403" t="s">
        <v>1467</v>
      </c>
      <c r="H1970" s="403" t="s">
        <v>1276</v>
      </c>
      <c r="I1970" s="403">
        <v>1</v>
      </c>
      <c r="J1970" s="403" t="s">
        <v>1289</v>
      </c>
      <c r="K1970" s="403">
        <v>720</v>
      </c>
      <c r="L1970" s="403">
        <v>1280</v>
      </c>
      <c r="M1970" s="403" t="s">
        <v>1283</v>
      </c>
      <c r="N1970" s="403">
        <v>480</v>
      </c>
      <c r="O1970" s="403">
        <v>704</v>
      </c>
      <c r="P1970" t="str">
        <f t="shared" si="241"/>
        <v>60fps 720p full frame rate - SD 4CIF resolution 4:3 format (cropped)</v>
      </c>
      <c r="Q1970">
        <f t="shared" si="242"/>
        <v>10</v>
      </c>
      <c r="R1970" t="str">
        <f t="shared" si="243"/>
        <v/>
      </c>
      <c r="S1970" t="str">
        <f t="shared" si="244"/>
        <v/>
      </c>
      <c r="T1970" s="403" t="str">
        <f t="shared" si="245"/>
        <v>NBN-63013-B</v>
      </c>
      <c r="U1970" s="403">
        <f t="shared" si="246"/>
        <v>1</v>
      </c>
      <c r="V1970" s="403" t="str">
        <f t="shared" si="247"/>
        <v>CPP_7</v>
      </c>
    </row>
    <row r="1971" spans="1:22">
      <c r="A1971" t="str">
        <f t="shared" si="240"/>
        <v>NBN-63013-B</v>
      </c>
      <c r="B1971" s="403" t="s">
        <v>1388</v>
      </c>
      <c r="C1971" s="403" t="s">
        <v>583</v>
      </c>
      <c r="D1971" s="403" t="s">
        <v>1305</v>
      </c>
      <c r="E1971" s="403" t="s">
        <v>1306</v>
      </c>
      <c r="F1971" s="403" t="s">
        <v>1300</v>
      </c>
      <c r="G1971" s="403" t="s">
        <v>1467</v>
      </c>
      <c r="H1971" s="403" t="s">
        <v>1276</v>
      </c>
      <c r="I1971" s="403">
        <v>1</v>
      </c>
      <c r="J1971" s="403" t="s">
        <v>1289</v>
      </c>
      <c r="K1971" s="403">
        <v>720</v>
      </c>
      <c r="L1971" s="403">
        <v>1280</v>
      </c>
      <c r="M1971" s="403" t="s">
        <v>1284</v>
      </c>
      <c r="N1971" s="403">
        <v>480</v>
      </c>
      <c r="O1971" s="403">
        <v>640</v>
      </c>
      <c r="P1971" t="str">
        <f t="shared" si="241"/>
        <v>60fps 720p full frame rate - SD VGA (cropped)</v>
      </c>
      <c r="Q1971">
        <f t="shared" si="242"/>
        <v>10</v>
      </c>
      <c r="R1971" t="str">
        <f t="shared" si="243"/>
        <v/>
      </c>
      <c r="S1971" t="str">
        <f t="shared" si="244"/>
        <v/>
      </c>
      <c r="T1971" s="403" t="str">
        <f t="shared" si="245"/>
        <v>NBN-63013-B</v>
      </c>
      <c r="U1971" s="403">
        <f t="shared" si="246"/>
        <v>1</v>
      </c>
      <c r="V1971" s="403" t="str">
        <f t="shared" si="247"/>
        <v>CPP_7</v>
      </c>
    </row>
    <row r="1972" spans="1:22">
      <c r="A1972" t="str">
        <f t="shared" si="240"/>
        <v>NBN-63013-B</v>
      </c>
      <c r="B1972" s="403" t="s">
        <v>1388</v>
      </c>
      <c r="C1972" s="403" t="s">
        <v>583</v>
      </c>
      <c r="D1972" s="403" t="s">
        <v>1305</v>
      </c>
      <c r="E1972" s="403" t="s">
        <v>1306</v>
      </c>
      <c r="F1972" s="403" t="s">
        <v>1300</v>
      </c>
      <c r="G1972" s="403" t="s">
        <v>1467</v>
      </c>
      <c r="H1972" s="403" t="s">
        <v>1276</v>
      </c>
      <c r="I1972" s="403">
        <v>1</v>
      </c>
      <c r="J1972" s="403" t="s">
        <v>111</v>
      </c>
      <c r="K1972" s="403">
        <v>432</v>
      </c>
      <c r="L1972" s="403">
        <v>768</v>
      </c>
      <c r="M1972" s="403" t="s">
        <v>111</v>
      </c>
      <c r="N1972" s="403">
        <v>432</v>
      </c>
      <c r="O1972" s="403">
        <v>768</v>
      </c>
      <c r="P1972" t="str">
        <f t="shared" si="241"/>
        <v>60fps SD - SD</v>
      </c>
      <c r="Q1972">
        <f t="shared" si="242"/>
        <v>10</v>
      </c>
      <c r="R1972" t="str">
        <f t="shared" si="243"/>
        <v/>
      </c>
      <c r="S1972" t="str">
        <f t="shared" si="244"/>
        <v/>
      </c>
      <c r="T1972" s="403" t="str">
        <f t="shared" si="245"/>
        <v>NBN-63013-B</v>
      </c>
      <c r="U1972" s="403">
        <f t="shared" si="246"/>
        <v>1</v>
      </c>
      <c r="V1972" s="403" t="str">
        <f t="shared" si="247"/>
        <v>CPP_7</v>
      </c>
    </row>
    <row r="1973" spans="1:22">
      <c r="A1973" t="str">
        <f t="shared" si="240"/>
        <v>NBN-63013-B</v>
      </c>
      <c r="B1973" s="403" t="s">
        <v>1388</v>
      </c>
      <c r="C1973" s="403" t="s">
        <v>583</v>
      </c>
      <c r="D1973" s="403" t="s">
        <v>1305</v>
      </c>
      <c r="E1973" s="403" t="s">
        <v>1306</v>
      </c>
      <c r="F1973" s="403" t="s">
        <v>1303</v>
      </c>
      <c r="G1973" s="403" t="s">
        <v>1466</v>
      </c>
      <c r="H1973" s="403" t="s">
        <v>1276</v>
      </c>
      <c r="I1973" s="403">
        <v>1</v>
      </c>
      <c r="J1973" s="403" t="s">
        <v>1289</v>
      </c>
      <c r="K1973" s="403">
        <v>1280</v>
      </c>
      <c r="L1973" s="403">
        <v>720</v>
      </c>
      <c r="M1973" s="403" t="s">
        <v>111</v>
      </c>
      <c r="N1973" s="403">
        <v>768</v>
      </c>
      <c r="O1973" s="403">
        <v>432</v>
      </c>
      <c r="P1973" t="str">
        <f t="shared" si="241"/>
        <v>50fps 720p full frame rate - SD</v>
      </c>
      <c r="Q1973">
        <f t="shared" si="242"/>
        <v>10</v>
      </c>
      <c r="R1973" t="str">
        <f t="shared" si="243"/>
        <v/>
      </c>
      <c r="S1973" t="str">
        <f t="shared" si="244"/>
        <v/>
      </c>
      <c r="T1973" s="403" t="str">
        <f t="shared" si="245"/>
        <v>NBN-63013-B</v>
      </c>
      <c r="U1973" s="403">
        <f t="shared" si="246"/>
        <v>1</v>
      </c>
      <c r="V1973" s="403" t="str">
        <f t="shared" si="247"/>
        <v>CPP_7</v>
      </c>
    </row>
    <row r="1974" spans="1:22">
      <c r="A1974" t="str">
        <f t="shared" si="240"/>
        <v>NBN-63013-B</v>
      </c>
      <c r="B1974" s="403" t="s">
        <v>1388</v>
      </c>
      <c r="C1974" s="403" t="s">
        <v>583</v>
      </c>
      <c r="D1974" s="403" t="s">
        <v>1305</v>
      </c>
      <c r="E1974" s="403" t="s">
        <v>1306</v>
      </c>
      <c r="F1974" s="403" t="s">
        <v>1303</v>
      </c>
      <c r="G1974" s="403" t="s">
        <v>1466</v>
      </c>
      <c r="H1974" s="403" t="s">
        <v>1276</v>
      </c>
      <c r="I1974" s="403">
        <v>1</v>
      </c>
      <c r="J1974" s="403" t="s">
        <v>1289</v>
      </c>
      <c r="K1974" s="403">
        <v>1280</v>
      </c>
      <c r="L1974" s="403">
        <v>720</v>
      </c>
      <c r="M1974" s="403" t="s">
        <v>1279</v>
      </c>
      <c r="N1974" s="403">
        <v>768</v>
      </c>
      <c r="O1974" s="403">
        <v>432</v>
      </c>
      <c r="P1974" t="str">
        <f t="shared" si="241"/>
        <v>50fps 720p full frame rate - SD ROI PTZ</v>
      </c>
      <c r="Q1974">
        <f t="shared" si="242"/>
        <v>10</v>
      </c>
      <c r="R1974" t="str">
        <f t="shared" si="243"/>
        <v/>
      </c>
      <c r="S1974" t="str">
        <f t="shared" si="244"/>
        <v/>
      </c>
      <c r="T1974" s="403" t="str">
        <f t="shared" si="245"/>
        <v>NBN-63013-B</v>
      </c>
      <c r="U1974" s="403">
        <f t="shared" si="246"/>
        <v>1</v>
      </c>
      <c r="V1974" s="403" t="str">
        <f t="shared" si="247"/>
        <v>CPP_7</v>
      </c>
    </row>
    <row r="1975" spans="1:22">
      <c r="A1975" t="str">
        <f t="shared" si="240"/>
        <v>NBN-63013-B</v>
      </c>
      <c r="B1975" s="403" t="s">
        <v>1388</v>
      </c>
      <c r="C1975" s="403" t="s">
        <v>583</v>
      </c>
      <c r="D1975" s="403" t="s">
        <v>1305</v>
      </c>
      <c r="E1975" s="403" t="s">
        <v>1306</v>
      </c>
      <c r="F1975" s="403" t="s">
        <v>1303</v>
      </c>
      <c r="G1975" s="403" t="s">
        <v>1466</v>
      </c>
      <c r="H1975" s="403" t="s">
        <v>1276</v>
      </c>
      <c r="I1975" s="403">
        <v>1</v>
      </c>
      <c r="J1975" s="403" t="s">
        <v>1289</v>
      </c>
      <c r="K1975" s="403">
        <v>1280</v>
      </c>
      <c r="L1975" s="403">
        <v>720</v>
      </c>
      <c r="M1975" s="403" t="s">
        <v>1298</v>
      </c>
      <c r="N1975" s="403">
        <v>768</v>
      </c>
      <c r="O1975" s="403">
        <v>432</v>
      </c>
      <c r="P1975" t="str">
        <f t="shared" si="241"/>
        <v>50fps 720p full frame rate - SD dual stream with independent ROI PTZ</v>
      </c>
      <c r="Q1975">
        <f t="shared" si="242"/>
        <v>10</v>
      </c>
      <c r="R1975" t="str">
        <f t="shared" si="243"/>
        <v/>
      </c>
      <c r="S1975" t="str">
        <f t="shared" si="244"/>
        <v/>
      </c>
      <c r="T1975" s="403" t="str">
        <f t="shared" si="245"/>
        <v>NBN-63013-B</v>
      </c>
      <c r="U1975" s="403">
        <f t="shared" si="246"/>
        <v>1</v>
      </c>
      <c r="V1975" s="403" t="str">
        <f t="shared" si="247"/>
        <v>CPP_7</v>
      </c>
    </row>
    <row r="1976" spans="1:22">
      <c r="A1976" t="str">
        <f t="shared" si="240"/>
        <v>NBN-63013-B</v>
      </c>
      <c r="B1976" s="403" t="s">
        <v>1388</v>
      </c>
      <c r="C1976" s="403" t="s">
        <v>583</v>
      </c>
      <c r="D1976" s="403" t="s">
        <v>1305</v>
      </c>
      <c r="E1976" s="403" t="s">
        <v>1306</v>
      </c>
      <c r="F1976" s="403" t="s">
        <v>1303</v>
      </c>
      <c r="G1976" s="403" t="s">
        <v>1466</v>
      </c>
      <c r="H1976" s="403" t="s">
        <v>1276</v>
      </c>
      <c r="I1976" s="403">
        <v>1</v>
      </c>
      <c r="J1976" s="403" t="s">
        <v>1289</v>
      </c>
      <c r="K1976" s="403">
        <v>1280</v>
      </c>
      <c r="L1976" s="403">
        <v>720</v>
      </c>
      <c r="M1976" s="403" t="s">
        <v>1301</v>
      </c>
      <c r="N1976" s="403">
        <v>1280</v>
      </c>
      <c r="O1976" s="403">
        <v>720</v>
      </c>
      <c r="P1976" t="str">
        <f t="shared" si="241"/>
        <v>50fps 720p full frame rate - 720p skip=4</v>
      </c>
      <c r="Q1976">
        <f t="shared" si="242"/>
        <v>10</v>
      </c>
      <c r="R1976" t="str">
        <f t="shared" si="243"/>
        <v/>
      </c>
      <c r="S1976" t="str">
        <f t="shared" si="244"/>
        <v/>
      </c>
      <c r="T1976" s="403" t="str">
        <f t="shared" si="245"/>
        <v>NBN-63013-B</v>
      </c>
      <c r="U1976" s="403">
        <f t="shared" si="246"/>
        <v>1</v>
      </c>
      <c r="V1976" s="403" t="str">
        <f t="shared" si="247"/>
        <v>CPP_7</v>
      </c>
    </row>
    <row r="1977" spans="1:22">
      <c r="A1977" t="str">
        <f t="shared" si="240"/>
        <v>NBN-63013-B</v>
      </c>
      <c r="B1977" s="403" t="s">
        <v>1388</v>
      </c>
      <c r="C1977" s="403" t="s">
        <v>583</v>
      </c>
      <c r="D1977" s="403" t="s">
        <v>1305</v>
      </c>
      <c r="E1977" s="403" t="s">
        <v>1306</v>
      </c>
      <c r="F1977" s="403" t="s">
        <v>1303</v>
      </c>
      <c r="G1977" s="403" t="s">
        <v>1466</v>
      </c>
      <c r="H1977" s="403" t="s">
        <v>1276</v>
      </c>
      <c r="I1977" s="403">
        <v>1</v>
      </c>
      <c r="J1977" s="403" t="s">
        <v>1289</v>
      </c>
      <c r="K1977" s="403">
        <v>1280</v>
      </c>
      <c r="L1977" s="403">
        <v>720</v>
      </c>
      <c r="M1977" s="403" t="s">
        <v>1280</v>
      </c>
      <c r="N1977" s="403">
        <v>1280</v>
      </c>
      <c r="O1977" s="403">
        <v>720</v>
      </c>
      <c r="P1977" t="str">
        <f t="shared" si="241"/>
        <v>50fps 720p full frame rate - copy other stream</v>
      </c>
      <c r="Q1977">
        <f t="shared" si="242"/>
        <v>10</v>
      </c>
      <c r="R1977" t="str">
        <f t="shared" si="243"/>
        <v/>
      </c>
      <c r="S1977" t="str">
        <f t="shared" si="244"/>
        <v/>
      </c>
      <c r="T1977" s="403" t="str">
        <f t="shared" si="245"/>
        <v>NBN-63013-B</v>
      </c>
      <c r="U1977" s="403">
        <f t="shared" si="246"/>
        <v>1</v>
      </c>
      <c r="V1977" s="403" t="str">
        <f t="shared" si="247"/>
        <v>CPP_7</v>
      </c>
    </row>
    <row r="1978" spans="1:22">
      <c r="A1978" t="str">
        <f t="shared" si="240"/>
        <v>NBN-63013-B</v>
      </c>
      <c r="B1978" s="403" t="s">
        <v>1388</v>
      </c>
      <c r="C1978" s="403" t="s">
        <v>583</v>
      </c>
      <c r="D1978" s="403" t="s">
        <v>1305</v>
      </c>
      <c r="E1978" s="403" t="s">
        <v>1306</v>
      </c>
      <c r="F1978" s="403" t="s">
        <v>1303</v>
      </c>
      <c r="G1978" s="403" t="s">
        <v>1466</v>
      </c>
      <c r="H1978" s="403" t="s">
        <v>1276</v>
      </c>
      <c r="I1978" s="403">
        <v>1</v>
      </c>
      <c r="J1978" s="403" t="s">
        <v>1289</v>
      </c>
      <c r="K1978" s="403">
        <v>1280</v>
      </c>
      <c r="L1978" s="403">
        <v>720</v>
      </c>
      <c r="M1978" s="403" t="s">
        <v>1302</v>
      </c>
      <c r="N1978" s="403">
        <v>400</v>
      </c>
      <c r="O1978" s="403">
        <v>720</v>
      </c>
      <c r="P1978" t="str">
        <f t="shared" si="241"/>
        <v>50fps 720p full frame rate - 400x720 upright (cropped)</v>
      </c>
      <c r="Q1978">
        <f t="shared" si="242"/>
        <v>10</v>
      </c>
      <c r="R1978" t="str">
        <f t="shared" si="243"/>
        <v/>
      </c>
      <c r="S1978" t="str">
        <f t="shared" si="244"/>
        <v/>
      </c>
      <c r="T1978" s="403" t="str">
        <f t="shared" si="245"/>
        <v>NBN-63013-B</v>
      </c>
      <c r="U1978" s="403">
        <f t="shared" si="246"/>
        <v>1</v>
      </c>
      <c r="V1978" s="403" t="str">
        <f t="shared" si="247"/>
        <v>CPP_7</v>
      </c>
    </row>
    <row r="1979" spans="1:22">
      <c r="A1979" t="str">
        <f t="shared" si="240"/>
        <v>NBN-63013-B</v>
      </c>
      <c r="B1979" s="403" t="s">
        <v>1388</v>
      </c>
      <c r="C1979" s="403" t="s">
        <v>583</v>
      </c>
      <c r="D1979" s="403" t="s">
        <v>1305</v>
      </c>
      <c r="E1979" s="403" t="s">
        <v>1306</v>
      </c>
      <c r="F1979" s="403" t="s">
        <v>1303</v>
      </c>
      <c r="G1979" s="403" t="s">
        <v>1466</v>
      </c>
      <c r="H1979" s="403" t="s">
        <v>1276</v>
      </c>
      <c r="I1979" s="403">
        <v>1</v>
      </c>
      <c r="J1979" s="403" t="s">
        <v>1289</v>
      </c>
      <c r="K1979" s="403">
        <v>1280</v>
      </c>
      <c r="L1979" s="403">
        <v>720</v>
      </c>
      <c r="M1979" s="403" t="s">
        <v>1283</v>
      </c>
      <c r="N1979" s="403">
        <v>704</v>
      </c>
      <c r="O1979" s="403">
        <v>576</v>
      </c>
      <c r="P1979" t="str">
        <f t="shared" si="241"/>
        <v>50fps 720p full frame rate - SD 4CIF resolution 4:3 format (cropped)</v>
      </c>
      <c r="Q1979">
        <f t="shared" si="242"/>
        <v>10</v>
      </c>
      <c r="R1979" t="str">
        <f t="shared" si="243"/>
        <v/>
      </c>
      <c r="S1979" t="str">
        <f t="shared" si="244"/>
        <v/>
      </c>
      <c r="T1979" s="403" t="str">
        <f t="shared" si="245"/>
        <v>NBN-63013-B</v>
      </c>
      <c r="U1979" s="403">
        <f t="shared" si="246"/>
        <v>1</v>
      </c>
      <c r="V1979" s="403" t="str">
        <f t="shared" si="247"/>
        <v>CPP_7</v>
      </c>
    </row>
    <row r="1980" spans="1:22">
      <c r="A1980" t="str">
        <f t="shared" si="240"/>
        <v>NBN-63013-B</v>
      </c>
      <c r="B1980" s="403" t="s">
        <v>1388</v>
      </c>
      <c r="C1980" s="403" t="s">
        <v>583</v>
      </c>
      <c r="D1980" s="403" t="s">
        <v>1305</v>
      </c>
      <c r="E1980" s="403" t="s">
        <v>1306</v>
      </c>
      <c r="F1980" s="403" t="s">
        <v>1303</v>
      </c>
      <c r="G1980" s="403" t="s">
        <v>1466</v>
      </c>
      <c r="H1980" s="403" t="s">
        <v>1276</v>
      </c>
      <c r="I1980" s="403">
        <v>1</v>
      </c>
      <c r="J1980" s="403" t="s">
        <v>1289</v>
      </c>
      <c r="K1980" s="403">
        <v>1280</v>
      </c>
      <c r="L1980" s="403">
        <v>720</v>
      </c>
      <c r="M1980" s="403" t="s">
        <v>1284</v>
      </c>
      <c r="N1980" s="403">
        <v>640</v>
      </c>
      <c r="O1980" s="403">
        <v>480</v>
      </c>
      <c r="P1980" t="str">
        <f t="shared" si="241"/>
        <v>50fps 720p full frame rate - SD VGA (cropped)</v>
      </c>
      <c r="Q1980">
        <f t="shared" si="242"/>
        <v>10</v>
      </c>
      <c r="R1980" t="str">
        <f t="shared" si="243"/>
        <v/>
      </c>
      <c r="S1980" t="str">
        <f t="shared" si="244"/>
        <v/>
      </c>
      <c r="T1980" s="403" t="str">
        <f t="shared" si="245"/>
        <v>NBN-63013-B</v>
      </c>
      <c r="U1980" s="403">
        <f t="shared" si="246"/>
        <v>1</v>
      </c>
      <c r="V1980" s="403" t="str">
        <f t="shared" si="247"/>
        <v>CPP_7</v>
      </c>
    </row>
    <row r="1981" spans="1:22">
      <c r="A1981" t="str">
        <f t="shared" si="240"/>
        <v>NBN-63013-B</v>
      </c>
      <c r="B1981" s="403" t="s">
        <v>1388</v>
      </c>
      <c r="C1981" s="403" t="s">
        <v>583</v>
      </c>
      <c r="D1981" s="403" t="s">
        <v>1305</v>
      </c>
      <c r="E1981" s="403" t="s">
        <v>1306</v>
      </c>
      <c r="F1981" s="403" t="s">
        <v>1303</v>
      </c>
      <c r="G1981" s="403" t="s">
        <v>1466</v>
      </c>
      <c r="H1981" s="403" t="s">
        <v>1276</v>
      </c>
      <c r="I1981" s="403">
        <v>1</v>
      </c>
      <c r="J1981" s="403" t="s">
        <v>111</v>
      </c>
      <c r="K1981" s="403">
        <v>768</v>
      </c>
      <c r="L1981" s="403">
        <v>432</v>
      </c>
      <c r="M1981" s="403" t="s">
        <v>111</v>
      </c>
      <c r="N1981" s="403">
        <v>768</v>
      </c>
      <c r="O1981" s="403">
        <v>432</v>
      </c>
      <c r="P1981" t="str">
        <f t="shared" si="241"/>
        <v>50fps SD - SD</v>
      </c>
      <c r="Q1981">
        <f t="shared" si="242"/>
        <v>10</v>
      </c>
      <c r="R1981" t="str">
        <f t="shared" si="243"/>
        <v/>
      </c>
      <c r="S1981" t="str">
        <f t="shared" si="244"/>
        <v/>
      </c>
      <c r="T1981" s="403" t="str">
        <f t="shared" si="245"/>
        <v>NBN-63013-B</v>
      </c>
      <c r="U1981" s="403">
        <f t="shared" si="246"/>
        <v>1</v>
      </c>
      <c r="V1981" s="403" t="str">
        <f t="shared" si="247"/>
        <v>CPP_7</v>
      </c>
    </row>
    <row r="1982" spans="1:22">
      <c r="A1982" t="str">
        <f t="shared" si="240"/>
        <v>NBN-63013-B</v>
      </c>
      <c r="B1982" s="403" t="s">
        <v>1388</v>
      </c>
      <c r="C1982" s="403" t="s">
        <v>583</v>
      </c>
      <c r="D1982" s="403" t="s">
        <v>1305</v>
      </c>
      <c r="E1982" s="403" t="s">
        <v>1306</v>
      </c>
      <c r="F1982" s="403" t="s">
        <v>1303</v>
      </c>
      <c r="G1982" s="403" t="s">
        <v>1467</v>
      </c>
      <c r="H1982" s="403" t="s">
        <v>1276</v>
      </c>
      <c r="I1982" s="403">
        <v>1</v>
      </c>
      <c r="J1982" s="403" t="s">
        <v>1289</v>
      </c>
      <c r="K1982" s="403">
        <v>720</v>
      </c>
      <c r="L1982" s="403">
        <v>1280</v>
      </c>
      <c r="M1982" s="403" t="s">
        <v>111</v>
      </c>
      <c r="N1982" s="403">
        <v>432</v>
      </c>
      <c r="O1982" s="403">
        <v>768</v>
      </c>
      <c r="P1982" t="str">
        <f t="shared" si="241"/>
        <v>50fps 720p full frame rate - SD</v>
      </c>
      <c r="Q1982">
        <f t="shared" si="242"/>
        <v>10</v>
      </c>
      <c r="R1982" t="str">
        <f t="shared" si="243"/>
        <v/>
      </c>
      <c r="S1982" t="str">
        <f t="shared" si="244"/>
        <v/>
      </c>
      <c r="T1982" s="403" t="str">
        <f t="shared" si="245"/>
        <v>NBN-63013-B</v>
      </c>
      <c r="U1982" s="403">
        <f t="shared" si="246"/>
        <v>1</v>
      </c>
      <c r="V1982" s="403" t="str">
        <f t="shared" si="247"/>
        <v>CPP_7</v>
      </c>
    </row>
    <row r="1983" spans="1:22">
      <c r="A1983" t="str">
        <f t="shared" si="240"/>
        <v>NBN-63013-B</v>
      </c>
      <c r="B1983" s="403" t="s">
        <v>1388</v>
      </c>
      <c r="C1983" s="403" t="s">
        <v>583</v>
      </c>
      <c r="D1983" s="403" t="s">
        <v>1305</v>
      </c>
      <c r="E1983" s="403" t="s">
        <v>1306</v>
      </c>
      <c r="F1983" s="403" t="s">
        <v>1303</v>
      </c>
      <c r="G1983" s="403" t="s">
        <v>1467</v>
      </c>
      <c r="H1983" s="403" t="s">
        <v>1276</v>
      </c>
      <c r="I1983" s="403">
        <v>1</v>
      </c>
      <c r="J1983" s="403" t="s">
        <v>1289</v>
      </c>
      <c r="K1983" s="403">
        <v>720</v>
      </c>
      <c r="L1983" s="403">
        <v>1280</v>
      </c>
      <c r="M1983" s="403" t="s">
        <v>1279</v>
      </c>
      <c r="N1983" s="403">
        <v>432</v>
      </c>
      <c r="O1983" s="403">
        <v>768</v>
      </c>
      <c r="P1983" t="str">
        <f t="shared" si="241"/>
        <v>50fps 720p full frame rate - SD ROI PTZ</v>
      </c>
      <c r="Q1983">
        <f t="shared" si="242"/>
        <v>10</v>
      </c>
      <c r="R1983" t="str">
        <f t="shared" si="243"/>
        <v/>
      </c>
      <c r="S1983" t="str">
        <f t="shared" si="244"/>
        <v/>
      </c>
      <c r="T1983" s="403" t="str">
        <f t="shared" si="245"/>
        <v>NBN-63013-B</v>
      </c>
      <c r="U1983" s="403">
        <f t="shared" si="246"/>
        <v>1</v>
      </c>
      <c r="V1983" s="403" t="str">
        <f t="shared" si="247"/>
        <v>CPP_7</v>
      </c>
    </row>
    <row r="1984" spans="1:22">
      <c r="A1984" t="str">
        <f t="shared" si="240"/>
        <v>NBN-63013-B</v>
      </c>
      <c r="B1984" s="403" t="s">
        <v>1388</v>
      </c>
      <c r="C1984" s="403" t="s">
        <v>583</v>
      </c>
      <c r="D1984" s="403" t="s">
        <v>1305</v>
      </c>
      <c r="E1984" s="403" t="s">
        <v>1306</v>
      </c>
      <c r="F1984" s="403" t="s">
        <v>1303</v>
      </c>
      <c r="G1984" s="403" t="s">
        <v>1467</v>
      </c>
      <c r="H1984" s="403" t="s">
        <v>1276</v>
      </c>
      <c r="I1984" s="403">
        <v>1</v>
      </c>
      <c r="J1984" s="403" t="s">
        <v>1289</v>
      </c>
      <c r="K1984" s="403">
        <v>720</v>
      </c>
      <c r="L1984" s="403">
        <v>1280</v>
      </c>
      <c r="M1984" s="403" t="s">
        <v>1298</v>
      </c>
      <c r="N1984" s="403">
        <v>432</v>
      </c>
      <c r="O1984" s="403">
        <v>768</v>
      </c>
      <c r="P1984" t="str">
        <f t="shared" si="241"/>
        <v>50fps 720p full frame rate - SD dual stream with independent ROI PTZ</v>
      </c>
      <c r="Q1984">
        <f t="shared" si="242"/>
        <v>10</v>
      </c>
      <c r="R1984" t="str">
        <f t="shared" si="243"/>
        <v/>
      </c>
      <c r="S1984" t="str">
        <f t="shared" si="244"/>
        <v/>
      </c>
      <c r="T1984" s="403" t="str">
        <f t="shared" si="245"/>
        <v>NBN-63013-B</v>
      </c>
      <c r="U1984" s="403">
        <f t="shared" si="246"/>
        <v>1</v>
      </c>
      <c r="V1984" s="403" t="str">
        <f t="shared" si="247"/>
        <v>CPP_7</v>
      </c>
    </row>
    <row r="1985" spans="1:22">
      <c r="A1985" t="str">
        <f t="shared" si="240"/>
        <v>NBN-63013-B</v>
      </c>
      <c r="B1985" s="403" t="s">
        <v>1388</v>
      </c>
      <c r="C1985" s="403" t="s">
        <v>583</v>
      </c>
      <c r="D1985" s="403" t="s">
        <v>1305</v>
      </c>
      <c r="E1985" s="403" t="s">
        <v>1306</v>
      </c>
      <c r="F1985" s="403" t="s">
        <v>1303</v>
      </c>
      <c r="G1985" s="403" t="s">
        <v>1467</v>
      </c>
      <c r="H1985" s="403" t="s">
        <v>1276</v>
      </c>
      <c r="I1985" s="403">
        <v>1</v>
      </c>
      <c r="J1985" s="403" t="s">
        <v>1289</v>
      </c>
      <c r="K1985" s="403">
        <v>720</v>
      </c>
      <c r="L1985" s="403">
        <v>1280</v>
      </c>
      <c r="M1985" s="403" t="s">
        <v>1301</v>
      </c>
      <c r="N1985" s="403">
        <v>720</v>
      </c>
      <c r="O1985" s="403">
        <v>1280</v>
      </c>
      <c r="P1985" t="str">
        <f t="shared" si="241"/>
        <v>50fps 720p full frame rate - 720p skip=4</v>
      </c>
      <c r="Q1985">
        <f t="shared" si="242"/>
        <v>10</v>
      </c>
      <c r="R1985" t="str">
        <f t="shared" si="243"/>
        <v/>
      </c>
      <c r="S1985" t="str">
        <f t="shared" si="244"/>
        <v/>
      </c>
      <c r="T1985" s="403" t="str">
        <f t="shared" si="245"/>
        <v>NBN-63013-B</v>
      </c>
      <c r="U1985" s="403">
        <f t="shared" si="246"/>
        <v>1</v>
      </c>
      <c r="V1985" s="403" t="str">
        <f t="shared" si="247"/>
        <v>CPP_7</v>
      </c>
    </row>
    <row r="1986" spans="1:22">
      <c r="A1986" t="str">
        <f t="shared" ref="A1986:A2049" si="248">IF(AND(G1986&lt;&gt;"rotate 90°"),D1986,"")</f>
        <v>NBN-63013-B</v>
      </c>
      <c r="B1986" s="403" t="s">
        <v>1388</v>
      </c>
      <c r="C1986" s="403" t="s">
        <v>583</v>
      </c>
      <c r="D1986" s="403" t="s">
        <v>1305</v>
      </c>
      <c r="E1986" s="403" t="s">
        <v>1306</v>
      </c>
      <c r="F1986" s="403" t="s">
        <v>1303</v>
      </c>
      <c r="G1986" s="403" t="s">
        <v>1467</v>
      </c>
      <c r="H1986" s="403" t="s">
        <v>1276</v>
      </c>
      <c r="I1986" s="403">
        <v>1</v>
      </c>
      <c r="J1986" s="403" t="s">
        <v>1289</v>
      </c>
      <c r="K1986" s="403">
        <v>720</v>
      </c>
      <c r="L1986" s="403">
        <v>1280</v>
      </c>
      <c r="M1986" s="403" t="s">
        <v>1280</v>
      </c>
      <c r="N1986" s="403">
        <v>720</v>
      </c>
      <c r="O1986" s="403">
        <v>1280</v>
      </c>
      <c r="P1986" t="str">
        <f t="shared" ref="P1986:P2049" si="249">LEFT(F1986,5)&amp;" "&amp;J1986&amp;" - "&amp;M1986</f>
        <v>50fps 720p full frame rate - copy other stream</v>
      </c>
      <c r="Q1986">
        <f t="shared" ref="Q1986:Q2049" si="250">IF(A1985=A1986,Q1985,Q1985+1)</f>
        <v>10</v>
      </c>
      <c r="R1986" t="str">
        <f t="shared" ref="R1986:R2049" si="251">IF(Q1985&lt;&gt;Q1986,Q1986,"")</f>
        <v/>
      </c>
      <c r="S1986" t="str">
        <f t="shared" ref="S1986:S2049" si="252">IF(R1986&lt;&gt;"",B1986&amp;" ("&amp;D1986&amp;")","")</f>
        <v/>
      </c>
      <c r="T1986" s="403" t="str">
        <f t="shared" ref="T1986:T2049" si="253">D1986</f>
        <v>NBN-63013-B</v>
      </c>
      <c r="U1986" s="403">
        <f t="shared" ref="U1986:U2049" si="254">I1986</f>
        <v>1</v>
      </c>
      <c r="V1986" s="403" t="str">
        <f t="shared" ref="V1986:V2049" si="255">C1986</f>
        <v>CPP_7</v>
      </c>
    </row>
    <row r="1987" spans="1:22">
      <c r="A1987" t="str">
        <f t="shared" si="248"/>
        <v>NBN-63013-B</v>
      </c>
      <c r="B1987" s="403" t="s">
        <v>1388</v>
      </c>
      <c r="C1987" s="403" t="s">
        <v>583</v>
      </c>
      <c r="D1987" s="403" t="s">
        <v>1305</v>
      </c>
      <c r="E1987" s="403" t="s">
        <v>1306</v>
      </c>
      <c r="F1987" s="403" t="s">
        <v>1303</v>
      </c>
      <c r="G1987" s="403" t="s">
        <v>1467</v>
      </c>
      <c r="H1987" s="403" t="s">
        <v>1276</v>
      </c>
      <c r="I1987" s="403">
        <v>1</v>
      </c>
      <c r="J1987" s="403" t="s">
        <v>1289</v>
      </c>
      <c r="K1987" s="403">
        <v>720</v>
      </c>
      <c r="L1987" s="403">
        <v>1280</v>
      </c>
      <c r="M1987" s="403" t="s">
        <v>1302</v>
      </c>
      <c r="N1987" s="403">
        <v>720</v>
      </c>
      <c r="O1987" s="403">
        <v>400</v>
      </c>
      <c r="P1987" t="str">
        <f t="shared" si="249"/>
        <v>50fps 720p full frame rate - 400x720 upright (cropped)</v>
      </c>
      <c r="Q1987">
        <f t="shared" si="250"/>
        <v>10</v>
      </c>
      <c r="R1987" t="str">
        <f t="shared" si="251"/>
        <v/>
      </c>
      <c r="S1987" t="str">
        <f t="shared" si="252"/>
        <v/>
      </c>
      <c r="T1987" s="403" t="str">
        <f t="shared" si="253"/>
        <v>NBN-63013-B</v>
      </c>
      <c r="U1987" s="403">
        <f t="shared" si="254"/>
        <v>1</v>
      </c>
      <c r="V1987" s="403" t="str">
        <f t="shared" si="255"/>
        <v>CPP_7</v>
      </c>
    </row>
    <row r="1988" spans="1:22">
      <c r="A1988" t="str">
        <f t="shared" si="248"/>
        <v>NBN-63013-B</v>
      </c>
      <c r="B1988" s="403" t="s">
        <v>1388</v>
      </c>
      <c r="C1988" s="403" t="s">
        <v>583</v>
      </c>
      <c r="D1988" s="403" t="s">
        <v>1305</v>
      </c>
      <c r="E1988" s="403" t="s">
        <v>1306</v>
      </c>
      <c r="F1988" s="403" t="s">
        <v>1303</v>
      </c>
      <c r="G1988" s="403" t="s">
        <v>1467</v>
      </c>
      <c r="H1988" s="403" t="s">
        <v>1276</v>
      </c>
      <c r="I1988" s="403">
        <v>1</v>
      </c>
      <c r="J1988" s="403" t="s">
        <v>1289</v>
      </c>
      <c r="K1988" s="403">
        <v>720</v>
      </c>
      <c r="L1988" s="403">
        <v>1280</v>
      </c>
      <c r="M1988" s="403" t="s">
        <v>1283</v>
      </c>
      <c r="N1988" s="403">
        <v>576</v>
      </c>
      <c r="O1988" s="403">
        <v>704</v>
      </c>
      <c r="P1988" t="str">
        <f t="shared" si="249"/>
        <v>50fps 720p full frame rate - SD 4CIF resolution 4:3 format (cropped)</v>
      </c>
      <c r="Q1988">
        <f t="shared" si="250"/>
        <v>10</v>
      </c>
      <c r="R1988" t="str">
        <f t="shared" si="251"/>
        <v/>
      </c>
      <c r="S1988" t="str">
        <f t="shared" si="252"/>
        <v/>
      </c>
      <c r="T1988" s="403" t="str">
        <f t="shared" si="253"/>
        <v>NBN-63013-B</v>
      </c>
      <c r="U1988" s="403">
        <f t="shared" si="254"/>
        <v>1</v>
      </c>
      <c r="V1988" s="403" t="str">
        <f t="shared" si="255"/>
        <v>CPP_7</v>
      </c>
    </row>
    <row r="1989" spans="1:22">
      <c r="A1989" t="str">
        <f t="shared" si="248"/>
        <v>NBN-63013-B</v>
      </c>
      <c r="B1989" s="403" t="s">
        <v>1388</v>
      </c>
      <c r="C1989" s="403" t="s">
        <v>583</v>
      </c>
      <c r="D1989" s="403" t="s">
        <v>1305</v>
      </c>
      <c r="E1989" s="403" t="s">
        <v>1306</v>
      </c>
      <c r="F1989" s="403" t="s">
        <v>1303</v>
      </c>
      <c r="G1989" s="403" t="s">
        <v>1467</v>
      </c>
      <c r="H1989" s="403" t="s">
        <v>1276</v>
      </c>
      <c r="I1989" s="403">
        <v>1</v>
      </c>
      <c r="J1989" s="403" t="s">
        <v>1289</v>
      </c>
      <c r="K1989" s="403">
        <v>720</v>
      </c>
      <c r="L1989" s="403">
        <v>1280</v>
      </c>
      <c r="M1989" s="403" t="s">
        <v>1284</v>
      </c>
      <c r="N1989" s="403">
        <v>480</v>
      </c>
      <c r="O1989" s="403">
        <v>640</v>
      </c>
      <c r="P1989" t="str">
        <f t="shared" si="249"/>
        <v>50fps 720p full frame rate - SD VGA (cropped)</v>
      </c>
      <c r="Q1989">
        <f t="shared" si="250"/>
        <v>10</v>
      </c>
      <c r="R1989" t="str">
        <f t="shared" si="251"/>
        <v/>
      </c>
      <c r="S1989" t="str">
        <f t="shared" si="252"/>
        <v/>
      </c>
      <c r="T1989" s="403" t="str">
        <f t="shared" si="253"/>
        <v>NBN-63013-B</v>
      </c>
      <c r="U1989" s="403">
        <f t="shared" si="254"/>
        <v>1</v>
      </c>
      <c r="V1989" s="403" t="str">
        <f t="shared" si="255"/>
        <v>CPP_7</v>
      </c>
    </row>
    <row r="1990" spans="1:22">
      <c r="A1990" t="str">
        <f t="shared" si="248"/>
        <v>NBN-63013-B</v>
      </c>
      <c r="B1990" s="403" t="s">
        <v>1388</v>
      </c>
      <c r="C1990" s="403" t="s">
        <v>583</v>
      </c>
      <c r="D1990" s="403" t="s">
        <v>1305</v>
      </c>
      <c r="E1990" s="403" t="s">
        <v>1306</v>
      </c>
      <c r="F1990" s="403" t="s">
        <v>1303</v>
      </c>
      <c r="G1990" s="403" t="s">
        <v>1467</v>
      </c>
      <c r="H1990" s="403" t="s">
        <v>1276</v>
      </c>
      <c r="I1990" s="403">
        <v>1</v>
      </c>
      <c r="J1990" s="403" t="s">
        <v>111</v>
      </c>
      <c r="K1990" s="403">
        <v>432</v>
      </c>
      <c r="L1990" s="403">
        <v>768</v>
      </c>
      <c r="M1990" s="403" t="s">
        <v>111</v>
      </c>
      <c r="N1990" s="403">
        <v>432</v>
      </c>
      <c r="O1990" s="403">
        <v>768</v>
      </c>
      <c r="P1990" t="str">
        <f t="shared" si="249"/>
        <v>50fps SD - SD</v>
      </c>
      <c r="Q1990">
        <f t="shared" si="250"/>
        <v>10</v>
      </c>
      <c r="R1990" t="str">
        <f t="shared" si="251"/>
        <v/>
      </c>
      <c r="S1990" t="str">
        <f t="shared" si="252"/>
        <v/>
      </c>
      <c r="T1990" s="403" t="str">
        <f t="shared" si="253"/>
        <v>NBN-63013-B</v>
      </c>
      <c r="U1990" s="403">
        <f t="shared" si="254"/>
        <v>1</v>
      </c>
      <c r="V1990" s="403" t="str">
        <f t="shared" si="255"/>
        <v>CPP_7</v>
      </c>
    </row>
    <row r="1991" spans="1:22">
      <c r="A1991" t="str">
        <f t="shared" si="248"/>
        <v>NBN-63013-B</v>
      </c>
      <c r="B1991" s="403" t="s">
        <v>1388</v>
      </c>
      <c r="C1991" s="403" t="s">
        <v>583</v>
      </c>
      <c r="D1991" s="403" t="s">
        <v>1305</v>
      </c>
      <c r="E1991" s="403" t="s">
        <v>1307</v>
      </c>
      <c r="F1991" s="403" t="s">
        <v>1299</v>
      </c>
      <c r="G1991" s="403" t="s">
        <v>1466</v>
      </c>
      <c r="H1991" s="403" t="s">
        <v>1276</v>
      </c>
      <c r="I1991" s="403">
        <v>1</v>
      </c>
      <c r="J1991" s="403" t="s">
        <v>109</v>
      </c>
      <c r="K1991" s="403">
        <v>1280</v>
      </c>
      <c r="L1991" s="403">
        <v>720</v>
      </c>
      <c r="M1991" s="403" t="s">
        <v>111</v>
      </c>
      <c r="N1991" s="403">
        <v>768</v>
      </c>
      <c r="O1991" s="403">
        <v>432</v>
      </c>
      <c r="P1991" t="str">
        <f t="shared" si="249"/>
        <v>25fps 720p - SD</v>
      </c>
      <c r="Q1991">
        <f t="shared" si="250"/>
        <v>10</v>
      </c>
      <c r="R1991" t="str">
        <f t="shared" si="251"/>
        <v/>
      </c>
      <c r="S1991" t="str">
        <f t="shared" si="252"/>
        <v/>
      </c>
      <c r="T1991" s="403" t="str">
        <f t="shared" si="253"/>
        <v>NBN-63013-B</v>
      </c>
      <c r="U1991" s="403">
        <f t="shared" si="254"/>
        <v>1</v>
      </c>
      <c r="V1991" s="403" t="str">
        <f t="shared" si="255"/>
        <v>CPP_7</v>
      </c>
    </row>
    <row r="1992" spans="1:22">
      <c r="A1992" t="str">
        <f t="shared" si="248"/>
        <v>NBN-63013-B</v>
      </c>
      <c r="B1992" s="403" t="s">
        <v>1388</v>
      </c>
      <c r="C1992" s="403" t="s">
        <v>583</v>
      </c>
      <c r="D1992" s="403" t="s">
        <v>1305</v>
      </c>
      <c r="E1992" s="403" t="s">
        <v>1307</v>
      </c>
      <c r="F1992" s="403" t="s">
        <v>1299</v>
      </c>
      <c r="G1992" s="403" t="s">
        <v>1466</v>
      </c>
      <c r="H1992" s="403" t="s">
        <v>1276</v>
      </c>
      <c r="I1992" s="403">
        <v>1</v>
      </c>
      <c r="J1992" s="403" t="s">
        <v>109</v>
      </c>
      <c r="K1992" s="403">
        <v>1280</v>
      </c>
      <c r="L1992" s="403">
        <v>720</v>
      </c>
      <c r="M1992" s="403" t="s">
        <v>109</v>
      </c>
      <c r="N1992" s="403">
        <v>1280</v>
      </c>
      <c r="O1992" s="403">
        <v>720</v>
      </c>
      <c r="P1992" t="str">
        <f t="shared" si="249"/>
        <v>25fps 720p - 720p</v>
      </c>
      <c r="Q1992">
        <f t="shared" si="250"/>
        <v>10</v>
      </c>
      <c r="R1992" t="str">
        <f t="shared" si="251"/>
        <v/>
      </c>
      <c r="S1992" t="str">
        <f t="shared" si="252"/>
        <v/>
      </c>
      <c r="T1992" s="403" t="str">
        <f t="shared" si="253"/>
        <v>NBN-63013-B</v>
      </c>
      <c r="U1992" s="403">
        <f t="shared" si="254"/>
        <v>1</v>
      </c>
      <c r="V1992" s="403" t="str">
        <f t="shared" si="255"/>
        <v>CPP_7</v>
      </c>
    </row>
    <row r="1993" spans="1:22">
      <c r="A1993" t="str">
        <f t="shared" si="248"/>
        <v>NBN-63013-B</v>
      </c>
      <c r="B1993" s="403" t="s">
        <v>1388</v>
      </c>
      <c r="C1993" s="403" t="s">
        <v>583</v>
      </c>
      <c r="D1993" s="403" t="s">
        <v>1305</v>
      </c>
      <c r="E1993" s="403" t="s">
        <v>1307</v>
      </c>
      <c r="F1993" s="403" t="s">
        <v>1299</v>
      </c>
      <c r="G1993" s="403" t="s">
        <v>1466</v>
      </c>
      <c r="H1993" s="403" t="s">
        <v>1276</v>
      </c>
      <c r="I1993" s="403">
        <v>1</v>
      </c>
      <c r="J1993" s="403" t="s">
        <v>109</v>
      </c>
      <c r="K1993" s="403">
        <v>1280</v>
      </c>
      <c r="L1993" s="403">
        <v>720</v>
      </c>
      <c r="M1993" s="403" t="s">
        <v>1279</v>
      </c>
      <c r="N1993" s="403">
        <v>768</v>
      </c>
      <c r="O1993" s="403">
        <v>432</v>
      </c>
      <c r="P1993" t="str">
        <f t="shared" si="249"/>
        <v>25fps 720p - SD ROI PTZ</v>
      </c>
      <c r="Q1993">
        <f t="shared" si="250"/>
        <v>10</v>
      </c>
      <c r="R1993" t="str">
        <f t="shared" si="251"/>
        <v/>
      </c>
      <c r="S1993" t="str">
        <f t="shared" si="252"/>
        <v/>
      </c>
      <c r="T1993" s="403" t="str">
        <f t="shared" si="253"/>
        <v>NBN-63013-B</v>
      </c>
      <c r="U1993" s="403">
        <f t="shared" si="254"/>
        <v>1</v>
      </c>
      <c r="V1993" s="403" t="str">
        <f t="shared" si="255"/>
        <v>CPP_7</v>
      </c>
    </row>
    <row r="1994" spans="1:22">
      <c r="A1994" t="str">
        <f t="shared" si="248"/>
        <v>NBN-63013-B</v>
      </c>
      <c r="B1994" s="403" t="s">
        <v>1388</v>
      </c>
      <c r="C1994" s="403" t="s">
        <v>583</v>
      </c>
      <c r="D1994" s="403" t="s">
        <v>1305</v>
      </c>
      <c r="E1994" s="403" t="s">
        <v>1307</v>
      </c>
      <c r="F1994" s="403" t="s">
        <v>1299</v>
      </c>
      <c r="G1994" s="403" t="s">
        <v>1466</v>
      </c>
      <c r="H1994" s="403" t="s">
        <v>1276</v>
      </c>
      <c r="I1994" s="403">
        <v>1</v>
      </c>
      <c r="J1994" s="403" t="s">
        <v>109</v>
      </c>
      <c r="K1994" s="403">
        <v>1280</v>
      </c>
      <c r="L1994" s="403">
        <v>720</v>
      </c>
      <c r="M1994" s="403" t="s">
        <v>1298</v>
      </c>
      <c r="N1994" s="403">
        <v>768</v>
      </c>
      <c r="O1994" s="403">
        <v>432</v>
      </c>
      <c r="P1994" t="str">
        <f t="shared" si="249"/>
        <v>25fps 720p - SD dual stream with independent ROI PTZ</v>
      </c>
      <c r="Q1994">
        <f t="shared" si="250"/>
        <v>10</v>
      </c>
      <c r="R1994" t="str">
        <f t="shared" si="251"/>
        <v/>
      </c>
      <c r="S1994" t="str">
        <f t="shared" si="252"/>
        <v/>
      </c>
      <c r="T1994" s="403" t="str">
        <f t="shared" si="253"/>
        <v>NBN-63013-B</v>
      </c>
      <c r="U1994" s="403">
        <f t="shared" si="254"/>
        <v>1</v>
      </c>
      <c r="V1994" s="403" t="str">
        <f t="shared" si="255"/>
        <v>CPP_7</v>
      </c>
    </row>
    <row r="1995" spans="1:22">
      <c r="A1995" t="str">
        <f t="shared" si="248"/>
        <v>NBN-63013-B</v>
      </c>
      <c r="B1995" s="403" t="s">
        <v>1388</v>
      </c>
      <c r="C1995" s="403" t="s">
        <v>583</v>
      </c>
      <c r="D1995" s="403" t="s">
        <v>1305</v>
      </c>
      <c r="E1995" s="403" t="s">
        <v>1307</v>
      </c>
      <c r="F1995" s="403" t="s">
        <v>1299</v>
      </c>
      <c r="G1995" s="403" t="s">
        <v>1466</v>
      </c>
      <c r="H1995" s="403" t="s">
        <v>1276</v>
      </c>
      <c r="I1995" s="403">
        <v>1</v>
      </c>
      <c r="J1995" s="403" t="s">
        <v>109</v>
      </c>
      <c r="K1995" s="403">
        <v>1280</v>
      </c>
      <c r="L1995" s="403">
        <v>720</v>
      </c>
      <c r="M1995" s="403" t="s">
        <v>1283</v>
      </c>
      <c r="N1995" s="403">
        <v>704</v>
      </c>
      <c r="O1995" s="403">
        <v>576</v>
      </c>
      <c r="P1995" t="str">
        <f t="shared" si="249"/>
        <v>25fps 720p - SD 4CIF resolution 4:3 format (cropped)</v>
      </c>
      <c r="Q1995">
        <f t="shared" si="250"/>
        <v>10</v>
      </c>
      <c r="R1995" t="str">
        <f t="shared" si="251"/>
        <v/>
      </c>
      <c r="S1995" t="str">
        <f t="shared" si="252"/>
        <v/>
      </c>
      <c r="T1995" s="403" t="str">
        <f t="shared" si="253"/>
        <v>NBN-63013-B</v>
      </c>
      <c r="U1995" s="403">
        <f t="shared" si="254"/>
        <v>1</v>
      </c>
      <c r="V1995" s="403" t="str">
        <f t="shared" si="255"/>
        <v>CPP_7</v>
      </c>
    </row>
    <row r="1996" spans="1:22">
      <c r="A1996" t="str">
        <f t="shared" si="248"/>
        <v>NBN-63013-B</v>
      </c>
      <c r="B1996" s="403" t="s">
        <v>1388</v>
      </c>
      <c r="C1996" s="403" t="s">
        <v>583</v>
      </c>
      <c r="D1996" s="403" t="s">
        <v>1305</v>
      </c>
      <c r="E1996" s="403" t="s">
        <v>1307</v>
      </c>
      <c r="F1996" s="403" t="s">
        <v>1299</v>
      </c>
      <c r="G1996" s="403" t="s">
        <v>1466</v>
      </c>
      <c r="H1996" s="403" t="s">
        <v>1276</v>
      </c>
      <c r="I1996" s="403">
        <v>1</v>
      </c>
      <c r="J1996" s="403" t="s">
        <v>109</v>
      </c>
      <c r="K1996" s="403">
        <v>1280</v>
      </c>
      <c r="L1996" s="403">
        <v>720</v>
      </c>
      <c r="M1996" s="403" t="s">
        <v>1284</v>
      </c>
      <c r="N1996" s="403">
        <v>640</v>
      </c>
      <c r="O1996" s="403">
        <v>480</v>
      </c>
      <c r="P1996" t="str">
        <f t="shared" si="249"/>
        <v>25fps 720p - SD VGA (cropped)</v>
      </c>
      <c r="Q1996">
        <f t="shared" si="250"/>
        <v>10</v>
      </c>
      <c r="R1996" t="str">
        <f t="shared" si="251"/>
        <v/>
      </c>
      <c r="S1996" t="str">
        <f t="shared" si="252"/>
        <v/>
      </c>
      <c r="T1996" s="403" t="str">
        <f t="shared" si="253"/>
        <v>NBN-63013-B</v>
      </c>
      <c r="U1996" s="403">
        <f t="shared" si="254"/>
        <v>1</v>
      </c>
      <c r="V1996" s="403" t="str">
        <f t="shared" si="255"/>
        <v>CPP_7</v>
      </c>
    </row>
    <row r="1997" spans="1:22">
      <c r="A1997" t="str">
        <f t="shared" si="248"/>
        <v>NBN-63013-B</v>
      </c>
      <c r="B1997" s="403" t="s">
        <v>1388</v>
      </c>
      <c r="C1997" s="403" t="s">
        <v>583</v>
      </c>
      <c r="D1997" s="403" t="s">
        <v>1305</v>
      </c>
      <c r="E1997" s="403" t="s">
        <v>1307</v>
      </c>
      <c r="F1997" s="403" t="s">
        <v>1299</v>
      </c>
      <c r="G1997" s="403" t="s">
        <v>1466</v>
      </c>
      <c r="H1997" s="403" t="s">
        <v>1276</v>
      </c>
      <c r="I1997" s="403">
        <v>1</v>
      </c>
      <c r="J1997" s="403" t="s">
        <v>111</v>
      </c>
      <c r="K1997" s="403">
        <v>768</v>
      </c>
      <c r="L1997" s="403">
        <v>432</v>
      </c>
      <c r="M1997" s="403" t="s">
        <v>111</v>
      </c>
      <c r="N1997" s="403">
        <v>768</v>
      </c>
      <c r="O1997" s="403">
        <v>432</v>
      </c>
      <c r="P1997" t="str">
        <f t="shared" si="249"/>
        <v>25fps SD - SD</v>
      </c>
      <c r="Q1997">
        <f t="shared" si="250"/>
        <v>10</v>
      </c>
      <c r="R1997" t="str">
        <f t="shared" si="251"/>
        <v/>
      </c>
      <c r="S1997" t="str">
        <f t="shared" si="252"/>
        <v/>
      </c>
      <c r="T1997" s="403" t="str">
        <f t="shared" si="253"/>
        <v>NBN-63013-B</v>
      </c>
      <c r="U1997" s="403">
        <f t="shared" si="254"/>
        <v>1</v>
      </c>
      <c r="V1997" s="403" t="str">
        <f t="shared" si="255"/>
        <v>CPP_7</v>
      </c>
    </row>
    <row r="1998" spans="1:22">
      <c r="A1998" t="str">
        <f t="shared" si="248"/>
        <v>NBN-63013-B</v>
      </c>
      <c r="B1998" s="403" t="s">
        <v>1388</v>
      </c>
      <c r="C1998" s="403" t="s">
        <v>583</v>
      </c>
      <c r="D1998" s="403" t="s">
        <v>1305</v>
      </c>
      <c r="E1998" s="403" t="s">
        <v>1307</v>
      </c>
      <c r="F1998" s="403" t="s">
        <v>1299</v>
      </c>
      <c r="G1998" s="403" t="s">
        <v>1467</v>
      </c>
      <c r="H1998" s="403" t="s">
        <v>1276</v>
      </c>
      <c r="I1998" s="403">
        <v>1</v>
      </c>
      <c r="J1998" s="403" t="s">
        <v>109</v>
      </c>
      <c r="K1998" s="403">
        <v>720</v>
      </c>
      <c r="L1998" s="403">
        <v>1280</v>
      </c>
      <c r="M1998" s="403" t="s">
        <v>111</v>
      </c>
      <c r="N1998" s="403">
        <v>432</v>
      </c>
      <c r="O1998" s="403">
        <v>768</v>
      </c>
      <c r="P1998" t="str">
        <f t="shared" si="249"/>
        <v>25fps 720p - SD</v>
      </c>
      <c r="Q1998">
        <f t="shared" si="250"/>
        <v>10</v>
      </c>
      <c r="R1998" t="str">
        <f t="shared" si="251"/>
        <v/>
      </c>
      <c r="S1998" t="str">
        <f t="shared" si="252"/>
        <v/>
      </c>
      <c r="T1998" s="403" t="str">
        <f t="shared" si="253"/>
        <v>NBN-63013-B</v>
      </c>
      <c r="U1998" s="403">
        <f t="shared" si="254"/>
        <v>1</v>
      </c>
      <c r="V1998" s="403" t="str">
        <f t="shared" si="255"/>
        <v>CPP_7</v>
      </c>
    </row>
    <row r="1999" spans="1:22">
      <c r="A1999" t="str">
        <f t="shared" si="248"/>
        <v>NBN-63013-B</v>
      </c>
      <c r="B1999" s="403" t="s">
        <v>1388</v>
      </c>
      <c r="C1999" s="403" t="s">
        <v>583</v>
      </c>
      <c r="D1999" s="403" t="s">
        <v>1305</v>
      </c>
      <c r="E1999" s="403" t="s">
        <v>1307</v>
      </c>
      <c r="F1999" s="403" t="s">
        <v>1299</v>
      </c>
      <c r="G1999" s="403" t="s">
        <v>1467</v>
      </c>
      <c r="H1999" s="403" t="s">
        <v>1276</v>
      </c>
      <c r="I1999" s="403">
        <v>1</v>
      </c>
      <c r="J1999" s="403" t="s">
        <v>109</v>
      </c>
      <c r="K1999" s="403">
        <v>720</v>
      </c>
      <c r="L1999" s="403">
        <v>1280</v>
      </c>
      <c r="M1999" s="403" t="s">
        <v>109</v>
      </c>
      <c r="N1999" s="403">
        <v>720</v>
      </c>
      <c r="O1999" s="403">
        <v>1280</v>
      </c>
      <c r="P1999" t="str">
        <f t="shared" si="249"/>
        <v>25fps 720p - 720p</v>
      </c>
      <c r="Q1999">
        <f t="shared" si="250"/>
        <v>10</v>
      </c>
      <c r="R1999" t="str">
        <f t="shared" si="251"/>
        <v/>
      </c>
      <c r="S1999" t="str">
        <f t="shared" si="252"/>
        <v/>
      </c>
      <c r="T1999" s="403" t="str">
        <f t="shared" si="253"/>
        <v>NBN-63013-B</v>
      </c>
      <c r="U1999" s="403">
        <f t="shared" si="254"/>
        <v>1</v>
      </c>
      <c r="V1999" s="403" t="str">
        <f t="shared" si="255"/>
        <v>CPP_7</v>
      </c>
    </row>
    <row r="2000" spans="1:22">
      <c r="A2000" t="str">
        <f t="shared" si="248"/>
        <v>NBN-63013-B</v>
      </c>
      <c r="B2000" s="403" t="s">
        <v>1388</v>
      </c>
      <c r="C2000" s="403" t="s">
        <v>583</v>
      </c>
      <c r="D2000" s="403" t="s">
        <v>1305</v>
      </c>
      <c r="E2000" s="403" t="s">
        <v>1307</v>
      </c>
      <c r="F2000" s="403" t="s">
        <v>1299</v>
      </c>
      <c r="G2000" s="403" t="s">
        <v>1467</v>
      </c>
      <c r="H2000" s="403" t="s">
        <v>1276</v>
      </c>
      <c r="I2000" s="403">
        <v>1</v>
      </c>
      <c r="J2000" s="403" t="s">
        <v>109</v>
      </c>
      <c r="K2000" s="403">
        <v>720</v>
      </c>
      <c r="L2000" s="403">
        <v>1280</v>
      </c>
      <c r="M2000" s="403" t="s">
        <v>1279</v>
      </c>
      <c r="N2000" s="403">
        <v>432</v>
      </c>
      <c r="O2000" s="403">
        <v>768</v>
      </c>
      <c r="P2000" t="str">
        <f t="shared" si="249"/>
        <v>25fps 720p - SD ROI PTZ</v>
      </c>
      <c r="Q2000">
        <f t="shared" si="250"/>
        <v>10</v>
      </c>
      <c r="R2000" t="str">
        <f t="shared" si="251"/>
        <v/>
      </c>
      <c r="S2000" t="str">
        <f t="shared" si="252"/>
        <v/>
      </c>
      <c r="T2000" s="403" t="str">
        <f t="shared" si="253"/>
        <v>NBN-63013-B</v>
      </c>
      <c r="U2000" s="403">
        <f t="shared" si="254"/>
        <v>1</v>
      </c>
      <c r="V2000" s="403" t="str">
        <f t="shared" si="255"/>
        <v>CPP_7</v>
      </c>
    </row>
    <row r="2001" spans="1:22">
      <c r="A2001" t="str">
        <f t="shared" si="248"/>
        <v>NBN-63013-B</v>
      </c>
      <c r="B2001" s="403" t="s">
        <v>1388</v>
      </c>
      <c r="C2001" s="403" t="s">
        <v>583</v>
      </c>
      <c r="D2001" s="403" t="s">
        <v>1305</v>
      </c>
      <c r="E2001" s="403" t="s">
        <v>1307</v>
      </c>
      <c r="F2001" s="403" t="s">
        <v>1299</v>
      </c>
      <c r="G2001" s="403" t="s">
        <v>1467</v>
      </c>
      <c r="H2001" s="403" t="s">
        <v>1276</v>
      </c>
      <c r="I2001" s="403">
        <v>1</v>
      </c>
      <c r="J2001" s="403" t="s">
        <v>109</v>
      </c>
      <c r="K2001" s="403">
        <v>720</v>
      </c>
      <c r="L2001" s="403">
        <v>1280</v>
      </c>
      <c r="M2001" s="403" t="s">
        <v>1298</v>
      </c>
      <c r="N2001" s="403">
        <v>432</v>
      </c>
      <c r="O2001" s="403">
        <v>768</v>
      </c>
      <c r="P2001" t="str">
        <f t="shared" si="249"/>
        <v>25fps 720p - SD dual stream with independent ROI PTZ</v>
      </c>
      <c r="Q2001">
        <f t="shared" si="250"/>
        <v>10</v>
      </c>
      <c r="R2001" t="str">
        <f t="shared" si="251"/>
        <v/>
      </c>
      <c r="S2001" t="str">
        <f t="shared" si="252"/>
        <v/>
      </c>
      <c r="T2001" s="403" t="str">
        <f t="shared" si="253"/>
        <v>NBN-63013-B</v>
      </c>
      <c r="U2001" s="403">
        <f t="shared" si="254"/>
        <v>1</v>
      </c>
      <c r="V2001" s="403" t="str">
        <f t="shared" si="255"/>
        <v>CPP_7</v>
      </c>
    </row>
    <row r="2002" spans="1:22">
      <c r="A2002" t="str">
        <f t="shared" si="248"/>
        <v>NBN-63013-B</v>
      </c>
      <c r="B2002" s="403" t="s">
        <v>1388</v>
      </c>
      <c r="C2002" s="403" t="s">
        <v>583</v>
      </c>
      <c r="D2002" s="403" t="s">
        <v>1305</v>
      </c>
      <c r="E2002" s="403" t="s">
        <v>1307</v>
      </c>
      <c r="F2002" s="403" t="s">
        <v>1299</v>
      </c>
      <c r="G2002" s="403" t="s">
        <v>1467</v>
      </c>
      <c r="H2002" s="403" t="s">
        <v>1276</v>
      </c>
      <c r="I2002" s="403">
        <v>1</v>
      </c>
      <c r="J2002" s="403" t="s">
        <v>109</v>
      </c>
      <c r="K2002" s="403">
        <v>720</v>
      </c>
      <c r="L2002" s="403">
        <v>1280</v>
      </c>
      <c r="M2002" s="403" t="s">
        <v>1283</v>
      </c>
      <c r="N2002" s="403">
        <v>576</v>
      </c>
      <c r="O2002" s="403">
        <v>704</v>
      </c>
      <c r="P2002" t="str">
        <f t="shared" si="249"/>
        <v>25fps 720p - SD 4CIF resolution 4:3 format (cropped)</v>
      </c>
      <c r="Q2002">
        <f t="shared" si="250"/>
        <v>10</v>
      </c>
      <c r="R2002" t="str">
        <f t="shared" si="251"/>
        <v/>
      </c>
      <c r="S2002" t="str">
        <f t="shared" si="252"/>
        <v/>
      </c>
      <c r="T2002" s="403" t="str">
        <f t="shared" si="253"/>
        <v>NBN-63013-B</v>
      </c>
      <c r="U2002" s="403">
        <f t="shared" si="254"/>
        <v>1</v>
      </c>
      <c r="V2002" s="403" t="str">
        <f t="shared" si="255"/>
        <v>CPP_7</v>
      </c>
    </row>
    <row r="2003" spans="1:22">
      <c r="A2003" t="str">
        <f t="shared" si="248"/>
        <v>NBN-63013-B</v>
      </c>
      <c r="B2003" s="403" t="s">
        <v>1388</v>
      </c>
      <c r="C2003" s="403" t="s">
        <v>583</v>
      </c>
      <c r="D2003" s="403" t="s">
        <v>1305</v>
      </c>
      <c r="E2003" s="403" t="s">
        <v>1307</v>
      </c>
      <c r="F2003" s="403" t="s">
        <v>1299</v>
      </c>
      <c r="G2003" s="403" t="s">
        <v>1467</v>
      </c>
      <c r="H2003" s="403" t="s">
        <v>1276</v>
      </c>
      <c r="I2003" s="403">
        <v>1</v>
      </c>
      <c r="J2003" s="403" t="s">
        <v>109</v>
      </c>
      <c r="K2003" s="403">
        <v>720</v>
      </c>
      <c r="L2003" s="403">
        <v>1280</v>
      </c>
      <c r="M2003" s="403" t="s">
        <v>1284</v>
      </c>
      <c r="N2003" s="403">
        <v>480</v>
      </c>
      <c r="O2003" s="403">
        <v>640</v>
      </c>
      <c r="P2003" t="str">
        <f t="shared" si="249"/>
        <v>25fps 720p - SD VGA (cropped)</v>
      </c>
      <c r="Q2003">
        <f t="shared" si="250"/>
        <v>10</v>
      </c>
      <c r="R2003" t="str">
        <f t="shared" si="251"/>
        <v/>
      </c>
      <c r="S2003" t="str">
        <f t="shared" si="252"/>
        <v/>
      </c>
      <c r="T2003" s="403" t="str">
        <f t="shared" si="253"/>
        <v>NBN-63013-B</v>
      </c>
      <c r="U2003" s="403">
        <f t="shared" si="254"/>
        <v>1</v>
      </c>
      <c r="V2003" s="403" t="str">
        <f t="shared" si="255"/>
        <v>CPP_7</v>
      </c>
    </row>
    <row r="2004" spans="1:22">
      <c r="A2004" t="str">
        <f t="shared" si="248"/>
        <v>NBN-63013-B</v>
      </c>
      <c r="B2004" s="403" t="s">
        <v>1388</v>
      </c>
      <c r="C2004" s="403" t="s">
        <v>583</v>
      </c>
      <c r="D2004" s="403" t="s">
        <v>1305</v>
      </c>
      <c r="E2004" s="403" t="s">
        <v>1307</v>
      </c>
      <c r="F2004" s="403" t="s">
        <v>1299</v>
      </c>
      <c r="G2004" s="403" t="s">
        <v>1467</v>
      </c>
      <c r="H2004" s="403" t="s">
        <v>1276</v>
      </c>
      <c r="I2004" s="403">
        <v>1</v>
      </c>
      <c r="J2004" s="403" t="s">
        <v>111</v>
      </c>
      <c r="K2004" s="403">
        <v>432</v>
      </c>
      <c r="L2004" s="403">
        <v>768</v>
      </c>
      <c r="M2004" s="403" t="s">
        <v>111</v>
      </c>
      <c r="N2004" s="403">
        <v>432</v>
      </c>
      <c r="O2004" s="403">
        <v>768</v>
      </c>
      <c r="P2004" t="str">
        <f t="shared" si="249"/>
        <v>25fps SD - SD</v>
      </c>
      <c r="Q2004">
        <f t="shared" si="250"/>
        <v>10</v>
      </c>
      <c r="R2004" t="str">
        <f t="shared" si="251"/>
        <v/>
      </c>
      <c r="S2004" t="str">
        <f t="shared" si="252"/>
        <v/>
      </c>
      <c r="T2004" s="403" t="str">
        <f t="shared" si="253"/>
        <v>NBN-63013-B</v>
      </c>
      <c r="U2004" s="403">
        <f t="shared" si="254"/>
        <v>1</v>
      </c>
      <c r="V2004" s="403" t="str">
        <f t="shared" si="255"/>
        <v>CPP_7</v>
      </c>
    </row>
    <row r="2005" spans="1:22">
      <c r="A2005" t="str">
        <f t="shared" si="248"/>
        <v>NBN-6x023-B</v>
      </c>
      <c r="B2005" s="403" t="s">
        <v>1388</v>
      </c>
      <c r="C2005" s="403" t="s">
        <v>583</v>
      </c>
      <c r="D2005" s="403" t="s">
        <v>1389</v>
      </c>
      <c r="E2005" s="403" t="s">
        <v>1306</v>
      </c>
      <c r="F2005" s="403" t="s">
        <v>1286</v>
      </c>
      <c r="G2005" s="403" t="s">
        <v>1466</v>
      </c>
      <c r="H2005" s="403" t="s">
        <v>1276</v>
      </c>
      <c r="I2005" s="403">
        <v>1</v>
      </c>
      <c r="J2005" s="403" t="s">
        <v>110</v>
      </c>
      <c r="K2005" s="403">
        <v>1920</v>
      </c>
      <c r="L2005" s="403">
        <v>1080</v>
      </c>
      <c r="M2005" s="403" t="s">
        <v>111</v>
      </c>
      <c r="N2005" s="403">
        <v>768</v>
      </c>
      <c r="O2005" s="403">
        <v>432</v>
      </c>
      <c r="P2005" t="str">
        <f t="shared" si="249"/>
        <v>30fps 1080p - SD</v>
      </c>
      <c r="Q2005">
        <f t="shared" si="250"/>
        <v>11</v>
      </c>
      <c r="R2005">
        <f t="shared" si="251"/>
        <v>11</v>
      </c>
      <c r="S2005" t="str">
        <f t="shared" si="252"/>
        <v>DINION IP starlight 6000 HD (NBN-6x023-B)</v>
      </c>
      <c r="T2005" s="403" t="str">
        <f t="shared" si="253"/>
        <v>NBN-6x023-B</v>
      </c>
      <c r="U2005" s="403">
        <f t="shared" si="254"/>
        <v>1</v>
      </c>
      <c r="V2005" s="403" t="str">
        <f t="shared" si="255"/>
        <v>CPP_7</v>
      </c>
    </row>
    <row r="2006" spans="1:22">
      <c r="A2006" t="str">
        <f t="shared" si="248"/>
        <v>NBN-6x023-B</v>
      </c>
      <c r="B2006" s="403" t="s">
        <v>1388</v>
      </c>
      <c r="C2006" s="403" t="s">
        <v>583</v>
      </c>
      <c r="D2006" s="403" t="s">
        <v>1389</v>
      </c>
      <c r="E2006" s="403" t="s">
        <v>1306</v>
      </c>
      <c r="F2006" s="403" t="s">
        <v>1286</v>
      </c>
      <c r="G2006" s="403" t="s">
        <v>1466</v>
      </c>
      <c r="H2006" s="403" t="s">
        <v>1276</v>
      </c>
      <c r="I2006" s="403">
        <v>1</v>
      </c>
      <c r="J2006" s="403" t="s">
        <v>110</v>
      </c>
      <c r="K2006" s="403">
        <v>1920</v>
      </c>
      <c r="L2006" s="403">
        <v>1080</v>
      </c>
      <c r="M2006" s="403" t="s">
        <v>110</v>
      </c>
      <c r="N2006" s="403">
        <v>1920</v>
      </c>
      <c r="O2006" s="403">
        <v>1080</v>
      </c>
      <c r="P2006" t="str">
        <f t="shared" si="249"/>
        <v>30fps 1080p - 1080p</v>
      </c>
      <c r="Q2006">
        <f t="shared" si="250"/>
        <v>11</v>
      </c>
      <c r="R2006" t="str">
        <f t="shared" si="251"/>
        <v/>
      </c>
      <c r="S2006" t="str">
        <f t="shared" si="252"/>
        <v/>
      </c>
      <c r="T2006" s="403" t="str">
        <f t="shared" si="253"/>
        <v>NBN-6x023-B</v>
      </c>
      <c r="U2006" s="403">
        <f t="shared" si="254"/>
        <v>1</v>
      </c>
      <c r="V2006" s="403" t="str">
        <f t="shared" si="255"/>
        <v>CPP_7</v>
      </c>
    </row>
    <row r="2007" spans="1:22">
      <c r="A2007" t="str">
        <f t="shared" si="248"/>
        <v>NBN-6x023-B</v>
      </c>
      <c r="B2007" s="403" t="s">
        <v>1388</v>
      </c>
      <c r="C2007" s="403" t="s">
        <v>583</v>
      </c>
      <c r="D2007" s="403" t="s">
        <v>1389</v>
      </c>
      <c r="E2007" s="403" t="s">
        <v>1306</v>
      </c>
      <c r="F2007" s="403" t="s">
        <v>1286</v>
      </c>
      <c r="G2007" s="403" t="s">
        <v>1466</v>
      </c>
      <c r="H2007" s="403" t="s">
        <v>1276</v>
      </c>
      <c r="I2007" s="403">
        <v>1</v>
      </c>
      <c r="J2007" s="403" t="s">
        <v>110</v>
      </c>
      <c r="K2007" s="403">
        <v>1920</v>
      </c>
      <c r="L2007" s="403">
        <v>1080</v>
      </c>
      <c r="M2007" s="403" t="s">
        <v>109</v>
      </c>
      <c r="N2007" s="403">
        <v>1280</v>
      </c>
      <c r="O2007" s="403">
        <v>720</v>
      </c>
      <c r="P2007" t="str">
        <f t="shared" si="249"/>
        <v>30fps 1080p - 720p</v>
      </c>
      <c r="Q2007">
        <f t="shared" si="250"/>
        <v>11</v>
      </c>
      <c r="R2007" t="str">
        <f t="shared" si="251"/>
        <v/>
      </c>
      <c r="S2007" t="str">
        <f t="shared" si="252"/>
        <v/>
      </c>
      <c r="T2007" s="403" t="str">
        <f t="shared" si="253"/>
        <v>NBN-6x023-B</v>
      </c>
      <c r="U2007" s="403">
        <f t="shared" si="254"/>
        <v>1</v>
      </c>
      <c r="V2007" s="403" t="str">
        <f t="shared" si="255"/>
        <v>CPP_7</v>
      </c>
    </row>
    <row r="2008" spans="1:22">
      <c r="A2008" t="str">
        <f t="shared" si="248"/>
        <v>NBN-6x023-B</v>
      </c>
      <c r="B2008" s="403" t="s">
        <v>1388</v>
      </c>
      <c r="C2008" s="403" t="s">
        <v>583</v>
      </c>
      <c r="D2008" s="403" t="s">
        <v>1389</v>
      </c>
      <c r="E2008" s="403" t="s">
        <v>1306</v>
      </c>
      <c r="F2008" s="403" t="s">
        <v>1286</v>
      </c>
      <c r="G2008" s="403" t="s">
        <v>1466</v>
      </c>
      <c r="H2008" s="403" t="s">
        <v>1276</v>
      </c>
      <c r="I2008" s="403">
        <v>1</v>
      </c>
      <c r="J2008" s="403" t="s">
        <v>110</v>
      </c>
      <c r="K2008" s="403">
        <v>1920</v>
      </c>
      <c r="L2008" s="403">
        <v>1080</v>
      </c>
      <c r="M2008" s="403" t="s">
        <v>1285</v>
      </c>
      <c r="N2008" s="403">
        <v>1280</v>
      </c>
      <c r="O2008" s="403">
        <v>1024</v>
      </c>
      <c r="P2008" t="str">
        <f t="shared" si="249"/>
        <v>30fps 1080p - 1280x1024 5:4 (cropped)</v>
      </c>
      <c r="Q2008">
        <f t="shared" si="250"/>
        <v>11</v>
      </c>
      <c r="R2008" t="str">
        <f t="shared" si="251"/>
        <v/>
      </c>
      <c r="S2008" t="str">
        <f t="shared" si="252"/>
        <v/>
      </c>
      <c r="T2008" s="403" t="str">
        <f t="shared" si="253"/>
        <v>NBN-6x023-B</v>
      </c>
      <c r="U2008" s="403">
        <f t="shared" si="254"/>
        <v>1</v>
      </c>
      <c r="V2008" s="403" t="str">
        <f t="shared" si="255"/>
        <v>CPP_7</v>
      </c>
    </row>
    <row r="2009" spans="1:22">
      <c r="A2009" t="str">
        <f t="shared" si="248"/>
        <v>NBN-6x023-B</v>
      </c>
      <c r="B2009" s="403" t="s">
        <v>1388</v>
      </c>
      <c r="C2009" s="403" t="s">
        <v>583</v>
      </c>
      <c r="D2009" s="403" t="s">
        <v>1389</v>
      </c>
      <c r="E2009" s="403" t="s">
        <v>1306</v>
      </c>
      <c r="F2009" s="403" t="s">
        <v>1286</v>
      </c>
      <c r="G2009" s="403" t="s">
        <v>1466</v>
      </c>
      <c r="H2009" s="403" t="s">
        <v>1276</v>
      </c>
      <c r="I2009" s="403">
        <v>1</v>
      </c>
      <c r="J2009" s="403" t="s">
        <v>110</v>
      </c>
      <c r="K2009" s="403">
        <v>1920</v>
      </c>
      <c r="L2009" s="403">
        <v>1080</v>
      </c>
      <c r="M2009" s="403" t="s">
        <v>1309</v>
      </c>
      <c r="N2009" s="403">
        <v>1280</v>
      </c>
      <c r="O2009" s="403">
        <v>960</v>
      </c>
      <c r="P2009" t="str">
        <f t="shared" si="249"/>
        <v>30fps 1080p - 1280x960 4:3 (cropped)</v>
      </c>
      <c r="Q2009">
        <f t="shared" si="250"/>
        <v>11</v>
      </c>
      <c r="R2009" t="str">
        <f t="shared" si="251"/>
        <v/>
      </c>
      <c r="S2009" t="str">
        <f t="shared" si="252"/>
        <v/>
      </c>
      <c r="T2009" s="403" t="str">
        <f t="shared" si="253"/>
        <v>NBN-6x023-B</v>
      </c>
      <c r="U2009" s="403">
        <f t="shared" si="254"/>
        <v>1</v>
      </c>
      <c r="V2009" s="403" t="str">
        <f t="shared" si="255"/>
        <v>CPP_7</v>
      </c>
    </row>
    <row r="2010" spans="1:22">
      <c r="A2010" t="str">
        <f t="shared" si="248"/>
        <v>NBN-6x023-B</v>
      </c>
      <c r="B2010" s="403" t="s">
        <v>1388</v>
      </c>
      <c r="C2010" s="403" t="s">
        <v>583</v>
      </c>
      <c r="D2010" s="403" t="s">
        <v>1389</v>
      </c>
      <c r="E2010" s="403" t="s">
        <v>1306</v>
      </c>
      <c r="F2010" s="403" t="s">
        <v>1286</v>
      </c>
      <c r="G2010" s="403" t="s">
        <v>1466</v>
      </c>
      <c r="H2010" s="403" t="s">
        <v>1276</v>
      </c>
      <c r="I2010" s="403">
        <v>1</v>
      </c>
      <c r="J2010" s="403" t="s">
        <v>110</v>
      </c>
      <c r="K2010" s="403">
        <v>1920</v>
      </c>
      <c r="L2010" s="403">
        <v>1080</v>
      </c>
      <c r="M2010" s="403" t="s">
        <v>1279</v>
      </c>
      <c r="N2010" s="403">
        <v>768</v>
      </c>
      <c r="O2010" s="403">
        <v>432</v>
      </c>
      <c r="P2010" t="str">
        <f t="shared" si="249"/>
        <v>30fps 1080p - SD ROI PTZ</v>
      </c>
      <c r="Q2010">
        <f t="shared" si="250"/>
        <v>11</v>
      </c>
      <c r="R2010" t="str">
        <f t="shared" si="251"/>
        <v/>
      </c>
      <c r="S2010" t="str">
        <f t="shared" si="252"/>
        <v/>
      </c>
      <c r="T2010" s="403" t="str">
        <f t="shared" si="253"/>
        <v>NBN-6x023-B</v>
      </c>
      <c r="U2010" s="403">
        <f t="shared" si="254"/>
        <v>1</v>
      </c>
      <c r="V2010" s="403" t="str">
        <f t="shared" si="255"/>
        <v>CPP_7</v>
      </c>
    </row>
    <row r="2011" spans="1:22">
      <c r="A2011" t="str">
        <f t="shared" si="248"/>
        <v>NBN-6x023-B</v>
      </c>
      <c r="B2011" s="403" t="s">
        <v>1388</v>
      </c>
      <c r="C2011" s="403" t="s">
        <v>583</v>
      </c>
      <c r="D2011" s="403" t="s">
        <v>1389</v>
      </c>
      <c r="E2011" s="403" t="s">
        <v>1306</v>
      </c>
      <c r="F2011" s="403" t="s">
        <v>1286</v>
      </c>
      <c r="G2011" s="403" t="s">
        <v>1466</v>
      </c>
      <c r="H2011" s="403" t="s">
        <v>1276</v>
      </c>
      <c r="I2011" s="403">
        <v>1</v>
      </c>
      <c r="J2011" s="403" t="s">
        <v>110</v>
      </c>
      <c r="K2011" s="403">
        <v>1920</v>
      </c>
      <c r="L2011" s="403">
        <v>1080</v>
      </c>
      <c r="M2011" s="403" t="s">
        <v>1298</v>
      </c>
      <c r="N2011" s="403">
        <v>768</v>
      </c>
      <c r="O2011" s="403">
        <v>432</v>
      </c>
      <c r="P2011" t="str">
        <f t="shared" si="249"/>
        <v>30fps 1080p - SD dual stream with independent ROI PTZ</v>
      </c>
      <c r="Q2011">
        <f t="shared" si="250"/>
        <v>11</v>
      </c>
      <c r="R2011" t="str">
        <f t="shared" si="251"/>
        <v/>
      </c>
      <c r="S2011" t="str">
        <f t="shared" si="252"/>
        <v/>
      </c>
      <c r="T2011" s="403" t="str">
        <f t="shared" si="253"/>
        <v>NBN-6x023-B</v>
      </c>
      <c r="U2011" s="403">
        <f t="shared" si="254"/>
        <v>1</v>
      </c>
      <c r="V2011" s="403" t="str">
        <f t="shared" si="255"/>
        <v>CPP_7</v>
      </c>
    </row>
    <row r="2012" spans="1:22">
      <c r="A2012" t="str">
        <f t="shared" si="248"/>
        <v>NBN-6x023-B</v>
      </c>
      <c r="B2012" s="403" t="s">
        <v>1388</v>
      </c>
      <c r="C2012" s="403" t="s">
        <v>583</v>
      </c>
      <c r="D2012" s="403" t="s">
        <v>1389</v>
      </c>
      <c r="E2012" s="403" t="s">
        <v>1306</v>
      </c>
      <c r="F2012" s="403" t="s">
        <v>1286</v>
      </c>
      <c r="G2012" s="403" t="s">
        <v>1466</v>
      </c>
      <c r="H2012" s="403" t="s">
        <v>1276</v>
      </c>
      <c r="I2012" s="403">
        <v>1</v>
      </c>
      <c r="J2012" s="403" t="s">
        <v>110</v>
      </c>
      <c r="K2012" s="403">
        <v>1920</v>
      </c>
      <c r="L2012" s="403">
        <v>1080</v>
      </c>
      <c r="M2012" s="403" t="s">
        <v>1283</v>
      </c>
      <c r="N2012" s="403">
        <v>704</v>
      </c>
      <c r="O2012" s="403">
        <v>480</v>
      </c>
      <c r="P2012" t="str">
        <f t="shared" si="249"/>
        <v>30fps 1080p - SD 4CIF resolution 4:3 format (cropped)</v>
      </c>
      <c r="Q2012">
        <f t="shared" si="250"/>
        <v>11</v>
      </c>
      <c r="R2012" t="str">
        <f t="shared" si="251"/>
        <v/>
      </c>
      <c r="S2012" t="str">
        <f t="shared" si="252"/>
        <v/>
      </c>
      <c r="T2012" s="403" t="str">
        <f t="shared" si="253"/>
        <v>NBN-6x023-B</v>
      </c>
      <c r="U2012" s="403">
        <f t="shared" si="254"/>
        <v>1</v>
      </c>
      <c r="V2012" s="403" t="str">
        <f t="shared" si="255"/>
        <v>CPP_7</v>
      </c>
    </row>
    <row r="2013" spans="1:22">
      <c r="A2013" t="str">
        <f t="shared" si="248"/>
        <v>NBN-6x023-B</v>
      </c>
      <c r="B2013" s="403" t="s">
        <v>1388</v>
      </c>
      <c r="C2013" s="403" t="s">
        <v>583</v>
      </c>
      <c r="D2013" s="403" t="s">
        <v>1389</v>
      </c>
      <c r="E2013" s="403" t="s">
        <v>1306</v>
      </c>
      <c r="F2013" s="403" t="s">
        <v>1286</v>
      </c>
      <c r="G2013" s="403" t="s">
        <v>1466</v>
      </c>
      <c r="H2013" s="403" t="s">
        <v>1276</v>
      </c>
      <c r="I2013" s="403">
        <v>1</v>
      </c>
      <c r="J2013" s="403" t="s">
        <v>110</v>
      </c>
      <c r="K2013" s="403">
        <v>1920</v>
      </c>
      <c r="L2013" s="403">
        <v>1080</v>
      </c>
      <c r="M2013" s="403" t="s">
        <v>1284</v>
      </c>
      <c r="N2013" s="403">
        <v>640</v>
      </c>
      <c r="O2013" s="403">
        <v>480</v>
      </c>
      <c r="P2013" t="str">
        <f t="shared" si="249"/>
        <v>30fps 1080p - SD VGA (cropped)</v>
      </c>
      <c r="Q2013">
        <f t="shared" si="250"/>
        <v>11</v>
      </c>
      <c r="R2013" t="str">
        <f t="shared" si="251"/>
        <v/>
      </c>
      <c r="S2013" t="str">
        <f t="shared" si="252"/>
        <v/>
      </c>
      <c r="T2013" s="403" t="str">
        <f t="shared" si="253"/>
        <v>NBN-6x023-B</v>
      </c>
      <c r="U2013" s="403">
        <f t="shared" si="254"/>
        <v>1</v>
      </c>
      <c r="V2013" s="403" t="str">
        <f t="shared" si="255"/>
        <v>CPP_7</v>
      </c>
    </row>
    <row r="2014" spans="1:22">
      <c r="A2014" t="str">
        <f t="shared" si="248"/>
        <v>NBN-6x023-B</v>
      </c>
      <c r="B2014" s="403" t="s">
        <v>1388</v>
      </c>
      <c r="C2014" s="403" t="s">
        <v>583</v>
      </c>
      <c r="D2014" s="403" t="s">
        <v>1389</v>
      </c>
      <c r="E2014" s="403" t="s">
        <v>1306</v>
      </c>
      <c r="F2014" s="403" t="s">
        <v>1286</v>
      </c>
      <c r="G2014" s="403" t="s">
        <v>1466</v>
      </c>
      <c r="H2014" s="403" t="s">
        <v>1276</v>
      </c>
      <c r="I2014" s="403">
        <v>1</v>
      </c>
      <c r="J2014" s="403" t="s">
        <v>109</v>
      </c>
      <c r="K2014" s="403">
        <v>1280</v>
      </c>
      <c r="L2014" s="403">
        <v>720</v>
      </c>
      <c r="M2014" s="403" t="s">
        <v>111</v>
      </c>
      <c r="N2014" s="403">
        <v>768</v>
      </c>
      <c r="O2014" s="403">
        <v>432</v>
      </c>
      <c r="P2014" t="str">
        <f t="shared" si="249"/>
        <v>30fps 720p - SD</v>
      </c>
      <c r="Q2014">
        <f t="shared" si="250"/>
        <v>11</v>
      </c>
      <c r="R2014" t="str">
        <f t="shared" si="251"/>
        <v/>
      </c>
      <c r="S2014" t="str">
        <f t="shared" si="252"/>
        <v/>
      </c>
      <c r="T2014" s="403" t="str">
        <f t="shared" si="253"/>
        <v>NBN-6x023-B</v>
      </c>
      <c r="U2014" s="403">
        <f t="shared" si="254"/>
        <v>1</v>
      </c>
      <c r="V2014" s="403" t="str">
        <f t="shared" si="255"/>
        <v>CPP_7</v>
      </c>
    </row>
    <row r="2015" spans="1:22">
      <c r="A2015" t="str">
        <f t="shared" si="248"/>
        <v>NBN-6x023-B</v>
      </c>
      <c r="B2015" s="403" t="s">
        <v>1388</v>
      </c>
      <c r="C2015" s="403" t="s">
        <v>583</v>
      </c>
      <c r="D2015" s="403" t="s">
        <v>1389</v>
      </c>
      <c r="E2015" s="403" t="s">
        <v>1306</v>
      </c>
      <c r="F2015" s="403" t="s">
        <v>1286</v>
      </c>
      <c r="G2015" s="403" t="s">
        <v>1466</v>
      </c>
      <c r="H2015" s="403" t="s">
        <v>1276</v>
      </c>
      <c r="I2015" s="403">
        <v>1</v>
      </c>
      <c r="J2015" s="403" t="s">
        <v>109</v>
      </c>
      <c r="K2015" s="403">
        <v>1280</v>
      </c>
      <c r="L2015" s="403">
        <v>720</v>
      </c>
      <c r="M2015" s="403" t="s">
        <v>109</v>
      </c>
      <c r="N2015" s="403">
        <v>1280</v>
      </c>
      <c r="O2015" s="403">
        <v>720</v>
      </c>
      <c r="P2015" t="str">
        <f t="shared" si="249"/>
        <v>30fps 720p - 720p</v>
      </c>
      <c r="Q2015">
        <f t="shared" si="250"/>
        <v>11</v>
      </c>
      <c r="R2015" t="str">
        <f t="shared" si="251"/>
        <v/>
      </c>
      <c r="S2015" t="str">
        <f t="shared" si="252"/>
        <v/>
      </c>
      <c r="T2015" s="403" t="str">
        <f t="shared" si="253"/>
        <v>NBN-6x023-B</v>
      </c>
      <c r="U2015" s="403">
        <f t="shared" si="254"/>
        <v>1</v>
      </c>
      <c r="V2015" s="403" t="str">
        <f t="shared" si="255"/>
        <v>CPP_7</v>
      </c>
    </row>
    <row r="2016" spans="1:22">
      <c r="A2016" t="str">
        <f t="shared" si="248"/>
        <v>NBN-6x023-B</v>
      </c>
      <c r="B2016" s="403" t="s">
        <v>1388</v>
      </c>
      <c r="C2016" s="403" t="s">
        <v>583</v>
      </c>
      <c r="D2016" s="403" t="s">
        <v>1389</v>
      </c>
      <c r="E2016" s="403" t="s">
        <v>1306</v>
      </c>
      <c r="F2016" s="403" t="s">
        <v>1286</v>
      </c>
      <c r="G2016" s="403" t="s">
        <v>1466</v>
      </c>
      <c r="H2016" s="403" t="s">
        <v>1276</v>
      </c>
      <c r="I2016" s="403">
        <v>1</v>
      </c>
      <c r="J2016" s="403" t="s">
        <v>109</v>
      </c>
      <c r="K2016" s="403">
        <v>1280</v>
      </c>
      <c r="L2016" s="403">
        <v>720</v>
      </c>
      <c r="M2016" s="403" t="s">
        <v>1279</v>
      </c>
      <c r="N2016" s="403">
        <v>768</v>
      </c>
      <c r="O2016" s="403">
        <v>432</v>
      </c>
      <c r="P2016" t="str">
        <f t="shared" si="249"/>
        <v>30fps 720p - SD ROI PTZ</v>
      </c>
      <c r="Q2016">
        <f t="shared" si="250"/>
        <v>11</v>
      </c>
      <c r="R2016" t="str">
        <f t="shared" si="251"/>
        <v/>
      </c>
      <c r="S2016" t="str">
        <f t="shared" si="252"/>
        <v/>
      </c>
      <c r="T2016" s="403" t="str">
        <f t="shared" si="253"/>
        <v>NBN-6x023-B</v>
      </c>
      <c r="U2016" s="403">
        <f t="shared" si="254"/>
        <v>1</v>
      </c>
      <c r="V2016" s="403" t="str">
        <f t="shared" si="255"/>
        <v>CPP_7</v>
      </c>
    </row>
    <row r="2017" spans="1:22">
      <c r="A2017" t="str">
        <f t="shared" si="248"/>
        <v>NBN-6x023-B</v>
      </c>
      <c r="B2017" s="403" t="s">
        <v>1388</v>
      </c>
      <c r="C2017" s="403" t="s">
        <v>583</v>
      </c>
      <c r="D2017" s="403" t="s">
        <v>1389</v>
      </c>
      <c r="E2017" s="403" t="s">
        <v>1306</v>
      </c>
      <c r="F2017" s="403" t="s">
        <v>1286</v>
      </c>
      <c r="G2017" s="403" t="s">
        <v>1466</v>
      </c>
      <c r="H2017" s="403" t="s">
        <v>1276</v>
      </c>
      <c r="I2017" s="403">
        <v>1</v>
      </c>
      <c r="J2017" s="403" t="s">
        <v>109</v>
      </c>
      <c r="K2017" s="403">
        <v>1280</v>
      </c>
      <c r="L2017" s="403">
        <v>720</v>
      </c>
      <c r="M2017" s="403" t="s">
        <v>1298</v>
      </c>
      <c r="N2017" s="403">
        <v>768</v>
      </c>
      <c r="O2017" s="403">
        <v>432</v>
      </c>
      <c r="P2017" t="str">
        <f t="shared" si="249"/>
        <v>30fps 720p - SD dual stream with independent ROI PTZ</v>
      </c>
      <c r="Q2017">
        <f t="shared" si="250"/>
        <v>11</v>
      </c>
      <c r="R2017" t="str">
        <f t="shared" si="251"/>
        <v/>
      </c>
      <c r="S2017" t="str">
        <f t="shared" si="252"/>
        <v/>
      </c>
      <c r="T2017" s="403" t="str">
        <f t="shared" si="253"/>
        <v>NBN-6x023-B</v>
      </c>
      <c r="U2017" s="403">
        <f t="shared" si="254"/>
        <v>1</v>
      </c>
      <c r="V2017" s="403" t="str">
        <f t="shared" si="255"/>
        <v>CPP_7</v>
      </c>
    </row>
    <row r="2018" spans="1:22">
      <c r="A2018" t="str">
        <f t="shared" si="248"/>
        <v>NBN-6x023-B</v>
      </c>
      <c r="B2018" s="403" t="s">
        <v>1388</v>
      </c>
      <c r="C2018" s="403" t="s">
        <v>583</v>
      </c>
      <c r="D2018" s="403" t="s">
        <v>1389</v>
      </c>
      <c r="E2018" s="403" t="s">
        <v>1306</v>
      </c>
      <c r="F2018" s="403" t="s">
        <v>1286</v>
      </c>
      <c r="G2018" s="403" t="s">
        <v>1466</v>
      </c>
      <c r="H2018" s="403" t="s">
        <v>1276</v>
      </c>
      <c r="I2018" s="403">
        <v>1</v>
      </c>
      <c r="J2018" s="403" t="s">
        <v>109</v>
      </c>
      <c r="K2018" s="403">
        <v>1280</v>
      </c>
      <c r="L2018" s="403">
        <v>720</v>
      </c>
      <c r="M2018" s="403" t="s">
        <v>1283</v>
      </c>
      <c r="N2018" s="403">
        <v>704</v>
      </c>
      <c r="O2018" s="403">
        <v>480</v>
      </c>
      <c r="P2018" t="str">
        <f t="shared" si="249"/>
        <v>30fps 720p - SD 4CIF resolution 4:3 format (cropped)</v>
      </c>
      <c r="Q2018">
        <f t="shared" si="250"/>
        <v>11</v>
      </c>
      <c r="R2018" t="str">
        <f t="shared" si="251"/>
        <v/>
      </c>
      <c r="S2018" t="str">
        <f t="shared" si="252"/>
        <v/>
      </c>
      <c r="T2018" s="403" t="str">
        <f t="shared" si="253"/>
        <v>NBN-6x023-B</v>
      </c>
      <c r="U2018" s="403">
        <f t="shared" si="254"/>
        <v>1</v>
      </c>
      <c r="V2018" s="403" t="str">
        <f t="shared" si="255"/>
        <v>CPP_7</v>
      </c>
    </row>
    <row r="2019" spans="1:22">
      <c r="A2019" t="str">
        <f t="shared" si="248"/>
        <v>NBN-6x023-B</v>
      </c>
      <c r="B2019" s="403" t="s">
        <v>1388</v>
      </c>
      <c r="C2019" s="403" t="s">
        <v>583</v>
      </c>
      <c r="D2019" s="403" t="s">
        <v>1389</v>
      </c>
      <c r="E2019" s="403" t="s">
        <v>1306</v>
      </c>
      <c r="F2019" s="403" t="s">
        <v>1286</v>
      </c>
      <c r="G2019" s="403" t="s">
        <v>1466</v>
      </c>
      <c r="H2019" s="403" t="s">
        <v>1276</v>
      </c>
      <c r="I2019" s="403">
        <v>1</v>
      </c>
      <c r="J2019" s="403" t="s">
        <v>109</v>
      </c>
      <c r="K2019" s="403">
        <v>1280</v>
      </c>
      <c r="L2019" s="403">
        <v>720</v>
      </c>
      <c r="M2019" s="403" t="s">
        <v>1284</v>
      </c>
      <c r="N2019" s="403">
        <v>640</v>
      </c>
      <c r="O2019" s="403">
        <v>480</v>
      </c>
      <c r="P2019" t="str">
        <f t="shared" si="249"/>
        <v>30fps 720p - SD VGA (cropped)</v>
      </c>
      <c r="Q2019">
        <f t="shared" si="250"/>
        <v>11</v>
      </c>
      <c r="R2019" t="str">
        <f t="shared" si="251"/>
        <v/>
      </c>
      <c r="S2019" t="str">
        <f t="shared" si="252"/>
        <v/>
      </c>
      <c r="T2019" s="403" t="str">
        <f t="shared" si="253"/>
        <v>NBN-6x023-B</v>
      </c>
      <c r="U2019" s="403">
        <f t="shared" si="254"/>
        <v>1</v>
      </c>
      <c r="V2019" s="403" t="str">
        <f t="shared" si="255"/>
        <v>CPP_7</v>
      </c>
    </row>
    <row r="2020" spans="1:22">
      <c r="A2020" t="str">
        <f t="shared" si="248"/>
        <v>NBN-6x023-B</v>
      </c>
      <c r="B2020" s="403" t="s">
        <v>1388</v>
      </c>
      <c r="C2020" s="403" t="s">
        <v>583</v>
      </c>
      <c r="D2020" s="403" t="s">
        <v>1389</v>
      </c>
      <c r="E2020" s="403" t="s">
        <v>1306</v>
      </c>
      <c r="F2020" s="403" t="s">
        <v>1286</v>
      </c>
      <c r="G2020" s="403" t="s">
        <v>1466</v>
      </c>
      <c r="H2020" s="403" t="s">
        <v>1276</v>
      </c>
      <c r="I2020" s="403">
        <v>1</v>
      </c>
      <c r="J2020" s="403" t="s">
        <v>111</v>
      </c>
      <c r="K2020" s="403">
        <v>768</v>
      </c>
      <c r="L2020" s="403">
        <v>432</v>
      </c>
      <c r="M2020" s="403" t="s">
        <v>111</v>
      </c>
      <c r="N2020" s="403">
        <v>768</v>
      </c>
      <c r="O2020" s="403">
        <v>432</v>
      </c>
      <c r="P2020" t="str">
        <f t="shared" si="249"/>
        <v>30fps SD - SD</v>
      </c>
      <c r="Q2020">
        <f t="shared" si="250"/>
        <v>11</v>
      </c>
      <c r="R2020" t="str">
        <f t="shared" si="251"/>
        <v/>
      </c>
      <c r="S2020" t="str">
        <f t="shared" si="252"/>
        <v/>
      </c>
      <c r="T2020" s="403" t="str">
        <f t="shared" si="253"/>
        <v>NBN-6x023-B</v>
      </c>
      <c r="U2020" s="403">
        <f t="shared" si="254"/>
        <v>1</v>
      </c>
      <c r="V2020" s="403" t="str">
        <f t="shared" si="255"/>
        <v>CPP_7</v>
      </c>
    </row>
    <row r="2021" spans="1:22">
      <c r="A2021" t="str">
        <f t="shared" si="248"/>
        <v>NBN-6x023-B</v>
      </c>
      <c r="B2021" s="403" t="s">
        <v>1388</v>
      </c>
      <c r="C2021" s="403" t="s">
        <v>583</v>
      </c>
      <c r="D2021" s="403" t="s">
        <v>1389</v>
      </c>
      <c r="E2021" s="403" t="s">
        <v>1306</v>
      </c>
      <c r="F2021" s="403" t="s">
        <v>1286</v>
      </c>
      <c r="G2021" s="403" t="s">
        <v>1467</v>
      </c>
      <c r="H2021" s="403" t="s">
        <v>1276</v>
      </c>
      <c r="I2021" s="403">
        <v>1</v>
      </c>
      <c r="J2021" s="403" t="s">
        <v>110</v>
      </c>
      <c r="K2021" s="403">
        <v>1080</v>
      </c>
      <c r="L2021" s="403">
        <v>1920</v>
      </c>
      <c r="M2021" s="403" t="s">
        <v>111</v>
      </c>
      <c r="N2021" s="403">
        <v>432</v>
      </c>
      <c r="O2021" s="403">
        <v>768</v>
      </c>
      <c r="P2021" t="str">
        <f t="shared" si="249"/>
        <v>30fps 1080p - SD</v>
      </c>
      <c r="Q2021">
        <f t="shared" si="250"/>
        <v>11</v>
      </c>
      <c r="R2021" t="str">
        <f t="shared" si="251"/>
        <v/>
      </c>
      <c r="S2021" t="str">
        <f t="shared" si="252"/>
        <v/>
      </c>
      <c r="T2021" s="403" t="str">
        <f t="shared" si="253"/>
        <v>NBN-6x023-B</v>
      </c>
      <c r="U2021" s="403">
        <f t="shared" si="254"/>
        <v>1</v>
      </c>
      <c r="V2021" s="403" t="str">
        <f t="shared" si="255"/>
        <v>CPP_7</v>
      </c>
    </row>
    <row r="2022" spans="1:22">
      <c r="A2022" t="str">
        <f t="shared" si="248"/>
        <v>NBN-6x023-B</v>
      </c>
      <c r="B2022" s="403" t="s">
        <v>1388</v>
      </c>
      <c r="C2022" s="403" t="s">
        <v>583</v>
      </c>
      <c r="D2022" s="403" t="s">
        <v>1389</v>
      </c>
      <c r="E2022" s="403" t="s">
        <v>1306</v>
      </c>
      <c r="F2022" s="403" t="s">
        <v>1286</v>
      </c>
      <c r="G2022" s="403" t="s">
        <v>1467</v>
      </c>
      <c r="H2022" s="403" t="s">
        <v>1276</v>
      </c>
      <c r="I2022" s="403">
        <v>1</v>
      </c>
      <c r="J2022" s="403" t="s">
        <v>110</v>
      </c>
      <c r="K2022" s="403">
        <v>1080</v>
      </c>
      <c r="L2022" s="403">
        <v>1920</v>
      </c>
      <c r="M2022" s="403" t="s">
        <v>110</v>
      </c>
      <c r="N2022" s="403">
        <v>1080</v>
      </c>
      <c r="O2022" s="403">
        <v>1920</v>
      </c>
      <c r="P2022" t="str">
        <f t="shared" si="249"/>
        <v>30fps 1080p - 1080p</v>
      </c>
      <c r="Q2022">
        <f t="shared" si="250"/>
        <v>11</v>
      </c>
      <c r="R2022" t="str">
        <f t="shared" si="251"/>
        <v/>
      </c>
      <c r="S2022" t="str">
        <f t="shared" si="252"/>
        <v/>
      </c>
      <c r="T2022" s="403" t="str">
        <f t="shared" si="253"/>
        <v>NBN-6x023-B</v>
      </c>
      <c r="U2022" s="403">
        <f t="shared" si="254"/>
        <v>1</v>
      </c>
      <c r="V2022" s="403" t="str">
        <f t="shared" si="255"/>
        <v>CPP_7</v>
      </c>
    </row>
    <row r="2023" spans="1:22">
      <c r="A2023" t="str">
        <f t="shared" si="248"/>
        <v>NBN-6x023-B</v>
      </c>
      <c r="B2023" s="403" t="s">
        <v>1388</v>
      </c>
      <c r="C2023" s="403" t="s">
        <v>583</v>
      </c>
      <c r="D2023" s="403" t="s">
        <v>1389</v>
      </c>
      <c r="E2023" s="403" t="s">
        <v>1306</v>
      </c>
      <c r="F2023" s="403" t="s">
        <v>1286</v>
      </c>
      <c r="G2023" s="403" t="s">
        <v>1467</v>
      </c>
      <c r="H2023" s="403" t="s">
        <v>1276</v>
      </c>
      <c r="I2023" s="403">
        <v>1</v>
      </c>
      <c r="J2023" s="403" t="s">
        <v>110</v>
      </c>
      <c r="K2023" s="403">
        <v>1080</v>
      </c>
      <c r="L2023" s="403">
        <v>1920</v>
      </c>
      <c r="M2023" s="403" t="s">
        <v>109</v>
      </c>
      <c r="N2023" s="403">
        <v>720</v>
      </c>
      <c r="O2023" s="403">
        <v>1280</v>
      </c>
      <c r="P2023" t="str">
        <f t="shared" si="249"/>
        <v>30fps 1080p - 720p</v>
      </c>
      <c r="Q2023">
        <f t="shared" si="250"/>
        <v>11</v>
      </c>
      <c r="R2023" t="str">
        <f t="shared" si="251"/>
        <v/>
      </c>
      <c r="S2023" t="str">
        <f t="shared" si="252"/>
        <v/>
      </c>
      <c r="T2023" s="403" t="str">
        <f t="shared" si="253"/>
        <v>NBN-6x023-B</v>
      </c>
      <c r="U2023" s="403">
        <f t="shared" si="254"/>
        <v>1</v>
      </c>
      <c r="V2023" s="403" t="str">
        <f t="shared" si="255"/>
        <v>CPP_7</v>
      </c>
    </row>
    <row r="2024" spans="1:22">
      <c r="A2024" t="str">
        <f t="shared" si="248"/>
        <v>NBN-6x023-B</v>
      </c>
      <c r="B2024" s="403" t="s">
        <v>1388</v>
      </c>
      <c r="C2024" s="403" t="s">
        <v>583</v>
      </c>
      <c r="D2024" s="403" t="s">
        <v>1389</v>
      </c>
      <c r="E2024" s="403" t="s">
        <v>1306</v>
      </c>
      <c r="F2024" s="403" t="s">
        <v>1286</v>
      </c>
      <c r="G2024" s="403" t="s">
        <v>1467</v>
      </c>
      <c r="H2024" s="403" t="s">
        <v>1276</v>
      </c>
      <c r="I2024" s="403">
        <v>1</v>
      </c>
      <c r="J2024" s="403" t="s">
        <v>110</v>
      </c>
      <c r="K2024" s="403">
        <v>1080</v>
      </c>
      <c r="L2024" s="403">
        <v>1920</v>
      </c>
      <c r="M2024" s="403" t="s">
        <v>1279</v>
      </c>
      <c r="N2024" s="403">
        <v>432</v>
      </c>
      <c r="O2024" s="403">
        <v>768</v>
      </c>
      <c r="P2024" t="str">
        <f t="shared" si="249"/>
        <v>30fps 1080p - SD ROI PTZ</v>
      </c>
      <c r="Q2024">
        <f t="shared" si="250"/>
        <v>11</v>
      </c>
      <c r="R2024" t="str">
        <f t="shared" si="251"/>
        <v/>
      </c>
      <c r="S2024" t="str">
        <f t="shared" si="252"/>
        <v/>
      </c>
      <c r="T2024" s="403" t="str">
        <f t="shared" si="253"/>
        <v>NBN-6x023-B</v>
      </c>
      <c r="U2024" s="403">
        <f t="shared" si="254"/>
        <v>1</v>
      </c>
      <c r="V2024" s="403" t="str">
        <f t="shared" si="255"/>
        <v>CPP_7</v>
      </c>
    </row>
    <row r="2025" spans="1:22">
      <c r="A2025" t="str">
        <f t="shared" si="248"/>
        <v>NBN-6x023-B</v>
      </c>
      <c r="B2025" s="403" t="s">
        <v>1388</v>
      </c>
      <c r="C2025" s="403" t="s">
        <v>583</v>
      </c>
      <c r="D2025" s="403" t="s">
        <v>1389</v>
      </c>
      <c r="E2025" s="403" t="s">
        <v>1306</v>
      </c>
      <c r="F2025" s="403" t="s">
        <v>1286</v>
      </c>
      <c r="G2025" s="403" t="s">
        <v>1467</v>
      </c>
      <c r="H2025" s="403" t="s">
        <v>1276</v>
      </c>
      <c r="I2025" s="403">
        <v>1</v>
      </c>
      <c r="J2025" s="403" t="s">
        <v>110</v>
      </c>
      <c r="K2025" s="403">
        <v>1080</v>
      </c>
      <c r="L2025" s="403">
        <v>1920</v>
      </c>
      <c r="M2025" s="403" t="s">
        <v>1298</v>
      </c>
      <c r="N2025" s="403">
        <v>432</v>
      </c>
      <c r="O2025" s="403">
        <v>768</v>
      </c>
      <c r="P2025" t="str">
        <f t="shared" si="249"/>
        <v>30fps 1080p - SD dual stream with independent ROI PTZ</v>
      </c>
      <c r="Q2025">
        <f t="shared" si="250"/>
        <v>11</v>
      </c>
      <c r="R2025" t="str">
        <f t="shared" si="251"/>
        <v/>
      </c>
      <c r="S2025" t="str">
        <f t="shared" si="252"/>
        <v/>
      </c>
      <c r="T2025" s="403" t="str">
        <f t="shared" si="253"/>
        <v>NBN-6x023-B</v>
      </c>
      <c r="U2025" s="403">
        <f t="shared" si="254"/>
        <v>1</v>
      </c>
      <c r="V2025" s="403" t="str">
        <f t="shared" si="255"/>
        <v>CPP_7</v>
      </c>
    </row>
    <row r="2026" spans="1:22">
      <c r="A2026" t="str">
        <f t="shared" si="248"/>
        <v>NBN-6x023-B</v>
      </c>
      <c r="B2026" s="403" t="s">
        <v>1388</v>
      </c>
      <c r="C2026" s="403" t="s">
        <v>583</v>
      </c>
      <c r="D2026" s="403" t="s">
        <v>1389</v>
      </c>
      <c r="E2026" s="403" t="s">
        <v>1306</v>
      </c>
      <c r="F2026" s="403" t="s">
        <v>1286</v>
      </c>
      <c r="G2026" s="403" t="s">
        <v>1467</v>
      </c>
      <c r="H2026" s="403" t="s">
        <v>1276</v>
      </c>
      <c r="I2026" s="403">
        <v>1</v>
      </c>
      <c r="J2026" s="403" t="s">
        <v>110</v>
      </c>
      <c r="K2026" s="403">
        <v>1080</v>
      </c>
      <c r="L2026" s="403">
        <v>1920</v>
      </c>
      <c r="M2026" s="403" t="s">
        <v>1283</v>
      </c>
      <c r="N2026" s="403">
        <v>480</v>
      </c>
      <c r="O2026" s="403">
        <v>704</v>
      </c>
      <c r="P2026" t="str">
        <f t="shared" si="249"/>
        <v>30fps 1080p - SD 4CIF resolution 4:3 format (cropped)</v>
      </c>
      <c r="Q2026">
        <f t="shared" si="250"/>
        <v>11</v>
      </c>
      <c r="R2026" t="str">
        <f t="shared" si="251"/>
        <v/>
      </c>
      <c r="S2026" t="str">
        <f t="shared" si="252"/>
        <v/>
      </c>
      <c r="T2026" s="403" t="str">
        <f t="shared" si="253"/>
        <v>NBN-6x023-B</v>
      </c>
      <c r="U2026" s="403">
        <f t="shared" si="254"/>
        <v>1</v>
      </c>
      <c r="V2026" s="403" t="str">
        <f t="shared" si="255"/>
        <v>CPP_7</v>
      </c>
    </row>
    <row r="2027" spans="1:22">
      <c r="A2027" t="str">
        <f t="shared" si="248"/>
        <v>NBN-6x023-B</v>
      </c>
      <c r="B2027" s="403" t="s">
        <v>1388</v>
      </c>
      <c r="C2027" s="403" t="s">
        <v>583</v>
      </c>
      <c r="D2027" s="403" t="s">
        <v>1389</v>
      </c>
      <c r="E2027" s="403" t="s">
        <v>1306</v>
      </c>
      <c r="F2027" s="403" t="s">
        <v>1286</v>
      </c>
      <c r="G2027" s="403" t="s">
        <v>1467</v>
      </c>
      <c r="H2027" s="403" t="s">
        <v>1276</v>
      </c>
      <c r="I2027" s="403">
        <v>1</v>
      </c>
      <c r="J2027" s="403" t="s">
        <v>110</v>
      </c>
      <c r="K2027" s="403">
        <v>1080</v>
      </c>
      <c r="L2027" s="403">
        <v>1920</v>
      </c>
      <c r="M2027" s="403" t="s">
        <v>1284</v>
      </c>
      <c r="N2027" s="403">
        <v>480</v>
      </c>
      <c r="O2027" s="403">
        <v>640</v>
      </c>
      <c r="P2027" t="str">
        <f t="shared" si="249"/>
        <v>30fps 1080p - SD VGA (cropped)</v>
      </c>
      <c r="Q2027">
        <f t="shared" si="250"/>
        <v>11</v>
      </c>
      <c r="R2027" t="str">
        <f t="shared" si="251"/>
        <v/>
      </c>
      <c r="S2027" t="str">
        <f t="shared" si="252"/>
        <v/>
      </c>
      <c r="T2027" s="403" t="str">
        <f t="shared" si="253"/>
        <v>NBN-6x023-B</v>
      </c>
      <c r="U2027" s="403">
        <f t="shared" si="254"/>
        <v>1</v>
      </c>
      <c r="V2027" s="403" t="str">
        <f t="shared" si="255"/>
        <v>CPP_7</v>
      </c>
    </row>
    <row r="2028" spans="1:22">
      <c r="A2028" t="str">
        <f t="shared" si="248"/>
        <v>NBN-6x023-B</v>
      </c>
      <c r="B2028" s="403" t="s">
        <v>1388</v>
      </c>
      <c r="C2028" s="403" t="s">
        <v>583</v>
      </c>
      <c r="D2028" s="403" t="s">
        <v>1389</v>
      </c>
      <c r="E2028" s="403" t="s">
        <v>1306</v>
      </c>
      <c r="F2028" s="403" t="s">
        <v>1286</v>
      </c>
      <c r="G2028" s="403" t="s">
        <v>1467</v>
      </c>
      <c r="H2028" s="403" t="s">
        <v>1276</v>
      </c>
      <c r="I2028" s="403">
        <v>1</v>
      </c>
      <c r="J2028" s="403" t="s">
        <v>109</v>
      </c>
      <c r="K2028" s="403">
        <v>720</v>
      </c>
      <c r="L2028" s="403">
        <v>1280</v>
      </c>
      <c r="M2028" s="403" t="s">
        <v>111</v>
      </c>
      <c r="N2028" s="403">
        <v>432</v>
      </c>
      <c r="O2028" s="403">
        <v>768</v>
      </c>
      <c r="P2028" t="str">
        <f t="shared" si="249"/>
        <v>30fps 720p - SD</v>
      </c>
      <c r="Q2028">
        <f t="shared" si="250"/>
        <v>11</v>
      </c>
      <c r="R2028" t="str">
        <f t="shared" si="251"/>
        <v/>
      </c>
      <c r="S2028" t="str">
        <f t="shared" si="252"/>
        <v/>
      </c>
      <c r="T2028" s="403" t="str">
        <f t="shared" si="253"/>
        <v>NBN-6x023-B</v>
      </c>
      <c r="U2028" s="403">
        <f t="shared" si="254"/>
        <v>1</v>
      </c>
      <c r="V2028" s="403" t="str">
        <f t="shared" si="255"/>
        <v>CPP_7</v>
      </c>
    </row>
    <row r="2029" spans="1:22">
      <c r="A2029" t="str">
        <f t="shared" si="248"/>
        <v>NBN-6x023-B</v>
      </c>
      <c r="B2029" s="403" t="s">
        <v>1388</v>
      </c>
      <c r="C2029" s="403" t="s">
        <v>583</v>
      </c>
      <c r="D2029" s="403" t="s">
        <v>1389</v>
      </c>
      <c r="E2029" s="403" t="s">
        <v>1306</v>
      </c>
      <c r="F2029" s="403" t="s">
        <v>1286</v>
      </c>
      <c r="G2029" s="403" t="s">
        <v>1467</v>
      </c>
      <c r="H2029" s="403" t="s">
        <v>1276</v>
      </c>
      <c r="I2029" s="403">
        <v>1</v>
      </c>
      <c r="J2029" s="403" t="s">
        <v>109</v>
      </c>
      <c r="K2029" s="403">
        <v>720</v>
      </c>
      <c r="L2029" s="403">
        <v>1280</v>
      </c>
      <c r="M2029" s="403" t="s">
        <v>109</v>
      </c>
      <c r="N2029" s="403">
        <v>720</v>
      </c>
      <c r="O2029" s="403">
        <v>1280</v>
      </c>
      <c r="P2029" t="str">
        <f t="shared" si="249"/>
        <v>30fps 720p - 720p</v>
      </c>
      <c r="Q2029">
        <f t="shared" si="250"/>
        <v>11</v>
      </c>
      <c r="R2029" t="str">
        <f t="shared" si="251"/>
        <v/>
      </c>
      <c r="S2029" t="str">
        <f t="shared" si="252"/>
        <v/>
      </c>
      <c r="T2029" s="403" t="str">
        <f t="shared" si="253"/>
        <v>NBN-6x023-B</v>
      </c>
      <c r="U2029" s="403">
        <f t="shared" si="254"/>
        <v>1</v>
      </c>
      <c r="V2029" s="403" t="str">
        <f t="shared" si="255"/>
        <v>CPP_7</v>
      </c>
    </row>
    <row r="2030" spans="1:22">
      <c r="A2030" t="str">
        <f t="shared" si="248"/>
        <v>NBN-6x023-B</v>
      </c>
      <c r="B2030" s="403" t="s">
        <v>1388</v>
      </c>
      <c r="C2030" s="403" t="s">
        <v>583</v>
      </c>
      <c r="D2030" s="403" t="s">
        <v>1389</v>
      </c>
      <c r="E2030" s="403" t="s">
        <v>1306</v>
      </c>
      <c r="F2030" s="403" t="s">
        <v>1286</v>
      </c>
      <c r="G2030" s="403" t="s">
        <v>1467</v>
      </c>
      <c r="H2030" s="403" t="s">
        <v>1276</v>
      </c>
      <c r="I2030" s="403">
        <v>1</v>
      </c>
      <c r="J2030" s="403" t="s">
        <v>109</v>
      </c>
      <c r="K2030" s="403">
        <v>720</v>
      </c>
      <c r="L2030" s="403">
        <v>1280</v>
      </c>
      <c r="M2030" s="403" t="s">
        <v>1279</v>
      </c>
      <c r="N2030" s="403">
        <v>432</v>
      </c>
      <c r="O2030" s="403">
        <v>768</v>
      </c>
      <c r="P2030" t="str">
        <f t="shared" si="249"/>
        <v>30fps 720p - SD ROI PTZ</v>
      </c>
      <c r="Q2030">
        <f t="shared" si="250"/>
        <v>11</v>
      </c>
      <c r="R2030" t="str">
        <f t="shared" si="251"/>
        <v/>
      </c>
      <c r="S2030" t="str">
        <f t="shared" si="252"/>
        <v/>
      </c>
      <c r="T2030" s="403" t="str">
        <f t="shared" si="253"/>
        <v>NBN-6x023-B</v>
      </c>
      <c r="U2030" s="403">
        <f t="shared" si="254"/>
        <v>1</v>
      </c>
      <c r="V2030" s="403" t="str">
        <f t="shared" si="255"/>
        <v>CPP_7</v>
      </c>
    </row>
    <row r="2031" spans="1:22">
      <c r="A2031" t="str">
        <f t="shared" si="248"/>
        <v>NBN-6x023-B</v>
      </c>
      <c r="B2031" s="403" t="s">
        <v>1388</v>
      </c>
      <c r="C2031" s="403" t="s">
        <v>583</v>
      </c>
      <c r="D2031" s="403" t="s">
        <v>1389</v>
      </c>
      <c r="E2031" s="403" t="s">
        <v>1306</v>
      </c>
      <c r="F2031" s="403" t="s">
        <v>1286</v>
      </c>
      <c r="G2031" s="403" t="s">
        <v>1467</v>
      </c>
      <c r="H2031" s="403" t="s">
        <v>1276</v>
      </c>
      <c r="I2031" s="403">
        <v>1</v>
      </c>
      <c r="J2031" s="403" t="s">
        <v>109</v>
      </c>
      <c r="K2031" s="403">
        <v>720</v>
      </c>
      <c r="L2031" s="403">
        <v>1280</v>
      </c>
      <c r="M2031" s="403" t="s">
        <v>1298</v>
      </c>
      <c r="N2031" s="403">
        <v>432</v>
      </c>
      <c r="O2031" s="403">
        <v>768</v>
      </c>
      <c r="P2031" t="str">
        <f t="shared" si="249"/>
        <v>30fps 720p - SD dual stream with independent ROI PTZ</v>
      </c>
      <c r="Q2031">
        <f t="shared" si="250"/>
        <v>11</v>
      </c>
      <c r="R2031" t="str">
        <f t="shared" si="251"/>
        <v/>
      </c>
      <c r="S2031" t="str">
        <f t="shared" si="252"/>
        <v/>
      </c>
      <c r="T2031" s="403" t="str">
        <f t="shared" si="253"/>
        <v>NBN-6x023-B</v>
      </c>
      <c r="U2031" s="403">
        <f t="shared" si="254"/>
        <v>1</v>
      </c>
      <c r="V2031" s="403" t="str">
        <f t="shared" si="255"/>
        <v>CPP_7</v>
      </c>
    </row>
    <row r="2032" spans="1:22">
      <c r="A2032" t="str">
        <f t="shared" si="248"/>
        <v>NBN-6x023-B</v>
      </c>
      <c r="B2032" s="403" t="s">
        <v>1388</v>
      </c>
      <c r="C2032" s="403" t="s">
        <v>583</v>
      </c>
      <c r="D2032" s="403" t="s">
        <v>1389</v>
      </c>
      <c r="E2032" s="403" t="s">
        <v>1306</v>
      </c>
      <c r="F2032" s="403" t="s">
        <v>1286</v>
      </c>
      <c r="G2032" s="403" t="s">
        <v>1467</v>
      </c>
      <c r="H2032" s="403" t="s">
        <v>1276</v>
      </c>
      <c r="I2032" s="403">
        <v>1</v>
      </c>
      <c r="J2032" s="403" t="s">
        <v>109</v>
      </c>
      <c r="K2032" s="403">
        <v>720</v>
      </c>
      <c r="L2032" s="403">
        <v>1280</v>
      </c>
      <c r="M2032" s="403" t="s">
        <v>1283</v>
      </c>
      <c r="N2032" s="403">
        <v>480</v>
      </c>
      <c r="O2032" s="403">
        <v>704</v>
      </c>
      <c r="P2032" t="str">
        <f t="shared" si="249"/>
        <v>30fps 720p - SD 4CIF resolution 4:3 format (cropped)</v>
      </c>
      <c r="Q2032">
        <f t="shared" si="250"/>
        <v>11</v>
      </c>
      <c r="R2032" t="str">
        <f t="shared" si="251"/>
        <v/>
      </c>
      <c r="S2032" t="str">
        <f t="shared" si="252"/>
        <v/>
      </c>
      <c r="T2032" s="403" t="str">
        <f t="shared" si="253"/>
        <v>NBN-6x023-B</v>
      </c>
      <c r="U2032" s="403">
        <f t="shared" si="254"/>
        <v>1</v>
      </c>
      <c r="V2032" s="403" t="str">
        <f t="shared" si="255"/>
        <v>CPP_7</v>
      </c>
    </row>
    <row r="2033" spans="1:22">
      <c r="A2033" t="str">
        <f t="shared" si="248"/>
        <v>NBN-6x023-B</v>
      </c>
      <c r="B2033" s="403" t="s">
        <v>1388</v>
      </c>
      <c r="C2033" s="403" t="s">
        <v>583</v>
      </c>
      <c r="D2033" s="403" t="s">
        <v>1389</v>
      </c>
      <c r="E2033" s="403" t="s">
        <v>1306</v>
      </c>
      <c r="F2033" s="403" t="s">
        <v>1286</v>
      </c>
      <c r="G2033" s="403" t="s">
        <v>1467</v>
      </c>
      <c r="H2033" s="403" t="s">
        <v>1276</v>
      </c>
      <c r="I2033" s="403">
        <v>1</v>
      </c>
      <c r="J2033" s="403" t="s">
        <v>109</v>
      </c>
      <c r="K2033" s="403">
        <v>720</v>
      </c>
      <c r="L2033" s="403">
        <v>1280</v>
      </c>
      <c r="M2033" s="403" t="s">
        <v>1284</v>
      </c>
      <c r="N2033" s="403">
        <v>480</v>
      </c>
      <c r="O2033" s="403">
        <v>640</v>
      </c>
      <c r="P2033" t="str">
        <f t="shared" si="249"/>
        <v>30fps 720p - SD VGA (cropped)</v>
      </c>
      <c r="Q2033">
        <f t="shared" si="250"/>
        <v>11</v>
      </c>
      <c r="R2033" t="str">
        <f t="shared" si="251"/>
        <v/>
      </c>
      <c r="S2033" t="str">
        <f t="shared" si="252"/>
        <v/>
      </c>
      <c r="T2033" s="403" t="str">
        <f t="shared" si="253"/>
        <v>NBN-6x023-B</v>
      </c>
      <c r="U2033" s="403">
        <f t="shared" si="254"/>
        <v>1</v>
      </c>
      <c r="V2033" s="403" t="str">
        <f t="shared" si="255"/>
        <v>CPP_7</v>
      </c>
    </row>
    <row r="2034" spans="1:22">
      <c r="A2034" t="str">
        <f t="shared" si="248"/>
        <v>NBN-6x023-B</v>
      </c>
      <c r="B2034" s="403" t="s">
        <v>1388</v>
      </c>
      <c r="C2034" s="403" t="s">
        <v>583</v>
      </c>
      <c r="D2034" s="403" t="s">
        <v>1389</v>
      </c>
      <c r="E2034" s="403" t="s">
        <v>1306</v>
      </c>
      <c r="F2034" s="403" t="s">
        <v>1286</v>
      </c>
      <c r="G2034" s="403" t="s">
        <v>1467</v>
      </c>
      <c r="H2034" s="403" t="s">
        <v>1276</v>
      </c>
      <c r="I2034" s="403">
        <v>1</v>
      </c>
      <c r="J2034" s="403" t="s">
        <v>111</v>
      </c>
      <c r="K2034" s="403">
        <v>432</v>
      </c>
      <c r="L2034" s="403">
        <v>768</v>
      </c>
      <c r="M2034" s="403" t="s">
        <v>111</v>
      </c>
      <c r="N2034" s="403">
        <v>432</v>
      </c>
      <c r="O2034" s="403">
        <v>768</v>
      </c>
      <c r="P2034" t="str">
        <f t="shared" si="249"/>
        <v>30fps SD - SD</v>
      </c>
      <c r="Q2034">
        <f t="shared" si="250"/>
        <v>11</v>
      </c>
      <c r="R2034" t="str">
        <f t="shared" si="251"/>
        <v/>
      </c>
      <c r="S2034" t="str">
        <f t="shared" si="252"/>
        <v/>
      </c>
      <c r="T2034" s="403" t="str">
        <f t="shared" si="253"/>
        <v>NBN-6x023-B</v>
      </c>
      <c r="U2034" s="403">
        <f t="shared" si="254"/>
        <v>1</v>
      </c>
      <c r="V2034" s="403" t="str">
        <f t="shared" si="255"/>
        <v>CPP_7</v>
      </c>
    </row>
    <row r="2035" spans="1:22">
      <c r="A2035" t="str">
        <f t="shared" si="248"/>
        <v>NBN-6x023-B</v>
      </c>
      <c r="B2035" s="403" t="s">
        <v>1388</v>
      </c>
      <c r="C2035" s="403" t="s">
        <v>583</v>
      </c>
      <c r="D2035" s="403" t="s">
        <v>1389</v>
      </c>
      <c r="E2035" s="403" t="s">
        <v>1306</v>
      </c>
      <c r="F2035" s="403" t="s">
        <v>1287</v>
      </c>
      <c r="G2035" s="403" t="s">
        <v>1466</v>
      </c>
      <c r="H2035" s="403" t="s">
        <v>1276</v>
      </c>
      <c r="I2035" s="403">
        <v>1</v>
      </c>
      <c r="J2035" s="403" t="s">
        <v>110</v>
      </c>
      <c r="K2035" s="403">
        <v>1920</v>
      </c>
      <c r="L2035" s="403">
        <v>1080</v>
      </c>
      <c r="M2035" s="403" t="s">
        <v>111</v>
      </c>
      <c r="N2035" s="403">
        <v>768</v>
      </c>
      <c r="O2035" s="403">
        <v>432</v>
      </c>
      <c r="P2035" t="str">
        <f t="shared" si="249"/>
        <v>25fps 1080p - SD</v>
      </c>
      <c r="Q2035">
        <f t="shared" si="250"/>
        <v>11</v>
      </c>
      <c r="R2035" t="str">
        <f t="shared" si="251"/>
        <v/>
      </c>
      <c r="S2035" t="str">
        <f t="shared" si="252"/>
        <v/>
      </c>
      <c r="T2035" s="403" t="str">
        <f t="shared" si="253"/>
        <v>NBN-6x023-B</v>
      </c>
      <c r="U2035" s="403">
        <f t="shared" si="254"/>
        <v>1</v>
      </c>
      <c r="V2035" s="403" t="str">
        <f t="shared" si="255"/>
        <v>CPP_7</v>
      </c>
    </row>
    <row r="2036" spans="1:22">
      <c r="A2036" t="str">
        <f t="shared" si="248"/>
        <v>NBN-6x023-B</v>
      </c>
      <c r="B2036" s="403" t="s">
        <v>1388</v>
      </c>
      <c r="C2036" s="403" t="s">
        <v>583</v>
      </c>
      <c r="D2036" s="403" t="s">
        <v>1389</v>
      </c>
      <c r="E2036" s="403" t="s">
        <v>1306</v>
      </c>
      <c r="F2036" s="403" t="s">
        <v>1287</v>
      </c>
      <c r="G2036" s="403" t="s">
        <v>1466</v>
      </c>
      <c r="H2036" s="403" t="s">
        <v>1276</v>
      </c>
      <c r="I2036" s="403">
        <v>1</v>
      </c>
      <c r="J2036" s="403" t="s">
        <v>110</v>
      </c>
      <c r="K2036" s="403">
        <v>1920</v>
      </c>
      <c r="L2036" s="403">
        <v>1080</v>
      </c>
      <c r="M2036" s="403" t="s">
        <v>110</v>
      </c>
      <c r="N2036" s="403">
        <v>1920</v>
      </c>
      <c r="O2036" s="403">
        <v>1080</v>
      </c>
      <c r="P2036" t="str">
        <f t="shared" si="249"/>
        <v>25fps 1080p - 1080p</v>
      </c>
      <c r="Q2036">
        <f t="shared" si="250"/>
        <v>11</v>
      </c>
      <c r="R2036" t="str">
        <f t="shared" si="251"/>
        <v/>
      </c>
      <c r="S2036" t="str">
        <f t="shared" si="252"/>
        <v/>
      </c>
      <c r="T2036" s="403" t="str">
        <f t="shared" si="253"/>
        <v>NBN-6x023-B</v>
      </c>
      <c r="U2036" s="403">
        <f t="shared" si="254"/>
        <v>1</v>
      </c>
      <c r="V2036" s="403" t="str">
        <f t="shared" si="255"/>
        <v>CPP_7</v>
      </c>
    </row>
    <row r="2037" spans="1:22">
      <c r="A2037" t="str">
        <f t="shared" si="248"/>
        <v>NBN-6x023-B</v>
      </c>
      <c r="B2037" s="403" t="s">
        <v>1388</v>
      </c>
      <c r="C2037" s="403" t="s">
        <v>583</v>
      </c>
      <c r="D2037" s="403" t="s">
        <v>1389</v>
      </c>
      <c r="E2037" s="403" t="s">
        <v>1306</v>
      </c>
      <c r="F2037" s="403" t="s">
        <v>1287</v>
      </c>
      <c r="G2037" s="403" t="s">
        <v>1466</v>
      </c>
      <c r="H2037" s="403" t="s">
        <v>1276</v>
      </c>
      <c r="I2037" s="403">
        <v>1</v>
      </c>
      <c r="J2037" s="403" t="s">
        <v>110</v>
      </c>
      <c r="K2037" s="403">
        <v>1920</v>
      </c>
      <c r="L2037" s="403">
        <v>1080</v>
      </c>
      <c r="M2037" s="403" t="s">
        <v>109</v>
      </c>
      <c r="N2037" s="403">
        <v>1280</v>
      </c>
      <c r="O2037" s="403">
        <v>720</v>
      </c>
      <c r="P2037" t="str">
        <f t="shared" si="249"/>
        <v>25fps 1080p - 720p</v>
      </c>
      <c r="Q2037">
        <f t="shared" si="250"/>
        <v>11</v>
      </c>
      <c r="R2037" t="str">
        <f t="shared" si="251"/>
        <v/>
      </c>
      <c r="S2037" t="str">
        <f t="shared" si="252"/>
        <v/>
      </c>
      <c r="T2037" s="403" t="str">
        <f t="shared" si="253"/>
        <v>NBN-6x023-B</v>
      </c>
      <c r="U2037" s="403">
        <f t="shared" si="254"/>
        <v>1</v>
      </c>
      <c r="V2037" s="403" t="str">
        <f t="shared" si="255"/>
        <v>CPP_7</v>
      </c>
    </row>
    <row r="2038" spans="1:22">
      <c r="A2038" t="str">
        <f t="shared" si="248"/>
        <v>NBN-6x023-B</v>
      </c>
      <c r="B2038" s="403" t="s">
        <v>1388</v>
      </c>
      <c r="C2038" s="403" t="s">
        <v>583</v>
      </c>
      <c r="D2038" s="403" t="s">
        <v>1389</v>
      </c>
      <c r="E2038" s="403" t="s">
        <v>1306</v>
      </c>
      <c r="F2038" s="403" t="s">
        <v>1287</v>
      </c>
      <c r="G2038" s="403" t="s">
        <v>1466</v>
      </c>
      <c r="H2038" s="403" t="s">
        <v>1276</v>
      </c>
      <c r="I2038" s="403">
        <v>1</v>
      </c>
      <c r="J2038" s="403" t="s">
        <v>110</v>
      </c>
      <c r="K2038" s="403">
        <v>1920</v>
      </c>
      <c r="L2038" s="403">
        <v>1080</v>
      </c>
      <c r="M2038" s="403" t="s">
        <v>1285</v>
      </c>
      <c r="N2038" s="403">
        <v>1280</v>
      </c>
      <c r="O2038" s="403">
        <v>1024</v>
      </c>
      <c r="P2038" t="str">
        <f t="shared" si="249"/>
        <v>25fps 1080p - 1280x1024 5:4 (cropped)</v>
      </c>
      <c r="Q2038">
        <f t="shared" si="250"/>
        <v>11</v>
      </c>
      <c r="R2038" t="str">
        <f t="shared" si="251"/>
        <v/>
      </c>
      <c r="S2038" t="str">
        <f t="shared" si="252"/>
        <v/>
      </c>
      <c r="T2038" s="403" t="str">
        <f t="shared" si="253"/>
        <v>NBN-6x023-B</v>
      </c>
      <c r="U2038" s="403">
        <f t="shared" si="254"/>
        <v>1</v>
      </c>
      <c r="V2038" s="403" t="str">
        <f t="shared" si="255"/>
        <v>CPP_7</v>
      </c>
    </row>
    <row r="2039" spans="1:22">
      <c r="A2039" t="str">
        <f t="shared" si="248"/>
        <v>NBN-6x023-B</v>
      </c>
      <c r="B2039" s="403" t="s">
        <v>1388</v>
      </c>
      <c r="C2039" s="403" t="s">
        <v>583</v>
      </c>
      <c r="D2039" s="403" t="s">
        <v>1389</v>
      </c>
      <c r="E2039" s="403" t="s">
        <v>1306</v>
      </c>
      <c r="F2039" s="403" t="s">
        <v>1287</v>
      </c>
      <c r="G2039" s="403" t="s">
        <v>1466</v>
      </c>
      <c r="H2039" s="403" t="s">
        <v>1276</v>
      </c>
      <c r="I2039" s="403">
        <v>1</v>
      </c>
      <c r="J2039" s="403" t="s">
        <v>110</v>
      </c>
      <c r="K2039" s="403">
        <v>1920</v>
      </c>
      <c r="L2039" s="403">
        <v>1080</v>
      </c>
      <c r="M2039" s="403" t="s">
        <v>1309</v>
      </c>
      <c r="N2039" s="403">
        <v>1280</v>
      </c>
      <c r="O2039" s="403">
        <v>960</v>
      </c>
      <c r="P2039" t="str">
        <f t="shared" si="249"/>
        <v>25fps 1080p - 1280x960 4:3 (cropped)</v>
      </c>
      <c r="Q2039">
        <f t="shared" si="250"/>
        <v>11</v>
      </c>
      <c r="R2039" t="str">
        <f t="shared" si="251"/>
        <v/>
      </c>
      <c r="S2039" t="str">
        <f t="shared" si="252"/>
        <v/>
      </c>
      <c r="T2039" s="403" t="str">
        <f t="shared" si="253"/>
        <v>NBN-6x023-B</v>
      </c>
      <c r="U2039" s="403">
        <f t="shared" si="254"/>
        <v>1</v>
      </c>
      <c r="V2039" s="403" t="str">
        <f t="shared" si="255"/>
        <v>CPP_7</v>
      </c>
    </row>
    <row r="2040" spans="1:22">
      <c r="A2040" t="str">
        <f t="shared" si="248"/>
        <v>NBN-6x023-B</v>
      </c>
      <c r="B2040" s="403" t="s">
        <v>1388</v>
      </c>
      <c r="C2040" s="403" t="s">
        <v>583</v>
      </c>
      <c r="D2040" s="403" t="s">
        <v>1389</v>
      </c>
      <c r="E2040" s="403" t="s">
        <v>1306</v>
      </c>
      <c r="F2040" s="403" t="s">
        <v>1287</v>
      </c>
      <c r="G2040" s="403" t="s">
        <v>1466</v>
      </c>
      <c r="H2040" s="403" t="s">
        <v>1276</v>
      </c>
      <c r="I2040" s="403">
        <v>1</v>
      </c>
      <c r="J2040" s="403" t="s">
        <v>110</v>
      </c>
      <c r="K2040" s="403">
        <v>1920</v>
      </c>
      <c r="L2040" s="403">
        <v>1080</v>
      </c>
      <c r="M2040" s="403" t="s">
        <v>1279</v>
      </c>
      <c r="N2040" s="403">
        <v>768</v>
      </c>
      <c r="O2040" s="403">
        <v>432</v>
      </c>
      <c r="P2040" t="str">
        <f t="shared" si="249"/>
        <v>25fps 1080p - SD ROI PTZ</v>
      </c>
      <c r="Q2040">
        <f t="shared" si="250"/>
        <v>11</v>
      </c>
      <c r="R2040" t="str">
        <f t="shared" si="251"/>
        <v/>
      </c>
      <c r="S2040" t="str">
        <f t="shared" si="252"/>
        <v/>
      </c>
      <c r="T2040" s="403" t="str">
        <f t="shared" si="253"/>
        <v>NBN-6x023-B</v>
      </c>
      <c r="U2040" s="403">
        <f t="shared" si="254"/>
        <v>1</v>
      </c>
      <c r="V2040" s="403" t="str">
        <f t="shared" si="255"/>
        <v>CPP_7</v>
      </c>
    </row>
    <row r="2041" spans="1:22">
      <c r="A2041" t="str">
        <f t="shared" si="248"/>
        <v>NBN-6x023-B</v>
      </c>
      <c r="B2041" s="403" t="s">
        <v>1388</v>
      </c>
      <c r="C2041" s="403" t="s">
        <v>583</v>
      </c>
      <c r="D2041" s="403" t="s">
        <v>1389</v>
      </c>
      <c r="E2041" s="403" t="s">
        <v>1306</v>
      </c>
      <c r="F2041" s="403" t="s">
        <v>1287</v>
      </c>
      <c r="G2041" s="403" t="s">
        <v>1466</v>
      </c>
      <c r="H2041" s="403" t="s">
        <v>1276</v>
      </c>
      <c r="I2041" s="403">
        <v>1</v>
      </c>
      <c r="J2041" s="403" t="s">
        <v>110</v>
      </c>
      <c r="K2041" s="403">
        <v>1920</v>
      </c>
      <c r="L2041" s="403">
        <v>1080</v>
      </c>
      <c r="M2041" s="403" t="s">
        <v>1298</v>
      </c>
      <c r="N2041" s="403">
        <v>768</v>
      </c>
      <c r="O2041" s="403">
        <v>432</v>
      </c>
      <c r="P2041" t="str">
        <f t="shared" si="249"/>
        <v>25fps 1080p - SD dual stream with independent ROI PTZ</v>
      </c>
      <c r="Q2041">
        <f t="shared" si="250"/>
        <v>11</v>
      </c>
      <c r="R2041" t="str">
        <f t="shared" si="251"/>
        <v/>
      </c>
      <c r="S2041" t="str">
        <f t="shared" si="252"/>
        <v/>
      </c>
      <c r="T2041" s="403" t="str">
        <f t="shared" si="253"/>
        <v>NBN-6x023-B</v>
      </c>
      <c r="U2041" s="403">
        <f t="shared" si="254"/>
        <v>1</v>
      </c>
      <c r="V2041" s="403" t="str">
        <f t="shared" si="255"/>
        <v>CPP_7</v>
      </c>
    </row>
    <row r="2042" spans="1:22">
      <c r="A2042" t="str">
        <f t="shared" si="248"/>
        <v>NBN-6x023-B</v>
      </c>
      <c r="B2042" s="403" t="s">
        <v>1388</v>
      </c>
      <c r="C2042" s="403" t="s">
        <v>583</v>
      </c>
      <c r="D2042" s="403" t="s">
        <v>1389</v>
      </c>
      <c r="E2042" s="403" t="s">
        <v>1306</v>
      </c>
      <c r="F2042" s="403" t="s">
        <v>1287</v>
      </c>
      <c r="G2042" s="403" t="s">
        <v>1466</v>
      </c>
      <c r="H2042" s="403" t="s">
        <v>1276</v>
      </c>
      <c r="I2042" s="403">
        <v>1</v>
      </c>
      <c r="J2042" s="403" t="s">
        <v>110</v>
      </c>
      <c r="K2042" s="403">
        <v>1920</v>
      </c>
      <c r="L2042" s="403">
        <v>1080</v>
      </c>
      <c r="M2042" s="403" t="s">
        <v>1283</v>
      </c>
      <c r="N2042" s="403">
        <v>704</v>
      </c>
      <c r="O2042" s="403">
        <v>576</v>
      </c>
      <c r="P2042" t="str">
        <f t="shared" si="249"/>
        <v>25fps 1080p - SD 4CIF resolution 4:3 format (cropped)</v>
      </c>
      <c r="Q2042">
        <f t="shared" si="250"/>
        <v>11</v>
      </c>
      <c r="R2042" t="str">
        <f t="shared" si="251"/>
        <v/>
      </c>
      <c r="S2042" t="str">
        <f t="shared" si="252"/>
        <v/>
      </c>
      <c r="T2042" s="403" t="str">
        <f t="shared" si="253"/>
        <v>NBN-6x023-B</v>
      </c>
      <c r="U2042" s="403">
        <f t="shared" si="254"/>
        <v>1</v>
      </c>
      <c r="V2042" s="403" t="str">
        <f t="shared" si="255"/>
        <v>CPP_7</v>
      </c>
    </row>
    <row r="2043" spans="1:22">
      <c r="A2043" t="str">
        <f t="shared" si="248"/>
        <v>NBN-6x023-B</v>
      </c>
      <c r="B2043" s="403" t="s">
        <v>1388</v>
      </c>
      <c r="C2043" s="403" t="s">
        <v>583</v>
      </c>
      <c r="D2043" s="403" t="s">
        <v>1389</v>
      </c>
      <c r="E2043" s="403" t="s">
        <v>1306</v>
      </c>
      <c r="F2043" s="403" t="s">
        <v>1287</v>
      </c>
      <c r="G2043" s="403" t="s">
        <v>1466</v>
      </c>
      <c r="H2043" s="403" t="s">
        <v>1276</v>
      </c>
      <c r="I2043" s="403">
        <v>1</v>
      </c>
      <c r="J2043" s="403" t="s">
        <v>110</v>
      </c>
      <c r="K2043" s="403">
        <v>1920</v>
      </c>
      <c r="L2043" s="403">
        <v>1080</v>
      </c>
      <c r="M2043" s="403" t="s">
        <v>1284</v>
      </c>
      <c r="N2043" s="403">
        <v>640</v>
      </c>
      <c r="O2043" s="403">
        <v>480</v>
      </c>
      <c r="P2043" t="str">
        <f t="shared" si="249"/>
        <v>25fps 1080p - SD VGA (cropped)</v>
      </c>
      <c r="Q2043">
        <f t="shared" si="250"/>
        <v>11</v>
      </c>
      <c r="R2043" t="str">
        <f t="shared" si="251"/>
        <v/>
      </c>
      <c r="S2043" t="str">
        <f t="shared" si="252"/>
        <v/>
      </c>
      <c r="T2043" s="403" t="str">
        <f t="shared" si="253"/>
        <v>NBN-6x023-B</v>
      </c>
      <c r="U2043" s="403">
        <f t="shared" si="254"/>
        <v>1</v>
      </c>
      <c r="V2043" s="403" t="str">
        <f t="shared" si="255"/>
        <v>CPP_7</v>
      </c>
    </row>
    <row r="2044" spans="1:22">
      <c r="A2044" t="str">
        <f t="shared" si="248"/>
        <v>NBN-6x023-B</v>
      </c>
      <c r="B2044" s="403" t="s">
        <v>1388</v>
      </c>
      <c r="C2044" s="403" t="s">
        <v>583</v>
      </c>
      <c r="D2044" s="403" t="s">
        <v>1389</v>
      </c>
      <c r="E2044" s="403" t="s">
        <v>1306</v>
      </c>
      <c r="F2044" s="403" t="s">
        <v>1287</v>
      </c>
      <c r="G2044" s="403" t="s">
        <v>1466</v>
      </c>
      <c r="H2044" s="403" t="s">
        <v>1276</v>
      </c>
      <c r="I2044" s="403">
        <v>1</v>
      </c>
      <c r="J2044" s="403" t="s">
        <v>109</v>
      </c>
      <c r="K2044" s="403">
        <v>1280</v>
      </c>
      <c r="L2044" s="403">
        <v>720</v>
      </c>
      <c r="M2044" s="403" t="s">
        <v>111</v>
      </c>
      <c r="N2044" s="403">
        <v>768</v>
      </c>
      <c r="O2044" s="403">
        <v>432</v>
      </c>
      <c r="P2044" t="str">
        <f t="shared" si="249"/>
        <v>25fps 720p - SD</v>
      </c>
      <c r="Q2044">
        <f t="shared" si="250"/>
        <v>11</v>
      </c>
      <c r="R2044" t="str">
        <f t="shared" si="251"/>
        <v/>
      </c>
      <c r="S2044" t="str">
        <f t="shared" si="252"/>
        <v/>
      </c>
      <c r="T2044" s="403" t="str">
        <f t="shared" si="253"/>
        <v>NBN-6x023-B</v>
      </c>
      <c r="U2044" s="403">
        <f t="shared" si="254"/>
        <v>1</v>
      </c>
      <c r="V2044" s="403" t="str">
        <f t="shared" si="255"/>
        <v>CPP_7</v>
      </c>
    </row>
    <row r="2045" spans="1:22">
      <c r="A2045" t="str">
        <f t="shared" si="248"/>
        <v>NBN-6x023-B</v>
      </c>
      <c r="B2045" s="403" t="s">
        <v>1388</v>
      </c>
      <c r="C2045" s="403" t="s">
        <v>583</v>
      </c>
      <c r="D2045" s="403" t="s">
        <v>1389</v>
      </c>
      <c r="E2045" s="403" t="s">
        <v>1306</v>
      </c>
      <c r="F2045" s="403" t="s">
        <v>1287</v>
      </c>
      <c r="G2045" s="403" t="s">
        <v>1466</v>
      </c>
      <c r="H2045" s="403" t="s">
        <v>1276</v>
      </c>
      <c r="I2045" s="403">
        <v>1</v>
      </c>
      <c r="J2045" s="403" t="s">
        <v>109</v>
      </c>
      <c r="K2045" s="403">
        <v>1280</v>
      </c>
      <c r="L2045" s="403">
        <v>720</v>
      </c>
      <c r="M2045" s="403" t="s">
        <v>109</v>
      </c>
      <c r="N2045" s="403">
        <v>1280</v>
      </c>
      <c r="O2045" s="403">
        <v>720</v>
      </c>
      <c r="P2045" t="str">
        <f t="shared" si="249"/>
        <v>25fps 720p - 720p</v>
      </c>
      <c r="Q2045">
        <f t="shared" si="250"/>
        <v>11</v>
      </c>
      <c r="R2045" t="str">
        <f t="shared" si="251"/>
        <v/>
      </c>
      <c r="S2045" t="str">
        <f t="shared" si="252"/>
        <v/>
      </c>
      <c r="T2045" s="403" t="str">
        <f t="shared" si="253"/>
        <v>NBN-6x023-B</v>
      </c>
      <c r="U2045" s="403">
        <f t="shared" si="254"/>
        <v>1</v>
      </c>
      <c r="V2045" s="403" t="str">
        <f t="shared" si="255"/>
        <v>CPP_7</v>
      </c>
    </row>
    <row r="2046" spans="1:22">
      <c r="A2046" t="str">
        <f t="shared" si="248"/>
        <v>NBN-6x023-B</v>
      </c>
      <c r="B2046" s="403" t="s">
        <v>1388</v>
      </c>
      <c r="C2046" s="403" t="s">
        <v>583</v>
      </c>
      <c r="D2046" s="403" t="s">
        <v>1389</v>
      </c>
      <c r="E2046" s="403" t="s">
        <v>1306</v>
      </c>
      <c r="F2046" s="403" t="s">
        <v>1287</v>
      </c>
      <c r="G2046" s="403" t="s">
        <v>1466</v>
      </c>
      <c r="H2046" s="403" t="s">
        <v>1276</v>
      </c>
      <c r="I2046" s="403">
        <v>1</v>
      </c>
      <c r="J2046" s="403" t="s">
        <v>109</v>
      </c>
      <c r="K2046" s="403">
        <v>1280</v>
      </c>
      <c r="L2046" s="403">
        <v>720</v>
      </c>
      <c r="M2046" s="403" t="s">
        <v>1279</v>
      </c>
      <c r="N2046" s="403">
        <v>768</v>
      </c>
      <c r="O2046" s="403">
        <v>432</v>
      </c>
      <c r="P2046" t="str">
        <f t="shared" si="249"/>
        <v>25fps 720p - SD ROI PTZ</v>
      </c>
      <c r="Q2046">
        <f t="shared" si="250"/>
        <v>11</v>
      </c>
      <c r="R2046" t="str">
        <f t="shared" si="251"/>
        <v/>
      </c>
      <c r="S2046" t="str">
        <f t="shared" si="252"/>
        <v/>
      </c>
      <c r="T2046" s="403" t="str">
        <f t="shared" si="253"/>
        <v>NBN-6x023-B</v>
      </c>
      <c r="U2046" s="403">
        <f t="shared" si="254"/>
        <v>1</v>
      </c>
      <c r="V2046" s="403" t="str">
        <f t="shared" si="255"/>
        <v>CPP_7</v>
      </c>
    </row>
    <row r="2047" spans="1:22">
      <c r="A2047" t="str">
        <f t="shared" si="248"/>
        <v>NBN-6x023-B</v>
      </c>
      <c r="B2047" s="403" t="s">
        <v>1388</v>
      </c>
      <c r="C2047" s="403" t="s">
        <v>583</v>
      </c>
      <c r="D2047" s="403" t="s">
        <v>1389</v>
      </c>
      <c r="E2047" s="403" t="s">
        <v>1306</v>
      </c>
      <c r="F2047" s="403" t="s">
        <v>1287</v>
      </c>
      <c r="G2047" s="403" t="s">
        <v>1466</v>
      </c>
      <c r="H2047" s="403" t="s">
        <v>1276</v>
      </c>
      <c r="I2047" s="403">
        <v>1</v>
      </c>
      <c r="J2047" s="403" t="s">
        <v>109</v>
      </c>
      <c r="K2047" s="403">
        <v>1280</v>
      </c>
      <c r="L2047" s="403">
        <v>720</v>
      </c>
      <c r="M2047" s="403" t="s">
        <v>1298</v>
      </c>
      <c r="N2047" s="403">
        <v>768</v>
      </c>
      <c r="O2047" s="403">
        <v>432</v>
      </c>
      <c r="P2047" t="str">
        <f t="shared" si="249"/>
        <v>25fps 720p - SD dual stream with independent ROI PTZ</v>
      </c>
      <c r="Q2047">
        <f t="shared" si="250"/>
        <v>11</v>
      </c>
      <c r="R2047" t="str">
        <f t="shared" si="251"/>
        <v/>
      </c>
      <c r="S2047" t="str">
        <f t="shared" si="252"/>
        <v/>
      </c>
      <c r="T2047" s="403" t="str">
        <f t="shared" si="253"/>
        <v>NBN-6x023-B</v>
      </c>
      <c r="U2047" s="403">
        <f t="shared" si="254"/>
        <v>1</v>
      </c>
      <c r="V2047" s="403" t="str">
        <f t="shared" si="255"/>
        <v>CPP_7</v>
      </c>
    </row>
    <row r="2048" spans="1:22">
      <c r="A2048" t="str">
        <f t="shared" si="248"/>
        <v>NBN-6x023-B</v>
      </c>
      <c r="B2048" s="403" t="s">
        <v>1388</v>
      </c>
      <c r="C2048" s="403" t="s">
        <v>583</v>
      </c>
      <c r="D2048" s="403" t="s">
        <v>1389</v>
      </c>
      <c r="E2048" s="403" t="s">
        <v>1306</v>
      </c>
      <c r="F2048" s="403" t="s">
        <v>1287</v>
      </c>
      <c r="G2048" s="403" t="s">
        <v>1466</v>
      </c>
      <c r="H2048" s="403" t="s">
        <v>1276</v>
      </c>
      <c r="I2048" s="403">
        <v>1</v>
      </c>
      <c r="J2048" s="403" t="s">
        <v>109</v>
      </c>
      <c r="K2048" s="403">
        <v>1280</v>
      </c>
      <c r="L2048" s="403">
        <v>720</v>
      </c>
      <c r="M2048" s="403" t="s">
        <v>1283</v>
      </c>
      <c r="N2048" s="403">
        <v>704</v>
      </c>
      <c r="O2048" s="403">
        <v>576</v>
      </c>
      <c r="P2048" t="str">
        <f t="shared" si="249"/>
        <v>25fps 720p - SD 4CIF resolution 4:3 format (cropped)</v>
      </c>
      <c r="Q2048">
        <f t="shared" si="250"/>
        <v>11</v>
      </c>
      <c r="R2048" t="str">
        <f t="shared" si="251"/>
        <v/>
      </c>
      <c r="S2048" t="str">
        <f t="shared" si="252"/>
        <v/>
      </c>
      <c r="T2048" s="403" t="str">
        <f t="shared" si="253"/>
        <v>NBN-6x023-B</v>
      </c>
      <c r="U2048" s="403">
        <f t="shared" si="254"/>
        <v>1</v>
      </c>
      <c r="V2048" s="403" t="str">
        <f t="shared" si="255"/>
        <v>CPP_7</v>
      </c>
    </row>
    <row r="2049" spans="1:22">
      <c r="A2049" t="str">
        <f t="shared" si="248"/>
        <v>NBN-6x023-B</v>
      </c>
      <c r="B2049" s="403" t="s">
        <v>1388</v>
      </c>
      <c r="C2049" s="403" t="s">
        <v>583</v>
      </c>
      <c r="D2049" s="403" t="s">
        <v>1389</v>
      </c>
      <c r="E2049" s="403" t="s">
        <v>1306</v>
      </c>
      <c r="F2049" s="403" t="s">
        <v>1287</v>
      </c>
      <c r="G2049" s="403" t="s">
        <v>1466</v>
      </c>
      <c r="H2049" s="403" t="s">
        <v>1276</v>
      </c>
      <c r="I2049" s="403">
        <v>1</v>
      </c>
      <c r="J2049" s="403" t="s">
        <v>109</v>
      </c>
      <c r="K2049" s="403">
        <v>1280</v>
      </c>
      <c r="L2049" s="403">
        <v>720</v>
      </c>
      <c r="M2049" s="403" t="s">
        <v>1284</v>
      </c>
      <c r="N2049" s="403">
        <v>640</v>
      </c>
      <c r="O2049" s="403">
        <v>480</v>
      </c>
      <c r="P2049" t="str">
        <f t="shared" si="249"/>
        <v>25fps 720p - SD VGA (cropped)</v>
      </c>
      <c r="Q2049">
        <f t="shared" si="250"/>
        <v>11</v>
      </c>
      <c r="R2049" t="str">
        <f t="shared" si="251"/>
        <v/>
      </c>
      <c r="S2049" t="str">
        <f t="shared" si="252"/>
        <v/>
      </c>
      <c r="T2049" s="403" t="str">
        <f t="shared" si="253"/>
        <v>NBN-6x023-B</v>
      </c>
      <c r="U2049" s="403">
        <f t="shared" si="254"/>
        <v>1</v>
      </c>
      <c r="V2049" s="403" t="str">
        <f t="shared" si="255"/>
        <v>CPP_7</v>
      </c>
    </row>
    <row r="2050" spans="1:22">
      <c r="A2050" t="str">
        <f t="shared" ref="A2050:A2113" si="256">IF(AND(G2050&lt;&gt;"rotate 90°"),D2050,"")</f>
        <v>NBN-6x023-B</v>
      </c>
      <c r="B2050" s="403" t="s">
        <v>1388</v>
      </c>
      <c r="C2050" s="403" t="s">
        <v>583</v>
      </c>
      <c r="D2050" s="403" t="s">
        <v>1389</v>
      </c>
      <c r="E2050" s="403" t="s">
        <v>1306</v>
      </c>
      <c r="F2050" s="403" t="s">
        <v>1287</v>
      </c>
      <c r="G2050" s="403" t="s">
        <v>1466</v>
      </c>
      <c r="H2050" s="403" t="s">
        <v>1276</v>
      </c>
      <c r="I2050" s="403">
        <v>1</v>
      </c>
      <c r="J2050" s="403" t="s">
        <v>111</v>
      </c>
      <c r="K2050" s="403">
        <v>768</v>
      </c>
      <c r="L2050" s="403">
        <v>432</v>
      </c>
      <c r="M2050" s="403" t="s">
        <v>111</v>
      </c>
      <c r="N2050" s="403">
        <v>768</v>
      </c>
      <c r="O2050" s="403">
        <v>432</v>
      </c>
      <c r="P2050" t="str">
        <f t="shared" ref="P2050:P2113" si="257">LEFT(F2050,5)&amp;" "&amp;J2050&amp;" - "&amp;M2050</f>
        <v>25fps SD - SD</v>
      </c>
      <c r="Q2050">
        <f t="shared" ref="Q2050:Q2113" si="258">IF(A2049=A2050,Q2049,Q2049+1)</f>
        <v>11</v>
      </c>
      <c r="R2050" t="str">
        <f t="shared" ref="R2050:R2113" si="259">IF(Q2049&lt;&gt;Q2050,Q2050,"")</f>
        <v/>
      </c>
      <c r="S2050" t="str">
        <f t="shared" ref="S2050:S2113" si="260">IF(R2050&lt;&gt;"",B2050&amp;" ("&amp;D2050&amp;")","")</f>
        <v/>
      </c>
      <c r="T2050" s="403" t="str">
        <f t="shared" ref="T2050:T2113" si="261">D2050</f>
        <v>NBN-6x023-B</v>
      </c>
      <c r="U2050" s="403">
        <f t="shared" ref="U2050:U2113" si="262">I2050</f>
        <v>1</v>
      </c>
      <c r="V2050" s="403" t="str">
        <f t="shared" ref="V2050:V2113" si="263">C2050</f>
        <v>CPP_7</v>
      </c>
    </row>
    <row r="2051" spans="1:22">
      <c r="A2051" t="str">
        <f t="shared" si="256"/>
        <v>NBN-6x023-B</v>
      </c>
      <c r="B2051" s="403" t="s">
        <v>1388</v>
      </c>
      <c r="C2051" s="403" t="s">
        <v>583</v>
      </c>
      <c r="D2051" s="403" t="s">
        <v>1389</v>
      </c>
      <c r="E2051" s="403" t="s">
        <v>1306</v>
      </c>
      <c r="F2051" s="403" t="s">
        <v>1287</v>
      </c>
      <c r="G2051" s="403" t="s">
        <v>1467</v>
      </c>
      <c r="H2051" s="403" t="s">
        <v>1276</v>
      </c>
      <c r="I2051" s="403">
        <v>1</v>
      </c>
      <c r="J2051" s="403" t="s">
        <v>110</v>
      </c>
      <c r="K2051" s="403">
        <v>1080</v>
      </c>
      <c r="L2051" s="403">
        <v>1920</v>
      </c>
      <c r="M2051" s="403" t="s">
        <v>111</v>
      </c>
      <c r="N2051" s="403">
        <v>432</v>
      </c>
      <c r="O2051" s="403">
        <v>768</v>
      </c>
      <c r="P2051" t="str">
        <f t="shared" si="257"/>
        <v>25fps 1080p - SD</v>
      </c>
      <c r="Q2051">
        <f t="shared" si="258"/>
        <v>11</v>
      </c>
      <c r="R2051" t="str">
        <f t="shared" si="259"/>
        <v/>
      </c>
      <c r="S2051" t="str">
        <f t="shared" si="260"/>
        <v/>
      </c>
      <c r="T2051" s="403" t="str">
        <f t="shared" si="261"/>
        <v>NBN-6x023-B</v>
      </c>
      <c r="U2051" s="403">
        <f t="shared" si="262"/>
        <v>1</v>
      </c>
      <c r="V2051" s="403" t="str">
        <f t="shared" si="263"/>
        <v>CPP_7</v>
      </c>
    </row>
    <row r="2052" spans="1:22">
      <c r="A2052" t="str">
        <f t="shared" si="256"/>
        <v>NBN-6x023-B</v>
      </c>
      <c r="B2052" s="403" t="s">
        <v>1388</v>
      </c>
      <c r="C2052" s="403" t="s">
        <v>583</v>
      </c>
      <c r="D2052" s="403" t="s">
        <v>1389</v>
      </c>
      <c r="E2052" s="403" t="s">
        <v>1306</v>
      </c>
      <c r="F2052" s="403" t="s">
        <v>1287</v>
      </c>
      <c r="G2052" s="403" t="s">
        <v>1467</v>
      </c>
      <c r="H2052" s="403" t="s">
        <v>1276</v>
      </c>
      <c r="I2052" s="403">
        <v>1</v>
      </c>
      <c r="J2052" s="403" t="s">
        <v>110</v>
      </c>
      <c r="K2052" s="403">
        <v>1080</v>
      </c>
      <c r="L2052" s="403">
        <v>1920</v>
      </c>
      <c r="M2052" s="403" t="s">
        <v>110</v>
      </c>
      <c r="N2052" s="403">
        <v>1080</v>
      </c>
      <c r="O2052" s="403">
        <v>1920</v>
      </c>
      <c r="P2052" t="str">
        <f t="shared" si="257"/>
        <v>25fps 1080p - 1080p</v>
      </c>
      <c r="Q2052">
        <f t="shared" si="258"/>
        <v>11</v>
      </c>
      <c r="R2052" t="str">
        <f t="shared" si="259"/>
        <v/>
      </c>
      <c r="S2052" t="str">
        <f t="shared" si="260"/>
        <v/>
      </c>
      <c r="T2052" s="403" t="str">
        <f t="shared" si="261"/>
        <v>NBN-6x023-B</v>
      </c>
      <c r="U2052" s="403">
        <f t="shared" si="262"/>
        <v>1</v>
      </c>
      <c r="V2052" s="403" t="str">
        <f t="shared" si="263"/>
        <v>CPP_7</v>
      </c>
    </row>
    <row r="2053" spans="1:22">
      <c r="A2053" t="str">
        <f t="shared" si="256"/>
        <v>NBN-6x023-B</v>
      </c>
      <c r="B2053" s="403" t="s">
        <v>1388</v>
      </c>
      <c r="C2053" s="403" t="s">
        <v>583</v>
      </c>
      <c r="D2053" s="403" t="s">
        <v>1389</v>
      </c>
      <c r="E2053" s="403" t="s">
        <v>1306</v>
      </c>
      <c r="F2053" s="403" t="s">
        <v>1287</v>
      </c>
      <c r="G2053" s="403" t="s">
        <v>1467</v>
      </c>
      <c r="H2053" s="403" t="s">
        <v>1276</v>
      </c>
      <c r="I2053" s="403">
        <v>1</v>
      </c>
      <c r="J2053" s="403" t="s">
        <v>110</v>
      </c>
      <c r="K2053" s="403">
        <v>1080</v>
      </c>
      <c r="L2053" s="403">
        <v>1920</v>
      </c>
      <c r="M2053" s="403" t="s">
        <v>109</v>
      </c>
      <c r="N2053" s="403">
        <v>720</v>
      </c>
      <c r="O2053" s="403">
        <v>1280</v>
      </c>
      <c r="P2053" t="str">
        <f t="shared" si="257"/>
        <v>25fps 1080p - 720p</v>
      </c>
      <c r="Q2053">
        <f t="shared" si="258"/>
        <v>11</v>
      </c>
      <c r="R2053" t="str">
        <f t="shared" si="259"/>
        <v/>
      </c>
      <c r="S2053" t="str">
        <f t="shared" si="260"/>
        <v/>
      </c>
      <c r="T2053" s="403" t="str">
        <f t="shared" si="261"/>
        <v>NBN-6x023-B</v>
      </c>
      <c r="U2053" s="403">
        <f t="shared" si="262"/>
        <v>1</v>
      </c>
      <c r="V2053" s="403" t="str">
        <f t="shared" si="263"/>
        <v>CPP_7</v>
      </c>
    </row>
    <row r="2054" spans="1:22">
      <c r="A2054" t="str">
        <f t="shared" si="256"/>
        <v>NBN-6x023-B</v>
      </c>
      <c r="B2054" s="403" t="s">
        <v>1388</v>
      </c>
      <c r="C2054" s="403" t="s">
        <v>583</v>
      </c>
      <c r="D2054" s="403" t="s">
        <v>1389</v>
      </c>
      <c r="E2054" s="403" t="s">
        <v>1306</v>
      </c>
      <c r="F2054" s="403" t="s">
        <v>1287</v>
      </c>
      <c r="G2054" s="403" t="s">
        <v>1467</v>
      </c>
      <c r="H2054" s="403" t="s">
        <v>1276</v>
      </c>
      <c r="I2054" s="403">
        <v>1</v>
      </c>
      <c r="J2054" s="403" t="s">
        <v>110</v>
      </c>
      <c r="K2054" s="403">
        <v>1080</v>
      </c>
      <c r="L2054" s="403">
        <v>1920</v>
      </c>
      <c r="M2054" s="403" t="s">
        <v>1279</v>
      </c>
      <c r="N2054" s="403">
        <v>432</v>
      </c>
      <c r="O2054" s="403">
        <v>768</v>
      </c>
      <c r="P2054" t="str">
        <f t="shared" si="257"/>
        <v>25fps 1080p - SD ROI PTZ</v>
      </c>
      <c r="Q2054">
        <f t="shared" si="258"/>
        <v>11</v>
      </c>
      <c r="R2054" t="str">
        <f t="shared" si="259"/>
        <v/>
      </c>
      <c r="S2054" t="str">
        <f t="shared" si="260"/>
        <v/>
      </c>
      <c r="T2054" s="403" t="str">
        <f t="shared" si="261"/>
        <v>NBN-6x023-B</v>
      </c>
      <c r="U2054" s="403">
        <f t="shared" si="262"/>
        <v>1</v>
      </c>
      <c r="V2054" s="403" t="str">
        <f t="shared" si="263"/>
        <v>CPP_7</v>
      </c>
    </row>
    <row r="2055" spans="1:22">
      <c r="A2055" t="str">
        <f t="shared" si="256"/>
        <v>NBN-6x023-B</v>
      </c>
      <c r="B2055" s="403" t="s">
        <v>1388</v>
      </c>
      <c r="C2055" s="403" t="s">
        <v>583</v>
      </c>
      <c r="D2055" s="403" t="s">
        <v>1389</v>
      </c>
      <c r="E2055" s="403" t="s">
        <v>1306</v>
      </c>
      <c r="F2055" s="403" t="s">
        <v>1287</v>
      </c>
      <c r="G2055" s="403" t="s">
        <v>1467</v>
      </c>
      <c r="H2055" s="403" t="s">
        <v>1276</v>
      </c>
      <c r="I2055" s="403">
        <v>1</v>
      </c>
      <c r="J2055" s="403" t="s">
        <v>110</v>
      </c>
      <c r="K2055" s="403">
        <v>1080</v>
      </c>
      <c r="L2055" s="403">
        <v>1920</v>
      </c>
      <c r="M2055" s="403" t="s">
        <v>1298</v>
      </c>
      <c r="N2055" s="403">
        <v>432</v>
      </c>
      <c r="O2055" s="403">
        <v>768</v>
      </c>
      <c r="P2055" t="str">
        <f t="shared" si="257"/>
        <v>25fps 1080p - SD dual stream with independent ROI PTZ</v>
      </c>
      <c r="Q2055">
        <f t="shared" si="258"/>
        <v>11</v>
      </c>
      <c r="R2055" t="str">
        <f t="shared" si="259"/>
        <v/>
      </c>
      <c r="S2055" t="str">
        <f t="shared" si="260"/>
        <v/>
      </c>
      <c r="T2055" s="403" t="str">
        <f t="shared" si="261"/>
        <v>NBN-6x023-B</v>
      </c>
      <c r="U2055" s="403">
        <f t="shared" si="262"/>
        <v>1</v>
      </c>
      <c r="V2055" s="403" t="str">
        <f t="shared" si="263"/>
        <v>CPP_7</v>
      </c>
    </row>
    <row r="2056" spans="1:22">
      <c r="A2056" t="str">
        <f t="shared" si="256"/>
        <v>NBN-6x023-B</v>
      </c>
      <c r="B2056" s="403" t="s">
        <v>1388</v>
      </c>
      <c r="C2056" s="403" t="s">
        <v>583</v>
      </c>
      <c r="D2056" s="403" t="s">
        <v>1389</v>
      </c>
      <c r="E2056" s="403" t="s">
        <v>1306</v>
      </c>
      <c r="F2056" s="403" t="s">
        <v>1287</v>
      </c>
      <c r="G2056" s="403" t="s">
        <v>1467</v>
      </c>
      <c r="H2056" s="403" t="s">
        <v>1276</v>
      </c>
      <c r="I2056" s="403">
        <v>1</v>
      </c>
      <c r="J2056" s="403" t="s">
        <v>110</v>
      </c>
      <c r="K2056" s="403">
        <v>1080</v>
      </c>
      <c r="L2056" s="403">
        <v>1920</v>
      </c>
      <c r="M2056" s="403" t="s">
        <v>1283</v>
      </c>
      <c r="N2056" s="403">
        <v>576</v>
      </c>
      <c r="O2056" s="403">
        <v>704</v>
      </c>
      <c r="P2056" t="str">
        <f t="shared" si="257"/>
        <v>25fps 1080p - SD 4CIF resolution 4:3 format (cropped)</v>
      </c>
      <c r="Q2056">
        <f t="shared" si="258"/>
        <v>11</v>
      </c>
      <c r="R2056" t="str">
        <f t="shared" si="259"/>
        <v/>
      </c>
      <c r="S2056" t="str">
        <f t="shared" si="260"/>
        <v/>
      </c>
      <c r="T2056" s="403" t="str">
        <f t="shared" si="261"/>
        <v>NBN-6x023-B</v>
      </c>
      <c r="U2056" s="403">
        <f t="shared" si="262"/>
        <v>1</v>
      </c>
      <c r="V2056" s="403" t="str">
        <f t="shared" si="263"/>
        <v>CPP_7</v>
      </c>
    </row>
    <row r="2057" spans="1:22">
      <c r="A2057" t="str">
        <f t="shared" si="256"/>
        <v>NBN-6x023-B</v>
      </c>
      <c r="B2057" s="403" t="s">
        <v>1388</v>
      </c>
      <c r="C2057" s="403" t="s">
        <v>583</v>
      </c>
      <c r="D2057" s="403" t="s">
        <v>1389</v>
      </c>
      <c r="E2057" s="403" t="s">
        <v>1306</v>
      </c>
      <c r="F2057" s="403" t="s">
        <v>1287</v>
      </c>
      <c r="G2057" s="403" t="s">
        <v>1467</v>
      </c>
      <c r="H2057" s="403" t="s">
        <v>1276</v>
      </c>
      <c r="I2057" s="403">
        <v>1</v>
      </c>
      <c r="J2057" s="403" t="s">
        <v>110</v>
      </c>
      <c r="K2057" s="403">
        <v>1080</v>
      </c>
      <c r="L2057" s="403">
        <v>1920</v>
      </c>
      <c r="M2057" s="403" t="s">
        <v>1284</v>
      </c>
      <c r="N2057" s="403">
        <v>480</v>
      </c>
      <c r="O2057" s="403">
        <v>640</v>
      </c>
      <c r="P2057" t="str">
        <f t="shared" si="257"/>
        <v>25fps 1080p - SD VGA (cropped)</v>
      </c>
      <c r="Q2057">
        <f t="shared" si="258"/>
        <v>11</v>
      </c>
      <c r="R2057" t="str">
        <f t="shared" si="259"/>
        <v/>
      </c>
      <c r="S2057" t="str">
        <f t="shared" si="260"/>
        <v/>
      </c>
      <c r="T2057" s="403" t="str">
        <f t="shared" si="261"/>
        <v>NBN-6x023-B</v>
      </c>
      <c r="U2057" s="403">
        <f t="shared" si="262"/>
        <v>1</v>
      </c>
      <c r="V2057" s="403" t="str">
        <f t="shared" si="263"/>
        <v>CPP_7</v>
      </c>
    </row>
    <row r="2058" spans="1:22">
      <c r="A2058" t="str">
        <f t="shared" si="256"/>
        <v>NBN-6x023-B</v>
      </c>
      <c r="B2058" s="403" t="s">
        <v>1388</v>
      </c>
      <c r="C2058" s="403" t="s">
        <v>583</v>
      </c>
      <c r="D2058" s="403" t="s">
        <v>1389</v>
      </c>
      <c r="E2058" s="403" t="s">
        <v>1306</v>
      </c>
      <c r="F2058" s="403" t="s">
        <v>1287</v>
      </c>
      <c r="G2058" s="403" t="s">
        <v>1467</v>
      </c>
      <c r="H2058" s="403" t="s">
        <v>1276</v>
      </c>
      <c r="I2058" s="403">
        <v>1</v>
      </c>
      <c r="J2058" s="403" t="s">
        <v>109</v>
      </c>
      <c r="K2058" s="403">
        <v>720</v>
      </c>
      <c r="L2058" s="403">
        <v>1280</v>
      </c>
      <c r="M2058" s="403" t="s">
        <v>111</v>
      </c>
      <c r="N2058" s="403">
        <v>432</v>
      </c>
      <c r="O2058" s="403">
        <v>768</v>
      </c>
      <c r="P2058" t="str">
        <f t="shared" si="257"/>
        <v>25fps 720p - SD</v>
      </c>
      <c r="Q2058">
        <f t="shared" si="258"/>
        <v>11</v>
      </c>
      <c r="R2058" t="str">
        <f t="shared" si="259"/>
        <v/>
      </c>
      <c r="S2058" t="str">
        <f t="shared" si="260"/>
        <v/>
      </c>
      <c r="T2058" s="403" t="str">
        <f t="shared" si="261"/>
        <v>NBN-6x023-B</v>
      </c>
      <c r="U2058" s="403">
        <f t="shared" si="262"/>
        <v>1</v>
      </c>
      <c r="V2058" s="403" t="str">
        <f t="shared" si="263"/>
        <v>CPP_7</v>
      </c>
    </row>
    <row r="2059" spans="1:22">
      <c r="A2059" t="str">
        <f t="shared" si="256"/>
        <v>NBN-6x023-B</v>
      </c>
      <c r="B2059" s="403" t="s">
        <v>1388</v>
      </c>
      <c r="C2059" s="403" t="s">
        <v>583</v>
      </c>
      <c r="D2059" s="403" t="s">
        <v>1389</v>
      </c>
      <c r="E2059" s="403" t="s">
        <v>1306</v>
      </c>
      <c r="F2059" s="403" t="s">
        <v>1287</v>
      </c>
      <c r="G2059" s="403" t="s">
        <v>1467</v>
      </c>
      <c r="H2059" s="403" t="s">
        <v>1276</v>
      </c>
      <c r="I2059" s="403">
        <v>1</v>
      </c>
      <c r="J2059" s="403" t="s">
        <v>109</v>
      </c>
      <c r="K2059" s="403">
        <v>720</v>
      </c>
      <c r="L2059" s="403">
        <v>1280</v>
      </c>
      <c r="M2059" s="403" t="s">
        <v>109</v>
      </c>
      <c r="N2059" s="403">
        <v>720</v>
      </c>
      <c r="O2059" s="403">
        <v>1280</v>
      </c>
      <c r="P2059" t="str">
        <f t="shared" si="257"/>
        <v>25fps 720p - 720p</v>
      </c>
      <c r="Q2059">
        <f t="shared" si="258"/>
        <v>11</v>
      </c>
      <c r="R2059" t="str">
        <f t="shared" si="259"/>
        <v/>
      </c>
      <c r="S2059" t="str">
        <f t="shared" si="260"/>
        <v/>
      </c>
      <c r="T2059" s="403" t="str">
        <f t="shared" si="261"/>
        <v>NBN-6x023-B</v>
      </c>
      <c r="U2059" s="403">
        <f t="shared" si="262"/>
        <v>1</v>
      </c>
      <c r="V2059" s="403" t="str">
        <f t="shared" si="263"/>
        <v>CPP_7</v>
      </c>
    </row>
    <row r="2060" spans="1:22">
      <c r="A2060" t="str">
        <f t="shared" si="256"/>
        <v>NBN-6x023-B</v>
      </c>
      <c r="B2060" s="403" t="s">
        <v>1388</v>
      </c>
      <c r="C2060" s="403" t="s">
        <v>583</v>
      </c>
      <c r="D2060" s="403" t="s">
        <v>1389</v>
      </c>
      <c r="E2060" s="403" t="s">
        <v>1306</v>
      </c>
      <c r="F2060" s="403" t="s">
        <v>1287</v>
      </c>
      <c r="G2060" s="403" t="s">
        <v>1467</v>
      </c>
      <c r="H2060" s="403" t="s">
        <v>1276</v>
      </c>
      <c r="I2060" s="403">
        <v>1</v>
      </c>
      <c r="J2060" s="403" t="s">
        <v>109</v>
      </c>
      <c r="K2060" s="403">
        <v>720</v>
      </c>
      <c r="L2060" s="403">
        <v>1280</v>
      </c>
      <c r="M2060" s="403" t="s">
        <v>1279</v>
      </c>
      <c r="N2060" s="403">
        <v>432</v>
      </c>
      <c r="O2060" s="403">
        <v>768</v>
      </c>
      <c r="P2060" t="str">
        <f t="shared" si="257"/>
        <v>25fps 720p - SD ROI PTZ</v>
      </c>
      <c r="Q2060">
        <f t="shared" si="258"/>
        <v>11</v>
      </c>
      <c r="R2060" t="str">
        <f t="shared" si="259"/>
        <v/>
      </c>
      <c r="S2060" t="str">
        <f t="shared" si="260"/>
        <v/>
      </c>
      <c r="T2060" s="403" t="str">
        <f t="shared" si="261"/>
        <v>NBN-6x023-B</v>
      </c>
      <c r="U2060" s="403">
        <f t="shared" si="262"/>
        <v>1</v>
      </c>
      <c r="V2060" s="403" t="str">
        <f t="shared" si="263"/>
        <v>CPP_7</v>
      </c>
    </row>
    <row r="2061" spans="1:22">
      <c r="A2061" t="str">
        <f t="shared" si="256"/>
        <v>NBN-6x023-B</v>
      </c>
      <c r="B2061" s="403" t="s">
        <v>1388</v>
      </c>
      <c r="C2061" s="403" t="s">
        <v>583</v>
      </c>
      <c r="D2061" s="403" t="s">
        <v>1389</v>
      </c>
      <c r="E2061" s="403" t="s">
        <v>1306</v>
      </c>
      <c r="F2061" s="403" t="s">
        <v>1287</v>
      </c>
      <c r="G2061" s="403" t="s">
        <v>1467</v>
      </c>
      <c r="H2061" s="403" t="s">
        <v>1276</v>
      </c>
      <c r="I2061" s="403">
        <v>1</v>
      </c>
      <c r="J2061" s="403" t="s">
        <v>109</v>
      </c>
      <c r="K2061" s="403">
        <v>720</v>
      </c>
      <c r="L2061" s="403">
        <v>1280</v>
      </c>
      <c r="M2061" s="403" t="s">
        <v>1298</v>
      </c>
      <c r="N2061" s="403">
        <v>432</v>
      </c>
      <c r="O2061" s="403">
        <v>768</v>
      </c>
      <c r="P2061" t="str">
        <f t="shared" si="257"/>
        <v>25fps 720p - SD dual stream with independent ROI PTZ</v>
      </c>
      <c r="Q2061">
        <f t="shared" si="258"/>
        <v>11</v>
      </c>
      <c r="R2061" t="str">
        <f t="shared" si="259"/>
        <v/>
      </c>
      <c r="S2061" t="str">
        <f t="shared" si="260"/>
        <v/>
      </c>
      <c r="T2061" s="403" t="str">
        <f t="shared" si="261"/>
        <v>NBN-6x023-B</v>
      </c>
      <c r="U2061" s="403">
        <f t="shared" si="262"/>
        <v>1</v>
      </c>
      <c r="V2061" s="403" t="str">
        <f t="shared" si="263"/>
        <v>CPP_7</v>
      </c>
    </row>
    <row r="2062" spans="1:22">
      <c r="A2062" t="str">
        <f t="shared" si="256"/>
        <v>NBN-6x023-B</v>
      </c>
      <c r="B2062" s="403" t="s">
        <v>1388</v>
      </c>
      <c r="C2062" s="403" t="s">
        <v>583</v>
      </c>
      <c r="D2062" s="403" t="s">
        <v>1389</v>
      </c>
      <c r="E2062" s="403" t="s">
        <v>1306</v>
      </c>
      <c r="F2062" s="403" t="s">
        <v>1287</v>
      </c>
      <c r="G2062" s="403" t="s">
        <v>1467</v>
      </c>
      <c r="H2062" s="403" t="s">
        <v>1276</v>
      </c>
      <c r="I2062" s="403">
        <v>1</v>
      </c>
      <c r="J2062" s="403" t="s">
        <v>109</v>
      </c>
      <c r="K2062" s="403">
        <v>720</v>
      </c>
      <c r="L2062" s="403">
        <v>1280</v>
      </c>
      <c r="M2062" s="403" t="s">
        <v>1283</v>
      </c>
      <c r="N2062" s="403">
        <v>576</v>
      </c>
      <c r="O2062" s="403">
        <v>704</v>
      </c>
      <c r="P2062" t="str">
        <f t="shared" si="257"/>
        <v>25fps 720p - SD 4CIF resolution 4:3 format (cropped)</v>
      </c>
      <c r="Q2062">
        <f t="shared" si="258"/>
        <v>11</v>
      </c>
      <c r="R2062" t="str">
        <f t="shared" si="259"/>
        <v/>
      </c>
      <c r="S2062" t="str">
        <f t="shared" si="260"/>
        <v/>
      </c>
      <c r="T2062" s="403" t="str">
        <f t="shared" si="261"/>
        <v>NBN-6x023-B</v>
      </c>
      <c r="U2062" s="403">
        <f t="shared" si="262"/>
        <v>1</v>
      </c>
      <c r="V2062" s="403" t="str">
        <f t="shared" si="263"/>
        <v>CPP_7</v>
      </c>
    </row>
    <row r="2063" spans="1:22">
      <c r="A2063" t="str">
        <f t="shared" si="256"/>
        <v>NBN-6x023-B</v>
      </c>
      <c r="B2063" s="403" t="s">
        <v>1388</v>
      </c>
      <c r="C2063" s="403" t="s">
        <v>583</v>
      </c>
      <c r="D2063" s="403" t="s">
        <v>1389</v>
      </c>
      <c r="E2063" s="403" t="s">
        <v>1306</v>
      </c>
      <c r="F2063" s="403" t="s">
        <v>1287</v>
      </c>
      <c r="G2063" s="403" t="s">
        <v>1467</v>
      </c>
      <c r="H2063" s="403" t="s">
        <v>1276</v>
      </c>
      <c r="I2063" s="403">
        <v>1</v>
      </c>
      <c r="J2063" s="403" t="s">
        <v>109</v>
      </c>
      <c r="K2063" s="403">
        <v>720</v>
      </c>
      <c r="L2063" s="403">
        <v>1280</v>
      </c>
      <c r="M2063" s="403" t="s">
        <v>1284</v>
      </c>
      <c r="N2063" s="403">
        <v>480</v>
      </c>
      <c r="O2063" s="403">
        <v>640</v>
      </c>
      <c r="P2063" t="str">
        <f t="shared" si="257"/>
        <v>25fps 720p - SD VGA (cropped)</v>
      </c>
      <c r="Q2063">
        <f t="shared" si="258"/>
        <v>11</v>
      </c>
      <c r="R2063" t="str">
        <f t="shared" si="259"/>
        <v/>
      </c>
      <c r="S2063" t="str">
        <f t="shared" si="260"/>
        <v/>
      </c>
      <c r="T2063" s="403" t="str">
        <f t="shared" si="261"/>
        <v>NBN-6x023-B</v>
      </c>
      <c r="U2063" s="403">
        <f t="shared" si="262"/>
        <v>1</v>
      </c>
      <c r="V2063" s="403" t="str">
        <f t="shared" si="263"/>
        <v>CPP_7</v>
      </c>
    </row>
    <row r="2064" spans="1:22">
      <c r="A2064" t="str">
        <f t="shared" si="256"/>
        <v>NBN-6x023-B</v>
      </c>
      <c r="B2064" s="403" t="s">
        <v>1388</v>
      </c>
      <c r="C2064" s="403" t="s">
        <v>583</v>
      </c>
      <c r="D2064" s="403" t="s">
        <v>1389</v>
      </c>
      <c r="E2064" s="403" t="s">
        <v>1306</v>
      </c>
      <c r="F2064" s="403" t="s">
        <v>1287</v>
      </c>
      <c r="G2064" s="403" t="s">
        <v>1467</v>
      </c>
      <c r="H2064" s="403" t="s">
        <v>1276</v>
      </c>
      <c r="I2064" s="403">
        <v>1</v>
      </c>
      <c r="J2064" s="403" t="s">
        <v>111</v>
      </c>
      <c r="K2064" s="403">
        <v>432</v>
      </c>
      <c r="L2064" s="403">
        <v>768</v>
      </c>
      <c r="M2064" s="403" t="s">
        <v>111</v>
      </c>
      <c r="N2064" s="403">
        <v>432</v>
      </c>
      <c r="O2064" s="403">
        <v>768</v>
      </c>
      <c r="P2064" t="str">
        <f t="shared" si="257"/>
        <v>25fps SD - SD</v>
      </c>
      <c r="Q2064">
        <f t="shared" si="258"/>
        <v>11</v>
      </c>
      <c r="R2064" t="str">
        <f t="shared" si="259"/>
        <v/>
      </c>
      <c r="S2064" t="str">
        <f t="shared" si="260"/>
        <v/>
      </c>
      <c r="T2064" s="403" t="str">
        <f t="shared" si="261"/>
        <v>NBN-6x023-B</v>
      </c>
      <c r="U2064" s="403">
        <f t="shared" si="262"/>
        <v>1</v>
      </c>
      <c r="V2064" s="403" t="str">
        <f t="shared" si="263"/>
        <v>CPP_7</v>
      </c>
    </row>
    <row r="2065" spans="1:22">
      <c r="A2065" t="str">
        <f t="shared" si="256"/>
        <v>NBN-6x023-B</v>
      </c>
      <c r="B2065" s="403" t="s">
        <v>1388</v>
      </c>
      <c r="C2065" s="403" t="s">
        <v>583</v>
      </c>
      <c r="D2065" s="403" t="s">
        <v>1389</v>
      </c>
      <c r="E2065" s="403" t="s">
        <v>1306</v>
      </c>
      <c r="F2065" s="403" t="s">
        <v>1286</v>
      </c>
      <c r="G2065" s="403" t="s">
        <v>1466</v>
      </c>
      <c r="H2065" s="403" t="s">
        <v>1276</v>
      </c>
      <c r="I2065" s="403">
        <v>1</v>
      </c>
      <c r="J2065" s="403" t="s">
        <v>1277</v>
      </c>
      <c r="K2065" s="403">
        <v>1440</v>
      </c>
      <c r="L2065" s="403">
        <v>1080</v>
      </c>
      <c r="M2065" s="403" t="s">
        <v>1277</v>
      </c>
      <c r="N2065" s="403">
        <v>1440</v>
      </c>
      <c r="O2065" s="403">
        <v>1080</v>
      </c>
      <c r="P2065" t="str">
        <f t="shared" si="257"/>
        <v>30fps 1440x1080 - 1440x1080</v>
      </c>
      <c r="Q2065">
        <f t="shared" si="258"/>
        <v>11</v>
      </c>
      <c r="R2065" t="str">
        <f t="shared" si="259"/>
        <v/>
      </c>
      <c r="S2065" t="str">
        <f t="shared" si="260"/>
        <v/>
      </c>
      <c r="T2065" s="403" t="str">
        <f t="shared" si="261"/>
        <v>NBN-6x023-B</v>
      </c>
      <c r="U2065" s="403">
        <f t="shared" si="262"/>
        <v>1</v>
      </c>
      <c r="V2065" s="403" t="str">
        <f t="shared" si="263"/>
        <v>CPP_7</v>
      </c>
    </row>
    <row r="2066" spans="1:22">
      <c r="A2066" t="str">
        <f t="shared" si="256"/>
        <v>NBN-6x023-B</v>
      </c>
      <c r="B2066" s="403" t="s">
        <v>1388</v>
      </c>
      <c r="C2066" s="403" t="s">
        <v>583</v>
      </c>
      <c r="D2066" s="403" t="s">
        <v>1389</v>
      </c>
      <c r="E2066" s="403" t="s">
        <v>1306</v>
      </c>
      <c r="F2066" s="403" t="s">
        <v>1286</v>
      </c>
      <c r="G2066" s="403" t="s">
        <v>1466</v>
      </c>
      <c r="H2066" s="403" t="s">
        <v>1276</v>
      </c>
      <c r="I2066" s="403">
        <v>1</v>
      </c>
      <c r="J2066" s="403" t="s">
        <v>1277</v>
      </c>
      <c r="K2066" s="403">
        <v>1440</v>
      </c>
      <c r="L2066" s="403">
        <v>1080</v>
      </c>
      <c r="M2066" s="403" t="s">
        <v>1313</v>
      </c>
      <c r="N2066" s="403">
        <v>1280</v>
      </c>
      <c r="O2066" s="403">
        <v>960</v>
      </c>
      <c r="P2066" t="str">
        <f t="shared" si="257"/>
        <v>30fps 1440x1080 - 1280x960</v>
      </c>
      <c r="Q2066">
        <f t="shared" si="258"/>
        <v>11</v>
      </c>
      <c r="R2066" t="str">
        <f t="shared" si="259"/>
        <v/>
      </c>
      <c r="S2066" t="str">
        <f t="shared" si="260"/>
        <v/>
      </c>
      <c r="T2066" s="403" t="str">
        <f t="shared" si="261"/>
        <v>NBN-6x023-B</v>
      </c>
      <c r="U2066" s="403">
        <f t="shared" si="262"/>
        <v>1</v>
      </c>
      <c r="V2066" s="403" t="str">
        <f t="shared" si="263"/>
        <v>CPP_7</v>
      </c>
    </row>
    <row r="2067" spans="1:22">
      <c r="A2067" t="str">
        <f t="shared" si="256"/>
        <v>NBN-6x023-B</v>
      </c>
      <c r="B2067" s="403" t="s">
        <v>1388</v>
      </c>
      <c r="C2067" s="403" t="s">
        <v>583</v>
      </c>
      <c r="D2067" s="403" t="s">
        <v>1389</v>
      </c>
      <c r="E2067" s="403" t="s">
        <v>1306</v>
      </c>
      <c r="F2067" s="403" t="s">
        <v>1286</v>
      </c>
      <c r="G2067" s="403" t="s">
        <v>1466</v>
      </c>
      <c r="H2067" s="403" t="s">
        <v>1276</v>
      </c>
      <c r="I2067" s="403">
        <v>1</v>
      </c>
      <c r="J2067" s="403" t="s">
        <v>1277</v>
      </c>
      <c r="K2067" s="403">
        <v>1440</v>
      </c>
      <c r="L2067" s="403">
        <v>1080</v>
      </c>
      <c r="M2067" s="403" t="s">
        <v>1278</v>
      </c>
      <c r="N2067" s="403">
        <v>1024</v>
      </c>
      <c r="O2067" s="403">
        <v>768</v>
      </c>
      <c r="P2067" t="str">
        <f t="shared" si="257"/>
        <v>30fps 1440x1080 - 1024x768</v>
      </c>
      <c r="Q2067">
        <f t="shared" si="258"/>
        <v>11</v>
      </c>
      <c r="R2067" t="str">
        <f t="shared" si="259"/>
        <v/>
      </c>
      <c r="S2067" t="str">
        <f t="shared" si="260"/>
        <v/>
      </c>
      <c r="T2067" s="403" t="str">
        <f t="shared" si="261"/>
        <v>NBN-6x023-B</v>
      </c>
      <c r="U2067" s="403">
        <f t="shared" si="262"/>
        <v>1</v>
      </c>
      <c r="V2067" s="403" t="str">
        <f t="shared" si="263"/>
        <v>CPP_7</v>
      </c>
    </row>
    <row r="2068" spans="1:22">
      <c r="A2068" t="str">
        <f t="shared" si="256"/>
        <v>NBN-6x023-B</v>
      </c>
      <c r="B2068" s="403" t="s">
        <v>1388</v>
      </c>
      <c r="C2068" s="403" t="s">
        <v>583</v>
      </c>
      <c r="D2068" s="403" t="s">
        <v>1389</v>
      </c>
      <c r="E2068" s="403" t="s">
        <v>1306</v>
      </c>
      <c r="F2068" s="403" t="s">
        <v>1286</v>
      </c>
      <c r="G2068" s="403" t="s">
        <v>1466</v>
      </c>
      <c r="H2068" s="403" t="s">
        <v>1276</v>
      </c>
      <c r="I2068" s="403">
        <v>1</v>
      </c>
      <c r="J2068" s="403" t="s">
        <v>1277</v>
      </c>
      <c r="K2068" s="403">
        <v>1440</v>
      </c>
      <c r="L2068" s="403">
        <v>1080</v>
      </c>
      <c r="M2068" s="403" t="s">
        <v>111</v>
      </c>
      <c r="N2068" s="403">
        <v>768</v>
      </c>
      <c r="O2068" s="403">
        <v>432</v>
      </c>
      <c r="P2068" t="str">
        <f t="shared" si="257"/>
        <v>30fps 1440x1080 - SD</v>
      </c>
      <c r="Q2068">
        <f t="shared" si="258"/>
        <v>11</v>
      </c>
      <c r="R2068" t="str">
        <f t="shared" si="259"/>
        <v/>
      </c>
      <c r="S2068" t="str">
        <f t="shared" si="260"/>
        <v/>
      </c>
      <c r="T2068" s="403" t="str">
        <f t="shared" si="261"/>
        <v>NBN-6x023-B</v>
      </c>
      <c r="U2068" s="403">
        <f t="shared" si="262"/>
        <v>1</v>
      </c>
      <c r="V2068" s="403" t="str">
        <f t="shared" si="263"/>
        <v>CPP_7</v>
      </c>
    </row>
    <row r="2069" spans="1:22">
      <c r="A2069" t="str">
        <f t="shared" si="256"/>
        <v>NBN-6x023-B</v>
      </c>
      <c r="B2069" s="403" t="s">
        <v>1388</v>
      </c>
      <c r="C2069" s="403" t="s">
        <v>583</v>
      </c>
      <c r="D2069" s="403" t="s">
        <v>1389</v>
      </c>
      <c r="E2069" s="403" t="s">
        <v>1306</v>
      </c>
      <c r="F2069" s="403" t="s">
        <v>1286</v>
      </c>
      <c r="G2069" s="403" t="s">
        <v>1467</v>
      </c>
      <c r="H2069" s="403" t="s">
        <v>1276</v>
      </c>
      <c r="I2069" s="403">
        <v>1</v>
      </c>
      <c r="J2069" s="403" t="s">
        <v>1277</v>
      </c>
      <c r="K2069" s="403">
        <v>1080</v>
      </c>
      <c r="L2069" s="403">
        <v>1440</v>
      </c>
      <c r="M2069" s="403" t="s">
        <v>1277</v>
      </c>
      <c r="N2069" s="403">
        <v>1080</v>
      </c>
      <c r="O2069" s="403">
        <v>1440</v>
      </c>
      <c r="P2069" t="str">
        <f t="shared" si="257"/>
        <v>30fps 1440x1080 - 1440x1080</v>
      </c>
      <c r="Q2069">
        <f t="shared" si="258"/>
        <v>11</v>
      </c>
      <c r="R2069" t="str">
        <f t="shared" si="259"/>
        <v/>
      </c>
      <c r="S2069" t="str">
        <f t="shared" si="260"/>
        <v/>
      </c>
      <c r="T2069" s="403" t="str">
        <f t="shared" si="261"/>
        <v>NBN-6x023-B</v>
      </c>
      <c r="U2069" s="403">
        <f t="shared" si="262"/>
        <v>1</v>
      </c>
      <c r="V2069" s="403" t="str">
        <f t="shared" si="263"/>
        <v>CPP_7</v>
      </c>
    </row>
    <row r="2070" spans="1:22">
      <c r="A2070" t="str">
        <f t="shared" si="256"/>
        <v>NBN-6x023-B</v>
      </c>
      <c r="B2070" s="403" t="s">
        <v>1388</v>
      </c>
      <c r="C2070" s="403" t="s">
        <v>583</v>
      </c>
      <c r="D2070" s="403" t="s">
        <v>1389</v>
      </c>
      <c r="E2070" s="403" t="s">
        <v>1306</v>
      </c>
      <c r="F2070" s="403" t="s">
        <v>1286</v>
      </c>
      <c r="G2070" s="403" t="s">
        <v>1467</v>
      </c>
      <c r="H2070" s="403" t="s">
        <v>1276</v>
      </c>
      <c r="I2070" s="403">
        <v>1</v>
      </c>
      <c r="J2070" s="403" t="s">
        <v>1277</v>
      </c>
      <c r="K2070" s="403">
        <v>1080</v>
      </c>
      <c r="L2070" s="403">
        <v>1440</v>
      </c>
      <c r="M2070" s="403" t="s">
        <v>1278</v>
      </c>
      <c r="N2070" s="403">
        <v>768</v>
      </c>
      <c r="O2070" s="403">
        <v>1024</v>
      </c>
      <c r="P2070" t="str">
        <f t="shared" si="257"/>
        <v>30fps 1440x1080 - 1024x768</v>
      </c>
      <c r="Q2070">
        <f t="shared" si="258"/>
        <v>11</v>
      </c>
      <c r="R2070" t="str">
        <f t="shared" si="259"/>
        <v/>
      </c>
      <c r="S2070" t="str">
        <f t="shared" si="260"/>
        <v/>
      </c>
      <c r="T2070" s="403" t="str">
        <f t="shared" si="261"/>
        <v>NBN-6x023-B</v>
      </c>
      <c r="U2070" s="403">
        <f t="shared" si="262"/>
        <v>1</v>
      </c>
      <c r="V2070" s="403" t="str">
        <f t="shared" si="263"/>
        <v>CPP_7</v>
      </c>
    </row>
    <row r="2071" spans="1:22">
      <c r="A2071" t="str">
        <f t="shared" si="256"/>
        <v>NBN-6x023-B</v>
      </c>
      <c r="B2071" s="403" t="s">
        <v>1388</v>
      </c>
      <c r="C2071" s="403" t="s">
        <v>583</v>
      </c>
      <c r="D2071" s="403" t="s">
        <v>1389</v>
      </c>
      <c r="E2071" s="403" t="s">
        <v>1306</v>
      </c>
      <c r="F2071" s="403" t="s">
        <v>1286</v>
      </c>
      <c r="G2071" s="403" t="s">
        <v>1467</v>
      </c>
      <c r="H2071" s="403" t="s">
        <v>1276</v>
      </c>
      <c r="I2071" s="403">
        <v>1</v>
      </c>
      <c r="J2071" s="403" t="s">
        <v>1277</v>
      </c>
      <c r="K2071" s="403">
        <v>1080</v>
      </c>
      <c r="L2071" s="403">
        <v>1440</v>
      </c>
      <c r="M2071" s="403" t="s">
        <v>111</v>
      </c>
      <c r="N2071" s="403">
        <v>432</v>
      </c>
      <c r="O2071" s="403">
        <v>768</v>
      </c>
      <c r="P2071" t="str">
        <f t="shared" si="257"/>
        <v>30fps 1440x1080 - SD</v>
      </c>
      <c r="Q2071">
        <f t="shared" si="258"/>
        <v>11</v>
      </c>
      <c r="R2071" t="str">
        <f t="shared" si="259"/>
        <v/>
      </c>
      <c r="S2071" t="str">
        <f t="shared" si="260"/>
        <v/>
      </c>
      <c r="T2071" s="403" t="str">
        <f t="shared" si="261"/>
        <v>NBN-6x023-B</v>
      </c>
      <c r="U2071" s="403">
        <f t="shared" si="262"/>
        <v>1</v>
      </c>
      <c r="V2071" s="403" t="str">
        <f t="shared" si="263"/>
        <v>CPP_7</v>
      </c>
    </row>
    <row r="2072" spans="1:22">
      <c r="A2072" t="str">
        <f t="shared" si="256"/>
        <v>NBN-6x023-B</v>
      </c>
      <c r="B2072" s="403" t="s">
        <v>1388</v>
      </c>
      <c r="C2072" s="403" t="s">
        <v>583</v>
      </c>
      <c r="D2072" s="403" t="s">
        <v>1389</v>
      </c>
      <c r="E2072" s="403" t="s">
        <v>1306</v>
      </c>
      <c r="F2072" s="403" t="s">
        <v>1287</v>
      </c>
      <c r="G2072" s="403" t="s">
        <v>1466</v>
      </c>
      <c r="H2072" s="403" t="s">
        <v>1276</v>
      </c>
      <c r="I2072" s="403">
        <v>1</v>
      </c>
      <c r="J2072" s="403" t="s">
        <v>1277</v>
      </c>
      <c r="K2072" s="403">
        <v>1440</v>
      </c>
      <c r="L2072" s="403">
        <v>1080</v>
      </c>
      <c r="M2072" s="403" t="s">
        <v>1277</v>
      </c>
      <c r="N2072" s="403">
        <v>1440</v>
      </c>
      <c r="O2072" s="403">
        <v>1080</v>
      </c>
      <c r="P2072" t="str">
        <f t="shared" si="257"/>
        <v>25fps 1440x1080 - 1440x1080</v>
      </c>
      <c r="Q2072">
        <f t="shared" si="258"/>
        <v>11</v>
      </c>
      <c r="R2072" t="str">
        <f t="shared" si="259"/>
        <v/>
      </c>
      <c r="S2072" t="str">
        <f t="shared" si="260"/>
        <v/>
      </c>
      <c r="T2072" s="403" t="str">
        <f t="shared" si="261"/>
        <v>NBN-6x023-B</v>
      </c>
      <c r="U2072" s="403">
        <f t="shared" si="262"/>
        <v>1</v>
      </c>
      <c r="V2072" s="403" t="str">
        <f t="shared" si="263"/>
        <v>CPP_7</v>
      </c>
    </row>
    <row r="2073" spans="1:22">
      <c r="A2073" t="str">
        <f t="shared" si="256"/>
        <v>NBN-6x023-B</v>
      </c>
      <c r="B2073" s="403" t="s">
        <v>1388</v>
      </c>
      <c r="C2073" s="403" t="s">
        <v>583</v>
      </c>
      <c r="D2073" s="403" t="s">
        <v>1389</v>
      </c>
      <c r="E2073" s="403" t="s">
        <v>1306</v>
      </c>
      <c r="F2073" s="403" t="s">
        <v>1287</v>
      </c>
      <c r="G2073" s="403" t="s">
        <v>1466</v>
      </c>
      <c r="H2073" s="403" t="s">
        <v>1276</v>
      </c>
      <c r="I2073" s="403">
        <v>1</v>
      </c>
      <c r="J2073" s="403" t="s">
        <v>1277</v>
      </c>
      <c r="K2073" s="403">
        <v>1440</v>
      </c>
      <c r="L2073" s="403">
        <v>1080</v>
      </c>
      <c r="M2073" s="403" t="s">
        <v>1313</v>
      </c>
      <c r="N2073" s="403">
        <v>1280</v>
      </c>
      <c r="O2073" s="403">
        <v>960</v>
      </c>
      <c r="P2073" t="str">
        <f t="shared" si="257"/>
        <v>25fps 1440x1080 - 1280x960</v>
      </c>
      <c r="Q2073">
        <f t="shared" si="258"/>
        <v>11</v>
      </c>
      <c r="R2073" t="str">
        <f t="shared" si="259"/>
        <v/>
      </c>
      <c r="S2073" t="str">
        <f t="shared" si="260"/>
        <v/>
      </c>
      <c r="T2073" s="403" t="str">
        <f t="shared" si="261"/>
        <v>NBN-6x023-B</v>
      </c>
      <c r="U2073" s="403">
        <f t="shared" si="262"/>
        <v>1</v>
      </c>
      <c r="V2073" s="403" t="str">
        <f t="shared" si="263"/>
        <v>CPP_7</v>
      </c>
    </row>
    <row r="2074" spans="1:22">
      <c r="A2074" t="str">
        <f t="shared" si="256"/>
        <v>NBN-6x023-B</v>
      </c>
      <c r="B2074" s="403" t="s">
        <v>1388</v>
      </c>
      <c r="C2074" s="403" t="s">
        <v>583</v>
      </c>
      <c r="D2074" s="403" t="s">
        <v>1389</v>
      </c>
      <c r="E2074" s="403" t="s">
        <v>1306</v>
      </c>
      <c r="F2074" s="403" t="s">
        <v>1287</v>
      </c>
      <c r="G2074" s="403" t="s">
        <v>1466</v>
      </c>
      <c r="H2074" s="403" t="s">
        <v>1276</v>
      </c>
      <c r="I2074" s="403">
        <v>1</v>
      </c>
      <c r="J2074" s="403" t="s">
        <v>1277</v>
      </c>
      <c r="K2074" s="403">
        <v>1440</v>
      </c>
      <c r="L2074" s="403">
        <v>1080</v>
      </c>
      <c r="M2074" s="403" t="s">
        <v>1278</v>
      </c>
      <c r="N2074" s="403">
        <v>1024</v>
      </c>
      <c r="O2074" s="403">
        <v>768</v>
      </c>
      <c r="P2074" t="str">
        <f t="shared" si="257"/>
        <v>25fps 1440x1080 - 1024x768</v>
      </c>
      <c r="Q2074">
        <f t="shared" si="258"/>
        <v>11</v>
      </c>
      <c r="R2074" t="str">
        <f t="shared" si="259"/>
        <v/>
      </c>
      <c r="S2074" t="str">
        <f t="shared" si="260"/>
        <v/>
      </c>
      <c r="T2074" s="403" t="str">
        <f t="shared" si="261"/>
        <v>NBN-6x023-B</v>
      </c>
      <c r="U2074" s="403">
        <f t="shared" si="262"/>
        <v>1</v>
      </c>
      <c r="V2074" s="403" t="str">
        <f t="shared" si="263"/>
        <v>CPP_7</v>
      </c>
    </row>
    <row r="2075" spans="1:22">
      <c r="A2075" t="str">
        <f t="shared" si="256"/>
        <v>NBN-6x023-B</v>
      </c>
      <c r="B2075" s="403" t="s">
        <v>1388</v>
      </c>
      <c r="C2075" s="403" t="s">
        <v>583</v>
      </c>
      <c r="D2075" s="403" t="s">
        <v>1389</v>
      </c>
      <c r="E2075" s="403" t="s">
        <v>1306</v>
      </c>
      <c r="F2075" s="403" t="s">
        <v>1287</v>
      </c>
      <c r="G2075" s="403" t="s">
        <v>1466</v>
      </c>
      <c r="H2075" s="403" t="s">
        <v>1276</v>
      </c>
      <c r="I2075" s="403">
        <v>1</v>
      </c>
      <c r="J2075" s="403" t="s">
        <v>1277</v>
      </c>
      <c r="K2075" s="403">
        <v>1440</v>
      </c>
      <c r="L2075" s="403">
        <v>1080</v>
      </c>
      <c r="M2075" s="403" t="s">
        <v>111</v>
      </c>
      <c r="N2075" s="403">
        <v>768</v>
      </c>
      <c r="O2075" s="403">
        <v>432</v>
      </c>
      <c r="P2075" t="str">
        <f t="shared" si="257"/>
        <v>25fps 1440x1080 - SD</v>
      </c>
      <c r="Q2075">
        <f t="shared" si="258"/>
        <v>11</v>
      </c>
      <c r="R2075" t="str">
        <f t="shared" si="259"/>
        <v/>
      </c>
      <c r="S2075" t="str">
        <f t="shared" si="260"/>
        <v/>
      </c>
      <c r="T2075" s="403" t="str">
        <f t="shared" si="261"/>
        <v>NBN-6x023-B</v>
      </c>
      <c r="U2075" s="403">
        <f t="shared" si="262"/>
        <v>1</v>
      </c>
      <c r="V2075" s="403" t="str">
        <f t="shared" si="263"/>
        <v>CPP_7</v>
      </c>
    </row>
    <row r="2076" spans="1:22">
      <c r="A2076" t="str">
        <f t="shared" si="256"/>
        <v>NBN-6x023-B</v>
      </c>
      <c r="B2076" s="403" t="s">
        <v>1388</v>
      </c>
      <c r="C2076" s="403" t="s">
        <v>583</v>
      </c>
      <c r="D2076" s="403" t="s">
        <v>1389</v>
      </c>
      <c r="E2076" s="403" t="s">
        <v>1306</v>
      </c>
      <c r="F2076" s="403" t="s">
        <v>1287</v>
      </c>
      <c r="G2076" s="403" t="s">
        <v>1467</v>
      </c>
      <c r="H2076" s="403" t="s">
        <v>1276</v>
      </c>
      <c r="I2076" s="403">
        <v>1</v>
      </c>
      <c r="J2076" s="403" t="s">
        <v>1277</v>
      </c>
      <c r="K2076" s="403">
        <v>1080</v>
      </c>
      <c r="L2076" s="403">
        <v>1440</v>
      </c>
      <c r="M2076" s="403" t="s">
        <v>1277</v>
      </c>
      <c r="N2076" s="403">
        <v>1080</v>
      </c>
      <c r="O2076" s="403">
        <v>1440</v>
      </c>
      <c r="P2076" t="str">
        <f t="shared" si="257"/>
        <v>25fps 1440x1080 - 1440x1080</v>
      </c>
      <c r="Q2076">
        <f t="shared" si="258"/>
        <v>11</v>
      </c>
      <c r="R2076" t="str">
        <f t="shared" si="259"/>
        <v/>
      </c>
      <c r="S2076" t="str">
        <f t="shared" si="260"/>
        <v/>
      </c>
      <c r="T2076" s="403" t="str">
        <f t="shared" si="261"/>
        <v>NBN-6x023-B</v>
      </c>
      <c r="U2076" s="403">
        <f t="shared" si="262"/>
        <v>1</v>
      </c>
      <c r="V2076" s="403" t="str">
        <f t="shared" si="263"/>
        <v>CPP_7</v>
      </c>
    </row>
    <row r="2077" spans="1:22">
      <c r="A2077" t="str">
        <f t="shared" si="256"/>
        <v>NBN-6x023-B</v>
      </c>
      <c r="B2077" s="403" t="s">
        <v>1388</v>
      </c>
      <c r="C2077" s="403" t="s">
        <v>583</v>
      </c>
      <c r="D2077" s="403" t="s">
        <v>1389</v>
      </c>
      <c r="E2077" s="403" t="s">
        <v>1306</v>
      </c>
      <c r="F2077" s="403" t="s">
        <v>1287</v>
      </c>
      <c r="G2077" s="403" t="s">
        <v>1467</v>
      </c>
      <c r="H2077" s="403" t="s">
        <v>1276</v>
      </c>
      <c r="I2077" s="403">
        <v>1</v>
      </c>
      <c r="J2077" s="403" t="s">
        <v>1277</v>
      </c>
      <c r="K2077" s="403">
        <v>1080</v>
      </c>
      <c r="L2077" s="403">
        <v>1440</v>
      </c>
      <c r="M2077" s="403" t="s">
        <v>1278</v>
      </c>
      <c r="N2077" s="403">
        <v>768</v>
      </c>
      <c r="O2077" s="403">
        <v>1024</v>
      </c>
      <c r="P2077" t="str">
        <f t="shared" si="257"/>
        <v>25fps 1440x1080 - 1024x768</v>
      </c>
      <c r="Q2077">
        <f t="shared" si="258"/>
        <v>11</v>
      </c>
      <c r="R2077" t="str">
        <f t="shared" si="259"/>
        <v/>
      </c>
      <c r="S2077" t="str">
        <f t="shared" si="260"/>
        <v/>
      </c>
      <c r="T2077" s="403" t="str">
        <f t="shared" si="261"/>
        <v>NBN-6x023-B</v>
      </c>
      <c r="U2077" s="403">
        <f t="shared" si="262"/>
        <v>1</v>
      </c>
      <c r="V2077" s="403" t="str">
        <f t="shared" si="263"/>
        <v>CPP_7</v>
      </c>
    </row>
    <row r="2078" spans="1:22">
      <c r="A2078" t="str">
        <f t="shared" si="256"/>
        <v>NBN-6x023-B</v>
      </c>
      <c r="B2078" s="403" t="s">
        <v>1388</v>
      </c>
      <c r="C2078" s="403" t="s">
        <v>583</v>
      </c>
      <c r="D2078" s="403" t="s">
        <v>1389</v>
      </c>
      <c r="E2078" s="403" t="s">
        <v>1306</v>
      </c>
      <c r="F2078" s="403" t="s">
        <v>1287</v>
      </c>
      <c r="G2078" s="403" t="s">
        <v>1467</v>
      </c>
      <c r="H2078" s="403" t="s">
        <v>1276</v>
      </c>
      <c r="I2078" s="403">
        <v>1</v>
      </c>
      <c r="J2078" s="403" t="s">
        <v>1277</v>
      </c>
      <c r="K2078" s="403">
        <v>1080</v>
      </c>
      <c r="L2078" s="403">
        <v>1440</v>
      </c>
      <c r="M2078" s="403" t="s">
        <v>111</v>
      </c>
      <c r="N2078" s="403">
        <v>432</v>
      </c>
      <c r="O2078" s="403">
        <v>768</v>
      </c>
      <c r="P2078" t="str">
        <f t="shared" si="257"/>
        <v>25fps 1440x1080 - SD</v>
      </c>
      <c r="Q2078">
        <f t="shared" si="258"/>
        <v>11</v>
      </c>
      <c r="R2078" t="str">
        <f t="shared" si="259"/>
        <v/>
      </c>
      <c r="S2078" t="str">
        <f t="shared" si="260"/>
        <v/>
      </c>
      <c r="T2078" s="403" t="str">
        <f t="shared" si="261"/>
        <v>NBN-6x023-B</v>
      </c>
      <c r="U2078" s="403">
        <f t="shared" si="262"/>
        <v>1</v>
      </c>
      <c r="V2078" s="403" t="str">
        <f t="shared" si="263"/>
        <v>CPP_7</v>
      </c>
    </row>
    <row r="2079" spans="1:22">
      <c r="A2079" t="str">
        <f t="shared" si="256"/>
        <v>NBN-6x023-B</v>
      </c>
      <c r="B2079" s="403" t="s">
        <v>1388</v>
      </c>
      <c r="C2079" s="403" t="s">
        <v>583</v>
      </c>
      <c r="D2079" s="403" t="s">
        <v>1389</v>
      </c>
      <c r="E2079" s="403" t="s">
        <v>1306</v>
      </c>
      <c r="F2079" s="403" t="s">
        <v>1288</v>
      </c>
      <c r="G2079" s="403" t="s">
        <v>1466</v>
      </c>
      <c r="H2079" s="403" t="s">
        <v>1276</v>
      </c>
      <c r="I2079" s="403">
        <v>1</v>
      </c>
      <c r="J2079" s="403" t="s">
        <v>110</v>
      </c>
      <c r="K2079" s="403">
        <v>1920</v>
      </c>
      <c r="L2079" s="403">
        <v>1080</v>
      </c>
      <c r="M2079" s="403" t="s">
        <v>1280</v>
      </c>
      <c r="N2079" s="403">
        <v>1920</v>
      </c>
      <c r="O2079" s="403">
        <v>1080</v>
      </c>
      <c r="P2079" t="str">
        <f t="shared" si="257"/>
        <v>60fps 1080p - copy other stream</v>
      </c>
      <c r="Q2079">
        <f t="shared" si="258"/>
        <v>11</v>
      </c>
      <c r="R2079" t="str">
        <f t="shared" si="259"/>
        <v/>
      </c>
      <c r="S2079" t="str">
        <f t="shared" si="260"/>
        <v/>
      </c>
      <c r="T2079" s="403" t="str">
        <f t="shared" si="261"/>
        <v>NBN-6x023-B</v>
      </c>
      <c r="U2079" s="403">
        <f t="shared" si="262"/>
        <v>1</v>
      </c>
      <c r="V2079" s="403" t="str">
        <f t="shared" si="263"/>
        <v>CPP_7</v>
      </c>
    </row>
    <row r="2080" spans="1:22">
      <c r="A2080" t="str">
        <f t="shared" si="256"/>
        <v>NBN-6x023-B</v>
      </c>
      <c r="B2080" s="403" t="s">
        <v>1388</v>
      </c>
      <c r="C2080" s="403" t="s">
        <v>583</v>
      </c>
      <c r="D2080" s="403" t="s">
        <v>1389</v>
      </c>
      <c r="E2080" s="403" t="s">
        <v>1306</v>
      </c>
      <c r="F2080" s="403" t="s">
        <v>1288</v>
      </c>
      <c r="G2080" s="403" t="s">
        <v>1466</v>
      </c>
      <c r="H2080" s="403" t="s">
        <v>1276</v>
      </c>
      <c r="I2080" s="403">
        <v>1</v>
      </c>
      <c r="J2080" s="403" t="s">
        <v>1289</v>
      </c>
      <c r="K2080" s="403">
        <v>1280</v>
      </c>
      <c r="L2080" s="403">
        <v>720</v>
      </c>
      <c r="M2080" s="403" t="s">
        <v>1289</v>
      </c>
      <c r="N2080" s="403">
        <v>1280</v>
      </c>
      <c r="O2080" s="403">
        <v>720</v>
      </c>
      <c r="P2080" t="str">
        <f t="shared" si="257"/>
        <v>60fps 720p full frame rate - 720p full frame rate</v>
      </c>
      <c r="Q2080">
        <f t="shared" si="258"/>
        <v>11</v>
      </c>
      <c r="R2080" t="str">
        <f t="shared" si="259"/>
        <v/>
      </c>
      <c r="S2080" t="str">
        <f t="shared" si="260"/>
        <v/>
      </c>
      <c r="T2080" s="403" t="str">
        <f t="shared" si="261"/>
        <v>NBN-6x023-B</v>
      </c>
      <c r="U2080" s="403">
        <f t="shared" si="262"/>
        <v>1</v>
      </c>
      <c r="V2080" s="403" t="str">
        <f t="shared" si="263"/>
        <v>CPP_7</v>
      </c>
    </row>
    <row r="2081" spans="1:22">
      <c r="A2081" t="str">
        <f t="shared" si="256"/>
        <v>NBN-6x023-B</v>
      </c>
      <c r="B2081" s="403" t="s">
        <v>1388</v>
      </c>
      <c r="C2081" s="403" t="s">
        <v>583</v>
      </c>
      <c r="D2081" s="403" t="s">
        <v>1389</v>
      </c>
      <c r="E2081" s="403" t="s">
        <v>1306</v>
      </c>
      <c r="F2081" s="403" t="s">
        <v>1288</v>
      </c>
      <c r="G2081" s="403" t="s">
        <v>1466</v>
      </c>
      <c r="H2081" s="403" t="s">
        <v>1276</v>
      </c>
      <c r="I2081" s="403">
        <v>1</v>
      </c>
      <c r="J2081" s="403" t="s">
        <v>1289</v>
      </c>
      <c r="K2081" s="403">
        <v>1280</v>
      </c>
      <c r="L2081" s="403">
        <v>720</v>
      </c>
      <c r="M2081" s="403" t="s">
        <v>111</v>
      </c>
      <c r="N2081" s="403">
        <v>768</v>
      </c>
      <c r="O2081" s="403">
        <v>432</v>
      </c>
      <c r="P2081" t="str">
        <f t="shared" si="257"/>
        <v>60fps 720p full frame rate - SD</v>
      </c>
      <c r="Q2081">
        <f t="shared" si="258"/>
        <v>11</v>
      </c>
      <c r="R2081" t="str">
        <f t="shared" si="259"/>
        <v/>
      </c>
      <c r="S2081" t="str">
        <f t="shared" si="260"/>
        <v/>
      </c>
      <c r="T2081" s="403" t="str">
        <f t="shared" si="261"/>
        <v>NBN-6x023-B</v>
      </c>
      <c r="U2081" s="403">
        <f t="shared" si="262"/>
        <v>1</v>
      </c>
      <c r="V2081" s="403" t="str">
        <f t="shared" si="263"/>
        <v>CPP_7</v>
      </c>
    </row>
    <row r="2082" spans="1:22">
      <c r="A2082" t="str">
        <f t="shared" si="256"/>
        <v>NBN-6x023-B</v>
      </c>
      <c r="B2082" s="403" t="s">
        <v>1388</v>
      </c>
      <c r="C2082" s="403" t="s">
        <v>583</v>
      </c>
      <c r="D2082" s="403" t="s">
        <v>1389</v>
      </c>
      <c r="E2082" s="403" t="s">
        <v>1306</v>
      </c>
      <c r="F2082" s="403" t="s">
        <v>1288</v>
      </c>
      <c r="G2082" s="403" t="s">
        <v>1466</v>
      </c>
      <c r="H2082" s="403" t="s">
        <v>1276</v>
      </c>
      <c r="I2082" s="403">
        <v>1</v>
      </c>
      <c r="J2082" s="403" t="s">
        <v>1289</v>
      </c>
      <c r="K2082" s="403">
        <v>1280</v>
      </c>
      <c r="L2082" s="403">
        <v>720</v>
      </c>
      <c r="M2082" s="403" t="s">
        <v>1279</v>
      </c>
      <c r="N2082" s="403">
        <v>768</v>
      </c>
      <c r="O2082" s="403">
        <v>432</v>
      </c>
      <c r="P2082" t="str">
        <f t="shared" si="257"/>
        <v>60fps 720p full frame rate - SD ROI PTZ</v>
      </c>
      <c r="Q2082">
        <f t="shared" si="258"/>
        <v>11</v>
      </c>
      <c r="R2082" t="str">
        <f t="shared" si="259"/>
        <v/>
      </c>
      <c r="S2082" t="str">
        <f t="shared" si="260"/>
        <v/>
      </c>
      <c r="T2082" s="403" t="str">
        <f t="shared" si="261"/>
        <v>NBN-6x023-B</v>
      </c>
      <c r="U2082" s="403">
        <f t="shared" si="262"/>
        <v>1</v>
      </c>
      <c r="V2082" s="403" t="str">
        <f t="shared" si="263"/>
        <v>CPP_7</v>
      </c>
    </row>
    <row r="2083" spans="1:22">
      <c r="A2083" t="str">
        <f t="shared" si="256"/>
        <v>NBN-6x023-B</v>
      </c>
      <c r="B2083" s="403" t="s">
        <v>1388</v>
      </c>
      <c r="C2083" s="403" t="s">
        <v>583</v>
      </c>
      <c r="D2083" s="403" t="s">
        <v>1389</v>
      </c>
      <c r="E2083" s="403" t="s">
        <v>1306</v>
      </c>
      <c r="F2083" s="403" t="s">
        <v>1288</v>
      </c>
      <c r="G2083" s="403" t="s">
        <v>1466</v>
      </c>
      <c r="H2083" s="403" t="s">
        <v>1276</v>
      </c>
      <c r="I2083" s="403">
        <v>1</v>
      </c>
      <c r="J2083" s="403" t="s">
        <v>1289</v>
      </c>
      <c r="K2083" s="403">
        <v>1280</v>
      </c>
      <c r="L2083" s="403">
        <v>720</v>
      </c>
      <c r="M2083" s="403" t="s">
        <v>1298</v>
      </c>
      <c r="N2083" s="403">
        <v>768</v>
      </c>
      <c r="O2083" s="403">
        <v>432</v>
      </c>
      <c r="P2083" t="str">
        <f t="shared" si="257"/>
        <v>60fps 720p full frame rate - SD dual stream with independent ROI PTZ</v>
      </c>
      <c r="Q2083">
        <f t="shared" si="258"/>
        <v>11</v>
      </c>
      <c r="R2083" t="str">
        <f t="shared" si="259"/>
        <v/>
      </c>
      <c r="S2083" t="str">
        <f t="shared" si="260"/>
        <v/>
      </c>
      <c r="T2083" s="403" t="str">
        <f t="shared" si="261"/>
        <v>NBN-6x023-B</v>
      </c>
      <c r="U2083" s="403">
        <f t="shared" si="262"/>
        <v>1</v>
      </c>
      <c r="V2083" s="403" t="str">
        <f t="shared" si="263"/>
        <v>CPP_7</v>
      </c>
    </row>
    <row r="2084" spans="1:22">
      <c r="A2084" t="str">
        <f t="shared" si="256"/>
        <v>NBN-6x023-B</v>
      </c>
      <c r="B2084" s="403" t="s">
        <v>1388</v>
      </c>
      <c r="C2084" s="403" t="s">
        <v>583</v>
      </c>
      <c r="D2084" s="403" t="s">
        <v>1389</v>
      </c>
      <c r="E2084" s="403" t="s">
        <v>1306</v>
      </c>
      <c r="F2084" s="403" t="s">
        <v>1288</v>
      </c>
      <c r="G2084" s="403" t="s">
        <v>1466</v>
      </c>
      <c r="H2084" s="403" t="s">
        <v>1276</v>
      </c>
      <c r="I2084" s="403">
        <v>1</v>
      </c>
      <c r="J2084" s="403" t="s">
        <v>1289</v>
      </c>
      <c r="K2084" s="403">
        <v>1280</v>
      </c>
      <c r="L2084" s="403">
        <v>720</v>
      </c>
      <c r="M2084" s="403" t="s">
        <v>1301</v>
      </c>
      <c r="N2084" s="403">
        <v>1280</v>
      </c>
      <c r="O2084" s="403">
        <v>720</v>
      </c>
      <c r="P2084" t="str">
        <f t="shared" si="257"/>
        <v>60fps 720p full frame rate - 720p skip=4</v>
      </c>
      <c r="Q2084">
        <f t="shared" si="258"/>
        <v>11</v>
      </c>
      <c r="R2084" t="str">
        <f t="shared" si="259"/>
        <v/>
      </c>
      <c r="S2084" t="str">
        <f t="shared" si="260"/>
        <v/>
      </c>
      <c r="T2084" s="403" t="str">
        <f t="shared" si="261"/>
        <v>NBN-6x023-B</v>
      </c>
      <c r="U2084" s="403">
        <f t="shared" si="262"/>
        <v>1</v>
      </c>
      <c r="V2084" s="403" t="str">
        <f t="shared" si="263"/>
        <v>CPP_7</v>
      </c>
    </row>
    <row r="2085" spans="1:22">
      <c r="A2085" t="str">
        <f t="shared" si="256"/>
        <v>NBN-6x023-B</v>
      </c>
      <c r="B2085" s="403" t="s">
        <v>1388</v>
      </c>
      <c r="C2085" s="403" t="s">
        <v>583</v>
      </c>
      <c r="D2085" s="403" t="s">
        <v>1389</v>
      </c>
      <c r="E2085" s="403" t="s">
        <v>1306</v>
      </c>
      <c r="F2085" s="403" t="s">
        <v>1288</v>
      </c>
      <c r="G2085" s="403" t="s">
        <v>1466</v>
      </c>
      <c r="H2085" s="403" t="s">
        <v>1276</v>
      </c>
      <c r="I2085" s="403">
        <v>1</v>
      </c>
      <c r="J2085" s="403" t="s">
        <v>1289</v>
      </c>
      <c r="K2085" s="403">
        <v>1280</v>
      </c>
      <c r="L2085" s="403">
        <v>720</v>
      </c>
      <c r="M2085" s="403" t="s">
        <v>1280</v>
      </c>
      <c r="N2085" s="403">
        <v>1280</v>
      </c>
      <c r="O2085" s="403">
        <v>720</v>
      </c>
      <c r="P2085" t="str">
        <f t="shared" si="257"/>
        <v>60fps 720p full frame rate - copy other stream</v>
      </c>
      <c r="Q2085">
        <f t="shared" si="258"/>
        <v>11</v>
      </c>
      <c r="R2085" t="str">
        <f t="shared" si="259"/>
        <v/>
      </c>
      <c r="S2085" t="str">
        <f t="shared" si="260"/>
        <v/>
      </c>
      <c r="T2085" s="403" t="str">
        <f t="shared" si="261"/>
        <v>NBN-6x023-B</v>
      </c>
      <c r="U2085" s="403">
        <f t="shared" si="262"/>
        <v>1</v>
      </c>
      <c r="V2085" s="403" t="str">
        <f t="shared" si="263"/>
        <v>CPP_7</v>
      </c>
    </row>
    <row r="2086" spans="1:22">
      <c r="A2086" t="str">
        <f t="shared" si="256"/>
        <v>NBN-6x023-B</v>
      </c>
      <c r="B2086" s="403" t="s">
        <v>1388</v>
      </c>
      <c r="C2086" s="403" t="s">
        <v>583</v>
      </c>
      <c r="D2086" s="403" t="s">
        <v>1389</v>
      </c>
      <c r="E2086" s="403" t="s">
        <v>1306</v>
      </c>
      <c r="F2086" s="403" t="s">
        <v>1288</v>
      </c>
      <c r="G2086" s="403" t="s">
        <v>1466</v>
      </c>
      <c r="H2086" s="403" t="s">
        <v>1276</v>
      </c>
      <c r="I2086" s="403">
        <v>1</v>
      </c>
      <c r="J2086" s="403" t="s">
        <v>1289</v>
      </c>
      <c r="K2086" s="403">
        <v>1280</v>
      </c>
      <c r="L2086" s="403">
        <v>720</v>
      </c>
      <c r="M2086" s="403" t="s">
        <v>1302</v>
      </c>
      <c r="N2086" s="403">
        <v>400</v>
      </c>
      <c r="O2086" s="403">
        <v>720</v>
      </c>
      <c r="P2086" t="str">
        <f t="shared" si="257"/>
        <v>60fps 720p full frame rate - 400x720 upright (cropped)</v>
      </c>
      <c r="Q2086">
        <f t="shared" si="258"/>
        <v>11</v>
      </c>
      <c r="R2086" t="str">
        <f t="shared" si="259"/>
        <v/>
      </c>
      <c r="S2086" t="str">
        <f t="shared" si="260"/>
        <v/>
      </c>
      <c r="T2086" s="403" t="str">
        <f t="shared" si="261"/>
        <v>NBN-6x023-B</v>
      </c>
      <c r="U2086" s="403">
        <f t="shared" si="262"/>
        <v>1</v>
      </c>
      <c r="V2086" s="403" t="str">
        <f t="shared" si="263"/>
        <v>CPP_7</v>
      </c>
    </row>
    <row r="2087" spans="1:22">
      <c r="A2087" t="str">
        <f t="shared" si="256"/>
        <v>NBN-6x023-B</v>
      </c>
      <c r="B2087" s="403" t="s">
        <v>1388</v>
      </c>
      <c r="C2087" s="403" t="s">
        <v>583</v>
      </c>
      <c r="D2087" s="403" t="s">
        <v>1389</v>
      </c>
      <c r="E2087" s="403" t="s">
        <v>1306</v>
      </c>
      <c r="F2087" s="403" t="s">
        <v>1288</v>
      </c>
      <c r="G2087" s="403" t="s">
        <v>1466</v>
      </c>
      <c r="H2087" s="403" t="s">
        <v>1276</v>
      </c>
      <c r="I2087" s="403">
        <v>1</v>
      </c>
      <c r="J2087" s="403" t="s">
        <v>1289</v>
      </c>
      <c r="K2087" s="403">
        <v>1280</v>
      </c>
      <c r="L2087" s="403">
        <v>720</v>
      </c>
      <c r="M2087" s="403" t="s">
        <v>1283</v>
      </c>
      <c r="N2087" s="403">
        <v>704</v>
      </c>
      <c r="O2087" s="403">
        <v>480</v>
      </c>
      <c r="P2087" t="str">
        <f t="shared" si="257"/>
        <v>60fps 720p full frame rate - SD 4CIF resolution 4:3 format (cropped)</v>
      </c>
      <c r="Q2087">
        <f t="shared" si="258"/>
        <v>11</v>
      </c>
      <c r="R2087" t="str">
        <f t="shared" si="259"/>
        <v/>
      </c>
      <c r="S2087" t="str">
        <f t="shared" si="260"/>
        <v/>
      </c>
      <c r="T2087" s="403" t="str">
        <f t="shared" si="261"/>
        <v>NBN-6x023-B</v>
      </c>
      <c r="U2087" s="403">
        <f t="shared" si="262"/>
        <v>1</v>
      </c>
      <c r="V2087" s="403" t="str">
        <f t="shared" si="263"/>
        <v>CPP_7</v>
      </c>
    </row>
    <row r="2088" spans="1:22">
      <c r="A2088" t="str">
        <f t="shared" si="256"/>
        <v>NBN-6x023-B</v>
      </c>
      <c r="B2088" s="403" t="s">
        <v>1388</v>
      </c>
      <c r="C2088" s="403" t="s">
        <v>583</v>
      </c>
      <c r="D2088" s="403" t="s">
        <v>1389</v>
      </c>
      <c r="E2088" s="403" t="s">
        <v>1306</v>
      </c>
      <c r="F2088" s="403" t="s">
        <v>1288</v>
      </c>
      <c r="G2088" s="403" t="s">
        <v>1466</v>
      </c>
      <c r="H2088" s="403" t="s">
        <v>1276</v>
      </c>
      <c r="I2088" s="403">
        <v>1</v>
      </c>
      <c r="J2088" s="403" t="s">
        <v>1289</v>
      </c>
      <c r="K2088" s="403">
        <v>1280</v>
      </c>
      <c r="L2088" s="403">
        <v>720</v>
      </c>
      <c r="M2088" s="403" t="s">
        <v>1284</v>
      </c>
      <c r="N2088" s="403">
        <v>640</v>
      </c>
      <c r="O2088" s="403">
        <v>480</v>
      </c>
      <c r="P2088" t="str">
        <f t="shared" si="257"/>
        <v>60fps 720p full frame rate - SD VGA (cropped)</v>
      </c>
      <c r="Q2088">
        <f t="shared" si="258"/>
        <v>11</v>
      </c>
      <c r="R2088" t="str">
        <f t="shared" si="259"/>
        <v/>
      </c>
      <c r="S2088" t="str">
        <f t="shared" si="260"/>
        <v/>
      </c>
      <c r="T2088" s="403" t="str">
        <f t="shared" si="261"/>
        <v>NBN-6x023-B</v>
      </c>
      <c r="U2088" s="403">
        <f t="shared" si="262"/>
        <v>1</v>
      </c>
      <c r="V2088" s="403" t="str">
        <f t="shared" si="263"/>
        <v>CPP_7</v>
      </c>
    </row>
    <row r="2089" spans="1:22">
      <c r="A2089" t="str">
        <f t="shared" si="256"/>
        <v>NBN-6x023-B</v>
      </c>
      <c r="B2089" s="403" t="s">
        <v>1388</v>
      </c>
      <c r="C2089" s="403" t="s">
        <v>583</v>
      </c>
      <c r="D2089" s="403" t="s">
        <v>1389</v>
      </c>
      <c r="E2089" s="403" t="s">
        <v>1306</v>
      </c>
      <c r="F2089" s="403" t="s">
        <v>1288</v>
      </c>
      <c r="G2089" s="403" t="s">
        <v>1466</v>
      </c>
      <c r="H2089" s="403" t="s">
        <v>1276</v>
      </c>
      <c r="I2089" s="403">
        <v>1</v>
      </c>
      <c r="J2089" s="403" t="s">
        <v>111</v>
      </c>
      <c r="K2089" s="403">
        <v>768</v>
      </c>
      <c r="L2089" s="403">
        <v>432</v>
      </c>
      <c r="M2089" s="403" t="s">
        <v>111</v>
      </c>
      <c r="N2089" s="403">
        <v>768</v>
      </c>
      <c r="O2089" s="403">
        <v>432</v>
      </c>
      <c r="P2089" t="str">
        <f t="shared" si="257"/>
        <v>60fps SD - SD</v>
      </c>
      <c r="Q2089">
        <f t="shared" si="258"/>
        <v>11</v>
      </c>
      <c r="R2089" t="str">
        <f t="shared" si="259"/>
        <v/>
      </c>
      <c r="S2089" t="str">
        <f t="shared" si="260"/>
        <v/>
      </c>
      <c r="T2089" s="403" t="str">
        <f t="shared" si="261"/>
        <v>NBN-6x023-B</v>
      </c>
      <c r="U2089" s="403">
        <f t="shared" si="262"/>
        <v>1</v>
      </c>
      <c r="V2089" s="403" t="str">
        <f t="shared" si="263"/>
        <v>CPP_7</v>
      </c>
    </row>
    <row r="2090" spans="1:22">
      <c r="A2090" t="str">
        <f t="shared" si="256"/>
        <v>NBN-6x023-B</v>
      </c>
      <c r="B2090" s="403" t="s">
        <v>1388</v>
      </c>
      <c r="C2090" s="403" t="s">
        <v>583</v>
      </c>
      <c r="D2090" s="403" t="s">
        <v>1389</v>
      </c>
      <c r="E2090" s="403" t="s">
        <v>1306</v>
      </c>
      <c r="F2090" s="403" t="s">
        <v>1288</v>
      </c>
      <c r="G2090" s="403" t="s">
        <v>1467</v>
      </c>
      <c r="H2090" s="403" t="s">
        <v>1276</v>
      </c>
      <c r="I2090" s="403">
        <v>1</v>
      </c>
      <c r="J2090" s="403" t="s">
        <v>110</v>
      </c>
      <c r="K2090" s="403">
        <v>1080</v>
      </c>
      <c r="L2090" s="403">
        <v>1920</v>
      </c>
      <c r="M2090" s="403" t="s">
        <v>1280</v>
      </c>
      <c r="N2090" s="403">
        <v>1080</v>
      </c>
      <c r="O2090" s="403">
        <v>1920</v>
      </c>
      <c r="P2090" t="str">
        <f t="shared" si="257"/>
        <v>60fps 1080p - copy other stream</v>
      </c>
      <c r="Q2090">
        <f t="shared" si="258"/>
        <v>11</v>
      </c>
      <c r="R2090" t="str">
        <f t="shared" si="259"/>
        <v/>
      </c>
      <c r="S2090" t="str">
        <f t="shared" si="260"/>
        <v/>
      </c>
      <c r="T2090" s="403" t="str">
        <f t="shared" si="261"/>
        <v>NBN-6x023-B</v>
      </c>
      <c r="U2090" s="403">
        <f t="shared" si="262"/>
        <v>1</v>
      </c>
      <c r="V2090" s="403" t="str">
        <f t="shared" si="263"/>
        <v>CPP_7</v>
      </c>
    </row>
    <row r="2091" spans="1:22">
      <c r="A2091" t="str">
        <f t="shared" si="256"/>
        <v>NBN-6x023-B</v>
      </c>
      <c r="B2091" s="403" t="s">
        <v>1388</v>
      </c>
      <c r="C2091" s="403" t="s">
        <v>583</v>
      </c>
      <c r="D2091" s="403" t="s">
        <v>1389</v>
      </c>
      <c r="E2091" s="403" t="s">
        <v>1306</v>
      </c>
      <c r="F2091" s="403" t="s">
        <v>1288</v>
      </c>
      <c r="G2091" s="403" t="s">
        <v>1467</v>
      </c>
      <c r="H2091" s="403" t="s">
        <v>1276</v>
      </c>
      <c r="I2091" s="403">
        <v>1</v>
      </c>
      <c r="J2091" s="403" t="s">
        <v>1289</v>
      </c>
      <c r="K2091" s="403">
        <v>720</v>
      </c>
      <c r="L2091" s="403">
        <v>1280</v>
      </c>
      <c r="M2091" s="403" t="s">
        <v>1289</v>
      </c>
      <c r="N2091" s="403">
        <v>720</v>
      </c>
      <c r="O2091" s="403">
        <v>1280</v>
      </c>
      <c r="P2091" t="str">
        <f t="shared" si="257"/>
        <v>60fps 720p full frame rate - 720p full frame rate</v>
      </c>
      <c r="Q2091">
        <f t="shared" si="258"/>
        <v>11</v>
      </c>
      <c r="R2091" t="str">
        <f t="shared" si="259"/>
        <v/>
      </c>
      <c r="S2091" t="str">
        <f t="shared" si="260"/>
        <v/>
      </c>
      <c r="T2091" s="403" t="str">
        <f t="shared" si="261"/>
        <v>NBN-6x023-B</v>
      </c>
      <c r="U2091" s="403">
        <f t="shared" si="262"/>
        <v>1</v>
      </c>
      <c r="V2091" s="403" t="str">
        <f t="shared" si="263"/>
        <v>CPP_7</v>
      </c>
    </row>
    <row r="2092" spans="1:22">
      <c r="A2092" t="str">
        <f t="shared" si="256"/>
        <v>NBN-6x023-B</v>
      </c>
      <c r="B2092" s="403" t="s">
        <v>1388</v>
      </c>
      <c r="C2092" s="403" t="s">
        <v>583</v>
      </c>
      <c r="D2092" s="403" t="s">
        <v>1389</v>
      </c>
      <c r="E2092" s="403" t="s">
        <v>1306</v>
      </c>
      <c r="F2092" s="403" t="s">
        <v>1288</v>
      </c>
      <c r="G2092" s="403" t="s">
        <v>1467</v>
      </c>
      <c r="H2092" s="403" t="s">
        <v>1276</v>
      </c>
      <c r="I2092" s="403">
        <v>1</v>
      </c>
      <c r="J2092" s="403" t="s">
        <v>1289</v>
      </c>
      <c r="K2092" s="403">
        <v>720</v>
      </c>
      <c r="L2092" s="403">
        <v>1280</v>
      </c>
      <c r="M2092" s="403" t="s">
        <v>111</v>
      </c>
      <c r="N2092" s="403">
        <v>432</v>
      </c>
      <c r="O2092" s="403">
        <v>768</v>
      </c>
      <c r="P2092" t="str">
        <f t="shared" si="257"/>
        <v>60fps 720p full frame rate - SD</v>
      </c>
      <c r="Q2092">
        <f t="shared" si="258"/>
        <v>11</v>
      </c>
      <c r="R2092" t="str">
        <f t="shared" si="259"/>
        <v/>
      </c>
      <c r="S2092" t="str">
        <f t="shared" si="260"/>
        <v/>
      </c>
      <c r="T2092" s="403" t="str">
        <f t="shared" si="261"/>
        <v>NBN-6x023-B</v>
      </c>
      <c r="U2092" s="403">
        <f t="shared" si="262"/>
        <v>1</v>
      </c>
      <c r="V2092" s="403" t="str">
        <f t="shared" si="263"/>
        <v>CPP_7</v>
      </c>
    </row>
    <row r="2093" spans="1:22">
      <c r="A2093" t="str">
        <f t="shared" si="256"/>
        <v>NBN-6x023-B</v>
      </c>
      <c r="B2093" s="403" t="s">
        <v>1388</v>
      </c>
      <c r="C2093" s="403" t="s">
        <v>583</v>
      </c>
      <c r="D2093" s="403" t="s">
        <v>1389</v>
      </c>
      <c r="E2093" s="403" t="s">
        <v>1306</v>
      </c>
      <c r="F2093" s="403" t="s">
        <v>1288</v>
      </c>
      <c r="G2093" s="403" t="s">
        <v>1467</v>
      </c>
      <c r="H2093" s="403" t="s">
        <v>1276</v>
      </c>
      <c r="I2093" s="403">
        <v>1</v>
      </c>
      <c r="J2093" s="403" t="s">
        <v>1289</v>
      </c>
      <c r="K2093" s="403">
        <v>720</v>
      </c>
      <c r="L2093" s="403">
        <v>1280</v>
      </c>
      <c r="M2093" s="403" t="s">
        <v>1279</v>
      </c>
      <c r="N2093" s="403">
        <v>432</v>
      </c>
      <c r="O2093" s="403">
        <v>768</v>
      </c>
      <c r="P2093" t="str">
        <f t="shared" si="257"/>
        <v>60fps 720p full frame rate - SD ROI PTZ</v>
      </c>
      <c r="Q2093">
        <f t="shared" si="258"/>
        <v>11</v>
      </c>
      <c r="R2093" t="str">
        <f t="shared" si="259"/>
        <v/>
      </c>
      <c r="S2093" t="str">
        <f t="shared" si="260"/>
        <v/>
      </c>
      <c r="T2093" s="403" t="str">
        <f t="shared" si="261"/>
        <v>NBN-6x023-B</v>
      </c>
      <c r="U2093" s="403">
        <f t="shared" si="262"/>
        <v>1</v>
      </c>
      <c r="V2093" s="403" t="str">
        <f t="shared" si="263"/>
        <v>CPP_7</v>
      </c>
    </row>
    <row r="2094" spans="1:22">
      <c r="A2094" t="str">
        <f t="shared" si="256"/>
        <v>NBN-6x023-B</v>
      </c>
      <c r="B2094" s="403" t="s">
        <v>1388</v>
      </c>
      <c r="C2094" s="403" t="s">
        <v>583</v>
      </c>
      <c r="D2094" s="403" t="s">
        <v>1389</v>
      </c>
      <c r="E2094" s="403" t="s">
        <v>1306</v>
      </c>
      <c r="F2094" s="403" t="s">
        <v>1288</v>
      </c>
      <c r="G2094" s="403" t="s">
        <v>1467</v>
      </c>
      <c r="H2094" s="403" t="s">
        <v>1276</v>
      </c>
      <c r="I2094" s="403">
        <v>1</v>
      </c>
      <c r="J2094" s="403" t="s">
        <v>1289</v>
      </c>
      <c r="K2094" s="403">
        <v>720</v>
      </c>
      <c r="L2094" s="403">
        <v>1280</v>
      </c>
      <c r="M2094" s="403" t="s">
        <v>1298</v>
      </c>
      <c r="N2094" s="403">
        <v>432</v>
      </c>
      <c r="O2094" s="403">
        <v>768</v>
      </c>
      <c r="P2094" t="str">
        <f t="shared" si="257"/>
        <v>60fps 720p full frame rate - SD dual stream with independent ROI PTZ</v>
      </c>
      <c r="Q2094">
        <f t="shared" si="258"/>
        <v>11</v>
      </c>
      <c r="R2094" t="str">
        <f t="shared" si="259"/>
        <v/>
      </c>
      <c r="S2094" t="str">
        <f t="shared" si="260"/>
        <v/>
      </c>
      <c r="T2094" s="403" t="str">
        <f t="shared" si="261"/>
        <v>NBN-6x023-B</v>
      </c>
      <c r="U2094" s="403">
        <f t="shared" si="262"/>
        <v>1</v>
      </c>
      <c r="V2094" s="403" t="str">
        <f t="shared" si="263"/>
        <v>CPP_7</v>
      </c>
    </row>
    <row r="2095" spans="1:22">
      <c r="A2095" t="str">
        <f t="shared" si="256"/>
        <v>NBN-6x023-B</v>
      </c>
      <c r="B2095" s="403" t="s">
        <v>1388</v>
      </c>
      <c r="C2095" s="403" t="s">
        <v>583</v>
      </c>
      <c r="D2095" s="403" t="s">
        <v>1389</v>
      </c>
      <c r="E2095" s="403" t="s">
        <v>1306</v>
      </c>
      <c r="F2095" s="403" t="s">
        <v>1288</v>
      </c>
      <c r="G2095" s="403" t="s">
        <v>1467</v>
      </c>
      <c r="H2095" s="403" t="s">
        <v>1276</v>
      </c>
      <c r="I2095" s="403">
        <v>1</v>
      </c>
      <c r="J2095" s="403" t="s">
        <v>1289</v>
      </c>
      <c r="K2095" s="403">
        <v>720</v>
      </c>
      <c r="L2095" s="403">
        <v>1280</v>
      </c>
      <c r="M2095" s="403" t="s">
        <v>1301</v>
      </c>
      <c r="N2095" s="403">
        <v>720</v>
      </c>
      <c r="O2095" s="403">
        <v>1280</v>
      </c>
      <c r="P2095" t="str">
        <f t="shared" si="257"/>
        <v>60fps 720p full frame rate - 720p skip=4</v>
      </c>
      <c r="Q2095">
        <f t="shared" si="258"/>
        <v>11</v>
      </c>
      <c r="R2095" t="str">
        <f t="shared" si="259"/>
        <v/>
      </c>
      <c r="S2095" t="str">
        <f t="shared" si="260"/>
        <v/>
      </c>
      <c r="T2095" s="403" t="str">
        <f t="shared" si="261"/>
        <v>NBN-6x023-B</v>
      </c>
      <c r="U2095" s="403">
        <f t="shared" si="262"/>
        <v>1</v>
      </c>
      <c r="V2095" s="403" t="str">
        <f t="shared" si="263"/>
        <v>CPP_7</v>
      </c>
    </row>
    <row r="2096" spans="1:22">
      <c r="A2096" t="str">
        <f t="shared" si="256"/>
        <v>NBN-6x023-B</v>
      </c>
      <c r="B2096" s="403" t="s">
        <v>1388</v>
      </c>
      <c r="C2096" s="403" t="s">
        <v>583</v>
      </c>
      <c r="D2096" s="403" t="s">
        <v>1389</v>
      </c>
      <c r="E2096" s="403" t="s">
        <v>1306</v>
      </c>
      <c r="F2096" s="403" t="s">
        <v>1288</v>
      </c>
      <c r="G2096" s="403" t="s">
        <v>1467</v>
      </c>
      <c r="H2096" s="403" t="s">
        <v>1276</v>
      </c>
      <c r="I2096" s="403">
        <v>1</v>
      </c>
      <c r="J2096" s="403" t="s">
        <v>1289</v>
      </c>
      <c r="K2096" s="403">
        <v>720</v>
      </c>
      <c r="L2096" s="403">
        <v>1280</v>
      </c>
      <c r="M2096" s="403" t="s">
        <v>1280</v>
      </c>
      <c r="N2096" s="403">
        <v>720</v>
      </c>
      <c r="O2096" s="403">
        <v>1280</v>
      </c>
      <c r="P2096" t="str">
        <f t="shared" si="257"/>
        <v>60fps 720p full frame rate - copy other stream</v>
      </c>
      <c r="Q2096">
        <f t="shared" si="258"/>
        <v>11</v>
      </c>
      <c r="R2096" t="str">
        <f t="shared" si="259"/>
        <v/>
      </c>
      <c r="S2096" t="str">
        <f t="shared" si="260"/>
        <v/>
      </c>
      <c r="T2096" s="403" t="str">
        <f t="shared" si="261"/>
        <v>NBN-6x023-B</v>
      </c>
      <c r="U2096" s="403">
        <f t="shared" si="262"/>
        <v>1</v>
      </c>
      <c r="V2096" s="403" t="str">
        <f t="shared" si="263"/>
        <v>CPP_7</v>
      </c>
    </row>
    <row r="2097" spans="1:22">
      <c r="A2097" t="str">
        <f t="shared" si="256"/>
        <v>NBN-6x023-B</v>
      </c>
      <c r="B2097" s="403" t="s">
        <v>1388</v>
      </c>
      <c r="C2097" s="403" t="s">
        <v>583</v>
      </c>
      <c r="D2097" s="403" t="s">
        <v>1389</v>
      </c>
      <c r="E2097" s="403" t="s">
        <v>1306</v>
      </c>
      <c r="F2097" s="403" t="s">
        <v>1288</v>
      </c>
      <c r="G2097" s="403" t="s">
        <v>1467</v>
      </c>
      <c r="H2097" s="403" t="s">
        <v>1276</v>
      </c>
      <c r="I2097" s="403">
        <v>1</v>
      </c>
      <c r="J2097" s="403" t="s">
        <v>1289</v>
      </c>
      <c r="K2097" s="403">
        <v>720</v>
      </c>
      <c r="L2097" s="403">
        <v>1280</v>
      </c>
      <c r="M2097" s="403" t="s">
        <v>1302</v>
      </c>
      <c r="N2097" s="403">
        <v>720</v>
      </c>
      <c r="O2097" s="403">
        <v>400</v>
      </c>
      <c r="P2097" t="str">
        <f t="shared" si="257"/>
        <v>60fps 720p full frame rate - 400x720 upright (cropped)</v>
      </c>
      <c r="Q2097">
        <f t="shared" si="258"/>
        <v>11</v>
      </c>
      <c r="R2097" t="str">
        <f t="shared" si="259"/>
        <v/>
      </c>
      <c r="S2097" t="str">
        <f t="shared" si="260"/>
        <v/>
      </c>
      <c r="T2097" s="403" t="str">
        <f t="shared" si="261"/>
        <v>NBN-6x023-B</v>
      </c>
      <c r="U2097" s="403">
        <f t="shared" si="262"/>
        <v>1</v>
      </c>
      <c r="V2097" s="403" t="str">
        <f t="shared" si="263"/>
        <v>CPP_7</v>
      </c>
    </row>
    <row r="2098" spans="1:22">
      <c r="A2098" t="str">
        <f t="shared" si="256"/>
        <v>NBN-6x023-B</v>
      </c>
      <c r="B2098" s="403" t="s">
        <v>1388</v>
      </c>
      <c r="C2098" s="403" t="s">
        <v>583</v>
      </c>
      <c r="D2098" s="403" t="s">
        <v>1389</v>
      </c>
      <c r="E2098" s="403" t="s">
        <v>1306</v>
      </c>
      <c r="F2098" s="403" t="s">
        <v>1288</v>
      </c>
      <c r="G2098" s="403" t="s">
        <v>1467</v>
      </c>
      <c r="H2098" s="403" t="s">
        <v>1276</v>
      </c>
      <c r="I2098" s="403">
        <v>1</v>
      </c>
      <c r="J2098" s="403" t="s">
        <v>1289</v>
      </c>
      <c r="K2098" s="403">
        <v>720</v>
      </c>
      <c r="L2098" s="403">
        <v>1280</v>
      </c>
      <c r="M2098" s="403" t="s">
        <v>1283</v>
      </c>
      <c r="N2098" s="403">
        <v>480</v>
      </c>
      <c r="O2098" s="403">
        <v>704</v>
      </c>
      <c r="P2098" t="str">
        <f t="shared" si="257"/>
        <v>60fps 720p full frame rate - SD 4CIF resolution 4:3 format (cropped)</v>
      </c>
      <c r="Q2098">
        <f t="shared" si="258"/>
        <v>11</v>
      </c>
      <c r="R2098" t="str">
        <f t="shared" si="259"/>
        <v/>
      </c>
      <c r="S2098" t="str">
        <f t="shared" si="260"/>
        <v/>
      </c>
      <c r="T2098" s="403" t="str">
        <f t="shared" si="261"/>
        <v>NBN-6x023-B</v>
      </c>
      <c r="U2098" s="403">
        <f t="shared" si="262"/>
        <v>1</v>
      </c>
      <c r="V2098" s="403" t="str">
        <f t="shared" si="263"/>
        <v>CPP_7</v>
      </c>
    </row>
    <row r="2099" spans="1:22">
      <c r="A2099" t="str">
        <f t="shared" si="256"/>
        <v>NBN-6x023-B</v>
      </c>
      <c r="B2099" s="403" t="s">
        <v>1388</v>
      </c>
      <c r="C2099" s="403" t="s">
        <v>583</v>
      </c>
      <c r="D2099" s="403" t="s">
        <v>1389</v>
      </c>
      <c r="E2099" s="403" t="s">
        <v>1306</v>
      </c>
      <c r="F2099" s="403" t="s">
        <v>1288</v>
      </c>
      <c r="G2099" s="403" t="s">
        <v>1467</v>
      </c>
      <c r="H2099" s="403" t="s">
        <v>1276</v>
      </c>
      <c r="I2099" s="403">
        <v>1</v>
      </c>
      <c r="J2099" s="403" t="s">
        <v>1289</v>
      </c>
      <c r="K2099" s="403">
        <v>720</v>
      </c>
      <c r="L2099" s="403">
        <v>1280</v>
      </c>
      <c r="M2099" s="403" t="s">
        <v>1284</v>
      </c>
      <c r="N2099" s="403">
        <v>480</v>
      </c>
      <c r="O2099" s="403">
        <v>640</v>
      </c>
      <c r="P2099" t="str">
        <f t="shared" si="257"/>
        <v>60fps 720p full frame rate - SD VGA (cropped)</v>
      </c>
      <c r="Q2099">
        <f t="shared" si="258"/>
        <v>11</v>
      </c>
      <c r="R2099" t="str">
        <f t="shared" si="259"/>
        <v/>
      </c>
      <c r="S2099" t="str">
        <f t="shared" si="260"/>
        <v/>
      </c>
      <c r="T2099" s="403" t="str">
        <f t="shared" si="261"/>
        <v>NBN-6x023-B</v>
      </c>
      <c r="U2099" s="403">
        <f t="shared" si="262"/>
        <v>1</v>
      </c>
      <c r="V2099" s="403" t="str">
        <f t="shared" si="263"/>
        <v>CPP_7</v>
      </c>
    </row>
    <row r="2100" spans="1:22">
      <c r="A2100" t="str">
        <f t="shared" si="256"/>
        <v>NBN-6x023-B</v>
      </c>
      <c r="B2100" s="403" t="s">
        <v>1388</v>
      </c>
      <c r="C2100" s="403" t="s">
        <v>583</v>
      </c>
      <c r="D2100" s="403" t="s">
        <v>1389</v>
      </c>
      <c r="E2100" s="403" t="s">
        <v>1306</v>
      </c>
      <c r="F2100" s="403" t="s">
        <v>1288</v>
      </c>
      <c r="G2100" s="403" t="s">
        <v>1467</v>
      </c>
      <c r="H2100" s="403" t="s">
        <v>1276</v>
      </c>
      <c r="I2100" s="403">
        <v>1</v>
      </c>
      <c r="J2100" s="403" t="s">
        <v>111</v>
      </c>
      <c r="K2100" s="403">
        <v>432</v>
      </c>
      <c r="L2100" s="403">
        <v>768</v>
      </c>
      <c r="M2100" s="403" t="s">
        <v>111</v>
      </c>
      <c r="N2100" s="403">
        <v>432</v>
      </c>
      <c r="O2100" s="403">
        <v>768</v>
      </c>
      <c r="P2100" t="str">
        <f t="shared" si="257"/>
        <v>60fps SD - SD</v>
      </c>
      <c r="Q2100">
        <f t="shared" si="258"/>
        <v>11</v>
      </c>
      <c r="R2100" t="str">
        <f t="shared" si="259"/>
        <v/>
      </c>
      <c r="S2100" t="str">
        <f t="shared" si="260"/>
        <v/>
      </c>
      <c r="T2100" s="403" t="str">
        <f t="shared" si="261"/>
        <v>NBN-6x023-B</v>
      </c>
      <c r="U2100" s="403">
        <f t="shared" si="262"/>
        <v>1</v>
      </c>
      <c r="V2100" s="403" t="str">
        <f t="shared" si="263"/>
        <v>CPP_7</v>
      </c>
    </row>
    <row r="2101" spans="1:22">
      <c r="A2101" t="str">
        <f t="shared" si="256"/>
        <v>NBN-6x023-B</v>
      </c>
      <c r="B2101" s="403" t="s">
        <v>1388</v>
      </c>
      <c r="C2101" s="403" t="s">
        <v>583</v>
      </c>
      <c r="D2101" s="403" t="s">
        <v>1389</v>
      </c>
      <c r="E2101" s="403" t="s">
        <v>1306</v>
      </c>
      <c r="F2101" s="403" t="s">
        <v>1290</v>
      </c>
      <c r="G2101" s="403" t="s">
        <v>1466</v>
      </c>
      <c r="H2101" s="403" t="s">
        <v>1276</v>
      </c>
      <c r="I2101" s="403">
        <v>1</v>
      </c>
      <c r="J2101" s="403" t="s">
        <v>110</v>
      </c>
      <c r="K2101" s="403">
        <v>1920</v>
      </c>
      <c r="L2101" s="403">
        <v>1080</v>
      </c>
      <c r="M2101" s="403" t="s">
        <v>1280</v>
      </c>
      <c r="N2101" s="403">
        <v>1920</v>
      </c>
      <c r="O2101" s="403">
        <v>1080</v>
      </c>
      <c r="P2101" t="str">
        <f t="shared" si="257"/>
        <v>50fps 1080p - copy other stream</v>
      </c>
      <c r="Q2101">
        <f t="shared" si="258"/>
        <v>11</v>
      </c>
      <c r="R2101" t="str">
        <f t="shared" si="259"/>
        <v/>
      </c>
      <c r="S2101" t="str">
        <f t="shared" si="260"/>
        <v/>
      </c>
      <c r="T2101" s="403" t="str">
        <f t="shared" si="261"/>
        <v>NBN-6x023-B</v>
      </c>
      <c r="U2101" s="403">
        <f t="shared" si="262"/>
        <v>1</v>
      </c>
      <c r="V2101" s="403" t="str">
        <f t="shared" si="263"/>
        <v>CPP_7</v>
      </c>
    </row>
    <row r="2102" spans="1:22">
      <c r="A2102" t="str">
        <f t="shared" si="256"/>
        <v>NBN-6x023-B</v>
      </c>
      <c r="B2102" s="403" t="s">
        <v>1388</v>
      </c>
      <c r="C2102" s="403" t="s">
        <v>583</v>
      </c>
      <c r="D2102" s="403" t="s">
        <v>1389</v>
      </c>
      <c r="E2102" s="403" t="s">
        <v>1306</v>
      </c>
      <c r="F2102" s="403" t="s">
        <v>1290</v>
      </c>
      <c r="G2102" s="403" t="s">
        <v>1466</v>
      </c>
      <c r="H2102" s="403" t="s">
        <v>1276</v>
      </c>
      <c r="I2102" s="403">
        <v>1</v>
      </c>
      <c r="J2102" s="403" t="s">
        <v>1289</v>
      </c>
      <c r="K2102" s="403">
        <v>1280</v>
      </c>
      <c r="L2102" s="403">
        <v>720</v>
      </c>
      <c r="M2102" s="403" t="s">
        <v>1289</v>
      </c>
      <c r="N2102" s="403">
        <v>1280</v>
      </c>
      <c r="O2102" s="403">
        <v>720</v>
      </c>
      <c r="P2102" t="str">
        <f t="shared" si="257"/>
        <v>50fps 720p full frame rate - 720p full frame rate</v>
      </c>
      <c r="Q2102">
        <f t="shared" si="258"/>
        <v>11</v>
      </c>
      <c r="R2102" t="str">
        <f t="shared" si="259"/>
        <v/>
      </c>
      <c r="S2102" t="str">
        <f t="shared" si="260"/>
        <v/>
      </c>
      <c r="T2102" s="403" t="str">
        <f t="shared" si="261"/>
        <v>NBN-6x023-B</v>
      </c>
      <c r="U2102" s="403">
        <f t="shared" si="262"/>
        <v>1</v>
      </c>
      <c r="V2102" s="403" t="str">
        <f t="shared" si="263"/>
        <v>CPP_7</v>
      </c>
    </row>
    <row r="2103" spans="1:22">
      <c r="A2103" t="str">
        <f t="shared" si="256"/>
        <v>NBN-6x023-B</v>
      </c>
      <c r="B2103" s="403" t="s">
        <v>1388</v>
      </c>
      <c r="C2103" s="403" t="s">
        <v>583</v>
      </c>
      <c r="D2103" s="403" t="s">
        <v>1389</v>
      </c>
      <c r="E2103" s="403" t="s">
        <v>1306</v>
      </c>
      <c r="F2103" s="403" t="s">
        <v>1290</v>
      </c>
      <c r="G2103" s="403" t="s">
        <v>1466</v>
      </c>
      <c r="H2103" s="403" t="s">
        <v>1276</v>
      </c>
      <c r="I2103" s="403">
        <v>1</v>
      </c>
      <c r="J2103" s="403" t="s">
        <v>1289</v>
      </c>
      <c r="K2103" s="403">
        <v>1280</v>
      </c>
      <c r="L2103" s="403">
        <v>720</v>
      </c>
      <c r="M2103" s="403" t="s">
        <v>111</v>
      </c>
      <c r="N2103" s="403">
        <v>768</v>
      </c>
      <c r="O2103" s="403">
        <v>432</v>
      </c>
      <c r="P2103" t="str">
        <f t="shared" si="257"/>
        <v>50fps 720p full frame rate - SD</v>
      </c>
      <c r="Q2103">
        <f t="shared" si="258"/>
        <v>11</v>
      </c>
      <c r="R2103" t="str">
        <f t="shared" si="259"/>
        <v/>
      </c>
      <c r="S2103" t="str">
        <f t="shared" si="260"/>
        <v/>
      </c>
      <c r="T2103" s="403" t="str">
        <f t="shared" si="261"/>
        <v>NBN-6x023-B</v>
      </c>
      <c r="U2103" s="403">
        <f t="shared" si="262"/>
        <v>1</v>
      </c>
      <c r="V2103" s="403" t="str">
        <f t="shared" si="263"/>
        <v>CPP_7</v>
      </c>
    </row>
    <row r="2104" spans="1:22">
      <c r="A2104" t="str">
        <f t="shared" si="256"/>
        <v>NBN-6x023-B</v>
      </c>
      <c r="B2104" s="403" t="s">
        <v>1388</v>
      </c>
      <c r="C2104" s="403" t="s">
        <v>583</v>
      </c>
      <c r="D2104" s="403" t="s">
        <v>1389</v>
      </c>
      <c r="E2104" s="403" t="s">
        <v>1306</v>
      </c>
      <c r="F2104" s="403" t="s">
        <v>1290</v>
      </c>
      <c r="G2104" s="403" t="s">
        <v>1466</v>
      </c>
      <c r="H2104" s="403" t="s">
        <v>1276</v>
      </c>
      <c r="I2104" s="403">
        <v>1</v>
      </c>
      <c r="J2104" s="403" t="s">
        <v>1289</v>
      </c>
      <c r="K2104" s="403">
        <v>1280</v>
      </c>
      <c r="L2104" s="403">
        <v>720</v>
      </c>
      <c r="M2104" s="403" t="s">
        <v>1279</v>
      </c>
      <c r="N2104" s="403">
        <v>768</v>
      </c>
      <c r="O2104" s="403">
        <v>432</v>
      </c>
      <c r="P2104" t="str">
        <f t="shared" si="257"/>
        <v>50fps 720p full frame rate - SD ROI PTZ</v>
      </c>
      <c r="Q2104">
        <f t="shared" si="258"/>
        <v>11</v>
      </c>
      <c r="R2104" t="str">
        <f t="shared" si="259"/>
        <v/>
      </c>
      <c r="S2104" t="str">
        <f t="shared" si="260"/>
        <v/>
      </c>
      <c r="T2104" s="403" t="str">
        <f t="shared" si="261"/>
        <v>NBN-6x023-B</v>
      </c>
      <c r="U2104" s="403">
        <f t="shared" si="262"/>
        <v>1</v>
      </c>
      <c r="V2104" s="403" t="str">
        <f t="shared" si="263"/>
        <v>CPP_7</v>
      </c>
    </row>
    <row r="2105" spans="1:22">
      <c r="A2105" t="str">
        <f t="shared" si="256"/>
        <v>NBN-6x023-B</v>
      </c>
      <c r="B2105" s="403" t="s">
        <v>1388</v>
      </c>
      <c r="C2105" s="403" t="s">
        <v>583</v>
      </c>
      <c r="D2105" s="403" t="s">
        <v>1389</v>
      </c>
      <c r="E2105" s="403" t="s">
        <v>1306</v>
      </c>
      <c r="F2105" s="403" t="s">
        <v>1290</v>
      </c>
      <c r="G2105" s="403" t="s">
        <v>1466</v>
      </c>
      <c r="H2105" s="403" t="s">
        <v>1276</v>
      </c>
      <c r="I2105" s="403">
        <v>1</v>
      </c>
      <c r="J2105" s="403" t="s">
        <v>1289</v>
      </c>
      <c r="K2105" s="403">
        <v>1280</v>
      </c>
      <c r="L2105" s="403">
        <v>720</v>
      </c>
      <c r="M2105" s="403" t="s">
        <v>1298</v>
      </c>
      <c r="N2105" s="403">
        <v>768</v>
      </c>
      <c r="O2105" s="403">
        <v>432</v>
      </c>
      <c r="P2105" t="str">
        <f t="shared" si="257"/>
        <v>50fps 720p full frame rate - SD dual stream with independent ROI PTZ</v>
      </c>
      <c r="Q2105">
        <f t="shared" si="258"/>
        <v>11</v>
      </c>
      <c r="R2105" t="str">
        <f t="shared" si="259"/>
        <v/>
      </c>
      <c r="S2105" t="str">
        <f t="shared" si="260"/>
        <v/>
      </c>
      <c r="T2105" s="403" t="str">
        <f t="shared" si="261"/>
        <v>NBN-6x023-B</v>
      </c>
      <c r="U2105" s="403">
        <f t="shared" si="262"/>
        <v>1</v>
      </c>
      <c r="V2105" s="403" t="str">
        <f t="shared" si="263"/>
        <v>CPP_7</v>
      </c>
    </row>
    <row r="2106" spans="1:22">
      <c r="A2106" t="str">
        <f t="shared" si="256"/>
        <v>NBN-6x023-B</v>
      </c>
      <c r="B2106" s="403" t="s">
        <v>1388</v>
      </c>
      <c r="C2106" s="403" t="s">
        <v>583</v>
      </c>
      <c r="D2106" s="403" t="s">
        <v>1389</v>
      </c>
      <c r="E2106" s="403" t="s">
        <v>1306</v>
      </c>
      <c r="F2106" s="403" t="s">
        <v>1290</v>
      </c>
      <c r="G2106" s="403" t="s">
        <v>1466</v>
      </c>
      <c r="H2106" s="403" t="s">
        <v>1276</v>
      </c>
      <c r="I2106" s="403">
        <v>1</v>
      </c>
      <c r="J2106" s="403" t="s">
        <v>1289</v>
      </c>
      <c r="K2106" s="403">
        <v>1280</v>
      </c>
      <c r="L2106" s="403">
        <v>720</v>
      </c>
      <c r="M2106" s="403" t="s">
        <v>1301</v>
      </c>
      <c r="N2106" s="403">
        <v>1280</v>
      </c>
      <c r="O2106" s="403">
        <v>720</v>
      </c>
      <c r="P2106" t="str">
        <f t="shared" si="257"/>
        <v>50fps 720p full frame rate - 720p skip=4</v>
      </c>
      <c r="Q2106">
        <f t="shared" si="258"/>
        <v>11</v>
      </c>
      <c r="R2106" t="str">
        <f t="shared" si="259"/>
        <v/>
      </c>
      <c r="S2106" t="str">
        <f t="shared" si="260"/>
        <v/>
      </c>
      <c r="T2106" s="403" t="str">
        <f t="shared" si="261"/>
        <v>NBN-6x023-B</v>
      </c>
      <c r="U2106" s="403">
        <f t="shared" si="262"/>
        <v>1</v>
      </c>
      <c r="V2106" s="403" t="str">
        <f t="shared" si="263"/>
        <v>CPP_7</v>
      </c>
    </row>
    <row r="2107" spans="1:22">
      <c r="A2107" t="str">
        <f t="shared" si="256"/>
        <v>NBN-6x023-B</v>
      </c>
      <c r="B2107" s="403" t="s">
        <v>1388</v>
      </c>
      <c r="C2107" s="403" t="s">
        <v>583</v>
      </c>
      <c r="D2107" s="403" t="s">
        <v>1389</v>
      </c>
      <c r="E2107" s="403" t="s">
        <v>1306</v>
      </c>
      <c r="F2107" s="403" t="s">
        <v>1290</v>
      </c>
      <c r="G2107" s="403" t="s">
        <v>1466</v>
      </c>
      <c r="H2107" s="403" t="s">
        <v>1276</v>
      </c>
      <c r="I2107" s="403">
        <v>1</v>
      </c>
      <c r="J2107" s="403" t="s">
        <v>1289</v>
      </c>
      <c r="K2107" s="403">
        <v>1280</v>
      </c>
      <c r="L2107" s="403">
        <v>720</v>
      </c>
      <c r="M2107" s="403" t="s">
        <v>1280</v>
      </c>
      <c r="N2107" s="403">
        <v>1280</v>
      </c>
      <c r="O2107" s="403">
        <v>720</v>
      </c>
      <c r="P2107" t="str">
        <f t="shared" si="257"/>
        <v>50fps 720p full frame rate - copy other stream</v>
      </c>
      <c r="Q2107">
        <f t="shared" si="258"/>
        <v>11</v>
      </c>
      <c r="R2107" t="str">
        <f t="shared" si="259"/>
        <v/>
      </c>
      <c r="S2107" t="str">
        <f t="shared" si="260"/>
        <v/>
      </c>
      <c r="T2107" s="403" t="str">
        <f t="shared" si="261"/>
        <v>NBN-6x023-B</v>
      </c>
      <c r="U2107" s="403">
        <f t="shared" si="262"/>
        <v>1</v>
      </c>
      <c r="V2107" s="403" t="str">
        <f t="shared" si="263"/>
        <v>CPP_7</v>
      </c>
    </row>
    <row r="2108" spans="1:22">
      <c r="A2108" t="str">
        <f t="shared" si="256"/>
        <v>NBN-6x023-B</v>
      </c>
      <c r="B2108" s="403" t="s">
        <v>1388</v>
      </c>
      <c r="C2108" s="403" t="s">
        <v>583</v>
      </c>
      <c r="D2108" s="403" t="s">
        <v>1389</v>
      </c>
      <c r="E2108" s="403" t="s">
        <v>1306</v>
      </c>
      <c r="F2108" s="403" t="s">
        <v>1290</v>
      </c>
      <c r="G2108" s="403" t="s">
        <v>1466</v>
      </c>
      <c r="H2108" s="403" t="s">
        <v>1276</v>
      </c>
      <c r="I2108" s="403">
        <v>1</v>
      </c>
      <c r="J2108" s="403" t="s">
        <v>1289</v>
      </c>
      <c r="K2108" s="403">
        <v>1280</v>
      </c>
      <c r="L2108" s="403">
        <v>720</v>
      </c>
      <c r="M2108" s="403" t="s">
        <v>1302</v>
      </c>
      <c r="N2108" s="403">
        <v>400</v>
      </c>
      <c r="O2108" s="403">
        <v>720</v>
      </c>
      <c r="P2108" t="str">
        <f t="shared" si="257"/>
        <v>50fps 720p full frame rate - 400x720 upright (cropped)</v>
      </c>
      <c r="Q2108">
        <f t="shared" si="258"/>
        <v>11</v>
      </c>
      <c r="R2108" t="str">
        <f t="shared" si="259"/>
        <v/>
      </c>
      <c r="S2108" t="str">
        <f t="shared" si="260"/>
        <v/>
      </c>
      <c r="T2108" s="403" t="str">
        <f t="shared" si="261"/>
        <v>NBN-6x023-B</v>
      </c>
      <c r="U2108" s="403">
        <f t="shared" si="262"/>
        <v>1</v>
      </c>
      <c r="V2108" s="403" t="str">
        <f t="shared" si="263"/>
        <v>CPP_7</v>
      </c>
    </row>
    <row r="2109" spans="1:22">
      <c r="A2109" t="str">
        <f t="shared" si="256"/>
        <v>NBN-6x023-B</v>
      </c>
      <c r="B2109" s="403" t="s">
        <v>1388</v>
      </c>
      <c r="C2109" s="403" t="s">
        <v>583</v>
      </c>
      <c r="D2109" s="403" t="s">
        <v>1389</v>
      </c>
      <c r="E2109" s="403" t="s">
        <v>1306</v>
      </c>
      <c r="F2109" s="403" t="s">
        <v>1290</v>
      </c>
      <c r="G2109" s="403" t="s">
        <v>1466</v>
      </c>
      <c r="H2109" s="403" t="s">
        <v>1276</v>
      </c>
      <c r="I2109" s="403">
        <v>1</v>
      </c>
      <c r="J2109" s="403" t="s">
        <v>1289</v>
      </c>
      <c r="K2109" s="403">
        <v>1280</v>
      </c>
      <c r="L2109" s="403">
        <v>720</v>
      </c>
      <c r="M2109" s="403" t="s">
        <v>1283</v>
      </c>
      <c r="N2109" s="403">
        <v>704</v>
      </c>
      <c r="O2109" s="403">
        <v>576</v>
      </c>
      <c r="P2109" t="str">
        <f t="shared" si="257"/>
        <v>50fps 720p full frame rate - SD 4CIF resolution 4:3 format (cropped)</v>
      </c>
      <c r="Q2109">
        <f t="shared" si="258"/>
        <v>11</v>
      </c>
      <c r="R2109" t="str">
        <f t="shared" si="259"/>
        <v/>
      </c>
      <c r="S2109" t="str">
        <f t="shared" si="260"/>
        <v/>
      </c>
      <c r="T2109" s="403" t="str">
        <f t="shared" si="261"/>
        <v>NBN-6x023-B</v>
      </c>
      <c r="U2109" s="403">
        <f t="shared" si="262"/>
        <v>1</v>
      </c>
      <c r="V2109" s="403" t="str">
        <f t="shared" si="263"/>
        <v>CPP_7</v>
      </c>
    </row>
    <row r="2110" spans="1:22">
      <c r="A2110" t="str">
        <f t="shared" si="256"/>
        <v>NBN-6x023-B</v>
      </c>
      <c r="B2110" s="403" t="s">
        <v>1388</v>
      </c>
      <c r="C2110" s="403" t="s">
        <v>583</v>
      </c>
      <c r="D2110" s="403" t="s">
        <v>1389</v>
      </c>
      <c r="E2110" s="403" t="s">
        <v>1306</v>
      </c>
      <c r="F2110" s="403" t="s">
        <v>1290</v>
      </c>
      <c r="G2110" s="403" t="s">
        <v>1466</v>
      </c>
      <c r="H2110" s="403" t="s">
        <v>1276</v>
      </c>
      <c r="I2110" s="403">
        <v>1</v>
      </c>
      <c r="J2110" s="403" t="s">
        <v>1289</v>
      </c>
      <c r="K2110" s="403">
        <v>1280</v>
      </c>
      <c r="L2110" s="403">
        <v>720</v>
      </c>
      <c r="M2110" s="403" t="s">
        <v>1284</v>
      </c>
      <c r="N2110" s="403">
        <v>640</v>
      </c>
      <c r="O2110" s="403">
        <v>480</v>
      </c>
      <c r="P2110" t="str">
        <f t="shared" si="257"/>
        <v>50fps 720p full frame rate - SD VGA (cropped)</v>
      </c>
      <c r="Q2110">
        <f t="shared" si="258"/>
        <v>11</v>
      </c>
      <c r="R2110" t="str">
        <f t="shared" si="259"/>
        <v/>
      </c>
      <c r="S2110" t="str">
        <f t="shared" si="260"/>
        <v/>
      </c>
      <c r="T2110" s="403" t="str">
        <f t="shared" si="261"/>
        <v>NBN-6x023-B</v>
      </c>
      <c r="U2110" s="403">
        <f t="shared" si="262"/>
        <v>1</v>
      </c>
      <c r="V2110" s="403" t="str">
        <f t="shared" si="263"/>
        <v>CPP_7</v>
      </c>
    </row>
    <row r="2111" spans="1:22">
      <c r="A2111" t="str">
        <f t="shared" si="256"/>
        <v>NBN-6x023-B</v>
      </c>
      <c r="B2111" s="403" t="s">
        <v>1388</v>
      </c>
      <c r="C2111" s="403" t="s">
        <v>583</v>
      </c>
      <c r="D2111" s="403" t="s">
        <v>1389</v>
      </c>
      <c r="E2111" s="403" t="s">
        <v>1306</v>
      </c>
      <c r="F2111" s="403" t="s">
        <v>1290</v>
      </c>
      <c r="G2111" s="403" t="s">
        <v>1466</v>
      </c>
      <c r="H2111" s="403" t="s">
        <v>1276</v>
      </c>
      <c r="I2111" s="403">
        <v>1</v>
      </c>
      <c r="J2111" s="403" t="s">
        <v>111</v>
      </c>
      <c r="K2111" s="403">
        <v>768</v>
      </c>
      <c r="L2111" s="403">
        <v>432</v>
      </c>
      <c r="M2111" s="403" t="s">
        <v>111</v>
      </c>
      <c r="N2111" s="403">
        <v>768</v>
      </c>
      <c r="O2111" s="403">
        <v>432</v>
      </c>
      <c r="P2111" t="str">
        <f t="shared" si="257"/>
        <v>50fps SD - SD</v>
      </c>
      <c r="Q2111">
        <f t="shared" si="258"/>
        <v>11</v>
      </c>
      <c r="R2111" t="str">
        <f t="shared" si="259"/>
        <v/>
      </c>
      <c r="S2111" t="str">
        <f t="shared" si="260"/>
        <v/>
      </c>
      <c r="T2111" s="403" t="str">
        <f t="shared" si="261"/>
        <v>NBN-6x023-B</v>
      </c>
      <c r="U2111" s="403">
        <f t="shared" si="262"/>
        <v>1</v>
      </c>
      <c r="V2111" s="403" t="str">
        <f t="shared" si="263"/>
        <v>CPP_7</v>
      </c>
    </row>
    <row r="2112" spans="1:22">
      <c r="A2112" t="str">
        <f t="shared" si="256"/>
        <v>NBN-6x023-B</v>
      </c>
      <c r="B2112" s="403" t="s">
        <v>1388</v>
      </c>
      <c r="C2112" s="403" t="s">
        <v>583</v>
      </c>
      <c r="D2112" s="403" t="s">
        <v>1389</v>
      </c>
      <c r="E2112" s="403" t="s">
        <v>1306</v>
      </c>
      <c r="F2112" s="403" t="s">
        <v>1290</v>
      </c>
      <c r="G2112" s="403" t="s">
        <v>1467</v>
      </c>
      <c r="H2112" s="403" t="s">
        <v>1276</v>
      </c>
      <c r="I2112" s="403">
        <v>1</v>
      </c>
      <c r="J2112" s="403" t="s">
        <v>110</v>
      </c>
      <c r="K2112" s="403">
        <v>1080</v>
      </c>
      <c r="L2112" s="403">
        <v>1920</v>
      </c>
      <c r="M2112" s="403" t="s">
        <v>1280</v>
      </c>
      <c r="N2112" s="403">
        <v>1080</v>
      </c>
      <c r="O2112" s="403">
        <v>1920</v>
      </c>
      <c r="P2112" t="str">
        <f t="shared" si="257"/>
        <v>50fps 1080p - copy other stream</v>
      </c>
      <c r="Q2112">
        <f t="shared" si="258"/>
        <v>11</v>
      </c>
      <c r="R2112" t="str">
        <f t="shared" si="259"/>
        <v/>
      </c>
      <c r="S2112" t="str">
        <f t="shared" si="260"/>
        <v/>
      </c>
      <c r="T2112" s="403" t="str">
        <f t="shared" si="261"/>
        <v>NBN-6x023-B</v>
      </c>
      <c r="U2112" s="403">
        <f t="shared" si="262"/>
        <v>1</v>
      </c>
      <c r="V2112" s="403" t="str">
        <f t="shared" si="263"/>
        <v>CPP_7</v>
      </c>
    </row>
    <row r="2113" spans="1:22">
      <c r="A2113" t="str">
        <f t="shared" si="256"/>
        <v>NBN-6x023-B</v>
      </c>
      <c r="B2113" s="403" t="s">
        <v>1388</v>
      </c>
      <c r="C2113" s="403" t="s">
        <v>583</v>
      </c>
      <c r="D2113" s="403" t="s">
        <v>1389</v>
      </c>
      <c r="E2113" s="403" t="s">
        <v>1306</v>
      </c>
      <c r="F2113" s="403" t="s">
        <v>1290</v>
      </c>
      <c r="G2113" s="403" t="s">
        <v>1467</v>
      </c>
      <c r="H2113" s="403" t="s">
        <v>1276</v>
      </c>
      <c r="I2113" s="403">
        <v>1</v>
      </c>
      <c r="J2113" s="403" t="s">
        <v>1289</v>
      </c>
      <c r="K2113" s="403">
        <v>720</v>
      </c>
      <c r="L2113" s="403">
        <v>1280</v>
      </c>
      <c r="M2113" s="403" t="s">
        <v>1289</v>
      </c>
      <c r="N2113" s="403">
        <v>720</v>
      </c>
      <c r="O2113" s="403">
        <v>1280</v>
      </c>
      <c r="P2113" t="str">
        <f t="shared" si="257"/>
        <v>50fps 720p full frame rate - 720p full frame rate</v>
      </c>
      <c r="Q2113">
        <f t="shared" si="258"/>
        <v>11</v>
      </c>
      <c r="R2113" t="str">
        <f t="shared" si="259"/>
        <v/>
      </c>
      <c r="S2113" t="str">
        <f t="shared" si="260"/>
        <v/>
      </c>
      <c r="T2113" s="403" t="str">
        <f t="shared" si="261"/>
        <v>NBN-6x023-B</v>
      </c>
      <c r="U2113" s="403">
        <f t="shared" si="262"/>
        <v>1</v>
      </c>
      <c r="V2113" s="403" t="str">
        <f t="shared" si="263"/>
        <v>CPP_7</v>
      </c>
    </row>
    <row r="2114" spans="1:22">
      <c r="A2114" t="str">
        <f t="shared" ref="A2114:A2177" si="264">IF(AND(G2114&lt;&gt;"rotate 90°"),D2114,"")</f>
        <v>NBN-6x023-B</v>
      </c>
      <c r="B2114" s="403" t="s">
        <v>1388</v>
      </c>
      <c r="C2114" s="403" t="s">
        <v>583</v>
      </c>
      <c r="D2114" s="403" t="s">
        <v>1389</v>
      </c>
      <c r="E2114" s="403" t="s">
        <v>1306</v>
      </c>
      <c r="F2114" s="403" t="s">
        <v>1290</v>
      </c>
      <c r="G2114" s="403" t="s">
        <v>1467</v>
      </c>
      <c r="H2114" s="403" t="s">
        <v>1276</v>
      </c>
      <c r="I2114" s="403">
        <v>1</v>
      </c>
      <c r="J2114" s="403" t="s">
        <v>1289</v>
      </c>
      <c r="K2114" s="403">
        <v>720</v>
      </c>
      <c r="L2114" s="403">
        <v>1280</v>
      </c>
      <c r="M2114" s="403" t="s">
        <v>111</v>
      </c>
      <c r="N2114" s="403">
        <v>432</v>
      </c>
      <c r="O2114" s="403">
        <v>768</v>
      </c>
      <c r="P2114" t="str">
        <f t="shared" ref="P2114:P2177" si="265">LEFT(F2114,5)&amp;" "&amp;J2114&amp;" - "&amp;M2114</f>
        <v>50fps 720p full frame rate - SD</v>
      </c>
      <c r="Q2114">
        <f t="shared" ref="Q2114:Q2177" si="266">IF(A2113=A2114,Q2113,Q2113+1)</f>
        <v>11</v>
      </c>
      <c r="R2114" t="str">
        <f t="shared" ref="R2114:R2177" si="267">IF(Q2113&lt;&gt;Q2114,Q2114,"")</f>
        <v/>
      </c>
      <c r="S2114" t="str">
        <f t="shared" ref="S2114:S2177" si="268">IF(R2114&lt;&gt;"",B2114&amp;" ("&amp;D2114&amp;")","")</f>
        <v/>
      </c>
      <c r="T2114" s="403" t="str">
        <f t="shared" ref="T2114:T2177" si="269">D2114</f>
        <v>NBN-6x023-B</v>
      </c>
      <c r="U2114" s="403">
        <f t="shared" ref="U2114:U2177" si="270">I2114</f>
        <v>1</v>
      </c>
      <c r="V2114" s="403" t="str">
        <f t="shared" ref="V2114:V2177" si="271">C2114</f>
        <v>CPP_7</v>
      </c>
    </row>
    <row r="2115" spans="1:22">
      <c r="A2115" t="str">
        <f t="shared" si="264"/>
        <v>NBN-6x023-B</v>
      </c>
      <c r="B2115" s="403" t="s">
        <v>1388</v>
      </c>
      <c r="C2115" s="403" t="s">
        <v>583</v>
      </c>
      <c r="D2115" s="403" t="s">
        <v>1389</v>
      </c>
      <c r="E2115" s="403" t="s">
        <v>1306</v>
      </c>
      <c r="F2115" s="403" t="s">
        <v>1290</v>
      </c>
      <c r="G2115" s="403" t="s">
        <v>1467</v>
      </c>
      <c r="H2115" s="403" t="s">
        <v>1276</v>
      </c>
      <c r="I2115" s="403">
        <v>1</v>
      </c>
      <c r="J2115" s="403" t="s">
        <v>1289</v>
      </c>
      <c r="K2115" s="403">
        <v>720</v>
      </c>
      <c r="L2115" s="403">
        <v>1280</v>
      </c>
      <c r="M2115" s="403" t="s">
        <v>1279</v>
      </c>
      <c r="N2115" s="403">
        <v>432</v>
      </c>
      <c r="O2115" s="403">
        <v>768</v>
      </c>
      <c r="P2115" t="str">
        <f t="shared" si="265"/>
        <v>50fps 720p full frame rate - SD ROI PTZ</v>
      </c>
      <c r="Q2115">
        <f t="shared" si="266"/>
        <v>11</v>
      </c>
      <c r="R2115" t="str">
        <f t="shared" si="267"/>
        <v/>
      </c>
      <c r="S2115" t="str">
        <f t="shared" si="268"/>
        <v/>
      </c>
      <c r="T2115" s="403" t="str">
        <f t="shared" si="269"/>
        <v>NBN-6x023-B</v>
      </c>
      <c r="U2115" s="403">
        <f t="shared" si="270"/>
        <v>1</v>
      </c>
      <c r="V2115" s="403" t="str">
        <f t="shared" si="271"/>
        <v>CPP_7</v>
      </c>
    </row>
    <row r="2116" spans="1:22">
      <c r="A2116" t="str">
        <f t="shared" si="264"/>
        <v>NBN-6x023-B</v>
      </c>
      <c r="B2116" s="403" t="s">
        <v>1388</v>
      </c>
      <c r="C2116" s="403" t="s">
        <v>583</v>
      </c>
      <c r="D2116" s="403" t="s">
        <v>1389</v>
      </c>
      <c r="E2116" s="403" t="s">
        <v>1306</v>
      </c>
      <c r="F2116" s="403" t="s">
        <v>1290</v>
      </c>
      <c r="G2116" s="403" t="s">
        <v>1467</v>
      </c>
      <c r="H2116" s="403" t="s">
        <v>1276</v>
      </c>
      <c r="I2116" s="403">
        <v>1</v>
      </c>
      <c r="J2116" s="403" t="s">
        <v>1289</v>
      </c>
      <c r="K2116" s="403">
        <v>720</v>
      </c>
      <c r="L2116" s="403">
        <v>1280</v>
      </c>
      <c r="M2116" s="403" t="s">
        <v>1298</v>
      </c>
      <c r="N2116" s="403">
        <v>432</v>
      </c>
      <c r="O2116" s="403">
        <v>768</v>
      </c>
      <c r="P2116" t="str">
        <f t="shared" si="265"/>
        <v>50fps 720p full frame rate - SD dual stream with independent ROI PTZ</v>
      </c>
      <c r="Q2116">
        <f t="shared" si="266"/>
        <v>11</v>
      </c>
      <c r="R2116" t="str">
        <f t="shared" si="267"/>
        <v/>
      </c>
      <c r="S2116" t="str">
        <f t="shared" si="268"/>
        <v/>
      </c>
      <c r="T2116" s="403" t="str">
        <f t="shared" si="269"/>
        <v>NBN-6x023-B</v>
      </c>
      <c r="U2116" s="403">
        <f t="shared" si="270"/>
        <v>1</v>
      </c>
      <c r="V2116" s="403" t="str">
        <f t="shared" si="271"/>
        <v>CPP_7</v>
      </c>
    </row>
    <row r="2117" spans="1:22">
      <c r="A2117" t="str">
        <f t="shared" si="264"/>
        <v>NBN-6x023-B</v>
      </c>
      <c r="B2117" s="403" t="s">
        <v>1388</v>
      </c>
      <c r="C2117" s="403" t="s">
        <v>583</v>
      </c>
      <c r="D2117" s="403" t="s">
        <v>1389</v>
      </c>
      <c r="E2117" s="403" t="s">
        <v>1306</v>
      </c>
      <c r="F2117" s="403" t="s">
        <v>1290</v>
      </c>
      <c r="G2117" s="403" t="s">
        <v>1467</v>
      </c>
      <c r="H2117" s="403" t="s">
        <v>1276</v>
      </c>
      <c r="I2117" s="403">
        <v>1</v>
      </c>
      <c r="J2117" s="403" t="s">
        <v>1289</v>
      </c>
      <c r="K2117" s="403">
        <v>720</v>
      </c>
      <c r="L2117" s="403">
        <v>1280</v>
      </c>
      <c r="M2117" s="403" t="s">
        <v>1301</v>
      </c>
      <c r="N2117" s="403">
        <v>720</v>
      </c>
      <c r="O2117" s="403">
        <v>1280</v>
      </c>
      <c r="P2117" t="str">
        <f t="shared" si="265"/>
        <v>50fps 720p full frame rate - 720p skip=4</v>
      </c>
      <c r="Q2117">
        <f t="shared" si="266"/>
        <v>11</v>
      </c>
      <c r="R2117" t="str">
        <f t="shared" si="267"/>
        <v/>
      </c>
      <c r="S2117" t="str">
        <f t="shared" si="268"/>
        <v/>
      </c>
      <c r="T2117" s="403" t="str">
        <f t="shared" si="269"/>
        <v>NBN-6x023-B</v>
      </c>
      <c r="U2117" s="403">
        <f t="shared" si="270"/>
        <v>1</v>
      </c>
      <c r="V2117" s="403" t="str">
        <f t="shared" si="271"/>
        <v>CPP_7</v>
      </c>
    </row>
    <row r="2118" spans="1:22">
      <c r="A2118" t="str">
        <f t="shared" si="264"/>
        <v>NBN-6x023-B</v>
      </c>
      <c r="B2118" s="403" t="s">
        <v>1388</v>
      </c>
      <c r="C2118" s="403" t="s">
        <v>583</v>
      </c>
      <c r="D2118" s="403" t="s">
        <v>1389</v>
      </c>
      <c r="E2118" s="403" t="s">
        <v>1306</v>
      </c>
      <c r="F2118" s="403" t="s">
        <v>1290</v>
      </c>
      <c r="G2118" s="403" t="s">
        <v>1467</v>
      </c>
      <c r="H2118" s="403" t="s">
        <v>1276</v>
      </c>
      <c r="I2118" s="403">
        <v>1</v>
      </c>
      <c r="J2118" s="403" t="s">
        <v>1289</v>
      </c>
      <c r="K2118" s="403">
        <v>720</v>
      </c>
      <c r="L2118" s="403">
        <v>1280</v>
      </c>
      <c r="M2118" s="403" t="s">
        <v>1280</v>
      </c>
      <c r="N2118" s="403">
        <v>720</v>
      </c>
      <c r="O2118" s="403">
        <v>1280</v>
      </c>
      <c r="P2118" t="str">
        <f t="shared" si="265"/>
        <v>50fps 720p full frame rate - copy other stream</v>
      </c>
      <c r="Q2118">
        <f t="shared" si="266"/>
        <v>11</v>
      </c>
      <c r="R2118" t="str">
        <f t="shared" si="267"/>
        <v/>
      </c>
      <c r="S2118" t="str">
        <f t="shared" si="268"/>
        <v/>
      </c>
      <c r="T2118" s="403" t="str">
        <f t="shared" si="269"/>
        <v>NBN-6x023-B</v>
      </c>
      <c r="U2118" s="403">
        <f t="shared" si="270"/>
        <v>1</v>
      </c>
      <c r="V2118" s="403" t="str">
        <f t="shared" si="271"/>
        <v>CPP_7</v>
      </c>
    </row>
    <row r="2119" spans="1:22">
      <c r="A2119" t="str">
        <f t="shared" si="264"/>
        <v>NBN-6x023-B</v>
      </c>
      <c r="B2119" s="403" t="s">
        <v>1388</v>
      </c>
      <c r="C2119" s="403" t="s">
        <v>583</v>
      </c>
      <c r="D2119" s="403" t="s">
        <v>1389</v>
      </c>
      <c r="E2119" s="403" t="s">
        <v>1306</v>
      </c>
      <c r="F2119" s="403" t="s">
        <v>1290</v>
      </c>
      <c r="G2119" s="403" t="s">
        <v>1467</v>
      </c>
      <c r="H2119" s="403" t="s">
        <v>1276</v>
      </c>
      <c r="I2119" s="403">
        <v>1</v>
      </c>
      <c r="J2119" s="403" t="s">
        <v>1289</v>
      </c>
      <c r="K2119" s="403">
        <v>720</v>
      </c>
      <c r="L2119" s="403">
        <v>1280</v>
      </c>
      <c r="M2119" s="403" t="s">
        <v>1302</v>
      </c>
      <c r="N2119" s="403">
        <v>720</v>
      </c>
      <c r="O2119" s="403">
        <v>400</v>
      </c>
      <c r="P2119" t="str">
        <f t="shared" si="265"/>
        <v>50fps 720p full frame rate - 400x720 upright (cropped)</v>
      </c>
      <c r="Q2119">
        <f t="shared" si="266"/>
        <v>11</v>
      </c>
      <c r="R2119" t="str">
        <f t="shared" si="267"/>
        <v/>
      </c>
      <c r="S2119" t="str">
        <f t="shared" si="268"/>
        <v/>
      </c>
      <c r="T2119" s="403" t="str">
        <f t="shared" si="269"/>
        <v>NBN-6x023-B</v>
      </c>
      <c r="U2119" s="403">
        <f t="shared" si="270"/>
        <v>1</v>
      </c>
      <c r="V2119" s="403" t="str">
        <f t="shared" si="271"/>
        <v>CPP_7</v>
      </c>
    </row>
    <row r="2120" spans="1:22">
      <c r="A2120" t="str">
        <f t="shared" si="264"/>
        <v>NBN-6x023-B</v>
      </c>
      <c r="B2120" s="403" t="s">
        <v>1388</v>
      </c>
      <c r="C2120" s="403" t="s">
        <v>583</v>
      </c>
      <c r="D2120" s="403" t="s">
        <v>1389</v>
      </c>
      <c r="E2120" s="403" t="s">
        <v>1306</v>
      </c>
      <c r="F2120" s="403" t="s">
        <v>1290</v>
      </c>
      <c r="G2120" s="403" t="s">
        <v>1467</v>
      </c>
      <c r="H2120" s="403" t="s">
        <v>1276</v>
      </c>
      <c r="I2120" s="403">
        <v>1</v>
      </c>
      <c r="J2120" s="403" t="s">
        <v>1289</v>
      </c>
      <c r="K2120" s="403">
        <v>720</v>
      </c>
      <c r="L2120" s="403">
        <v>1280</v>
      </c>
      <c r="M2120" s="403" t="s">
        <v>1283</v>
      </c>
      <c r="N2120" s="403">
        <v>576</v>
      </c>
      <c r="O2120" s="403">
        <v>704</v>
      </c>
      <c r="P2120" t="str">
        <f t="shared" si="265"/>
        <v>50fps 720p full frame rate - SD 4CIF resolution 4:3 format (cropped)</v>
      </c>
      <c r="Q2120">
        <f t="shared" si="266"/>
        <v>11</v>
      </c>
      <c r="R2120" t="str">
        <f t="shared" si="267"/>
        <v/>
      </c>
      <c r="S2120" t="str">
        <f t="shared" si="268"/>
        <v/>
      </c>
      <c r="T2120" s="403" t="str">
        <f t="shared" si="269"/>
        <v>NBN-6x023-B</v>
      </c>
      <c r="U2120" s="403">
        <f t="shared" si="270"/>
        <v>1</v>
      </c>
      <c r="V2120" s="403" t="str">
        <f t="shared" si="271"/>
        <v>CPP_7</v>
      </c>
    </row>
    <row r="2121" spans="1:22">
      <c r="A2121" t="str">
        <f t="shared" si="264"/>
        <v>NBN-6x023-B</v>
      </c>
      <c r="B2121" s="403" t="s">
        <v>1388</v>
      </c>
      <c r="C2121" s="403" t="s">
        <v>583</v>
      </c>
      <c r="D2121" s="403" t="s">
        <v>1389</v>
      </c>
      <c r="E2121" s="403" t="s">
        <v>1306</v>
      </c>
      <c r="F2121" s="403" t="s">
        <v>1290</v>
      </c>
      <c r="G2121" s="403" t="s">
        <v>1467</v>
      </c>
      <c r="H2121" s="403" t="s">
        <v>1276</v>
      </c>
      <c r="I2121" s="403">
        <v>1</v>
      </c>
      <c r="J2121" s="403" t="s">
        <v>1289</v>
      </c>
      <c r="K2121" s="403">
        <v>720</v>
      </c>
      <c r="L2121" s="403">
        <v>1280</v>
      </c>
      <c r="M2121" s="403" t="s">
        <v>1284</v>
      </c>
      <c r="N2121" s="403">
        <v>480</v>
      </c>
      <c r="O2121" s="403">
        <v>640</v>
      </c>
      <c r="P2121" t="str">
        <f t="shared" si="265"/>
        <v>50fps 720p full frame rate - SD VGA (cropped)</v>
      </c>
      <c r="Q2121">
        <f t="shared" si="266"/>
        <v>11</v>
      </c>
      <c r="R2121" t="str">
        <f t="shared" si="267"/>
        <v/>
      </c>
      <c r="S2121" t="str">
        <f t="shared" si="268"/>
        <v/>
      </c>
      <c r="T2121" s="403" t="str">
        <f t="shared" si="269"/>
        <v>NBN-6x023-B</v>
      </c>
      <c r="U2121" s="403">
        <f t="shared" si="270"/>
        <v>1</v>
      </c>
      <c r="V2121" s="403" t="str">
        <f t="shared" si="271"/>
        <v>CPP_7</v>
      </c>
    </row>
    <row r="2122" spans="1:22">
      <c r="A2122" t="str">
        <f t="shared" si="264"/>
        <v>NBN-6x023-B</v>
      </c>
      <c r="B2122" s="403" t="s">
        <v>1388</v>
      </c>
      <c r="C2122" s="403" t="s">
        <v>583</v>
      </c>
      <c r="D2122" s="403" t="s">
        <v>1389</v>
      </c>
      <c r="E2122" s="403" t="s">
        <v>1306</v>
      </c>
      <c r="F2122" s="403" t="s">
        <v>1290</v>
      </c>
      <c r="G2122" s="403" t="s">
        <v>1467</v>
      </c>
      <c r="H2122" s="403" t="s">
        <v>1276</v>
      </c>
      <c r="I2122" s="403">
        <v>1</v>
      </c>
      <c r="J2122" s="403" t="s">
        <v>111</v>
      </c>
      <c r="K2122" s="403">
        <v>432</v>
      </c>
      <c r="L2122" s="403">
        <v>768</v>
      </c>
      <c r="M2122" s="403" t="s">
        <v>111</v>
      </c>
      <c r="N2122" s="403">
        <v>432</v>
      </c>
      <c r="O2122" s="403">
        <v>768</v>
      </c>
      <c r="P2122" t="str">
        <f t="shared" si="265"/>
        <v>50fps SD - SD</v>
      </c>
      <c r="Q2122">
        <f t="shared" si="266"/>
        <v>11</v>
      </c>
      <c r="R2122" t="str">
        <f t="shared" si="267"/>
        <v/>
      </c>
      <c r="S2122" t="str">
        <f t="shared" si="268"/>
        <v/>
      </c>
      <c r="T2122" s="403" t="str">
        <f t="shared" si="269"/>
        <v>NBN-6x023-B</v>
      </c>
      <c r="U2122" s="403">
        <f t="shared" si="270"/>
        <v>1</v>
      </c>
      <c r="V2122" s="403" t="str">
        <f t="shared" si="271"/>
        <v>CPP_7</v>
      </c>
    </row>
    <row r="2123" spans="1:22">
      <c r="A2123" t="str">
        <f t="shared" si="264"/>
        <v>NBN-6x023-B</v>
      </c>
      <c r="B2123" s="403" t="s">
        <v>1388</v>
      </c>
      <c r="C2123" s="403" t="s">
        <v>583</v>
      </c>
      <c r="D2123" s="403" t="s">
        <v>1389</v>
      </c>
      <c r="E2123" s="403" t="s">
        <v>1307</v>
      </c>
      <c r="F2123" s="403" t="s">
        <v>1286</v>
      </c>
      <c r="G2123" s="403" t="s">
        <v>1466</v>
      </c>
      <c r="H2123" s="403" t="s">
        <v>1276</v>
      </c>
      <c r="I2123" s="403">
        <v>1</v>
      </c>
      <c r="J2123" s="403" t="s">
        <v>110</v>
      </c>
      <c r="K2123" s="403">
        <v>1920</v>
      </c>
      <c r="L2123" s="403">
        <v>1080</v>
      </c>
      <c r="M2123" s="403" t="s">
        <v>111</v>
      </c>
      <c r="N2123" s="403">
        <v>768</v>
      </c>
      <c r="O2123" s="403">
        <v>432</v>
      </c>
      <c r="P2123" t="str">
        <f t="shared" si="265"/>
        <v>30fps 1080p - SD</v>
      </c>
      <c r="Q2123">
        <f t="shared" si="266"/>
        <v>11</v>
      </c>
      <c r="R2123" t="str">
        <f t="shared" si="267"/>
        <v/>
      </c>
      <c r="S2123" t="str">
        <f t="shared" si="268"/>
        <v/>
      </c>
      <c r="T2123" s="403" t="str">
        <f t="shared" si="269"/>
        <v>NBN-6x023-B</v>
      </c>
      <c r="U2123" s="403">
        <f t="shared" si="270"/>
        <v>1</v>
      </c>
      <c r="V2123" s="403" t="str">
        <f t="shared" si="271"/>
        <v>CPP_7</v>
      </c>
    </row>
    <row r="2124" spans="1:22">
      <c r="A2124" t="str">
        <f t="shared" si="264"/>
        <v>NBN-6x023-B</v>
      </c>
      <c r="B2124" s="403" t="s">
        <v>1388</v>
      </c>
      <c r="C2124" s="403" t="s">
        <v>583</v>
      </c>
      <c r="D2124" s="403" t="s">
        <v>1389</v>
      </c>
      <c r="E2124" s="403" t="s">
        <v>1307</v>
      </c>
      <c r="F2124" s="403" t="s">
        <v>1286</v>
      </c>
      <c r="G2124" s="403" t="s">
        <v>1466</v>
      </c>
      <c r="H2124" s="403" t="s">
        <v>1276</v>
      </c>
      <c r="I2124" s="403">
        <v>1</v>
      </c>
      <c r="J2124" s="403" t="s">
        <v>110</v>
      </c>
      <c r="K2124" s="403">
        <v>1920</v>
      </c>
      <c r="L2124" s="403">
        <v>1080</v>
      </c>
      <c r="M2124" s="403" t="s">
        <v>110</v>
      </c>
      <c r="N2124" s="403">
        <v>1920</v>
      </c>
      <c r="O2124" s="403">
        <v>1080</v>
      </c>
      <c r="P2124" t="str">
        <f t="shared" si="265"/>
        <v>30fps 1080p - 1080p</v>
      </c>
      <c r="Q2124">
        <f t="shared" si="266"/>
        <v>11</v>
      </c>
      <c r="R2124" t="str">
        <f t="shared" si="267"/>
        <v/>
      </c>
      <c r="S2124" t="str">
        <f t="shared" si="268"/>
        <v/>
      </c>
      <c r="T2124" s="403" t="str">
        <f t="shared" si="269"/>
        <v>NBN-6x023-B</v>
      </c>
      <c r="U2124" s="403">
        <f t="shared" si="270"/>
        <v>1</v>
      </c>
      <c r="V2124" s="403" t="str">
        <f t="shared" si="271"/>
        <v>CPP_7</v>
      </c>
    </row>
    <row r="2125" spans="1:22">
      <c r="A2125" t="str">
        <f t="shared" si="264"/>
        <v>NBN-6x023-B</v>
      </c>
      <c r="B2125" s="403" t="s">
        <v>1388</v>
      </c>
      <c r="C2125" s="403" t="s">
        <v>583</v>
      </c>
      <c r="D2125" s="403" t="s">
        <v>1389</v>
      </c>
      <c r="E2125" s="403" t="s">
        <v>1307</v>
      </c>
      <c r="F2125" s="403" t="s">
        <v>1286</v>
      </c>
      <c r="G2125" s="403" t="s">
        <v>1466</v>
      </c>
      <c r="H2125" s="403" t="s">
        <v>1276</v>
      </c>
      <c r="I2125" s="403">
        <v>1</v>
      </c>
      <c r="J2125" s="403" t="s">
        <v>110</v>
      </c>
      <c r="K2125" s="403">
        <v>1920</v>
      </c>
      <c r="L2125" s="403">
        <v>1080</v>
      </c>
      <c r="M2125" s="403" t="s">
        <v>109</v>
      </c>
      <c r="N2125" s="403">
        <v>1280</v>
      </c>
      <c r="O2125" s="403">
        <v>720</v>
      </c>
      <c r="P2125" t="str">
        <f t="shared" si="265"/>
        <v>30fps 1080p - 720p</v>
      </c>
      <c r="Q2125">
        <f t="shared" si="266"/>
        <v>11</v>
      </c>
      <c r="R2125" t="str">
        <f t="shared" si="267"/>
        <v/>
      </c>
      <c r="S2125" t="str">
        <f t="shared" si="268"/>
        <v/>
      </c>
      <c r="T2125" s="403" t="str">
        <f t="shared" si="269"/>
        <v>NBN-6x023-B</v>
      </c>
      <c r="U2125" s="403">
        <f t="shared" si="270"/>
        <v>1</v>
      </c>
      <c r="V2125" s="403" t="str">
        <f t="shared" si="271"/>
        <v>CPP_7</v>
      </c>
    </row>
    <row r="2126" spans="1:22">
      <c r="A2126" t="str">
        <f t="shared" si="264"/>
        <v>NBN-6x023-B</v>
      </c>
      <c r="B2126" s="403" t="s">
        <v>1388</v>
      </c>
      <c r="C2126" s="403" t="s">
        <v>583</v>
      </c>
      <c r="D2126" s="403" t="s">
        <v>1389</v>
      </c>
      <c r="E2126" s="403" t="s">
        <v>1307</v>
      </c>
      <c r="F2126" s="403" t="s">
        <v>1286</v>
      </c>
      <c r="G2126" s="403" t="s">
        <v>1466</v>
      </c>
      <c r="H2126" s="403" t="s">
        <v>1276</v>
      </c>
      <c r="I2126" s="403">
        <v>1</v>
      </c>
      <c r="J2126" s="403" t="s">
        <v>110</v>
      </c>
      <c r="K2126" s="403">
        <v>1920</v>
      </c>
      <c r="L2126" s="403">
        <v>1080</v>
      </c>
      <c r="M2126" s="403" t="s">
        <v>1285</v>
      </c>
      <c r="N2126" s="403">
        <v>1280</v>
      </c>
      <c r="O2126" s="403">
        <v>1024</v>
      </c>
      <c r="P2126" t="str">
        <f t="shared" si="265"/>
        <v>30fps 1080p - 1280x1024 5:4 (cropped)</v>
      </c>
      <c r="Q2126">
        <f t="shared" si="266"/>
        <v>11</v>
      </c>
      <c r="R2126" t="str">
        <f t="shared" si="267"/>
        <v/>
      </c>
      <c r="S2126" t="str">
        <f t="shared" si="268"/>
        <v/>
      </c>
      <c r="T2126" s="403" t="str">
        <f t="shared" si="269"/>
        <v>NBN-6x023-B</v>
      </c>
      <c r="U2126" s="403">
        <f t="shared" si="270"/>
        <v>1</v>
      </c>
      <c r="V2126" s="403" t="str">
        <f t="shared" si="271"/>
        <v>CPP_7</v>
      </c>
    </row>
    <row r="2127" spans="1:22">
      <c r="A2127" t="str">
        <f t="shared" si="264"/>
        <v>NBN-6x023-B</v>
      </c>
      <c r="B2127" s="403" t="s">
        <v>1388</v>
      </c>
      <c r="C2127" s="403" t="s">
        <v>583</v>
      </c>
      <c r="D2127" s="403" t="s">
        <v>1389</v>
      </c>
      <c r="E2127" s="403" t="s">
        <v>1307</v>
      </c>
      <c r="F2127" s="403" t="s">
        <v>1286</v>
      </c>
      <c r="G2127" s="403" t="s">
        <v>1466</v>
      </c>
      <c r="H2127" s="403" t="s">
        <v>1276</v>
      </c>
      <c r="I2127" s="403">
        <v>1</v>
      </c>
      <c r="J2127" s="403" t="s">
        <v>110</v>
      </c>
      <c r="K2127" s="403">
        <v>1920</v>
      </c>
      <c r="L2127" s="403">
        <v>1080</v>
      </c>
      <c r="M2127" s="403" t="s">
        <v>1309</v>
      </c>
      <c r="N2127" s="403">
        <v>1280</v>
      </c>
      <c r="O2127" s="403">
        <v>960</v>
      </c>
      <c r="P2127" t="str">
        <f t="shared" si="265"/>
        <v>30fps 1080p - 1280x960 4:3 (cropped)</v>
      </c>
      <c r="Q2127">
        <f t="shared" si="266"/>
        <v>11</v>
      </c>
      <c r="R2127" t="str">
        <f t="shared" si="267"/>
        <v/>
      </c>
      <c r="S2127" t="str">
        <f t="shared" si="268"/>
        <v/>
      </c>
      <c r="T2127" s="403" t="str">
        <f t="shared" si="269"/>
        <v>NBN-6x023-B</v>
      </c>
      <c r="U2127" s="403">
        <f t="shared" si="270"/>
        <v>1</v>
      </c>
      <c r="V2127" s="403" t="str">
        <f t="shared" si="271"/>
        <v>CPP_7</v>
      </c>
    </row>
    <row r="2128" spans="1:22">
      <c r="A2128" t="str">
        <f t="shared" si="264"/>
        <v>NBN-6x023-B</v>
      </c>
      <c r="B2128" s="403" t="s">
        <v>1388</v>
      </c>
      <c r="C2128" s="403" t="s">
        <v>583</v>
      </c>
      <c r="D2128" s="403" t="s">
        <v>1389</v>
      </c>
      <c r="E2128" s="403" t="s">
        <v>1307</v>
      </c>
      <c r="F2128" s="403" t="s">
        <v>1286</v>
      </c>
      <c r="G2128" s="403" t="s">
        <v>1466</v>
      </c>
      <c r="H2128" s="403" t="s">
        <v>1276</v>
      </c>
      <c r="I2128" s="403">
        <v>1</v>
      </c>
      <c r="J2128" s="403" t="s">
        <v>110</v>
      </c>
      <c r="K2128" s="403">
        <v>1920</v>
      </c>
      <c r="L2128" s="403">
        <v>1080</v>
      </c>
      <c r="M2128" s="403" t="s">
        <v>1279</v>
      </c>
      <c r="N2128" s="403">
        <v>768</v>
      </c>
      <c r="O2128" s="403">
        <v>432</v>
      </c>
      <c r="P2128" t="str">
        <f t="shared" si="265"/>
        <v>30fps 1080p - SD ROI PTZ</v>
      </c>
      <c r="Q2128">
        <f t="shared" si="266"/>
        <v>11</v>
      </c>
      <c r="R2128" t="str">
        <f t="shared" si="267"/>
        <v/>
      </c>
      <c r="S2128" t="str">
        <f t="shared" si="268"/>
        <v/>
      </c>
      <c r="T2128" s="403" t="str">
        <f t="shared" si="269"/>
        <v>NBN-6x023-B</v>
      </c>
      <c r="U2128" s="403">
        <f t="shared" si="270"/>
        <v>1</v>
      </c>
      <c r="V2128" s="403" t="str">
        <f t="shared" si="271"/>
        <v>CPP_7</v>
      </c>
    </row>
    <row r="2129" spans="1:22">
      <c r="A2129" t="str">
        <f t="shared" si="264"/>
        <v>NBN-6x023-B</v>
      </c>
      <c r="B2129" s="403" t="s">
        <v>1388</v>
      </c>
      <c r="C2129" s="403" t="s">
        <v>583</v>
      </c>
      <c r="D2129" s="403" t="s">
        <v>1389</v>
      </c>
      <c r="E2129" s="403" t="s">
        <v>1307</v>
      </c>
      <c r="F2129" s="403" t="s">
        <v>1286</v>
      </c>
      <c r="G2129" s="403" t="s">
        <v>1466</v>
      </c>
      <c r="H2129" s="403" t="s">
        <v>1276</v>
      </c>
      <c r="I2129" s="403">
        <v>1</v>
      </c>
      <c r="J2129" s="403" t="s">
        <v>110</v>
      </c>
      <c r="K2129" s="403">
        <v>1920</v>
      </c>
      <c r="L2129" s="403">
        <v>1080</v>
      </c>
      <c r="M2129" s="403" t="s">
        <v>1298</v>
      </c>
      <c r="N2129" s="403">
        <v>768</v>
      </c>
      <c r="O2129" s="403">
        <v>432</v>
      </c>
      <c r="P2129" t="str">
        <f t="shared" si="265"/>
        <v>30fps 1080p - SD dual stream with independent ROI PTZ</v>
      </c>
      <c r="Q2129">
        <f t="shared" si="266"/>
        <v>11</v>
      </c>
      <c r="R2129" t="str">
        <f t="shared" si="267"/>
        <v/>
      </c>
      <c r="S2129" t="str">
        <f t="shared" si="268"/>
        <v/>
      </c>
      <c r="T2129" s="403" t="str">
        <f t="shared" si="269"/>
        <v>NBN-6x023-B</v>
      </c>
      <c r="U2129" s="403">
        <f t="shared" si="270"/>
        <v>1</v>
      </c>
      <c r="V2129" s="403" t="str">
        <f t="shared" si="271"/>
        <v>CPP_7</v>
      </c>
    </row>
    <row r="2130" spans="1:22">
      <c r="A2130" t="str">
        <f t="shared" si="264"/>
        <v>NBN-6x023-B</v>
      </c>
      <c r="B2130" s="403" t="s">
        <v>1388</v>
      </c>
      <c r="C2130" s="403" t="s">
        <v>583</v>
      </c>
      <c r="D2130" s="403" t="s">
        <v>1389</v>
      </c>
      <c r="E2130" s="403" t="s">
        <v>1307</v>
      </c>
      <c r="F2130" s="403" t="s">
        <v>1286</v>
      </c>
      <c r="G2130" s="403" t="s">
        <v>1466</v>
      </c>
      <c r="H2130" s="403" t="s">
        <v>1276</v>
      </c>
      <c r="I2130" s="403">
        <v>1</v>
      </c>
      <c r="J2130" s="403" t="s">
        <v>110</v>
      </c>
      <c r="K2130" s="403">
        <v>1920</v>
      </c>
      <c r="L2130" s="403">
        <v>1080</v>
      </c>
      <c r="M2130" s="403" t="s">
        <v>1283</v>
      </c>
      <c r="N2130" s="403">
        <v>704</v>
      </c>
      <c r="O2130" s="403">
        <v>480</v>
      </c>
      <c r="P2130" t="str">
        <f t="shared" si="265"/>
        <v>30fps 1080p - SD 4CIF resolution 4:3 format (cropped)</v>
      </c>
      <c r="Q2130">
        <f t="shared" si="266"/>
        <v>11</v>
      </c>
      <c r="R2130" t="str">
        <f t="shared" si="267"/>
        <v/>
      </c>
      <c r="S2130" t="str">
        <f t="shared" si="268"/>
        <v/>
      </c>
      <c r="T2130" s="403" t="str">
        <f t="shared" si="269"/>
        <v>NBN-6x023-B</v>
      </c>
      <c r="U2130" s="403">
        <f t="shared" si="270"/>
        <v>1</v>
      </c>
      <c r="V2130" s="403" t="str">
        <f t="shared" si="271"/>
        <v>CPP_7</v>
      </c>
    </row>
    <row r="2131" spans="1:22">
      <c r="A2131" t="str">
        <f t="shared" si="264"/>
        <v>NBN-6x023-B</v>
      </c>
      <c r="B2131" s="403" t="s">
        <v>1388</v>
      </c>
      <c r="C2131" s="403" t="s">
        <v>583</v>
      </c>
      <c r="D2131" s="403" t="s">
        <v>1389</v>
      </c>
      <c r="E2131" s="403" t="s">
        <v>1307</v>
      </c>
      <c r="F2131" s="403" t="s">
        <v>1286</v>
      </c>
      <c r="G2131" s="403" t="s">
        <v>1466</v>
      </c>
      <c r="H2131" s="403" t="s">
        <v>1276</v>
      </c>
      <c r="I2131" s="403">
        <v>1</v>
      </c>
      <c r="J2131" s="403" t="s">
        <v>110</v>
      </c>
      <c r="K2131" s="403">
        <v>1920</v>
      </c>
      <c r="L2131" s="403">
        <v>1080</v>
      </c>
      <c r="M2131" s="403" t="s">
        <v>1284</v>
      </c>
      <c r="N2131" s="403">
        <v>640</v>
      </c>
      <c r="O2131" s="403">
        <v>480</v>
      </c>
      <c r="P2131" t="str">
        <f t="shared" si="265"/>
        <v>30fps 1080p - SD VGA (cropped)</v>
      </c>
      <c r="Q2131">
        <f t="shared" si="266"/>
        <v>11</v>
      </c>
      <c r="R2131" t="str">
        <f t="shared" si="267"/>
        <v/>
      </c>
      <c r="S2131" t="str">
        <f t="shared" si="268"/>
        <v/>
      </c>
      <c r="T2131" s="403" t="str">
        <f t="shared" si="269"/>
        <v>NBN-6x023-B</v>
      </c>
      <c r="U2131" s="403">
        <f t="shared" si="270"/>
        <v>1</v>
      </c>
      <c r="V2131" s="403" t="str">
        <f t="shared" si="271"/>
        <v>CPP_7</v>
      </c>
    </row>
    <row r="2132" spans="1:22">
      <c r="A2132" t="str">
        <f t="shared" si="264"/>
        <v>NBN-6x023-B</v>
      </c>
      <c r="B2132" s="403" t="s">
        <v>1388</v>
      </c>
      <c r="C2132" s="403" t="s">
        <v>583</v>
      </c>
      <c r="D2132" s="403" t="s">
        <v>1389</v>
      </c>
      <c r="E2132" s="403" t="s">
        <v>1307</v>
      </c>
      <c r="F2132" s="403" t="s">
        <v>1286</v>
      </c>
      <c r="G2132" s="403" t="s">
        <v>1466</v>
      </c>
      <c r="H2132" s="403" t="s">
        <v>1276</v>
      </c>
      <c r="I2132" s="403">
        <v>1</v>
      </c>
      <c r="J2132" s="403" t="s">
        <v>109</v>
      </c>
      <c r="K2132" s="403">
        <v>1280</v>
      </c>
      <c r="L2132" s="403">
        <v>720</v>
      </c>
      <c r="M2132" s="403" t="s">
        <v>111</v>
      </c>
      <c r="N2132" s="403">
        <v>768</v>
      </c>
      <c r="O2132" s="403">
        <v>432</v>
      </c>
      <c r="P2132" t="str">
        <f t="shared" si="265"/>
        <v>30fps 720p - SD</v>
      </c>
      <c r="Q2132">
        <f t="shared" si="266"/>
        <v>11</v>
      </c>
      <c r="R2132" t="str">
        <f t="shared" si="267"/>
        <v/>
      </c>
      <c r="S2132" t="str">
        <f t="shared" si="268"/>
        <v/>
      </c>
      <c r="T2132" s="403" t="str">
        <f t="shared" si="269"/>
        <v>NBN-6x023-B</v>
      </c>
      <c r="U2132" s="403">
        <f t="shared" si="270"/>
        <v>1</v>
      </c>
      <c r="V2132" s="403" t="str">
        <f t="shared" si="271"/>
        <v>CPP_7</v>
      </c>
    </row>
    <row r="2133" spans="1:22">
      <c r="A2133" t="str">
        <f t="shared" si="264"/>
        <v>NBN-6x023-B</v>
      </c>
      <c r="B2133" s="403" t="s">
        <v>1388</v>
      </c>
      <c r="C2133" s="403" t="s">
        <v>583</v>
      </c>
      <c r="D2133" s="403" t="s">
        <v>1389</v>
      </c>
      <c r="E2133" s="403" t="s">
        <v>1307</v>
      </c>
      <c r="F2133" s="403" t="s">
        <v>1286</v>
      </c>
      <c r="G2133" s="403" t="s">
        <v>1466</v>
      </c>
      <c r="H2133" s="403" t="s">
        <v>1276</v>
      </c>
      <c r="I2133" s="403">
        <v>1</v>
      </c>
      <c r="J2133" s="403" t="s">
        <v>109</v>
      </c>
      <c r="K2133" s="403">
        <v>1280</v>
      </c>
      <c r="L2133" s="403">
        <v>720</v>
      </c>
      <c r="M2133" s="403" t="s">
        <v>109</v>
      </c>
      <c r="N2133" s="403">
        <v>1280</v>
      </c>
      <c r="O2133" s="403">
        <v>720</v>
      </c>
      <c r="P2133" t="str">
        <f t="shared" si="265"/>
        <v>30fps 720p - 720p</v>
      </c>
      <c r="Q2133">
        <f t="shared" si="266"/>
        <v>11</v>
      </c>
      <c r="R2133" t="str">
        <f t="shared" si="267"/>
        <v/>
      </c>
      <c r="S2133" t="str">
        <f t="shared" si="268"/>
        <v/>
      </c>
      <c r="T2133" s="403" t="str">
        <f t="shared" si="269"/>
        <v>NBN-6x023-B</v>
      </c>
      <c r="U2133" s="403">
        <f t="shared" si="270"/>
        <v>1</v>
      </c>
      <c r="V2133" s="403" t="str">
        <f t="shared" si="271"/>
        <v>CPP_7</v>
      </c>
    </row>
    <row r="2134" spans="1:22">
      <c r="A2134" t="str">
        <f t="shared" si="264"/>
        <v>NBN-6x023-B</v>
      </c>
      <c r="B2134" s="403" t="s">
        <v>1388</v>
      </c>
      <c r="C2134" s="403" t="s">
        <v>583</v>
      </c>
      <c r="D2134" s="403" t="s">
        <v>1389</v>
      </c>
      <c r="E2134" s="403" t="s">
        <v>1307</v>
      </c>
      <c r="F2134" s="403" t="s">
        <v>1286</v>
      </c>
      <c r="G2134" s="403" t="s">
        <v>1466</v>
      </c>
      <c r="H2134" s="403" t="s">
        <v>1276</v>
      </c>
      <c r="I2134" s="403">
        <v>1</v>
      </c>
      <c r="J2134" s="403" t="s">
        <v>109</v>
      </c>
      <c r="K2134" s="403">
        <v>1280</v>
      </c>
      <c r="L2134" s="403">
        <v>720</v>
      </c>
      <c r="M2134" s="403" t="s">
        <v>1279</v>
      </c>
      <c r="N2134" s="403">
        <v>768</v>
      </c>
      <c r="O2134" s="403">
        <v>432</v>
      </c>
      <c r="P2134" t="str">
        <f t="shared" si="265"/>
        <v>30fps 720p - SD ROI PTZ</v>
      </c>
      <c r="Q2134">
        <f t="shared" si="266"/>
        <v>11</v>
      </c>
      <c r="R2134" t="str">
        <f t="shared" si="267"/>
        <v/>
      </c>
      <c r="S2134" t="str">
        <f t="shared" si="268"/>
        <v/>
      </c>
      <c r="T2134" s="403" t="str">
        <f t="shared" si="269"/>
        <v>NBN-6x023-B</v>
      </c>
      <c r="U2134" s="403">
        <f t="shared" si="270"/>
        <v>1</v>
      </c>
      <c r="V2134" s="403" t="str">
        <f t="shared" si="271"/>
        <v>CPP_7</v>
      </c>
    </row>
    <row r="2135" spans="1:22">
      <c r="A2135" t="str">
        <f t="shared" si="264"/>
        <v>NBN-6x023-B</v>
      </c>
      <c r="B2135" s="403" t="s">
        <v>1388</v>
      </c>
      <c r="C2135" s="403" t="s">
        <v>583</v>
      </c>
      <c r="D2135" s="403" t="s">
        <v>1389</v>
      </c>
      <c r="E2135" s="403" t="s">
        <v>1307</v>
      </c>
      <c r="F2135" s="403" t="s">
        <v>1286</v>
      </c>
      <c r="G2135" s="403" t="s">
        <v>1466</v>
      </c>
      <c r="H2135" s="403" t="s">
        <v>1276</v>
      </c>
      <c r="I2135" s="403">
        <v>1</v>
      </c>
      <c r="J2135" s="403" t="s">
        <v>109</v>
      </c>
      <c r="K2135" s="403">
        <v>1280</v>
      </c>
      <c r="L2135" s="403">
        <v>720</v>
      </c>
      <c r="M2135" s="403" t="s">
        <v>1298</v>
      </c>
      <c r="N2135" s="403">
        <v>768</v>
      </c>
      <c r="O2135" s="403">
        <v>432</v>
      </c>
      <c r="P2135" t="str">
        <f t="shared" si="265"/>
        <v>30fps 720p - SD dual stream with independent ROI PTZ</v>
      </c>
      <c r="Q2135">
        <f t="shared" si="266"/>
        <v>11</v>
      </c>
      <c r="R2135" t="str">
        <f t="shared" si="267"/>
        <v/>
      </c>
      <c r="S2135" t="str">
        <f t="shared" si="268"/>
        <v/>
      </c>
      <c r="T2135" s="403" t="str">
        <f t="shared" si="269"/>
        <v>NBN-6x023-B</v>
      </c>
      <c r="U2135" s="403">
        <f t="shared" si="270"/>
        <v>1</v>
      </c>
      <c r="V2135" s="403" t="str">
        <f t="shared" si="271"/>
        <v>CPP_7</v>
      </c>
    </row>
    <row r="2136" spans="1:22">
      <c r="A2136" t="str">
        <f t="shared" si="264"/>
        <v>NBN-6x023-B</v>
      </c>
      <c r="B2136" s="403" t="s">
        <v>1388</v>
      </c>
      <c r="C2136" s="403" t="s">
        <v>583</v>
      </c>
      <c r="D2136" s="403" t="s">
        <v>1389</v>
      </c>
      <c r="E2136" s="403" t="s">
        <v>1307</v>
      </c>
      <c r="F2136" s="403" t="s">
        <v>1286</v>
      </c>
      <c r="G2136" s="403" t="s">
        <v>1466</v>
      </c>
      <c r="H2136" s="403" t="s">
        <v>1276</v>
      </c>
      <c r="I2136" s="403">
        <v>1</v>
      </c>
      <c r="J2136" s="403" t="s">
        <v>109</v>
      </c>
      <c r="K2136" s="403">
        <v>1280</v>
      </c>
      <c r="L2136" s="403">
        <v>720</v>
      </c>
      <c r="M2136" s="403" t="s">
        <v>1283</v>
      </c>
      <c r="N2136" s="403">
        <v>704</v>
      </c>
      <c r="O2136" s="403">
        <v>480</v>
      </c>
      <c r="P2136" t="str">
        <f t="shared" si="265"/>
        <v>30fps 720p - SD 4CIF resolution 4:3 format (cropped)</v>
      </c>
      <c r="Q2136">
        <f t="shared" si="266"/>
        <v>11</v>
      </c>
      <c r="R2136" t="str">
        <f t="shared" si="267"/>
        <v/>
      </c>
      <c r="S2136" t="str">
        <f t="shared" si="268"/>
        <v/>
      </c>
      <c r="T2136" s="403" t="str">
        <f t="shared" si="269"/>
        <v>NBN-6x023-B</v>
      </c>
      <c r="U2136" s="403">
        <f t="shared" si="270"/>
        <v>1</v>
      </c>
      <c r="V2136" s="403" t="str">
        <f t="shared" si="271"/>
        <v>CPP_7</v>
      </c>
    </row>
    <row r="2137" spans="1:22">
      <c r="A2137" t="str">
        <f t="shared" si="264"/>
        <v>NBN-6x023-B</v>
      </c>
      <c r="B2137" s="403" t="s">
        <v>1388</v>
      </c>
      <c r="C2137" s="403" t="s">
        <v>583</v>
      </c>
      <c r="D2137" s="403" t="s">
        <v>1389</v>
      </c>
      <c r="E2137" s="403" t="s">
        <v>1307</v>
      </c>
      <c r="F2137" s="403" t="s">
        <v>1286</v>
      </c>
      <c r="G2137" s="403" t="s">
        <v>1466</v>
      </c>
      <c r="H2137" s="403" t="s">
        <v>1276</v>
      </c>
      <c r="I2137" s="403">
        <v>1</v>
      </c>
      <c r="J2137" s="403" t="s">
        <v>109</v>
      </c>
      <c r="K2137" s="403">
        <v>1280</v>
      </c>
      <c r="L2137" s="403">
        <v>720</v>
      </c>
      <c r="M2137" s="403" t="s">
        <v>1284</v>
      </c>
      <c r="N2137" s="403">
        <v>640</v>
      </c>
      <c r="O2137" s="403">
        <v>480</v>
      </c>
      <c r="P2137" t="str">
        <f t="shared" si="265"/>
        <v>30fps 720p - SD VGA (cropped)</v>
      </c>
      <c r="Q2137">
        <f t="shared" si="266"/>
        <v>11</v>
      </c>
      <c r="R2137" t="str">
        <f t="shared" si="267"/>
        <v/>
      </c>
      <c r="S2137" t="str">
        <f t="shared" si="268"/>
        <v/>
      </c>
      <c r="T2137" s="403" t="str">
        <f t="shared" si="269"/>
        <v>NBN-6x023-B</v>
      </c>
      <c r="U2137" s="403">
        <f t="shared" si="270"/>
        <v>1</v>
      </c>
      <c r="V2137" s="403" t="str">
        <f t="shared" si="271"/>
        <v>CPP_7</v>
      </c>
    </row>
    <row r="2138" spans="1:22">
      <c r="A2138" t="str">
        <f t="shared" si="264"/>
        <v>NBN-6x023-B</v>
      </c>
      <c r="B2138" s="403" t="s">
        <v>1388</v>
      </c>
      <c r="C2138" s="403" t="s">
        <v>583</v>
      </c>
      <c r="D2138" s="403" t="s">
        <v>1389</v>
      </c>
      <c r="E2138" s="403" t="s">
        <v>1307</v>
      </c>
      <c r="F2138" s="403" t="s">
        <v>1286</v>
      </c>
      <c r="G2138" s="403" t="s">
        <v>1466</v>
      </c>
      <c r="H2138" s="403" t="s">
        <v>1276</v>
      </c>
      <c r="I2138" s="403">
        <v>1</v>
      </c>
      <c r="J2138" s="403" t="s">
        <v>111</v>
      </c>
      <c r="K2138" s="403">
        <v>768</v>
      </c>
      <c r="L2138" s="403">
        <v>432</v>
      </c>
      <c r="M2138" s="403" t="s">
        <v>111</v>
      </c>
      <c r="N2138" s="403">
        <v>768</v>
      </c>
      <c r="O2138" s="403">
        <v>432</v>
      </c>
      <c r="P2138" t="str">
        <f t="shared" si="265"/>
        <v>30fps SD - SD</v>
      </c>
      <c r="Q2138">
        <f t="shared" si="266"/>
        <v>11</v>
      </c>
      <c r="R2138" t="str">
        <f t="shared" si="267"/>
        <v/>
      </c>
      <c r="S2138" t="str">
        <f t="shared" si="268"/>
        <v/>
      </c>
      <c r="T2138" s="403" t="str">
        <f t="shared" si="269"/>
        <v>NBN-6x023-B</v>
      </c>
      <c r="U2138" s="403">
        <f t="shared" si="270"/>
        <v>1</v>
      </c>
      <c r="V2138" s="403" t="str">
        <f t="shared" si="271"/>
        <v>CPP_7</v>
      </c>
    </row>
    <row r="2139" spans="1:22">
      <c r="A2139" t="str">
        <f t="shared" si="264"/>
        <v>NBN-6x023-B</v>
      </c>
      <c r="B2139" s="403" t="s">
        <v>1388</v>
      </c>
      <c r="C2139" s="403" t="s">
        <v>583</v>
      </c>
      <c r="D2139" s="403" t="s">
        <v>1389</v>
      </c>
      <c r="E2139" s="403" t="s">
        <v>1307</v>
      </c>
      <c r="F2139" s="403" t="s">
        <v>1286</v>
      </c>
      <c r="G2139" s="403" t="s">
        <v>1467</v>
      </c>
      <c r="H2139" s="403" t="s">
        <v>1276</v>
      </c>
      <c r="I2139" s="403">
        <v>1</v>
      </c>
      <c r="J2139" s="403" t="s">
        <v>110</v>
      </c>
      <c r="K2139" s="403">
        <v>1080</v>
      </c>
      <c r="L2139" s="403">
        <v>1920</v>
      </c>
      <c r="M2139" s="403" t="s">
        <v>111</v>
      </c>
      <c r="N2139" s="403">
        <v>432</v>
      </c>
      <c r="O2139" s="403">
        <v>768</v>
      </c>
      <c r="P2139" t="str">
        <f t="shared" si="265"/>
        <v>30fps 1080p - SD</v>
      </c>
      <c r="Q2139">
        <f t="shared" si="266"/>
        <v>11</v>
      </c>
      <c r="R2139" t="str">
        <f t="shared" si="267"/>
        <v/>
      </c>
      <c r="S2139" t="str">
        <f t="shared" si="268"/>
        <v/>
      </c>
      <c r="T2139" s="403" t="str">
        <f t="shared" si="269"/>
        <v>NBN-6x023-B</v>
      </c>
      <c r="U2139" s="403">
        <f t="shared" si="270"/>
        <v>1</v>
      </c>
      <c r="V2139" s="403" t="str">
        <f t="shared" si="271"/>
        <v>CPP_7</v>
      </c>
    </row>
    <row r="2140" spans="1:22">
      <c r="A2140" t="str">
        <f t="shared" si="264"/>
        <v>NBN-6x023-B</v>
      </c>
      <c r="B2140" s="403" t="s">
        <v>1388</v>
      </c>
      <c r="C2140" s="403" t="s">
        <v>583</v>
      </c>
      <c r="D2140" s="403" t="s">
        <v>1389</v>
      </c>
      <c r="E2140" s="403" t="s">
        <v>1307</v>
      </c>
      <c r="F2140" s="403" t="s">
        <v>1286</v>
      </c>
      <c r="G2140" s="403" t="s">
        <v>1467</v>
      </c>
      <c r="H2140" s="403" t="s">
        <v>1276</v>
      </c>
      <c r="I2140" s="403">
        <v>1</v>
      </c>
      <c r="J2140" s="403" t="s">
        <v>110</v>
      </c>
      <c r="K2140" s="403">
        <v>1080</v>
      </c>
      <c r="L2140" s="403">
        <v>1920</v>
      </c>
      <c r="M2140" s="403" t="s">
        <v>110</v>
      </c>
      <c r="N2140" s="403">
        <v>1080</v>
      </c>
      <c r="O2140" s="403">
        <v>1920</v>
      </c>
      <c r="P2140" t="str">
        <f t="shared" si="265"/>
        <v>30fps 1080p - 1080p</v>
      </c>
      <c r="Q2140">
        <f t="shared" si="266"/>
        <v>11</v>
      </c>
      <c r="R2140" t="str">
        <f t="shared" si="267"/>
        <v/>
      </c>
      <c r="S2140" t="str">
        <f t="shared" si="268"/>
        <v/>
      </c>
      <c r="T2140" s="403" t="str">
        <f t="shared" si="269"/>
        <v>NBN-6x023-B</v>
      </c>
      <c r="U2140" s="403">
        <f t="shared" si="270"/>
        <v>1</v>
      </c>
      <c r="V2140" s="403" t="str">
        <f t="shared" si="271"/>
        <v>CPP_7</v>
      </c>
    </row>
    <row r="2141" spans="1:22">
      <c r="A2141" t="str">
        <f t="shared" si="264"/>
        <v>NBN-6x023-B</v>
      </c>
      <c r="B2141" s="403" t="s">
        <v>1388</v>
      </c>
      <c r="C2141" s="403" t="s">
        <v>583</v>
      </c>
      <c r="D2141" s="403" t="s">
        <v>1389</v>
      </c>
      <c r="E2141" s="403" t="s">
        <v>1307</v>
      </c>
      <c r="F2141" s="403" t="s">
        <v>1286</v>
      </c>
      <c r="G2141" s="403" t="s">
        <v>1467</v>
      </c>
      <c r="H2141" s="403" t="s">
        <v>1276</v>
      </c>
      <c r="I2141" s="403">
        <v>1</v>
      </c>
      <c r="J2141" s="403" t="s">
        <v>110</v>
      </c>
      <c r="K2141" s="403">
        <v>1080</v>
      </c>
      <c r="L2141" s="403">
        <v>1920</v>
      </c>
      <c r="M2141" s="403" t="s">
        <v>109</v>
      </c>
      <c r="N2141" s="403">
        <v>720</v>
      </c>
      <c r="O2141" s="403">
        <v>1280</v>
      </c>
      <c r="P2141" t="str">
        <f t="shared" si="265"/>
        <v>30fps 1080p - 720p</v>
      </c>
      <c r="Q2141">
        <f t="shared" si="266"/>
        <v>11</v>
      </c>
      <c r="R2141" t="str">
        <f t="shared" si="267"/>
        <v/>
      </c>
      <c r="S2141" t="str">
        <f t="shared" si="268"/>
        <v/>
      </c>
      <c r="T2141" s="403" t="str">
        <f t="shared" si="269"/>
        <v>NBN-6x023-B</v>
      </c>
      <c r="U2141" s="403">
        <f t="shared" si="270"/>
        <v>1</v>
      </c>
      <c r="V2141" s="403" t="str">
        <f t="shared" si="271"/>
        <v>CPP_7</v>
      </c>
    </row>
    <row r="2142" spans="1:22">
      <c r="A2142" t="str">
        <f t="shared" si="264"/>
        <v>NBN-6x023-B</v>
      </c>
      <c r="B2142" s="403" t="s">
        <v>1388</v>
      </c>
      <c r="C2142" s="403" t="s">
        <v>583</v>
      </c>
      <c r="D2142" s="403" t="s">
        <v>1389</v>
      </c>
      <c r="E2142" s="403" t="s">
        <v>1307</v>
      </c>
      <c r="F2142" s="403" t="s">
        <v>1286</v>
      </c>
      <c r="G2142" s="403" t="s">
        <v>1467</v>
      </c>
      <c r="H2142" s="403" t="s">
        <v>1276</v>
      </c>
      <c r="I2142" s="403">
        <v>1</v>
      </c>
      <c r="J2142" s="403" t="s">
        <v>110</v>
      </c>
      <c r="K2142" s="403">
        <v>1080</v>
      </c>
      <c r="L2142" s="403">
        <v>1920</v>
      </c>
      <c r="M2142" s="403" t="s">
        <v>1279</v>
      </c>
      <c r="N2142" s="403">
        <v>432</v>
      </c>
      <c r="O2142" s="403">
        <v>768</v>
      </c>
      <c r="P2142" t="str">
        <f t="shared" si="265"/>
        <v>30fps 1080p - SD ROI PTZ</v>
      </c>
      <c r="Q2142">
        <f t="shared" si="266"/>
        <v>11</v>
      </c>
      <c r="R2142" t="str">
        <f t="shared" si="267"/>
        <v/>
      </c>
      <c r="S2142" t="str">
        <f t="shared" si="268"/>
        <v/>
      </c>
      <c r="T2142" s="403" t="str">
        <f t="shared" si="269"/>
        <v>NBN-6x023-B</v>
      </c>
      <c r="U2142" s="403">
        <f t="shared" si="270"/>
        <v>1</v>
      </c>
      <c r="V2142" s="403" t="str">
        <f t="shared" si="271"/>
        <v>CPP_7</v>
      </c>
    </row>
    <row r="2143" spans="1:22">
      <c r="A2143" t="str">
        <f t="shared" si="264"/>
        <v>NBN-6x023-B</v>
      </c>
      <c r="B2143" s="403" t="s">
        <v>1388</v>
      </c>
      <c r="C2143" s="403" t="s">
        <v>583</v>
      </c>
      <c r="D2143" s="403" t="s">
        <v>1389</v>
      </c>
      <c r="E2143" s="403" t="s">
        <v>1307</v>
      </c>
      <c r="F2143" s="403" t="s">
        <v>1286</v>
      </c>
      <c r="G2143" s="403" t="s">
        <v>1467</v>
      </c>
      <c r="H2143" s="403" t="s">
        <v>1276</v>
      </c>
      <c r="I2143" s="403">
        <v>1</v>
      </c>
      <c r="J2143" s="403" t="s">
        <v>110</v>
      </c>
      <c r="K2143" s="403">
        <v>1080</v>
      </c>
      <c r="L2143" s="403">
        <v>1920</v>
      </c>
      <c r="M2143" s="403" t="s">
        <v>1298</v>
      </c>
      <c r="N2143" s="403">
        <v>432</v>
      </c>
      <c r="O2143" s="403">
        <v>768</v>
      </c>
      <c r="P2143" t="str">
        <f t="shared" si="265"/>
        <v>30fps 1080p - SD dual stream with independent ROI PTZ</v>
      </c>
      <c r="Q2143">
        <f t="shared" si="266"/>
        <v>11</v>
      </c>
      <c r="R2143" t="str">
        <f t="shared" si="267"/>
        <v/>
      </c>
      <c r="S2143" t="str">
        <f t="shared" si="268"/>
        <v/>
      </c>
      <c r="T2143" s="403" t="str">
        <f t="shared" si="269"/>
        <v>NBN-6x023-B</v>
      </c>
      <c r="U2143" s="403">
        <f t="shared" si="270"/>
        <v>1</v>
      </c>
      <c r="V2143" s="403" t="str">
        <f t="shared" si="271"/>
        <v>CPP_7</v>
      </c>
    </row>
    <row r="2144" spans="1:22">
      <c r="A2144" t="str">
        <f t="shared" si="264"/>
        <v>NBN-6x023-B</v>
      </c>
      <c r="B2144" s="403" t="s">
        <v>1388</v>
      </c>
      <c r="C2144" s="403" t="s">
        <v>583</v>
      </c>
      <c r="D2144" s="403" t="s">
        <v>1389</v>
      </c>
      <c r="E2144" s="403" t="s">
        <v>1307</v>
      </c>
      <c r="F2144" s="403" t="s">
        <v>1286</v>
      </c>
      <c r="G2144" s="403" t="s">
        <v>1467</v>
      </c>
      <c r="H2144" s="403" t="s">
        <v>1276</v>
      </c>
      <c r="I2144" s="403">
        <v>1</v>
      </c>
      <c r="J2144" s="403" t="s">
        <v>110</v>
      </c>
      <c r="K2144" s="403">
        <v>1080</v>
      </c>
      <c r="L2144" s="403">
        <v>1920</v>
      </c>
      <c r="M2144" s="403" t="s">
        <v>1283</v>
      </c>
      <c r="N2144" s="403">
        <v>480</v>
      </c>
      <c r="O2144" s="403">
        <v>704</v>
      </c>
      <c r="P2144" t="str">
        <f t="shared" si="265"/>
        <v>30fps 1080p - SD 4CIF resolution 4:3 format (cropped)</v>
      </c>
      <c r="Q2144">
        <f t="shared" si="266"/>
        <v>11</v>
      </c>
      <c r="R2144" t="str">
        <f t="shared" si="267"/>
        <v/>
      </c>
      <c r="S2144" t="str">
        <f t="shared" si="268"/>
        <v/>
      </c>
      <c r="T2144" s="403" t="str">
        <f t="shared" si="269"/>
        <v>NBN-6x023-B</v>
      </c>
      <c r="U2144" s="403">
        <f t="shared" si="270"/>
        <v>1</v>
      </c>
      <c r="V2144" s="403" t="str">
        <f t="shared" si="271"/>
        <v>CPP_7</v>
      </c>
    </row>
    <row r="2145" spans="1:22">
      <c r="A2145" t="str">
        <f t="shared" si="264"/>
        <v>NBN-6x023-B</v>
      </c>
      <c r="B2145" s="403" t="s">
        <v>1388</v>
      </c>
      <c r="C2145" s="403" t="s">
        <v>583</v>
      </c>
      <c r="D2145" s="403" t="s">
        <v>1389</v>
      </c>
      <c r="E2145" s="403" t="s">
        <v>1307</v>
      </c>
      <c r="F2145" s="403" t="s">
        <v>1286</v>
      </c>
      <c r="G2145" s="403" t="s">
        <v>1467</v>
      </c>
      <c r="H2145" s="403" t="s">
        <v>1276</v>
      </c>
      <c r="I2145" s="403">
        <v>1</v>
      </c>
      <c r="J2145" s="403" t="s">
        <v>110</v>
      </c>
      <c r="K2145" s="403">
        <v>1080</v>
      </c>
      <c r="L2145" s="403">
        <v>1920</v>
      </c>
      <c r="M2145" s="403" t="s">
        <v>1284</v>
      </c>
      <c r="N2145" s="403">
        <v>480</v>
      </c>
      <c r="O2145" s="403">
        <v>640</v>
      </c>
      <c r="P2145" t="str">
        <f t="shared" si="265"/>
        <v>30fps 1080p - SD VGA (cropped)</v>
      </c>
      <c r="Q2145">
        <f t="shared" si="266"/>
        <v>11</v>
      </c>
      <c r="R2145" t="str">
        <f t="shared" si="267"/>
        <v/>
      </c>
      <c r="S2145" t="str">
        <f t="shared" si="268"/>
        <v/>
      </c>
      <c r="T2145" s="403" t="str">
        <f t="shared" si="269"/>
        <v>NBN-6x023-B</v>
      </c>
      <c r="U2145" s="403">
        <f t="shared" si="270"/>
        <v>1</v>
      </c>
      <c r="V2145" s="403" t="str">
        <f t="shared" si="271"/>
        <v>CPP_7</v>
      </c>
    </row>
    <row r="2146" spans="1:22">
      <c r="A2146" t="str">
        <f t="shared" si="264"/>
        <v>NBN-6x023-B</v>
      </c>
      <c r="B2146" s="403" t="s">
        <v>1388</v>
      </c>
      <c r="C2146" s="403" t="s">
        <v>583</v>
      </c>
      <c r="D2146" s="403" t="s">
        <v>1389</v>
      </c>
      <c r="E2146" s="403" t="s">
        <v>1307</v>
      </c>
      <c r="F2146" s="403" t="s">
        <v>1286</v>
      </c>
      <c r="G2146" s="403" t="s">
        <v>1467</v>
      </c>
      <c r="H2146" s="403" t="s">
        <v>1276</v>
      </c>
      <c r="I2146" s="403">
        <v>1</v>
      </c>
      <c r="J2146" s="403" t="s">
        <v>109</v>
      </c>
      <c r="K2146" s="403">
        <v>720</v>
      </c>
      <c r="L2146" s="403">
        <v>1280</v>
      </c>
      <c r="M2146" s="403" t="s">
        <v>111</v>
      </c>
      <c r="N2146" s="403">
        <v>432</v>
      </c>
      <c r="O2146" s="403">
        <v>768</v>
      </c>
      <c r="P2146" t="str">
        <f t="shared" si="265"/>
        <v>30fps 720p - SD</v>
      </c>
      <c r="Q2146">
        <f t="shared" si="266"/>
        <v>11</v>
      </c>
      <c r="R2146" t="str">
        <f t="shared" si="267"/>
        <v/>
      </c>
      <c r="S2146" t="str">
        <f t="shared" si="268"/>
        <v/>
      </c>
      <c r="T2146" s="403" t="str">
        <f t="shared" si="269"/>
        <v>NBN-6x023-B</v>
      </c>
      <c r="U2146" s="403">
        <f t="shared" si="270"/>
        <v>1</v>
      </c>
      <c r="V2146" s="403" t="str">
        <f t="shared" si="271"/>
        <v>CPP_7</v>
      </c>
    </row>
    <row r="2147" spans="1:22">
      <c r="A2147" t="str">
        <f t="shared" si="264"/>
        <v>NBN-6x023-B</v>
      </c>
      <c r="B2147" s="403" t="s">
        <v>1388</v>
      </c>
      <c r="C2147" s="403" t="s">
        <v>583</v>
      </c>
      <c r="D2147" s="403" t="s">
        <v>1389</v>
      </c>
      <c r="E2147" s="403" t="s">
        <v>1307</v>
      </c>
      <c r="F2147" s="403" t="s">
        <v>1286</v>
      </c>
      <c r="G2147" s="403" t="s">
        <v>1467</v>
      </c>
      <c r="H2147" s="403" t="s">
        <v>1276</v>
      </c>
      <c r="I2147" s="403">
        <v>1</v>
      </c>
      <c r="J2147" s="403" t="s">
        <v>109</v>
      </c>
      <c r="K2147" s="403">
        <v>720</v>
      </c>
      <c r="L2147" s="403">
        <v>1280</v>
      </c>
      <c r="M2147" s="403" t="s">
        <v>109</v>
      </c>
      <c r="N2147" s="403">
        <v>720</v>
      </c>
      <c r="O2147" s="403">
        <v>1280</v>
      </c>
      <c r="P2147" t="str">
        <f t="shared" si="265"/>
        <v>30fps 720p - 720p</v>
      </c>
      <c r="Q2147">
        <f t="shared" si="266"/>
        <v>11</v>
      </c>
      <c r="R2147" t="str">
        <f t="shared" si="267"/>
        <v/>
      </c>
      <c r="S2147" t="str">
        <f t="shared" si="268"/>
        <v/>
      </c>
      <c r="T2147" s="403" t="str">
        <f t="shared" si="269"/>
        <v>NBN-6x023-B</v>
      </c>
      <c r="U2147" s="403">
        <f t="shared" si="270"/>
        <v>1</v>
      </c>
      <c r="V2147" s="403" t="str">
        <f t="shared" si="271"/>
        <v>CPP_7</v>
      </c>
    </row>
    <row r="2148" spans="1:22">
      <c r="A2148" t="str">
        <f t="shared" si="264"/>
        <v>NBN-6x023-B</v>
      </c>
      <c r="B2148" s="403" t="s">
        <v>1388</v>
      </c>
      <c r="C2148" s="403" t="s">
        <v>583</v>
      </c>
      <c r="D2148" s="403" t="s">
        <v>1389</v>
      </c>
      <c r="E2148" s="403" t="s">
        <v>1307</v>
      </c>
      <c r="F2148" s="403" t="s">
        <v>1286</v>
      </c>
      <c r="G2148" s="403" t="s">
        <v>1467</v>
      </c>
      <c r="H2148" s="403" t="s">
        <v>1276</v>
      </c>
      <c r="I2148" s="403">
        <v>1</v>
      </c>
      <c r="J2148" s="403" t="s">
        <v>109</v>
      </c>
      <c r="K2148" s="403">
        <v>720</v>
      </c>
      <c r="L2148" s="403">
        <v>1280</v>
      </c>
      <c r="M2148" s="403" t="s">
        <v>1279</v>
      </c>
      <c r="N2148" s="403">
        <v>432</v>
      </c>
      <c r="O2148" s="403">
        <v>768</v>
      </c>
      <c r="P2148" t="str">
        <f t="shared" si="265"/>
        <v>30fps 720p - SD ROI PTZ</v>
      </c>
      <c r="Q2148">
        <f t="shared" si="266"/>
        <v>11</v>
      </c>
      <c r="R2148" t="str">
        <f t="shared" si="267"/>
        <v/>
      </c>
      <c r="S2148" t="str">
        <f t="shared" si="268"/>
        <v/>
      </c>
      <c r="T2148" s="403" t="str">
        <f t="shared" si="269"/>
        <v>NBN-6x023-B</v>
      </c>
      <c r="U2148" s="403">
        <f t="shared" si="270"/>
        <v>1</v>
      </c>
      <c r="V2148" s="403" t="str">
        <f t="shared" si="271"/>
        <v>CPP_7</v>
      </c>
    </row>
    <row r="2149" spans="1:22">
      <c r="A2149" t="str">
        <f t="shared" si="264"/>
        <v>NBN-6x023-B</v>
      </c>
      <c r="B2149" s="403" t="s">
        <v>1388</v>
      </c>
      <c r="C2149" s="403" t="s">
        <v>583</v>
      </c>
      <c r="D2149" s="403" t="s">
        <v>1389</v>
      </c>
      <c r="E2149" s="403" t="s">
        <v>1307</v>
      </c>
      <c r="F2149" s="403" t="s">
        <v>1286</v>
      </c>
      <c r="G2149" s="403" t="s">
        <v>1467</v>
      </c>
      <c r="H2149" s="403" t="s">
        <v>1276</v>
      </c>
      <c r="I2149" s="403">
        <v>1</v>
      </c>
      <c r="J2149" s="403" t="s">
        <v>109</v>
      </c>
      <c r="K2149" s="403">
        <v>720</v>
      </c>
      <c r="L2149" s="403">
        <v>1280</v>
      </c>
      <c r="M2149" s="403" t="s">
        <v>1298</v>
      </c>
      <c r="N2149" s="403">
        <v>432</v>
      </c>
      <c r="O2149" s="403">
        <v>768</v>
      </c>
      <c r="P2149" t="str">
        <f t="shared" si="265"/>
        <v>30fps 720p - SD dual stream with independent ROI PTZ</v>
      </c>
      <c r="Q2149">
        <f t="shared" si="266"/>
        <v>11</v>
      </c>
      <c r="R2149" t="str">
        <f t="shared" si="267"/>
        <v/>
      </c>
      <c r="S2149" t="str">
        <f t="shared" si="268"/>
        <v/>
      </c>
      <c r="T2149" s="403" t="str">
        <f t="shared" si="269"/>
        <v>NBN-6x023-B</v>
      </c>
      <c r="U2149" s="403">
        <f t="shared" si="270"/>
        <v>1</v>
      </c>
      <c r="V2149" s="403" t="str">
        <f t="shared" si="271"/>
        <v>CPP_7</v>
      </c>
    </row>
    <row r="2150" spans="1:22">
      <c r="A2150" t="str">
        <f t="shared" si="264"/>
        <v>NBN-6x023-B</v>
      </c>
      <c r="B2150" s="403" t="s">
        <v>1388</v>
      </c>
      <c r="C2150" s="403" t="s">
        <v>583</v>
      </c>
      <c r="D2150" s="403" t="s">
        <v>1389</v>
      </c>
      <c r="E2150" s="403" t="s">
        <v>1307</v>
      </c>
      <c r="F2150" s="403" t="s">
        <v>1286</v>
      </c>
      <c r="G2150" s="403" t="s">
        <v>1467</v>
      </c>
      <c r="H2150" s="403" t="s">
        <v>1276</v>
      </c>
      <c r="I2150" s="403">
        <v>1</v>
      </c>
      <c r="J2150" s="403" t="s">
        <v>109</v>
      </c>
      <c r="K2150" s="403">
        <v>720</v>
      </c>
      <c r="L2150" s="403">
        <v>1280</v>
      </c>
      <c r="M2150" s="403" t="s">
        <v>1283</v>
      </c>
      <c r="N2150" s="403">
        <v>480</v>
      </c>
      <c r="O2150" s="403">
        <v>704</v>
      </c>
      <c r="P2150" t="str">
        <f t="shared" si="265"/>
        <v>30fps 720p - SD 4CIF resolution 4:3 format (cropped)</v>
      </c>
      <c r="Q2150">
        <f t="shared" si="266"/>
        <v>11</v>
      </c>
      <c r="R2150" t="str">
        <f t="shared" si="267"/>
        <v/>
      </c>
      <c r="S2150" t="str">
        <f t="shared" si="268"/>
        <v/>
      </c>
      <c r="T2150" s="403" t="str">
        <f t="shared" si="269"/>
        <v>NBN-6x023-B</v>
      </c>
      <c r="U2150" s="403">
        <f t="shared" si="270"/>
        <v>1</v>
      </c>
      <c r="V2150" s="403" t="str">
        <f t="shared" si="271"/>
        <v>CPP_7</v>
      </c>
    </row>
    <row r="2151" spans="1:22">
      <c r="A2151" t="str">
        <f t="shared" si="264"/>
        <v>NBN-6x023-B</v>
      </c>
      <c r="B2151" s="403" t="s">
        <v>1388</v>
      </c>
      <c r="C2151" s="403" t="s">
        <v>583</v>
      </c>
      <c r="D2151" s="403" t="s">
        <v>1389</v>
      </c>
      <c r="E2151" s="403" t="s">
        <v>1307</v>
      </c>
      <c r="F2151" s="403" t="s">
        <v>1286</v>
      </c>
      <c r="G2151" s="403" t="s">
        <v>1467</v>
      </c>
      <c r="H2151" s="403" t="s">
        <v>1276</v>
      </c>
      <c r="I2151" s="403">
        <v>1</v>
      </c>
      <c r="J2151" s="403" t="s">
        <v>109</v>
      </c>
      <c r="K2151" s="403">
        <v>720</v>
      </c>
      <c r="L2151" s="403">
        <v>1280</v>
      </c>
      <c r="M2151" s="403" t="s">
        <v>1284</v>
      </c>
      <c r="N2151" s="403">
        <v>480</v>
      </c>
      <c r="O2151" s="403">
        <v>640</v>
      </c>
      <c r="P2151" t="str">
        <f t="shared" si="265"/>
        <v>30fps 720p - SD VGA (cropped)</v>
      </c>
      <c r="Q2151">
        <f t="shared" si="266"/>
        <v>11</v>
      </c>
      <c r="R2151" t="str">
        <f t="shared" si="267"/>
        <v/>
      </c>
      <c r="S2151" t="str">
        <f t="shared" si="268"/>
        <v/>
      </c>
      <c r="T2151" s="403" t="str">
        <f t="shared" si="269"/>
        <v>NBN-6x023-B</v>
      </c>
      <c r="U2151" s="403">
        <f t="shared" si="270"/>
        <v>1</v>
      </c>
      <c r="V2151" s="403" t="str">
        <f t="shared" si="271"/>
        <v>CPP_7</v>
      </c>
    </row>
    <row r="2152" spans="1:22">
      <c r="A2152" t="str">
        <f t="shared" si="264"/>
        <v>NBN-6x023-B</v>
      </c>
      <c r="B2152" s="403" t="s">
        <v>1388</v>
      </c>
      <c r="C2152" s="403" t="s">
        <v>583</v>
      </c>
      <c r="D2152" s="403" t="s">
        <v>1389</v>
      </c>
      <c r="E2152" s="403" t="s">
        <v>1307</v>
      </c>
      <c r="F2152" s="403" t="s">
        <v>1286</v>
      </c>
      <c r="G2152" s="403" t="s">
        <v>1467</v>
      </c>
      <c r="H2152" s="403" t="s">
        <v>1276</v>
      </c>
      <c r="I2152" s="403">
        <v>1</v>
      </c>
      <c r="J2152" s="403" t="s">
        <v>111</v>
      </c>
      <c r="K2152" s="403">
        <v>432</v>
      </c>
      <c r="L2152" s="403">
        <v>768</v>
      </c>
      <c r="M2152" s="403" t="s">
        <v>111</v>
      </c>
      <c r="N2152" s="403">
        <v>432</v>
      </c>
      <c r="O2152" s="403">
        <v>768</v>
      </c>
      <c r="P2152" t="str">
        <f t="shared" si="265"/>
        <v>30fps SD - SD</v>
      </c>
      <c r="Q2152">
        <f t="shared" si="266"/>
        <v>11</v>
      </c>
      <c r="R2152" t="str">
        <f t="shared" si="267"/>
        <v/>
      </c>
      <c r="S2152" t="str">
        <f t="shared" si="268"/>
        <v/>
      </c>
      <c r="T2152" s="403" t="str">
        <f t="shared" si="269"/>
        <v>NBN-6x023-B</v>
      </c>
      <c r="U2152" s="403">
        <f t="shared" si="270"/>
        <v>1</v>
      </c>
      <c r="V2152" s="403" t="str">
        <f t="shared" si="271"/>
        <v>CPP_7</v>
      </c>
    </row>
    <row r="2153" spans="1:22">
      <c r="A2153" t="str">
        <f t="shared" si="264"/>
        <v>NBN-6x023-B</v>
      </c>
      <c r="B2153" s="403" t="s">
        <v>1388</v>
      </c>
      <c r="C2153" s="403" t="s">
        <v>583</v>
      </c>
      <c r="D2153" s="403" t="s">
        <v>1389</v>
      </c>
      <c r="E2153" s="403" t="s">
        <v>1307</v>
      </c>
      <c r="F2153" s="403" t="s">
        <v>1287</v>
      </c>
      <c r="G2153" s="403" t="s">
        <v>1466</v>
      </c>
      <c r="H2153" s="403" t="s">
        <v>1276</v>
      </c>
      <c r="I2153" s="403">
        <v>1</v>
      </c>
      <c r="J2153" s="403" t="s">
        <v>110</v>
      </c>
      <c r="K2153" s="403">
        <v>1920</v>
      </c>
      <c r="L2153" s="403">
        <v>1080</v>
      </c>
      <c r="M2153" s="403" t="s">
        <v>111</v>
      </c>
      <c r="N2153" s="403">
        <v>768</v>
      </c>
      <c r="O2153" s="403">
        <v>432</v>
      </c>
      <c r="P2153" t="str">
        <f t="shared" si="265"/>
        <v>25fps 1080p - SD</v>
      </c>
      <c r="Q2153">
        <f t="shared" si="266"/>
        <v>11</v>
      </c>
      <c r="R2153" t="str">
        <f t="shared" si="267"/>
        <v/>
      </c>
      <c r="S2153" t="str">
        <f t="shared" si="268"/>
        <v/>
      </c>
      <c r="T2153" s="403" t="str">
        <f t="shared" si="269"/>
        <v>NBN-6x023-B</v>
      </c>
      <c r="U2153" s="403">
        <f t="shared" si="270"/>
        <v>1</v>
      </c>
      <c r="V2153" s="403" t="str">
        <f t="shared" si="271"/>
        <v>CPP_7</v>
      </c>
    </row>
    <row r="2154" spans="1:22">
      <c r="A2154" t="str">
        <f t="shared" si="264"/>
        <v>NBN-6x023-B</v>
      </c>
      <c r="B2154" s="403" t="s">
        <v>1388</v>
      </c>
      <c r="C2154" s="403" t="s">
        <v>583</v>
      </c>
      <c r="D2154" s="403" t="s">
        <v>1389</v>
      </c>
      <c r="E2154" s="403" t="s">
        <v>1307</v>
      </c>
      <c r="F2154" s="403" t="s">
        <v>1287</v>
      </c>
      <c r="G2154" s="403" t="s">
        <v>1466</v>
      </c>
      <c r="H2154" s="403" t="s">
        <v>1276</v>
      </c>
      <c r="I2154" s="403">
        <v>1</v>
      </c>
      <c r="J2154" s="403" t="s">
        <v>110</v>
      </c>
      <c r="K2154" s="403">
        <v>1920</v>
      </c>
      <c r="L2154" s="403">
        <v>1080</v>
      </c>
      <c r="M2154" s="403" t="s">
        <v>110</v>
      </c>
      <c r="N2154" s="403">
        <v>1920</v>
      </c>
      <c r="O2154" s="403">
        <v>1080</v>
      </c>
      <c r="P2154" t="str">
        <f t="shared" si="265"/>
        <v>25fps 1080p - 1080p</v>
      </c>
      <c r="Q2154">
        <f t="shared" si="266"/>
        <v>11</v>
      </c>
      <c r="R2154" t="str">
        <f t="shared" si="267"/>
        <v/>
      </c>
      <c r="S2154" t="str">
        <f t="shared" si="268"/>
        <v/>
      </c>
      <c r="T2154" s="403" t="str">
        <f t="shared" si="269"/>
        <v>NBN-6x023-B</v>
      </c>
      <c r="U2154" s="403">
        <f t="shared" si="270"/>
        <v>1</v>
      </c>
      <c r="V2154" s="403" t="str">
        <f t="shared" si="271"/>
        <v>CPP_7</v>
      </c>
    </row>
    <row r="2155" spans="1:22">
      <c r="A2155" t="str">
        <f t="shared" si="264"/>
        <v>NBN-6x023-B</v>
      </c>
      <c r="B2155" s="403" t="s">
        <v>1388</v>
      </c>
      <c r="C2155" s="403" t="s">
        <v>583</v>
      </c>
      <c r="D2155" s="403" t="s">
        <v>1389</v>
      </c>
      <c r="E2155" s="403" t="s">
        <v>1307</v>
      </c>
      <c r="F2155" s="403" t="s">
        <v>1287</v>
      </c>
      <c r="G2155" s="403" t="s">
        <v>1466</v>
      </c>
      <c r="H2155" s="403" t="s">
        <v>1276</v>
      </c>
      <c r="I2155" s="403">
        <v>1</v>
      </c>
      <c r="J2155" s="403" t="s">
        <v>110</v>
      </c>
      <c r="K2155" s="403">
        <v>1920</v>
      </c>
      <c r="L2155" s="403">
        <v>1080</v>
      </c>
      <c r="M2155" s="403" t="s">
        <v>109</v>
      </c>
      <c r="N2155" s="403">
        <v>1280</v>
      </c>
      <c r="O2155" s="403">
        <v>720</v>
      </c>
      <c r="P2155" t="str">
        <f t="shared" si="265"/>
        <v>25fps 1080p - 720p</v>
      </c>
      <c r="Q2155">
        <f t="shared" si="266"/>
        <v>11</v>
      </c>
      <c r="R2155" t="str">
        <f t="shared" si="267"/>
        <v/>
      </c>
      <c r="S2155" t="str">
        <f t="shared" si="268"/>
        <v/>
      </c>
      <c r="T2155" s="403" t="str">
        <f t="shared" si="269"/>
        <v>NBN-6x023-B</v>
      </c>
      <c r="U2155" s="403">
        <f t="shared" si="270"/>
        <v>1</v>
      </c>
      <c r="V2155" s="403" t="str">
        <f t="shared" si="271"/>
        <v>CPP_7</v>
      </c>
    </row>
    <row r="2156" spans="1:22">
      <c r="A2156" t="str">
        <f t="shared" si="264"/>
        <v>NBN-6x023-B</v>
      </c>
      <c r="B2156" s="403" t="s">
        <v>1388</v>
      </c>
      <c r="C2156" s="403" t="s">
        <v>583</v>
      </c>
      <c r="D2156" s="403" t="s">
        <v>1389</v>
      </c>
      <c r="E2156" s="403" t="s">
        <v>1307</v>
      </c>
      <c r="F2156" s="403" t="s">
        <v>1287</v>
      </c>
      <c r="G2156" s="403" t="s">
        <v>1466</v>
      </c>
      <c r="H2156" s="403" t="s">
        <v>1276</v>
      </c>
      <c r="I2156" s="403">
        <v>1</v>
      </c>
      <c r="J2156" s="403" t="s">
        <v>110</v>
      </c>
      <c r="K2156" s="403">
        <v>1920</v>
      </c>
      <c r="L2156" s="403">
        <v>1080</v>
      </c>
      <c r="M2156" s="403" t="s">
        <v>1285</v>
      </c>
      <c r="N2156" s="403">
        <v>1280</v>
      </c>
      <c r="O2156" s="403">
        <v>1024</v>
      </c>
      <c r="P2156" t="str">
        <f t="shared" si="265"/>
        <v>25fps 1080p - 1280x1024 5:4 (cropped)</v>
      </c>
      <c r="Q2156">
        <f t="shared" si="266"/>
        <v>11</v>
      </c>
      <c r="R2156" t="str">
        <f t="shared" si="267"/>
        <v/>
      </c>
      <c r="S2156" t="str">
        <f t="shared" si="268"/>
        <v/>
      </c>
      <c r="T2156" s="403" t="str">
        <f t="shared" si="269"/>
        <v>NBN-6x023-B</v>
      </c>
      <c r="U2156" s="403">
        <f t="shared" si="270"/>
        <v>1</v>
      </c>
      <c r="V2156" s="403" t="str">
        <f t="shared" si="271"/>
        <v>CPP_7</v>
      </c>
    </row>
    <row r="2157" spans="1:22">
      <c r="A2157" t="str">
        <f t="shared" si="264"/>
        <v>NBN-6x023-B</v>
      </c>
      <c r="B2157" s="403" t="s">
        <v>1388</v>
      </c>
      <c r="C2157" s="403" t="s">
        <v>583</v>
      </c>
      <c r="D2157" s="403" t="s">
        <v>1389</v>
      </c>
      <c r="E2157" s="403" t="s">
        <v>1307</v>
      </c>
      <c r="F2157" s="403" t="s">
        <v>1287</v>
      </c>
      <c r="G2157" s="403" t="s">
        <v>1466</v>
      </c>
      <c r="H2157" s="403" t="s">
        <v>1276</v>
      </c>
      <c r="I2157" s="403">
        <v>1</v>
      </c>
      <c r="J2157" s="403" t="s">
        <v>110</v>
      </c>
      <c r="K2157" s="403">
        <v>1920</v>
      </c>
      <c r="L2157" s="403">
        <v>1080</v>
      </c>
      <c r="M2157" s="403" t="s">
        <v>1309</v>
      </c>
      <c r="N2157" s="403">
        <v>1280</v>
      </c>
      <c r="O2157" s="403">
        <v>960</v>
      </c>
      <c r="P2157" t="str">
        <f t="shared" si="265"/>
        <v>25fps 1080p - 1280x960 4:3 (cropped)</v>
      </c>
      <c r="Q2157">
        <f t="shared" si="266"/>
        <v>11</v>
      </c>
      <c r="R2157" t="str">
        <f t="shared" si="267"/>
        <v/>
      </c>
      <c r="S2157" t="str">
        <f t="shared" si="268"/>
        <v/>
      </c>
      <c r="T2157" s="403" t="str">
        <f t="shared" si="269"/>
        <v>NBN-6x023-B</v>
      </c>
      <c r="U2157" s="403">
        <f t="shared" si="270"/>
        <v>1</v>
      </c>
      <c r="V2157" s="403" t="str">
        <f t="shared" si="271"/>
        <v>CPP_7</v>
      </c>
    </row>
    <row r="2158" spans="1:22">
      <c r="A2158" t="str">
        <f t="shared" si="264"/>
        <v>NBN-6x023-B</v>
      </c>
      <c r="B2158" s="403" t="s">
        <v>1388</v>
      </c>
      <c r="C2158" s="403" t="s">
        <v>583</v>
      </c>
      <c r="D2158" s="403" t="s">
        <v>1389</v>
      </c>
      <c r="E2158" s="403" t="s">
        <v>1307</v>
      </c>
      <c r="F2158" s="403" t="s">
        <v>1287</v>
      </c>
      <c r="G2158" s="403" t="s">
        <v>1466</v>
      </c>
      <c r="H2158" s="403" t="s">
        <v>1276</v>
      </c>
      <c r="I2158" s="403">
        <v>1</v>
      </c>
      <c r="J2158" s="403" t="s">
        <v>110</v>
      </c>
      <c r="K2158" s="403">
        <v>1920</v>
      </c>
      <c r="L2158" s="403">
        <v>1080</v>
      </c>
      <c r="M2158" s="403" t="s">
        <v>1279</v>
      </c>
      <c r="N2158" s="403">
        <v>768</v>
      </c>
      <c r="O2158" s="403">
        <v>432</v>
      </c>
      <c r="P2158" t="str">
        <f t="shared" si="265"/>
        <v>25fps 1080p - SD ROI PTZ</v>
      </c>
      <c r="Q2158">
        <f t="shared" si="266"/>
        <v>11</v>
      </c>
      <c r="R2158" t="str">
        <f t="shared" si="267"/>
        <v/>
      </c>
      <c r="S2158" t="str">
        <f t="shared" si="268"/>
        <v/>
      </c>
      <c r="T2158" s="403" t="str">
        <f t="shared" si="269"/>
        <v>NBN-6x023-B</v>
      </c>
      <c r="U2158" s="403">
        <f t="shared" si="270"/>
        <v>1</v>
      </c>
      <c r="V2158" s="403" t="str">
        <f t="shared" si="271"/>
        <v>CPP_7</v>
      </c>
    </row>
    <row r="2159" spans="1:22">
      <c r="A2159" t="str">
        <f t="shared" si="264"/>
        <v>NBN-6x023-B</v>
      </c>
      <c r="B2159" s="403" t="s">
        <v>1388</v>
      </c>
      <c r="C2159" s="403" t="s">
        <v>583</v>
      </c>
      <c r="D2159" s="403" t="s">
        <v>1389</v>
      </c>
      <c r="E2159" s="403" t="s">
        <v>1307</v>
      </c>
      <c r="F2159" s="403" t="s">
        <v>1287</v>
      </c>
      <c r="G2159" s="403" t="s">
        <v>1466</v>
      </c>
      <c r="H2159" s="403" t="s">
        <v>1276</v>
      </c>
      <c r="I2159" s="403">
        <v>1</v>
      </c>
      <c r="J2159" s="403" t="s">
        <v>110</v>
      </c>
      <c r="K2159" s="403">
        <v>1920</v>
      </c>
      <c r="L2159" s="403">
        <v>1080</v>
      </c>
      <c r="M2159" s="403" t="s">
        <v>1298</v>
      </c>
      <c r="N2159" s="403">
        <v>768</v>
      </c>
      <c r="O2159" s="403">
        <v>432</v>
      </c>
      <c r="P2159" t="str">
        <f t="shared" si="265"/>
        <v>25fps 1080p - SD dual stream with independent ROI PTZ</v>
      </c>
      <c r="Q2159">
        <f t="shared" si="266"/>
        <v>11</v>
      </c>
      <c r="R2159" t="str">
        <f t="shared" si="267"/>
        <v/>
      </c>
      <c r="S2159" t="str">
        <f t="shared" si="268"/>
        <v/>
      </c>
      <c r="T2159" s="403" t="str">
        <f t="shared" si="269"/>
        <v>NBN-6x023-B</v>
      </c>
      <c r="U2159" s="403">
        <f t="shared" si="270"/>
        <v>1</v>
      </c>
      <c r="V2159" s="403" t="str">
        <f t="shared" si="271"/>
        <v>CPP_7</v>
      </c>
    </row>
    <row r="2160" spans="1:22">
      <c r="A2160" t="str">
        <f t="shared" si="264"/>
        <v>NBN-6x023-B</v>
      </c>
      <c r="B2160" s="403" t="s">
        <v>1388</v>
      </c>
      <c r="C2160" s="403" t="s">
        <v>583</v>
      </c>
      <c r="D2160" s="403" t="s">
        <v>1389</v>
      </c>
      <c r="E2160" s="403" t="s">
        <v>1307</v>
      </c>
      <c r="F2160" s="403" t="s">
        <v>1287</v>
      </c>
      <c r="G2160" s="403" t="s">
        <v>1466</v>
      </c>
      <c r="H2160" s="403" t="s">
        <v>1276</v>
      </c>
      <c r="I2160" s="403">
        <v>1</v>
      </c>
      <c r="J2160" s="403" t="s">
        <v>110</v>
      </c>
      <c r="K2160" s="403">
        <v>1920</v>
      </c>
      <c r="L2160" s="403">
        <v>1080</v>
      </c>
      <c r="M2160" s="403" t="s">
        <v>1283</v>
      </c>
      <c r="N2160" s="403">
        <v>704</v>
      </c>
      <c r="O2160" s="403">
        <v>576</v>
      </c>
      <c r="P2160" t="str">
        <f t="shared" si="265"/>
        <v>25fps 1080p - SD 4CIF resolution 4:3 format (cropped)</v>
      </c>
      <c r="Q2160">
        <f t="shared" si="266"/>
        <v>11</v>
      </c>
      <c r="R2160" t="str">
        <f t="shared" si="267"/>
        <v/>
      </c>
      <c r="S2160" t="str">
        <f t="shared" si="268"/>
        <v/>
      </c>
      <c r="T2160" s="403" t="str">
        <f t="shared" si="269"/>
        <v>NBN-6x023-B</v>
      </c>
      <c r="U2160" s="403">
        <f t="shared" si="270"/>
        <v>1</v>
      </c>
      <c r="V2160" s="403" t="str">
        <f t="shared" si="271"/>
        <v>CPP_7</v>
      </c>
    </row>
    <row r="2161" spans="1:22">
      <c r="A2161" t="str">
        <f t="shared" si="264"/>
        <v>NBN-6x023-B</v>
      </c>
      <c r="B2161" s="403" t="s">
        <v>1388</v>
      </c>
      <c r="C2161" s="403" t="s">
        <v>583</v>
      </c>
      <c r="D2161" s="403" t="s">
        <v>1389</v>
      </c>
      <c r="E2161" s="403" t="s">
        <v>1307</v>
      </c>
      <c r="F2161" s="403" t="s">
        <v>1287</v>
      </c>
      <c r="G2161" s="403" t="s">
        <v>1466</v>
      </c>
      <c r="H2161" s="403" t="s">
        <v>1276</v>
      </c>
      <c r="I2161" s="403">
        <v>1</v>
      </c>
      <c r="J2161" s="403" t="s">
        <v>110</v>
      </c>
      <c r="K2161" s="403">
        <v>1920</v>
      </c>
      <c r="L2161" s="403">
        <v>1080</v>
      </c>
      <c r="M2161" s="403" t="s">
        <v>1284</v>
      </c>
      <c r="N2161" s="403">
        <v>640</v>
      </c>
      <c r="O2161" s="403">
        <v>480</v>
      </c>
      <c r="P2161" t="str">
        <f t="shared" si="265"/>
        <v>25fps 1080p - SD VGA (cropped)</v>
      </c>
      <c r="Q2161">
        <f t="shared" si="266"/>
        <v>11</v>
      </c>
      <c r="R2161" t="str">
        <f t="shared" si="267"/>
        <v/>
      </c>
      <c r="S2161" t="str">
        <f t="shared" si="268"/>
        <v/>
      </c>
      <c r="T2161" s="403" t="str">
        <f t="shared" si="269"/>
        <v>NBN-6x023-B</v>
      </c>
      <c r="U2161" s="403">
        <f t="shared" si="270"/>
        <v>1</v>
      </c>
      <c r="V2161" s="403" t="str">
        <f t="shared" si="271"/>
        <v>CPP_7</v>
      </c>
    </row>
    <row r="2162" spans="1:22">
      <c r="A2162" t="str">
        <f t="shared" si="264"/>
        <v>NBN-6x023-B</v>
      </c>
      <c r="B2162" s="403" t="s">
        <v>1388</v>
      </c>
      <c r="C2162" s="403" t="s">
        <v>583</v>
      </c>
      <c r="D2162" s="403" t="s">
        <v>1389</v>
      </c>
      <c r="E2162" s="403" t="s">
        <v>1307</v>
      </c>
      <c r="F2162" s="403" t="s">
        <v>1287</v>
      </c>
      <c r="G2162" s="403" t="s">
        <v>1466</v>
      </c>
      <c r="H2162" s="403" t="s">
        <v>1276</v>
      </c>
      <c r="I2162" s="403">
        <v>1</v>
      </c>
      <c r="J2162" s="403" t="s">
        <v>109</v>
      </c>
      <c r="K2162" s="403">
        <v>1280</v>
      </c>
      <c r="L2162" s="403">
        <v>720</v>
      </c>
      <c r="M2162" s="403" t="s">
        <v>111</v>
      </c>
      <c r="N2162" s="403">
        <v>768</v>
      </c>
      <c r="O2162" s="403">
        <v>432</v>
      </c>
      <c r="P2162" t="str">
        <f t="shared" si="265"/>
        <v>25fps 720p - SD</v>
      </c>
      <c r="Q2162">
        <f t="shared" si="266"/>
        <v>11</v>
      </c>
      <c r="R2162" t="str">
        <f t="shared" si="267"/>
        <v/>
      </c>
      <c r="S2162" t="str">
        <f t="shared" si="268"/>
        <v/>
      </c>
      <c r="T2162" s="403" t="str">
        <f t="shared" si="269"/>
        <v>NBN-6x023-B</v>
      </c>
      <c r="U2162" s="403">
        <f t="shared" si="270"/>
        <v>1</v>
      </c>
      <c r="V2162" s="403" t="str">
        <f t="shared" si="271"/>
        <v>CPP_7</v>
      </c>
    </row>
    <row r="2163" spans="1:22">
      <c r="A2163" t="str">
        <f t="shared" si="264"/>
        <v>NBN-6x023-B</v>
      </c>
      <c r="B2163" s="403" t="s">
        <v>1388</v>
      </c>
      <c r="C2163" s="403" t="s">
        <v>583</v>
      </c>
      <c r="D2163" s="403" t="s">
        <v>1389</v>
      </c>
      <c r="E2163" s="403" t="s">
        <v>1307</v>
      </c>
      <c r="F2163" s="403" t="s">
        <v>1287</v>
      </c>
      <c r="G2163" s="403" t="s">
        <v>1466</v>
      </c>
      <c r="H2163" s="403" t="s">
        <v>1276</v>
      </c>
      <c r="I2163" s="403">
        <v>1</v>
      </c>
      <c r="J2163" s="403" t="s">
        <v>109</v>
      </c>
      <c r="K2163" s="403">
        <v>1280</v>
      </c>
      <c r="L2163" s="403">
        <v>720</v>
      </c>
      <c r="M2163" s="403" t="s">
        <v>109</v>
      </c>
      <c r="N2163" s="403">
        <v>1280</v>
      </c>
      <c r="O2163" s="403">
        <v>720</v>
      </c>
      <c r="P2163" t="str">
        <f t="shared" si="265"/>
        <v>25fps 720p - 720p</v>
      </c>
      <c r="Q2163">
        <f t="shared" si="266"/>
        <v>11</v>
      </c>
      <c r="R2163" t="str">
        <f t="shared" si="267"/>
        <v/>
      </c>
      <c r="S2163" t="str">
        <f t="shared" si="268"/>
        <v/>
      </c>
      <c r="T2163" s="403" t="str">
        <f t="shared" si="269"/>
        <v>NBN-6x023-B</v>
      </c>
      <c r="U2163" s="403">
        <f t="shared" si="270"/>
        <v>1</v>
      </c>
      <c r="V2163" s="403" t="str">
        <f t="shared" si="271"/>
        <v>CPP_7</v>
      </c>
    </row>
    <row r="2164" spans="1:22">
      <c r="A2164" t="str">
        <f t="shared" si="264"/>
        <v>NBN-6x023-B</v>
      </c>
      <c r="B2164" s="403" t="s">
        <v>1388</v>
      </c>
      <c r="C2164" s="403" t="s">
        <v>583</v>
      </c>
      <c r="D2164" s="403" t="s">
        <v>1389</v>
      </c>
      <c r="E2164" s="403" t="s">
        <v>1307</v>
      </c>
      <c r="F2164" s="403" t="s">
        <v>1287</v>
      </c>
      <c r="G2164" s="403" t="s">
        <v>1466</v>
      </c>
      <c r="H2164" s="403" t="s">
        <v>1276</v>
      </c>
      <c r="I2164" s="403">
        <v>1</v>
      </c>
      <c r="J2164" s="403" t="s">
        <v>109</v>
      </c>
      <c r="K2164" s="403">
        <v>1280</v>
      </c>
      <c r="L2164" s="403">
        <v>720</v>
      </c>
      <c r="M2164" s="403" t="s">
        <v>1279</v>
      </c>
      <c r="N2164" s="403">
        <v>768</v>
      </c>
      <c r="O2164" s="403">
        <v>432</v>
      </c>
      <c r="P2164" t="str">
        <f t="shared" si="265"/>
        <v>25fps 720p - SD ROI PTZ</v>
      </c>
      <c r="Q2164">
        <f t="shared" si="266"/>
        <v>11</v>
      </c>
      <c r="R2164" t="str">
        <f t="shared" si="267"/>
        <v/>
      </c>
      <c r="S2164" t="str">
        <f t="shared" si="268"/>
        <v/>
      </c>
      <c r="T2164" s="403" t="str">
        <f t="shared" si="269"/>
        <v>NBN-6x023-B</v>
      </c>
      <c r="U2164" s="403">
        <f t="shared" si="270"/>
        <v>1</v>
      </c>
      <c r="V2164" s="403" t="str">
        <f t="shared" si="271"/>
        <v>CPP_7</v>
      </c>
    </row>
    <row r="2165" spans="1:22">
      <c r="A2165" t="str">
        <f t="shared" si="264"/>
        <v>NBN-6x023-B</v>
      </c>
      <c r="B2165" s="403" t="s">
        <v>1388</v>
      </c>
      <c r="C2165" s="403" t="s">
        <v>583</v>
      </c>
      <c r="D2165" s="403" t="s">
        <v>1389</v>
      </c>
      <c r="E2165" s="403" t="s">
        <v>1307</v>
      </c>
      <c r="F2165" s="403" t="s">
        <v>1287</v>
      </c>
      <c r="G2165" s="403" t="s">
        <v>1466</v>
      </c>
      <c r="H2165" s="403" t="s">
        <v>1276</v>
      </c>
      <c r="I2165" s="403">
        <v>1</v>
      </c>
      <c r="J2165" s="403" t="s">
        <v>109</v>
      </c>
      <c r="K2165" s="403">
        <v>1280</v>
      </c>
      <c r="L2165" s="403">
        <v>720</v>
      </c>
      <c r="M2165" s="403" t="s">
        <v>1298</v>
      </c>
      <c r="N2165" s="403">
        <v>768</v>
      </c>
      <c r="O2165" s="403">
        <v>432</v>
      </c>
      <c r="P2165" t="str">
        <f t="shared" si="265"/>
        <v>25fps 720p - SD dual stream with independent ROI PTZ</v>
      </c>
      <c r="Q2165">
        <f t="shared" si="266"/>
        <v>11</v>
      </c>
      <c r="R2165" t="str">
        <f t="shared" si="267"/>
        <v/>
      </c>
      <c r="S2165" t="str">
        <f t="shared" si="268"/>
        <v/>
      </c>
      <c r="T2165" s="403" t="str">
        <f t="shared" si="269"/>
        <v>NBN-6x023-B</v>
      </c>
      <c r="U2165" s="403">
        <f t="shared" si="270"/>
        <v>1</v>
      </c>
      <c r="V2165" s="403" t="str">
        <f t="shared" si="271"/>
        <v>CPP_7</v>
      </c>
    </row>
    <row r="2166" spans="1:22">
      <c r="A2166" t="str">
        <f t="shared" si="264"/>
        <v>NBN-6x023-B</v>
      </c>
      <c r="B2166" s="403" t="s">
        <v>1388</v>
      </c>
      <c r="C2166" s="403" t="s">
        <v>583</v>
      </c>
      <c r="D2166" s="403" t="s">
        <v>1389</v>
      </c>
      <c r="E2166" s="403" t="s">
        <v>1307</v>
      </c>
      <c r="F2166" s="403" t="s">
        <v>1287</v>
      </c>
      <c r="G2166" s="403" t="s">
        <v>1466</v>
      </c>
      <c r="H2166" s="403" t="s">
        <v>1276</v>
      </c>
      <c r="I2166" s="403">
        <v>1</v>
      </c>
      <c r="J2166" s="403" t="s">
        <v>109</v>
      </c>
      <c r="K2166" s="403">
        <v>1280</v>
      </c>
      <c r="L2166" s="403">
        <v>720</v>
      </c>
      <c r="M2166" s="403" t="s">
        <v>1283</v>
      </c>
      <c r="N2166" s="403">
        <v>704</v>
      </c>
      <c r="O2166" s="403">
        <v>576</v>
      </c>
      <c r="P2166" t="str">
        <f t="shared" si="265"/>
        <v>25fps 720p - SD 4CIF resolution 4:3 format (cropped)</v>
      </c>
      <c r="Q2166">
        <f t="shared" si="266"/>
        <v>11</v>
      </c>
      <c r="R2166" t="str">
        <f t="shared" si="267"/>
        <v/>
      </c>
      <c r="S2166" t="str">
        <f t="shared" si="268"/>
        <v/>
      </c>
      <c r="T2166" s="403" t="str">
        <f t="shared" si="269"/>
        <v>NBN-6x023-B</v>
      </c>
      <c r="U2166" s="403">
        <f t="shared" si="270"/>
        <v>1</v>
      </c>
      <c r="V2166" s="403" t="str">
        <f t="shared" si="271"/>
        <v>CPP_7</v>
      </c>
    </row>
    <row r="2167" spans="1:22">
      <c r="A2167" t="str">
        <f t="shared" si="264"/>
        <v>NBN-6x023-B</v>
      </c>
      <c r="B2167" s="403" t="s">
        <v>1388</v>
      </c>
      <c r="C2167" s="403" t="s">
        <v>583</v>
      </c>
      <c r="D2167" s="403" t="s">
        <v>1389</v>
      </c>
      <c r="E2167" s="403" t="s">
        <v>1307</v>
      </c>
      <c r="F2167" s="403" t="s">
        <v>1287</v>
      </c>
      <c r="G2167" s="403" t="s">
        <v>1466</v>
      </c>
      <c r="H2167" s="403" t="s">
        <v>1276</v>
      </c>
      <c r="I2167" s="403">
        <v>1</v>
      </c>
      <c r="J2167" s="403" t="s">
        <v>109</v>
      </c>
      <c r="K2167" s="403">
        <v>1280</v>
      </c>
      <c r="L2167" s="403">
        <v>720</v>
      </c>
      <c r="M2167" s="403" t="s">
        <v>1284</v>
      </c>
      <c r="N2167" s="403">
        <v>640</v>
      </c>
      <c r="O2167" s="403">
        <v>480</v>
      </c>
      <c r="P2167" t="str">
        <f t="shared" si="265"/>
        <v>25fps 720p - SD VGA (cropped)</v>
      </c>
      <c r="Q2167">
        <f t="shared" si="266"/>
        <v>11</v>
      </c>
      <c r="R2167" t="str">
        <f t="shared" si="267"/>
        <v/>
      </c>
      <c r="S2167" t="str">
        <f t="shared" si="268"/>
        <v/>
      </c>
      <c r="T2167" s="403" t="str">
        <f t="shared" si="269"/>
        <v>NBN-6x023-B</v>
      </c>
      <c r="U2167" s="403">
        <f t="shared" si="270"/>
        <v>1</v>
      </c>
      <c r="V2167" s="403" t="str">
        <f t="shared" si="271"/>
        <v>CPP_7</v>
      </c>
    </row>
    <row r="2168" spans="1:22">
      <c r="A2168" t="str">
        <f t="shared" si="264"/>
        <v>NBN-6x023-B</v>
      </c>
      <c r="B2168" s="403" t="s">
        <v>1388</v>
      </c>
      <c r="C2168" s="403" t="s">
        <v>583</v>
      </c>
      <c r="D2168" s="403" t="s">
        <v>1389</v>
      </c>
      <c r="E2168" s="403" t="s">
        <v>1307</v>
      </c>
      <c r="F2168" s="403" t="s">
        <v>1287</v>
      </c>
      <c r="G2168" s="403" t="s">
        <v>1466</v>
      </c>
      <c r="H2168" s="403" t="s">
        <v>1276</v>
      </c>
      <c r="I2168" s="403">
        <v>1</v>
      </c>
      <c r="J2168" s="403" t="s">
        <v>111</v>
      </c>
      <c r="K2168" s="403">
        <v>768</v>
      </c>
      <c r="L2168" s="403">
        <v>432</v>
      </c>
      <c r="M2168" s="403" t="s">
        <v>111</v>
      </c>
      <c r="N2168" s="403">
        <v>768</v>
      </c>
      <c r="O2168" s="403">
        <v>432</v>
      </c>
      <c r="P2168" t="str">
        <f t="shared" si="265"/>
        <v>25fps SD - SD</v>
      </c>
      <c r="Q2168">
        <f t="shared" si="266"/>
        <v>11</v>
      </c>
      <c r="R2168" t="str">
        <f t="shared" si="267"/>
        <v/>
      </c>
      <c r="S2168" t="str">
        <f t="shared" si="268"/>
        <v/>
      </c>
      <c r="T2168" s="403" t="str">
        <f t="shared" si="269"/>
        <v>NBN-6x023-B</v>
      </c>
      <c r="U2168" s="403">
        <f t="shared" si="270"/>
        <v>1</v>
      </c>
      <c r="V2168" s="403" t="str">
        <f t="shared" si="271"/>
        <v>CPP_7</v>
      </c>
    </row>
    <row r="2169" spans="1:22">
      <c r="A2169" t="str">
        <f t="shared" si="264"/>
        <v>NBN-6x023-B</v>
      </c>
      <c r="B2169" s="403" t="s">
        <v>1388</v>
      </c>
      <c r="C2169" s="403" t="s">
        <v>583</v>
      </c>
      <c r="D2169" s="403" t="s">
        <v>1389</v>
      </c>
      <c r="E2169" s="403" t="s">
        <v>1307</v>
      </c>
      <c r="F2169" s="403" t="s">
        <v>1287</v>
      </c>
      <c r="G2169" s="403" t="s">
        <v>1467</v>
      </c>
      <c r="H2169" s="403" t="s">
        <v>1276</v>
      </c>
      <c r="I2169" s="403">
        <v>1</v>
      </c>
      <c r="J2169" s="403" t="s">
        <v>110</v>
      </c>
      <c r="K2169" s="403">
        <v>1080</v>
      </c>
      <c r="L2169" s="403">
        <v>1920</v>
      </c>
      <c r="M2169" s="403" t="s">
        <v>111</v>
      </c>
      <c r="N2169" s="403">
        <v>432</v>
      </c>
      <c r="O2169" s="403">
        <v>768</v>
      </c>
      <c r="P2169" t="str">
        <f t="shared" si="265"/>
        <v>25fps 1080p - SD</v>
      </c>
      <c r="Q2169">
        <f t="shared" si="266"/>
        <v>11</v>
      </c>
      <c r="R2169" t="str">
        <f t="shared" si="267"/>
        <v/>
      </c>
      <c r="S2169" t="str">
        <f t="shared" si="268"/>
        <v/>
      </c>
      <c r="T2169" s="403" t="str">
        <f t="shared" si="269"/>
        <v>NBN-6x023-B</v>
      </c>
      <c r="U2169" s="403">
        <f t="shared" si="270"/>
        <v>1</v>
      </c>
      <c r="V2169" s="403" t="str">
        <f t="shared" si="271"/>
        <v>CPP_7</v>
      </c>
    </row>
    <row r="2170" spans="1:22">
      <c r="A2170" t="str">
        <f t="shared" si="264"/>
        <v>NBN-6x023-B</v>
      </c>
      <c r="B2170" s="403" t="s">
        <v>1388</v>
      </c>
      <c r="C2170" s="403" t="s">
        <v>583</v>
      </c>
      <c r="D2170" s="403" t="s">
        <v>1389</v>
      </c>
      <c r="E2170" s="403" t="s">
        <v>1307</v>
      </c>
      <c r="F2170" s="403" t="s">
        <v>1287</v>
      </c>
      <c r="G2170" s="403" t="s">
        <v>1467</v>
      </c>
      <c r="H2170" s="403" t="s">
        <v>1276</v>
      </c>
      <c r="I2170" s="403">
        <v>1</v>
      </c>
      <c r="J2170" s="403" t="s">
        <v>110</v>
      </c>
      <c r="K2170" s="403">
        <v>1080</v>
      </c>
      <c r="L2170" s="403">
        <v>1920</v>
      </c>
      <c r="M2170" s="403" t="s">
        <v>110</v>
      </c>
      <c r="N2170" s="403">
        <v>1080</v>
      </c>
      <c r="O2170" s="403">
        <v>1920</v>
      </c>
      <c r="P2170" t="str">
        <f t="shared" si="265"/>
        <v>25fps 1080p - 1080p</v>
      </c>
      <c r="Q2170">
        <f t="shared" si="266"/>
        <v>11</v>
      </c>
      <c r="R2170" t="str">
        <f t="shared" si="267"/>
        <v/>
      </c>
      <c r="S2170" t="str">
        <f t="shared" si="268"/>
        <v/>
      </c>
      <c r="T2170" s="403" t="str">
        <f t="shared" si="269"/>
        <v>NBN-6x023-B</v>
      </c>
      <c r="U2170" s="403">
        <f t="shared" si="270"/>
        <v>1</v>
      </c>
      <c r="V2170" s="403" t="str">
        <f t="shared" si="271"/>
        <v>CPP_7</v>
      </c>
    </row>
    <row r="2171" spans="1:22">
      <c r="A2171" t="str">
        <f t="shared" si="264"/>
        <v>NBN-6x023-B</v>
      </c>
      <c r="B2171" s="403" t="s">
        <v>1388</v>
      </c>
      <c r="C2171" s="403" t="s">
        <v>583</v>
      </c>
      <c r="D2171" s="403" t="s">
        <v>1389</v>
      </c>
      <c r="E2171" s="403" t="s">
        <v>1307</v>
      </c>
      <c r="F2171" s="403" t="s">
        <v>1287</v>
      </c>
      <c r="G2171" s="403" t="s">
        <v>1467</v>
      </c>
      <c r="H2171" s="403" t="s">
        <v>1276</v>
      </c>
      <c r="I2171" s="403">
        <v>1</v>
      </c>
      <c r="J2171" s="403" t="s">
        <v>110</v>
      </c>
      <c r="K2171" s="403">
        <v>1080</v>
      </c>
      <c r="L2171" s="403">
        <v>1920</v>
      </c>
      <c r="M2171" s="403" t="s">
        <v>109</v>
      </c>
      <c r="N2171" s="403">
        <v>720</v>
      </c>
      <c r="O2171" s="403">
        <v>1280</v>
      </c>
      <c r="P2171" t="str">
        <f t="shared" si="265"/>
        <v>25fps 1080p - 720p</v>
      </c>
      <c r="Q2171">
        <f t="shared" si="266"/>
        <v>11</v>
      </c>
      <c r="R2171" t="str">
        <f t="shared" si="267"/>
        <v/>
      </c>
      <c r="S2171" t="str">
        <f t="shared" si="268"/>
        <v/>
      </c>
      <c r="T2171" s="403" t="str">
        <f t="shared" si="269"/>
        <v>NBN-6x023-B</v>
      </c>
      <c r="U2171" s="403">
        <f t="shared" si="270"/>
        <v>1</v>
      </c>
      <c r="V2171" s="403" t="str">
        <f t="shared" si="271"/>
        <v>CPP_7</v>
      </c>
    </row>
    <row r="2172" spans="1:22">
      <c r="A2172" t="str">
        <f t="shared" si="264"/>
        <v>NBN-6x023-B</v>
      </c>
      <c r="B2172" s="403" t="s">
        <v>1388</v>
      </c>
      <c r="C2172" s="403" t="s">
        <v>583</v>
      </c>
      <c r="D2172" s="403" t="s">
        <v>1389</v>
      </c>
      <c r="E2172" s="403" t="s">
        <v>1307</v>
      </c>
      <c r="F2172" s="403" t="s">
        <v>1287</v>
      </c>
      <c r="G2172" s="403" t="s">
        <v>1467</v>
      </c>
      <c r="H2172" s="403" t="s">
        <v>1276</v>
      </c>
      <c r="I2172" s="403">
        <v>1</v>
      </c>
      <c r="J2172" s="403" t="s">
        <v>110</v>
      </c>
      <c r="K2172" s="403">
        <v>1080</v>
      </c>
      <c r="L2172" s="403">
        <v>1920</v>
      </c>
      <c r="M2172" s="403" t="s">
        <v>1279</v>
      </c>
      <c r="N2172" s="403">
        <v>432</v>
      </c>
      <c r="O2172" s="403">
        <v>768</v>
      </c>
      <c r="P2172" t="str">
        <f t="shared" si="265"/>
        <v>25fps 1080p - SD ROI PTZ</v>
      </c>
      <c r="Q2172">
        <f t="shared" si="266"/>
        <v>11</v>
      </c>
      <c r="R2172" t="str">
        <f t="shared" si="267"/>
        <v/>
      </c>
      <c r="S2172" t="str">
        <f t="shared" si="268"/>
        <v/>
      </c>
      <c r="T2172" s="403" t="str">
        <f t="shared" si="269"/>
        <v>NBN-6x023-B</v>
      </c>
      <c r="U2172" s="403">
        <f t="shared" si="270"/>
        <v>1</v>
      </c>
      <c r="V2172" s="403" t="str">
        <f t="shared" si="271"/>
        <v>CPP_7</v>
      </c>
    </row>
    <row r="2173" spans="1:22">
      <c r="A2173" t="str">
        <f t="shared" si="264"/>
        <v>NBN-6x023-B</v>
      </c>
      <c r="B2173" s="403" t="s">
        <v>1388</v>
      </c>
      <c r="C2173" s="403" t="s">
        <v>583</v>
      </c>
      <c r="D2173" s="403" t="s">
        <v>1389</v>
      </c>
      <c r="E2173" s="403" t="s">
        <v>1307</v>
      </c>
      <c r="F2173" s="403" t="s">
        <v>1287</v>
      </c>
      <c r="G2173" s="403" t="s">
        <v>1467</v>
      </c>
      <c r="H2173" s="403" t="s">
        <v>1276</v>
      </c>
      <c r="I2173" s="403">
        <v>1</v>
      </c>
      <c r="J2173" s="403" t="s">
        <v>110</v>
      </c>
      <c r="K2173" s="403">
        <v>1080</v>
      </c>
      <c r="L2173" s="403">
        <v>1920</v>
      </c>
      <c r="M2173" s="403" t="s">
        <v>1298</v>
      </c>
      <c r="N2173" s="403">
        <v>432</v>
      </c>
      <c r="O2173" s="403">
        <v>768</v>
      </c>
      <c r="P2173" t="str">
        <f t="shared" si="265"/>
        <v>25fps 1080p - SD dual stream with independent ROI PTZ</v>
      </c>
      <c r="Q2173">
        <f t="shared" si="266"/>
        <v>11</v>
      </c>
      <c r="R2173" t="str">
        <f t="shared" si="267"/>
        <v/>
      </c>
      <c r="S2173" t="str">
        <f t="shared" si="268"/>
        <v/>
      </c>
      <c r="T2173" s="403" t="str">
        <f t="shared" si="269"/>
        <v>NBN-6x023-B</v>
      </c>
      <c r="U2173" s="403">
        <f t="shared" si="270"/>
        <v>1</v>
      </c>
      <c r="V2173" s="403" t="str">
        <f t="shared" si="271"/>
        <v>CPP_7</v>
      </c>
    </row>
    <row r="2174" spans="1:22">
      <c r="A2174" t="str">
        <f t="shared" si="264"/>
        <v>NBN-6x023-B</v>
      </c>
      <c r="B2174" s="403" t="s">
        <v>1388</v>
      </c>
      <c r="C2174" s="403" t="s">
        <v>583</v>
      </c>
      <c r="D2174" s="403" t="s">
        <v>1389</v>
      </c>
      <c r="E2174" s="403" t="s">
        <v>1307</v>
      </c>
      <c r="F2174" s="403" t="s">
        <v>1287</v>
      </c>
      <c r="G2174" s="403" t="s">
        <v>1467</v>
      </c>
      <c r="H2174" s="403" t="s">
        <v>1276</v>
      </c>
      <c r="I2174" s="403">
        <v>1</v>
      </c>
      <c r="J2174" s="403" t="s">
        <v>110</v>
      </c>
      <c r="K2174" s="403">
        <v>1080</v>
      </c>
      <c r="L2174" s="403">
        <v>1920</v>
      </c>
      <c r="M2174" s="403" t="s">
        <v>1283</v>
      </c>
      <c r="N2174" s="403">
        <v>576</v>
      </c>
      <c r="O2174" s="403">
        <v>704</v>
      </c>
      <c r="P2174" t="str">
        <f t="shared" si="265"/>
        <v>25fps 1080p - SD 4CIF resolution 4:3 format (cropped)</v>
      </c>
      <c r="Q2174">
        <f t="shared" si="266"/>
        <v>11</v>
      </c>
      <c r="R2174" t="str">
        <f t="shared" si="267"/>
        <v/>
      </c>
      <c r="S2174" t="str">
        <f t="shared" si="268"/>
        <v/>
      </c>
      <c r="T2174" s="403" t="str">
        <f t="shared" si="269"/>
        <v>NBN-6x023-B</v>
      </c>
      <c r="U2174" s="403">
        <f t="shared" si="270"/>
        <v>1</v>
      </c>
      <c r="V2174" s="403" t="str">
        <f t="shared" si="271"/>
        <v>CPP_7</v>
      </c>
    </row>
    <row r="2175" spans="1:22">
      <c r="A2175" t="str">
        <f t="shared" si="264"/>
        <v>NBN-6x023-B</v>
      </c>
      <c r="B2175" s="403" t="s">
        <v>1388</v>
      </c>
      <c r="C2175" s="403" t="s">
        <v>583</v>
      </c>
      <c r="D2175" s="403" t="s">
        <v>1389</v>
      </c>
      <c r="E2175" s="403" t="s">
        <v>1307</v>
      </c>
      <c r="F2175" s="403" t="s">
        <v>1287</v>
      </c>
      <c r="G2175" s="403" t="s">
        <v>1467</v>
      </c>
      <c r="H2175" s="403" t="s">
        <v>1276</v>
      </c>
      <c r="I2175" s="403">
        <v>1</v>
      </c>
      <c r="J2175" s="403" t="s">
        <v>110</v>
      </c>
      <c r="K2175" s="403">
        <v>1080</v>
      </c>
      <c r="L2175" s="403">
        <v>1920</v>
      </c>
      <c r="M2175" s="403" t="s">
        <v>1284</v>
      </c>
      <c r="N2175" s="403">
        <v>480</v>
      </c>
      <c r="O2175" s="403">
        <v>640</v>
      </c>
      <c r="P2175" t="str">
        <f t="shared" si="265"/>
        <v>25fps 1080p - SD VGA (cropped)</v>
      </c>
      <c r="Q2175">
        <f t="shared" si="266"/>
        <v>11</v>
      </c>
      <c r="R2175" t="str">
        <f t="shared" si="267"/>
        <v/>
      </c>
      <c r="S2175" t="str">
        <f t="shared" si="268"/>
        <v/>
      </c>
      <c r="T2175" s="403" t="str">
        <f t="shared" si="269"/>
        <v>NBN-6x023-B</v>
      </c>
      <c r="U2175" s="403">
        <f t="shared" si="270"/>
        <v>1</v>
      </c>
      <c r="V2175" s="403" t="str">
        <f t="shared" si="271"/>
        <v>CPP_7</v>
      </c>
    </row>
    <row r="2176" spans="1:22">
      <c r="A2176" t="str">
        <f t="shared" si="264"/>
        <v>NBN-6x023-B</v>
      </c>
      <c r="B2176" s="403" t="s">
        <v>1388</v>
      </c>
      <c r="C2176" s="403" t="s">
        <v>583</v>
      </c>
      <c r="D2176" s="403" t="s">
        <v>1389</v>
      </c>
      <c r="E2176" s="403" t="s">
        <v>1307</v>
      </c>
      <c r="F2176" s="403" t="s">
        <v>1287</v>
      </c>
      <c r="G2176" s="403" t="s">
        <v>1467</v>
      </c>
      <c r="H2176" s="403" t="s">
        <v>1276</v>
      </c>
      <c r="I2176" s="403">
        <v>1</v>
      </c>
      <c r="J2176" s="403" t="s">
        <v>109</v>
      </c>
      <c r="K2176" s="403">
        <v>720</v>
      </c>
      <c r="L2176" s="403">
        <v>1280</v>
      </c>
      <c r="M2176" s="403" t="s">
        <v>111</v>
      </c>
      <c r="N2176" s="403">
        <v>432</v>
      </c>
      <c r="O2176" s="403">
        <v>768</v>
      </c>
      <c r="P2176" t="str">
        <f t="shared" si="265"/>
        <v>25fps 720p - SD</v>
      </c>
      <c r="Q2176">
        <f t="shared" si="266"/>
        <v>11</v>
      </c>
      <c r="R2176" t="str">
        <f t="shared" si="267"/>
        <v/>
      </c>
      <c r="S2176" t="str">
        <f t="shared" si="268"/>
        <v/>
      </c>
      <c r="T2176" s="403" t="str">
        <f t="shared" si="269"/>
        <v>NBN-6x023-B</v>
      </c>
      <c r="U2176" s="403">
        <f t="shared" si="270"/>
        <v>1</v>
      </c>
      <c r="V2176" s="403" t="str">
        <f t="shared" si="271"/>
        <v>CPP_7</v>
      </c>
    </row>
    <row r="2177" spans="1:22">
      <c r="A2177" t="str">
        <f t="shared" si="264"/>
        <v>NBN-6x023-B</v>
      </c>
      <c r="B2177" s="403" t="s">
        <v>1388</v>
      </c>
      <c r="C2177" s="403" t="s">
        <v>583</v>
      </c>
      <c r="D2177" s="403" t="s">
        <v>1389</v>
      </c>
      <c r="E2177" s="403" t="s">
        <v>1307</v>
      </c>
      <c r="F2177" s="403" t="s">
        <v>1287</v>
      </c>
      <c r="G2177" s="403" t="s">
        <v>1467</v>
      </c>
      <c r="H2177" s="403" t="s">
        <v>1276</v>
      </c>
      <c r="I2177" s="403">
        <v>1</v>
      </c>
      <c r="J2177" s="403" t="s">
        <v>109</v>
      </c>
      <c r="K2177" s="403">
        <v>720</v>
      </c>
      <c r="L2177" s="403">
        <v>1280</v>
      </c>
      <c r="M2177" s="403" t="s">
        <v>109</v>
      </c>
      <c r="N2177" s="403">
        <v>720</v>
      </c>
      <c r="O2177" s="403">
        <v>1280</v>
      </c>
      <c r="P2177" t="str">
        <f t="shared" si="265"/>
        <v>25fps 720p - 720p</v>
      </c>
      <c r="Q2177">
        <f t="shared" si="266"/>
        <v>11</v>
      </c>
      <c r="R2177" t="str">
        <f t="shared" si="267"/>
        <v/>
      </c>
      <c r="S2177" t="str">
        <f t="shared" si="268"/>
        <v/>
      </c>
      <c r="T2177" s="403" t="str">
        <f t="shared" si="269"/>
        <v>NBN-6x023-B</v>
      </c>
      <c r="U2177" s="403">
        <f t="shared" si="270"/>
        <v>1</v>
      </c>
      <c r="V2177" s="403" t="str">
        <f t="shared" si="271"/>
        <v>CPP_7</v>
      </c>
    </row>
    <row r="2178" spans="1:22">
      <c r="A2178" t="str">
        <f t="shared" ref="A2178:A2241" si="272">IF(AND(G2178&lt;&gt;"rotate 90°"),D2178,"")</f>
        <v>NBN-6x023-B</v>
      </c>
      <c r="B2178" s="403" t="s">
        <v>1388</v>
      </c>
      <c r="C2178" s="403" t="s">
        <v>583</v>
      </c>
      <c r="D2178" s="403" t="s">
        <v>1389</v>
      </c>
      <c r="E2178" s="403" t="s">
        <v>1307</v>
      </c>
      <c r="F2178" s="403" t="s">
        <v>1287</v>
      </c>
      <c r="G2178" s="403" t="s">
        <v>1467</v>
      </c>
      <c r="H2178" s="403" t="s">
        <v>1276</v>
      </c>
      <c r="I2178" s="403">
        <v>1</v>
      </c>
      <c r="J2178" s="403" t="s">
        <v>109</v>
      </c>
      <c r="K2178" s="403">
        <v>720</v>
      </c>
      <c r="L2178" s="403">
        <v>1280</v>
      </c>
      <c r="M2178" s="403" t="s">
        <v>1279</v>
      </c>
      <c r="N2178" s="403">
        <v>432</v>
      </c>
      <c r="O2178" s="403">
        <v>768</v>
      </c>
      <c r="P2178" t="str">
        <f t="shared" ref="P2178:P2241" si="273">LEFT(F2178,5)&amp;" "&amp;J2178&amp;" - "&amp;M2178</f>
        <v>25fps 720p - SD ROI PTZ</v>
      </c>
      <c r="Q2178">
        <f t="shared" ref="Q2178:Q2241" si="274">IF(A2177=A2178,Q2177,Q2177+1)</f>
        <v>11</v>
      </c>
      <c r="R2178" t="str">
        <f t="shared" ref="R2178:R2241" si="275">IF(Q2177&lt;&gt;Q2178,Q2178,"")</f>
        <v/>
      </c>
      <c r="S2178" t="str">
        <f t="shared" ref="S2178:S2241" si="276">IF(R2178&lt;&gt;"",B2178&amp;" ("&amp;D2178&amp;")","")</f>
        <v/>
      </c>
      <c r="T2178" s="403" t="str">
        <f t="shared" ref="T2178:T2241" si="277">D2178</f>
        <v>NBN-6x023-B</v>
      </c>
      <c r="U2178" s="403">
        <f t="shared" ref="U2178:U2241" si="278">I2178</f>
        <v>1</v>
      </c>
      <c r="V2178" s="403" t="str">
        <f t="shared" ref="V2178:V2241" si="279">C2178</f>
        <v>CPP_7</v>
      </c>
    </row>
    <row r="2179" spans="1:22">
      <c r="A2179" t="str">
        <f t="shared" si="272"/>
        <v>NBN-6x023-B</v>
      </c>
      <c r="B2179" s="403" t="s">
        <v>1388</v>
      </c>
      <c r="C2179" s="403" t="s">
        <v>583</v>
      </c>
      <c r="D2179" s="403" t="s">
        <v>1389</v>
      </c>
      <c r="E2179" s="403" t="s">
        <v>1307</v>
      </c>
      <c r="F2179" s="403" t="s">
        <v>1287</v>
      </c>
      <c r="G2179" s="403" t="s">
        <v>1467</v>
      </c>
      <c r="H2179" s="403" t="s">
        <v>1276</v>
      </c>
      <c r="I2179" s="403">
        <v>1</v>
      </c>
      <c r="J2179" s="403" t="s">
        <v>109</v>
      </c>
      <c r="K2179" s="403">
        <v>720</v>
      </c>
      <c r="L2179" s="403">
        <v>1280</v>
      </c>
      <c r="M2179" s="403" t="s">
        <v>1298</v>
      </c>
      <c r="N2179" s="403">
        <v>432</v>
      </c>
      <c r="O2179" s="403">
        <v>768</v>
      </c>
      <c r="P2179" t="str">
        <f t="shared" si="273"/>
        <v>25fps 720p - SD dual stream with independent ROI PTZ</v>
      </c>
      <c r="Q2179">
        <f t="shared" si="274"/>
        <v>11</v>
      </c>
      <c r="R2179" t="str">
        <f t="shared" si="275"/>
        <v/>
      </c>
      <c r="S2179" t="str">
        <f t="shared" si="276"/>
        <v/>
      </c>
      <c r="T2179" s="403" t="str">
        <f t="shared" si="277"/>
        <v>NBN-6x023-B</v>
      </c>
      <c r="U2179" s="403">
        <f t="shared" si="278"/>
        <v>1</v>
      </c>
      <c r="V2179" s="403" t="str">
        <f t="shared" si="279"/>
        <v>CPP_7</v>
      </c>
    </row>
    <row r="2180" spans="1:22">
      <c r="A2180" t="str">
        <f t="shared" si="272"/>
        <v>NBN-6x023-B</v>
      </c>
      <c r="B2180" s="403" t="s">
        <v>1388</v>
      </c>
      <c r="C2180" s="403" t="s">
        <v>583</v>
      </c>
      <c r="D2180" s="403" t="s">
        <v>1389</v>
      </c>
      <c r="E2180" s="403" t="s">
        <v>1307</v>
      </c>
      <c r="F2180" s="403" t="s">
        <v>1287</v>
      </c>
      <c r="G2180" s="403" t="s">
        <v>1467</v>
      </c>
      <c r="H2180" s="403" t="s">
        <v>1276</v>
      </c>
      <c r="I2180" s="403">
        <v>1</v>
      </c>
      <c r="J2180" s="403" t="s">
        <v>109</v>
      </c>
      <c r="K2180" s="403">
        <v>720</v>
      </c>
      <c r="L2180" s="403">
        <v>1280</v>
      </c>
      <c r="M2180" s="403" t="s">
        <v>1283</v>
      </c>
      <c r="N2180" s="403">
        <v>576</v>
      </c>
      <c r="O2180" s="403">
        <v>704</v>
      </c>
      <c r="P2180" t="str">
        <f t="shared" si="273"/>
        <v>25fps 720p - SD 4CIF resolution 4:3 format (cropped)</v>
      </c>
      <c r="Q2180">
        <f t="shared" si="274"/>
        <v>11</v>
      </c>
      <c r="R2180" t="str">
        <f t="shared" si="275"/>
        <v/>
      </c>
      <c r="S2180" t="str">
        <f t="shared" si="276"/>
        <v/>
      </c>
      <c r="T2180" s="403" t="str">
        <f t="shared" si="277"/>
        <v>NBN-6x023-B</v>
      </c>
      <c r="U2180" s="403">
        <f t="shared" si="278"/>
        <v>1</v>
      </c>
      <c r="V2180" s="403" t="str">
        <f t="shared" si="279"/>
        <v>CPP_7</v>
      </c>
    </row>
    <row r="2181" spans="1:22">
      <c r="A2181" t="str">
        <f t="shared" si="272"/>
        <v>NBN-6x023-B</v>
      </c>
      <c r="B2181" s="403" t="s">
        <v>1388</v>
      </c>
      <c r="C2181" s="403" t="s">
        <v>583</v>
      </c>
      <c r="D2181" s="403" t="s">
        <v>1389</v>
      </c>
      <c r="E2181" s="403" t="s">
        <v>1307</v>
      </c>
      <c r="F2181" s="403" t="s">
        <v>1287</v>
      </c>
      <c r="G2181" s="403" t="s">
        <v>1467</v>
      </c>
      <c r="H2181" s="403" t="s">
        <v>1276</v>
      </c>
      <c r="I2181" s="403">
        <v>1</v>
      </c>
      <c r="J2181" s="403" t="s">
        <v>109</v>
      </c>
      <c r="K2181" s="403">
        <v>720</v>
      </c>
      <c r="L2181" s="403">
        <v>1280</v>
      </c>
      <c r="M2181" s="403" t="s">
        <v>1284</v>
      </c>
      <c r="N2181" s="403">
        <v>480</v>
      </c>
      <c r="O2181" s="403">
        <v>640</v>
      </c>
      <c r="P2181" t="str">
        <f t="shared" si="273"/>
        <v>25fps 720p - SD VGA (cropped)</v>
      </c>
      <c r="Q2181">
        <f t="shared" si="274"/>
        <v>11</v>
      </c>
      <c r="R2181" t="str">
        <f t="shared" si="275"/>
        <v/>
      </c>
      <c r="S2181" t="str">
        <f t="shared" si="276"/>
        <v/>
      </c>
      <c r="T2181" s="403" t="str">
        <f t="shared" si="277"/>
        <v>NBN-6x023-B</v>
      </c>
      <c r="U2181" s="403">
        <f t="shared" si="278"/>
        <v>1</v>
      </c>
      <c r="V2181" s="403" t="str">
        <f t="shared" si="279"/>
        <v>CPP_7</v>
      </c>
    </row>
    <row r="2182" spans="1:22">
      <c r="A2182" t="str">
        <f t="shared" si="272"/>
        <v>NBN-6x023-B</v>
      </c>
      <c r="B2182" s="403" t="s">
        <v>1388</v>
      </c>
      <c r="C2182" s="403" t="s">
        <v>583</v>
      </c>
      <c r="D2182" s="403" t="s">
        <v>1389</v>
      </c>
      <c r="E2182" s="403" t="s">
        <v>1307</v>
      </c>
      <c r="F2182" s="403" t="s">
        <v>1287</v>
      </c>
      <c r="G2182" s="403" t="s">
        <v>1467</v>
      </c>
      <c r="H2182" s="403" t="s">
        <v>1276</v>
      </c>
      <c r="I2182" s="403">
        <v>1</v>
      </c>
      <c r="J2182" s="403" t="s">
        <v>111</v>
      </c>
      <c r="K2182" s="403">
        <v>432</v>
      </c>
      <c r="L2182" s="403">
        <v>768</v>
      </c>
      <c r="M2182" s="403" t="s">
        <v>111</v>
      </c>
      <c r="N2182" s="403">
        <v>432</v>
      </c>
      <c r="O2182" s="403">
        <v>768</v>
      </c>
      <c r="P2182" t="str">
        <f t="shared" si="273"/>
        <v>25fps SD - SD</v>
      </c>
      <c r="Q2182">
        <f t="shared" si="274"/>
        <v>11</v>
      </c>
      <c r="R2182" t="str">
        <f t="shared" si="275"/>
        <v/>
      </c>
      <c r="S2182" t="str">
        <f t="shared" si="276"/>
        <v/>
      </c>
      <c r="T2182" s="403" t="str">
        <f t="shared" si="277"/>
        <v>NBN-6x023-B</v>
      </c>
      <c r="U2182" s="403">
        <f t="shared" si="278"/>
        <v>1</v>
      </c>
      <c r="V2182" s="403" t="str">
        <f t="shared" si="279"/>
        <v>CPP_7</v>
      </c>
    </row>
    <row r="2183" spans="1:22">
      <c r="A2183" t="str">
        <f t="shared" si="272"/>
        <v>NBN-73013-BA</v>
      </c>
      <c r="B2183" s="403" t="s">
        <v>1390</v>
      </c>
      <c r="C2183" s="403" t="s">
        <v>583</v>
      </c>
      <c r="D2183" s="403" t="s">
        <v>1295</v>
      </c>
      <c r="E2183" s="403" t="s">
        <v>1296</v>
      </c>
      <c r="F2183" s="403" t="s">
        <v>1297</v>
      </c>
      <c r="G2183" s="403" t="s">
        <v>1466</v>
      </c>
      <c r="H2183" s="403" t="s">
        <v>1276</v>
      </c>
      <c r="I2183" s="403">
        <v>1</v>
      </c>
      <c r="J2183" s="403" t="s">
        <v>109</v>
      </c>
      <c r="K2183" s="403">
        <v>1280</v>
      </c>
      <c r="L2183" s="403">
        <v>720</v>
      </c>
      <c r="M2183" s="403" t="s">
        <v>111</v>
      </c>
      <c r="N2183" s="403">
        <v>768</v>
      </c>
      <c r="O2183" s="403">
        <v>432</v>
      </c>
      <c r="P2183" t="str">
        <f t="shared" si="273"/>
        <v>30fps 720p - SD</v>
      </c>
      <c r="Q2183">
        <f t="shared" si="274"/>
        <v>12</v>
      </c>
      <c r="R2183">
        <f t="shared" si="275"/>
        <v>12</v>
      </c>
      <c r="S2183" t="str">
        <f t="shared" si="276"/>
        <v>DINION IP starlight 7000 HD (NBN-73013-BA)</v>
      </c>
      <c r="T2183" s="403" t="str">
        <f t="shared" si="277"/>
        <v>NBN-73013-BA</v>
      </c>
      <c r="U2183" s="403">
        <f t="shared" si="278"/>
        <v>1</v>
      </c>
      <c r="V2183" s="403" t="str">
        <f t="shared" si="279"/>
        <v>CPP_7</v>
      </c>
    </row>
    <row r="2184" spans="1:22">
      <c r="A2184" t="str">
        <f t="shared" si="272"/>
        <v>NBN-73013-BA</v>
      </c>
      <c r="B2184" s="403" t="s">
        <v>1390</v>
      </c>
      <c r="C2184" s="403" t="s">
        <v>583</v>
      </c>
      <c r="D2184" s="403" t="s">
        <v>1295</v>
      </c>
      <c r="E2184" s="403" t="s">
        <v>1296</v>
      </c>
      <c r="F2184" s="403" t="s">
        <v>1297</v>
      </c>
      <c r="G2184" s="403" t="s">
        <v>1466</v>
      </c>
      <c r="H2184" s="403" t="s">
        <v>1276</v>
      </c>
      <c r="I2184" s="403">
        <v>1</v>
      </c>
      <c r="J2184" s="403" t="s">
        <v>109</v>
      </c>
      <c r="K2184" s="403">
        <v>1280</v>
      </c>
      <c r="L2184" s="403">
        <v>720</v>
      </c>
      <c r="M2184" s="403" t="s">
        <v>109</v>
      </c>
      <c r="N2184" s="403">
        <v>1280</v>
      </c>
      <c r="O2184" s="403">
        <v>720</v>
      </c>
      <c r="P2184" t="str">
        <f t="shared" si="273"/>
        <v>30fps 720p - 720p</v>
      </c>
      <c r="Q2184">
        <f t="shared" si="274"/>
        <v>12</v>
      </c>
      <c r="R2184" t="str">
        <f t="shared" si="275"/>
        <v/>
      </c>
      <c r="S2184" t="str">
        <f t="shared" si="276"/>
        <v/>
      </c>
      <c r="T2184" s="403" t="str">
        <f t="shared" si="277"/>
        <v>NBN-73013-BA</v>
      </c>
      <c r="U2184" s="403">
        <f t="shared" si="278"/>
        <v>1</v>
      </c>
      <c r="V2184" s="403" t="str">
        <f t="shared" si="279"/>
        <v>CPP_7</v>
      </c>
    </row>
    <row r="2185" spans="1:22">
      <c r="A2185" t="str">
        <f t="shared" si="272"/>
        <v>NBN-73013-BA</v>
      </c>
      <c r="B2185" s="403" t="s">
        <v>1390</v>
      </c>
      <c r="C2185" s="403" t="s">
        <v>583</v>
      </c>
      <c r="D2185" s="403" t="s">
        <v>1295</v>
      </c>
      <c r="E2185" s="403" t="s">
        <v>1296</v>
      </c>
      <c r="F2185" s="403" t="s">
        <v>1297</v>
      </c>
      <c r="G2185" s="403" t="s">
        <v>1466</v>
      </c>
      <c r="H2185" s="403" t="s">
        <v>1276</v>
      </c>
      <c r="I2185" s="403">
        <v>1</v>
      </c>
      <c r="J2185" s="403" t="s">
        <v>109</v>
      </c>
      <c r="K2185" s="403">
        <v>1280</v>
      </c>
      <c r="L2185" s="403">
        <v>720</v>
      </c>
      <c r="M2185" s="403" t="s">
        <v>1279</v>
      </c>
      <c r="N2185" s="403">
        <v>768</v>
      </c>
      <c r="O2185" s="403">
        <v>432</v>
      </c>
      <c r="P2185" t="str">
        <f t="shared" si="273"/>
        <v>30fps 720p - SD ROI PTZ</v>
      </c>
      <c r="Q2185">
        <f t="shared" si="274"/>
        <v>12</v>
      </c>
      <c r="R2185" t="str">
        <f t="shared" si="275"/>
        <v/>
      </c>
      <c r="S2185" t="str">
        <f t="shared" si="276"/>
        <v/>
      </c>
      <c r="T2185" s="403" t="str">
        <f t="shared" si="277"/>
        <v>NBN-73013-BA</v>
      </c>
      <c r="U2185" s="403">
        <f t="shared" si="278"/>
        <v>1</v>
      </c>
      <c r="V2185" s="403" t="str">
        <f t="shared" si="279"/>
        <v>CPP_7</v>
      </c>
    </row>
    <row r="2186" spans="1:22">
      <c r="A2186" t="str">
        <f t="shared" si="272"/>
        <v>NBN-73013-BA</v>
      </c>
      <c r="B2186" s="403" t="s">
        <v>1390</v>
      </c>
      <c r="C2186" s="403" t="s">
        <v>583</v>
      </c>
      <c r="D2186" s="403" t="s">
        <v>1295</v>
      </c>
      <c r="E2186" s="403" t="s">
        <v>1296</v>
      </c>
      <c r="F2186" s="403" t="s">
        <v>1297</v>
      </c>
      <c r="G2186" s="403" t="s">
        <v>1466</v>
      </c>
      <c r="H2186" s="403" t="s">
        <v>1276</v>
      </c>
      <c r="I2186" s="403">
        <v>1</v>
      </c>
      <c r="J2186" s="403" t="s">
        <v>109</v>
      </c>
      <c r="K2186" s="403">
        <v>1280</v>
      </c>
      <c r="L2186" s="403">
        <v>720</v>
      </c>
      <c r="M2186" s="403" t="s">
        <v>1298</v>
      </c>
      <c r="N2186" s="403">
        <v>768</v>
      </c>
      <c r="O2186" s="403">
        <v>432</v>
      </c>
      <c r="P2186" t="str">
        <f t="shared" si="273"/>
        <v>30fps 720p - SD dual stream with independent ROI PTZ</v>
      </c>
      <c r="Q2186">
        <f t="shared" si="274"/>
        <v>12</v>
      </c>
      <c r="R2186" t="str">
        <f t="shared" si="275"/>
        <v/>
      </c>
      <c r="S2186" t="str">
        <f t="shared" si="276"/>
        <v/>
      </c>
      <c r="T2186" s="403" t="str">
        <f t="shared" si="277"/>
        <v>NBN-73013-BA</v>
      </c>
      <c r="U2186" s="403">
        <f t="shared" si="278"/>
        <v>1</v>
      </c>
      <c r="V2186" s="403" t="str">
        <f t="shared" si="279"/>
        <v>CPP_7</v>
      </c>
    </row>
    <row r="2187" spans="1:22">
      <c r="A2187" t="str">
        <f t="shared" si="272"/>
        <v>NBN-73013-BA</v>
      </c>
      <c r="B2187" s="403" t="s">
        <v>1390</v>
      </c>
      <c r="C2187" s="403" t="s">
        <v>583</v>
      </c>
      <c r="D2187" s="403" t="s">
        <v>1295</v>
      </c>
      <c r="E2187" s="403" t="s">
        <v>1296</v>
      </c>
      <c r="F2187" s="403" t="s">
        <v>1297</v>
      </c>
      <c r="G2187" s="403" t="s">
        <v>1466</v>
      </c>
      <c r="H2187" s="403" t="s">
        <v>1276</v>
      </c>
      <c r="I2187" s="403">
        <v>1</v>
      </c>
      <c r="J2187" s="403" t="s">
        <v>109</v>
      </c>
      <c r="K2187" s="403">
        <v>1280</v>
      </c>
      <c r="L2187" s="403">
        <v>720</v>
      </c>
      <c r="M2187" s="403" t="s">
        <v>1283</v>
      </c>
      <c r="N2187" s="403">
        <v>704</v>
      </c>
      <c r="O2187" s="403">
        <v>480</v>
      </c>
      <c r="P2187" t="str">
        <f t="shared" si="273"/>
        <v>30fps 720p - SD 4CIF resolution 4:3 format (cropped)</v>
      </c>
      <c r="Q2187">
        <f t="shared" si="274"/>
        <v>12</v>
      </c>
      <c r="R2187" t="str">
        <f t="shared" si="275"/>
        <v/>
      </c>
      <c r="S2187" t="str">
        <f t="shared" si="276"/>
        <v/>
      </c>
      <c r="T2187" s="403" t="str">
        <f t="shared" si="277"/>
        <v>NBN-73013-BA</v>
      </c>
      <c r="U2187" s="403">
        <f t="shared" si="278"/>
        <v>1</v>
      </c>
      <c r="V2187" s="403" t="str">
        <f t="shared" si="279"/>
        <v>CPP_7</v>
      </c>
    </row>
    <row r="2188" spans="1:22">
      <c r="A2188" t="str">
        <f t="shared" si="272"/>
        <v>NBN-73013-BA</v>
      </c>
      <c r="B2188" s="403" t="s">
        <v>1390</v>
      </c>
      <c r="C2188" s="403" t="s">
        <v>583</v>
      </c>
      <c r="D2188" s="403" t="s">
        <v>1295</v>
      </c>
      <c r="E2188" s="403" t="s">
        <v>1296</v>
      </c>
      <c r="F2188" s="403" t="s">
        <v>1297</v>
      </c>
      <c r="G2188" s="403" t="s">
        <v>1466</v>
      </c>
      <c r="H2188" s="403" t="s">
        <v>1276</v>
      </c>
      <c r="I2188" s="403">
        <v>1</v>
      </c>
      <c r="J2188" s="403" t="s">
        <v>109</v>
      </c>
      <c r="K2188" s="403">
        <v>1280</v>
      </c>
      <c r="L2188" s="403">
        <v>720</v>
      </c>
      <c r="M2188" s="403" t="s">
        <v>1284</v>
      </c>
      <c r="N2188" s="403">
        <v>640</v>
      </c>
      <c r="O2188" s="403">
        <v>480</v>
      </c>
      <c r="P2188" t="str">
        <f t="shared" si="273"/>
        <v>30fps 720p - SD VGA (cropped)</v>
      </c>
      <c r="Q2188">
        <f t="shared" si="274"/>
        <v>12</v>
      </c>
      <c r="R2188" t="str">
        <f t="shared" si="275"/>
        <v/>
      </c>
      <c r="S2188" t="str">
        <f t="shared" si="276"/>
        <v/>
      </c>
      <c r="T2188" s="403" t="str">
        <f t="shared" si="277"/>
        <v>NBN-73013-BA</v>
      </c>
      <c r="U2188" s="403">
        <f t="shared" si="278"/>
        <v>1</v>
      </c>
      <c r="V2188" s="403" t="str">
        <f t="shared" si="279"/>
        <v>CPP_7</v>
      </c>
    </row>
    <row r="2189" spans="1:22">
      <c r="A2189" t="str">
        <f t="shared" si="272"/>
        <v>NBN-73013-BA</v>
      </c>
      <c r="B2189" s="403" t="s">
        <v>1390</v>
      </c>
      <c r="C2189" s="403" t="s">
        <v>583</v>
      </c>
      <c r="D2189" s="403" t="s">
        <v>1295</v>
      </c>
      <c r="E2189" s="403" t="s">
        <v>1296</v>
      </c>
      <c r="F2189" s="403" t="s">
        <v>1297</v>
      </c>
      <c r="G2189" s="403" t="s">
        <v>1466</v>
      </c>
      <c r="H2189" s="403" t="s">
        <v>1276</v>
      </c>
      <c r="I2189" s="403">
        <v>1</v>
      </c>
      <c r="J2189" s="403" t="s">
        <v>111</v>
      </c>
      <c r="K2189" s="403">
        <v>768</v>
      </c>
      <c r="L2189" s="403">
        <v>432</v>
      </c>
      <c r="M2189" s="403" t="s">
        <v>111</v>
      </c>
      <c r="N2189" s="403">
        <v>768</v>
      </c>
      <c r="O2189" s="403">
        <v>432</v>
      </c>
      <c r="P2189" t="str">
        <f t="shared" si="273"/>
        <v>30fps SD - SD</v>
      </c>
      <c r="Q2189">
        <f t="shared" si="274"/>
        <v>12</v>
      </c>
      <c r="R2189" t="str">
        <f t="shared" si="275"/>
        <v/>
      </c>
      <c r="S2189" t="str">
        <f t="shared" si="276"/>
        <v/>
      </c>
      <c r="T2189" s="403" t="str">
        <f t="shared" si="277"/>
        <v>NBN-73013-BA</v>
      </c>
      <c r="U2189" s="403">
        <f t="shared" si="278"/>
        <v>1</v>
      </c>
      <c r="V2189" s="403" t="str">
        <f t="shared" si="279"/>
        <v>CPP_7</v>
      </c>
    </row>
    <row r="2190" spans="1:22">
      <c r="A2190" t="str">
        <f t="shared" si="272"/>
        <v>NBN-73013-BA</v>
      </c>
      <c r="B2190" s="403" t="s">
        <v>1390</v>
      </c>
      <c r="C2190" s="403" t="s">
        <v>583</v>
      </c>
      <c r="D2190" s="403" t="s">
        <v>1295</v>
      </c>
      <c r="E2190" s="403" t="s">
        <v>1296</v>
      </c>
      <c r="F2190" s="403" t="s">
        <v>1297</v>
      </c>
      <c r="G2190" s="403" t="s">
        <v>1467</v>
      </c>
      <c r="H2190" s="403" t="s">
        <v>1276</v>
      </c>
      <c r="I2190" s="403">
        <v>1</v>
      </c>
      <c r="J2190" s="403" t="s">
        <v>109</v>
      </c>
      <c r="K2190" s="403">
        <v>720</v>
      </c>
      <c r="L2190" s="403">
        <v>1280</v>
      </c>
      <c r="M2190" s="403" t="s">
        <v>111</v>
      </c>
      <c r="N2190" s="403">
        <v>432</v>
      </c>
      <c r="O2190" s="403">
        <v>768</v>
      </c>
      <c r="P2190" t="str">
        <f t="shared" si="273"/>
        <v>30fps 720p - SD</v>
      </c>
      <c r="Q2190">
        <f t="shared" si="274"/>
        <v>12</v>
      </c>
      <c r="R2190" t="str">
        <f t="shared" si="275"/>
        <v/>
      </c>
      <c r="S2190" t="str">
        <f t="shared" si="276"/>
        <v/>
      </c>
      <c r="T2190" s="403" t="str">
        <f t="shared" si="277"/>
        <v>NBN-73013-BA</v>
      </c>
      <c r="U2190" s="403">
        <f t="shared" si="278"/>
        <v>1</v>
      </c>
      <c r="V2190" s="403" t="str">
        <f t="shared" si="279"/>
        <v>CPP_7</v>
      </c>
    </row>
    <row r="2191" spans="1:22">
      <c r="A2191" t="str">
        <f t="shared" si="272"/>
        <v>NBN-73013-BA</v>
      </c>
      <c r="B2191" s="403" t="s">
        <v>1390</v>
      </c>
      <c r="C2191" s="403" t="s">
        <v>583</v>
      </c>
      <c r="D2191" s="403" t="s">
        <v>1295</v>
      </c>
      <c r="E2191" s="403" t="s">
        <v>1296</v>
      </c>
      <c r="F2191" s="403" t="s">
        <v>1297</v>
      </c>
      <c r="G2191" s="403" t="s">
        <v>1467</v>
      </c>
      <c r="H2191" s="403" t="s">
        <v>1276</v>
      </c>
      <c r="I2191" s="403">
        <v>1</v>
      </c>
      <c r="J2191" s="403" t="s">
        <v>109</v>
      </c>
      <c r="K2191" s="403">
        <v>720</v>
      </c>
      <c r="L2191" s="403">
        <v>1280</v>
      </c>
      <c r="M2191" s="403" t="s">
        <v>109</v>
      </c>
      <c r="N2191" s="403">
        <v>720</v>
      </c>
      <c r="O2191" s="403">
        <v>1280</v>
      </c>
      <c r="P2191" t="str">
        <f t="shared" si="273"/>
        <v>30fps 720p - 720p</v>
      </c>
      <c r="Q2191">
        <f t="shared" si="274"/>
        <v>12</v>
      </c>
      <c r="R2191" t="str">
        <f t="shared" si="275"/>
        <v/>
      </c>
      <c r="S2191" t="str">
        <f t="shared" si="276"/>
        <v/>
      </c>
      <c r="T2191" s="403" t="str">
        <f t="shared" si="277"/>
        <v>NBN-73013-BA</v>
      </c>
      <c r="U2191" s="403">
        <f t="shared" si="278"/>
        <v>1</v>
      </c>
      <c r="V2191" s="403" t="str">
        <f t="shared" si="279"/>
        <v>CPP_7</v>
      </c>
    </row>
    <row r="2192" spans="1:22">
      <c r="A2192" t="str">
        <f t="shared" si="272"/>
        <v>NBN-73013-BA</v>
      </c>
      <c r="B2192" s="403" t="s">
        <v>1390</v>
      </c>
      <c r="C2192" s="403" t="s">
        <v>583</v>
      </c>
      <c r="D2192" s="403" t="s">
        <v>1295</v>
      </c>
      <c r="E2192" s="403" t="s">
        <v>1296</v>
      </c>
      <c r="F2192" s="403" t="s">
        <v>1297</v>
      </c>
      <c r="G2192" s="403" t="s">
        <v>1467</v>
      </c>
      <c r="H2192" s="403" t="s">
        <v>1276</v>
      </c>
      <c r="I2192" s="403">
        <v>1</v>
      </c>
      <c r="J2192" s="403" t="s">
        <v>109</v>
      </c>
      <c r="K2192" s="403">
        <v>720</v>
      </c>
      <c r="L2192" s="403">
        <v>1280</v>
      </c>
      <c r="M2192" s="403" t="s">
        <v>1279</v>
      </c>
      <c r="N2192" s="403">
        <v>432</v>
      </c>
      <c r="O2192" s="403">
        <v>768</v>
      </c>
      <c r="P2192" t="str">
        <f t="shared" si="273"/>
        <v>30fps 720p - SD ROI PTZ</v>
      </c>
      <c r="Q2192">
        <f t="shared" si="274"/>
        <v>12</v>
      </c>
      <c r="R2192" t="str">
        <f t="shared" si="275"/>
        <v/>
      </c>
      <c r="S2192" t="str">
        <f t="shared" si="276"/>
        <v/>
      </c>
      <c r="T2192" s="403" t="str">
        <f t="shared" si="277"/>
        <v>NBN-73013-BA</v>
      </c>
      <c r="U2192" s="403">
        <f t="shared" si="278"/>
        <v>1</v>
      </c>
      <c r="V2192" s="403" t="str">
        <f t="shared" si="279"/>
        <v>CPP_7</v>
      </c>
    </row>
    <row r="2193" spans="1:22">
      <c r="A2193" t="str">
        <f t="shared" si="272"/>
        <v>NBN-73013-BA</v>
      </c>
      <c r="B2193" s="403" t="s">
        <v>1390</v>
      </c>
      <c r="C2193" s="403" t="s">
        <v>583</v>
      </c>
      <c r="D2193" s="403" t="s">
        <v>1295</v>
      </c>
      <c r="E2193" s="403" t="s">
        <v>1296</v>
      </c>
      <c r="F2193" s="403" t="s">
        <v>1297</v>
      </c>
      <c r="G2193" s="403" t="s">
        <v>1467</v>
      </c>
      <c r="H2193" s="403" t="s">
        <v>1276</v>
      </c>
      <c r="I2193" s="403">
        <v>1</v>
      </c>
      <c r="J2193" s="403" t="s">
        <v>109</v>
      </c>
      <c r="K2193" s="403">
        <v>720</v>
      </c>
      <c r="L2193" s="403">
        <v>1280</v>
      </c>
      <c r="M2193" s="403" t="s">
        <v>1298</v>
      </c>
      <c r="N2193" s="403">
        <v>432</v>
      </c>
      <c r="O2193" s="403">
        <v>768</v>
      </c>
      <c r="P2193" t="str">
        <f t="shared" si="273"/>
        <v>30fps 720p - SD dual stream with independent ROI PTZ</v>
      </c>
      <c r="Q2193">
        <f t="shared" si="274"/>
        <v>12</v>
      </c>
      <c r="R2193" t="str">
        <f t="shared" si="275"/>
        <v/>
      </c>
      <c r="S2193" t="str">
        <f t="shared" si="276"/>
        <v/>
      </c>
      <c r="T2193" s="403" t="str">
        <f t="shared" si="277"/>
        <v>NBN-73013-BA</v>
      </c>
      <c r="U2193" s="403">
        <f t="shared" si="278"/>
        <v>1</v>
      </c>
      <c r="V2193" s="403" t="str">
        <f t="shared" si="279"/>
        <v>CPP_7</v>
      </c>
    </row>
    <row r="2194" spans="1:22">
      <c r="A2194" t="str">
        <f t="shared" si="272"/>
        <v>NBN-73013-BA</v>
      </c>
      <c r="B2194" s="403" t="s">
        <v>1390</v>
      </c>
      <c r="C2194" s="403" t="s">
        <v>583</v>
      </c>
      <c r="D2194" s="403" t="s">
        <v>1295</v>
      </c>
      <c r="E2194" s="403" t="s">
        <v>1296</v>
      </c>
      <c r="F2194" s="403" t="s">
        <v>1297</v>
      </c>
      <c r="G2194" s="403" t="s">
        <v>1467</v>
      </c>
      <c r="H2194" s="403" t="s">
        <v>1276</v>
      </c>
      <c r="I2194" s="403">
        <v>1</v>
      </c>
      <c r="J2194" s="403" t="s">
        <v>109</v>
      </c>
      <c r="K2194" s="403">
        <v>720</v>
      </c>
      <c r="L2194" s="403">
        <v>1280</v>
      </c>
      <c r="M2194" s="403" t="s">
        <v>1283</v>
      </c>
      <c r="N2194" s="403">
        <v>480</v>
      </c>
      <c r="O2194" s="403">
        <v>704</v>
      </c>
      <c r="P2194" t="str">
        <f t="shared" si="273"/>
        <v>30fps 720p - SD 4CIF resolution 4:3 format (cropped)</v>
      </c>
      <c r="Q2194">
        <f t="shared" si="274"/>
        <v>12</v>
      </c>
      <c r="R2194" t="str">
        <f t="shared" si="275"/>
        <v/>
      </c>
      <c r="S2194" t="str">
        <f t="shared" si="276"/>
        <v/>
      </c>
      <c r="T2194" s="403" t="str">
        <f t="shared" si="277"/>
        <v>NBN-73013-BA</v>
      </c>
      <c r="U2194" s="403">
        <f t="shared" si="278"/>
        <v>1</v>
      </c>
      <c r="V2194" s="403" t="str">
        <f t="shared" si="279"/>
        <v>CPP_7</v>
      </c>
    </row>
    <row r="2195" spans="1:22">
      <c r="A2195" t="str">
        <f t="shared" si="272"/>
        <v>NBN-73013-BA</v>
      </c>
      <c r="B2195" s="403" t="s">
        <v>1390</v>
      </c>
      <c r="C2195" s="403" t="s">
        <v>583</v>
      </c>
      <c r="D2195" s="403" t="s">
        <v>1295</v>
      </c>
      <c r="E2195" s="403" t="s">
        <v>1296</v>
      </c>
      <c r="F2195" s="403" t="s">
        <v>1297</v>
      </c>
      <c r="G2195" s="403" t="s">
        <v>1467</v>
      </c>
      <c r="H2195" s="403" t="s">
        <v>1276</v>
      </c>
      <c r="I2195" s="403">
        <v>1</v>
      </c>
      <c r="J2195" s="403" t="s">
        <v>109</v>
      </c>
      <c r="K2195" s="403">
        <v>720</v>
      </c>
      <c r="L2195" s="403">
        <v>1280</v>
      </c>
      <c r="M2195" s="403" t="s">
        <v>1284</v>
      </c>
      <c r="N2195" s="403">
        <v>480</v>
      </c>
      <c r="O2195" s="403">
        <v>640</v>
      </c>
      <c r="P2195" t="str">
        <f t="shared" si="273"/>
        <v>30fps 720p - SD VGA (cropped)</v>
      </c>
      <c r="Q2195">
        <f t="shared" si="274"/>
        <v>12</v>
      </c>
      <c r="R2195" t="str">
        <f t="shared" si="275"/>
        <v/>
      </c>
      <c r="S2195" t="str">
        <f t="shared" si="276"/>
        <v/>
      </c>
      <c r="T2195" s="403" t="str">
        <f t="shared" si="277"/>
        <v>NBN-73013-BA</v>
      </c>
      <c r="U2195" s="403">
        <f t="shared" si="278"/>
        <v>1</v>
      </c>
      <c r="V2195" s="403" t="str">
        <f t="shared" si="279"/>
        <v>CPP_7</v>
      </c>
    </row>
    <row r="2196" spans="1:22">
      <c r="A2196" t="str">
        <f t="shared" si="272"/>
        <v>NBN-73013-BA</v>
      </c>
      <c r="B2196" s="403" t="s">
        <v>1390</v>
      </c>
      <c r="C2196" s="403" t="s">
        <v>583</v>
      </c>
      <c r="D2196" s="403" t="s">
        <v>1295</v>
      </c>
      <c r="E2196" s="403" t="s">
        <v>1296</v>
      </c>
      <c r="F2196" s="403" t="s">
        <v>1297</v>
      </c>
      <c r="G2196" s="403" t="s">
        <v>1467</v>
      </c>
      <c r="H2196" s="403" t="s">
        <v>1276</v>
      </c>
      <c r="I2196" s="403">
        <v>1</v>
      </c>
      <c r="J2196" s="403" t="s">
        <v>111</v>
      </c>
      <c r="K2196" s="403">
        <v>432</v>
      </c>
      <c r="L2196" s="403">
        <v>768</v>
      </c>
      <c r="M2196" s="403" t="s">
        <v>111</v>
      </c>
      <c r="N2196" s="403">
        <v>432</v>
      </c>
      <c r="O2196" s="403">
        <v>768</v>
      </c>
      <c r="P2196" t="str">
        <f t="shared" si="273"/>
        <v>30fps SD - SD</v>
      </c>
      <c r="Q2196">
        <f t="shared" si="274"/>
        <v>12</v>
      </c>
      <c r="R2196" t="str">
        <f t="shared" si="275"/>
        <v/>
      </c>
      <c r="S2196" t="str">
        <f t="shared" si="276"/>
        <v/>
      </c>
      <c r="T2196" s="403" t="str">
        <f t="shared" si="277"/>
        <v>NBN-73013-BA</v>
      </c>
      <c r="U2196" s="403">
        <f t="shared" si="278"/>
        <v>1</v>
      </c>
      <c r="V2196" s="403" t="str">
        <f t="shared" si="279"/>
        <v>CPP_7</v>
      </c>
    </row>
    <row r="2197" spans="1:22">
      <c r="A2197" t="str">
        <f t="shared" si="272"/>
        <v>NBN-73013-BA</v>
      </c>
      <c r="B2197" s="403" t="s">
        <v>1390</v>
      </c>
      <c r="C2197" s="403" t="s">
        <v>583</v>
      </c>
      <c r="D2197" s="403" t="s">
        <v>1295</v>
      </c>
      <c r="E2197" s="403" t="s">
        <v>1296</v>
      </c>
      <c r="F2197" s="403" t="s">
        <v>1299</v>
      </c>
      <c r="G2197" s="403" t="s">
        <v>1466</v>
      </c>
      <c r="H2197" s="403" t="s">
        <v>1276</v>
      </c>
      <c r="I2197" s="403">
        <v>1</v>
      </c>
      <c r="J2197" s="403" t="s">
        <v>109</v>
      </c>
      <c r="K2197" s="403">
        <v>1280</v>
      </c>
      <c r="L2197" s="403">
        <v>720</v>
      </c>
      <c r="M2197" s="403" t="s">
        <v>111</v>
      </c>
      <c r="N2197" s="403">
        <v>768</v>
      </c>
      <c r="O2197" s="403">
        <v>432</v>
      </c>
      <c r="P2197" t="str">
        <f t="shared" si="273"/>
        <v>25fps 720p - SD</v>
      </c>
      <c r="Q2197">
        <f t="shared" si="274"/>
        <v>12</v>
      </c>
      <c r="R2197" t="str">
        <f t="shared" si="275"/>
        <v/>
      </c>
      <c r="S2197" t="str">
        <f t="shared" si="276"/>
        <v/>
      </c>
      <c r="T2197" s="403" t="str">
        <f t="shared" si="277"/>
        <v>NBN-73013-BA</v>
      </c>
      <c r="U2197" s="403">
        <f t="shared" si="278"/>
        <v>1</v>
      </c>
      <c r="V2197" s="403" t="str">
        <f t="shared" si="279"/>
        <v>CPP_7</v>
      </c>
    </row>
    <row r="2198" spans="1:22">
      <c r="A2198" t="str">
        <f t="shared" si="272"/>
        <v>NBN-73013-BA</v>
      </c>
      <c r="B2198" s="403" t="s">
        <v>1390</v>
      </c>
      <c r="C2198" s="403" t="s">
        <v>583</v>
      </c>
      <c r="D2198" s="403" t="s">
        <v>1295</v>
      </c>
      <c r="E2198" s="403" t="s">
        <v>1296</v>
      </c>
      <c r="F2198" s="403" t="s">
        <v>1299</v>
      </c>
      <c r="G2198" s="403" t="s">
        <v>1466</v>
      </c>
      <c r="H2198" s="403" t="s">
        <v>1276</v>
      </c>
      <c r="I2198" s="403">
        <v>1</v>
      </c>
      <c r="J2198" s="403" t="s">
        <v>109</v>
      </c>
      <c r="K2198" s="403">
        <v>1280</v>
      </c>
      <c r="L2198" s="403">
        <v>720</v>
      </c>
      <c r="M2198" s="403" t="s">
        <v>109</v>
      </c>
      <c r="N2198" s="403">
        <v>1280</v>
      </c>
      <c r="O2198" s="403">
        <v>720</v>
      </c>
      <c r="P2198" t="str">
        <f t="shared" si="273"/>
        <v>25fps 720p - 720p</v>
      </c>
      <c r="Q2198">
        <f t="shared" si="274"/>
        <v>12</v>
      </c>
      <c r="R2198" t="str">
        <f t="shared" si="275"/>
        <v/>
      </c>
      <c r="S2198" t="str">
        <f t="shared" si="276"/>
        <v/>
      </c>
      <c r="T2198" s="403" t="str">
        <f t="shared" si="277"/>
        <v>NBN-73013-BA</v>
      </c>
      <c r="U2198" s="403">
        <f t="shared" si="278"/>
        <v>1</v>
      </c>
      <c r="V2198" s="403" t="str">
        <f t="shared" si="279"/>
        <v>CPP_7</v>
      </c>
    </row>
    <row r="2199" spans="1:22">
      <c r="A2199" t="str">
        <f t="shared" si="272"/>
        <v>NBN-73013-BA</v>
      </c>
      <c r="B2199" s="403" t="s">
        <v>1390</v>
      </c>
      <c r="C2199" s="403" t="s">
        <v>583</v>
      </c>
      <c r="D2199" s="403" t="s">
        <v>1295</v>
      </c>
      <c r="E2199" s="403" t="s">
        <v>1296</v>
      </c>
      <c r="F2199" s="403" t="s">
        <v>1299</v>
      </c>
      <c r="G2199" s="403" t="s">
        <v>1466</v>
      </c>
      <c r="H2199" s="403" t="s">
        <v>1276</v>
      </c>
      <c r="I2199" s="403">
        <v>1</v>
      </c>
      <c r="J2199" s="403" t="s">
        <v>109</v>
      </c>
      <c r="K2199" s="403">
        <v>1280</v>
      </c>
      <c r="L2199" s="403">
        <v>720</v>
      </c>
      <c r="M2199" s="403" t="s">
        <v>1279</v>
      </c>
      <c r="N2199" s="403">
        <v>768</v>
      </c>
      <c r="O2199" s="403">
        <v>432</v>
      </c>
      <c r="P2199" t="str">
        <f t="shared" si="273"/>
        <v>25fps 720p - SD ROI PTZ</v>
      </c>
      <c r="Q2199">
        <f t="shared" si="274"/>
        <v>12</v>
      </c>
      <c r="R2199" t="str">
        <f t="shared" si="275"/>
        <v/>
      </c>
      <c r="S2199" t="str">
        <f t="shared" si="276"/>
        <v/>
      </c>
      <c r="T2199" s="403" t="str">
        <f t="shared" si="277"/>
        <v>NBN-73013-BA</v>
      </c>
      <c r="U2199" s="403">
        <f t="shared" si="278"/>
        <v>1</v>
      </c>
      <c r="V2199" s="403" t="str">
        <f t="shared" si="279"/>
        <v>CPP_7</v>
      </c>
    </row>
    <row r="2200" spans="1:22">
      <c r="A2200" t="str">
        <f t="shared" si="272"/>
        <v>NBN-73013-BA</v>
      </c>
      <c r="B2200" s="403" t="s">
        <v>1390</v>
      </c>
      <c r="C2200" s="403" t="s">
        <v>583</v>
      </c>
      <c r="D2200" s="403" t="s">
        <v>1295</v>
      </c>
      <c r="E2200" s="403" t="s">
        <v>1296</v>
      </c>
      <c r="F2200" s="403" t="s">
        <v>1299</v>
      </c>
      <c r="G2200" s="403" t="s">
        <v>1466</v>
      </c>
      <c r="H2200" s="403" t="s">
        <v>1276</v>
      </c>
      <c r="I2200" s="403">
        <v>1</v>
      </c>
      <c r="J2200" s="403" t="s">
        <v>109</v>
      </c>
      <c r="K2200" s="403">
        <v>1280</v>
      </c>
      <c r="L2200" s="403">
        <v>720</v>
      </c>
      <c r="M2200" s="403" t="s">
        <v>1298</v>
      </c>
      <c r="N2200" s="403">
        <v>768</v>
      </c>
      <c r="O2200" s="403">
        <v>432</v>
      </c>
      <c r="P2200" t="str">
        <f t="shared" si="273"/>
        <v>25fps 720p - SD dual stream with independent ROI PTZ</v>
      </c>
      <c r="Q2200">
        <f t="shared" si="274"/>
        <v>12</v>
      </c>
      <c r="R2200" t="str">
        <f t="shared" si="275"/>
        <v/>
      </c>
      <c r="S2200" t="str">
        <f t="shared" si="276"/>
        <v/>
      </c>
      <c r="T2200" s="403" t="str">
        <f t="shared" si="277"/>
        <v>NBN-73013-BA</v>
      </c>
      <c r="U2200" s="403">
        <f t="shared" si="278"/>
        <v>1</v>
      </c>
      <c r="V2200" s="403" t="str">
        <f t="shared" si="279"/>
        <v>CPP_7</v>
      </c>
    </row>
    <row r="2201" spans="1:22">
      <c r="A2201" t="str">
        <f t="shared" si="272"/>
        <v>NBN-73013-BA</v>
      </c>
      <c r="B2201" s="403" t="s">
        <v>1390</v>
      </c>
      <c r="C2201" s="403" t="s">
        <v>583</v>
      </c>
      <c r="D2201" s="403" t="s">
        <v>1295</v>
      </c>
      <c r="E2201" s="403" t="s">
        <v>1296</v>
      </c>
      <c r="F2201" s="403" t="s">
        <v>1299</v>
      </c>
      <c r="G2201" s="403" t="s">
        <v>1466</v>
      </c>
      <c r="H2201" s="403" t="s">
        <v>1276</v>
      </c>
      <c r="I2201" s="403">
        <v>1</v>
      </c>
      <c r="J2201" s="403" t="s">
        <v>109</v>
      </c>
      <c r="K2201" s="403">
        <v>1280</v>
      </c>
      <c r="L2201" s="403">
        <v>720</v>
      </c>
      <c r="M2201" s="403" t="s">
        <v>1283</v>
      </c>
      <c r="N2201" s="403">
        <v>704</v>
      </c>
      <c r="O2201" s="403">
        <v>576</v>
      </c>
      <c r="P2201" t="str">
        <f t="shared" si="273"/>
        <v>25fps 720p - SD 4CIF resolution 4:3 format (cropped)</v>
      </c>
      <c r="Q2201">
        <f t="shared" si="274"/>
        <v>12</v>
      </c>
      <c r="R2201" t="str">
        <f t="shared" si="275"/>
        <v/>
      </c>
      <c r="S2201" t="str">
        <f t="shared" si="276"/>
        <v/>
      </c>
      <c r="T2201" s="403" t="str">
        <f t="shared" si="277"/>
        <v>NBN-73013-BA</v>
      </c>
      <c r="U2201" s="403">
        <f t="shared" si="278"/>
        <v>1</v>
      </c>
      <c r="V2201" s="403" t="str">
        <f t="shared" si="279"/>
        <v>CPP_7</v>
      </c>
    </row>
    <row r="2202" spans="1:22">
      <c r="A2202" t="str">
        <f t="shared" si="272"/>
        <v>NBN-73013-BA</v>
      </c>
      <c r="B2202" s="403" t="s">
        <v>1390</v>
      </c>
      <c r="C2202" s="403" t="s">
        <v>583</v>
      </c>
      <c r="D2202" s="403" t="s">
        <v>1295</v>
      </c>
      <c r="E2202" s="403" t="s">
        <v>1296</v>
      </c>
      <c r="F2202" s="403" t="s">
        <v>1299</v>
      </c>
      <c r="G2202" s="403" t="s">
        <v>1466</v>
      </c>
      <c r="H2202" s="403" t="s">
        <v>1276</v>
      </c>
      <c r="I2202" s="403">
        <v>1</v>
      </c>
      <c r="J2202" s="403" t="s">
        <v>109</v>
      </c>
      <c r="K2202" s="403">
        <v>1280</v>
      </c>
      <c r="L2202" s="403">
        <v>720</v>
      </c>
      <c r="M2202" s="403" t="s">
        <v>1284</v>
      </c>
      <c r="N2202" s="403">
        <v>640</v>
      </c>
      <c r="O2202" s="403">
        <v>480</v>
      </c>
      <c r="P2202" t="str">
        <f t="shared" si="273"/>
        <v>25fps 720p - SD VGA (cropped)</v>
      </c>
      <c r="Q2202">
        <f t="shared" si="274"/>
        <v>12</v>
      </c>
      <c r="R2202" t="str">
        <f t="shared" si="275"/>
        <v/>
      </c>
      <c r="S2202" t="str">
        <f t="shared" si="276"/>
        <v/>
      </c>
      <c r="T2202" s="403" t="str">
        <f t="shared" si="277"/>
        <v>NBN-73013-BA</v>
      </c>
      <c r="U2202" s="403">
        <f t="shared" si="278"/>
        <v>1</v>
      </c>
      <c r="V2202" s="403" t="str">
        <f t="shared" si="279"/>
        <v>CPP_7</v>
      </c>
    </row>
    <row r="2203" spans="1:22">
      <c r="A2203" t="str">
        <f t="shared" si="272"/>
        <v>NBN-73013-BA</v>
      </c>
      <c r="B2203" s="403" t="s">
        <v>1390</v>
      </c>
      <c r="C2203" s="403" t="s">
        <v>583</v>
      </c>
      <c r="D2203" s="403" t="s">
        <v>1295</v>
      </c>
      <c r="E2203" s="403" t="s">
        <v>1296</v>
      </c>
      <c r="F2203" s="403" t="s">
        <v>1299</v>
      </c>
      <c r="G2203" s="403" t="s">
        <v>1466</v>
      </c>
      <c r="H2203" s="403" t="s">
        <v>1276</v>
      </c>
      <c r="I2203" s="403">
        <v>1</v>
      </c>
      <c r="J2203" s="403" t="s">
        <v>111</v>
      </c>
      <c r="K2203" s="403">
        <v>768</v>
      </c>
      <c r="L2203" s="403">
        <v>432</v>
      </c>
      <c r="M2203" s="403" t="s">
        <v>111</v>
      </c>
      <c r="N2203" s="403">
        <v>768</v>
      </c>
      <c r="O2203" s="403">
        <v>432</v>
      </c>
      <c r="P2203" t="str">
        <f t="shared" si="273"/>
        <v>25fps SD - SD</v>
      </c>
      <c r="Q2203">
        <f t="shared" si="274"/>
        <v>12</v>
      </c>
      <c r="R2203" t="str">
        <f t="shared" si="275"/>
        <v/>
      </c>
      <c r="S2203" t="str">
        <f t="shared" si="276"/>
        <v/>
      </c>
      <c r="T2203" s="403" t="str">
        <f t="shared" si="277"/>
        <v>NBN-73013-BA</v>
      </c>
      <c r="U2203" s="403">
        <f t="shared" si="278"/>
        <v>1</v>
      </c>
      <c r="V2203" s="403" t="str">
        <f t="shared" si="279"/>
        <v>CPP_7</v>
      </c>
    </row>
    <row r="2204" spans="1:22">
      <c r="A2204" t="str">
        <f t="shared" si="272"/>
        <v>NBN-73013-BA</v>
      </c>
      <c r="B2204" s="403" t="s">
        <v>1390</v>
      </c>
      <c r="C2204" s="403" t="s">
        <v>583</v>
      </c>
      <c r="D2204" s="403" t="s">
        <v>1295</v>
      </c>
      <c r="E2204" s="403" t="s">
        <v>1296</v>
      </c>
      <c r="F2204" s="403" t="s">
        <v>1299</v>
      </c>
      <c r="G2204" s="403" t="s">
        <v>1467</v>
      </c>
      <c r="H2204" s="403" t="s">
        <v>1276</v>
      </c>
      <c r="I2204" s="403">
        <v>1</v>
      </c>
      <c r="J2204" s="403" t="s">
        <v>109</v>
      </c>
      <c r="K2204" s="403">
        <v>720</v>
      </c>
      <c r="L2204" s="403">
        <v>1280</v>
      </c>
      <c r="M2204" s="403" t="s">
        <v>111</v>
      </c>
      <c r="N2204" s="403">
        <v>432</v>
      </c>
      <c r="O2204" s="403">
        <v>768</v>
      </c>
      <c r="P2204" t="str">
        <f t="shared" si="273"/>
        <v>25fps 720p - SD</v>
      </c>
      <c r="Q2204">
        <f t="shared" si="274"/>
        <v>12</v>
      </c>
      <c r="R2204" t="str">
        <f t="shared" si="275"/>
        <v/>
      </c>
      <c r="S2204" t="str">
        <f t="shared" si="276"/>
        <v/>
      </c>
      <c r="T2204" s="403" t="str">
        <f t="shared" si="277"/>
        <v>NBN-73013-BA</v>
      </c>
      <c r="U2204" s="403">
        <f t="shared" si="278"/>
        <v>1</v>
      </c>
      <c r="V2204" s="403" t="str">
        <f t="shared" si="279"/>
        <v>CPP_7</v>
      </c>
    </row>
    <row r="2205" spans="1:22">
      <c r="A2205" t="str">
        <f t="shared" si="272"/>
        <v>NBN-73013-BA</v>
      </c>
      <c r="B2205" s="403" t="s">
        <v>1390</v>
      </c>
      <c r="C2205" s="403" t="s">
        <v>583</v>
      </c>
      <c r="D2205" s="403" t="s">
        <v>1295</v>
      </c>
      <c r="E2205" s="403" t="s">
        <v>1296</v>
      </c>
      <c r="F2205" s="403" t="s">
        <v>1299</v>
      </c>
      <c r="G2205" s="403" t="s">
        <v>1467</v>
      </c>
      <c r="H2205" s="403" t="s">
        <v>1276</v>
      </c>
      <c r="I2205" s="403">
        <v>1</v>
      </c>
      <c r="J2205" s="403" t="s">
        <v>109</v>
      </c>
      <c r="K2205" s="403">
        <v>720</v>
      </c>
      <c r="L2205" s="403">
        <v>1280</v>
      </c>
      <c r="M2205" s="403" t="s">
        <v>109</v>
      </c>
      <c r="N2205" s="403">
        <v>720</v>
      </c>
      <c r="O2205" s="403">
        <v>1280</v>
      </c>
      <c r="P2205" t="str">
        <f t="shared" si="273"/>
        <v>25fps 720p - 720p</v>
      </c>
      <c r="Q2205">
        <f t="shared" si="274"/>
        <v>12</v>
      </c>
      <c r="R2205" t="str">
        <f t="shared" si="275"/>
        <v/>
      </c>
      <c r="S2205" t="str">
        <f t="shared" si="276"/>
        <v/>
      </c>
      <c r="T2205" s="403" t="str">
        <f t="shared" si="277"/>
        <v>NBN-73013-BA</v>
      </c>
      <c r="U2205" s="403">
        <f t="shared" si="278"/>
        <v>1</v>
      </c>
      <c r="V2205" s="403" t="str">
        <f t="shared" si="279"/>
        <v>CPP_7</v>
      </c>
    </row>
    <row r="2206" spans="1:22">
      <c r="A2206" t="str">
        <f t="shared" si="272"/>
        <v>NBN-73013-BA</v>
      </c>
      <c r="B2206" s="403" t="s">
        <v>1390</v>
      </c>
      <c r="C2206" s="403" t="s">
        <v>583</v>
      </c>
      <c r="D2206" s="403" t="s">
        <v>1295</v>
      </c>
      <c r="E2206" s="403" t="s">
        <v>1296</v>
      </c>
      <c r="F2206" s="403" t="s">
        <v>1299</v>
      </c>
      <c r="G2206" s="403" t="s">
        <v>1467</v>
      </c>
      <c r="H2206" s="403" t="s">
        <v>1276</v>
      </c>
      <c r="I2206" s="403">
        <v>1</v>
      </c>
      <c r="J2206" s="403" t="s">
        <v>109</v>
      </c>
      <c r="K2206" s="403">
        <v>720</v>
      </c>
      <c r="L2206" s="403">
        <v>1280</v>
      </c>
      <c r="M2206" s="403" t="s">
        <v>1279</v>
      </c>
      <c r="N2206" s="403">
        <v>432</v>
      </c>
      <c r="O2206" s="403">
        <v>768</v>
      </c>
      <c r="P2206" t="str">
        <f t="shared" si="273"/>
        <v>25fps 720p - SD ROI PTZ</v>
      </c>
      <c r="Q2206">
        <f t="shared" si="274"/>
        <v>12</v>
      </c>
      <c r="R2206" t="str">
        <f t="shared" si="275"/>
        <v/>
      </c>
      <c r="S2206" t="str">
        <f t="shared" si="276"/>
        <v/>
      </c>
      <c r="T2206" s="403" t="str">
        <f t="shared" si="277"/>
        <v>NBN-73013-BA</v>
      </c>
      <c r="U2206" s="403">
        <f t="shared" si="278"/>
        <v>1</v>
      </c>
      <c r="V2206" s="403" t="str">
        <f t="shared" si="279"/>
        <v>CPP_7</v>
      </c>
    </row>
    <row r="2207" spans="1:22">
      <c r="A2207" t="str">
        <f t="shared" si="272"/>
        <v>NBN-73013-BA</v>
      </c>
      <c r="B2207" s="403" t="s">
        <v>1390</v>
      </c>
      <c r="C2207" s="403" t="s">
        <v>583</v>
      </c>
      <c r="D2207" s="403" t="s">
        <v>1295</v>
      </c>
      <c r="E2207" s="403" t="s">
        <v>1296</v>
      </c>
      <c r="F2207" s="403" t="s">
        <v>1299</v>
      </c>
      <c r="G2207" s="403" t="s">
        <v>1467</v>
      </c>
      <c r="H2207" s="403" t="s">
        <v>1276</v>
      </c>
      <c r="I2207" s="403">
        <v>1</v>
      </c>
      <c r="J2207" s="403" t="s">
        <v>109</v>
      </c>
      <c r="K2207" s="403">
        <v>720</v>
      </c>
      <c r="L2207" s="403">
        <v>1280</v>
      </c>
      <c r="M2207" s="403" t="s">
        <v>1298</v>
      </c>
      <c r="N2207" s="403">
        <v>432</v>
      </c>
      <c r="O2207" s="403">
        <v>768</v>
      </c>
      <c r="P2207" t="str">
        <f t="shared" si="273"/>
        <v>25fps 720p - SD dual stream with independent ROI PTZ</v>
      </c>
      <c r="Q2207">
        <f t="shared" si="274"/>
        <v>12</v>
      </c>
      <c r="R2207" t="str">
        <f t="shared" si="275"/>
        <v/>
      </c>
      <c r="S2207" t="str">
        <f t="shared" si="276"/>
        <v/>
      </c>
      <c r="T2207" s="403" t="str">
        <f t="shared" si="277"/>
        <v>NBN-73013-BA</v>
      </c>
      <c r="U2207" s="403">
        <f t="shared" si="278"/>
        <v>1</v>
      </c>
      <c r="V2207" s="403" t="str">
        <f t="shared" si="279"/>
        <v>CPP_7</v>
      </c>
    </row>
    <row r="2208" spans="1:22">
      <c r="A2208" t="str">
        <f t="shared" si="272"/>
        <v>NBN-73013-BA</v>
      </c>
      <c r="B2208" s="403" t="s">
        <v>1390</v>
      </c>
      <c r="C2208" s="403" t="s">
        <v>583</v>
      </c>
      <c r="D2208" s="403" t="s">
        <v>1295</v>
      </c>
      <c r="E2208" s="403" t="s">
        <v>1296</v>
      </c>
      <c r="F2208" s="403" t="s">
        <v>1299</v>
      </c>
      <c r="G2208" s="403" t="s">
        <v>1467</v>
      </c>
      <c r="H2208" s="403" t="s">
        <v>1276</v>
      </c>
      <c r="I2208" s="403">
        <v>1</v>
      </c>
      <c r="J2208" s="403" t="s">
        <v>109</v>
      </c>
      <c r="K2208" s="403">
        <v>720</v>
      </c>
      <c r="L2208" s="403">
        <v>1280</v>
      </c>
      <c r="M2208" s="403" t="s">
        <v>1283</v>
      </c>
      <c r="N2208" s="403">
        <v>576</v>
      </c>
      <c r="O2208" s="403">
        <v>704</v>
      </c>
      <c r="P2208" t="str">
        <f t="shared" si="273"/>
        <v>25fps 720p - SD 4CIF resolution 4:3 format (cropped)</v>
      </c>
      <c r="Q2208">
        <f t="shared" si="274"/>
        <v>12</v>
      </c>
      <c r="R2208" t="str">
        <f t="shared" si="275"/>
        <v/>
      </c>
      <c r="S2208" t="str">
        <f t="shared" si="276"/>
        <v/>
      </c>
      <c r="T2208" s="403" t="str">
        <f t="shared" si="277"/>
        <v>NBN-73013-BA</v>
      </c>
      <c r="U2208" s="403">
        <f t="shared" si="278"/>
        <v>1</v>
      </c>
      <c r="V2208" s="403" t="str">
        <f t="shared" si="279"/>
        <v>CPP_7</v>
      </c>
    </row>
    <row r="2209" spans="1:22">
      <c r="A2209" t="str">
        <f t="shared" si="272"/>
        <v>NBN-73013-BA</v>
      </c>
      <c r="B2209" s="403" t="s">
        <v>1390</v>
      </c>
      <c r="C2209" s="403" t="s">
        <v>583</v>
      </c>
      <c r="D2209" s="403" t="s">
        <v>1295</v>
      </c>
      <c r="E2209" s="403" t="s">
        <v>1296</v>
      </c>
      <c r="F2209" s="403" t="s">
        <v>1299</v>
      </c>
      <c r="G2209" s="403" t="s">
        <v>1467</v>
      </c>
      <c r="H2209" s="403" t="s">
        <v>1276</v>
      </c>
      <c r="I2209" s="403">
        <v>1</v>
      </c>
      <c r="J2209" s="403" t="s">
        <v>109</v>
      </c>
      <c r="K2209" s="403">
        <v>720</v>
      </c>
      <c r="L2209" s="403">
        <v>1280</v>
      </c>
      <c r="M2209" s="403" t="s">
        <v>1284</v>
      </c>
      <c r="N2209" s="403">
        <v>480</v>
      </c>
      <c r="O2209" s="403">
        <v>640</v>
      </c>
      <c r="P2209" t="str">
        <f t="shared" si="273"/>
        <v>25fps 720p - SD VGA (cropped)</v>
      </c>
      <c r="Q2209">
        <f t="shared" si="274"/>
        <v>12</v>
      </c>
      <c r="R2209" t="str">
        <f t="shared" si="275"/>
        <v/>
      </c>
      <c r="S2209" t="str">
        <f t="shared" si="276"/>
        <v/>
      </c>
      <c r="T2209" s="403" t="str">
        <f t="shared" si="277"/>
        <v>NBN-73013-BA</v>
      </c>
      <c r="U2209" s="403">
        <f t="shared" si="278"/>
        <v>1</v>
      </c>
      <c r="V2209" s="403" t="str">
        <f t="shared" si="279"/>
        <v>CPP_7</v>
      </c>
    </row>
    <row r="2210" spans="1:22">
      <c r="A2210" t="str">
        <f t="shared" si="272"/>
        <v>NBN-73013-BA</v>
      </c>
      <c r="B2210" s="403" t="s">
        <v>1390</v>
      </c>
      <c r="C2210" s="403" t="s">
        <v>583</v>
      </c>
      <c r="D2210" s="403" t="s">
        <v>1295</v>
      </c>
      <c r="E2210" s="403" t="s">
        <v>1296</v>
      </c>
      <c r="F2210" s="403" t="s">
        <v>1299</v>
      </c>
      <c r="G2210" s="403" t="s">
        <v>1467</v>
      </c>
      <c r="H2210" s="403" t="s">
        <v>1276</v>
      </c>
      <c r="I2210" s="403">
        <v>1</v>
      </c>
      <c r="J2210" s="403" t="s">
        <v>111</v>
      </c>
      <c r="K2210" s="403">
        <v>432</v>
      </c>
      <c r="L2210" s="403">
        <v>768</v>
      </c>
      <c r="M2210" s="403" t="s">
        <v>111</v>
      </c>
      <c r="N2210" s="403">
        <v>432</v>
      </c>
      <c r="O2210" s="403">
        <v>768</v>
      </c>
      <c r="P2210" t="str">
        <f t="shared" si="273"/>
        <v>25fps SD - SD</v>
      </c>
      <c r="Q2210">
        <f t="shared" si="274"/>
        <v>12</v>
      </c>
      <c r="R2210" t="str">
        <f t="shared" si="275"/>
        <v/>
      </c>
      <c r="S2210" t="str">
        <f t="shared" si="276"/>
        <v/>
      </c>
      <c r="T2210" s="403" t="str">
        <f t="shared" si="277"/>
        <v>NBN-73013-BA</v>
      </c>
      <c r="U2210" s="403">
        <f t="shared" si="278"/>
        <v>1</v>
      </c>
      <c r="V2210" s="403" t="str">
        <f t="shared" si="279"/>
        <v>CPP_7</v>
      </c>
    </row>
    <row r="2211" spans="1:22">
      <c r="A2211" t="str">
        <f t="shared" si="272"/>
        <v>NBN-73013-BA</v>
      </c>
      <c r="B2211" s="403" t="s">
        <v>1390</v>
      </c>
      <c r="C2211" s="403" t="s">
        <v>583</v>
      </c>
      <c r="D2211" s="403" t="s">
        <v>1295</v>
      </c>
      <c r="E2211" s="403" t="s">
        <v>1296</v>
      </c>
      <c r="F2211" s="403" t="s">
        <v>1300</v>
      </c>
      <c r="G2211" s="403" t="s">
        <v>1466</v>
      </c>
      <c r="H2211" s="403" t="s">
        <v>1276</v>
      </c>
      <c r="I2211" s="403">
        <v>1</v>
      </c>
      <c r="J2211" s="403" t="s">
        <v>1289</v>
      </c>
      <c r="K2211" s="403">
        <v>1280</v>
      </c>
      <c r="L2211" s="403">
        <v>720</v>
      </c>
      <c r="M2211" s="403" t="s">
        <v>111</v>
      </c>
      <c r="N2211" s="403">
        <v>768</v>
      </c>
      <c r="O2211" s="403">
        <v>432</v>
      </c>
      <c r="P2211" t="str">
        <f t="shared" si="273"/>
        <v>60fps 720p full frame rate - SD</v>
      </c>
      <c r="Q2211">
        <f t="shared" si="274"/>
        <v>12</v>
      </c>
      <c r="R2211" t="str">
        <f t="shared" si="275"/>
        <v/>
      </c>
      <c r="S2211" t="str">
        <f t="shared" si="276"/>
        <v/>
      </c>
      <c r="T2211" s="403" t="str">
        <f t="shared" si="277"/>
        <v>NBN-73013-BA</v>
      </c>
      <c r="U2211" s="403">
        <f t="shared" si="278"/>
        <v>1</v>
      </c>
      <c r="V2211" s="403" t="str">
        <f t="shared" si="279"/>
        <v>CPP_7</v>
      </c>
    </row>
    <row r="2212" spans="1:22">
      <c r="A2212" t="str">
        <f t="shared" si="272"/>
        <v>NBN-73013-BA</v>
      </c>
      <c r="B2212" s="403" t="s">
        <v>1390</v>
      </c>
      <c r="C2212" s="403" t="s">
        <v>583</v>
      </c>
      <c r="D2212" s="403" t="s">
        <v>1295</v>
      </c>
      <c r="E2212" s="403" t="s">
        <v>1296</v>
      </c>
      <c r="F2212" s="403" t="s">
        <v>1300</v>
      </c>
      <c r="G2212" s="403" t="s">
        <v>1466</v>
      </c>
      <c r="H2212" s="403" t="s">
        <v>1276</v>
      </c>
      <c r="I2212" s="403">
        <v>1</v>
      </c>
      <c r="J2212" s="403" t="s">
        <v>1289</v>
      </c>
      <c r="K2212" s="403">
        <v>1280</v>
      </c>
      <c r="L2212" s="403">
        <v>720</v>
      </c>
      <c r="M2212" s="403" t="s">
        <v>1279</v>
      </c>
      <c r="N2212" s="403">
        <v>768</v>
      </c>
      <c r="O2212" s="403">
        <v>432</v>
      </c>
      <c r="P2212" t="str">
        <f t="shared" si="273"/>
        <v>60fps 720p full frame rate - SD ROI PTZ</v>
      </c>
      <c r="Q2212">
        <f t="shared" si="274"/>
        <v>12</v>
      </c>
      <c r="R2212" t="str">
        <f t="shared" si="275"/>
        <v/>
      </c>
      <c r="S2212" t="str">
        <f t="shared" si="276"/>
        <v/>
      </c>
      <c r="T2212" s="403" t="str">
        <f t="shared" si="277"/>
        <v>NBN-73013-BA</v>
      </c>
      <c r="U2212" s="403">
        <f t="shared" si="278"/>
        <v>1</v>
      </c>
      <c r="V2212" s="403" t="str">
        <f t="shared" si="279"/>
        <v>CPP_7</v>
      </c>
    </row>
    <row r="2213" spans="1:22">
      <c r="A2213" t="str">
        <f t="shared" si="272"/>
        <v>NBN-73013-BA</v>
      </c>
      <c r="B2213" s="403" t="s">
        <v>1390</v>
      </c>
      <c r="C2213" s="403" t="s">
        <v>583</v>
      </c>
      <c r="D2213" s="403" t="s">
        <v>1295</v>
      </c>
      <c r="E2213" s="403" t="s">
        <v>1296</v>
      </c>
      <c r="F2213" s="403" t="s">
        <v>1300</v>
      </c>
      <c r="G2213" s="403" t="s">
        <v>1466</v>
      </c>
      <c r="H2213" s="403" t="s">
        <v>1276</v>
      </c>
      <c r="I2213" s="403">
        <v>1</v>
      </c>
      <c r="J2213" s="403" t="s">
        <v>1289</v>
      </c>
      <c r="K2213" s="403">
        <v>1280</v>
      </c>
      <c r="L2213" s="403">
        <v>720</v>
      </c>
      <c r="M2213" s="403" t="s">
        <v>1298</v>
      </c>
      <c r="N2213" s="403">
        <v>768</v>
      </c>
      <c r="O2213" s="403">
        <v>432</v>
      </c>
      <c r="P2213" t="str">
        <f t="shared" si="273"/>
        <v>60fps 720p full frame rate - SD dual stream with independent ROI PTZ</v>
      </c>
      <c r="Q2213">
        <f t="shared" si="274"/>
        <v>12</v>
      </c>
      <c r="R2213" t="str">
        <f t="shared" si="275"/>
        <v/>
      </c>
      <c r="S2213" t="str">
        <f t="shared" si="276"/>
        <v/>
      </c>
      <c r="T2213" s="403" t="str">
        <f t="shared" si="277"/>
        <v>NBN-73013-BA</v>
      </c>
      <c r="U2213" s="403">
        <f t="shared" si="278"/>
        <v>1</v>
      </c>
      <c r="V2213" s="403" t="str">
        <f t="shared" si="279"/>
        <v>CPP_7</v>
      </c>
    </row>
    <row r="2214" spans="1:22">
      <c r="A2214" t="str">
        <f t="shared" si="272"/>
        <v>NBN-73013-BA</v>
      </c>
      <c r="B2214" s="403" t="s">
        <v>1390</v>
      </c>
      <c r="C2214" s="403" t="s">
        <v>583</v>
      </c>
      <c r="D2214" s="403" t="s">
        <v>1295</v>
      </c>
      <c r="E2214" s="403" t="s">
        <v>1296</v>
      </c>
      <c r="F2214" s="403" t="s">
        <v>1300</v>
      </c>
      <c r="G2214" s="403" t="s">
        <v>1466</v>
      </c>
      <c r="H2214" s="403" t="s">
        <v>1276</v>
      </c>
      <c r="I2214" s="403">
        <v>1</v>
      </c>
      <c r="J2214" s="403" t="s">
        <v>1289</v>
      </c>
      <c r="K2214" s="403">
        <v>1280</v>
      </c>
      <c r="L2214" s="403">
        <v>720</v>
      </c>
      <c r="M2214" s="403" t="s">
        <v>1301</v>
      </c>
      <c r="N2214" s="403">
        <v>1280</v>
      </c>
      <c r="O2214" s="403">
        <v>720</v>
      </c>
      <c r="P2214" t="str">
        <f t="shared" si="273"/>
        <v>60fps 720p full frame rate - 720p skip=4</v>
      </c>
      <c r="Q2214">
        <f t="shared" si="274"/>
        <v>12</v>
      </c>
      <c r="R2214" t="str">
        <f t="shared" si="275"/>
        <v/>
      </c>
      <c r="S2214" t="str">
        <f t="shared" si="276"/>
        <v/>
      </c>
      <c r="T2214" s="403" t="str">
        <f t="shared" si="277"/>
        <v>NBN-73013-BA</v>
      </c>
      <c r="U2214" s="403">
        <f t="shared" si="278"/>
        <v>1</v>
      </c>
      <c r="V2214" s="403" t="str">
        <f t="shared" si="279"/>
        <v>CPP_7</v>
      </c>
    </row>
    <row r="2215" spans="1:22">
      <c r="A2215" t="str">
        <f t="shared" si="272"/>
        <v>NBN-73013-BA</v>
      </c>
      <c r="B2215" s="403" t="s">
        <v>1390</v>
      </c>
      <c r="C2215" s="403" t="s">
        <v>583</v>
      </c>
      <c r="D2215" s="403" t="s">
        <v>1295</v>
      </c>
      <c r="E2215" s="403" t="s">
        <v>1296</v>
      </c>
      <c r="F2215" s="403" t="s">
        <v>1300</v>
      </c>
      <c r="G2215" s="403" t="s">
        <v>1466</v>
      </c>
      <c r="H2215" s="403" t="s">
        <v>1276</v>
      </c>
      <c r="I2215" s="403">
        <v>1</v>
      </c>
      <c r="J2215" s="403" t="s">
        <v>1289</v>
      </c>
      <c r="K2215" s="403">
        <v>1280</v>
      </c>
      <c r="L2215" s="403">
        <v>720</v>
      </c>
      <c r="M2215" s="403" t="s">
        <v>1280</v>
      </c>
      <c r="N2215" s="403">
        <v>1280</v>
      </c>
      <c r="O2215" s="403">
        <v>720</v>
      </c>
      <c r="P2215" t="str">
        <f t="shared" si="273"/>
        <v>60fps 720p full frame rate - copy other stream</v>
      </c>
      <c r="Q2215">
        <f t="shared" si="274"/>
        <v>12</v>
      </c>
      <c r="R2215" t="str">
        <f t="shared" si="275"/>
        <v/>
      </c>
      <c r="S2215" t="str">
        <f t="shared" si="276"/>
        <v/>
      </c>
      <c r="T2215" s="403" t="str">
        <f t="shared" si="277"/>
        <v>NBN-73013-BA</v>
      </c>
      <c r="U2215" s="403">
        <f t="shared" si="278"/>
        <v>1</v>
      </c>
      <c r="V2215" s="403" t="str">
        <f t="shared" si="279"/>
        <v>CPP_7</v>
      </c>
    </row>
    <row r="2216" spans="1:22">
      <c r="A2216" t="str">
        <f t="shared" si="272"/>
        <v>NBN-73013-BA</v>
      </c>
      <c r="B2216" s="403" t="s">
        <v>1390</v>
      </c>
      <c r="C2216" s="403" t="s">
        <v>583</v>
      </c>
      <c r="D2216" s="403" t="s">
        <v>1295</v>
      </c>
      <c r="E2216" s="403" t="s">
        <v>1296</v>
      </c>
      <c r="F2216" s="403" t="s">
        <v>1300</v>
      </c>
      <c r="G2216" s="403" t="s">
        <v>1466</v>
      </c>
      <c r="H2216" s="403" t="s">
        <v>1276</v>
      </c>
      <c r="I2216" s="403">
        <v>1</v>
      </c>
      <c r="J2216" s="403" t="s">
        <v>1289</v>
      </c>
      <c r="K2216" s="403">
        <v>1280</v>
      </c>
      <c r="L2216" s="403">
        <v>720</v>
      </c>
      <c r="M2216" s="403" t="s">
        <v>1302</v>
      </c>
      <c r="N2216" s="403">
        <v>400</v>
      </c>
      <c r="O2216" s="403">
        <v>720</v>
      </c>
      <c r="P2216" t="str">
        <f t="shared" si="273"/>
        <v>60fps 720p full frame rate - 400x720 upright (cropped)</v>
      </c>
      <c r="Q2216">
        <f t="shared" si="274"/>
        <v>12</v>
      </c>
      <c r="R2216" t="str">
        <f t="shared" si="275"/>
        <v/>
      </c>
      <c r="S2216" t="str">
        <f t="shared" si="276"/>
        <v/>
      </c>
      <c r="T2216" s="403" t="str">
        <f t="shared" si="277"/>
        <v>NBN-73013-BA</v>
      </c>
      <c r="U2216" s="403">
        <f t="shared" si="278"/>
        <v>1</v>
      </c>
      <c r="V2216" s="403" t="str">
        <f t="shared" si="279"/>
        <v>CPP_7</v>
      </c>
    </row>
    <row r="2217" spans="1:22">
      <c r="A2217" t="str">
        <f t="shared" si="272"/>
        <v>NBN-73013-BA</v>
      </c>
      <c r="B2217" s="403" t="s">
        <v>1390</v>
      </c>
      <c r="C2217" s="403" t="s">
        <v>583</v>
      </c>
      <c r="D2217" s="403" t="s">
        <v>1295</v>
      </c>
      <c r="E2217" s="403" t="s">
        <v>1296</v>
      </c>
      <c r="F2217" s="403" t="s">
        <v>1300</v>
      </c>
      <c r="G2217" s="403" t="s">
        <v>1466</v>
      </c>
      <c r="H2217" s="403" t="s">
        <v>1276</v>
      </c>
      <c r="I2217" s="403">
        <v>1</v>
      </c>
      <c r="J2217" s="403" t="s">
        <v>1289</v>
      </c>
      <c r="K2217" s="403">
        <v>1280</v>
      </c>
      <c r="L2217" s="403">
        <v>720</v>
      </c>
      <c r="M2217" s="403" t="s">
        <v>1283</v>
      </c>
      <c r="N2217" s="403">
        <v>704</v>
      </c>
      <c r="O2217" s="403">
        <v>480</v>
      </c>
      <c r="P2217" t="str">
        <f t="shared" si="273"/>
        <v>60fps 720p full frame rate - SD 4CIF resolution 4:3 format (cropped)</v>
      </c>
      <c r="Q2217">
        <f t="shared" si="274"/>
        <v>12</v>
      </c>
      <c r="R2217" t="str">
        <f t="shared" si="275"/>
        <v/>
      </c>
      <c r="S2217" t="str">
        <f t="shared" si="276"/>
        <v/>
      </c>
      <c r="T2217" s="403" t="str">
        <f t="shared" si="277"/>
        <v>NBN-73013-BA</v>
      </c>
      <c r="U2217" s="403">
        <f t="shared" si="278"/>
        <v>1</v>
      </c>
      <c r="V2217" s="403" t="str">
        <f t="shared" si="279"/>
        <v>CPP_7</v>
      </c>
    </row>
    <row r="2218" spans="1:22">
      <c r="A2218" t="str">
        <f t="shared" si="272"/>
        <v>NBN-73013-BA</v>
      </c>
      <c r="B2218" s="403" t="s">
        <v>1390</v>
      </c>
      <c r="C2218" s="403" t="s">
        <v>583</v>
      </c>
      <c r="D2218" s="403" t="s">
        <v>1295</v>
      </c>
      <c r="E2218" s="403" t="s">
        <v>1296</v>
      </c>
      <c r="F2218" s="403" t="s">
        <v>1300</v>
      </c>
      <c r="G2218" s="403" t="s">
        <v>1466</v>
      </c>
      <c r="H2218" s="403" t="s">
        <v>1276</v>
      </c>
      <c r="I2218" s="403">
        <v>1</v>
      </c>
      <c r="J2218" s="403" t="s">
        <v>1289</v>
      </c>
      <c r="K2218" s="403">
        <v>1280</v>
      </c>
      <c r="L2218" s="403">
        <v>720</v>
      </c>
      <c r="M2218" s="403" t="s">
        <v>1284</v>
      </c>
      <c r="N2218" s="403">
        <v>640</v>
      </c>
      <c r="O2218" s="403">
        <v>480</v>
      </c>
      <c r="P2218" t="str">
        <f t="shared" si="273"/>
        <v>60fps 720p full frame rate - SD VGA (cropped)</v>
      </c>
      <c r="Q2218">
        <f t="shared" si="274"/>
        <v>12</v>
      </c>
      <c r="R2218" t="str">
        <f t="shared" si="275"/>
        <v/>
      </c>
      <c r="S2218" t="str">
        <f t="shared" si="276"/>
        <v/>
      </c>
      <c r="T2218" s="403" t="str">
        <f t="shared" si="277"/>
        <v>NBN-73013-BA</v>
      </c>
      <c r="U2218" s="403">
        <f t="shared" si="278"/>
        <v>1</v>
      </c>
      <c r="V2218" s="403" t="str">
        <f t="shared" si="279"/>
        <v>CPP_7</v>
      </c>
    </row>
    <row r="2219" spans="1:22">
      <c r="A2219" t="str">
        <f t="shared" si="272"/>
        <v>NBN-73013-BA</v>
      </c>
      <c r="B2219" s="403" t="s">
        <v>1390</v>
      </c>
      <c r="C2219" s="403" t="s">
        <v>583</v>
      </c>
      <c r="D2219" s="403" t="s">
        <v>1295</v>
      </c>
      <c r="E2219" s="403" t="s">
        <v>1296</v>
      </c>
      <c r="F2219" s="403" t="s">
        <v>1300</v>
      </c>
      <c r="G2219" s="403" t="s">
        <v>1466</v>
      </c>
      <c r="H2219" s="403" t="s">
        <v>1276</v>
      </c>
      <c r="I2219" s="403">
        <v>1</v>
      </c>
      <c r="J2219" s="403" t="s">
        <v>111</v>
      </c>
      <c r="K2219" s="403">
        <v>768</v>
      </c>
      <c r="L2219" s="403">
        <v>432</v>
      </c>
      <c r="M2219" s="403" t="s">
        <v>111</v>
      </c>
      <c r="N2219" s="403">
        <v>768</v>
      </c>
      <c r="O2219" s="403">
        <v>432</v>
      </c>
      <c r="P2219" t="str">
        <f t="shared" si="273"/>
        <v>60fps SD - SD</v>
      </c>
      <c r="Q2219">
        <f t="shared" si="274"/>
        <v>12</v>
      </c>
      <c r="R2219" t="str">
        <f t="shared" si="275"/>
        <v/>
      </c>
      <c r="S2219" t="str">
        <f t="shared" si="276"/>
        <v/>
      </c>
      <c r="T2219" s="403" t="str">
        <f t="shared" si="277"/>
        <v>NBN-73013-BA</v>
      </c>
      <c r="U2219" s="403">
        <f t="shared" si="278"/>
        <v>1</v>
      </c>
      <c r="V2219" s="403" t="str">
        <f t="shared" si="279"/>
        <v>CPP_7</v>
      </c>
    </row>
    <row r="2220" spans="1:22">
      <c r="A2220" t="str">
        <f t="shared" si="272"/>
        <v>NBN-73013-BA</v>
      </c>
      <c r="B2220" s="403" t="s">
        <v>1390</v>
      </c>
      <c r="C2220" s="403" t="s">
        <v>583</v>
      </c>
      <c r="D2220" s="403" t="s">
        <v>1295</v>
      </c>
      <c r="E2220" s="403" t="s">
        <v>1296</v>
      </c>
      <c r="F2220" s="403" t="s">
        <v>1300</v>
      </c>
      <c r="G2220" s="403" t="s">
        <v>1467</v>
      </c>
      <c r="H2220" s="403" t="s">
        <v>1276</v>
      </c>
      <c r="I2220" s="403">
        <v>1</v>
      </c>
      <c r="J2220" s="403" t="s">
        <v>1289</v>
      </c>
      <c r="K2220" s="403">
        <v>720</v>
      </c>
      <c r="L2220" s="403">
        <v>1280</v>
      </c>
      <c r="M2220" s="403" t="s">
        <v>111</v>
      </c>
      <c r="N2220" s="403">
        <v>432</v>
      </c>
      <c r="O2220" s="403">
        <v>768</v>
      </c>
      <c r="P2220" t="str">
        <f t="shared" si="273"/>
        <v>60fps 720p full frame rate - SD</v>
      </c>
      <c r="Q2220">
        <f t="shared" si="274"/>
        <v>12</v>
      </c>
      <c r="R2220" t="str">
        <f t="shared" si="275"/>
        <v/>
      </c>
      <c r="S2220" t="str">
        <f t="shared" si="276"/>
        <v/>
      </c>
      <c r="T2220" s="403" t="str">
        <f t="shared" si="277"/>
        <v>NBN-73013-BA</v>
      </c>
      <c r="U2220" s="403">
        <f t="shared" si="278"/>
        <v>1</v>
      </c>
      <c r="V2220" s="403" t="str">
        <f t="shared" si="279"/>
        <v>CPP_7</v>
      </c>
    </row>
    <row r="2221" spans="1:22">
      <c r="A2221" t="str">
        <f t="shared" si="272"/>
        <v>NBN-73013-BA</v>
      </c>
      <c r="B2221" s="403" t="s">
        <v>1390</v>
      </c>
      <c r="C2221" s="403" t="s">
        <v>583</v>
      </c>
      <c r="D2221" s="403" t="s">
        <v>1295</v>
      </c>
      <c r="E2221" s="403" t="s">
        <v>1296</v>
      </c>
      <c r="F2221" s="403" t="s">
        <v>1300</v>
      </c>
      <c r="G2221" s="403" t="s">
        <v>1467</v>
      </c>
      <c r="H2221" s="403" t="s">
        <v>1276</v>
      </c>
      <c r="I2221" s="403">
        <v>1</v>
      </c>
      <c r="J2221" s="403" t="s">
        <v>1289</v>
      </c>
      <c r="K2221" s="403">
        <v>720</v>
      </c>
      <c r="L2221" s="403">
        <v>1280</v>
      </c>
      <c r="M2221" s="403" t="s">
        <v>1279</v>
      </c>
      <c r="N2221" s="403">
        <v>432</v>
      </c>
      <c r="O2221" s="403">
        <v>768</v>
      </c>
      <c r="P2221" t="str">
        <f t="shared" si="273"/>
        <v>60fps 720p full frame rate - SD ROI PTZ</v>
      </c>
      <c r="Q2221">
        <f t="shared" si="274"/>
        <v>12</v>
      </c>
      <c r="R2221" t="str">
        <f t="shared" si="275"/>
        <v/>
      </c>
      <c r="S2221" t="str">
        <f t="shared" si="276"/>
        <v/>
      </c>
      <c r="T2221" s="403" t="str">
        <f t="shared" si="277"/>
        <v>NBN-73013-BA</v>
      </c>
      <c r="U2221" s="403">
        <f t="shared" si="278"/>
        <v>1</v>
      </c>
      <c r="V2221" s="403" t="str">
        <f t="shared" si="279"/>
        <v>CPP_7</v>
      </c>
    </row>
    <row r="2222" spans="1:22">
      <c r="A2222" t="str">
        <f t="shared" si="272"/>
        <v>NBN-73013-BA</v>
      </c>
      <c r="B2222" s="403" t="s">
        <v>1390</v>
      </c>
      <c r="C2222" s="403" t="s">
        <v>583</v>
      </c>
      <c r="D2222" s="403" t="s">
        <v>1295</v>
      </c>
      <c r="E2222" s="403" t="s">
        <v>1296</v>
      </c>
      <c r="F2222" s="403" t="s">
        <v>1300</v>
      </c>
      <c r="G2222" s="403" t="s">
        <v>1467</v>
      </c>
      <c r="H2222" s="403" t="s">
        <v>1276</v>
      </c>
      <c r="I2222" s="403">
        <v>1</v>
      </c>
      <c r="J2222" s="403" t="s">
        <v>1289</v>
      </c>
      <c r="K2222" s="403">
        <v>720</v>
      </c>
      <c r="L2222" s="403">
        <v>1280</v>
      </c>
      <c r="M2222" s="403" t="s">
        <v>1298</v>
      </c>
      <c r="N2222" s="403">
        <v>432</v>
      </c>
      <c r="O2222" s="403">
        <v>768</v>
      </c>
      <c r="P2222" t="str">
        <f t="shared" si="273"/>
        <v>60fps 720p full frame rate - SD dual stream with independent ROI PTZ</v>
      </c>
      <c r="Q2222">
        <f t="shared" si="274"/>
        <v>12</v>
      </c>
      <c r="R2222" t="str">
        <f t="shared" si="275"/>
        <v/>
      </c>
      <c r="S2222" t="str">
        <f t="shared" si="276"/>
        <v/>
      </c>
      <c r="T2222" s="403" t="str">
        <f t="shared" si="277"/>
        <v>NBN-73013-BA</v>
      </c>
      <c r="U2222" s="403">
        <f t="shared" si="278"/>
        <v>1</v>
      </c>
      <c r="V2222" s="403" t="str">
        <f t="shared" si="279"/>
        <v>CPP_7</v>
      </c>
    </row>
    <row r="2223" spans="1:22">
      <c r="A2223" t="str">
        <f t="shared" si="272"/>
        <v>NBN-73013-BA</v>
      </c>
      <c r="B2223" s="403" t="s">
        <v>1390</v>
      </c>
      <c r="C2223" s="403" t="s">
        <v>583</v>
      </c>
      <c r="D2223" s="403" t="s">
        <v>1295</v>
      </c>
      <c r="E2223" s="403" t="s">
        <v>1296</v>
      </c>
      <c r="F2223" s="403" t="s">
        <v>1300</v>
      </c>
      <c r="G2223" s="403" t="s">
        <v>1467</v>
      </c>
      <c r="H2223" s="403" t="s">
        <v>1276</v>
      </c>
      <c r="I2223" s="403">
        <v>1</v>
      </c>
      <c r="J2223" s="403" t="s">
        <v>1289</v>
      </c>
      <c r="K2223" s="403">
        <v>720</v>
      </c>
      <c r="L2223" s="403">
        <v>1280</v>
      </c>
      <c r="M2223" s="403" t="s">
        <v>1301</v>
      </c>
      <c r="N2223" s="403">
        <v>720</v>
      </c>
      <c r="O2223" s="403">
        <v>1280</v>
      </c>
      <c r="P2223" t="str">
        <f t="shared" si="273"/>
        <v>60fps 720p full frame rate - 720p skip=4</v>
      </c>
      <c r="Q2223">
        <f t="shared" si="274"/>
        <v>12</v>
      </c>
      <c r="R2223" t="str">
        <f t="shared" si="275"/>
        <v/>
      </c>
      <c r="S2223" t="str">
        <f t="shared" si="276"/>
        <v/>
      </c>
      <c r="T2223" s="403" t="str">
        <f t="shared" si="277"/>
        <v>NBN-73013-BA</v>
      </c>
      <c r="U2223" s="403">
        <f t="shared" si="278"/>
        <v>1</v>
      </c>
      <c r="V2223" s="403" t="str">
        <f t="shared" si="279"/>
        <v>CPP_7</v>
      </c>
    </row>
    <row r="2224" spans="1:22">
      <c r="A2224" t="str">
        <f t="shared" si="272"/>
        <v>NBN-73013-BA</v>
      </c>
      <c r="B2224" s="403" t="s">
        <v>1390</v>
      </c>
      <c r="C2224" s="403" t="s">
        <v>583</v>
      </c>
      <c r="D2224" s="403" t="s">
        <v>1295</v>
      </c>
      <c r="E2224" s="403" t="s">
        <v>1296</v>
      </c>
      <c r="F2224" s="403" t="s">
        <v>1300</v>
      </c>
      <c r="G2224" s="403" t="s">
        <v>1467</v>
      </c>
      <c r="H2224" s="403" t="s">
        <v>1276</v>
      </c>
      <c r="I2224" s="403">
        <v>1</v>
      </c>
      <c r="J2224" s="403" t="s">
        <v>1289</v>
      </c>
      <c r="K2224" s="403">
        <v>720</v>
      </c>
      <c r="L2224" s="403">
        <v>1280</v>
      </c>
      <c r="M2224" s="403" t="s">
        <v>1280</v>
      </c>
      <c r="N2224" s="403">
        <v>720</v>
      </c>
      <c r="O2224" s="403">
        <v>1280</v>
      </c>
      <c r="P2224" t="str">
        <f t="shared" si="273"/>
        <v>60fps 720p full frame rate - copy other stream</v>
      </c>
      <c r="Q2224">
        <f t="shared" si="274"/>
        <v>12</v>
      </c>
      <c r="R2224" t="str">
        <f t="shared" si="275"/>
        <v/>
      </c>
      <c r="S2224" t="str">
        <f t="shared" si="276"/>
        <v/>
      </c>
      <c r="T2224" s="403" t="str">
        <f t="shared" si="277"/>
        <v>NBN-73013-BA</v>
      </c>
      <c r="U2224" s="403">
        <f t="shared" si="278"/>
        <v>1</v>
      </c>
      <c r="V2224" s="403" t="str">
        <f t="shared" si="279"/>
        <v>CPP_7</v>
      </c>
    </row>
    <row r="2225" spans="1:22">
      <c r="A2225" t="str">
        <f t="shared" si="272"/>
        <v>NBN-73013-BA</v>
      </c>
      <c r="B2225" s="403" t="s">
        <v>1390</v>
      </c>
      <c r="C2225" s="403" t="s">
        <v>583</v>
      </c>
      <c r="D2225" s="403" t="s">
        <v>1295</v>
      </c>
      <c r="E2225" s="403" t="s">
        <v>1296</v>
      </c>
      <c r="F2225" s="403" t="s">
        <v>1300</v>
      </c>
      <c r="G2225" s="403" t="s">
        <v>1467</v>
      </c>
      <c r="H2225" s="403" t="s">
        <v>1276</v>
      </c>
      <c r="I2225" s="403">
        <v>1</v>
      </c>
      <c r="J2225" s="403" t="s">
        <v>1289</v>
      </c>
      <c r="K2225" s="403">
        <v>720</v>
      </c>
      <c r="L2225" s="403">
        <v>1280</v>
      </c>
      <c r="M2225" s="403" t="s">
        <v>1302</v>
      </c>
      <c r="N2225" s="403">
        <v>720</v>
      </c>
      <c r="O2225" s="403">
        <v>400</v>
      </c>
      <c r="P2225" t="str">
        <f t="shared" si="273"/>
        <v>60fps 720p full frame rate - 400x720 upright (cropped)</v>
      </c>
      <c r="Q2225">
        <f t="shared" si="274"/>
        <v>12</v>
      </c>
      <c r="R2225" t="str">
        <f t="shared" si="275"/>
        <v/>
      </c>
      <c r="S2225" t="str">
        <f t="shared" si="276"/>
        <v/>
      </c>
      <c r="T2225" s="403" t="str">
        <f t="shared" si="277"/>
        <v>NBN-73013-BA</v>
      </c>
      <c r="U2225" s="403">
        <f t="shared" si="278"/>
        <v>1</v>
      </c>
      <c r="V2225" s="403" t="str">
        <f t="shared" si="279"/>
        <v>CPP_7</v>
      </c>
    </row>
    <row r="2226" spans="1:22">
      <c r="A2226" t="str">
        <f t="shared" si="272"/>
        <v>NBN-73013-BA</v>
      </c>
      <c r="B2226" s="403" t="s">
        <v>1390</v>
      </c>
      <c r="C2226" s="403" t="s">
        <v>583</v>
      </c>
      <c r="D2226" s="403" t="s">
        <v>1295</v>
      </c>
      <c r="E2226" s="403" t="s">
        <v>1296</v>
      </c>
      <c r="F2226" s="403" t="s">
        <v>1300</v>
      </c>
      <c r="G2226" s="403" t="s">
        <v>1467</v>
      </c>
      <c r="H2226" s="403" t="s">
        <v>1276</v>
      </c>
      <c r="I2226" s="403">
        <v>1</v>
      </c>
      <c r="J2226" s="403" t="s">
        <v>1289</v>
      </c>
      <c r="K2226" s="403">
        <v>720</v>
      </c>
      <c r="L2226" s="403">
        <v>1280</v>
      </c>
      <c r="M2226" s="403" t="s">
        <v>1283</v>
      </c>
      <c r="N2226" s="403">
        <v>480</v>
      </c>
      <c r="O2226" s="403">
        <v>704</v>
      </c>
      <c r="P2226" t="str">
        <f t="shared" si="273"/>
        <v>60fps 720p full frame rate - SD 4CIF resolution 4:3 format (cropped)</v>
      </c>
      <c r="Q2226">
        <f t="shared" si="274"/>
        <v>12</v>
      </c>
      <c r="R2226" t="str">
        <f t="shared" si="275"/>
        <v/>
      </c>
      <c r="S2226" t="str">
        <f t="shared" si="276"/>
        <v/>
      </c>
      <c r="T2226" s="403" t="str">
        <f t="shared" si="277"/>
        <v>NBN-73013-BA</v>
      </c>
      <c r="U2226" s="403">
        <f t="shared" si="278"/>
        <v>1</v>
      </c>
      <c r="V2226" s="403" t="str">
        <f t="shared" si="279"/>
        <v>CPP_7</v>
      </c>
    </row>
    <row r="2227" spans="1:22">
      <c r="A2227" t="str">
        <f t="shared" si="272"/>
        <v>NBN-73013-BA</v>
      </c>
      <c r="B2227" s="403" t="s">
        <v>1390</v>
      </c>
      <c r="C2227" s="403" t="s">
        <v>583</v>
      </c>
      <c r="D2227" s="403" t="s">
        <v>1295</v>
      </c>
      <c r="E2227" s="403" t="s">
        <v>1296</v>
      </c>
      <c r="F2227" s="403" t="s">
        <v>1300</v>
      </c>
      <c r="G2227" s="403" t="s">
        <v>1467</v>
      </c>
      <c r="H2227" s="403" t="s">
        <v>1276</v>
      </c>
      <c r="I2227" s="403">
        <v>1</v>
      </c>
      <c r="J2227" s="403" t="s">
        <v>1289</v>
      </c>
      <c r="K2227" s="403">
        <v>720</v>
      </c>
      <c r="L2227" s="403">
        <v>1280</v>
      </c>
      <c r="M2227" s="403" t="s">
        <v>1284</v>
      </c>
      <c r="N2227" s="403">
        <v>480</v>
      </c>
      <c r="O2227" s="403">
        <v>640</v>
      </c>
      <c r="P2227" t="str">
        <f t="shared" si="273"/>
        <v>60fps 720p full frame rate - SD VGA (cropped)</v>
      </c>
      <c r="Q2227">
        <f t="shared" si="274"/>
        <v>12</v>
      </c>
      <c r="R2227" t="str">
        <f t="shared" si="275"/>
        <v/>
      </c>
      <c r="S2227" t="str">
        <f t="shared" si="276"/>
        <v/>
      </c>
      <c r="T2227" s="403" t="str">
        <f t="shared" si="277"/>
        <v>NBN-73013-BA</v>
      </c>
      <c r="U2227" s="403">
        <f t="shared" si="278"/>
        <v>1</v>
      </c>
      <c r="V2227" s="403" t="str">
        <f t="shared" si="279"/>
        <v>CPP_7</v>
      </c>
    </row>
    <row r="2228" spans="1:22">
      <c r="A2228" t="str">
        <f t="shared" si="272"/>
        <v>NBN-73013-BA</v>
      </c>
      <c r="B2228" s="403" t="s">
        <v>1390</v>
      </c>
      <c r="C2228" s="403" t="s">
        <v>583</v>
      </c>
      <c r="D2228" s="403" t="s">
        <v>1295</v>
      </c>
      <c r="E2228" s="403" t="s">
        <v>1296</v>
      </c>
      <c r="F2228" s="403" t="s">
        <v>1300</v>
      </c>
      <c r="G2228" s="403" t="s">
        <v>1467</v>
      </c>
      <c r="H2228" s="403" t="s">
        <v>1276</v>
      </c>
      <c r="I2228" s="403">
        <v>1</v>
      </c>
      <c r="J2228" s="403" t="s">
        <v>111</v>
      </c>
      <c r="K2228" s="403">
        <v>432</v>
      </c>
      <c r="L2228" s="403">
        <v>768</v>
      </c>
      <c r="M2228" s="403" t="s">
        <v>111</v>
      </c>
      <c r="N2228" s="403">
        <v>432</v>
      </c>
      <c r="O2228" s="403">
        <v>768</v>
      </c>
      <c r="P2228" t="str">
        <f t="shared" si="273"/>
        <v>60fps SD - SD</v>
      </c>
      <c r="Q2228">
        <f t="shared" si="274"/>
        <v>12</v>
      </c>
      <c r="R2228" t="str">
        <f t="shared" si="275"/>
        <v/>
      </c>
      <c r="S2228" t="str">
        <f t="shared" si="276"/>
        <v/>
      </c>
      <c r="T2228" s="403" t="str">
        <f t="shared" si="277"/>
        <v>NBN-73013-BA</v>
      </c>
      <c r="U2228" s="403">
        <f t="shared" si="278"/>
        <v>1</v>
      </c>
      <c r="V2228" s="403" t="str">
        <f t="shared" si="279"/>
        <v>CPP_7</v>
      </c>
    </row>
    <row r="2229" spans="1:22">
      <c r="A2229" t="str">
        <f t="shared" si="272"/>
        <v>NBN-73013-BA</v>
      </c>
      <c r="B2229" s="403" t="s">
        <v>1390</v>
      </c>
      <c r="C2229" s="403" t="s">
        <v>583</v>
      </c>
      <c r="D2229" s="403" t="s">
        <v>1295</v>
      </c>
      <c r="E2229" s="403" t="s">
        <v>1296</v>
      </c>
      <c r="F2229" s="403" t="s">
        <v>1303</v>
      </c>
      <c r="G2229" s="403" t="s">
        <v>1466</v>
      </c>
      <c r="H2229" s="403" t="s">
        <v>1276</v>
      </c>
      <c r="I2229" s="403">
        <v>1</v>
      </c>
      <c r="J2229" s="403" t="s">
        <v>1289</v>
      </c>
      <c r="K2229" s="403">
        <v>1280</v>
      </c>
      <c r="L2229" s="403">
        <v>720</v>
      </c>
      <c r="M2229" s="403" t="s">
        <v>111</v>
      </c>
      <c r="N2229" s="403">
        <v>768</v>
      </c>
      <c r="O2229" s="403">
        <v>432</v>
      </c>
      <c r="P2229" t="str">
        <f t="shared" si="273"/>
        <v>50fps 720p full frame rate - SD</v>
      </c>
      <c r="Q2229">
        <f t="shared" si="274"/>
        <v>12</v>
      </c>
      <c r="R2229" t="str">
        <f t="shared" si="275"/>
        <v/>
      </c>
      <c r="S2229" t="str">
        <f t="shared" si="276"/>
        <v/>
      </c>
      <c r="T2229" s="403" t="str">
        <f t="shared" si="277"/>
        <v>NBN-73013-BA</v>
      </c>
      <c r="U2229" s="403">
        <f t="shared" si="278"/>
        <v>1</v>
      </c>
      <c r="V2229" s="403" t="str">
        <f t="shared" si="279"/>
        <v>CPP_7</v>
      </c>
    </row>
    <row r="2230" spans="1:22">
      <c r="A2230" t="str">
        <f t="shared" si="272"/>
        <v>NBN-73013-BA</v>
      </c>
      <c r="B2230" s="403" t="s">
        <v>1390</v>
      </c>
      <c r="C2230" s="403" t="s">
        <v>583</v>
      </c>
      <c r="D2230" s="403" t="s">
        <v>1295</v>
      </c>
      <c r="E2230" s="403" t="s">
        <v>1296</v>
      </c>
      <c r="F2230" s="403" t="s">
        <v>1303</v>
      </c>
      <c r="G2230" s="403" t="s">
        <v>1466</v>
      </c>
      <c r="H2230" s="403" t="s">
        <v>1276</v>
      </c>
      <c r="I2230" s="403">
        <v>1</v>
      </c>
      <c r="J2230" s="403" t="s">
        <v>1289</v>
      </c>
      <c r="K2230" s="403">
        <v>1280</v>
      </c>
      <c r="L2230" s="403">
        <v>720</v>
      </c>
      <c r="M2230" s="403" t="s">
        <v>1279</v>
      </c>
      <c r="N2230" s="403">
        <v>768</v>
      </c>
      <c r="O2230" s="403">
        <v>432</v>
      </c>
      <c r="P2230" t="str">
        <f t="shared" si="273"/>
        <v>50fps 720p full frame rate - SD ROI PTZ</v>
      </c>
      <c r="Q2230">
        <f t="shared" si="274"/>
        <v>12</v>
      </c>
      <c r="R2230" t="str">
        <f t="shared" si="275"/>
        <v/>
      </c>
      <c r="S2230" t="str">
        <f t="shared" si="276"/>
        <v/>
      </c>
      <c r="T2230" s="403" t="str">
        <f t="shared" si="277"/>
        <v>NBN-73013-BA</v>
      </c>
      <c r="U2230" s="403">
        <f t="shared" si="278"/>
        <v>1</v>
      </c>
      <c r="V2230" s="403" t="str">
        <f t="shared" si="279"/>
        <v>CPP_7</v>
      </c>
    </row>
    <row r="2231" spans="1:22">
      <c r="A2231" t="str">
        <f t="shared" si="272"/>
        <v>NBN-73013-BA</v>
      </c>
      <c r="B2231" s="403" t="s">
        <v>1390</v>
      </c>
      <c r="C2231" s="403" t="s">
        <v>583</v>
      </c>
      <c r="D2231" s="403" t="s">
        <v>1295</v>
      </c>
      <c r="E2231" s="403" t="s">
        <v>1296</v>
      </c>
      <c r="F2231" s="403" t="s">
        <v>1303</v>
      </c>
      <c r="G2231" s="403" t="s">
        <v>1466</v>
      </c>
      <c r="H2231" s="403" t="s">
        <v>1276</v>
      </c>
      <c r="I2231" s="403">
        <v>1</v>
      </c>
      <c r="J2231" s="403" t="s">
        <v>1289</v>
      </c>
      <c r="K2231" s="403">
        <v>1280</v>
      </c>
      <c r="L2231" s="403">
        <v>720</v>
      </c>
      <c r="M2231" s="403" t="s">
        <v>1298</v>
      </c>
      <c r="N2231" s="403">
        <v>768</v>
      </c>
      <c r="O2231" s="403">
        <v>432</v>
      </c>
      <c r="P2231" t="str">
        <f t="shared" si="273"/>
        <v>50fps 720p full frame rate - SD dual stream with independent ROI PTZ</v>
      </c>
      <c r="Q2231">
        <f t="shared" si="274"/>
        <v>12</v>
      </c>
      <c r="R2231" t="str">
        <f t="shared" si="275"/>
        <v/>
      </c>
      <c r="S2231" t="str">
        <f t="shared" si="276"/>
        <v/>
      </c>
      <c r="T2231" s="403" t="str">
        <f t="shared" si="277"/>
        <v>NBN-73013-BA</v>
      </c>
      <c r="U2231" s="403">
        <f t="shared" si="278"/>
        <v>1</v>
      </c>
      <c r="V2231" s="403" t="str">
        <f t="shared" si="279"/>
        <v>CPP_7</v>
      </c>
    </row>
    <row r="2232" spans="1:22">
      <c r="A2232" t="str">
        <f t="shared" si="272"/>
        <v>NBN-73013-BA</v>
      </c>
      <c r="B2232" s="403" t="s">
        <v>1390</v>
      </c>
      <c r="C2232" s="403" t="s">
        <v>583</v>
      </c>
      <c r="D2232" s="403" t="s">
        <v>1295</v>
      </c>
      <c r="E2232" s="403" t="s">
        <v>1296</v>
      </c>
      <c r="F2232" s="403" t="s">
        <v>1303</v>
      </c>
      <c r="G2232" s="403" t="s">
        <v>1466</v>
      </c>
      <c r="H2232" s="403" t="s">
        <v>1276</v>
      </c>
      <c r="I2232" s="403">
        <v>1</v>
      </c>
      <c r="J2232" s="403" t="s">
        <v>1289</v>
      </c>
      <c r="K2232" s="403">
        <v>1280</v>
      </c>
      <c r="L2232" s="403">
        <v>720</v>
      </c>
      <c r="M2232" s="403" t="s">
        <v>1301</v>
      </c>
      <c r="N2232" s="403">
        <v>1280</v>
      </c>
      <c r="O2232" s="403">
        <v>720</v>
      </c>
      <c r="P2232" t="str">
        <f t="shared" si="273"/>
        <v>50fps 720p full frame rate - 720p skip=4</v>
      </c>
      <c r="Q2232">
        <f t="shared" si="274"/>
        <v>12</v>
      </c>
      <c r="R2232" t="str">
        <f t="shared" si="275"/>
        <v/>
      </c>
      <c r="S2232" t="str">
        <f t="shared" si="276"/>
        <v/>
      </c>
      <c r="T2232" s="403" t="str">
        <f t="shared" si="277"/>
        <v>NBN-73013-BA</v>
      </c>
      <c r="U2232" s="403">
        <f t="shared" si="278"/>
        <v>1</v>
      </c>
      <c r="V2232" s="403" t="str">
        <f t="shared" si="279"/>
        <v>CPP_7</v>
      </c>
    </row>
    <row r="2233" spans="1:22">
      <c r="A2233" t="str">
        <f t="shared" si="272"/>
        <v>NBN-73013-BA</v>
      </c>
      <c r="B2233" s="403" t="s">
        <v>1390</v>
      </c>
      <c r="C2233" s="403" t="s">
        <v>583</v>
      </c>
      <c r="D2233" s="403" t="s">
        <v>1295</v>
      </c>
      <c r="E2233" s="403" t="s">
        <v>1296</v>
      </c>
      <c r="F2233" s="403" t="s">
        <v>1303</v>
      </c>
      <c r="G2233" s="403" t="s">
        <v>1466</v>
      </c>
      <c r="H2233" s="403" t="s">
        <v>1276</v>
      </c>
      <c r="I2233" s="403">
        <v>1</v>
      </c>
      <c r="J2233" s="403" t="s">
        <v>1289</v>
      </c>
      <c r="K2233" s="403">
        <v>1280</v>
      </c>
      <c r="L2233" s="403">
        <v>720</v>
      </c>
      <c r="M2233" s="403" t="s">
        <v>1280</v>
      </c>
      <c r="N2233" s="403">
        <v>1280</v>
      </c>
      <c r="O2233" s="403">
        <v>720</v>
      </c>
      <c r="P2233" t="str">
        <f t="shared" si="273"/>
        <v>50fps 720p full frame rate - copy other stream</v>
      </c>
      <c r="Q2233">
        <f t="shared" si="274"/>
        <v>12</v>
      </c>
      <c r="R2233" t="str">
        <f t="shared" si="275"/>
        <v/>
      </c>
      <c r="S2233" t="str">
        <f t="shared" si="276"/>
        <v/>
      </c>
      <c r="T2233" s="403" t="str">
        <f t="shared" si="277"/>
        <v>NBN-73013-BA</v>
      </c>
      <c r="U2233" s="403">
        <f t="shared" si="278"/>
        <v>1</v>
      </c>
      <c r="V2233" s="403" t="str">
        <f t="shared" si="279"/>
        <v>CPP_7</v>
      </c>
    </row>
    <row r="2234" spans="1:22">
      <c r="A2234" t="str">
        <f t="shared" si="272"/>
        <v>NBN-73013-BA</v>
      </c>
      <c r="B2234" s="403" t="s">
        <v>1390</v>
      </c>
      <c r="C2234" s="403" t="s">
        <v>583</v>
      </c>
      <c r="D2234" s="403" t="s">
        <v>1295</v>
      </c>
      <c r="E2234" s="403" t="s">
        <v>1296</v>
      </c>
      <c r="F2234" s="403" t="s">
        <v>1303</v>
      </c>
      <c r="G2234" s="403" t="s">
        <v>1466</v>
      </c>
      <c r="H2234" s="403" t="s">
        <v>1276</v>
      </c>
      <c r="I2234" s="403">
        <v>1</v>
      </c>
      <c r="J2234" s="403" t="s">
        <v>1289</v>
      </c>
      <c r="K2234" s="403">
        <v>1280</v>
      </c>
      <c r="L2234" s="403">
        <v>720</v>
      </c>
      <c r="M2234" s="403" t="s">
        <v>1302</v>
      </c>
      <c r="N2234" s="403">
        <v>400</v>
      </c>
      <c r="O2234" s="403">
        <v>720</v>
      </c>
      <c r="P2234" t="str">
        <f t="shared" si="273"/>
        <v>50fps 720p full frame rate - 400x720 upright (cropped)</v>
      </c>
      <c r="Q2234">
        <f t="shared" si="274"/>
        <v>12</v>
      </c>
      <c r="R2234" t="str">
        <f t="shared" si="275"/>
        <v/>
      </c>
      <c r="S2234" t="str">
        <f t="shared" si="276"/>
        <v/>
      </c>
      <c r="T2234" s="403" t="str">
        <f t="shared" si="277"/>
        <v>NBN-73013-BA</v>
      </c>
      <c r="U2234" s="403">
        <f t="shared" si="278"/>
        <v>1</v>
      </c>
      <c r="V2234" s="403" t="str">
        <f t="shared" si="279"/>
        <v>CPP_7</v>
      </c>
    </row>
    <row r="2235" spans="1:22">
      <c r="A2235" t="str">
        <f t="shared" si="272"/>
        <v>NBN-73013-BA</v>
      </c>
      <c r="B2235" s="403" t="s">
        <v>1390</v>
      </c>
      <c r="C2235" s="403" t="s">
        <v>583</v>
      </c>
      <c r="D2235" s="403" t="s">
        <v>1295</v>
      </c>
      <c r="E2235" s="403" t="s">
        <v>1296</v>
      </c>
      <c r="F2235" s="403" t="s">
        <v>1303</v>
      </c>
      <c r="G2235" s="403" t="s">
        <v>1466</v>
      </c>
      <c r="H2235" s="403" t="s">
        <v>1276</v>
      </c>
      <c r="I2235" s="403">
        <v>1</v>
      </c>
      <c r="J2235" s="403" t="s">
        <v>1289</v>
      </c>
      <c r="K2235" s="403">
        <v>1280</v>
      </c>
      <c r="L2235" s="403">
        <v>720</v>
      </c>
      <c r="M2235" s="403" t="s">
        <v>1283</v>
      </c>
      <c r="N2235" s="403">
        <v>704</v>
      </c>
      <c r="O2235" s="403">
        <v>576</v>
      </c>
      <c r="P2235" t="str">
        <f t="shared" si="273"/>
        <v>50fps 720p full frame rate - SD 4CIF resolution 4:3 format (cropped)</v>
      </c>
      <c r="Q2235">
        <f t="shared" si="274"/>
        <v>12</v>
      </c>
      <c r="R2235" t="str">
        <f t="shared" si="275"/>
        <v/>
      </c>
      <c r="S2235" t="str">
        <f t="shared" si="276"/>
        <v/>
      </c>
      <c r="T2235" s="403" t="str">
        <f t="shared" si="277"/>
        <v>NBN-73013-BA</v>
      </c>
      <c r="U2235" s="403">
        <f t="shared" si="278"/>
        <v>1</v>
      </c>
      <c r="V2235" s="403" t="str">
        <f t="shared" si="279"/>
        <v>CPP_7</v>
      </c>
    </row>
    <row r="2236" spans="1:22">
      <c r="A2236" t="str">
        <f t="shared" si="272"/>
        <v>NBN-73013-BA</v>
      </c>
      <c r="B2236" s="403" t="s">
        <v>1390</v>
      </c>
      <c r="C2236" s="403" t="s">
        <v>583</v>
      </c>
      <c r="D2236" s="403" t="s">
        <v>1295</v>
      </c>
      <c r="E2236" s="403" t="s">
        <v>1296</v>
      </c>
      <c r="F2236" s="403" t="s">
        <v>1303</v>
      </c>
      <c r="G2236" s="403" t="s">
        <v>1466</v>
      </c>
      <c r="H2236" s="403" t="s">
        <v>1276</v>
      </c>
      <c r="I2236" s="403">
        <v>1</v>
      </c>
      <c r="J2236" s="403" t="s">
        <v>1289</v>
      </c>
      <c r="K2236" s="403">
        <v>1280</v>
      </c>
      <c r="L2236" s="403">
        <v>720</v>
      </c>
      <c r="M2236" s="403" t="s">
        <v>1284</v>
      </c>
      <c r="N2236" s="403">
        <v>640</v>
      </c>
      <c r="O2236" s="403">
        <v>480</v>
      </c>
      <c r="P2236" t="str">
        <f t="shared" si="273"/>
        <v>50fps 720p full frame rate - SD VGA (cropped)</v>
      </c>
      <c r="Q2236">
        <f t="shared" si="274"/>
        <v>12</v>
      </c>
      <c r="R2236" t="str">
        <f t="shared" si="275"/>
        <v/>
      </c>
      <c r="S2236" t="str">
        <f t="shared" si="276"/>
        <v/>
      </c>
      <c r="T2236" s="403" t="str">
        <f t="shared" si="277"/>
        <v>NBN-73013-BA</v>
      </c>
      <c r="U2236" s="403">
        <f t="shared" si="278"/>
        <v>1</v>
      </c>
      <c r="V2236" s="403" t="str">
        <f t="shared" si="279"/>
        <v>CPP_7</v>
      </c>
    </row>
    <row r="2237" spans="1:22">
      <c r="A2237" t="str">
        <f t="shared" si="272"/>
        <v>NBN-73013-BA</v>
      </c>
      <c r="B2237" s="403" t="s">
        <v>1390</v>
      </c>
      <c r="C2237" s="403" t="s">
        <v>583</v>
      </c>
      <c r="D2237" s="403" t="s">
        <v>1295</v>
      </c>
      <c r="E2237" s="403" t="s">
        <v>1296</v>
      </c>
      <c r="F2237" s="403" t="s">
        <v>1303</v>
      </c>
      <c r="G2237" s="403" t="s">
        <v>1466</v>
      </c>
      <c r="H2237" s="403" t="s">
        <v>1276</v>
      </c>
      <c r="I2237" s="403">
        <v>1</v>
      </c>
      <c r="J2237" s="403" t="s">
        <v>111</v>
      </c>
      <c r="K2237" s="403">
        <v>768</v>
      </c>
      <c r="L2237" s="403">
        <v>432</v>
      </c>
      <c r="M2237" s="403" t="s">
        <v>111</v>
      </c>
      <c r="N2237" s="403">
        <v>768</v>
      </c>
      <c r="O2237" s="403">
        <v>432</v>
      </c>
      <c r="P2237" t="str">
        <f t="shared" si="273"/>
        <v>50fps SD - SD</v>
      </c>
      <c r="Q2237">
        <f t="shared" si="274"/>
        <v>12</v>
      </c>
      <c r="R2237" t="str">
        <f t="shared" si="275"/>
        <v/>
      </c>
      <c r="S2237" t="str">
        <f t="shared" si="276"/>
        <v/>
      </c>
      <c r="T2237" s="403" t="str">
        <f t="shared" si="277"/>
        <v>NBN-73013-BA</v>
      </c>
      <c r="U2237" s="403">
        <f t="shared" si="278"/>
        <v>1</v>
      </c>
      <c r="V2237" s="403" t="str">
        <f t="shared" si="279"/>
        <v>CPP_7</v>
      </c>
    </row>
    <row r="2238" spans="1:22">
      <c r="A2238" t="str">
        <f t="shared" si="272"/>
        <v>NBN-73013-BA</v>
      </c>
      <c r="B2238" s="403" t="s">
        <v>1390</v>
      </c>
      <c r="C2238" s="403" t="s">
        <v>583</v>
      </c>
      <c r="D2238" s="403" t="s">
        <v>1295</v>
      </c>
      <c r="E2238" s="403" t="s">
        <v>1296</v>
      </c>
      <c r="F2238" s="403" t="s">
        <v>1303</v>
      </c>
      <c r="G2238" s="403" t="s">
        <v>1467</v>
      </c>
      <c r="H2238" s="403" t="s">
        <v>1276</v>
      </c>
      <c r="I2238" s="403">
        <v>1</v>
      </c>
      <c r="J2238" s="403" t="s">
        <v>1289</v>
      </c>
      <c r="K2238" s="403">
        <v>720</v>
      </c>
      <c r="L2238" s="403">
        <v>1280</v>
      </c>
      <c r="M2238" s="403" t="s">
        <v>111</v>
      </c>
      <c r="N2238" s="403">
        <v>432</v>
      </c>
      <c r="O2238" s="403">
        <v>768</v>
      </c>
      <c r="P2238" t="str">
        <f t="shared" si="273"/>
        <v>50fps 720p full frame rate - SD</v>
      </c>
      <c r="Q2238">
        <f t="shared" si="274"/>
        <v>12</v>
      </c>
      <c r="R2238" t="str">
        <f t="shared" si="275"/>
        <v/>
      </c>
      <c r="S2238" t="str">
        <f t="shared" si="276"/>
        <v/>
      </c>
      <c r="T2238" s="403" t="str">
        <f t="shared" si="277"/>
        <v>NBN-73013-BA</v>
      </c>
      <c r="U2238" s="403">
        <f t="shared" si="278"/>
        <v>1</v>
      </c>
      <c r="V2238" s="403" t="str">
        <f t="shared" si="279"/>
        <v>CPP_7</v>
      </c>
    </row>
    <row r="2239" spans="1:22">
      <c r="A2239" t="str">
        <f t="shared" si="272"/>
        <v>NBN-73013-BA</v>
      </c>
      <c r="B2239" s="403" t="s">
        <v>1390</v>
      </c>
      <c r="C2239" s="403" t="s">
        <v>583</v>
      </c>
      <c r="D2239" s="403" t="s">
        <v>1295</v>
      </c>
      <c r="E2239" s="403" t="s">
        <v>1296</v>
      </c>
      <c r="F2239" s="403" t="s">
        <v>1303</v>
      </c>
      <c r="G2239" s="403" t="s">
        <v>1467</v>
      </c>
      <c r="H2239" s="403" t="s">
        <v>1276</v>
      </c>
      <c r="I2239" s="403">
        <v>1</v>
      </c>
      <c r="J2239" s="403" t="s">
        <v>1289</v>
      </c>
      <c r="K2239" s="403">
        <v>720</v>
      </c>
      <c r="L2239" s="403">
        <v>1280</v>
      </c>
      <c r="M2239" s="403" t="s">
        <v>1279</v>
      </c>
      <c r="N2239" s="403">
        <v>432</v>
      </c>
      <c r="O2239" s="403">
        <v>768</v>
      </c>
      <c r="P2239" t="str">
        <f t="shared" si="273"/>
        <v>50fps 720p full frame rate - SD ROI PTZ</v>
      </c>
      <c r="Q2239">
        <f t="shared" si="274"/>
        <v>12</v>
      </c>
      <c r="R2239" t="str">
        <f t="shared" si="275"/>
        <v/>
      </c>
      <c r="S2239" t="str">
        <f t="shared" si="276"/>
        <v/>
      </c>
      <c r="T2239" s="403" t="str">
        <f t="shared" si="277"/>
        <v>NBN-73013-BA</v>
      </c>
      <c r="U2239" s="403">
        <f t="shared" si="278"/>
        <v>1</v>
      </c>
      <c r="V2239" s="403" t="str">
        <f t="shared" si="279"/>
        <v>CPP_7</v>
      </c>
    </row>
    <row r="2240" spans="1:22">
      <c r="A2240" t="str">
        <f t="shared" si="272"/>
        <v>NBN-73013-BA</v>
      </c>
      <c r="B2240" s="403" t="s">
        <v>1390</v>
      </c>
      <c r="C2240" s="403" t="s">
        <v>583</v>
      </c>
      <c r="D2240" s="403" t="s">
        <v>1295</v>
      </c>
      <c r="E2240" s="403" t="s">
        <v>1296</v>
      </c>
      <c r="F2240" s="403" t="s">
        <v>1303</v>
      </c>
      <c r="G2240" s="403" t="s">
        <v>1467</v>
      </c>
      <c r="H2240" s="403" t="s">
        <v>1276</v>
      </c>
      <c r="I2240" s="403">
        <v>1</v>
      </c>
      <c r="J2240" s="403" t="s">
        <v>1289</v>
      </c>
      <c r="K2240" s="403">
        <v>720</v>
      </c>
      <c r="L2240" s="403">
        <v>1280</v>
      </c>
      <c r="M2240" s="403" t="s">
        <v>1298</v>
      </c>
      <c r="N2240" s="403">
        <v>432</v>
      </c>
      <c r="O2240" s="403">
        <v>768</v>
      </c>
      <c r="P2240" t="str">
        <f t="shared" si="273"/>
        <v>50fps 720p full frame rate - SD dual stream with independent ROI PTZ</v>
      </c>
      <c r="Q2240">
        <f t="shared" si="274"/>
        <v>12</v>
      </c>
      <c r="R2240" t="str">
        <f t="shared" si="275"/>
        <v/>
      </c>
      <c r="S2240" t="str">
        <f t="shared" si="276"/>
        <v/>
      </c>
      <c r="T2240" s="403" t="str">
        <f t="shared" si="277"/>
        <v>NBN-73013-BA</v>
      </c>
      <c r="U2240" s="403">
        <f t="shared" si="278"/>
        <v>1</v>
      </c>
      <c r="V2240" s="403" t="str">
        <f t="shared" si="279"/>
        <v>CPP_7</v>
      </c>
    </row>
    <row r="2241" spans="1:22">
      <c r="A2241" t="str">
        <f t="shared" si="272"/>
        <v>NBN-73013-BA</v>
      </c>
      <c r="B2241" s="403" t="s">
        <v>1390</v>
      </c>
      <c r="C2241" s="403" t="s">
        <v>583</v>
      </c>
      <c r="D2241" s="403" t="s">
        <v>1295</v>
      </c>
      <c r="E2241" s="403" t="s">
        <v>1296</v>
      </c>
      <c r="F2241" s="403" t="s">
        <v>1303</v>
      </c>
      <c r="G2241" s="403" t="s">
        <v>1467</v>
      </c>
      <c r="H2241" s="403" t="s">
        <v>1276</v>
      </c>
      <c r="I2241" s="403">
        <v>1</v>
      </c>
      <c r="J2241" s="403" t="s">
        <v>1289</v>
      </c>
      <c r="K2241" s="403">
        <v>720</v>
      </c>
      <c r="L2241" s="403">
        <v>1280</v>
      </c>
      <c r="M2241" s="403" t="s">
        <v>1301</v>
      </c>
      <c r="N2241" s="403">
        <v>720</v>
      </c>
      <c r="O2241" s="403">
        <v>1280</v>
      </c>
      <c r="P2241" t="str">
        <f t="shared" si="273"/>
        <v>50fps 720p full frame rate - 720p skip=4</v>
      </c>
      <c r="Q2241">
        <f t="shared" si="274"/>
        <v>12</v>
      </c>
      <c r="R2241" t="str">
        <f t="shared" si="275"/>
        <v/>
      </c>
      <c r="S2241" t="str">
        <f t="shared" si="276"/>
        <v/>
      </c>
      <c r="T2241" s="403" t="str">
        <f t="shared" si="277"/>
        <v>NBN-73013-BA</v>
      </c>
      <c r="U2241" s="403">
        <f t="shared" si="278"/>
        <v>1</v>
      </c>
      <c r="V2241" s="403" t="str">
        <f t="shared" si="279"/>
        <v>CPP_7</v>
      </c>
    </row>
    <row r="2242" spans="1:22">
      <c r="A2242" t="str">
        <f t="shared" ref="A2242:A2305" si="280">IF(AND(G2242&lt;&gt;"rotate 90°"),D2242,"")</f>
        <v>NBN-73013-BA</v>
      </c>
      <c r="B2242" s="403" t="s">
        <v>1390</v>
      </c>
      <c r="C2242" s="403" t="s">
        <v>583</v>
      </c>
      <c r="D2242" s="403" t="s">
        <v>1295</v>
      </c>
      <c r="E2242" s="403" t="s">
        <v>1296</v>
      </c>
      <c r="F2242" s="403" t="s">
        <v>1303</v>
      </c>
      <c r="G2242" s="403" t="s">
        <v>1467</v>
      </c>
      <c r="H2242" s="403" t="s">
        <v>1276</v>
      </c>
      <c r="I2242" s="403">
        <v>1</v>
      </c>
      <c r="J2242" s="403" t="s">
        <v>1289</v>
      </c>
      <c r="K2242" s="403">
        <v>720</v>
      </c>
      <c r="L2242" s="403">
        <v>1280</v>
      </c>
      <c r="M2242" s="403" t="s">
        <v>1280</v>
      </c>
      <c r="N2242" s="403">
        <v>720</v>
      </c>
      <c r="O2242" s="403">
        <v>1280</v>
      </c>
      <c r="P2242" t="str">
        <f t="shared" ref="P2242:P2305" si="281">LEFT(F2242,5)&amp;" "&amp;J2242&amp;" - "&amp;M2242</f>
        <v>50fps 720p full frame rate - copy other stream</v>
      </c>
      <c r="Q2242">
        <f t="shared" ref="Q2242:Q2305" si="282">IF(A2241=A2242,Q2241,Q2241+1)</f>
        <v>12</v>
      </c>
      <c r="R2242" t="str">
        <f t="shared" ref="R2242:R2305" si="283">IF(Q2241&lt;&gt;Q2242,Q2242,"")</f>
        <v/>
      </c>
      <c r="S2242" t="str">
        <f t="shared" ref="S2242:S2305" si="284">IF(R2242&lt;&gt;"",B2242&amp;" ("&amp;D2242&amp;")","")</f>
        <v/>
      </c>
      <c r="T2242" s="403" t="str">
        <f t="shared" ref="T2242:T2305" si="285">D2242</f>
        <v>NBN-73013-BA</v>
      </c>
      <c r="U2242" s="403">
        <f t="shared" ref="U2242:U2305" si="286">I2242</f>
        <v>1</v>
      </c>
      <c r="V2242" s="403" t="str">
        <f t="shared" ref="V2242:V2305" si="287">C2242</f>
        <v>CPP_7</v>
      </c>
    </row>
    <row r="2243" spans="1:22">
      <c r="A2243" t="str">
        <f t="shared" si="280"/>
        <v>NBN-73013-BA</v>
      </c>
      <c r="B2243" s="403" t="s">
        <v>1390</v>
      </c>
      <c r="C2243" s="403" t="s">
        <v>583</v>
      </c>
      <c r="D2243" s="403" t="s">
        <v>1295</v>
      </c>
      <c r="E2243" s="403" t="s">
        <v>1296</v>
      </c>
      <c r="F2243" s="403" t="s">
        <v>1303</v>
      </c>
      <c r="G2243" s="403" t="s">
        <v>1467</v>
      </c>
      <c r="H2243" s="403" t="s">
        <v>1276</v>
      </c>
      <c r="I2243" s="403">
        <v>1</v>
      </c>
      <c r="J2243" s="403" t="s">
        <v>1289</v>
      </c>
      <c r="K2243" s="403">
        <v>720</v>
      </c>
      <c r="L2243" s="403">
        <v>1280</v>
      </c>
      <c r="M2243" s="403" t="s">
        <v>1302</v>
      </c>
      <c r="N2243" s="403">
        <v>720</v>
      </c>
      <c r="O2243" s="403">
        <v>400</v>
      </c>
      <c r="P2243" t="str">
        <f t="shared" si="281"/>
        <v>50fps 720p full frame rate - 400x720 upright (cropped)</v>
      </c>
      <c r="Q2243">
        <f t="shared" si="282"/>
        <v>12</v>
      </c>
      <c r="R2243" t="str">
        <f t="shared" si="283"/>
        <v/>
      </c>
      <c r="S2243" t="str">
        <f t="shared" si="284"/>
        <v/>
      </c>
      <c r="T2243" s="403" t="str">
        <f t="shared" si="285"/>
        <v>NBN-73013-BA</v>
      </c>
      <c r="U2243" s="403">
        <f t="shared" si="286"/>
        <v>1</v>
      </c>
      <c r="V2243" s="403" t="str">
        <f t="shared" si="287"/>
        <v>CPP_7</v>
      </c>
    </row>
    <row r="2244" spans="1:22">
      <c r="A2244" t="str">
        <f t="shared" si="280"/>
        <v>NBN-73013-BA</v>
      </c>
      <c r="B2244" s="403" t="s">
        <v>1390</v>
      </c>
      <c r="C2244" s="403" t="s">
        <v>583</v>
      </c>
      <c r="D2244" s="403" t="s">
        <v>1295</v>
      </c>
      <c r="E2244" s="403" t="s">
        <v>1296</v>
      </c>
      <c r="F2244" s="403" t="s">
        <v>1303</v>
      </c>
      <c r="G2244" s="403" t="s">
        <v>1467</v>
      </c>
      <c r="H2244" s="403" t="s">
        <v>1276</v>
      </c>
      <c r="I2244" s="403">
        <v>1</v>
      </c>
      <c r="J2244" s="403" t="s">
        <v>1289</v>
      </c>
      <c r="K2244" s="403">
        <v>720</v>
      </c>
      <c r="L2244" s="403">
        <v>1280</v>
      </c>
      <c r="M2244" s="403" t="s">
        <v>1283</v>
      </c>
      <c r="N2244" s="403">
        <v>576</v>
      </c>
      <c r="O2244" s="403">
        <v>704</v>
      </c>
      <c r="P2244" t="str">
        <f t="shared" si="281"/>
        <v>50fps 720p full frame rate - SD 4CIF resolution 4:3 format (cropped)</v>
      </c>
      <c r="Q2244">
        <f t="shared" si="282"/>
        <v>12</v>
      </c>
      <c r="R2244" t="str">
        <f t="shared" si="283"/>
        <v/>
      </c>
      <c r="S2244" t="str">
        <f t="shared" si="284"/>
        <v/>
      </c>
      <c r="T2244" s="403" t="str">
        <f t="shared" si="285"/>
        <v>NBN-73013-BA</v>
      </c>
      <c r="U2244" s="403">
        <f t="shared" si="286"/>
        <v>1</v>
      </c>
      <c r="V2244" s="403" t="str">
        <f t="shared" si="287"/>
        <v>CPP_7</v>
      </c>
    </row>
    <row r="2245" spans="1:22">
      <c r="A2245" t="str">
        <f t="shared" si="280"/>
        <v>NBN-73013-BA</v>
      </c>
      <c r="B2245" s="403" t="s">
        <v>1390</v>
      </c>
      <c r="C2245" s="403" t="s">
        <v>583</v>
      </c>
      <c r="D2245" s="403" t="s">
        <v>1295</v>
      </c>
      <c r="E2245" s="403" t="s">
        <v>1296</v>
      </c>
      <c r="F2245" s="403" t="s">
        <v>1303</v>
      </c>
      <c r="G2245" s="403" t="s">
        <v>1467</v>
      </c>
      <c r="H2245" s="403" t="s">
        <v>1276</v>
      </c>
      <c r="I2245" s="403">
        <v>1</v>
      </c>
      <c r="J2245" s="403" t="s">
        <v>1289</v>
      </c>
      <c r="K2245" s="403">
        <v>720</v>
      </c>
      <c r="L2245" s="403">
        <v>1280</v>
      </c>
      <c r="M2245" s="403" t="s">
        <v>1284</v>
      </c>
      <c r="N2245" s="403">
        <v>480</v>
      </c>
      <c r="O2245" s="403">
        <v>640</v>
      </c>
      <c r="P2245" t="str">
        <f t="shared" si="281"/>
        <v>50fps 720p full frame rate - SD VGA (cropped)</v>
      </c>
      <c r="Q2245">
        <f t="shared" si="282"/>
        <v>12</v>
      </c>
      <c r="R2245" t="str">
        <f t="shared" si="283"/>
        <v/>
      </c>
      <c r="S2245" t="str">
        <f t="shared" si="284"/>
        <v/>
      </c>
      <c r="T2245" s="403" t="str">
        <f t="shared" si="285"/>
        <v>NBN-73013-BA</v>
      </c>
      <c r="U2245" s="403">
        <f t="shared" si="286"/>
        <v>1</v>
      </c>
      <c r="V2245" s="403" t="str">
        <f t="shared" si="287"/>
        <v>CPP_7</v>
      </c>
    </row>
    <row r="2246" spans="1:22">
      <c r="A2246" t="str">
        <f t="shared" si="280"/>
        <v>NBN-73013-BA</v>
      </c>
      <c r="B2246" s="403" t="s">
        <v>1390</v>
      </c>
      <c r="C2246" s="403" t="s">
        <v>583</v>
      </c>
      <c r="D2246" s="403" t="s">
        <v>1295</v>
      </c>
      <c r="E2246" s="403" t="s">
        <v>1296</v>
      </c>
      <c r="F2246" s="403" t="s">
        <v>1303</v>
      </c>
      <c r="G2246" s="403" t="s">
        <v>1467</v>
      </c>
      <c r="H2246" s="403" t="s">
        <v>1276</v>
      </c>
      <c r="I2246" s="403">
        <v>1</v>
      </c>
      <c r="J2246" s="403" t="s">
        <v>111</v>
      </c>
      <c r="K2246" s="403">
        <v>432</v>
      </c>
      <c r="L2246" s="403">
        <v>768</v>
      </c>
      <c r="M2246" s="403" t="s">
        <v>111</v>
      </c>
      <c r="N2246" s="403">
        <v>432</v>
      </c>
      <c r="O2246" s="403">
        <v>768</v>
      </c>
      <c r="P2246" t="str">
        <f t="shared" si="281"/>
        <v>50fps SD - SD</v>
      </c>
      <c r="Q2246">
        <f t="shared" si="282"/>
        <v>12</v>
      </c>
      <c r="R2246" t="str">
        <f t="shared" si="283"/>
        <v/>
      </c>
      <c r="S2246" t="str">
        <f t="shared" si="284"/>
        <v/>
      </c>
      <c r="T2246" s="403" t="str">
        <f t="shared" si="285"/>
        <v>NBN-73013-BA</v>
      </c>
      <c r="U2246" s="403">
        <f t="shared" si="286"/>
        <v>1</v>
      </c>
      <c r="V2246" s="403" t="str">
        <f t="shared" si="287"/>
        <v>CPP_7</v>
      </c>
    </row>
    <row r="2247" spans="1:22">
      <c r="A2247" t="str">
        <f t="shared" si="280"/>
        <v>NBN-73013-BA</v>
      </c>
      <c r="B2247" s="403" t="s">
        <v>1390</v>
      </c>
      <c r="C2247" s="403" t="s">
        <v>583</v>
      </c>
      <c r="D2247" s="403" t="s">
        <v>1295</v>
      </c>
      <c r="E2247" s="403" t="s">
        <v>1304</v>
      </c>
      <c r="F2247" s="403" t="s">
        <v>1297</v>
      </c>
      <c r="G2247" s="403" t="s">
        <v>1466</v>
      </c>
      <c r="H2247" s="403" t="s">
        <v>1276</v>
      </c>
      <c r="I2247" s="403">
        <v>1</v>
      </c>
      <c r="J2247" s="403" t="s">
        <v>109</v>
      </c>
      <c r="K2247" s="403">
        <v>1280</v>
      </c>
      <c r="L2247" s="403">
        <v>720</v>
      </c>
      <c r="M2247" s="403" t="s">
        <v>111</v>
      </c>
      <c r="N2247" s="403">
        <v>768</v>
      </c>
      <c r="O2247" s="403">
        <v>432</v>
      </c>
      <c r="P2247" t="str">
        <f t="shared" si="281"/>
        <v>30fps 720p - SD</v>
      </c>
      <c r="Q2247">
        <f t="shared" si="282"/>
        <v>12</v>
      </c>
      <c r="R2247" t="str">
        <f t="shared" si="283"/>
        <v/>
      </c>
      <c r="S2247" t="str">
        <f t="shared" si="284"/>
        <v/>
      </c>
      <c r="T2247" s="403" t="str">
        <f t="shared" si="285"/>
        <v>NBN-73013-BA</v>
      </c>
      <c r="U2247" s="403">
        <f t="shared" si="286"/>
        <v>1</v>
      </c>
      <c r="V2247" s="403" t="str">
        <f t="shared" si="287"/>
        <v>CPP_7</v>
      </c>
    </row>
    <row r="2248" spans="1:22">
      <c r="A2248" t="str">
        <f t="shared" si="280"/>
        <v>NBN-73013-BA</v>
      </c>
      <c r="B2248" s="403" t="s">
        <v>1390</v>
      </c>
      <c r="C2248" s="403" t="s">
        <v>583</v>
      </c>
      <c r="D2248" s="403" t="s">
        <v>1295</v>
      </c>
      <c r="E2248" s="403" t="s">
        <v>1304</v>
      </c>
      <c r="F2248" s="403" t="s">
        <v>1297</v>
      </c>
      <c r="G2248" s="403" t="s">
        <v>1466</v>
      </c>
      <c r="H2248" s="403" t="s">
        <v>1276</v>
      </c>
      <c r="I2248" s="403">
        <v>1</v>
      </c>
      <c r="J2248" s="403" t="s">
        <v>109</v>
      </c>
      <c r="K2248" s="403">
        <v>1280</v>
      </c>
      <c r="L2248" s="403">
        <v>720</v>
      </c>
      <c r="M2248" s="403" t="s">
        <v>109</v>
      </c>
      <c r="N2248" s="403">
        <v>1280</v>
      </c>
      <c r="O2248" s="403">
        <v>720</v>
      </c>
      <c r="P2248" t="str">
        <f t="shared" si="281"/>
        <v>30fps 720p - 720p</v>
      </c>
      <c r="Q2248">
        <f t="shared" si="282"/>
        <v>12</v>
      </c>
      <c r="R2248" t="str">
        <f t="shared" si="283"/>
        <v/>
      </c>
      <c r="S2248" t="str">
        <f t="shared" si="284"/>
        <v/>
      </c>
      <c r="T2248" s="403" t="str">
        <f t="shared" si="285"/>
        <v>NBN-73013-BA</v>
      </c>
      <c r="U2248" s="403">
        <f t="shared" si="286"/>
        <v>1</v>
      </c>
      <c r="V2248" s="403" t="str">
        <f t="shared" si="287"/>
        <v>CPP_7</v>
      </c>
    </row>
    <row r="2249" spans="1:22">
      <c r="A2249" t="str">
        <f t="shared" si="280"/>
        <v>NBN-73013-BA</v>
      </c>
      <c r="B2249" s="403" t="s">
        <v>1390</v>
      </c>
      <c r="C2249" s="403" t="s">
        <v>583</v>
      </c>
      <c r="D2249" s="403" t="s">
        <v>1295</v>
      </c>
      <c r="E2249" s="403" t="s">
        <v>1304</v>
      </c>
      <c r="F2249" s="403" t="s">
        <v>1297</v>
      </c>
      <c r="G2249" s="403" t="s">
        <v>1466</v>
      </c>
      <c r="H2249" s="403" t="s">
        <v>1276</v>
      </c>
      <c r="I2249" s="403">
        <v>1</v>
      </c>
      <c r="J2249" s="403" t="s">
        <v>109</v>
      </c>
      <c r="K2249" s="403">
        <v>1280</v>
      </c>
      <c r="L2249" s="403">
        <v>720</v>
      </c>
      <c r="M2249" s="403" t="s">
        <v>1279</v>
      </c>
      <c r="N2249" s="403">
        <v>768</v>
      </c>
      <c r="O2249" s="403">
        <v>432</v>
      </c>
      <c r="P2249" t="str">
        <f t="shared" si="281"/>
        <v>30fps 720p - SD ROI PTZ</v>
      </c>
      <c r="Q2249">
        <f t="shared" si="282"/>
        <v>12</v>
      </c>
      <c r="R2249" t="str">
        <f t="shared" si="283"/>
        <v/>
      </c>
      <c r="S2249" t="str">
        <f t="shared" si="284"/>
        <v/>
      </c>
      <c r="T2249" s="403" t="str">
        <f t="shared" si="285"/>
        <v>NBN-73013-BA</v>
      </c>
      <c r="U2249" s="403">
        <f t="shared" si="286"/>
        <v>1</v>
      </c>
      <c r="V2249" s="403" t="str">
        <f t="shared" si="287"/>
        <v>CPP_7</v>
      </c>
    </row>
    <row r="2250" spans="1:22">
      <c r="A2250" t="str">
        <f t="shared" si="280"/>
        <v>NBN-73013-BA</v>
      </c>
      <c r="B2250" s="403" t="s">
        <v>1390</v>
      </c>
      <c r="C2250" s="403" t="s">
        <v>583</v>
      </c>
      <c r="D2250" s="403" t="s">
        <v>1295</v>
      </c>
      <c r="E2250" s="403" t="s">
        <v>1304</v>
      </c>
      <c r="F2250" s="403" t="s">
        <v>1297</v>
      </c>
      <c r="G2250" s="403" t="s">
        <v>1466</v>
      </c>
      <c r="H2250" s="403" t="s">
        <v>1276</v>
      </c>
      <c r="I2250" s="403">
        <v>1</v>
      </c>
      <c r="J2250" s="403" t="s">
        <v>109</v>
      </c>
      <c r="K2250" s="403">
        <v>1280</v>
      </c>
      <c r="L2250" s="403">
        <v>720</v>
      </c>
      <c r="M2250" s="403" t="s">
        <v>1298</v>
      </c>
      <c r="N2250" s="403">
        <v>768</v>
      </c>
      <c r="O2250" s="403">
        <v>432</v>
      </c>
      <c r="P2250" t="str">
        <f t="shared" si="281"/>
        <v>30fps 720p - SD dual stream with independent ROI PTZ</v>
      </c>
      <c r="Q2250">
        <f t="shared" si="282"/>
        <v>12</v>
      </c>
      <c r="R2250" t="str">
        <f t="shared" si="283"/>
        <v/>
      </c>
      <c r="S2250" t="str">
        <f t="shared" si="284"/>
        <v/>
      </c>
      <c r="T2250" s="403" t="str">
        <f t="shared" si="285"/>
        <v>NBN-73013-BA</v>
      </c>
      <c r="U2250" s="403">
        <f t="shared" si="286"/>
        <v>1</v>
      </c>
      <c r="V2250" s="403" t="str">
        <f t="shared" si="287"/>
        <v>CPP_7</v>
      </c>
    </row>
    <row r="2251" spans="1:22">
      <c r="A2251" t="str">
        <f t="shared" si="280"/>
        <v>NBN-73013-BA</v>
      </c>
      <c r="B2251" s="403" t="s">
        <v>1390</v>
      </c>
      <c r="C2251" s="403" t="s">
        <v>583</v>
      </c>
      <c r="D2251" s="403" t="s">
        <v>1295</v>
      </c>
      <c r="E2251" s="403" t="s">
        <v>1304</v>
      </c>
      <c r="F2251" s="403" t="s">
        <v>1297</v>
      </c>
      <c r="G2251" s="403" t="s">
        <v>1466</v>
      </c>
      <c r="H2251" s="403" t="s">
        <v>1276</v>
      </c>
      <c r="I2251" s="403">
        <v>1</v>
      </c>
      <c r="J2251" s="403" t="s">
        <v>109</v>
      </c>
      <c r="K2251" s="403">
        <v>1280</v>
      </c>
      <c r="L2251" s="403">
        <v>720</v>
      </c>
      <c r="M2251" s="403" t="s">
        <v>1283</v>
      </c>
      <c r="N2251" s="403">
        <v>704</v>
      </c>
      <c r="O2251" s="403">
        <v>480</v>
      </c>
      <c r="P2251" t="str">
        <f t="shared" si="281"/>
        <v>30fps 720p - SD 4CIF resolution 4:3 format (cropped)</v>
      </c>
      <c r="Q2251">
        <f t="shared" si="282"/>
        <v>12</v>
      </c>
      <c r="R2251" t="str">
        <f t="shared" si="283"/>
        <v/>
      </c>
      <c r="S2251" t="str">
        <f t="shared" si="284"/>
        <v/>
      </c>
      <c r="T2251" s="403" t="str">
        <f t="shared" si="285"/>
        <v>NBN-73013-BA</v>
      </c>
      <c r="U2251" s="403">
        <f t="shared" si="286"/>
        <v>1</v>
      </c>
      <c r="V2251" s="403" t="str">
        <f t="shared" si="287"/>
        <v>CPP_7</v>
      </c>
    </row>
    <row r="2252" spans="1:22">
      <c r="A2252" t="str">
        <f t="shared" si="280"/>
        <v>NBN-73013-BA</v>
      </c>
      <c r="B2252" s="403" t="s">
        <v>1390</v>
      </c>
      <c r="C2252" s="403" t="s">
        <v>583</v>
      </c>
      <c r="D2252" s="403" t="s">
        <v>1295</v>
      </c>
      <c r="E2252" s="403" t="s">
        <v>1304</v>
      </c>
      <c r="F2252" s="403" t="s">
        <v>1297</v>
      </c>
      <c r="G2252" s="403" t="s">
        <v>1466</v>
      </c>
      <c r="H2252" s="403" t="s">
        <v>1276</v>
      </c>
      <c r="I2252" s="403">
        <v>1</v>
      </c>
      <c r="J2252" s="403" t="s">
        <v>109</v>
      </c>
      <c r="K2252" s="403">
        <v>1280</v>
      </c>
      <c r="L2252" s="403">
        <v>720</v>
      </c>
      <c r="M2252" s="403" t="s">
        <v>1284</v>
      </c>
      <c r="N2252" s="403">
        <v>640</v>
      </c>
      <c r="O2252" s="403">
        <v>480</v>
      </c>
      <c r="P2252" t="str">
        <f t="shared" si="281"/>
        <v>30fps 720p - SD VGA (cropped)</v>
      </c>
      <c r="Q2252">
        <f t="shared" si="282"/>
        <v>12</v>
      </c>
      <c r="R2252" t="str">
        <f t="shared" si="283"/>
        <v/>
      </c>
      <c r="S2252" t="str">
        <f t="shared" si="284"/>
        <v/>
      </c>
      <c r="T2252" s="403" t="str">
        <f t="shared" si="285"/>
        <v>NBN-73013-BA</v>
      </c>
      <c r="U2252" s="403">
        <f t="shared" si="286"/>
        <v>1</v>
      </c>
      <c r="V2252" s="403" t="str">
        <f t="shared" si="287"/>
        <v>CPP_7</v>
      </c>
    </row>
    <row r="2253" spans="1:22">
      <c r="A2253" t="str">
        <f t="shared" si="280"/>
        <v>NBN-73013-BA</v>
      </c>
      <c r="B2253" s="403" t="s">
        <v>1390</v>
      </c>
      <c r="C2253" s="403" t="s">
        <v>583</v>
      </c>
      <c r="D2253" s="403" t="s">
        <v>1295</v>
      </c>
      <c r="E2253" s="403" t="s">
        <v>1304</v>
      </c>
      <c r="F2253" s="403" t="s">
        <v>1297</v>
      </c>
      <c r="G2253" s="403" t="s">
        <v>1466</v>
      </c>
      <c r="H2253" s="403" t="s">
        <v>1276</v>
      </c>
      <c r="I2253" s="403">
        <v>1</v>
      </c>
      <c r="J2253" s="403" t="s">
        <v>111</v>
      </c>
      <c r="K2253" s="403">
        <v>768</v>
      </c>
      <c r="L2253" s="403">
        <v>432</v>
      </c>
      <c r="M2253" s="403" t="s">
        <v>111</v>
      </c>
      <c r="N2253" s="403">
        <v>768</v>
      </c>
      <c r="O2253" s="403">
        <v>432</v>
      </c>
      <c r="P2253" t="str">
        <f t="shared" si="281"/>
        <v>30fps SD - SD</v>
      </c>
      <c r="Q2253">
        <f t="shared" si="282"/>
        <v>12</v>
      </c>
      <c r="R2253" t="str">
        <f t="shared" si="283"/>
        <v/>
      </c>
      <c r="S2253" t="str">
        <f t="shared" si="284"/>
        <v/>
      </c>
      <c r="T2253" s="403" t="str">
        <f t="shared" si="285"/>
        <v>NBN-73013-BA</v>
      </c>
      <c r="U2253" s="403">
        <f t="shared" si="286"/>
        <v>1</v>
      </c>
      <c r="V2253" s="403" t="str">
        <f t="shared" si="287"/>
        <v>CPP_7</v>
      </c>
    </row>
    <row r="2254" spans="1:22">
      <c r="A2254" t="str">
        <f t="shared" si="280"/>
        <v>NBN-73013-BA</v>
      </c>
      <c r="B2254" s="403" t="s">
        <v>1390</v>
      </c>
      <c r="C2254" s="403" t="s">
        <v>583</v>
      </c>
      <c r="D2254" s="403" t="s">
        <v>1295</v>
      </c>
      <c r="E2254" s="403" t="s">
        <v>1304</v>
      </c>
      <c r="F2254" s="403" t="s">
        <v>1297</v>
      </c>
      <c r="G2254" s="403" t="s">
        <v>1467</v>
      </c>
      <c r="H2254" s="403" t="s">
        <v>1276</v>
      </c>
      <c r="I2254" s="403">
        <v>1</v>
      </c>
      <c r="J2254" s="403" t="s">
        <v>109</v>
      </c>
      <c r="K2254" s="403">
        <v>720</v>
      </c>
      <c r="L2254" s="403">
        <v>1280</v>
      </c>
      <c r="M2254" s="403" t="s">
        <v>111</v>
      </c>
      <c r="N2254" s="403">
        <v>432</v>
      </c>
      <c r="O2254" s="403">
        <v>768</v>
      </c>
      <c r="P2254" t="str">
        <f t="shared" si="281"/>
        <v>30fps 720p - SD</v>
      </c>
      <c r="Q2254">
        <f t="shared" si="282"/>
        <v>12</v>
      </c>
      <c r="R2254" t="str">
        <f t="shared" si="283"/>
        <v/>
      </c>
      <c r="S2254" t="str">
        <f t="shared" si="284"/>
        <v/>
      </c>
      <c r="T2254" s="403" t="str">
        <f t="shared" si="285"/>
        <v>NBN-73013-BA</v>
      </c>
      <c r="U2254" s="403">
        <f t="shared" si="286"/>
        <v>1</v>
      </c>
      <c r="V2254" s="403" t="str">
        <f t="shared" si="287"/>
        <v>CPP_7</v>
      </c>
    </row>
    <row r="2255" spans="1:22">
      <c r="A2255" t="str">
        <f t="shared" si="280"/>
        <v>NBN-73013-BA</v>
      </c>
      <c r="B2255" s="403" t="s">
        <v>1390</v>
      </c>
      <c r="C2255" s="403" t="s">
        <v>583</v>
      </c>
      <c r="D2255" s="403" t="s">
        <v>1295</v>
      </c>
      <c r="E2255" s="403" t="s">
        <v>1304</v>
      </c>
      <c r="F2255" s="403" t="s">
        <v>1297</v>
      </c>
      <c r="G2255" s="403" t="s">
        <v>1467</v>
      </c>
      <c r="H2255" s="403" t="s">
        <v>1276</v>
      </c>
      <c r="I2255" s="403">
        <v>1</v>
      </c>
      <c r="J2255" s="403" t="s">
        <v>109</v>
      </c>
      <c r="K2255" s="403">
        <v>720</v>
      </c>
      <c r="L2255" s="403">
        <v>1280</v>
      </c>
      <c r="M2255" s="403" t="s">
        <v>109</v>
      </c>
      <c r="N2255" s="403">
        <v>720</v>
      </c>
      <c r="O2255" s="403">
        <v>1280</v>
      </c>
      <c r="P2255" t="str">
        <f t="shared" si="281"/>
        <v>30fps 720p - 720p</v>
      </c>
      <c r="Q2255">
        <f t="shared" si="282"/>
        <v>12</v>
      </c>
      <c r="R2255" t="str">
        <f t="shared" si="283"/>
        <v/>
      </c>
      <c r="S2255" t="str">
        <f t="shared" si="284"/>
        <v/>
      </c>
      <c r="T2255" s="403" t="str">
        <f t="shared" si="285"/>
        <v>NBN-73013-BA</v>
      </c>
      <c r="U2255" s="403">
        <f t="shared" si="286"/>
        <v>1</v>
      </c>
      <c r="V2255" s="403" t="str">
        <f t="shared" si="287"/>
        <v>CPP_7</v>
      </c>
    </row>
    <row r="2256" spans="1:22">
      <c r="A2256" t="str">
        <f t="shared" si="280"/>
        <v>NBN-73013-BA</v>
      </c>
      <c r="B2256" s="403" t="s">
        <v>1390</v>
      </c>
      <c r="C2256" s="403" t="s">
        <v>583</v>
      </c>
      <c r="D2256" s="403" t="s">
        <v>1295</v>
      </c>
      <c r="E2256" s="403" t="s">
        <v>1304</v>
      </c>
      <c r="F2256" s="403" t="s">
        <v>1297</v>
      </c>
      <c r="G2256" s="403" t="s">
        <v>1467</v>
      </c>
      <c r="H2256" s="403" t="s">
        <v>1276</v>
      </c>
      <c r="I2256" s="403">
        <v>1</v>
      </c>
      <c r="J2256" s="403" t="s">
        <v>109</v>
      </c>
      <c r="K2256" s="403">
        <v>720</v>
      </c>
      <c r="L2256" s="403">
        <v>1280</v>
      </c>
      <c r="M2256" s="403" t="s">
        <v>1279</v>
      </c>
      <c r="N2256" s="403">
        <v>432</v>
      </c>
      <c r="O2256" s="403">
        <v>768</v>
      </c>
      <c r="P2256" t="str">
        <f t="shared" si="281"/>
        <v>30fps 720p - SD ROI PTZ</v>
      </c>
      <c r="Q2256">
        <f t="shared" si="282"/>
        <v>12</v>
      </c>
      <c r="R2256" t="str">
        <f t="shared" si="283"/>
        <v/>
      </c>
      <c r="S2256" t="str">
        <f t="shared" si="284"/>
        <v/>
      </c>
      <c r="T2256" s="403" t="str">
        <f t="shared" si="285"/>
        <v>NBN-73013-BA</v>
      </c>
      <c r="U2256" s="403">
        <f t="shared" si="286"/>
        <v>1</v>
      </c>
      <c r="V2256" s="403" t="str">
        <f t="shared" si="287"/>
        <v>CPP_7</v>
      </c>
    </row>
    <row r="2257" spans="1:22">
      <c r="A2257" t="str">
        <f t="shared" si="280"/>
        <v>NBN-73013-BA</v>
      </c>
      <c r="B2257" s="403" t="s">
        <v>1390</v>
      </c>
      <c r="C2257" s="403" t="s">
        <v>583</v>
      </c>
      <c r="D2257" s="403" t="s">
        <v>1295</v>
      </c>
      <c r="E2257" s="403" t="s">
        <v>1304</v>
      </c>
      <c r="F2257" s="403" t="s">
        <v>1297</v>
      </c>
      <c r="G2257" s="403" t="s">
        <v>1467</v>
      </c>
      <c r="H2257" s="403" t="s">
        <v>1276</v>
      </c>
      <c r="I2257" s="403">
        <v>1</v>
      </c>
      <c r="J2257" s="403" t="s">
        <v>109</v>
      </c>
      <c r="K2257" s="403">
        <v>720</v>
      </c>
      <c r="L2257" s="403">
        <v>1280</v>
      </c>
      <c r="M2257" s="403" t="s">
        <v>1298</v>
      </c>
      <c r="N2257" s="403">
        <v>432</v>
      </c>
      <c r="O2257" s="403">
        <v>768</v>
      </c>
      <c r="P2257" t="str">
        <f t="shared" si="281"/>
        <v>30fps 720p - SD dual stream with independent ROI PTZ</v>
      </c>
      <c r="Q2257">
        <f t="shared" si="282"/>
        <v>12</v>
      </c>
      <c r="R2257" t="str">
        <f t="shared" si="283"/>
        <v/>
      </c>
      <c r="S2257" t="str">
        <f t="shared" si="284"/>
        <v/>
      </c>
      <c r="T2257" s="403" t="str">
        <f t="shared" si="285"/>
        <v>NBN-73013-BA</v>
      </c>
      <c r="U2257" s="403">
        <f t="shared" si="286"/>
        <v>1</v>
      </c>
      <c r="V2257" s="403" t="str">
        <f t="shared" si="287"/>
        <v>CPP_7</v>
      </c>
    </row>
    <row r="2258" spans="1:22">
      <c r="A2258" t="str">
        <f t="shared" si="280"/>
        <v>NBN-73013-BA</v>
      </c>
      <c r="B2258" s="403" t="s">
        <v>1390</v>
      </c>
      <c r="C2258" s="403" t="s">
        <v>583</v>
      </c>
      <c r="D2258" s="403" t="s">
        <v>1295</v>
      </c>
      <c r="E2258" s="403" t="s">
        <v>1304</v>
      </c>
      <c r="F2258" s="403" t="s">
        <v>1297</v>
      </c>
      <c r="G2258" s="403" t="s">
        <v>1467</v>
      </c>
      <c r="H2258" s="403" t="s">
        <v>1276</v>
      </c>
      <c r="I2258" s="403">
        <v>1</v>
      </c>
      <c r="J2258" s="403" t="s">
        <v>109</v>
      </c>
      <c r="K2258" s="403">
        <v>720</v>
      </c>
      <c r="L2258" s="403">
        <v>1280</v>
      </c>
      <c r="M2258" s="403" t="s">
        <v>1283</v>
      </c>
      <c r="N2258" s="403">
        <v>480</v>
      </c>
      <c r="O2258" s="403">
        <v>704</v>
      </c>
      <c r="P2258" t="str">
        <f t="shared" si="281"/>
        <v>30fps 720p - SD 4CIF resolution 4:3 format (cropped)</v>
      </c>
      <c r="Q2258">
        <f t="shared" si="282"/>
        <v>12</v>
      </c>
      <c r="R2258" t="str">
        <f t="shared" si="283"/>
        <v/>
      </c>
      <c r="S2258" t="str">
        <f t="shared" si="284"/>
        <v/>
      </c>
      <c r="T2258" s="403" t="str">
        <f t="shared" si="285"/>
        <v>NBN-73013-BA</v>
      </c>
      <c r="U2258" s="403">
        <f t="shared" si="286"/>
        <v>1</v>
      </c>
      <c r="V2258" s="403" t="str">
        <f t="shared" si="287"/>
        <v>CPP_7</v>
      </c>
    </row>
    <row r="2259" spans="1:22">
      <c r="A2259" t="str">
        <f t="shared" si="280"/>
        <v>NBN-73013-BA</v>
      </c>
      <c r="B2259" s="403" t="s">
        <v>1390</v>
      </c>
      <c r="C2259" s="403" t="s">
        <v>583</v>
      </c>
      <c r="D2259" s="403" t="s">
        <v>1295</v>
      </c>
      <c r="E2259" s="403" t="s">
        <v>1304</v>
      </c>
      <c r="F2259" s="403" t="s">
        <v>1297</v>
      </c>
      <c r="G2259" s="403" t="s">
        <v>1467</v>
      </c>
      <c r="H2259" s="403" t="s">
        <v>1276</v>
      </c>
      <c r="I2259" s="403">
        <v>1</v>
      </c>
      <c r="J2259" s="403" t="s">
        <v>109</v>
      </c>
      <c r="K2259" s="403">
        <v>720</v>
      </c>
      <c r="L2259" s="403">
        <v>1280</v>
      </c>
      <c r="M2259" s="403" t="s">
        <v>1284</v>
      </c>
      <c r="N2259" s="403">
        <v>480</v>
      </c>
      <c r="O2259" s="403">
        <v>640</v>
      </c>
      <c r="P2259" t="str">
        <f t="shared" si="281"/>
        <v>30fps 720p - SD VGA (cropped)</v>
      </c>
      <c r="Q2259">
        <f t="shared" si="282"/>
        <v>12</v>
      </c>
      <c r="R2259" t="str">
        <f t="shared" si="283"/>
        <v/>
      </c>
      <c r="S2259" t="str">
        <f t="shared" si="284"/>
        <v/>
      </c>
      <c r="T2259" s="403" t="str">
        <f t="shared" si="285"/>
        <v>NBN-73013-BA</v>
      </c>
      <c r="U2259" s="403">
        <f t="shared" si="286"/>
        <v>1</v>
      </c>
      <c r="V2259" s="403" t="str">
        <f t="shared" si="287"/>
        <v>CPP_7</v>
      </c>
    </row>
    <row r="2260" spans="1:22">
      <c r="A2260" t="str">
        <f t="shared" si="280"/>
        <v>NBN-73013-BA</v>
      </c>
      <c r="B2260" s="403" t="s">
        <v>1390</v>
      </c>
      <c r="C2260" s="403" t="s">
        <v>583</v>
      </c>
      <c r="D2260" s="403" t="s">
        <v>1295</v>
      </c>
      <c r="E2260" s="403" t="s">
        <v>1304</v>
      </c>
      <c r="F2260" s="403" t="s">
        <v>1297</v>
      </c>
      <c r="G2260" s="403" t="s">
        <v>1467</v>
      </c>
      <c r="H2260" s="403" t="s">
        <v>1276</v>
      </c>
      <c r="I2260" s="403">
        <v>1</v>
      </c>
      <c r="J2260" s="403" t="s">
        <v>111</v>
      </c>
      <c r="K2260" s="403">
        <v>432</v>
      </c>
      <c r="L2260" s="403">
        <v>768</v>
      </c>
      <c r="M2260" s="403" t="s">
        <v>111</v>
      </c>
      <c r="N2260" s="403">
        <v>432</v>
      </c>
      <c r="O2260" s="403">
        <v>768</v>
      </c>
      <c r="P2260" t="str">
        <f t="shared" si="281"/>
        <v>30fps SD - SD</v>
      </c>
      <c r="Q2260">
        <f t="shared" si="282"/>
        <v>12</v>
      </c>
      <c r="R2260" t="str">
        <f t="shared" si="283"/>
        <v/>
      </c>
      <c r="S2260" t="str">
        <f t="shared" si="284"/>
        <v/>
      </c>
      <c r="T2260" s="403" t="str">
        <f t="shared" si="285"/>
        <v>NBN-73013-BA</v>
      </c>
      <c r="U2260" s="403">
        <f t="shared" si="286"/>
        <v>1</v>
      </c>
      <c r="V2260" s="403" t="str">
        <f t="shared" si="287"/>
        <v>CPP_7</v>
      </c>
    </row>
    <row r="2261" spans="1:22">
      <c r="A2261" t="str">
        <f t="shared" si="280"/>
        <v>NBN-73013-BA</v>
      </c>
      <c r="B2261" s="403" t="s">
        <v>1390</v>
      </c>
      <c r="C2261" s="403" t="s">
        <v>583</v>
      </c>
      <c r="D2261" s="403" t="s">
        <v>1295</v>
      </c>
      <c r="E2261" s="403" t="s">
        <v>1304</v>
      </c>
      <c r="F2261" s="403" t="s">
        <v>1299</v>
      </c>
      <c r="G2261" s="403" t="s">
        <v>1466</v>
      </c>
      <c r="H2261" s="403" t="s">
        <v>1276</v>
      </c>
      <c r="I2261" s="403">
        <v>1</v>
      </c>
      <c r="J2261" s="403" t="s">
        <v>109</v>
      </c>
      <c r="K2261" s="403">
        <v>1280</v>
      </c>
      <c r="L2261" s="403">
        <v>720</v>
      </c>
      <c r="M2261" s="403" t="s">
        <v>111</v>
      </c>
      <c r="N2261" s="403">
        <v>768</v>
      </c>
      <c r="O2261" s="403">
        <v>432</v>
      </c>
      <c r="P2261" t="str">
        <f t="shared" si="281"/>
        <v>25fps 720p - SD</v>
      </c>
      <c r="Q2261">
        <f t="shared" si="282"/>
        <v>12</v>
      </c>
      <c r="R2261" t="str">
        <f t="shared" si="283"/>
        <v/>
      </c>
      <c r="S2261" t="str">
        <f t="shared" si="284"/>
        <v/>
      </c>
      <c r="T2261" s="403" t="str">
        <f t="shared" si="285"/>
        <v>NBN-73013-BA</v>
      </c>
      <c r="U2261" s="403">
        <f t="shared" si="286"/>
        <v>1</v>
      </c>
      <c r="V2261" s="403" t="str">
        <f t="shared" si="287"/>
        <v>CPP_7</v>
      </c>
    </row>
    <row r="2262" spans="1:22">
      <c r="A2262" t="str">
        <f t="shared" si="280"/>
        <v>NBN-73013-BA</v>
      </c>
      <c r="B2262" s="403" t="s">
        <v>1390</v>
      </c>
      <c r="C2262" s="403" t="s">
        <v>583</v>
      </c>
      <c r="D2262" s="403" t="s">
        <v>1295</v>
      </c>
      <c r="E2262" s="403" t="s">
        <v>1304</v>
      </c>
      <c r="F2262" s="403" t="s">
        <v>1299</v>
      </c>
      <c r="G2262" s="403" t="s">
        <v>1466</v>
      </c>
      <c r="H2262" s="403" t="s">
        <v>1276</v>
      </c>
      <c r="I2262" s="403">
        <v>1</v>
      </c>
      <c r="J2262" s="403" t="s">
        <v>109</v>
      </c>
      <c r="K2262" s="403">
        <v>1280</v>
      </c>
      <c r="L2262" s="403">
        <v>720</v>
      </c>
      <c r="M2262" s="403" t="s">
        <v>109</v>
      </c>
      <c r="N2262" s="403">
        <v>1280</v>
      </c>
      <c r="O2262" s="403">
        <v>720</v>
      </c>
      <c r="P2262" t="str">
        <f t="shared" si="281"/>
        <v>25fps 720p - 720p</v>
      </c>
      <c r="Q2262">
        <f t="shared" si="282"/>
        <v>12</v>
      </c>
      <c r="R2262" t="str">
        <f t="shared" si="283"/>
        <v/>
      </c>
      <c r="S2262" t="str">
        <f t="shared" si="284"/>
        <v/>
      </c>
      <c r="T2262" s="403" t="str">
        <f t="shared" si="285"/>
        <v>NBN-73013-BA</v>
      </c>
      <c r="U2262" s="403">
        <f t="shared" si="286"/>
        <v>1</v>
      </c>
      <c r="V2262" s="403" t="str">
        <f t="shared" si="287"/>
        <v>CPP_7</v>
      </c>
    </row>
    <row r="2263" spans="1:22">
      <c r="A2263" t="str">
        <f t="shared" si="280"/>
        <v>NBN-73013-BA</v>
      </c>
      <c r="B2263" s="403" t="s">
        <v>1390</v>
      </c>
      <c r="C2263" s="403" t="s">
        <v>583</v>
      </c>
      <c r="D2263" s="403" t="s">
        <v>1295</v>
      </c>
      <c r="E2263" s="403" t="s">
        <v>1304</v>
      </c>
      <c r="F2263" s="403" t="s">
        <v>1299</v>
      </c>
      <c r="G2263" s="403" t="s">
        <v>1466</v>
      </c>
      <c r="H2263" s="403" t="s">
        <v>1276</v>
      </c>
      <c r="I2263" s="403">
        <v>1</v>
      </c>
      <c r="J2263" s="403" t="s">
        <v>109</v>
      </c>
      <c r="K2263" s="403">
        <v>1280</v>
      </c>
      <c r="L2263" s="403">
        <v>720</v>
      </c>
      <c r="M2263" s="403" t="s">
        <v>1279</v>
      </c>
      <c r="N2263" s="403">
        <v>768</v>
      </c>
      <c r="O2263" s="403">
        <v>432</v>
      </c>
      <c r="P2263" t="str">
        <f t="shared" si="281"/>
        <v>25fps 720p - SD ROI PTZ</v>
      </c>
      <c r="Q2263">
        <f t="shared" si="282"/>
        <v>12</v>
      </c>
      <c r="R2263" t="str">
        <f t="shared" si="283"/>
        <v/>
      </c>
      <c r="S2263" t="str">
        <f t="shared" si="284"/>
        <v/>
      </c>
      <c r="T2263" s="403" t="str">
        <f t="shared" si="285"/>
        <v>NBN-73013-BA</v>
      </c>
      <c r="U2263" s="403">
        <f t="shared" si="286"/>
        <v>1</v>
      </c>
      <c r="V2263" s="403" t="str">
        <f t="shared" si="287"/>
        <v>CPP_7</v>
      </c>
    </row>
    <row r="2264" spans="1:22">
      <c r="A2264" t="str">
        <f t="shared" si="280"/>
        <v>NBN-73013-BA</v>
      </c>
      <c r="B2264" s="403" t="s">
        <v>1390</v>
      </c>
      <c r="C2264" s="403" t="s">
        <v>583</v>
      </c>
      <c r="D2264" s="403" t="s">
        <v>1295</v>
      </c>
      <c r="E2264" s="403" t="s">
        <v>1304</v>
      </c>
      <c r="F2264" s="403" t="s">
        <v>1299</v>
      </c>
      <c r="G2264" s="403" t="s">
        <v>1466</v>
      </c>
      <c r="H2264" s="403" t="s">
        <v>1276</v>
      </c>
      <c r="I2264" s="403">
        <v>1</v>
      </c>
      <c r="J2264" s="403" t="s">
        <v>109</v>
      </c>
      <c r="K2264" s="403">
        <v>1280</v>
      </c>
      <c r="L2264" s="403">
        <v>720</v>
      </c>
      <c r="M2264" s="403" t="s">
        <v>1298</v>
      </c>
      <c r="N2264" s="403">
        <v>768</v>
      </c>
      <c r="O2264" s="403">
        <v>432</v>
      </c>
      <c r="P2264" t="str">
        <f t="shared" si="281"/>
        <v>25fps 720p - SD dual stream with independent ROI PTZ</v>
      </c>
      <c r="Q2264">
        <f t="shared" si="282"/>
        <v>12</v>
      </c>
      <c r="R2264" t="str">
        <f t="shared" si="283"/>
        <v/>
      </c>
      <c r="S2264" t="str">
        <f t="shared" si="284"/>
        <v/>
      </c>
      <c r="T2264" s="403" t="str">
        <f t="shared" si="285"/>
        <v>NBN-73013-BA</v>
      </c>
      <c r="U2264" s="403">
        <f t="shared" si="286"/>
        <v>1</v>
      </c>
      <c r="V2264" s="403" t="str">
        <f t="shared" si="287"/>
        <v>CPP_7</v>
      </c>
    </row>
    <row r="2265" spans="1:22">
      <c r="A2265" t="str">
        <f t="shared" si="280"/>
        <v>NBN-73013-BA</v>
      </c>
      <c r="B2265" s="403" t="s">
        <v>1390</v>
      </c>
      <c r="C2265" s="403" t="s">
        <v>583</v>
      </c>
      <c r="D2265" s="403" t="s">
        <v>1295</v>
      </c>
      <c r="E2265" s="403" t="s">
        <v>1304</v>
      </c>
      <c r="F2265" s="403" t="s">
        <v>1299</v>
      </c>
      <c r="G2265" s="403" t="s">
        <v>1466</v>
      </c>
      <c r="H2265" s="403" t="s">
        <v>1276</v>
      </c>
      <c r="I2265" s="403">
        <v>1</v>
      </c>
      <c r="J2265" s="403" t="s">
        <v>109</v>
      </c>
      <c r="K2265" s="403">
        <v>1280</v>
      </c>
      <c r="L2265" s="403">
        <v>720</v>
      </c>
      <c r="M2265" s="403" t="s">
        <v>1283</v>
      </c>
      <c r="N2265" s="403">
        <v>704</v>
      </c>
      <c r="O2265" s="403">
        <v>576</v>
      </c>
      <c r="P2265" t="str">
        <f t="shared" si="281"/>
        <v>25fps 720p - SD 4CIF resolution 4:3 format (cropped)</v>
      </c>
      <c r="Q2265">
        <f t="shared" si="282"/>
        <v>12</v>
      </c>
      <c r="R2265" t="str">
        <f t="shared" si="283"/>
        <v/>
      </c>
      <c r="S2265" t="str">
        <f t="shared" si="284"/>
        <v/>
      </c>
      <c r="T2265" s="403" t="str">
        <f t="shared" si="285"/>
        <v>NBN-73013-BA</v>
      </c>
      <c r="U2265" s="403">
        <f t="shared" si="286"/>
        <v>1</v>
      </c>
      <c r="V2265" s="403" t="str">
        <f t="shared" si="287"/>
        <v>CPP_7</v>
      </c>
    </row>
    <row r="2266" spans="1:22">
      <c r="A2266" t="str">
        <f t="shared" si="280"/>
        <v>NBN-73013-BA</v>
      </c>
      <c r="B2266" s="403" t="s">
        <v>1390</v>
      </c>
      <c r="C2266" s="403" t="s">
        <v>583</v>
      </c>
      <c r="D2266" s="403" t="s">
        <v>1295</v>
      </c>
      <c r="E2266" s="403" t="s">
        <v>1304</v>
      </c>
      <c r="F2266" s="403" t="s">
        <v>1299</v>
      </c>
      <c r="G2266" s="403" t="s">
        <v>1466</v>
      </c>
      <c r="H2266" s="403" t="s">
        <v>1276</v>
      </c>
      <c r="I2266" s="403">
        <v>1</v>
      </c>
      <c r="J2266" s="403" t="s">
        <v>109</v>
      </c>
      <c r="K2266" s="403">
        <v>1280</v>
      </c>
      <c r="L2266" s="403">
        <v>720</v>
      </c>
      <c r="M2266" s="403" t="s">
        <v>1284</v>
      </c>
      <c r="N2266" s="403">
        <v>640</v>
      </c>
      <c r="O2266" s="403">
        <v>480</v>
      </c>
      <c r="P2266" t="str">
        <f t="shared" si="281"/>
        <v>25fps 720p - SD VGA (cropped)</v>
      </c>
      <c r="Q2266">
        <f t="shared" si="282"/>
        <v>12</v>
      </c>
      <c r="R2266" t="str">
        <f t="shared" si="283"/>
        <v/>
      </c>
      <c r="S2266" t="str">
        <f t="shared" si="284"/>
        <v/>
      </c>
      <c r="T2266" s="403" t="str">
        <f t="shared" si="285"/>
        <v>NBN-73013-BA</v>
      </c>
      <c r="U2266" s="403">
        <f t="shared" si="286"/>
        <v>1</v>
      </c>
      <c r="V2266" s="403" t="str">
        <f t="shared" si="287"/>
        <v>CPP_7</v>
      </c>
    </row>
    <row r="2267" spans="1:22">
      <c r="A2267" t="str">
        <f t="shared" si="280"/>
        <v>NBN-73013-BA</v>
      </c>
      <c r="B2267" s="403" t="s">
        <v>1390</v>
      </c>
      <c r="C2267" s="403" t="s">
        <v>583</v>
      </c>
      <c r="D2267" s="403" t="s">
        <v>1295</v>
      </c>
      <c r="E2267" s="403" t="s">
        <v>1304</v>
      </c>
      <c r="F2267" s="403" t="s">
        <v>1299</v>
      </c>
      <c r="G2267" s="403" t="s">
        <v>1466</v>
      </c>
      <c r="H2267" s="403" t="s">
        <v>1276</v>
      </c>
      <c r="I2267" s="403">
        <v>1</v>
      </c>
      <c r="J2267" s="403" t="s">
        <v>111</v>
      </c>
      <c r="K2267" s="403">
        <v>768</v>
      </c>
      <c r="L2267" s="403">
        <v>432</v>
      </c>
      <c r="M2267" s="403" t="s">
        <v>111</v>
      </c>
      <c r="N2267" s="403">
        <v>768</v>
      </c>
      <c r="O2267" s="403">
        <v>432</v>
      </c>
      <c r="P2267" t="str">
        <f t="shared" si="281"/>
        <v>25fps SD - SD</v>
      </c>
      <c r="Q2267">
        <f t="shared" si="282"/>
        <v>12</v>
      </c>
      <c r="R2267" t="str">
        <f t="shared" si="283"/>
        <v/>
      </c>
      <c r="S2267" t="str">
        <f t="shared" si="284"/>
        <v/>
      </c>
      <c r="T2267" s="403" t="str">
        <f t="shared" si="285"/>
        <v>NBN-73013-BA</v>
      </c>
      <c r="U2267" s="403">
        <f t="shared" si="286"/>
        <v>1</v>
      </c>
      <c r="V2267" s="403" t="str">
        <f t="shared" si="287"/>
        <v>CPP_7</v>
      </c>
    </row>
    <row r="2268" spans="1:22">
      <c r="A2268" t="str">
        <f t="shared" si="280"/>
        <v>NBN-73013-BA</v>
      </c>
      <c r="B2268" s="403" t="s">
        <v>1390</v>
      </c>
      <c r="C2268" s="403" t="s">
        <v>583</v>
      </c>
      <c r="D2268" s="403" t="s">
        <v>1295</v>
      </c>
      <c r="E2268" s="403" t="s">
        <v>1304</v>
      </c>
      <c r="F2268" s="403" t="s">
        <v>1299</v>
      </c>
      <c r="G2268" s="403" t="s">
        <v>1467</v>
      </c>
      <c r="H2268" s="403" t="s">
        <v>1276</v>
      </c>
      <c r="I2268" s="403">
        <v>1</v>
      </c>
      <c r="J2268" s="403" t="s">
        <v>109</v>
      </c>
      <c r="K2268" s="403">
        <v>720</v>
      </c>
      <c r="L2268" s="403">
        <v>1280</v>
      </c>
      <c r="M2268" s="403" t="s">
        <v>111</v>
      </c>
      <c r="N2268" s="403">
        <v>432</v>
      </c>
      <c r="O2268" s="403">
        <v>768</v>
      </c>
      <c r="P2268" t="str">
        <f t="shared" si="281"/>
        <v>25fps 720p - SD</v>
      </c>
      <c r="Q2268">
        <f t="shared" si="282"/>
        <v>12</v>
      </c>
      <c r="R2268" t="str">
        <f t="shared" si="283"/>
        <v/>
      </c>
      <c r="S2268" t="str">
        <f t="shared" si="284"/>
        <v/>
      </c>
      <c r="T2268" s="403" t="str">
        <f t="shared" si="285"/>
        <v>NBN-73013-BA</v>
      </c>
      <c r="U2268" s="403">
        <f t="shared" si="286"/>
        <v>1</v>
      </c>
      <c r="V2268" s="403" t="str">
        <f t="shared" si="287"/>
        <v>CPP_7</v>
      </c>
    </row>
    <row r="2269" spans="1:22">
      <c r="A2269" t="str">
        <f t="shared" si="280"/>
        <v>NBN-73013-BA</v>
      </c>
      <c r="B2269" s="403" t="s">
        <v>1390</v>
      </c>
      <c r="C2269" s="403" t="s">
        <v>583</v>
      </c>
      <c r="D2269" s="403" t="s">
        <v>1295</v>
      </c>
      <c r="E2269" s="403" t="s">
        <v>1304</v>
      </c>
      <c r="F2269" s="403" t="s">
        <v>1299</v>
      </c>
      <c r="G2269" s="403" t="s">
        <v>1467</v>
      </c>
      <c r="H2269" s="403" t="s">
        <v>1276</v>
      </c>
      <c r="I2269" s="403">
        <v>1</v>
      </c>
      <c r="J2269" s="403" t="s">
        <v>109</v>
      </c>
      <c r="K2269" s="403">
        <v>720</v>
      </c>
      <c r="L2269" s="403">
        <v>1280</v>
      </c>
      <c r="M2269" s="403" t="s">
        <v>109</v>
      </c>
      <c r="N2269" s="403">
        <v>720</v>
      </c>
      <c r="O2269" s="403">
        <v>1280</v>
      </c>
      <c r="P2269" t="str">
        <f t="shared" si="281"/>
        <v>25fps 720p - 720p</v>
      </c>
      <c r="Q2269">
        <f t="shared" si="282"/>
        <v>12</v>
      </c>
      <c r="R2269" t="str">
        <f t="shared" si="283"/>
        <v/>
      </c>
      <c r="S2269" t="str">
        <f t="shared" si="284"/>
        <v/>
      </c>
      <c r="T2269" s="403" t="str">
        <f t="shared" si="285"/>
        <v>NBN-73013-BA</v>
      </c>
      <c r="U2269" s="403">
        <f t="shared" si="286"/>
        <v>1</v>
      </c>
      <c r="V2269" s="403" t="str">
        <f t="shared" si="287"/>
        <v>CPP_7</v>
      </c>
    </row>
    <row r="2270" spans="1:22">
      <c r="A2270" t="str">
        <f t="shared" si="280"/>
        <v>NBN-73013-BA</v>
      </c>
      <c r="B2270" s="403" t="s">
        <v>1390</v>
      </c>
      <c r="C2270" s="403" t="s">
        <v>583</v>
      </c>
      <c r="D2270" s="403" t="s">
        <v>1295</v>
      </c>
      <c r="E2270" s="403" t="s">
        <v>1304</v>
      </c>
      <c r="F2270" s="403" t="s">
        <v>1299</v>
      </c>
      <c r="G2270" s="403" t="s">
        <v>1467</v>
      </c>
      <c r="H2270" s="403" t="s">
        <v>1276</v>
      </c>
      <c r="I2270" s="403">
        <v>1</v>
      </c>
      <c r="J2270" s="403" t="s">
        <v>109</v>
      </c>
      <c r="K2270" s="403">
        <v>720</v>
      </c>
      <c r="L2270" s="403">
        <v>1280</v>
      </c>
      <c r="M2270" s="403" t="s">
        <v>1279</v>
      </c>
      <c r="N2270" s="403">
        <v>432</v>
      </c>
      <c r="O2270" s="403">
        <v>768</v>
      </c>
      <c r="P2270" t="str">
        <f t="shared" si="281"/>
        <v>25fps 720p - SD ROI PTZ</v>
      </c>
      <c r="Q2270">
        <f t="shared" si="282"/>
        <v>12</v>
      </c>
      <c r="R2270" t="str">
        <f t="shared" si="283"/>
        <v/>
      </c>
      <c r="S2270" t="str">
        <f t="shared" si="284"/>
        <v/>
      </c>
      <c r="T2270" s="403" t="str">
        <f t="shared" si="285"/>
        <v>NBN-73013-BA</v>
      </c>
      <c r="U2270" s="403">
        <f t="shared" si="286"/>
        <v>1</v>
      </c>
      <c r="V2270" s="403" t="str">
        <f t="shared" si="287"/>
        <v>CPP_7</v>
      </c>
    </row>
    <row r="2271" spans="1:22">
      <c r="A2271" t="str">
        <f t="shared" si="280"/>
        <v>NBN-73013-BA</v>
      </c>
      <c r="B2271" s="403" t="s">
        <v>1390</v>
      </c>
      <c r="C2271" s="403" t="s">
        <v>583</v>
      </c>
      <c r="D2271" s="403" t="s">
        <v>1295</v>
      </c>
      <c r="E2271" s="403" t="s">
        <v>1304</v>
      </c>
      <c r="F2271" s="403" t="s">
        <v>1299</v>
      </c>
      <c r="G2271" s="403" t="s">
        <v>1467</v>
      </c>
      <c r="H2271" s="403" t="s">
        <v>1276</v>
      </c>
      <c r="I2271" s="403">
        <v>1</v>
      </c>
      <c r="J2271" s="403" t="s">
        <v>109</v>
      </c>
      <c r="K2271" s="403">
        <v>720</v>
      </c>
      <c r="L2271" s="403">
        <v>1280</v>
      </c>
      <c r="M2271" s="403" t="s">
        <v>1298</v>
      </c>
      <c r="N2271" s="403">
        <v>432</v>
      </c>
      <c r="O2271" s="403">
        <v>768</v>
      </c>
      <c r="P2271" t="str">
        <f t="shared" si="281"/>
        <v>25fps 720p - SD dual stream with independent ROI PTZ</v>
      </c>
      <c r="Q2271">
        <f t="shared" si="282"/>
        <v>12</v>
      </c>
      <c r="R2271" t="str">
        <f t="shared" si="283"/>
        <v/>
      </c>
      <c r="S2271" t="str">
        <f t="shared" si="284"/>
        <v/>
      </c>
      <c r="T2271" s="403" t="str">
        <f t="shared" si="285"/>
        <v>NBN-73013-BA</v>
      </c>
      <c r="U2271" s="403">
        <f t="shared" si="286"/>
        <v>1</v>
      </c>
      <c r="V2271" s="403" t="str">
        <f t="shared" si="287"/>
        <v>CPP_7</v>
      </c>
    </row>
    <row r="2272" spans="1:22">
      <c r="A2272" t="str">
        <f t="shared" si="280"/>
        <v>NBN-73013-BA</v>
      </c>
      <c r="B2272" s="403" t="s">
        <v>1390</v>
      </c>
      <c r="C2272" s="403" t="s">
        <v>583</v>
      </c>
      <c r="D2272" s="403" t="s">
        <v>1295</v>
      </c>
      <c r="E2272" s="403" t="s">
        <v>1304</v>
      </c>
      <c r="F2272" s="403" t="s">
        <v>1299</v>
      </c>
      <c r="G2272" s="403" t="s">
        <v>1467</v>
      </c>
      <c r="H2272" s="403" t="s">
        <v>1276</v>
      </c>
      <c r="I2272" s="403">
        <v>1</v>
      </c>
      <c r="J2272" s="403" t="s">
        <v>109</v>
      </c>
      <c r="K2272" s="403">
        <v>720</v>
      </c>
      <c r="L2272" s="403">
        <v>1280</v>
      </c>
      <c r="M2272" s="403" t="s">
        <v>1283</v>
      </c>
      <c r="N2272" s="403">
        <v>576</v>
      </c>
      <c r="O2272" s="403">
        <v>704</v>
      </c>
      <c r="P2272" t="str">
        <f t="shared" si="281"/>
        <v>25fps 720p - SD 4CIF resolution 4:3 format (cropped)</v>
      </c>
      <c r="Q2272">
        <f t="shared" si="282"/>
        <v>12</v>
      </c>
      <c r="R2272" t="str">
        <f t="shared" si="283"/>
        <v/>
      </c>
      <c r="S2272" t="str">
        <f t="shared" si="284"/>
        <v/>
      </c>
      <c r="T2272" s="403" t="str">
        <f t="shared" si="285"/>
        <v>NBN-73013-BA</v>
      </c>
      <c r="U2272" s="403">
        <f t="shared" si="286"/>
        <v>1</v>
      </c>
      <c r="V2272" s="403" t="str">
        <f t="shared" si="287"/>
        <v>CPP_7</v>
      </c>
    </row>
    <row r="2273" spans="1:22">
      <c r="A2273" t="str">
        <f t="shared" si="280"/>
        <v>NBN-73013-BA</v>
      </c>
      <c r="B2273" s="403" t="s">
        <v>1390</v>
      </c>
      <c r="C2273" s="403" t="s">
        <v>583</v>
      </c>
      <c r="D2273" s="403" t="s">
        <v>1295</v>
      </c>
      <c r="E2273" s="403" t="s">
        <v>1304</v>
      </c>
      <c r="F2273" s="403" t="s">
        <v>1299</v>
      </c>
      <c r="G2273" s="403" t="s">
        <v>1467</v>
      </c>
      <c r="H2273" s="403" t="s">
        <v>1276</v>
      </c>
      <c r="I2273" s="403">
        <v>1</v>
      </c>
      <c r="J2273" s="403" t="s">
        <v>109</v>
      </c>
      <c r="K2273" s="403">
        <v>720</v>
      </c>
      <c r="L2273" s="403">
        <v>1280</v>
      </c>
      <c r="M2273" s="403" t="s">
        <v>1284</v>
      </c>
      <c r="N2273" s="403">
        <v>480</v>
      </c>
      <c r="O2273" s="403">
        <v>640</v>
      </c>
      <c r="P2273" t="str">
        <f t="shared" si="281"/>
        <v>25fps 720p - SD VGA (cropped)</v>
      </c>
      <c r="Q2273">
        <f t="shared" si="282"/>
        <v>12</v>
      </c>
      <c r="R2273" t="str">
        <f t="shared" si="283"/>
        <v/>
      </c>
      <c r="S2273" t="str">
        <f t="shared" si="284"/>
        <v/>
      </c>
      <c r="T2273" s="403" t="str">
        <f t="shared" si="285"/>
        <v>NBN-73013-BA</v>
      </c>
      <c r="U2273" s="403">
        <f t="shared" si="286"/>
        <v>1</v>
      </c>
      <c r="V2273" s="403" t="str">
        <f t="shared" si="287"/>
        <v>CPP_7</v>
      </c>
    </row>
    <row r="2274" spans="1:22">
      <c r="A2274" t="str">
        <f t="shared" si="280"/>
        <v>NBN-73013-BA</v>
      </c>
      <c r="B2274" s="403" t="s">
        <v>1390</v>
      </c>
      <c r="C2274" s="403" t="s">
        <v>583</v>
      </c>
      <c r="D2274" s="403" t="s">
        <v>1295</v>
      </c>
      <c r="E2274" s="403" t="s">
        <v>1304</v>
      </c>
      <c r="F2274" s="403" t="s">
        <v>1299</v>
      </c>
      <c r="G2274" s="403" t="s">
        <v>1467</v>
      </c>
      <c r="H2274" s="403" t="s">
        <v>1276</v>
      </c>
      <c r="I2274" s="403">
        <v>1</v>
      </c>
      <c r="J2274" s="403" t="s">
        <v>111</v>
      </c>
      <c r="K2274" s="403">
        <v>432</v>
      </c>
      <c r="L2274" s="403">
        <v>768</v>
      </c>
      <c r="M2274" s="403" t="s">
        <v>111</v>
      </c>
      <c r="N2274" s="403">
        <v>432</v>
      </c>
      <c r="O2274" s="403">
        <v>768</v>
      </c>
      <c r="P2274" t="str">
        <f t="shared" si="281"/>
        <v>25fps SD - SD</v>
      </c>
      <c r="Q2274">
        <f t="shared" si="282"/>
        <v>12</v>
      </c>
      <c r="R2274" t="str">
        <f t="shared" si="283"/>
        <v/>
      </c>
      <c r="S2274" t="str">
        <f t="shared" si="284"/>
        <v/>
      </c>
      <c r="T2274" s="403" t="str">
        <f t="shared" si="285"/>
        <v>NBN-73013-BA</v>
      </c>
      <c r="U2274" s="403">
        <f t="shared" si="286"/>
        <v>1</v>
      </c>
      <c r="V2274" s="403" t="str">
        <f t="shared" si="287"/>
        <v>CPP_7</v>
      </c>
    </row>
    <row r="2275" spans="1:22">
      <c r="A2275" t="str">
        <f t="shared" si="280"/>
        <v>NBN-7x023-BA</v>
      </c>
      <c r="B2275" s="403" t="s">
        <v>1390</v>
      </c>
      <c r="C2275" s="403" t="s">
        <v>583</v>
      </c>
      <c r="D2275" s="403" t="s">
        <v>1308</v>
      </c>
      <c r="E2275" s="403" t="s">
        <v>1296</v>
      </c>
      <c r="F2275" s="403" t="s">
        <v>1286</v>
      </c>
      <c r="G2275" s="403" t="s">
        <v>1466</v>
      </c>
      <c r="H2275" s="403" t="s">
        <v>1276</v>
      </c>
      <c r="I2275" s="403">
        <v>1</v>
      </c>
      <c r="J2275" s="403" t="s">
        <v>110</v>
      </c>
      <c r="K2275" s="403">
        <v>1920</v>
      </c>
      <c r="L2275" s="403">
        <v>1080</v>
      </c>
      <c r="M2275" s="403" t="s">
        <v>111</v>
      </c>
      <c r="N2275" s="403">
        <v>768</v>
      </c>
      <c r="O2275" s="403">
        <v>432</v>
      </c>
      <c r="P2275" t="str">
        <f t="shared" si="281"/>
        <v>30fps 1080p - SD</v>
      </c>
      <c r="Q2275">
        <f t="shared" si="282"/>
        <v>13</v>
      </c>
      <c r="R2275">
        <f t="shared" si="283"/>
        <v>13</v>
      </c>
      <c r="S2275" t="str">
        <f t="shared" si="284"/>
        <v>DINION IP starlight 7000 HD (NBN-7x023-BA)</v>
      </c>
      <c r="T2275" s="403" t="str">
        <f t="shared" si="285"/>
        <v>NBN-7x023-BA</v>
      </c>
      <c r="U2275" s="403">
        <f t="shared" si="286"/>
        <v>1</v>
      </c>
      <c r="V2275" s="403" t="str">
        <f t="shared" si="287"/>
        <v>CPP_7</v>
      </c>
    </row>
    <row r="2276" spans="1:22">
      <c r="A2276" t="str">
        <f t="shared" si="280"/>
        <v>NBN-7x023-BA</v>
      </c>
      <c r="B2276" s="403" t="s">
        <v>1390</v>
      </c>
      <c r="C2276" s="403" t="s">
        <v>583</v>
      </c>
      <c r="D2276" s="403" t="s">
        <v>1308</v>
      </c>
      <c r="E2276" s="403" t="s">
        <v>1296</v>
      </c>
      <c r="F2276" s="403" t="s">
        <v>1286</v>
      </c>
      <c r="G2276" s="403" t="s">
        <v>1466</v>
      </c>
      <c r="H2276" s="403" t="s">
        <v>1276</v>
      </c>
      <c r="I2276" s="403">
        <v>1</v>
      </c>
      <c r="J2276" s="403" t="s">
        <v>110</v>
      </c>
      <c r="K2276" s="403">
        <v>1920</v>
      </c>
      <c r="L2276" s="403">
        <v>1080</v>
      </c>
      <c r="M2276" s="403" t="s">
        <v>110</v>
      </c>
      <c r="N2276" s="403">
        <v>1920</v>
      </c>
      <c r="O2276" s="403">
        <v>1080</v>
      </c>
      <c r="P2276" t="str">
        <f t="shared" si="281"/>
        <v>30fps 1080p - 1080p</v>
      </c>
      <c r="Q2276">
        <f t="shared" si="282"/>
        <v>13</v>
      </c>
      <c r="R2276" t="str">
        <f t="shared" si="283"/>
        <v/>
      </c>
      <c r="S2276" t="str">
        <f t="shared" si="284"/>
        <v/>
      </c>
      <c r="T2276" s="403" t="str">
        <f t="shared" si="285"/>
        <v>NBN-7x023-BA</v>
      </c>
      <c r="U2276" s="403">
        <f t="shared" si="286"/>
        <v>1</v>
      </c>
      <c r="V2276" s="403" t="str">
        <f t="shared" si="287"/>
        <v>CPP_7</v>
      </c>
    </row>
    <row r="2277" spans="1:22">
      <c r="A2277" t="str">
        <f t="shared" si="280"/>
        <v>NBN-7x023-BA</v>
      </c>
      <c r="B2277" s="403" t="s">
        <v>1390</v>
      </c>
      <c r="C2277" s="403" t="s">
        <v>583</v>
      </c>
      <c r="D2277" s="403" t="s">
        <v>1308</v>
      </c>
      <c r="E2277" s="403" t="s">
        <v>1296</v>
      </c>
      <c r="F2277" s="403" t="s">
        <v>1286</v>
      </c>
      <c r="G2277" s="403" t="s">
        <v>1466</v>
      </c>
      <c r="H2277" s="403" t="s">
        <v>1276</v>
      </c>
      <c r="I2277" s="403">
        <v>1</v>
      </c>
      <c r="J2277" s="403" t="s">
        <v>110</v>
      </c>
      <c r="K2277" s="403">
        <v>1920</v>
      </c>
      <c r="L2277" s="403">
        <v>1080</v>
      </c>
      <c r="M2277" s="403" t="s">
        <v>109</v>
      </c>
      <c r="N2277" s="403">
        <v>1280</v>
      </c>
      <c r="O2277" s="403">
        <v>720</v>
      </c>
      <c r="P2277" t="str">
        <f t="shared" si="281"/>
        <v>30fps 1080p - 720p</v>
      </c>
      <c r="Q2277">
        <f t="shared" si="282"/>
        <v>13</v>
      </c>
      <c r="R2277" t="str">
        <f t="shared" si="283"/>
        <v/>
      </c>
      <c r="S2277" t="str">
        <f t="shared" si="284"/>
        <v/>
      </c>
      <c r="T2277" s="403" t="str">
        <f t="shared" si="285"/>
        <v>NBN-7x023-BA</v>
      </c>
      <c r="U2277" s="403">
        <f t="shared" si="286"/>
        <v>1</v>
      </c>
      <c r="V2277" s="403" t="str">
        <f t="shared" si="287"/>
        <v>CPP_7</v>
      </c>
    </row>
    <row r="2278" spans="1:22">
      <c r="A2278" t="str">
        <f t="shared" si="280"/>
        <v>NBN-7x023-BA</v>
      </c>
      <c r="B2278" s="403" t="s">
        <v>1390</v>
      </c>
      <c r="C2278" s="403" t="s">
        <v>583</v>
      </c>
      <c r="D2278" s="403" t="s">
        <v>1308</v>
      </c>
      <c r="E2278" s="403" t="s">
        <v>1296</v>
      </c>
      <c r="F2278" s="403" t="s">
        <v>1286</v>
      </c>
      <c r="G2278" s="403" t="s">
        <v>1466</v>
      </c>
      <c r="H2278" s="403" t="s">
        <v>1276</v>
      </c>
      <c r="I2278" s="403">
        <v>1</v>
      </c>
      <c r="J2278" s="403" t="s">
        <v>110</v>
      </c>
      <c r="K2278" s="403">
        <v>1920</v>
      </c>
      <c r="L2278" s="403">
        <v>1080</v>
      </c>
      <c r="M2278" s="403" t="s">
        <v>1285</v>
      </c>
      <c r="N2278" s="403">
        <v>1280</v>
      </c>
      <c r="O2278" s="403">
        <v>1024</v>
      </c>
      <c r="P2278" t="str">
        <f t="shared" si="281"/>
        <v>30fps 1080p - 1280x1024 5:4 (cropped)</v>
      </c>
      <c r="Q2278">
        <f t="shared" si="282"/>
        <v>13</v>
      </c>
      <c r="R2278" t="str">
        <f t="shared" si="283"/>
        <v/>
      </c>
      <c r="S2278" t="str">
        <f t="shared" si="284"/>
        <v/>
      </c>
      <c r="T2278" s="403" t="str">
        <f t="shared" si="285"/>
        <v>NBN-7x023-BA</v>
      </c>
      <c r="U2278" s="403">
        <f t="shared" si="286"/>
        <v>1</v>
      </c>
      <c r="V2278" s="403" t="str">
        <f t="shared" si="287"/>
        <v>CPP_7</v>
      </c>
    </row>
    <row r="2279" spans="1:22">
      <c r="A2279" t="str">
        <f t="shared" si="280"/>
        <v>NBN-7x023-BA</v>
      </c>
      <c r="B2279" s="403" t="s">
        <v>1390</v>
      </c>
      <c r="C2279" s="403" t="s">
        <v>583</v>
      </c>
      <c r="D2279" s="403" t="s">
        <v>1308</v>
      </c>
      <c r="E2279" s="403" t="s">
        <v>1296</v>
      </c>
      <c r="F2279" s="403" t="s">
        <v>1286</v>
      </c>
      <c r="G2279" s="403" t="s">
        <v>1466</v>
      </c>
      <c r="H2279" s="403" t="s">
        <v>1276</v>
      </c>
      <c r="I2279" s="403">
        <v>1</v>
      </c>
      <c r="J2279" s="403" t="s">
        <v>110</v>
      </c>
      <c r="K2279" s="403">
        <v>1920</v>
      </c>
      <c r="L2279" s="403">
        <v>1080</v>
      </c>
      <c r="M2279" s="403" t="s">
        <v>1309</v>
      </c>
      <c r="N2279" s="403">
        <v>1280</v>
      </c>
      <c r="O2279" s="403">
        <v>960</v>
      </c>
      <c r="P2279" t="str">
        <f t="shared" si="281"/>
        <v>30fps 1080p - 1280x960 4:3 (cropped)</v>
      </c>
      <c r="Q2279">
        <f t="shared" si="282"/>
        <v>13</v>
      </c>
      <c r="R2279" t="str">
        <f t="shared" si="283"/>
        <v/>
      </c>
      <c r="S2279" t="str">
        <f t="shared" si="284"/>
        <v/>
      </c>
      <c r="T2279" s="403" t="str">
        <f t="shared" si="285"/>
        <v>NBN-7x023-BA</v>
      </c>
      <c r="U2279" s="403">
        <f t="shared" si="286"/>
        <v>1</v>
      </c>
      <c r="V2279" s="403" t="str">
        <f t="shared" si="287"/>
        <v>CPP_7</v>
      </c>
    </row>
    <row r="2280" spans="1:22">
      <c r="A2280" t="str">
        <f t="shared" si="280"/>
        <v>NBN-7x023-BA</v>
      </c>
      <c r="B2280" s="403" t="s">
        <v>1390</v>
      </c>
      <c r="C2280" s="403" t="s">
        <v>583</v>
      </c>
      <c r="D2280" s="403" t="s">
        <v>1308</v>
      </c>
      <c r="E2280" s="403" t="s">
        <v>1296</v>
      </c>
      <c r="F2280" s="403" t="s">
        <v>1286</v>
      </c>
      <c r="G2280" s="403" t="s">
        <v>1466</v>
      </c>
      <c r="H2280" s="403" t="s">
        <v>1276</v>
      </c>
      <c r="I2280" s="403">
        <v>1</v>
      </c>
      <c r="J2280" s="403" t="s">
        <v>110</v>
      </c>
      <c r="K2280" s="403">
        <v>1920</v>
      </c>
      <c r="L2280" s="403">
        <v>1080</v>
      </c>
      <c r="M2280" s="403" t="s">
        <v>1279</v>
      </c>
      <c r="N2280" s="403">
        <v>768</v>
      </c>
      <c r="O2280" s="403">
        <v>432</v>
      </c>
      <c r="P2280" t="str">
        <f t="shared" si="281"/>
        <v>30fps 1080p - SD ROI PTZ</v>
      </c>
      <c r="Q2280">
        <f t="shared" si="282"/>
        <v>13</v>
      </c>
      <c r="R2280" t="str">
        <f t="shared" si="283"/>
        <v/>
      </c>
      <c r="S2280" t="str">
        <f t="shared" si="284"/>
        <v/>
      </c>
      <c r="T2280" s="403" t="str">
        <f t="shared" si="285"/>
        <v>NBN-7x023-BA</v>
      </c>
      <c r="U2280" s="403">
        <f t="shared" si="286"/>
        <v>1</v>
      </c>
      <c r="V2280" s="403" t="str">
        <f t="shared" si="287"/>
        <v>CPP_7</v>
      </c>
    </row>
    <row r="2281" spans="1:22">
      <c r="A2281" t="str">
        <f t="shared" si="280"/>
        <v>NBN-7x023-BA</v>
      </c>
      <c r="B2281" s="403" t="s">
        <v>1390</v>
      </c>
      <c r="C2281" s="403" t="s">
        <v>583</v>
      </c>
      <c r="D2281" s="403" t="s">
        <v>1308</v>
      </c>
      <c r="E2281" s="403" t="s">
        <v>1296</v>
      </c>
      <c r="F2281" s="403" t="s">
        <v>1286</v>
      </c>
      <c r="G2281" s="403" t="s">
        <v>1466</v>
      </c>
      <c r="H2281" s="403" t="s">
        <v>1276</v>
      </c>
      <c r="I2281" s="403">
        <v>1</v>
      </c>
      <c r="J2281" s="403" t="s">
        <v>110</v>
      </c>
      <c r="K2281" s="403">
        <v>1920</v>
      </c>
      <c r="L2281" s="403">
        <v>1080</v>
      </c>
      <c r="M2281" s="403" t="s">
        <v>1298</v>
      </c>
      <c r="N2281" s="403">
        <v>768</v>
      </c>
      <c r="O2281" s="403">
        <v>432</v>
      </c>
      <c r="P2281" t="str">
        <f t="shared" si="281"/>
        <v>30fps 1080p - SD dual stream with independent ROI PTZ</v>
      </c>
      <c r="Q2281">
        <f t="shared" si="282"/>
        <v>13</v>
      </c>
      <c r="R2281" t="str">
        <f t="shared" si="283"/>
        <v/>
      </c>
      <c r="S2281" t="str">
        <f t="shared" si="284"/>
        <v/>
      </c>
      <c r="T2281" s="403" t="str">
        <f t="shared" si="285"/>
        <v>NBN-7x023-BA</v>
      </c>
      <c r="U2281" s="403">
        <f t="shared" si="286"/>
        <v>1</v>
      </c>
      <c r="V2281" s="403" t="str">
        <f t="shared" si="287"/>
        <v>CPP_7</v>
      </c>
    </row>
    <row r="2282" spans="1:22">
      <c r="A2282" t="str">
        <f t="shared" si="280"/>
        <v>NBN-7x023-BA</v>
      </c>
      <c r="B2282" s="403" t="s">
        <v>1390</v>
      </c>
      <c r="C2282" s="403" t="s">
        <v>583</v>
      </c>
      <c r="D2282" s="403" t="s">
        <v>1308</v>
      </c>
      <c r="E2282" s="403" t="s">
        <v>1296</v>
      </c>
      <c r="F2282" s="403" t="s">
        <v>1286</v>
      </c>
      <c r="G2282" s="403" t="s">
        <v>1466</v>
      </c>
      <c r="H2282" s="403" t="s">
        <v>1276</v>
      </c>
      <c r="I2282" s="403">
        <v>1</v>
      </c>
      <c r="J2282" s="403" t="s">
        <v>110</v>
      </c>
      <c r="K2282" s="403">
        <v>1920</v>
      </c>
      <c r="L2282" s="403">
        <v>1080</v>
      </c>
      <c r="M2282" s="403" t="s">
        <v>1283</v>
      </c>
      <c r="N2282" s="403">
        <v>704</v>
      </c>
      <c r="O2282" s="403">
        <v>480</v>
      </c>
      <c r="P2282" t="str">
        <f t="shared" si="281"/>
        <v>30fps 1080p - SD 4CIF resolution 4:3 format (cropped)</v>
      </c>
      <c r="Q2282">
        <f t="shared" si="282"/>
        <v>13</v>
      </c>
      <c r="R2282" t="str">
        <f t="shared" si="283"/>
        <v/>
      </c>
      <c r="S2282" t="str">
        <f t="shared" si="284"/>
        <v/>
      </c>
      <c r="T2282" s="403" t="str">
        <f t="shared" si="285"/>
        <v>NBN-7x023-BA</v>
      </c>
      <c r="U2282" s="403">
        <f t="shared" si="286"/>
        <v>1</v>
      </c>
      <c r="V2282" s="403" t="str">
        <f t="shared" si="287"/>
        <v>CPP_7</v>
      </c>
    </row>
    <row r="2283" spans="1:22">
      <c r="A2283" t="str">
        <f t="shared" si="280"/>
        <v>NBN-7x023-BA</v>
      </c>
      <c r="B2283" s="403" t="s">
        <v>1390</v>
      </c>
      <c r="C2283" s="403" t="s">
        <v>583</v>
      </c>
      <c r="D2283" s="403" t="s">
        <v>1308</v>
      </c>
      <c r="E2283" s="403" t="s">
        <v>1296</v>
      </c>
      <c r="F2283" s="403" t="s">
        <v>1286</v>
      </c>
      <c r="G2283" s="403" t="s">
        <v>1466</v>
      </c>
      <c r="H2283" s="403" t="s">
        <v>1276</v>
      </c>
      <c r="I2283" s="403">
        <v>1</v>
      </c>
      <c r="J2283" s="403" t="s">
        <v>110</v>
      </c>
      <c r="K2283" s="403">
        <v>1920</v>
      </c>
      <c r="L2283" s="403">
        <v>1080</v>
      </c>
      <c r="M2283" s="403" t="s">
        <v>1284</v>
      </c>
      <c r="N2283" s="403">
        <v>640</v>
      </c>
      <c r="O2283" s="403">
        <v>480</v>
      </c>
      <c r="P2283" t="str">
        <f t="shared" si="281"/>
        <v>30fps 1080p - SD VGA (cropped)</v>
      </c>
      <c r="Q2283">
        <f t="shared" si="282"/>
        <v>13</v>
      </c>
      <c r="R2283" t="str">
        <f t="shared" si="283"/>
        <v/>
      </c>
      <c r="S2283" t="str">
        <f t="shared" si="284"/>
        <v/>
      </c>
      <c r="T2283" s="403" t="str">
        <f t="shared" si="285"/>
        <v>NBN-7x023-BA</v>
      </c>
      <c r="U2283" s="403">
        <f t="shared" si="286"/>
        <v>1</v>
      </c>
      <c r="V2283" s="403" t="str">
        <f t="shared" si="287"/>
        <v>CPP_7</v>
      </c>
    </row>
    <row r="2284" spans="1:22">
      <c r="A2284" t="str">
        <f t="shared" si="280"/>
        <v>NBN-7x023-BA</v>
      </c>
      <c r="B2284" s="403" t="s">
        <v>1390</v>
      </c>
      <c r="C2284" s="403" t="s">
        <v>583</v>
      </c>
      <c r="D2284" s="403" t="s">
        <v>1308</v>
      </c>
      <c r="E2284" s="403" t="s">
        <v>1296</v>
      </c>
      <c r="F2284" s="403" t="s">
        <v>1286</v>
      </c>
      <c r="G2284" s="403" t="s">
        <v>1466</v>
      </c>
      <c r="H2284" s="403" t="s">
        <v>1276</v>
      </c>
      <c r="I2284" s="403">
        <v>1</v>
      </c>
      <c r="J2284" s="403" t="s">
        <v>109</v>
      </c>
      <c r="K2284" s="403">
        <v>1280</v>
      </c>
      <c r="L2284" s="403">
        <v>720</v>
      </c>
      <c r="M2284" s="403" t="s">
        <v>111</v>
      </c>
      <c r="N2284" s="403">
        <v>768</v>
      </c>
      <c r="O2284" s="403">
        <v>432</v>
      </c>
      <c r="P2284" t="str">
        <f t="shared" si="281"/>
        <v>30fps 720p - SD</v>
      </c>
      <c r="Q2284">
        <f t="shared" si="282"/>
        <v>13</v>
      </c>
      <c r="R2284" t="str">
        <f t="shared" si="283"/>
        <v/>
      </c>
      <c r="S2284" t="str">
        <f t="shared" si="284"/>
        <v/>
      </c>
      <c r="T2284" s="403" t="str">
        <f t="shared" si="285"/>
        <v>NBN-7x023-BA</v>
      </c>
      <c r="U2284" s="403">
        <f t="shared" si="286"/>
        <v>1</v>
      </c>
      <c r="V2284" s="403" t="str">
        <f t="shared" si="287"/>
        <v>CPP_7</v>
      </c>
    </row>
    <row r="2285" spans="1:22">
      <c r="A2285" t="str">
        <f t="shared" si="280"/>
        <v>NBN-7x023-BA</v>
      </c>
      <c r="B2285" s="403" t="s">
        <v>1390</v>
      </c>
      <c r="C2285" s="403" t="s">
        <v>583</v>
      </c>
      <c r="D2285" s="403" t="s">
        <v>1308</v>
      </c>
      <c r="E2285" s="403" t="s">
        <v>1296</v>
      </c>
      <c r="F2285" s="403" t="s">
        <v>1286</v>
      </c>
      <c r="G2285" s="403" t="s">
        <v>1466</v>
      </c>
      <c r="H2285" s="403" t="s">
        <v>1276</v>
      </c>
      <c r="I2285" s="403">
        <v>1</v>
      </c>
      <c r="J2285" s="403" t="s">
        <v>109</v>
      </c>
      <c r="K2285" s="403">
        <v>1280</v>
      </c>
      <c r="L2285" s="403">
        <v>720</v>
      </c>
      <c r="M2285" s="403" t="s">
        <v>109</v>
      </c>
      <c r="N2285" s="403">
        <v>1280</v>
      </c>
      <c r="O2285" s="403">
        <v>720</v>
      </c>
      <c r="P2285" t="str">
        <f t="shared" si="281"/>
        <v>30fps 720p - 720p</v>
      </c>
      <c r="Q2285">
        <f t="shared" si="282"/>
        <v>13</v>
      </c>
      <c r="R2285" t="str">
        <f t="shared" si="283"/>
        <v/>
      </c>
      <c r="S2285" t="str">
        <f t="shared" si="284"/>
        <v/>
      </c>
      <c r="T2285" s="403" t="str">
        <f t="shared" si="285"/>
        <v>NBN-7x023-BA</v>
      </c>
      <c r="U2285" s="403">
        <f t="shared" si="286"/>
        <v>1</v>
      </c>
      <c r="V2285" s="403" t="str">
        <f t="shared" si="287"/>
        <v>CPP_7</v>
      </c>
    </row>
    <row r="2286" spans="1:22">
      <c r="A2286" t="str">
        <f t="shared" si="280"/>
        <v>NBN-7x023-BA</v>
      </c>
      <c r="B2286" s="403" t="s">
        <v>1390</v>
      </c>
      <c r="C2286" s="403" t="s">
        <v>583</v>
      </c>
      <c r="D2286" s="403" t="s">
        <v>1308</v>
      </c>
      <c r="E2286" s="403" t="s">
        <v>1296</v>
      </c>
      <c r="F2286" s="403" t="s">
        <v>1286</v>
      </c>
      <c r="G2286" s="403" t="s">
        <v>1466</v>
      </c>
      <c r="H2286" s="403" t="s">
        <v>1276</v>
      </c>
      <c r="I2286" s="403">
        <v>1</v>
      </c>
      <c r="J2286" s="403" t="s">
        <v>109</v>
      </c>
      <c r="K2286" s="403">
        <v>1280</v>
      </c>
      <c r="L2286" s="403">
        <v>720</v>
      </c>
      <c r="M2286" s="403" t="s">
        <v>1279</v>
      </c>
      <c r="N2286" s="403">
        <v>768</v>
      </c>
      <c r="O2286" s="403">
        <v>432</v>
      </c>
      <c r="P2286" t="str">
        <f t="shared" si="281"/>
        <v>30fps 720p - SD ROI PTZ</v>
      </c>
      <c r="Q2286">
        <f t="shared" si="282"/>
        <v>13</v>
      </c>
      <c r="R2286" t="str">
        <f t="shared" si="283"/>
        <v/>
      </c>
      <c r="S2286" t="str">
        <f t="shared" si="284"/>
        <v/>
      </c>
      <c r="T2286" s="403" t="str">
        <f t="shared" si="285"/>
        <v>NBN-7x023-BA</v>
      </c>
      <c r="U2286" s="403">
        <f t="shared" si="286"/>
        <v>1</v>
      </c>
      <c r="V2286" s="403" t="str">
        <f t="shared" si="287"/>
        <v>CPP_7</v>
      </c>
    </row>
    <row r="2287" spans="1:22">
      <c r="A2287" t="str">
        <f t="shared" si="280"/>
        <v>NBN-7x023-BA</v>
      </c>
      <c r="B2287" s="403" t="s">
        <v>1390</v>
      </c>
      <c r="C2287" s="403" t="s">
        <v>583</v>
      </c>
      <c r="D2287" s="403" t="s">
        <v>1308</v>
      </c>
      <c r="E2287" s="403" t="s">
        <v>1296</v>
      </c>
      <c r="F2287" s="403" t="s">
        <v>1286</v>
      </c>
      <c r="G2287" s="403" t="s">
        <v>1466</v>
      </c>
      <c r="H2287" s="403" t="s">
        <v>1276</v>
      </c>
      <c r="I2287" s="403">
        <v>1</v>
      </c>
      <c r="J2287" s="403" t="s">
        <v>109</v>
      </c>
      <c r="K2287" s="403">
        <v>1280</v>
      </c>
      <c r="L2287" s="403">
        <v>720</v>
      </c>
      <c r="M2287" s="403" t="s">
        <v>1298</v>
      </c>
      <c r="N2287" s="403">
        <v>768</v>
      </c>
      <c r="O2287" s="403">
        <v>432</v>
      </c>
      <c r="P2287" t="str">
        <f t="shared" si="281"/>
        <v>30fps 720p - SD dual stream with independent ROI PTZ</v>
      </c>
      <c r="Q2287">
        <f t="shared" si="282"/>
        <v>13</v>
      </c>
      <c r="R2287" t="str">
        <f t="shared" si="283"/>
        <v/>
      </c>
      <c r="S2287" t="str">
        <f t="shared" si="284"/>
        <v/>
      </c>
      <c r="T2287" s="403" t="str">
        <f t="shared" si="285"/>
        <v>NBN-7x023-BA</v>
      </c>
      <c r="U2287" s="403">
        <f t="shared" si="286"/>
        <v>1</v>
      </c>
      <c r="V2287" s="403" t="str">
        <f t="shared" si="287"/>
        <v>CPP_7</v>
      </c>
    </row>
    <row r="2288" spans="1:22">
      <c r="A2288" t="str">
        <f t="shared" si="280"/>
        <v>NBN-7x023-BA</v>
      </c>
      <c r="B2288" s="403" t="s">
        <v>1390</v>
      </c>
      <c r="C2288" s="403" t="s">
        <v>583</v>
      </c>
      <c r="D2288" s="403" t="s">
        <v>1308</v>
      </c>
      <c r="E2288" s="403" t="s">
        <v>1296</v>
      </c>
      <c r="F2288" s="403" t="s">
        <v>1286</v>
      </c>
      <c r="G2288" s="403" t="s">
        <v>1466</v>
      </c>
      <c r="H2288" s="403" t="s">
        <v>1276</v>
      </c>
      <c r="I2288" s="403">
        <v>1</v>
      </c>
      <c r="J2288" s="403" t="s">
        <v>109</v>
      </c>
      <c r="K2288" s="403">
        <v>1280</v>
      </c>
      <c r="L2288" s="403">
        <v>720</v>
      </c>
      <c r="M2288" s="403" t="s">
        <v>1283</v>
      </c>
      <c r="N2288" s="403">
        <v>704</v>
      </c>
      <c r="O2288" s="403">
        <v>480</v>
      </c>
      <c r="P2288" t="str">
        <f t="shared" si="281"/>
        <v>30fps 720p - SD 4CIF resolution 4:3 format (cropped)</v>
      </c>
      <c r="Q2288">
        <f t="shared" si="282"/>
        <v>13</v>
      </c>
      <c r="R2288" t="str">
        <f t="shared" si="283"/>
        <v/>
      </c>
      <c r="S2288" t="str">
        <f t="shared" si="284"/>
        <v/>
      </c>
      <c r="T2288" s="403" t="str">
        <f t="shared" si="285"/>
        <v>NBN-7x023-BA</v>
      </c>
      <c r="U2288" s="403">
        <f t="shared" si="286"/>
        <v>1</v>
      </c>
      <c r="V2288" s="403" t="str">
        <f t="shared" si="287"/>
        <v>CPP_7</v>
      </c>
    </row>
    <row r="2289" spans="1:22">
      <c r="A2289" t="str">
        <f t="shared" si="280"/>
        <v>NBN-7x023-BA</v>
      </c>
      <c r="B2289" s="403" t="s">
        <v>1390</v>
      </c>
      <c r="C2289" s="403" t="s">
        <v>583</v>
      </c>
      <c r="D2289" s="403" t="s">
        <v>1308</v>
      </c>
      <c r="E2289" s="403" t="s">
        <v>1296</v>
      </c>
      <c r="F2289" s="403" t="s">
        <v>1286</v>
      </c>
      <c r="G2289" s="403" t="s">
        <v>1466</v>
      </c>
      <c r="H2289" s="403" t="s">
        <v>1276</v>
      </c>
      <c r="I2289" s="403">
        <v>1</v>
      </c>
      <c r="J2289" s="403" t="s">
        <v>109</v>
      </c>
      <c r="K2289" s="403">
        <v>1280</v>
      </c>
      <c r="L2289" s="403">
        <v>720</v>
      </c>
      <c r="M2289" s="403" t="s">
        <v>1284</v>
      </c>
      <c r="N2289" s="403">
        <v>640</v>
      </c>
      <c r="O2289" s="403">
        <v>480</v>
      </c>
      <c r="P2289" t="str">
        <f t="shared" si="281"/>
        <v>30fps 720p - SD VGA (cropped)</v>
      </c>
      <c r="Q2289">
        <f t="shared" si="282"/>
        <v>13</v>
      </c>
      <c r="R2289" t="str">
        <f t="shared" si="283"/>
        <v/>
      </c>
      <c r="S2289" t="str">
        <f t="shared" si="284"/>
        <v/>
      </c>
      <c r="T2289" s="403" t="str">
        <f t="shared" si="285"/>
        <v>NBN-7x023-BA</v>
      </c>
      <c r="U2289" s="403">
        <f t="shared" si="286"/>
        <v>1</v>
      </c>
      <c r="V2289" s="403" t="str">
        <f t="shared" si="287"/>
        <v>CPP_7</v>
      </c>
    </row>
    <row r="2290" spans="1:22">
      <c r="A2290" t="str">
        <f t="shared" si="280"/>
        <v>NBN-7x023-BA</v>
      </c>
      <c r="B2290" s="403" t="s">
        <v>1390</v>
      </c>
      <c r="C2290" s="403" t="s">
        <v>583</v>
      </c>
      <c r="D2290" s="403" t="s">
        <v>1308</v>
      </c>
      <c r="E2290" s="403" t="s">
        <v>1296</v>
      </c>
      <c r="F2290" s="403" t="s">
        <v>1286</v>
      </c>
      <c r="G2290" s="403" t="s">
        <v>1466</v>
      </c>
      <c r="H2290" s="403" t="s">
        <v>1276</v>
      </c>
      <c r="I2290" s="403">
        <v>1</v>
      </c>
      <c r="J2290" s="403" t="s">
        <v>111</v>
      </c>
      <c r="K2290" s="403">
        <v>768</v>
      </c>
      <c r="L2290" s="403">
        <v>432</v>
      </c>
      <c r="M2290" s="403" t="s">
        <v>111</v>
      </c>
      <c r="N2290" s="403">
        <v>768</v>
      </c>
      <c r="O2290" s="403">
        <v>432</v>
      </c>
      <c r="P2290" t="str">
        <f t="shared" si="281"/>
        <v>30fps SD - SD</v>
      </c>
      <c r="Q2290">
        <f t="shared" si="282"/>
        <v>13</v>
      </c>
      <c r="R2290" t="str">
        <f t="shared" si="283"/>
        <v/>
      </c>
      <c r="S2290" t="str">
        <f t="shared" si="284"/>
        <v/>
      </c>
      <c r="T2290" s="403" t="str">
        <f t="shared" si="285"/>
        <v>NBN-7x023-BA</v>
      </c>
      <c r="U2290" s="403">
        <f t="shared" si="286"/>
        <v>1</v>
      </c>
      <c r="V2290" s="403" t="str">
        <f t="shared" si="287"/>
        <v>CPP_7</v>
      </c>
    </row>
    <row r="2291" spans="1:22">
      <c r="A2291" t="str">
        <f t="shared" si="280"/>
        <v>NBN-7x023-BA</v>
      </c>
      <c r="B2291" s="403" t="s">
        <v>1390</v>
      </c>
      <c r="C2291" s="403" t="s">
        <v>583</v>
      </c>
      <c r="D2291" s="403" t="s">
        <v>1308</v>
      </c>
      <c r="E2291" s="403" t="s">
        <v>1296</v>
      </c>
      <c r="F2291" s="403" t="s">
        <v>1286</v>
      </c>
      <c r="G2291" s="403" t="s">
        <v>1467</v>
      </c>
      <c r="H2291" s="403" t="s">
        <v>1276</v>
      </c>
      <c r="I2291" s="403">
        <v>1</v>
      </c>
      <c r="J2291" s="403" t="s">
        <v>110</v>
      </c>
      <c r="K2291" s="403">
        <v>1080</v>
      </c>
      <c r="L2291" s="403">
        <v>1920</v>
      </c>
      <c r="M2291" s="403" t="s">
        <v>111</v>
      </c>
      <c r="N2291" s="403">
        <v>432</v>
      </c>
      <c r="O2291" s="403">
        <v>768</v>
      </c>
      <c r="P2291" t="str">
        <f t="shared" si="281"/>
        <v>30fps 1080p - SD</v>
      </c>
      <c r="Q2291">
        <f t="shared" si="282"/>
        <v>13</v>
      </c>
      <c r="R2291" t="str">
        <f t="shared" si="283"/>
        <v/>
      </c>
      <c r="S2291" t="str">
        <f t="shared" si="284"/>
        <v/>
      </c>
      <c r="T2291" s="403" t="str">
        <f t="shared" si="285"/>
        <v>NBN-7x023-BA</v>
      </c>
      <c r="U2291" s="403">
        <f t="shared" si="286"/>
        <v>1</v>
      </c>
      <c r="V2291" s="403" t="str">
        <f t="shared" si="287"/>
        <v>CPP_7</v>
      </c>
    </row>
    <row r="2292" spans="1:22">
      <c r="A2292" t="str">
        <f t="shared" si="280"/>
        <v>NBN-7x023-BA</v>
      </c>
      <c r="B2292" s="403" t="s">
        <v>1390</v>
      </c>
      <c r="C2292" s="403" t="s">
        <v>583</v>
      </c>
      <c r="D2292" s="403" t="s">
        <v>1308</v>
      </c>
      <c r="E2292" s="403" t="s">
        <v>1296</v>
      </c>
      <c r="F2292" s="403" t="s">
        <v>1286</v>
      </c>
      <c r="G2292" s="403" t="s">
        <v>1467</v>
      </c>
      <c r="H2292" s="403" t="s">
        <v>1276</v>
      </c>
      <c r="I2292" s="403">
        <v>1</v>
      </c>
      <c r="J2292" s="403" t="s">
        <v>110</v>
      </c>
      <c r="K2292" s="403">
        <v>1080</v>
      </c>
      <c r="L2292" s="403">
        <v>1920</v>
      </c>
      <c r="M2292" s="403" t="s">
        <v>110</v>
      </c>
      <c r="N2292" s="403">
        <v>1080</v>
      </c>
      <c r="O2292" s="403">
        <v>1920</v>
      </c>
      <c r="P2292" t="str">
        <f t="shared" si="281"/>
        <v>30fps 1080p - 1080p</v>
      </c>
      <c r="Q2292">
        <f t="shared" si="282"/>
        <v>13</v>
      </c>
      <c r="R2292" t="str">
        <f t="shared" si="283"/>
        <v/>
      </c>
      <c r="S2292" t="str">
        <f t="shared" si="284"/>
        <v/>
      </c>
      <c r="T2292" s="403" t="str">
        <f t="shared" si="285"/>
        <v>NBN-7x023-BA</v>
      </c>
      <c r="U2292" s="403">
        <f t="shared" si="286"/>
        <v>1</v>
      </c>
      <c r="V2292" s="403" t="str">
        <f t="shared" si="287"/>
        <v>CPP_7</v>
      </c>
    </row>
    <row r="2293" spans="1:22">
      <c r="A2293" t="str">
        <f t="shared" si="280"/>
        <v>NBN-7x023-BA</v>
      </c>
      <c r="B2293" s="403" t="s">
        <v>1390</v>
      </c>
      <c r="C2293" s="403" t="s">
        <v>583</v>
      </c>
      <c r="D2293" s="403" t="s">
        <v>1308</v>
      </c>
      <c r="E2293" s="403" t="s">
        <v>1296</v>
      </c>
      <c r="F2293" s="403" t="s">
        <v>1286</v>
      </c>
      <c r="G2293" s="403" t="s">
        <v>1467</v>
      </c>
      <c r="H2293" s="403" t="s">
        <v>1276</v>
      </c>
      <c r="I2293" s="403">
        <v>1</v>
      </c>
      <c r="J2293" s="403" t="s">
        <v>110</v>
      </c>
      <c r="K2293" s="403">
        <v>1080</v>
      </c>
      <c r="L2293" s="403">
        <v>1920</v>
      </c>
      <c r="M2293" s="403" t="s">
        <v>109</v>
      </c>
      <c r="N2293" s="403">
        <v>720</v>
      </c>
      <c r="O2293" s="403">
        <v>1280</v>
      </c>
      <c r="P2293" t="str">
        <f t="shared" si="281"/>
        <v>30fps 1080p - 720p</v>
      </c>
      <c r="Q2293">
        <f t="shared" si="282"/>
        <v>13</v>
      </c>
      <c r="R2293" t="str">
        <f t="shared" si="283"/>
        <v/>
      </c>
      <c r="S2293" t="str">
        <f t="shared" si="284"/>
        <v/>
      </c>
      <c r="T2293" s="403" t="str">
        <f t="shared" si="285"/>
        <v>NBN-7x023-BA</v>
      </c>
      <c r="U2293" s="403">
        <f t="shared" si="286"/>
        <v>1</v>
      </c>
      <c r="V2293" s="403" t="str">
        <f t="shared" si="287"/>
        <v>CPP_7</v>
      </c>
    </row>
    <row r="2294" spans="1:22">
      <c r="A2294" t="str">
        <f t="shared" si="280"/>
        <v>NBN-7x023-BA</v>
      </c>
      <c r="B2294" s="403" t="s">
        <v>1390</v>
      </c>
      <c r="C2294" s="403" t="s">
        <v>583</v>
      </c>
      <c r="D2294" s="403" t="s">
        <v>1308</v>
      </c>
      <c r="E2294" s="403" t="s">
        <v>1296</v>
      </c>
      <c r="F2294" s="403" t="s">
        <v>1286</v>
      </c>
      <c r="G2294" s="403" t="s">
        <v>1467</v>
      </c>
      <c r="H2294" s="403" t="s">
        <v>1276</v>
      </c>
      <c r="I2294" s="403">
        <v>1</v>
      </c>
      <c r="J2294" s="403" t="s">
        <v>110</v>
      </c>
      <c r="K2294" s="403">
        <v>1080</v>
      </c>
      <c r="L2294" s="403">
        <v>1920</v>
      </c>
      <c r="M2294" s="403" t="s">
        <v>1279</v>
      </c>
      <c r="N2294" s="403">
        <v>432</v>
      </c>
      <c r="O2294" s="403">
        <v>768</v>
      </c>
      <c r="P2294" t="str">
        <f t="shared" si="281"/>
        <v>30fps 1080p - SD ROI PTZ</v>
      </c>
      <c r="Q2294">
        <f t="shared" si="282"/>
        <v>13</v>
      </c>
      <c r="R2294" t="str">
        <f t="shared" si="283"/>
        <v/>
      </c>
      <c r="S2294" t="str">
        <f t="shared" si="284"/>
        <v/>
      </c>
      <c r="T2294" s="403" t="str">
        <f t="shared" si="285"/>
        <v>NBN-7x023-BA</v>
      </c>
      <c r="U2294" s="403">
        <f t="shared" si="286"/>
        <v>1</v>
      </c>
      <c r="V2294" s="403" t="str">
        <f t="shared" si="287"/>
        <v>CPP_7</v>
      </c>
    </row>
    <row r="2295" spans="1:22">
      <c r="A2295" t="str">
        <f t="shared" si="280"/>
        <v>NBN-7x023-BA</v>
      </c>
      <c r="B2295" s="403" t="s">
        <v>1390</v>
      </c>
      <c r="C2295" s="403" t="s">
        <v>583</v>
      </c>
      <c r="D2295" s="403" t="s">
        <v>1308</v>
      </c>
      <c r="E2295" s="403" t="s">
        <v>1296</v>
      </c>
      <c r="F2295" s="403" t="s">
        <v>1286</v>
      </c>
      <c r="G2295" s="403" t="s">
        <v>1467</v>
      </c>
      <c r="H2295" s="403" t="s">
        <v>1276</v>
      </c>
      <c r="I2295" s="403">
        <v>1</v>
      </c>
      <c r="J2295" s="403" t="s">
        <v>110</v>
      </c>
      <c r="K2295" s="403">
        <v>1080</v>
      </c>
      <c r="L2295" s="403">
        <v>1920</v>
      </c>
      <c r="M2295" s="403" t="s">
        <v>1298</v>
      </c>
      <c r="N2295" s="403">
        <v>432</v>
      </c>
      <c r="O2295" s="403">
        <v>768</v>
      </c>
      <c r="P2295" t="str">
        <f t="shared" si="281"/>
        <v>30fps 1080p - SD dual stream with independent ROI PTZ</v>
      </c>
      <c r="Q2295">
        <f t="shared" si="282"/>
        <v>13</v>
      </c>
      <c r="R2295" t="str">
        <f t="shared" si="283"/>
        <v/>
      </c>
      <c r="S2295" t="str">
        <f t="shared" si="284"/>
        <v/>
      </c>
      <c r="T2295" s="403" t="str">
        <f t="shared" si="285"/>
        <v>NBN-7x023-BA</v>
      </c>
      <c r="U2295" s="403">
        <f t="shared" si="286"/>
        <v>1</v>
      </c>
      <c r="V2295" s="403" t="str">
        <f t="shared" si="287"/>
        <v>CPP_7</v>
      </c>
    </row>
    <row r="2296" spans="1:22">
      <c r="A2296" t="str">
        <f t="shared" si="280"/>
        <v>NBN-7x023-BA</v>
      </c>
      <c r="B2296" s="403" t="s">
        <v>1390</v>
      </c>
      <c r="C2296" s="403" t="s">
        <v>583</v>
      </c>
      <c r="D2296" s="403" t="s">
        <v>1308</v>
      </c>
      <c r="E2296" s="403" t="s">
        <v>1296</v>
      </c>
      <c r="F2296" s="403" t="s">
        <v>1286</v>
      </c>
      <c r="G2296" s="403" t="s">
        <v>1467</v>
      </c>
      <c r="H2296" s="403" t="s">
        <v>1276</v>
      </c>
      <c r="I2296" s="403">
        <v>1</v>
      </c>
      <c r="J2296" s="403" t="s">
        <v>110</v>
      </c>
      <c r="K2296" s="403">
        <v>1080</v>
      </c>
      <c r="L2296" s="403">
        <v>1920</v>
      </c>
      <c r="M2296" s="403" t="s">
        <v>1283</v>
      </c>
      <c r="N2296" s="403">
        <v>480</v>
      </c>
      <c r="O2296" s="403">
        <v>704</v>
      </c>
      <c r="P2296" t="str">
        <f t="shared" si="281"/>
        <v>30fps 1080p - SD 4CIF resolution 4:3 format (cropped)</v>
      </c>
      <c r="Q2296">
        <f t="shared" si="282"/>
        <v>13</v>
      </c>
      <c r="R2296" t="str">
        <f t="shared" si="283"/>
        <v/>
      </c>
      <c r="S2296" t="str">
        <f t="shared" si="284"/>
        <v/>
      </c>
      <c r="T2296" s="403" t="str">
        <f t="shared" si="285"/>
        <v>NBN-7x023-BA</v>
      </c>
      <c r="U2296" s="403">
        <f t="shared" si="286"/>
        <v>1</v>
      </c>
      <c r="V2296" s="403" t="str">
        <f t="shared" si="287"/>
        <v>CPP_7</v>
      </c>
    </row>
    <row r="2297" spans="1:22">
      <c r="A2297" t="str">
        <f t="shared" si="280"/>
        <v>NBN-7x023-BA</v>
      </c>
      <c r="B2297" s="403" t="s">
        <v>1390</v>
      </c>
      <c r="C2297" s="403" t="s">
        <v>583</v>
      </c>
      <c r="D2297" s="403" t="s">
        <v>1308</v>
      </c>
      <c r="E2297" s="403" t="s">
        <v>1296</v>
      </c>
      <c r="F2297" s="403" t="s">
        <v>1286</v>
      </c>
      <c r="G2297" s="403" t="s">
        <v>1467</v>
      </c>
      <c r="H2297" s="403" t="s">
        <v>1276</v>
      </c>
      <c r="I2297" s="403">
        <v>1</v>
      </c>
      <c r="J2297" s="403" t="s">
        <v>110</v>
      </c>
      <c r="K2297" s="403">
        <v>1080</v>
      </c>
      <c r="L2297" s="403">
        <v>1920</v>
      </c>
      <c r="M2297" s="403" t="s">
        <v>1284</v>
      </c>
      <c r="N2297" s="403">
        <v>480</v>
      </c>
      <c r="O2297" s="403">
        <v>640</v>
      </c>
      <c r="P2297" t="str">
        <f t="shared" si="281"/>
        <v>30fps 1080p - SD VGA (cropped)</v>
      </c>
      <c r="Q2297">
        <f t="shared" si="282"/>
        <v>13</v>
      </c>
      <c r="R2297" t="str">
        <f t="shared" si="283"/>
        <v/>
      </c>
      <c r="S2297" t="str">
        <f t="shared" si="284"/>
        <v/>
      </c>
      <c r="T2297" s="403" t="str">
        <f t="shared" si="285"/>
        <v>NBN-7x023-BA</v>
      </c>
      <c r="U2297" s="403">
        <f t="shared" si="286"/>
        <v>1</v>
      </c>
      <c r="V2297" s="403" t="str">
        <f t="shared" si="287"/>
        <v>CPP_7</v>
      </c>
    </row>
    <row r="2298" spans="1:22">
      <c r="A2298" t="str">
        <f t="shared" si="280"/>
        <v>NBN-7x023-BA</v>
      </c>
      <c r="B2298" s="403" t="s">
        <v>1390</v>
      </c>
      <c r="C2298" s="403" t="s">
        <v>583</v>
      </c>
      <c r="D2298" s="403" t="s">
        <v>1308</v>
      </c>
      <c r="E2298" s="403" t="s">
        <v>1296</v>
      </c>
      <c r="F2298" s="403" t="s">
        <v>1286</v>
      </c>
      <c r="G2298" s="403" t="s">
        <v>1467</v>
      </c>
      <c r="H2298" s="403" t="s">
        <v>1276</v>
      </c>
      <c r="I2298" s="403">
        <v>1</v>
      </c>
      <c r="J2298" s="403" t="s">
        <v>109</v>
      </c>
      <c r="K2298" s="403">
        <v>720</v>
      </c>
      <c r="L2298" s="403">
        <v>1280</v>
      </c>
      <c r="M2298" s="403" t="s">
        <v>111</v>
      </c>
      <c r="N2298" s="403">
        <v>432</v>
      </c>
      <c r="O2298" s="403">
        <v>768</v>
      </c>
      <c r="P2298" t="str">
        <f t="shared" si="281"/>
        <v>30fps 720p - SD</v>
      </c>
      <c r="Q2298">
        <f t="shared" si="282"/>
        <v>13</v>
      </c>
      <c r="R2298" t="str">
        <f t="shared" si="283"/>
        <v/>
      </c>
      <c r="S2298" t="str">
        <f t="shared" si="284"/>
        <v/>
      </c>
      <c r="T2298" s="403" t="str">
        <f t="shared" si="285"/>
        <v>NBN-7x023-BA</v>
      </c>
      <c r="U2298" s="403">
        <f t="shared" si="286"/>
        <v>1</v>
      </c>
      <c r="V2298" s="403" t="str">
        <f t="shared" si="287"/>
        <v>CPP_7</v>
      </c>
    </row>
    <row r="2299" spans="1:22">
      <c r="A2299" t="str">
        <f t="shared" si="280"/>
        <v>NBN-7x023-BA</v>
      </c>
      <c r="B2299" s="403" t="s">
        <v>1390</v>
      </c>
      <c r="C2299" s="403" t="s">
        <v>583</v>
      </c>
      <c r="D2299" s="403" t="s">
        <v>1308</v>
      </c>
      <c r="E2299" s="403" t="s">
        <v>1296</v>
      </c>
      <c r="F2299" s="403" t="s">
        <v>1286</v>
      </c>
      <c r="G2299" s="403" t="s">
        <v>1467</v>
      </c>
      <c r="H2299" s="403" t="s">
        <v>1276</v>
      </c>
      <c r="I2299" s="403">
        <v>1</v>
      </c>
      <c r="J2299" s="403" t="s">
        <v>109</v>
      </c>
      <c r="K2299" s="403">
        <v>720</v>
      </c>
      <c r="L2299" s="403">
        <v>1280</v>
      </c>
      <c r="M2299" s="403" t="s">
        <v>109</v>
      </c>
      <c r="N2299" s="403">
        <v>720</v>
      </c>
      <c r="O2299" s="403">
        <v>1280</v>
      </c>
      <c r="P2299" t="str">
        <f t="shared" si="281"/>
        <v>30fps 720p - 720p</v>
      </c>
      <c r="Q2299">
        <f t="shared" si="282"/>
        <v>13</v>
      </c>
      <c r="R2299" t="str">
        <f t="shared" si="283"/>
        <v/>
      </c>
      <c r="S2299" t="str">
        <f t="shared" si="284"/>
        <v/>
      </c>
      <c r="T2299" s="403" t="str">
        <f t="shared" si="285"/>
        <v>NBN-7x023-BA</v>
      </c>
      <c r="U2299" s="403">
        <f t="shared" si="286"/>
        <v>1</v>
      </c>
      <c r="V2299" s="403" t="str">
        <f t="shared" si="287"/>
        <v>CPP_7</v>
      </c>
    </row>
    <row r="2300" spans="1:22">
      <c r="A2300" t="str">
        <f t="shared" si="280"/>
        <v>NBN-7x023-BA</v>
      </c>
      <c r="B2300" s="403" t="s">
        <v>1390</v>
      </c>
      <c r="C2300" s="403" t="s">
        <v>583</v>
      </c>
      <c r="D2300" s="403" t="s">
        <v>1308</v>
      </c>
      <c r="E2300" s="403" t="s">
        <v>1296</v>
      </c>
      <c r="F2300" s="403" t="s">
        <v>1286</v>
      </c>
      <c r="G2300" s="403" t="s">
        <v>1467</v>
      </c>
      <c r="H2300" s="403" t="s">
        <v>1276</v>
      </c>
      <c r="I2300" s="403">
        <v>1</v>
      </c>
      <c r="J2300" s="403" t="s">
        <v>109</v>
      </c>
      <c r="K2300" s="403">
        <v>720</v>
      </c>
      <c r="L2300" s="403">
        <v>1280</v>
      </c>
      <c r="M2300" s="403" t="s">
        <v>1279</v>
      </c>
      <c r="N2300" s="403">
        <v>432</v>
      </c>
      <c r="O2300" s="403">
        <v>768</v>
      </c>
      <c r="P2300" t="str">
        <f t="shared" si="281"/>
        <v>30fps 720p - SD ROI PTZ</v>
      </c>
      <c r="Q2300">
        <f t="shared" si="282"/>
        <v>13</v>
      </c>
      <c r="R2300" t="str">
        <f t="shared" si="283"/>
        <v/>
      </c>
      <c r="S2300" t="str">
        <f t="shared" si="284"/>
        <v/>
      </c>
      <c r="T2300" s="403" t="str">
        <f t="shared" si="285"/>
        <v>NBN-7x023-BA</v>
      </c>
      <c r="U2300" s="403">
        <f t="shared" si="286"/>
        <v>1</v>
      </c>
      <c r="V2300" s="403" t="str">
        <f t="shared" si="287"/>
        <v>CPP_7</v>
      </c>
    </row>
    <row r="2301" spans="1:22">
      <c r="A2301" t="str">
        <f t="shared" si="280"/>
        <v>NBN-7x023-BA</v>
      </c>
      <c r="B2301" s="403" t="s">
        <v>1390</v>
      </c>
      <c r="C2301" s="403" t="s">
        <v>583</v>
      </c>
      <c r="D2301" s="403" t="s">
        <v>1308</v>
      </c>
      <c r="E2301" s="403" t="s">
        <v>1296</v>
      </c>
      <c r="F2301" s="403" t="s">
        <v>1286</v>
      </c>
      <c r="G2301" s="403" t="s">
        <v>1467</v>
      </c>
      <c r="H2301" s="403" t="s">
        <v>1276</v>
      </c>
      <c r="I2301" s="403">
        <v>1</v>
      </c>
      <c r="J2301" s="403" t="s">
        <v>109</v>
      </c>
      <c r="K2301" s="403">
        <v>720</v>
      </c>
      <c r="L2301" s="403">
        <v>1280</v>
      </c>
      <c r="M2301" s="403" t="s">
        <v>1298</v>
      </c>
      <c r="N2301" s="403">
        <v>432</v>
      </c>
      <c r="O2301" s="403">
        <v>768</v>
      </c>
      <c r="P2301" t="str">
        <f t="shared" si="281"/>
        <v>30fps 720p - SD dual stream with independent ROI PTZ</v>
      </c>
      <c r="Q2301">
        <f t="shared" si="282"/>
        <v>13</v>
      </c>
      <c r="R2301" t="str">
        <f t="shared" si="283"/>
        <v/>
      </c>
      <c r="S2301" t="str">
        <f t="shared" si="284"/>
        <v/>
      </c>
      <c r="T2301" s="403" t="str">
        <f t="shared" si="285"/>
        <v>NBN-7x023-BA</v>
      </c>
      <c r="U2301" s="403">
        <f t="shared" si="286"/>
        <v>1</v>
      </c>
      <c r="V2301" s="403" t="str">
        <f t="shared" si="287"/>
        <v>CPP_7</v>
      </c>
    </row>
    <row r="2302" spans="1:22">
      <c r="A2302" t="str">
        <f t="shared" si="280"/>
        <v>NBN-7x023-BA</v>
      </c>
      <c r="B2302" s="403" t="s">
        <v>1390</v>
      </c>
      <c r="C2302" s="403" t="s">
        <v>583</v>
      </c>
      <c r="D2302" s="403" t="s">
        <v>1308</v>
      </c>
      <c r="E2302" s="403" t="s">
        <v>1296</v>
      </c>
      <c r="F2302" s="403" t="s">
        <v>1286</v>
      </c>
      <c r="G2302" s="403" t="s">
        <v>1467</v>
      </c>
      <c r="H2302" s="403" t="s">
        <v>1276</v>
      </c>
      <c r="I2302" s="403">
        <v>1</v>
      </c>
      <c r="J2302" s="403" t="s">
        <v>109</v>
      </c>
      <c r="K2302" s="403">
        <v>720</v>
      </c>
      <c r="L2302" s="403">
        <v>1280</v>
      </c>
      <c r="M2302" s="403" t="s">
        <v>1283</v>
      </c>
      <c r="N2302" s="403">
        <v>480</v>
      </c>
      <c r="O2302" s="403">
        <v>704</v>
      </c>
      <c r="P2302" t="str">
        <f t="shared" si="281"/>
        <v>30fps 720p - SD 4CIF resolution 4:3 format (cropped)</v>
      </c>
      <c r="Q2302">
        <f t="shared" si="282"/>
        <v>13</v>
      </c>
      <c r="R2302" t="str">
        <f t="shared" si="283"/>
        <v/>
      </c>
      <c r="S2302" t="str">
        <f t="shared" si="284"/>
        <v/>
      </c>
      <c r="T2302" s="403" t="str">
        <f t="shared" si="285"/>
        <v>NBN-7x023-BA</v>
      </c>
      <c r="U2302" s="403">
        <f t="shared" si="286"/>
        <v>1</v>
      </c>
      <c r="V2302" s="403" t="str">
        <f t="shared" si="287"/>
        <v>CPP_7</v>
      </c>
    </row>
    <row r="2303" spans="1:22">
      <c r="A2303" t="str">
        <f t="shared" si="280"/>
        <v>NBN-7x023-BA</v>
      </c>
      <c r="B2303" s="403" t="s">
        <v>1390</v>
      </c>
      <c r="C2303" s="403" t="s">
        <v>583</v>
      </c>
      <c r="D2303" s="403" t="s">
        <v>1308</v>
      </c>
      <c r="E2303" s="403" t="s">
        <v>1296</v>
      </c>
      <c r="F2303" s="403" t="s">
        <v>1286</v>
      </c>
      <c r="G2303" s="403" t="s">
        <v>1467</v>
      </c>
      <c r="H2303" s="403" t="s">
        <v>1276</v>
      </c>
      <c r="I2303" s="403">
        <v>1</v>
      </c>
      <c r="J2303" s="403" t="s">
        <v>109</v>
      </c>
      <c r="K2303" s="403">
        <v>720</v>
      </c>
      <c r="L2303" s="403">
        <v>1280</v>
      </c>
      <c r="M2303" s="403" t="s">
        <v>1284</v>
      </c>
      <c r="N2303" s="403">
        <v>480</v>
      </c>
      <c r="O2303" s="403">
        <v>640</v>
      </c>
      <c r="P2303" t="str">
        <f t="shared" si="281"/>
        <v>30fps 720p - SD VGA (cropped)</v>
      </c>
      <c r="Q2303">
        <f t="shared" si="282"/>
        <v>13</v>
      </c>
      <c r="R2303" t="str">
        <f t="shared" si="283"/>
        <v/>
      </c>
      <c r="S2303" t="str">
        <f t="shared" si="284"/>
        <v/>
      </c>
      <c r="T2303" s="403" t="str">
        <f t="shared" si="285"/>
        <v>NBN-7x023-BA</v>
      </c>
      <c r="U2303" s="403">
        <f t="shared" si="286"/>
        <v>1</v>
      </c>
      <c r="V2303" s="403" t="str">
        <f t="shared" si="287"/>
        <v>CPP_7</v>
      </c>
    </row>
    <row r="2304" spans="1:22">
      <c r="A2304" t="str">
        <f t="shared" si="280"/>
        <v>NBN-7x023-BA</v>
      </c>
      <c r="B2304" s="403" t="s">
        <v>1390</v>
      </c>
      <c r="C2304" s="403" t="s">
        <v>583</v>
      </c>
      <c r="D2304" s="403" t="s">
        <v>1308</v>
      </c>
      <c r="E2304" s="403" t="s">
        <v>1296</v>
      </c>
      <c r="F2304" s="403" t="s">
        <v>1286</v>
      </c>
      <c r="G2304" s="403" t="s">
        <v>1467</v>
      </c>
      <c r="H2304" s="403" t="s">
        <v>1276</v>
      </c>
      <c r="I2304" s="403">
        <v>1</v>
      </c>
      <c r="J2304" s="403" t="s">
        <v>111</v>
      </c>
      <c r="K2304" s="403">
        <v>432</v>
      </c>
      <c r="L2304" s="403">
        <v>768</v>
      </c>
      <c r="M2304" s="403" t="s">
        <v>111</v>
      </c>
      <c r="N2304" s="403">
        <v>432</v>
      </c>
      <c r="O2304" s="403">
        <v>768</v>
      </c>
      <c r="P2304" t="str">
        <f t="shared" si="281"/>
        <v>30fps SD - SD</v>
      </c>
      <c r="Q2304">
        <f t="shared" si="282"/>
        <v>13</v>
      </c>
      <c r="R2304" t="str">
        <f t="shared" si="283"/>
        <v/>
      </c>
      <c r="S2304" t="str">
        <f t="shared" si="284"/>
        <v/>
      </c>
      <c r="T2304" s="403" t="str">
        <f t="shared" si="285"/>
        <v>NBN-7x023-BA</v>
      </c>
      <c r="U2304" s="403">
        <f t="shared" si="286"/>
        <v>1</v>
      </c>
      <c r="V2304" s="403" t="str">
        <f t="shared" si="287"/>
        <v>CPP_7</v>
      </c>
    </row>
    <row r="2305" spans="1:22">
      <c r="A2305" t="str">
        <f t="shared" si="280"/>
        <v>NBN-7x023-BA</v>
      </c>
      <c r="B2305" s="403" t="s">
        <v>1390</v>
      </c>
      <c r="C2305" s="403" t="s">
        <v>583</v>
      </c>
      <c r="D2305" s="403" t="s">
        <v>1308</v>
      </c>
      <c r="E2305" s="403" t="s">
        <v>1296</v>
      </c>
      <c r="F2305" s="403" t="s">
        <v>1287</v>
      </c>
      <c r="G2305" s="403" t="s">
        <v>1466</v>
      </c>
      <c r="H2305" s="403" t="s">
        <v>1276</v>
      </c>
      <c r="I2305" s="403">
        <v>1</v>
      </c>
      <c r="J2305" s="403" t="s">
        <v>110</v>
      </c>
      <c r="K2305" s="403">
        <v>1920</v>
      </c>
      <c r="L2305" s="403">
        <v>1080</v>
      </c>
      <c r="M2305" s="403" t="s">
        <v>111</v>
      </c>
      <c r="N2305" s="403">
        <v>768</v>
      </c>
      <c r="O2305" s="403">
        <v>432</v>
      </c>
      <c r="P2305" t="str">
        <f t="shared" si="281"/>
        <v>25fps 1080p - SD</v>
      </c>
      <c r="Q2305">
        <f t="shared" si="282"/>
        <v>13</v>
      </c>
      <c r="R2305" t="str">
        <f t="shared" si="283"/>
        <v/>
      </c>
      <c r="S2305" t="str">
        <f t="shared" si="284"/>
        <v/>
      </c>
      <c r="T2305" s="403" t="str">
        <f t="shared" si="285"/>
        <v>NBN-7x023-BA</v>
      </c>
      <c r="U2305" s="403">
        <f t="shared" si="286"/>
        <v>1</v>
      </c>
      <c r="V2305" s="403" t="str">
        <f t="shared" si="287"/>
        <v>CPP_7</v>
      </c>
    </row>
    <row r="2306" spans="1:22">
      <c r="A2306" t="str">
        <f t="shared" ref="A2306:A2369" si="288">IF(AND(G2306&lt;&gt;"rotate 90°"),D2306,"")</f>
        <v>NBN-7x023-BA</v>
      </c>
      <c r="B2306" s="403" t="s">
        <v>1390</v>
      </c>
      <c r="C2306" s="403" t="s">
        <v>583</v>
      </c>
      <c r="D2306" s="403" t="s">
        <v>1308</v>
      </c>
      <c r="E2306" s="403" t="s">
        <v>1296</v>
      </c>
      <c r="F2306" s="403" t="s">
        <v>1287</v>
      </c>
      <c r="G2306" s="403" t="s">
        <v>1466</v>
      </c>
      <c r="H2306" s="403" t="s">
        <v>1276</v>
      </c>
      <c r="I2306" s="403">
        <v>1</v>
      </c>
      <c r="J2306" s="403" t="s">
        <v>110</v>
      </c>
      <c r="K2306" s="403">
        <v>1920</v>
      </c>
      <c r="L2306" s="403">
        <v>1080</v>
      </c>
      <c r="M2306" s="403" t="s">
        <v>110</v>
      </c>
      <c r="N2306" s="403">
        <v>1920</v>
      </c>
      <c r="O2306" s="403">
        <v>1080</v>
      </c>
      <c r="P2306" t="str">
        <f t="shared" ref="P2306:P2369" si="289">LEFT(F2306,5)&amp;" "&amp;J2306&amp;" - "&amp;M2306</f>
        <v>25fps 1080p - 1080p</v>
      </c>
      <c r="Q2306">
        <f t="shared" ref="Q2306:Q2369" si="290">IF(A2305=A2306,Q2305,Q2305+1)</f>
        <v>13</v>
      </c>
      <c r="R2306" t="str">
        <f t="shared" ref="R2306:R2369" si="291">IF(Q2305&lt;&gt;Q2306,Q2306,"")</f>
        <v/>
      </c>
      <c r="S2306" t="str">
        <f t="shared" ref="S2306:S2369" si="292">IF(R2306&lt;&gt;"",B2306&amp;" ("&amp;D2306&amp;")","")</f>
        <v/>
      </c>
      <c r="T2306" s="403" t="str">
        <f t="shared" ref="T2306:T2369" si="293">D2306</f>
        <v>NBN-7x023-BA</v>
      </c>
      <c r="U2306" s="403">
        <f t="shared" ref="U2306:U2369" si="294">I2306</f>
        <v>1</v>
      </c>
      <c r="V2306" s="403" t="str">
        <f t="shared" ref="V2306:V2369" si="295">C2306</f>
        <v>CPP_7</v>
      </c>
    </row>
    <row r="2307" spans="1:22">
      <c r="A2307" t="str">
        <f t="shared" si="288"/>
        <v>NBN-7x023-BA</v>
      </c>
      <c r="B2307" s="403" t="s">
        <v>1390</v>
      </c>
      <c r="C2307" s="403" t="s">
        <v>583</v>
      </c>
      <c r="D2307" s="403" t="s">
        <v>1308</v>
      </c>
      <c r="E2307" s="403" t="s">
        <v>1296</v>
      </c>
      <c r="F2307" s="403" t="s">
        <v>1287</v>
      </c>
      <c r="G2307" s="403" t="s">
        <v>1466</v>
      </c>
      <c r="H2307" s="403" t="s">
        <v>1276</v>
      </c>
      <c r="I2307" s="403">
        <v>1</v>
      </c>
      <c r="J2307" s="403" t="s">
        <v>110</v>
      </c>
      <c r="K2307" s="403">
        <v>1920</v>
      </c>
      <c r="L2307" s="403">
        <v>1080</v>
      </c>
      <c r="M2307" s="403" t="s">
        <v>109</v>
      </c>
      <c r="N2307" s="403">
        <v>1280</v>
      </c>
      <c r="O2307" s="403">
        <v>720</v>
      </c>
      <c r="P2307" t="str">
        <f t="shared" si="289"/>
        <v>25fps 1080p - 720p</v>
      </c>
      <c r="Q2307">
        <f t="shared" si="290"/>
        <v>13</v>
      </c>
      <c r="R2307" t="str">
        <f t="shared" si="291"/>
        <v/>
      </c>
      <c r="S2307" t="str">
        <f t="shared" si="292"/>
        <v/>
      </c>
      <c r="T2307" s="403" t="str">
        <f t="shared" si="293"/>
        <v>NBN-7x023-BA</v>
      </c>
      <c r="U2307" s="403">
        <f t="shared" si="294"/>
        <v>1</v>
      </c>
      <c r="V2307" s="403" t="str">
        <f t="shared" si="295"/>
        <v>CPP_7</v>
      </c>
    </row>
    <row r="2308" spans="1:22">
      <c r="A2308" t="str">
        <f t="shared" si="288"/>
        <v>NBN-7x023-BA</v>
      </c>
      <c r="B2308" s="403" t="s">
        <v>1390</v>
      </c>
      <c r="C2308" s="403" t="s">
        <v>583</v>
      </c>
      <c r="D2308" s="403" t="s">
        <v>1308</v>
      </c>
      <c r="E2308" s="403" t="s">
        <v>1296</v>
      </c>
      <c r="F2308" s="403" t="s">
        <v>1287</v>
      </c>
      <c r="G2308" s="403" t="s">
        <v>1466</v>
      </c>
      <c r="H2308" s="403" t="s">
        <v>1276</v>
      </c>
      <c r="I2308" s="403">
        <v>1</v>
      </c>
      <c r="J2308" s="403" t="s">
        <v>110</v>
      </c>
      <c r="K2308" s="403">
        <v>1920</v>
      </c>
      <c r="L2308" s="403">
        <v>1080</v>
      </c>
      <c r="M2308" s="403" t="s">
        <v>1285</v>
      </c>
      <c r="N2308" s="403">
        <v>1280</v>
      </c>
      <c r="O2308" s="403">
        <v>1024</v>
      </c>
      <c r="P2308" t="str">
        <f t="shared" si="289"/>
        <v>25fps 1080p - 1280x1024 5:4 (cropped)</v>
      </c>
      <c r="Q2308">
        <f t="shared" si="290"/>
        <v>13</v>
      </c>
      <c r="R2308" t="str">
        <f t="shared" si="291"/>
        <v/>
      </c>
      <c r="S2308" t="str">
        <f t="shared" si="292"/>
        <v/>
      </c>
      <c r="T2308" s="403" t="str">
        <f t="shared" si="293"/>
        <v>NBN-7x023-BA</v>
      </c>
      <c r="U2308" s="403">
        <f t="shared" si="294"/>
        <v>1</v>
      </c>
      <c r="V2308" s="403" t="str">
        <f t="shared" si="295"/>
        <v>CPP_7</v>
      </c>
    </row>
    <row r="2309" spans="1:22">
      <c r="A2309" t="str">
        <f t="shared" si="288"/>
        <v>NBN-7x023-BA</v>
      </c>
      <c r="B2309" s="403" t="s">
        <v>1390</v>
      </c>
      <c r="C2309" s="403" t="s">
        <v>583</v>
      </c>
      <c r="D2309" s="403" t="s">
        <v>1308</v>
      </c>
      <c r="E2309" s="403" t="s">
        <v>1296</v>
      </c>
      <c r="F2309" s="403" t="s">
        <v>1287</v>
      </c>
      <c r="G2309" s="403" t="s">
        <v>1466</v>
      </c>
      <c r="H2309" s="403" t="s">
        <v>1276</v>
      </c>
      <c r="I2309" s="403">
        <v>1</v>
      </c>
      <c r="J2309" s="403" t="s">
        <v>110</v>
      </c>
      <c r="K2309" s="403">
        <v>1920</v>
      </c>
      <c r="L2309" s="403">
        <v>1080</v>
      </c>
      <c r="M2309" s="403" t="s">
        <v>1309</v>
      </c>
      <c r="N2309" s="403">
        <v>1280</v>
      </c>
      <c r="O2309" s="403">
        <v>960</v>
      </c>
      <c r="P2309" t="str">
        <f t="shared" si="289"/>
        <v>25fps 1080p - 1280x960 4:3 (cropped)</v>
      </c>
      <c r="Q2309">
        <f t="shared" si="290"/>
        <v>13</v>
      </c>
      <c r="R2309" t="str">
        <f t="shared" si="291"/>
        <v/>
      </c>
      <c r="S2309" t="str">
        <f t="shared" si="292"/>
        <v/>
      </c>
      <c r="T2309" s="403" t="str">
        <f t="shared" si="293"/>
        <v>NBN-7x023-BA</v>
      </c>
      <c r="U2309" s="403">
        <f t="shared" si="294"/>
        <v>1</v>
      </c>
      <c r="V2309" s="403" t="str">
        <f t="shared" si="295"/>
        <v>CPP_7</v>
      </c>
    </row>
    <row r="2310" spans="1:22">
      <c r="A2310" t="str">
        <f t="shared" si="288"/>
        <v>NBN-7x023-BA</v>
      </c>
      <c r="B2310" s="403" t="s">
        <v>1390</v>
      </c>
      <c r="C2310" s="403" t="s">
        <v>583</v>
      </c>
      <c r="D2310" s="403" t="s">
        <v>1308</v>
      </c>
      <c r="E2310" s="403" t="s">
        <v>1296</v>
      </c>
      <c r="F2310" s="403" t="s">
        <v>1287</v>
      </c>
      <c r="G2310" s="403" t="s">
        <v>1466</v>
      </c>
      <c r="H2310" s="403" t="s">
        <v>1276</v>
      </c>
      <c r="I2310" s="403">
        <v>1</v>
      </c>
      <c r="J2310" s="403" t="s">
        <v>110</v>
      </c>
      <c r="K2310" s="403">
        <v>1920</v>
      </c>
      <c r="L2310" s="403">
        <v>1080</v>
      </c>
      <c r="M2310" s="403" t="s">
        <v>1279</v>
      </c>
      <c r="N2310" s="403">
        <v>768</v>
      </c>
      <c r="O2310" s="403">
        <v>432</v>
      </c>
      <c r="P2310" t="str">
        <f t="shared" si="289"/>
        <v>25fps 1080p - SD ROI PTZ</v>
      </c>
      <c r="Q2310">
        <f t="shared" si="290"/>
        <v>13</v>
      </c>
      <c r="R2310" t="str">
        <f t="shared" si="291"/>
        <v/>
      </c>
      <c r="S2310" t="str">
        <f t="shared" si="292"/>
        <v/>
      </c>
      <c r="T2310" s="403" t="str">
        <f t="shared" si="293"/>
        <v>NBN-7x023-BA</v>
      </c>
      <c r="U2310" s="403">
        <f t="shared" si="294"/>
        <v>1</v>
      </c>
      <c r="V2310" s="403" t="str">
        <f t="shared" si="295"/>
        <v>CPP_7</v>
      </c>
    </row>
    <row r="2311" spans="1:22">
      <c r="A2311" t="str">
        <f t="shared" si="288"/>
        <v>NBN-7x023-BA</v>
      </c>
      <c r="B2311" s="403" t="s">
        <v>1390</v>
      </c>
      <c r="C2311" s="403" t="s">
        <v>583</v>
      </c>
      <c r="D2311" s="403" t="s">
        <v>1308</v>
      </c>
      <c r="E2311" s="403" t="s">
        <v>1296</v>
      </c>
      <c r="F2311" s="403" t="s">
        <v>1287</v>
      </c>
      <c r="G2311" s="403" t="s">
        <v>1466</v>
      </c>
      <c r="H2311" s="403" t="s">
        <v>1276</v>
      </c>
      <c r="I2311" s="403">
        <v>1</v>
      </c>
      <c r="J2311" s="403" t="s">
        <v>110</v>
      </c>
      <c r="K2311" s="403">
        <v>1920</v>
      </c>
      <c r="L2311" s="403">
        <v>1080</v>
      </c>
      <c r="M2311" s="403" t="s">
        <v>1298</v>
      </c>
      <c r="N2311" s="403">
        <v>768</v>
      </c>
      <c r="O2311" s="403">
        <v>432</v>
      </c>
      <c r="P2311" t="str">
        <f t="shared" si="289"/>
        <v>25fps 1080p - SD dual stream with independent ROI PTZ</v>
      </c>
      <c r="Q2311">
        <f t="shared" si="290"/>
        <v>13</v>
      </c>
      <c r="R2311" t="str">
        <f t="shared" si="291"/>
        <v/>
      </c>
      <c r="S2311" t="str">
        <f t="shared" si="292"/>
        <v/>
      </c>
      <c r="T2311" s="403" t="str">
        <f t="shared" si="293"/>
        <v>NBN-7x023-BA</v>
      </c>
      <c r="U2311" s="403">
        <f t="shared" si="294"/>
        <v>1</v>
      </c>
      <c r="V2311" s="403" t="str">
        <f t="shared" si="295"/>
        <v>CPP_7</v>
      </c>
    </row>
    <row r="2312" spans="1:22">
      <c r="A2312" t="str">
        <f t="shared" si="288"/>
        <v>NBN-7x023-BA</v>
      </c>
      <c r="B2312" s="403" t="s">
        <v>1390</v>
      </c>
      <c r="C2312" s="403" t="s">
        <v>583</v>
      </c>
      <c r="D2312" s="403" t="s">
        <v>1308</v>
      </c>
      <c r="E2312" s="403" t="s">
        <v>1296</v>
      </c>
      <c r="F2312" s="403" t="s">
        <v>1287</v>
      </c>
      <c r="G2312" s="403" t="s">
        <v>1466</v>
      </c>
      <c r="H2312" s="403" t="s">
        <v>1276</v>
      </c>
      <c r="I2312" s="403">
        <v>1</v>
      </c>
      <c r="J2312" s="403" t="s">
        <v>110</v>
      </c>
      <c r="K2312" s="403">
        <v>1920</v>
      </c>
      <c r="L2312" s="403">
        <v>1080</v>
      </c>
      <c r="M2312" s="403" t="s">
        <v>1283</v>
      </c>
      <c r="N2312" s="403">
        <v>704</v>
      </c>
      <c r="O2312" s="403">
        <v>576</v>
      </c>
      <c r="P2312" t="str">
        <f t="shared" si="289"/>
        <v>25fps 1080p - SD 4CIF resolution 4:3 format (cropped)</v>
      </c>
      <c r="Q2312">
        <f t="shared" si="290"/>
        <v>13</v>
      </c>
      <c r="R2312" t="str">
        <f t="shared" si="291"/>
        <v/>
      </c>
      <c r="S2312" t="str">
        <f t="shared" si="292"/>
        <v/>
      </c>
      <c r="T2312" s="403" t="str">
        <f t="shared" si="293"/>
        <v>NBN-7x023-BA</v>
      </c>
      <c r="U2312" s="403">
        <f t="shared" si="294"/>
        <v>1</v>
      </c>
      <c r="V2312" s="403" t="str">
        <f t="shared" si="295"/>
        <v>CPP_7</v>
      </c>
    </row>
    <row r="2313" spans="1:22">
      <c r="A2313" t="str">
        <f t="shared" si="288"/>
        <v>NBN-7x023-BA</v>
      </c>
      <c r="B2313" s="403" t="s">
        <v>1390</v>
      </c>
      <c r="C2313" s="403" t="s">
        <v>583</v>
      </c>
      <c r="D2313" s="403" t="s">
        <v>1308</v>
      </c>
      <c r="E2313" s="403" t="s">
        <v>1296</v>
      </c>
      <c r="F2313" s="403" t="s">
        <v>1287</v>
      </c>
      <c r="G2313" s="403" t="s">
        <v>1466</v>
      </c>
      <c r="H2313" s="403" t="s">
        <v>1276</v>
      </c>
      <c r="I2313" s="403">
        <v>1</v>
      </c>
      <c r="J2313" s="403" t="s">
        <v>110</v>
      </c>
      <c r="K2313" s="403">
        <v>1920</v>
      </c>
      <c r="L2313" s="403">
        <v>1080</v>
      </c>
      <c r="M2313" s="403" t="s">
        <v>1284</v>
      </c>
      <c r="N2313" s="403">
        <v>640</v>
      </c>
      <c r="O2313" s="403">
        <v>480</v>
      </c>
      <c r="P2313" t="str">
        <f t="shared" si="289"/>
        <v>25fps 1080p - SD VGA (cropped)</v>
      </c>
      <c r="Q2313">
        <f t="shared" si="290"/>
        <v>13</v>
      </c>
      <c r="R2313" t="str">
        <f t="shared" si="291"/>
        <v/>
      </c>
      <c r="S2313" t="str">
        <f t="shared" si="292"/>
        <v/>
      </c>
      <c r="T2313" s="403" t="str">
        <f t="shared" si="293"/>
        <v>NBN-7x023-BA</v>
      </c>
      <c r="U2313" s="403">
        <f t="shared" si="294"/>
        <v>1</v>
      </c>
      <c r="V2313" s="403" t="str">
        <f t="shared" si="295"/>
        <v>CPP_7</v>
      </c>
    </row>
    <row r="2314" spans="1:22">
      <c r="A2314" t="str">
        <f t="shared" si="288"/>
        <v>NBN-7x023-BA</v>
      </c>
      <c r="B2314" s="403" t="s">
        <v>1390</v>
      </c>
      <c r="C2314" s="403" t="s">
        <v>583</v>
      </c>
      <c r="D2314" s="403" t="s">
        <v>1308</v>
      </c>
      <c r="E2314" s="403" t="s">
        <v>1296</v>
      </c>
      <c r="F2314" s="403" t="s">
        <v>1287</v>
      </c>
      <c r="G2314" s="403" t="s">
        <v>1466</v>
      </c>
      <c r="H2314" s="403" t="s">
        <v>1276</v>
      </c>
      <c r="I2314" s="403">
        <v>1</v>
      </c>
      <c r="J2314" s="403" t="s">
        <v>109</v>
      </c>
      <c r="K2314" s="403">
        <v>1280</v>
      </c>
      <c r="L2314" s="403">
        <v>720</v>
      </c>
      <c r="M2314" s="403" t="s">
        <v>111</v>
      </c>
      <c r="N2314" s="403">
        <v>768</v>
      </c>
      <c r="O2314" s="403">
        <v>432</v>
      </c>
      <c r="P2314" t="str">
        <f t="shared" si="289"/>
        <v>25fps 720p - SD</v>
      </c>
      <c r="Q2314">
        <f t="shared" si="290"/>
        <v>13</v>
      </c>
      <c r="R2314" t="str">
        <f t="shared" si="291"/>
        <v/>
      </c>
      <c r="S2314" t="str">
        <f t="shared" si="292"/>
        <v/>
      </c>
      <c r="T2314" s="403" t="str">
        <f t="shared" si="293"/>
        <v>NBN-7x023-BA</v>
      </c>
      <c r="U2314" s="403">
        <f t="shared" si="294"/>
        <v>1</v>
      </c>
      <c r="V2314" s="403" t="str">
        <f t="shared" si="295"/>
        <v>CPP_7</v>
      </c>
    </row>
    <row r="2315" spans="1:22">
      <c r="A2315" t="str">
        <f t="shared" si="288"/>
        <v>NBN-7x023-BA</v>
      </c>
      <c r="B2315" s="403" t="s">
        <v>1390</v>
      </c>
      <c r="C2315" s="403" t="s">
        <v>583</v>
      </c>
      <c r="D2315" s="403" t="s">
        <v>1308</v>
      </c>
      <c r="E2315" s="403" t="s">
        <v>1296</v>
      </c>
      <c r="F2315" s="403" t="s">
        <v>1287</v>
      </c>
      <c r="G2315" s="403" t="s">
        <v>1466</v>
      </c>
      <c r="H2315" s="403" t="s">
        <v>1276</v>
      </c>
      <c r="I2315" s="403">
        <v>1</v>
      </c>
      <c r="J2315" s="403" t="s">
        <v>109</v>
      </c>
      <c r="K2315" s="403">
        <v>1280</v>
      </c>
      <c r="L2315" s="403">
        <v>720</v>
      </c>
      <c r="M2315" s="403" t="s">
        <v>109</v>
      </c>
      <c r="N2315" s="403">
        <v>1280</v>
      </c>
      <c r="O2315" s="403">
        <v>720</v>
      </c>
      <c r="P2315" t="str">
        <f t="shared" si="289"/>
        <v>25fps 720p - 720p</v>
      </c>
      <c r="Q2315">
        <f t="shared" si="290"/>
        <v>13</v>
      </c>
      <c r="R2315" t="str">
        <f t="shared" si="291"/>
        <v/>
      </c>
      <c r="S2315" t="str">
        <f t="shared" si="292"/>
        <v/>
      </c>
      <c r="T2315" s="403" t="str">
        <f t="shared" si="293"/>
        <v>NBN-7x023-BA</v>
      </c>
      <c r="U2315" s="403">
        <f t="shared" si="294"/>
        <v>1</v>
      </c>
      <c r="V2315" s="403" t="str">
        <f t="shared" si="295"/>
        <v>CPP_7</v>
      </c>
    </row>
    <row r="2316" spans="1:22">
      <c r="A2316" t="str">
        <f t="shared" si="288"/>
        <v>NBN-7x023-BA</v>
      </c>
      <c r="B2316" s="403" t="s">
        <v>1390</v>
      </c>
      <c r="C2316" s="403" t="s">
        <v>583</v>
      </c>
      <c r="D2316" s="403" t="s">
        <v>1308</v>
      </c>
      <c r="E2316" s="403" t="s">
        <v>1296</v>
      </c>
      <c r="F2316" s="403" t="s">
        <v>1287</v>
      </c>
      <c r="G2316" s="403" t="s">
        <v>1466</v>
      </c>
      <c r="H2316" s="403" t="s">
        <v>1276</v>
      </c>
      <c r="I2316" s="403">
        <v>1</v>
      </c>
      <c r="J2316" s="403" t="s">
        <v>109</v>
      </c>
      <c r="K2316" s="403">
        <v>1280</v>
      </c>
      <c r="L2316" s="403">
        <v>720</v>
      </c>
      <c r="M2316" s="403" t="s">
        <v>1279</v>
      </c>
      <c r="N2316" s="403">
        <v>768</v>
      </c>
      <c r="O2316" s="403">
        <v>432</v>
      </c>
      <c r="P2316" t="str">
        <f t="shared" si="289"/>
        <v>25fps 720p - SD ROI PTZ</v>
      </c>
      <c r="Q2316">
        <f t="shared" si="290"/>
        <v>13</v>
      </c>
      <c r="R2316" t="str">
        <f t="shared" si="291"/>
        <v/>
      </c>
      <c r="S2316" t="str">
        <f t="shared" si="292"/>
        <v/>
      </c>
      <c r="T2316" s="403" t="str">
        <f t="shared" si="293"/>
        <v>NBN-7x023-BA</v>
      </c>
      <c r="U2316" s="403">
        <f t="shared" si="294"/>
        <v>1</v>
      </c>
      <c r="V2316" s="403" t="str">
        <f t="shared" si="295"/>
        <v>CPP_7</v>
      </c>
    </row>
    <row r="2317" spans="1:22">
      <c r="A2317" t="str">
        <f t="shared" si="288"/>
        <v>NBN-7x023-BA</v>
      </c>
      <c r="B2317" s="403" t="s">
        <v>1390</v>
      </c>
      <c r="C2317" s="403" t="s">
        <v>583</v>
      </c>
      <c r="D2317" s="403" t="s">
        <v>1308</v>
      </c>
      <c r="E2317" s="403" t="s">
        <v>1296</v>
      </c>
      <c r="F2317" s="403" t="s">
        <v>1287</v>
      </c>
      <c r="G2317" s="403" t="s">
        <v>1466</v>
      </c>
      <c r="H2317" s="403" t="s">
        <v>1276</v>
      </c>
      <c r="I2317" s="403">
        <v>1</v>
      </c>
      <c r="J2317" s="403" t="s">
        <v>109</v>
      </c>
      <c r="K2317" s="403">
        <v>1280</v>
      </c>
      <c r="L2317" s="403">
        <v>720</v>
      </c>
      <c r="M2317" s="403" t="s">
        <v>1298</v>
      </c>
      <c r="N2317" s="403">
        <v>768</v>
      </c>
      <c r="O2317" s="403">
        <v>432</v>
      </c>
      <c r="P2317" t="str">
        <f t="shared" si="289"/>
        <v>25fps 720p - SD dual stream with independent ROI PTZ</v>
      </c>
      <c r="Q2317">
        <f t="shared" si="290"/>
        <v>13</v>
      </c>
      <c r="R2317" t="str">
        <f t="shared" si="291"/>
        <v/>
      </c>
      <c r="S2317" t="str">
        <f t="shared" si="292"/>
        <v/>
      </c>
      <c r="T2317" s="403" t="str">
        <f t="shared" si="293"/>
        <v>NBN-7x023-BA</v>
      </c>
      <c r="U2317" s="403">
        <f t="shared" si="294"/>
        <v>1</v>
      </c>
      <c r="V2317" s="403" t="str">
        <f t="shared" si="295"/>
        <v>CPP_7</v>
      </c>
    </row>
    <row r="2318" spans="1:22">
      <c r="A2318" t="str">
        <f t="shared" si="288"/>
        <v>NBN-7x023-BA</v>
      </c>
      <c r="B2318" s="403" t="s">
        <v>1390</v>
      </c>
      <c r="C2318" s="403" t="s">
        <v>583</v>
      </c>
      <c r="D2318" s="403" t="s">
        <v>1308</v>
      </c>
      <c r="E2318" s="403" t="s">
        <v>1296</v>
      </c>
      <c r="F2318" s="403" t="s">
        <v>1287</v>
      </c>
      <c r="G2318" s="403" t="s">
        <v>1466</v>
      </c>
      <c r="H2318" s="403" t="s">
        <v>1276</v>
      </c>
      <c r="I2318" s="403">
        <v>1</v>
      </c>
      <c r="J2318" s="403" t="s">
        <v>109</v>
      </c>
      <c r="K2318" s="403">
        <v>1280</v>
      </c>
      <c r="L2318" s="403">
        <v>720</v>
      </c>
      <c r="M2318" s="403" t="s">
        <v>1283</v>
      </c>
      <c r="N2318" s="403">
        <v>704</v>
      </c>
      <c r="O2318" s="403">
        <v>576</v>
      </c>
      <c r="P2318" t="str">
        <f t="shared" si="289"/>
        <v>25fps 720p - SD 4CIF resolution 4:3 format (cropped)</v>
      </c>
      <c r="Q2318">
        <f t="shared" si="290"/>
        <v>13</v>
      </c>
      <c r="R2318" t="str">
        <f t="shared" si="291"/>
        <v/>
      </c>
      <c r="S2318" t="str">
        <f t="shared" si="292"/>
        <v/>
      </c>
      <c r="T2318" s="403" t="str">
        <f t="shared" si="293"/>
        <v>NBN-7x023-BA</v>
      </c>
      <c r="U2318" s="403">
        <f t="shared" si="294"/>
        <v>1</v>
      </c>
      <c r="V2318" s="403" t="str">
        <f t="shared" si="295"/>
        <v>CPP_7</v>
      </c>
    </row>
    <row r="2319" spans="1:22">
      <c r="A2319" t="str">
        <f t="shared" si="288"/>
        <v>NBN-7x023-BA</v>
      </c>
      <c r="B2319" s="403" t="s">
        <v>1390</v>
      </c>
      <c r="C2319" s="403" t="s">
        <v>583</v>
      </c>
      <c r="D2319" s="403" t="s">
        <v>1308</v>
      </c>
      <c r="E2319" s="403" t="s">
        <v>1296</v>
      </c>
      <c r="F2319" s="403" t="s">
        <v>1287</v>
      </c>
      <c r="G2319" s="403" t="s">
        <v>1466</v>
      </c>
      <c r="H2319" s="403" t="s">
        <v>1276</v>
      </c>
      <c r="I2319" s="403">
        <v>1</v>
      </c>
      <c r="J2319" s="403" t="s">
        <v>109</v>
      </c>
      <c r="K2319" s="403">
        <v>1280</v>
      </c>
      <c r="L2319" s="403">
        <v>720</v>
      </c>
      <c r="M2319" s="403" t="s">
        <v>1284</v>
      </c>
      <c r="N2319" s="403">
        <v>640</v>
      </c>
      <c r="O2319" s="403">
        <v>480</v>
      </c>
      <c r="P2319" t="str">
        <f t="shared" si="289"/>
        <v>25fps 720p - SD VGA (cropped)</v>
      </c>
      <c r="Q2319">
        <f t="shared" si="290"/>
        <v>13</v>
      </c>
      <c r="R2319" t="str">
        <f t="shared" si="291"/>
        <v/>
      </c>
      <c r="S2319" t="str">
        <f t="shared" si="292"/>
        <v/>
      </c>
      <c r="T2319" s="403" t="str">
        <f t="shared" si="293"/>
        <v>NBN-7x023-BA</v>
      </c>
      <c r="U2319" s="403">
        <f t="shared" si="294"/>
        <v>1</v>
      </c>
      <c r="V2319" s="403" t="str">
        <f t="shared" si="295"/>
        <v>CPP_7</v>
      </c>
    </row>
    <row r="2320" spans="1:22">
      <c r="A2320" t="str">
        <f t="shared" si="288"/>
        <v>NBN-7x023-BA</v>
      </c>
      <c r="B2320" s="403" t="s">
        <v>1390</v>
      </c>
      <c r="C2320" s="403" t="s">
        <v>583</v>
      </c>
      <c r="D2320" s="403" t="s">
        <v>1308</v>
      </c>
      <c r="E2320" s="403" t="s">
        <v>1296</v>
      </c>
      <c r="F2320" s="403" t="s">
        <v>1287</v>
      </c>
      <c r="G2320" s="403" t="s">
        <v>1466</v>
      </c>
      <c r="H2320" s="403" t="s">
        <v>1276</v>
      </c>
      <c r="I2320" s="403">
        <v>1</v>
      </c>
      <c r="J2320" s="403" t="s">
        <v>111</v>
      </c>
      <c r="K2320" s="403">
        <v>768</v>
      </c>
      <c r="L2320" s="403">
        <v>432</v>
      </c>
      <c r="M2320" s="403" t="s">
        <v>111</v>
      </c>
      <c r="N2320" s="403">
        <v>768</v>
      </c>
      <c r="O2320" s="403">
        <v>432</v>
      </c>
      <c r="P2320" t="str">
        <f t="shared" si="289"/>
        <v>25fps SD - SD</v>
      </c>
      <c r="Q2320">
        <f t="shared" si="290"/>
        <v>13</v>
      </c>
      <c r="R2320" t="str">
        <f t="shared" si="291"/>
        <v/>
      </c>
      <c r="S2320" t="str">
        <f t="shared" si="292"/>
        <v/>
      </c>
      <c r="T2320" s="403" t="str">
        <f t="shared" si="293"/>
        <v>NBN-7x023-BA</v>
      </c>
      <c r="U2320" s="403">
        <f t="shared" si="294"/>
        <v>1</v>
      </c>
      <c r="V2320" s="403" t="str">
        <f t="shared" si="295"/>
        <v>CPP_7</v>
      </c>
    </row>
    <row r="2321" spans="1:22">
      <c r="A2321" t="str">
        <f t="shared" si="288"/>
        <v>NBN-7x023-BA</v>
      </c>
      <c r="B2321" s="403" t="s">
        <v>1390</v>
      </c>
      <c r="C2321" s="403" t="s">
        <v>583</v>
      </c>
      <c r="D2321" s="403" t="s">
        <v>1308</v>
      </c>
      <c r="E2321" s="403" t="s">
        <v>1296</v>
      </c>
      <c r="F2321" s="403" t="s">
        <v>1287</v>
      </c>
      <c r="G2321" s="403" t="s">
        <v>1467</v>
      </c>
      <c r="H2321" s="403" t="s">
        <v>1276</v>
      </c>
      <c r="I2321" s="403">
        <v>1</v>
      </c>
      <c r="J2321" s="403" t="s">
        <v>110</v>
      </c>
      <c r="K2321" s="403">
        <v>1080</v>
      </c>
      <c r="L2321" s="403">
        <v>1920</v>
      </c>
      <c r="M2321" s="403" t="s">
        <v>111</v>
      </c>
      <c r="N2321" s="403">
        <v>432</v>
      </c>
      <c r="O2321" s="403">
        <v>768</v>
      </c>
      <c r="P2321" t="str">
        <f t="shared" si="289"/>
        <v>25fps 1080p - SD</v>
      </c>
      <c r="Q2321">
        <f t="shared" si="290"/>
        <v>13</v>
      </c>
      <c r="R2321" t="str">
        <f t="shared" si="291"/>
        <v/>
      </c>
      <c r="S2321" t="str">
        <f t="shared" si="292"/>
        <v/>
      </c>
      <c r="T2321" s="403" t="str">
        <f t="shared" si="293"/>
        <v>NBN-7x023-BA</v>
      </c>
      <c r="U2321" s="403">
        <f t="shared" si="294"/>
        <v>1</v>
      </c>
      <c r="V2321" s="403" t="str">
        <f t="shared" si="295"/>
        <v>CPP_7</v>
      </c>
    </row>
    <row r="2322" spans="1:22">
      <c r="A2322" t="str">
        <f t="shared" si="288"/>
        <v>NBN-7x023-BA</v>
      </c>
      <c r="B2322" s="403" t="s">
        <v>1390</v>
      </c>
      <c r="C2322" s="403" t="s">
        <v>583</v>
      </c>
      <c r="D2322" s="403" t="s">
        <v>1308</v>
      </c>
      <c r="E2322" s="403" t="s">
        <v>1296</v>
      </c>
      <c r="F2322" s="403" t="s">
        <v>1287</v>
      </c>
      <c r="G2322" s="403" t="s">
        <v>1467</v>
      </c>
      <c r="H2322" s="403" t="s">
        <v>1276</v>
      </c>
      <c r="I2322" s="403">
        <v>1</v>
      </c>
      <c r="J2322" s="403" t="s">
        <v>110</v>
      </c>
      <c r="K2322" s="403">
        <v>1080</v>
      </c>
      <c r="L2322" s="403">
        <v>1920</v>
      </c>
      <c r="M2322" s="403" t="s">
        <v>110</v>
      </c>
      <c r="N2322" s="403">
        <v>1080</v>
      </c>
      <c r="O2322" s="403">
        <v>1920</v>
      </c>
      <c r="P2322" t="str">
        <f t="shared" si="289"/>
        <v>25fps 1080p - 1080p</v>
      </c>
      <c r="Q2322">
        <f t="shared" si="290"/>
        <v>13</v>
      </c>
      <c r="R2322" t="str">
        <f t="shared" si="291"/>
        <v/>
      </c>
      <c r="S2322" t="str">
        <f t="shared" si="292"/>
        <v/>
      </c>
      <c r="T2322" s="403" t="str">
        <f t="shared" si="293"/>
        <v>NBN-7x023-BA</v>
      </c>
      <c r="U2322" s="403">
        <f t="shared" si="294"/>
        <v>1</v>
      </c>
      <c r="V2322" s="403" t="str">
        <f t="shared" si="295"/>
        <v>CPP_7</v>
      </c>
    </row>
    <row r="2323" spans="1:22">
      <c r="A2323" t="str">
        <f t="shared" si="288"/>
        <v>NBN-7x023-BA</v>
      </c>
      <c r="B2323" s="403" t="s">
        <v>1390</v>
      </c>
      <c r="C2323" s="403" t="s">
        <v>583</v>
      </c>
      <c r="D2323" s="403" t="s">
        <v>1308</v>
      </c>
      <c r="E2323" s="403" t="s">
        <v>1296</v>
      </c>
      <c r="F2323" s="403" t="s">
        <v>1287</v>
      </c>
      <c r="G2323" s="403" t="s">
        <v>1467</v>
      </c>
      <c r="H2323" s="403" t="s">
        <v>1276</v>
      </c>
      <c r="I2323" s="403">
        <v>1</v>
      </c>
      <c r="J2323" s="403" t="s">
        <v>110</v>
      </c>
      <c r="K2323" s="403">
        <v>1080</v>
      </c>
      <c r="L2323" s="403">
        <v>1920</v>
      </c>
      <c r="M2323" s="403" t="s">
        <v>109</v>
      </c>
      <c r="N2323" s="403">
        <v>720</v>
      </c>
      <c r="O2323" s="403">
        <v>1280</v>
      </c>
      <c r="P2323" t="str">
        <f t="shared" si="289"/>
        <v>25fps 1080p - 720p</v>
      </c>
      <c r="Q2323">
        <f t="shared" si="290"/>
        <v>13</v>
      </c>
      <c r="R2323" t="str">
        <f t="shared" si="291"/>
        <v/>
      </c>
      <c r="S2323" t="str">
        <f t="shared" si="292"/>
        <v/>
      </c>
      <c r="T2323" s="403" t="str">
        <f t="shared" si="293"/>
        <v>NBN-7x023-BA</v>
      </c>
      <c r="U2323" s="403">
        <f t="shared" si="294"/>
        <v>1</v>
      </c>
      <c r="V2323" s="403" t="str">
        <f t="shared" si="295"/>
        <v>CPP_7</v>
      </c>
    </row>
    <row r="2324" spans="1:22">
      <c r="A2324" t="str">
        <f t="shared" si="288"/>
        <v>NBN-7x023-BA</v>
      </c>
      <c r="B2324" s="403" t="s">
        <v>1390</v>
      </c>
      <c r="C2324" s="403" t="s">
        <v>583</v>
      </c>
      <c r="D2324" s="403" t="s">
        <v>1308</v>
      </c>
      <c r="E2324" s="403" t="s">
        <v>1296</v>
      </c>
      <c r="F2324" s="403" t="s">
        <v>1287</v>
      </c>
      <c r="G2324" s="403" t="s">
        <v>1467</v>
      </c>
      <c r="H2324" s="403" t="s">
        <v>1276</v>
      </c>
      <c r="I2324" s="403">
        <v>1</v>
      </c>
      <c r="J2324" s="403" t="s">
        <v>110</v>
      </c>
      <c r="K2324" s="403">
        <v>1080</v>
      </c>
      <c r="L2324" s="403">
        <v>1920</v>
      </c>
      <c r="M2324" s="403" t="s">
        <v>1279</v>
      </c>
      <c r="N2324" s="403">
        <v>432</v>
      </c>
      <c r="O2324" s="403">
        <v>768</v>
      </c>
      <c r="P2324" t="str">
        <f t="shared" si="289"/>
        <v>25fps 1080p - SD ROI PTZ</v>
      </c>
      <c r="Q2324">
        <f t="shared" si="290"/>
        <v>13</v>
      </c>
      <c r="R2324" t="str">
        <f t="shared" si="291"/>
        <v/>
      </c>
      <c r="S2324" t="str">
        <f t="shared" si="292"/>
        <v/>
      </c>
      <c r="T2324" s="403" t="str">
        <f t="shared" si="293"/>
        <v>NBN-7x023-BA</v>
      </c>
      <c r="U2324" s="403">
        <f t="shared" si="294"/>
        <v>1</v>
      </c>
      <c r="V2324" s="403" t="str">
        <f t="shared" si="295"/>
        <v>CPP_7</v>
      </c>
    </row>
    <row r="2325" spans="1:22">
      <c r="A2325" t="str">
        <f t="shared" si="288"/>
        <v>NBN-7x023-BA</v>
      </c>
      <c r="B2325" s="403" t="s">
        <v>1390</v>
      </c>
      <c r="C2325" s="403" t="s">
        <v>583</v>
      </c>
      <c r="D2325" s="403" t="s">
        <v>1308</v>
      </c>
      <c r="E2325" s="403" t="s">
        <v>1296</v>
      </c>
      <c r="F2325" s="403" t="s">
        <v>1287</v>
      </c>
      <c r="G2325" s="403" t="s">
        <v>1467</v>
      </c>
      <c r="H2325" s="403" t="s">
        <v>1276</v>
      </c>
      <c r="I2325" s="403">
        <v>1</v>
      </c>
      <c r="J2325" s="403" t="s">
        <v>110</v>
      </c>
      <c r="K2325" s="403">
        <v>1080</v>
      </c>
      <c r="L2325" s="403">
        <v>1920</v>
      </c>
      <c r="M2325" s="403" t="s">
        <v>1298</v>
      </c>
      <c r="N2325" s="403">
        <v>432</v>
      </c>
      <c r="O2325" s="403">
        <v>768</v>
      </c>
      <c r="P2325" t="str">
        <f t="shared" si="289"/>
        <v>25fps 1080p - SD dual stream with independent ROI PTZ</v>
      </c>
      <c r="Q2325">
        <f t="shared" si="290"/>
        <v>13</v>
      </c>
      <c r="R2325" t="str">
        <f t="shared" si="291"/>
        <v/>
      </c>
      <c r="S2325" t="str">
        <f t="shared" si="292"/>
        <v/>
      </c>
      <c r="T2325" s="403" t="str">
        <f t="shared" si="293"/>
        <v>NBN-7x023-BA</v>
      </c>
      <c r="U2325" s="403">
        <f t="shared" si="294"/>
        <v>1</v>
      </c>
      <c r="V2325" s="403" t="str">
        <f t="shared" si="295"/>
        <v>CPP_7</v>
      </c>
    </row>
    <row r="2326" spans="1:22">
      <c r="A2326" t="str">
        <f t="shared" si="288"/>
        <v>NBN-7x023-BA</v>
      </c>
      <c r="B2326" s="403" t="s">
        <v>1390</v>
      </c>
      <c r="C2326" s="403" t="s">
        <v>583</v>
      </c>
      <c r="D2326" s="403" t="s">
        <v>1308</v>
      </c>
      <c r="E2326" s="403" t="s">
        <v>1296</v>
      </c>
      <c r="F2326" s="403" t="s">
        <v>1287</v>
      </c>
      <c r="G2326" s="403" t="s">
        <v>1467</v>
      </c>
      <c r="H2326" s="403" t="s">
        <v>1276</v>
      </c>
      <c r="I2326" s="403">
        <v>1</v>
      </c>
      <c r="J2326" s="403" t="s">
        <v>110</v>
      </c>
      <c r="K2326" s="403">
        <v>1080</v>
      </c>
      <c r="L2326" s="403">
        <v>1920</v>
      </c>
      <c r="M2326" s="403" t="s">
        <v>1283</v>
      </c>
      <c r="N2326" s="403">
        <v>576</v>
      </c>
      <c r="O2326" s="403">
        <v>704</v>
      </c>
      <c r="P2326" t="str">
        <f t="shared" si="289"/>
        <v>25fps 1080p - SD 4CIF resolution 4:3 format (cropped)</v>
      </c>
      <c r="Q2326">
        <f t="shared" si="290"/>
        <v>13</v>
      </c>
      <c r="R2326" t="str">
        <f t="shared" si="291"/>
        <v/>
      </c>
      <c r="S2326" t="str">
        <f t="shared" si="292"/>
        <v/>
      </c>
      <c r="T2326" s="403" t="str">
        <f t="shared" si="293"/>
        <v>NBN-7x023-BA</v>
      </c>
      <c r="U2326" s="403">
        <f t="shared" si="294"/>
        <v>1</v>
      </c>
      <c r="V2326" s="403" t="str">
        <f t="shared" si="295"/>
        <v>CPP_7</v>
      </c>
    </row>
    <row r="2327" spans="1:22">
      <c r="A2327" t="str">
        <f t="shared" si="288"/>
        <v>NBN-7x023-BA</v>
      </c>
      <c r="B2327" s="403" t="s">
        <v>1390</v>
      </c>
      <c r="C2327" s="403" t="s">
        <v>583</v>
      </c>
      <c r="D2327" s="403" t="s">
        <v>1308</v>
      </c>
      <c r="E2327" s="403" t="s">
        <v>1296</v>
      </c>
      <c r="F2327" s="403" t="s">
        <v>1287</v>
      </c>
      <c r="G2327" s="403" t="s">
        <v>1467</v>
      </c>
      <c r="H2327" s="403" t="s">
        <v>1276</v>
      </c>
      <c r="I2327" s="403">
        <v>1</v>
      </c>
      <c r="J2327" s="403" t="s">
        <v>110</v>
      </c>
      <c r="K2327" s="403">
        <v>1080</v>
      </c>
      <c r="L2327" s="403">
        <v>1920</v>
      </c>
      <c r="M2327" s="403" t="s">
        <v>1284</v>
      </c>
      <c r="N2327" s="403">
        <v>480</v>
      </c>
      <c r="O2327" s="403">
        <v>640</v>
      </c>
      <c r="P2327" t="str">
        <f t="shared" si="289"/>
        <v>25fps 1080p - SD VGA (cropped)</v>
      </c>
      <c r="Q2327">
        <f t="shared" si="290"/>
        <v>13</v>
      </c>
      <c r="R2327" t="str">
        <f t="shared" si="291"/>
        <v/>
      </c>
      <c r="S2327" t="str">
        <f t="shared" si="292"/>
        <v/>
      </c>
      <c r="T2327" s="403" t="str">
        <f t="shared" si="293"/>
        <v>NBN-7x023-BA</v>
      </c>
      <c r="U2327" s="403">
        <f t="shared" si="294"/>
        <v>1</v>
      </c>
      <c r="V2327" s="403" t="str">
        <f t="shared" si="295"/>
        <v>CPP_7</v>
      </c>
    </row>
    <row r="2328" spans="1:22">
      <c r="A2328" t="str">
        <f t="shared" si="288"/>
        <v>NBN-7x023-BA</v>
      </c>
      <c r="B2328" s="403" t="s">
        <v>1390</v>
      </c>
      <c r="C2328" s="403" t="s">
        <v>583</v>
      </c>
      <c r="D2328" s="403" t="s">
        <v>1308</v>
      </c>
      <c r="E2328" s="403" t="s">
        <v>1296</v>
      </c>
      <c r="F2328" s="403" t="s">
        <v>1287</v>
      </c>
      <c r="G2328" s="403" t="s">
        <v>1467</v>
      </c>
      <c r="H2328" s="403" t="s">
        <v>1276</v>
      </c>
      <c r="I2328" s="403">
        <v>1</v>
      </c>
      <c r="J2328" s="403" t="s">
        <v>109</v>
      </c>
      <c r="K2328" s="403">
        <v>720</v>
      </c>
      <c r="L2328" s="403">
        <v>1280</v>
      </c>
      <c r="M2328" s="403" t="s">
        <v>111</v>
      </c>
      <c r="N2328" s="403">
        <v>432</v>
      </c>
      <c r="O2328" s="403">
        <v>768</v>
      </c>
      <c r="P2328" t="str">
        <f t="shared" si="289"/>
        <v>25fps 720p - SD</v>
      </c>
      <c r="Q2328">
        <f t="shared" si="290"/>
        <v>13</v>
      </c>
      <c r="R2328" t="str">
        <f t="shared" si="291"/>
        <v/>
      </c>
      <c r="S2328" t="str">
        <f t="shared" si="292"/>
        <v/>
      </c>
      <c r="T2328" s="403" t="str">
        <f t="shared" si="293"/>
        <v>NBN-7x023-BA</v>
      </c>
      <c r="U2328" s="403">
        <f t="shared" si="294"/>
        <v>1</v>
      </c>
      <c r="V2328" s="403" t="str">
        <f t="shared" si="295"/>
        <v>CPP_7</v>
      </c>
    </row>
    <row r="2329" spans="1:22">
      <c r="A2329" t="str">
        <f t="shared" si="288"/>
        <v>NBN-7x023-BA</v>
      </c>
      <c r="B2329" s="403" t="s">
        <v>1390</v>
      </c>
      <c r="C2329" s="403" t="s">
        <v>583</v>
      </c>
      <c r="D2329" s="403" t="s">
        <v>1308</v>
      </c>
      <c r="E2329" s="403" t="s">
        <v>1296</v>
      </c>
      <c r="F2329" s="403" t="s">
        <v>1287</v>
      </c>
      <c r="G2329" s="403" t="s">
        <v>1467</v>
      </c>
      <c r="H2329" s="403" t="s">
        <v>1276</v>
      </c>
      <c r="I2329" s="403">
        <v>1</v>
      </c>
      <c r="J2329" s="403" t="s">
        <v>109</v>
      </c>
      <c r="K2329" s="403">
        <v>720</v>
      </c>
      <c r="L2329" s="403">
        <v>1280</v>
      </c>
      <c r="M2329" s="403" t="s">
        <v>109</v>
      </c>
      <c r="N2329" s="403">
        <v>720</v>
      </c>
      <c r="O2329" s="403">
        <v>1280</v>
      </c>
      <c r="P2329" t="str">
        <f t="shared" si="289"/>
        <v>25fps 720p - 720p</v>
      </c>
      <c r="Q2329">
        <f t="shared" si="290"/>
        <v>13</v>
      </c>
      <c r="R2329" t="str">
        <f t="shared" si="291"/>
        <v/>
      </c>
      <c r="S2329" t="str">
        <f t="shared" si="292"/>
        <v/>
      </c>
      <c r="T2329" s="403" t="str">
        <f t="shared" si="293"/>
        <v>NBN-7x023-BA</v>
      </c>
      <c r="U2329" s="403">
        <f t="shared" si="294"/>
        <v>1</v>
      </c>
      <c r="V2329" s="403" t="str">
        <f t="shared" si="295"/>
        <v>CPP_7</v>
      </c>
    </row>
    <row r="2330" spans="1:22">
      <c r="A2330" t="str">
        <f t="shared" si="288"/>
        <v>NBN-7x023-BA</v>
      </c>
      <c r="B2330" s="403" t="s">
        <v>1390</v>
      </c>
      <c r="C2330" s="403" t="s">
        <v>583</v>
      </c>
      <c r="D2330" s="403" t="s">
        <v>1308</v>
      </c>
      <c r="E2330" s="403" t="s">
        <v>1296</v>
      </c>
      <c r="F2330" s="403" t="s">
        <v>1287</v>
      </c>
      <c r="G2330" s="403" t="s">
        <v>1467</v>
      </c>
      <c r="H2330" s="403" t="s">
        <v>1276</v>
      </c>
      <c r="I2330" s="403">
        <v>1</v>
      </c>
      <c r="J2330" s="403" t="s">
        <v>109</v>
      </c>
      <c r="K2330" s="403">
        <v>720</v>
      </c>
      <c r="L2330" s="403">
        <v>1280</v>
      </c>
      <c r="M2330" s="403" t="s">
        <v>1279</v>
      </c>
      <c r="N2330" s="403">
        <v>432</v>
      </c>
      <c r="O2330" s="403">
        <v>768</v>
      </c>
      <c r="P2330" t="str">
        <f t="shared" si="289"/>
        <v>25fps 720p - SD ROI PTZ</v>
      </c>
      <c r="Q2330">
        <f t="shared" si="290"/>
        <v>13</v>
      </c>
      <c r="R2330" t="str">
        <f t="shared" si="291"/>
        <v/>
      </c>
      <c r="S2330" t="str">
        <f t="shared" si="292"/>
        <v/>
      </c>
      <c r="T2330" s="403" t="str">
        <f t="shared" si="293"/>
        <v>NBN-7x023-BA</v>
      </c>
      <c r="U2330" s="403">
        <f t="shared" si="294"/>
        <v>1</v>
      </c>
      <c r="V2330" s="403" t="str">
        <f t="shared" si="295"/>
        <v>CPP_7</v>
      </c>
    </row>
    <row r="2331" spans="1:22">
      <c r="A2331" t="str">
        <f t="shared" si="288"/>
        <v>NBN-7x023-BA</v>
      </c>
      <c r="B2331" s="403" t="s">
        <v>1390</v>
      </c>
      <c r="C2331" s="403" t="s">
        <v>583</v>
      </c>
      <c r="D2331" s="403" t="s">
        <v>1308</v>
      </c>
      <c r="E2331" s="403" t="s">
        <v>1296</v>
      </c>
      <c r="F2331" s="403" t="s">
        <v>1287</v>
      </c>
      <c r="G2331" s="403" t="s">
        <v>1467</v>
      </c>
      <c r="H2331" s="403" t="s">
        <v>1276</v>
      </c>
      <c r="I2331" s="403">
        <v>1</v>
      </c>
      <c r="J2331" s="403" t="s">
        <v>109</v>
      </c>
      <c r="K2331" s="403">
        <v>720</v>
      </c>
      <c r="L2331" s="403">
        <v>1280</v>
      </c>
      <c r="M2331" s="403" t="s">
        <v>1298</v>
      </c>
      <c r="N2331" s="403">
        <v>432</v>
      </c>
      <c r="O2331" s="403">
        <v>768</v>
      </c>
      <c r="P2331" t="str">
        <f t="shared" si="289"/>
        <v>25fps 720p - SD dual stream with independent ROI PTZ</v>
      </c>
      <c r="Q2331">
        <f t="shared" si="290"/>
        <v>13</v>
      </c>
      <c r="R2331" t="str">
        <f t="shared" si="291"/>
        <v/>
      </c>
      <c r="S2331" t="str">
        <f t="shared" si="292"/>
        <v/>
      </c>
      <c r="T2331" s="403" t="str">
        <f t="shared" si="293"/>
        <v>NBN-7x023-BA</v>
      </c>
      <c r="U2331" s="403">
        <f t="shared" si="294"/>
        <v>1</v>
      </c>
      <c r="V2331" s="403" t="str">
        <f t="shared" si="295"/>
        <v>CPP_7</v>
      </c>
    </row>
    <row r="2332" spans="1:22">
      <c r="A2332" t="str">
        <f t="shared" si="288"/>
        <v>NBN-7x023-BA</v>
      </c>
      <c r="B2332" s="403" t="s">
        <v>1390</v>
      </c>
      <c r="C2332" s="403" t="s">
        <v>583</v>
      </c>
      <c r="D2332" s="403" t="s">
        <v>1308</v>
      </c>
      <c r="E2332" s="403" t="s">
        <v>1296</v>
      </c>
      <c r="F2332" s="403" t="s">
        <v>1287</v>
      </c>
      <c r="G2332" s="403" t="s">
        <v>1467</v>
      </c>
      <c r="H2332" s="403" t="s">
        <v>1276</v>
      </c>
      <c r="I2332" s="403">
        <v>1</v>
      </c>
      <c r="J2332" s="403" t="s">
        <v>109</v>
      </c>
      <c r="K2332" s="403">
        <v>720</v>
      </c>
      <c r="L2332" s="403">
        <v>1280</v>
      </c>
      <c r="M2332" s="403" t="s">
        <v>1283</v>
      </c>
      <c r="N2332" s="403">
        <v>576</v>
      </c>
      <c r="O2332" s="403">
        <v>704</v>
      </c>
      <c r="P2332" t="str">
        <f t="shared" si="289"/>
        <v>25fps 720p - SD 4CIF resolution 4:3 format (cropped)</v>
      </c>
      <c r="Q2332">
        <f t="shared" si="290"/>
        <v>13</v>
      </c>
      <c r="R2332" t="str">
        <f t="shared" si="291"/>
        <v/>
      </c>
      <c r="S2332" t="str">
        <f t="shared" si="292"/>
        <v/>
      </c>
      <c r="T2332" s="403" t="str">
        <f t="shared" si="293"/>
        <v>NBN-7x023-BA</v>
      </c>
      <c r="U2332" s="403">
        <f t="shared" si="294"/>
        <v>1</v>
      </c>
      <c r="V2332" s="403" t="str">
        <f t="shared" si="295"/>
        <v>CPP_7</v>
      </c>
    </row>
    <row r="2333" spans="1:22">
      <c r="A2333" t="str">
        <f t="shared" si="288"/>
        <v>NBN-7x023-BA</v>
      </c>
      <c r="B2333" s="403" t="s">
        <v>1390</v>
      </c>
      <c r="C2333" s="403" t="s">
        <v>583</v>
      </c>
      <c r="D2333" s="403" t="s">
        <v>1308</v>
      </c>
      <c r="E2333" s="403" t="s">
        <v>1296</v>
      </c>
      <c r="F2333" s="403" t="s">
        <v>1287</v>
      </c>
      <c r="G2333" s="403" t="s">
        <v>1467</v>
      </c>
      <c r="H2333" s="403" t="s">
        <v>1276</v>
      </c>
      <c r="I2333" s="403">
        <v>1</v>
      </c>
      <c r="J2333" s="403" t="s">
        <v>109</v>
      </c>
      <c r="K2333" s="403">
        <v>720</v>
      </c>
      <c r="L2333" s="403">
        <v>1280</v>
      </c>
      <c r="M2333" s="403" t="s">
        <v>1284</v>
      </c>
      <c r="N2333" s="403">
        <v>480</v>
      </c>
      <c r="O2333" s="403">
        <v>640</v>
      </c>
      <c r="P2333" t="str">
        <f t="shared" si="289"/>
        <v>25fps 720p - SD VGA (cropped)</v>
      </c>
      <c r="Q2333">
        <f t="shared" si="290"/>
        <v>13</v>
      </c>
      <c r="R2333" t="str">
        <f t="shared" si="291"/>
        <v/>
      </c>
      <c r="S2333" t="str">
        <f t="shared" si="292"/>
        <v/>
      </c>
      <c r="T2333" s="403" t="str">
        <f t="shared" si="293"/>
        <v>NBN-7x023-BA</v>
      </c>
      <c r="U2333" s="403">
        <f t="shared" si="294"/>
        <v>1</v>
      </c>
      <c r="V2333" s="403" t="str">
        <f t="shared" si="295"/>
        <v>CPP_7</v>
      </c>
    </row>
    <row r="2334" spans="1:22">
      <c r="A2334" t="str">
        <f t="shared" si="288"/>
        <v>NBN-7x023-BA</v>
      </c>
      <c r="B2334" s="403" t="s">
        <v>1390</v>
      </c>
      <c r="C2334" s="403" t="s">
        <v>583</v>
      </c>
      <c r="D2334" s="403" t="s">
        <v>1308</v>
      </c>
      <c r="E2334" s="403" t="s">
        <v>1296</v>
      </c>
      <c r="F2334" s="403" t="s">
        <v>1287</v>
      </c>
      <c r="G2334" s="403" t="s">
        <v>1467</v>
      </c>
      <c r="H2334" s="403" t="s">
        <v>1276</v>
      </c>
      <c r="I2334" s="403">
        <v>1</v>
      </c>
      <c r="J2334" s="403" t="s">
        <v>111</v>
      </c>
      <c r="K2334" s="403">
        <v>432</v>
      </c>
      <c r="L2334" s="403">
        <v>768</v>
      </c>
      <c r="M2334" s="403" t="s">
        <v>111</v>
      </c>
      <c r="N2334" s="403">
        <v>432</v>
      </c>
      <c r="O2334" s="403">
        <v>768</v>
      </c>
      <c r="P2334" t="str">
        <f t="shared" si="289"/>
        <v>25fps SD - SD</v>
      </c>
      <c r="Q2334">
        <f t="shared" si="290"/>
        <v>13</v>
      </c>
      <c r="R2334" t="str">
        <f t="shared" si="291"/>
        <v/>
      </c>
      <c r="S2334" t="str">
        <f t="shared" si="292"/>
        <v/>
      </c>
      <c r="T2334" s="403" t="str">
        <f t="shared" si="293"/>
        <v>NBN-7x023-BA</v>
      </c>
      <c r="U2334" s="403">
        <f t="shared" si="294"/>
        <v>1</v>
      </c>
      <c r="V2334" s="403" t="str">
        <f t="shared" si="295"/>
        <v>CPP_7</v>
      </c>
    </row>
    <row r="2335" spans="1:22">
      <c r="A2335" t="str">
        <f t="shared" si="288"/>
        <v>NBN-7x023-BA</v>
      </c>
      <c r="B2335" s="403" t="s">
        <v>1390</v>
      </c>
      <c r="C2335" s="403" t="s">
        <v>583</v>
      </c>
      <c r="D2335" s="403" t="s">
        <v>1308</v>
      </c>
      <c r="E2335" s="403" t="s">
        <v>1296</v>
      </c>
      <c r="F2335" s="403" t="s">
        <v>1286</v>
      </c>
      <c r="G2335" s="403" t="s">
        <v>1466</v>
      </c>
      <c r="H2335" s="403" t="s">
        <v>1276</v>
      </c>
      <c r="I2335" s="403">
        <v>1</v>
      </c>
      <c r="J2335" s="403" t="s">
        <v>1277</v>
      </c>
      <c r="K2335" s="403">
        <v>1440</v>
      </c>
      <c r="L2335" s="403">
        <v>1080</v>
      </c>
      <c r="M2335" s="403" t="s">
        <v>1277</v>
      </c>
      <c r="N2335" s="403">
        <v>1440</v>
      </c>
      <c r="O2335" s="403">
        <v>1080</v>
      </c>
      <c r="P2335" t="str">
        <f t="shared" si="289"/>
        <v>30fps 1440x1080 - 1440x1080</v>
      </c>
      <c r="Q2335">
        <f t="shared" si="290"/>
        <v>13</v>
      </c>
      <c r="R2335" t="str">
        <f t="shared" si="291"/>
        <v/>
      </c>
      <c r="S2335" t="str">
        <f t="shared" si="292"/>
        <v/>
      </c>
      <c r="T2335" s="403" t="str">
        <f t="shared" si="293"/>
        <v>NBN-7x023-BA</v>
      </c>
      <c r="U2335" s="403">
        <f t="shared" si="294"/>
        <v>1</v>
      </c>
      <c r="V2335" s="403" t="str">
        <f t="shared" si="295"/>
        <v>CPP_7</v>
      </c>
    </row>
    <row r="2336" spans="1:22">
      <c r="A2336" t="str">
        <f t="shared" si="288"/>
        <v>NBN-7x023-BA</v>
      </c>
      <c r="B2336" s="403" t="s">
        <v>1390</v>
      </c>
      <c r="C2336" s="403" t="s">
        <v>583</v>
      </c>
      <c r="D2336" s="403" t="s">
        <v>1308</v>
      </c>
      <c r="E2336" s="403" t="s">
        <v>1296</v>
      </c>
      <c r="F2336" s="403" t="s">
        <v>1286</v>
      </c>
      <c r="G2336" s="403" t="s">
        <v>1466</v>
      </c>
      <c r="H2336" s="403" t="s">
        <v>1276</v>
      </c>
      <c r="I2336" s="403">
        <v>1</v>
      </c>
      <c r="J2336" s="403" t="s">
        <v>1277</v>
      </c>
      <c r="K2336" s="403">
        <v>1440</v>
      </c>
      <c r="L2336" s="403">
        <v>1080</v>
      </c>
      <c r="M2336" s="403" t="s">
        <v>1313</v>
      </c>
      <c r="N2336" s="403">
        <v>1280</v>
      </c>
      <c r="O2336" s="403">
        <v>960</v>
      </c>
      <c r="P2336" t="str">
        <f t="shared" si="289"/>
        <v>30fps 1440x1080 - 1280x960</v>
      </c>
      <c r="Q2336">
        <f t="shared" si="290"/>
        <v>13</v>
      </c>
      <c r="R2336" t="str">
        <f t="shared" si="291"/>
        <v/>
      </c>
      <c r="S2336" t="str">
        <f t="shared" si="292"/>
        <v/>
      </c>
      <c r="T2336" s="403" t="str">
        <f t="shared" si="293"/>
        <v>NBN-7x023-BA</v>
      </c>
      <c r="U2336" s="403">
        <f t="shared" si="294"/>
        <v>1</v>
      </c>
      <c r="V2336" s="403" t="str">
        <f t="shared" si="295"/>
        <v>CPP_7</v>
      </c>
    </row>
    <row r="2337" spans="1:22">
      <c r="A2337" t="str">
        <f t="shared" si="288"/>
        <v>NBN-7x023-BA</v>
      </c>
      <c r="B2337" s="403" t="s">
        <v>1390</v>
      </c>
      <c r="C2337" s="403" t="s">
        <v>583</v>
      </c>
      <c r="D2337" s="403" t="s">
        <v>1308</v>
      </c>
      <c r="E2337" s="403" t="s">
        <v>1296</v>
      </c>
      <c r="F2337" s="403" t="s">
        <v>1286</v>
      </c>
      <c r="G2337" s="403" t="s">
        <v>1466</v>
      </c>
      <c r="H2337" s="403" t="s">
        <v>1276</v>
      </c>
      <c r="I2337" s="403">
        <v>1</v>
      </c>
      <c r="J2337" s="403" t="s">
        <v>1277</v>
      </c>
      <c r="K2337" s="403">
        <v>1440</v>
      </c>
      <c r="L2337" s="403">
        <v>1080</v>
      </c>
      <c r="M2337" s="403" t="s">
        <v>1278</v>
      </c>
      <c r="N2337" s="403">
        <v>1024</v>
      </c>
      <c r="O2337" s="403">
        <v>768</v>
      </c>
      <c r="P2337" t="str">
        <f t="shared" si="289"/>
        <v>30fps 1440x1080 - 1024x768</v>
      </c>
      <c r="Q2337">
        <f t="shared" si="290"/>
        <v>13</v>
      </c>
      <c r="R2337" t="str">
        <f t="shared" si="291"/>
        <v/>
      </c>
      <c r="S2337" t="str">
        <f t="shared" si="292"/>
        <v/>
      </c>
      <c r="T2337" s="403" t="str">
        <f t="shared" si="293"/>
        <v>NBN-7x023-BA</v>
      </c>
      <c r="U2337" s="403">
        <f t="shared" si="294"/>
        <v>1</v>
      </c>
      <c r="V2337" s="403" t="str">
        <f t="shared" si="295"/>
        <v>CPP_7</v>
      </c>
    </row>
    <row r="2338" spans="1:22">
      <c r="A2338" t="str">
        <f t="shared" si="288"/>
        <v>NBN-7x023-BA</v>
      </c>
      <c r="B2338" s="403" t="s">
        <v>1390</v>
      </c>
      <c r="C2338" s="403" t="s">
        <v>583</v>
      </c>
      <c r="D2338" s="403" t="s">
        <v>1308</v>
      </c>
      <c r="E2338" s="403" t="s">
        <v>1296</v>
      </c>
      <c r="F2338" s="403" t="s">
        <v>1286</v>
      </c>
      <c r="G2338" s="403" t="s">
        <v>1466</v>
      </c>
      <c r="H2338" s="403" t="s">
        <v>1276</v>
      </c>
      <c r="I2338" s="403">
        <v>1</v>
      </c>
      <c r="J2338" s="403" t="s">
        <v>1277</v>
      </c>
      <c r="K2338" s="403">
        <v>1440</v>
      </c>
      <c r="L2338" s="403">
        <v>1080</v>
      </c>
      <c r="M2338" s="403" t="s">
        <v>111</v>
      </c>
      <c r="N2338" s="403">
        <v>768</v>
      </c>
      <c r="O2338" s="403">
        <v>432</v>
      </c>
      <c r="P2338" t="str">
        <f t="shared" si="289"/>
        <v>30fps 1440x1080 - SD</v>
      </c>
      <c r="Q2338">
        <f t="shared" si="290"/>
        <v>13</v>
      </c>
      <c r="R2338" t="str">
        <f t="shared" si="291"/>
        <v/>
      </c>
      <c r="S2338" t="str">
        <f t="shared" si="292"/>
        <v/>
      </c>
      <c r="T2338" s="403" t="str">
        <f t="shared" si="293"/>
        <v>NBN-7x023-BA</v>
      </c>
      <c r="U2338" s="403">
        <f t="shared" si="294"/>
        <v>1</v>
      </c>
      <c r="V2338" s="403" t="str">
        <f t="shared" si="295"/>
        <v>CPP_7</v>
      </c>
    </row>
    <row r="2339" spans="1:22">
      <c r="A2339" t="str">
        <f t="shared" si="288"/>
        <v>NBN-7x023-BA</v>
      </c>
      <c r="B2339" s="403" t="s">
        <v>1390</v>
      </c>
      <c r="C2339" s="403" t="s">
        <v>583</v>
      </c>
      <c r="D2339" s="403" t="s">
        <v>1308</v>
      </c>
      <c r="E2339" s="403" t="s">
        <v>1296</v>
      </c>
      <c r="F2339" s="403" t="s">
        <v>1286</v>
      </c>
      <c r="G2339" s="403" t="s">
        <v>1467</v>
      </c>
      <c r="H2339" s="403" t="s">
        <v>1276</v>
      </c>
      <c r="I2339" s="403">
        <v>1</v>
      </c>
      <c r="J2339" s="403" t="s">
        <v>1277</v>
      </c>
      <c r="K2339" s="403">
        <v>1080</v>
      </c>
      <c r="L2339" s="403">
        <v>1440</v>
      </c>
      <c r="M2339" s="403" t="s">
        <v>1277</v>
      </c>
      <c r="N2339" s="403">
        <v>1080</v>
      </c>
      <c r="O2339" s="403">
        <v>1440</v>
      </c>
      <c r="P2339" t="str">
        <f t="shared" si="289"/>
        <v>30fps 1440x1080 - 1440x1080</v>
      </c>
      <c r="Q2339">
        <f t="shared" si="290"/>
        <v>13</v>
      </c>
      <c r="R2339" t="str">
        <f t="shared" si="291"/>
        <v/>
      </c>
      <c r="S2339" t="str">
        <f t="shared" si="292"/>
        <v/>
      </c>
      <c r="T2339" s="403" t="str">
        <f t="shared" si="293"/>
        <v>NBN-7x023-BA</v>
      </c>
      <c r="U2339" s="403">
        <f t="shared" si="294"/>
        <v>1</v>
      </c>
      <c r="V2339" s="403" t="str">
        <f t="shared" si="295"/>
        <v>CPP_7</v>
      </c>
    </row>
    <row r="2340" spans="1:22">
      <c r="A2340" t="str">
        <f t="shared" si="288"/>
        <v>NBN-7x023-BA</v>
      </c>
      <c r="B2340" s="403" t="s">
        <v>1390</v>
      </c>
      <c r="C2340" s="403" t="s">
        <v>583</v>
      </c>
      <c r="D2340" s="403" t="s">
        <v>1308</v>
      </c>
      <c r="E2340" s="403" t="s">
        <v>1296</v>
      </c>
      <c r="F2340" s="403" t="s">
        <v>1286</v>
      </c>
      <c r="G2340" s="403" t="s">
        <v>1467</v>
      </c>
      <c r="H2340" s="403" t="s">
        <v>1276</v>
      </c>
      <c r="I2340" s="403">
        <v>1</v>
      </c>
      <c r="J2340" s="403" t="s">
        <v>1277</v>
      </c>
      <c r="K2340" s="403">
        <v>1080</v>
      </c>
      <c r="L2340" s="403">
        <v>1440</v>
      </c>
      <c r="M2340" s="403" t="s">
        <v>1278</v>
      </c>
      <c r="N2340" s="403">
        <v>768</v>
      </c>
      <c r="O2340" s="403">
        <v>1024</v>
      </c>
      <c r="P2340" t="str">
        <f t="shared" si="289"/>
        <v>30fps 1440x1080 - 1024x768</v>
      </c>
      <c r="Q2340">
        <f t="shared" si="290"/>
        <v>13</v>
      </c>
      <c r="R2340" t="str">
        <f t="shared" si="291"/>
        <v/>
      </c>
      <c r="S2340" t="str">
        <f t="shared" si="292"/>
        <v/>
      </c>
      <c r="T2340" s="403" t="str">
        <f t="shared" si="293"/>
        <v>NBN-7x023-BA</v>
      </c>
      <c r="U2340" s="403">
        <f t="shared" si="294"/>
        <v>1</v>
      </c>
      <c r="V2340" s="403" t="str">
        <f t="shared" si="295"/>
        <v>CPP_7</v>
      </c>
    </row>
    <row r="2341" spans="1:22">
      <c r="A2341" t="str">
        <f t="shared" si="288"/>
        <v>NBN-7x023-BA</v>
      </c>
      <c r="B2341" s="403" t="s">
        <v>1390</v>
      </c>
      <c r="C2341" s="403" t="s">
        <v>583</v>
      </c>
      <c r="D2341" s="403" t="s">
        <v>1308</v>
      </c>
      <c r="E2341" s="403" t="s">
        <v>1296</v>
      </c>
      <c r="F2341" s="403" t="s">
        <v>1286</v>
      </c>
      <c r="G2341" s="403" t="s">
        <v>1467</v>
      </c>
      <c r="H2341" s="403" t="s">
        <v>1276</v>
      </c>
      <c r="I2341" s="403">
        <v>1</v>
      </c>
      <c r="J2341" s="403" t="s">
        <v>1277</v>
      </c>
      <c r="K2341" s="403">
        <v>1080</v>
      </c>
      <c r="L2341" s="403">
        <v>1440</v>
      </c>
      <c r="M2341" s="403" t="s">
        <v>111</v>
      </c>
      <c r="N2341" s="403">
        <v>432</v>
      </c>
      <c r="O2341" s="403">
        <v>768</v>
      </c>
      <c r="P2341" t="str">
        <f t="shared" si="289"/>
        <v>30fps 1440x1080 - SD</v>
      </c>
      <c r="Q2341">
        <f t="shared" si="290"/>
        <v>13</v>
      </c>
      <c r="R2341" t="str">
        <f t="shared" si="291"/>
        <v/>
      </c>
      <c r="S2341" t="str">
        <f t="shared" si="292"/>
        <v/>
      </c>
      <c r="T2341" s="403" t="str">
        <f t="shared" si="293"/>
        <v>NBN-7x023-BA</v>
      </c>
      <c r="U2341" s="403">
        <f t="shared" si="294"/>
        <v>1</v>
      </c>
      <c r="V2341" s="403" t="str">
        <f t="shared" si="295"/>
        <v>CPP_7</v>
      </c>
    </row>
    <row r="2342" spans="1:22">
      <c r="A2342" t="str">
        <f t="shared" si="288"/>
        <v>NBN-7x023-BA</v>
      </c>
      <c r="B2342" s="403" t="s">
        <v>1390</v>
      </c>
      <c r="C2342" s="403" t="s">
        <v>583</v>
      </c>
      <c r="D2342" s="403" t="s">
        <v>1308</v>
      </c>
      <c r="E2342" s="403" t="s">
        <v>1296</v>
      </c>
      <c r="F2342" s="403" t="s">
        <v>1287</v>
      </c>
      <c r="G2342" s="403" t="s">
        <v>1466</v>
      </c>
      <c r="H2342" s="403" t="s">
        <v>1276</v>
      </c>
      <c r="I2342" s="403">
        <v>1</v>
      </c>
      <c r="J2342" s="403" t="s">
        <v>1277</v>
      </c>
      <c r="K2342" s="403">
        <v>1440</v>
      </c>
      <c r="L2342" s="403">
        <v>1080</v>
      </c>
      <c r="M2342" s="403" t="s">
        <v>1277</v>
      </c>
      <c r="N2342" s="403">
        <v>1440</v>
      </c>
      <c r="O2342" s="403">
        <v>1080</v>
      </c>
      <c r="P2342" t="str">
        <f t="shared" si="289"/>
        <v>25fps 1440x1080 - 1440x1080</v>
      </c>
      <c r="Q2342">
        <f t="shared" si="290"/>
        <v>13</v>
      </c>
      <c r="R2342" t="str">
        <f t="shared" si="291"/>
        <v/>
      </c>
      <c r="S2342" t="str">
        <f t="shared" si="292"/>
        <v/>
      </c>
      <c r="T2342" s="403" t="str">
        <f t="shared" si="293"/>
        <v>NBN-7x023-BA</v>
      </c>
      <c r="U2342" s="403">
        <f t="shared" si="294"/>
        <v>1</v>
      </c>
      <c r="V2342" s="403" t="str">
        <f t="shared" si="295"/>
        <v>CPP_7</v>
      </c>
    </row>
    <row r="2343" spans="1:22">
      <c r="A2343" t="str">
        <f t="shared" si="288"/>
        <v>NBN-7x023-BA</v>
      </c>
      <c r="B2343" s="403" t="s">
        <v>1390</v>
      </c>
      <c r="C2343" s="403" t="s">
        <v>583</v>
      </c>
      <c r="D2343" s="403" t="s">
        <v>1308</v>
      </c>
      <c r="E2343" s="403" t="s">
        <v>1296</v>
      </c>
      <c r="F2343" s="403" t="s">
        <v>1287</v>
      </c>
      <c r="G2343" s="403" t="s">
        <v>1466</v>
      </c>
      <c r="H2343" s="403" t="s">
        <v>1276</v>
      </c>
      <c r="I2343" s="403">
        <v>1</v>
      </c>
      <c r="J2343" s="403" t="s">
        <v>1277</v>
      </c>
      <c r="K2343" s="403">
        <v>1440</v>
      </c>
      <c r="L2343" s="403">
        <v>1080</v>
      </c>
      <c r="M2343" s="403" t="s">
        <v>1313</v>
      </c>
      <c r="N2343" s="403">
        <v>1280</v>
      </c>
      <c r="O2343" s="403">
        <v>960</v>
      </c>
      <c r="P2343" t="str">
        <f t="shared" si="289"/>
        <v>25fps 1440x1080 - 1280x960</v>
      </c>
      <c r="Q2343">
        <f t="shared" si="290"/>
        <v>13</v>
      </c>
      <c r="R2343" t="str">
        <f t="shared" si="291"/>
        <v/>
      </c>
      <c r="S2343" t="str">
        <f t="shared" si="292"/>
        <v/>
      </c>
      <c r="T2343" s="403" t="str">
        <f t="shared" si="293"/>
        <v>NBN-7x023-BA</v>
      </c>
      <c r="U2343" s="403">
        <f t="shared" si="294"/>
        <v>1</v>
      </c>
      <c r="V2343" s="403" t="str">
        <f t="shared" si="295"/>
        <v>CPP_7</v>
      </c>
    </row>
    <row r="2344" spans="1:22">
      <c r="A2344" t="str">
        <f t="shared" si="288"/>
        <v>NBN-7x023-BA</v>
      </c>
      <c r="B2344" s="403" t="s">
        <v>1390</v>
      </c>
      <c r="C2344" s="403" t="s">
        <v>583</v>
      </c>
      <c r="D2344" s="403" t="s">
        <v>1308</v>
      </c>
      <c r="E2344" s="403" t="s">
        <v>1296</v>
      </c>
      <c r="F2344" s="403" t="s">
        <v>1287</v>
      </c>
      <c r="G2344" s="403" t="s">
        <v>1466</v>
      </c>
      <c r="H2344" s="403" t="s">
        <v>1276</v>
      </c>
      <c r="I2344" s="403">
        <v>1</v>
      </c>
      <c r="J2344" s="403" t="s">
        <v>1277</v>
      </c>
      <c r="K2344" s="403">
        <v>1440</v>
      </c>
      <c r="L2344" s="403">
        <v>1080</v>
      </c>
      <c r="M2344" s="403" t="s">
        <v>1278</v>
      </c>
      <c r="N2344" s="403">
        <v>1024</v>
      </c>
      <c r="O2344" s="403">
        <v>768</v>
      </c>
      <c r="P2344" t="str">
        <f t="shared" si="289"/>
        <v>25fps 1440x1080 - 1024x768</v>
      </c>
      <c r="Q2344">
        <f t="shared" si="290"/>
        <v>13</v>
      </c>
      <c r="R2344" t="str">
        <f t="shared" si="291"/>
        <v/>
      </c>
      <c r="S2344" t="str">
        <f t="shared" si="292"/>
        <v/>
      </c>
      <c r="T2344" s="403" t="str">
        <f t="shared" si="293"/>
        <v>NBN-7x023-BA</v>
      </c>
      <c r="U2344" s="403">
        <f t="shared" si="294"/>
        <v>1</v>
      </c>
      <c r="V2344" s="403" t="str">
        <f t="shared" si="295"/>
        <v>CPP_7</v>
      </c>
    </row>
    <row r="2345" spans="1:22">
      <c r="A2345" t="str">
        <f t="shared" si="288"/>
        <v>NBN-7x023-BA</v>
      </c>
      <c r="B2345" s="403" t="s">
        <v>1390</v>
      </c>
      <c r="C2345" s="403" t="s">
        <v>583</v>
      </c>
      <c r="D2345" s="403" t="s">
        <v>1308</v>
      </c>
      <c r="E2345" s="403" t="s">
        <v>1296</v>
      </c>
      <c r="F2345" s="403" t="s">
        <v>1287</v>
      </c>
      <c r="G2345" s="403" t="s">
        <v>1466</v>
      </c>
      <c r="H2345" s="403" t="s">
        <v>1276</v>
      </c>
      <c r="I2345" s="403">
        <v>1</v>
      </c>
      <c r="J2345" s="403" t="s">
        <v>1277</v>
      </c>
      <c r="K2345" s="403">
        <v>1440</v>
      </c>
      <c r="L2345" s="403">
        <v>1080</v>
      </c>
      <c r="M2345" s="403" t="s">
        <v>111</v>
      </c>
      <c r="N2345" s="403">
        <v>768</v>
      </c>
      <c r="O2345" s="403">
        <v>432</v>
      </c>
      <c r="P2345" t="str">
        <f t="shared" si="289"/>
        <v>25fps 1440x1080 - SD</v>
      </c>
      <c r="Q2345">
        <f t="shared" si="290"/>
        <v>13</v>
      </c>
      <c r="R2345" t="str">
        <f t="shared" si="291"/>
        <v/>
      </c>
      <c r="S2345" t="str">
        <f t="shared" si="292"/>
        <v/>
      </c>
      <c r="T2345" s="403" t="str">
        <f t="shared" si="293"/>
        <v>NBN-7x023-BA</v>
      </c>
      <c r="U2345" s="403">
        <f t="shared" si="294"/>
        <v>1</v>
      </c>
      <c r="V2345" s="403" t="str">
        <f t="shared" si="295"/>
        <v>CPP_7</v>
      </c>
    </row>
    <row r="2346" spans="1:22">
      <c r="A2346" t="str">
        <f t="shared" si="288"/>
        <v>NBN-7x023-BA</v>
      </c>
      <c r="B2346" s="403" t="s">
        <v>1390</v>
      </c>
      <c r="C2346" s="403" t="s">
        <v>583</v>
      </c>
      <c r="D2346" s="403" t="s">
        <v>1308</v>
      </c>
      <c r="E2346" s="403" t="s">
        <v>1296</v>
      </c>
      <c r="F2346" s="403" t="s">
        <v>1287</v>
      </c>
      <c r="G2346" s="403" t="s">
        <v>1467</v>
      </c>
      <c r="H2346" s="403" t="s">
        <v>1276</v>
      </c>
      <c r="I2346" s="403">
        <v>1</v>
      </c>
      <c r="J2346" s="403" t="s">
        <v>1277</v>
      </c>
      <c r="K2346" s="403">
        <v>1080</v>
      </c>
      <c r="L2346" s="403">
        <v>1440</v>
      </c>
      <c r="M2346" s="403" t="s">
        <v>1277</v>
      </c>
      <c r="N2346" s="403">
        <v>1080</v>
      </c>
      <c r="O2346" s="403">
        <v>1440</v>
      </c>
      <c r="P2346" t="str">
        <f t="shared" si="289"/>
        <v>25fps 1440x1080 - 1440x1080</v>
      </c>
      <c r="Q2346">
        <f t="shared" si="290"/>
        <v>13</v>
      </c>
      <c r="R2346" t="str">
        <f t="shared" si="291"/>
        <v/>
      </c>
      <c r="S2346" t="str">
        <f t="shared" si="292"/>
        <v/>
      </c>
      <c r="T2346" s="403" t="str">
        <f t="shared" si="293"/>
        <v>NBN-7x023-BA</v>
      </c>
      <c r="U2346" s="403">
        <f t="shared" si="294"/>
        <v>1</v>
      </c>
      <c r="V2346" s="403" t="str">
        <f t="shared" si="295"/>
        <v>CPP_7</v>
      </c>
    </row>
    <row r="2347" spans="1:22">
      <c r="A2347" t="str">
        <f t="shared" si="288"/>
        <v>NBN-7x023-BA</v>
      </c>
      <c r="B2347" s="403" t="s">
        <v>1390</v>
      </c>
      <c r="C2347" s="403" t="s">
        <v>583</v>
      </c>
      <c r="D2347" s="403" t="s">
        <v>1308</v>
      </c>
      <c r="E2347" s="403" t="s">
        <v>1296</v>
      </c>
      <c r="F2347" s="403" t="s">
        <v>1287</v>
      </c>
      <c r="G2347" s="403" t="s">
        <v>1467</v>
      </c>
      <c r="H2347" s="403" t="s">
        <v>1276</v>
      </c>
      <c r="I2347" s="403">
        <v>1</v>
      </c>
      <c r="J2347" s="403" t="s">
        <v>1277</v>
      </c>
      <c r="K2347" s="403">
        <v>1080</v>
      </c>
      <c r="L2347" s="403">
        <v>1440</v>
      </c>
      <c r="M2347" s="403" t="s">
        <v>1278</v>
      </c>
      <c r="N2347" s="403">
        <v>768</v>
      </c>
      <c r="O2347" s="403">
        <v>1024</v>
      </c>
      <c r="P2347" t="str">
        <f t="shared" si="289"/>
        <v>25fps 1440x1080 - 1024x768</v>
      </c>
      <c r="Q2347">
        <f t="shared" si="290"/>
        <v>13</v>
      </c>
      <c r="R2347" t="str">
        <f t="shared" si="291"/>
        <v/>
      </c>
      <c r="S2347" t="str">
        <f t="shared" si="292"/>
        <v/>
      </c>
      <c r="T2347" s="403" t="str">
        <f t="shared" si="293"/>
        <v>NBN-7x023-BA</v>
      </c>
      <c r="U2347" s="403">
        <f t="shared" si="294"/>
        <v>1</v>
      </c>
      <c r="V2347" s="403" t="str">
        <f t="shared" si="295"/>
        <v>CPP_7</v>
      </c>
    </row>
    <row r="2348" spans="1:22">
      <c r="A2348" t="str">
        <f t="shared" si="288"/>
        <v>NBN-7x023-BA</v>
      </c>
      <c r="B2348" s="403" t="s">
        <v>1390</v>
      </c>
      <c r="C2348" s="403" t="s">
        <v>583</v>
      </c>
      <c r="D2348" s="403" t="s">
        <v>1308</v>
      </c>
      <c r="E2348" s="403" t="s">
        <v>1296</v>
      </c>
      <c r="F2348" s="403" t="s">
        <v>1287</v>
      </c>
      <c r="G2348" s="403" t="s">
        <v>1467</v>
      </c>
      <c r="H2348" s="403" t="s">
        <v>1276</v>
      </c>
      <c r="I2348" s="403">
        <v>1</v>
      </c>
      <c r="J2348" s="403" t="s">
        <v>1277</v>
      </c>
      <c r="K2348" s="403">
        <v>1080</v>
      </c>
      <c r="L2348" s="403">
        <v>1440</v>
      </c>
      <c r="M2348" s="403" t="s">
        <v>111</v>
      </c>
      <c r="N2348" s="403">
        <v>432</v>
      </c>
      <c r="O2348" s="403">
        <v>768</v>
      </c>
      <c r="P2348" t="str">
        <f t="shared" si="289"/>
        <v>25fps 1440x1080 - SD</v>
      </c>
      <c r="Q2348">
        <f t="shared" si="290"/>
        <v>13</v>
      </c>
      <c r="R2348" t="str">
        <f t="shared" si="291"/>
        <v/>
      </c>
      <c r="S2348" t="str">
        <f t="shared" si="292"/>
        <v/>
      </c>
      <c r="T2348" s="403" t="str">
        <f t="shared" si="293"/>
        <v>NBN-7x023-BA</v>
      </c>
      <c r="U2348" s="403">
        <f t="shared" si="294"/>
        <v>1</v>
      </c>
      <c r="V2348" s="403" t="str">
        <f t="shared" si="295"/>
        <v>CPP_7</v>
      </c>
    </row>
    <row r="2349" spans="1:22">
      <c r="A2349" t="str">
        <f t="shared" si="288"/>
        <v>NBN-7x023-BA</v>
      </c>
      <c r="B2349" s="403" t="s">
        <v>1390</v>
      </c>
      <c r="C2349" s="403" t="s">
        <v>583</v>
      </c>
      <c r="D2349" s="403" t="s">
        <v>1308</v>
      </c>
      <c r="E2349" s="403" t="s">
        <v>1296</v>
      </c>
      <c r="F2349" s="403" t="s">
        <v>1288</v>
      </c>
      <c r="G2349" s="403" t="s">
        <v>1466</v>
      </c>
      <c r="H2349" s="403" t="s">
        <v>1276</v>
      </c>
      <c r="I2349" s="403">
        <v>1</v>
      </c>
      <c r="J2349" s="403" t="s">
        <v>110</v>
      </c>
      <c r="K2349" s="403">
        <v>1920</v>
      </c>
      <c r="L2349" s="403">
        <v>1080</v>
      </c>
      <c r="M2349" s="403" t="s">
        <v>1280</v>
      </c>
      <c r="N2349" s="403">
        <v>1920</v>
      </c>
      <c r="O2349" s="403">
        <v>1080</v>
      </c>
      <c r="P2349" t="str">
        <f t="shared" si="289"/>
        <v>60fps 1080p - copy other stream</v>
      </c>
      <c r="Q2349">
        <f t="shared" si="290"/>
        <v>13</v>
      </c>
      <c r="R2349" t="str">
        <f t="shared" si="291"/>
        <v/>
      </c>
      <c r="S2349" t="str">
        <f t="shared" si="292"/>
        <v/>
      </c>
      <c r="T2349" s="403" t="str">
        <f t="shared" si="293"/>
        <v>NBN-7x023-BA</v>
      </c>
      <c r="U2349" s="403">
        <f t="shared" si="294"/>
        <v>1</v>
      </c>
      <c r="V2349" s="403" t="str">
        <f t="shared" si="295"/>
        <v>CPP_7</v>
      </c>
    </row>
    <row r="2350" spans="1:22">
      <c r="A2350" t="str">
        <f t="shared" si="288"/>
        <v>NBN-7x023-BA</v>
      </c>
      <c r="B2350" s="403" t="s">
        <v>1390</v>
      </c>
      <c r="C2350" s="403" t="s">
        <v>583</v>
      </c>
      <c r="D2350" s="403" t="s">
        <v>1308</v>
      </c>
      <c r="E2350" s="403" t="s">
        <v>1296</v>
      </c>
      <c r="F2350" s="403" t="s">
        <v>1288</v>
      </c>
      <c r="G2350" s="403" t="s">
        <v>1466</v>
      </c>
      <c r="H2350" s="403" t="s">
        <v>1276</v>
      </c>
      <c r="I2350" s="403">
        <v>1</v>
      </c>
      <c r="J2350" s="403" t="s">
        <v>1289</v>
      </c>
      <c r="K2350" s="403">
        <v>1280</v>
      </c>
      <c r="L2350" s="403">
        <v>720</v>
      </c>
      <c r="M2350" s="403" t="s">
        <v>1289</v>
      </c>
      <c r="N2350" s="403">
        <v>1280</v>
      </c>
      <c r="O2350" s="403">
        <v>720</v>
      </c>
      <c r="P2350" t="str">
        <f t="shared" si="289"/>
        <v>60fps 720p full frame rate - 720p full frame rate</v>
      </c>
      <c r="Q2350">
        <f t="shared" si="290"/>
        <v>13</v>
      </c>
      <c r="R2350" t="str">
        <f t="shared" si="291"/>
        <v/>
      </c>
      <c r="S2350" t="str">
        <f t="shared" si="292"/>
        <v/>
      </c>
      <c r="T2350" s="403" t="str">
        <f t="shared" si="293"/>
        <v>NBN-7x023-BA</v>
      </c>
      <c r="U2350" s="403">
        <f t="shared" si="294"/>
        <v>1</v>
      </c>
      <c r="V2350" s="403" t="str">
        <f t="shared" si="295"/>
        <v>CPP_7</v>
      </c>
    </row>
    <row r="2351" spans="1:22">
      <c r="A2351" t="str">
        <f t="shared" si="288"/>
        <v>NBN-7x023-BA</v>
      </c>
      <c r="B2351" s="403" t="s">
        <v>1390</v>
      </c>
      <c r="C2351" s="403" t="s">
        <v>583</v>
      </c>
      <c r="D2351" s="403" t="s">
        <v>1308</v>
      </c>
      <c r="E2351" s="403" t="s">
        <v>1296</v>
      </c>
      <c r="F2351" s="403" t="s">
        <v>1288</v>
      </c>
      <c r="G2351" s="403" t="s">
        <v>1466</v>
      </c>
      <c r="H2351" s="403" t="s">
        <v>1276</v>
      </c>
      <c r="I2351" s="403">
        <v>1</v>
      </c>
      <c r="J2351" s="403" t="s">
        <v>1289</v>
      </c>
      <c r="K2351" s="403">
        <v>1280</v>
      </c>
      <c r="L2351" s="403">
        <v>720</v>
      </c>
      <c r="M2351" s="403" t="s">
        <v>111</v>
      </c>
      <c r="N2351" s="403">
        <v>768</v>
      </c>
      <c r="O2351" s="403">
        <v>432</v>
      </c>
      <c r="P2351" t="str">
        <f t="shared" si="289"/>
        <v>60fps 720p full frame rate - SD</v>
      </c>
      <c r="Q2351">
        <f t="shared" si="290"/>
        <v>13</v>
      </c>
      <c r="R2351" t="str">
        <f t="shared" si="291"/>
        <v/>
      </c>
      <c r="S2351" t="str">
        <f t="shared" si="292"/>
        <v/>
      </c>
      <c r="T2351" s="403" t="str">
        <f t="shared" si="293"/>
        <v>NBN-7x023-BA</v>
      </c>
      <c r="U2351" s="403">
        <f t="shared" si="294"/>
        <v>1</v>
      </c>
      <c r="V2351" s="403" t="str">
        <f t="shared" si="295"/>
        <v>CPP_7</v>
      </c>
    </row>
    <row r="2352" spans="1:22">
      <c r="A2352" t="str">
        <f t="shared" si="288"/>
        <v>NBN-7x023-BA</v>
      </c>
      <c r="B2352" s="403" t="s">
        <v>1390</v>
      </c>
      <c r="C2352" s="403" t="s">
        <v>583</v>
      </c>
      <c r="D2352" s="403" t="s">
        <v>1308</v>
      </c>
      <c r="E2352" s="403" t="s">
        <v>1296</v>
      </c>
      <c r="F2352" s="403" t="s">
        <v>1288</v>
      </c>
      <c r="G2352" s="403" t="s">
        <v>1466</v>
      </c>
      <c r="H2352" s="403" t="s">
        <v>1276</v>
      </c>
      <c r="I2352" s="403">
        <v>1</v>
      </c>
      <c r="J2352" s="403" t="s">
        <v>1289</v>
      </c>
      <c r="K2352" s="403">
        <v>1280</v>
      </c>
      <c r="L2352" s="403">
        <v>720</v>
      </c>
      <c r="M2352" s="403" t="s">
        <v>1279</v>
      </c>
      <c r="N2352" s="403">
        <v>768</v>
      </c>
      <c r="O2352" s="403">
        <v>432</v>
      </c>
      <c r="P2352" t="str">
        <f t="shared" si="289"/>
        <v>60fps 720p full frame rate - SD ROI PTZ</v>
      </c>
      <c r="Q2352">
        <f t="shared" si="290"/>
        <v>13</v>
      </c>
      <c r="R2352" t="str">
        <f t="shared" si="291"/>
        <v/>
      </c>
      <c r="S2352" t="str">
        <f t="shared" si="292"/>
        <v/>
      </c>
      <c r="T2352" s="403" t="str">
        <f t="shared" si="293"/>
        <v>NBN-7x023-BA</v>
      </c>
      <c r="U2352" s="403">
        <f t="shared" si="294"/>
        <v>1</v>
      </c>
      <c r="V2352" s="403" t="str">
        <f t="shared" si="295"/>
        <v>CPP_7</v>
      </c>
    </row>
    <row r="2353" spans="1:22">
      <c r="A2353" t="str">
        <f t="shared" si="288"/>
        <v>NBN-7x023-BA</v>
      </c>
      <c r="B2353" s="403" t="s">
        <v>1390</v>
      </c>
      <c r="C2353" s="403" t="s">
        <v>583</v>
      </c>
      <c r="D2353" s="403" t="s">
        <v>1308</v>
      </c>
      <c r="E2353" s="403" t="s">
        <v>1296</v>
      </c>
      <c r="F2353" s="403" t="s">
        <v>1288</v>
      </c>
      <c r="G2353" s="403" t="s">
        <v>1466</v>
      </c>
      <c r="H2353" s="403" t="s">
        <v>1276</v>
      </c>
      <c r="I2353" s="403">
        <v>1</v>
      </c>
      <c r="J2353" s="403" t="s">
        <v>1289</v>
      </c>
      <c r="K2353" s="403">
        <v>1280</v>
      </c>
      <c r="L2353" s="403">
        <v>720</v>
      </c>
      <c r="M2353" s="403" t="s">
        <v>1298</v>
      </c>
      <c r="N2353" s="403">
        <v>768</v>
      </c>
      <c r="O2353" s="403">
        <v>432</v>
      </c>
      <c r="P2353" t="str">
        <f t="shared" si="289"/>
        <v>60fps 720p full frame rate - SD dual stream with independent ROI PTZ</v>
      </c>
      <c r="Q2353">
        <f t="shared" si="290"/>
        <v>13</v>
      </c>
      <c r="R2353" t="str">
        <f t="shared" si="291"/>
        <v/>
      </c>
      <c r="S2353" t="str">
        <f t="shared" si="292"/>
        <v/>
      </c>
      <c r="T2353" s="403" t="str">
        <f t="shared" si="293"/>
        <v>NBN-7x023-BA</v>
      </c>
      <c r="U2353" s="403">
        <f t="shared" si="294"/>
        <v>1</v>
      </c>
      <c r="V2353" s="403" t="str">
        <f t="shared" si="295"/>
        <v>CPP_7</v>
      </c>
    </row>
    <row r="2354" spans="1:22">
      <c r="A2354" t="str">
        <f t="shared" si="288"/>
        <v>NBN-7x023-BA</v>
      </c>
      <c r="B2354" s="403" t="s">
        <v>1390</v>
      </c>
      <c r="C2354" s="403" t="s">
        <v>583</v>
      </c>
      <c r="D2354" s="403" t="s">
        <v>1308</v>
      </c>
      <c r="E2354" s="403" t="s">
        <v>1296</v>
      </c>
      <c r="F2354" s="403" t="s">
        <v>1288</v>
      </c>
      <c r="G2354" s="403" t="s">
        <v>1466</v>
      </c>
      <c r="H2354" s="403" t="s">
        <v>1276</v>
      </c>
      <c r="I2354" s="403">
        <v>1</v>
      </c>
      <c r="J2354" s="403" t="s">
        <v>1289</v>
      </c>
      <c r="K2354" s="403">
        <v>1280</v>
      </c>
      <c r="L2354" s="403">
        <v>720</v>
      </c>
      <c r="M2354" s="403" t="s">
        <v>1301</v>
      </c>
      <c r="N2354" s="403">
        <v>1280</v>
      </c>
      <c r="O2354" s="403">
        <v>720</v>
      </c>
      <c r="P2354" t="str">
        <f t="shared" si="289"/>
        <v>60fps 720p full frame rate - 720p skip=4</v>
      </c>
      <c r="Q2354">
        <f t="shared" si="290"/>
        <v>13</v>
      </c>
      <c r="R2354" t="str">
        <f t="shared" si="291"/>
        <v/>
      </c>
      <c r="S2354" t="str">
        <f t="shared" si="292"/>
        <v/>
      </c>
      <c r="T2354" s="403" t="str">
        <f t="shared" si="293"/>
        <v>NBN-7x023-BA</v>
      </c>
      <c r="U2354" s="403">
        <f t="shared" si="294"/>
        <v>1</v>
      </c>
      <c r="V2354" s="403" t="str">
        <f t="shared" si="295"/>
        <v>CPP_7</v>
      </c>
    </row>
    <row r="2355" spans="1:22">
      <c r="A2355" t="str">
        <f t="shared" si="288"/>
        <v>NBN-7x023-BA</v>
      </c>
      <c r="B2355" s="403" t="s">
        <v>1390</v>
      </c>
      <c r="C2355" s="403" t="s">
        <v>583</v>
      </c>
      <c r="D2355" s="403" t="s">
        <v>1308</v>
      </c>
      <c r="E2355" s="403" t="s">
        <v>1296</v>
      </c>
      <c r="F2355" s="403" t="s">
        <v>1288</v>
      </c>
      <c r="G2355" s="403" t="s">
        <v>1466</v>
      </c>
      <c r="H2355" s="403" t="s">
        <v>1276</v>
      </c>
      <c r="I2355" s="403">
        <v>1</v>
      </c>
      <c r="J2355" s="403" t="s">
        <v>1289</v>
      </c>
      <c r="K2355" s="403">
        <v>1280</v>
      </c>
      <c r="L2355" s="403">
        <v>720</v>
      </c>
      <c r="M2355" s="403" t="s">
        <v>1280</v>
      </c>
      <c r="N2355" s="403">
        <v>1280</v>
      </c>
      <c r="O2355" s="403">
        <v>720</v>
      </c>
      <c r="P2355" t="str">
        <f t="shared" si="289"/>
        <v>60fps 720p full frame rate - copy other stream</v>
      </c>
      <c r="Q2355">
        <f t="shared" si="290"/>
        <v>13</v>
      </c>
      <c r="R2355" t="str">
        <f t="shared" si="291"/>
        <v/>
      </c>
      <c r="S2355" t="str">
        <f t="shared" si="292"/>
        <v/>
      </c>
      <c r="T2355" s="403" t="str">
        <f t="shared" si="293"/>
        <v>NBN-7x023-BA</v>
      </c>
      <c r="U2355" s="403">
        <f t="shared" si="294"/>
        <v>1</v>
      </c>
      <c r="V2355" s="403" t="str">
        <f t="shared" si="295"/>
        <v>CPP_7</v>
      </c>
    </row>
    <row r="2356" spans="1:22">
      <c r="A2356" t="str">
        <f t="shared" si="288"/>
        <v>NBN-7x023-BA</v>
      </c>
      <c r="B2356" s="403" t="s">
        <v>1390</v>
      </c>
      <c r="C2356" s="403" t="s">
        <v>583</v>
      </c>
      <c r="D2356" s="403" t="s">
        <v>1308</v>
      </c>
      <c r="E2356" s="403" t="s">
        <v>1296</v>
      </c>
      <c r="F2356" s="403" t="s">
        <v>1288</v>
      </c>
      <c r="G2356" s="403" t="s">
        <v>1466</v>
      </c>
      <c r="H2356" s="403" t="s">
        <v>1276</v>
      </c>
      <c r="I2356" s="403">
        <v>1</v>
      </c>
      <c r="J2356" s="403" t="s">
        <v>1289</v>
      </c>
      <c r="K2356" s="403">
        <v>1280</v>
      </c>
      <c r="L2356" s="403">
        <v>720</v>
      </c>
      <c r="M2356" s="403" t="s">
        <v>1302</v>
      </c>
      <c r="N2356" s="403">
        <v>400</v>
      </c>
      <c r="O2356" s="403">
        <v>720</v>
      </c>
      <c r="P2356" t="str">
        <f t="shared" si="289"/>
        <v>60fps 720p full frame rate - 400x720 upright (cropped)</v>
      </c>
      <c r="Q2356">
        <f t="shared" si="290"/>
        <v>13</v>
      </c>
      <c r="R2356" t="str">
        <f t="shared" si="291"/>
        <v/>
      </c>
      <c r="S2356" t="str">
        <f t="shared" si="292"/>
        <v/>
      </c>
      <c r="T2356" s="403" t="str">
        <f t="shared" si="293"/>
        <v>NBN-7x023-BA</v>
      </c>
      <c r="U2356" s="403">
        <f t="shared" si="294"/>
        <v>1</v>
      </c>
      <c r="V2356" s="403" t="str">
        <f t="shared" si="295"/>
        <v>CPP_7</v>
      </c>
    </row>
    <row r="2357" spans="1:22">
      <c r="A2357" t="str">
        <f t="shared" si="288"/>
        <v>NBN-7x023-BA</v>
      </c>
      <c r="B2357" s="403" t="s">
        <v>1390</v>
      </c>
      <c r="C2357" s="403" t="s">
        <v>583</v>
      </c>
      <c r="D2357" s="403" t="s">
        <v>1308</v>
      </c>
      <c r="E2357" s="403" t="s">
        <v>1296</v>
      </c>
      <c r="F2357" s="403" t="s">
        <v>1288</v>
      </c>
      <c r="G2357" s="403" t="s">
        <v>1466</v>
      </c>
      <c r="H2357" s="403" t="s">
        <v>1276</v>
      </c>
      <c r="I2357" s="403">
        <v>1</v>
      </c>
      <c r="J2357" s="403" t="s">
        <v>1289</v>
      </c>
      <c r="K2357" s="403">
        <v>1280</v>
      </c>
      <c r="L2357" s="403">
        <v>720</v>
      </c>
      <c r="M2357" s="403" t="s">
        <v>1283</v>
      </c>
      <c r="N2357" s="403">
        <v>704</v>
      </c>
      <c r="O2357" s="403">
        <v>480</v>
      </c>
      <c r="P2357" t="str">
        <f t="shared" si="289"/>
        <v>60fps 720p full frame rate - SD 4CIF resolution 4:3 format (cropped)</v>
      </c>
      <c r="Q2357">
        <f t="shared" si="290"/>
        <v>13</v>
      </c>
      <c r="R2357" t="str">
        <f t="shared" si="291"/>
        <v/>
      </c>
      <c r="S2357" t="str">
        <f t="shared" si="292"/>
        <v/>
      </c>
      <c r="T2357" s="403" t="str">
        <f t="shared" si="293"/>
        <v>NBN-7x023-BA</v>
      </c>
      <c r="U2357" s="403">
        <f t="shared" si="294"/>
        <v>1</v>
      </c>
      <c r="V2357" s="403" t="str">
        <f t="shared" si="295"/>
        <v>CPP_7</v>
      </c>
    </row>
    <row r="2358" spans="1:22">
      <c r="A2358" t="str">
        <f t="shared" si="288"/>
        <v>NBN-7x023-BA</v>
      </c>
      <c r="B2358" s="403" t="s">
        <v>1390</v>
      </c>
      <c r="C2358" s="403" t="s">
        <v>583</v>
      </c>
      <c r="D2358" s="403" t="s">
        <v>1308</v>
      </c>
      <c r="E2358" s="403" t="s">
        <v>1296</v>
      </c>
      <c r="F2358" s="403" t="s">
        <v>1288</v>
      </c>
      <c r="G2358" s="403" t="s">
        <v>1466</v>
      </c>
      <c r="H2358" s="403" t="s">
        <v>1276</v>
      </c>
      <c r="I2358" s="403">
        <v>1</v>
      </c>
      <c r="J2358" s="403" t="s">
        <v>1289</v>
      </c>
      <c r="K2358" s="403">
        <v>1280</v>
      </c>
      <c r="L2358" s="403">
        <v>720</v>
      </c>
      <c r="M2358" s="403" t="s">
        <v>1284</v>
      </c>
      <c r="N2358" s="403">
        <v>640</v>
      </c>
      <c r="O2358" s="403">
        <v>480</v>
      </c>
      <c r="P2358" t="str">
        <f t="shared" si="289"/>
        <v>60fps 720p full frame rate - SD VGA (cropped)</v>
      </c>
      <c r="Q2358">
        <f t="shared" si="290"/>
        <v>13</v>
      </c>
      <c r="R2358" t="str">
        <f t="shared" si="291"/>
        <v/>
      </c>
      <c r="S2358" t="str">
        <f t="shared" si="292"/>
        <v/>
      </c>
      <c r="T2358" s="403" t="str">
        <f t="shared" si="293"/>
        <v>NBN-7x023-BA</v>
      </c>
      <c r="U2358" s="403">
        <f t="shared" si="294"/>
        <v>1</v>
      </c>
      <c r="V2358" s="403" t="str">
        <f t="shared" si="295"/>
        <v>CPP_7</v>
      </c>
    </row>
    <row r="2359" spans="1:22">
      <c r="A2359" t="str">
        <f t="shared" si="288"/>
        <v>NBN-7x023-BA</v>
      </c>
      <c r="B2359" s="403" t="s">
        <v>1390</v>
      </c>
      <c r="C2359" s="403" t="s">
        <v>583</v>
      </c>
      <c r="D2359" s="403" t="s">
        <v>1308</v>
      </c>
      <c r="E2359" s="403" t="s">
        <v>1296</v>
      </c>
      <c r="F2359" s="403" t="s">
        <v>1288</v>
      </c>
      <c r="G2359" s="403" t="s">
        <v>1466</v>
      </c>
      <c r="H2359" s="403" t="s">
        <v>1276</v>
      </c>
      <c r="I2359" s="403">
        <v>1</v>
      </c>
      <c r="J2359" s="403" t="s">
        <v>111</v>
      </c>
      <c r="K2359" s="403">
        <v>768</v>
      </c>
      <c r="L2359" s="403">
        <v>432</v>
      </c>
      <c r="M2359" s="403" t="s">
        <v>111</v>
      </c>
      <c r="N2359" s="403">
        <v>768</v>
      </c>
      <c r="O2359" s="403">
        <v>432</v>
      </c>
      <c r="P2359" t="str">
        <f t="shared" si="289"/>
        <v>60fps SD - SD</v>
      </c>
      <c r="Q2359">
        <f t="shared" si="290"/>
        <v>13</v>
      </c>
      <c r="R2359" t="str">
        <f t="shared" si="291"/>
        <v/>
      </c>
      <c r="S2359" t="str">
        <f t="shared" si="292"/>
        <v/>
      </c>
      <c r="T2359" s="403" t="str">
        <f t="shared" si="293"/>
        <v>NBN-7x023-BA</v>
      </c>
      <c r="U2359" s="403">
        <f t="shared" si="294"/>
        <v>1</v>
      </c>
      <c r="V2359" s="403" t="str">
        <f t="shared" si="295"/>
        <v>CPP_7</v>
      </c>
    </row>
    <row r="2360" spans="1:22">
      <c r="A2360" t="str">
        <f t="shared" si="288"/>
        <v>NBN-7x023-BA</v>
      </c>
      <c r="B2360" s="403" t="s">
        <v>1390</v>
      </c>
      <c r="C2360" s="403" t="s">
        <v>583</v>
      </c>
      <c r="D2360" s="403" t="s">
        <v>1308</v>
      </c>
      <c r="E2360" s="403" t="s">
        <v>1296</v>
      </c>
      <c r="F2360" s="403" t="s">
        <v>1288</v>
      </c>
      <c r="G2360" s="403" t="s">
        <v>1467</v>
      </c>
      <c r="H2360" s="403" t="s">
        <v>1276</v>
      </c>
      <c r="I2360" s="403">
        <v>1</v>
      </c>
      <c r="J2360" s="403" t="s">
        <v>110</v>
      </c>
      <c r="K2360" s="403">
        <v>1080</v>
      </c>
      <c r="L2360" s="403">
        <v>1920</v>
      </c>
      <c r="M2360" s="403" t="s">
        <v>1280</v>
      </c>
      <c r="N2360" s="403">
        <v>1080</v>
      </c>
      <c r="O2360" s="403">
        <v>1920</v>
      </c>
      <c r="P2360" t="str">
        <f t="shared" si="289"/>
        <v>60fps 1080p - copy other stream</v>
      </c>
      <c r="Q2360">
        <f t="shared" si="290"/>
        <v>13</v>
      </c>
      <c r="R2360" t="str">
        <f t="shared" si="291"/>
        <v/>
      </c>
      <c r="S2360" t="str">
        <f t="shared" si="292"/>
        <v/>
      </c>
      <c r="T2360" s="403" t="str">
        <f t="shared" si="293"/>
        <v>NBN-7x023-BA</v>
      </c>
      <c r="U2360" s="403">
        <f t="shared" si="294"/>
        <v>1</v>
      </c>
      <c r="V2360" s="403" t="str">
        <f t="shared" si="295"/>
        <v>CPP_7</v>
      </c>
    </row>
    <row r="2361" spans="1:22">
      <c r="A2361" t="str">
        <f t="shared" si="288"/>
        <v>NBN-7x023-BA</v>
      </c>
      <c r="B2361" s="403" t="s">
        <v>1390</v>
      </c>
      <c r="C2361" s="403" t="s">
        <v>583</v>
      </c>
      <c r="D2361" s="403" t="s">
        <v>1308</v>
      </c>
      <c r="E2361" s="403" t="s">
        <v>1296</v>
      </c>
      <c r="F2361" s="403" t="s">
        <v>1288</v>
      </c>
      <c r="G2361" s="403" t="s">
        <v>1467</v>
      </c>
      <c r="H2361" s="403" t="s">
        <v>1276</v>
      </c>
      <c r="I2361" s="403">
        <v>1</v>
      </c>
      <c r="J2361" s="403" t="s">
        <v>1289</v>
      </c>
      <c r="K2361" s="403">
        <v>720</v>
      </c>
      <c r="L2361" s="403">
        <v>1280</v>
      </c>
      <c r="M2361" s="403" t="s">
        <v>1289</v>
      </c>
      <c r="N2361" s="403">
        <v>720</v>
      </c>
      <c r="O2361" s="403">
        <v>1280</v>
      </c>
      <c r="P2361" t="str">
        <f t="shared" si="289"/>
        <v>60fps 720p full frame rate - 720p full frame rate</v>
      </c>
      <c r="Q2361">
        <f t="shared" si="290"/>
        <v>13</v>
      </c>
      <c r="R2361" t="str">
        <f t="shared" si="291"/>
        <v/>
      </c>
      <c r="S2361" t="str">
        <f t="shared" si="292"/>
        <v/>
      </c>
      <c r="T2361" s="403" t="str">
        <f t="shared" si="293"/>
        <v>NBN-7x023-BA</v>
      </c>
      <c r="U2361" s="403">
        <f t="shared" si="294"/>
        <v>1</v>
      </c>
      <c r="V2361" s="403" t="str">
        <f t="shared" si="295"/>
        <v>CPP_7</v>
      </c>
    </row>
    <row r="2362" spans="1:22">
      <c r="A2362" t="str">
        <f t="shared" si="288"/>
        <v>NBN-7x023-BA</v>
      </c>
      <c r="B2362" s="403" t="s">
        <v>1390</v>
      </c>
      <c r="C2362" s="403" t="s">
        <v>583</v>
      </c>
      <c r="D2362" s="403" t="s">
        <v>1308</v>
      </c>
      <c r="E2362" s="403" t="s">
        <v>1296</v>
      </c>
      <c r="F2362" s="403" t="s">
        <v>1288</v>
      </c>
      <c r="G2362" s="403" t="s">
        <v>1467</v>
      </c>
      <c r="H2362" s="403" t="s">
        <v>1276</v>
      </c>
      <c r="I2362" s="403">
        <v>1</v>
      </c>
      <c r="J2362" s="403" t="s">
        <v>1289</v>
      </c>
      <c r="K2362" s="403">
        <v>720</v>
      </c>
      <c r="L2362" s="403">
        <v>1280</v>
      </c>
      <c r="M2362" s="403" t="s">
        <v>111</v>
      </c>
      <c r="N2362" s="403">
        <v>432</v>
      </c>
      <c r="O2362" s="403">
        <v>768</v>
      </c>
      <c r="P2362" t="str">
        <f t="shared" si="289"/>
        <v>60fps 720p full frame rate - SD</v>
      </c>
      <c r="Q2362">
        <f t="shared" si="290"/>
        <v>13</v>
      </c>
      <c r="R2362" t="str">
        <f t="shared" si="291"/>
        <v/>
      </c>
      <c r="S2362" t="str">
        <f t="shared" si="292"/>
        <v/>
      </c>
      <c r="T2362" s="403" t="str">
        <f t="shared" si="293"/>
        <v>NBN-7x023-BA</v>
      </c>
      <c r="U2362" s="403">
        <f t="shared" si="294"/>
        <v>1</v>
      </c>
      <c r="V2362" s="403" t="str">
        <f t="shared" si="295"/>
        <v>CPP_7</v>
      </c>
    </row>
    <row r="2363" spans="1:22">
      <c r="A2363" t="str">
        <f t="shared" si="288"/>
        <v>NBN-7x023-BA</v>
      </c>
      <c r="B2363" s="403" t="s">
        <v>1390</v>
      </c>
      <c r="C2363" s="403" t="s">
        <v>583</v>
      </c>
      <c r="D2363" s="403" t="s">
        <v>1308</v>
      </c>
      <c r="E2363" s="403" t="s">
        <v>1296</v>
      </c>
      <c r="F2363" s="403" t="s">
        <v>1288</v>
      </c>
      <c r="G2363" s="403" t="s">
        <v>1467</v>
      </c>
      <c r="H2363" s="403" t="s">
        <v>1276</v>
      </c>
      <c r="I2363" s="403">
        <v>1</v>
      </c>
      <c r="J2363" s="403" t="s">
        <v>1289</v>
      </c>
      <c r="K2363" s="403">
        <v>720</v>
      </c>
      <c r="L2363" s="403">
        <v>1280</v>
      </c>
      <c r="M2363" s="403" t="s">
        <v>1279</v>
      </c>
      <c r="N2363" s="403">
        <v>432</v>
      </c>
      <c r="O2363" s="403">
        <v>768</v>
      </c>
      <c r="P2363" t="str">
        <f t="shared" si="289"/>
        <v>60fps 720p full frame rate - SD ROI PTZ</v>
      </c>
      <c r="Q2363">
        <f t="shared" si="290"/>
        <v>13</v>
      </c>
      <c r="R2363" t="str">
        <f t="shared" si="291"/>
        <v/>
      </c>
      <c r="S2363" t="str">
        <f t="shared" si="292"/>
        <v/>
      </c>
      <c r="T2363" s="403" t="str">
        <f t="shared" si="293"/>
        <v>NBN-7x023-BA</v>
      </c>
      <c r="U2363" s="403">
        <f t="shared" si="294"/>
        <v>1</v>
      </c>
      <c r="V2363" s="403" t="str">
        <f t="shared" si="295"/>
        <v>CPP_7</v>
      </c>
    </row>
    <row r="2364" spans="1:22">
      <c r="A2364" t="str">
        <f t="shared" si="288"/>
        <v>NBN-7x023-BA</v>
      </c>
      <c r="B2364" s="403" t="s">
        <v>1390</v>
      </c>
      <c r="C2364" s="403" t="s">
        <v>583</v>
      </c>
      <c r="D2364" s="403" t="s">
        <v>1308</v>
      </c>
      <c r="E2364" s="403" t="s">
        <v>1296</v>
      </c>
      <c r="F2364" s="403" t="s">
        <v>1288</v>
      </c>
      <c r="G2364" s="403" t="s">
        <v>1467</v>
      </c>
      <c r="H2364" s="403" t="s">
        <v>1276</v>
      </c>
      <c r="I2364" s="403">
        <v>1</v>
      </c>
      <c r="J2364" s="403" t="s">
        <v>1289</v>
      </c>
      <c r="K2364" s="403">
        <v>720</v>
      </c>
      <c r="L2364" s="403">
        <v>1280</v>
      </c>
      <c r="M2364" s="403" t="s">
        <v>1298</v>
      </c>
      <c r="N2364" s="403">
        <v>432</v>
      </c>
      <c r="O2364" s="403">
        <v>768</v>
      </c>
      <c r="P2364" t="str">
        <f t="shared" si="289"/>
        <v>60fps 720p full frame rate - SD dual stream with independent ROI PTZ</v>
      </c>
      <c r="Q2364">
        <f t="shared" si="290"/>
        <v>13</v>
      </c>
      <c r="R2364" t="str">
        <f t="shared" si="291"/>
        <v/>
      </c>
      <c r="S2364" t="str">
        <f t="shared" si="292"/>
        <v/>
      </c>
      <c r="T2364" s="403" t="str">
        <f t="shared" si="293"/>
        <v>NBN-7x023-BA</v>
      </c>
      <c r="U2364" s="403">
        <f t="shared" si="294"/>
        <v>1</v>
      </c>
      <c r="V2364" s="403" t="str">
        <f t="shared" si="295"/>
        <v>CPP_7</v>
      </c>
    </row>
    <row r="2365" spans="1:22">
      <c r="A2365" t="str">
        <f t="shared" si="288"/>
        <v>NBN-7x023-BA</v>
      </c>
      <c r="B2365" s="403" t="s">
        <v>1390</v>
      </c>
      <c r="C2365" s="403" t="s">
        <v>583</v>
      </c>
      <c r="D2365" s="403" t="s">
        <v>1308</v>
      </c>
      <c r="E2365" s="403" t="s">
        <v>1296</v>
      </c>
      <c r="F2365" s="403" t="s">
        <v>1288</v>
      </c>
      <c r="G2365" s="403" t="s">
        <v>1467</v>
      </c>
      <c r="H2365" s="403" t="s">
        <v>1276</v>
      </c>
      <c r="I2365" s="403">
        <v>1</v>
      </c>
      <c r="J2365" s="403" t="s">
        <v>1289</v>
      </c>
      <c r="K2365" s="403">
        <v>720</v>
      </c>
      <c r="L2365" s="403">
        <v>1280</v>
      </c>
      <c r="M2365" s="403" t="s">
        <v>1301</v>
      </c>
      <c r="N2365" s="403">
        <v>720</v>
      </c>
      <c r="O2365" s="403">
        <v>1280</v>
      </c>
      <c r="P2365" t="str">
        <f t="shared" si="289"/>
        <v>60fps 720p full frame rate - 720p skip=4</v>
      </c>
      <c r="Q2365">
        <f t="shared" si="290"/>
        <v>13</v>
      </c>
      <c r="R2365" t="str">
        <f t="shared" si="291"/>
        <v/>
      </c>
      <c r="S2365" t="str">
        <f t="shared" si="292"/>
        <v/>
      </c>
      <c r="T2365" s="403" t="str">
        <f t="shared" si="293"/>
        <v>NBN-7x023-BA</v>
      </c>
      <c r="U2365" s="403">
        <f t="shared" si="294"/>
        <v>1</v>
      </c>
      <c r="V2365" s="403" t="str">
        <f t="shared" si="295"/>
        <v>CPP_7</v>
      </c>
    </row>
    <row r="2366" spans="1:22">
      <c r="A2366" t="str">
        <f t="shared" si="288"/>
        <v>NBN-7x023-BA</v>
      </c>
      <c r="B2366" s="403" t="s">
        <v>1390</v>
      </c>
      <c r="C2366" s="403" t="s">
        <v>583</v>
      </c>
      <c r="D2366" s="403" t="s">
        <v>1308</v>
      </c>
      <c r="E2366" s="403" t="s">
        <v>1296</v>
      </c>
      <c r="F2366" s="403" t="s">
        <v>1288</v>
      </c>
      <c r="G2366" s="403" t="s">
        <v>1467</v>
      </c>
      <c r="H2366" s="403" t="s">
        <v>1276</v>
      </c>
      <c r="I2366" s="403">
        <v>1</v>
      </c>
      <c r="J2366" s="403" t="s">
        <v>1289</v>
      </c>
      <c r="K2366" s="403">
        <v>720</v>
      </c>
      <c r="L2366" s="403">
        <v>1280</v>
      </c>
      <c r="M2366" s="403" t="s">
        <v>1280</v>
      </c>
      <c r="N2366" s="403">
        <v>720</v>
      </c>
      <c r="O2366" s="403">
        <v>1280</v>
      </c>
      <c r="P2366" t="str">
        <f t="shared" si="289"/>
        <v>60fps 720p full frame rate - copy other stream</v>
      </c>
      <c r="Q2366">
        <f t="shared" si="290"/>
        <v>13</v>
      </c>
      <c r="R2366" t="str">
        <f t="shared" si="291"/>
        <v/>
      </c>
      <c r="S2366" t="str">
        <f t="shared" si="292"/>
        <v/>
      </c>
      <c r="T2366" s="403" t="str">
        <f t="shared" si="293"/>
        <v>NBN-7x023-BA</v>
      </c>
      <c r="U2366" s="403">
        <f t="shared" si="294"/>
        <v>1</v>
      </c>
      <c r="V2366" s="403" t="str">
        <f t="shared" si="295"/>
        <v>CPP_7</v>
      </c>
    </row>
    <row r="2367" spans="1:22">
      <c r="A2367" t="str">
        <f t="shared" si="288"/>
        <v>NBN-7x023-BA</v>
      </c>
      <c r="B2367" s="403" t="s">
        <v>1390</v>
      </c>
      <c r="C2367" s="403" t="s">
        <v>583</v>
      </c>
      <c r="D2367" s="403" t="s">
        <v>1308</v>
      </c>
      <c r="E2367" s="403" t="s">
        <v>1296</v>
      </c>
      <c r="F2367" s="403" t="s">
        <v>1288</v>
      </c>
      <c r="G2367" s="403" t="s">
        <v>1467</v>
      </c>
      <c r="H2367" s="403" t="s">
        <v>1276</v>
      </c>
      <c r="I2367" s="403">
        <v>1</v>
      </c>
      <c r="J2367" s="403" t="s">
        <v>1289</v>
      </c>
      <c r="K2367" s="403">
        <v>720</v>
      </c>
      <c r="L2367" s="403">
        <v>1280</v>
      </c>
      <c r="M2367" s="403" t="s">
        <v>1302</v>
      </c>
      <c r="N2367" s="403">
        <v>720</v>
      </c>
      <c r="O2367" s="403">
        <v>400</v>
      </c>
      <c r="P2367" t="str">
        <f t="shared" si="289"/>
        <v>60fps 720p full frame rate - 400x720 upright (cropped)</v>
      </c>
      <c r="Q2367">
        <f t="shared" si="290"/>
        <v>13</v>
      </c>
      <c r="R2367" t="str">
        <f t="shared" si="291"/>
        <v/>
      </c>
      <c r="S2367" t="str">
        <f t="shared" si="292"/>
        <v/>
      </c>
      <c r="T2367" s="403" t="str">
        <f t="shared" si="293"/>
        <v>NBN-7x023-BA</v>
      </c>
      <c r="U2367" s="403">
        <f t="shared" si="294"/>
        <v>1</v>
      </c>
      <c r="V2367" s="403" t="str">
        <f t="shared" si="295"/>
        <v>CPP_7</v>
      </c>
    </row>
    <row r="2368" spans="1:22">
      <c r="A2368" t="str">
        <f t="shared" si="288"/>
        <v>NBN-7x023-BA</v>
      </c>
      <c r="B2368" s="403" t="s">
        <v>1390</v>
      </c>
      <c r="C2368" s="403" t="s">
        <v>583</v>
      </c>
      <c r="D2368" s="403" t="s">
        <v>1308</v>
      </c>
      <c r="E2368" s="403" t="s">
        <v>1296</v>
      </c>
      <c r="F2368" s="403" t="s">
        <v>1288</v>
      </c>
      <c r="G2368" s="403" t="s">
        <v>1467</v>
      </c>
      <c r="H2368" s="403" t="s">
        <v>1276</v>
      </c>
      <c r="I2368" s="403">
        <v>1</v>
      </c>
      <c r="J2368" s="403" t="s">
        <v>1289</v>
      </c>
      <c r="K2368" s="403">
        <v>720</v>
      </c>
      <c r="L2368" s="403">
        <v>1280</v>
      </c>
      <c r="M2368" s="403" t="s">
        <v>1283</v>
      </c>
      <c r="N2368" s="403">
        <v>480</v>
      </c>
      <c r="O2368" s="403">
        <v>704</v>
      </c>
      <c r="P2368" t="str">
        <f t="shared" si="289"/>
        <v>60fps 720p full frame rate - SD 4CIF resolution 4:3 format (cropped)</v>
      </c>
      <c r="Q2368">
        <f t="shared" si="290"/>
        <v>13</v>
      </c>
      <c r="R2368" t="str">
        <f t="shared" si="291"/>
        <v/>
      </c>
      <c r="S2368" t="str">
        <f t="shared" si="292"/>
        <v/>
      </c>
      <c r="T2368" s="403" t="str">
        <f t="shared" si="293"/>
        <v>NBN-7x023-BA</v>
      </c>
      <c r="U2368" s="403">
        <f t="shared" si="294"/>
        <v>1</v>
      </c>
      <c r="V2368" s="403" t="str">
        <f t="shared" si="295"/>
        <v>CPP_7</v>
      </c>
    </row>
    <row r="2369" spans="1:22">
      <c r="A2369" t="str">
        <f t="shared" si="288"/>
        <v>NBN-7x023-BA</v>
      </c>
      <c r="B2369" s="403" t="s">
        <v>1390</v>
      </c>
      <c r="C2369" s="403" t="s">
        <v>583</v>
      </c>
      <c r="D2369" s="403" t="s">
        <v>1308</v>
      </c>
      <c r="E2369" s="403" t="s">
        <v>1296</v>
      </c>
      <c r="F2369" s="403" t="s">
        <v>1288</v>
      </c>
      <c r="G2369" s="403" t="s">
        <v>1467</v>
      </c>
      <c r="H2369" s="403" t="s">
        <v>1276</v>
      </c>
      <c r="I2369" s="403">
        <v>1</v>
      </c>
      <c r="J2369" s="403" t="s">
        <v>1289</v>
      </c>
      <c r="K2369" s="403">
        <v>720</v>
      </c>
      <c r="L2369" s="403">
        <v>1280</v>
      </c>
      <c r="M2369" s="403" t="s">
        <v>1284</v>
      </c>
      <c r="N2369" s="403">
        <v>480</v>
      </c>
      <c r="O2369" s="403">
        <v>640</v>
      </c>
      <c r="P2369" t="str">
        <f t="shared" si="289"/>
        <v>60fps 720p full frame rate - SD VGA (cropped)</v>
      </c>
      <c r="Q2369">
        <f t="shared" si="290"/>
        <v>13</v>
      </c>
      <c r="R2369" t="str">
        <f t="shared" si="291"/>
        <v/>
      </c>
      <c r="S2369" t="str">
        <f t="shared" si="292"/>
        <v/>
      </c>
      <c r="T2369" s="403" t="str">
        <f t="shared" si="293"/>
        <v>NBN-7x023-BA</v>
      </c>
      <c r="U2369" s="403">
        <f t="shared" si="294"/>
        <v>1</v>
      </c>
      <c r="V2369" s="403" t="str">
        <f t="shared" si="295"/>
        <v>CPP_7</v>
      </c>
    </row>
    <row r="2370" spans="1:22">
      <c r="A2370" t="str">
        <f t="shared" ref="A2370:A2433" si="296">IF(AND(G2370&lt;&gt;"rotate 90°"),D2370,"")</f>
        <v>NBN-7x023-BA</v>
      </c>
      <c r="B2370" s="403" t="s">
        <v>1390</v>
      </c>
      <c r="C2370" s="403" t="s">
        <v>583</v>
      </c>
      <c r="D2370" s="403" t="s">
        <v>1308</v>
      </c>
      <c r="E2370" s="403" t="s">
        <v>1296</v>
      </c>
      <c r="F2370" s="403" t="s">
        <v>1288</v>
      </c>
      <c r="G2370" s="403" t="s">
        <v>1467</v>
      </c>
      <c r="H2370" s="403" t="s">
        <v>1276</v>
      </c>
      <c r="I2370" s="403">
        <v>1</v>
      </c>
      <c r="J2370" s="403" t="s">
        <v>111</v>
      </c>
      <c r="K2370" s="403">
        <v>432</v>
      </c>
      <c r="L2370" s="403">
        <v>768</v>
      </c>
      <c r="M2370" s="403" t="s">
        <v>111</v>
      </c>
      <c r="N2370" s="403">
        <v>432</v>
      </c>
      <c r="O2370" s="403">
        <v>768</v>
      </c>
      <c r="P2370" t="str">
        <f t="shared" ref="P2370:P2433" si="297">LEFT(F2370,5)&amp;" "&amp;J2370&amp;" - "&amp;M2370</f>
        <v>60fps SD - SD</v>
      </c>
      <c r="Q2370">
        <f t="shared" ref="Q2370:Q2433" si="298">IF(A2369=A2370,Q2369,Q2369+1)</f>
        <v>13</v>
      </c>
      <c r="R2370" t="str">
        <f t="shared" ref="R2370:R2433" si="299">IF(Q2369&lt;&gt;Q2370,Q2370,"")</f>
        <v/>
      </c>
      <c r="S2370" t="str">
        <f t="shared" ref="S2370:S2433" si="300">IF(R2370&lt;&gt;"",B2370&amp;" ("&amp;D2370&amp;")","")</f>
        <v/>
      </c>
      <c r="T2370" s="403" t="str">
        <f t="shared" ref="T2370:T2433" si="301">D2370</f>
        <v>NBN-7x023-BA</v>
      </c>
      <c r="U2370" s="403">
        <f t="shared" ref="U2370:U2433" si="302">I2370</f>
        <v>1</v>
      </c>
      <c r="V2370" s="403" t="str">
        <f t="shared" ref="V2370:V2433" si="303">C2370</f>
        <v>CPP_7</v>
      </c>
    </row>
    <row r="2371" spans="1:22">
      <c r="A2371" t="str">
        <f t="shared" si="296"/>
        <v>NBN-7x023-BA</v>
      </c>
      <c r="B2371" s="403" t="s">
        <v>1390</v>
      </c>
      <c r="C2371" s="403" t="s">
        <v>583</v>
      </c>
      <c r="D2371" s="403" t="s">
        <v>1308</v>
      </c>
      <c r="E2371" s="403" t="s">
        <v>1296</v>
      </c>
      <c r="F2371" s="403" t="s">
        <v>1290</v>
      </c>
      <c r="G2371" s="403" t="s">
        <v>1466</v>
      </c>
      <c r="H2371" s="403" t="s">
        <v>1276</v>
      </c>
      <c r="I2371" s="403">
        <v>1</v>
      </c>
      <c r="J2371" s="403" t="s">
        <v>110</v>
      </c>
      <c r="K2371" s="403">
        <v>1920</v>
      </c>
      <c r="L2371" s="403">
        <v>1080</v>
      </c>
      <c r="M2371" s="403" t="s">
        <v>1280</v>
      </c>
      <c r="N2371" s="403">
        <v>1920</v>
      </c>
      <c r="O2371" s="403">
        <v>1080</v>
      </c>
      <c r="P2371" t="str">
        <f t="shared" si="297"/>
        <v>50fps 1080p - copy other stream</v>
      </c>
      <c r="Q2371">
        <f t="shared" si="298"/>
        <v>13</v>
      </c>
      <c r="R2371" t="str">
        <f t="shared" si="299"/>
        <v/>
      </c>
      <c r="S2371" t="str">
        <f t="shared" si="300"/>
        <v/>
      </c>
      <c r="T2371" s="403" t="str">
        <f t="shared" si="301"/>
        <v>NBN-7x023-BA</v>
      </c>
      <c r="U2371" s="403">
        <f t="shared" si="302"/>
        <v>1</v>
      </c>
      <c r="V2371" s="403" t="str">
        <f t="shared" si="303"/>
        <v>CPP_7</v>
      </c>
    </row>
    <row r="2372" spans="1:22">
      <c r="A2372" t="str">
        <f t="shared" si="296"/>
        <v>NBN-7x023-BA</v>
      </c>
      <c r="B2372" s="403" t="s">
        <v>1390</v>
      </c>
      <c r="C2372" s="403" t="s">
        <v>583</v>
      </c>
      <c r="D2372" s="403" t="s">
        <v>1308</v>
      </c>
      <c r="E2372" s="403" t="s">
        <v>1296</v>
      </c>
      <c r="F2372" s="403" t="s">
        <v>1290</v>
      </c>
      <c r="G2372" s="403" t="s">
        <v>1466</v>
      </c>
      <c r="H2372" s="403" t="s">
        <v>1276</v>
      </c>
      <c r="I2372" s="403">
        <v>1</v>
      </c>
      <c r="J2372" s="403" t="s">
        <v>1289</v>
      </c>
      <c r="K2372" s="403">
        <v>1280</v>
      </c>
      <c r="L2372" s="403">
        <v>720</v>
      </c>
      <c r="M2372" s="403" t="s">
        <v>1289</v>
      </c>
      <c r="N2372" s="403">
        <v>1280</v>
      </c>
      <c r="O2372" s="403">
        <v>720</v>
      </c>
      <c r="P2372" t="str">
        <f t="shared" si="297"/>
        <v>50fps 720p full frame rate - 720p full frame rate</v>
      </c>
      <c r="Q2372">
        <f t="shared" si="298"/>
        <v>13</v>
      </c>
      <c r="R2372" t="str">
        <f t="shared" si="299"/>
        <v/>
      </c>
      <c r="S2372" t="str">
        <f t="shared" si="300"/>
        <v/>
      </c>
      <c r="T2372" s="403" t="str">
        <f t="shared" si="301"/>
        <v>NBN-7x023-BA</v>
      </c>
      <c r="U2372" s="403">
        <f t="shared" si="302"/>
        <v>1</v>
      </c>
      <c r="V2372" s="403" t="str">
        <f t="shared" si="303"/>
        <v>CPP_7</v>
      </c>
    </row>
    <row r="2373" spans="1:22">
      <c r="A2373" t="str">
        <f t="shared" si="296"/>
        <v>NBN-7x023-BA</v>
      </c>
      <c r="B2373" s="403" t="s">
        <v>1390</v>
      </c>
      <c r="C2373" s="403" t="s">
        <v>583</v>
      </c>
      <c r="D2373" s="403" t="s">
        <v>1308</v>
      </c>
      <c r="E2373" s="403" t="s">
        <v>1296</v>
      </c>
      <c r="F2373" s="403" t="s">
        <v>1290</v>
      </c>
      <c r="G2373" s="403" t="s">
        <v>1466</v>
      </c>
      <c r="H2373" s="403" t="s">
        <v>1276</v>
      </c>
      <c r="I2373" s="403">
        <v>1</v>
      </c>
      <c r="J2373" s="403" t="s">
        <v>1289</v>
      </c>
      <c r="K2373" s="403">
        <v>1280</v>
      </c>
      <c r="L2373" s="403">
        <v>720</v>
      </c>
      <c r="M2373" s="403" t="s">
        <v>111</v>
      </c>
      <c r="N2373" s="403">
        <v>768</v>
      </c>
      <c r="O2373" s="403">
        <v>432</v>
      </c>
      <c r="P2373" t="str">
        <f t="shared" si="297"/>
        <v>50fps 720p full frame rate - SD</v>
      </c>
      <c r="Q2373">
        <f t="shared" si="298"/>
        <v>13</v>
      </c>
      <c r="R2373" t="str">
        <f t="shared" si="299"/>
        <v/>
      </c>
      <c r="S2373" t="str">
        <f t="shared" si="300"/>
        <v/>
      </c>
      <c r="T2373" s="403" t="str">
        <f t="shared" si="301"/>
        <v>NBN-7x023-BA</v>
      </c>
      <c r="U2373" s="403">
        <f t="shared" si="302"/>
        <v>1</v>
      </c>
      <c r="V2373" s="403" t="str">
        <f t="shared" si="303"/>
        <v>CPP_7</v>
      </c>
    </row>
    <row r="2374" spans="1:22">
      <c r="A2374" t="str">
        <f t="shared" si="296"/>
        <v>NBN-7x023-BA</v>
      </c>
      <c r="B2374" s="403" t="s">
        <v>1390</v>
      </c>
      <c r="C2374" s="403" t="s">
        <v>583</v>
      </c>
      <c r="D2374" s="403" t="s">
        <v>1308</v>
      </c>
      <c r="E2374" s="403" t="s">
        <v>1296</v>
      </c>
      <c r="F2374" s="403" t="s">
        <v>1290</v>
      </c>
      <c r="G2374" s="403" t="s">
        <v>1466</v>
      </c>
      <c r="H2374" s="403" t="s">
        <v>1276</v>
      </c>
      <c r="I2374" s="403">
        <v>1</v>
      </c>
      <c r="J2374" s="403" t="s">
        <v>1289</v>
      </c>
      <c r="K2374" s="403">
        <v>1280</v>
      </c>
      <c r="L2374" s="403">
        <v>720</v>
      </c>
      <c r="M2374" s="403" t="s">
        <v>1279</v>
      </c>
      <c r="N2374" s="403">
        <v>768</v>
      </c>
      <c r="O2374" s="403">
        <v>432</v>
      </c>
      <c r="P2374" t="str">
        <f t="shared" si="297"/>
        <v>50fps 720p full frame rate - SD ROI PTZ</v>
      </c>
      <c r="Q2374">
        <f t="shared" si="298"/>
        <v>13</v>
      </c>
      <c r="R2374" t="str">
        <f t="shared" si="299"/>
        <v/>
      </c>
      <c r="S2374" t="str">
        <f t="shared" si="300"/>
        <v/>
      </c>
      <c r="T2374" s="403" t="str">
        <f t="shared" si="301"/>
        <v>NBN-7x023-BA</v>
      </c>
      <c r="U2374" s="403">
        <f t="shared" si="302"/>
        <v>1</v>
      </c>
      <c r="V2374" s="403" t="str">
        <f t="shared" si="303"/>
        <v>CPP_7</v>
      </c>
    </row>
    <row r="2375" spans="1:22">
      <c r="A2375" t="str">
        <f t="shared" si="296"/>
        <v>NBN-7x023-BA</v>
      </c>
      <c r="B2375" s="403" t="s">
        <v>1390</v>
      </c>
      <c r="C2375" s="403" t="s">
        <v>583</v>
      </c>
      <c r="D2375" s="403" t="s">
        <v>1308</v>
      </c>
      <c r="E2375" s="403" t="s">
        <v>1296</v>
      </c>
      <c r="F2375" s="403" t="s">
        <v>1290</v>
      </c>
      <c r="G2375" s="403" t="s">
        <v>1466</v>
      </c>
      <c r="H2375" s="403" t="s">
        <v>1276</v>
      </c>
      <c r="I2375" s="403">
        <v>1</v>
      </c>
      <c r="J2375" s="403" t="s">
        <v>1289</v>
      </c>
      <c r="K2375" s="403">
        <v>1280</v>
      </c>
      <c r="L2375" s="403">
        <v>720</v>
      </c>
      <c r="M2375" s="403" t="s">
        <v>1298</v>
      </c>
      <c r="N2375" s="403">
        <v>768</v>
      </c>
      <c r="O2375" s="403">
        <v>432</v>
      </c>
      <c r="P2375" t="str">
        <f t="shared" si="297"/>
        <v>50fps 720p full frame rate - SD dual stream with independent ROI PTZ</v>
      </c>
      <c r="Q2375">
        <f t="shared" si="298"/>
        <v>13</v>
      </c>
      <c r="R2375" t="str">
        <f t="shared" si="299"/>
        <v/>
      </c>
      <c r="S2375" t="str">
        <f t="shared" si="300"/>
        <v/>
      </c>
      <c r="T2375" s="403" t="str">
        <f t="shared" si="301"/>
        <v>NBN-7x023-BA</v>
      </c>
      <c r="U2375" s="403">
        <f t="shared" si="302"/>
        <v>1</v>
      </c>
      <c r="V2375" s="403" t="str">
        <f t="shared" si="303"/>
        <v>CPP_7</v>
      </c>
    </row>
    <row r="2376" spans="1:22">
      <c r="A2376" t="str">
        <f t="shared" si="296"/>
        <v>NBN-7x023-BA</v>
      </c>
      <c r="B2376" s="403" t="s">
        <v>1390</v>
      </c>
      <c r="C2376" s="403" t="s">
        <v>583</v>
      </c>
      <c r="D2376" s="403" t="s">
        <v>1308</v>
      </c>
      <c r="E2376" s="403" t="s">
        <v>1296</v>
      </c>
      <c r="F2376" s="403" t="s">
        <v>1290</v>
      </c>
      <c r="G2376" s="403" t="s">
        <v>1466</v>
      </c>
      <c r="H2376" s="403" t="s">
        <v>1276</v>
      </c>
      <c r="I2376" s="403">
        <v>1</v>
      </c>
      <c r="J2376" s="403" t="s">
        <v>1289</v>
      </c>
      <c r="K2376" s="403">
        <v>1280</v>
      </c>
      <c r="L2376" s="403">
        <v>720</v>
      </c>
      <c r="M2376" s="403" t="s">
        <v>1301</v>
      </c>
      <c r="N2376" s="403">
        <v>1280</v>
      </c>
      <c r="O2376" s="403">
        <v>720</v>
      </c>
      <c r="P2376" t="str">
        <f t="shared" si="297"/>
        <v>50fps 720p full frame rate - 720p skip=4</v>
      </c>
      <c r="Q2376">
        <f t="shared" si="298"/>
        <v>13</v>
      </c>
      <c r="R2376" t="str">
        <f t="shared" si="299"/>
        <v/>
      </c>
      <c r="S2376" t="str">
        <f t="shared" si="300"/>
        <v/>
      </c>
      <c r="T2376" s="403" t="str">
        <f t="shared" si="301"/>
        <v>NBN-7x023-BA</v>
      </c>
      <c r="U2376" s="403">
        <f t="shared" si="302"/>
        <v>1</v>
      </c>
      <c r="V2376" s="403" t="str">
        <f t="shared" si="303"/>
        <v>CPP_7</v>
      </c>
    </row>
    <row r="2377" spans="1:22">
      <c r="A2377" t="str">
        <f t="shared" si="296"/>
        <v>NBN-7x023-BA</v>
      </c>
      <c r="B2377" s="403" t="s">
        <v>1390</v>
      </c>
      <c r="C2377" s="403" t="s">
        <v>583</v>
      </c>
      <c r="D2377" s="403" t="s">
        <v>1308</v>
      </c>
      <c r="E2377" s="403" t="s">
        <v>1296</v>
      </c>
      <c r="F2377" s="403" t="s">
        <v>1290</v>
      </c>
      <c r="G2377" s="403" t="s">
        <v>1466</v>
      </c>
      <c r="H2377" s="403" t="s">
        <v>1276</v>
      </c>
      <c r="I2377" s="403">
        <v>1</v>
      </c>
      <c r="J2377" s="403" t="s">
        <v>1289</v>
      </c>
      <c r="K2377" s="403">
        <v>1280</v>
      </c>
      <c r="L2377" s="403">
        <v>720</v>
      </c>
      <c r="M2377" s="403" t="s">
        <v>1280</v>
      </c>
      <c r="N2377" s="403">
        <v>1280</v>
      </c>
      <c r="O2377" s="403">
        <v>720</v>
      </c>
      <c r="P2377" t="str">
        <f t="shared" si="297"/>
        <v>50fps 720p full frame rate - copy other stream</v>
      </c>
      <c r="Q2377">
        <f t="shared" si="298"/>
        <v>13</v>
      </c>
      <c r="R2377" t="str">
        <f t="shared" si="299"/>
        <v/>
      </c>
      <c r="S2377" t="str">
        <f t="shared" si="300"/>
        <v/>
      </c>
      <c r="T2377" s="403" t="str">
        <f t="shared" si="301"/>
        <v>NBN-7x023-BA</v>
      </c>
      <c r="U2377" s="403">
        <f t="shared" si="302"/>
        <v>1</v>
      </c>
      <c r="V2377" s="403" t="str">
        <f t="shared" si="303"/>
        <v>CPP_7</v>
      </c>
    </row>
    <row r="2378" spans="1:22">
      <c r="A2378" t="str">
        <f t="shared" si="296"/>
        <v>NBN-7x023-BA</v>
      </c>
      <c r="B2378" s="403" t="s">
        <v>1390</v>
      </c>
      <c r="C2378" s="403" t="s">
        <v>583</v>
      </c>
      <c r="D2378" s="403" t="s">
        <v>1308</v>
      </c>
      <c r="E2378" s="403" t="s">
        <v>1296</v>
      </c>
      <c r="F2378" s="403" t="s">
        <v>1290</v>
      </c>
      <c r="G2378" s="403" t="s">
        <v>1466</v>
      </c>
      <c r="H2378" s="403" t="s">
        <v>1276</v>
      </c>
      <c r="I2378" s="403">
        <v>1</v>
      </c>
      <c r="J2378" s="403" t="s">
        <v>1289</v>
      </c>
      <c r="K2378" s="403">
        <v>1280</v>
      </c>
      <c r="L2378" s="403">
        <v>720</v>
      </c>
      <c r="M2378" s="403" t="s">
        <v>1302</v>
      </c>
      <c r="N2378" s="403">
        <v>400</v>
      </c>
      <c r="O2378" s="403">
        <v>720</v>
      </c>
      <c r="P2378" t="str">
        <f t="shared" si="297"/>
        <v>50fps 720p full frame rate - 400x720 upright (cropped)</v>
      </c>
      <c r="Q2378">
        <f t="shared" si="298"/>
        <v>13</v>
      </c>
      <c r="R2378" t="str">
        <f t="shared" si="299"/>
        <v/>
      </c>
      <c r="S2378" t="str">
        <f t="shared" si="300"/>
        <v/>
      </c>
      <c r="T2378" s="403" t="str">
        <f t="shared" si="301"/>
        <v>NBN-7x023-BA</v>
      </c>
      <c r="U2378" s="403">
        <f t="shared" si="302"/>
        <v>1</v>
      </c>
      <c r="V2378" s="403" t="str">
        <f t="shared" si="303"/>
        <v>CPP_7</v>
      </c>
    </row>
    <row r="2379" spans="1:22">
      <c r="A2379" t="str">
        <f t="shared" si="296"/>
        <v>NBN-7x023-BA</v>
      </c>
      <c r="B2379" s="403" t="s">
        <v>1390</v>
      </c>
      <c r="C2379" s="403" t="s">
        <v>583</v>
      </c>
      <c r="D2379" s="403" t="s">
        <v>1308</v>
      </c>
      <c r="E2379" s="403" t="s">
        <v>1296</v>
      </c>
      <c r="F2379" s="403" t="s">
        <v>1290</v>
      </c>
      <c r="G2379" s="403" t="s">
        <v>1466</v>
      </c>
      <c r="H2379" s="403" t="s">
        <v>1276</v>
      </c>
      <c r="I2379" s="403">
        <v>1</v>
      </c>
      <c r="J2379" s="403" t="s">
        <v>1289</v>
      </c>
      <c r="K2379" s="403">
        <v>1280</v>
      </c>
      <c r="L2379" s="403">
        <v>720</v>
      </c>
      <c r="M2379" s="403" t="s">
        <v>1283</v>
      </c>
      <c r="N2379" s="403">
        <v>704</v>
      </c>
      <c r="O2379" s="403">
        <v>576</v>
      </c>
      <c r="P2379" t="str">
        <f t="shared" si="297"/>
        <v>50fps 720p full frame rate - SD 4CIF resolution 4:3 format (cropped)</v>
      </c>
      <c r="Q2379">
        <f t="shared" si="298"/>
        <v>13</v>
      </c>
      <c r="R2379" t="str">
        <f t="shared" si="299"/>
        <v/>
      </c>
      <c r="S2379" t="str">
        <f t="shared" si="300"/>
        <v/>
      </c>
      <c r="T2379" s="403" t="str">
        <f t="shared" si="301"/>
        <v>NBN-7x023-BA</v>
      </c>
      <c r="U2379" s="403">
        <f t="shared" si="302"/>
        <v>1</v>
      </c>
      <c r="V2379" s="403" t="str">
        <f t="shared" si="303"/>
        <v>CPP_7</v>
      </c>
    </row>
    <row r="2380" spans="1:22">
      <c r="A2380" t="str">
        <f t="shared" si="296"/>
        <v>NBN-7x023-BA</v>
      </c>
      <c r="B2380" s="403" t="s">
        <v>1390</v>
      </c>
      <c r="C2380" s="403" t="s">
        <v>583</v>
      </c>
      <c r="D2380" s="403" t="s">
        <v>1308</v>
      </c>
      <c r="E2380" s="403" t="s">
        <v>1296</v>
      </c>
      <c r="F2380" s="403" t="s">
        <v>1290</v>
      </c>
      <c r="G2380" s="403" t="s">
        <v>1466</v>
      </c>
      <c r="H2380" s="403" t="s">
        <v>1276</v>
      </c>
      <c r="I2380" s="403">
        <v>1</v>
      </c>
      <c r="J2380" s="403" t="s">
        <v>1289</v>
      </c>
      <c r="K2380" s="403">
        <v>1280</v>
      </c>
      <c r="L2380" s="403">
        <v>720</v>
      </c>
      <c r="M2380" s="403" t="s">
        <v>1284</v>
      </c>
      <c r="N2380" s="403">
        <v>640</v>
      </c>
      <c r="O2380" s="403">
        <v>480</v>
      </c>
      <c r="P2380" t="str">
        <f t="shared" si="297"/>
        <v>50fps 720p full frame rate - SD VGA (cropped)</v>
      </c>
      <c r="Q2380">
        <f t="shared" si="298"/>
        <v>13</v>
      </c>
      <c r="R2380" t="str">
        <f t="shared" si="299"/>
        <v/>
      </c>
      <c r="S2380" t="str">
        <f t="shared" si="300"/>
        <v/>
      </c>
      <c r="T2380" s="403" t="str">
        <f t="shared" si="301"/>
        <v>NBN-7x023-BA</v>
      </c>
      <c r="U2380" s="403">
        <f t="shared" si="302"/>
        <v>1</v>
      </c>
      <c r="V2380" s="403" t="str">
        <f t="shared" si="303"/>
        <v>CPP_7</v>
      </c>
    </row>
    <row r="2381" spans="1:22">
      <c r="A2381" t="str">
        <f t="shared" si="296"/>
        <v>NBN-7x023-BA</v>
      </c>
      <c r="B2381" s="403" t="s">
        <v>1390</v>
      </c>
      <c r="C2381" s="403" t="s">
        <v>583</v>
      </c>
      <c r="D2381" s="403" t="s">
        <v>1308</v>
      </c>
      <c r="E2381" s="403" t="s">
        <v>1296</v>
      </c>
      <c r="F2381" s="403" t="s">
        <v>1290</v>
      </c>
      <c r="G2381" s="403" t="s">
        <v>1466</v>
      </c>
      <c r="H2381" s="403" t="s">
        <v>1276</v>
      </c>
      <c r="I2381" s="403">
        <v>1</v>
      </c>
      <c r="J2381" s="403" t="s">
        <v>111</v>
      </c>
      <c r="K2381" s="403">
        <v>768</v>
      </c>
      <c r="L2381" s="403">
        <v>432</v>
      </c>
      <c r="M2381" s="403" t="s">
        <v>111</v>
      </c>
      <c r="N2381" s="403">
        <v>768</v>
      </c>
      <c r="O2381" s="403">
        <v>432</v>
      </c>
      <c r="P2381" t="str">
        <f t="shared" si="297"/>
        <v>50fps SD - SD</v>
      </c>
      <c r="Q2381">
        <f t="shared" si="298"/>
        <v>13</v>
      </c>
      <c r="R2381" t="str">
        <f t="shared" si="299"/>
        <v/>
      </c>
      <c r="S2381" t="str">
        <f t="shared" si="300"/>
        <v/>
      </c>
      <c r="T2381" s="403" t="str">
        <f t="shared" si="301"/>
        <v>NBN-7x023-BA</v>
      </c>
      <c r="U2381" s="403">
        <f t="shared" si="302"/>
        <v>1</v>
      </c>
      <c r="V2381" s="403" t="str">
        <f t="shared" si="303"/>
        <v>CPP_7</v>
      </c>
    </row>
    <row r="2382" spans="1:22">
      <c r="A2382" t="str">
        <f t="shared" si="296"/>
        <v>NBN-7x023-BA</v>
      </c>
      <c r="B2382" s="403" t="s">
        <v>1390</v>
      </c>
      <c r="C2382" s="403" t="s">
        <v>583</v>
      </c>
      <c r="D2382" s="403" t="s">
        <v>1308</v>
      </c>
      <c r="E2382" s="403" t="s">
        <v>1296</v>
      </c>
      <c r="F2382" s="403" t="s">
        <v>1290</v>
      </c>
      <c r="G2382" s="403" t="s">
        <v>1467</v>
      </c>
      <c r="H2382" s="403" t="s">
        <v>1276</v>
      </c>
      <c r="I2382" s="403">
        <v>1</v>
      </c>
      <c r="J2382" s="403" t="s">
        <v>110</v>
      </c>
      <c r="K2382" s="403">
        <v>1080</v>
      </c>
      <c r="L2382" s="403">
        <v>1920</v>
      </c>
      <c r="M2382" s="403" t="s">
        <v>1280</v>
      </c>
      <c r="N2382" s="403">
        <v>1080</v>
      </c>
      <c r="O2382" s="403">
        <v>1920</v>
      </c>
      <c r="P2382" t="str">
        <f t="shared" si="297"/>
        <v>50fps 1080p - copy other stream</v>
      </c>
      <c r="Q2382">
        <f t="shared" si="298"/>
        <v>13</v>
      </c>
      <c r="R2382" t="str">
        <f t="shared" si="299"/>
        <v/>
      </c>
      <c r="S2382" t="str">
        <f t="shared" si="300"/>
        <v/>
      </c>
      <c r="T2382" s="403" t="str">
        <f t="shared" si="301"/>
        <v>NBN-7x023-BA</v>
      </c>
      <c r="U2382" s="403">
        <f t="shared" si="302"/>
        <v>1</v>
      </c>
      <c r="V2382" s="403" t="str">
        <f t="shared" si="303"/>
        <v>CPP_7</v>
      </c>
    </row>
    <row r="2383" spans="1:22">
      <c r="A2383" t="str">
        <f t="shared" si="296"/>
        <v>NBN-7x023-BA</v>
      </c>
      <c r="B2383" s="403" t="s">
        <v>1390</v>
      </c>
      <c r="C2383" s="403" t="s">
        <v>583</v>
      </c>
      <c r="D2383" s="403" t="s">
        <v>1308</v>
      </c>
      <c r="E2383" s="403" t="s">
        <v>1296</v>
      </c>
      <c r="F2383" s="403" t="s">
        <v>1290</v>
      </c>
      <c r="G2383" s="403" t="s">
        <v>1467</v>
      </c>
      <c r="H2383" s="403" t="s">
        <v>1276</v>
      </c>
      <c r="I2383" s="403">
        <v>1</v>
      </c>
      <c r="J2383" s="403" t="s">
        <v>1289</v>
      </c>
      <c r="K2383" s="403">
        <v>720</v>
      </c>
      <c r="L2383" s="403">
        <v>1280</v>
      </c>
      <c r="M2383" s="403" t="s">
        <v>1289</v>
      </c>
      <c r="N2383" s="403">
        <v>720</v>
      </c>
      <c r="O2383" s="403">
        <v>1280</v>
      </c>
      <c r="P2383" t="str">
        <f t="shared" si="297"/>
        <v>50fps 720p full frame rate - 720p full frame rate</v>
      </c>
      <c r="Q2383">
        <f t="shared" si="298"/>
        <v>13</v>
      </c>
      <c r="R2383" t="str">
        <f t="shared" si="299"/>
        <v/>
      </c>
      <c r="S2383" t="str">
        <f t="shared" si="300"/>
        <v/>
      </c>
      <c r="T2383" s="403" t="str">
        <f t="shared" si="301"/>
        <v>NBN-7x023-BA</v>
      </c>
      <c r="U2383" s="403">
        <f t="shared" si="302"/>
        <v>1</v>
      </c>
      <c r="V2383" s="403" t="str">
        <f t="shared" si="303"/>
        <v>CPP_7</v>
      </c>
    </row>
    <row r="2384" spans="1:22">
      <c r="A2384" t="str">
        <f t="shared" si="296"/>
        <v>NBN-7x023-BA</v>
      </c>
      <c r="B2384" s="403" t="s">
        <v>1390</v>
      </c>
      <c r="C2384" s="403" t="s">
        <v>583</v>
      </c>
      <c r="D2384" s="403" t="s">
        <v>1308</v>
      </c>
      <c r="E2384" s="403" t="s">
        <v>1296</v>
      </c>
      <c r="F2384" s="403" t="s">
        <v>1290</v>
      </c>
      <c r="G2384" s="403" t="s">
        <v>1467</v>
      </c>
      <c r="H2384" s="403" t="s">
        <v>1276</v>
      </c>
      <c r="I2384" s="403">
        <v>1</v>
      </c>
      <c r="J2384" s="403" t="s">
        <v>1289</v>
      </c>
      <c r="K2384" s="403">
        <v>720</v>
      </c>
      <c r="L2384" s="403">
        <v>1280</v>
      </c>
      <c r="M2384" s="403" t="s">
        <v>111</v>
      </c>
      <c r="N2384" s="403">
        <v>432</v>
      </c>
      <c r="O2384" s="403">
        <v>768</v>
      </c>
      <c r="P2384" t="str">
        <f t="shared" si="297"/>
        <v>50fps 720p full frame rate - SD</v>
      </c>
      <c r="Q2384">
        <f t="shared" si="298"/>
        <v>13</v>
      </c>
      <c r="R2384" t="str">
        <f t="shared" si="299"/>
        <v/>
      </c>
      <c r="S2384" t="str">
        <f t="shared" si="300"/>
        <v/>
      </c>
      <c r="T2384" s="403" t="str">
        <f t="shared" si="301"/>
        <v>NBN-7x023-BA</v>
      </c>
      <c r="U2384" s="403">
        <f t="shared" si="302"/>
        <v>1</v>
      </c>
      <c r="V2384" s="403" t="str">
        <f t="shared" si="303"/>
        <v>CPP_7</v>
      </c>
    </row>
    <row r="2385" spans="1:22">
      <c r="A2385" t="str">
        <f t="shared" si="296"/>
        <v>NBN-7x023-BA</v>
      </c>
      <c r="B2385" s="403" t="s">
        <v>1390</v>
      </c>
      <c r="C2385" s="403" t="s">
        <v>583</v>
      </c>
      <c r="D2385" s="403" t="s">
        <v>1308</v>
      </c>
      <c r="E2385" s="403" t="s">
        <v>1296</v>
      </c>
      <c r="F2385" s="403" t="s">
        <v>1290</v>
      </c>
      <c r="G2385" s="403" t="s">
        <v>1467</v>
      </c>
      <c r="H2385" s="403" t="s">
        <v>1276</v>
      </c>
      <c r="I2385" s="403">
        <v>1</v>
      </c>
      <c r="J2385" s="403" t="s">
        <v>1289</v>
      </c>
      <c r="K2385" s="403">
        <v>720</v>
      </c>
      <c r="L2385" s="403">
        <v>1280</v>
      </c>
      <c r="M2385" s="403" t="s">
        <v>1279</v>
      </c>
      <c r="N2385" s="403">
        <v>432</v>
      </c>
      <c r="O2385" s="403">
        <v>768</v>
      </c>
      <c r="P2385" t="str">
        <f t="shared" si="297"/>
        <v>50fps 720p full frame rate - SD ROI PTZ</v>
      </c>
      <c r="Q2385">
        <f t="shared" si="298"/>
        <v>13</v>
      </c>
      <c r="R2385" t="str">
        <f t="shared" si="299"/>
        <v/>
      </c>
      <c r="S2385" t="str">
        <f t="shared" si="300"/>
        <v/>
      </c>
      <c r="T2385" s="403" t="str">
        <f t="shared" si="301"/>
        <v>NBN-7x023-BA</v>
      </c>
      <c r="U2385" s="403">
        <f t="shared" si="302"/>
        <v>1</v>
      </c>
      <c r="V2385" s="403" t="str">
        <f t="shared" si="303"/>
        <v>CPP_7</v>
      </c>
    </row>
    <row r="2386" spans="1:22">
      <c r="A2386" t="str">
        <f t="shared" si="296"/>
        <v>NBN-7x023-BA</v>
      </c>
      <c r="B2386" s="403" t="s">
        <v>1390</v>
      </c>
      <c r="C2386" s="403" t="s">
        <v>583</v>
      </c>
      <c r="D2386" s="403" t="s">
        <v>1308</v>
      </c>
      <c r="E2386" s="403" t="s">
        <v>1296</v>
      </c>
      <c r="F2386" s="403" t="s">
        <v>1290</v>
      </c>
      <c r="G2386" s="403" t="s">
        <v>1467</v>
      </c>
      <c r="H2386" s="403" t="s">
        <v>1276</v>
      </c>
      <c r="I2386" s="403">
        <v>1</v>
      </c>
      <c r="J2386" s="403" t="s">
        <v>1289</v>
      </c>
      <c r="K2386" s="403">
        <v>720</v>
      </c>
      <c r="L2386" s="403">
        <v>1280</v>
      </c>
      <c r="M2386" s="403" t="s">
        <v>1298</v>
      </c>
      <c r="N2386" s="403">
        <v>432</v>
      </c>
      <c r="O2386" s="403">
        <v>768</v>
      </c>
      <c r="P2386" t="str">
        <f t="shared" si="297"/>
        <v>50fps 720p full frame rate - SD dual stream with independent ROI PTZ</v>
      </c>
      <c r="Q2386">
        <f t="shared" si="298"/>
        <v>13</v>
      </c>
      <c r="R2386" t="str">
        <f t="shared" si="299"/>
        <v/>
      </c>
      <c r="S2386" t="str">
        <f t="shared" si="300"/>
        <v/>
      </c>
      <c r="T2386" s="403" t="str">
        <f t="shared" si="301"/>
        <v>NBN-7x023-BA</v>
      </c>
      <c r="U2386" s="403">
        <f t="shared" si="302"/>
        <v>1</v>
      </c>
      <c r="V2386" s="403" t="str">
        <f t="shared" si="303"/>
        <v>CPP_7</v>
      </c>
    </row>
    <row r="2387" spans="1:22">
      <c r="A2387" t="str">
        <f t="shared" si="296"/>
        <v>NBN-7x023-BA</v>
      </c>
      <c r="B2387" s="403" t="s">
        <v>1390</v>
      </c>
      <c r="C2387" s="403" t="s">
        <v>583</v>
      </c>
      <c r="D2387" s="403" t="s">
        <v>1308</v>
      </c>
      <c r="E2387" s="403" t="s">
        <v>1296</v>
      </c>
      <c r="F2387" s="403" t="s">
        <v>1290</v>
      </c>
      <c r="G2387" s="403" t="s">
        <v>1467</v>
      </c>
      <c r="H2387" s="403" t="s">
        <v>1276</v>
      </c>
      <c r="I2387" s="403">
        <v>1</v>
      </c>
      <c r="J2387" s="403" t="s">
        <v>1289</v>
      </c>
      <c r="K2387" s="403">
        <v>720</v>
      </c>
      <c r="L2387" s="403">
        <v>1280</v>
      </c>
      <c r="M2387" s="403" t="s">
        <v>1301</v>
      </c>
      <c r="N2387" s="403">
        <v>720</v>
      </c>
      <c r="O2387" s="403">
        <v>1280</v>
      </c>
      <c r="P2387" t="str">
        <f t="shared" si="297"/>
        <v>50fps 720p full frame rate - 720p skip=4</v>
      </c>
      <c r="Q2387">
        <f t="shared" si="298"/>
        <v>13</v>
      </c>
      <c r="R2387" t="str">
        <f t="shared" si="299"/>
        <v/>
      </c>
      <c r="S2387" t="str">
        <f t="shared" si="300"/>
        <v/>
      </c>
      <c r="T2387" s="403" t="str">
        <f t="shared" si="301"/>
        <v>NBN-7x023-BA</v>
      </c>
      <c r="U2387" s="403">
        <f t="shared" si="302"/>
        <v>1</v>
      </c>
      <c r="V2387" s="403" t="str">
        <f t="shared" si="303"/>
        <v>CPP_7</v>
      </c>
    </row>
    <row r="2388" spans="1:22">
      <c r="A2388" t="str">
        <f t="shared" si="296"/>
        <v>NBN-7x023-BA</v>
      </c>
      <c r="B2388" s="403" t="s">
        <v>1390</v>
      </c>
      <c r="C2388" s="403" t="s">
        <v>583</v>
      </c>
      <c r="D2388" s="403" t="s">
        <v>1308</v>
      </c>
      <c r="E2388" s="403" t="s">
        <v>1296</v>
      </c>
      <c r="F2388" s="403" t="s">
        <v>1290</v>
      </c>
      <c r="G2388" s="403" t="s">
        <v>1467</v>
      </c>
      <c r="H2388" s="403" t="s">
        <v>1276</v>
      </c>
      <c r="I2388" s="403">
        <v>1</v>
      </c>
      <c r="J2388" s="403" t="s">
        <v>1289</v>
      </c>
      <c r="K2388" s="403">
        <v>720</v>
      </c>
      <c r="L2388" s="403">
        <v>1280</v>
      </c>
      <c r="M2388" s="403" t="s">
        <v>1280</v>
      </c>
      <c r="N2388" s="403">
        <v>720</v>
      </c>
      <c r="O2388" s="403">
        <v>1280</v>
      </c>
      <c r="P2388" t="str">
        <f t="shared" si="297"/>
        <v>50fps 720p full frame rate - copy other stream</v>
      </c>
      <c r="Q2388">
        <f t="shared" si="298"/>
        <v>13</v>
      </c>
      <c r="R2388" t="str">
        <f t="shared" si="299"/>
        <v/>
      </c>
      <c r="S2388" t="str">
        <f t="shared" si="300"/>
        <v/>
      </c>
      <c r="T2388" s="403" t="str">
        <f t="shared" si="301"/>
        <v>NBN-7x023-BA</v>
      </c>
      <c r="U2388" s="403">
        <f t="shared" si="302"/>
        <v>1</v>
      </c>
      <c r="V2388" s="403" t="str">
        <f t="shared" si="303"/>
        <v>CPP_7</v>
      </c>
    </row>
    <row r="2389" spans="1:22">
      <c r="A2389" t="str">
        <f t="shared" si="296"/>
        <v>NBN-7x023-BA</v>
      </c>
      <c r="B2389" s="403" t="s">
        <v>1390</v>
      </c>
      <c r="C2389" s="403" t="s">
        <v>583</v>
      </c>
      <c r="D2389" s="403" t="s">
        <v>1308</v>
      </c>
      <c r="E2389" s="403" t="s">
        <v>1296</v>
      </c>
      <c r="F2389" s="403" t="s">
        <v>1290</v>
      </c>
      <c r="G2389" s="403" t="s">
        <v>1467</v>
      </c>
      <c r="H2389" s="403" t="s">
        <v>1276</v>
      </c>
      <c r="I2389" s="403">
        <v>1</v>
      </c>
      <c r="J2389" s="403" t="s">
        <v>1289</v>
      </c>
      <c r="K2389" s="403">
        <v>720</v>
      </c>
      <c r="L2389" s="403">
        <v>1280</v>
      </c>
      <c r="M2389" s="403" t="s">
        <v>1302</v>
      </c>
      <c r="N2389" s="403">
        <v>720</v>
      </c>
      <c r="O2389" s="403">
        <v>400</v>
      </c>
      <c r="P2389" t="str">
        <f t="shared" si="297"/>
        <v>50fps 720p full frame rate - 400x720 upright (cropped)</v>
      </c>
      <c r="Q2389">
        <f t="shared" si="298"/>
        <v>13</v>
      </c>
      <c r="R2389" t="str">
        <f t="shared" si="299"/>
        <v/>
      </c>
      <c r="S2389" t="str">
        <f t="shared" si="300"/>
        <v/>
      </c>
      <c r="T2389" s="403" t="str">
        <f t="shared" si="301"/>
        <v>NBN-7x023-BA</v>
      </c>
      <c r="U2389" s="403">
        <f t="shared" si="302"/>
        <v>1</v>
      </c>
      <c r="V2389" s="403" t="str">
        <f t="shared" si="303"/>
        <v>CPP_7</v>
      </c>
    </row>
    <row r="2390" spans="1:22">
      <c r="A2390" t="str">
        <f t="shared" si="296"/>
        <v>NBN-7x023-BA</v>
      </c>
      <c r="B2390" s="403" t="s">
        <v>1390</v>
      </c>
      <c r="C2390" s="403" t="s">
        <v>583</v>
      </c>
      <c r="D2390" s="403" t="s">
        <v>1308</v>
      </c>
      <c r="E2390" s="403" t="s">
        <v>1296</v>
      </c>
      <c r="F2390" s="403" t="s">
        <v>1290</v>
      </c>
      <c r="G2390" s="403" t="s">
        <v>1467</v>
      </c>
      <c r="H2390" s="403" t="s">
        <v>1276</v>
      </c>
      <c r="I2390" s="403">
        <v>1</v>
      </c>
      <c r="J2390" s="403" t="s">
        <v>1289</v>
      </c>
      <c r="K2390" s="403">
        <v>720</v>
      </c>
      <c r="L2390" s="403">
        <v>1280</v>
      </c>
      <c r="M2390" s="403" t="s">
        <v>1283</v>
      </c>
      <c r="N2390" s="403">
        <v>576</v>
      </c>
      <c r="O2390" s="403">
        <v>704</v>
      </c>
      <c r="P2390" t="str">
        <f t="shared" si="297"/>
        <v>50fps 720p full frame rate - SD 4CIF resolution 4:3 format (cropped)</v>
      </c>
      <c r="Q2390">
        <f t="shared" si="298"/>
        <v>13</v>
      </c>
      <c r="R2390" t="str">
        <f t="shared" si="299"/>
        <v/>
      </c>
      <c r="S2390" t="str">
        <f t="shared" si="300"/>
        <v/>
      </c>
      <c r="T2390" s="403" t="str">
        <f t="shared" si="301"/>
        <v>NBN-7x023-BA</v>
      </c>
      <c r="U2390" s="403">
        <f t="shared" si="302"/>
        <v>1</v>
      </c>
      <c r="V2390" s="403" t="str">
        <f t="shared" si="303"/>
        <v>CPP_7</v>
      </c>
    </row>
    <row r="2391" spans="1:22">
      <c r="A2391" t="str">
        <f t="shared" si="296"/>
        <v>NBN-7x023-BA</v>
      </c>
      <c r="B2391" s="403" t="s">
        <v>1390</v>
      </c>
      <c r="C2391" s="403" t="s">
        <v>583</v>
      </c>
      <c r="D2391" s="403" t="s">
        <v>1308</v>
      </c>
      <c r="E2391" s="403" t="s">
        <v>1296</v>
      </c>
      <c r="F2391" s="403" t="s">
        <v>1290</v>
      </c>
      <c r="G2391" s="403" t="s">
        <v>1467</v>
      </c>
      <c r="H2391" s="403" t="s">
        <v>1276</v>
      </c>
      <c r="I2391" s="403">
        <v>1</v>
      </c>
      <c r="J2391" s="403" t="s">
        <v>1289</v>
      </c>
      <c r="K2391" s="403">
        <v>720</v>
      </c>
      <c r="L2391" s="403">
        <v>1280</v>
      </c>
      <c r="M2391" s="403" t="s">
        <v>1284</v>
      </c>
      <c r="N2391" s="403">
        <v>480</v>
      </c>
      <c r="O2391" s="403">
        <v>640</v>
      </c>
      <c r="P2391" t="str">
        <f t="shared" si="297"/>
        <v>50fps 720p full frame rate - SD VGA (cropped)</v>
      </c>
      <c r="Q2391">
        <f t="shared" si="298"/>
        <v>13</v>
      </c>
      <c r="R2391" t="str">
        <f t="shared" si="299"/>
        <v/>
      </c>
      <c r="S2391" t="str">
        <f t="shared" si="300"/>
        <v/>
      </c>
      <c r="T2391" s="403" t="str">
        <f t="shared" si="301"/>
        <v>NBN-7x023-BA</v>
      </c>
      <c r="U2391" s="403">
        <f t="shared" si="302"/>
        <v>1</v>
      </c>
      <c r="V2391" s="403" t="str">
        <f t="shared" si="303"/>
        <v>CPP_7</v>
      </c>
    </row>
    <row r="2392" spans="1:22">
      <c r="A2392" t="str">
        <f t="shared" si="296"/>
        <v>NBN-7x023-BA</v>
      </c>
      <c r="B2392" s="403" t="s">
        <v>1390</v>
      </c>
      <c r="C2392" s="403" t="s">
        <v>583</v>
      </c>
      <c r="D2392" s="403" t="s">
        <v>1308</v>
      </c>
      <c r="E2392" s="403" t="s">
        <v>1296</v>
      </c>
      <c r="F2392" s="403" t="s">
        <v>1290</v>
      </c>
      <c r="G2392" s="403" t="s">
        <v>1467</v>
      </c>
      <c r="H2392" s="403" t="s">
        <v>1276</v>
      </c>
      <c r="I2392" s="403">
        <v>1</v>
      </c>
      <c r="J2392" s="403" t="s">
        <v>111</v>
      </c>
      <c r="K2392" s="403">
        <v>432</v>
      </c>
      <c r="L2392" s="403">
        <v>768</v>
      </c>
      <c r="M2392" s="403" t="s">
        <v>111</v>
      </c>
      <c r="N2392" s="403">
        <v>432</v>
      </c>
      <c r="O2392" s="403">
        <v>768</v>
      </c>
      <c r="P2392" t="str">
        <f t="shared" si="297"/>
        <v>50fps SD - SD</v>
      </c>
      <c r="Q2392">
        <f t="shared" si="298"/>
        <v>13</v>
      </c>
      <c r="R2392" t="str">
        <f t="shared" si="299"/>
        <v/>
      </c>
      <c r="S2392" t="str">
        <f t="shared" si="300"/>
        <v/>
      </c>
      <c r="T2392" s="403" t="str">
        <f t="shared" si="301"/>
        <v>NBN-7x023-BA</v>
      </c>
      <c r="U2392" s="403">
        <f t="shared" si="302"/>
        <v>1</v>
      </c>
      <c r="V2392" s="403" t="str">
        <f t="shared" si="303"/>
        <v>CPP_7</v>
      </c>
    </row>
    <row r="2393" spans="1:22">
      <c r="A2393" t="str">
        <f t="shared" si="296"/>
        <v>NBN-7x023-BA</v>
      </c>
      <c r="B2393" s="403" t="s">
        <v>1390</v>
      </c>
      <c r="C2393" s="403" t="s">
        <v>583</v>
      </c>
      <c r="D2393" s="403" t="s">
        <v>1308</v>
      </c>
      <c r="E2393" s="403" t="s">
        <v>1304</v>
      </c>
      <c r="F2393" s="403" t="s">
        <v>1286</v>
      </c>
      <c r="G2393" s="403" t="s">
        <v>1466</v>
      </c>
      <c r="H2393" s="403" t="s">
        <v>1276</v>
      </c>
      <c r="I2393" s="403">
        <v>1</v>
      </c>
      <c r="J2393" s="403" t="s">
        <v>110</v>
      </c>
      <c r="K2393" s="403">
        <v>1920</v>
      </c>
      <c r="L2393" s="403">
        <v>1080</v>
      </c>
      <c r="M2393" s="403" t="s">
        <v>111</v>
      </c>
      <c r="N2393" s="403">
        <v>768</v>
      </c>
      <c r="O2393" s="403">
        <v>432</v>
      </c>
      <c r="P2393" t="str">
        <f t="shared" si="297"/>
        <v>30fps 1080p - SD</v>
      </c>
      <c r="Q2393">
        <f t="shared" si="298"/>
        <v>13</v>
      </c>
      <c r="R2393" t="str">
        <f t="shared" si="299"/>
        <v/>
      </c>
      <c r="S2393" t="str">
        <f t="shared" si="300"/>
        <v/>
      </c>
      <c r="T2393" s="403" t="str">
        <f t="shared" si="301"/>
        <v>NBN-7x023-BA</v>
      </c>
      <c r="U2393" s="403">
        <f t="shared" si="302"/>
        <v>1</v>
      </c>
      <c r="V2393" s="403" t="str">
        <f t="shared" si="303"/>
        <v>CPP_7</v>
      </c>
    </row>
    <row r="2394" spans="1:22">
      <c r="A2394" t="str">
        <f t="shared" si="296"/>
        <v>NBN-7x023-BA</v>
      </c>
      <c r="B2394" s="403" t="s">
        <v>1390</v>
      </c>
      <c r="C2394" s="403" t="s">
        <v>583</v>
      </c>
      <c r="D2394" s="403" t="s">
        <v>1308</v>
      </c>
      <c r="E2394" s="403" t="s">
        <v>1304</v>
      </c>
      <c r="F2394" s="403" t="s">
        <v>1286</v>
      </c>
      <c r="G2394" s="403" t="s">
        <v>1466</v>
      </c>
      <c r="H2394" s="403" t="s">
        <v>1276</v>
      </c>
      <c r="I2394" s="403">
        <v>1</v>
      </c>
      <c r="J2394" s="403" t="s">
        <v>110</v>
      </c>
      <c r="K2394" s="403">
        <v>1920</v>
      </c>
      <c r="L2394" s="403">
        <v>1080</v>
      </c>
      <c r="M2394" s="403" t="s">
        <v>110</v>
      </c>
      <c r="N2394" s="403">
        <v>1920</v>
      </c>
      <c r="O2394" s="403">
        <v>1080</v>
      </c>
      <c r="P2394" t="str">
        <f t="shared" si="297"/>
        <v>30fps 1080p - 1080p</v>
      </c>
      <c r="Q2394">
        <f t="shared" si="298"/>
        <v>13</v>
      </c>
      <c r="R2394" t="str">
        <f t="shared" si="299"/>
        <v/>
      </c>
      <c r="S2394" t="str">
        <f t="shared" si="300"/>
        <v/>
      </c>
      <c r="T2394" s="403" t="str">
        <f t="shared" si="301"/>
        <v>NBN-7x023-BA</v>
      </c>
      <c r="U2394" s="403">
        <f t="shared" si="302"/>
        <v>1</v>
      </c>
      <c r="V2394" s="403" t="str">
        <f t="shared" si="303"/>
        <v>CPP_7</v>
      </c>
    </row>
    <row r="2395" spans="1:22">
      <c r="A2395" t="str">
        <f t="shared" si="296"/>
        <v>NBN-7x023-BA</v>
      </c>
      <c r="B2395" s="403" t="s">
        <v>1390</v>
      </c>
      <c r="C2395" s="403" t="s">
        <v>583</v>
      </c>
      <c r="D2395" s="403" t="s">
        <v>1308</v>
      </c>
      <c r="E2395" s="403" t="s">
        <v>1304</v>
      </c>
      <c r="F2395" s="403" t="s">
        <v>1286</v>
      </c>
      <c r="G2395" s="403" t="s">
        <v>1466</v>
      </c>
      <c r="H2395" s="403" t="s">
        <v>1276</v>
      </c>
      <c r="I2395" s="403">
        <v>1</v>
      </c>
      <c r="J2395" s="403" t="s">
        <v>110</v>
      </c>
      <c r="K2395" s="403">
        <v>1920</v>
      </c>
      <c r="L2395" s="403">
        <v>1080</v>
      </c>
      <c r="M2395" s="403" t="s">
        <v>109</v>
      </c>
      <c r="N2395" s="403">
        <v>1280</v>
      </c>
      <c r="O2395" s="403">
        <v>720</v>
      </c>
      <c r="P2395" t="str">
        <f t="shared" si="297"/>
        <v>30fps 1080p - 720p</v>
      </c>
      <c r="Q2395">
        <f t="shared" si="298"/>
        <v>13</v>
      </c>
      <c r="R2395" t="str">
        <f t="shared" si="299"/>
        <v/>
      </c>
      <c r="S2395" t="str">
        <f t="shared" si="300"/>
        <v/>
      </c>
      <c r="T2395" s="403" t="str">
        <f t="shared" si="301"/>
        <v>NBN-7x023-BA</v>
      </c>
      <c r="U2395" s="403">
        <f t="shared" si="302"/>
        <v>1</v>
      </c>
      <c r="V2395" s="403" t="str">
        <f t="shared" si="303"/>
        <v>CPP_7</v>
      </c>
    </row>
    <row r="2396" spans="1:22">
      <c r="A2396" t="str">
        <f t="shared" si="296"/>
        <v>NBN-7x023-BA</v>
      </c>
      <c r="B2396" s="403" t="s">
        <v>1390</v>
      </c>
      <c r="C2396" s="403" t="s">
        <v>583</v>
      </c>
      <c r="D2396" s="403" t="s">
        <v>1308</v>
      </c>
      <c r="E2396" s="403" t="s">
        <v>1304</v>
      </c>
      <c r="F2396" s="403" t="s">
        <v>1286</v>
      </c>
      <c r="G2396" s="403" t="s">
        <v>1466</v>
      </c>
      <c r="H2396" s="403" t="s">
        <v>1276</v>
      </c>
      <c r="I2396" s="403">
        <v>1</v>
      </c>
      <c r="J2396" s="403" t="s">
        <v>110</v>
      </c>
      <c r="K2396" s="403">
        <v>1920</v>
      </c>
      <c r="L2396" s="403">
        <v>1080</v>
      </c>
      <c r="M2396" s="403" t="s">
        <v>1285</v>
      </c>
      <c r="N2396" s="403">
        <v>1280</v>
      </c>
      <c r="O2396" s="403">
        <v>1024</v>
      </c>
      <c r="P2396" t="str">
        <f t="shared" si="297"/>
        <v>30fps 1080p - 1280x1024 5:4 (cropped)</v>
      </c>
      <c r="Q2396">
        <f t="shared" si="298"/>
        <v>13</v>
      </c>
      <c r="R2396" t="str">
        <f t="shared" si="299"/>
        <v/>
      </c>
      <c r="S2396" t="str">
        <f t="shared" si="300"/>
        <v/>
      </c>
      <c r="T2396" s="403" t="str">
        <f t="shared" si="301"/>
        <v>NBN-7x023-BA</v>
      </c>
      <c r="U2396" s="403">
        <f t="shared" si="302"/>
        <v>1</v>
      </c>
      <c r="V2396" s="403" t="str">
        <f t="shared" si="303"/>
        <v>CPP_7</v>
      </c>
    </row>
    <row r="2397" spans="1:22">
      <c r="A2397" t="str">
        <f t="shared" si="296"/>
        <v>NBN-7x023-BA</v>
      </c>
      <c r="B2397" s="403" t="s">
        <v>1390</v>
      </c>
      <c r="C2397" s="403" t="s">
        <v>583</v>
      </c>
      <c r="D2397" s="403" t="s">
        <v>1308</v>
      </c>
      <c r="E2397" s="403" t="s">
        <v>1304</v>
      </c>
      <c r="F2397" s="403" t="s">
        <v>1286</v>
      </c>
      <c r="G2397" s="403" t="s">
        <v>1466</v>
      </c>
      <c r="H2397" s="403" t="s">
        <v>1276</v>
      </c>
      <c r="I2397" s="403">
        <v>1</v>
      </c>
      <c r="J2397" s="403" t="s">
        <v>110</v>
      </c>
      <c r="K2397" s="403">
        <v>1920</v>
      </c>
      <c r="L2397" s="403">
        <v>1080</v>
      </c>
      <c r="M2397" s="403" t="s">
        <v>1309</v>
      </c>
      <c r="N2397" s="403">
        <v>1280</v>
      </c>
      <c r="O2397" s="403">
        <v>960</v>
      </c>
      <c r="P2397" t="str">
        <f t="shared" si="297"/>
        <v>30fps 1080p - 1280x960 4:3 (cropped)</v>
      </c>
      <c r="Q2397">
        <f t="shared" si="298"/>
        <v>13</v>
      </c>
      <c r="R2397" t="str">
        <f t="shared" si="299"/>
        <v/>
      </c>
      <c r="S2397" t="str">
        <f t="shared" si="300"/>
        <v/>
      </c>
      <c r="T2397" s="403" t="str">
        <f t="shared" si="301"/>
        <v>NBN-7x023-BA</v>
      </c>
      <c r="U2397" s="403">
        <f t="shared" si="302"/>
        <v>1</v>
      </c>
      <c r="V2397" s="403" t="str">
        <f t="shared" si="303"/>
        <v>CPP_7</v>
      </c>
    </row>
    <row r="2398" spans="1:22">
      <c r="A2398" t="str">
        <f t="shared" si="296"/>
        <v>NBN-7x023-BA</v>
      </c>
      <c r="B2398" s="403" t="s">
        <v>1390</v>
      </c>
      <c r="C2398" s="403" t="s">
        <v>583</v>
      </c>
      <c r="D2398" s="403" t="s">
        <v>1308</v>
      </c>
      <c r="E2398" s="403" t="s">
        <v>1304</v>
      </c>
      <c r="F2398" s="403" t="s">
        <v>1286</v>
      </c>
      <c r="G2398" s="403" t="s">
        <v>1466</v>
      </c>
      <c r="H2398" s="403" t="s">
        <v>1276</v>
      </c>
      <c r="I2398" s="403">
        <v>1</v>
      </c>
      <c r="J2398" s="403" t="s">
        <v>110</v>
      </c>
      <c r="K2398" s="403">
        <v>1920</v>
      </c>
      <c r="L2398" s="403">
        <v>1080</v>
      </c>
      <c r="M2398" s="403" t="s">
        <v>1279</v>
      </c>
      <c r="N2398" s="403">
        <v>768</v>
      </c>
      <c r="O2398" s="403">
        <v>432</v>
      </c>
      <c r="P2398" t="str">
        <f t="shared" si="297"/>
        <v>30fps 1080p - SD ROI PTZ</v>
      </c>
      <c r="Q2398">
        <f t="shared" si="298"/>
        <v>13</v>
      </c>
      <c r="R2398" t="str">
        <f t="shared" si="299"/>
        <v/>
      </c>
      <c r="S2398" t="str">
        <f t="shared" si="300"/>
        <v/>
      </c>
      <c r="T2398" s="403" t="str">
        <f t="shared" si="301"/>
        <v>NBN-7x023-BA</v>
      </c>
      <c r="U2398" s="403">
        <f t="shared" si="302"/>
        <v>1</v>
      </c>
      <c r="V2398" s="403" t="str">
        <f t="shared" si="303"/>
        <v>CPP_7</v>
      </c>
    </row>
    <row r="2399" spans="1:22">
      <c r="A2399" t="str">
        <f t="shared" si="296"/>
        <v>NBN-7x023-BA</v>
      </c>
      <c r="B2399" s="403" t="s">
        <v>1390</v>
      </c>
      <c r="C2399" s="403" t="s">
        <v>583</v>
      </c>
      <c r="D2399" s="403" t="s">
        <v>1308</v>
      </c>
      <c r="E2399" s="403" t="s">
        <v>1304</v>
      </c>
      <c r="F2399" s="403" t="s">
        <v>1286</v>
      </c>
      <c r="G2399" s="403" t="s">
        <v>1466</v>
      </c>
      <c r="H2399" s="403" t="s">
        <v>1276</v>
      </c>
      <c r="I2399" s="403">
        <v>1</v>
      </c>
      <c r="J2399" s="403" t="s">
        <v>110</v>
      </c>
      <c r="K2399" s="403">
        <v>1920</v>
      </c>
      <c r="L2399" s="403">
        <v>1080</v>
      </c>
      <c r="M2399" s="403" t="s">
        <v>1298</v>
      </c>
      <c r="N2399" s="403">
        <v>768</v>
      </c>
      <c r="O2399" s="403">
        <v>432</v>
      </c>
      <c r="P2399" t="str">
        <f t="shared" si="297"/>
        <v>30fps 1080p - SD dual stream with independent ROI PTZ</v>
      </c>
      <c r="Q2399">
        <f t="shared" si="298"/>
        <v>13</v>
      </c>
      <c r="R2399" t="str">
        <f t="shared" si="299"/>
        <v/>
      </c>
      <c r="S2399" t="str">
        <f t="shared" si="300"/>
        <v/>
      </c>
      <c r="T2399" s="403" t="str">
        <f t="shared" si="301"/>
        <v>NBN-7x023-BA</v>
      </c>
      <c r="U2399" s="403">
        <f t="shared" si="302"/>
        <v>1</v>
      </c>
      <c r="V2399" s="403" t="str">
        <f t="shared" si="303"/>
        <v>CPP_7</v>
      </c>
    </row>
    <row r="2400" spans="1:22">
      <c r="A2400" t="str">
        <f t="shared" si="296"/>
        <v>NBN-7x023-BA</v>
      </c>
      <c r="B2400" s="403" t="s">
        <v>1390</v>
      </c>
      <c r="C2400" s="403" t="s">
        <v>583</v>
      </c>
      <c r="D2400" s="403" t="s">
        <v>1308</v>
      </c>
      <c r="E2400" s="403" t="s">
        <v>1304</v>
      </c>
      <c r="F2400" s="403" t="s">
        <v>1286</v>
      </c>
      <c r="G2400" s="403" t="s">
        <v>1466</v>
      </c>
      <c r="H2400" s="403" t="s">
        <v>1276</v>
      </c>
      <c r="I2400" s="403">
        <v>1</v>
      </c>
      <c r="J2400" s="403" t="s">
        <v>110</v>
      </c>
      <c r="K2400" s="403">
        <v>1920</v>
      </c>
      <c r="L2400" s="403">
        <v>1080</v>
      </c>
      <c r="M2400" s="403" t="s">
        <v>1283</v>
      </c>
      <c r="N2400" s="403">
        <v>704</v>
      </c>
      <c r="O2400" s="403">
        <v>480</v>
      </c>
      <c r="P2400" t="str">
        <f t="shared" si="297"/>
        <v>30fps 1080p - SD 4CIF resolution 4:3 format (cropped)</v>
      </c>
      <c r="Q2400">
        <f t="shared" si="298"/>
        <v>13</v>
      </c>
      <c r="R2400" t="str">
        <f t="shared" si="299"/>
        <v/>
      </c>
      <c r="S2400" t="str">
        <f t="shared" si="300"/>
        <v/>
      </c>
      <c r="T2400" s="403" t="str">
        <f t="shared" si="301"/>
        <v>NBN-7x023-BA</v>
      </c>
      <c r="U2400" s="403">
        <f t="shared" si="302"/>
        <v>1</v>
      </c>
      <c r="V2400" s="403" t="str">
        <f t="shared" si="303"/>
        <v>CPP_7</v>
      </c>
    </row>
    <row r="2401" spans="1:22">
      <c r="A2401" t="str">
        <f t="shared" si="296"/>
        <v>NBN-7x023-BA</v>
      </c>
      <c r="B2401" s="403" t="s">
        <v>1390</v>
      </c>
      <c r="C2401" s="403" t="s">
        <v>583</v>
      </c>
      <c r="D2401" s="403" t="s">
        <v>1308</v>
      </c>
      <c r="E2401" s="403" t="s">
        <v>1304</v>
      </c>
      <c r="F2401" s="403" t="s">
        <v>1286</v>
      </c>
      <c r="G2401" s="403" t="s">
        <v>1466</v>
      </c>
      <c r="H2401" s="403" t="s">
        <v>1276</v>
      </c>
      <c r="I2401" s="403">
        <v>1</v>
      </c>
      <c r="J2401" s="403" t="s">
        <v>110</v>
      </c>
      <c r="K2401" s="403">
        <v>1920</v>
      </c>
      <c r="L2401" s="403">
        <v>1080</v>
      </c>
      <c r="M2401" s="403" t="s">
        <v>1284</v>
      </c>
      <c r="N2401" s="403">
        <v>640</v>
      </c>
      <c r="O2401" s="403">
        <v>480</v>
      </c>
      <c r="P2401" t="str">
        <f t="shared" si="297"/>
        <v>30fps 1080p - SD VGA (cropped)</v>
      </c>
      <c r="Q2401">
        <f t="shared" si="298"/>
        <v>13</v>
      </c>
      <c r="R2401" t="str">
        <f t="shared" si="299"/>
        <v/>
      </c>
      <c r="S2401" t="str">
        <f t="shared" si="300"/>
        <v/>
      </c>
      <c r="T2401" s="403" t="str">
        <f t="shared" si="301"/>
        <v>NBN-7x023-BA</v>
      </c>
      <c r="U2401" s="403">
        <f t="shared" si="302"/>
        <v>1</v>
      </c>
      <c r="V2401" s="403" t="str">
        <f t="shared" si="303"/>
        <v>CPP_7</v>
      </c>
    </row>
    <row r="2402" spans="1:22">
      <c r="A2402" t="str">
        <f t="shared" si="296"/>
        <v>NBN-7x023-BA</v>
      </c>
      <c r="B2402" s="403" t="s">
        <v>1390</v>
      </c>
      <c r="C2402" s="403" t="s">
        <v>583</v>
      </c>
      <c r="D2402" s="403" t="s">
        <v>1308</v>
      </c>
      <c r="E2402" s="403" t="s">
        <v>1304</v>
      </c>
      <c r="F2402" s="403" t="s">
        <v>1286</v>
      </c>
      <c r="G2402" s="403" t="s">
        <v>1466</v>
      </c>
      <c r="H2402" s="403" t="s">
        <v>1276</v>
      </c>
      <c r="I2402" s="403">
        <v>1</v>
      </c>
      <c r="J2402" s="403" t="s">
        <v>109</v>
      </c>
      <c r="K2402" s="403">
        <v>1280</v>
      </c>
      <c r="L2402" s="403">
        <v>720</v>
      </c>
      <c r="M2402" s="403" t="s">
        <v>111</v>
      </c>
      <c r="N2402" s="403">
        <v>768</v>
      </c>
      <c r="O2402" s="403">
        <v>432</v>
      </c>
      <c r="P2402" t="str">
        <f t="shared" si="297"/>
        <v>30fps 720p - SD</v>
      </c>
      <c r="Q2402">
        <f t="shared" si="298"/>
        <v>13</v>
      </c>
      <c r="R2402" t="str">
        <f t="shared" si="299"/>
        <v/>
      </c>
      <c r="S2402" t="str">
        <f t="shared" si="300"/>
        <v/>
      </c>
      <c r="T2402" s="403" t="str">
        <f t="shared" si="301"/>
        <v>NBN-7x023-BA</v>
      </c>
      <c r="U2402" s="403">
        <f t="shared" si="302"/>
        <v>1</v>
      </c>
      <c r="V2402" s="403" t="str">
        <f t="shared" si="303"/>
        <v>CPP_7</v>
      </c>
    </row>
    <row r="2403" spans="1:22">
      <c r="A2403" t="str">
        <f t="shared" si="296"/>
        <v>NBN-7x023-BA</v>
      </c>
      <c r="B2403" s="403" t="s">
        <v>1390</v>
      </c>
      <c r="C2403" s="403" t="s">
        <v>583</v>
      </c>
      <c r="D2403" s="403" t="s">
        <v>1308</v>
      </c>
      <c r="E2403" s="403" t="s">
        <v>1304</v>
      </c>
      <c r="F2403" s="403" t="s">
        <v>1286</v>
      </c>
      <c r="G2403" s="403" t="s">
        <v>1466</v>
      </c>
      <c r="H2403" s="403" t="s">
        <v>1276</v>
      </c>
      <c r="I2403" s="403">
        <v>1</v>
      </c>
      <c r="J2403" s="403" t="s">
        <v>109</v>
      </c>
      <c r="K2403" s="403">
        <v>1280</v>
      </c>
      <c r="L2403" s="403">
        <v>720</v>
      </c>
      <c r="M2403" s="403" t="s">
        <v>109</v>
      </c>
      <c r="N2403" s="403">
        <v>1280</v>
      </c>
      <c r="O2403" s="403">
        <v>720</v>
      </c>
      <c r="P2403" t="str">
        <f t="shared" si="297"/>
        <v>30fps 720p - 720p</v>
      </c>
      <c r="Q2403">
        <f t="shared" si="298"/>
        <v>13</v>
      </c>
      <c r="R2403" t="str">
        <f t="shared" si="299"/>
        <v/>
      </c>
      <c r="S2403" t="str">
        <f t="shared" si="300"/>
        <v/>
      </c>
      <c r="T2403" s="403" t="str">
        <f t="shared" si="301"/>
        <v>NBN-7x023-BA</v>
      </c>
      <c r="U2403" s="403">
        <f t="shared" si="302"/>
        <v>1</v>
      </c>
      <c r="V2403" s="403" t="str">
        <f t="shared" si="303"/>
        <v>CPP_7</v>
      </c>
    </row>
    <row r="2404" spans="1:22">
      <c r="A2404" t="str">
        <f t="shared" si="296"/>
        <v>NBN-7x023-BA</v>
      </c>
      <c r="B2404" s="403" t="s">
        <v>1390</v>
      </c>
      <c r="C2404" s="403" t="s">
        <v>583</v>
      </c>
      <c r="D2404" s="403" t="s">
        <v>1308</v>
      </c>
      <c r="E2404" s="403" t="s">
        <v>1304</v>
      </c>
      <c r="F2404" s="403" t="s">
        <v>1286</v>
      </c>
      <c r="G2404" s="403" t="s">
        <v>1466</v>
      </c>
      <c r="H2404" s="403" t="s">
        <v>1276</v>
      </c>
      <c r="I2404" s="403">
        <v>1</v>
      </c>
      <c r="J2404" s="403" t="s">
        <v>109</v>
      </c>
      <c r="K2404" s="403">
        <v>1280</v>
      </c>
      <c r="L2404" s="403">
        <v>720</v>
      </c>
      <c r="M2404" s="403" t="s">
        <v>1279</v>
      </c>
      <c r="N2404" s="403">
        <v>768</v>
      </c>
      <c r="O2404" s="403">
        <v>432</v>
      </c>
      <c r="P2404" t="str">
        <f t="shared" si="297"/>
        <v>30fps 720p - SD ROI PTZ</v>
      </c>
      <c r="Q2404">
        <f t="shared" si="298"/>
        <v>13</v>
      </c>
      <c r="R2404" t="str">
        <f t="shared" si="299"/>
        <v/>
      </c>
      <c r="S2404" t="str">
        <f t="shared" si="300"/>
        <v/>
      </c>
      <c r="T2404" s="403" t="str">
        <f t="shared" si="301"/>
        <v>NBN-7x023-BA</v>
      </c>
      <c r="U2404" s="403">
        <f t="shared" si="302"/>
        <v>1</v>
      </c>
      <c r="V2404" s="403" t="str">
        <f t="shared" si="303"/>
        <v>CPP_7</v>
      </c>
    </row>
    <row r="2405" spans="1:22">
      <c r="A2405" t="str">
        <f t="shared" si="296"/>
        <v>NBN-7x023-BA</v>
      </c>
      <c r="B2405" s="403" t="s">
        <v>1390</v>
      </c>
      <c r="C2405" s="403" t="s">
        <v>583</v>
      </c>
      <c r="D2405" s="403" t="s">
        <v>1308</v>
      </c>
      <c r="E2405" s="403" t="s">
        <v>1304</v>
      </c>
      <c r="F2405" s="403" t="s">
        <v>1286</v>
      </c>
      <c r="G2405" s="403" t="s">
        <v>1466</v>
      </c>
      <c r="H2405" s="403" t="s">
        <v>1276</v>
      </c>
      <c r="I2405" s="403">
        <v>1</v>
      </c>
      <c r="J2405" s="403" t="s">
        <v>109</v>
      </c>
      <c r="K2405" s="403">
        <v>1280</v>
      </c>
      <c r="L2405" s="403">
        <v>720</v>
      </c>
      <c r="M2405" s="403" t="s">
        <v>1298</v>
      </c>
      <c r="N2405" s="403">
        <v>768</v>
      </c>
      <c r="O2405" s="403">
        <v>432</v>
      </c>
      <c r="P2405" t="str">
        <f t="shared" si="297"/>
        <v>30fps 720p - SD dual stream with independent ROI PTZ</v>
      </c>
      <c r="Q2405">
        <f t="shared" si="298"/>
        <v>13</v>
      </c>
      <c r="R2405" t="str">
        <f t="shared" si="299"/>
        <v/>
      </c>
      <c r="S2405" t="str">
        <f t="shared" si="300"/>
        <v/>
      </c>
      <c r="T2405" s="403" t="str">
        <f t="shared" si="301"/>
        <v>NBN-7x023-BA</v>
      </c>
      <c r="U2405" s="403">
        <f t="shared" si="302"/>
        <v>1</v>
      </c>
      <c r="V2405" s="403" t="str">
        <f t="shared" si="303"/>
        <v>CPP_7</v>
      </c>
    </row>
    <row r="2406" spans="1:22">
      <c r="A2406" t="str">
        <f t="shared" si="296"/>
        <v>NBN-7x023-BA</v>
      </c>
      <c r="B2406" s="403" t="s">
        <v>1390</v>
      </c>
      <c r="C2406" s="403" t="s">
        <v>583</v>
      </c>
      <c r="D2406" s="403" t="s">
        <v>1308</v>
      </c>
      <c r="E2406" s="403" t="s">
        <v>1304</v>
      </c>
      <c r="F2406" s="403" t="s">
        <v>1286</v>
      </c>
      <c r="G2406" s="403" t="s">
        <v>1466</v>
      </c>
      <c r="H2406" s="403" t="s">
        <v>1276</v>
      </c>
      <c r="I2406" s="403">
        <v>1</v>
      </c>
      <c r="J2406" s="403" t="s">
        <v>109</v>
      </c>
      <c r="K2406" s="403">
        <v>1280</v>
      </c>
      <c r="L2406" s="403">
        <v>720</v>
      </c>
      <c r="M2406" s="403" t="s">
        <v>1283</v>
      </c>
      <c r="N2406" s="403">
        <v>704</v>
      </c>
      <c r="O2406" s="403">
        <v>480</v>
      </c>
      <c r="P2406" t="str">
        <f t="shared" si="297"/>
        <v>30fps 720p - SD 4CIF resolution 4:3 format (cropped)</v>
      </c>
      <c r="Q2406">
        <f t="shared" si="298"/>
        <v>13</v>
      </c>
      <c r="R2406" t="str">
        <f t="shared" si="299"/>
        <v/>
      </c>
      <c r="S2406" t="str">
        <f t="shared" si="300"/>
        <v/>
      </c>
      <c r="T2406" s="403" t="str">
        <f t="shared" si="301"/>
        <v>NBN-7x023-BA</v>
      </c>
      <c r="U2406" s="403">
        <f t="shared" si="302"/>
        <v>1</v>
      </c>
      <c r="V2406" s="403" t="str">
        <f t="shared" si="303"/>
        <v>CPP_7</v>
      </c>
    </row>
    <row r="2407" spans="1:22">
      <c r="A2407" t="str">
        <f t="shared" si="296"/>
        <v>NBN-7x023-BA</v>
      </c>
      <c r="B2407" s="403" t="s">
        <v>1390</v>
      </c>
      <c r="C2407" s="403" t="s">
        <v>583</v>
      </c>
      <c r="D2407" s="403" t="s">
        <v>1308</v>
      </c>
      <c r="E2407" s="403" t="s">
        <v>1304</v>
      </c>
      <c r="F2407" s="403" t="s">
        <v>1286</v>
      </c>
      <c r="G2407" s="403" t="s">
        <v>1466</v>
      </c>
      <c r="H2407" s="403" t="s">
        <v>1276</v>
      </c>
      <c r="I2407" s="403">
        <v>1</v>
      </c>
      <c r="J2407" s="403" t="s">
        <v>109</v>
      </c>
      <c r="K2407" s="403">
        <v>1280</v>
      </c>
      <c r="L2407" s="403">
        <v>720</v>
      </c>
      <c r="M2407" s="403" t="s">
        <v>1284</v>
      </c>
      <c r="N2407" s="403">
        <v>640</v>
      </c>
      <c r="O2407" s="403">
        <v>480</v>
      </c>
      <c r="P2407" t="str">
        <f t="shared" si="297"/>
        <v>30fps 720p - SD VGA (cropped)</v>
      </c>
      <c r="Q2407">
        <f t="shared" si="298"/>
        <v>13</v>
      </c>
      <c r="R2407" t="str">
        <f t="shared" si="299"/>
        <v/>
      </c>
      <c r="S2407" t="str">
        <f t="shared" si="300"/>
        <v/>
      </c>
      <c r="T2407" s="403" t="str">
        <f t="shared" si="301"/>
        <v>NBN-7x023-BA</v>
      </c>
      <c r="U2407" s="403">
        <f t="shared" si="302"/>
        <v>1</v>
      </c>
      <c r="V2407" s="403" t="str">
        <f t="shared" si="303"/>
        <v>CPP_7</v>
      </c>
    </row>
    <row r="2408" spans="1:22">
      <c r="A2408" t="str">
        <f t="shared" si="296"/>
        <v>NBN-7x023-BA</v>
      </c>
      <c r="B2408" s="403" t="s">
        <v>1390</v>
      </c>
      <c r="C2408" s="403" t="s">
        <v>583</v>
      </c>
      <c r="D2408" s="403" t="s">
        <v>1308</v>
      </c>
      <c r="E2408" s="403" t="s">
        <v>1304</v>
      </c>
      <c r="F2408" s="403" t="s">
        <v>1286</v>
      </c>
      <c r="G2408" s="403" t="s">
        <v>1466</v>
      </c>
      <c r="H2408" s="403" t="s">
        <v>1276</v>
      </c>
      <c r="I2408" s="403">
        <v>1</v>
      </c>
      <c r="J2408" s="403" t="s">
        <v>111</v>
      </c>
      <c r="K2408" s="403">
        <v>768</v>
      </c>
      <c r="L2408" s="403">
        <v>432</v>
      </c>
      <c r="M2408" s="403" t="s">
        <v>111</v>
      </c>
      <c r="N2408" s="403">
        <v>768</v>
      </c>
      <c r="O2408" s="403">
        <v>432</v>
      </c>
      <c r="P2408" t="str">
        <f t="shared" si="297"/>
        <v>30fps SD - SD</v>
      </c>
      <c r="Q2408">
        <f t="shared" si="298"/>
        <v>13</v>
      </c>
      <c r="R2408" t="str">
        <f t="shared" si="299"/>
        <v/>
      </c>
      <c r="S2408" t="str">
        <f t="shared" si="300"/>
        <v/>
      </c>
      <c r="T2408" s="403" t="str">
        <f t="shared" si="301"/>
        <v>NBN-7x023-BA</v>
      </c>
      <c r="U2408" s="403">
        <f t="shared" si="302"/>
        <v>1</v>
      </c>
      <c r="V2408" s="403" t="str">
        <f t="shared" si="303"/>
        <v>CPP_7</v>
      </c>
    </row>
    <row r="2409" spans="1:22">
      <c r="A2409" t="str">
        <f t="shared" si="296"/>
        <v>NBN-7x023-BA</v>
      </c>
      <c r="B2409" s="403" t="s">
        <v>1390</v>
      </c>
      <c r="C2409" s="403" t="s">
        <v>583</v>
      </c>
      <c r="D2409" s="403" t="s">
        <v>1308</v>
      </c>
      <c r="E2409" s="403" t="s">
        <v>1304</v>
      </c>
      <c r="F2409" s="403" t="s">
        <v>1286</v>
      </c>
      <c r="G2409" s="403" t="s">
        <v>1467</v>
      </c>
      <c r="H2409" s="403" t="s">
        <v>1276</v>
      </c>
      <c r="I2409" s="403">
        <v>1</v>
      </c>
      <c r="J2409" s="403" t="s">
        <v>110</v>
      </c>
      <c r="K2409" s="403">
        <v>1080</v>
      </c>
      <c r="L2409" s="403">
        <v>1920</v>
      </c>
      <c r="M2409" s="403" t="s">
        <v>111</v>
      </c>
      <c r="N2409" s="403">
        <v>432</v>
      </c>
      <c r="O2409" s="403">
        <v>768</v>
      </c>
      <c r="P2409" t="str">
        <f t="shared" si="297"/>
        <v>30fps 1080p - SD</v>
      </c>
      <c r="Q2409">
        <f t="shared" si="298"/>
        <v>13</v>
      </c>
      <c r="R2409" t="str">
        <f t="shared" si="299"/>
        <v/>
      </c>
      <c r="S2409" t="str">
        <f t="shared" si="300"/>
        <v/>
      </c>
      <c r="T2409" s="403" t="str">
        <f t="shared" si="301"/>
        <v>NBN-7x023-BA</v>
      </c>
      <c r="U2409" s="403">
        <f t="shared" si="302"/>
        <v>1</v>
      </c>
      <c r="V2409" s="403" t="str">
        <f t="shared" si="303"/>
        <v>CPP_7</v>
      </c>
    </row>
    <row r="2410" spans="1:22">
      <c r="A2410" t="str">
        <f t="shared" si="296"/>
        <v>NBN-7x023-BA</v>
      </c>
      <c r="B2410" s="403" t="s">
        <v>1390</v>
      </c>
      <c r="C2410" s="403" t="s">
        <v>583</v>
      </c>
      <c r="D2410" s="403" t="s">
        <v>1308</v>
      </c>
      <c r="E2410" s="403" t="s">
        <v>1304</v>
      </c>
      <c r="F2410" s="403" t="s">
        <v>1286</v>
      </c>
      <c r="G2410" s="403" t="s">
        <v>1467</v>
      </c>
      <c r="H2410" s="403" t="s">
        <v>1276</v>
      </c>
      <c r="I2410" s="403">
        <v>1</v>
      </c>
      <c r="J2410" s="403" t="s">
        <v>110</v>
      </c>
      <c r="K2410" s="403">
        <v>1080</v>
      </c>
      <c r="L2410" s="403">
        <v>1920</v>
      </c>
      <c r="M2410" s="403" t="s">
        <v>110</v>
      </c>
      <c r="N2410" s="403">
        <v>1080</v>
      </c>
      <c r="O2410" s="403">
        <v>1920</v>
      </c>
      <c r="P2410" t="str">
        <f t="shared" si="297"/>
        <v>30fps 1080p - 1080p</v>
      </c>
      <c r="Q2410">
        <f t="shared" si="298"/>
        <v>13</v>
      </c>
      <c r="R2410" t="str">
        <f t="shared" si="299"/>
        <v/>
      </c>
      <c r="S2410" t="str">
        <f t="shared" si="300"/>
        <v/>
      </c>
      <c r="T2410" s="403" t="str">
        <f t="shared" si="301"/>
        <v>NBN-7x023-BA</v>
      </c>
      <c r="U2410" s="403">
        <f t="shared" si="302"/>
        <v>1</v>
      </c>
      <c r="V2410" s="403" t="str">
        <f t="shared" si="303"/>
        <v>CPP_7</v>
      </c>
    </row>
    <row r="2411" spans="1:22">
      <c r="A2411" t="str">
        <f t="shared" si="296"/>
        <v>NBN-7x023-BA</v>
      </c>
      <c r="B2411" s="403" t="s">
        <v>1390</v>
      </c>
      <c r="C2411" s="403" t="s">
        <v>583</v>
      </c>
      <c r="D2411" s="403" t="s">
        <v>1308</v>
      </c>
      <c r="E2411" s="403" t="s">
        <v>1304</v>
      </c>
      <c r="F2411" s="403" t="s">
        <v>1286</v>
      </c>
      <c r="G2411" s="403" t="s">
        <v>1467</v>
      </c>
      <c r="H2411" s="403" t="s">
        <v>1276</v>
      </c>
      <c r="I2411" s="403">
        <v>1</v>
      </c>
      <c r="J2411" s="403" t="s">
        <v>110</v>
      </c>
      <c r="K2411" s="403">
        <v>1080</v>
      </c>
      <c r="L2411" s="403">
        <v>1920</v>
      </c>
      <c r="M2411" s="403" t="s">
        <v>109</v>
      </c>
      <c r="N2411" s="403">
        <v>720</v>
      </c>
      <c r="O2411" s="403">
        <v>1280</v>
      </c>
      <c r="P2411" t="str">
        <f t="shared" si="297"/>
        <v>30fps 1080p - 720p</v>
      </c>
      <c r="Q2411">
        <f t="shared" si="298"/>
        <v>13</v>
      </c>
      <c r="R2411" t="str">
        <f t="shared" si="299"/>
        <v/>
      </c>
      <c r="S2411" t="str">
        <f t="shared" si="300"/>
        <v/>
      </c>
      <c r="T2411" s="403" t="str">
        <f t="shared" si="301"/>
        <v>NBN-7x023-BA</v>
      </c>
      <c r="U2411" s="403">
        <f t="shared" si="302"/>
        <v>1</v>
      </c>
      <c r="V2411" s="403" t="str">
        <f t="shared" si="303"/>
        <v>CPP_7</v>
      </c>
    </row>
    <row r="2412" spans="1:22">
      <c r="A2412" t="str">
        <f t="shared" si="296"/>
        <v>NBN-7x023-BA</v>
      </c>
      <c r="B2412" s="403" t="s">
        <v>1390</v>
      </c>
      <c r="C2412" s="403" t="s">
        <v>583</v>
      </c>
      <c r="D2412" s="403" t="s">
        <v>1308</v>
      </c>
      <c r="E2412" s="403" t="s">
        <v>1304</v>
      </c>
      <c r="F2412" s="403" t="s">
        <v>1286</v>
      </c>
      <c r="G2412" s="403" t="s">
        <v>1467</v>
      </c>
      <c r="H2412" s="403" t="s">
        <v>1276</v>
      </c>
      <c r="I2412" s="403">
        <v>1</v>
      </c>
      <c r="J2412" s="403" t="s">
        <v>110</v>
      </c>
      <c r="K2412" s="403">
        <v>1080</v>
      </c>
      <c r="L2412" s="403">
        <v>1920</v>
      </c>
      <c r="M2412" s="403" t="s">
        <v>1279</v>
      </c>
      <c r="N2412" s="403">
        <v>432</v>
      </c>
      <c r="O2412" s="403">
        <v>768</v>
      </c>
      <c r="P2412" t="str">
        <f t="shared" si="297"/>
        <v>30fps 1080p - SD ROI PTZ</v>
      </c>
      <c r="Q2412">
        <f t="shared" si="298"/>
        <v>13</v>
      </c>
      <c r="R2412" t="str">
        <f t="shared" si="299"/>
        <v/>
      </c>
      <c r="S2412" t="str">
        <f t="shared" si="300"/>
        <v/>
      </c>
      <c r="T2412" s="403" t="str">
        <f t="shared" si="301"/>
        <v>NBN-7x023-BA</v>
      </c>
      <c r="U2412" s="403">
        <f t="shared" si="302"/>
        <v>1</v>
      </c>
      <c r="V2412" s="403" t="str">
        <f t="shared" si="303"/>
        <v>CPP_7</v>
      </c>
    </row>
    <row r="2413" spans="1:22">
      <c r="A2413" t="str">
        <f t="shared" si="296"/>
        <v>NBN-7x023-BA</v>
      </c>
      <c r="B2413" s="403" t="s">
        <v>1390</v>
      </c>
      <c r="C2413" s="403" t="s">
        <v>583</v>
      </c>
      <c r="D2413" s="403" t="s">
        <v>1308</v>
      </c>
      <c r="E2413" s="403" t="s">
        <v>1304</v>
      </c>
      <c r="F2413" s="403" t="s">
        <v>1286</v>
      </c>
      <c r="G2413" s="403" t="s">
        <v>1467</v>
      </c>
      <c r="H2413" s="403" t="s">
        <v>1276</v>
      </c>
      <c r="I2413" s="403">
        <v>1</v>
      </c>
      <c r="J2413" s="403" t="s">
        <v>110</v>
      </c>
      <c r="K2413" s="403">
        <v>1080</v>
      </c>
      <c r="L2413" s="403">
        <v>1920</v>
      </c>
      <c r="M2413" s="403" t="s">
        <v>1298</v>
      </c>
      <c r="N2413" s="403">
        <v>432</v>
      </c>
      <c r="O2413" s="403">
        <v>768</v>
      </c>
      <c r="P2413" t="str">
        <f t="shared" si="297"/>
        <v>30fps 1080p - SD dual stream with independent ROI PTZ</v>
      </c>
      <c r="Q2413">
        <f t="shared" si="298"/>
        <v>13</v>
      </c>
      <c r="R2413" t="str">
        <f t="shared" si="299"/>
        <v/>
      </c>
      <c r="S2413" t="str">
        <f t="shared" si="300"/>
        <v/>
      </c>
      <c r="T2413" s="403" t="str">
        <f t="shared" si="301"/>
        <v>NBN-7x023-BA</v>
      </c>
      <c r="U2413" s="403">
        <f t="shared" si="302"/>
        <v>1</v>
      </c>
      <c r="V2413" s="403" t="str">
        <f t="shared" si="303"/>
        <v>CPP_7</v>
      </c>
    </row>
    <row r="2414" spans="1:22">
      <c r="A2414" t="str">
        <f t="shared" si="296"/>
        <v>NBN-7x023-BA</v>
      </c>
      <c r="B2414" s="403" t="s">
        <v>1390</v>
      </c>
      <c r="C2414" s="403" t="s">
        <v>583</v>
      </c>
      <c r="D2414" s="403" t="s">
        <v>1308</v>
      </c>
      <c r="E2414" s="403" t="s">
        <v>1304</v>
      </c>
      <c r="F2414" s="403" t="s">
        <v>1286</v>
      </c>
      <c r="G2414" s="403" t="s">
        <v>1467</v>
      </c>
      <c r="H2414" s="403" t="s">
        <v>1276</v>
      </c>
      <c r="I2414" s="403">
        <v>1</v>
      </c>
      <c r="J2414" s="403" t="s">
        <v>110</v>
      </c>
      <c r="K2414" s="403">
        <v>1080</v>
      </c>
      <c r="L2414" s="403">
        <v>1920</v>
      </c>
      <c r="M2414" s="403" t="s">
        <v>1283</v>
      </c>
      <c r="N2414" s="403">
        <v>480</v>
      </c>
      <c r="O2414" s="403">
        <v>704</v>
      </c>
      <c r="P2414" t="str">
        <f t="shared" si="297"/>
        <v>30fps 1080p - SD 4CIF resolution 4:3 format (cropped)</v>
      </c>
      <c r="Q2414">
        <f t="shared" si="298"/>
        <v>13</v>
      </c>
      <c r="R2414" t="str">
        <f t="shared" si="299"/>
        <v/>
      </c>
      <c r="S2414" t="str">
        <f t="shared" si="300"/>
        <v/>
      </c>
      <c r="T2414" s="403" t="str">
        <f t="shared" si="301"/>
        <v>NBN-7x023-BA</v>
      </c>
      <c r="U2414" s="403">
        <f t="shared" si="302"/>
        <v>1</v>
      </c>
      <c r="V2414" s="403" t="str">
        <f t="shared" si="303"/>
        <v>CPP_7</v>
      </c>
    </row>
    <row r="2415" spans="1:22">
      <c r="A2415" t="str">
        <f t="shared" si="296"/>
        <v>NBN-7x023-BA</v>
      </c>
      <c r="B2415" s="403" t="s">
        <v>1390</v>
      </c>
      <c r="C2415" s="403" t="s">
        <v>583</v>
      </c>
      <c r="D2415" s="403" t="s">
        <v>1308</v>
      </c>
      <c r="E2415" s="403" t="s">
        <v>1304</v>
      </c>
      <c r="F2415" s="403" t="s">
        <v>1286</v>
      </c>
      <c r="G2415" s="403" t="s">
        <v>1467</v>
      </c>
      <c r="H2415" s="403" t="s">
        <v>1276</v>
      </c>
      <c r="I2415" s="403">
        <v>1</v>
      </c>
      <c r="J2415" s="403" t="s">
        <v>110</v>
      </c>
      <c r="K2415" s="403">
        <v>1080</v>
      </c>
      <c r="L2415" s="403">
        <v>1920</v>
      </c>
      <c r="M2415" s="403" t="s">
        <v>1284</v>
      </c>
      <c r="N2415" s="403">
        <v>480</v>
      </c>
      <c r="O2415" s="403">
        <v>640</v>
      </c>
      <c r="P2415" t="str">
        <f t="shared" si="297"/>
        <v>30fps 1080p - SD VGA (cropped)</v>
      </c>
      <c r="Q2415">
        <f t="shared" si="298"/>
        <v>13</v>
      </c>
      <c r="R2415" t="str">
        <f t="shared" si="299"/>
        <v/>
      </c>
      <c r="S2415" t="str">
        <f t="shared" si="300"/>
        <v/>
      </c>
      <c r="T2415" s="403" t="str">
        <f t="shared" si="301"/>
        <v>NBN-7x023-BA</v>
      </c>
      <c r="U2415" s="403">
        <f t="shared" si="302"/>
        <v>1</v>
      </c>
      <c r="V2415" s="403" t="str">
        <f t="shared" si="303"/>
        <v>CPP_7</v>
      </c>
    </row>
    <row r="2416" spans="1:22">
      <c r="A2416" t="str">
        <f t="shared" si="296"/>
        <v>NBN-7x023-BA</v>
      </c>
      <c r="B2416" s="403" t="s">
        <v>1390</v>
      </c>
      <c r="C2416" s="403" t="s">
        <v>583</v>
      </c>
      <c r="D2416" s="403" t="s">
        <v>1308</v>
      </c>
      <c r="E2416" s="403" t="s">
        <v>1304</v>
      </c>
      <c r="F2416" s="403" t="s">
        <v>1286</v>
      </c>
      <c r="G2416" s="403" t="s">
        <v>1467</v>
      </c>
      <c r="H2416" s="403" t="s">
        <v>1276</v>
      </c>
      <c r="I2416" s="403">
        <v>1</v>
      </c>
      <c r="J2416" s="403" t="s">
        <v>109</v>
      </c>
      <c r="K2416" s="403">
        <v>720</v>
      </c>
      <c r="L2416" s="403">
        <v>1280</v>
      </c>
      <c r="M2416" s="403" t="s">
        <v>111</v>
      </c>
      <c r="N2416" s="403">
        <v>432</v>
      </c>
      <c r="O2416" s="403">
        <v>768</v>
      </c>
      <c r="P2416" t="str">
        <f t="shared" si="297"/>
        <v>30fps 720p - SD</v>
      </c>
      <c r="Q2416">
        <f t="shared" si="298"/>
        <v>13</v>
      </c>
      <c r="R2416" t="str">
        <f t="shared" si="299"/>
        <v/>
      </c>
      <c r="S2416" t="str">
        <f t="shared" si="300"/>
        <v/>
      </c>
      <c r="T2416" s="403" t="str">
        <f t="shared" si="301"/>
        <v>NBN-7x023-BA</v>
      </c>
      <c r="U2416" s="403">
        <f t="shared" si="302"/>
        <v>1</v>
      </c>
      <c r="V2416" s="403" t="str">
        <f t="shared" si="303"/>
        <v>CPP_7</v>
      </c>
    </row>
    <row r="2417" spans="1:22">
      <c r="A2417" t="str">
        <f t="shared" si="296"/>
        <v>NBN-7x023-BA</v>
      </c>
      <c r="B2417" s="403" t="s">
        <v>1390</v>
      </c>
      <c r="C2417" s="403" t="s">
        <v>583</v>
      </c>
      <c r="D2417" s="403" t="s">
        <v>1308</v>
      </c>
      <c r="E2417" s="403" t="s">
        <v>1304</v>
      </c>
      <c r="F2417" s="403" t="s">
        <v>1286</v>
      </c>
      <c r="G2417" s="403" t="s">
        <v>1467</v>
      </c>
      <c r="H2417" s="403" t="s">
        <v>1276</v>
      </c>
      <c r="I2417" s="403">
        <v>1</v>
      </c>
      <c r="J2417" s="403" t="s">
        <v>109</v>
      </c>
      <c r="K2417" s="403">
        <v>720</v>
      </c>
      <c r="L2417" s="403">
        <v>1280</v>
      </c>
      <c r="M2417" s="403" t="s">
        <v>109</v>
      </c>
      <c r="N2417" s="403">
        <v>720</v>
      </c>
      <c r="O2417" s="403">
        <v>1280</v>
      </c>
      <c r="P2417" t="str">
        <f t="shared" si="297"/>
        <v>30fps 720p - 720p</v>
      </c>
      <c r="Q2417">
        <f t="shared" si="298"/>
        <v>13</v>
      </c>
      <c r="R2417" t="str">
        <f t="shared" si="299"/>
        <v/>
      </c>
      <c r="S2417" t="str">
        <f t="shared" si="300"/>
        <v/>
      </c>
      <c r="T2417" s="403" t="str">
        <f t="shared" si="301"/>
        <v>NBN-7x023-BA</v>
      </c>
      <c r="U2417" s="403">
        <f t="shared" si="302"/>
        <v>1</v>
      </c>
      <c r="V2417" s="403" t="str">
        <f t="shared" si="303"/>
        <v>CPP_7</v>
      </c>
    </row>
    <row r="2418" spans="1:22">
      <c r="A2418" t="str">
        <f t="shared" si="296"/>
        <v>NBN-7x023-BA</v>
      </c>
      <c r="B2418" s="403" t="s">
        <v>1390</v>
      </c>
      <c r="C2418" s="403" t="s">
        <v>583</v>
      </c>
      <c r="D2418" s="403" t="s">
        <v>1308</v>
      </c>
      <c r="E2418" s="403" t="s">
        <v>1304</v>
      </c>
      <c r="F2418" s="403" t="s">
        <v>1286</v>
      </c>
      <c r="G2418" s="403" t="s">
        <v>1467</v>
      </c>
      <c r="H2418" s="403" t="s">
        <v>1276</v>
      </c>
      <c r="I2418" s="403">
        <v>1</v>
      </c>
      <c r="J2418" s="403" t="s">
        <v>109</v>
      </c>
      <c r="K2418" s="403">
        <v>720</v>
      </c>
      <c r="L2418" s="403">
        <v>1280</v>
      </c>
      <c r="M2418" s="403" t="s">
        <v>1279</v>
      </c>
      <c r="N2418" s="403">
        <v>432</v>
      </c>
      <c r="O2418" s="403">
        <v>768</v>
      </c>
      <c r="P2418" t="str">
        <f t="shared" si="297"/>
        <v>30fps 720p - SD ROI PTZ</v>
      </c>
      <c r="Q2418">
        <f t="shared" si="298"/>
        <v>13</v>
      </c>
      <c r="R2418" t="str">
        <f t="shared" si="299"/>
        <v/>
      </c>
      <c r="S2418" t="str">
        <f t="shared" si="300"/>
        <v/>
      </c>
      <c r="T2418" s="403" t="str">
        <f t="shared" si="301"/>
        <v>NBN-7x023-BA</v>
      </c>
      <c r="U2418" s="403">
        <f t="shared" si="302"/>
        <v>1</v>
      </c>
      <c r="V2418" s="403" t="str">
        <f t="shared" si="303"/>
        <v>CPP_7</v>
      </c>
    </row>
    <row r="2419" spans="1:22">
      <c r="A2419" t="str">
        <f t="shared" si="296"/>
        <v>NBN-7x023-BA</v>
      </c>
      <c r="B2419" s="403" t="s">
        <v>1390</v>
      </c>
      <c r="C2419" s="403" t="s">
        <v>583</v>
      </c>
      <c r="D2419" s="403" t="s">
        <v>1308</v>
      </c>
      <c r="E2419" s="403" t="s">
        <v>1304</v>
      </c>
      <c r="F2419" s="403" t="s">
        <v>1286</v>
      </c>
      <c r="G2419" s="403" t="s">
        <v>1467</v>
      </c>
      <c r="H2419" s="403" t="s">
        <v>1276</v>
      </c>
      <c r="I2419" s="403">
        <v>1</v>
      </c>
      <c r="J2419" s="403" t="s">
        <v>109</v>
      </c>
      <c r="K2419" s="403">
        <v>720</v>
      </c>
      <c r="L2419" s="403">
        <v>1280</v>
      </c>
      <c r="M2419" s="403" t="s">
        <v>1298</v>
      </c>
      <c r="N2419" s="403">
        <v>432</v>
      </c>
      <c r="O2419" s="403">
        <v>768</v>
      </c>
      <c r="P2419" t="str">
        <f t="shared" si="297"/>
        <v>30fps 720p - SD dual stream with independent ROI PTZ</v>
      </c>
      <c r="Q2419">
        <f t="shared" si="298"/>
        <v>13</v>
      </c>
      <c r="R2419" t="str">
        <f t="shared" si="299"/>
        <v/>
      </c>
      <c r="S2419" t="str">
        <f t="shared" si="300"/>
        <v/>
      </c>
      <c r="T2419" s="403" t="str">
        <f t="shared" si="301"/>
        <v>NBN-7x023-BA</v>
      </c>
      <c r="U2419" s="403">
        <f t="shared" si="302"/>
        <v>1</v>
      </c>
      <c r="V2419" s="403" t="str">
        <f t="shared" si="303"/>
        <v>CPP_7</v>
      </c>
    </row>
    <row r="2420" spans="1:22">
      <c r="A2420" t="str">
        <f t="shared" si="296"/>
        <v>NBN-7x023-BA</v>
      </c>
      <c r="B2420" s="403" t="s">
        <v>1390</v>
      </c>
      <c r="C2420" s="403" t="s">
        <v>583</v>
      </c>
      <c r="D2420" s="403" t="s">
        <v>1308</v>
      </c>
      <c r="E2420" s="403" t="s">
        <v>1304</v>
      </c>
      <c r="F2420" s="403" t="s">
        <v>1286</v>
      </c>
      <c r="G2420" s="403" t="s">
        <v>1467</v>
      </c>
      <c r="H2420" s="403" t="s">
        <v>1276</v>
      </c>
      <c r="I2420" s="403">
        <v>1</v>
      </c>
      <c r="J2420" s="403" t="s">
        <v>109</v>
      </c>
      <c r="K2420" s="403">
        <v>720</v>
      </c>
      <c r="L2420" s="403">
        <v>1280</v>
      </c>
      <c r="M2420" s="403" t="s">
        <v>1283</v>
      </c>
      <c r="N2420" s="403">
        <v>480</v>
      </c>
      <c r="O2420" s="403">
        <v>704</v>
      </c>
      <c r="P2420" t="str">
        <f t="shared" si="297"/>
        <v>30fps 720p - SD 4CIF resolution 4:3 format (cropped)</v>
      </c>
      <c r="Q2420">
        <f t="shared" si="298"/>
        <v>13</v>
      </c>
      <c r="R2420" t="str">
        <f t="shared" si="299"/>
        <v/>
      </c>
      <c r="S2420" t="str">
        <f t="shared" si="300"/>
        <v/>
      </c>
      <c r="T2420" s="403" t="str">
        <f t="shared" si="301"/>
        <v>NBN-7x023-BA</v>
      </c>
      <c r="U2420" s="403">
        <f t="shared" si="302"/>
        <v>1</v>
      </c>
      <c r="V2420" s="403" t="str">
        <f t="shared" si="303"/>
        <v>CPP_7</v>
      </c>
    </row>
    <row r="2421" spans="1:22">
      <c r="A2421" t="str">
        <f t="shared" si="296"/>
        <v>NBN-7x023-BA</v>
      </c>
      <c r="B2421" s="403" t="s">
        <v>1390</v>
      </c>
      <c r="C2421" s="403" t="s">
        <v>583</v>
      </c>
      <c r="D2421" s="403" t="s">
        <v>1308</v>
      </c>
      <c r="E2421" s="403" t="s">
        <v>1304</v>
      </c>
      <c r="F2421" s="403" t="s">
        <v>1286</v>
      </c>
      <c r="G2421" s="403" t="s">
        <v>1467</v>
      </c>
      <c r="H2421" s="403" t="s">
        <v>1276</v>
      </c>
      <c r="I2421" s="403">
        <v>1</v>
      </c>
      <c r="J2421" s="403" t="s">
        <v>109</v>
      </c>
      <c r="K2421" s="403">
        <v>720</v>
      </c>
      <c r="L2421" s="403">
        <v>1280</v>
      </c>
      <c r="M2421" s="403" t="s">
        <v>1284</v>
      </c>
      <c r="N2421" s="403">
        <v>480</v>
      </c>
      <c r="O2421" s="403">
        <v>640</v>
      </c>
      <c r="P2421" t="str">
        <f t="shared" si="297"/>
        <v>30fps 720p - SD VGA (cropped)</v>
      </c>
      <c r="Q2421">
        <f t="shared" si="298"/>
        <v>13</v>
      </c>
      <c r="R2421" t="str">
        <f t="shared" si="299"/>
        <v/>
      </c>
      <c r="S2421" t="str">
        <f t="shared" si="300"/>
        <v/>
      </c>
      <c r="T2421" s="403" t="str">
        <f t="shared" si="301"/>
        <v>NBN-7x023-BA</v>
      </c>
      <c r="U2421" s="403">
        <f t="shared" si="302"/>
        <v>1</v>
      </c>
      <c r="V2421" s="403" t="str">
        <f t="shared" si="303"/>
        <v>CPP_7</v>
      </c>
    </row>
    <row r="2422" spans="1:22">
      <c r="A2422" t="str">
        <f t="shared" si="296"/>
        <v>NBN-7x023-BA</v>
      </c>
      <c r="B2422" s="403" t="s">
        <v>1390</v>
      </c>
      <c r="C2422" s="403" t="s">
        <v>583</v>
      </c>
      <c r="D2422" s="403" t="s">
        <v>1308</v>
      </c>
      <c r="E2422" s="403" t="s">
        <v>1304</v>
      </c>
      <c r="F2422" s="403" t="s">
        <v>1286</v>
      </c>
      <c r="G2422" s="403" t="s">
        <v>1467</v>
      </c>
      <c r="H2422" s="403" t="s">
        <v>1276</v>
      </c>
      <c r="I2422" s="403">
        <v>1</v>
      </c>
      <c r="J2422" s="403" t="s">
        <v>111</v>
      </c>
      <c r="K2422" s="403">
        <v>432</v>
      </c>
      <c r="L2422" s="403">
        <v>768</v>
      </c>
      <c r="M2422" s="403" t="s">
        <v>111</v>
      </c>
      <c r="N2422" s="403">
        <v>432</v>
      </c>
      <c r="O2422" s="403">
        <v>768</v>
      </c>
      <c r="P2422" t="str">
        <f t="shared" si="297"/>
        <v>30fps SD - SD</v>
      </c>
      <c r="Q2422">
        <f t="shared" si="298"/>
        <v>13</v>
      </c>
      <c r="R2422" t="str">
        <f t="shared" si="299"/>
        <v/>
      </c>
      <c r="S2422" t="str">
        <f t="shared" si="300"/>
        <v/>
      </c>
      <c r="T2422" s="403" t="str">
        <f t="shared" si="301"/>
        <v>NBN-7x023-BA</v>
      </c>
      <c r="U2422" s="403">
        <f t="shared" si="302"/>
        <v>1</v>
      </c>
      <c r="V2422" s="403" t="str">
        <f t="shared" si="303"/>
        <v>CPP_7</v>
      </c>
    </row>
    <row r="2423" spans="1:22">
      <c r="A2423" t="str">
        <f t="shared" si="296"/>
        <v>NBN-7x023-BA</v>
      </c>
      <c r="B2423" s="403" t="s">
        <v>1390</v>
      </c>
      <c r="C2423" s="403" t="s">
        <v>583</v>
      </c>
      <c r="D2423" s="403" t="s">
        <v>1308</v>
      </c>
      <c r="E2423" s="403" t="s">
        <v>1304</v>
      </c>
      <c r="F2423" s="403" t="s">
        <v>1287</v>
      </c>
      <c r="G2423" s="403" t="s">
        <v>1466</v>
      </c>
      <c r="H2423" s="403" t="s">
        <v>1276</v>
      </c>
      <c r="I2423" s="403">
        <v>1</v>
      </c>
      <c r="J2423" s="403" t="s">
        <v>110</v>
      </c>
      <c r="K2423" s="403">
        <v>1920</v>
      </c>
      <c r="L2423" s="403">
        <v>1080</v>
      </c>
      <c r="M2423" s="403" t="s">
        <v>111</v>
      </c>
      <c r="N2423" s="403">
        <v>768</v>
      </c>
      <c r="O2423" s="403">
        <v>432</v>
      </c>
      <c r="P2423" t="str">
        <f t="shared" si="297"/>
        <v>25fps 1080p - SD</v>
      </c>
      <c r="Q2423">
        <f t="shared" si="298"/>
        <v>13</v>
      </c>
      <c r="R2423" t="str">
        <f t="shared" si="299"/>
        <v/>
      </c>
      <c r="S2423" t="str">
        <f t="shared" si="300"/>
        <v/>
      </c>
      <c r="T2423" s="403" t="str">
        <f t="shared" si="301"/>
        <v>NBN-7x023-BA</v>
      </c>
      <c r="U2423" s="403">
        <f t="shared" si="302"/>
        <v>1</v>
      </c>
      <c r="V2423" s="403" t="str">
        <f t="shared" si="303"/>
        <v>CPP_7</v>
      </c>
    </row>
    <row r="2424" spans="1:22">
      <c r="A2424" t="str">
        <f t="shared" si="296"/>
        <v>NBN-7x023-BA</v>
      </c>
      <c r="B2424" s="403" t="s">
        <v>1390</v>
      </c>
      <c r="C2424" s="403" t="s">
        <v>583</v>
      </c>
      <c r="D2424" s="403" t="s">
        <v>1308</v>
      </c>
      <c r="E2424" s="403" t="s">
        <v>1304</v>
      </c>
      <c r="F2424" s="403" t="s">
        <v>1287</v>
      </c>
      <c r="G2424" s="403" t="s">
        <v>1466</v>
      </c>
      <c r="H2424" s="403" t="s">
        <v>1276</v>
      </c>
      <c r="I2424" s="403">
        <v>1</v>
      </c>
      <c r="J2424" s="403" t="s">
        <v>110</v>
      </c>
      <c r="K2424" s="403">
        <v>1920</v>
      </c>
      <c r="L2424" s="403">
        <v>1080</v>
      </c>
      <c r="M2424" s="403" t="s">
        <v>110</v>
      </c>
      <c r="N2424" s="403">
        <v>1920</v>
      </c>
      <c r="O2424" s="403">
        <v>1080</v>
      </c>
      <c r="P2424" t="str">
        <f t="shared" si="297"/>
        <v>25fps 1080p - 1080p</v>
      </c>
      <c r="Q2424">
        <f t="shared" si="298"/>
        <v>13</v>
      </c>
      <c r="R2424" t="str">
        <f t="shared" si="299"/>
        <v/>
      </c>
      <c r="S2424" t="str">
        <f t="shared" si="300"/>
        <v/>
      </c>
      <c r="T2424" s="403" t="str">
        <f t="shared" si="301"/>
        <v>NBN-7x023-BA</v>
      </c>
      <c r="U2424" s="403">
        <f t="shared" si="302"/>
        <v>1</v>
      </c>
      <c r="V2424" s="403" t="str">
        <f t="shared" si="303"/>
        <v>CPP_7</v>
      </c>
    </row>
    <row r="2425" spans="1:22">
      <c r="A2425" t="str">
        <f t="shared" si="296"/>
        <v>NBN-7x023-BA</v>
      </c>
      <c r="B2425" s="403" t="s">
        <v>1390</v>
      </c>
      <c r="C2425" s="403" t="s">
        <v>583</v>
      </c>
      <c r="D2425" s="403" t="s">
        <v>1308</v>
      </c>
      <c r="E2425" s="403" t="s">
        <v>1304</v>
      </c>
      <c r="F2425" s="403" t="s">
        <v>1287</v>
      </c>
      <c r="G2425" s="403" t="s">
        <v>1466</v>
      </c>
      <c r="H2425" s="403" t="s">
        <v>1276</v>
      </c>
      <c r="I2425" s="403">
        <v>1</v>
      </c>
      <c r="J2425" s="403" t="s">
        <v>110</v>
      </c>
      <c r="K2425" s="403">
        <v>1920</v>
      </c>
      <c r="L2425" s="403">
        <v>1080</v>
      </c>
      <c r="M2425" s="403" t="s">
        <v>109</v>
      </c>
      <c r="N2425" s="403">
        <v>1280</v>
      </c>
      <c r="O2425" s="403">
        <v>720</v>
      </c>
      <c r="P2425" t="str">
        <f t="shared" si="297"/>
        <v>25fps 1080p - 720p</v>
      </c>
      <c r="Q2425">
        <f t="shared" si="298"/>
        <v>13</v>
      </c>
      <c r="R2425" t="str">
        <f t="shared" si="299"/>
        <v/>
      </c>
      <c r="S2425" t="str">
        <f t="shared" si="300"/>
        <v/>
      </c>
      <c r="T2425" s="403" t="str">
        <f t="shared" si="301"/>
        <v>NBN-7x023-BA</v>
      </c>
      <c r="U2425" s="403">
        <f t="shared" si="302"/>
        <v>1</v>
      </c>
      <c r="V2425" s="403" t="str">
        <f t="shared" si="303"/>
        <v>CPP_7</v>
      </c>
    </row>
    <row r="2426" spans="1:22">
      <c r="A2426" t="str">
        <f t="shared" si="296"/>
        <v>NBN-7x023-BA</v>
      </c>
      <c r="B2426" s="403" t="s">
        <v>1390</v>
      </c>
      <c r="C2426" s="403" t="s">
        <v>583</v>
      </c>
      <c r="D2426" s="403" t="s">
        <v>1308</v>
      </c>
      <c r="E2426" s="403" t="s">
        <v>1304</v>
      </c>
      <c r="F2426" s="403" t="s">
        <v>1287</v>
      </c>
      <c r="G2426" s="403" t="s">
        <v>1466</v>
      </c>
      <c r="H2426" s="403" t="s">
        <v>1276</v>
      </c>
      <c r="I2426" s="403">
        <v>1</v>
      </c>
      <c r="J2426" s="403" t="s">
        <v>110</v>
      </c>
      <c r="K2426" s="403">
        <v>1920</v>
      </c>
      <c r="L2426" s="403">
        <v>1080</v>
      </c>
      <c r="M2426" s="403" t="s">
        <v>1285</v>
      </c>
      <c r="N2426" s="403">
        <v>1280</v>
      </c>
      <c r="O2426" s="403">
        <v>1024</v>
      </c>
      <c r="P2426" t="str">
        <f t="shared" si="297"/>
        <v>25fps 1080p - 1280x1024 5:4 (cropped)</v>
      </c>
      <c r="Q2426">
        <f t="shared" si="298"/>
        <v>13</v>
      </c>
      <c r="R2426" t="str">
        <f t="shared" si="299"/>
        <v/>
      </c>
      <c r="S2426" t="str">
        <f t="shared" si="300"/>
        <v/>
      </c>
      <c r="T2426" s="403" t="str">
        <f t="shared" si="301"/>
        <v>NBN-7x023-BA</v>
      </c>
      <c r="U2426" s="403">
        <f t="shared" si="302"/>
        <v>1</v>
      </c>
      <c r="V2426" s="403" t="str">
        <f t="shared" si="303"/>
        <v>CPP_7</v>
      </c>
    </row>
    <row r="2427" spans="1:22">
      <c r="A2427" t="str">
        <f t="shared" si="296"/>
        <v>NBN-7x023-BA</v>
      </c>
      <c r="B2427" s="403" t="s">
        <v>1390</v>
      </c>
      <c r="C2427" s="403" t="s">
        <v>583</v>
      </c>
      <c r="D2427" s="403" t="s">
        <v>1308</v>
      </c>
      <c r="E2427" s="403" t="s">
        <v>1304</v>
      </c>
      <c r="F2427" s="403" t="s">
        <v>1287</v>
      </c>
      <c r="G2427" s="403" t="s">
        <v>1466</v>
      </c>
      <c r="H2427" s="403" t="s">
        <v>1276</v>
      </c>
      <c r="I2427" s="403">
        <v>1</v>
      </c>
      <c r="J2427" s="403" t="s">
        <v>110</v>
      </c>
      <c r="K2427" s="403">
        <v>1920</v>
      </c>
      <c r="L2427" s="403">
        <v>1080</v>
      </c>
      <c r="M2427" s="403" t="s">
        <v>1309</v>
      </c>
      <c r="N2427" s="403">
        <v>1280</v>
      </c>
      <c r="O2427" s="403">
        <v>960</v>
      </c>
      <c r="P2427" t="str">
        <f t="shared" si="297"/>
        <v>25fps 1080p - 1280x960 4:3 (cropped)</v>
      </c>
      <c r="Q2427">
        <f t="shared" si="298"/>
        <v>13</v>
      </c>
      <c r="R2427" t="str">
        <f t="shared" si="299"/>
        <v/>
      </c>
      <c r="S2427" t="str">
        <f t="shared" si="300"/>
        <v/>
      </c>
      <c r="T2427" s="403" t="str">
        <f t="shared" si="301"/>
        <v>NBN-7x023-BA</v>
      </c>
      <c r="U2427" s="403">
        <f t="shared" si="302"/>
        <v>1</v>
      </c>
      <c r="V2427" s="403" t="str">
        <f t="shared" si="303"/>
        <v>CPP_7</v>
      </c>
    </row>
    <row r="2428" spans="1:22">
      <c r="A2428" t="str">
        <f t="shared" si="296"/>
        <v>NBN-7x023-BA</v>
      </c>
      <c r="B2428" s="403" t="s">
        <v>1390</v>
      </c>
      <c r="C2428" s="403" t="s">
        <v>583</v>
      </c>
      <c r="D2428" s="403" t="s">
        <v>1308</v>
      </c>
      <c r="E2428" s="403" t="s">
        <v>1304</v>
      </c>
      <c r="F2428" s="403" t="s">
        <v>1287</v>
      </c>
      <c r="G2428" s="403" t="s">
        <v>1466</v>
      </c>
      <c r="H2428" s="403" t="s">
        <v>1276</v>
      </c>
      <c r="I2428" s="403">
        <v>1</v>
      </c>
      <c r="J2428" s="403" t="s">
        <v>110</v>
      </c>
      <c r="K2428" s="403">
        <v>1920</v>
      </c>
      <c r="L2428" s="403">
        <v>1080</v>
      </c>
      <c r="M2428" s="403" t="s">
        <v>1279</v>
      </c>
      <c r="N2428" s="403">
        <v>768</v>
      </c>
      <c r="O2428" s="403">
        <v>432</v>
      </c>
      <c r="P2428" t="str">
        <f t="shared" si="297"/>
        <v>25fps 1080p - SD ROI PTZ</v>
      </c>
      <c r="Q2428">
        <f t="shared" si="298"/>
        <v>13</v>
      </c>
      <c r="R2428" t="str">
        <f t="shared" si="299"/>
        <v/>
      </c>
      <c r="S2428" t="str">
        <f t="shared" si="300"/>
        <v/>
      </c>
      <c r="T2428" s="403" t="str">
        <f t="shared" si="301"/>
        <v>NBN-7x023-BA</v>
      </c>
      <c r="U2428" s="403">
        <f t="shared" si="302"/>
        <v>1</v>
      </c>
      <c r="V2428" s="403" t="str">
        <f t="shared" si="303"/>
        <v>CPP_7</v>
      </c>
    </row>
    <row r="2429" spans="1:22">
      <c r="A2429" t="str">
        <f t="shared" si="296"/>
        <v>NBN-7x023-BA</v>
      </c>
      <c r="B2429" s="403" t="s">
        <v>1390</v>
      </c>
      <c r="C2429" s="403" t="s">
        <v>583</v>
      </c>
      <c r="D2429" s="403" t="s">
        <v>1308</v>
      </c>
      <c r="E2429" s="403" t="s">
        <v>1304</v>
      </c>
      <c r="F2429" s="403" t="s">
        <v>1287</v>
      </c>
      <c r="G2429" s="403" t="s">
        <v>1466</v>
      </c>
      <c r="H2429" s="403" t="s">
        <v>1276</v>
      </c>
      <c r="I2429" s="403">
        <v>1</v>
      </c>
      <c r="J2429" s="403" t="s">
        <v>110</v>
      </c>
      <c r="K2429" s="403">
        <v>1920</v>
      </c>
      <c r="L2429" s="403">
        <v>1080</v>
      </c>
      <c r="M2429" s="403" t="s">
        <v>1298</v>
      </c>
      <c r="N2429" s="403">
        <v>768</v>
      </c>
      <c r="O2429" s="403">
        <v>432</v>
      </c>
      <c r="P2429" t="str">
        <f t="shared" si="297"/>
        <v>25fps 1080p - SD dual stream with independent ROI PTZ</v>
      </c>
      <c r="Q2429">
        <f t="shared" si="298"/>
        <v>13</v>
      </c>
      <c r="R2429" t="str">
        <f t="shared" si="299"/>
        <v/>
      </c>
      <c r="S2429" t="str">
        <f t="shared" si="300"/>
        <v/>
      </c>
      <c r="T2429" s="403" t="str">
        <f t="shared" si="301"/>
        <v>NBN-7x023-BA</v>
      </c>
      <c r="U2429" s="403">
        <f t="shared" si="302"/>
        <v>1</v>
      </c>
      <c r="V2429" s="403" t="str">
        <f t="shared" si="303"/>
        <v>CPP_7</v>
      </c>
    </row>
    <row r="2430" spans="1:22">
      <c r="A2430" t="str">
        <f t="shared" si="296"/>
        <v>NBN-7x023-BA</v>
      </c>
      <c r="B2430" s="403" t="s">
        <v>1390</v>
      </c>
      <c r="C2430" s="403" t="s">
        <v>583</v>
      </c>
      <c r="D2430" s="403" t="s">
        <v>1308</v>
      </c>
      <c r="E2430" s="403" t="s">
        <v>1304</v>
      </c>
      <c r="F2430" s="403" t="s">
        <v>1287</v>
      </c>
      <c r="G2430" s="403" t="s">
        <v>1466</v>
      </c>
      <c r="H2430" s="403" t="s">
        <v>1276</v>
      </c>
      <c r="I2430" s="403">
        <v>1</v>
      </c>
      <c r="J2430" s="403" t="s">
        <v>110</v>
      </c>
      <c r="K2430" s="403">
        <v>1920</v>
      </c>
      <c r="L2430" s="403">
        <v>1080</v>
      </c>
      <c r="M2430" s="403" t="s">
        <v>1283</v>
      </c>
      <c r="N2430" s="403">
        <v>704</v>
      </c>
      <c r="O2430" s="403">
        <v>576</v>
      </c>
      <c r="P2430" t="str">
        <f t="shared" si="297"/>
        <v>25fps 1080p - SD 4CIF resolution 4:3 format (cropped)</v>
      </c>
      <c r="Q2430">
        <f t="shared" si="298"/>
        <v>13</v>
      </c>
      <c r="R2430" t="str">
        <f t="shared" si="299"/>
        <v/>
      </c>
      <c r="S2430" t="str">
        <f t="shared" si="300"/>
        <v/>
      </c>
      <c r="T2430" s="403" t="str">
        <f t="shared" si="301"/>
        <v>NBN-7x023-BA</v>
      </c>
      <c r="U2430" s="403">
        <f t="shared" si="302"/>
        <v>1</v>
      </c>
      <c r="V2430" s="403" t="str">
        <f t="shared" si="303"/>
        <v>CPP_7</v>
      </c>
    </row>
    <row r="2431" spans="1:22">
      <c r="A2431" t="str">
        <f t="shared" si="296"/>
        <v>NBN-7x023-BA</v>
      </c>
      <c r="B2431" s="403" t="s">
        <v>1390</v>
      </c>
      <c r="C2431" s="403" t="s">
        <v>583</v>
      </c>
      <c r="D2431" s="403" t="s">
        <v>1308</v>
      </c>
      <c r="E2431" s="403" t="s">
        <v>1304</v>
      </c>
      <c r="F2431" s="403" t="s">
        <v>1287</v>
      </c>
      <c r="G2431" s="403" t="s">
        <v>1466</v>
      </c>
      <c r="H2431" s="403" t="s">
        <v>1276</v>
      </c>
      <c r="I2431" s="403">
        <v>1</v>
      </c>
      <c r="J2431" s="403" t="s">
        <v>110</v>
      </c>
      <c r="K2431" s="403">
        <v>1920</v>
      </c>
      <c r="L2431" s="403">
        <v>1080</v>
      </c>
      <c r="M2431" s="403" t="s">
        <v>1284</v>
      </c>
      <c r="N2431" s="403">
        <v>640</v>
      </c>
      <c r="O2431" s="403">
        <v>480</v>
      </c>
      <c r="P2431" t="str">
        <f t="shared" si="297"/>
        <v>25fps 1080p - SD VGA (cropped)</v>
      </c>
      <c r="Q2431">
        <f t="shared" si="298"/>
        <v>13</v>
      </c>
      <c r="R2431" t="str">
        <f t="shared" si="299"/>
        <v/>
      </c>
      <c r="S2431" t="str">
        <f t="shared" si="300"/>
        <v/>
      </c>
      <c r="T2431" s="403" t="str">
        <f t="shared" si="301"/>
        <v>NBN-7x023-BA</v>
      </c>
      <c r="U2431" s="403">
        <f t="shared" si="302"/>
        <v>1</v>
      </c>
      <c r="V2431" s="403" t="str">
        <f t="shared" si="303"/>
        <v>CPP_7</v>
      </c>
    </row>
    <row r="2432" spans="1:22">
      <c r="A2432" t="str">
        <f t="shared" si="296"/>
        <v>NBN-7x023-BA</v>
      </c>
      <c r="B2432" s="403" t="s">
        <v>1390</v>
      </c>
      <c r="C2432" s="403" t="s">
        <v>583</v>
      </c>
      <c r="D2432" s="403" t="s">
        <v>1308</v>
      </c>
      <c r="E2432" s="403" t="s">
        <v>1304</v>
      </c>
      <c r="F2432" s="403" t="s">
        <v>1287</v>
      </c>
      <c r="G2432" s="403" t="s">
        <v>1466</v>
      </c>
      <c r="H2432" s="403" t="s">
        <v>1276</v>
      </c>
      <c r="I2432" s="403">
        <v>1</v>
      </c>
      <c r="J2432" s="403" t="s">
        <v>109</v>
      </c>
      <c r="K2432" s="403">
        <v>1280</v>
      </c>
      <c r="L2432" s="403">
        <v>720</v>
      </c>
      <c r="M2432" s="403" t="s">
        <v>111</v>
      </c>
      <c r="N2432" s="403">
        <v>768</v>
      </c>
      <c r="O2432" s="403">
        <v>432</v>
      </c>
      <c r="P2432" t="str">
        <f t="shared" si="297"/>
        <v>25fps 720p - SD</v>
      </c>
      <c r="Q2432">
        <f t="shared" si="298"/>
        <v>13</v>
      </c>
      <c r="R2432" t="str">
        <f t="shared" si="299"/>
        <v/>
      </c>
      <c r="S2432" t="str">
        <f t="shared" si="300"/>
        <v/>
      </c>
      <c r="T2432" s="403" t="str">
        <f t="shared" si="301"/>
        <v>NBN-7x023-BA</v>
      </c>
      <c r="U2432" s="403">
        <f t="shared" si="302"/>
        <v>1</v>
      </c>
      <c r="V2432" s="403" t="str">
        <f t="shared" si="303"/>
        <v>CPP_7</v>
      </c>
    </row>
    <row r="2433" spans="1:22">
      <c r="A2433" t="str">
        <f t="shared" si="296"/>
        <v>NBN-7x023-BA</v>
      </c>
      <c r="B2433" s="403" t="s">
        <v>1390</v>
      </c>
      <c r="C2433" s="403" t="s">
        <v>583</v>
      </c>
      <c r="D2433" s="403" t="s">
        <v>1308</v>
      </c>
      <c r="E2433" s="403" t="s">
        <v>1304</v>
      </c>
      <c r="F2433" s="403" t="s">
        <v>1287</v>
      </c>
      <c r="G2433" s="403" t="s">
        <v>1466</v>
      </c>
      <c r="H2433" s="403" t="s">
        <v>1276</v>
      </c>
      <c r="I2433" s="403">
        <v>1</v>
      </c>
      <c r="J2433" s="403" t="s">
        <v>109</v>
      </c>
      <c r="K2433" s="403">
        <v>1280</v>
      </c>
      <c r="L2433" s="403">
        <v>720</v>
      </c>
      <c r="M2433" s="403" t="s">
        <v>109</v>
      </c>
      <c r="N2433" s="403">
        <v>1280</v>
      </c>
      <c r="O2433" s="403">
        <v>720</v>
      </c>
      <c r="P2433" t="str">
        <f t="shared" si="297"/>
        <v>25fps 720p - 720p</v>
      </c>
      <c r="Q2433">
        <f t="shared" si="298"/>
        <v>13</v>
      </c>
      <c r="R2433" t="str">
        <f t="shared" si="299"/>
        <v/>
      </c>
      <c r="S2433" t="str">
        <f t="shared" si="300"/>
        <v/>
      </c>
      <c r="T2433" s="403" t="str">
        <f t="shared" si="301"/>
        <v>NBN-7x023-BA</v>
      </c>
      <c r="U2433" s="403">
        <f t="shared" si="302"/>
        <v>1</v>
      </c>
      <c r="V2433" s="403" t="str">
        <f t="shared" si="303"/>
        <v>CPP_7</v>
      </c>
    </row>
    <row r="2434" spans="1:22">
      <c r="A2434" t="str">
        <f t="shared" ref="A2434:A2497" si="304">IF(AND(G2434&lt;&gt;"rotate 90°"),D2434,"")</f>
        <v>NBN-7x023-BA</v>
      </c>
      <c r="B2434" s="403" t="s">
        <v>1390</v>
      </c>
      <c r="C2434" s="403" t="s">
        <v>583</v>
      </c>
      <c r="D2434" s="403" t="s">
        <v>1308</v>
      </c>
      <c r="E2434" s="403" t="s">
        <v>1304</v>
      </c>
      <c r="F2434" s="403" t="s">
        <v>1287</v>
      </c>
      <c r="G2434" s="403" t="s">
        <v>1466</v>
      </c>
      <c r="H2434" s="403" t="s">
        <v>1276</v>
      </c>
      <c r="I2434" s="403">
        <v>1</v>
      </c>
      <c r="J2434" s="403" t="s">
        <v>109</v>
      </c>
      <c r="K2434" s="403">
        <v>1280</v>
      </c>
      <c r="L2434" s="403">
        <v>720</v>
      </c>
      <c r="M2434" s="403" t="s">
        <v>1279</v>
      </c>
      <c r="N2434" s="403">
        <v>768</v>
      </c>
      <c r="O2434" s="403">
        <v>432</v>
      </c>
      <c r="P2434" t="str">
        <f t="shared" ref="P2434:P2497" si="305">LEFT(F2434,5)&amp;" "&amp;J2434&amp;" - "&amp;M2434</f>
        <v>25fps 720p - SD ROI PTZ</v>
      </c>
      <c r="Q2434">
        <f t="shared" ref="Q2434:Q2497" si="306">IF(A2433=A2434,Q2433,Q2433+1)</f>
        <v>13</v>
      </c>
      <c r="R2434" t="str">
        <f t="shared" ref="R2434:R2497" si="307">IF(Q2433&lt;&gt;Q2434,Q2434,"")</f>
        <v/>
      </c>
      <c r="S2434" t="str">
        <f t="shared" ref="S2434:S2497" si="308">IF(R2434&lt;&gt;"",B2434&amp;" ("&amp;D2434&amp;")","")</f>
        <v/>
      </c>
      <c r="T2434" s="403" t="str">
        <f t="shared" ref="T2434:T2497" si="309">D2434</f>
        <v>NBN-7x023-BA</v>
      </c>
      <c r="U2434" s="403">
        <f t="shared" ref="U2434:U2497" si="310">I2434</f>
        <v>1</v>
      </c>
      <c r="V2434" s="403" t="str">
        <f t="shared" ref="V2434:V2497" si="311">C2434</f>
        <v>CPP_7</v>
      </c>
    </row>
    <row r="2435" spans="1:22">
      <c r="A2435" t="str">
        <f t="shared" si="304"/>
        <v>NBN-7x023-BA</v>
      </c>
      <c r="B2435" s="403" t="s">
        <v>1390</v>
      </c>
      <c r="C2435" s="403" t="s">
        <v>583</v>
      </c>
      <c r="D2435" s="403" t="s">
        <v>1308</v>
      </c>
      <c r="E2435" s="403" t="s">
        <v>1304</v>
      </c>
      <c r="F2435" s="403" t="s">
        <v>1287</v>
      </c>
      <c r="G2435" s="403" t="s">
        <v>1466</v>
      </c>
      <c r="H2435" s="403" t="s">
        <v>1276</v>
      </c>
      <c r="I2435" s="403">
        <v>1</v>
      </c>
      <c r="J2435" s="403" t="s">
        <v>109</v>
      </c>
      <c r="K2435" s="403">
        <v>1280</v>
      </c>
      <c r="L2435" s="403">
        <v>720</v>
      </c>
      <c r="M2435" s="403" t="s">
        <v>1298</v>
      </c>
      <c r="N2435" s="403">
        <v>768</v>
      </c>
      <c r="O2435" s="403">
        <v>432</v>
      </c>
      <c r="P2435" t="str">
        <f t="shared" si="305"/>
        <v>25fps 720p - SD dual stream with independent ROI PTZ</v>
      </c>
      <c r="Q2435">
        <f t="shared" si="306"/>
        <v>13</v>
      </c>
      <c r="R2435" t="str">
        <f t="shared" si="307"/>
        <v/>
      </c>
      <c r="S2435" t="str">
        <f t="shared" si="308"/>
        <v/>
      </c>
      <c r="T2435" s="403" t="str">
        <f t="shared" si="309"/>
        <v>NBN-7x023-BA</v>
      </c>
      <c r="U2435" s="403">
        <f t="shared" si="310"/>
        <v>1</v>
      </c>
      <c r="V2435" s="403" t="str">
        <f t="shared" si="311"/>
        <v>CPP_7</v>
      </c>
    </row>
    <row r="2436" spans="1:22">
      <c r="A2436" t="str">
        <f t="shared" si="304"/>
        <v>NBN-7x023-BA</v>
      </c>
      <c r="B2436" s="403" t="s">
        <v>1390</v>
      </c>
      <c r="C2436" s="403" t="s">
        <v>583</v>
      </c>
      <c r="D2436" s="403" t="s">
        <v>1308</v>
      </c>
      <c r="E2436" s="403" t="s">
        <v>1304</v>
      </c>
      <c r="F2436" s="403" t="s">
        <v>1287</v>
      </c>
      <c r="G2436" s="403" t="s">
        <v>1466</v>
      </c>
      <c r="H2436" s="403" t="s">
        <v>1276</v>
      </c>
      <c r="I2436" s="403">
        <v>1</v>
      </c>
      <c r="J2436" s="403" t="s">
        <v>109</v>
      </c>
      <c r="K2436" s="403">
        <v>1280</v>
      </c>
      <c r="L2436" s="403">
        <v>720</v>
      </c>
      <c r="M2436" s="403" t="s">
        <v>1283</v>
      </c>
      <c r="N2436" s="403">
        <v>704</v>
      </c>
      <c r="O2436" s="403">
        <v>576</v>
      </c>
      <c r="P2436" t="str">
        <f t="shared" si="305"/>
        <v>25fps 720p - SD 4CIF resolution 4:3 format (cropped)</v>
      </c>
      <c r="Q2436">
        <f t="shared" si="306"/>
        <v>13</v>
      </c>
      <c r="R2436" t="str">
        <f t="shared" si="307"/>
        <v/>
      </c>
      <c r="S2436" t="str">
        <f t="shared" si="308"/>
        <v/>
      </c>
      <c r="T2436" s="403" t="str">
        <f t="shared" si="309"/>
        <v>NBN-7x023-BA</v>
      </c>
      <c r="U2436" s="403">
        <f t="shared" si="310"/>
        <v>1</v>
      </c>
      <c r="V2436" s="403" t="str">
        <f t="shared" si="311"/>
        <v>CPP_7</v>
      </c>
    </row>
    <row r="2437" spans="1:22">
      <c r="A2437" t="str">
        <f t="shared" si="304"/>
        <v>NBN-7x023-BA</v>
      </c>
      <c r="B2437" s="403" t="s">
        <v>1390</v>
      </c>
      <c r="C2437" s="403" t="s">
        <v>583</v>
      </c>
      <c r="D2437" s="403" t="s">
        <v>1308</v>
      </c>
      <c r="E2437" s="403" t="s">
        <v>1304</v>
      </c>
      <c r="F2437" s="403" t="s">
        <v>1287</v>
      </c>
      <c r="G2437" s="403" t="s">
        <v>1466</v>
      </c>
      <c r="H2437" s="403" t="s">
        <v>1276</v>
      </c>
      <c r="I2437" s="403">
        <v>1</v>
      </c>
      <c r="J2437" s="403" t="s">
        <v>109</v>
      </c>
      <c r="K2437" s="403">
        <v>1280</v>
      </c>
      <c r="L2437" s="403">
        <v>720</v>
      </c>
      <c r="M2437" s="403" t="s">
        <v>1284</v>
      </c>
      <c r="N2437" s="403">
        <v>640</v>
      </c>
      <c r="O2437" s="403">
        <v>480</v>
      </c>
      <c r="P2437" t="str">
        <f t="shared" si="305"/>
        <v>25fps 720p - SD VGA (cropped)</v>
      </c>
      <c r="Q2437">
        <f t="shared" si="306"/>
        <v>13</v>
      </c>
      <c r="R2437" t="str">
        <f t="shared" si="307"/>
        <v/>
      </c>
      <c r="S2437" t="str">
        <f t="shared" si="308"/>
        <v/>
      </c>
      <c r="T2437" s="403" t="str">
        <f t="shared" si="309"/>
        <v>NBN-7x023-BA</v>
      </c>
      <c r="U2437" s="403">
        <f t="shared" si="310"/>
        <v>1</v>
      </c>
      <c r="V2437" s="403" t="str">
        <f t="shared" si="311"/>
        <v>CPP_7</v>
      </c>
    </row>
    <row r="2438" spans="1:22">
      <c r="A2438" t="str">
        <f t="shared" si="304"/>
        <v>NBN-7x023-BA</v>
      </c>
      <c r="B2438" s="403" t="s">
        <v>1390</v>
      </c>
      <c r="C2438" s="403" t="s">
        <v>583</v>
      </c>
      <c r="D2438" s="403" t="s">
        <v>1308</v>
      </c>
      <c r="E2438" s="403" t="s">
        <v>1304</v>
      </c>
      <c r="F2438" s="403" t="s">
        <v>1287</v>
      </c>
      <c r="G2438" s="403" t="s">
        <v>1466</v>
      </c>
      <c r="H2438" s="403" t="s">
        <v>1276</v>
      </c>
      <c r="I2438" s="403">
        <v>1</v>
      </c>
      <c r="J2438" s="403" t="s">
        <v>111</v>
      </c>
      <c r="K2438" s="403">
        <v>768</v>
      </c>
      <c r="L2438" s="403">
        <v>432</v>
      </c>
      <c r="M2438" s="403" t="s">
        <v>111</v>
      </c>
      <c r="N2438" s="403">
        <v>768</v>
      </c>
      <c r="O2438" s="403">
        <v>432</v>
      </c>
      <c r="P2438" t="str">
        <f t="shared" si="305"/>
        <v>25fps SD - SD</v>
      </c>
      <c r="Q2438">
        <f t="shared" si="306"/>
        <v>13</v>
      </c>
      <c r="R2438" t="str">
        <f t="shared" si="307"/>
        <v/>
      </c>
      <c r="S2438" t="str">
        <f t="shared" si="308"/>
        <v/>
      </c>
      <c r="T2438" s="403" t="str">
        <f t="shared" si="309"/>
        <v>NBN-7x023-BA</v>
      </c>
      <c r="U2438" s="403">
        <f t="shared" si="310"/>
        <v>1</v>
      </c>
      <c r="V2438" s="403" t="str">
        <f t="shared" si="311"/>
        <v>CPP_7</v>
      </c>
    </row>
    <row r="2439" spans="1:22">
      <c r="A2439" t="str">
        <f t="shared" si="304"/>
        <v>NBN-7x023-BA</v>
      </c>
      <c r="B2439" s="403" t="s">
        <v>1390</v>
      </c>
      <c r="C2439" s="403" t="s">
        <v>583</v>
      </c>
      <c r="D2439" s="403" t="s">
        <v>1308</v>
      </c>
      <c r="E2439" s="403" t="s">
        <v>1304</v>
      </c>
      <c r="F2439" s="403" t="s">
        <v>1287</v>
      </c>
      <c r="G2439" s="403" t="s">
        <v>1467</v>
      </c>
      <c r="H2439" s="403" t="s">
        <v>1276</v>
      </c>
      <c r="I2439" s="403">
        <v>1</v>
      </c>
      <c r="J2439" s="403" t="s">
        <v>110</v>
      </c>
      <c r="K2439" s="403">
        <v>1080</v>
      </c>
      <c r="L2439" s="403">
        <v>1920</v>
      </c>
      <c r="M2439" s="403" t="s">
        <v>111</v>
      </c>
      <c r="N2439" s="403">
        <v>432</v>
      </c>
      <c r="O2439" s="403">
        <v>768</v>
      </c>
      <c r="P2439" t="str">
        <f t="shared" si="305"/>
        <v>25fps 1080p - SD</v>
      </c>
      <c r="Q2439">
        <f t="shared" si="306"/>
        <v>13</v>
      </c>
      <c r="R2439" t="str">
        <f t="shared" si="307"/>
        <v/>
      </c>
      <c r="S2439" t="str">
        <f t="shared" si="308"/>
        <v/>
      </c>
      <c r="T2439" s="403" t="str">
        <f t="shared" si="309"/>
        <v>NBN-7x023-BA</v>
      </c>
      <c r="U2439" s="403">
        <f t="shared" si="310"/>
        <v>1</v>
      </c>
      <c r="V2439" s="403" t="str">
        <f t="shared" si="311"/>
        <v>CPP_7</v>
      </c>
    </row>
    <row r="2440" spans="1:22">
      <c r="A2440" t="str">
        <f t="shared" si="304"/>
        <v>NBN-7x023-BA</v>
      </c>
      <c r="B2440" s="403" t="s">
        <v>1390</v>
      </c>
      <c r="C2440" s="403" t="s">
        <v>583</v>
      </c>
      <c r="D2440" s="403" t="s">
        <v>1308</v>
      </c>
      <c r="E2440" s="403" t="s">
        <v>1304</v>
      </c>
      <c r="F2440" s="403" t="s">
        <v>1287</v>
      </c>
      <c r="G2440" s="403" t="s">
        <v>1467</v>
      </c>
      <c r="H2440" s="403" t="s">
        <v>1276</v>
      </c>
      <c r="I2440" s="403">
        <v>1</v>
      </c>
      <c r="J2440" s="403" t="s">
        <v>110</v>
      </c>
      <c r="K2440" s="403">
        <v>1080</v>
      </c>
      <c r="L2440" s="403">
        <v>1920</v>
      </c>
      <c r="M2440" s="403" t="s">
        <v>110</v>
      </c>
      <c r="N2440" s="403">
        <v>1080</v>
      </c>
      <c r="O2440" s="403">
        <v>1920</v>
      </c>
      <c r="P2440" t="str">
        <f t="shared" si="305"/>
        <v>25fps 1080p - 1080p</v>
      </c>
      <c r="Q2440">
        <f t="shared" si="306"/>
        <v>13</v>
      </c>
      <c r="R2440" t="str">
        <f t="shared" si="307"/>
        <v/>
      </c>
      <c r="S2440" t="str">
        <f t="shared" si="308"/>
        <v/>
      </c>
      <c r="T2440" s="403" t="str">
        <f t="shared" si="309"/>
        <v>NBN-7x023-BA</v>
      </c>
      <c r="U2440" s="403">
        <f t="shared" si="310"/>
        <v>1</v>
      </c>
      <c r="V2440" s="403" t="str">
        <f t="shared" si="311"/>
        <v>CPP_7</v>
      </c>
    </row>
    <row r="2441" spans="1:22">
      <c r="A2441" t="str">
        <f t="shared" si="304"/>
        <v>NBN-7x023-BA</v>
      </c>
      <c r="B2441" s="403" t="s">
        <v>1390</v>
      </c>
      <c r="C2441" s="403" t="s">
        <v>583</v>
      </c>
      <c r="D2441" s="403" t="s">
        <v>1308</v>
      </c>
      <c r="E2441" s="403" t="s">
        <v>1304</v>
      </c>
      <c r="F2441" s="403" t="s">
        <v>1287</v>
      </c>
      <c r="G2441" s="403" t="s">
        <v>1467</v>
      </c>
      <c r="H2441" s="403" t="s">
        <v>1276</v>
      </c>
      <c r="I2441" s="403">
        <v>1</v>
      </c>
      <c r="J2441" s="403" t="s">
        <v>110</v>
      </c>
      <c r="K2441" s="403">
        <v>1080</v>
      </c>
      <c r="L2441" s="403">
        <v>1920</v>
      </c>
      <c r="M2441" s="403" t="s">
        <v>109</v>
      </c>
      <c r="N2441" s="403">
        <v>720</v>
      </c>
      <c r="O2441" s="403">
        <v>1280</v>
      </c>
      <c r="P2441" t="str">
        <f t="shared" si="305"/>
        <v>25fps 1080p - 720p</v>
      </c>
      <c r="Q2441">
        <f t="shared" si="306"/>
        <v>13</v>
      </c>
      <c r="R2441" t="str">
        <f t="shared" si="307"/>
        <v/>
      </c>
      <c r="S2441" t="str">
        <f t="shared" si="308"/>
        <v/>
      </c>
      <c r="T2441" s="403" t="str">
        <f t="shared" si="309"/>
        <v>NBN-7x023-BA</v>
      </c>
      <c r="U2441" s="403">
        <f t="shared" si="310"/>
        <v>1</v>
      </c>
      <c r="V2441" s="403" t="str">
        <f t="shared" si="311"/>
        <v>CPP_7</v>
      </c>
    </row>
    <row r="2442" spans="1:22">
      <c r="A2442" t="str">
        <f t="shared" si="304"/>
        <v>NBN-7x023-BA</v>
      </c>
      <c r="B2442" s="403" t="s">
        <v>1390</v>
      </c>
      <c r="C2442" s="403" t="s">
        <v>583</v>
      </c>
      <c r="D2442" s="403" t="s">
        <v>1308</v>
      </c>
      <c r="E2442" s="403" t="s">
        <v>1304</v>
      </c>
      <c r="F2442" s="403" t="s">
        <v>1287</v>
      </c>
      <c r="G2442" s="403" t="s">
        <v>1467</v>
      </c>
      <c r="H2442" s="403" t="s">
        <v>1276</v>
      </c>
      <c r="I2442" s="403">
        <v>1</v>
      </c>
      <c r="J2442" s="403" t="s">
        <v>110</v>
      </c>
      <c r="K2442" s="403">
        <v>1080</v>
      </c>
      <c r="L2442" s="403">
        <v>1920</v>
      </c>
      <c r="M2442" s="403" t="s">
        <v>1279</v>
      </c>
      <c r="N2442" s="403">
        <v>432</v>
      </c>
      <c r="O2442" s="403">
        <v>768</v>
      </c>
      <c r="P2442" t="str">
        <f t="shared" si="305"/>
        <v>25fps 1080p - SD ROI PTZ</v>
      </c>
      <c r="Q2442">
        <f t="shared" si="306"/>
        <v>13</v>
      </c>
      <c r="R2442" t="str">
        <f t="shared" si="307"/>
        <v/>
      </c>
      <c r="S2442" t="str">
        <f t="shared" si="308"/>
        <v/>
      </c>
      <c r="T2442" s="403" t="str">
        <f t="shared" si="309"/>
        <v>NBN-7x023-BA</v>
      </c>
      <c r="U2442" s="403">
        <f t="shared" si="310"/>
        <v>1</v>
      </c>
      <c r="V2442" s="403" t="str">
        <f t="shared" si="311"/>
        <v>CPP_7</v>
      </c>
    </row>
    <row r="2443" spans="1:22">
      <c r="A2443" t="str">
        <f t="shared" si="304"/>
        <v>NBN-7x023-BA</v>
      </c>
      <c r="B2443" s="403" t="s">
        <v>1390</v>
      </c>
      <c r="C2443" s="403" t="s">
        <v>583</v>
      </c>
      <c r="D2443" s="403" t="s">
        <v>1308</v>
      </c>
      <c r="E2443" s="403" t="s">
        <v>1304</v>
      </c>
      <c r="F2443" s="403" t="s">
        <v>1287</v>
      </c>
      <c r="G2443" s="403" t="s">
        <v>1467</v>
      </c>
      <c r="H2443" s="403" t="s">
        <v>1276</v>
      </c>
      <c r="I2443" s="403">
        <v>1</v>
      </c>
      <c r="J2443" s="403" t="s">
        <v>110</v>
      </c>
      <c r="K2443" s="403">
        <v>1080</v>
      </c>
      <c r="L2443" s="403">
        <v>1920</v>
      </c>
      <c r="M2443" s="403" t="s">
        <v>1298</v>
      </c>
      <c r="N2443" s="403">
        <v>432</v>
      </c>
      <c r="O2443" s="403">
        <v>768</v>
      </c>
      <c r="P2443" t="str">
        <f t="shared" si="305"/>
        <v>25fps 1080p - SD dual stream with independent ROI PTZ</v>
      </c>
      <c r="Q2443">
        <f t="shared" si="306"/>
        <v>13</v>
      </c>
      <c r="R2443" t="str">
        <f t="shared" si="307"/>
        <v/>
      </c>
      <c r="S2443" t="str">
        <f t="shared" si="308"/>
        <v/>
      </c>
      <c r="T2443" s="403" t="str">
        <f t="shared" si="309"/>
        <v>NBN-7x023-BA</v>
      </c>
      <c r="U2443" s="403">
        <f t="shared" si="310"/>
        <v>1</v>
      </c>
      <c r="V2443" s="403" t="str">
        <f t="shared" si="311"/>
        <v>CPP_7</v>
      </c>
    </row>
    <row r="2444" spans="1:22">
      <c r="A2444" t="str">
        <f t="shared" si="304"/>
        <v>NBN-7x023-BA</v>
      </c>
      <c r="B2444" s="403" t="s">
        <v>1390</v>
      </c>
      <c r="C2444" s="403" t="s">
        <v>583</v>
      </c>
      <c r="D2444" s="403" t="s">
        <v>1308</v>
      </c>
      <c r="E2444" s="403" t="s">
        <v>1304</v>
      </c>
      <c r="F2444" s="403" t="s">
        <v>1287</v>
      </c>
      <c r="G2444" s="403" t="s">
        <v>1467</v>
      </c>
      <c r="H2444" s="403" t="s">
        <v>1276</v>
      </c>
      <c r="I2444" s="403">
        <v>1</v>
      </c>
      <c r="J2444" s="403" t="s">
        <v>110</v>
      </c>
      <c r="K2444" s="403">
        <v>1080</v>
      </c>
      <c r="L2444" s="403">
        <v>1920</v>
      </c>
      <c r="M2444" s="403" t="s">
        <v>1283</v>
      </c>
      <c r="N2444" s="403">
        <v>576</v>
      </c>
      <c r="O2444" s="403">
        <v>704</v>
      </c>
      <c r="P2444" t="str">
        <f t="shared" si="305"/>
        <v>25fps 1080p - SD 4CIF resolution 4:3 format (cropped)</v>
      </c>
      <c r="Q2444">
        <f t="shared" si="306"/>
        <v>13</v>
      </c>
      <c r="R2444" t="str">
        <f t="shared" si="307"/>
        <v/>
      </c>
      <c r="S2444" t="str">
        <f t="shared" si="308"/>
        <v/>
      </c>
      <c r="T2444" s="403" t="str">
        <f t="shared" si="309"/>
        <v>NBN-7x023-BA</v>
      </c>
      <c r="U2444" s="403">
        <f t="shared" si="310"/>
        <v>1</v>
      </c>
      <c r="V2444" s="403" t="str">
        <f t="shared" si="311"/>
        <v>CPP_7</v>
      </c>
    </row>
    <row r="2445" spans="1:22">
      <c r="A2445" t="str">
        <f t="shared" si="304"/>
        <v>NBN-7x023-BA</v>
      </c>
      <c r="B2445" s="403" t="s">
        <v>1390</v>
      </c>
      <c r="C2445" s="403" t="s">
        <v>583</v>
      </c>
      <c r="D2445" s="403" t="s">
        <v>1308</v>
      </c>
      <c r="E2445" s="403" t="s">
        <v>1304</v>
      </c>
      <c r="F2445" s="403" t="s">
        <v>1287</v>
      </c>
      <c r="G2445" s="403" t="s">
        <v>1467</v>
      </c>
      <c r="H2445" s="403" t="s">
        <v>1276</v>
      </c>
      <c r="I2445" s="403">
        <v>1</v>
      </c>
      <c r="J2445" s="403" t="s">
        <v>110</v>
      </c>
      <c r="K2445" s="403">
        <v>1080</v>
      </c>
      <c r="L2445" s="403">
        <v>1920</v>
      </c>
      <c r="M2445" s="403" t="s">
        <v>1284</v>
      </c>
      <c r="N2445" s="403">
        <v>480</v>
      </c>
      <c r="O2445" s="403">
        <v>640</v>
      </c>
      <c r="P2445" t="str">
        <f t="shared" si="305"/>
        <v>25fps 1080p - SD VGA (cropped)</v>
      </c>
      <c r="Q2445">
        <f t="shared" si="306"/>
        <v>13</v>
      </c>
      <c r="R2445" t="str">
        <f t="shared" si="307"/>
        <v/>
      </c>
      <c r="S2445" t="str">
        <f t="shared" si="308"/>
        <v/>
      </c>
      <c r="T2445" s="403" t="str">
        <f t="shared" si="309"/>
        <v>NBN-7x023-BA</v>
      </c>
      <c r="U2445" s="403">
        <f t="shared" si="310"/>
        <v>1</v>
      </c>
      <c r="V2445" s="403" t="str">
        <f t="shared" si="311"/>
        <v>CPP_7</v>
      </c>
    </row>
    <row r="2446" spans="1:22">
      <c r="A2446" t="str">
        <f t="shared" si="304"/>
        <v>NBN-7x023-BA</v>
      </c>
      <c r="B2446" s="403" t="s">
        <v>1390</v>
      </c>
      <c r="C2446" s="403" t="s">
        <v>583</v>
      </c>
      <c r="D2446" s="403" t="s">
        <v>1308</v>
      </c>
      <c r="E2446" s="403" t="s">
        <v>1304</v>
      </c>
      <c r="F2446" s="403" t="s">
        <v>1287</v>
      </c>
      <c r="G2446" s="403" t="s">
        <v>1467</v>
      </c>
      <c r="H2446" s="403" t="s">
        <v>1276</v>
      </c>
      <c r="I2446" s="403">
        <v>1</v>
      </c>
      <c r="J2446" s="403" t="s">
        <v>109</v>
      </c>
      <c r="K2446" s="403">
        <v>720</v>
      </c>
      <c r="L2446" s="403">
        <v>1280</v>
      </c>
      <c r="M2446" s="403" t="s">
        <v>111</v>
      </c>
      <c r="N2446" s="403">
        <v>432</v>
      </c>
      <c r="O2446" s="403">
        <v>768</v>
      </c>
      <c r="P2446" t="str">
        <f t="shared" si="305"/>
        <v>25fps 720p - SD</v>
      </c>
      <c r="Q2446">
        <f t="shared" si="306"/>
        <v>13</v>
      </c>
      <c r="R2446" t="str">
        <f t="shared" si="307"/>
        <v/>
      </c>
      <c r="S2446" t="str">
        <f t="shared" si="308"/>
        <v/>
      </c>
      <c r="T2446" s="403" t="str">
        <f t="shared" si="309"/>
        <v>NBN-7x023-BA</v>
      </c>
      <c r="U2446" s="403">
        <f t="shared" si="310"/>
        <v>1</v>
      </c>
      <c r="V2446" s="403" t="str">
        <f t="shared" si="311"/>
        <v>CPP_7</v>
      </c>
    </row>
    <row r="2447" spans="1:22">
      <c r="A2447" t="str">
        <f t="shared" si="304"/>
        <v>NBN-7x023-BA</v>
      </c>
      <c r="B2447" s="403" t="s">
        <v>1390</v>
      </c>
      <c r="C2447" s="403" t="s">
        <v>583</v>
      </c>
      <c r="D2447" s="403" t="s">
        <v>1308</v>
      </c>
      <c r="E2447" s="403" t="s">
        <v>1304</v>
      </c>
      <c r="F2447" s="403" t="s">
        <v>1287</v>
      </c>
      <c r="G2447" s="403" t="s">
        <v>1467</v>
      </c>
      <c r="H2447" s="403" t="s">
        <v>1276</v>
      </c>
      <c r="I2447" s="403">
        <v>1</v>
      </c>
      <c r="J2447" s="403" t="s">
        <v>109</v>
      </c>
      <c r="K2447" s="403">
        <v>720</v>
      </c>
      <c r="L2447" s="403">
        <v>1280</v>
      </c>
      <c r="M2447" s="403" t="s">
        <v>109</v>
      </c>
      <c r="N2447" s="403">
        <v>720</v>
      </c>
      <c r="O2447" s="403">
        <v>1280</v>
      </c>
      <c r="P2447" t="str">
        <f t="shared" si="305"/>
        <v>25fps 720p - 720p</v>
      </c>
      <c r="Q2447">
        <f t="shared" si="306"/>
        <v>13</v>
      </c>
      <c r="R2447" t="str">
        <f t="shared" si="307"/>
        <v/>
      </c>
      <c r="S2447" t="str">
        <f t="shared" si="308"/>
        <v/>
      </c>
      <c r="T2447" s="403" t="str">
        <f t="shared" si="309"/>
        <v>NBN-7x023-BA</v>
      </c>
      <c r="U2447" s="403">
        <f t="shared" si="310"/>
        <v>1</v>
      </c>
      <c r="V2447" s="403" t="str">
        <f t="shared" si="311"/>
        <v>CPP_7</v>
      </c>
    </row>
    <row r="2448" spans="1:22">
      <c r="A2448" t="str">
        <f t="shared" si="304"/>
        <v>NBN-7x023-BA</v>
      </c>
      <c r="B2448" s="403" t="s">
        <v>1390</v>
      </c>
      <c r="C2448" s="403" t="s">
        <v>583</v>
      </c>
      <c r="D2448" s="403" t="s">
        <v>1308</v>
      </c>
      <c r="E2448" s="403" t="s">
        <v>1304</v>
      </c>
      <c r="F2448" s="403" t="s">
        <v>1287</v>
      </c>
      <c r="G2448" s="403" t="s">
        <v>1467</v>
      </c>
      <c r="H2448" s="403" t="s">
        <v>1276</v>
      </c>
      <c r="I2448" s="403">
        <v>1</v>
      </c>
      <c r="J2448" s="403" t="s">
        <v>109</v>
      </c>
      <c r="K2448" s="403">
        <v>720</v>
      </c>
      <c r="L2448" s="403">
        <v>1280</v>
      </c>
      <c r="M2448" s="403" t="s">
        <v>1279</v>
      </c>
      <c r="N2448" s="403">
        <v>432</v>
      </c>
      <c r="O2448" s="403">
        <v>768</v>
      </c>
      <c r="P2448" t="str">
        <f t="shared" si="305"/>
        <v>25fps 720p - SD ROI PTZ</v>
      </c>
      <c r="Q2448">
        <f t="shared" si="306"/>
        <v>13</v>
      </c>
      <c r="R2448" t="str">
        <f t="shared" si="307"/>
        <v/>
      </c>
      <c r="S2448" t="str">
        <f t="shared" si="308"/>
        <v/>
      </c>
      <c r="T2448" s="403" t="str">
        <f t="shared" si="309"/>
        <v>NBN-7x023-BA</v>
      </c>
      <c r="U2448" s="403">
        <f t="shared" si="310"/>
        <v>1</v>
      </c>
      <c r="V2448" s="403" t="str">
        <f t="shared" si="311"/>
        <v>CPP_7</v>
      </c>
    </row>
    <row r="2449" spans="1:22">
      <c r="A2449" t="str">
        <f t="shared" si="304"/>
        <v>NBN-7x023-BA</v>
      </c>
      <c r="B2449" s="403" t="s">
        <v>1390</v>
      </c>
      <c r="C2449" s="403" t="s">
        <v>583</v>
      </c>
      <c r="D2449" s="403" t="s">
        <v>1308</v>
      </c>
      <c r="E2449" s="403" t="s">
        <v>1304</v>
      </c>
      <c r="F2449" s="403" t="s">
        <v>1287</v>
      </c>
      <c r="G2449" s="403" t="s">
        <v>1467</v>
      </c>
      <c r="H2449" s="403" t="s">
        <v>1276</v>
      </c>
      <c r="I2449" s="403">
        <v>1</v>
      </c>
      <c r="J2449" s="403" t="s">
        <v>109</v>
      </c>
      <c r="K2449" s="403">
        <v>720</v>
      </c>
      <c r="L2449" s="403">
        <v>1280</v>
      </c>
      <c r="M2449" s="403" t="s">
        <v>1298</v>
      </c>
      <c r="N2449" s="403">
        <v>432</v>
      </c>
      <c r="O2449" s="403">
        <v>768</v>
      </c>
      <c r="P2449" t="str">
        <f t="shared" si="305"/>
        <v>25fps 720p - SD dual stream with independent ROI PTZ</v>
      </c>
      <c r="Q2449">
        <f t="shared" si="306"/>
        <v>13</v>
      </c>
      <c r="R2449" t="str">
        <f t="shared" si="307"/>
        <v/>
      </c>
      <c r="S2449" t="str">
        <f t="shared" si="308"/>
        <v/>
      </c>
      <c r="T2449" s="403" t="str">
        <f t="shared" si="309"/>
        <v>NBN-7x023-BA</v>
      </c>
      <c r="U2449" s="403">
        <f t="shared" si="310"/>
        <v>1</v>
      </c>
      <c r="V2449" s="403" t="str">
        <f t="shared" si="311"/>
        <v>CPP_7</v>
      </c>
    </row>
    <row r="2450" spans="1:22">
      <c r="A2450" t="str">
        <f t="shared" si="304"/>
        <v>NBN-7x023-BA</v>
      </c>
      <c r="B2450" s="403" t="s">
        <v>1390</v>
      </c>
      <c r="C2450" s="403" t="s">
        <v>583</v>
      </c>
      <c r="D2450" s="403" t="s">
        <v>1308</v>
      </c>
      <c r="E2450" s="403" t="s">
        <v>1304</v>
      </c>
      <c r="F2450" s="403" t="s">
        <v>1287</v>
      </c>
      <c r="G2450" s="403" t="s">
        <v>1467</v>
      </c>
      <c r="H2450" s="403" t="s">
        <v>1276</v>
      </c>
      <c r="I2450" s="403">
        <v>1</v>
      </c>
      <c r="J2450" s="403" t="s">
        <v>109</v>
      </c>
      <c r="K2450" s="403">
        <v>720</v>
      </c>
      <c r="L2450" s="403">
        <v>1280</v>
      </c>
      <c r="M2450" s="403" t="s">
        <v>1283</v>
      </c>
      <c r="N2450" s="403">
        <v>576</v>
      </c>
      <c r="O2450" s="403">
        <v>704</v>
      </c>
      <c r="P2450" t="str">
        <f t="shared" si="305"/>
        <v>25fps 720p - SD 4CIF resolution 4:3 format (cropped)</v>
      </c>
      <c r="Q2450">
        <f t="shared" si="306"/>
        <v>13</v>
      </c>
      <c r="R2450" t="str">
        <f t="shared" si="307"/>
        <v/>
      </c>
      <c r="S2450" t="str">
        <f t="shared" si="308"/>
        <v/>
      </c>
      <c r="T2450" s="403" t="str">
        <f t="shared" si="309"/>
        <v>NBN-7x023-BA</v>
      </c>
      <c r="U2450" s="403">
        <f t="shared" si="310"/>
        <v>1</v>
      </c>
      <c r="V2450" s="403" t="str">
        <f t="shared" si="311"/>
        <v>CPP_7</v>
      </c>
    </row>
    <row r="2451" spans="1:22">
      <c r="A2451" t="str">
        <f t="shared" si="304"/>
        <v>NBN-7x023-BA</v>
      </c>
      <c r="B2451" s="403" t="s">
        <v>1390</v>
      </c>
      <c r="C2451" s="403" t="s">
        <v>583</v>
      </c>
      <c r="D2451" s="403" t="s">
        <v>1308</v>
      </c>
      <c r="E2451" s="403" t="s">
        <v>1304</v>
      </c>
      <c r="F2451" s="403" t="s">
        <v>1287</v>
      </c>
      <c r="G2451" s="403" t="s">
        <v>1467</v>
      </c>
      <c r="H2451" s="403" t="s">
        <v>1276</v>
      </c>
      <c r="I2451" s="403">
        <v>1</v>
      </c>
      <c r="J2451" s="403" t="s">
        <v>109</v>
      </c>
      <c r="K2451" s="403">
        <v>720</v>
      </c>
      <c r="L2451" s="403">
        <v>1280</v>
      </c>
      <c r="M2451" s="403" t="s">
        <v>1284</v>
      </c>
      <c r="N2451" s="403">
        <v>480</v>
      </c>
      <c r="O2451" s="403">
        <v>640</v>
      </c>
      <c r="P2451" t="str">
        <f t="shared" si="305"/>
        <v>25fps 720p - SD VGA (cropped)</v>
      </c>
      <c r="Q2451">
        <f t="shared" si="306"/>
        <v>13</v>
      </c>
      <c r="R2451" t="str">
        <f t="shared" si="307"/>
        <v/>
      </c>
      <c r="S2451" t="str">
        <f t="shared" si="308"/>
        <v/>
      </c>
      <c r="T2451" s="403" t="str">
        <f t="shared" si="309"/>
        <v>NBN-7x023-BA</v>
      </c>
      <c r="U2451" s="403">
        <f t="shared" si="310"/>
        <v>1</v>
      </c>
      <c r="V2451" s="403" t="str">
        <f t="shared" si="311"/>
        <v>CPP_7</v>
      </c>
    </row>
    <row r="2452" spans="1:22">
      <c r="A2452" t="str">
        <f t="shared" si="304"/>
        <v>NBN-7x023-BA</v>
      </c>
      <c r="B2452" s="403" t="s">
        <v>1390</v>
      </c>
      <c r="C2452" s="403" t="s">
        <v>583</v>
      </c>
      <c r="D2452" s="403" t="s">
        <v>1308</v>
      </c>
      <c r="E2452" s="403" t="s">
        <v>1304</v>
      </c>
      <c r="F2452" s="403" t="s">
        <v>1287</v>
      </c>
      <c r="G2452" s="403" t="s">
        <v>1467</v>
      </c>
      <c r="H2452" s="403" t="s">
        <v>1276</v>
      </c>
      <c r="I2452" s="403">
        <v>1</v>
      </c>
      <c r="J2452" s="403" t="s">
        <v>111</v>
      </c>
      <c r="K2452" s="403">
        <v>432</v>
      </c>
      <c r="L2452" s="403">
        <v>768</v>
      </c>
      <c r="M2452" s="403" t="s">
        <v>111</v>
      </c>
      <c r="N2452" s="403">
        <v>432</v>
      </c>
      <c r="O2452" s="403">
        <v>768</v>
      </c>
      <c r="P2452" t="str">
        <f t="shared" si="305"/>
        <v>25fps SD - SD</v>
      </c>
      <c r="Q2452">
        <f t="shared" si="306"/>
        <v>13</v>
      </c>
      <c r="R2452" t="str">
        <f t="shared" si="307"/>
        <v/>
      </c>
      <c r="S2452" t="str">
        <f t="shared" si="308"/>
        <v/>
      </c>
      <c r="T2452" s="403" t="str">
        <f t="shared" si="309"/>
        <v>NBN-7x023-BA</v>
      </c>
      <c r="U2452" s="403">
        <f t="shared" si="310"/>
        <v>1</v>
      </c>
      <c r="V2452" s="403" t="str">
        <f t="shared" si="311"/>
        <v>CPP_7</v>
      </c>
    </row>
    <row r="2453" spans="1:22">
      <c r="A2453" t="str">
        <f t="shared" si="304"/>
        <v>NBN-80052-BA</v>
      </c>
      <c r="B2453" s="403" t="s">
        <v>1391</v>
      </c>
      <c r="C2453" s="403" t="s">
        <v>584</v>
      </c>
      <c r="D2453" s="403" t="s">
        <v>902</v>
      </c>
      <c r="E2453" s="403" t="s">
        <v>1392</v>
      </c>
      <c r="F2453" s="403" t="s">
        <v>1393</v>
      </c>
      <c r="G2453" s="403" t="s">
        <v>1466</v>
      </c>
      <c r="H2453" s="403" t="s">
        <v>1276</v>
      </c>
      <c r="I2453" s="403">
        <v>1</v>
      </c>
      <c r="J2453" s="403" t="s">
        <v>1394</v>
      </c>
      <c r="K2453" s="403">
        <v>2992</v>
      </c>
      <c r="L2453" s="403">
        <v>1680</v>
      </c>
      <c r="M2453" s="403" t="s">
        <v>110</v>
      </c>
      <c r="N2453" s="403">
        <v>1920</v>
      </c>
      <c r="O2453" s="403">
        <v>1080</v>
      </c>
      <c r="P2453" t="str">
        <f t="shared" si="305"/>
        <v>30fps 2992x1680 - 1080p</v>
      </c>
      <c r="Q2453">
        <f t="shared" si="306"/>
        <v>14</v>
      </c>
      <c r="R2453">
        <f t="shared" si="307"/>
        <v>14</v>
      </c>
      <c r="S2453" t="str">
        <f t="shared" si="308"/>
        <v>DINION IP starlight 8000 MP (NBN-80052-BA)</v>
      </c>
      <c r="T2453" s="403" t="str">
        <f t="shared" si="309"/>
        <v>NBN-80052-BA</v>
      </c>
      <c r="U2453" s="403">
        <f t="shared" si="310"/>
        <v>1</v>
      </c>
      <c r="V2453" s="403" t="str">
        <f t="shared" si="311"/>
        <v>CPP_6</v>
      </c>
    </row>
    <row r="2454" spans="1:22">
      <c r="A2454" t="str">
        <f t="shared" si="304"/>
        <v>NBN-80052-BA</v>
      </c>
      <c r="B2454" s="403" t="s">
        <v>1391</v>
      </c>
      <c r="C2454" s="403" t="s">
        <v>584</v>
      </c>
      <c r="D2454" s="403" t="s">
        <v>902</v>
      </c>
      <c r="E2454" s="403" t="s">
        <v>1392</v>
      </c>
      <c r="F2454" s="403" t="s">
        <v>1393</v>
      </c>
      <c r="G2454" s="403" t="s">
        <v>1466</v>
      </c>
      <c r="H2454" s="403" t="s">
        <v>1276</v>
      </c>
      <c r="I2454" s="403">
        <v>1</v>
      </c>
      <c r="J2454" s="403" t="s">
        <v>1394</v>
      </c>
      <c r="K2454" s="403">
        <v>2992</v>
      </c>
      <c r="L2454" s="403">
        <v>1680</v>
      </c>
      <c r="M2454" s="403" t="s">
        <v>1395</v>
      </c>
      <c r="N2454" s="403">
        <v>2992</v>
      </c>
      <c r="O2454" s="403">
        <v>1680</v>
      </c>
      <c r="P2454" t="str">
        <f t="shared" si="305"/>
        <v>30fps 2992x1680 - 2992x1680 @ SKIP 3</v>
      </c>
      <c r="Q2454">
        <f t="shared" si="306"/>
        <v>14</v>
      </c>
      <c r="R2454" t="str">
        <f t="shared" si="307"/>
        <v/>
      </c>
      <c r="S2454" t="str">
        <f t="shared" si="308"/>
        <v/>
      </c>
      <c r="T2454" s="403" t="str">
        <f t="shared" si="309"/>
        <v>NBN-80052-BA</v>
      </c>
      <c r="U2454" s="403">
        <f t="shared" si="310"/>
        <v>1</v>
      </c>
      <c r="V2454" s="403" t="str">
        <f t="shared" si="311"/>
        <v>CPP_6</v>
      </c>
    </row>
    <row r="2455" spans="1:22">
      <c r="A2455" t="str">
        <f t="shared" si="304"/>
        <v>NBN-80052-BA</v>
      </c>
      <c r="B2455" s="403" t="s">
        <v>1391</v>
      </c>
      <c r="C2455" s="403" t="s">
        <v>584</v>
      </c>
      <c r="D2455" s="403" t="s">
        <v>902</v>
      </c>
      <c r="E2455" s="403" t="s">
        <v>1392</v>
      </c>
      <c r="F2455" s="403" t="s">
        <v>1393</v>
      </c>
      <c r="G2455" s="403" t="s">
        <v>1466</v>
      </c>
      <c r="H2455" s="403" t="s">
        <v>1276</v>
      </c>
      <c r="I2455" s="403">
        <v>1</v>
      </c>
      <c r="J2455" s="403" t="s">
        <v>1394</v>
      </c>
      <c r="K2455" s="403">
        <v>2992</v>
      </c>
      <c r="L2455" s="403">
        <v>1680</v>
      </c>
      <c r="M2455" s="403" t="s">
        <v>109</v>
      </c>
      <c r="N2455" s="403">
        <v>1280</v>
      </c>
      <c r="O2455" s="403">
        <v>720</v>
      </c>
      <c r="P2455" t="str">
        <f t="shared" si="305"/>
        <v>30fps 2992x1680 - 720p</v>
      </c>
      <c r="Q2455">
        <f t="shared" si="306"/>
        <v>14</v>
      </c>
      <c r="R2455" t="str">
        <f t="shared" si="307"/>
        <v/>
      </c>
      <c r="S2455" t="str">
        <f t="shared" si="308"/>
        <v/>
      </c>
      <c r="T2455" s="403" t="str">
        <f t="shared" si="309"/>
        <v>NBN-80052-BA</v>
      </c>
      <c r="U2455" s="403">
        <f t="shared" si="310"/>
        <v>1</v>
      </c>
      <c r="V2455" s="403" t="str">
        <f t="shared" si="311"/>
        <v>CPP_6</v>
      </c>
    </row>
    <row r="2456" spans="1:22">
      <c r="A2456" t="str">
        <f t="shared" si="304"/>
        <v>NBN-80052-BA</v>
      </c>
      <c r="B2456" s="403" t="s">
        <v>1391</v>
      </c>
      <c r="C2456" s="403" t="s">
        <v>584</v>
      </c>
      <c r="D2456" s="403" t="s">
        <v>902</v>
      </c>
      <c r="E2456" s="403" t="s">
        <v>1392</v>
      </c>
      <c r="F2456" s="403" t="s">
        <v>1393</v>
      </c>
      <c r="G2456" s="403" t="s">
        <v>1466</v>
      </c>
      <c r="H2456" s="403" t="s">
        <v>1276</v>
      </c>
      <c r="I2456" s="403">
        <v>1</v>
      </c>
      <c r="J2456" s="403" t="s">
        <v>1394</v>
      </c>
      <c r="K2456" s="403">
        <v>2992</v>
      </c>
      <c r="L2456" s="403">
        <v>1680</v>
      </c>
      <c r="M2456" s="403" t="s">
        <v>111</v>
      </c>
      <c r="N2456" s="403">
        <v>768</v>
      </c>
      <c r="O2456" s="403">
        <v>432</v>
      </c>
      <c r="P2456" t="str">
        <f t="shared" si="305"/>
        <v>30fps 2992x1680 - SD</v>
      </c>
      <c r="Q2456">
        <f t="shared" si="306"/>
        <v>14</v>
      </c>
      <c r="R2456" t="str">
        <f t="shared" si="307"/>
        <v/>
      </c>
      <c r="S2456" t="str">
        <f t="shared" si="308"/>
        <v/>
      </c>
      <c r="T2456" s="403" t="str">
        <f t="shared" si="309"/>
        <v>NBN-80052-BA</v>
      </c>
      <c r="U2456" s="403">
        <f t="shared" si="310"/>
        <v>1</v>
      </c>
      <c r="V2456" s="403" t="str">
        <f t="shared" si="311"/>
        <v>CPP_6</v>
      </c>
    </row>
    <row r="2457" spans="1:22">
      <c r="A2457" t="str">
        <f t="shared" si="304"/>
        <v>NBN-80052-BA</v>
      </c>
      <c r="B2457" s="403" t="s">
        <v>1391</v>
      </c>
      <c r="C2457" s="403" t="s">
        <v>584</v>
      </c>
      <c r="D2457" s="403" t="s">
        <v>902</v>
      </c>
      <c r="E2457" s="403" t="s">
        <v>1392</v>
      </c>
      <c r="F2457" s="403" t="s">
        <v>1393</v>
      </c>
      <c r="G2457" s="403" t="s">
        <v>1466</v>
      </c>
      <c r="H2457" s="403" t="s">
        <v>1276</v>
      </c>
      <c r="I2457" s="403">
        <v>1</v>
      </c>
      <c r="J2457" s="403" t="s">
        <v>1394</v>
      </c>
      <c r="K2457" s="403">
        <v>2992</v>
      </c>
      <c r="L2457" s="403">
        <v>1680</v>
      </c>
      <c r="M2457" s="403" t="s">
        <v>1279</v>
      </c>
      <c r="N2457" s="403">
        <v>768</v>
      </c>
      <c r="O2457" s="403">
        <v>432</v>
      </c>
      <c r="P2457" t="str">
        <f t="shared" si="305"/>
        <v>30fps 2992x1680 - SD ROI PTZ</v>
      </c>
      <c r="Q2457">
        <f t="shared" si="306"/>
        <v>14</v>
      </c>
      <c r="R2457" t="str">
        <f t="shared" si="307"/>
        <v/>
      </c>
      <c r="S2457" t="str">
        <f t="shared" si="308"/>
        <v/>
      </c>
      <c r="T2457" s="403" t="str">
        <f t="shared" si="309"/>
        <v>NBN-80052-BA</v>
      </c>
      <c r="U2457" s="403">
        <f t="shared" si="310"/>
        <v>1</v>
      </c>
      <c r="V2457" s="403" t="str">
        <f t="shared" si="311"/>
        <v>CPP_6</v>
      </c>
    </row>
    <row r="2458" spans="1:22">
      <c r="A2458" t="str">
        <f t="shared" si="304"/>
        <v>NBN-80052-BA</v>
      </c>
      <c r="B2458" s="403" t="s">
        <v>1391</v>
      </c>
      <c r="C2458" s="403" t="s">
        <v>584</v>
      </c>
      <c r="D2458" s="403" t="s">
        <v>902</v>
      </c>
      <c r="E2458" s="403" t="s">
        <v>1392</v>
      </c>
      <c r="F2458" s="403" t="s">
        <v>1393</v>
      </c>
      <c r="G2458" s="403" t="s">
        <v>1466</v>
      </c>
      <c r="H2458" s="403" t="s">
        <v>1276</v>
      </c>
      <c r="I2458" s="403">
        <v>1</v>
      </c>
      <c r="J2458" s="403" t="s">
        <v>1394</v>
      </c>
      <c r="K2458" s="403">
        <v>2992</v>
      </c>
      <c r="L2458" s="403">
        <v>1680</v>
      </c>
      <c r="M2458" s="403" t="s">
        <v>1302</v>
      </c>
      <c r="N2458" s="403">
        <v>400</v>
      </c>
      <c r="O2458" s="403">
        <v>720</v>
      </c>
      <c r="P2458" t="str">
        <f t="shared" si="305"/>
        <v>30fps 2992x1680 - 400x720 upright (cropped)</v>
      </c>
      <c r="Q2458">
        <f t="shared" si="306"/>
        <v>14</v>
      </c>
      <c r="R2458" t="str">
        <f t="shared" si="307"/>
        <v/>
      </c>
      <c r="S2458" t="str">
        <f t="shared" si="308"/>
        <v/>
      </c>
      <c r="T2458" s="403" t="str">
        <f t="shared" si="309"/>
        <v>NBN-80052-BA</v>
      </c>
      <c r="U2458" s="403">
        <f t="shared" si="310"/>
        <v>1</v>
      </c>
      <c r="V2458" s="403" t="str">
        <f t="shared" si="311"/>
        <v>CPP_6</v>
      </c>
    </row>
    <row r="2459" spans="1:22">
      <c r="A2459" t="str">
        <f t="shared" si="304"/>
        <v>NBN-80052-BA</v>
      </c>
      <c r="B2459" s="403" t="s">
        <v>1391</v>
      </c>
      <c r="C2459" s="403" t="s">
        <v>584</v>
      </c>
      <c r="D2459" s="403" t="s">
        <v>902</v>
      </c>
      <c r="E2459" s="403" t="s">
        <v>1392</v>
      </c>
      <c r="F2459" s="403" t="s">
        <v>1393</v>
      </c>
      <c r="G2459" s="403" t="s">
        <v>1466</v>
      </c>
      <c r="H2459" s="403" t="s">
        <v>1276</v>
      </c>
      <c r="I2459" s="403">
        <v>1</v>
      </c>
      <c r="J2459" s="403" t="s">
        <v>1394</v>
      </c>
      <c r="K2459" s="403">
        <v>2992</v>
      </c>
      <c r="L2459" s="403">
        <v>1680</v>
      </c>
      <c r="M2459" s="403" t="s">
        <v>1283</v>
      </c>
      <c r="N2459" s="403">
        <v>704</v>
      </c>
      <c r="O2459" s="403">
        <v>480</v>
      </c>
      <c r="P2459" t="str">
        <f t="shared" si="305"/>
        <v>30fps 2992x1680 - SD 4CIF resolution 4:3 format (cropped)</v>
      </c>
      <c r="Q2459">
        <f t="shared" si="306"/>
        <v>14</v>
      </c>
      <c r="R2459" t="str">
        <f t="shared" si="307"/>
        <v/>
      </c>
      <c r="S2459" t="str">
        <f t="shared" si="308"/>
        <v/>
      </c>
      <c r="T2459" s="403" t="str">
        <f t="shared" si="309"/>
        <v>NBN-80052-BA</v>
      </c>
      <c r="U2459" s="403">
        <f t="shared" si="310"/>
        <v>1</v>
      </c>
      <c r="V2459" s="403" t="str">
        <f t="shared" si="311"/>
        <v>CPP_6</v>
      </c>
    </row>
    <row r="2460" spans="1:22">
      <c r="A2460" t="str">
        <f t="shared" si="304"/>
        <v>NBN-80052-BA</v>
      </c>
      <c r="B2460" s="403" t="s">
        <v>1391</v>
      </c>
      <c r="C2460" s="403" t="s">
        <v>584</v>
      </c>
      <c r="D2460" s="403" t="s">
        <v>902</v>
      </c>
      <c r="E2460" s="403" t="s">
        <v>1392</v>
      </c>
      <c r="F2460" s="403" t="s">
        <v>1393</v>
      </c>
      <c r="G2460" s="403" t="s">
        <v>1466</v>
      </c>
      <c r="H2460" s="403" t="s">
        <v>1276</v>
      </c>
      <c r="I2460" s="403">
        <v>1</v>
      </c>
      <c r="J2460" s="403" t="s">
        <v>1394</v>
      </c>
      <c r="K2460" s="403">
        <v>2992</v>
      </c>
      <c r="L2460" s="403">
        <v>1680</v>
      </c>
      <c r="M2460" s="403" t="s">
        <v>1284</v>
      </c>
      <c r="N2460" s="403">
        <v>640</v>
      </c>
      <c r="O2460" s="403">
        <v>480</v>
      </c>
      <c r="P2460" t="str">
        <f t="shared" si="305"/>
        <v>30fps 2992x1680 - SD VGA (cropped)</v>
      </c>
      <c r="Q2460">
        <f t="shared" si="306"/>
        <v>14</v>
      </c>
      <c r="R2460" t="str">
        <f t="shared" si="307"/>
        <v/>
      </c>
      <c r="S2460" t="str">
        <f t="shared" si="308"/>
        <v/>
      </c>
      <c r="T2460" s="403" t="str">
        <f t="shared" si="309"/>
        <v>NBN-80052-BA</v>
      </c>
      <c r="U2460" s="403">
        <f t="shared" si="310"/>
        <v>1</v>
      </c>
      <c r="V2460" s="403" t="str">
        <f t="shared" si="311"/>
        <v>CPP_6</v>
      </c>
    </row>
    <row r="2461" spans="1:22">
      <c r="A2461" t="str">
        <f t="shared" si="304"/>
        <v>NBN-80052-BA</v>
      </c>
      <c r="B2461" s="403" t="s">
        <v>1391</v>
      </c>
      <c r="C2461" s="403" t="s">
        <v>584</v>
      </c>
      <c r="D2461" s="403" t="s">
        <v>902</v>
      </c>
      <c r="E2461" s="403" t="s">
        <v>1392</v>
      </c>
      <c r="F2461" s="403" t="s">
        <v>1393</v>
      </c>
      <c r="G2461" s="403" t="s">
        <v>1466</v>
      </c>
      <c r="H2461" s="403" t="s">
        <v>1276</v>
      </c>
      <c r="I2461" s="403">
        <v>1</v>
      </c>
      <c r="J2461" s="403" t="s">
        <v>1394</v>
      </c>
      <c r="K2461" s="403">
        <v>2992</v>
      </c>
      <c r="L2461" s="403">
        <v>1680</v>
      </c>
      <c r="M2461" s="403" t="s">
        <v>1298</v>
      </c>
      <c r="N2461" s="403">
        <v>768</v>
      </c>
      <c r="O2461" s="403">
        <v>432</v>
      </c>
      <c r="P2461" t="str">
        <f t="shared" si="305"/>
        <v>30fps 2992x1680 - SD dual stream with independent ROI PTZ</v>
      </c>
      <c r="Q2461">
        <f t="shared" si="306"/>
        <v>14</v>
      </c>
      <c r="R2461" t="str">
        <f t="shared" si="307"/>
        <v/>
      </c>
      <c r="S2461" t="str">
        <f t="shared" si="308"/>
        <v/>
      </c>
      <c r="T2461" s="403" t="str">
        <f t="shared" si="309"/>
        <v>NBN-80052-BA</v>
      </c>
      <c r="U2461" s="403">
        <f t="shared" si="310"/>
        <v>1</v>
      </c>
      <c r="V2461" s="403" t="str">
        <f t="shared" si="311"/>
        <v>CPP_6</v>
      </c>
    </row>
    <row r="2462" spans="1:22">
      <c r="A2462" t="str">
        <f t="shared" si="304"/>
        <v>NBN-80052-BA</v>
      </c>
      <c r="B2462" s="403" t="s">
        <v>1391</v>
      </c>
      <c r="C2462" s="403" t="s">
        <v>584</v>
      </c>
      <c r="D2462" s="403" t="s">
        <v>902</v>
      </c>
      <c r="E2462" s="403" t="s">
        <v>1392</v>
      </c>
      <c r="F2462" s="403" t="s">
        <v>1393</v>
      </c>
      <c r="G2462" s="403" t="s">
        <v>1466</v>
      </c>
      <c r="H2462" s="403" t="s">
        <v>1276</v>
      </c>
      <c r="I2462" s="403">
        <v>1</v>
      </c>
      <c r="J2462" s="403" t="s">
        <v>1394</v>
      </c>
      <c r="K2462" s="403">
        <v>2992</v>
      </c>
      <c r="L2462" s="403">
        <v>1680</v>
      </c>
      <c r="M2462" s="403" t="s">
        <v>1280</v>
      </c>
      <c r="N2462" s="403">
        <v>2992</v>
      </c>
      <c r="O2462" s="403">
        <v>1680</v>
      </c>
      <c r="P2462" t="str">
        <f t="shared" si="305"/>
        <v>30fps 2992x1680 - copy other stream</v>
      </c>
      <c r="Q2462">
        <f t="shared" si="306"/>
        <v>14</v>
      </c>
      <c r="R2462" t="str">
        <f t="shared" si="307"/>
        <v/>
      </c>
      <c r="S2462" t="str">
        <f t="shared" si="308"/>
        <v/>
      </c>
      <c r="T2462" s="403" t="str">
        <f t="shared" si="309"/>
        <v>NBN-80052-BA</v>
      </c>
      <c r="U2462" s="403">
        <f t="shared" si="310"/>
        <v>1</v>
      </c>
      <c r="V2462" s="403" t="str">
        <f t="shared" si="311"/>
        <v>CPP_6</v>
      </c>
    </row>
    <row r="2463" spans="1:22">
      <c r="A2463" t="str">
        <f t="shared" si="304"/>
        <v>NBN-80052-BA</v>
      </c>
      <c r="B2463" s="403" t="s">
        <v>1391</v>
      </c>
      <c r="C2463" s="403" t="s">
        <v>584</v>
      </c>
      <c r="D2463" s="403" t="s">
        <v>902</v>
      </c>
      <c r="E2463" s="403" t="s">
        <v>1392</v>
      </c>
      <c r="F2463" s="403" t="s">
        <v>1393</v>
      </c>
      <c r="G2463" s="403" t="s">
        <v>1466</v>
      </c>
      <c r="H2463" s="403" t="s">
        <v>1276</v>
      </c>
      <c r="I2463" s="403">
        <v>1</v>
      </c>
      <c r="J2463" s="403" t="s">
        <v>1374</v>
      </c>
      <c r="K2463" s="403">
        <v>2304</v>
      </c>
      <c r="L2463" s="403">
        <v>1296</v>
      </c>
      <c r="M2463" s="403" t="s">
        <v>1374</v>
      </c>
      <c r="N2463" s="403">
        <v>2304</v>
      </c>
      <c r="O2463" s="403">
        <v>1296</v>
      </c>
      <c r="P2463" t="str">
        <f t="shared" si="305"/>
        <v>30fps 2304x1296 - 2304x1296</v>
      </c>
      <c r="Q2463">
        <f t="shared" si="306"/>
        <v>14</v>
      </c>
      <c r="R2463" t="str">
        <f t="shared" si="307"/>
        <v/>
      </c>
      <c r="S2463" t="str">
        <f t="shared" si="308"/>
        <v/>
      </c>
      <c r="T2463" s="403" t="str">
        <f t="shared" si="309"/>
        <v>NBN-80052-BA</v>
      </c>
      <c r="U2463" s="403">
        <f t="shared" si="310"/>
        <v>1</v>
      </c>
      <c r="V2463" s="403" t="str">
        <f t="shared" si="311"/>
        <v>CPP_6</v>
      </c>
    </row>
    <row r="2464" spans="1:22">
      <c r="A2464" t="str">
        <f t="shared" si="304"/>
        <v>NBN-80052-BA</v>
      </c>
      <c r="B2464" s="403" t="s">
        <v>1391</v>
      </c>
      <c r="C2464" s="403" t="s">
        <v>584</v>
      </c>
      <c r="D2464" s="403" t="s">
        <v>902</v>
      </c>
      <c r="E2464" s="403" t="s">
        <v>1392</v>
      </c>
      <c r="F2464" s="403" t="s">
        <v>1393</v>
      </c>
      <c r="G2464" s="403" t="s">
        <v>1466</v>
      </c>
      <c r="H2464" s="403" t="s">
        <v>1276</v>
      </c>
      <c r="I2464" s="403">
        <v>1</v>
      </c>
      <c r="J2464" s="403" t="s">
        <v>1374</v>
      </c>
      <c r="K2464" s="403">
        <v>2304</v>
      </c>
      <c r="L2464" s="403">
        <v>1296</v>
      </c>
      <c r="M2464" s="403" t="s">
        <v>110</v>
      </c>
      <c r="N2464" s="403">
        <v>1920</v>
      </c>
      <c r="O2464" s="403">
        <v>1080</v>
      </c>
      <c r="P2464" t="str">
        <f t="shared" si="305"/>
        <v>30fps 2304x1296 - 1080p</v>
      </c>
      <c r="Q2464">
        <f t="shared" si="306"/>
        <v>14</v>
      </c>
      <c r="R2464" t="str">
        <f t="shared" si="307"/>
        <v/>
      </c>
      <c r="S2464" t="str">
        <f t="shared" si="308"/>
        <v/>
      </c>
      <c r="T2464" s="403" t="str">
        <f t="shared" si="309"/>
        <v>NBN-80052-BA</v>
      </c>
      <c r="U2464" s="403">
        <f t="shared" si="310"/>
        <v>1</v>
      </c>
      <c r="V2464" s="403" t="str">
        <f t="shared" si="311"/>
        <v>CPP_6</v>
      </c>
    </row>
    <row r="2465" spans="1:22">
      <c r="A2465" t="str">
        <f t="shared" si="304"/>
        <v>NBN-80052-BA</v>
      </c>
      <c r="B2465" s="403" t="s">
        <v>1391</v>
      </c>
      <c r="C2465" s="403" t="s">
        <v>584</v>
      </c>
      <c r="D2465" s="403" t="s">
        <v>902</v>
      </c>
      <c r="E2465" s="403" t="s">
        <v>1392</v>
      </c>
      <c r="F2465" s="403" t="s">
        <v>1393</v>
      </c>
      <c r="G2465" s="403" t="s">
        <v>1466</v>
      </c>
      <c r="H2465" s="403" t="s">
        <v>1276</v>
      </c>
      <c r="I2465" s="403">
        <v>1</v>
      </c>
      <c r="J2465" s="403" t="s">
        <v>1374</v>
      </c>
      <c r="K2465" s="403">
        <v>2304</v>
      </c>
      <c r="L2465" s="403">
        <v>1296</v>
      </c>
      <c r="M2465" s="403" t="s">
        <v>109</v>
      </c>
      <c r="N2465" s="403">
        <v>1280</v>
      </c>
      <c r="O2465" s="403">
        <v>720</v>
      </c>
      <c r="P2465" t="str">
        <f t="shared" si="305"/>
        <v>30fps 2304x1296 - 720p</v>
      </c>
      <c r="Q2465">
        <f t="shared" si="306"/>
        <v>14</v>
      </c>
      <c r="R2465" t="str">
        <f t="shared" si="307"/>
        <v/>
      </c>
      <c r="S2465" t="str">
        <f t="shared" si="308"/>
        <v/>
      </c>
      <c r="T2465" s="403" t="str">
        <f t="shared" si="309"/>
        <v>NBN-80052-BA</v>
      </c>
      <c r="U2465" s="403">
        <f t="shared" si="310"/>
        <v>1</v>
      </c>
      <c r="V2465" s="403" t="str">
        <f t="shared" si="311"/>
        <v>CPP_6</v>
      </c>
    </row>
    <row r="2466" spans="1:22">
      <c r="A2466" t="str">
        <f t="shared" si="304"/>
        <v>NBN-80052-BA</v>
      </c>
      <c r="B2466" s="403" t="s">
        <v>1391</v>
      </c>
      <c r="C2466" s="403" t="s">
        <v>584</v>
      </c>
      <c r="D2466" s="403" t="s">
        <v>902</v>
      </c>
      <c r="E2466" s="403" t="s">
        <v>1392</v>
      </c>
      <c r="F2466" s="403" t="s">
        <v>1393</v>
      </c>
      <c r="G2466" s="403" t="s">
        <v>1466</v>
      </c>
      <c r="H2466" s="403" t="s">
        <v>1276</v>
      </c>
      <c r="I2466" s="403">
        <v>1</v>
      </c>
      <c r="J2466" s="403" t="s">
        <v>1374</v>
      </c>
      <c r="K2466" s="403">
        <v>2304</v>
      </c>
      <c r="L2466" s="403">
        <v>1296</v>
      </c>
      <c r="M2466" s="403" t="s">
        <v>111</v>
      </c>
      <c r="N2466" s="403">
        <v>768</v>
      </c>
      <c r="O2466" s="403">
        <v>432</v>
      </c>
      <c r="P2466" t="str">
        <f t="shared" si="305"/>
        <v>30fps 2304x1296 - SD</v>
      </c>
      <c r="Q2466">
        <f t="shared" si="306"/>
        <v>14</v>
      </c>
      <c r="R2466" t="str">
        <f t="shared" si="307"/>
        <v/>
      </c>
      <c r="S2466" t="str">
        <f t="shared" si="308"/>
        <v/>
      </c>
      <c r="T2466" s="403" t="str">
        <f t="shared" si="309"/>
        <v>NBN-80052-BA</v>
      </c>
      <c r="U2466" s="403">
        <f t="shared" si="310"/>
        <v>1</v>
      </c>
      <c r="V2466" s="403" t="str">
        <f t="shared" si="311"/>
        <v>CPP_6</v>
      </c>
    </row>
    <row r="2467" spans="1:22">
      <c r="A2467" t="str">
        <f t="shared" si="304"/>
        <v>NBN-80052-BA</v>
      </c>
      <c r="B2467" s="403" t="s">
        <v>1391</v>
      </c>
      <c r="C2467" s="403" t="s">
        <v>584</v>
      </c>
      <c r="D2467" s="403" t="s">
        <v>902</v>
      </c>
      <c r="E2467" s="403" t="s">
        <v>1392</v>
      </c>
      <c r="F2467" s="403" t="s">
        <v>1393</v>
      </c>
      <c r="G2467" s="403" t="s">
        <v>1466</v>
      </c>
      <c r="H2467" s="403" t="s">
        <v>1276</v>
      </c>
      <c r="I2467" s="403">
        <v>1</v>
      </c>
      <c r="J2467" s="403" t="s">
        <v>1374</v>
      </c>
      <c r="K2467" s="403">
        <v>2304</v>
      </c>
      <c r="L2467" s="403">
        <v>1296</v>
      </c>
      <c r="M2467" s="403" t="s">
        <v>1279</v>
      </c>
      <c r="N2467" s="403">
        <v>768</v>
      </c>
      <c r="O2467" s="403">
        <v>432</v>
      </c>
      <c r="P2467" t="str">
        <f t="shared" si="305"/>
        <v>30fps 2304x1296 - SD ROI PTZ</v>
      </c>
      <c r="Q2467">
        <f t="shared" si="306"/>
        <v>14</v>
      </c>
      <c r="R2467" t="str">
        <f t="shared" si="307"/>
        <v/>
      </c>
      <c r="S2467" t="str">
        <f t="shared" si="308"/>
        <v/>
      </c>
      <c r="T2467" s="403" t="str">
        <f t="shared" si="309"/>
        <v>NBN-80052-BA</v>
      </c>
      <c r="U2467" s="403">
        <f t="shared" si="310"/>
        <v>1</v>
      </c>
      <c r="V2467" s="403" t="str">
        <f t="shared" si="311"/>
        <v>CPP_6</v>
      </c>
    </row>
    <row r="2468" spans="1:22">
      <c r="A2468" t="str">
        <f t="shared" si="304"/>
        <v>NBN-80052-BA</v>
      </c>
      <c r="B2468" s="403" t="s">
        <v>1391</v>
      </c>
      <c r="C2468" s="403" t="s">
        <v>584</v>
      </c>
      <c r="D2468" s="403" t="s">
        <v>902</v>
      </c>
      <c r="E2468" s="403" t="s">
        <v>1392</v>
      </c>
      <c r="F2468" s="403" t="s">
        <v>1393</v>
      </c>
      <c r="G2468" s="403" t="s">
        <v>1466</v>
      </c>
      <c r="H2468" s="403" t="s">
        <v>1276</v>
      </c>
      <c r="I2468" s="403">
        <v>1</v>
      </c>
      <c r="J2468" s="403" t="s">
        <v>1374</v>
      </c>
      <c r="K2468" s="403">
        <v>2304</v>
      </c>
      <c r="L2468" s="403">
        <v>1296</v>
      </c>
      <c r="M2468" s="403" t="s">
        <v>1302</v>
      </c>
      <c r="N2468" s="403">
        <v>400</v>
      </c>
      <c r="O2468" s="403">
        <v>720</v>
      </c>
      <c r="P2468" t="str">
        <f t="shared" si="305"/>
        <v>30fps 2304x1296 - 400x720 upright (cropped)</v>
      </c>
      <c r="Q2468">
        <f t="shared" si="306"/>
        <v>14</v>
      </c>
      <c r="R2468" t="str">
        <f t="shared" si="307"/>
        <v/>
      </c>
      <c r="S2468" t="str">
        <f t="shared" si="308"/>
        <v/>
      </c>
      <c r="T2468" s="403" t="str">
        <f t="shared" si="309"/>
        <v>NBN-80052-BA</v>
      </c>
      <c r="U2468" s="403">
        <f t="shared" si="310"/>
        <v>1</v>
      </c>
      <c r="V2468" s="403" t="str">
        <f t="shared" si="311"/>
        <v>CPP_6</v>
      </c>
    </row>
    <row r="2469" spans="1:22">
      <c r="A2469" t="str">
        <f t="shared" si="304"/>
        <v>NBN-80052-BA</v>
      </c>
      <c r="B2469" s="403" t="s">
        <v>1391</v>
      </c>
      <c r="C2469" s="403" t="s">
        <v>584</v>
      </c>
      <c r="D2469" s="403" t="s">
        <v>902</v>
      </c>
      <c r="E2469" s="403" t="s">
        <v>1392</v>
      </c>
      <c r="F2469" s="403" t="s">
        <v>1393</v>
      </c>
      <c r="G2469" s="403" t="s">
        <v>1466</v>
      </c>
      <c r="H2469" s="403" t="s">
        <v>1276</v>
      </c>
      <c r="I2469" s="403">
        <v>1</v>
      </c>
      <c r="J2469" s="403" t="s">
        <v>1374</v>
      </c>
      <c r="K2469" s="403">
        <v>2304</v>
      </c>
      <c r="L2469" s="403">
        <v>1296</v>
      </c>
      <c r="M2469" s="403" t="s">
        <v>1283</v>
      </c>
      <c r="N2469" s="403">
        <v>704</v>
      </c>
      <c r="O2469" s="403">
        <v>480</v>
      </c>
      <c r="P2469" t="str">
        <f t="shared" si="305"/>
        <v>30fps 2304x1296 - SD 4CIF resolution 4:3 format (cropped)</v>
      </c>
      <c r="Q2469">
        <f t="shared" si="306"/>
        <v>14</v>
      </c>
      <c r="R2469" t="str">
        <f t="shared" si="307"/>
        <v/>
      </c>
      <c r="S2469" t="str">
        <f t="shared" si="308"/>
        <v/>
      </c>
      <c r="T2469" s="403" t="str">
        <f t="shared" si="309"/>
        <v>NBN-80052-BA</v>
      </c>
      <c r="U2469" s="403">
        <f t="shared" si="310"/>
        <v>1</v>
      </c>
      <c r="V2469" s="403" t="str">
        <f t="shared" si="311"/>
        <v>CPP_6</v>
      </c>
    </row>
    <row r="2470" spans="1:22">
      <c r="A2470" t="str">
        <f t="shared" si="304"/>
        <v>NBN-80052-BA</v>
      </c>
      <c r="B2470" s="403" t="s">
        <v>1391</v>
      </c>
      <c r="C2470" s="403" t="s">
        <v>584</v>
      </c>
      <c r="D2470" s="403" t="s">
        <v>902</v>
      </c>
      <c r="E2470" s="403" t="s">
        <v>1392</v>
      </c>
      <c r="F2470" s="403" t="s">
        <v>1393</v>
      </c>
      <c r="G2470" s="403" t="s">
        <v>1466</v>
      </c>
      <c r="H2470" s="403" t="s">
        <v>1276</v>
      </c>
      <c r="I2470" s="403">
        <v>1</v>
      </c>
      <c r="J2470" s="403" t="s">
        <v>1374</v>
      </c>
      <c r="K2470" s="403">
        <v>2304</v>
      </c>
      <c r="L2470" s="403">
        <v>1296</v>
      </c>
      <c r="M2470" s="403" t="s">
        <v>1284</v>
      </c>
      <c r="N2470" s="403">
        <v>640</v>
      </c>
      <c r="O2470" s="403">
        <v>480</v>
      </c>
      <c r="P2470" t="str">
        <f t="shared" si="305"/>
        <v>30fps 2304x1296 - SD VGA (cropped)</v>
      </c>
      <c r="Q2470">
        <f t="shared" si="306"/>
        <v>14</v>
      </c>
      <c r="R2470" t="str">
        <f t="shared" si="307"/>
        <v/>
      </c>
      <c r="S2470" t="str">
        <f t="shared" si="308"/>
        <v/>
      </c>
      <c r="T2470" s="403" t="str">
        <f t="shared" si="309"/>
        <v>NBN-80052-BA</v>
      </c>
      <c r="U2470" s="403">
        <f t="shared" si="310"/>
        <v>1</v>
      </c>
      <c r="V2470" s="403" t="str">
        <f t="shared" si="311"/>
        <v>CPP_6</v>
      </c>
    </row>
    <row r="2471" spans="1:22">
      <c r="A2471" t="str">
        <f t="shared" si="304"/>
        <v>NBN-80052-BA</v>
      </c>
      <c r="B2471" s="403" t="s">
        <v>1391</v>
      </c>
      <c r="C2471" s="403" t="s">
        <v>584</v>
      </c>
      <c r="D2471" s="403" t="s">
        <v>902</v>
      </c>
      <c r="E2471" s="403" t="s">
        <v>1392</v>
      </c>
      <c r="F2471" s="403" t="s">
        <v>1393</v>
      </c>
      <c r="G2471" s="403" t="s">
        <v>1466</v>
      </c>
      <c r="H2471" s="403" t="s">
        <v>1276</v>
      </c>
      <c r="I2471" s="403">
        <v>1</v>
      </c>
      <c r="J2471" s="403" t="s">
        <v>1374</v>
      </c>
      <c r="K2471" s="403">
        <v>2304</v>
      </c>
      <c r="L2471" s="403">
        <v>1296</v>
      </c>
      <c r="M2471" s="403" t="s">
        <v>1298</v>
      </c>
      <c r="N2471" s="403">
        <v>768</v>
      </c>
      <c r="O2471" s="403">
        <v>432</v>
      </c>
      <c r="P2471" t="str">
        <f t="shared" si="305"/>
        <v>30fps 2304x1296 - SD dual stream with independent ROI PTZ</v>
      </c>
      <c r="Q2471">
        <f t="shared" si="306"/>
        <v>14</v>
      </c>
      <c r="R2471" t="str">
        <f t="shared" si="307"/>
        <v/>
      </c>
      <c r="S2471" t="str">
        <f t="shared" si="308"/>
        <v/>
      </c>
      <c r="T2471" s="403" t="str">
        <f t="shared" si="309"/>
        <v>NBN-80052-BA</v>
      </c>
      <c r="U2471" s="403">
        <f t="shared" si="310"/>
        <v>1</v>
      </c>
      <c r="V2471" s="403" t="str">
        <f t="shared" si="311"/>
        <v>CPP_6</v>
      </c>
    </row>
    <row r="2472" spans="1:22">
      <c r="A2472" t="str">
        <f t="shared" si="304"/>
        <v>NBN-80052-BA</v>
      </c>
      <c r="B2472" s="403" t="s">
        <v>1391</v>
      </c>
      <c r="C2472" s="403" t="s">
        <v>584</v>
      </c>
      <c r="D2472" s="403" t="s">
        <v>902</v>
      </c>
      <c r="E2472" s="403" t="s">
        <v>1392</v>
      </c>
      <c r="F2472" s="403" t="s">
        <v>1393</v>
      </c>
      <c r="G2472" s="403" t="s">
        <v>1467</v>
      </c>
      <c r="H2472" s="403" t="s">
        <v>1276</v>
      </c>
      <c r="I2472" s="403">
        <v>1</v>
      </c>
      <c r="J2472" s="403" t="s">
        <v>1394</v>
      </c>
      <c r="K2472" s="403">
        <v>1680</v>
      </c>
      <c r="L2472" s="403">
        <v>2992</v>
      </c>
      <c r="M2472" s="403" t="s">
        <v>1395</v>
      </c>
      <c r="N2472" s="403">
        <v>1680</v>
      </c>
      <c r="O2472" s="403">
        <v>2992</v>
      </c>
      <c r="P2472" t="str">
        <f t="shared" si="305"/>
        <v>30fps 2992x1680 - 2992x1680 @ SKIP 3</v>
      </c>
      <c r="Q2472">
        <f t="shared" si="306"/>
        <v>14</v>
      </c>
      <c r="R2472" t="str">
        <f t="shared" si="307"/>
        <v/>
      </c>
      <c r="S2472" t="str">
        <f t="shared" si="308"/>
        <v/>
      </c>
      <c r="T2472" s="403" t="str">
        <f t="shared" si="309"/>
        <v>NBN-80052-BA</v>
      </c>
      <c r="U2472" s="403">
        <f t="shared" si="310"/>
        <v>1</v>
      </c>
      <c r="V2472" s="403" t="str">
        <f t="shared" si="311"/>
        <v>CPP_6</v>
      </c>
    </row>
    <row r="2473" spans="1:22">
      <c r="A2473" t="str">
        <f t="shared" si="304"/>
        <v>NBN-80052-BA</v>
      </c>
      <c r="B2473" s="403" t="s">
        <v>1391</v>
      </c>
      <c r="C2473" s="403" t="s">
        <v>584</v>
      </c>
      <c r="D2473" s="403" t="s">
        <v>902</v>
      </c>
      <c r="E2473" s="403" t="s">
        <v>1392</v>
      </c>
      <c r="F2473" s="403" t="s">
        <v>1393</v>
      </c>
      <c r="G2473" s="403" t="s">
        <v>1467</v>
      </c>
      <c r="H2473" s="403" t="s">
        <v>1276</v>
      </c>
      <c r="I2473" s="403">
        <v>1</v>
      </c>
      <c r="J2473" s="403" t="s">
        <v>1394</v>
      </c>
      <c r="K2473" s="403">
        <v>1680</v>
      </c>
      <c r="L2473" s="403">
        <v>2992</v>
      </c>
      <c r="M2473" s="403" t="s">
        <v>109</v>
      </c>
      <c r="N2473" s="403">
        <v>720</v>
      </c>
      <c r="O2473" s="403">
        <v>1280</v>
      </c>
      <c r="P2473" t="str">
        <f t="shared" si="305"/>
        <v>30fps 2992x1680 - 720p</v>
      </c>
      <c r="Q2473">
        <f t="shared" si="306"/>
        <v>14</v>
      </c>
      <c r="R2473" t="str">
        <f t="shared" si="307"/>
        <v/>
      </c>
      <c r="S2473" t="str">
        <f t="shared" si="308"/>
        <v/>
      </c>
      <c r="T2473" s="403" t="str">
        <f t="shared" si="309"/>
        <v>NBN-80052-BA</v>
      </c>
      <c r="U2473" s="403">
        <f t="shared" si="310"/>
        <v>1</v>
      </c>
      <c r="V2473" s="403" t="str">
        <f t="shared" si="311"/>
        <v>CPP_6</v>
      </c>
    </row>
    <row r="2474" spans="1:22">
      <c r="A2474" t="str">
        <f t="shared" si="304"/>
        <v>NBN-80052-BA</v>
      </c>
      <c r="B2474" s="403" t="s">
        <v>1391</v>
      </c>
      <c r="C2474" s="403" t="s">
        <v>584</v>
      </c>
      <c r="D2474" s="403" t="s">
        <v>902</v>
      </c>
      <c r="E2474" s="403" t="s">
        <v>1392</v>
      </c>
      <c r="F2474" s="403" t="s">
        <v>1393</v>
      </c>
      <c r="G2474" s="403" t="s">
        <v>1467</v>
      </c>
      <c r="H2474" s="403" t="s">
        <v>1276</v>
      </c>
      <c r="I2474" s="403">
        <v>1</v>
      </c>
      <c r="J2474" s="403" t="s">
        <v>1394</v>
      </c>
      <c r="K2474" s="403">
        <v>1680</v>
      </c>
      <c r="L2474" s="403">
        <v>2992</v>
      </c>
      <c r="M2474" s="403" t="s">
        <v>111</v>
      </c>
      <c r="N2474" s="403">
        <v>432</v>
      </c>
      <c r="O2474" s="403">
        <v>768</v>
      </c>
      <c r="P2474" t="str">
        <f t="shared" si="305"/>
        <v>30fps 2992x1680 - SD</v>
      </c>
      <c r="Q2474">
        <f t="shared" si="306"/>
        <v>14</v>
      </c>
      <c r="R2474" t="str">
        <f t="shared" si="307"/>
        <v/>
      </c>
      <c r="S2474" t="str">
        <f t="shared" si="308"/>
        <v/>
      </c>
      <c r="T2474" s="403" t="str">
        <f t="shared" si="309"/>
        <v>NBN-80052-BA</v>
      </c>
      <c r="U2474" s="403">
        <f t="shared" si="310"/>
        <v>1</v>
      </c>
      <c r="V2474" s="403" t="str">
        <f t="shared" si="311"/>
        <v>CPP_6</v>
      </c>
    </row>
    <row r="2475" spans="1:22">
      <c r="A2475" t="str">
        <f t="shared" si="304"/>
        <v>NBN-80052-BA</v>
      </c>
      <c r="B2475" s="403" t="s">
        <v>1391</v>
      </c>
      <c r="C2475" s="403" t="s">
        <v>584</v>
      </c>
      <c r="D2475" s="403" t="s">
        <v>902</v>
      </c>
      <c r="E2475" s="403" t="s">
        <v>1392</v>
      </c>
      <c r="F2475" s="403" t="s">
        <v>1393</v>
      </c>
      <c r="G2475" s="403" t="s">
        <v>1467</v>
      </c>
      <c r="H2475" s="403" t="s">
        <v>1276</v>
      </c>
      <c r="I2475" s="403">
        <v>1</v>
      </c>
      <c r="J2475" s="403" t="s">
        <v>1394</v>
      </c>
      <c r="K2475" s="403">
        <v>1680</v>
      </c>
      <c r="L2475" s="403">
        <v>2992</v>
      </c>
      <c r="M2475" s="403" t="s">
        <v>1279</v>
      </c>
      <c r="N2475" s="403">
        <v>432</v>
      </c>
      <c r="O2475" s="403">
        <v>768</v>
      </c>
      <c r="P2475" t="str">
        <f t="shared" si="305"/>
        <v>30fps 2992x1680 - SD ROI PTZ</v>
      </c>
      <c r="Q2475">
        <f t="shared" si="306"/>
        <v>14</v>
      </c>
      <c r="R2475" t="str">
        <f t="shared" si="307"/>
        <v/>
      </c>
      <c r="S2475" t="str">
        <f t="shared" si="308"/>
        <v/>
      </c>
      <c r="T2475" s="403" t="str">
        <f t="shared" si="309"/>
        <v>NBN-80052-BA</v>
      </c>
      <c r="U2475" s="403">
        <f t="shared" si="310"/>
        <v>1</v>
      </c>
      <c r="V2475" s="403" t="str">
        <f t="shared" si="311"/>
        <v>CPP_6</v>
      </c>
    </row>
    <row r="2476" spans="1:22">
      <c r="A2476" t="str">
        <f t="shared" si="304"/>
        <v>NBN-80052-BA</v>
      </c>
      <c r="B2476" s="403" t="s">
        <v>1391</v>
      </c>
      <c r="C2476" s="403" t="s">
        <v>584</v>
      </c>
      <c r="D2476" s="403" t="s">
        <v>902</v>
      </c>
      <c r="E2476" s="403" t="s">
        <v>1392</v>
      </c>
      <c r="F2476" s="403" t="s">
        <v>1393</v>
      </c>
      <c r="G2476" s="403" t="s">
        <v>1467</v>
      </c>
      <c r="H2476" s="403" t="s">
        <v>1276</v>
      </c>
      <c r="I2476" s="403">
        <v>1</v>
      </c>
      <c r="J2476" s="403" t="s">
        <v>1394</v>
      </c>
      <c r="K2476" s="403">
        <v>1680</v>
      </c>
      <c r="L2476" s="403">
        <v>2992</v>
      </c>
      <c r="M2476" s="403" t="s">
        <v>1302</v>
      </c>
      <c r="N2476" s="403">
        <v>720</v>
      </c>
      <c r="O2476" s="403">
        <v>400</v>
      </c>
      <c r="P2476" t="str">
        <f t="shared" si="305"/>
        <v>30fps 2992x1680 - 400x720 upright (cropped)</v>
      </c>
      <c r="Q2476">
        <f t="shared" si="306"/>
        <v>14</v>
      </c>
      <c r="R2476" t="str">
        <f t="shared" si="307"/>
        <v/>
      </c>
      <c r="S2476" t="str">
        <f t="shared" si="308"/>
        <v/>
      </c>
      <c r="T2476" s="403" t="str">
        <f t="shared" si="309"/>
        <v>NBN-80052-BA</v>
      </c>
      <c r="U2476" s="403">
        <f t="shared" si="310"/>
        <v>1</v>
      </c>
      <c r="V2476" s="403" t="str">
        <f t="shared" si="311"/>
        <v>CPP_6</v>
      </c>
    </row>
    <row r="2477" spans="1:22">
      <c r="A2477" t="str">
        <f t="shared" si="304"/>
        <v>NBN-80052-BA</v>
      </c>
      <c r="B2477" s="403" t="s">
        <v>1391</v>
      </c>
      <c r="C2477" s="403" t="s">
        <v>584</v>
      </c>
      <c r="D2477" s="403" t="s">
        <v>902</v>
      </c>
      <c r="E2477" s="403" t="s">
        <v>1392</v>
      </c>
      <c r="F2477" s="403" t="s">
        <v>1393</v>
      </c>
      <c r="G2477" s="403" t="s">
        <v>1467</v>
      </c>
      <c r="H2477" s="403" t="s">
        <v>1276</v>
      </c>
      <c r="I2477" s="403">
        <v>1</v>
      </c>
      <c r="J2477" s="403" t="s">
        <v>1394</v>
      </c>
      <c r="K2477" s="403">
        <v>1680</v>
      </c>
      <c r="L2477" s="403">
        <v>2992</v>
      </c>
      <c r="M2477" s="403" t="s">
        <v>1283</v>
      </c>
      <c r="N2477" s="403">
        <v>480</v>
      </c>
      <c r="O2477" s="403">
        <v>704</v>
      </c>
      <c r="P2477" t="str">
        <f t="shared" si="305"/>
        <v>30fps 2992x1680 - SD 4CIF resolution 4:3 format (cropped)</v>
      </c>
      <c r="Q2477">
        <f t="shared" si="306"/>
        <v>14</v>
      </c>
      <c r="R2477" t="str">
        <f t="shared" si="307"/>
        <v/>
      </c>
      <c r="S2477" t="str">
        <f t="shared" si="308"/>
        <v/>
      </c>
      <c r="T2477" s="403" t="str">
        <f t="shared" si="309"/>
        <v>NBN-80052-BA</v>
      </c>
      <c r="U2477" s="403">
        <f t="shared" si="310"/>
        <v>1</v>
      </c>
      <c r="V2477" s="403" t="str">
        <f t="shared" si="311"/>
        <v>CPP_6</v>
      </c>
    </row>
    <row r="2478" spans="1:22">
      <c r="A2478" t="str">
        <f t="shared" si="304"/>
        <v>NBN-80052-BA</v>
      </c>
      <c r="B2478" s="403" t="s">
        <v>1391</v>
      </c>
      <c r="C2478" s="403" t="s">
        <v>584</v>
      </c>
      <c r="D2478" s="403" t="s">
        <v>902</v>
      </c>
      <c r="E2478" s="403" t="s">
        <v>1392</v>
      </c>
      <c r="F2478" s="403" t="s">
        <v>1393</v>
      </c>
      <c r="G2478" s="403" t="s">
        <v>1467</v>
      </c>
      <c r="H2478" s="403" t="s">
        <v>1276</v>
      </c>
      <c r="I2478" s="403">
        <v>1</v>
      </c>
      <c r="J2478" s="403" t="s">
        <v>1394</v>
      </c>
      <c r="K2478" s="403">
        <v>1680</v>
      </c>
      <c r="L2478" s="403">
        <v>2992</v>
      </c>
      <c r="M2478" s="403" t="s">
        <v>1284</v>
      </c>
      <c r="N2478" s="403">
        <v>480</v>
      </c>
      <c r="O2478" s="403">
        <v>640</v>
      </c>
      <c r="P2478" t="str">
        <f t="shared" si="305"/>
        <v>30fps 2992x1680 - SD VGA (cropped)</v>
      </c>
      <c r="Q2478">
        <f t="shared" si="306"/>
        <v>14</v>
      </c>
      <c r="R2478" t="str">
        <f t="shared" si="307"/>
        <v/>
      </c>
      <c r="S2478" t="str">
        <f t="shared" si="308"/>
        <v/>
      </c>
      <c r="T2478" s="403" t="str">
        <f t="shared" si="309"/>
        <v>NBN-80052-BA</v>
      </c>
      <c r="U2478" s="403">
        <f t="shared" si="310"/>
        <v>1</v>
      </c>
      <c r="V2478" s="403" t="str">
        <f t="shared" si="311"/>
        <v>CPP_6</v>
      </c>
    </row>
    <row r="2479" spans="1:22">
      <c r="A2479" t="str">
        <f t="shared" si="304"/>
        <v>NBN-80052-BA</v>
      </c>
      <c r="B2479" s="403" t="s">
        <v>1391</v>
      </c>
      <c r="C2479" s="403" t="s">
        <v>584</v>
      </c>
      <c r="D2479" s="403" t="s">
        <v>902</v>
      </c>
      <c r="E2479" s="403" t="s">
        <v>1392</v>
      </c>
      <c r="F2479" s="403" t="s">
        <v>1393</v>
      </c>
      <c r="G2479" s="403" t="s">
        <v>1467</v>
      </c>
      <c r="H2479" s="403" t="s">
        <v>1276</v>
      </c>
      <c r="I2479" s="403">
        <v>1</v>
      </c>
      <c r="J2479" s="403" t="s">
        <v>1394</v>
      </c>
      <c r="K2479" s="403">
        <v>1680</v>
      </c>
      <c r="L2479" s="403">
        <v>2992</v>
      </c>
      <c r="M2479" s="403" t="s">
        <v>1298</v>
      </c>
      <c r="N2479" s="403">
        <v>432</v>
      </c>
      <c r="O2479" s="403">
        <v>768</v>
      </c>
      <c r="P2479" t="str">
        <f t="shared" si="305"/>
        <v>30fps 2992x1680 - SD dual stream with independent ROI PTZ</v>
      </c>
      <c r="Q2479">
        <f t="shared" si="306"/>
        <v>14</v>
      </c>
      <c r="R2479" t="str">
        <f t="shared" si="307"/>
        <v/>
      </c>
      <c r="S2479" t="str">
        <f t="shared" si="308"/>
        <v/>
      </c>
      <c r="T2479" s="403" t="str">
        <f t="shared" si="309"/>
        <v>NBN-80052-BA</v>
      </c>
      <c r="U2479" s="403">
        <f t="shared" si="310"/>
        <v>1</v>
      </c>
      <c r="V2479" s="403" t="str">
        <f t="shared" si="311"/>
        <v>CPP_6</v>
      </c>
    </row>
    <row r="2480" spans="1:22">
      <c r="A2480" t="str">
        <f t="shared" si="304"/>
        <v>NBN-80052-BA</v>
      </c>
      <c r="B2480" s="403" t="s">
        <v>1391</v>
      </c>
      <c r="C2480" s="403" t="s">
        <v>584</v>
      </c>
      <c r="D2480" s="403" t="s">
        <v>902</v>
      </c>
      <c r="E2480" s="403" t="s">
        <v>1392</v>
      </c>
      <c r="F2480" s="403" t="s">
        <v>1393</v>
      </c>
      <c r="G2480" s="403" t="s">
        <v>1467</v>
      </c>
      <c r="H2480" s="403" t="s">
        <v>1276</v>
      </c>
      <c r="I2480" s="403">
        <v>1</v>
      </c>
      <c r="J2480" s="403" t="s">
        <v>1394</v>
      </c>
      <c r="K2480" s="403">
        <v>1680</v>
      </c>
      <c r="L2480" s="403">
        <v>2992</v>
      </c>
      <c r="M2480" s="403" t="s">
        <v>1280</v>
      </c>
      <c r="N2480" s="403">
        <v>1680</v>
      </c>
      <c r="O2480" s="403">
        <v>2992</v>
      </c>
      <c r="P2480" t="str">
        <f t="shared" si="305"/>
        <v>30fps 2992x1680 - copy other stream</v>
      </c>
      <c r="Q2480">
        <f t="shared" si="306"/>
        <v>14</v>
      </c>
      <c r="R2480" t="str">
        <f t="shared" si="307"/>
        <v/>
      </c>
      <c r="S2480" t="str">
        <f t="shared" si="308"/>
        <v/>
      </c>
      <c r="T2480" s="403" t="str">
        <f t="shared" si="309"/>
        <v>NBN-80052-BA</v>
      </c>
      <c r="U2480" s="403">
        <f t="shared" si="310"/>
        <v>1</v>
      </c>
      <c r="V2480" s="403" t="str">
        <f t="shared" si="311"/>
        <v>CPP_6</v>
      </c>
    </row>
    <row r="2481" spans="1:22">
      <c r="A2481" t="str">
        <f t="shared" si="304"/>
        <v>NBN-80052-BA</v>
      </c>
      <c r="B2481" s="403" t="s">
        <v>1391</v>
      </c>
      <c r="C2481" s="403" t="s">
        <v>584</v>
      </c>
      <c r="D2481" s="403" t="s">
        <v>902</v>
      </c>
      <c r="E2481" s="403" t="s">
        <v>1392</v>
      </c>
      <c r="F2481" s="403" t="s">
        <v>1393</v>
      </c>
      <c r="G2481" s="403" t="s">
        <v>1467</v>
      </c>
      <c r="H2481" s="403" t="s">
        <v>1276</v>
      </c>
      <c r="I2481" s="403">
        <v>1</v>
      </c>
      <c r="J2481" s="403" t="s">
        <v>1374</v>
      </c>
      <c r="K2481" s="403">
        <v>1296</v>
      </c>
      <c r="L2481" s="403">
        <v>2304</v>
      </c>
      <c r="M2481" s="403" t="s">
        <v>1374</v>
      </c>
      <c r="N2481" s="403">
        <v>1296</v>
      </c>
      <c r="O2481" s="403">
        <v>2304</v>
      </c>
      <c r="P2481" t="str">
        <f t="shared" si="305"/>
        <v>30fps 2304x1296 - 2304x1296</v>
      </c>
      <c r="Q2481">
        <f t="shared" si="306"/>
        <v>14</v>
      </c>
      <c r="R2481" t="str">
        <f t="shared" si="307"/>
        <v/>
      </c>
      <c r="S2481" t="str">
        <f t="shared" si="308"/>
        <v/>
      </c>
      <c r="T2481" s="403" t="str">
        <f t="shared" si="309"/>
        <v>NBN-80052-BA</v>
      </c>
      <c r="U2481" s="403">
        <f t="shared" si="310"/>
        <v>1</v>
      </c>
      <c r="V2481" s="403" t="str">
        <f t="shared" si="311"/>
        <v>CPP_6</v>
      </c>
    </row>
    <row r="2482" spans="1:22">
      <c r="A2482" t="str">
        <f t="shared" si="304"/>
        <v>NBN-80052-BA</v>
      </c>
      <c r="B2482" s="403" t="s">
        <v>1391</v>
      </c>
      <c r="C2482" s="403" t="s">
        <v>584</v>
      </c>
      <c r="D2482" s="403" t="s">
        <v>902</v>
      </c>
      <c r="E2482" s="403" t="s">
        <v>1392</v>
      </c>
      <c r="F2482" s="403" t="s">
        <v>1393</v>
      </c>
      <c r="G2482" s="403" t="s">
        <v>1467</v>
      </c>
      <c r="H2482" s="403" t="s">
        <v>1276</v>
      </c>
      <c r="I2482" s="403">
        <v>1</v>
      </c>
      <c r="J2482" s="403" t="s">
        <v>1374</v>
      </c>
      <c r="K2482" s="403">
        <v>1296</v>
      </c>
      <c r="L2482" s="403">
        <v>2304</v>
      </c>
      <c r="M2482" s="403" t="s">
        <v>110</v>
      </c>
      <c r="N2482" s="403">
        <v>1080</v>
      </c>
      <c r="O2482" s="403">
        <v>1920</v>
      </c>
      <c r="P2482" t="str">
        <f t="shared" si="305"/>
        <v>30fps 2304x1296 - 1080p</v>
      </c>
      <c r="Q2482">
        <f t="shared" si="306"/>
        <v>14</v>
      </c>
      <c r="R2482" t="str">
        <f t="shared" si="307"/>
        <v/>
      </c>
      <c r="S2482" t="str">
        <f t="shared" si="308"/>
        <v/>
      </c>
      <c r="T2482" s="403" t="str">
        <f t="shared" si="309"/>
        <v>NBN-80052-BA</v>
      </c>
      <c r="U2482" s="403">
        <f t="shared" si="310"/>
        <v>1</v>
      </c>
      <c r="V2482" s="403" t="str">
        <f t="shared" si="311"/>
        <v>CPP_6</v>
      </c>
    </row>
    <row r="2483" spans="1:22">
      <c r="A2483" t="str">
        <f t="shared" si="304"/>
        <v>NBN-80052-BA</v>
      </c>
      <c r="B2483" s="403" t="s">
        <v>1391</v>
      </c>
      <c r="C2483" s="403" t="s">
        <v>584</v>
      </c>
      <c r="D2483" s="403" t="s">
        <v>902</v>
      </c>
      <c r="E2483" s="403" t="s">
        <v>1392</v>
      </c>
      <c r="F2483" s="403" t="s">
        <v>1393</v>
      </c>
      <c r="G2483" s="403" t="s">
        <v>1467</v>
      </c>
      <c r="H2483" s="403" t="s">
        <v>1276</v>
      </c>
      <c r="I2483" s="403">
        <v>1</v>
      </c>
      <c r="J2483" s="403" t="s">
        <v>1374</v>
      </c>
      <c r="K2483" s="403">
        <v>1296</v>
      </c>
      <c r="L2483" s="403">
        <v>2304</v>
      </c>
      <c r="M2483" s="403" t="s">
        <v>109</v>
      </c>
      <c r="N2483" s="403">
        <v>720</v>
      </c>
      <c r="O2483" s="403">
        <v>1280</v>
      </c>
      <c r="P2483" t="str">
        <f t="shared" si="305"/>
        <v>30fps 2304x1296 - 720p</v>
      </c>
      <c r="Q2483">
        <f t="shared" si="306"/>
        <v>14</v>
      </c>
      <c r="R2483" t="str">
        <f t="shared" si="307"/>
        <v/>
      </c>
      <c r="S2483" t="str">
        <f t="shared" si="308"/>
        <v/>
      </c>
      <c r="T2483" s="403" t="str">
        <f t="shared" si="309"/>
        <v>NBN-80052-BA</v>
      </c>
      <c r="U2483" s="403">
        <f t="shared" si="310"/>
        <v>1</v>
      </c>
      <c r="V2483" s="403" t="str">
        <f t="shared" si="311"/>
        <v>CPP_6</v>
      </c>
    </row>
    <row r="2484" spans="1:22">
      <c r="A2484" t="str">
        <f t="shared" si="304"/>
        <v>NBN-80052-BA</v>
      </c>
      <c r="B2484" s="403" t="s">
        <v>1391</v>
      </c>
      <c r="C2484" s="403" t="s">
        <v>584</v>
      </c>
      <c r="D2484" s="403" t="s">
        <v>902</v>
      </c>
      <c r="E2484" s="403" t="s">
        <v>1392</v>
      </c>
      <c r="F2484" s="403" t="s">
        <v>1393</v>
      </c>
      <c r="G2484" s="403" t="s">
        <v>1467</v>
      </c>
      <c r="H2484" s="403" t="s">
        <v>1276</v>
      </c>
      <c r="I2484" s="403">
        <v>1</v>
      </c>
      <c r="J2484" s="403" t="s">
        <v>1374</v>
      </c>
      <c r="K2484" s="403">
        <v>1296</v>
      </c>
      <c r="L2484" s="403">
        <v>2304</v>
      </c>
      <c r="M2484" s="403" t="s">
        <v>111</v>
      </c>
      <c r="N2484" s="403">
        <v>432</v>
      </c>
      <c r="O2484" s="403">
        <v>768</v>
      </c>
      <c r="P2484" t="str">
        <f t="shared" si="305"/>
        <v>30fps 2304x1296 - SD</v>
      </c>
      <c r="Q2484">
        <f t="shared" si="306"/>
        <v>14</v>
      </c>
      <c r="R2484" t="str">
        <f t="shared" si="307"/>
        <v/>
      </c>
      <c r="S2484" t="str">
        <f t="shared" si="308"/>
        <v/>
      </c>
      <c r="T2484" s="403" t="str">
        <f t="shared" si="309"/>
        <v>NBN-80052-BA</v>
      </c>
      <c r="U2484" s="403">
        <f t="shared" si="310"/>
        <v>1</v>
      </c>
      <c r="V2484" s="403" t="str">
        <f t="shared" si="311"/>
        <v>CPP_6</v>
      </c>
    </row>
    <row r="2485" spans="1:22">
      <c r="A2485" t="str">
        <f t="shared" si="304"/>
        <v>NBN-80052-BA</v>
      </c>
      <c r="B2485" s="403" t="s">
        <v>1391</v>
      </c>
      <c r="C2485" s="403" t="s">
        <v>584</v>
      </c>
      <c r="D2485" s="403" t="s">
        <v>902</v>
      </c>
      <c r="E2485" s="403" t="s">
        <v>1392</v>
      </c>
      <c r="F2485" s="403" t="s">
        <v>1393</v>
      </c>
      <c r="G2485" s="403" t="s">
        <v>1467</v>
      </c>
      <c r="H2485" s="403" t="s">
        <v>1276</v>
      </c>
      <c r="I2485" s="403">
        <v>1</v>
      </c>
      <c r="J2485" s="403" t="s">
        <v>1374</v>
      </c>
      <c r="K2485" s="403">
        <v>1296</v>
      </c>
      <c r="L2485" s="403">
        <v>2304</v>
      </c>
      <c r="M2485" s="403" t="s">
        <v>1279</v>
      </c>
      <c r="N2485" s="403">
        <v>432</v>
      </c>
      <c r="O2485" s="403">
        <v>768</v>
      </c>
      <c r="P2485" t="str">
        <f t="shared" si="305"/>
        <v>30fps 2304x1296 - SD ROI PTZ</v>
      </c>
      <c r="Q2485">
        <f t="shared" si="306"/>
        <v>14</v>
      </c>
      <c r="R2485" t="str">
        <f t="shared" si="307"/>
        <v/>
      </c>
      <c r="S2485" t="str">
        <f t="shared" si="308"/>
        <v/>
      </c>
      <c r="T2485" s="403" t="str">
        <f t="shared" si="309"/>
        <v>NBN-80052-BA</v>
      </c>
      <c r="U2485" s="403">
        <f t="shared" si="310"/>
        <v>1</v>
      </c>
      <c r="V2485" s="403" t="str">
        <f t="shared" si="311"/>
        <v>CPP_6</v>
      </c>
    </row>
    <row r="2486" spans="1:22">
      <c r="A2486" t="str">
        <f t="shared" si="304"/>
        <v>NBN-80052-BA</v>
      </c>
      <c r="B2486" s="403" t="s">
        <v>1391</v>
      </c>
      <c r="C2486" s="403" t="s">
        <v>584</v>
      </c>
      <c r="D2486" s="403" t="s">
        <v>902</v>
      </c>
      <c r="E2486" s="403" t="s">
        <v>1392</v>
      </c>
      <c r="F2486" s="403" t="s">
        <v>1393</v>
      </c>
      <c r="G2486" s="403" t="s">
        <v>1467</v>
      </c>
      <c r="H2486" s="403" t="s">
        <v>1276</v>
      </c>
      <c r="I2486" s="403">
        <v>1</v>
      </c>
      <c r="J2486" s="403" t="s">
        <v>1374</v>
      </c>
      <c r="K2486" s="403">
        <v>1296</v>
      </c>
      <c r="L2486" s="403">
        <v>2304</v>
      </c>
      <c r="M2486" s="403" t="s">
        <v>1302</v>
      </c>
      <c r="N2486" s="403">
        <v>720</v>
      </c>
      <c r="O2486" s="403">
        <v>400</v>
      </c>
      <c r="P2486" t="str">
        <f t="shared" si="305"/>
        <v>30fps 2304x1296 - 400x720 upright (cropped)</v>
      </c>
      <c r="Q2486">
        <f t="shared" si="306"/>
        <v>14</v>
      </c>
      <c r="R2486" t="str">
        <f t="shared" si="307"/>
        <v/>
      </c>
      <c r="S2486" t="str">
        <f t="shared" si="308"/>
        <v/>
      </c>
      <c r="T2486" s="403" t="str">
        <f t="shared" si="309"/>
        <v>NBN-80052-BA</v>
      </c>
      <c r="U2486" s="403">
        <f t="shared" si="310"/>
        <v>1</v>
      </c>
      <c r="V2486" s="403" t="str">
        <f t="shared" si="311"/>
        <v>CPP_6</v>
      </c>
    </row>
    <row r="2487" spans="1:22">
      <c r="A2487" t="str">
        <f t="shared" si="304"/>
        <v>NBN-80052-BA</v>
      </c>
      <c r="B2487" s="403" t="s">
        <v>1391</v>
      </c>
      <c r="C2487" s="403" t="s">
        <v>584</v>
      </c>
      <c r="D2487" s="403" t="s">
        <v>902</v>
      </c>
      <c r="E2487" s="403" t="s">
        <v>1392</v>
      </c>
      <c r="F2487" s="403" t="s">
        <v>1393</v>
      </c>
      <c r="G2487" s="403" t="s">
        <v>1467</v>
      </c>
      <c r="H2487" s="403" t="s">
        <v>1276</v>
      </c>
      <c r="I2487" s="403">
        <v>1</v>
      </c>
      <c r="J2487" s="403" t="s">
        <v>1374</v>
      </c>
      <c r="K2487" s="403">
        <v>1296</v>
      </c>
      <c r="L2487" s="403">
        <v>2304</v>
      </c>
      <c r="M2487" s="403" t="s">
        <v>1283</v>
      </c>
      <c r="N2487" s="403">
        <v>480</v>
      </c>
      <c r="O2487" s="403">
        <v>704</v>
      </c>
      <c r="P2487" t="str">
        <f t="shared" si="305"/>
        <v>30fps 2304x1296 - SD 4CIF resolution 4:3 format (cropped)</v>
      </c>
      <c r="Q2487">
        <f t="shared" si="306"/>
        <v>14</v>
      </c>
      <c r="R2487" t="str">
        <f t="shared" si="307"/>
        <v/>
      </c>
      <c r="S2487" t="str">
        <f t="shared" si="308"/>
        <v/>
      </c>
      <c r="T2487" s="403" t="str">
        <f t="shared" si="309"/>
        <v>NBN-80052-BA</v>
      </c>
      <c r="U2487" s="403">
        <f t="shared" si="310"/>
        <v>1</v>
      </c>
      <c r="V2487" s="403" t="str">
        <f t="shared" si="311"/>
        <v>CPP_6</v>
      </c>
    </row>
    <row r="2488" spans="1:22">
      <c r="A2488" t="str">
        <f t="shared" si="304"/>
        <v>NBN-80052-BA</v>
      </c>
      <c r="B2488" s="403" t="s">
        <v>1391</v>
      </c>
      <c r="C2488" s="403" t="s">
        <v>584</v>
      </c>
      <c r="D2488" s="403" t="s">
        <v>902</v>
      </c>
      <c r="E2488" s="403" t="s">
        <v>1392</v>
      </c>
      <c r="F2488" s="403" t="s">
        <v>1393</v>
      </c>
      <c r="G2488" s="403" t="s">
        <v>1467</v>
      </c>
      <c r="H2488" s="403" t="s">
        <v>1276</v>
      </c>
      <c r="I2488" s="403">
        <v>1</v>
      </c>
      <c r="J2488" s="403" t="s">
        <v>1374</v>
      </c>
      <c r="K2488" s="403">
        <v>1296</v>
      </c>
      <c r="L2488" s="403">
        <v>2304</v>
      </c>
      <c r="M2488" s="403" t="s">
        <v>1284</v>
      </c>
      <c r="N2488" s="403">
        <v>480</v>
      </c>
      <c r="O2488" s="403">
        <v>640</v>
      </c>
      <c r="P2488" t="str">
        <f t="shared" si="305"/>
        <v>30fps 2304x1296 - SD VGA (cropped)</v>
      </c>
      <c r="Q2488">
        <f t="shared" si="306"/>
        <v>14</v>
      </c>
      <c r="R2488" t="str">
        <f t="shared" si="307"/>
        <v/>
      </c>
      <c r="S2488" t="str">
        <f t="shared" si="308"/>
        <v/>
      </c>
      <c r="T2488" s="403" t="str">
        <f t="shared" si="309"/>
        <v>NBN-80052-BA</v>
      </c>
      <c r="U2488" s="403">
        <f t="shared" si="310"/>
        <v>1</v>
      </c>
      <c r="V2488" s="403" t="str">
        <f t="shared" si="311"/>
        <v>CPP_6</v>
      </c>
    </row>
    <row r="2489" spans="1:22">
      <c r="A2489" t="str">
        <f t="shared" si="304"/>
        <v>NBN-80052-BA</v>
      </c>
      <c r="B2489" s="403" t="s">
        <v>1391</v>
      </c>
      <c r="C2489" s="403" t="s">
        <v>584</v>
      </c>
      <c r="D2489" s="403" t="s">
        <v>902</v>
      </c>
      <c r="E2489" s="403" t="s">
        <v>1392</v>
      </c>
      <c r="F2489" s="403" t="s">
        <v>1393</v>
      </c>
      <c r="G2489" s="403" t="s">
        <v>1467</v>
      </c>
      <c r="H2489" s="403" t="s">
        <v>1276</v>
      </c>
      <c r="I2489" s="403">
        <v>1</v>
      </c>
      <c r="J2489" s="403" t="s">
        <v>1374</v>
      </c>
      <c r="K2489" s="403">
        <v>1296</v>
      </c>
      <c r="L2489" s="403">
        <v>2304</v>
      </c>
      <c r="M2489" s="403" t="s">
        <v>1298</v>
      </c>
      <c r="N2489" s="403">
        <v>432</v>
      </c>
      <c r="O2489" s="403">
        <v>768</v>
      </c>
      <c r="P2489" t="str">
        <f t="shared" si="305"/>
        <v>30fps 2304x1296 - SD dual stream with independent ROI PTZ</v>
      </c>
      <c r="Q2489">
        <f t="shared" si="306"/>
        <v>14</v>
      </c>
      <c r="R2489" t="str">
        <f t="shared" si="307"/>
        <v/>
      </c>
      <c r="S2489" t="str">
        <f t="shared" si="308"/>
        <v/>
      </c>
      <c r="T2489" s="403" t="str">
        <f t="shared" si="309"/>
        <v>NBN-80052-BA</v>
      </c>
      <c r="U2489" s="403">
        <f t="shared" si="310"/>
        <v>1</v>
      </c>
      <c r="V2489" s="403" t="str">
        <f t="shared" si="311"/>
        <v>CPP_6</v>
      </c>
    </row>
    <row r="2490" spans="1:22">
      <c r="A2490" t="str">
        <f t="shared" si="304"/>
        <v>NBN-80052-BA</v>
      </c>
      <c r="B2490" s="403" t="s">
        <v>1391</v>
      </c>
      <c r="C2490" s="403" t="s">
        <v>584</v>
      </c>
      <c r="D2490" s="403" t="s">
        <v>902</v>
      </c>
      <c r="E2490" s="403" t="s">
        <v>1392</v>
      </c>
      <c r="F2490" s="403" t="s">
        <v>1396</v>
      </c>
      <c r="G2490" s="403" t="s">
        <v>1466</v>
      </c>
      <c r="H2490" s="403" t="s">
        <v>1276</v>
      </c>
      <c r="I2490" s="403">
        <v>1</v>
      </c>
      <c r="J2490" s="403" t="s">
        <v>1394</v>
      </c>
      <c r="K2490" s="403">
        <v>2992</v>
      </c>
      <c r="L2490" s="403">
        <v>1680</v>
      </c>
      <c r="M2490" s="403" t="s">
        <v>110</v>
      </c>
      <c r="N2490" s="403">
        <v>1920</v>
      </c>
      <c r="O2490" s="403">
        <v>1080</v>
      </c>
      <c r="P2490" t="str">
        <f t="shared" si="305"/>
        <v>25fps 2992x1680 - 1080p</v>
      </c>
      <c r="Q2490">
        <f t="shared" si="306"/>
        <v>14</v>
      </c>
      <c r="R2490" t="str">
        <f t="shared" si="307"/>
        <v/>
      </c>
      <c r="S2490" t="str">
        <f t="shared" si="308"/>
        <v/>
      </c>
      <c r="T2490" s="403" t="str">
        <f t="shared" si="309"/>
        <v>NBN-80052-BA</v>
      </c>
      <c r="U2490" s="403">
        <f t="shared" si="310"/>
        <v>1</v>
      </c>
      <c r="V2490" s="403" t="str">
        <f t="shared" si="311"/>
        <v>CPP_6</v>
      </c>
    </row>
    <row r="2491" spans="1:22">
      <c r="A2491" t="str">
        <f t="shared" si="304"/>
        <v>NBN-80052-BA</v>
      </c>
      <c r="B2491" s="403" t="s">
        <v>1391</v>
      </c>
      <c r="C2491" s="403" t="s">
        <v>584</v>
      </c>
      <c r="D2491" s="403" t="s">
        <v>902</v>
      </c>
      <c r="E2491" s="403" t="s">
        <v>1392</v>
      </c>
      <c r="F2491" s="403" t="s">
        <v>1396</v>
      </c>
      <c r="G2491" s="403" t="s">
        <v>1466</v>
      </c>
      <c r="H2491" s="403" t="s">
        <v>1276</v>
      </c>
      <c r="I2491" s="403">
        <v>1</v>
      </c>
      <c r="J2491" s="403" t="s">
        <v>1394</v>
      </c>
      <c r="K2491" s="403">
        <v>2992</v>
      </c>
      <c r="L2491" s="403">
        <v>1680</v>
      </c>
      <c r="M2491" s="403" t="s">
        <v>1395</v>
      </c>
      <c r="N2491" s="403">
        <v>2992</v>
      </c>
      <c r="O2491" s="403">
        <v>1680</v>
      </c>
      <c r="P2491" t="str">
        <f t="shared" si="305"/>
        <v>25fps 2992x1680 - 2992x1680 @ SKIP 3</v>
      </c>
      <c r="Q2491">
        <f t="shared" si="306"/>
        <v>14</v>
      </c>
      <c r="R2491" t="str">
        <f t="shared" si="307"/>
        <v/>
      </c>
      <c r="S2491" t="str">
        <f t="shared" si="308"/>
        <v/>
      </c>
      <c r="T2491" s="403" t="str">
        <f t="shared" si="309"/>
        <v>NBN-80052-BA</v>
      </c>
      <c r="U2491" s="403">
        <f t="shared" si="310"/>
        <v>1</v>
      </c>
      <c r="V2491" s="403" t="str">
        <f t="shared" si="311"/>
        <v>CPP_6</v>
      </c>
    </row>
    <row r="2492" spans="1:22">
      <c r="A2492" t="str">
        <f t="shared" si="304"/>
        <v>NBN-80052-BA</v>
      </c>
      <c r="B2492" s="403" t="s">
        <v>1391</v>
      </c>
      <c r="C2492" s="403" t="s">
        <v>584</v>
      </c>
      <c r="D2492" s="403" t="s">
        <v>902</v>
      </c>
      <c r="E2492" s="403" t="s">
        <v>1392</v>
      </c>
      <c r="F2492" s="403" t="s">
        <v>1396</v>
      </c>
      <c r="G2492" s="403" t="s">
        <v>1466</v>
      </c>
      <c r="H2492" s="403" t="s">
        <v>1276</v>
      </c>
      <c r="I2492" s="403">
        <v>1</v>
      </c>
      <c r="J2492" s="403" t="s">
        <v>1394</v>
      </c>
      <c r="K2492" s="403">
        <v>2992</v>
      </c>
      <c r="L2492" s="403">
        <v>1680</v>
      </c>
      <c r="M2492" s="403" t="s">
        <v>109</v>
      </c>
      <c r="N2492" s="403">
        <v>1280</v>
      </c>
      <c r="O2492" s="403">
        <v>720</v>
      </c>
      <c r="P2492" t="str">
        <f t="shared" si="305"/>
        <v>25fps 2992x1680 - 720p</v>
      </c>
      <c r="Q2492">
        <f t="shared" si="306"/>
        <v>14</v>
      </c>
      <c r="R2492" t="str">
        <f t="shared" si="307"/>
        <v/>
      </c>
      <c r="S2492" t="str">
        <f t="shared" si="308"/>
        <v/>
      </c>
      <c r="T2492" s="403" t="str">
        <f t="shared" si="309"/>
        <v>NBN-80052-BA</v>
      </c>
      <c r="U2492" s="403">
        <f t="shared" si="310"/>
        <v>1</v>
      </c>
      <c r="V2492" s="403" t="str">
        <f t="shared" si="311"/>
        <v>CPP_6</v>
      </c>
    </row>
    <row r="2493" spans="1:22">
      <c r="A2493" t="str">
        <f t="shared" si="304"/>
        <v>NBN-80052-BA</v>
      </c>
      <c r="B2493" s="403" t="s">
        <v>1391</v>
      </c>
      <c r="C2493" s="403" t="s">
        <v>584</v>
      </c>
      <c r="D2493" s="403" t="s">
        <v>902</v>
      </c>
      <c r="E2493" s="403" t="s">
        <v>1392</v>
      </c>
      <c r="F2493" s="403" t="s">
        <v>1396</v>
      </c>
      <c r="G2493" s="403" t="s">
        <v>1466</v>
      </c>
      <c r="H2493" s="403" t="s">
        <v>1276</v>
      </c>
      <c r="I2493" s="403">
        <v>1</v>
      </c>
      <c r="J2493" s="403" t="s">
        <v>1394</v>
      </c>
      <c r="K2493" s="403">
        <v>2992</v>
      </c>
      <c r="L2493" s="403">
        <v>1680</v>
      </c>
      <c r="M2493" s="403" t="s">
        <v>111</v>
      </c>
      <c r="N2493" s="403">
        <v>768</v>
      </c>
      <c r="O2493" s="403">
        <v>432</v>
      </c>
      <c r="P2493" t="str">
        <f t="shared" si="305"/>
        <v>25fps 2992x1680 - SD</v>
      </c>
      <c r="Q2493">
        <f t="shared" si="306"/>
        <v>14</v>
      </c>
      <c r="R2493" t="str">
        <f t="shared" si="307"/>
        <v/>
      </c>
      <c r="S2493" t="str">
        <f t="shared" si="308"/>
        <v/>
      </c>
      <c r="T2493" s="403" t="str">
        <f t="shared" si="309"/>
        <v>NBN-80052-BA</v>
      </c>
      <c r="U2493" s="403">
        <f t="shared" si="310"/>
        <v>1</v>
      </c>
      <c r="V2493" s="403" t="str">
        <f t="shared" si="311"/>
        <v>CPP_6</v>
      </c>
    </row>
    <row r="2494" spans="1:22">
      <c r="A2494" t="str">
        <f t="shared" si="304"/>
        <v>NBN-80052-BA</v>
      </c>
      <c r="B2494" s="403" t="s">
        <v>1391</v>
      </c>
      <c r="C2494" s="403" t="s">
        <v>584</v>
      </c>
      <c r="D2494" s="403" t="s">
        <v>902</v>
      </c>
      <c r="E2494" s="403" t="s">
        <v>1392</v>
      </c>
      <c r="F2494" s="403" t="s">
        <v>1396</v>
      </c>
      <c r="G2494" s="403" t="s">
        <v>1466</v>
      </c>
      <c r="H2494" s="403" t="s">
        <v>1276</v>
      </c>
      <c r="I2494" s="403">
        <v>1</v>
      </c>
      <c r="J2494" s="403" t="s">
        <v>1394</v>
      </c>
      <c r="K2494" s="403">
        <v>2992</v>
      </c>
      <c r="L2494" s="403">
        <v>1680</v>
      </c>
      <c r="M2494" s="403" t="s">
        <v>1279</v>
      </c>
      <c r="N2494" s="403">
        <v>768</v>
      </c>
      <c r="O2494" s="403">
        <v>432</v>
      </c>
      <c r="P2494" t="str">
        <f t="shared" si="305"/>
        <v>25fps 2992x1680 - SD ROI PTZ</v>
      </c>
      <c r="Q2494">
        <f t="shared" si="306"/>
        <v>14</v>
      </c>
      <c r="R2494" t="str">
        <f t="shared" si="307"/>
        <v/>
      </c>
      <c r="S2494" t="str">
        <f t="shared" si="308"/>
        <v/>
      </c>
      <c r="T2494" s="403" t="str">
        <f t="shared" si="309"/>
        <v>NBN-80052-BA</v>
      </c>
      <c r="U2494" s="403">
        <f t="shared" si="310"/>
        <v>1</v>
      </c>
      <c r="V2494" s="403" t="str">
        <f t="shared" si="311"/>
        <v>CPP_6</v>
      </c>
    </row>
    <row r="2495" spans="1:22">
      <c r="A2495" t="str">
        <f t="shared" si="304"/>
        <v>NBN-80052-BA</v>
      </c>
      <c r="B2495" s="403" t="s">
        <v>1391</v>
      </c>
      <c r="C2495" s="403" t="s">
        <v>584</v>
      </c>
      <c r="D2495" s="403" t="s">
        <v>902</v>
      </c>
      <c r="E2495" s="403" t="s">
        <v>1392</v>
      </c>
      <c r="F2495" s="403" t="s">
        <v>1396</v>
      </c>
      <c r="G2495" s="403" t="s">
        <v>1466</v>
      </c>
      <c r="H2495" s="403" t="s">
        <v>1276</v>
      </c>
      <c r="I2495" s="403">
        <v>1</v>
      </c>
      <c r="J2495" s="403" t="s">
        <v>1394</v>
      </c>
      <c r="K2495" s="403">
        <v>2992</v>
      </c>
      <c r="L2495" s="403">
        <v>1680</v>
      </c>
      <c r="M2495" s="403" t="s">
        <v>1302</v>
      </c>
      <c r="N2495" s="403">
        <v>400</v>
      </c>
      <c r="O2495" s="403">
        <v>720</v>
      </c>
      <c r="P2495" t="str">
        <f t="shared" si="305"/>
        <v>25fps 2992x1680 - 400x720 upright (cropped)</v>
      </c>
      <c r="Q2495">
        <f t="shared" si="306"/>
        <v>14</v>
      </c>
      <c r="R2495" t="str">
        <f t="shared" si="307"/>
        <v/>
      </c>
      <c r="S2495" t="str">
        <f t="shared" si="308"/>
        <v/>
      </c>
      <c r="T2495" s="403" t="str">
        <f t="shared" si="309"/>
        <v>NBN-80052-BA</v>
      </c>
      <c r="U2495" s="403">
        <f t="shared" si="310"/>
        <v>1</v>
      </c>
      <c r="V2495" s="403" t="str">
        <f t="shared" si="311"/>
        <v>CPP_6</v>
      </c>
    </row>
    <row r="2496" spans="1:22">
      <c r="A2496" t="str">
        <f t="shared" si="304"/>
        <v>NBN-80052-BA</v>
      </c>
      <c r="B2496" s="403" t="s">
        <v>1391</v>
      </c>
      <c r="C2496" s="403" t="s">
        <v>584</v>
      </c>
      <c r="D2496" s="403" t="s">
        <v>902</v>
      </c>
      <c r="E2496" s="403" t="s">
        <v>1392</v>
      </c>
      <c r="F2496" s="403" t="s">
        <v>1396</v>
      </c>
      <c r="G2496" s="403" t="s">
        <v>1466</v>
      </c>
      <c r="H2496" s="403" t="s">
        <v>1276</v>
      </c>
      <c r="I2496" s="403">
        <v>1</v>
      </c>
      <c r="J2496" s="403" t="s">
        <v>1394</v>
      </c>
      <c r="K2496" s="403">
        <v>2992</v>
      </c>
      <c r="L2496" s="403">
        <v>1680</v>
      </c>
      <c r="M2496" s="403" t="s">
        <v>1283</v>
      </c>
      <c r="N2496" s="403">
        <v>704</v>
      </c>
      <c r="O2496" s="403">
        <v>576</v>
      </c>
      <c r="P2496" t="str">
        <f t="shared" si="305"/>
        <v>25fps 2992x1680 - SD 4CIF resolution 4:3 format (cropped)</v>
      </c>
      <c r="Q2496">
        <f t="shared" si="306"/>
        <v>14</v>
      </c>
      <c r="R2496" t="str">
        <f t="shared" si="307"/>
        <v/>
      </c>
      <c r="S2496" t="str">
        <f t="shared" si="308"/>
        <v/>
      </c>
      <c r="T2496" s="403" t="str">
        <f t="shared" si="309"/>
        <v>NBN-80052-BA</v>
      </c>
      <c r="U2496" s="403">
        <f t="shared" si="310"/>
        <v>1</v>
      </c>
      <c r="V2496" s="403" t="str">
        <f t="shared" si="311"/>
        <v>CPP_6</v>
      </c>
    </row>
    <row r="2497" spans="1:22">
      <c r="A2497" t="str">
        <f t="shared" si="304"/>
        <v>NBN-80052-BA</v>
      </c>
      <c r="B2497" s="403" t="s">
        <v>1391</v>
      </c>
      <c r="C2497" s="403" t="s">
        <v>584</v>
      </c>
      <c r="D2497" s="403" t="s">
        <v>902</v>
      </c>
      <c r="E2497" s="403" t="s">
        <v>1392</v>
      </c>
      <c r="F2497" s="403" t="s">
        <v>1396</v>
      </c>
      <c r="G2497" s="403" t="s">
        <v>1466</v>
      </c>
      <c r="H2497" s="403" t="s">
        <v>1276</v>
      </c>
      <c r="I2497" s="403">
        <v>1</v>
      </c>
      <c r="J2497" s="403" t="s">
        <v>1394</v>
      </c>
      <c r="K2497" s="403">
        <v>2992</v>
      </c>
      <c r="L2497" s="403">
        <v>1680</v>
      </c>
      <c r="M2497" s="403" t="s">
        <v>1284</v>
      </c>
      <c r="N2497" s="403">
        <v>640</v>
      </c>
      <c r="O2497" s="403">
        <v>480</v>
      </c>
      <c r="P2497" t="str">
        <f t="shared" si="305"/>
        <v>25fps 2992x1680 - SD VGA (cropped)</v>
      </c>
      <c r="Q2497">
        <f t="shared" si="306"/>
        <v>14</v>
      </c>
      <c r="R2497" t="str">
        <f t="shared" si="307"/>
        <v/>
      </c>
      <c r="S2497" t="str">
        <f t="shared" si="308"/>
        <v/>
      </c>
      <c r="T2497" s="403" t="str">
        <f t="shared" si="309"/>
        <v>NBN-80052-BA</v>
      </c>
      <c r="U2497" s="403">
        <f t="shared" si="310"/>
        <v>1</v>
      </c>
      <c r="V2497" s="403" t="str">
        <f t="shared" si="311"/>
        <v>CPP_6</v>
      </c>
    </row>
    <row r="2498" spans="1:22">
      <c r="A2498" t="str">
        <f t="shared" ref="A2498:A2561" si="312">IF(AND(G2498&lt;&gt;"rotate 90°"),D2498,"")</f>
        <v>NBN-80052-BA</v>
      </c>
      <c r="B2498" s="403" t="s">
        <v>1391</v>
      </c>
      <c r="C2498" s="403" t="s">
        <v>584</v>
      </c>
      <c r="D2498" s="403" t="s">
        <v>902</v>
      </c>
      <c r="E2498" s="403" t="s">
        <v>1392</v>
      </c>
      <c r="F2498" s="403" t="s">
        <v>1396</v>
      </c>
      <c r="G2498" s="403" t="s">
        <v>1466</v>
      </c>
      <c r="H2498" s="403" t="s">
        <v>1276</v>
      </c>
      <c r="I2498" s="403">
        <v>1</v>
      </c>
      <c r="J2498" s="403" t="s">
        <v>1394</v>
      </c>
      <c r="K2498" s="403">
        <v>2992</v>
      </c>
      <c r="L2498" s="403">
        <v>1680</v>
      </c>
      <c r="M2498" s="403" t="s">
        <v>1298</v>
      </c>
      <c r="N2498" s="403">
        <v>768</v>
      </c>
      <c r="O2498" s="403">
        <v>432</v>
      </c>
      <c r="P2498" t="str">
        <f t="shared" ref="P2498:P2561" si="313">LEFT(F2498,5)&amp;" "&amp;J2498&amp;" - "&amp;M2498</f>
        <v>25fps 2992x1680 - SD dual stream with independent ROI PTZ</v>
      </c>
      <c r="Q2498">
        <f t="shared" ref="Q2498:Q2561" si="314">IF(A2497=A2498,Q2497,Q2497+1)</f>
        <v>14</v>
      </c>
      <c r="R2498" t="str">
        <f t="shared" ref="R2498:R2561" si="315">IF(Q2497&lt;&gt;Q2498,Q2498,"")</f>
        <v/>
      </c>
      <c r="S2498" t="str">
        <f t="shared" ref="S2498:S2561" si="316">IF(R2498&lt;&gt;"",B2498&amp;" ("&amp;D2498&amp;")","")</f>
        <v/>
      </c>
      <c r="T2498" s="403" t="str">
        <f t="shared" ref="T2498:T2561" si="317">D2498</f>
        <v>NBN-80052-BA</v>
      </c>
      <c r="U2498" s="403">
        <f t="shared" ref="U2498:U2561" si="318">I2498</f>
        <v>1</v>
      </c>
      <c r="V2498" s="403" t="str">
        <f t="shared" ref="V2498:V2561" si="319">C2498</f>
        <v>CPP_6</v>
      </c>
    </row>
    <row r="2499" spans="1:22">
      <c r="A2499" t="str">
        <f t="shared" si="312"/>
        <v>NBN-80052-BA</v>
      </c>
      <c r="B2499" s="403" t="s">
        <v>1391</v>
      </c>
      <c r="C2499" s="403" t="s">
        <v>584</v>
      </c>
      <c r="D2499" s="403" t="s">
        <v>902</v>
      </c>
      <c r="E2499" s="403" t="s">
        <v>1392</v>
      </c>
      <c r="F2499" s="403" t="s">
        <v>1396</v>
      </c>
      <c r="G2499" s="403" t="s">
        <v>1466</v>
      </c>
      <c r="H2499" s="403" t="s">
        <v>1276</v>
      </c>
      <c r="I2499" s="403">
        <v>1</v>
      </c>
      <c r="J2499" s="403" t="s">
        <v>1394</v>
      </c>
      <c r="K2499" s="403">
        <v>2992</v>
      </c>
      <c r="L2499" s="403">
        <v>1680</v>
      </c>
      <c r="M2499" s="403" t="s">
        <v>1280</v>
      </c>
      <c r="N2499" s="403">
        <v>2992</v>
      </c>
      <c r="O2499" s="403">
        <v>1680</v>
      </c>
      <c r="P2499" t="str">
        <f t="shared" si="313"/>
        <v>25fps 2992x1680 - copy other stream</v>
      </c>
      <c r="Q2499">
        <f t="shared" si="314"/>
        <v>14</v>
      </c>
      <c r="R2499" t="str">
        <f t="shared" si="315"/>
        <v/>
      </c>
      <c r="S2499" t="str">
        <f t="shared" si="316"/>
        <v/>
      </c>
      <c r="T2499" s="403" t="str">
        <f t="shared" si="317"/>
        <v>NBN-80052-BA</v>
      </c>
      <c r="U2499" s="403">
        <f t="shared" si="318"/>
        <v>1</v>
      </c>
      <c r="V2499" s="403" t="str">
        <f t="shared" si="319"/>
        <v>CPP_6</v>
      </c>
    </row>
    <row r="2500" spans="1:22">
      <c r="A2500" t="str">
        <f t="shared" si="312"/>
        <v>NBN-80052-BA</v>
      </c>
      <c r="B2500" s="403" t="s">
        <v>1391</v>
      </c>
      <c r="C2500" s="403" t="s">
        <v>584</v>
      </c>
      <c r="D2500" s="403" t="s">
        <v>902</v>
      </c>
      <c r="E2500" s="403" t="s">
        <v>1392</v>
      </c>
      <c r="F2500" s="403" t="s">
        <v>1396</v>
      </c>
      <c r="G2500" s="403" t="s">
        <v>1466</v>
      </c>
      <c r="H2500" s="403" t="s">
        <v>1276</v>
      </c>
      <c r="I2500" s="403">
        <v>1</v>
      </c>
      <c r="J2500" s="403" t="s">
        <v>1374</v>
      </c>
      <c r="K2500" s="403">
        <v>2304</v>
      </c>
      <c r="L2500" s="403">
        <v>1296</v>
      </c>
      <c r="M2500" s="403" t="s">
        <v>1374</v>
      </c>
      <c r="N2500" s="403">
        <v>2304</v>
      </c>
      <c r="O2500" s="403">
        <v>1296</v>
      </c>
      <c r="P2500" t="str">
        <f t="shared" si="313"/>
        <v>25fps 2304x1296 - 2304x1296</v>
      </c>
      <c r="Q2500">
        <f t="shared" si="314"/>
        <v>14</v>
      </c>
      <c r="R2500" t="str">
        <f t="shared" si="315"/>
        <v/>
      </c>
      <c r="S2500" t="str">
        <f t="shared" si="316"/>
        <v/>
      </c>
      <c r="T2500" s="403" t="str">
        <f t="shared" si="317"/>
        <v>NBN-80052-BA</v>
      </c>
      <c r="U2500" s="403">
        <f t="shared" si="318"/>
        <v>1</v>
      </c>
      <c r="V2500" s="403" t="str">
        <f t="shared" si="319"/>
        <v>CPP_6</v>
      </c>
    </row>
    <row r="2501" spans="1:22">
      <c r="A2501" t="str">
        <f t="shared" si="312"/>
        <v>NBN-80052-BA</v>
      </c>
      <c r="B2501" s="403" t="s">
        <v>1391</v>
      </c>
      <c r="C2501" s="403" t="s">
        <v>584</v>
      </c>
      <c r="D2501" s="403" t="s">
        <v>902</v>
      </c>
      <c r="E2501" s="403" t="s">
        <v>1392</v>
      </c>
      <c r="F2501" s="403" t="s">
        <v>1396</v>
      </c>
      <c r="G2501" s="403" t="s">
        <v>1466</v>
      </c>
      <c r="H2501" s="403" t="s">
        <v>1276</v>
      </c>
      <c r="I2501" s="403">
        <v>1</v>
      </c>
      <c r="J2501" s="403" t="s">
        <v>1374</v>
      </c>
      <c r="K2501" s="403">
        <v>2304</v>
      </c>
      <c r="L2501" s="403">
        <v>1296</v>
      </c>
      <c r="M2501" s="403" t="s">
        <v>110</v>
      </c>
      <c r="N2501" s="403">
        <v>1920</v>
      </c>
      <c r="O2501" s="403">
        <v>1080</v>
      </c>
      <c r="P2501" t="str">
        <f t="shared" si="313"/>
        <v>25fps 2304x1296 - 1080p</v>
      </c>
      <c r="Q2501">
        <f t="shared" si="314"/>
        <v>14</v>
      </c>
      <c r="R2501" t="str">
        <f t="shared" si="315"/>
        <v/>
      </c>
      <c r="S2501" t="str">
        <f t="shared" si="316"/>
        <v/>
      </c>
      <c r="T2501" s="403" t="str">
        <f t="shared" si="317"/>
        <v>NBN-80052-BA</v>
      </c>
      <c r="U2501" s="403">
        <f t="shared" si="318"/>
        <v>1</v>
      </c>
      <c r="V2501" s="403" t="str">
        <f t="shared" si="319"/>
        <v>CPP_6</v>
      </c>
    </row>
    <row r="2502" spans="1:22">
      <c r="A2502" t="str">
        <f t="shared" si="312"/>
        <v>NBN-80052-BA</v>
      </c>
      <c r="B2502" s="403" t="s">
        <v>1391</v>
      </c>
      <c r="C2502" s="403" t="s">
        <v>584</v>
      </c>
      <c r="D2502" s="403" t="s">
        <v>902</v>
      </c>
      <c r="E2502" s="403" t="s">
        <v>1392</v>
      </c>
      <c r="F2502" s="403" t="s">
        <v>1396</v>
      </c>
      <c r="G2502" s="403" t="s">
        <v>1466</v>
      </c>
      <c r="H2502" s="403" t="s">
        <v>1276</v>
      </c>
      <c r="I2502" s="403">
        <v>1</v>
      </c>
      <c r="J2502" s="403" t="s">
        <v>1374</v>
      </c>
      <c r="K2502" s="403">
        <v>2304</v>
      </c>
      <c r="L2502" s="403">
        <v>1296</v>
      </c>
      <c r="M2502" s="403" t="s">
        <v>109</v>
      </c>
      <c r="N2502" s="403">
        <v>1280</v>
      </c>
      <c r="O2502" s="403">
        <v>720</v>
      </c>
      <c r="P2502" t="str">
        <f t="shared" si="313"/>
        <v>25fps 2304x1296 - 720p</v>
      </c>
      <c r="Q2502">
        <f t="shared" si="314"/>
        <v>14</v>
      </c>
      <c r="R2502" t="str">
        <f t="shared" si="315"/>
        <v/>
      </c>
      <c r="S2502" t="str">
        <f t="shared" si="316"/>
        <v/>
      </c>
      <c r="T2502" s="403" t="str">
        <f t="shared" si="317"/>
        <v>NBN-80052-BA</v>
      </c>
      <c r="U2502" s="403">
        <f t="shared" si="318"/>
        <v>1</v>
      </c>
      <c r="V2502" s="403" t="str">
        <f t="shared" si="319"/>
        <v>CPP_6</v>
      </c>
    </row>
    <row r="2503" spans="1:22">
      <c r="A2503" t="str">
        <f t="shared" si="312"/>
        <v>NBN-80052-BA</v>
      </c>
      <c r="B2503" s="403" t="s">
        <v>1391</v>
      </c>
      <c r="C2503" s="403" t="s">
        <v>584</v>
      </c>
      <c r="D2503" s="403" t="s">
        <v>902</v>
      </c>
      <c r="E2503" s="403" t="s">
        <v>1392</v>
      </c>
      <c r="F2503" s="403" t="s">
        <v>1396</v>
      </c>
      <c r="G2503" s="403" t="s">
        <v>1466</v>
      </c>
      <c r="H2503" s="403" t="s">
        <v>1276</v>
      </c>
      <c r="I2503" s="403">
        <v>1</v>
      </c>
      <c r="J2503" s="403" t="s">
        <v>1374</v>
      </c>
      <c r="K2503" s="403">
        <v>2304</v>
      </c>
      <c r="L2503" s="403">
        <v>1296</v>
      </c>
      <c r="M2503" s="403" t="s">
        <v>111</v>
      </c>
      <c r="N2503" s="403">
        <v>768</v>
      </c>
      <c r="O2503" s="403">
        <v>432</v>
      </c>
      <c r="P2503" t="str">
        <f t="shared" si="313"/>
        <v>25fps 2304x1296 - SD</v>
      </c>
      <c r="Q2503">
        <f t="shared" si="314"/>
        <v>14</v>
      </c>
      <c r="R2503" t="str">
        <f t="shared" si="315"/>
        <v/>
      </c>
      <c r="S2503" t="str">
        <f t="shared" si="316"/>
        <v/>
      </c>
      <c r="T2503" s="403" t="str">
        <f t="shared" si="317"/>
        <v>NBN-80052-BA</v>
      </c>
      <c r="U2503" s="403">
        <f t="shared" si="318"/>
        <v>1</v>
      </c>
      <c r="V2503" s="403" t="str">
        <f t="shared" si="319"/>
        <v>CPP_6</v>
      </c>
    </row>
    <row r="2504" spans="1:22">
      <c r="A2504" t="str">
        <f t="shared" si="312"/>
        <v>NBN-80052-BA</v>
      </c>
      <c r="B2504" s="403" t="s">
        <v>1391</v>
      </c>
      <c r="C2504" s="403" t="s">
        <v>584</v>
      </c>
      <c r="D2504" s="403" t="s">
        <v>902</v>
      </c>
      <c r="E2504" s="403" t="s">
        <v>1392</v>
      </c>
      <c r="F2504" s="403" t="s">
        <v>1396</v>
      </c>
      <c r="G2504" s="403" t="s">
        <v>1466</v>
      </c>
      <c r="H2504" s="403" t="s">
        <v>1276</v>
      </c>
      <c r="I2504" s="403">
        <v>1</v>
      </c>
      <c r="J2504" s="403" t="s">
        <v>1374</v>
      </c>
      <c r="K2504" s="403">
        <v>2304</v>
      </c>
      <c r="L2504" s="403">
        <v>1296</v>
      </c>
      <c r="M2504" s="403" t="s">
        <v>1279</v>
      </c>
      <c r="N2504" s="403">
        <v>768</v>
      </c>
      <c r="O2504" s="403">
        <v>432</v>
      </c>
      <c r="P2504" t="str">
        <f t="shared" si="313"/>
        <v>25fps 2304x1296 - SD ROI PTZ</v>
      </c>
      <c r="Q2504">
        <f t="shared" si="314"/>
        <v>14</v>
      </c>
      <c r="R2504" t="str">
        <f t="shared" si="315"/>
        <v/>
      </c>
      <c r="S2504" t="str">
        <f t="shared" si="316"/>
        <v/>
      </c>
      <c r="T2504" s="403" t="str">
        <f t="shared" si="317"/>
        <v>NBN-80052-BA</v>
      </c>
      <c r="U2504" s="403">
        <f t="shared" si="318"/>
        <v>1</v>
      </c>
      <c r="V2504" s="403" t="str">
        <f t="shared" si="319"/>
        <v>CPP_6</v>
      </c>
    </row>
    <row r="2505" spans="1:22">
      <c r="A2505" t="str">
        <f t="shared" si="312"/>
        <v>NBN-80052-BA</v>
      </c>
      <c r="B2505" s="403" t="s">
        <v>1391</v>
      </c>
      <c r="C2505" s="403" t="s">
        <v>584</v>
      </c>
      <c r="D2505" s="403" t="s">
        <v>902</v>
      </c>
      <c r="E2505" s="403" t="s">
        <v>1392</v>
      </c>
      <c r="F2505" s="403" t="s">
        <v>1396</v>
      </c>
      <c r="G2505" s="403" t="s">
        <v>1466</v>
      </c>
      <c r="H2505" s="403" t="s">
        <v>1276</v>
      </c>
      <c r="I2505" s="403">
        <v>1</v>
      </c>
      <c r="J2505" s="403" t="s">
        <v>1374</v>
      </c>
      <c r="K2505" s="403">
        <v>2304</v>
      </c>
      <c r="L2505" s="403">
        <v>1296</v>
      </c>
      <c r="M2505" s="403" t="s">
        <v>1302</v>
      </c>
      <c r="N2505" s="403">
        <v>400</v>
      </c>
      <c r="O2505" s="403">
        <v>720</v>
      </c>
      <c r="P2505" t="str">
        <f t="shared" si="313"/>
        <v>25fps 2304x1296 - 400x720 upright (cropped)</v>
      </c>
      <c r="Q2505">
        <f t="shared" si="314"/>
        <v>14</v>
      </c>
      <c r="R2505" t="str">
        <f t="shared" si="315"/>
        <v/>
      </c>
      <c r="S2505" t="str">
        <f t="shared" si="316"/>
        <v/>
      </c>
      <c r="T2505" s="403" t="str">
        <f t="shared" si="317"/>
        <v>NBN-80052-BA</v>
      </c>
      <c r="U2505" s="403">
        <f t="shared" si="318"/>
        <v>1</v>
      </c>
      <c r="V2505" s="403" t="str">
        <f t="shared" si="319"/>
        <v>CPP_6</v>
      </c>
    </row>
    <row r="2506" spans="1:22">
      <c r="A2506" t="str">
        <f t="shared" si="312"/>
        <v>NBN-80052-BA</v>
      </c>
      <c r="B2506" s="403" t="s">
        <v>1391</v>
      </c>
      <c r="C2506" s="403" t="s">
        <v>584</v>
      </c>
      <c r="D2506" s="403" t="s">
        <v>902</v>
      </c>
      <c r="E2506" s="403" t="s">
        <v>1392</v>
      </c>
      <c r="F2506" s="403" t="s">
        <v>1396</v>
      </c>
      <c r="G2506" s="403" t="s">
        <v>1466</v>
      </c>
      <c r="H2506" s="403" t="s">
        <v>1276</v>
      </c>
      <c r="I2506" s="403">
        <v>1</v>
      </c>
      <c r="J2506" s="403" t="s">
        <v>1374</v>
      </c>
      <c r="K2506" s="403">
        <v>2304</v>
      </c>
      <c r="L2506" s="403">
        <v>1296</v>
      </c>
      <c r="M2506" s="403" t="s">
        <v>1283</v>
      </c>
      <c r="N2506" s="403">
        <v>704</v>
      </c>
      <c r="O2506" s="403">
        <v>576</v>
      </c>
      <c r="P2506" t="str">
        <f t="shared" si="313"/>
        <v>25fps 2304x1296 - SD 4CIF resolution 4:3 format (cropped)</v>
      </c>
      <c r="Q2506">
        <f t="shared" si="314"/>
        <v>14</v>
      </c>
      <c r="R2506" t="str">
        <f t="shared" si="315"/>
        <v/>
      </c>
      <c r="S2506" t="str">
        <f t="shared" si="316"/>
        <v/>
      </c>
      <c r="T2506" s="403" t="str">
        <f t="shared" si="317"/>
        <v>NBN-80052-BA</v>
      </c>
      <c r="U2506" s="403">
        <f t="shared" si="318"/>
        <v>1</v>
      </c>
      <c r="V2506" s="403" t="str">
        <f t="shared" si="319"/>
        <v>CPP_6</v>
      </c>
    </row>
    <row r="2507" spans="1:22">
      <c r="A2507" t="str">
        <f t="shared" si="312"/>
        <v>NBN-80052-BA</v>
      </c>
      <c r="B2507" s="403" t="s">
        <v>1391</v>
      </c>
      <c r="C2507" s="403" t="s">
        <v>584</v>
      </c>
      <c r="D2507" s="403" t="s">
        <v>902</v>
      </c>
      <c r="E2507" s="403" t="s">
        <v>1392</v>
      </c>
      <c r="F2507" s="403" t="s">
        <v>1396</v>
      </c>
      <c r="G2507" s="403" t="s">
        <v>1466</v>
      </c>
      <c r="H2507" s="403" t="s">
        <v>1276</v>
      </c>
      <c r="I2507" s="403">
        <v>1</v>
      </c>
      <c r="J2507" s="403" t="s">
        <v>1374</v>
      </c>
      <c r="K2507" s="403">
        <v>2304</v>
      </c>
      <c r="L2507" s="403">
        <v>1296</v>
      </c>
      <c r="M2507" s="403" t="s">
        <v>1284</v>
      </c>
      <c r="N2507" s="403">
        <v>640</v>
      </c>
      <c r="O2507" s="403">
        <v>480</v>
      </c>
      <c r="P2507" t="str">
        <f t="shared" si="313"/>
        <v>25fps 2304x1296 - SD VGA (cropped)</v>
      </c>
      <c r="Q2507">
        <f t="shared" si="314"/>
        <v>14</v>
      </c>
      <c r="R2507" t="str">
        <f t="shared" si="315"/>
        <v/>
      </c>
      <c r="S2507" t="str">
        <f t="shared" si="316"/>
        <v/>
      </c>
      <c r="T2507" s="403" t="str">
        <f t="shared" si="317"/>
        <v>NBN-80052-BA</v>
      </c>
      <c r="U2507" s="403">
        <f t="shared" si="318"/>
        <v>1</v>
      </c>
      <c r="V2507" s="403" t="str">
        <f t="shared" si="319"/>
        <v>CPP_6</v>
      </c>
    </row>
    <row r="2508" spans="1:22">
      <c r="A2508" t="str">
        <f t="shared" si="312"/>
        <v>NBN-80052-BA</v>
      </c>
      <c r="B2508" s="403" t="s">
        <v>1391</v>
      </c>
      <c r="C2508" s="403" t="s">
        <v>584</v>
      </c>
      <c r="D2508" s="403" t="s">
        <v>902</v>
      </c>
      <c r="E2508" s="403" t="s">
        <v>1392</v>
      </c>
      <c r="F2508" s="403" t="s">
        <v>1396</v>
      </c>
      <c r="G2508" s="403" t="s">
        <v>1466</v>
      </c>
      <c r="H2508" s="403" t="s">
        <v>1276</v>
      </c>
      <c r="I2508" s="403">
        <v>1</v>
      </c>
      <c r="J2508" s="403" t="s">
        <v>1374</v>
      </c>
      <c r="K2508" s="403">
        <v>2304</v>
      </c>
      <c r="L2508" s="403">
        <v>1296</v>
      </c>
      <c r="M2508" s="403" t="s">
        <v>1298</v>
      </c>
      <c r="N2508" s="403">
        <v>768</v>
      </c>
      <c r="O2508" s="403">
        <v>432</v>
      </c>
      <c r="P2508" t="str">
        <f t="shared" si="313"/>
        <v>25fps 2304x1296 - SD dual stream with independent ROI PTZ</v>
      </c>
      <c r="Q2508">
        <f t="shared" si="314"/>
        <v>14</v>
      </c>
      <c r="R2508" t="str">
        <f t="shared" si="315"/>
        <v/>
      </c>
      <c r="S2508" t="str">
        <f t="shared" si="316"/>
        <v/>
      </c>
      <c r="T2508" s="403" t="str">
        <f t="shared" si="317"/>
        <v>NBN-80052-BA</v>
      </c>
      <c r="U2508" s="403">
        <f t="shared" si="318"/>
        <v>1</v>
      </c>
      <c r="V2508" s="403" t="str">
        <f t="shared" si="319"/>
        <v>CPP_6</v>
      </c>
    </row>
    <row r="2509" spans="1:22">
      <c r="A2509" t="str">
        <f t="shared" si="312"/>
        <v>NBN-80052-BA</v>
      </c>
      <c r="B2509" s="403" t="s">
        <v>1391</v>
      </c>
      <c r="C2509" s="403" t="s">
        <v>584</v>
      </c>
      <c r="D2509" s="403" t="s">
        <v>902</v>
      </c>
      <c r="E2509" s="403" t="s">
        <v>1392</v>
      </c>
      <c r="F2509" s="403" t="s">
        <v>1396</v>
      </c>
      <c r="G2509" s="403" t="s">
        <v>1467</v>
      </c>
      <c r="H2509" s="403" t="s">
        <v>1276</v>
      </c>
      <c r="I2509" s="403">
        <v>1</v>
      </c>
      <c r="J2509" s="403" t="s">
        <v>1394</v>
      </c>
      <c r="K2509" s="403">
        <v>1680</v>
      </c>
      <c r="L2509" s="403">
        <v>2992</v>
      </c>
      <c r="M2509" s="403" t="s">
        <v>110</v>
      </c>
      <c r="N2509" s="403">
        <v>1080</v>
      </c>
      <c r="O2509" s="403">
        <v>1920</v>
      </c>
      <c r="P2509" t="str">
        <f t="shared" si="313"/>
        <v>25fps 2992x1680 - 1080p</v>
      </c>
      <c r="Q2509">
        <f t="shared" si="314"/>
        <v>14</v>
      </c>
      <c r="R2509" t="str">
        <f t="shared" si="315"/>
        <v/>
      </c>
      <c r="S2509" t="str">
        <f t="shared" si="316"/>
        <v/>
      </c>
      <c r="T2509" s="403" t="str">
        <f t="shared" si="317"/>
        <v>NBN-80052-BA</v>
      </c>
      <c r="U2509" s="403">
        <f t="shared" si="318"/>
        <v>1</v>
      </c>
      <c r="V2509" s="403" t="str">
        <f t="shared" si="319"/>
        <v>CPP_6</v>
      </c>
    </row>
    <row r="2510" spans="1:22">
      <c r="A2510" t="str">
        <f t="shared" si="312"/>
        <v>NBN-80052-BA</v>
      </c>
      <c r="B2510" s="403" t="s">
        <v>1391</v>
      </c>
      <c r="C2510" s="403" t="s">
        <v>584</v>
      </c>
      <c r="D2510" s="403" t="s">
        <v>902</v>
      </c>
      <c r="E2510" s="403" t="s">
        <v>1392</v>
      </c>
      <c r="F2510" s="403" t="s">
        <v>1396</v>
      </c>
      <c r="G2510" s="403" t="s">
        <v>1467</v>
      </c>
      <c r="H2510" s="403" t="s">
        <v>1276</v>
      </c>
      <c r="I2510" s="403">
        <v>1</v>
      </c>
      <c r="J2510" s="403" t="s">
        <v>1394</v>
      </c>
      <c r="K2510" s="403">
        <v>1680</v>
      </c>
      <c r="L2510" s="403">
        <v>2992</v>
      </c>
      <c r="M2510" s="403" t="s">
        <v>1395</v>
      </c>
      <c r="N2510" s="403">
        <v>1680</v>
      </c>
      <c r="O2510" s="403">
        <v>2992</v>
      </c>
      <c r="P2510" t="str">
        <f t="shared" si="313"/>
        <v>25fps 2992x1680 - 2992x1680 @ SKIP 3</v>
      </c>
      <c r="Q2510">
        <f t="shared" si="314"/>
        <v>14</v>
      </c>
      <c r="R2510" t="str">
        <f t="shared" si="315"/>
        <v/>
      </c>
      <c r="S2510" t="str">
        <f t="shared" si="316"/>
        <v/>
      </c>
      <c r="T2510" s="403" t="str">
        <f t="shared" si="317"/>
        <v>NBN-80052-BA</v>
      </c>
      <c r="U2510" s="403">
        <f t="shared" si="318"/>
        <v>1</v>
      </c>
      <c r="V2510" s="403" t="str">
        <f t="shared" si="319"/>
        <v>CPP_6</v>
      </c>
    </row>
    <row r="2511" spans="1:22">
      <c r="A2511" t="str">
        <f t="shared" si="312"/>
        <v>NBN-80052-BA</v>
      </c>
      <c r="B2511" s="403" t="s">
        <v>1391</v>
      </c>
      <c r="C2511" s="403" t="s">
        <v>584</v>
      </c>
      <c r="D2511" s="403" t="s">
        <v>902</v>
      </c>
      <c r="E2511" s="403" t="s">
        <v>1392</v>
      </c>
      <c r="F2511" s="403" t="s">
        <v>1396</v>
      </c>
      <c r="G2511" s="403" t="s">
        <v>1467</v>
      </c>
      <c r="H2511" s="403" t="s">
        <v>1276</v>
      </c>
      <c r="I2511" s="403">
        <v>1</v>
      </c>
      <c r="J2511" s="403" t="s">
        <v>1394</v>
      </c>
      <c r="K2511" s="403">
        <v>1680</v>
      </c>
      <c r="L2511" s="403">
        <v>2992</v>
      </c>
      <c r="M2511" s="403" t="s">
        <v>109</v>
      </c>
      <c r="N2511" s="403">
        <v>720</v>
      </c>
      <c r="O2511" s="403">
        <v>1280</v>
      </c>
      <c r="P2511" t="str">
        <f t="shared" si="313"/>
        <v>25fps 2992x1680 - 720p</v>
      </c>
      <c r="Q2511">
        <f t="shared" si="314"/>
        <v>14</v>
      </c>
      <c r="R2511" t="str">
        <f t="shared" si="315"/>
        <v/>
      </c>
      <c r="S2511" t="str">
        <f t="shared" si="316"/>
        <v/>
      </c>
      <c r="T2511" s="403" t="str">
        <f t="shared" si="317"/>
        <v>NBN-80052-BA</v>
      </c>
      <c r="U2511" s="403">
        <f t="shared" si="318"/>
        <v>1</v>
      </c>
      <c r="V2511" s="403" t="str">
        <f t="shared" si="319"/>
        <v>CPP_6</v>
      </c>
    </row>
    <row r="2512" spans="1:22">
      <c r="A2512" t="str">
        <f t="shared" si="312"/>
        <v>NBN-80052-BA</v>
      </c>
      <c r="B2512" s="403" t="s">
        <v>1391</v>
      </c>
      <c r="C2512" s="403" t="s">
        <v>584</v>
      </c>
      <c r="D2512" s="403" t="s">
        <v>902</v>
      </c>
      <c r="E2512" s="403" t="s">
        <v>1392</v>
      </c>
      <c r="F2512" s="403" t="s">
        <v>1396</v>
      </c>
      <c r="G2512" s="403" t="s">
        <v>1467</v>
      </c>
      <c r="H2512" s="403" t="s">
        <v>1276</v>
      </c>
      <c r="I2512" s="403">
        <v>1</v>
      </c>
      <c r="J2512" s="403" t="s">
        <v>1394</v>
      </c>
      <c r="K2512" s="403">
        <v>1680</v>
      </c>
      <c r="L2512" s="403">
        <v>2992</v>
      </c>
      <c r="M2512" s="403" t="s">
        <v>111</v>
      </c>
      <c r="N2512" s="403">
        <v>432</v>
      </c>
      <c r="O2512" s="403">
        <v>768</v>
      </c>
      <c r="P2512" t="str">
        <f t="shared" si="313"/>
        <v>25fps 2992x1680 - SD</v>
      </c>
      <c r="Q2512">
        <f t="shared" si="314"/>
        <v>14</v>
      </c>
      <c r="R2512" t="str">
        <f t="shared" si="315"/>
        <v/>
      </c>
      <c r="S2512" t="str">
        <f t="shared" si="316"/>
        <v/>
      </c>
      <c r="T2512" s="403" t="str">
        <f t="shared" si="317"/>
        <v>NBN-80052-BA</v>
      </c>
      <c r="U2512" s="403">
        <f t="shared" si="318"/>
        <v>1</v>
      </c>
      <c r="V2512" s="403" t="str">
        <f t="shared" si="319"/>
        <v>CPP_6</v>
      </c>
    </row>
    <row r="2513" spans="1:22">
      <c r="A2513" t="str">
        <f t="shared" si="312"/>
        <v>NBN-80052-BA</v>
      </c>
      <c r="B2513" s="403" t="s">
        <v>1391</v>
      </c>
      <c r="C2513" s="403" t="s">
        <v>584</v>
      </c>
      <c r="D2513" s="403" t="s">
        <v>902</v>
      </c>
      <c r="E2513" s="403" t="s">
        <v>1392</v>
      </c>
      <c r="F2513" s="403" t="s">
        <v>1396</v>
      </c>
      <c r="G2513" s="403" t="s">
        <v>1467</v>
      </c>
      <c r="H2513" s="403" t="s">
        <v>1276</v>
      </c>
      <c r="I2513" s="403">
        <v>1</v>
      </c>
      <c r="J2513" s="403" t="s">
        <v>1394</v>
      </c>
      <c r="K2513" s="403">
        <v>1680</v>
      </c>
      <c r="L2513" s="403">
        <v>2992</v>
      </c>
      <c r="M2513" s="403" t="s">
        <v>1279</v>
      </c>
      <c r="N2513" s="403">
        <v>432</v>
      </c>
      <c r="O2513" s="403">
        <v>768</v>
      </c>
      <c r="P2513" t="str">
        <f t="shared" si="313"/>
        <v>25fps 2992x1680 - SD ROI PTZ</v>
      </c>
      <c r="Q2513">
        <f t="shared" si="314"/>
        <v>14</v>
      </c>
      <c r="R2513" t="str">
        <f t="shared" si="315"/>
        <v/>
      </c>
      <c r="S2513" t="str">
        <f t="shared" si="316"/>
        <v/>
      </c>
      <c r="T2513" s="403" t="str">
        <f t="shared" si="317"/>
        <v>NBN-80052-BA</v>
      </c>
      <c r="U2513" s="403">
        <f t="shared" si="318"/>
        <v>1</v>
      </c>
      <c r="V2513" s="403" t="str">
        <f t="shared" si="319"/>
        <v>CPP_6</v>
      </c>
    </row>
    <row r="2514" spans="1:22">
      <c r="A2514" t="str">
        <f t="shared" si="312"/>
        <v>NBN-80052-BA</v>
      </c>
      <c r="B2514" s="403" t="s">
        <v>1391</v>
      </c>
      <c r="C2514" s="403" t="s">
        <v>584</v>
      </c>
      <c r="D2514" s="403" t="s">
        <v>902</v>
      </c>
      <c r="E2514" s="403" t="s">
        <v>1392</v>
      </c>
      <c r="F2514" s="403" t="s">
        <v>1396</v>
      </c>
      <c r="G2514" s="403" t="s">
        <v>1467</v>
      </c>
      <c r="H2514" s="403" t="s">
        <v>1276</v>
      </c>
      <c r="I2514" s="403">
        <v>1</v>
      </c>
      <c r="J2514" s="403" t="s">
        <v>1394</v>
      </c>
      <c r="K2514" s="403">
        <v>1680</v>
      </c>
      <c r="L2514" s="403">
        <v>2992</v>
      </c>
      <c r="M2514" s="403" t="s">
        <v>1302</v>
      </c>
      <c r="N2514" s="403">
        <v>720</v>
      </c>
      <c r="O2514" s="403">
        <v>400</v>
      </c>
      <c r="P2514" t="str">
        <f t="shared" si="313"/>
        <v>25fps 2992x1680 - 400x720 upright (cropped)</v>
      </c>
      <c r="Q2514">
        <f t="shared" si="314"/>
        <v>14</v>
      </c>
      <c r="R2514" t="str">
        <f t="shared" si="315"/>
        <v/>
      </c>
      <c r="S2514" t="str">
        <f t="shared" si="316"/>
        <v/>
      </c>
      <c r="T2514" s="403" t="str">
        <f t="shared" si="317"/>
        <v>NBN-80052-BA</v>
      </c>
      <c r="U2514" s="403">
        <f t="shared" si="318"/>
        <v>1</v>
      </c>
      <c r="V2514" s="403" t="str">
        <f t="shared" si="319"/>
        <v>CPP_6</v>
      </c>
    </row>
    <row r="2515" spans="1:22">
      <c r="A2515" t="str">
        <f t="shared" si="312"/>
        <v>NBN-80052-BA</v>
      </c>
      <c r="B2515" s="403" t="s">
        <v>1391</v>
      </c>
      <c r="C2515" s="403" t="s">
        <v>584</v>
      </c>
      <c r="D2515" s="403" t="s">
        <v>902</v>
      </c>
      <c r="E2515" s="403" t="s">
        <v>1392</v>
      </c>
      <c r="F2515" s="403" t="s">
        <v>1396</v>
      </c>
      <c r="G2515" s="403" t="s">
        <v>1467</v>
      </c>
      <c r="H2515" s="403" t="s">
        <v>1276</v>
      </c>
      <c r="I2515" s="403">
        <v>1</v>
      </c>
      <c r="J2515" s="403" t="s">
        <v>1394</v>
      </c>
      <c r="K2515" s="403">
        <v>1680</v>
      </c>
      <c r="L2515" s="403">
        <v>2992</v>
      </c>
      <c r="M2515" s="403" t="s">
        <v>1283</v>
      </c>
      <c r="N2515" s="403">
        <v>576</v>
      </c>
      <c r="O2515" s="403">
        <v>704</v>
      </c>
      <c r="P2515" t="str">
        <f t="shared" si="313"/>
        <v>25fps 2992x1680 - SD 4CIF resolution 4:3 format (cropped)</v>
      </c>
      <c r="Q2515">
        <f t="shared" si="314"/>
        <v>14</v>
      </c>
      <c r="R2515" t="str">
        <f t="shared" si="315"/>
        <v/>
      </c>
      <c r="S2515" t="str">
        <f t="shared" si="316"/>
        <v/>
      </c>
      <c r="T2515" s="403" t="str">
        <f t="shared" si="317"/>
        <v>NBN-80052-BA</v>
      </c>
      <c r="U2515" s="403">
        <f t="shared" si="318"/>
        <v>1</v>
      </c>
      <c r="V2515" s="403" t="str">
        <f t="shared" si="319"/>
        <v>CPP_6</v>
      </c>
    </row>
    <row r="2516" spans="1:22">
      <c r="A2516" t="str">
        <f t="shared" si="312"/>
        <v>NBN-80052-BA</v>
      </c>
      <c r="B2516" s="403" t="s">
        <v>1391</v>
      </c>
      <c r="C2516" s="403" t="s">
        <v>584</v>
      </c>
      <c r="D2516" s="403" t="s">
        <v>902</v>
      </c>
      <c r="E2516" s="403" t="s">
        <v>1392</v>
      </c>
      <c r="F2516" s="403" t="s">
        <v>1396</v>
      </c>
      <c r="G2516" s="403" t="s">
        <v>1467</v>
      </c>
      <c r="H2516" s="403" t="s">
        <v>1276</v>
      </c>
      <c r="I2516" s="403">
        <v>1</v>
      </c>
      <c r="J2516" s="403" t="s">
        <v>1394</v>
      </c>
      <c r="K2516" s="403">
        <v>1680</v>
      </c>
      <c r="L2516" s="403">
        <v>2992</v>
      </c>
      <c r="M2516" s="403" t="s">
        <v>1284</v>
      </c>
      <c r="N2516" s="403">
        <v>480</v>
      </c>
      <c r="O2516" s="403">
        <v>640</v>
      </c>
      <c r="P2516" t="str">
        <f t="shared" si="313"/>
        <v>25fps 2992x1680 - SD VGA (cropped)</v>
      </c>
      <c r="Q2516">
        <f t="shared" si="314"/>
        <v>14</v>
      </c>
      <c r="R2516" t="str">
        <f t="shared" si="315"/>
        <v/>
      </c>
      <c r="S2516" t="str">
        <f t="shared" si="316"/>
        <v/>
      </c>
      <c r="T2516" s="403" t="str">
        <f t="shared" si="317"/>
        <v>NBN-80052-BA</v>
      </c>
      <c r="U2516" s="403">
        <f t="shared" si="318"/>
        <v>1</v>
      </c>
      <c r="V2516" s="403" t="str">
        <f t="shared" si="319"/>
        <v>CPP_6</v>
      </c>
    </row>
    <row r="2517" spans="1:22">
      <c r="A2517" t="str">
        <f t="shared" si="312"/>
        <v>NBN-80052-BA</v>
      </c>
      <c r="B2517" s="403" t="s">
        <v>1391</v>
      </c>
      <c r="C2517" s="403" t="s">
        <v>584</v>
      </c>
      <c r="D2517" s="403" t="s">
        <v>902</v>
      </c>
      <c r="E2517" s="403" t="s">
        <v>1392</v>
      </c>
      <c r="F2517" s="403" t="s">
        <v>1396</v>
      </c>
      <c r="G2517" s="403" t="s">
        <v>1467</v>
      </c>
      <c r="H2517" s="403" t="s">
        <v>1276</v>
      </c>
      <c r="I2517" s="403">
        <v>1</v>
      </c>
      <c r="J2517" s="403" t="s">
        <v>1394</v>
      </c>
      <c r="K2517" s="403">
        <v>1680</v>
      </c>
      <c r="L2517" s="403">
        <v>2992</v>
      </c>
      <c r="M2517" s="403" t="s">
        <v>1298</v>
      </c>
      <c r="N2517" s="403">
        <v>432</v>
      </c>
      <c r="O2517" s="403">
        <v>768</v>
      </c>
      <c r="P2517" t="str">
        <f t="shared" si="313"/>
        <v>25fps 2992x1680 - SD dual stream with independent ROI PTZ</v>
      </c>
      <c r="Q2517">
        <f t="shared" si="314"/>
        <v>14</v>
      </c>
      <c r="R2517" t="str">
        <f t="shared" si="315"/>
        <v/>
      </c>
      <c r="S2517" t="str">
        <f t="shared" si="316"/>
        <v/>
      </c>
      <c r="T2517" s="403" t="str">
        <f t="shared" si="317"/>
        <v>NBN-80052-BA</v>
      </c>
      <c r="U2517" s="403">
        <f t="shared" si="318"/>
        <v>1</v>
      </c>
      <c r="V2517" s="403" t="str">
        <f t="shared" si="319"/>
        <v>CPP_6</v>
      </c>
    </row>
    <row r="2518" spans="1:22">
      <c r="A2518" t="str">
        <f t="shared" si="312"/>
        <v>NBN-80052-BA</v>
      </c>
      <c r="B2518" s="403" t="s">
        <v>1391</v>
      </c>
      <c r="C2518" s="403" t="s">
        <v>584</v>
      </c>
      <c r="D2518" s="403" t="s">
        <v>902</v>
      </c>
      <c r="E2518" s="403" t="s">
        <v>1392</v>
      </c>
      <c r="F2518" s="403" t="s">
        <v>1396</v>
      </c>
      <c r="G2518" s="403" t="s">
        <v>1467</v>
      </c>
      <c r="H2518" s="403" t="s">
        <v>1276</v>
      </c>
      <c r="I2518" s="403">
        <v>1</v>
      </c>
      <c r="J2518" s="403" t="s">
        <v>1394</v>
      </c>
      <c r="K2518" s="403">
        <v>1680</v>
      </c>
      <c r="L2518" s="403">
        <v>2992</v>
      </c>
      <c r="M2518" s="403" t="s">
        <v>1280</v>
      </c>
      <c r="N2518" s="403">
        <v>1680</v>
      </c>
      <c r="O2518" s="403">
        <v>2992</v>
      </c>
      <c r="P2518" t="str">
        <f t="shared" si="313"/>
        <v>25fps 2992x1680 - copy other stream</v>
      </c>
      <c r="Q2518">
        <f t="shared" si="314"/>
        <v>14</v>
      </c>
      <c r="R2518" t="str">
        <f t="shared" si="315"/>
        <v/>
      </c>
      <c r="S2518" t="str">
        <f t="shared" si="316"/>
        <v/>
      </c>
      <c r="T2518" s="403" t="str">
        <f t="shared" si="317"/>
        <v>NBN-80052-BA</v>
      </c>
      <c r="U2518" s="403">
        <f t="shared" si="318"/>
        <v>1</v>
      </c>
      <c r="V2518" s="403" t="str">
        <f t="shared" si="319"/>
        <v>CPP_6</v>
      </c>
    </row>
    <row r="2519" spans="1:22">
      <c r="A2519" t="str">
        <f t="shared" si="312"/>
        <v>NBN-80052-BA</v>
      </c>
      <c r="B2519" s="403" t="s">
        <v>1391</v>
      </c>
      <c r="C2519" s="403" t="s">
        <v>584</v>
      </c>
      <c r="D2519" s="403" t="s">
        <v>902</v>
      </c>
      <c r="E2519" s="403" t="s">
        <v>1392</v>
      </c>
      <c r="F2519" s="403" t="s">
        <v>1396</v>
      </c>
      <c r="G2519" s="403" t="s">
        <v>1467</v>
      </c>
      <c r="H2519" s="403" t="s">
        <v>1276</v>
      </c>
      <c r="I2519" s="403">
        <v>1</v>
      </c>
      <c r="J2519" s="403" t="s">
        <v>1374</v>
      </c>
      <c r="K2519" s="403">
        <v>1296</v>
      </c>
      <c r="L2519" s="403">
        <v>2304</v>
      </c>
      <c r="M2519" s="403" t="s">
        <v>1374</v>
      </c>
      <c r="N2519" s="403">
        <v>1296</v>
      </c>
      <c r="O2519" s="403">
        <v>2304</v>
      </c>
      <c r="P2519" t="str">
        <f t="shared" si="313"/>
        <v>25fps 2304x1296 - 2304x1296</v>
      </c>
      <c r="Q2519">
        <f t="shared" si="314"/>
        <v>14</v>
      </c>
      <c r="R2519" t="str">
        <f t="shared" si="315"/>
        <v/>
      </c>
      <c r="S2519" t="str">
        <f t="shared" si="316"/>
        <v/>
      </c>
      <c r="T2519" s="403" t="str">
        <f t="shared" si="317"/>
        <v>NBN-80052-BA</v>
      </c>
      <c r="U2519" s="403">
        <f t="shared" si="318"/>
        <v>1</v>
      </c>
      <c r="V2519" s="403" t="str">
        <f t="shared" si="319"/>
        <v>CPP_6</v>
      </c>
    </row>
    <row r="2520" spans="1:22">
      <c r="A2520" t="str">
        <f t="shared" si="312"/>
        <v>NBN-80052-BA</v>
      </c>
      <c r="B2520" s="403" t="s">
        <v>1391</v>
      </c>
      <c r="C2520" s="403" t="s">
        <v>584</v>
      </c>
      <c r="D2520" s="403" t="s">
        <v>902</v>
      </c>
      <c r="E2520" s="403" t="s">
        <v>1392</v>
      </c>
      <c r="F2520" s="403" t="s">
        <v>1396</v>
      </c>
      <c r="G2520" s="403" t="s">
        <v>1467</v>
      </c>
      <c r="H2520" s="403" t="s">
        <v>1276</v>
      </c>
      <c r="I2520" s="403">
        <v>1</v>
      </c>
      <c r="J2520" s="403" t="s">
        <v>1374</v>
      </c>
      <c r="K2520" s="403">
        <v>1296</v>
      </c>
      <c r="L2520" s="403">
        <v>2304</v>
      </c>
      <c r="M2520" s="403" t="s">
        <v>110</v>
      </c>
      <c r="N2520" s="403">
        <v>1080</v>
      </c>
      <c r="O2520" s="403">
        <v>1920</v>
      </c>
      <c r="P2520" t="str">
        <f t="shared" si="313"/>
        <v>25fps 2304x1296 - 1080p</v>
      </c>
      <c r="Q2520">
        <f t="shared" si="314"/>
        <v>14</v>
      </c>
      <c r="R2520" t="str">
        <f t="shared" si="315"/>
        <v/>
      </c>
      <c r="S2520" t="str">
        <f t="shared" si="316"/>
        <v/>
      </c>
      <c r="T2520" s="403" t="str">
        <f t="shared" si="317"/>
        <v>NBN-80052-BA</v>
      </c>
      <c r="U2520" s="403">
        <f t="shared" si="318"/>
        <v>1</v>
      </c>
      <c r="V2520" s="403" t="str">
        <f t="shared" si="319"/>
        <v>CPP_6</v>
      </c>
    </row>
    <row r="2521" spans="1:22">
      <c r="A2521" t="str">
        <f t="shared" si="312"/>
        <v>NBN-80052-BA</v>
      </c>
      <c r="B2521" s="403" t="s">
        <v>1391</v>
      </c>
      <c r="C2521" s="403" t="s">
        <v>584</v>
      </c>
      <c r="D2521" s="403" t="s">
        <v>902</v>
      </c>
      <c r="E2521" s="403" t="s">
        <v>1392</v>
      </c>
      <c r="F2521" s="403" t="s">
        <v>1396</v>
      </c>
      <c r="G2521" s="403" t="s">
        <v>1467</v>
      </c>
      <c r="H2521" s="403" t="s">
        <v>1276</v>
      </c>
      <c r="I2521" s="403">
        <v>1</v>
      </c>
      <c r="J2521" s="403" t="s">
        <v>1374</v>
      </c>
      <c r="K2521" s="403">
        <v>1296</v>
      </c>
      <c r="L2521" s="403">
        <v>2304</v>
      </c>
      <c r="M2521" s="403" t="s">
        <v>109</v>
      </c>
      <c r="N2521" s="403">
        <v>720</v>
      </c>
      <c r="O2521" s="403">
        <v>1280</v>
      </c>
      <c r="P2521" t="str">
        <f t="shared" si="313"/>
        <v>25fps 2304x1296 - 720p</v>
      </c>
      <c r="Q2521">
        <f t="shared" si="314"/>
        <v>14</v>
      </c>
      <c r="R2521" t="str">
        <f t="shared" si="315"/>
        <v/>
      </c>
      <c r="S2521" t="str">
        <f t="shared" si="316"/>
        <v/>
      </c>
      <c r="T2521" s="403" t="str">
        <f t="shared" si="317"/>
        <v>NBN-80052-BA</v>
      </c>
      <c r="U2521" s="403">
        <f t="shared" si="318"/>
        <v>1</v>
      </c>
      <c r="V2521" s="403" t="str">
        <f t="shared" si="319"/>
        <v>CPP_6</v>
      </c>
    </row>
    <row r="2522" spans="1:22">
      <c r="A2522" t="str">
        <f t="shared" si="312"/>
        <v>NBN-80052-BA</v>
      </c>
      <c r="B2522" s="403" t="s">
        <v>1391</v>
      </c>
      <c r="C2522" s="403" t="s">
        <v>584</v>
      </c>
      <c r="D2522" s="403" t="s">
        <v>902</v>
      </c>
      <c r="E2522" s="403" t="s">
        <v>1392</v>
      </c>
      <c r="F2522" s="403" t="s">
        <v>1396</v>
      </c>
      <c r="G2522" s="403" t="s">
        <v>1467</v>
      </c>
      <c r="H2522" s="403" t="s">
        <v>1276</v>
      </c>
      <c r="I2522" s="403">
        <v>1</v>
      </c>
      <c r="J2522" s="403" t="s">
        <v>1374</v>
      </c>
      <c r="K2522" s="403">
        <v>1296</v>
      </c>
      <c r="L2522" s="403">
        <v>2304</v>
      </c>
      <c r="M2522" s="403" t="s">
        <v>111</v>
      </c>
      <c r="N2522" s="403">
        <v>432</v>
      </c>
      <c r="O2522" s="403">
        <v>768</v>
      </c>
      <c r="P2522" t="str">
        <f t="shared" si="313"/>
        <v>25fps 2304x1296 - SD</v>
      </c>
      <c r="Q2522">
        <f t="shared" si="314"/>
        <v>14</v>
      </c>
      <c r="R2522" t="str">
        <f t="shared" si="315"/>
        <v/>
      </c>
      <c r="S2522" t="str">
        <f t="shared" si="316"/>
        <v/>
      </c>
      <c r="T2522" s="403" t="str">
        <f t="shared" si="317"/>
        <v>NBN-80052-BA</v>
      </c>
      <c r="U2522" s="403">
        <f t="shared" si="318"/>
        <v>1</v>
      </c>
      <c r="V2522" s="403" t="str">
        <f t="shared" si="319"/>
        <v>CPP_6</v>
      </c>
    </row>
    <row r="2523" spans="1:22">
      <c r="A2523" t="str">
        <f t="shared" si="312"/>
        <v>NBN-80052-BA</v>
      </c>
      <c r="B2523" s="403" t="s">
        <v>1391</v>
      </c>
      <c r="C2523" s="403" t="s">
        <v>584</v>
      </c>
      <c r="D2523" s="403" t="s">
        <v>902</v>
      </c>
      <c r="E2523" s="403" t="s">
        <v>1392</v>
      </c>
      <c r="F2523" s="403" t="s">
        <v>1396</v>
      </c>
      <c r="G2523" s="403" t="s">
        <v>1467</v>
      </c>
      <c r="H2523" s="403" t="s">
        <v>1276</v>
      </c>
      <c r="I2523" s="403">
        <v>1</v>
      </c>
      <c r="J2523" s="403" t="s">
        <v>1374</v>
      </c>
      <c r="K2523" s="403">
        <v>1296</v>
      </c>
      <c r="L2523" s="403">
        <v>2304</v>
      </c>
      <c r="M2523" s="403" t="s">
        <v>1279</v>
      </c>
      <c r="N2523" s="403">
        <v>432</v>
      </c>
      <c r="O2523" s="403">
        <v>768</v>
      </c>
      <c r="P2523" t="str">
        <f t="shared" si="313"/>
        <v>25fps 2304x1296 - SD ROI PTZ</v>
      </c>
      <c r="Q2523">
        <f t="shared" si="314"/>
        <v>14</v>
      </c>
      <c r="R2523" t="str">
        <f t="shared" si="315"/>
        <v/>
      </c>
      <c r="S2523" t="str">
        <f t="shared" si="316"/>
        <v/>
      </c>
      <c r="T2523" s="403" t="str">
        <f t="shared" si="317"/>
        <v>NBN-80052-BA</v>
      </c>
      <c r="U2523" s="403">
        <f t="shared" si="318"/>
        <v>1</v>
      </c>
      <c r="V2523" s="403" t="str">
        <f t="shared" si="319"/>
        <v>CPP_6</v>
      </c>
    </row>
    <row r="2524" spans="1:22">
      <c r="A2524" t="str">
        <f t="shared" si="312"/>
        <v>NBN-80052-BA</v>
      </c>
      <c r="B2524" s="403" t="s">
        <v>1391</v>
      </c>
      <c r="C2524" s="403" t="s">
        <v>584</v>
      </c>
      <c r="D2524" s="403" t="s">
        <v>902</v>
      </c>
      <c r="E2524" s="403" t="s">
        <v>1392</v>
      </c>
      <c r="F2524" s="403" t="s">
        <v>1396</v>
      </c>
      <c r="G2524" s="403" t="s">
        <v>1467</v>
      </c>
      <c r="H2524" s="403" t="s">
        <v>1276</v>
      </c>
      <c r="I2524" s="403">
        <v>1</v>
      </c>
      <c r="J2524" s="403" t="s">
        <v>1374</v>
      </c>
      <c r="K2524" s="403">
        <v>1296</v>
      </c>
      <c r="L2524" s="403">
        <v>2304</v>
      </c>
      <c r="M2524" s="403" t="s">
        <v>1302</v>
      </c>
      <c r="N2524" s="403">
        <v>720</v>
      </c>
      <c r="O2524" s="403">
        <v>400</v>
      </c>
      <c r="P2524" t="str">
        <f t="shared" si="313"/>
        <v>25fps 2304x1296 - 400x720 upright (cropped)</v>
      </c>
      <c r="Q2524">
        <f t="shared" si="314"/>
        <v>14</v>
      </c>
      <c r="R2524" t="str">
        <f t="shared" si="315"/>
        <v/>
      </c>
      <c r="S2524" t="str">
        <f t="shared" si="316"/>
        <v/>
      </c>
      <c r="T2524" s="403" t="str">
        <f t="shared" si="317"/>
        <v>NBN-80052-BA</v>
      </c>
      <c r="U2524" s="403">
        <f t="shared" si="318"/>
        <v>1</v>
      </c>
      <c r="V2524" s="403" t="str">
        <f t="shared" si="319"/>
        <v>CPP_6</v>
      </c>
    </row>
    <row r="2525" spans="1:22">
      <c r="A2525" t="str">
        <f t="shared" si="312"/>
        <v>NBN-80052-BA</v>
      </c>
      <c r="B2525" s="403" t="s">
        <v>1391</v>
      </c>
      <c r="C2525" s="403" t="s">
        <v>584</v>
      </c>
      <c r="D2525" s="403" t="s">
        <v>902</v>
      </c>
      <c r="E2525" s="403" t="s">
        <v>1392</v>
      </c>
      <c r="F2525" s="403" t="s">
        <v>1396</v>
      </c>
      <c r="G2525" s="403" t="s">
        <v>1467</v>
      </c>
      <c r="H2525" s="403" t="s">
        <v>1276</v>
      </c>
      <c r="I2525" s="403">
        <v>1</v>
      </c>
      <c r="J2525" s="403" t="s">
        <v>1374</v>
      </c>
      <c r="K2525" s="403">
        <v>1296</v>
      </c>
      <c r="L2525" s="403">
        <v>2304</v>
      </c>
      <c r="M2525" s="403" t="s">
        <v>1283</v>
      </c>
      <c r="N2525" s="403">
        <v>576</v>
      </c>
      <c r="O2525" s="403">
        <v>704</v>
      </c>
      <c r="P2525" t="str">
        <f t="shared" si="313"/>
        <v>25fps 2304x1296 - SD 4CIF resolution 4:3 format (cropped)</v>
      </c>
      <c r="Q2525">
        <f t="shared" si="314"/>
        <v>14</v>
      </c>
      <c r="R2525" t="str">
        <f t="shared" si="315"/>
        <v/>
      </c>
      <c r="S2525" t="str">
        <f t="shared" si="316"/>
        <v/>
      </c>
      <c r="T2525" s="403" t="str">
        <f t="shared" si="317"/>
        <v>NBN-80052-BA</v>
      </c>
      <c r="U2525" s="403">
        <f t="shared" si="318"/>
        <v>1</v>
      </c>
      <c r="V2525" s="403" t="str">
        <f t="shared" si="319"/>
        <v>CPP_6</v>
      </c>
    </row>
    <row r="2526" spans="1:22">
      <c r="A2526" t="str">
        <f t="shared" si="312"/>
        <v>NBN-80052-BA</v>
      </c>
      <c r="B2526" s="403" t="s">
        <v>1391</v>
      </c>
      <c r="C2526" s="403" t="s">
        <v>584</v>
      </c>
      <c r="D2526" s="403" t="s">
        <v>902</v>
      </c>
      <c r="E2526" s="403" t="s">
        <v>1392</v>
      </c>
      <c r="F2526" s="403" t="s">
        <v>1396</v>
      </c>
      <c r="G2526" s="403" t="s">
        <v>1467</v>
      </c>
      <c r="H2526" s="403" t="s">
        <v>1276</v>
      </c>
      <c r="I2526" s="403">
        <v>1</v>
      </c>
      <c r="J2526" s="403" t="s">
        <v>1374</v>
      </c>
      <c r="K2526" s="403">
        <v>1296</v>
      </c>
      <c r="L2526" s="403">
        <v>2304</v>
      </c>
      <c r="M2526" s="403" t="s">
        <v>1284</v>
      </c>
      <c r="N2526" s="403">
        <v>480</v>
      </c>
      <c r="O2526" s="403">
        <v>640</v>
      </c>
      <c r="P2526" t="str">
        <f t="shared" si="313"/>
        <v>25fps 2304x1296 - SD VGA (cropped)</v>
      </c>
      <c r="Q2526">
        <f t="shared" si="314"/>
        <v>14</v>
      </c>
      <c r="R2526" t="str">
        <f t="shared" si="315"/>
        <v/>
      </c>
      <c r="S2526" t="str">
        <f t="shared" si="316"/>
        <v/>
      </c>
      <c r="T2526" s="403" t="str">
        <f t="shared" si="317"/>
        <v>NBN-80052-BA</v>
      </c>
      <c r="U2526" s="403">
        <f t="shared" si="318"/>
        <v>1</v>
      </c>
      <c r="V2526" s="403" t="str">
        <f t="shared" si="319"/>
        <v>CPP_6</v>
      </c>
    </row>
    <row r="2527" spans="1:22">
      <c r="A2527" t="str">
        <f t="shared" si="312"/>
        <v>NBN-80052-BA</v>
      </c>
      <c r="B2527" s="403" t="s">
        <v>1391</v>
      </c>
      <c r="C2527" s="403" t="s">
        <v>584</v>
      </c>
      <c r="D2527" s="403" t="s">
        <v>902</v>
      </c>
      <c r="E2527" s="403" t="s">
        <v>1392</v>
      </c>
      <c r="F2527" s="403" t="s">
        <v>1396</v>
      </c>
      <c r="G2527" s="403" t="s">
        <v>1467</v>
      </c>
      <c r="H2527" s="403" t="s">
        <v>1276</v>
      </c>
      <c r="I2527" s="403">
        <v>1</v>
      </c>
      <c r="J2527" s="403" t="s">
        <v>1374</v>
      </c>
      <c r="K2527" s="403">
        <v>1296</v>
      </c>
      <c r="L2527" s="403">
        <v>2304</v>
      </c>
      <c r="M2527" s="403" t="s">
        <v>1298</v>
      </c>
      <c r="N2527" s="403">
        <v>432</v>
      </c>
      <c r="O2527" s="403">
        <v>768</v>
      </c>
      <c r="P2527" t="str">
        <f t="shared" si="313"/>
        <v>25fps 2304x1296 - SD dual stream with independent ROI PTZ</v>
      </c>
      <c r="Q2527">
        <f t="shared" si="314"/>
        <v>14</v>
      </c>
      <c r="R2527" t="str">
        <f t="shared" si="315"/>
        <v/>
      </c>
      <c r="S2527" t="str">
        <f t="shared" si="316"/>
        <v/>
      </c>
      <c r="T2527" s="403" t="str">
        <f t="shared" si="317"/>
        <v>NBN-80052-BA</v>
      </c>
      <c r="U2527" s="403">
        <f t="shared" si="318"/>
        <v>1</v>
      </c>
      <c r="V2527" s="403" t="str">
        <f t="shared" si="319"/>
        <v>CPP_6</v>
      </c>
    </row>
    <row r="2528" spans="1:22">
      <c r="A2528" t="str">
        <f t="shared" si="312"/>
        <v>NBN-80052-BA</v>
      </c>
      <c r="B2528" s="403" t="s">
        <v>1391</v>
      </c>
      <c r="C2528" s="403" t="s">
        <v>584</v>
      </c>
      <c r="D2528" s="403" t="s">
        <v>902</v>
      </c>
      <c r="E2528" s="403" t="s">
        <v>1397</v>
      </c>
      <c r="F2528" s="403" t="s">
        <v>1398</v>
      </c>
      <c r="G2528" s="403" t="s">
        <v>1466</v>
      </c>
      <c r="H2528" s="403" t="s">
        <v>1276</v>
      </c>
      <c r="I2528" s="403">
        <v>1</v>
      </c>
      <c r="J2528" s="403" t="s">
        <v>1399</v>
      </c>
      <c r="K2528" s="403">
        <v>2704</v>
      </c>
      <c r="L2528" s="403">
        <v>2032</v>
      </c>
      <c r="M2528" s="403" t="s">
        <v>1313</v>
      </c>
      <c r="N2528" s="403">
        <v>1280</v>
      </c>
      <c r="O2528" s="403">
        <v>960</v>
      </c>
      <c r="P2528" t="str">
        <f t="shared" si="313"/>
        <v>30fps 2704x2032 - 1280x960</v>
      </c>
      <c r="Q2528">
        <f t="shared" si="314"/>
        <v>14</v>
      </c>
      <c r="R2528" t="str">
        <f t="shared" si="315"/>
        <v/>
      </c>
      <c r="S2528" t="str">
        <f t="shared" si="316"/>
        <v/>
      </c>
      <c r="T2528" s="403" t="str">
        <f t="shared" si="317"/>
        <v>NBN-80052-BA</v>
      </c>
      <c r="U2528" s="403">
        <f t="shared" si="318"/>
        <v>1</v>
      </c>
      <c r="V2528" s="403" t="str">
        <f t="shared" si="319"/>
        <v>CPP_6</v>
      </c>
    </row>
    <row r="2529" spans="1:22">
      <c r="A2529" t="str">
        <f t="shared" si="312"/>
        <v>NBN-80052-BA</v>
      </c>
      <c r="B2529" s="403" t="s">
        <v>1391</v>
      </c>
      <c r="C2529" s="403" t="s">
        <v>584</v>
      </c>
      <c r="D2529" s="403" t="s">
        <v>902</v>
      </c>
      <c r="E2529" s="403" t="s">
        <v>1397</v>
      </c>
      <c r="F2529" s="403" t="s">
        <v>1398</v>
      </c>
      <c r="G2529" s="403" t="s">
        <v>1466</v>
      </c>
      <c r="H2529" s="403" t="s">
        <v>1276</v>
      </c>
      <c r="I2529" s="403">
        <v>1</v>
      </c>
      <c r="J2529" s="403" t="s">
        <v>1399</v>
      </c>
      <c r="K2529" s="403">
        <v>2704</v>
      </c>
      <c r="L2529" s="403">
        <v>2032</v>
      </c>
      <c r="M2529" s="403" t="s">
        <v>1400</v>
      </c>
      <c r="N2529" s="403">
        <v>2704</v>
      </c>
      <c r="O2529" s="403">
        <v>2032</v>
      </c>
      <c r="P2529" t="str">
        <f t="shared" si="313"/>
        <v>30fps 2704x2032 - 2704x2032 @ SKIP 3</v>
      </c>
      <c r="Q2529">
        <f t="shared" si="314"/>
        <v>14</v>
      </c>
      <c r="R2529" t="str">
        <f t="shared" si="315"/>
        <v/>
      </c>
      <c r="S2529" t="str">
        <f t="shared" si="316"/>
        <v/>
      </c>
      <c r="T2529" s="403" t="str">
        <f t="shared" si="317"/>
        <v>NBN-80052-BA</v>
      </c>
      <c r="U2529" s="403">
        <f t="shared" si="318"/>
        <v>1</v>
      </c>
      <c r="V2529" s="403" t="str">
        <f t="shared" si="319"/>
        <v>CPP_6</v>
      </c>
    </row>
    <row r="2530" spans="1:22">
      <c r="A2530" t="str">
        <f t="shared" si="312"/>
        <v>NBN-80052-BA</v>
      </c>
      <c r="B2530" s="403" t="s">
        <v>1391</v>
      </c>
      <c r="C2530" s="403" t="s">
        <v>584</v>
      </c>
      <c r="D2530" s="403" t="s">
        <v>902</v>
      </c>
      <c r="E2530" s="403" t="s">
        <v>1397</v>
      </c>
      <c r="F2530" s="403" t="s">
        <v>1398</v>
      </c>
      <c r="G2530" s="403" t="s">
        <v>1466</v>
      </c>
      <c r="H2530" s="403" t="s">
        <v>1276</v>
      </c>
      <c r="I2530" s="403">
        <v>1</v>
      </c>
      <c r="J2530" s="403" t="s">
        <v>1399</v>
      </c>
      <c r="K2530" s="403">
        <v>2704</v>
      </c>
      <c r="L2530" s="403">
        <v>2032</v>
      </c>
      <c r="M2530" s="403" t="s">
        <v>1401</v>
      </c>
      <c r="N2530" s="403">
        <v>1600</v>
      </c>
      <c r="O2530" s="403">
        <v>1200</v>
      </c>
      <c r="P2530" t="str">
        <f t="shared" si="313"/>
        <v>30fps 2704x2032 - 1600x1200</v>
      </c>
      <c r="Q2530">
        <f t="shared" si="314"/>
        <v>14</v>
      </c>
      <c r="R2530" t="str">
        <f t="shared" si="315"/>
        <v/>
      </c>
      <c r="S2530" t="str">
        <f t="shared" si="316"/>
        <v/>
      </c>
      <c r="T2530" s="403" t="str">
        <f t="shared" si="317"/>
        <v>NBN-80052-BA</v>
      </c>
      <c r="U2530" s="403">
        <f t="shared" si="318"/>
        <v>1</v>
      </c>
      <c r="V2530" s="403" t="str">
        <f t="shared" si="319"/>
        <v>CPP_6</v>
      </c>
    </row>
    <row r="2531" spans="1:22">
      <c r="A2531" t="str">
        <f t="shared" si="312"/>
        <v>NBN-80052-BA</v>
      </c>
      <c r="B2531" s="403" t="s">
        <v>1391</v>
      </c>
      <c r="C2531" s="403" t="s">
        <v>584</v>
      </c>
      <c r="D2531" s="403" t="s">
        <v>902</v>
      </c>
      <c r="E2531" s="403" t="s">
        <v>1397</v>
      </c>
      <c r="F2531" s="403" t="s">
        <v>1398</v>
      </c>
      <c r="G2531" s="403" t="s">
        <v>1466</v>
      </c>
      <c r="H2531" s="403" t="s">
        <v>1276</v>
      </c>
      <c r="I2531" s="403">
        <v>1</v>
      </c>
      <c r="J2531" s="403" t="s">
        <v>1399</v>
      </c>
      <c r="K2531" s="403">
        <v>2704</v>
      </c>
      <c r="L2531" s="403">
        <v>2032</v>
      </c>
      <c r="M2531" s="403" t="s">
        <v>1278</v>
      </c>
      <c r="N2531" s="403">
        <v>1024</v>
      </c>
      <c r="O2531" s="403">
        <v>768</v>
      </c>
      <c r="P2531" t="str">
        <f t="shared" si="313"/>
        <v>30fps 2704x2032 - 1024x768</v>
      </c>
      <c r="Q2531">
        <f t="shared" si="314"/>
        <v>14</v>
      </c>
      <c r="R2531" t="str">
        <f t="shared" si="315"/>
        <v/>
      </c>
      <c r="S2531" t="str">
        <f t="shared" si="316"/>
        <v/>
      </c>
      <c r="T2531" s="403" t="str">
        <f t="shared" si="317"/>
        <v>NBN-80052-BA</v>
      </c>
      <c r="U2531" s="403">
        <f t="shared" si="318"/>
        <v>1</v>
      </c>
      <c r="V2531" s="403" t="str">
        <f t="shared" si="319"/>
        <v>CPP_6</v>
      </c>
    </row>
    <row r="2532" spans="1:22">
      <c r="A2532" t="str">
        <f t="shared" si="312"/>
        <v>NBN-80052-BA</v>
      </c>
      <c r="B2532" s="403" t="s">
        <v>1391</v>
      </c>
      <c r="C2532" s="403" t="s">
        <v>584</v>
      </c>
      <c r="D2532" s="403" t="s">
        <v>902</v>
      </c>
      <c r="E2532" s="403" t="s">
        <v>1397</v>
      </c>
      <c r="F2532" s="403" t="s">
        <v>1398</v>
      </c>
      <c r="G2532" s="403" t="s">
        <v>1466</v>
      </c>
      <c r="H2532" s="403" t="s">
        <v>1276</v>
      </c>
      <c r="I2532" s="403">
        <v>1</v>
      </c>
      <c r="J2532" s="403" t="s">
        <v>1399</v>
      </c>
      <c r="K2532" s="403">
        <v>2704</v>
      </c>
      <c r="L2532" s="403">
        <v>2032</v>
      </c>
      <c r="M2532" s="403" t="s">
        <v>1330</v>
      </c>
      <c r="N2532" s="403">
        <v>800</v>
      </c>
      <c r="O2532" s="403">
        <v>600</v>
      </c>
      <c r="P2532" t="str">
        <f t="shared" si="313"/>
        <v>30fps 2704x2032 - 800x600</v>
      </c>
      <c r="Q2532">
        <f t="shared" si="314"/>
        <v>14</v>
      </c>
      <c r="R2532" t="str">
        <f t="shared" si="315"/>
        <v/>
      </c>
      <c r="S2532" t="str">
        <f t="shared" si="316"/>
        <v/>
      </c>
      <c r="T2532" s="403" t="str">
        <f t="shared" si="317"/>
        <v>NBN-80052-BA</v>
      </c>
      <c r="U2532" s="403">
        <f t="shared" si="318"/>
        <v>1</v>
      </c>
      <c r="V2532" s="403" t="str">
        <f t="shared" si="319"/>
        <v>CPP_6</v>
      </c>
    </row>
    <row r="2533" spans="1:22">
      <c r="A2533" t="str">
        <f t="shared" si="312"/>
        <v>NBN-80052-BA</v>
      </c>
      <c r="B2533" s="403" t="s">
        <v>1391</v>
      </c>
      <c r="C2533" s="403" t="s">
        <v>584</v>
      </c>
      <c r="D2533" s="403" t="s">
        <v>902</v>
      </c>
      <c r="E2533" s="403" t="s">
        <v>1397</v>
      </c>
      <c r="F2533" s="403" t="s">
        <v>1398</v>
      </c>
      <c r="G2533" s="403" t="s">
        <v>1466</v>
      </c>
      <c r="H2533" s="403" t="s">
        <v>1276</v>
      </c>
      <c r="I2533" s="403">
        <v>1</v>
      </c>
      <c r="J2533" s="403" t="s">
        <v>1399</v>
      </c>
      <c r="K2533" s="403">
        <v>2704</v>
      </c>
      <c r="L2533" s="403">
        <v>2032</v>
      </c>
      <c r="M2533" s="403" t="s">
        <v>111</v>
      </c>
      <c r="N2533" s="403">
        <v>640</v>
      </c>
      <c r="O2533" s="403">
        <v>480</v>
      </c>
      <c r="P2533" t="str">
        <f t="shared" si="313"/>
        <v>30fps 2704x2032 - SD</v>
      </c>
      <c r="Q2533">
        <f t="shared" si="314"/>
        <v>14</v>
      </c>
      <c r="R2533" t="str">
        <f t="shared" si="315"/>
        <v/>
      </c>
      <c r="S2533" t="str">
        <f t="shared" si="316"/>
        <v/>
      </c>
      <c r="T2533" s="403" t="str">
        <f t="shared" si="317"/>
        <v>NBN-80052-BA</v>
      </c>
      <c r="U2533" s="403">
        <f t="shared" si="318"/>
        <v>1</v>
      </c>
      <c r="V2533" s="403" t="str">
        <f t="shared" si="319"/>
        <v>CPP_6</v>
      </c>
    </row>
    <row r="2534" spans="1:22">
      <c r="A2534" t="str">
        <f t="shared" si="312"/>
        <v>NBN-80052-BA</v>
      </c>
      <c r="B2534" s="403" t="s">
        <v>1391</v>
      </c>
      <c r="C2534" s="403" t="s">
        <v>584</v>
      </c>
      <c r="D2534" s="403" t="s">
        <v>902</v>
      </c>
      <c r="E2534" s="403" t="s">
        <v>1397</v>
      </c>
      <c r="F2534" s="403" t="s">
        <v>1398</v>
      </c>
      <c r="G2534" s="403" t="s">
        <v>1466</v>
      </c>
      <c r="H2534" s="403" t="s">
        <v>1276</v>
      </c>
      <c r="I2534" s="403">
        <v>1</v>
      </c>
      <c r="J2534" s="403" t="s">
        <v>1399</v>
      </c>
      <c r="K2534" s="403">
        <v>2704</v>
      </c>
      <c r="L2534" s="403">
        <v>2032</v>
      </c>
      <c r="M2534" s="403" t="s">
        <v>1279</v>
      </c>
      <c r="N2534" s="403">
        <v>640</v>
      </c>
      <c r="O2534" s="403">
        <v>480</v>
      </c>
      <c r="P2534" t="str">
        <f t="shared" si="313"/>
        <v>30fps 2704x2032 - SD ROI PTZ</v>
      </c>
      <c r="Q2534">
        <f t="shared" si="314"/>
        <v>14</v>
      </c>
      <c r="R2534" t="str">
        <f t="shared" si="315"/>
        <v/>
      </c>
      <c r="S2534" t="str">
        <f t="shared" si="316"/>
        <v/>
      </c>
      <c r="T2534" s="403" t="str">
        <f t="shared" si="317"/>
        <v>NBN-80052-BA</v>
      </c>
      <c r="U2534" s="403">
        <f t="shared" si="318"/>
        <v>1</v>
      </c>
      <c r="V2534" s="403" t="str">
        <f t="shared" si="319"/>
        <v>CPP_6</v>
      </c>
    </row>
    <row r="2535" spans="1:22">
      <c r="A2535" t="str">
        <f t="shared" si="312"/>
        <v>NBN-80052-BA</v>
      </c>
      <c r="B2535" s="403" t="s">
        <v>1391</v>
      </c>
      <c r="C2535" s="403" t="s">
        <v>584</v>
      </c>
      <c r="D2535" s="403" t="s">
        <v>902</v>
      </c>
      <c r="E2535" s="403" t="s">
        <v>1397</v>
      </c>
      <c r="F2535" s="403" t="s">
        <v>1398</v>
      </c>
      <c r="G2535" s="403" t="s">
        <v>1466</v>
      </c>
      <c r="H2535" s="403" t="s">
        <v>1276</v>
      </c>
      <c r="I2535" s="403">
        <v>1</v>
      </c>
      <c r="J2535" s="403" t="s">
        <v>1399</v>
      </c>
      <c r="K2535" s="403">
        <v>2704</v>
      </c>
      <c r="L2535" s="403">
        <v>2032</v>
      </c>
      <c r="M2535" s="403" t="s">
        <v>1302</v>
      </c>
      <c r="N2535" s="403">
        <v>400</v>
      </c>
      <c r="O2535" s="403">
        <v>720</v>
      </c>
      <c r="P2535" t="str">
        <f t="shared" si="313"/>
        <v>30fps 2704x2032 - 400x720 upright (cropped)</v>
      </c>
      <c r="Q2535">
        <f t="shared" si="314"/>
        <v>14</v>
      </c>
      <c r="R2535" t="str">
        <f t="shared" si="315"/>
        <v/>
      </c>
      <c r="S2535" t="str">
        <f t="shared" si="316"/>
        <v/>
      </c>
      <c r="T2535" s="403" t="str">
        <f t="shared" si="317"/>
        <v>NBN-80052-BA</v>
      </c>
      <c r="U2535" s="403">
        <f t="shared" si="318"/>
        <v>1</v>
      </c>
      <c r="V2535" s="403" t="str">
        <f t="shared" si="319"/>
        <v>CPP_6</v>
      </c>
    </row>
    <row r="2536" spans="1:22">
      <c r="A2536" t="str">
        <f t="shared" si="312"/>
        <v>NBN-80052-BA</v>
      </c>
      <c r="B2536" s="403" t="s">
        <v>1391</v>
      </c>
      <c r="C2536" s="403" t="s">
        <v>584</v>
      </c>
      <c r="D2536" s="403" t="s">
        <v>902</v>
      </c>
      <c r="E2536" s="403" t="s">
        <v>1397</v>
      </c>
      <c r="F2536" s="403" t="s">
        <v>1398</v>
      </c>
      <c r="G2536" s="403" t="s">
        <v>1466</v>
      </c>
      <c r="H2536" s="403" t="s">
        <v>1276</v>
      </c>
      <c r="I2536" s="403">
        <v>1</v>
      </c>
      <c r="J2536" s="403" t="s">
        <v>1399</v>
      </c>
      <c r="K2536" s="403">
        <v>2704</v>
      </c>
      <c r="L2536" s="403">
        <v>2032</v>
      </c>
      <c r="M2536" s="403" t="s">
        <v>1298</v>
      </c>
      <c r="N2536" s="403">
        <v>640</v>
      </c>
      <c r="O2536" s="403">
        <v>480</v>
      </c>
      <c r="P2536" t="str">
        <f t="shared" si="313"/>
        <v>30fps 2704x2032 - SD dual stream with independent ROI PTZ</v>
      </c>
      <c r="Q2536">
        <f t="shared" si="314"/>
        <v>14</v>
      </c>
      <c r="R2536" t="str">
        <f t="shared" si="315"/>
        <v/>
      </c>
      <c r="S2536" t="str">
        <f t="shared" si="316"/>
        <v/>
      </c>
      <c r="T2536" s="403" t="str">
        <f t="shared" si="317"/>
        <v>NBN-80052-BA</v>
      </c>
      <c r="U2536" s="403">
        <f t="shared" si="318"/>
        <v>1</v>
      </c>
      <c r="V2536" s="403" t="str">
        <f t="shared" si="319"/>
        <v>CPP_6</v>
      </c>
    </row>
    <row r="2537" spans="1:22">
      <c r="A2537" t="str">
        <f t="shared" si="312"/>
        <v>NBN-80052-BA</v>
      </c>
      <c r="B2537" s="403" t="s">
        <v>1391</v>
      </c>
      <c r="C2537" s="403" t="s">
        <v>584</v>
      </c>
      <c r="D2537" s="403" t="s">
        <v>902</v>
      </c>
      <c r="E2537" s="403" t="s">
        <v>1397</v>
      </c>
      <c r="F2537" s="403" t="s">
        <v>1398</v>
      </c>
      <c r="G2537" s="403" t="s">
        <v>1466</v>
      </c>
      <c r="H2537" s="403" t="s">
        <v>1276</v>
      </c>
      <c r="I2537" s="403">
        <v>1</v>
      </c>
      <c r="J2537" s="403" t="s">
        <v>1399</v>
      </c>
      <c r="K2537" s="403">
        <v>2704</v>
      </c>
      <c r="L2537" s="403">
        <v>2032</v>
      </c>
      <c r="M2537" s="403" t="s">
        <v>1280</v>
      </c>
      <c r="N2537" s="403">
        <v>2704</v>
      </c>
      <c r="O2537" s="403">
        <v>2032</v>
      </c>
      <c r="P2537" t="str">
        <f t="shared" si="313"/>
        <v>30fps 2704x2032 - copy other stream</v>
      </c>
      <c r="Q2537">
        <f t="shared" si="314"/>
        <v>14</v>
      </c>
      <c r="R2537" t="str">
        <f t="shared" si="315"/>
        <v/>
      </c>
      <c r="S2537" t="str">
        <f t="shared" si="316"/>
        <v/>
      </c>
      <c r="T2537" s="403" t="str">
        <f t="shared" si="317"/>
        <v>NBN-80052-BA</v>
      </c>
      <c r="U2537" s="403">
        <f t="shared" si="318"/>
        <v>1</v>
      </c>
      <c r="V2537" s="403" t="str">
        <f t="shared" si="319"/>
        <v>CPP_6</v>
      </c>
    </row>
    <row r="2538" spans="1:22">
      <c r="A2538" t="str">
        <f t="shared" si="312"/>
        <v>NBN-80052-BA</v>
      </c>
      <c r="B2538" s="403" t="s">
        <v>1391</v>
      </c>
      <c r="C2538" s="403" t="s">
        <v>584</v>
      </c>
      <c r="D2538" s="403" t="s">
        <v>902</v>
      </c>
      <c r="E2538" s="403" t="s">
        <v>1397</v>
      </c>
      <c r="F2538" s="403" t="s">
        <v>1398</v>
      </c>
      <c r="G2538" s="403" t="s">
        <v>1466</v>
      </c>
      <c r="H2538" s="403" t="s">
        <v>1276</v>
      </c>
      <c r="I2538" s="403">
        <v>1</v>
      </c>
      <c r="J2538" s="403" t="s">
        <v>1402</v>
      </c>
      <c r="K2538" s="403">
        <v>2048</v>
      </c>
      <c r="L2538" s="403">
        <v>1536</v>
      </c>
      <c r="M2538" s="403" t="s">
        <v>1402</v>
      </c>
      <c r="N2538" s="403">
        <v>2048</v>
      </c>
      <c r="O2538" s="403">
        <v>1536</v>
      </c>
      <c r="P2538" t="str">
        <f t="shared" si="313"/>
        <v>30fps 2048x1536 - 2048x1536</v>
      </c>
      <c r="Q2538">
        <f t="shared" si="314"/>
        <v>14</v>
      </c>
      <c r="R2538" t="str">
        <f t="shared" si="315"/>
        <v/>
      </c>
      <c r="S2538" t="str">
        <f t="shared" si="316"/>
        <v/>
      </c>
      <c r="T2538" s="403" t="str">
        <f t="shared" si="317"/>
        <v>NBN-80052-BA</v>
      </c>
      <c r="U2538" s="403">
        <f t="shared" si="318"/>
        <v>1</v>
      </c>
      <c r="V2538" s="403" t="str">
        <f t="shared" si="319"/>
        <v>CPP_6</v>
      </c>
    </row>
    <row r="2539" spans="1:22">
      <c r="A2539" t="str">
        <f t="shared" si="312"/>
        <v>NBN-80052-BA</v>
      </c>
      <c r="B2539" s="403" t="s">
        <v>1391</v>
      </c>
      <c r="C2539" s="403" t="s">
        <v>584</v>
      </c>
      <c r="D2539" s="403" t="s">
        <v>902</v>
      </c>
      <c r="E2539" s="403" t="s">
        <v>1397</v>
      </c>
      <c r="F2539" s="403" t="s">
        <v>1398</v>
      </c>
      <c r="G2539" s="403" t="s">
        <v>1466</v>
      </c>
      <c r="H2539" s="403" t="s">
        <v>1276</v>
      </c>
      <c r="I2539" s="403">
        <v>1</v>
      </c>
      <c r="J2539" s="403" t="s">
        <v>1402</v>
      </c>
      <c r="K2539" s="403">
        <v>2048</v>
      </c>
      <c r="L2539" s="403">
        <v>1536</v>
      </c>
      <c r="M2539" s="403" t="s">
        <v>1401</v>
      </c>
      <c r="N2539" s="403">
        <v>1600</v>
      </c>
      <c r="O2539" s="403">
        <v>1200</v>
      </c>
      <c r="P2539" t="str">
        <f t="shared" si="313"/>
        <v>30fps 2048x1536 - 1600x1200</v>
      </c>
      <c r="Q2539">
        <f t="shared" si="314"/>
        <v>14</v>
      </c>
      <c r="R2539" t="str">
        <f t="shared" si="315"/>
        <v/>
      </c>
      <c r="S2539" t="str">
        <f t="shared" si="316"/>
        <v/>
      </c>
      <c r="T2539" s="403" t="str">
        <f t="shared" si="317"/>
        <v>NBN-80052-BA</v>
      </c>
      <c r="U2539" s="403">
        <f t="shared" si="318"/>
        <v>1</v>
      </c>
      <c r="V2539" s="403" t="str">
        <f t="shared" si="319"/>
        <v>CPP_6</v>
      </c>
    </row>
    <row r="2540" spans="1:22">
      <c r="A2540" t="str">
        <f t="shared" si="312"/>
        <v>NBN-80052-BA</v>
      </c>
      <c r="B2540" s="403" t="s">
        <v>1391</v>
      </c>
      <c r="C2540" s="403" t="s">
        <v>584</v>
      </c>
      <c r="D2540" s="403" t="s">
        <v>902</v>
      </c>
      <c r="E2540" s="403" t="s">
        <v>1397</v>
      </c>
      <c r="F2540" s="403" t="s">
        <v>1398</v>
      </c>
      <c r="G2540" s="403" t="s">
        <v>1466</v>
      </c>
      <c r="H2540" s="403" t="s">
        <v>1276</v>
      </c>
      <c r="I2540" s="403">
        <v>1</v>
      </c>
      <c r="J2540" s="403" t="s">
        <v>1402</v>
      </c>
      <c r="K2540" s="403">
        <v>2048</v>
      </c>
      <c r="L2540" s="403">
        <v>1536</v>
      </c>
      <c r="M2540" s="403" t="s">
        <v>1313</v>
      </c>
      <c r="N2540" s="403">
        <v>1280</v>
      </c>
      <c r="O2540" s="403">
        <v>960</v>
      </c>
      <c r="P2540" t="str">
        <f t="shared" si="313"/>
        <v>30fps 2048x1536 - 1280x960</v>
      </c>
      <c r="Q2540">
        <f t="shared" si="314"/>
        <v>14</v>
      </c>
      <c r="R2540" t="str">
        <f t="shared" si="315"/>
        <v/>
      </c>
      <c r="S2540" t="str">
        <f t="shared" si="316"/>
        <v/>
      </c>
      <c r="T2540" s="403" t="str">
        <f t="shared" si="317"/>
        <v>NBN-80052-BA</v>
      </c>
      <c r="U2540" s="403">
        <f t="shared" si="318"/>
        <v>1</v>
      </c>
      <c r="V2540" s="403" t="str">
        <f t="shared" si="319"/>
        <v>CPP_6</v>
      </c>
    </row>
    <row r="2541" spans="1:22">
      <c r="A2541" t="str">
        <f t="shared" si="312"/>
        <v>NBN-80052-BA</v>
      </c>
      <c r="B2541" s="403" t="s">
        <v>1391</v>
      </c>
      <c r="C2541" s="403" t="s">
        <v>584</v>
      </c>
      <c r="D2541" s="403" t="s">
        <v>902</v>
      </c>
      <c r="E2541" s="403" t="s">
        <v>1397</v>
      </c>
      <c r="F2541" s="403" t="s">
        <v>1398</v>
      </c>
      <c r="G2541" s="403" t="s">
        <v>1466</v>
      </c>
      <c r="H2541" s="403" t="s">
        <v>1276</v>
      </c>
      <c r="I2541" s="403">
        <v>1</v>
      </c>
      <c r="J2541" s="403" t="s">
        <v>1402</v>
      </c>
      <c r="K2541" s="403">
        <v>2048</v>
      </c>
      <c r="L2541" s="403">
        <v>1536</v>
      </c>
      <c r="M2541" s="403" t="s">
        <v>1278</v>
      </c>
      <c r="N2541" s="403">
        <v>1024</v>
      </c>
      <c r="O2541" s="403">
        <v>768</v>
      </c>
      <c r="P2541" t="str">
        <f t="shared" si="313"/>
        <v>30fps 2048x1536 - 1024x768</v>
      </c>
      <c r="Q2541">
        <f t="shared" si="314"/>
        <v>14</v>
      </c>
      <c r="R2541" t="str">
        <f t="shared" si="315"/>
        <v/>
      </c>
      <c r="S2541" t="str">
        <f t="shared" si="316"/>
        <v/>
      </c>
      <c r="T2541" s="403" t="str">
        <f t="shared" si="317"/>
        <v>NBN-80052-BA</v>
      </c>
      <c r="U2541" s="403">
        <f t="shared" si="318"/>
        <v>1</v>
      </c>
      <c r="V2541" s="403" t="str">
        <f t="shared" si="319"/>
        <v>CPP_6</v>
      </c>
    </row>
    <row r="2542" spans="1:22">
      <c r="A2542" t="str">
        <f t="shared" si="312"/>
        <v>NBN-80052-BA</v>
      </c>
      <c r="B2542" s="403" t="s">
        <v>1391</v>
      </c>
      <c r="C2542" s="403" t="s">
        <v>584</v>
      </c>
      <c r="D2542" s="403" t="s">
        <v>902</v>
      </c>
      <c r="E2542" s="403" t="s">
        <v>1397</v>
      </c>
      <c r="F2542" s="403" t="s">
        <v>1398</v>
      </c>
      <c r="G2542" s="403" t="s">
        <v>1466</v>
      </c>
      <c r="H2542" s="403" t="s">
        <v>1276</v>
      </c>
      <c r="I2542" s="403">
        <v>1</v>
      </c>
      <c r="J2542" s="403" t="s">
        <v>1402</v>
      </c>
      <c r="K2542" s="403">
        <v>2048</v>
      </c>
      <c r="L2542" s="403">
        <v>1536</v>
      </c>
      <c r="M2542" s="403" t="s">
        <v>1330</v>
      </c>
      <c r="N2542" s="403">
        <v>800</v>
      </c>
      <c r="O2542" s="403">
        <v>600</v>
      </c>
      <c r="P2542" t="str">
        <f t="shared" si="313"/>
        <v>30fps 2048x1536 - 800x600</v>
      </c>
      <c r="Q2542">
        <f t="shared" si="314"/>
        <v>14</v>
      </c>
      <c r="R2542" t="str">
        <f t="shared" si="315"/>
        <v/>
      </c>
      <c r="S2542" t="str">
        <f t="shared" si="316"/>
        <v/>
      </c>
      <c r="T2542" s="403" t="str">
        <f t="shared" si="317"/>
        <v>NBN-80052-BA</v>
      </c>
      <c r="U2542" s="403">
        <f t="shared" si="318"/>
        <v>1</v>
      </c>
      <c r="V2542" s="403" t="str">
        <f t="shared" si="319"/>
        <v>CPP_6</v>
      </c>
    </row>
    <row r="2543" spans="1:22">
      <c r="A2543" t="str">
        <f t="shared" si="312"/>
        <v>NBN-80052-BA</v>
      </c>
      <c r="B2543" s="403" t="s">
        <v>1391</v>
      </c>
      <c r="C2543" s="403" t="s">
        <v>584</v>
      </c>
      <c r="D2543" s="403" t="s">
        <v>902</v>
      </c>
      <c r="E2543" s="403" t="s">
        <v>1397</v>
      </c>
      <c r="F2543" s="403" t="s">
        <v>1398</v>
      </c>
      <c r="G2543" s="403" t="s">
        <v>1466</v>
      </c>
      <c r="H2543" s="403" t="s">
        <v>1276</v>
      </c>
      <c r="I2543" s="403">
        <v>1</v>
      </c>
      <c r="J2543" s="403" t="s">
        <v>1402</v>
      </c>
      <c r="K2543" s="403">
        <v>2048</v>
      </c>
      <c r="L2543" s="403">
        <v>1536</v>
      </c>
      <c r="M2543" s="403" t="s">
        <v>111</v>
      </c>
      <c r="N2543" s="403">
        <v>640</v>
      </c>
      <c r="O2543" s="403">
        <v>480</v>
      </c>
      <c r="P2543" t="str">
        <f t="shared" si="313"/>
        <v>30fps 2048x1536 - SD</v>
      </c>
      <c r="Q2543">
        <f t="shared" si="314"/>
        <v>14</v>
      </c>
      <c r="R2543" t="str">
        <f t="shared" si="315"/>
        <v/>
      </c>
      <c r="S2543" t="str">
        <f t="shared" si="316"/>
        <v/>
      </c>
      <c r="T2543" s="403" t="str">
        <f t="shared" si="317"/>
        <v>NBN-80052-BA</v>
      </c>
      <c r="U2543" s="403">
        <f t="shared" si="318"/>
        <v>1</v>
      </c>
      <c r="V2543" s="403" t="str">
        <f t="shared" si="319"/>
        <v>CPP_6</v>
      </c>
    </row>
    <row r="2544" spans="1:22">
      <c r="A2544" t="str">
        <f t="shared" si="312"/>
        <v>NBN-80052-BA</v>
      </c>
      <c r="B2544" s="403" t="s">
        <v>1391</v>
      </c>
      <c r="C2544" s="403" t="s">
        <v>584</v>
      </c>
      <c r="D2544" s="403" t="s">
        <v>902</v>
      </c>
      <c r="E2544" s="403" t="s">
        <v>1397</v>
      </c>
      <c r="F2544" s="403" t="s">
        <v>1398</v>
      </c>
      <c r="G2544" s="403" t="s">
        <v>1466</v>
      </c>
      <c r="H2544" s="403" t="s">
        <v>1276</v>
      </c>
      <c r="I2544" s="403">
        <v>1</v>
      </c>
      <c r="J2544" s="403" t="s">
        <v>1402</v>
      </c>
      <c r="K2544" s="403">
        <v>2048</v>
      </c>
      <c r="L2544" s="403">
        <v>1536</v>
      </c>
      <c r="M2544" s="403" t="s">
        <v>1279</v>
      </c>
      <c r="N2544" s="403">
        <v>640</v>
      </c>
      <c r="O2544" s="403">
        <v>480</v>
      </c>
      <c r="P2544" t="str">
        <f t="shared" si="313"/>
        <v>30fps 2048x1536 - SD ROI PTZ</v>
      </c>
      <c r="Q2544">
        <f t="shared" si="314"/>
        <v>14</v>
      </c>
      <c r="R2544" t="str">
        <f t="shared" si="315"/>
        <v/>
      </c>
      <c r="S2544" t="str">
        <f t="shared" si="316"/>
        <v/>
      </c>
      <c r="T2544" s="403" t="str">
        <f t="shared" si="317"/>
        <v>NBN-80052-BA</v>
      </c>
      <c r="U2544" s="403">
        <f t="shared" si="318"/>
        <v>1</v>
      </c>
      <c r="V2544" s="403" t="str">
        <f t="shared" si="319"/>
        <v>CPP_6</v>
      </c>
    </row>
    <row r="2545" spans="1:22">
      <c r="A2545" t="str">
        <f t="shared" si="312"/>
        <v>NBN-80052-BA</v>
      </c>
      <c r="B2545" s="403" t="s">
        <v>1391</v>
      </c>
      <c r="C2545" s="403" t="s">
        <v>584</v>
      </c>
      <c r="D2545" s="403" t="s">
        <v>902</v>
      </c>
      <c r="E2545" s="403" t="s">
        <v>1397</v>
      </c>
      <c r="F2545" s="403" t="s">
        <v>1398</v>
      </c>
      <c r="G2545" s="403" t="s">
        <v>1466</v>
      </c>
      <c r="H2545" s="403" t="s">
        <v>1276</v>
      </c>
      <c r="I2545" s="403">
        <v>1</v>
      </c>
      <c r="J2545" s="403" t="s">
        <v>1402</v>
      </c>
      <c r="K2545" s="403">
        <v>2048</v>
      </c>
      <c r="L2545" s="403">
        <v>1536</v>
      </c>
      <c r="M2545" s="403" t="s">
        <v>1302</v>
      </c>
      <c r="N2545" s="403">
        <v>400</v>
      </c>
      <c r="O2545" s="403">
        <v>720</v>
      </c>
      <c r="P2545" t="str">
        <f t="shared" si="313"/>
        <v>30fps 2048x1536 - 400x720 upright (cropped)</v>
      </c>
      <c r="Q2545">
        <f t="shared" si="314"/>
        <v>14</v>
      </c>
      <c r="R2545" t="str">
        <f t="shared" si="315"/>
        <v/>
      </c>
      <c r="S2545" t="str">
        <f t="shared" si="316"/>
        <v/>
      </c>
      <c r="T2545" s="403" t="str">
        <f t="shared" si="317"/>
        <v>NBN-80052-BA</v>
      </c>
      <c r="U2545" s="403">
        <f t="shared" si="318"/>
        <v>1</v>
      </c>
      <c r="V2545" s="403" t="str">
        <f t="shared" si="319"/>
        <v>CPP_6</v>
      </c>
    </row>
    <row r="2546" spans="1:22">
      <c r="A2546" t="str">
        <f t="shared" si="312"/>
        <v>NBN-80052-BA</v>
      </c>
      <c r="B2546" s="403" t="s">
        <v>1391</v>
      </c>
      <c r="C2546" s="403" t="s">
        <v>584</v>
      </c>
      <c r="D2546" s="403" t="s">
        <v>902</v>
      </c>
      <c r="E2546" s="403" t="s">
        <v>1397</v>
      </c>
      <c r="F2546" s="403" t="s">
        <v>1398</v>
      </c>
      <c r="G2546" s="403" t="s">
        <v>1466</v>
      </c>
      <c r="H2546" s="403" t="s">
        <v>1276</v>
      </c>
      <c r="I2546" s="403">
        <v>1</v>
      </c>
      <c r="J2546" s="403" t="s">
        <v>1402</v>
      </c>
      <c r="K2546" s="403">
        <v>2048</v>
      </c>
      <c r="L2546" s="403">
        <v>1536</v>
      </c>
      <c r="M2546" s="403" t="s">
        <v>1298</v>
      </c>
      <c r="N2546" s="403">
        <v>640</v>
      </c>
      <c r="O2546" s="403">
        <v>480</v>
      </c>
      <c r="P2546" t="str">
        <f t="shared" si="313"/>
        <v>30fps 2048x1536 - SD dual stream with independent ROI PTZ</v>
      </c>
      <c r="Q2546">
        <f t="shared" si="314"/>
        <v>14</v>
      </c>
      <c r="R2546" t="str">
        <f t="shared" si="315"/>
        <v/>
      </c>
      <c r="S2546" t="str">
        <f t="shared" si="316"/>
        <v/>
      </c>
      <c r="T2546" s="403" t="str">
        <f t="shared" si="317"/>
        <v>NBN-80052-BA</v>
      </c>
      <c r="U2546" s="403">
        <f t="shared" si="318"/>
        <v>1</v>
      </c>
      <c r="V2546" s="403" t="str">
        <f t="shared" si="319"/>
        <v>CPP_6</v>
      </c>
    </row>
    <row r="2547" spans="1:22">
      <c r="A2547" t="str">
        <f t="shared" si="312"/>
        <v>NBN-80052-BA</v>
      </c>
      <c r="B2547" s="403" t="s">
        <v>1391</v>
      </c>
      <c r="C2547" s="403" t="s">
        <v>584</v>
      </c>
      <c r="D2547" s="403" t="s">
        <v>902</v>
      </c>
      <c r="E2547" s="403" t="s">
        <v>1397</v>
      </c>
      <c r="F2547" s="403" t="s">
        <v>1398</v>
      </c>
      <c r="G2547" s="403" t="s">
        <v>1467</v>
      </c>
      <c r="H2547" s="403" t="s">
        <v>1276</v>
      </c>
      <c r="I2547" s="403">
        <v>1</v>
      </c>
      <c r="J2547" s="403" t="s">
        <v>1399</v>
      </c>
      <c r="K2547" s="403">
        <v>2032</v>
      </c>
      <c r="L2547" s="403">
        <v>2704</v>
      </c>
      <c r="M2547" s="403" t="s">
        <v>1313</v>
      </c>
      <c r="N2547" s="403">
        <v>960</v>
      </c>
      <c r="O2547" s="403">
        <v>1280</v>
      </c>
      <c r="P2547" t="str">
        <f t="shared" si="313"/>
        <v>30fps 2704x2032 - 1280x960</v>
      </c>
      <c r="Q2547">
        <f t="shared" si="314"/>
        <v>14</v>
      </c>
      <c r="R2547" t="str">
        <f t="shared" si="315"/>
        <v/>
      </c>
      <c r="S2547" t="str">
        <f t="shared" si="316"/>
        <v/>
      </c>
      <c r="T2547" s="403" t="str">
        <f t="shared" si="317"/>
        <v>NBN-80052-BA</v>
      </c>
      <c r="U2547" s="403">
        <f t="shared" si="318"/>
        <v>1</v>
      </c>
      <c r="V2547" s="403" t="str">
        <f t="shared" si="319"/>
        <v>CPP_6</v>
      </c>
    </row>
    <row r="2548" spans="1:22">
      <c r="A2548" t="str">
        <f t="shared" si="312"/>
        <v>NBN-80052-BA</v>
      </c>
      <c r="B2548" s="403" t="s">
        <v>1391</v>
      </c>
      <c r="C2548" s="403" t="s">
        <v>584</v>
      </c>
      <c r="D2548" s="403" t="s">
        <v>902</v>
      </c>
      <c r="E2548" s="403" t="s">
        <v>1397</v>
      </c>
      <c r="F2548" s="403" t="s">
        <v>1398</v>
      </c>
      <c r="G2548" s="403" t="s">
        <v>1467</v>
      </c>
      <c r="H2548" s="403" t="s">
        <v>1276</v>
      </c>
      <c r="I2548" s="403">
        <v>1</v>
      </c>
      <c r="J2548" s="403" t="s">
        <v>1399</v>
      </c>
      <c r="K2548" s="403">
        <v>2032</v>
      </c>
      <c r="L2548" s="403">
        <v>2704</v>
      </c>
      <c r="M2548" s="403" t="s">
        <v>1278</v>
      </c>
      <c r="N2548" s="403">
        <v>768</v>
      </c>
      <c r="O2548" s="403">
        <v>1024</v>
      </c>
      <c r="P2548" t="str">
        <f t="shared" si="313"/>
        <v>30fps 2704x2032 - 1024x768</v>
      </c>
      <c r="Q2548">
        <f t="shared" si="314"/>
        <v>14</v>
      </c>
      <c r="R2548" t="str">
        <f t="shared" si="315"/>
        <v/>
      </c>
      <c r="S2548" t="str">
        <f t="shared" si="316"/>
        <v/>
      </c>
      <c r="T2548" s="403" t="str">
        <f t="shared" si="317"/>
        <v>NBN-80052-BA</v>
      </c>
      <c r="U2548" s="403">
        <f t="shared" si="318"/>
        <v>1</v>
      </c>
      <c r="V2548" s="403" t="str">
        <f t="shared" si="319"/>
        <v>CPP_6</v>
      </c>
    </row>
    <row r="2549" spans="1:22">
      <c r="A2549" t="str">
        <f t="shared" si="312"/>
        <v>NBN-80052-BA</v>
      </c>
      <c r="B2549" s="403" t="s">
        <v>1391</v>
      </c>
      <c r="C2549" s="403" t="s">
        <v>584</v>
      </c>
      <c r="D2549" s="403" t="s">
        <v>902</v>
      </c>
      <c r="E2549" s="403" t="s">
        <v>1397</v>
      </c>
      <c r="F2549" s="403" t="s">
        <v>1398</v>
      </c>
      <c r="G2549" s="403" t="s">
        <v>1467</v>
      </c>
      <c r="H2549" s="403" t="s">
        <v>1276</v>
      </c>
      <c r="I2549" s="403">
        <v>1</v>
      </c>
      <c r="J2549" s="403" t="s">
        <v>1399</v>
      </c>
      <c r="K2549" s="403">
        <v>2032</v>
      </c>
      <c r="L2549" s="403">
        <v>2704</v>
      </c>
      <c r="M2549" s="403" t="s">
        <v>1330</v>
      </c>
      <c r="N2549" s="403">
        <v>600</v>
      </c>
      <c r="O2549" s="403">
        <v>800</v>
      </c>
      <c r="P2549" t="str">
        <f t="shared" si="313"/>
        <v>30fps 2704x2032 - 800x600</v>
      </c>
      <c r="Q2549">
        <f t="shared" si="314"/>
        <v>14</v>
      </c>
      <c r="R2549" t="str">
        <f t="shared" si="315"/>
        <v/>
      </c>
      <c r="S2549" t="str">
        <f t="shared" si="316"/>
        <v/>
      </c>
      <c r="T2549" s="403" t="str">
        <f t="shared" si="317"/>
        <v>NBN-80052-BA</v>
      </c>
      <c r="U2549" s="403">
        <f t="shared" si="318"/>
        <v>1</v>
      </c>
      <c r="V2549" s="403" t="str">
        <f t="shared" si="319"/>
        <v>CPP_6</v>
      </c>
    </row>
    <row r="2550" spans="1:22">
      <c r="A2550" t="str">
        <f t="shared" si="312"/>
        <v>NBN-80052-BA</v>
      </c>
      <c r="B2550" s="403" t="s">
        <v>1391</v>
      </c>
      <c r="C2550" s="403" t="s">
        <v>584</v>
      </c>
      <c r="D2550" s="403" t="s">
        <v>902</v>
      </c>
      <c r="E2550" s="403" t="s">
        <v>1397</v>
      </c>
      <c r="F2550" s="403" t="s">
        <v>1398</v>
      </c>
      <c r="G2550" s="403" t="s">
        <v>1467</v>
      </c>
      <c r="H2550" s="403" t="s">
        <v>1276</v>
      </c>
      <c r="I2550" s="403">
        <v>1</v>
      </c>
      <c r="J2550" s="403" t="s">
        <v>1399</v>
      </c>
      <c r="K2550" s="403">
        <v>2032</v>
      </c>
      <c r="L2550" s="403">
        <v>2704</v>
      </c>
      <c r="M2550" s="403" t="s">
        <v>111</v>
      </c>
      <c r="N2550" s="403">
        <v>480</v>
      </c>
      <c r="O2550" s="403">
        <v>640</v>
      </c>
      <c r="P2550" t="str">
        <f t="shared" si="313"/>
        <v>30fps 2704x2032 - SD</v>
      </c>
      <c r="Q2550">
        <f t="shared" si="314"/>
        <v>14</v>
      </c>
      <c r="R2550" t="str">
        <f t="shared" si="315"/>
        <v/>
      </c>
      <c r="S2550" t="str">
        <f t="shared" si="316"/>
        <v/>
      </c>
      <c r="T2550" s="403" t="str">
        <f t="shared" si="317"/>
        <v>NBN-80052-BA</v>
      </c>
      <c r="U2550" s="403">
        <f t="shared" si="318"/>
        <v>1</v>
      </c>
      <c r="V2550" s="403" t="str">
        <f t="shared" si="319"/>
        <v>CPP_6</v>
      </c>
    </row>
    <row r="2551" spans="1:22">
      <c r="A2551" t="str">
        <f t="shared" si="312"/>
        <v>NBN-80052-BA</v>
      </c>
      <c r="B2551" s="403" t="s">
        <v>1391</v>
      </c>
      <c r="C2551" s="403" t="s">
        <v>584</v>
      </c>
      <c r="D2551" s="403" t="s">
        <v>902</v>
      </c>
      <c r="E2551" s="403" t="s">
        <v>1397</v>
      </c>
      <c r="F2551" s="403" t="s">
        <v>1398</v>
      </c>
      <c r="G2551" s="403" t="s">
        <v>1467</v>
      </c>
      <c r="H2551" s="403" t="s">
        <v>1276</v>
      </c>
      <c r="I2551" s="403">
        <v>1</v>
      </c>
      <c r="J2551" s="403" t="s">
        <v>1399</v>
      </c>
      <c r="K2551" s="403">
        <v>2032</v>
      </c>
      <c r="L2551" s="403">
        <v>2704</v>
      </c>
      <c r="M2551" s="403" t="s">
        <v>1279</v>
      </c>
      <c r="N2551" s="403">
        <v>480</v>
      </c>
      <c r="O2551" s="403">
        <v>640</v>
      </c>
      <c r="P2551" t="str">
        <f t="shared" si="313"/>
        <v>30fps 2704x2032 - SD ROI PTZ</v>
      </c>
      <c r="Q2551">
        <f t="shared" si="314"/>
        <v>14</v>
      </c>
      <c r="R2551" t="str">
        <f t="shared" si="315"/>
        <v/>
      </c>
      <c r="S2551" t="str">
        <f t="shared" si="316"/>
        <v/>
      </c>
      <c r="T2551" s="403" t="str">
        <f t="shared" si="317"/>
        <v>NBN-80052-BA</v>
      </c>
      <c r="U2551" s="403">
        <f t="shared" si="318"/>
        <v>1</v>
      </c>
      <c r="V2551" s="403" t="str">
        <f t="shared" si="319"/>
        <v>CPP_6</v>
      </c>
    </row>
    <row r="2552" spans="1:22">
      <c r="A2552" t="str">
        <f t="shared" si="312"/>
        <v>NBN-80052-BA</v>
      </c>
      <c r="B2552" s="403" t="s">
        <v>1391</v>
      </c>
      <c r="C2552" s="403" t="s">
        <v>584</v>
      </c>
      <c r="D2552" s="403" t="s">
        <v>902</v>
      </c>
      <c r="E2552" s="403" t="s">
        <v>1397</v>
      </c>
      <c r="F2552" s="403" t="s">
        <v>1398</v>
      </c>
      <c r="G2552" s="403" t="s">
        <v>1467</v>
      </c>
      <c r="H2552" s="403" t="s">
        <v>1276</v>
      </c>
      <c r="I2552" s="403">
        <v>1</v>
      </c>
      <c r="J2552" s="403" t="s">
        <v>1399</v>
      </c>
      <c r="K2552" s="403">
        <v>2032</v>
      </c>
      <c r="L2552" s="403">
        <v>2704</v>
      </c>
      <c r="M2552" s="403" t="s">
        <v>1302</v>
      </c>
      <c r="N2552" s="403">
        <v>720</v>
      </c>
      <c r="O2552" s="403">
        <v>400</v>
      </c>
      <c r="P2552" t="str">
        <f t="shared" si="313"/>
        <v>30fps 2704x2032 - 400x720 upright (cropped)</v>
      </c>
      <c r="Q2552">
        <f t="shared" si="314"/>
        <v>14</v>
      </c>
      <c r="R2552" t="str">
        <f t="shared" si="315"/>
        <v/>
      </c>
      <c r="S2552" t="str">
        <f t="shared" si="316"/>
        <v/>
      </c>
      <c r="T2552" s="403" t="str">
        <f t="shared" si="317"/>
        <v>NBN-80052-BA</v>
      </c>
      <c r="U2552" s="403">
        <f t="shared" si="318"/>
        <v>1</v>
      </c>
      <c r="V2552" s="403" t="str">
        <f t="shared" si="319"/>
        <v>CPP_6</v>
      </c>
    </row>
    <row r="2553" spans="1:22">
      <c r="A2553" t="str">
        <f t="shared" si="312"/>
        <v>NBN-80052-BA</v>
      </c>
      <c r="B2553" s="403" t="s">
        <v>1391</v>
      </c>
      <c r="C2553" s="403" t="s">
        <v>584</v>
      </c>
      <c r="D2553" s="403" t="s">
        <v>902</v>
      </c>
      <c r="E2553" s="403" t="s">
        <v>1397</v>
      </c>
      <c r="F2553" s="403" t="s">
        <v>1398</v>
      </c>
      <c r="G2553" s="403" t="s">
        <v>1467</v>
      </c>
      <c r="H2553" s="403" t="s">
        <v>1276</v>
      </c>
      <c r="I2553" s="403">
        <v>1</v>
      </c>
      <c r="J2553" s="403" t="s">
        <v>1399</v>
      </c>
      <c r="K2553" s="403">
        <v>2032</v>
      </c>
      <c r="L2553" s="403">
        <v>2704</v>
      </c>
      <c r="M2553" s="403" t="s">
        <v>1298</v>
      </c>
      <c r="N2553" s="403">
        <v>480</v>
      </c>
      <c r="O2553" s="403">
        <v>640</v>
      </c>
      <c r="P2553" t="str">
        <f t="shared" si="313"/>
        <v>30fps 2704x2032 - SD dual stream with independent ROI PTZ</v>
      </c>
      <c r="Q2553">
        <f t="shared" si="314"/>
        <v>14</v>
      </c>
      <c r="R2553" t="str">
        <f t="shared" si="315"/>
        <v/>
      </c>
      <c r="S2553" t="str">
        <f t="shared" si="316"/>
        <v/>
      </c>
      <c r="T2553" s="403" t="str">
        <f t="shared" si="317"/>
        <v>NBN-80052-BA</v>
      </c>
      <c r="U2553" s="403">
        <f t="shared" si="318"/>
        <v>1</v>
      </c>
      <c r="V2553" s="403" t="str">
        <f t="shared" si="319"/>
        <v>CPP_6</v>
      </c>
    </row>
    <row r="2554" spans="1:22">
      <c r="A2554" t="str">
        <f t="shared" si="312"/>
        <v>NBN-80052-BA</v>
      </c>
      <c r="B2554" s="403" t="s">
        <v>1391</v>
      </c>
      <c r="C2554" s="403" t="s">
        <v>584</v>
      </c>
      <c r="D2554" s="403" t="s">
        <v>902</v>
      </c>
      <c r="E2554" s="403" t="s">
        <v>1397</v>
      </c>
      <c r="F2554" s="403" t="s">
        <v>1398</v>
      </c>
      <c r="G2554" s="403" t="s">
        <v>1467</v>
      </c>
      <c r="H2554" s="403" t="s">
        <v>1276</v>
      </c>
      <c r="I2554" s="403">
        <v>1</v>
      </c>
      <c r="J2554" s="403" t="s">
        <v>1399</v>
      </c>
      <c r="K2554" s="403">
        <v>2032</v>
      </c>
      <c r="L2554" s="403">
        <v>2704</v>
      </c>
      <c r="M2554" s="403" t="s">
        <v>1280</v>
      </c>
      <c r="N2554" s="403">
        <v>2032</v>
      </c>
      <c r="O2554" s="403">
        <v>2704</v>
      </c>
      <c r="P2554" t="str">
        <f t="shared" si="313"/>
        <v>30fps 2704x2032 - copy other stream</v>
      </c>
      <c r="Q2554">
        <f t="shared" si="314"/>
        <v>14</v>
      </c>
      <c r="R2554" t="str">
        <f t="shared" si="315"/>
        <v/>
      </c>
      <c r="S2554" t="str">
        <f t="shared" si="316"/>
        <v/>
      </c>
      <c r="T2554" s="403" t="str">
        <f t="shared" si="317"/>
        <v>NBN-80052-BA</v>
      </c>
      <c r="U2554" s="403">
        <f t="shared" si="318"/>
        <v>1</v>
      </c>
      <c r="V2554" s="403" t="str">
        <f t="shared" si="319"/>
        <v>CPP_6</v>
      </c>
    </row>
    <row r="2555" spans="1:22">
      <c r="A2555" t="str">
        <f t="shared" si="312"/>
        <v>NBN-80052-BA</v>
      </c>
      <c r="B2555" s="403" t="s">
        <v>1391</v>
      </c>
      <c r="C2555" s="403" t="s">
        <v>584</v>
      </c>
      <c r="D2555" s="403" t="s">
        <v>902</v>
      </c>
      <c r="E2555" s="403" t="s">
        <v>1397</v>
      </c>
      <c r="F2555" s="403" t="s">
        <v>1398</v>
      </c>
      <c r="G2555" s="403" t="s">
        <v>1467</v>
      </c>
      <c r="H2555" s="403" t="s">
        <v>1276</v>
      </c>
      <c r="I2555" s="403">
        <v>1</v>
      </c>
      <c r="J2555" s="403" t="s">
        <v>1402</v>
      </c>
      <c r="K2555" s="403">
        <v>1536</v>
      </c>
      <c r="L2555" s="403">
        <v>2048</v>
      </c>
      <c r="M2555" s="403" t="s">
        <v>1402</v>
      </c>
      <c r="N2555" s="403">
        <v>1536</v>
      </c>
      <c r="O2555" s="403">
        <v>2048</v>
      </c>
      <c r="P2555" t="str">
        <f t="shared" si="313"/>
        <v>30fps 2048x1536 - 2048x1536</v>
      </c>
      <c r="Q2555">
        <f t="shared" si="314"/>
        <v>14</v>
      </c>
      <c r="R2555" t="str">
        <f t="shared" si="315"/>
        <v/>
      </c>
      <c r="S2555" t="str">
        <f t="shared" si="316"/>
        <v/>
      </c>
      <c r="T2555" s="403" t="str">
        <f t="shared" si="317"/>
        <v>NBN-80052-BA</v>
      </c>
      <c r="U2555" s="403">
        <f t="shared" si="318"/>
        <v>1</v>
      </c>
      <c r="V2555" s="403" t="str">
        <f t="shared" si="319"/>
        <v>CPP_6</v>
      </c>
    </row>
    <row r="2556" spans="1:22">
      <c r="A2556" t="str">
        <f t="shared" si="312"/>
        <v>NBN-80052-BA</v>
      </c>
      <c r="B2556" s="403" t="s">
        <v>1391</v>
      </c>
      <c r="C2556" s="403" t="s">
        <v>584</v>
      </c>
      <c r="D2556" s="403" t="s">
        <v>902</v>
      </c>
      <c r="E2556" s="403" t="s">
        <v>1397</v>
      </c>
      <c r="F2556" s="403" t="s">
        <v>1398</v>
      </c>
      <c r="G2556" s="403" t="s">
        <v>1467</v>
      </c>
      <c r="H2556" s="403" t="s">
        <v>1276</v>
      </c>
      <c r="I2556" s="403">
        <v>1</v>
      </c>
      <c r="J2556" s="403" t="s">
        <v>1402</v>
      </c>
      <c r="K2556" s="403">
        <v>1536</v>
      </c>
      <c r="L2556" s="403">
        <v>2048</v>
      </c>
      <c r="M2556" s="403" t="s">
        <v>1401</v>
      </c>
      <c r="N2556" s="403">
        <v>1200</v>
      </c>
      <c r="O2556" s="403">
        <v>1600</v>
      </c>
      <c r="P2556" t="str">
        <f t="shared" si="313"/>
        <v>30fps 2048x1536 - 1600x1200</v>
      </c>
      <c r="Q2556">
        <f t="shared" si="314"/>
        <v>14</v>
      </c>
      <c r="R2556" t="str">
        <f t="shared" si="315"/>
        <v/>
      </c>
      <c r="S2556" t="str">
        <f t="shared" si="316"/>
        <v/>
      </c>
      <c r="T2556" s="403" t="str">
        <f t="shared" si="317"/>
        <v>NBN-80052-BA</v>
      </c>
      <c r="U2556" s="403">
        <f t="shared" si="318"/>
        <v>1</v>
      </c>
      <c r="V2556" s="403" t="str">
        <f t="shared" si="319"/>
        <v>CPP_6</v>
      </c>
    </row>
    <row r="2557" spans="1:22">
      <c r="A2557" t="str">
        <f t="shared" si="312"/>
        <v>NBN-80052-BA</v>
      </c>
      <c r="B2557" s="403" t="s">
        <v>1391</v>
      </c>
      <c r="C2557" s="403" t="s">
        <v>584</v>
      </c>
      <c r="D2557" s="403" t="s">
        <v>902</v>
      </c>
      <c r="E2557" s="403" t="s">
        <v>1397</v>
      </c>
      <c r="F2557" s="403" t="s">
        <v>1398</v>
      </c>
      <c r="G2557" s="403" t="s">
        <v>1467</v>
      </c>
      <c r="H2557" s="403" t="s">
        <v>1276</v>
      </c>
      <c r="I2557" s="403">
        <v>1</v>
      </c>
      <c r="J2557" s="403" t="s">
        <v>1402</v>
      </c>
      <c r="K2557" s="403">
        <v>1536</v>
      </c>
      <c r="L2557" s="403">
        <v>2048</v>
      </c>
      <c r="M2557" s="403" t="s">
        <v>1313</v>
      </c>
      <c r="N2557" s="403">
        <v>960</v>
      </c>
      <c r="O2557" s="403">
        <v>1280</v>
      </c>
      <c r="P2557" t="str">
        <f t="shared" si="313"/>
        <v>30fps 2048x1536 - 1280x960</v>
      </c>
      <c r="Q2557">
        <f t="shared" si="314"/>
        <v>14</v>
      </c>
      <c r="R2557" t="str">
        <f t="shared" si="315"/>
        <v/>
      </c>
      <c r="S2557" t="str">
        <f t="shared" si="316"/>
        <v/>
      </c>
      <c r="T2557" s="403" t="str">
        <f t="shared" si="317"/>
        <v>NBN-80052-BA</v>
      </c>
      <c r="U2557" s="403">
        <f t="shared" si="318"/>
        <v>1</v>
      </c>
      <c r="V2557" s="403" t="str">
        <f t="shared" si="319"/>
        <v>CPP_6</v>
      </c>
    </row>
    <row r="2558" spans="1:22">
      <c r="A2558" t="str">
        <f t="shared" si="312"/>
        <v>NBN-80052-BA</v>
      </c>
      <c r="B2558" s="403" t="s">
        <v>1391</v>
      </c>
      <c r="C2558" s="403" t="s">
        <v>584</v>
      </c>
      <c r="D2558" s="403" t="s">
        <v>902</v>
      </c>
      <c r="E2558" s="403" t="s">
        <v>1397</v>
      </c>
      <c r="F2558" s="403" t="s">
        <v>1398</v>
      </c>
      <c r="G2558" s="403" t="s">
        <v>1467</v>
      </c>
      <c r="H2558" s="403" t="s">
        <v>1276</v>
      </c>
      <c r="I2558" s="403">
        <v>1</v>
      </c>
      <c r="J2558" s="403" t="s">
        <v>1402</v>
      </c>
      <c r="K2558" s="403">
        <v>1536</v>
      </c>
      <c r="L2558" s="403">
        <v>2048</v>
      </c>
      <c r="M2558" s="403" t="s">
        <v>1278</v>
      </c>
      <c r="N2558" s="403">
        <v>768</v>
      </c>
      <c r="O2558" s="403">
        <v>1024</v>
      </c>
      <c r="P2558" t="str">
        <f t="shared" si="313"/>
        <v>30fps 2048x1536 - 1024x768</v>
      </c>
      <c r="Q2558">
        <f t="shared" si="314"/>
        <v>14</v>
      </c>
      <c r="R2558" t="str">
        <f t="shared" si="315"/>
        <v/>
      </c>
      <c r="S2558" t="str">
        <f t="shared" si="316"/>
        <v/>
      </c>
      <c r="T2558" s="403" t="str">
        <f t="shared" si="317"/>
        <v>NBN-80052-BA</v>
      </c>
      <c r="U2558" s="403">
        <f t="shared" si="318"/>
        <v>1</v>
      </c>
      <c r="V2558" s="403" t="str">
        <f t="shared" si="319"/>
        <v>CPP_6</v>
      </c>
    </row>
    <row r="2559" spans="1:22">
      <c r="A2559" t="str">
        <f t="shared" si="312"/>
        <v>NBN-80052-BA</v>
      </c>
      <c r="B2559" s="403" t="s">
        <v>1391</v>
      </c>
      <c r="C2559" s="403" t="s">
        <v>584</v>
      </c>
      <c r="D2559" s="403" t="s">
        <v>902</v>
      </c>
      <c r="E2559" s="403" t="s">
        <v>1397</v>
      </c>
      <c r="F2559" s="403" t="s">
        <v>1398</v>
      </c>
      <c r="G2559" s="403" t="s">
        <v>1467</v>
      </c>
      <c r="H2559" s="403" t="s">
        <v>1276</v>
      </c>
      <c r="I2559" s="403">
        <v>1</v>
      </c>
      <c r="J2559" s="403" t="s">
        <v>1402</v>
      </c>
      <c r="K2559" s="403">
        <v>1536</v>
      </c>
      <c r="L2559" s="403">
        <v>2048</v>
      </c>
      <c r="M2559" s="403" t="s">
        <v>1330</v>
      </c>
      <c r="N2559" s="403">
        <v>600</v>
      </c>
      <c r="O2559" s="403">
        <v>800</v>
      </c>
      <c r="P2559" t="str">
        <f t="shared" si="313"/>
        <v>30fps 2048x1536 - 800x600</v>
      </c>
      <c r="Q2559">
        <f t="shared" si="314"/>
        <v>14</v>
      </c>
      <c r="R2559" t="str">
        <f t="shared" si="315"/>
        <v/>
      </c>
      <c r="S2559" t="str">
        <f t="shared" si="316"/>
        <v/>
      </c>
      <c r="T2559" s="403" t="str">
        <f t="shared" si="317"/>
        <v>NBN-80052-BA</v>
      </c>
      <c r="U2559" s="403">
        <f t="shared" si="318"/>
        <v>1</v>
      </c>
      <c r="V2559" s="403" t="str">
        <f t="shared" si="319"/>
        <v>CPP_6</v>
      </c>
    </row>
    <row r="2560" spans="1:22">
      <c r="A2560" t="str">
        <f t="shared" si="312"/>
        <v>NBN-80052-BA</v>
      </c>
      <c r="B2560" s="403" t="s">
        <v>1391</v>
      </c>
      <c r="C2560" s="403" t="s">
        <v>584</v>
      </c>
      <c r="D2560" s="403" t="s">
        <v>902</v>
      </c>
      <c r="E2560" s="403" t="s">
        <v>1397</v>
      </c>
      <c r="F2560" s="403" t="s">
        <v>1398</v>
      </c>
      <c r="G2560" s="403" t="s">
        <v>1467</v>
      </c>
      <c r="H2560" s="403" t="s">
        <v>1276</v>
      </c>
      <c r="I2560" s="403">
        <v>1</v>
      </c>
      <c r="J2560" s="403" t="s">
        <v>1402</v>
      </c>
      <c r="K2560" s="403">
        <v>1536</v>
      </c>
      <c r="L2560" s="403">
        <v>2048</v>
      </c>
      <c r="M2560" s="403" t="s">
        <v>111</v>
      </c>
      <c r="N2560" s="403">
        <v>480</v>
      </c>
      <c r="O2560" s="403">
        <v>640</v>
      </c>
      <c r="P2560" t="str">
        <f t="shared" si="313"/>
        <v>30fps 2048x1536 - SD</v>
      </c>
      <c r="Q2560">
        <f t="shared" si="314"/>
        <v>14</v>
      </c>
      <c r="R2560" t="str">
        <f t="shared" si="315"/>
        <v/>
      </c>
      <c r="S2560" t="str">
        <f t="shared" si="316"/>
        <v/>
      </c>
      <c r="T2560" s="403" t="str">
        <f t="shared" si="317"/>
        <v>NBN-80052-BA</v>
      </c>
      <c r="U2560" s="403">
        <f t="shared" si="318"/>
        <v>1</v>
      </c>
      <c r="V2560" s="403" t="str">
        <f t="shared" si="319"/>
        <v>CPP_6</v>
      </c>
    </row>
    <row r="2561" spans="1:22">
      <c r="A2561" t="str">
        <f t="shared" si="312"/>
        <v>NBN-80052-BA</v>
      </c>
      <c r="B2561" s="403" t="s">
        <v>1391</v>
      </c>
      <c r="C2561" s="403" t="s">
        <v>584</v>
      </c>
      <c r="D2561" s="403" t="s">
        <v>902</v>
      </c>
      <c r="E2561" s="403" t="s">
        <v>1397</v>
      </c>
      <c r="F2561" s="403" t="s">
        <v>1398</v>
      </c>
      <c r="G2561" s="403" t="s">
        <v>1467</v>
      </c>
      <c r="H2561" s="403" t="s">
        <v>1276</v>
      </c>
      <c r="I2561" s="403">
        <v>1</v>
      </c>
      <c r="J2561" s="403" t="s">
        <v>1402</v>
      </c>
      <c r="K2561" s="403">
        <v>1536</v>
      </c>
      <c r="L2561" s="403">
        <v>2048</v>
      </c>
      <c r="M2561" s="403" t="s">
        <v>1279</v>
      </c>
      <c r="N2561" s="403">
        <v>480</v>
      </c>
      <c r="O2561" s="403">
        <v>640</v>
      </c>
      <c r="P2561" t="str">
        <f t="shared" si="313"/>
        <v>30fps 2048x1536 - SD ROI PTZ</v>
      </c>
      <c r="Q2561">
        <f t="shared" si="314"/>
        <v>14</v>
      </c>
      <c r="R2561" t="str">
        <f t="shared" si="315"/>
        <v/>
      </c>
      <c r="S2561" t="str">
        <f t="shared" si="316"/>
        <v/>
      </c>
      <c r="T2561" s="403" t="str">
        <f t="shared" si="317"/>
        <v>NBN-80052-BA</v>
      </c>
      <c r="U2561" s="403">
        <f t="shared" si="318"/>
        <v>1</v>
      </c>
      <c r="V2561" s="403" t="str">
        <f t="shared" si="319"/>
        <v>CPP_6</v>
      </c>
    </row>
    <row r="2562" spans="1:22">
      <c r="A2562" t="str">
        <f t="shared" ref="A2562:A2625" si="320">IF(AND(G2562&lt;&gt;"rotate 90°"),D2562,"")</f>
        <v>NBN-80052-BA</v>
      </c>
      <c r="B2562" s="403" t="s">
        <v>1391</v>
      </c>
      <c r="C2562" s="403" t="s">
        <v>584</v>
      </c>
      <c r="D2562" s="403" t="s">
        <v>902</v>
      </c>
      <c r="E2562" s="403" t="s">
        <v>1397</v>
      </c>
      <c r="F2562" s="403" t="s">
        <v>1398</v>
      </c>
      <c r="G2562" s="403" t="s">
        <v>1467</v>
      </c>
      <c r="H2562" s="403" t="s">
        <v>1276</v>
      </c>
      <c r="I2562" s="403">
        <v>1</v>
      </c>
      <c r="J2562" s="403" t="s">
        <v>1402</v>
      </c>
      <c r="K2562" s="403">
        <v>1536</v>
      </c>
      <c r="L2562" s="403">
        <v>2048</v>
      </c>
      <c r="M2562" s="403" t="s">
        <v>1302</v>
      </c>
      <c r="N2562" s="403">
        <v>720</v>
      </c>
      <c r="O2562" s="403">
        <v>400</v>
      </c>
      <c r="P2562" t="str">
        <f t="shared" ref="P2562:P2625" si="321">LEFT(F2562,5)&amp;" "&amp;J2562&amp;" - "&amp;M2562</f>
        <v>30fps 2048x1536 - 400x720 upright (cropped)</v>
      </c>
      <c r="Q2562">
        <f t="shared" ref="Q2562:Q2625" si="322">IF(A2561=A2562,Q2561,Q2561+1)</f>
        <v>14</v>
      </c>
      <c r="R2562" t="str">
        <f t="shared" ref="R2562:R2625" si="323">IF(Q2561&lt;&gt;Q2562,Q2562,"")</f>
        <v/>
      </c>
      <c r="S2562" t="str">
        <f t="shared" ref="S2562:S2625" si="324">IF(R2562&lt;&gt;"",B2562&amp;" ("&amp;D2562&amp;")","")</f>
        <v/>
      </c>
      <c r="T2562" s="403" t="str">
        <f t="shared" ref="T2562:T2625" si="325">D2562</f>
        <v>NBN-80052-BA</v>
      </c>
      <c r="U2562" s="403">
        <f t="shared" ref="U2562:U2625" si="326">I2562</f>
        <v>1</v>
      </c>
      <c r="V2562" s="403" t="str">
        <f t="shared" ref="V2562:V2625" si="327">C2562</f>
        <v>CPP_6</v>
      </c>
    </row>
    <row r="2563" spans="1:22">
      <c r="A2563" t="str">
        <f t="shared" si="320"/>
        <v>NBN-80052-BA</v>
      </c>
      <c r="B2563" s="403" t="s">
        <v>1391</v>
      </c>
      <c r="C2563" s="403" t="s">
        <v>584</v>
      </c>
      <c r="D2563" s="403" t="s">
        <v>902</v>
      </c>
      <c r="E2563" s="403" t="s">
        <v>1397</v>
      </c>
      <c r="F2563" s="403" t="s">
        <v>1398</v>
      </c>
      <c r="G2563" s="403" t="s">
        <v>1467</v>
      </c>
      <c r="H2563" s="403" t="s">
        <v>1276</v>
      </c>
      <c r="I2563" s="403">
        <v>1</v>
      </c>
      <c r="J2563" s="403" t="s">
        <v>1402</v>
      </c>
      <c r="K2563" s="403">
        <v>1536</v>
      </c>
      <c r="L2563" s="403">
        <v>2048</v>
      </c>
      <c r="M2563" s="403" t="s">
        <v>1298</v>
      </c>
      <c r="N2563" s="403">
        <v>480</v>
      </c>
      <c r="O2563" s="403">
        <v>640</v>
      </c>
      <c r="P2563" t="str">
        <f t="shared" si="321"/>
        <v>30fps 2048x1536 - SD dual stream with independent ROI PTZ</v>
      </c>
      <c r="Q2563">
        <f t="shared" si="322"/>
        <v>14</v>
      </c>
      <c r="R2563" t="str">
        <f t="shared" si="323"/>
        <v/>
      </c>
      <c r="S2563" t="str">
        <f t="shared" si="324"/>
        <v/>
      </c>
      <c r="T2563" s="403" t="str">
        <f t="shared" si="325"/>
        <v>NBN-80052-BA</v>
      </c>
      <c r="U2563" s="403">
        <f t="shared" si="326"/>
        <v>1</v>
      </c>
      <c r="V2563" s="403" t="str">
        <f t="shared" si="327"/>
        <v>CPP_6</v>
      </c>
    </row>
    <row r="2564" spans="1:22">
      <c r="A2564" t="str">
        <f t="shared" si="320"/>
        <v>NBN-80052-BA</v>
      </c>
      <c r="B2564" s="403" t="s">
        <v>1391</v>
      </c>
      <c r="C2564" s="403" t="s">
        <v>584</v>
      </c>
      <c r="D2564" s="403" t="s">
        <v>902</v>
      </c>
      <c r="E2564" s="403" t="s">
        <v>1397</v>
      </c>
      <c r="F2564" s="403" t="s">
        <v>1403</v>
      </c>
      <c r="G2564" s="403" t="s">
        <v>1466</v>
      </c>
      <c r="H2564" s="403" t="s">
        <v>1276</v>
      </c>
      <c r="I2564" s="403">
        <v>1</v>
      </c>
      <c r="J2564" s="403" t="s">
        <v>1399</v>
      </c>
      <c r="K2564" s="403">
        <v>2704</v>
      </c>
      <c r="L2564" s="403">
        <v>2032</v>
      </c>
      <c r="M2564" s="403" t="s">
        <v>1313</v>
      </c>
      <c r="N2564" s="403">
        <v>1280</v>
      </c>
      <c r="O2564" s="403">
        <v>960</v>
      </c>
      <c r="P2564" t="str">
        <f t="shared" si="321"/>
        <v>25fps 2704x2032 - 1280x960</v>
      </c>
      <c r="Q2564">
        <f t="shared" si="322"/>
        <v>14</v>
      </c>
      <c r="R2564" t="str">
        <f t="shared" si="323"/>
        <v/>
      </c>
      <c r="S2564" t="str">
        <f t="shared" si="324"/>
        <v/>
      </c>
      <c r="T2564" s="403" t="str">
        <f t="shared" si="325"/>
        <v>NBN-80052-BA</v>
      </c>
      <c r="U2564" s="403">
        <f t="shared" si="326"/>
        <v>1</v>
      </c>
      <c r="V2564" s="403" t="str">
        <f t="shared" si="327"/>
        <v>CPP_6</v>
      </c>
    </row>
    <row r="2565" spans="1:22">
      <c r="A2565" t="str">
        <f t="shared" si="320"/>
        <v>NBN-80052-BA</v>
      </c>
      <c r="B2565" s="403" t="s">
        <v>1391</v>
      </c>
      <c r="C2565" s="403" t="s">
        <v>584</v>
      </c>
      <c r="D2565" s="403" t="s">
        <v>902</v>
      </c>
      <c r="E2565" s="403" t="s">
        <v>1397</v>
      </c>
      <c r="F2565" s="403" t="s">
        <v>1403</v>
      </c>
      <c r="G2565" s="403" t="s">
        <v>1466</v>
      </c>
      <c r="H2565" s="403" t="s">
        <v>1276</v>
      </c>
      <c r="I2565" s="403">
        <v>1</v>
      </c>
      <c r="J2565" s="403" t="s">
        <v>1399</v>
      </c>
      <c r="K2565" s="403">
        <v>2704</v>
      </c>
      <c r="L2565" s="403">
        <v>2032</v>
      </c>
      <c r="M2565" s="403" t="s">
        <v>1400</v>
      </c>
      <c r="N2565" s="403">
        <v>2704</v>
      </c>
      <c r="O2565" s="403">
        <v>2032</v>
      </c>
      <c r="P2565" t="str">
        <f t="shared" si="321"/>
        <v>25fps 2704x2032 - 2704x2032 @ SKIP 3</v>
      </c>
      <c r="Q2565">
        <f t="shared" si="322"/>
        <v>14</v>
      </c>
      <c r="R2565" t="str">
        <f t="shared" si="323"/>
        <v/>
      </c>
      <c r="S2565" t="str">
        <f t="shared" si="324"/>
        <v/>
      </c>
      <c r="T2565" s="403" t="str">
        <f t="shared" si="325"/>
        <v>NBN-80052-BA</v>
      </c>
      <c r="U2565" s="403">
        <f t="shared" si="326"/>
        <v>1</v>
      </c>
      <c r="V2565" s="403" t="str">
        <f t="shared" si="327"/>
        <v>CPP_6</v>
      </c>
    </row>
    <row r="2566" spans="1:22">
      <c r="A2566" t="str">
        <f t="shared" si="320"/>
        <v>NBN-80052-BA</v>
      </c>
      <c r="B2566" s="403" t="s">
        <v>1391</v>
      </c>
      <c r="C2566" s="403" t="s">
        <v>584</v>
      </c>
      <c r="D2566" s="403" t="s">
        <v>902</v>
      </c>
      <c r="E2566" s="403" t="s">
        <v>1397</v>
      </c>
      <c r="F2566" s="403" t="s">
        <v>1403</v>
      </c>
      <c r="G2566" s="403" t="s">
        <v>1466</v>
      </c>
      <c r="H2566" s="403" t="s">
        <v>1276</v>
      </c>
      <c r="I2566" s="403">
        <v>1</v>
      </c>
      <c r="J2566" s="403" t="s">
        <v>1399</v>
      </c>
      <c r="K2566" s="403">
        <v>2704</v>
      </c>
      <c r="L2566" s="403">
        <v>2032</v>
      </c>
      <c r="M2566" s="403" t="s">
        <v>1401</v>
      </c>
      <c r="N2566" s="403">
        <v>1600</v>
      </c>
      <c r="O2566" s="403">
        <v>1200</v>
      </c>
      <c r="P2566" t="str">
        <f t="shared" si="321"/>
        <v>25fps 2704x2032 - 1600x1200</v>
      </c>
      <c r="Q2566">
        <f t="shared" si="322"/>
        <v>14</v>
      </c>
      <c r="R2566" t="str">
        <f t="shared" si="323"/>
        <v/>
      </c>
      <c r="S2566" t="str">
        <f t="shared" si="324"/>
        <v/>
      </c>
      <c r="T2566" s="403" t="str">
        <f t="shared" si="325"/>
        <v>NBN-80052-BA</v>
      </c>
      <c r="U2566" s="403">
        <f t="shared" si="326"/>
        <v>1</v>
      </c>
      <c r="V2566" s="403" t="str">
        <f t="shared" si="327"/>
        <v>CPP_6</v>
      </c>
    </row>
    <row r="2567" spans="1:22">
      <c r="A2567" t="str">
        <f t="shared" si="320"/>
        <v>NBN-80052-BA</v>
      </c>
      <c r="B2567" s="403" t="s">
        <v>1391</v>
      </c>
      <c r="C2567" s="403" t="s">
        <v>584</v>
      </c>
      <c r="D2567" s="403" t="s">
        <v>902</v>
      </c>
      <c r="E2567" s="403" t="s">
        <v>1397</v>
      </c>
      <c r="F2567" s="403" t="s">
        <v>1403</v>
      </c>
      <c r="G2567" s="403" t="s">
        <v>1466</v>
      </c>
      <c r="H2567" s="403" t="s">
        <v>1276</v>
      </c>
      <c r="I2567" s="403">
        <v>1</v>
      </c>
      <c r="J2567" s="403" t="s">
        <v>1399</v>
      </c>
      <c r="K2567" s="403">
        <v>2704</v>
      </c>
      <c r="L2567" s="403">
        <v>2032</v>
      </c>
      <c r="M2567" s="403" t="s">
        <v>1278</v>
      </c>
      <c r="N2567" s="403">
        <v>1024</v>
      </c>
      <c r="O2567" s="403">
        <v>768</v>
      </c>
      <c r="P2567" t="str">
        <f t="shared" si="321"/>
        <v>25fps 2704x2032 - 1024x768</v>
      </c>
      <c r="Q2567">
        <f t="shared" si="322"/>
        <v>14</v>
      </c>
      <c r="R2567" t="str">
        <f t="shared" si="323"/>
        <v/>
      </c>
      <c r="S2567" t="str">
        <f t="shared" si="324"/>
        <v/>
      </c>
      <c r="T2567" s="403" t="str">
        <f t="shared" si="325"/>
        <v>NBN-80052-BA</v>
      </c>
      <c r="U2567" s="403">
        <f t="shared" si="326"/>
        <v>1</v>
      </c>
      <c r="V2567" s="403" t="str">
        <f t="shared" si="327"/>
        <v>CPP_6</v>
      </c>
    </row>
    <row r="2568" spans="1:22">
      <c r="A2568" t="str">
        <f t="shared" si="320"/>
        <v>NBN-80052-BA</v>
      </c>
      <c r="B2568" s="403" t="s">
        <v>1391</v>
      </c>
      <c r="C2568" s="403" t="s">
        <v>584</v>
      </c>
      <c r="D2568" s="403" t="s">
        <v>902</v>
      </c>
      <c r="E2568" s="403" t="s">
        <v>1397</v>
      </c>
      <c r="F2568" s="403" t="s">
        <v>1403</v>
      </c>
      <c r="G2568" s="403" t="s">
        <v>1466</v>
      </c>
      <c r="H2568" s="403" t="s">
        <v>1276</v>
      </c>
      <c r="I2568" s="403">
        <v>1</v>
      </c>
      <c r="J2568" s="403" t="s">
        <v>1399</v>
      </c>
      <c r="K2568" s="403">
        <v>2704</v>
      </c>
      <c r="L2568" s="403">
        <v>2032</v>
      </c>
      <c r="M2568" s="403" t="s">
        <v>1330</v>
      </c>
      <c r="N2568" s="403">
        <v>800</v>
      </c>
      <c r="O2568" s="403">
        <v>600</v>
      </c>
      <c r="P2568" t="str">
        <f t="shared" si="321"/>
        <v>25fps 2704x2032 - 800x600</v>
      </c>
      <c r="Q2568">
        <f t="shared" si="322"/>
        <v>14</v>
      </c>
      <c r="R2568" t="str">
        <f t="shared" si="323"/>
        <v/>
      </c>
      <c r="S2568" t="str">
        <f t="shared" si="324"/>
        <v/>
      </c>
      <c r="T2568" s="403" t="str">
        <f t="shared" si="325"/>
        <v>NBN-80052-BA</v>
      </c>
      <c r="U2568" s="403">
        <f t="shared" si="326"/>
        <v>1</v>
      </c>
      <c r="V2568" s="403" t="str">
        <f t="shared" si="327"/>
        <v>CPP_6</v>
      </c>
    </row>
    <row r="2569" spans="1:22">
      <c r="A2569" t="str">
        <f t="shared" si="320"/>
        <v>NBN-80052-BA</v>
      </c>
      <c r="B2569" s="403" t="s">
        <v>1391</v>
      </c>
      <c r="C2569" s="403" t="s">
        <v>584</v>
      </c>
      <c r="D2569" s="403" t="s">
        <v>902</v>
      </c>
      <c r="E2569" s="403" t="s">
        <v>1397</v>
      </c>
      <c r="F2569" s="403" t="s">
        <v>1403</v>
      </c>
      <c r="G2569" s="403" t="s">
        <v>1466</v>
      </c>
      <c r="H2569" s="403" t="s">
        <v>1276</v>
      </c>
      <c r="I2569" s="403">
        <v>1</v>
      </c>
      <c r="J2569" s="403" t="s">
        <v>1399</v>
      </c>
      <c r="K2569" s="403">
        <v>2704</v>
      </c>
      <c r="L2569" s="403">
        <v>2032</v>
      </c>
      <c r="M2569" s="403" t="s">
        <v>111</v>
      </c>
      <c r="N2569" s="403">
        <v>640</v>
      </c>
      <c r="O2569" s="403">
        <v>480</v>
      </c>
      <c r="P2569" t="str">
        <f t="shared" si="321"/>
        <v>25fps 2704x2032 - SD</v>
      </c>
      <c r="Q2569">
        <f t="shared" si="322"/>
        <v>14</v>
      </c>
      <c r="R2569" t="str">
        <f t="shared" si="323"/>
        <v/>
      </c>
      <c r="S2569" t="str">
        <f t="shared" si="324"/>
        <v/>
      </c>
      <c r="T2569" s="403" t="str">
        <f t="shared" si="325"/>
        <v>NBN-80052-BA</v>
      </c>
      <c r="U2569" s="403">
        <f t="shared" si="326"/>
        <v>1</v>
      </c>
      <c r="V2569" s="403" t="str">
        <f t="shared" si="327"/>
        <v>CPP_6</v>
      </c>
    </row>
    <row r="2570" spans="1:22">
      <c r="A2570" t="str">
        <f t="shared" si="320"/>
        <v>NBN-80052-BA</v>
      </c>
      <c r="B2570" s="403" t="s">
        <v>1391</v>
      </c>
      <c r="C2570" s="403" t="s">
        <v>584</v>
      </c>
      <c r="D2570" s="403" t="s">
        <v>902</v>
      </c>
      <c r="E2570" s="403" t="s">
        <v>1397</v>
      </c>
      <c r="F2570" s="403" t="s">
        <v>1403</v>
      </c>
      <c r="G2570" s="403" t="s">
        <v>1466</v>
      </c>
      <c r="H2570" s="403" t="s">
        <v>1276</v>
      </c>
      <c r="I2570" s="403">
        <v>1</v>
      </c>
      <c r="J2570" s="403" t="s">
        <v>1399</v>
      </c>
      <c r="K2570" s="403">
        <v>2704</v>
      </c>
      <c r="L2570" s="403">
        <v>2032</v>
      </c>
      <c r="M2570" s="403" t="s">
        <v>1279</v>
      </c>
      <c r="N2570" s="403">
        <v>640</v>
      </c>
      <c r="O2570" s="403">
        <v>480</v>
      </c>
      <c r="P2570" t="str">
        <f t="shared" si="321"/>
        <v>25fps 2704x2032 - SD ROI PTZ</v>
      </c>
      <c r="Q2570">
        <f t="shared" si="322"/>
        <v>14</v>
      </c>
      <c r="R2570" t="str">
        <f t="shared" si="323"/>
        <v/>
      </c>
      <c r="S2570" t="str">
        <f t="shared" si="324"/>
        <v/>
      </c>
      <c r="T2570" s="403" t="str">
        <f t="shared" si="325"/>
        <v>NBN-80052-BA</v>
      </c>
      <c r="U2570" s="403">
        <f t="shared" si="326"/>
        <v>1</v>
      </c>
      <c r="V2570" s="403" t="str">
        <f t="shared" si="327"/>
        <v>CPP_6</v>
      </c>
    </row>
    <row r="2571" spans="1:22">
      <c r="A2571" t="str">
        <f t="shared" si="320"/>
        <v>NBN-80052-BA</v>
      </c>
      <c r="B2571" s="403" t="s">
        <v>1391</v>
      </c>
      <c r="C2571" s="403" t="s">
        <v>584</v>
      </c>
      <c r="D2571" s="403" t="s">
        <v>902</v>
      </c>
      <c r="E2571" s="403" t="s">
        <v>1397</v>
      </c>
      <c r="F2571" s="403" t="s">
        <v>1403</v>
      </c>
      <c r="G2571" s="403" t="s">
        <v>1466</v>
      </c>
      <c r="H2571" s="403" t="s">
        <v>1276</v>
      </c>
      <c r="I2571" s="403">
        <v>1</v>
      </c>
      <c r="J2571" s="403" t="s">
        <v>1399</v>
      </c>
      <c r="K2571" s="403">
        <v>2704</v>
      </c>
      <c r="L2571" s="403">
        <v>2032</v>
      </c>
      <c r="M2571" s="403" t="s">
        <v>1302</v>
      </c>
      <c r="N2571" s="403">
        <v>400</v>
      </c>
      <c r="O2571" s="403">
        <v>720</v>
      </c>
      <c r="P2571" t="str">
        <f t="shared" si="321"/>
        <v>25fps 2704x2032 - 400x720 upright (cropped)</v>
      </c>
      <c r="Q2571">
        <f t="shared" si="322"/>
        <v>14</v>
      </c>
      <c r="R2571" t="str">
        <f t="shared" si="323"/>
        <v/>
      </c>
      <c r="S2571" t="str">
        <f t="shared" si="324"/>
        <v/>
      </c>
      <c r="T2571" s="403" t="str">
        <f t="shared" si="325"/>
        <v>NBN-80052-BA</v>
      </c>
      <c r="U2571" s="403">
        <f t="shared" si="326"/>
        <v>1</v>
      </c>
      <c r="V2571" s="403" t="str">
        <f t="shared" si="327"/>
        <v>CPP_6</v>
      </c>
    </row>
    <row r="2572" spans="1:22">
      <c r="A2572" t="str">
        <f t="shared" si="320"/>
        <v>NBN-80052-BA</v>
      </c>
      <c r="B2572" s="403" t="s">
        <v>1391</v>
      </c>
      <c r="C2572" s="403" t="s">
        <v>584</v>
      </c>
      <c r="D2572" s="403" t="s">
        <v>902</v>
      </c>
      <c r="E2572" s="403" t="s">
        <v>1397</v>
      </c>
      <c r="F2572" s="403" t="s">
        <v>1403</v>
      </c>
      <c r="G2572" s="403" t="s">
        <v>1466</v>
      </c>
      <c r="H2572" s="403" t="s">
        <v>1276</v>
      </c>
      <c r="I2572" s="403">
        <v>1</v>
      </c>
      <c r="J2572" s="403" t="s">
        <v>1399</v>
      </c>
      <c r="K2572" s="403">
        <v>2704</v>
      </c>
      <c r="L2572" s="403">
        <v>2032</v>
      </c>
      <c r="M2572" s="403" t="s">
        <v>1298</v>
      </c>
      <c r="N2572" s="403">
        <v>640</v>
      </c>
      <c r="O2572" s="403">
        <v>480</v>
      </c>
      <c r="P2572" t="str">
        <f t="shared" si="321"/>
        <v>25fps 2704x2032 - SD dual stream with independent ROI PTZ</v>
      </c>
      <c r="Q2572">
        <f t="shared" si="322"/>
        <v>14</v>
      </c>
      <c r="R2572" t="str">
        <f t="shared" si="323"/>
        <v/>
      </c>
      <c r="S2572" t="str">
        <f t="shared" si="324"/>
        <v/>
      </c>
      <c r="T2572" s="403" t="str">
        <f t="shared" si="325"/>
        <v>NBN-80052-BA</v>
      </c>
      <c r="U2572" s="403">
        <f t="shared" si="326"/>
        <v>1</v>
      </c>
      <c r="V2572" s="403" t="str">
        <f t="shared" si="327"/>
        <v>CPP_6</v>
      </c>
    </row>
    <row r="2573" spans="1:22">
      <c r="A2573" t="str">
        <f t="shared" si="320"/>
        <v>NBN-80052-BA</v>
      </c>
      <c r="B2573" s="403" t="s">
        <v>1391</v>
      </c>
      <c r="C2573" s="403" t="s">
        <v>584</v>
      </c>
      <c r="D2573" s="403" t="s">
        <v>902</v>
      </c>
      <c r="E2573" s="403" t="s">
        <v>1397</v>
      </c>
      <c r="F2573" s="403" t="s">
        <v>1403</v>
      </c>
      <c r="G2573" s="403" t="s">
        <v>1466</v>
      </c>
      <c r="H2573" s="403" t="s">
        <v>1276</v>
      </c>
      <c r="I2573" s="403">
        <v>1</v>
      </c>
      <c r="J2573" s="403" t="s">
        <v>1399</v>
      </c>
      <c r="K2573" s="403">
        <v>2704</v>
      </c>
      <c r="L2573" s="403">
        <v>2032</v>
      </c>
      <c r="M2573" s="403" t="s">
        <v>1280</v>
      </c>
      <c r="N2573" s="403">
        <v>2704</v>
      </c>
      <c r="O2573" s="403">
        <v>2032</v>
      </c>
      <c r="P2573" t="str">
        <f t="shared" si="321"/>
        <v>25fps 2704x2032 - copy other stream</v>
      </c>
      <c r="Q2573">
        <f t="shared" si="322"/>
        <v>14</v>
      </c>
      <c r="R2573" t="str">
        <f t="shared" si="323"/>
        <v/>
      </c>
      <c r="S2573" t="str">
        <f t="shared" si="324"/>
        <v/>
      </c>
      <c r="T2573" s="403" t="str">
        <f t="shared" si="325"/>
        <v>NBN-80052-BA</v>
      </c>
      <c r="U2573" s="403">
        <f t="shared" si="326"/>
        <v>1</v>
      </c>
      <c r="V2573" s="403" t="str">
        <f t="shared" si="327"/>
        <v>CPP_6</v>
      </c>
    </row>
    <row r="2574" spans="1:22">
      <c r="A2574" t="str">
        <f t="shared" si="320"/>
        <v>NBN-80052-BA</v>
      </c>
      <c r="B2574" s="403" t="s">
        <v>1391</v>
      </c>
      <c r="C2574" s="403" t="s">
        <v>584</v>
      </c>
      <c r="D2574" s="403" t="s">
        <v>902</v>
      </c>
      <c r="E2574" s="403" t="s">
        <v>1397</v>
      </c>
      <c r="F2574" s="403" t="s">
        <v>1403</v>
      </c>
      <c r="G2574" s="403" t="s">
        <v>1466</v>
      </c>
      <c r="H2574" s="403" t="s">
        <v>1276</v>
      </c>
      <c r="I2574" s="403">
        <v>1</v>
      </c>
      <c r="J2574" s="403" t="s">
        <v>1402</v>
      </c>
      <c r="K2574" s="403">
        <v>2048</v>
      </c>
      <c r="L2574" s="403">
        <v>1536</v>
      </c>
      <c r="M2574" s="403" t="s">
        <v>1402</v>
      </c>
      <c r="N2574" s="403">
        <v>2048</v>
      </c>
      <c r="O2574" s="403">
        <v>1536</v>
      </c>
      <c r="P2574" t="str">
        <f t="shared" si="321"/>
        <v>25fps 2048x1536 - 2048x1536</v>
      </c>
      <c r="Q2574">
        <f t="shared" si="322"/>
        <v>14</v>
      </c>
      <c r="R2574" t="str">
        <f t="shared" si="323"/>
        <v/>
      </c>
      <c r="S2574" t="str">
        <f t="shared" si="324"/>
        <v/>
      </c>
      <c r="T2574" s="403" t="str">
        <f t="shared" si="325"/>
        <v>NBN-80052-BA</v>
      </c>
      <c r="U2574" s="403">
        <f t="shared" si="326"/>
        <v>1</v>
      </c>
      <c r="V2574" s="403" t="str">
        <f t="shared" si="327"/>
        <v>CPP_6</v>
      </c>
    </row>
    <row r="2575" spans="1:22">
      <c r="A2575" t="str">
        <f t="shared" si="320"/>
        <v>NBN-80052-BA</v>
      </c>
      <c r="B2575" s="403" t="s">
        <v>1391</v>
      </c>
      <c r="C2575" s="403" t="s">
        <v>584</v>
      </c>
      <c r="D2575" s="403" t="s">
        <v>902</v>
      </c>
      <c r="E2575" s="403" t="s">
        <v>1397</v>
      </c>
      <c r="F2575" s="403" t="s">
        <v>1403</v>
      </c>
      <c r="G2575" s="403" t="s">
        <v>1466</v>
      </c>
      <c r="H2575" s="403" t="s">
        <v>1276</v>
      </c>
      <c r="I2575" s="403">
        <v>1</v>
      </c>
      <c r="J2575" s="403" t="s">
        <v>1402</v>
      </c>
      <c r="K2575" s="403">
        <v>2048</v>
      </c>
      <c r="L2575" s="403">
        <v>1536</v>
      </c>
      <c r="M2575" s="403" t="s">
        <v>1401</v>
      </c>
      <c r="N2575" s="403">
        <v>1600</v>
      </c>
      <c r="O2575" s="403">
        <v>1200</v>
      </c>
      <c r="P2575" t="str">
        <f t="shared" si="321"/>
        <v>25fps 2048x1536 - 1600x1200</v>
      </c>
      <c r="Q2575">
        <f t="shared" si="322"/>
        <v>14</v>
      </c>
      <c r="R2575" t="str">
        <f t="shared" si="323"/>
        <v/>
      </c>
      <c r="S2575" t="str">
        <f t="shared" si="324"/>
        <v/>
      </c>
      <c r="T2575" s="403" t="str">
        <f t="shared" si="325"/>
        <v>NBN-80052-BA</v>
      </c>
      <c r="U2575" s="403">
        <f t="shared" si="326"/>
        <v>1</v>
      </c>
      <c r="V2575" s="403" t="str">
        <f t="shared" si="327"/>
        <v>CPP_6</v>
      </c>
    </row>
    <row r="2576" spans="1:22">
      <c r="A2576" t="str">
        <f t="shared" si="320"/>
        <v>NBN-80052-BA</v>
      </c>
      <c r="B2576" s="403" t="s">
        <v>1391</v>
      </c>
      <c r="C2576" s="403" t="s">
        <v>584</v>
      </c>
      <c r="D2576" s="403" t="s">
        <v>902</v>
      </c>
      <c r="E2576" s="403" t="s">
        <v>1397</v>
      </c>
      <c r="F2576" s="403" t="s">
        <v>1403</v>
      </c>
      <c r="G2576" s="403" t="s">
        <v>1466</v>
      </c>
      <c r="H2576" s="403" t="s">
        <v>1276</v>
      </c>
      <c r="I2576" s="403">
        <v>1</v>
      </c>
      <c r="J2576" s="403" t="s">
        <v>1402</v>
      </c>
      <c r="K2576" s="403">
        <v>2048</v>
      </c>
      <c r="L2576" s="403">
        <v>1536</v>
      </c>
      <c r="M2576" s="403" t="s">
        <v>1313</v>
      </c>
      <c r="N2576" s="403">
        <v>1280</v>
      </c>
      <c r="O2576" s="403">
        <v>960</v>
      </c>
      <c r="P2576" t="str">
        <f t="shared" si="321"/>
        <v>25fps 2048x1536 - 1280x960</v>
      </c>
      <c r="Q2576">
        <f t="shared" si="322"/>
        <v>14</v>
      </c>
      <c r="R2576" t="str">
        <f t="shared" si="323"/>
        <v/>
      </c>
      <c r="S2576" t="str">
        <f t="shared" si="324"/>
        <v/>
      </c>
      <c r="T2576" s="403" t="str">
        <f t="shared" si="325"/>
        <v>NBN-80052-BA</v>
      </c>
      <c r="U2576" s="403">
        <f t="shared" si="326"/>
        <v>1</v>
      </c>
      <c r="V2576" s="403" t="str">
        <f t="shared" si="327"/>
        <v>CPP_6</v>
      </c>
    </row>
    <row r="2577" spans="1:22">
      <c r="A2577" t="str">
        <f t="shared" si="320"/>
        <v>NBN-80052-BA</v>
      </c>
      <c r="B2577" s="403" t="s">
        <v>1391</v>
      </c>
      <c r="C2577" s="403" t="s">
        <v>584</v>
      </c>
      <c r="D2577" s="403" t="s">
        <v>902</v>
      </c>
      <c r="E2577" s="403" t="s">
        <v>1397</v>
      </c>
      <c r="F2577" s="403" t="s">
        <v>1403</v>
      </c>
      <c r="G2577" s="403" t="s">
        <v>1466</v>
      </c>
      <c r="H2577" s="403" t="s">
        <v>1276</v>
      </c>
      <c r="I2577" s="403">
        <v>1</v>
      </c>
      <c r="J2577" s="403" t="s">
        <v>1402</v>
      </c>
      <c r="K2577" s="403">
        <v>2048</v>
      </c>
      <c r="L2577" s="403">
        <v>1536</v>
      </c>
      <c r="M2577" s="403" t="s">
        <v>1278</v>
      </c>
      <c r="N2577" s="403">
        <v>1024</v>
      </c>
      <c r="O2577" s="403">
        <v>768</v>
      </c>
      <c r="P2577" t="str">
        <f t="shared" si="321"/>
        <v>25fps 2048x1536 - 1024x768</v>
      </c>
      <c r="Q2577">
        <f t="shared" si="322"/>
        <v>14</v>
      </c>
      <c r="R2577" t="str">
        <f t="shared" si="323"/>
        <v/>
      </c>
      <c r="S2577" t="str">
        <f t="shared" si="324"/>
        <v/>
      </c>
      <c r="T2577" s="403" t="str">
        <f t="shared" si="325"/>
        <v>NBN-80052-BA</v>
      </c>
      <c r="U2577" s="403">
        <f t="shared" si="326"/>
        <v>1</v>
      </c>
      <c r="V2577" s="403" t="str">
        <f t="shared" si="327"/>
        <v>CPP_6</v>
      </c>
    </row>
    <row r="2578" spans="1:22">
      <c r="A2578" t="str">
        <f t="shared" si="320"/>
        <v>NBN-80052-BA</v>
      </c>
      <c r="B2578" s="403" t="s">
        <v>1391</v>
      </c>
      <c r="C2578" s="403" t="s">
        <v>584</v>
      </c>
      <c r="D2578" s="403" t="s">
        <v>902</v>
      </c>
      <c r="E2578" s="403" t="s">
        <v>1397</v>
      </c>
      <c r="F2578" s="403" t="s">
        <v>1403</v>
      </c>
      <c r="G2578" s="403" t="s">
        <v>1466</v>
      </c>
      <c r="H2578" s="403" t="s">
        <v>1276</v>
      </c>
      <c r="I2578" s="403">
        <v>1</v>
      </c>
      <c r="J2578" s="403" t="s">
        <v>1402</v>
      </c>
      <c r="K2578" s="403">
        <v>2048</v>
      </c>
      <c r="L2578" s="403">
        <v>1536</v>
      </c>
      <c r="M2578" s="403" t="s">
        <v>1330</v>
      </c>
      <c r="N2578" s="403">
        <v>800</v>
      </c>
      <c r="O2578" s="403">
        <v>600</v>
      </c>
      <c r="P2578" t="str">
        <f t="shared" si="321"/>
        <v>25fps 2048x1536 - 800x600</v>
      </c>
      <c r="Q2578">
        <f t="shared" si="322"/>
        <v>14</v>
      </c>
      <c r="R2578" t="str">
        <f t="shared" si="323"/>
        <v/>
      </c>
      <c r="S2578" t="str">
        <f t="shared" si="324"/>
        <v/>
      </c>
      <c r="T2578" s="403" t="str">
        <f t="shared" si="325"/>
        <v>NBN-80052-BA</v>
      </c>
      <c r="U2578" s="403">
        <f t="shared" si="326"/>
        <v>1</v>
      </c>
      <c r="V2578" s="403" t="str">
        <f t="shared" si="327"/>
        <v>CPP_6</v>
      </c>
    </row>
    <row r="2579" spans="1:22">
      <c r="A2579" t="str">
        <f t="shared" si="320"/>
        <v>NBN-80052-BA</v>
      </c>
      <c r="B2579" s="403" t="s">
        <v>1391</v>
      </c>
      <c r="C2579" s="403" t="s">
        <v>584</v>
      </c>
      <c r="D2579" s="403" t="s">
        <v>902</v>
      </c>
      <c r="E2579" s="403" t="s">
        <v>1397</v>
      </c>
      <c r="F2579" s="403" t="s">
        <v>1403</v>
      </c>
      <c r="G2579" s="403" t="s">
        <v>1466</v>
      </c>
      <c r="H2579" s="403" t="s">
        <v>1276</v>
      </c>
      <c r="I2579" s="403">
        <v>1</v>
      </c>
      <c r="J2579" s="403" t="s">
        <v>1402</v>
      </c>
      <c r="K2579" s="403">
        <v>2048</v>
      </c>
      <c r="L2579" s="403">
        <v>1536</v>
      </c>
      <c r="M2579" s="403" t="s">
        <v>111</v>
      </c>
      <c r="N2579" s="403">
        <v>640</v>
      </c>
      <c r="O2579" s="403">
        <v>480</v>
      </c>
      <c r="P2579" t="str">
        <f t="shared" si="321"/>
        <v>25fps 2048x1536 - SD</v>
      </c>
      <c r="Q2579">
        <f t="shared" si="322"/>
        <v>14</v>
      </c>
      <c r="R2579" t="str">
        <f t="shared" si="323"/>
        <v/>
      </c>
      <c r="S2579" t="str">
        <f t="shared" si="324"/>
        <v/>
      </c>
      <c r="T2579" s="403" t="str">
        <f t="shared" si="325"/>
        <v>NBN-80052-BA</v>
      </c>
      <c r="U2579" s="403">
        <f t="shared" si="326"/>
        <v>1</v>
      </c>
      <c r="V2579" s="403" t="str">
        <f t="shared" si="327"/>
        <v>CPP_6</v>
      </c>
    </row>
    <row r="2580" spans="1:22">
      <c r="A2580" t="str">
        <f t="shared" si="320"/>
        <v>NBN-80052-BA</v>
      </c>
      <c r="B2580" s="403" t="s">
        <v>1391</v>
      </c>
      <c r="C2580" s="403" t="s">
        <v>584</v>
      </c>
      <c r="D2580" s="403" t="s">
        <v>902</v>
      </c>
      <c r="E2580" s="403" t="s">
        <v>1397</v>
      </c>
      <c r="F2580" s="403" t="s">
        <v>1403</v>
      </c>
      <c r="G2580" s="403" t="s">
        <v>1466</v>
      </c>
      <c r="H2580" s="403" t="s">
        <v>1276</v>
      </c>
      <c r="I2580" s="403">
        <v>1</v>
      </c>
      <c r="J2580" s="403" t="s">
        <v>1402</v>
      </c>
      <c r="K2580" s="403">
        <v>2048</v>
      </c>
      <c r="L2580" s="403">
        <v>1536</v>
      </c>
      <c r="M2580" s="403" t="s">
        <v>1279</v>
      </c>
      <c r="N2580" s="403">
        <v>640</v>
      </c>
      <c r="O2580" s="403">
        <v>480</v>
      </c>
      <c r="P2580" t="str">
        <f t="shared" si="321"/>
        <v>25fps 2048x1536 - SD ROI PTZ</v>
      </c>
      <c r="Q2580">
        <f t="shared" si="322"/>
        <v>14</v>
      </c>
      <c r="R2580" t="str">
        <f t="shared" si="323"/>
        <v/>
      </c>
      <c r="S2580" t="str">
        <f t="shared" si="324"/>
        <v/>
      </c>
      <c r="T2580" s="403" t="str">
        <f t="shared" si="325"/>
        <v>NBN-80052-BA</v>
      </c>
      <c r="U2580" s="403">
        <f t="shared" si="326"/>
        <v>1</v>
      </c>
      <c r="V2580" s="403" t="str">
        <f t="shared" si="327"/>
        <v>CPP_6</v>
      </c>
    </row>
    <row r="2581" spans="1:22">
      <c r="A2581" t="str">
        <f t="shared" si="320"/>
        <v>NBN-80052-BA</v>
      </c>
      <c r="B2581" s="403" t="s">
        <v>1391</v>
      </c>
      <c r="C2581" s="403" t="s">
        <v>584</v>
      </c>
      <c r="D2581" s="403" t="s">
        <v>902</v>
      </c>
      <c r="E2581" s="403" t="s">
        <v>1397</v>
      </c>
      <c r="F2581" s="403" t="s">
        <v>1403</v>
      </c>
      <c r="G2581" s="403" t="s">
        <v>1466</v>
      </c>
      <c r="H2581" s="403" t="s">
        <v>1276</v>
      </c>
      <c r="I2581" s="403">
        <v>1</v>
      </c>
      <c r="J2581" s="403" t="s">
        <v>1402</v>
      </c>
      <c r="K2581" s="403">
        <v>2048</v>
      </c>
      <c r="L2581" s="403">
        <v>1536</v>
      </c>
      <c r="M2581" s="403" t="s">
        <v>1302</v>
      </c>
      <c r="N2581" s="403">
        <v>400</v>
      </c>
      <c r="O2581" s="403">
        <v>720</v>
      </c>
      <c r="P2581" t="str">
        <f t="shared" si="321"/>
        <v>25fps 2048x1536 - 400x720 upright (cropped)</v>
      </c>
      <c r="Q2581">
        <f t="shared" si="322"/>
        <v>14</v>
      </c>
      <c r="R2581" t="str">
        <f t="shared" si="323"/>
        <v/>
      </c>
      <c r="S2581" t="str">
        <f t="shared" si="324"/>
        <v/>
      </c>
      <c r="T2581" s="403" t="str">
        <f t="shared" si="325"/>
        <v>NBN-80052-BA</v>
      </c>
      <c r="U2581" s="403">
        <f t="shared" si="326"/>
        <v>1</v>
      </c>
      <c r="V2581" s="403" t="str">
        <f t="shared" si="327"/>
        <v>CPP_6</v>
      </c>
    </row>
    <row r="2582" spans="1:22">
      <c r="A2582" t="str">
        <f t="shared" si="320"/>
        <v>NBN-80052-BA</v>
      </c>
      <c r="B2582" s="403" t="s">
        <v>1391</v>
      </c>
      <c r="C2582" s="403" t="s">
        <v>584</v>
      </c>
      <c r="D2582" s="403" t="s">
        <v>902</v>
      </c>
      <c r="E2582" s="403" t="s">
        <v>1397</v>
      </c>
      <c r="F2582" s="403" t="s">
        <v>1403</v>
      </c>
      <c r="G2582" s="403" t="s">
        <v>1466</v>
      </c>
      <c r="H2582" s="403" t="s">
        <v>1276</v>
      </c>
      <c r="I2582" s="403">
        <v>1</v>
      </c>
      <c r="J2582" s="403" t="s">
        <v>1402</v>
      </c>
      <c r="K2582" s="403">
        <v>2048</v>
      </c>
      <c r="L2582" s="403">
        <v>1536</v>
      </c>
      <c r="M2582" s="403" t="s">
        <v>1298</v>
      </c>
      <c r="N2582" s="403">
        <v>640</v>
      </c>
      <c r="O2582" s="403">
        <v>480</v>
      </c>
      <c r="P2582" t="str">
        <f t="shared" si="321"/>
        <v>25fps 2048x1536 - SD dual stream with independent ROI PTZ</v>
      </c>
      <c r="Q2582">
        <f t="shared" si="322"/>
        <v>14</v>
      </c>
      <c r="R2582" t="str">
        <f t="shared" si="323"/>
        <v/>
      </c>
      <c r="S2582" t="str">
        <f t="shared" si="324"/>
        <v/>
      </c>
      <c r="T2582" s="403" t="str">
        <f t="shared" si="325"/>
        <v>NBN-80052-BA</v>
      </c>
      <c r="U2582" s="403">
        <f t="shared" si="326"/>
        <v>1</v>
      </c>
      <c r="V2582" s="403" t="str">
        <f t="shared" si="327"/>
        <v>CPP_6</v>
      </c>
    </row>
    <row r="2583" spans="1:22">
      <c r="A2583" t="str">
        <f t="shared" si="320"/>
        <v>NBN-80052-BA</v>
      </c>
      <c r="B2583" s="403" t="s">
        <v>1391</v>
      </c>
      <c r="C2583" s="403" t="s">
        <v>584</v>
      </c>
      <c r="D2583" s="403" t="s">
        <v>902</v>
      </c>
      <c r="E2583" s="403" t="s">
        <v>1397</v>
      </c>
      <c r="F2583" s="403" t="s">
        <v>1403</v>
      </c>
      <c r="G2583" s="403" t="s">
        <v>1467</v>
      </c>
      <c r="H2583" s="403" t="s">
        <v>1276</v>
      </c>
      <c r="I2583" s="403">
        <v>1</v>
      </c>
      <c r="J2583" s="403" t="s">
        <v>1399</v>
      </c>
      <c r="K2583" s="403">
        <v>2032</v>
      </c>
      <c r="L2583" s="403">
        <v>2704</v>
      </c>
      <c r="M2583" s="403" t="s">
        <v>1313</v>
      </c>
      <c r="N2583" s="403">
        <v>960</v>
      </c>
      <c r="O2583" s="403">
        <v>1280</v>
      </c>
      <c r="P2583" t="str">
        <f t="shared" si="321"/>
        <v>25fps 2704x2032 - 1280x960</v>
      </c>
      <c r="Q2583">
        <f t="shared" si="322"/>
        <v>14</v>
      </c>
      <c r="R2583" t="str">
        <f t="shared" si="323"/>
        <v/>
      </c>
      <c r="S2583" t="str">
        <f t="shared" si="324"/>
        <v/>
      </c>
      <c r="T2583" s="403" t="str">
        <f t="shared" si="325"/>
        <v>NBN-80052-BA</v>
      </c>
      <c r="U2583" s="403">
        <f t="shared" si="326"/>
        <v>1</v>
      </c>
      <c r="V2583" s="403" t="str">
        <f t="shared" si="327"/>
        <v>CPP_6</v>
      </c>
    </row>
    <row r="2584" spans="1:22">
      <c r="A2584" t="str">
        <f t="shared" si="320"/>
        <v>NBN-80052-BA</v>
      </c>
      <c r="B2584" s="403" t="s">
        <v>1391</v>
      </c>
      <c r="C2584" s="403" t="s">
        <v>584</v>
      </c>
      <c r="D2584" s="403" t="s">
        <v>902</v>
      </c>
      <c r="E2584" s="403" t="s">
        <v>1397</v>
      </c>
      <c r="F2584" s="403" t="s">
        <v>1403</v>
      </c>
      <c r="G2584" s="403" t="s">
        <v>1467</v>
      </c>
      <c r="H2584" s="403" t="s">
        <v>1276</v>
      </c>
      <c r="I2584" s="403">
        <v>1</v>
      </c>
      <c r="J2584" s="403" t="s">
        <v>1399</v>
      </c>
      <c r="K2584" s="403">
        <v>2032</v>
      </c>
      <c r="L2584" s="403">
        <v>2704</v>
      </c>
      <c r="M2584" s="403" t="s">
        <v>1400</v>
      </c>
      <c r="N2584" s="403">
        <v>2032</v>
      </c>
      <c r="O2584" s="403">
        <v>2704</v>
      </c>
      <c r="P2584" t="str">
        <f t="shared" si="321"/>
        <v>25fps 2704x2032 - 2704x2032 @ SKIP 3</v>
      </c>
      <c r="Q2584">
        <f t="shared" si="322"/>
        <v>14</v>
      </c>
      <c r="R2584" t="str">
        <f t="shared" si="323"/>
        <v/>
      </c>
      <c r="S2584" t="str">
        <f t="shared" si="324"/>
        <v/>
      </c>
      <c r="T2584" s="403" t="str">
        <f t="shared" si="325"/>
        <v>NBN-80052-BA</v>
      </c>
      <c r="U2584" s="403">
        <f t="shared" si="326"/>
        <v>1</v>
      </c>
      <c r="V2584" s="403" t="str">
        <f t="shared" si="327"/>
        <v>CPP_6</v>
      </c>
    </row>
    <row r="2585" spans="1:22">
      <c r="A2585" t="str">
        <f t="shared" si="320"/>
        <v>NBN-80052-BA</v>
      </c>
      <c r="B2585" s="403" t="s">
        <v>1391</v>
      </c>
      <c r="C2585" s="403" t="s">
        <v>584</v>
      </c>
      <c r="D2585" s="403" t="s">
        <v>902</v>
      </c>
      <c r="E2585" s="403" t="s">
        <v>1397</v>
      </c>
      <c r="F2585" s="403" t="s">
        <v>1403</v>
      </c>
      <c r="G2585" s="403" t="s">
        <v>1467</v>
      </c>
      <c r="H2585" s="403" t="s">
        <v>1276</v>
      </c>
      <c r="I2585" s="403">
        <v>1</v>
      </c>
      <c r="J2585" s="403" t="s">
        <v>1399</v>
      </c>
      <c r="K2585" s="403">
        <v>2032</v>
      </c>
      <c r="L2585" s="403">
        <v>2704</v>
      </c>
      <c r="M2585" s="403" t="s">
        <v>1401</v>
      </c>
      <c r="N2585" s="403">
        <v>1200</v>
      </c>
      <c r="O2585" s="403">
        <v>1600</v>
      </c>
      <c r="P2585" t="str">
        <f t="shared" si="321"/>
        <v>25fps 2704x2032 - 1600x1200</v>
      </c>
      <c r="Q2585">
        <f t="shared" si="322"/>
        <v>14</v>
      </c>
      <c r="R2585" t="str">
        <f t="shared" si="323"/>
        <v/>
      </c>
      <c r="S2585" t="str">
        <f t="shared" si="324"/>
        <v/>
      </c>
      <c r="T2585" s="403" t="str">
        <f t="shared" si="325"/>
        <v>NBN-80052-BA</v>
      </c>
      <c r="U2585" s="403">
        <f t="shared" si="326"/>
        <v>1</v>
      </c>
      <c r="V2585" s="403" t="str">
        <f t="shared" si="327"/>
        <v>CPP_6</v>
      </c>
    </row>
    <row r="2586" spans="1:22">
      <c r="A2586" t="str">
        <f t="shared" si="320"/>
        <v>NBN-80052-BA</v>
      </c>
      <c r="B2586" s="403" t="s">
        <v>1391</v>
      </c>
      <c r="C2586" s="403" t="s">
        <v>584</v>
      </c>
      <c r="D2586" s="403" t="s">
        <v>902</v>
      </c>
      <c r="E2586" s="403" t="s">
        <v>1397</v>
      </c>
      <c r="F2586" s="403" t="s">
        <v>1403</v>
      </c>
      <c r="G2586" s="403" t="s">
        <v>1467</v>
      </c>
      <c r="H2586" s="403" t="s">
        <v>1276</v>
      </c>
      <c r="I2586" s="403">
        <v>1</v>
      </c>
      <c r="J2586" s="403" t="s">
        <v>1399</v>
      </c>
      <c r="K2586" s="403">
        <v>2032</v>
      </c>
      <c r="L2586" s="403">
        <v>2704</v>
      </c>
      <c r="M2586" s="403" t="s">
        <v>1278</v>
      </c>
      <c r="N2586" s="403">
        <v>768</v>
      </c>
      <c r="O2586" s="403">
        <v>1024</v>
      </c>
      <c r="P2586" t="str">
        <f t="shared" si="321"/>
        <v>25fps 2704x2032 - 1024x768</v>
      </c>
      <c r="Q2586">
        <f t="shared" si="322"/>
        <v>14</v>
      </c>
      <c r="R2586" t="str">
        <f t="shared" si="323"/>
        <v/>
      </c>
      <c r="S2586" t="str">
        <f t="shared" si="324"/>
        <v/>
      </c>
      <c r="T2586" s="403" t="str">
        <f t="shared" si="325"/>
        <v>NBN-80052-BA</v>
      </c>
      <c r="U2586" s="403">
        <f t="shared" si="326"/>
        <v>1</v>
      </c>
      <c r="V2586" s="403" t="str">
        <f t="shared" si="327"/>
        <v>CPP_6</v>
      </c>
    </row>
    <row r="2587" spans="1:22">
      <c r="A2587" t="str">
        <f t="shared" si="320"/>
        <v>NBN-80052-BA</v>
      </c>
      <c r="B2587" s="403" t="s">
        <v>1391</v>
      </c>
      <c r="C2587" s="403" t="s">
        <v>584</v>
      </c>
      <c r="D2587" s="403" t="s">
        <v>902</v>
      </c>
      <c r="E2587" s="403" t="s">
        <v>1397</v>
      </c>
      <c r="F2587" s="403" t="s">
        <v>1403</v>
      </c>
      <c r="G2587" s="403" t="s">
        <v>1467</v>
      </c>
      <c r="H2587" s="403" t="s">
        <v>1276</v>
      </c>
      <c r="I2587" s="403">
        <v>1</v>
      </c>
      <c r="J2587" s="403" t="s">
        <v>1399</v>
      </c>
      <c r="K2587" s="403">
        <v>2032</v>
      </c>
      <c r="L2587" s="403">
        <v>2704</v>
      </c>
      <c r="M2587" s="403" t="s">
        <v>1330</v>
      </c>
      <c r="N2587" s="403">
        <v>600</v>
      </c>
      <c r="O2587" s="403">
        <v>800</v>
      </c>
      <c r="P2587" t="str">
        <f t="shared" si="321"/>
        <v>25fps 2704x2032 - 800x600</v>
      </c>
      <c r="Q2587">
        <f t="shared" si="322"/>
        <v>14</v>
      </c>
      <c r="R2587" t="str">
        <f t="shared" si="323"/>
        <v/>
      </c>
      <c r="S2587" t="str">
        <f t="shared" si="324"/>
        <v/>
      </c>
      <c r="T2587" s="403" t="str">
        <f t="shared" si="325"/>
        <v>NBN-80052-BA</v>
      </c>
      <c r="U2587" s="403">
        <f t="shared" si="326"/>
        <v>1</v>
      </c>
      <c r="V2587" s="403" t="str">
        <f t="shared" si="327"/>
        <v>CPP_6</v>
      </c>
    </row>
    <row r="2588" spans="1:22">
      <c r="A2588" t="str">
        <f t="shared" si="320"/>
        <v>NBN-80052-BA</v>
      </c>
      <c r="B2588" s="403" t="s">
        <v>1391</v>
      </c>
      <c r="C2588" s="403" t="s">
        <v>584</v>
      </c>
      <c r="D2588" s="403" t="s">
        <v>902</v>
      </c>
      <c r="E2588" s="403" t="s">
        <v>1397</v>
      </c>
      <c r="F2588" s="403" t="s">
        <v>1403</v>
      </c>
      <c r="G2588" s="403" t="s">
        <v>1467</v>
      </c>
      <c r="H2588" s="403" t="s">
        <v>1276</v>
      </c>
      <c r="I2588" s="403">
        <v>1</v>
      </c>
      <c r="J2588" s="403" t="s">
        <v>1399</v>
      </c>
      <c r="K2588" s="403">
        <v>2032</v>
      </c>
      <c r="L2588" s="403">
        <v>2704</v>
      </c>
      <c r="M2588" s="403" t="s">
        <v>111</v>
      </c>
      <c r="N2588" s="403">
        <v>480</v>
      </c>
      <c r="O2588" s="403">
        <v>640</v>
      </c>
      <c r="P2588" t="str">
        <f t="shared" si="321"/>
        <v>25fps 2704x2032 - SD</v>
      </c>
      <c r="Q2588">
        <f t="shared" si="322"/>
        <v>14</v>
      </c>
      <c r="R2588" t="str">
        <f t="shared" si="323"/>
        <v/>
      </c>
      <c r="S2588" t="str">
        <f t="shared" si="324"/>
        <v/>
      </c>
      <c r="T2588" s="403" t="str">
        <f t="shared" si="325"/>
        <v>NBN-80052-BA</v>
      </c>
      <c r="U2588" s="403">
        <f t="shared" si="326"/>
        <v>1</v>
      </c>
      <c r="V2588" s="403" t="str">
        <f t="shared" si="327"/>
        <v>CPP_6</v>
      </c>
    </row>
    <row r="2589" spans="1:22">
      <c r="A2589" t="str">
        <f t="shared" si="320"/>
        <v>NBN-80052-BA</v>
      </c>
      <c r="B2589" s="403" t="s">
        <v>1391</v>
      </c>
      <c r="C2589" s="403" t="s">
        <v>584</v>
      </c>
      <c r="D2589" s="403" t="s">
        <v>902</v>
      </c>
      <c r="E2589" s="403" t="s">
        <v>1397</v>
      </c>
      <c r="F2589" s="403" t="s">
        <v>1403</v>
      </c>
      <c r="G2589" s="403" t="s">
        <v>1467</v>
      </c>
      <c r="H2589" s="403" t="s">
        <v>1276</v>
      </c>
      <c r="I2589" s="403">
        <v>1</v>
      </c>
      <c r="J2589" s="403" t="s">
        <v>1399</v>
      </c>
      <c r="K2589" s="403">
        <v>2032</v>
      </c>
      <c r="L2589" s="403">
        <v>2704</v>
      </c>
      <c r="M2589" s="403" t="s">
        <v>1279</v>
      </c>
      <c r="N2589" s="403">
        <v>480</v>
      </c>
      <c r="O2589" s="403">
        <v>640</v>
      </c>
      <c r="P2589" t="str">
        <f t="shared" si="321"/>
        <v>25fps 2704x2032 - SD ROI PTZ</v>
      </c>
      <c r="Q2589">
        <f t="shared" si="322"/>
        <v>14</v>
      </c>
      <c r="R2589" t="str">
        <f t="shared" si="323"/>
        <v/>
      </c>
      <c r="S2589" t="str">
        <f t="shared" si="324"/>
        <v/>
      </c>
      <c r="T2589" s="403" t="str">
        <f t="shared" si="325"/>
        <v>NBN-80052-BA</v>
      </c>
      <c r="U2589" s="403">
        <f t="shared" si="326"/>
        <v>1</v>
      </c>
      <c r="V2589" s="403" t="str">
        <f t="shared" si="327"/>
        <v>CPP_6</v>
      </c>
    </row>
    <row r="2590" spans="1:22">
      <c r="A2590" t="str">
        <f t="shared" si="320"/>
        <v>NBN-80052-BA</v>
      </c>
      <c r="B2590" s="403" t="s">
        <v>1391</v>
      </c>
      <c r="C2590" s="403" t="s">
        <v>584</v>
      </c>
      <c r="D2590" s="403" t="s">
        <v>902</v>
      </c>
      <c r="E2590" s="403" t="s">
        <v>1397</v>
      </c>
      <c r="F2590" s="403" t="s">
        <v>1403</v>
      </c>
      <c r="G2590" s="403" t="s">
        <v>1467</v>
      </c>
      <c r="H2590" s="403" t="s">
        <v>1276</v>
      </c>
      <c r="I2590" s="403">
        <v>1</v>
      </c>
      <c r="J2590" s="403" t="s">
        <v>1399</v>
      </c>
      <c r="K2590" s="403">
        <v>2032</v>
      </c>
      <c r="L2590" s="403">
        <v>2704</v>
      </c>
      <c r="M2590" s="403" t="s">
        <v>1302</v>
      </c>
      <c r="N2590" s="403">
        <v>720</v>
      </c>
      <c r="O2590" s="403">
        <v>400</v>
      </c>
      <c r="P2590" t="str">
        <f t="shared" si="321"/>
        <v>25fps 2704x2032 - 400x720 upright (cropped)</v>
      </c>
      <c r="Q2590">
        <f t="shared" si="322"/>
        <v>14</v>
      </c>
      <c r="R2590" t="str">
        <f t="shared" si="323"/>
        <v/>
      </c>
      <c r="S2590" t="str">
        <f t="shared" si="324"/>
        <v/>
      </c>
      <c r="T2590" s="403" t="str">
        <f t="shared" si="325"/>
        <v>NBN-80052-BA</v>
      </c>
      <c r="U2590" s="403">
        <f t="shared" si="326"/>
        <v>1</v>
      </c>
      <c r="V2590" s="403" t="str">
        <f t="shared" si="327"/>
        <v>CPP_6</v>
      </c>
    </row>
    <row r="2591" spans="1:22">
      <c r="A2591" t="str">
        <f t="shared" si="320"/>
        <v>NBN-80052-BA</v>
      </c>
      <c r="B2591" s="403" t="s">
        <v>1391</v>
      </c>
      <c r="C2591" s="403" t="s">
        <v>584</v>
      </c>
      <c r="D2591" s="403" t="s">
        <v>902</v>
      </c>
      <c r="E2591" s="403" t="s">
        <v>1397</v>
      </c>
      <c r="F2591" s="403" t="s">
        <v>1403</v>
      </c>
      <c r="G2591" s="403" t="s">
        <v>1467</v>
      </c>
      <c r="H2591" s="403" t="s">
        <v>1276</v>
      </c>
      <c r="I2591" s="403">
        <v>1</v>
      </c>
      <c r="J2591" s="403" t="s">
        <v>1399</v>
      </c>
      <c r="K2591" s="403">
        <v>2032</v>
      </c>
      <c r="L2591" s="403">
        <v>2704</v>
      </c>
      <c r="M2591" s="403" t="s">
        <v>1298</v>
      </c>
      <c r="N2591" s="403">
        <v>480</v>
      </c>
      <c r="O2591" s="403">
        <v>640</v>
      </c>
      <c r="P2591" t="str">
        <f t="shared" si="321"/>
        <v>25fps 2704x2032 - SD dual stream with independent ROI PTZ</v>
      </c>
      <c r="Q2591">
        <f t="shared" si="322"/>
        <v>14</v>
      </c>
      <c r="R2591" t="str">
        <f t="shared" si="323"/>
        <v/>
      </c>
      <c r="S2591" t="str">
        <f t="shared" si="324"/>
        <v/>
      </c>
      <c r="T2591" s="403" t="str">
        <f t="shared" si="325"/>
        <v>NBN-80052-BA</v>
      </c>
      <c r="U2591" s="403">
        <f t="shared" si="326"/>
        <v>1</v>
      </c>
      <c r="V2591" s="403" t="str">
        <f t="shared" si="327"/>
        <v>CPP_6</v>
      </c>
    </row>
    <row r="2592" spans="1:22">
      <c r="A2592" t="str">
        <f t="shared" si="320"/>
        <v>NBN-80052-BA</v>
      </c>
      <c r="B2592" s="403" t="s">
        <v>1391</v>
      </c>
      <c r="C2592" s="403" t="s">
        <v>584</v>
      </c>
      <c r="D2592" s="403" t="s">
        <v>902</v>
      </c>
      <c r="E2592" s="403" t="s">
        <v>1397</v>
      </c>
      <c r="F2592" s="403" t="s">
        <v>1403</v>
      </c>
      <c r="G2592" s="403" t="s">
        <v>1467</v>
      </c>
      <c r="H2592" s="403" t="s">
        <v>1276</v>
      </c>
      <c r="I2592" s="403">
        <v>1</v>
      </c>
      <c r="J2592" s="403" t="s">
        <v>1399</v>
      </c>
      <c r="K2592" s="403">
        <v>2032</v>
      </c>
      <c r="L2592" s="403">
        <v>2704</v>
      </c>
      <c r="M2592" s="403" t="s">
        <v>1280</v>
      </c>
      <c r="N2592" s="403">
        <v>2032</v>
      </c>
      <c r="O2592" s="403">
        <v>2704</v>
      </c>
      <c r="P2592" t="str">
        <f t="shared" si="321"/>
        <v>25fps 2704x2032 - copy other stream</v>
      </c>
      <c r="Q2592">
        <f t="shared" si="322"/>
        <v>14</v>
      </c>
      <c r="R2592" t="str">
        <f t="shared" si="323"/>
        <v/>
      </c>
      <c r="S2592" t="str">
        <f t="shared" si="324"/>
        <v/>
      </c>
      <c r="T2592" s="403" t="str">
        <f t="shared" si="325"/>
        <v>NBN-80052-BA</v>
      </c>
      <c r="U2592" s="403">
        <f t="shared" si="326"/>
        <v>1</v>
      </c>
      <c r="V2592" s="403" t="str">
        <f t="shared" si="327"/>
        <v>CPP_6</v>
      </c>
    </row>
    <row r="2593" spans="1:22">
      <c r="A2593" t="str">
        <f t="shared" si="320"/>
        <v>NBN-80052-BA</v>
      </c>
      <c r="B2593" s="403" t="s">
        <v>1391</v>
      </c>
      <c r="C2593" s="403" t="s">
        <v>584</v>
      </c>
      <c r="D2593" s="403" t="s">
        <v>902</v>
      </c>
      <c r="E2593" s="403" t="s">
        <v>1397</v>
      </c>
      <c r="F2593" s="403" t="s">
        <v>1403</v>
      </c>
      <c r="G2593" s="403" t="s">
        <v>1467</v>
      </c>
      <c r="H2593" s="403" t="s">
        <v>1276</v>
      </c>
      <c r="I2593" s="403">
        <v>1</v>
      </c>
      <c r="J2593" s="403" t="s">
        <v>1402</v>
      </c>
      <c r="K2593" s="403">
        <v>1536</v>
      </c>
      <c r="L2593" s="403">
        <v>2048</v>
      </c>
      <c r="M2593" s="403" t="s">
        <v>1402</v>
      </c>
      <c r="N2593" s="403">
        <v>1536</v>
      </c>
      <c r="O2593" s="403">
        <v>2048</v>
      </c>
      <c r="P2593" t="str">
        <f t="shared" si="321"/>
        <v>25fps 2048x1536 - 2048x1536</v>
      </c>
      <c r="Q2593">
        <f t="shared" si="322"/>
        <v>14</v>
      </c>
      <c r="R2593" t="str">
        <f t="shared" si="323"/>
        <v/>
      </c>
      <c r="S2593" t="str">
        <f t="shared" si="324"/>
        <v/>
      </c>
      <c r="T2593" s="403" t="str">
        <f t="shared" si="325"/>
        <v>NBN-80052-BA</v>
      </c>
      <c r="U2593" s="403">
        <f t="shared" si="326"/>
        <v>1</v>
      </c>
      <c r="V2593" s="403" t="str">
        <f t="shared" si="327"/>
        <v>CPP_6</v>
      </c>
    </row>
    <row r="2594" spans="1:22">
      <c r="A2594" t="str">
        <f t="shared" si="320"/>
        <v>NBN-80052-BA</v>
      </c>
      <c r="B2594" s="403" t="s">
        <v>1391</v>
      </c>
      <c r="C2594" s="403" t="s">
        <v>584</v>
      </c>
      <c r="D2594" s="403" t="s">
        <v>902</v>
      </c>
      <c r="E2594" s="403" t="s">
        <v>1397</v>
      </c>
      <c r="F2594" s="403" t="s">
        <v>1403</v>
      </c>
      <c r="G2594" s="403" t="s">
        <v>1467</v>
      </c>
      <c r="H2594" s="403" t="s">
        <v>1276</v>
      </c>
      <c r="I2594" s="403">
        <v>1</v>
      </c>
      <c r="J2594" s="403" t="s">
        <v>1402</v>
      </c>
      <c r="K2594" s="403">
        <v>1536</v>
      </c>
      <c r="L2594" s="403">
        <v>2048</v>
      </c>
      <c r="M2594" s="403" t="s">
        <v>1401</v>
      </c>
      <c r="N2594" s="403">
        <v>1200</v>
      </c>
      <c r="O2594" s="403">
        <v>1600</v>
      </c>
      <c r="P2594" t="str">
        <f t="shared" si="321"/>
        <v>25fps 2048x1536 - 1600x1200</v>
      </c>
      <c r="Q2594">
        <f t="shared" si="322"/>
        <v>14</v>
      </c>
      <c r="R2594" t="str">
        <f t="shared" si="323"/>
        <v/>
      </c>
      <c r="S2594" t="str">
        <f t="shared" si="324"/>
        <v/>
      </c>
      <c r="T2594" s="403" t="str">
        <f t="shared" si="325"/>
        <v>NBN-80052-BA</v>
      </c>
      <c r="U2594" s="403">
        <f t="shared" si="326"/>
        <v>1</v>
      </c>
      <c r="V2594" s="403" t="str">
        <f t="shared" si="327"/>
        <v>CPP_6</v>
      </c>
    </row>
    <row r="2595" spans="1:22">
      <c r="A2595" t="str">
        <f t="shared" si="320"/>
        <v>NBN-80052-BA</v>
      </c>
      <c r="B2595" s="403" t="s">
        <v>1391</v>
      </c>
      <c r="C2595" s="403" t="s">
        <v>584</v>
      </c>
      <c r="D2595" s="403" t="s">
        <v>902</v>
      </c>
      <c r="E2595" s="403" t="s">
        <v>1397</v>
      </c>
      <c r="F2595" s="403" t="s">
        <v>1403</v>
      </c>
      <c r="G2595" s="403" t="s">
        <v>1467</v>
      </c>
      <c r="H2595" s="403" t="s">
        <v>1276</v>
      </c>
      <c r="I2595" s="403">
        <v>1</v>
      </c>
      <c r="J2595" s="403" t="s">
        <v>1402</v>
      </c>
      <c r="K2595" s="403">
        <v>1536</v>
      </c>
      <c r="L2595" s="403">
        <v>2048</v>
      </c>
      <c r="M2595" s="403" t="s">
        <v>1313</v>
      </c>
      <c r="N2595" s="403">
        <v>960</v>
      </c>
      <c r="O2595" s="403">
        <v>1280</v>
      </c>
      <c r="P2595" t="str">
        <f t="shared" si="321"/>
        <v>25fps 2048x1536 - 1280x960</v>
      </c>
      <c r="Q2595">
        <f t="shared" si="322"/>
        <v>14</v>
      </c>
      <c r="R2595" t="str">
        <f t="shared" si="323"/>
        <v/>
      </c>
      <c r="S2595" t="str">
        <f t="shared" si="324"/>
        <v/>
      </c>
      <c r="T2595" s="403" t="str">
        <f t="shared" si="325"/>
        <v>NBN-80052-BA</v>
      </c>
      <c r="U2595" s="403">
        <f t="shared" si="326"/>
        <v>1</v>
      </c>
      <c r="V2595" s="403" t="str">
        <f t="shared" si="327"/>
        <v>CPP_6</v>
      </c>
    </row>
    <row r="2596" spans="1:22">
      <c r="A2596" t="str">
        <f t="shared" si="320"/>
        <v>NBN-80052-BA</v>
      </c>
      <c r="B2596" s="403" t="s">
        <v>1391</v>
      </c>
      <c r="C2596" s="403" t="s">
        <v>584</v>
      </c>
      <c r="D2596" s="403" t="s">
        <v>902</v>
      </c>
      <c r="E2596" s="403" t="s">
        <v>1397</v>
      </c>
      <c r="F2596" s="403" t="s">
        <v>1403</v>
      </c>
      <c r="G2596" s="403" t="s">
        <v>1467</v>
      </c>
      <c r="H2596" s="403" t="s">
        <v>1276</v>
      </c>
      <c r="I2596" s="403">
        <v>1</v>
      </c>
      <c r="J2596" s="403" t="s">
        <v>1402</v>
      </c>
      <c r="K2596" s="403">
        <v>1536</v>
      </c>
      <c r="L2596" s="403">
        <v>2048</v>
      </c>
      <c r="M2596" s="403" t="s">
        <v>1278</v>
      </c>
      <c r="N2596" s="403">
        <v>768</v>
      </c>
      <c r="O2596" s="403">
        <v>1024</v>
      </c>
      <c r="P2596" t="str">
        <f t="shared" si="321"/>
        <v>25fps 2048x1536 - 1024x768</v>
      </c>
      <c r="Q2596">
        <f t="shared" si="322"/>
        <v>14</v>
      </c>
      <c r="R2596" t="str">
        <f t="shared" si="323"/>
        <v/>
      </c>
      <c r="S2596" t="str">
        <f t="shared" si="324"/>
        <v/>
      </c>
      <c r="T2596" s="403" t="str">
        <f t="shared" si="325"/>
        <v>NBN-80052-BA</v>
      </c>
      <c r="U2596" s="403">
        <f t="shared" si="326"/>
        <v>1</v>
      </c>
      <c r="V2596" s="403" t="str">
        <f t="shared" si="327"/>
        <v>CPP_6</v>
      </c>
    </row>
    <row r="2597" spans="1:22">
      <c r="A2597" t="str">
        <f t="shared" si="320"/>
        <v>NBN-80052-BA</v>
      </c>
      <c r="B2597" s="403" t="s">
        <v>1391</v>
      </c>
      <c r="C2597" s="403" t="s">
        <v>584</v>
      </c>
      <c r="D2597" s="403" t="s">
        <v>902</v>
      </c>
      <c r="E2597" s="403" t="s">
        <v>1397</v>
      </c>
      <c r="F2597" s="403" t="s">
        <v>1403</v>
      </c>
      <c r="G2597" s="403" t="s">
        <v>1467</v>
      </c>
      <c r="H2597" s="403" t="s">
        <v>1276</v>
      </c>
      <c r="I2597" s="403">
        <v>1</v>
      </c>
      <c r="J2597" s="403" t="s">
        <v>1402</v>
      </c>
      <c r="K2597" s="403">
        <v>1536</v>
      </c>
      <c r="L2597" s="403">
        <v>2048</v>
      </c>
      <c r="M2597" s="403" t="s">
        <v>1330</v>
      </c>
      <c r="N2597" s="403">
        <v>600</v>
      </c>
      <c r="O2597" s="403">
        <v>800</v>
      </c>
      <c r="P2597" t="str">
        <f t="shared" si="321"/>
        <v>25fps 2048x1536 - 800x600</v>
      </c>
      <c r="Q2597">
        <f t="shared" si="322"/>
        <v>14</v>
      </c>
      <c r="R2597" t="str">
        <f t="shared" si="323"/>
        <v/>
      </c>
      <c r="S2597" t="str">
        <f t="shared" si="324"/>
        <v/>
      </c>
      <c r="T2597" s="403" t="str">
        <f t="shared" si="325"/>
        <v>NBN-80052-BA</v>
      </c>
      <c r="U2597" s="403">
        <f t="shared" si="326"/>
        <v>1</v>
      </c>
      <c r="V2597" s="403" t="str">
        <f t="shared" si="327"/>
        <v>CPP_6</v>
      </c>
    </row>
    <row r="2598" spans="1:22">
      <c r="A2598" t="str">
        <f t="shared" si="320"/>
        <v>NBN-80052-BA</v>
      </c>
      <c r="B2598" s="403" t="s">
        <v>1391</v>
      </c>
      <c r="C2598" s="403" t="s">
        <v>584</v>
      </c>
      <c r="D2598" s="403" t="s">
        <v>902</v>
      </c>
      <c r="E2598" s="403" t="s">
        <v>1397</v>
      </c>
      <c r="F2598" s="403" t="s">
        <v>1403</v>
      </c>
      <c r="G2598" s="403" t="s">
        <v>1467</v>
      </c>
      <c r="H2598" s="403" t="s">
        <v>1276</v>
      </c>
      <c r="I2598" s="403">
        <v>1</v>
      </c>
      <c r="J2598" s="403" t="s">
        <v>1402</v>
      </c>
      <c r="K2598" s="403">
        <v>1536</v>
      </c>
      <c r="L2598" s="403">
        <v>2048</v>
      </c>
      <c r="M2598" s="403" t="s">
        <v>111</v>
      </c>
      <c r="N2598" s="403">
        <v>480</v>
      </c>
      <c r="O2598" s="403">
        <v>640</v>
      </c>
      <c r="P2598" t="str">
        <f t="shared" si="321"/>
        <v>25fps 2048x1536 - SD</v>
      </c>
      <c r="Q2598">
        <f t="shared" si="322"/>
        <v>14</v>
      </c>
      <c r="R2598" t="str">
        <f t="shared" si="323"/>
        <v/>
      </c>
      <c r="S2598" t="str">
        <f t="shared" si="324"/>
        <v/>
      </c>
      <c r="T2598" s="403" t="str">
        <f t="shared" si="325"/>
        <v>NBN-80052-BA</v>
      </c>
      <c r="U2598" s="403">
        <f t="shared" si="326"/>
        <v>1</v>
      </c>
      <c r="V2598" s="403" t="str">
        <f t="shared" si="327"/>
        <v>CPP_6</v>
      </c>
    </row>
    <row r="2599" spans="1:22">
      <c r="A2599" t="str">
        <f t="shared" si="320"/>
        <v>NBN-80052-BA</v>
      </c>
      <c r="B2599" s="403" t="s">
        <v>1391</v>
      </c>
      <c r="C2599" s="403" t="s">
        <v>584</v>
      </c>
      <c r="D2599" s="403" t="s">
        <v>902</v>
      </c>
      <c r="E2599" s="403" t="s">
        <v>1397</v>
      </c>
      <c r="F2599" s="403" t="s">
        <v>1403</v>
      </c>
      <c r="G2599" s="403" t="s">
        <v>1467</v>
      </c>
      <c r="H2599" s="403" t="s">
        <v>1276</v>
      </c>
      <c r="I2599" s="403">
        <v>1</v>
      </c>
      <c r="J2599" s="403" t="s">
        <v>1402</v>
      </c>
      <c r="K2599" s="403">
        <v>1536</v>
      </c>
      <c r="L2599" s="403">
        <v>2048</v>
      </c>
      <c r="M2599" s="403" t="s">
        <v>1279</v>
      </c>
      <c r="N2599" s="403">
        <v>480</v>
      </c>
      <c r="O2599" s="403">
        <v>640</v>
      </c>
      <c r="P2599" t="str">
        <f t="shared" si="321"/>
        <v>25fps 2048x1536 - SD ROI PTZ</v>
      </c>
      <c r="Q2599">
        <f t="shared" si="322"/>
        <v>14</v>
      </c>
      <c r="R2599" t="str">
        <f t="shared" si="323"/>
        <v/>
      </c>
      <c r="S2599" t="str">
        <f t="shared" si="324"/>
        <v/>
      </c>
      <c r="T2599" s="403" t="str">
        <f t="shared" si="325"/>
        <v>NBN-80052-BA</v>
      </c>
      <c r="U2599" s="403">
        <f t="shared" si="326"/>
        <v>1</v>
      </c>
      <c r="V2599" s="403" t="str">
        <f t="shared" si="327"/>
        <v>CPP_6</v>
      </c>
    </row>
    <row r="2600" spans="1:22">
      <c r="A2600" t="str">
        <f t="shared" si="320"/>
        <v>NBN-80052-BA</v>
      </c>
      <c r="B2600" s="403" t="s">
        <v>1391</v>
      </c>
      <c r="C2600" s="403" t="s">
        <v>584</v>
      </c>
      <c r="D2600" s="403" t="s">
        <v>902</v>
      </c>
      <c r="E2600" s="403" t="s">
        <v>1397</v>
      </c>
      <c r="F2600" s="403" t="s">
        <v>1403</v>
      </c>
      <c r="G2600" s="403" t="s">
        <v>1467</v>
      </c>
      <c r="H2600" s="403" t="s">
        <v>1276</v>
      </c>
      <c r="I2600" s="403">
        <v>1</v>
      </c>
      <c r="J2600" s="403" t="s">
        <v>1402</v>
      </c>
      <c r="K2600" s="403">
        <v>1536</v>
      </c>
      <c r="L2600" s="403">
        <v>2048</v>
      </c>
      <c r="M2600" s="403" t="s">
        <v>1302</v>
      </c>
      <c r="N2600" s="403">
        <v>720</v>
      </c>
      <c r="O2600" s="403">
        <v>400</v>
      </c>
      <c r="P2600" t="str">
        <f t="shared" si="321"/>
        <v>25fps 2048x1536 - 400x720 upright (cropped)</v>
      </c>
      <c r="Q2600">
        <f t="shared" si="322"/>
        <v>14</v>
      </c>
      <c r="R2600" t="str">
        <f t="shared" si="323"/>
        <v/>
      </c>
      <c r="S2600" t="str">
        <f t="shared" si="324"/>
        <v/>
      </c>
      <c r="T2600" s="403" t="str">
        <f t="shared" si="325"/>
        <v>NBN-80052-BA</v>
      </c>
      <c r="U2600" s="403">
        <f t="shared" si="326"/>
        <v>1</v>
      </c>
      <c r="V2600" s="403" t="str">
        <f t="shared" si="327"/>
        <v>CPP_6</v>
      </c>
    </row>
    <row r="2601" spans="1:22">
      <c r="A2601" t="str">
        <f t="shared" si="320"/>
        <v>NBN-80052-BA</v>
      </c>
      <c r="B2601" s="403" t="s">
        <v>1391</v>
      </c>
      <c r="C2601" s="403" t="s">
        <v>584</v>
      </c>
      <c r="D2601" s="403" t="s">
        <v>902</v>
      </c>
      <c r="E2601" s="403" t="s">
        <v>1397</v>
      </c>
      <c r="F2601" s="403" t="s">
        <v>1403</v>
      </c>
      <c r="G2601" s="403" t="s">
        <v>1467</v>
      </c>
      <c r="H2601" s="403" t="s">
        <v>1276</v>
      </c>
      <c r="I2601" s="403">
        <v>1</v>
      </c>
      <c r="J2601" s="403" t="s">
        <v>1402</v>
      </c>
      <c r="K2601" s="403">
        <v>1536</v>
      </c>
      <c r="L2601" s="403">
        <v>2048</v>
      </c>
      <c r="M2601" s="403" t="s">
        <v>1298</v>
      </c>
      <c r="N2601" s="403">
        <v>480</v>
      </c>
      <c r="O2601" s="403">
        <v>640</v>
      </c>
      <c r="P2601" t="str">
        <f t="shared" si="321"/>
        <v>25fps 2048x1536 - SD dual stream with independent ROI PTZ</v>
      </c>
      <c r="Q2601">
        <f t="shared" si="322"/>
        <v>14</v>
      </c>
      <c r="R2601" t="str">
        <f t="shared" si="323"/>
        <v/>
      </c>
      <c r="S2601" t="str">
        <f t="shared" si="324"/>
        <v/>
      </c>
      <c r="T2601" s="403" t="str">
        <f t="shared" si="325"/>
        <v>NBN-80052-BA</v>
      </c>
      <c r="U2601" s="403">
        <f t="shared" si="326"/>
        <v>1</v>
      </c>
      <c r="V2601" s="403" t="str">
        <f t="shared" si="327"/>
        <v>CPP_6</v>
      </c>
    </row>
    <row r="2602" spans="1:22">
      <c r="A2602" t="str">
        <f t="shared" si="320"/>
        <v>NBN-80052-BA</v>
      </c>
      <c r="B2602" s="403" t="s">
        <v>1391</v>
      </c>
      <c r="C2602" s="403" t="s">
        <v>584</v>
      </c>
      <c r="D2602" s="403" t="s">
        <v>902</v>
      </c>
      <c r="E2602" s="403" t="s">
        <v>1404</v>
      </c>
      <c r="F2602" s="403" t="s">
        <v>1286</v>
      </c>
      <c r="G2602" s="403" t="s">
        <v>1466</v>
      </c>
      <c r="H2602" s="403" t="s">
        <v>1276</v>
      </c>
      <c r="I2602" s="403">
        <v>1</v>
      </c>
      <c r="J2602" s="403" t="s">
        <v>110</v>
      </c>
      <c r="K2602" s="403">
        <v>1920</v>
      </c>
      <c r="L2602" s="403">
        <v>1080</v>
      </c>
      <c r="M2602" s="403" t="s">
        <v>111</v>
      </c>
      <c r="N2602" s="403">
        <v>768</v>
      </c>
      <c r="O2602" s="403">
        <v>432</v>
      </c>
      <c r="P2602" t="str">
        <f t="shared" si="321"/>
        <v>30fps 1080p - SD</v>
      </c>
      <c r="Q2602">
        <f t="shared" si="322"/>
        <v>14</v>
      </c>
      <c r="R2602" t="str">
        <f t="shared" si="323"/>
        <v/>
      </c>
      <c r="S2602" t="str">
        <f t="shared" si="324"/>
        <v/>
      </c>
      <c r="T2602" s="403" t="str">
        <f t="shared" si="325"/>
        <v>NBN-80052-BA</v>
      </c>
      <c r="U2602" s="403">
        <f t="shared" si="326"/>
        <v>1</v>
      </c>
      <c r="V2602" s="403" t="str">
        <f t="shared" si="327"/>
        <v>CPP_6</v>
      </c>
    </row>
    <row r="2603" spans="1:22">
      <c r="A2603" t="str">
        <f t="shared" si="320"/>
        <v>NBN-80052-BA</v>
      </c>
      <c r="B2603" s="403" t="s">
        <v>1391</v>
      </c>
      <c r="C2603" s="403" t="s">
        <v>584</v>
      </c>
      <c r="D2603" s="403" t="s">
        <v>902</v>
      </c>
      <c r="E2603" s="403" t="s">
        <v>1404</v>
      </c>
      <c r="F2603" s="403" t="s">
        <v>1286</v>
      </c>
      <c r="G2603" s="403" t="s">
        <v>1466</v>
      </c>
      <c r="H2603" s="403" t="s">
        <v>1276</v>
      </c>
      <c r="I2603" s="403">
        <v>1</v>
      </c>
      <c r="J2603" s="403" t="s">
        <v>110</v>
      </c>
      <c r="K2603" s="403">
        <v>1920</v>
      </c>
      <c r="L2603" s="403">
        <v>1080</v>
      </c>
      <c r="M2603" s="403" t="s">
        <v>110</v>
      </c>
      <c r="N2603" s="403">
        <v>1920</v>
      </c>
      <c r="O2603" s="403">
        <v>1080</v>
      </c>
      <c r="P2603" t="str">
        <f t="shared" si="321"/>
        <v>30fps 1080p - 1080p</v>
      </c>
      <c r="Q2603">
        <f t="shared" si="322"/>
        <v>14</v>
      </c>
      <c r="R2603" t="str">
        <f t="shared" si="323"/>
        <v/>
      </c>
      <c r="S2603" t="str">
        <f t="shared" si="324"/>
        <v/>
      </c>
      <c r="T2603" s="403" t="str">
        <f t="shared" si="325"/>
        <v>NBN-80052-BA</v>
      </c>
      <c r="U2603" s="403">
        <f t="shared" si="326"/>
        <v>1</v>
      </c>
      <c r="V2603" s="403" t="str">
        <f t="shared" si="327"/>
        <v>CPP_6</v>
      </c>
    </row>
    <row r="2604" spans="1:22">
      <c r="A2604" t="str">
        <f t="shared" si="320"/>
        <v>NBN-80052-BA</v>
      </c>
      <c r="B2604" s="403" t="s">
        <v>1391</v>
      </c>
      <c r="C2604" s="403" t="s">
        <v>584</v>
      </c>
      <c r="D2604" s="403" t="s">
        <v>902</v>
      </c>
      <c r="E2604" s="403" t="s">
        <v>1404</v>
      </c>
      <c r="F2604" s="403" t="s">
        <v>1286</v>
      </c>
      <c r="G2604" s="403" t="s">
        <v>1466</v>
      </c>
      <c r="H2604" s="403" t="s">
        <v>1276</v>
      </c>
      <c r="I2604" s="403">
        <v>1</v>
      </c>
      <c r="J2604" s="403" t="s">
        <v>110</v>
      </c>
      <c r="K2604" s="403">
        <v>1920</v>
      </c>
      <c r="L2604" s="403">
        <v>1080</v>
      </c>
      <c r="M2604" s="403" t="s">
        <v>109</v>
      </c>
      <c r="N2604" s="403">
        <v>1280</v>
      </c>
      <c r="O2604" s="403">
        <v>720</v>
      </c>
      <c r="P2604" t="str">
        <f t="shared" si="321"/>
        <v>30fps 1080p - 720p</v>
      </c>
      <c r="Q2604">
        <f t="shared" si="322"/>
        <v>14</v>
      </c>
      <c r="R2604" t="str">
        <f t="shared" si="323"/>
        <v/>
      </c>
      <c r="S2604" t="str">
        <f t="shared" si="324"/>
        <v/>
      </c>
      <c r="T2604" s="403" t="str">
        <f t="shared" si="325"/>
        <v>NBN-80052-BA</v>
      </c>
      <c r="U2604" s="403">
        <f t="shared" si="326"/>
        <v>1</v>
      </c>
      <c r="V2604" s="403" t="str">
        <f t="shared" si="327"/>
        <v>CPP_6</v>
      </c>
    </row>
    <row r="2605" spans="1:22">
      <c r="A2605" t="str">
        <f t="shared" si="320"/>
        <v>NBN-80052-BA</v>
      </c>
      <c r="B2605" s="403" t="s">
        <v>1391</v>
      </c>
      <c r="C2605" s="403" t="s">
        <v>584</v>
      </c>
      <c r="D2605" s="403" t="s">
        <v>902</v>
      </c>
      <c r="E2605" s="403" t="s">
        <v>1404</v>
      </c>
      <c r="F2605" s="403" t="s">
        <v>1286</v>
      </c>
      <c r="G2605" s="403" t="s">
        <v>1466</v>
      </c>
      <c r="H2605" s="403" t="s">
        <v>1276</v>
      </c>
      <c r="I2605" s="403">
        <v>1</v>
      </c>
      <c r="J2605" s="403" t="s">
        <v>110</v>
      </c>
      <c r="K2605" s="403">
        <v>1920</v>
      </c>
      <c r="L2605" s="403">
        <v>1080</v>
      </c>
      <c r="M2605" s="403" t="s">
        <v>1279</v>
      </c>
      <c r="N2605" s="403">
        <v>768</v>
      </c>
      <c r="O2605" s="403">
        <v>432</v>
      </c>
      <c r="P2605" t="str">
        <f t="shared" si="321"/>
        <v>30fps 1080p - SD ROI PTZ</v>
      </c>
      <c r="Q2605">
        <f t="shared" si="322"/>
        <v>14</v>
      </c>
      <c r="R2605" t="str">
        <f t="shared" si="323"/>
        <v/>
      </c>
      <c r="S2605" t="str">
        <f t="shared" si="324"/>
        <v/>
      </c>
      <c r="T2605" s="403" t="str">
        <f t="shared" si="325"/>
        <v>NBN-80052-BA</v>
      </c>
      <c r="U2605" s="403">
        <f t="shared" si="326"/>
        <v>1</v>
      </c>
      <c r="V2605" s="403" t="str">
        <f t="shared" si="327"/>
        <v>CPP_6</v>
      </c>
    </row>
    <row r="2606" spans="1:22">
      <c r="A2606" t="str">
        <f t="shared" si="320"/>
        <v>NBN-80052-BA</v>
      </c>
      <c r="B2606" s="403" t="s">
        <v>1391</v>
      </c>
      <c r="C2606" s="403" t="s">
        <v>584</v>
      </c>
      <c r="D2606" s="403" t="s">
        <v>902</v>
      </c>
      <c r="E2606" s="403" t="s">
        <v>1404</v>
      </c>
      <c r="F2606" s="403" t="s">
        <v>1286</v>
      </c>
      <c r="G2606" s="403" t="s">
        <v>1466</v>
      </c>
      <c r="H2606" s="403" t="s">
        <v>1276</v>
      </c>
      <c r="I2606" s="403">
        <v>1</v>
      </c>
      <c r="J2606" s="403" t="s">
        <v>110</v>
      </c>
      <c r="K2606" s="403">
        <v>1920</v>
      </c>
      <c r="L2606" s="403">
        <v>1080</v>
      </c>
      <c r="M2606" s="403" t="s">
        <v>1302</v>
      </c>
      <c r="N2606" s="403">
        <v>400</v>
      </c>
      <c r="O2606" s="403">
        <v>720</v>
      </c>
      <c r="P2606" t="str">
        <f t="shared" si="321"/>
        <v>30fps 1080p - 400x720 upright (cropped)</v>
      </c>
      <c r="Q2606">
        <f t="shared" si="322"/>
        <v>14</v>
      </c>
      <c r="R2606" t="str">
        <f t="shared" si="323"/>
        <v/>
      </c>
      <c r="S2606" t="str">
        <f t="shared" si="324"/>
        <v/>
      </c>
      <c r="T2606" s="403" t="str">
        <f t="shared" si="325"/>
        <v>NBN-80052-BA</v>
      </c>
      <c r="U2606" s="403">
        <f t="shared" si="326"/>
        <v>1</v>
      </c>
      <c r="V2606" s="403" t="str">
        <f t="shared" si="327"/>
        <v>CPP_6</v>
      </c>
    </row>
    <row r="2607" spans="1:22">
      <c r="A2607" t="str">
        <f t="shared" si="320"/>
        <v>NBN-80052-BA</v>
      </c>
      <c r="B2607" s="403" t="s">
        <v>1391</v>
      </c>
      <c r="C2607" s="403" t="s">
        <v>584</v>
      </c>
      <c r="D2607" s="403" t="s">
        <v>902</v>
      </c>
      <c r="E2607" s="403" t="s">
        <v>1404</v>
      </c>
      <c r="F2607" s="403" t="s">
        <v>1286</v>
      </c>
      <c r="G2607" s="403" t="s">
        <v>1466</v>
      </c>
      <c r="H2607" s="403" t="s">
        <v>1276</v>
      </c>
      <c r="I2607" s="403">
        <v>1</v>
      </c>
      <c r="J2607" s="403" t="s">
        <v>110</v>
      </c>
      <c r="K2607" s="403">
        <v>1920</v>
      </c>
      <c r="L2607" s="403">
        <v>1080</v>
      </c>
      <c r="M2607" s="403" t="s">
        <v>1283</v>
      </c>
      <c r="N2607" s="403">
        <v>704</v>
      </c>
      <c r="O2607" s="403">
        <v>480</v>
      </c>
      <c r="P2607" t="str">
        <f t="shared" si="321"/>
        <v>30fps 1080p - SD 4CIF resolution 4:3 format (cropped)</v>
      </c>
      <c r="Q2607">
        <f t="shared" si="322"/>
        <v>14</v>
      </c>
      <c r="R2607" t="str">
        <f t="shared" si="323"/>
        <v/>
      </c>
      <c r="S2607" t="str">
        <f t="shared" si="324"/>
        <v/>
      </c>
      <c r="T2607" s="403" t="str">
        <f t="shared" si="325"/>
        <v>NBN-80052-BA</v>
      </c>
      <c r="U2607" s="403">
        <f t="shared" si="326"/>
        <v>1</v>
      </c>
      <c r="V2607" s="403" t="str">
        <f t="shared" si="327"/>
        <v>CPP_6</v>
      </c>
    </row>
    <row r="2608" spans="1:22">
      <c r="A2608" t="str">
        <f t="shared" si="320"/>
        <v>NBN-80052-BA</v>
      </c>
      <c r="B2608" s="403" t="s">
        <v>1391</v>
      </c>
      <c r="C2608" s="403" t="s">
        <v>584</v>
      </c>
      <c r="D2608" s="403" t="s">
        <v>902</v>
      </c>
      <c r="E2608" s="403" t="s">
        <v>1404</v>
      </c>
      <c r="F2608" s="403" t="s">
        <v>1286</v>
      </c>
      <c r="G2608" s="403" t="s">
        <v>1466</v>
      </c>
      <c r="H2608" s="403" t="s">
        <v>1276</v>
      </c>
      <c r="I2608" s="403">
        <v>1</v>
      </c>
      <c r="J2608" s="403" t="s">
        <v>110</v>
      </c>
      <c r="K2608" s="403">
        <v>1920</v>
      </c>
      <c r="L2608" s="403">
        <v>1080</v>
      </c>
      <c r="M2608" s="403" t="s">
        <v>1284</v>
      </c>
      <c r="N2608" s="403">
        <v>640</v>
      </c>
      <c r="O2608" s="403">
        <v>480</v>
      </c>
      <c r="P2608" t="str">
        <f t="shared" si="321"/>
        <v>30fps 1080p - SD VGA (cropped)</v>
      </c>
      <c r="Q2608">
        <f t="shared" si="322"/>
        <v>14</v>
      </c>
      <c r="R2608" t="str">
        <f t="shared" si="323"/>
        <v/>
      </c>
      <c r="S2608" t="str">
        <f t="shared" si="324"/>
        <v/>
      </c>
      <c r="T2608" s="403" t="str">
        <f t="shared" si="325"/>
        <v>NBN-80052-BA</v>
      </c>
      <c r="U2608" s="403">
        <f t="shared" si="326"/>
        <v>1</v>
      </c>
      <c r="V2608" s="403" t="str">
        <f t="shared" si="327"/>
        <v>CPP_6</v>
      </c>
    </row>
    <row r="2609" spans="1:22">
      <c r="A2609" t="str">
        <f t="shared" si="320"/>
        <v>NBN-80052-BA</v>
      </c>
      <c r="B2609" s="403" t="s">
        <v>1391</v>
      </c>
      <c r="C2609" s="403" t="s">
        <v>584</v>
      </c>
      <c r="D2609" s="403" t="s">
        <v>902</v>
      </c>
      <c r="E2609" s="403" t="s">
        <v>1404</v>
      </c>
      <c r="F2609" s="403" t="s">
        <v>1286</v>
      </c>
      <c r="G2609" s="403" t="s">
        <v>1466</v>
      </c>
      <c r="H2609" s="403" t="s">
        <v>1276</v>
      </c>
      <c r="I2609" s="403">
        <v>1</v>
      </c>
      <c r="J2609" s="403" t="s">
        <v>110</v>
      </c>
      <c r="K2609" s="403">
        <v>1920</v>
      </c>
      <c r="L2609" s="403">
        <v>1080</v>
      </c>
      <c r="M2609" s="403" t="s">
        <v>1298</v>
      </c>
      <c r="N2609" s="403">
        <v>768</v>
      </c>
      <c r="O2609" s="403">
        <v>432</v>
      </c>
      <c r="P2609" t="str">
        <f t="shared" si="321"/>
        <v>30fps 1080p - SD dual stream with independent ROI PTZ</v>
      </c>
      <c r="Q2609">
        <f t="shared" si="322"/>
        <v>14</v>
      </c>
      <c r="R2609" t="str">
        <f t="shared" si="323"/>
        <v/>
      </c>
      <c r="S2609" t="str">
        <f t="shared" si="324"/>
        <v/>
      </c>
      <c r="T2609" s="403" t="str">
        <f t="shared" si="325"/>
        <v>NBN-80052-BA</v>
      </c>
      <c r="U2609" s="403">
        <f t="shared" si="326"/>
        <v>1</v>
      </c>
      <c r="V2609" s="403" t="str">
        <f t="shared" si="327"/>
        <v>CPP_6</v>
      </c>
    </row>
    <row r="2610" spans="1:22">
      <c r="A2610" t="str">
        <f t="shared" si="320"/>
        <v>NBN-80052-BA</v>
      </c>
      <c r="B2610" s="403" t="s">
        <v>1391</v>
      </c>
      <c r="C2610" s="403" t="s">
        <v>584</v>
      </c>
      <c r="D2610" s="403" t="s">
        <v>902</v>
      </c>
      <c r="E2610" s="403" t="s">
        <v>1404</v>
      </c>
      <c r="F2610" s="403" t="s">
        <v>1286</v>
      </c>
      <c r="G2610" s="403" t="s">
        <v>1467</v>
      </c>
      <c r="H2610" s="403" t="s">
        <v>1276</v>
      </c>
      <c r="I2610" s="403">
        <v>1</v>
      </c>
      <c r="J2610" s="403" t="s">
        <v>110</v>
      </c>
      <c r="K2610" s="403">
        <v>1080</v>
      </c>
      <c r="L2610" s="403">
        <v>1920</v>
      </c>
      <c r="M2610" s="403" t="s">
        <v>111</v>
      </c>
      <c r="N2610" s="403">
        <v>432</v>
      </c>
      <c r="O2610" s="403">
        <v>768</v>
      </c>
      <c r="P2610" t="str">
        <f t="shared" si="321"/>
        <v>30fps 1080p - SD</v>
      </c>
      <c r="Q2610">
        <f t="shared" si="322"/>
        <v>14</v>
      </c>
      <c r="R2610" t="str">
        <f t="shared" si="323"/>
        <v/>
      </c>
      <c r="S2610" t="str">
        <f t="shared" si="324"/>
        <v/>
      </c>
      <c r="T2610" s="403" t="str">
        <f t="shared" si="325"/>
        <v>NBN-80052-BA</v>
      </c>
      <c r="U2610" s="403">
        <f t="shared" si="326"/>
        <v>1</v>
      </c>
      <c r="V2610" s="403" t="str">
        <f t="shared" si="327"/>
        <v>CPP_6</v>
      </c>
    </row>
    <row r="2611" spans="1:22">
      <c r="A2611" t="str">
        <f t="shared" si="320"/>
        <v>NBN-80052-BA</v>
      </c>
      <c r="B2611" s="403" t="s">
        <v>1391</v>
      </c>
      <c r="C2611" s="403" t="s">
        <v>584</v>
      </c>
      <c r="D2611" s="403" t="s">
        <v>902</v>
      </c>
      <c r="E2611" s="403" t="s">
        <v>1404</v>
      </c>
      <c r="F2611" s="403" t="s">
        <v>1286</v>
      </c>
      <c r="G2611" s="403" t="s">
        <v>1467</v>
      </c>
      <c r="H2611" s="403" t="s">
        <v>1276</v>
      </c>
      <c r="I2611" s="403">
        <v>1</v>
      </c>
      <c r="J2611" s="403" t="s">
        <v>110</v>
      </c>
      <c r="K2611" s="403">
        <v>1080</v>
      </c>
      <c r="L2611" s="403">
        <v>1920</v>
      </c>
      <c r="M2611" s="403" t="s">
        <v>110</v>
      </c>
      <c r="N2611" s="403">
        <v>1080</v>
      </c>
      <c r="O2611" s="403">
        <v>1920</v>
      </c>
      <c r="P2611" t="str">
        <f t="shared" si="321"/>
        <v>30fps 1080p - 1080p</v>
      </c>
      <c r="Q2611">
        <f t="shared" si="322"/>
        <v>14</v>
      </c>
      <c r="R2611" t="str">
        <f t="shared" si="323"/>
        <v/>
      </c>
      <c r="S2611" t="str">
        <f t="shared" si="324"/>
        <v/>
      </c>
      <c r="T2611" s="403" t="str">
        <f t="shared" si="325"/>
        <v>NBN-80052-BA</v>
      </c>
      <c r="U2611" s="403">
        <f t="shared" si="326"/>
        <v>1</v>
      </c>
      <c r="V2611" s="403" t="str">
        <f t="shared" si="327"/>
        <v>CPP_6</v>
      </c>
    </row>
    <row r="2612" spans="1:22">
      <c r="A2612" t="str">
        <f t="shared" si="320"/>
        <v>NBN-80052-BA</v>
      </c>
      <c r="B2612" s="403" t="s">
        <v>1391</v>
      </c>
      <c r="C2612" s="403" t="s">
        <v>584</v>
      </c>
      <c r="D2612" s="403" t="s">
        <v>902</v>
      </c>
      <c r="E2612" s="403" t="s">
        <v>1404</v>
      </c>
      <c r="F2612" s="403" t="s">
        <v>1286</v>
      </c>
      <c r="G2612" s="403" t="s">
        <v>1467</v>
      </c>
      <c r="H2612" s="403" t="s">
        <v>1276</v>
      </c>
      <c r="I2612" s="403">
        <v>1</v>
      </c>
      <c r="J2612" s="403" t="s">
        <v>110</v>
      </c>
      <c r="K2612" s="403">
        <v>1080</v>
      </c>
      <c r="L2612" s="403">
        <v>1920</v>
      </c>
      <c r="M2612" s="403" t="s">
        <v>109</v>
      </c>
      <c r="N2612" s="403">
        <v>720</v>
      </c>
      <c r="O2612" s="403">
        <v>1280</v>
      </c>
      <c r="P2612" t="str">
        <f t="shared" si="321"/>
        <v>30fps 1080p - 720p</v>
      </c>
      <c r="Q2612">
        <f t="shared" si="322"/>
        <v>14</v>
      </c>
      <c r="R2612" t="str">
        <f t="shared" si="323"/>
        <v/>
      </c>
      <c r="S2612" t="str">
        <f t="shared" si="324"/>
        <v/>
      </c>
      <c r="T2612" s="403" t="str">
        <f t="shared" si="325"/>
        <v>NBN-80052-BA</v>
      </c>
      <c r="U2612" s="403">
        <f t="shared" si="326"/>
        <v>1</v>
      </c>
      <c r="V2612" s="403" t="str">
        <f t="shared" si="327"/>
        <v>CPP_6</v>
      </c>
    </row>
    <row r="2613" spans="1:22">
      <c r="A2613" t="str">
        <f t="shared" si="320"/>
        <v>NBN-80052-BA</v>
      </c>
      <c r="B2613" s="403" t="s">
        <v>1391</v>
      </c>
      <c r="C2613" s="403" t="s">
        <v>584</v>
      </c>
      <c r="D2613" s="403" t="s">
        <v>902</v>
      </c>
      <c r="E2613" s="403" t="s">
        <v>1404</v>
      </c>
      <c r="F2613" s="403" t="s">
        <v>1286</v>
      </c>
      <c r="G2613" s="403" t="s">
        <v>1467</v>
      </c>
      <c r="H2613" s="403" t="s">
        <v>1276</v>
      </c>
      <c r="I2613" s="403">
        <v>1</v>
      </c>
      <c r="J2613" s="403" t="s">
        <v>110</v>
      </c>
      <c r="K2613" s="403">
        <v>1080</v>
      </c>
      <c r="L2613" s="403">
        <v>1920</v>
      </c>
      <c r="M2613" s="403" t="s">
        <v>1279</v>
      </c>
      <c r="N2613" s="403">
        <v>432</v>
      </c>
      <c r="O2613" s="403">
        <v>768</v>
      </c>
      <c r="P2613" t="str">
        <f t="shared" si="321"/>
        <v>30fps 1080p - SD ROI PTZ</v>
      </c>
      <c r="Q2613">
        <f t="shared" si="322"/>
        <v>14</v>
      </c>
      <c r="R2613" t="str">
        <f t="shared" si="323"/>
        <v/>
      </c>
      <c r="S2613" t="str">
        <f t="shared" si="324"/>
        <v/>
      </c>
      <c r="T2613" s="403" t="str">
        <f t="shared" si="325"/>
        <v>NBN-80052-BA</v>
      </c>
      <c r="U2613" s="403">
        <f t="shared" si="326"/>
        <v>1</v>
      </c>
      <c r="V2613" s="403" t="str">
        <f t="shared" si="327"/>
        <v>CPP_6</v>
      </c>
    </row>
    <row r="2614" spans="1:22">
      <c r="A2614" t="str">
        <f t="shared" si="320"/>
        <v>NBN-80052-BA</v>
      </c>
      <c r="B2614" s="403" t="s">
        <v>1391</v>
      </c>
      <c r="C2614" s="403" t="s">
        <v>584</v>
      </c>
      <c r="D2614" s="403" t="s">
        <v>902</v>
      </c>
      <c r="E2614" s="403" t="s">
        <v>1404</v>
      </c>
      <c r="F2614" s="403" t="s">
        <v>1286</v>
      </c>
      <c r="G2614" s="403" t="s">
        <v>1467</v>
      </c>
      <c r="H2614" s="403" t="s">
        <v>1276</v>
      </c>
      <c r="I2614" s="403">
        <v>1</v>
      </c>
      <c r="J2614" s="403" t="s">
        <v>110</v>
      </c>
      <c r="K2614" s="403">
        <v>1080</v>
      </c>
      <c r="L2614" s="403">
        <v>1920</v>
      </c>
      <c r="M2614" s="403" t="s">
        <v>1302</v>
      </c>
      <c r="N2614" s="403">
        <v>720</v>
      </c>
      <c r="O2614" s="403">
        <v>400</v>
      </c>
      <c r="P2614" t="str">
        <f t="shared" si="321"/>
        <v>30fps 1080p - 400x720 upright (cropped)</v>
      </c>
      <c r="Q2614">
        <f t="shared" si="322"/>
        <v>14</v>
      </c>
      <c r="R2614" t="str">
        <f t="shared" si="323"/>
        <v/>
      </c>
      <c r="S2614" t="str">
        <f t="shared" si="324"/>
        <v/>
      </c>
      <c r="T2614" s="403" t="str">
        <f t="shared" si="325"/>
        <v>NBN-80052-BA</v>
      </c>
      <c r="U2614" s="403">
        <f t="shared" si="326"/>
        <v>1</v>
      </c>
      <c r="V2614" s="403" t="str">
        <f t="shared" si="327"/>
        <v>CPP_6</v>
      </c>
    </row>
    <row r="2615" spans="1:22">
      <c r="A2615" t="str">
        <f t="shared" si="320"/>
        <v>NBN-80052-BA</v>
      </c>
      <c r="B2615" s="403" t="s">
        <v>1391</v>
      </c>
      <c r="C2615" s="403" t="s">
        <v>584</v>
      </c>
      <c r="D2615" s="403" t="s">
        <v>902</v>
      </c>
      <c r="E2615" s="403" t="s">
        <v>1404</v>
      </c>
      <c r="F2615" s="403" t="s">
        <v>1286</v>
      </c>
      <c r="G2615" s="403" t="s">
        <v>1467</v>
      </c>
      <c r="H2615" s="403" t="s">
        <v>1276</v>
      </c>
      <c r="I2615" s="403">
        <v>1</v>
      </c>
      <c r="J2615" s="403" t="s">
        <v>110</v>
      </c>
      <c r="K2615" s="403">
        <v>1080</v>
      </c>
      <c r="L2615" s="403">
        <v>1920</v>
      </c>
      <c r="M2615" s="403" t="s">
        <v>1283</v>
      </c>
      <c r="N2615" s="403">
        <v>480</v>
      </c>
      <c r="O2615" s="403">
        <v>704</v>
      </c>
      <c r="P2615" t="str">
        <f t="shared" si="321"/>
        <v>30fps 1080p - SD 4CIF resolution 4:3 format (cropped)</v>
      </c>
      <c r="Q2615">
        <f t="shared" si="322"/>
        <v>14</v>
      </c>
      <c r="R2615" t="str">
        <f t="shared" si="323"/>
        <v/>
      </c>
      <c r="S2615" t="str">
        <f t="shared" si="324"/>
        <v/>
      </c>
      <c r="T2615" s="403" t="str">
        <f t="shared" si="325"/>
        <v>NBN-80052-BA</v>
      </c>
      <c r="U2615" s="403">
        <f t="shared" si="326"/>
        <v>1</v>
      </c>
      <c r="V2615" s="403" t="str">
        <f t="shared" si="327"/>
        <v>CPP_6</v>
      </c>
    </row>
    <row r="2616" spans="1:22">
      <c r="A2616" t="str">
        <f t="shared" si="320"/>
        <v>NBN-80052-BA</v>
      </c>
      <c r="B2616" s="403" t="s">
        <v>1391</v>
      </c>
      <c r="C2616" s="403" t="s">
        <v>584</v>
      </c>
      <c r="D2616" s="403" t="s">
        <v>902</v>
      </c>
      <c r="E2616" s="403" t="s">
        <v>1404</v>
      </c>
      <c r="F2616" s="403" t="s">
        <v>1286</v>
      </c>
      <c r="G2616" s="403" t="s">
        <v>1467</v>
      </c>
      <c r="H2616" s="403" t="s">
        <v>1276</v>
      </c>
      <c r="I2616" s="403">
        <v>1</v>
      </c>
      <c r="J2616" s="403" t="s">
        <v>110</v>
      </c>
      <c r="K2616" s="403">
        <v>1080</v>
      </c>
      <c r="L2616" s="403">
        <v>1920</v>
      </c>
      <c r="M2616" s="403" t="s">
        <v>1284</v>
      </c>
      <c r="N2616" s="403">
        <v>480</v>
      </c>
      <c r="O2616" s="403">
        <v>640</v>
      </c>
      <c r="P2616" t="str">
        <f t="shared" si="321"/>
        <v>30fps 1080p - SD VGA (cropped)</v>
      </c>
      <c r="Q2616">
        <f t="shared" si="322"/>
        <v>14</v>
      </c>
      <c r="R2616" t="str">
        <f t="shared" si="323"/>
        <v/>
      </c>
      <c r="S2616" t="str">
        <f t="shared" si="324"/>
        <v/>
      </c>
      <c r="T2616" s="403" t="str">
        <f t="shared" si="325"/>
        <v>NBN-80052-BA</v>
      </c>
      <c r="U2616" s="403">
        <f t="shared" si="326"/>
        <v>1</v>
      </c>
      <c r="V2616" s="403" t="str">
        <f t="shared" si="327"/>
        <v>CPP_6</v>
      </c>
    </row>
    <row r="2617" spans="1:22">
      <c r="A2617" t="str">
        <f t="shared" si="320"/>
        <v>NBN-80052-BA</v>
      </c>
      <c r="B2617" s="403" t="s">
        <v>1391</v>
      </c>
      <c r="C2617" s="403" t="s">
        <v>584</v>
      </c>
      <c r="D2617" s="403" t="s">
        <v>902</v>
      </c>
      <c r="E2617" s="403" t="s">
        <v>1404</v>
      </c>
      <c r="F2617" s="403" t="s">
        <v>1286</v>
      </c>
      <c r="G2617" s="403" t="s">
        <v>1467</v>
      </c>
      <c r="H2617" s="403" t="s">
        <v>1276</v>
      </c>
      <c r="I2617" s="403">
        <v>1</v>
      </c>
      <c r="J2617" s="403" t="s">
        <v>110</v>
      </c>
      <c r="K2617" s="403">
        <v>1080</v>
      </c>
      <c r="L2617" s="403">
        <v>1920</v>
      </c>
      <c r="M2617" s="403" t="s">
        <v>1298</v>
      </c>
      <c r="N2617" s="403">
        <v>432</v>
      </c>
      <c r="O2617" s="403">
        <v>768</v>
      </c>
      <c r="P2617" t="str">
        <f t="shared" si="321"/>
        <v>30fps 1080p - SD dual stream with independent ROI PTZ</v>
      </c>
      <c r="Q2617">
        <f t="shared" si="322"/>
        <v>14</v>
      </c>
      <c r="R2617" t="str">
        <f t="shared" si="323"/>
        <v/>
      </c>
      <c r="S2617" t="str">
        <f t="shared" si="324"/>
        <v/>
      </c>
      <c r="T2617" s="403" t="str">
        <f t="shared" si="325"/>
        <v>NBN-80052-BA</v>
      </c>
      <c r="U2617" s="403">
        <f t="shared" si="326"/>
        <v>1</v>
      </c>
      <c r="V2617" s="403" t="str">
        <f t="shared" si="327"/>
        <v>CPP_6</v>
      </c>
    </row>
    <row r="2618" spans="1:22">
      <c r="A2618" t="str">
        <f t="shared" si="320"/>
        <v>NBN-80052-BA</v>
      </c>
      <c r="B2618" s="403" t="s">
        <v>1391</v>
      </c>
      <c r="C2618" s="403" t="s">
        <v>584</v>
      </c>
      <c r="D2618" s="403" t="s">
        <v>902</v>
      </c>
      <c r="E2618" s="403" t="s">
        <v>1404</v>
      </c>
      <c r="F2618" s="403" t="s">
        <v>1287</v>
      </c>
      <c r="G2618" s="403" t="s">
        <v>1466</v>
      </c>
      <c r="H2618" s="403" t="s">
        <v>1276</v>
      </c>
      <c r="I2618" s="403">
        <v>1</v>
      </c>
      <c r="J2618" s="403" t="s">
        <v>110</v>
      </c>
      <c r="K2618" s="403">
        <v>1920</v>
      </c>
      <c r="L2618" s="403">
        <v>1080</v>
      </c>
      <c r="M2618" s="403" t="s">
        <v>111</v>
      </c>
      <c r="N2618" s="403">
        <v>768</v>
      </c>
      <c r="O2618" s="403">
        <v>432</v>
      </c>
      <c r="P2618" t="str">
        <f t="shared" si="321"/>
        <v>25fps 1080p - SD</v>
      </c>
      <c r="Q2618">
        <f t="shared" si="322"/>
        <v>14</v>
      </c>
      <c r="R2618" t="str">
        <f t="shared" si="323"/>
        <v/>
      </c>
      <c r="S2618" t="str">
        <f t="shared" si="324"/>
        <v/>
      </c>
      <c r="T2618" s="403" t="str">
        <f t="shared" si="325"/>
        <v>NBN-80052-BA</v>
      </c>
      <c r="U2618" s="403">
        <f t="shared" si="326"/>
        <v>1</v>
      </c>
      <c r="V2618" s="403" t="str">
        <f t="shared" si="327"/>
        <v>CPP_6</v>
      </c>
    </row>
    <row r="2619" spans="1:22">
      <c r="A2619" t="str">
        <f t="shared" si="320"/>
        <v>NBN-80052-BA</v>
      </c>
      <c r="B2619" s="403" t="s">
        <v>1391</v>
      </c>
      <c r="C2619" s="403" t="s">
        <v>584</v>
      </c>
      <c r="D2619" s="403" t="s">
        <v>902</v>
      </c>
      <c r="E2619" s="403" t="s">
        <v>1404</v>
      </c>
      <c r="F2619" s="403" t="s">
        <v>1287</v>
      </c>
      <c r="G2619" s="403" t="s">
        <v>1466</v>
      </c>
      <c r="H2619" s="403" t="s">
        <v>1276</v>
      </c>
      <c r="I2619" s="403">
        <v>1</v>
      </c>
      <c r="J2619" s="403" t="s">
        <v>110</v>
      </c>
      <c r="K2619" s="403">
        <v>1920</v>
      </c>
      <c r="L2619" s="403">
        <v>1080</v>
      </c>
      <c r="M2619" s="403" t="s">
        <v>110</v>
      </c>
      <c r="N2619" s="403">
        <v>1920</v>
      </c>
      <c r="O2619" s="403">
        <v>1080</v>
      </c>
      <c r="P2619" t="str">
        <f t="shared" si="321"/>
        <v>25fps 1080p - 1080p</v>
      </c>
      <c r="Q2619">
        <f t="shared" si="322"/>
        <v>14</v>
      </c>
      <c r="R2619" t="str">
        <f t="shared" si="323"/>
        <v/>
      </c>
      <c r="S2619" t="str">
        <f t="shared" si="324"/>
        <v/>
      </c>
      <c r="T2619" s="403" t="str">
        <f t="shared" si="325"/>
        <v>NBN-80052-BA</v>
      </c>
      <c r="U2619" s="403">
        <f t="shared" si="326"/>
        <v>1</v>
      </c>
      <c r="V2619" s="403" t="str">
        <f t="shared" si="327"/>
        <v>CPP_6</v>
      </c>
    </row>
    <row r="2620" spans="1:22">
      <c r="A2620" t="str">
        <f t="shared" si="320"/>
        <v>NBN-80052-BA</v>
      </c>
      <c r="B2620" s="403" t="s">
        <v>1391</v>
      </c>
      <c r="C2620" s="403" t="s">
        <v>584</v>
      </c>
      <c r="D2620" s="403" t="s">
        <v>902</v>
      </c>
      <c r="E2620" s="403" t="s">
        <v>1404</v>
      </c>
      <c r="F2620" s="403" t="s">
        <v>1287</v>
      </c>
      <c r="G2620" s="403" t="s">
        <v>1466</v>
      </c>
      <c r="H2620" s="403" t="s">
        <v>1276</v>
      </c>
      <c r="I2620" s="403">
        <v>1</v>
      </c>
      <c r="J2620" s="403" t="s">
        <v>110</v>
      </c>
      <c r="K2620" s="403">
        <v>1920</v>
      </c>
      <c r="L2620" s="403">
        <v>1080</v>
      </c>
      <c r="M2620" s="403" t="s">
        <v>109</v>
      </c>
      <c r="N2620" s="403">
        <v>1280</v>
      </c>
      <c r="O2620" s="403">
        <v>720</v>
      </c>
      <c r="P2620" t="str">
        <f t="shared" si="321"/>
        <v>25fps 1080p - 720p</v>
      </c>
      <c r="Q2620">
        <f t="shared" si="322"/>
        <v>14</v>
      </c>
      <c r="R2620" t="str">
        <f t="shared" si="323"/>
        <v/>
      </c>
      <c r="S2620" t="str">
        <f t="shared" si="324"/>
        <v/>
      </c>
      <c r="T2620" s="403" t="str">
        <f t="shared" si="325"/>
        <v>NBN-80052-BA</v>
      </c>
      <c r="U2620" s="403">
        <f t="shared" si="326"/>
        <v>1</v>
      </c>
      <c r="V2620" s="403" t="str">
        <f t="shared" si="327"/>
        <v>CPP_6</v>
      </c>
    </row>
    <row r="2621" spans="1:22">
      <c r="A2621" t="str">
        <f t="shared" si="320"/>
        <v>NBN-80052-BA</v>
      </c>
      <c r="B2621" s="403" t="s">
        <v>1391</v>
      </c>
      <c r="C2621" s="403" t="s">
        <v>584</v>
      </c>
      <c r="D2621" s="403" t="s">
        <v>902</v>
      </c>
      <c r="E2621" s="403" t="s">
        <v>1404</v>
      </c>
      <c r="F2621" s="403" t="s">
        <v>1287</v>
      </c>
      <c r="G2621" s="403" t="s">
        <v>1466</v>
      </c>
      <c r="H2621" s="403" t="s">
        <v>1276</v>
      </c>
      <c r="I2621" s="403">
        <v>1</v>
      </c>
      <c r="J2621" s="403" t="s">
        <v>110</v>
      </c>
      <c r="K2621" s="403">
        <v>1920</v>
      </c>
      <c r="L2621" s="403">
        <v>1080</v>
      </c>
      <c r="M2621" s="403" t="s">
        <v>1279</v>
      </c>
      <c r="N2621" s="403">
        <v>768</v>
      </c>
      <c r="O2621" s="403">
        <v>432</v>
      </c>
      <c r="P2621" t="str">
        <f t="shared" si="321"/>
        <v>25fps 1080p - SD ROI PTZ</v>
      </c>
      <c r="Q2621">
        <f t="shared" si="322"/>
        <v>14</v>
      </c>
      <c r="R2621" t="str">
        <f t="shared" si="323"/>
        <v/>
      </c>
      <c r="S2621" t="str">
        <f t="shared" si="324"/>
        <v/>
      </c>
      <c r="T2621" s="403" t="str">
        <f t="shared" si="325"/>
        <v>NBN-80052-BA</v>
      </c>
      <c r="U2621" s="403">
        <f t="shared" si="326"/>
        <v>1</v>
      </c>
      <c r="V2621" s="403" t="str">
        <f t="shared" si="327"/>
        <v>CPP_6</v>
      </c>
    </row>
    <row r="2622" spans="1:22">
      <c r="A2622" t="str">
        <f t="shared" si="320"/>
        <v>NBN-80052-BA</v>
      </c>
      <c r="B2622" s="403" t="s">
        <v>1391</v>
      </c>
      <c r="C2622" s="403" t="s">
        <v>584</v>
      </c>
      <c r="D2622" s="403" t="s">
        <v>902</v>
      </c>
      <c r="E2622" s="403" t="s">
        <v>1404</v>
      </c>
      <c r="F2622" s="403" t="s">
        <v>1287</v>
      </c>
      <c r="G2622" s="403" t="s">
        <v>1466</v>
      </c>
      <c r="H2622" s="403" t="s">
        <v>1276</v>
      </c>
      <c r="I2622" s="403">
        <v>1</v>
      </c>
      <c r="J2622" s="403" t="s">
        <v>110</v>
      </c>
      <c r="K2622" s="403">
        <v>1920</v>
      </c>
      <c r="L2622" s="403">
        <v>1080</v>
      </c>
      <c r="M2622" s="403" t="s">
        <v>1302</v>
      </c>
      <c r="N2622" s="403">
        <v>400</v>
      </c>
      <c r="O2622" s="403">
        <v>720</v>
      </c>
      <c r="P2622" t="str">
        <f t="shared" si="321"/>
        <v>25fps 1080p - 400x720 upright (cropped)</v>
      </c>
      <c r="Q2622">
        <f t="shared" si="322"/>
        <v>14</v>
      </c>
      <c r="R2622" t="str">
        <f t="shared" si="323"/>
        <v/>
      </c>
      <c r="S2622" t="str">
        <f t="shared" si="324"/>
        <v/>
      </c>
      <c r="T2622" s="403" t="str">
        <f t="shared" si="325"/>
        <v>NBN-80052-BA</v>
      </c>
      <c r="U2622" s="403">
        <f t="shared" si="326"/>
        <v>1</v>
      </c>
      <c r="V2622" s="403" t="str">
        <f t="shared" si="327"/>
        <v>CPP_6</v>
      </c>
    </row>
    <row r="2623" spans="1:22">
      <c r="A2623" t="str">
        <f t="shared" si="320"/>
        <v>NBN-80052-BA</v>
      </c>
      <c r="B2623" s="403" t="s">
        <v>1391</v>
      </c>
      <c r="C2623" s="403" t="s">
        <v>584</v>
      </c>
      <c r="D2623" s="403" t="s">
        <v>902</v>
      </c>
      <c r="E2623" s="403" t="s">
        <v>1404</v>
      </c>
      <c r="F2623" s="403" t="s">
        <v>1287</v>
      </c>
      <c r="G2623" s="403" t="s">
        <v>1466</v>
      </c>
      <c r="H2623" s="403" t="s">
        <v>1276</v>
      </c>
      <c r="I2623" s="403">
        <v>1</v>
      </c>
      <c r="J2623" s="403" t="s">
        <v>110</v>
      </c>
      <c r="K2623" s="403">
        <v>1920</v>
      </c>
      <c r="L2623" s="403">
        <v>1080</v>
      </c>
      <c r="M2623" s="403" t="s">
        <v>1283</v>
      </c>
      <c r="N2623" s="403">
        <v>704</v>
      </c>
      <c r="O2623" s="403">
        <v>576</v>
      </c>
      <c r="P2623" t="str">
        <f t="shared" si="321"/>
        <v>25fps 1080p - SD 4CIF resolution 4:3 format (cropped)</v>
      </c>
      <c r="Q2623">
        <f t="shared" si="322"/>
        <v>14</v>
      </c>
      <c r="R2623" t="str">
        <f t="shared" si="323"/>
        <v/>
      </c>
      <c r="S2623" t="str">
        <f t="shared" si="324"/>
        <v/>
      </c>
      <c r="T2623" s="403" t="str">
        <f t="shared" si="325"/>
        <v>NBN-80052-BA</v>
      </c>
      <c r="U2623" s="403">
        <f t="shared" si="326"/>
        <v>1</v>
      </c>
      <c r="V2623" s="403" t="str">
        <f t="shared" si="327"/>
        <v>CPP_6</v>
      </c>
    </row>
    <row r="2624" spans="1:22">
      <c r="A2624" t="str">
        <f t="shared" si="320"/>
        <v>NBN-80052-BA</v>
      </c>
      <c r="B2624" s="403" t="s">
        <v>1391</v>
      </c>
      <c r="C2624" s="403" t="s">
        <v>584</v>
      </c>
      <c r="D2624" s="403" t="s">
        <v>902</v>
      </c>
      <c r="E2624" s="403" t="s">
        <v>1404</v>
      </c>
      <c r="F2624" s="403" t="s">
        <v>1287</v>
      </c>
      <c r="G2624" s="403" t="s">
        <v>1466</v>
      </c>
      <c r="H2624" s="403" t="s">
        <v>1276</v>
      </c>
      <c r="I2624" s="403">
        <v>1</v>
      </c>
      <c r="J2624" s="403" t="s">
        <v>110</v>
      </c>
      <c r="K2624" s="403">
        <v>1920</v>
      </c>
      <c r="L2624" s="403">
        <v>1080</v>
      </c>
      <c r="M2624" s="403" t="s">
        <v>1284</v>
      </c>
      <c r="N2624" s="403">
        <v>640</v>
      </c>
      <c r="O2624" s="403">
        <v>480</v>
      </c>
      <c r="P2624" t="str">
        <f t="shared" si="321"/>
        <v>25fps 1080p - SD VGA (cropped)</v>
      </c>
      <c r="Q2624">
        <f t="shared" si="322"/>
        <v>14</v>
      </c>
      <c r="R2624" t="str">
        <f t="shared" si="323"/>
        <v/>
      </c>
      <c r="S2624" t="str">
        <f t="shared" si="324"/>
        <v/>
      </c>
      <c r="T2624" s="403" t="str">
        <f t="shared" si="325"/>
        <v>NBN-80052-BA</v>
      </c>
      <c r="U2624" s="403">
        <f t="shared" si="326"/>
        <v>1</v>
      </c>
      <c r="V2624" s="403" t="str">
        <f t="shared" si="327"/>
        <v>CPP_6</v>
      </c>
    </row>
    <row r="2625" spans="1:22">
      <c r="A2625" t="str">
        <f t="shared" si="320"/>
        <v>NBN-80052-BA</v>
      </c>
      <c r="B2625" s="403" t="s">
        <v>1391</v>
      </c>
      <c r="C2625" s="403" t="s">
        <v>584</v>
      </c>
      <c r="D2625" s="403" t="s">
        <v>902</v>
      </c>
      <c r="E2625" s="403" t="s">
        <v>1404</v>
      </c>
      <c r="F2625" s="403" t="s">
        <v>1287</v>
      </c>
      <c r="G2625" s="403" t="s">
        <v>1466</v>
      </c>
      <c r="H2625" s="403" t="s">
        <v>1276</v>
      </c>
      <c r="I2625" s="403">
        <v>1</v>
      </c>
      <c r="J2625" s="403" t="s">
        <v>110</v>
      </c>
      <c r="K2625" s="403">
        <v>1920</v>
      </c>
      <c r="L2625" s="403">
        <v>1080</v>
      </c>
      <c r="M2625" s="403" t="s">
        <v>1298</v>
      </c>
      <c r="N2625" s="403">
        <v>768</v>
      </c>
      <c r="O2625" s="403">
        <v>432</v>
      </c>
      <c r="P2625" t="str">
        <f t="shared" si="321"/>
        <v>25fps 1080p - SD dual stream with independent ROI PTZ</v>
      </c>
      <c r="Q2625">
        <f t="shared" si="322"/>
        <v>14</v>
      </c>
      <c r="R2625" t="str">
        <f t="shared" si="323"/>
        <v/>
      </c>
      <c r="S2625" t="str">
        <f t="shared" si="324"/>
        <v/>
      </c>
      <c r="T2625" s="403" t="str">
        <f t="shared" si="325"/>
        <v>NBN-80052-BA</v>
      </c>
      <c r="U2625" s="403">
        <f t="shared" si="326"/>
        <v>1</v>
      </c>
      <c r="V2625" s="403" t="str">
        <f t="shared" si="327"/>
        <v>CPP_6</v>
      </c>
    </row>
    <row r="2626" spans="1:22">
      <c r="A2626" t="str">
        <f t="shared" ref="A2626:A2689" si="328">IF(AND(G2626&lt;&gt;"rotate 90°"),D2626,"")</f>
        <v>NBN-80052-BA</v>
      </c>
      <c r="B2626" s="403" t="s">
        <v>1391</v>
      </c>
      <c r="C2626" s="403" t="s">
        <v>584</v>
      </c>
      <c r="D2626" s="403" t="s">
        <v>902</v>
      </c>
      <c r="E2626" s="403" t="s">
        <v>1404</v>
      </c>
      <c r="F2626" s="403" t="s">
        <v>1287</v>
      </c>
      <c r="G2626" s="403" t="s">
        <v>1467</v>
      </c>
      <c r="H2626" s="403" t="s">
        <v>1276</v>
      </c>
      <c r="I2626" s="403">
        <v>1</v>
      </c>
      <c r="J2626" s="403" t="s">
        <v>110</v>
      </c>
      <c r="K2626" s="403">
        <v>1080</v>
      </c>
      <c r="L2626" s="403">
        <v>1920</v>
      </c>
      <c r="M2626" s="403" t="s">
        <v>111</v>
      </c>
      <c r="N2626" s="403">
        <v>432</v>
      </c>
      <c r="O2626" s="403">
        <v>768</v>
      </c>
      <c r="P2626" t="str">
        <f t="shared" ref="P2626:P2689" si="329">LEFT(F2626,5)&amp;" "&amp;J2626&amp;" - "&amp;M2626</f>
        <v>25fps 1080p - SD</v>
      </c>
      <c r="Q2626">
        <f t="shared" ref="Q2626:Q2689" si="330">IF(A2625=A2626,Q2625,Q2625+1)</f>
        <v>14</v>
      </c>
      <c r="R2626" t="str">
        <f t="shared" ref="R2626:R2689" si="331">IF(Q2625&lt;&gt;Q2626,Q2626,"")</f>
        <v/>
      </c>
      <c r="S2626" t="str">
        <f t="shared" ref="S2626:S2689" si="332">IF(R2626&lt;&gt;"",B2626&amp;" ("&amp;D2626&amp;")","")</f>
        <v/>
      </c>
      <c r="T2626" s="403" t="str">
        <f t="shared" ref="T2626:T2689" si="333">D2626</f>
        <v>NBN-80052-BA</v>
      </c>
      <c r="U2626" s="403">
        <f t="shared" ref="U2626:U2689" si="334">I2626</f>
        <v>1</v>
      </c>
      <c r="V2626" s="403" t="str">
        <f t="shared" ref="V2626:V2689" si="335">C2626</f>
        <v>CPP_6</v>
      </c>
    </row>
    <row r="2627" spans="1:22">
      <c r="A2627" t="str">
        <f t="shared" si="328"/>
        <v>NBN-80052-BA</v>
      </c>
      <c r="B2627" s="403" t="s">
        <v>1391</v>
      </c>
      <c r="C2627" s="403" t="s">
        <v>584</v>
      </c>
      <c r="D2627" s="403" t="s">
        <v>902</v>
      </c>
      <c r="E2627" s="403" t="s">
        <v>1404</v>
      </c>
      <c r="F2627" s="403" t="s">
        <v>1287</v>
      </c>
      <c r="G2627" s="403" t="s">
        <v>1467</v>
      </c>
      <c r="H2627" s="403" t="s">
        <v>1276</v>
      </c>
      <c r="I2627" s="403">
        <v>1</v>
      </c>
      <c r="J2627" s="403" t="s">
        <v>110</v>
      </c>
      <c r="K2627" s="403">
        <v>1080</v>
      </c>
      <c r="L2627" s="403">
        <v>1920</v>
      </c>
      <c r="M2627" s="403" t="s">
        <v>110</v>
      </c>
      <c r="N2627" s="403">
        <v>1080</v>
      </c>
      <c r="O2627" s="403">
        <v>1920</v>
      </c>
      <c r="P2627" t="str">
        <f t="shared" si="329"/>
        <v>25fps 1080p - 1080p</v>
      </c>
      <c r="Q2627">
        <f t="shared" si="330"/>
        <v>14</v>
      </c>
      <c r="R2627" t="str">
        <f t="shared" si="331"/>
        <v/>
      </c>
      <c r="S2627" t="str">
        <f t="shared" si="332"/>
        <v/>
      </c>
      <c r="T2627" s="403" t="str">
        <f t="shared" si="333"/>
        <v>NBN-80052-BA</v>
      </c>
      <c r="U2627" s="403">
        <f t="shared" si="334"/>
        <v>1</v>
      </c>
      <c r="V2627" s="403" t="str">
        <f t="shared" si="335"/>
        <v>CPP_6</v>
      </c>
    </row>
    <row r="2628" spans="1:22">
      <c r="A2628" t="str">
        <f t="shared" si="328"/>
        <v>NBN-80052-BA</v>
      </c>
      <c r="B2628" s="403" t="s">
        <v>1391</v>
      </c>
      <c r="C2628" s="403" t="s">
        <v>584</v>
      </c>
      <c r="D2628" s="403" t="s">
        <v>902</v>
      </c>
      <c r="E2628" s="403" t="s">
        <v>1404</v>
      </c>
      <c r="F2628" s="403" t="s">
        <v>1287</v>
      </c>
      <c r="G2628" s="403" t="s">
        <v>1467</v>
      </c>
      <c r="H2628" s="403" t="s">
        <v>1276</v>
      </c>
      <c r="I2628" s="403">
        <v>1</v>
      </c>
      <c r="J2628" s="403" t="s">
        <v>110</v>
      </c>
      <c r="K2628" s="403">
        <v>1080</v>
      </c>
      <c r="L2628" s="403">
        <v>1920</v>
      </c>
      <c r="M2628" s="403" t="s">
        <v>109</v>
      </c>
      <c r="N2628" s="403">
        <v>720</v>
      </c>
      <c r="O2628" s="403">
        <v>1280</v>
      </c>
      <c r="P2628" t="str">
        <f t="shared" si="329"/>
        <v>25fps 1080p - 720p</v>
      </c>
      <c r="Q2628">
        <f t="shared" si="330"/>
        <v>14</v>
      </c>
      <c r="R2628" t="str">
        <f t="shared" si="331"/>
        <v/>
      </c>
      <c r="S2628" t="str">
        <f t="shared" si="332"/>
        <v/>
      </c>
      <c r="T2628" s="403" t="str">
        <f t="shared" si="333"/>
        <v>NBN-80052-BA</v>
      </c>
      <c r="U2628" s="403">
        <f t="shared" si="334"/>
        <v>1</v>
      </c>
      <c r="V2628" s="403" t="str">
        <f t="shared" si="335"/>
        <v>CPP_6</v>
      </c>
    </row>
    <row r="2629" spans="1:22">
      <c r="A2629" t="str">
        <f t="shared" si="328"/>
        <v>NBN-80052-BA</v>
      </c>
      <c r="B2629" s="403" t="s">
        <v>1391</v>
      </c>
      <c r="C2629" s="403" t="s">
        <v>584</v>
      </c>
      <c r="D2629" s="403" t="s">
        <v>902</v>
      </c>
      <c r="E2629" s="403" t="s">
        <v>1404</v>
      </c>
      <c r="F2629" s="403" t="s">
        <v>1287</v>
      </c>
      <c r="G2629" s="403" t="s">
        <v>1467</v>
      </c>
      <c r="H2629" s="403" t="s">
        <v>1276</v>
      </c>
      <c r="I2629" s="403">
        <v>1</v>
      </c>
      <c r="J2629" s="403" t="s">
        <v>110</v>
      </c>
      <c r="K2629" s="403">
        <v>1080</v>
      </c>
      <c r="L2629" s="403">
        <v>1920</v>
      </c>
      <c r="M2629" s="403" t="s">
        <v>1279</v>
      </c>
      <c r="N2629" s="403">
        <v>432</v>
      </c>
      <c r="O2629" s="403">
        <v>768</v>
      </c>
      <c r="P2629" t="str">
        <f t="shared" si="329"/>
        <v>25fps 1080p - SD ROI PTZ</v>
      </c>
      <c r="Q2629">
        <f t="shared" si="330"/>
        <v>14</v>
      </c>
      <c r="R2629" t="str">
        <f t="shared" si="331"/>
        <v/>
      </c>
      <c r="S2629" t="str">
        <f t="shared" si="332"/>
        <v/>
      </c>
      <c r="T2629" s="403" t="str">
        <f t="shared" si="333"/>
        <v>NBN-80052-BA</v>
      </c>
      <c r="U2629" s="403">
        <f t="shared" si="334"/>
        <v>1</v>
      </c>
      <c r="V2629" s="403" t="str">
        <f t="shared" si="335"/>
        <v>CPP_6</v>
      </c>
    </row>
    <row r="2630" spans="1:22">
      <c r="A2630" t="str">
        <f t="shared" si="328"/>
        <v>NBN-80052-BA</v>
      </c>
      <c r="B2630" s="403" t="s">
        <v>1391</v>
      </c>
      <c r="C2630" s="403" t="s">
        <v>584</v>
      </c>
      <c r="D2630" s="403" t="s">
        <v>902</v>
      </c>
      <c r="E2630" s="403" t="s">
        <v>1404</v>
      </c>
      <c r="F2630" s="403" t="s">
        <v>1287</v>
      </c>
      <c r="G2630" s="403" t="s">
        <v>1467</v>
      </c>
      <c r="H2630" s="403" t="s">
        <v>1276</v>
      </c>
      <c r="I2630" s="403">
        <v>1</v>
      </c>
      <c r="J2630" s="403" t="s">
        <v>110</v>
      </c>
      <c r="K2630" s="403">
        <v>1080</v>
      </c>
      <c r="L2630" s="403">
        <v>1920</v>
      </c>
      <c r="M2630" s="403" t="s">
        <v>1302</v>
      </c>
      <c r="N2630" s="403">
        <v>720</v>
      </c>
      <c r="O2630" s="403">
        <v>400</v>
      </c>
      <c r="P2630" t="str">
        <f t="shared" si="329"/>
        <v>25fps 1080p - 400x720 upright (cropped)</v>
      </c>
      <c r="Q2630">
        <f t="shared" si="330"/>
        <v>14</v>
      </c>
      <c r="R2630" t="str">
        <f t="shared" si="331"/>
        <v/>
      </c>
      <c r="S2630" t="str">
        <f t="shared" si="332"/>
        <v/>
      </c>
      <c r="T2630" s="403" t="str">
        <f t="shared" si="333"/>
        <v>NBN-80052-BA</v>
      </c>
      <c r="U2630" s="403">
        <f t="shared" si="334"/>
        <v>1</v>
      </c>
      <c r="V2630" s="403" t="str">
        <f t="shared" si="335"/>
        <v>CPP_6</v>
      </c>
    </row>
    <row r="2631" spans="1:22">
      <c r="A2631" t="str">
        <f t="shared" si="328"/>
        <v>NBN-80052-BA</v>
      </c>
      <c r="B2631" s="403" t="s">
        <v>1391</v>
      </c>
      <c r="C2631" s="403" t="s">
        <v>584</v>
      </c>
      <c r="D2631" s="403" t="s">
        <v>902</v>
      </c>
      <c r="E2631" s="403" t="s">
        <v>1404</v>
      </c>
      <c r="F2631" s="403" t="s">
        <v>1287</v>
      </c>
      <c r="G2631" s="403" t="s">
        <v>1467</v>
      </c>
      <c r="H2631" s="403" t="s">
        <v>1276</v>
      </c>
      <c r="I2631" s="403">
        <v>1</v>
      </c>
      <c r="J2631" s="403" t="s">
        <v>110</v>
      </c>
      <c r="K2631" s="403">
        <v>1080</v>
      </c>
      <c r="L2631" s="403">
        <v>1920</v>
      </c>
      <c r="M2631" s="403" t="s">
        <v>1283</v>
      </c>
      <c r="N2631" s="403">
        <v>576</v>
      </c>
      <c r="O2631" s="403">
        <v>704</v>
      </c>
      <c r="P2631" t="str">
        <f t="shared" si="329"/>
        <v>25fps 1080p - SD 4CIF resolution 4:3 format (cropped)</v>
      </c>
      <c r="Q2631">
        <f t="shared" si="330"/>
        <v>14</v>
      </c>
      <c r="R2631" t="str">
        <f t="shared" si="331"/>
        <v/>
      </c>
      <c r="S2631" t="str">
        <f t="shared" si="332"/>
        <v/>
      </c>
      <c r="T2631" s="403" t="str">
        <f t="shared" si="333"/>
        <v>NBN-80052-BA</v>
      </c>
      <c r="U2631" s="403">
        <f t="shared" si="334"/>
        <v>1</v>
      </c>
      <c r="V2631" s="403" t="str">
        <f t="shared" si="335"/>
        <v>CPP_6</v>
      </c>
    </row>
    <row r="2632" spans="1:22">
      <c r="A2632" t="str">
        <f t="shared" si="328"/>
        <v>NBN-80052-BA</v>
      </c>
      <c r="B2632" s="403" t="s">
        <v>1391</v>
      </c>
      <c r="C2632" s="403" t="s">
        <v>584</v>
      </c>
      <c r="D2632" s="403" t="s">
        <v>902</v>
      </c>
      <c r="E2632" s="403" t="s">
        <v>1404</v>
      </c>
      <c r="F2632" s="403" t="s">
        <v>1287</v>
      </c>
      <c r="G2632" s="403" t="s">
        <v>1467</v>
      </c>
      <c r="H2632" s="403" t="s">
        <v>1276</v>
      </c>
      <c r="I2632" s="403">
        <v>1</v>
      </c>
      <c r="J2632" s="403" t="s">
        <v>110</v>
      </c>
      <c r="K2632" s="403">
        <v>1080</v>
      </c>
      <c r="L2632" s="403">
        <v>1920</v>
      </c>
      <c r="M2632" s="403" t="s">
        <v>1284</v>
      </c>
      <c r="N2632" s="403">
        <v>480</v>
      </c>
      <c r="O2632" s="403">
        <v>640</v>
      </c>
      <c r="P2632" t="str">
        <f t="shared" si="329"/>
        <v>25fps 1080p - SD VGA (cropped)</v>
      </c>
      <c r="Q2632">
        <f t="shared" si="330"/>
        <v>14</v>
      </c>
      <c r="R2632" t="str">
        <f t="shared" si="331"/>
        <v/>
      </c>
      <c r="S2632" t="str">
        <f t="shared" si="332"/>
        <v/>
      </c>
      <c r="T2632" s="403" t="str">
        <f t="shared" si="333"/>
        <v>NBN-80052-BA</v>
      </c>
      <c r="U2632" s="403">
        <f t="shared" si="334"/>
        <v>1</v>
      </c>
      <c r="V2632" s="403" t="str">
        <f t="shared" si="335"/>
        <v>CPP_6</v>
      </c>
    </row>
    <row r="2633" spans="1:22">
      <c r="A2633" t="str">
        <f t="shared" si="328"/>
        <v>NBN-80052-BA</v>
      </c>
      <c r="B2633" s="403" t="s">
        <v>1391</v>
      </c>
      <c r="C2633" s="403" t="s">
        <v>584</v>
      </c>
      <c r="D2633" s="403" t="s">
        <v>902</v>
      </c>
      <c r="E2633" s="403" t="s">
        <v>1404</v>
      </c>
      <c r="F2633" s="403" t="s">
        <v>1287</v>
      </c>
      <c r="G2633" s="403" t="s">
        <v>1467</v>
      </c>
      <c r="H2633" s="403" t="s">
        <v>1276</v>
      </c>
      <c r="I2633" s="403">
        <v>1</v>
      </c>
      <c r="J2633" s="403" t="s">
        <v>110</v>
      </c>
      <c r="K2633" s="403">
        <v>1080</v>
      </c>
      <c r="L2633" s="403">
        <v>1920</v>
      </c>
      <c r="M2633" s="403" t="s">
        <v>1298</v>
      </c>
      <c r="N2633" s="403">
        <v>432</v>
      </c>
      <c r="O2633" s="403">
        <v>768</v>
      </c>
      <c r="P2633" t="str">
        <f t="shared" si="329"/>
        <v>25fps 1080p - SD dual stream with independent ROI PTZ</v>
      </c>
      <c r="Q2633">
        <f t="shared" si="330"/>
        <v>14</v>
      </c>
      <c r="R2633" t="str">
        <f t="shared" si="331"/>
        <v/>
      </c>
      <c r="S2633" t="str">
        <f t="shared" si="332"/>
        <v/>
      </c>
      <c r="T2633" s="403" t="str">
        <f t="shared" si="333"/>
        <v>NBN-80052-BA</v>
      </c>
      <c r="U2633" s="403">
        <f t="shared" si="334"/>
        <v>1</v>
      </c>
      <c r="V2633" s="403" t="str">
        <f t="shared" si="335"/>
        <v>CPP_6</v>
      </c>
    </row>
    <row r="2634" spans="1:22">
      <c r="A2634" t="str">
        <f t="shared" si="328"/>
        <v>NBN-80122-CA</v>
      </c>
      <c r="B2634" s="403" t="s">
        <v>1320</v>
      </c>
      <c r="C2634" s="403" t="s">
        <v>584</v>
      </c>
      <c r="D2634" s="403" t="s">
        <v>1321</v>
      </c>
      <c r="E2634" s="403" t="s">
        <v>1322</v>
      </c>
      <c r="F2634" s="403" t="s">
        <v>1325</v>
      </c>
      <c r="G2634" s="403" t="s">
        <v>1466</v>
      </c>
      <c r="H2634" s="403" t="s">
        <v>1276</v>
      </c>
      <c r="I2634" s="403">
        <v>1</v>
      </c>
      <c r="J2634" s="403" t="s">
        <v>194</v>
      </c>
      <c r="K2634" s="403">
        <v>3840</v>
      </c>
      <c r="L2634" s="403">
        <v>2160</v>
      </c>
      <c r="M2634" s="403" t="s">
        <v>1280</v>
      </c>
      <c r="N2634" s="403">
        <v>3840</v>
      </c>
      <c r="O2634" s="403">
        <v>2160</v>
      </c>
      <c r="P2634" t="str">
        <f t="shared" si="329"/>
        <v>25fps 3840x2160 - copy other stream</v>
      </c>
      <c r="Q2634">
        <f t="shared" si="330"/>
        <v>15</v>
      </c>
      <c r="R2634">
        <f t="shared" si="331"/>
        <v>15</v>
      </c>
      <c r="S2634" t="str">
        <f t="shared" si="332"/>
        <v>DINION IP ultra 8000 MP (NBN-80122-CA)</v>
      </c>
      <c r="T2634" s="403" t="str">
        <f t="shared" si="333"/>
        <v>NBN-80122-CA</v>
      </c>
      <c r="U2634" s="403">
        <f t="shared" si="334"/>
        <v>1</v>
      </c>
      <c r="V2634" s="403" t="str">
        <f t="shared" si="335"/>
        <v>CPP_6</v>
      </c>
    </row>
    <row r="2635" spans="1:22">
      <c r="A2635" t="str">
        <f t="shared" si="328"/>
        <v>NBN-80122-CA</v>
      </c>
      <c r="B2635" s="403" t="s">
        <v>1320</v>
      </c>
      <c r="C2635" s="403" t="s">
        <v>584</v>
      </c>
      <c r="D2635" s="403" t="s">
        <v>1321</v>
      </c>
      <c r="E2635" s="403" t="s">
        <v>1322</v>
      </c>
      <c r="F2635" s="403" t="s">
        <v>1325</v>
      </c>
      <c r="G2635" s="403" t="s">
        <v>1466</v>
      </c>
      <c r="H2635" s="403" t="s">
        <v>1276</v>
      </c>
      <c r="I2635" s="403">
        <v>1</v>
      </c>
      <c r="J2635" s="403" t="s">
        <v>1324</v>
      </c>
      <c r="K2635" s="403">
        <v>3584</v>
      </c>
      <c r="L2635" s="403">
        <v>2016</v>
      </c>
      <c r="M2635" s="403" t="s">
        <v>111</v>
      </c>
      <c r="N2635" s="403">
        <v>768</v>
      </c>
      <c r="O2635" s="403">
        <v>432</v>
      </c>
      <c r="P2635" t="str">
        <f t="shared" si="329"/>
        <v>25fps 3584x2016 - SD</v>
      </c>
      <c r="Q2635">
        <f t="shared" si="330"/>
        <v>15</v>
      </c>
      <c r="R2635" t="str">
        <f t="shared" si="331"/>
        <v/>
      </c>
      <c r="S2635" t="str">
        <f t="shared" si="332"/>
        <v/>
      </c>
      <c r="T2635" s="403" t="str">
        <f t="shared" si="333"/>
        <v>NBN-80122-CA</v>
      </c>
      <c r="U2635" s="403">
        <f t="shared" si="334"/>
        <v>1</v>
      </c>
      <c r="V2635" s="403" t="str">
        <f t="shared" si="335"/>
        <v>CPP_6</v>
      </c>
    </row>
    <row r="2636" spans="1:22">
      <c r="A2636" t="str">
        <f t="shared" si="328"/>
        <v>NBN-80122-CA</v>
      </c>
      <c r="B2636" s="403" t="s">
        <v>1320</v>
      </c>
      <c r="C2636" s="403" t="s">
        <v>584</v>
      </c>
      <c r="D2636" s="403" t="s">
        <v>1321</v>
      </c>
      <c r="E2636" s="403" t="s">
        <v>1322</v>
      </c>
      <c r="F2636" s="403" t="s">
        <v>1325</v>
      </c>
      <c r="G2636" s="403" t="s">
        <v>1466</v>
      </c>
      <c r="H2636" s="403" t="s">
        <v>1276</v>
      </c>
      <c r="I2636" s="403">
        <v>1</v>
      </c>
      <c r="J2636" s="403" t="s">
        <v>1324</v>
      </c>
      <c r="K2636" s="403">
        <v>3584</v>
      </c>
      <c r="L2636" s="403">
        <v>2016</v>
      </c>
      <c r="M2636" s="403" t="s">
        <v>1279</v>
      </c>
      <c r="N2636" s="403">
        <v>768</v>
      </c>
      <c r="O2636" s="403">
        <v>432</v>
      </c>
      <c r="P2636" t="str">
        <f t="shared" si="329"/>
        <v>25fps 3584x2016 - SD ROI PTZ</v>
      </c>
      <c r="Q2636">
        <f t="shared" si="330"/>
        <v>15</v>
      </c>
      <c r="R2636" t="str">
        <f t="shared" si="331"/>
        <v/>
      </c>
      <c r="S2636" t="str">
        <f t="shared" si="332"/>
        <v/>
      </c>
      <c r="T2636" s="403" t="str">
        <f t="shared" si="333"/>
        <v>NBN-80122-CA</v>
      </c>
      <c r="U2636" s="403">
        <f t="shared" si="334"/>
        <v>1</v>
      </c>
      <c r="V2636" s="403" t="str">
        <f t="shared" si="335"/>
        <v>CPP_6</v>
      </c>
    </row>
    <row r="2637" spans="1:22">
      <c r="A2637" t="str">
        <f t="shared" si="328"/>
        <v>NBN-80122-CA</v>
      </c>
      <c r="B2637" s="403" t="s">
        <v>1320</v>
      </c>
      <c r="C2637" s="403" t="s">
        <v>584</v>
      </c>
      <c r="D2637" s="403" t="s">
        <v>1321</v>
      </c>
      <c r="E2637" s="403" t="s">
        <v>1322</v>
      </c>
      <c r="F2637" s="403" t="s">
        <v>1325</v>
      </c>
      <c r="G2637" s="403" t="s">
        <v>1466</v>
      </c>
      <c r="H2637" s="403" t="s">
        <v>1276</v>
      </c>
      <c r="I2637" s="403">
        <v>1</v>
      </c>
      <c r="J2637" s="403" t="s">
        <v>1324</v>
      </c>
      <c r="K2637" s="403">
        <v>3584</v>
      </c>
      <c r="L2637" s="403">
        <v>2016</v>
      </c>
      <c r="M2637" s="403" t="s">
        <v>1302</v>
      </c>
      <c r="N2637" s="403">
        <v>400</v>
      </c>
      <c r="O2637" s="403">
        <v>720</v>
      </c>
      <c r="P2637" t="str">
        <f t="shared" si="329"/>
        <v>25fps 3584x2016 - 400x720 upright (cropped)</v>
      </c>
      <c r="Q2637">
        <f t="shared" si="330"/>
        <v>15</v>
      </c>
      <c r="R2637" t="str">
        <f t="shared" si="331"/>
        <v/>
      </c>
      <c r="S2637" t="str">
        <f t="shared" si="332"/>
        <v/>
      </c>
      <c r="T2637" s="403" t="str">
        <f t="shared" si="333"/>
        <v>NBN-80122-CA</v>
      </c>
      <c r="U2637" s="403">
        <f t="shared" si="334"/>
        <v>1</v>
      </c>
      <c r="V2637" s="403" t="str">
        <f t="shared" si="335"/>
        <v>CPP_6</v>
      </c>
    </row>
    <row r="2638" spans="1:22">
      <c r="A2638" t="str">
        <f t="shared" si="328"/>
        <v>NBN-80122-CA</v>
      </c>
      <c r="B2638" s="403" t="s">
        <v>1320</v>
      </c>
      <c r="C2638" s="403" t="s">
        <v>584</v>
      </c>
      <c r="D2638" s="403" t="s">
        <v>1321</v>
      </c>
      <c r="E2638" s="403" t="s">
        <v>1322</v>
      </c>
      <c r="F2638" s="403" t="s">
        <v>1325</v>
      </c>
      <c r="G2638" s="403" t="s">
        <v>1466</v>
      </c>
      <c r="H2638" s="403" t="s">
        <v>1276</v>
      </c>
      <c r="I2638" s="403">
        <v>1</v>
      </c>
      <c r="J2638" s="403" t="s">
        <v>1324</v>
      </c>
      <c r="K2638" s="403">
        <v>3584</v>
      </c>
      <c r="L2638" s="403">
        <v>2016</v>
      </c>
      <c r="M2638" s="403" t="s">
        <v>1283</v>
      </c>
      <c r="N2638" s="403">
        <v>704</v>
      </c>
      <c r="O2638" s="403">
        <v>576</v>
      </c>
      <c r="P2638" t="str">
        <f t="shared" si="329"/>
        <v>25fps 3584x2016 - SD 4CIF resolution 4:3 format (cropped)</v>
      </c>
      <c r="Q2638">
        <f t="shared" si="330"/>
        <v>15</v>
      </c>
      <c r="R2638" t="str">
        <f t="shared" si="331"/>
        <v/>
      </c>
      <c r="S2638" t="str">
        <f t="shared" si="332"/>
        <v/>
      </c>
      <c r="T2638" s="403" t="str">
        <f t="shared" si="333"/>
        <v>NBN-80122-CA</v>
      </c>
      <c r="U2638" s="403">
        <f t="shared" si="334"/>
        <v>1</v>
      </c>
      <c r="V2638" s="403" t="str">
        <f t="shared" si="335"/>
        <v>CPP_6</v>
      </c>
    </row>
    <row r="2639" spans="1:22">
      <c r="A2639" t="str">
        <f t="shared" si="328"/>
        <v>NBN-80122-CA</v>
      </c>
      <c r="B2639" s="403" t="s">
        <v>1320</v>
      </c>
      <c r="C2639" s="403" t="s">
        <v>584</v>
      </c>
      <c r="D2639" s="403" t="s">
        <v>1321</v>
      </c>
      <c r="E2639" s="403" t="s">
        <v>1322</v>
      </c>
      <c r="F2639" s="403" t="s">
        <v>1325</v>
      </c>
      <c r="G2639" s="403" t="s">
        <v>1466</v>
      </c>
      <c r="H2639" s="403" t="s">
        <v>1276</v>
      </c>
      <c r="I2639" s="403">
        <v>1</v>
      </c>
      <c r="J2639" s="403" t="s">
        <v>1324</v>
      </c>
      <c r="K2639" s="403">
        <v>3584</v>
      </c>
      <c r="L2639" s="403">
        <v>2016</v>
      </c>
      <c r="M2639" s="403" t="s">
        <v>1284</v>
      </c>
      <c r="N2639" s="403">
        <v>640</v>
      </c>
      <c r="O2639" s="403">
        <v>480</v>
      </c>
      <c r="P2639" t="str">
        <f t="shared" si="329"/>
        <v>25fps 3584x2016 - SD VGA (cropped)</v>
      </c>
      <c r="Q2639">
        <f t="shared" si="330"/>
        <v>15</v>
      </c>
      <c r="R2639" t="str">
        <f t="shared" si="331"/>
        <v/>
      </c>
      <c r="S2639" t="str">
        <f t="shared" si="332"/>
        <v/>
      </c>
      <c r="T2639" s="403" t="str">
        <f t="shared" si="333"/>
        <v>NBN-80122-CA</v>
      </c>
      <c r="U2639" s="403">
        <f t="shared" si="334"/>
        <v>1</v>
      </c>
      <c r="V2639" s="403" t="str">
        <f t="shared" si="335"/>
        <v>CPP_6</v>
      </c>
    </row>
    <row r="2640" spans="1:22">
      <c r="A2640" t="str">
        <f t="shared" si="328"/>
        <v>NBN-80122-CA</v>
      </c>
      <c r="B2640" s="403" t="s">
        <v>1320</v>
      </c>
      <c r="C2640" s="403" t="s">
        <v>584</v>
      </c>
      <c r="D2640" s="403" t="s">
        <v>1321</v>
      </c>
      <c r="E2640" s="403" t="s">
        <v>1322</v>
      </c>
      <c r="F2640" s="403" t="s">
        <v>1325</v>
      </c>
      <c r="G2640" s="403" t="s">
        <v>1466</v>
      </c>
      <c r="H2640" s="403" t="s">
        <v>1276</v>
      </c>
      <c r="I2640" s="403">
        <v>1</v>
      </c>
      <c r="J2640" s="403" t="s">
        <v>1324</v>
      </c>
      <c r="K2640" s="403">
        <v>3584</v>
      </c>
      <c r="L2640" s="403">
        <v>2016</v>
      </c>
      <c r="M2640" s="403" t="s">
        <v>1280</v>
      </c>
      <c r="N2640" s="403">
        <v>3584</v>
      </c>
      <c r="O2640" s="403">
        <v>2016</v>
      </c>
      <c r="P2640" t="str">
        <f t="shared" si="329"/>
        <v>25fps 3584x2016 - copy other stream</v>
      </c>
      <c r="Q2640">
        <f t="shared" si="330"/>
        <v>15</v>
      </c>
      <c r="R2640" t="str">
        <f t="shared" si="331"/>
        <v/>
      </c>
      <c r="S2640" t="str">
        <f t="shared" si="332"/>
        <v/>
      </c>
      <c r="T2640" s="403" t="str">
        <f t="shared" si="333"/>
        <v>NBN-80122-CA</v>
      </c>
      <c r="U2640" s="403">
        <f t="shared" si="334"/>
        <v>1</v>
      </c>
      <c r="V2640" s="403" t="str">
        <f t="shared" si="335"/>
        <v>CPP_6</v>
      </c>
    </row>
    <row r="2641" spans="1:22">
      <c r="A2641" t="str">
        <f t="shared" si="328"/>
        <v>NBN-80122-CA</v>
      </c>
      <c r="B2641" s="403" t="s">
        <v>1320</v>
      </c>
      <c r="C2641" s="403" t="s">
        <v>584</v>
      </c>
      <c r="D2641" s="403" t="s">
        <v>1321</v>
      </c>
      <c r="E2641" s="403" t="s">
        <v>1322</v>
      </c>
      <c r="F2641" s="403" t="s">
        <v>1325</v>
      </c>
      <c r="G2641" s="403" t="s">
        <v>1466</v>
      </c>
      <c r="H2641" s="403" t="s">
        <v>1276</v>
      </c>
      <c r="I2641" s="403">
        <v>1</v>
      </c>
      <c r="J2641" s="403" t="s">
        <v>1324</v>
      </c>
      <c r="K2641" s="403">
        <v>3584</v>
      </c>
      <c r="L2641" s="403">
        <v>2016</v>
      </c>
      <c r="M2641" s="403" t="s">
        <v>1298</v>
      </c>
      <c r="N2641" s="403">
        <v>768</v>
      </c>
      <c r="O2641" s="403">
        <v>432</v>
      </c>
      <c r="P2641" t="str">
        <f t="shared" si="329"/>
        <v>25fps 3584x2016 - SD dual stream with independent ROI PTZ</v>
      </c>
      <c r="Q2641">
        <f t="shared" si="330"/>
        <v>15</v>
      </c>
      <c r="R2641" t="str">
        <f t="shared" si="331"/>
        <v/>
      </c>
      <c r="S2641" t="str">
        <f t="shared" si="332"/>
        <v/>
      </c>
      <c r="T2641" s="403" t="str">
        <f t="shared" si="333"/>
        <v>NBN-80122-CA</v>
      </c>
      <c r="U2641" s="403">
        <f t="shared" si="334"/>
        <v>1</v>
      </c>
      <c r="V2641" s="403" t="str">
        <f t="shared" si="335"/>
        <v>CPP_6</v>
      </c>
    </row>
    <row r="2642" spans="1:22">
      <c r="A2642" t="str">
        <f t="shared" si="328"/>
        <v>NBN-80122-CA</v>
      </c>
      <c r="B2642" s="403" t="s">
        <v>1320</v>
      </c>
      <c r="C2642" s="403" t="s">
        <v>584</v>
      </c>
      <c r="D2642" s="403" t="s">
        <v>1321</v>
      </c>
      <c r="E2642" s="403" t="s">
        <v>1322</v>
      </c>
      <c r="F2642" s="403" t="s">
        <v>1325</v>
      </c>
      <c r="G2642" s="403" t="s">
        <v>1466</v>
      </c>
      <c r="H2642" s="403" t="s">
        <v>1276</v>
      </c>
      <c r="I2642" s="403">
        <v>1</v>
      </c>
      <c r="J2642" s="403" t="s">
        <v>110</v>
      </c>
      <c r="K2642" s="403">
        <v>1920</v>
      </c>
      <c r="L2642" s="403">
        <v>1080</v>
      </c>
      <c r="M2642" s="403" t="s">
        <v>111</v>
      </c>
      <c r="N2642" s="403">
        <v>768</v>
      </c>
      <c r="O2642" s="403">
        <v>432</v>
      </c>
      <c r="P2642" t="str">
        <f t="shared" si="329"/>
        <v>25fps 1080p - SD</v>
      </c>
      <c r="Q2642">
        <f t="shared" si="330"/>
        <v>15</v>
      </c>
      <c r="R2642" t="str">
        <f t="shared" si="331"/>
        <v/>
      </c>
      <c r="S2642" t="str">
        <f t="shared" si="332"/>
        <v/>
      </c>
      <c r="T2642" s="403" t="str">
        <f t="shared" si="333"/>
        <v>NBN-80122-CA</v>
      </c>
      <c r="U2642" s="403">
        <f t="shared" si="334"/>
        <v>1</v>
      </c>
      <c r="V2642" s="403" t="str">
        <f t="shared" si="335"/>
        <v>CPP_6</v>
      </c>
    </row>
    <row r="2643" spans="1:22">
      <c r="A2643" t="str">
        <f t="shared" si="328"/>
        <v>NBN-80122-CA</v>
      </c>
      <c r="B2643" s="403" t="s">
        <v>1320</v>
      </c>
      <c r="C2643" s="403" t="s">
        <v>584</v>
      </c>
      <c r="D2643" s="403" t="s">
        <v>1321</v>
      </c>
      <c r="E2643" s="403" t="s">
        <v>1322</v>
      </c>
      <c r="F2643" s="403" t="s">
        <v>1325</v>
      </c>
      <c r="G2643" s="403" t="s">
        <v>1466</v>
      </c>
      <c r="H2643" s="403" t="s">
        <v>1276</v>
      </c>
      <c r="I2643" s="403">
        <v>1</v>
      </c>
      <c r="J2643" s="403" t="s">
        <v>110</v>
      </c>
      <c r="K2643" s="403">
        <v>1920</v>
      </c>
      <c r="L2643" s="403">
        <v>1080</v>
      </c>
      <c r="M2643" s="403" t="s">
        <v>110</v>
      </c>
      <c r="N2643" s="403">
        <v>1920</v>
      </c>
      <c r="O2643" s="403">
        <v>1080</v>
      </c>
      <c r="P2643" t="str">
        <f t="shared" si="329"/>
        <v>25fps 1080p - 1080p</v>
      </c>
      <c r="Q2643">
        <f t="shared" si="330"/>
        <v>15</v>
      </c>
      <c r="R2643" t="str">
        <f t="shared" si="331"/>
        <v/>
      </c>
      <c r="S2643" t="str">
        <f t="shared" si="332"/>
        <v/>
      </c>
      <c r="T2643" s="403" t="str">
        <f t="shared" si="333"/>
        <v>NBN-80122-CA</v>
      </c>
      <c r="U2643" s="403">
        <f t="shared" si="334"/>
        <v>1</v>
      </c>
      <c r="V2643" s="403" t="str">
        <f t="shared" si="335"/>
        <v>CPP_6</v>
      </c>
    </row>
    <row r="2644" spans="1:22">
      <c r="A2644" t="str">
        <f t="shared" si="328"/>
        <v>NBN-80122-CA</v>
      </c>
      <c r="B2644" s="403" t="s">
        <v>1320</v>
      </c>
      <c r="C2644" s="403" t="s">
        <v>584</v>
      </c>
      <c r="D2644" s="403" t="s">
        <v>1321</v>
      </c>
      <c r="E2644" s="403" t="s">
        <v>1322</v>
      </c>
      <c r="F2644" s="403" t="s">
        <v>1325</v>
      </c>
      <c r="G2644" s="403" t="s">
        <v>1466</v>
      </c>
      <c r="H2644" s="403" t="s">
        <v>1276</v>
      </c>
      <c r="I2644" s="403">
        <v>1</v>
      </c>
      <c r="J2644" s="403" t="s">
        <v>110</v>
      </c>
      <c r="K2644" s="403">
        <v>1920</v>
      </c>
      <c r="L2644" s="403">
        <v>1080</v>
      </c>
      <c r="M2644" s="403" t="s">
        <v>109</v>
      </c>
      <c r="N2644" s="403">
        <v>1280</v>
      </c>
      <c r="O2644" s="403">
        <v>720</v>
      </c>
      <c r="P2644" t="str">
        <f t="shared" si="329"/>
        <v>25fps 1080p - 720p</v>
      </c>
      <c r="Q2644">
        <f t="shared" si="330"/>
        <v>15</v>
      </c>
      <c r="R2644" t="str">
        <f t="shared" si="331"/>
        <v/>
      </c>
      <c r="S2644" t="str">
        <f t="shared" si="332"/>
        <v/>
      </c>
      <c r="T2644" s="403" t="str">
        <f t="shared" si="333"/>
        <v>NBN-80122-CA</v>
      </c>
      <c r="U2644" s="403">
        <f t="shared" si="334"/>
        <v>1</v>
      </c>
      <c r="V2644" s="403" t="str">
        <f t="shared" si="335"/>
        <v>CPP_6</v>
      </c>
    </row>
    <row r="2645" spans="1:22">
      <c r="A2645" t="str">
        <f t="shared" si="328"/>
        <v>NBN-80122-CA</v>
      </c>
      <c r="B2645" s="403" t="s">
        <v>1320</v>
      </c>
      <c r="C2645" s="403" t="s">
        <v>584</v>
      </c>
      <c r="D2645" s="403" t="s">
        <v>1321</v>
      </c>
      <c r="E2645" s="403" t="s">
        <v>1322</v>
      </c>
      <c r="F2645" s="403" t="s">
        <v>1325</v>
      </c>
      <c r="G2645" s="403" t="s">
        <v>1466</v>
      </c>
      <c r="H2645" s="403" t="s">
        <v>1276</v>
      </c>
      <c r="I2645" s="403">
        <v>1</v>
      </c>
      <c r="J2645" s="403" t="s">
        <v>110</v>
      </c>
      <c r="K2645" s="403">
        <v>1920</v>
      </c>
      <c r="L2645" s="403">
        <v>1080</v>
      </c>
      <c r="M2645" s="403" t="s">
        <v>1279</v>
      </c>
      <c r="N2645" s="403">
        <v>768</v>
      </c>
      <c r="O2645" s="403">
        <v>432</v>
      </c>
      <c r="P2645" t="str">
        <f t="shared" si="329"/>
        <v>25fps 1080p - SD ROI PTZ</v>
      </c>
      <c r="Q2645">
        <f t="shared" si="330"/>
        <v>15</v>
      </c>
      <c r="R2645" t="str">
        <f t="shared" si="331"/>
        <v/>
      </c>
      <c r="S2645" t="str">
        <f t="shared" si="332"/>
        <v/>
      </c>
      <c r="T2645" s="403" t="str">
        <f t="shared" si="333"/>
        <v>NBN-80122-CA</v>
      </c>
      <c r="U2645" s="403">
        <f t="shared" si="334"/>
        <v>1</v>
      </c>
      <c r="V2645" s="403" t="str">
        <f t="shared" si="335"/>
        <v>CPP_6</v>
      </c>
    </row>
    <row r="2646" spans="1:22">
      <c r="A2646" t="str">
        <f t="shared" si="328"/>
        <v>NBN-80122-CA</v>
      </c>
      <c r="B2646" s="403" t="s">
        <v>1320</v>
      </c>
      <c r="C2646" s="403" t="s">
        <v>584</v>
      </c>
      <c r="D2646" s="403" t="s">
        <v>1321</v>
      </c>
      <c r="E2646" s="403" t="s">
        <v>1322</v>
      </c>
      <c r="F2646" s="403" t="s">
        <v>1325</v>
      </c>
      <c r="G2646" s="403" t="s">
        <v>1466</v>
      </c>
      <c r="H2646" s="403" t="s">
        <v>1276</v>
      </c>
      <c r="I2646" s="403">
        <v>1</v>
      </c>
      <c r="J2646" s="403" t="s">
        <v>110</v>
      </c>
      <c r="K2646" s="403">
        <v>1920</v>
      </c>
      <c r="L2646" s="403">
        <v>1080</v>
      </c>
      <c r="M2646" s="403" t="s">
        <v>1302</v>
      </c>
      <c r="N2646" s="403">
        <v>400</v>
      </c>
      <c r="O2646" s="403">
        <v>720</v>
      </c>
      <c r="P2646" t="str">
        <f t="shared" si="329"/>
        <v>25fps 1080p - 400x720 upright (cropped)</v>
      </c>
      <c r="Q2646">
        <f t="shared" si="330"/>
        <v>15</v>
      </c>
      <c r="R2646" t="str">
        <f t="shared" si="331"/>
        <v/>
      </c>
      <c r="S2646" t="str">
        <f t="shared" si="332"/>
        <v/>
      </c>
      <c r="T2646" s="403" t="str">
        <f t="shared" si="333"/>
        <v>NBN-80122-CA</v>
      </c>
      <c r="U2646" s="403">
        <f t="shared" si="334"/>
        <v>1</v>
      </c>
      <c r="V2646" s="403" t="str">
        <f t="shared" si="335"/>
        <v>CPP_6</v>
      </c>
    </row>
    <row r="2647" spans="1:22">
      <c r="A2647" t="str">
        <f t="shared" si="328"/>
        <v>NBN-80122-CA</v>
      </c>
      <c r="B2647" s="403" t="s">
        <v>1320</v>
      </c>
      <c r="C2647" s="403" t="s">
        <v>584</v>
      </c>
      <c r="D2647" s="403" t="s">
        <v>1321</v>
      </c>
      <c r="E2647" s="403" t="s">
        <v>1322</v>
      </c>
      <c r="F2647" s="403" t="s">
        <v>1325</v>
      </c>
      <c r="G2647" s="403" t="s">
        <v>1466</v>
      </c>
      <c r="H2647" s="403" t="s">
        <v>1276</v>
      </c>
      <c r="I2647" s="403">
        <v>1</v>
      </c>
      <c r="J2647" s="403" t="s">
        <v>110</v>
      </c>
      <c r="K2647" s="403">
        <v>1920</v>
      </c>
      <c r="L2647" s="403">
        <v>1080</v>
      </c>
      <c r="M2647" s="403" t="s">
        <v>1283</v>
      </c>
      <c r="N2647" s="403">
        <v>704</v>
      </c>
      <c r="O2647" s="403">
        <v>576</v>
      </c>
      <c r="P2647" t="str">
        <f t="shared" si="329"/>
        <v>25fps 1080p - SD 4CIF resolution 4:3 format (cropped)</v>
      </c>
      <c r="Q2647">
        <f t="shared" si="330"/>
        <v>15</v>
      </c>
      <c r="R2647" t="str">
        <f t="shared" si="331"/>
        <v/>
      </c>
      <c r="S2647" t="str">
        <f t="shared" si="332"/>
        <v/>
      </c>
      <c r="T2647" s="403" t="str">
        <f t="shared" si="333"/>
        <v>NBN-80122-CA</v>
      </c>
      <c r="U2647" s="403">
        <f t="shared" si="334"/>
        <v>1</v>
      </c>
      <c r="V2647" s="403" t="str">
        <f t="shared" si="335"/>
        <v>CPP_6</v>
      </c>
    </row>
    <row r="2648" spans="1:22">
      <c r="A2648" t="str">
        <f t="shared" si="328"/>
        <v>NBN-80122-CA</v>
      </c>
      <c r="B2648" s="403" t="s">
        <v>1320</v>
      </c>
      <c r="C2648" s="403" t="s">
        <v>584</v>
      </c>
      <c r="D2648" s="403" t="s">
        <v>1321</v>
      </c>
      <c r="E2648" s="403" t="s">
        <v>1322</v>
      </c>
      <c r="F2648" s="403" t="s">
        <v>1325</v>
      </c>
      <c r="G2648" s="403" t="s">
        <v>1466</v>
      </c>
      <c r="H2648" s="403" t="s">
        <v>1276</v>
      </c>
      <c r="I2648" s="403">
        <v>1</v>
      </c>
      <c r="J2648" s="403" t="s">
        <v>110</v>
      </c>
      <c r="K2648" s="403">
        <v>1920</v>
      </c>
      <c r="L2648" s="403">
        <v>1080</v>
      </c>
      <c r="M2648" s="403" t="s">
        <v>1284</v>
      </c>
      <c r="N2648" s="403">
        <v>640</v>
      </c>
      <c r="O2648" s="403">
        <v>480</v>
      </c>
      <c r="P2648" t="str">
        <f t="shared" si="329"/>
        <v>25fps 1080p - SD VGA (cropped)</v>
      </c>
      <c r="Q2648">
        <f t="shared" si="330"/>
        <v>15</v>
      </c>
      <c r="R2648" t="str">
        <f t="shared" si="331"/>
        <v/>
      </c>
      <c r="S2648" t="str">
        <f t="shared" si="332"/>
        <v/>
      </c>
      <c r="T2648" s="403" t="str">
        <f t="shared" si="333"/>
        <v>NBN-80122-CA</v>
      </c>
      <c r="U2648" s="403">
        <f t="shared" si="334"/>
        <v>1</v>
      </c>
      <c r="V2648" s="403" t="str">
        <f t="shared" si="335"/>
        <v>CPP_6</v>
      </c>
    </row>
    <row r="2649" spans="1:22">
      <c r="A2649" t="str">
        <f t="shared" si="328"/>
        <v>NBN-80122-CA</v>
      </c>
      <c r="B2649" s="403" t="s">
        <v>1320</v>
      </c>
      <c r="C2649" s="403" t="s">
        <v>584</v>
      </c>
      <c r="D2649" s="403" t="s">
        <v>1321</v>
      </c>
      <c r="E2649" s="403" t="s">
        <v>1322</v>
      </c>
      <c r="F2649" s="403" t="s">
        <v>1325</v>
      </c>
      <c r="G2649" s="403" t="s">
        <v>1466</v>
      </c>
      <c r="H2649" s="403" t="s">
        <v>1276</v>
      </c>
      <c r="I2649" s="403">
        <v>1</v>
      </c>
      <c r="J2649" s="403" t="s">
        <v>110</v>
      </c>
      <c r="K2649" s="403">
        <v>1920</v>
      </c>
      <c r="L2649" s="403">
        <v>1080</v>
      </c>
      <c r="M2649" s="403" t="s">
        <v>1298</v>
      </c>
      <c r="N2649" s="403">
        <v>768</v>
      </c>
      <c r="O2649" s="403">
        <v>432</v>
      </c>
      <c r="P2649" t="str">
        <f t="shared" si="329"/>
        <v>25fps 1080p - SD dual stream with independent ROI PTZ</v>
      </c>
      <c r="Q2649">
        <f t="shared" si="330"/>
        <v>15</v>
      </c>
      <c r="R2649" t="str">
        <f t="shared" si="331"/>
        <v/>
      </c>
      <c r="S2649" t="str">
        <f t="shared" si="332"/>
        <v/>
      </c>
      <c r="T2649" s="403" t="str">
        <f t="shared" si="333"/>
        <v>NBN-80122-CA</v>
      </c>
      <c r="U2649" s="403">
        <f t="shared" si="334"/>
        <v>1</v>
      </c>
      <c r="V2649" s="403" t="str">
        <f t="shared" si="335"/>
        <v>CPP_6</v>
      </c>
    </row>
    <row r="2650" spans="1:22">
      <c r="A2650" t="str">
        <f t="shared" si="328"/>
        <v>NBN-80122-CA</v>
      </c>
      <c r="B2650" s="403" t="s">
        <v>1320</v>
      </c>
      <c r="C2650" s="403" t="s">
        <v>584</v>
      </c>
      <c r="D2650" s="403" t="s">
        <v>1321</v>
      </c>
      <c r="E2650" s="403" t="s">
        <v>1322</v>
      </c>
      <c r="F2650" s="403" t="s">
        <v>1325</v>
      </c>
      <c r="G2650" s="403" t="s">
        <v>1467</v>
      </c>
      <c r="H2650" s="403" t="s">
        <v>1276</v>
      </c>
      <c r="I2650" s="403">
        <v>1</v>
      </c>
      <c r="J2650" s="403" t="s">
        <v>194</v>
      </c>
      <c r="K2650" s="403">
        <v>2160</v>
      </c>
      <c r="L2650" s="403">
        <v>3840</v>
      </c>
      <c r="M2650" s="403" t="s">
        <v>1280</v>
      </c>
      <c r="N2650" s="403">
        <v>2160</v>
      </c>
      <c r="O2650" s="403">
        <v>3840</v>
      </c>
      <c r="P2650" t="str">
        <f t="shared" si="329"/>
        <v>25fps 3840x2160 - copy other stream</v>
      </c>
      <c r="Q2650">
        <f t="shared" si="330"/>
        <v>15</v>
      </c>
      <c r="R2650" t="str">
        <f t="shared" si="331"/>
        <v/>
      </c>
      <c r="S2650" t="str">
        <f t="shared" si="332"/>
        <v/>
      </c>
      <c r="T2650" s="403" t="str">
        <f t="shared" si="333"/>
        <v>NBN-80122-CA</v>
      </c>
      <c r="U2650" s="403">
        <f t="shared" si="334"/>
        <v>1</v>
      </c>
      <c r="V2650" s="403" t="str">
        <f t="shared" si="335"/>
        <v>CPP_6</v>
      </c>
    </row>
    <row r="2651" spans="1:22">
      <c r="A2651" t="str">
        <f t="shared" si="328"/>
        <v>NBN-80122-CA</v>
      </c>
      <c r="B2651" s="403" t="s">
        <v>1320</v>
      </c>
      <c r="C2651" s="403" t="s">
        <v>584</v>
      </c>
      <c r="D2651" s="403" t="s">
        <v>1321</v>
      </c>
      <c r="E2651" s="403" t="s">
        <v>1322</v>
      </c>
      <c r="F2651" s="403" t="s">
        <v>1325</v>
      </c>
      <c r="G2651" s="403" t="s">
        <v>1467</v>
      </c>
      <c r="H2651" s="403" t="s">
        <v>1276</v>
      </c>
      <c r="I2651" s="403">
        <v>1</v>
      </c>
      <c r="J2651" s="403" t="s">
        <v>1324</v>
      </c>
      <c r="K2651" s="403">
        <v>2016</v>
      </c>
      <c r="L2651" s="403">
        <v>3584</v>
      </c>
      <c r="M2651" s="403" t="s">
        <v>111</v>
      </c>
      <c r="N2651" s="403">
        <v>432</v>
      </c>
      <c r="O2651" s="403">
        <v>768</v>
      </c>
      <c r="P2651" t="str">
        <f t="shared" si="329"/>
        <v>25fps 3584x2016 - SD</v>
      </c>
      <c r="Q2651">
        <f t="shared" si="330"/>
        <v>15</v>
      </c>
      <c r="R2651" t="str">
        <f t="shared" si="331"/>
        <v/>
      </c>
      <c r="S2651" t="str">
        <f t="shared" si="332"/>
        <v/>
      </c>
      <c r="T2651" s="403" t="str">
        <f t="shared" si="333"/>
        <v>NBN-80122-CA</v>
      </c>
      <c r="U2651" s="403">
        <f t="shared" si="334"/>
        <v>1</v>
      </c>
      <c r="V2651" s="403" t="str">
        <f t="shared" si="335"/>
        <v>CPP_6</v>
      </c>
    </row>
    <row r="2652" spans="1:22">
      <c r="A2652" t="str">
        <f t="shared" si="328"/>
        <v>NBN-80122-CA</v>
      </c>
      <c r="B2652" s="403" t="s">
        <v>1320</v>
      </c>
      <c r="C2652" s="403" t="s">
        <v>584</v>
      </c>
      <c r="D2652" s="403" t="s">
        <v>1321</v>
      </c>
      <c r="E2652" s="403" t="s">
        <v>1322</v>
      </c>
      <c r="F2652" s="403" t="s">
        <v>1325</v>
      </c>
      <c r="G2652" s="403" t="s">
        <v>1467</v>
      </c>
      <c r="H2652" s="403" t="s">
        <v>1276</v>
      </c>
      <c r="I2652" s="403">
        <v>1</v>
      </c>
      <c r="J2652" s="403" t="s">
        <v>1324</v>
      </c>
      <c r="K2652" s="403">
        <v>2016</v>
      </c>
      <c r="L2652" s="403">
        <v>3584</v>
      </c>
      <c r="M2652" s="403" t="s">
        <v>1279</v>
      </c>
      <c r="N2652" s="403">
        <v>432</v>
      </c>
      <c r="O2652" s="403">
        <v>768</v>
      </c>
      <c r="P2652" t="str">
        <f t="shared" si="329"/>
        <v>25fps 3584x2016 - SD ROI PTZ</v>
      </c>
      <c r="Q2652">
        <f t="shared" si="330"/>
        <v>15</v>
      </c>
      <c r="R2652" t="str">
        <f t="shared" si="331"/>
        <v/>
      </c>
      <c r="S2652" t="str">
        <f t="shared" si="332"/>
        <v/>
      </c>
      <c r="T2652" s="403" t="str">
        <f t="shared" si="333"/>
        <v>NBN-80122-CA</v>
      </c>
      <c r="U2652" s="403">
        <f t="shared" si="334"/>
        <v>1</v>
      </c>
      <c r="V2652" s="403" t="str">
        <f t="shared" si="335"/>
        <v>CPP_6</v>
      </c>
    </row>
    <row r="2653" spans="1:22">
      <c r="A2653" t="str">
        <f t="shared" si="328"/>
        <v>NBN-80122-CA</v>
      </c>
      <c r="B2653" s="403" t="s">
        <v>1320</v>
      </c>
      <c r="C2653" s="403" t="s">
        <v>584</v>
      </c>
      <c r="D2653" s="403" t="s">
        <v>1321</v>
      </c>
      <c r="E2653" s="403" t="s">
        <v>1322</v>
      </c>
      <c r="F2653" s="403" t="s">
        <v>1325</v>
      </c>
      <c r="G2653" s="403" t="s">
        <v>1467</v>
      </c>
      <c r="H2653" s="403" t="s">
        <v>1276</v>
      </c>
      <c r="I2653" s="403">
        <v>1</v>
      </c>
      <c r="J2653" s="403" t="s">
        <v>1324</v>
      </c>
      <c r="K2653" s="403">
        <v>2016</v>
      </c>
      <c r="L2653" s="403">
        <v>3584</v>
      </c>
      <c r="M2653" s="403" t="s">
        <v>1302</v>
      </c>
      <c r="N2653" s="403">
        <v>720</v>
      </c>
      <c r="O2653" s="403">
        <v>400</v>
      </c>
      <c r="P2653" t="str">
        <f t="shared" si="329"/>
        <v>25fps 3584x2016 - 400x720 upright (cropped)</v>
      </c>
      <c r="Q2653">
        <f t="shared" si="330"/>
        <v>15</v>
      </c>
      <c r="R2653" t="str">
        <f t="shared" si="331"/>
        <v/>
      </c>
      <c r="S2653" t="str">
        <f t="shared" si="332"/>
        <v/>
      </c>
      <c r="T2653" s="403" t="str">
        <f t="shared" si="333"/>
        <v>NBN-80122-CA</v>
      </c>
      <c r="U2653" s="403">
        <f t="shared" si="334"/>
        <v>1</v>
      </c>
      <c r="V2653" s="403" t="str">
        <f t="shared" si="335"/>
        <v>CPP_6</v>
      </c>
    </row>
    <row r="2654" spans="1:22">
      <c r="A2654" t="str">
        <f t="shared" si="328"/>
        <v>NBN-80122-CA</v>
      </c>
      <c r="B2654" s="403" t="s">
        <v>1320</v>
      </c>
      <c r="C2654" s="403" t="s">
        <v>584</v>
      </c>
      <c r="D2654" s="403" t="s">
        <v>1321</v>
      </c>
      <c r="E2654" s="403" t="s">
        <v>1322</v>
      </c>
      <c r="F2654" s="403" t="s">
        <v>1325</v>
      </c>
      <c r="G2654" s="403" t="s">
        <v>1467</v>
      </c>
      <c r="H2654" s="403" t="s">
        <v>1276</v>
      </c>
      <c r="I2654" s="403">
        <v>1</v>
      </c>
      <c r="J2654" s="403" t="s">
        <v>1324</v>
      </c>
      <c r="K2654" s="403">
        <v>2016</v>
      </c>
      <c r="L2654" s="403">
        <v>3584</v>
      </c>
      <c r="M2654" s="403" t="s">
        <v>1283</v>
      </c>
      <c r="N2654" s="403">
        <v>576</v>
      </c>
      <c r="O2654" s="403">
        <v>704</v>
      </c>
      <c r="P2654" t="str">
        <f t="shared" si="329"/>
        <v>25fps 3584x2016 - SD 4CIF resolution 4:3 format (cropped)</v>
      </c>
      <c r="Q2654">
        <f t="shared" si="330"/>
        <v>15</v>
      </c>
      <c r="R2654" t="str">
        <f t="shared" si="331"/>
        <v/>
      </c>
      <c r="S2654" t="str">
        <f t="shared" si="332"/>
        <v/>
      </c>
      <c r="T2654" s="403" t="str">
        <f t="shared" si="333"/>
        <v>NBN-80122-CA</v>
      </c>
      <c r="U2654" s="403">
        <f t="shared" si="334"/>
        <v>1</v>
      </c>
      <c r="V2654" s="403" t="str">
        <f t="shared" si="335"/>
        <v>CPP_6</v>
      </c>
    </row>
    <row r="2655" spans="1:22">
      <c r="A2655" t="str">
        <f t="shared" si="328"/>
        <v>NBN-80122-CA</v>
      </c>
      <c r="B2655" s="403" t="s">
        <v>1320</v>
      </c>
      <c r="C2655" s="403" t="s">
        <v>584</v>
      </c>
      <c r="D2655" s="403" t="s">
        <v>1321</v>
      </c>
      <c r="E2655" s="403" t="s">
        <v>1322</v>
      </c>
      <c r="F2655" s="403" t="s">
        <v>1325</v>
      </c>
      <c r="G2655" s="403" t="s">
        <v>1467</v>
      </c>
      <c r="H2655" s="403" t="s">
        <v>1276</v>
      </c>
      <c r="I2655" s="403">
        <v>1</v>
      </c>
      <c r="J2655" s="403" t="s">
        <v>1324</v>
      </c>
      <c r="K2655" s="403">
        <v>2016</v>
      </c>
      <c r="L2655" s="403">
        <v>3584</v>
      </c>
      <c r="M2655" s="403" t="s">
        <v>1284</v>
      </c>
      <c r="N2655" s="403">
        <v>480</v>
      </c>
      <c r="O2655" s="403">
        <v>640</v>
      </c>
      <c r="P2655" t="str">
        <f t="shared" si="329"/>
        <v>25fps 3584x2016 - SD VGA (cropped)</v>
      </c>
      <c r="Q2655">
        <f t="shared" si="330"/>
        <v>15</v>
      </c>
      <c r="R2655" t="str">
        <f t="shared" si="331"/>
        <v/>
      </c>
      <c r="S2655" t="str">
        <f t="shared" si="332"/>
        <v/>
      </c>
      <c r="T2655" s="403" t="str">
        <f t="shared" si="333"/>
        <v>NBN-80122-CA</v>
      </c>
      <c r="U2655" s="403">
        <f t="shared" si="334"/>
        <v>1</v>
      </c>
      <c r="V2655" s="403" t="str">
        <f t="shared" si="335"/>
        <v>CPP_6</v>
      </c>
    </row>
    <row r="2656" spans="1:22">
      <c r="A2656" t="str">
        <f t="shared" si="328"/>
        <v>NBN-80122-CA</v>
      </c>
      <c r="B2656" s="403" t="s">
        <v>1320</v>
      </c>
      <c r="C2656" s="403" t="s">
        <v>584</v>
      </c>
      <c r="D2656" s="403" t="s">
        <v>1321</v>
      </c>
      <c r="E2656" s="403" t="s">
        <v>1322</v>
      </c>
      <c r="F2656" s="403" t="s">
        <v>1325</v>
      </c>
      <c r="G2656" s="403" t="s">
        <v>1467</v>
      </c>
      <c r="H2656" s="403" t="s">
        <v>1276</v>
      </c>
      <c r="I2656" s="403">
        <v>1</v>
      </c>
      <c r="J2656" s="403" t="s">
        <v>1324</v>
      </c>
      <c r="K2656" s="403">
        <v>2016</v>
      </c>
      <c r="L2656" s="403">
        <v>3584</v>
      </c>
      <c r="M2656" s="403" t="s">
        <v>1280</v>
      </c>
      <c r="N2656" s="403">
        <v>2016</v>
      </c>
      <c r="O2656" s="403">
        <v>3584</v>
      </c>
      <c r="P2656" t="str">
        <f t="shared" si="329"/>
        <v>25fps 3584x2016 - copy other stream</v>
      </c>
      <c r="Q2656">
        <f t="shared" si="330"/>
        <v>15</v>
      </c>
      <c r="R2656" t="str">
        <f t="shared" si="331"/>
        <v/>
      </c>
      <c r="S2656" t="str">
        <f t="shared" si="332"/>
        <v/>
      </c>
      <c r="T2656" s="403" t="str">
        <f t="shared" si="333"/>
        <v>NBN-80122-CA</v>
      </c>
      <c r="U2656" s="403">
        <f t="shared" si="334"/>
        <v>1</v>
      </c>
      <c r="V2656" s="403" t="str">
        <f t="shared" si="335"/>
        <v>CPP_6</v>
      </c>
    </row>
    <row r="2657" spans="1:22">
      <c r="A2657" t="str">
        <f t="shared" si="328"/>
        <v>NBN-80122-CA</v>
      </c>
      <c r="B2657" s="403" t="s">
        <v>1320</v>
      </c>
      <c r="C2657" s="403" t="s">
        <v>584</v>
      </c>
      <c r="D2657" s="403" t="s">
        <v>1321</v>
      </c>
      <c r="E2657" s="403" t="s">
        <v>1322</v>
      </c>
      <c r="F2657" s="403" t="s">
        <v>1325</v>
      </c>
      <c r="G2657" s="403" t="s">
        <v>1467</v>
      </c>
      <c r="H2657" s="403" t="s">
        <v>1276</v>
      </c>
      <c r="I2657" s="403">
        <v>1</v>
      </c>
      <c r="J2657" s="403" t="s">
        <v>1324</v>
      </c>
      <c r="K2657" s="403">
        <v>2016</v>
      </c>
      <c r="L2657" s="403">
        <v>3584</v>
      </c>
      <c r="M2657" s="403" t="s">
        <v>1298</v>
      </c>
      <c r="N2657" s="403">
        <v>432</v>
      </c>
      <c r="O2657" s="403">
        <v>768</v>
      </c>
      <c r="P2657" t="str">
        <f t="shared" si="329"/>
        <v>25fps 3584x2016 - SD dual stream with independent ROI PTZ</v>
      </c>
      <c r="Q2657">
        <f t="shared" si="330"/>
        <v>15</v>
      </c>
      <c r="R2657" t="str">
        <f t="shared" si="331"/>
        <v/>
      </c>
      <c r="S2657" t="str">
        <f t="shared" si="332"/>
        <v/>
      </c>
      <c r="T2657" s="403" t="str">
        <f t="shared" si="333"/>
        <v>NBN-80122-CA</v>
      </c>
      <c r="U2657" s="403">
        <f t="shared" si="334"/>
        <v>1</v>
      </c>
      <c r="V2657" s="403" t="str">
        <f t="shared" si="335"/>
        <v>CPP_6</v>
      </c>
    </row>
    <row r="2658" spans="1:22">
      <c r="A2658" t="str">
        <f t="shared" si="328"/>
        <v>NBN-80122-CA</v>
      </c>
      <c r="B2658" s="403" t="s">
        <v>1320</v>
      </c>
      <c r="C2658" s="403" t="s">
        <v>584</v>
      </c>
      <c r="D2658" s="403" t="s">
        <v>1321</v>
      </c>
      <c r="E2658" s="403" t="s">
        <v>1322</v>
      </c>
      <c r="F2658" s="403" t="s">
        <v>1325</v>
      </c>
      <c r="G2658" s="403" t="s">
        <v>1467</v>
      </c>
      <c r="H2658" s="403" t="s">
        <v>1276</v>
      </c>
      <c r="I2658" s="403">
        <v>1</v>
      </c>
      <c r="J2658" s="403" t="s">
        <v>110</v>
      </c>
      <c r="K2658" s="403">
        <v>1080</v>
      </c>
      <c r="L2658" s="403">
        <v>1920</v>
      </c>
      <c r="M2658" s="403" t="s">
        <v>111</v>
      </c>
      <c r="N2658" s="403">
        <v>432</v>
      </c>
      <c r="O2658" s="403">
        <v>768</v>
      </c>
      <c r="P2658" t="str">
        <f t="shared" si="329"/>
        <v>25fps 1080p - SD</v>
      </c>
      <c r="Q2658">
        <f t="shared" si="330"/>
        <v>15</v>
      </c>
      <c r="R2658" t="str">
        <f t="shared" si="331"/>
        <v/>
      </c>
      <c r="S2658" t="str">
        <f t="shared" si="332"/>
        <v/>
      </c>
      <c r="T2658" s="403" t="str">
        <f t="shared" si="333"/>
        <v>NBN-80122-CA</v>
      </c>
      <c r="U2658" s="403">
        <f t="shared" si="334"/>
        <v>1</v>
      </c>
      <c r="V2658" s="403" t="str">
        <f t="shared" si="335"/>
        <v>CPP_6</v>
      </c>
    </row>
    <row r="2659" spans="1:22">
      <c r="A2659" t="str">
        <f t="shared" si="328"/>
        <v>NBN-80122-CA</v>
      </c>
      <c r="B2659" s="403" t="s">
        <v>1320</v>
      </c>
      <c r="C2659" s="403" t="s">
        <v>584</v>
      </c>
      <c r="D2659" s="403" t="s">
        <v>1321</v>
      </c>
      <c r="E2659" s="403" t="s">
        <v>1322</v>
      </c>
      <c r="F2659" s="403" t="s">
        <v>1325</v>
      </c>
      <c r="G2659" s="403" t="s">
        <v>1467</v>
      </c>
      <c r="H2659" s="403" t="s">
        <v>1276</v>
      </c>
      <c r="I2659" s="403">
        <v>1</v>
      </c>
      <c r="J2659" s="403" t="s">
        <v>110</v>
      </c>
      <c r="K2659" s="403">
        <v>1080</v>
      </c>
      <c r="L2659" s="403">
        <v>1920</v>
      </c>
      <c r="M2659" s="403" t="s">
        <v>110</v>
      </c>
      <c r="N2659" s="403">
        <v>1080</v>
      </c>
      <c r="O2659" s="403">
        <v>1920</v>
      </c>
      <c r="P2659" t="str">
        <f t="shared" si="329"/>
        <v>25fps 1080p - 1080p</v>
      </c>
      <c r="Q2659">
        <f t="shared" si="330"/>
        <v>15</v>
      </c>
      <c r="R2659" t="str">
        <f t="shared" si="331"/>
        <v/>
      </c>
      <c r="S2659" t="str">
        <f t="shared" si="332"/>
        <v/>
      </c>
      <c r="T2659" s="403" t="str">
        <f t="shared" si="333"/>
        <v>NBN-80122-CA</v>
      </c>
      <c r="U2659" s="403">
        <f t="shared" si="334"/>
        <v>1</v>
      </c>
      <c r="V2659" s="403" t="str">
        <f t="shared" si="335"/>
        <v>CPP_6</v>
      </c>
    </row>
    <row r="2660" spans="1:22">
      <c r="A2660" t="str">
        <f t="shared" si="328"/>
        <v>NBN-80122-CA</v>
      </c>
      <c r="B2660" s="403" t="s">
        <v>1320</v>
      </c>
      <c r="C2660" s="403" t="s">
        <v>584</v>
      </c>
      <c r="D2660" s="403" t="s">
        <v>1321</v>
      </c>
      <c r="E2660" s="403" t="s">
        <v>1322</v>
      </c>
      <c r="F2660" s="403" t="s">
        <v>1325</v>
      </c>
      <c r="G2660" s="403" t="s">
        <v>1467</v>
      </c>
      <c r="H2660" s="403" t="s">
        <v>1276</v>
      </c>
      <c r="I2660" s="403">
        <v>1</v>
      </c>
      <c r="J2660" s="403" t="s">
        <v>110</v>
      </c>
      <c r="K2660" s="403">
        <v>1080</v>
      </c>
      <c r="L2660" s="403">
        <v>1920</v>
      </c>
      <c r="M2660" s="403" t="s">
        <v>109</v>
      </c>
      <c r="N2660" s="403">
        <v>720</v>
      </c>
      <c r="O2660" s="403">
        <v>1280</v>
      </c>
      <c r="P2660" t="str">
        <f t="shared" si="329"/>
        <v>25fps 1080p - 720p</v>
      </c>
      <c r="Q2660">
        <f t="shared" si="330"/>
        <v>15</v>
      </c>
      <c r="R2660" t="str">
        <f t="shared" si="331"/>
        <v/>
      </c>
      <c r="S2660" t="str">
        <f t="shared" si="332"/>
        <v/>
      </c>
      <c r="T2660" s="403" t="str">
        <f t="shared" si="333"/>
        <v>NBN-80122-CA</v>
      </c>
      <c r="U2660" s="403">
        <f t="shared" si="334"/>
        <v>1</v>
      </c>
      <c r="V2660" s="403" t="str">
        <f t="shared" si="335"/>
        <v>CPP_6</v>
      </c>
    </row>
    <row r="2661" spans="1:22">
      <c r="A2661" t="str">
        <f t="shared" si="328"/>
        <v>NBN-80122-CA</v>
      </c>
      <c r="B2661" s="403" t="s">
        <v>1320</v>
      </c>
      <c r="C2661" s="403" t="s">
        <v>584</v>
      </c>
      <c r="D2661" s="403" t="s">
        <v>1321</v>
      </c>
      <c r="E2661" s="403" t="s">
        <v>1322</v>
      </c>
      <c r="F2661" s="403" t="s">
        <v>1325</v>
      </c>
      <c r="G2661" s="403" t="s">
        <v>1467</v>
      </c>
      <c r="H2661" s="403" t="s">
        <v>1276</v>
      </c>
      <c r="I2661" s="403">
        <v>1</v>
      </c>
      <c r="J2661" s="403" t="s">
        <v>110</v>
      </c>
      <c r="K2661" s="403">
        <v>1080</v>
      </c>
      <c r="L2661" s="403">
        <v>1920</v>
      </c>
      <c r="M2661" s="403" t="s">
        <v>1279</v>
      </c>
      <c r="N2661" s="403">
        <v>432</v>
      </c>
      <c r="O2661" s="403">
        <v>768</v>
      </c>
      <c r="P2661" t="str">
        <f t="shared" si="329"/>
        <v>25fps 1080p - SD ROI PTZ</v>
      </c>
      <c r="Q2661">
        <f t="shared" si="330"/>
        <v>15</v>
      </c>
      <c r="R2661" t="str">
        <f t="shared" si="331"/>
        <v/>
      </c>
      <c r="S2661" t="str">
        <f t="shared" si="332"/>
        <v/>
      </c>
      <c r="T2661" s="403" t="str">
        <f t="shared" si="333"/>
        <v>NBN-80122-CA</v>
      </c>
      <c r="U2661" s="403">
        <f t="shared" si="334"/>
        <v>1</v>
      </c>
      <c r="V2661" s="403" t="str">
        <f t="shared" si="335"/>
        <v>CPP_6</v>
      </c>
    </row>
    <row r="2662" spans="1:22">
      <c r="A2662" t="str">
        <f t="shared" si="328"/>
        <v>NBN-80122-CA</v>
      </c>
      <c r="B2662" s="403" t="s">
        <v>1320</v>
      </c>
      <c r="C2662" s="403" t="s">
        <v>584</v>
      </c>
      <c r="D2662" s="403" t="s">
        <v>1321</v>
      </c>
      <c r="E2662" s="403" t="s">
        <v>1322</v>
      </c>
      <c r="F2662" s="403" t="s">
        <v>1325</v>
      </c>
      <c r="G2662" s="403" t="s">
        <v>1467</v>
      </c>
      <c r="H2662" s="403" t="s">
        <v>1276</v>
      </c>
      <c r="I2662" s="403">
        <v>1</v>
      </c>
      <c r="J2662" s="403" t="s">
        <v>110</v>
      </c>
      <c r="K2662" s="403">
        <v>1080</v>
      </c>
      <c r="L2662" s="403">
        <v>1920</v>
      </c>
      <c r="M2662" s="403" t="s">
        <v>1302</v>
      </c>
      <c r="N2662" s="403">
        <v>720</v>
      </c>
      <c r="O2662" s="403">
        <v>400</v>
      </c>
      <c r="P2662" t="str">
        <f t="shared" si="329"/>
        <v>25fps 1080p - 400x720 upright (cropped)</v>
      </c>
      <c r="Q2662">
        <f t="shared" si="330"/>
        <v>15</v>
      </c>
      <c r="R2662" t="str">
        <f t="shared" si="331"/>
        <v/>
      </c>
      <c r="S2662" t="str">
        <f t="shared" si="332"/>
        <v/>
      </c>
      <c r="T2662" s="403" t="str">
        <f t="shared" si="333"/>
        <v>NBN-80122-CA</v>
      </c>
      <c r="U2662" s="403">
        <f t="shared" si="334"/>
        <v>1</v>
      </c>
      <c r="V2662" s="403" t="str">
        <f t="shared" si="335"/>
        <v>CPP_6</v>
      </c>
    </row>
    <row r="2663" spans="1:22">
      <c r="A2663" t="str">
        <f t="shared" si="328"/>
        <v>NBN-80122-CA</v>
      </c>
      <c r="B2663" s="403" t="s">
        <v>1320</v>
      </c>
      <c r="C2663" s="403" t="s">
        <v>584</v>
      </c>
      <c r="D2663" s="403" t="s">
        <v>1321</v>
      </c>
      <c r="E2663" s="403" t="s">
        <v>1322</v>
      </c>
      <c r="F2663" s="403" t="s">
        <v>1325</v>
      </c>
      <c r="G2663" s="403" t="s">
        <v>1467</v>
      </c>
      <c r="H2663" s="403" t="s">
        <v>1276</v>
      </c>
      <c r="I2663" s="403">
        <v>1</v>
      </c>
      <c r="J2663" s="403" t="s">
        <v>110</v>
      </c>
      <c r="K2663" s="403">
        <v>1080</v>
      </c>
      <c r="L2663" s="403">
        <v>1920</v>
      </c>
      <c r="M2663" s="403" t="s">
        <v>1283</v>
      </c>
      <c r="N2663" s="403">
        <v>576</v>
      </c>
      <c r="O2663" s="403">
        <v>704</v>
      </c>
      <c r="P2663" t="str">
        <f t="shared" si="329"/>
        <v>25fps 1080p - SD 4CIF resolution 4:3 format (cropped)</v>
      </c>
      <c r="Q2663">
        <f t="shared" si="330"/>
        <v>15</v>
      </c>
      <c r="R2663" t="str">
        <f t="shared" si="331"/>
        <v/>
      </c>
      <c r="S2663" t="str">
        <f t="shared" si="332"/>
        <v/>
      </c>
      <c r="T2663" s="403" t="str">
        <f t="shared" si="333"/>
        <v>NBN-80122-CA</v>
      </c>
      <c r="U2663" s="403">
        <f t="shared" si="334"/>
        <v>1</v>
      </c>
      <c r="V2663" s="403" t="str">
        <f t="shared" si="335"/>
        <v>CPP_6</v>
      </c>
    </row>
    <row r="2664" spans="1:22">
      <c r="A2664" t="str">
        <f t="shared" si="328"/>
        <v>NBN-80122-CA</v>
      </c>
      <c r="B2664" s="403" t="s">
        <v>1320</v>
      </c>
      <c r="C2664" s="403" t="s">
        <v>584</v>
      </c>
      <c r="D2664" s="403" t="s">
        <v>1321</v>
      </c>
      <c r="E2664" s="403" t="s">
        <v>1322</v>
      </c>
      <c r="F2664" s="403" t="s">
        <v>1325</v>
      </c>
      <c r="G2664" s="403" t="s">
        <v>1467</v>
      </c>
      <c r="H2664" s="403" t="s">
        <v>1276</v>
      </c>
      <c r="I2664" s="403">
        <v>1</v>
      </c>
      <c r="J2664" s="403" t="s">
        <v>110</v>
      </c>
      <c r="K2664" s="403">
        <v>1080</v>
      </c>
      <c r="L2664" s="403">
        <v>1920</v>
      </c>
      <c r="M2664" s="403" t="s">
        <v>1284</v>
      </c>
      <c r="N2664" s="403">
        <v>480</v>
      </c>
      <c r="O2664" s="403">
        <v>640</v>
      </c>
      <c r="P2664" t="str">
        <f t="shared" si="329"/>
        <v>25fps 1080p - SD VGA (cropped)</v>
      </c>
      <c r="Q2664">
        <f t="shared" si="330"/>
        <v>15</v>
      </c>
      <c r="R2664" t="str">
        <f t="shared" si="331"/>
        <v/>
      </c>
      <c r="S2664" t="str">
        <f t="shared" si="332"/>
        <v/>
      </c>
      <c r="T2664" s="403" t="str">
        <f t="shared" si="333"/>
        <v>NBN-80122-CA</v>
      </c>
      <c r="U2664" s="403">
        <f t="shared" si="334"/>
        <v>1</v>
      </c>
      <c r="V2664" s="403" t="str">
        <f t="shared" si="335"/>
        <v>CPP_6</v>
      </c>
    </row>
    <row r="2665" spans="1:22">
      <c r="A2665" t="str">
        <f t="shared" si="328"/>
        <v>NBN-80122-CA</v>
      </c>
      <c r="B2665" s="403" t="s">
        <v>1320</v>
      </c>
      <c r="C2665" s="403" t="s">
        <v>584</v>
      </c>
      <c r="D2665" s="403" t="s">
        <v>1321</v>
      </c>
      <c r="E2665" s="403" t="s">
        <v>1322</v>
      </c>
      <c r="F2665" s="403" t="s">
        <v>1325</v>
      </c>
      <c r="G2665" s="403" t="s">
        <v>1467</v>
      </c>
      <c r="H2665" s="403" t="s">
        <v>1276</v>
      </c>
      <c r="I2665" s="403">
        <v>1</v>
      </c>
      <c r="J2665" s="403" t="s">
        <v>110</v>
      </c>
      <c r="K2665" s="403">
        <v>1080</v>
      </c>
      <c r="L2665" s="403">
        <v>1920</v>
      </c>
      <c r="M2665" s="403" t="s">
        <v>1298</v>
      </c>
      <c r="N2665" s="403">
        <v>432</v>
      </c>
      <c r="O2665" s="403">
        <v>768</v>
      </c>
      <c r="P2665" t="str">
        <f t="shared" si="329"/>
        <v>25fps 1080p - SD dual stream with independent ROI PTZ</v>
      </c>
      <c r="Q2665">
        <f t="shared" si="330"/>
        <v>15</v>
      </c>
      <c r="R2665" t="str">
        <f t="shared" si="331"/>
        <v/>
      </c>
      <c r="S2665" t="str">
        <f t="shared" si="332"/>
        <v/>
      </c>
      <c r="T2665" s="403" t="str">
        <f t="shared" si="333"/>
        <v>NBN-80122-CA</v>
      </c>
      <c r="U2665" s="403">
        <f t="shared" si="334"/>
        <v>1</v>
      </c>
      <c r="V2665" s="403" t="str">
        <f t="shared" si="335"/>
        <v>CPP_6</v>
      </c>
    </row>
    <row r="2666" spans="1:22">
      <c r="A2666" t="str">
        <f t="shared" si="328"/>
        <v>NBN-80122-CA</v>
      </c>
      <c r="B2666" s="403" t="s">
        <v>1320</v>
      </c>
      <c r="C2666" s="403" t="s">
        <v>584</v>
      </c>
      <c r="D2666" s="403" t="s">
        <v>1321</v>
      </c>
      <c r="E2666" s="403" t="s">
        <v>1322</v>
      </c>
      <c r="F2666" s="403" t="s">
        <v>1326</v>
      </c>
      <c r="G2666" s="403" t="s">
        <v>1466</v>
      </c>
      <c r="H2666" s="403" t="s">
        <v>1276</v>
      </c>
      <c r="I2666" s="403">
        <v>1</v>
      </c>
      <c r="J2666" s="403" t="s">
        <v>194</v>
      </c>
      <c r="K2666" s="403">
        <v>3840</v>
      </c>
      <c r="L2666" s="403">
        <v>2160</v>
      </c>
      <c r="M2666" s="403" t="s">
        <v>1280</v>
      </c>
      <c r="N2666" s="403">
        <v>3840</v>
      </c>
      <c r="O2666" s="403">
        <v>2160</v>
      </c>
      <c r="P2666" t="str">
        <f t="shared" si="329"/>
        <v>15fps 3840x2160 - copy other stream</v>
      </c>
      <c r="Q2666">
        <f t="shared" si="330"/>
        <v>15</v>
      </c>
      <c r="R2666" t="str">
        <f t="shared" si="331"/>
        <v/>
      </c>
      <c r="S2666" t="str">
        <f t="shared" si="332"/>
        <v/>
      </c>
      <c r="T2666" s="403" t="str">
        <f t="shared" si="333"/>
        <v>NBN-80122-CA</v>
      </c>
      <c r="U2666" s="403">
        <f t="shared" si="334"/>
        <v>1</v>
      </c>
      <c r="V2666" s="403" t="str">
        <f t="shared" si="335"/>
        <v>CPP_6</v>
      </c>
    </row>
    <row r="2667" spans="1:22">
      <c r="A2667" t="str">
        <f t="shared" si="328"/>
        <v>NBN-80122-CA</v>
      </c>
      <c r="B2667" s="403" t="s">
        <v>1320</v>
      </c>
      <c r="C2667" s="403" t="s">
        <v>584</v>
      </c>
      <c r="D2667" s="403" t="s">
        <v>1321</v>
      </c>
      <c r="E2667" s="403" t="s">
        <v>1322</v>
      </c>
      <c r="F2667" s="403" t="s">
        <v>1326</v>
      </c>
      <c r="G2667" s="403" t="s">
        <v>1466</v>
      </c>
      <c r="H2667" s="403" t="s">
        <v>1276</v>
      </c>
      <c r="I2667" s="403">
        <v>1</v>
      </c>
      <c r="J2667" s="403" t="s">
        <v>1324</v>
      </c>
      <c r="K2667" s="403">
        <v>3584</v>
      </c>
      <c r="L2667" s="403">
        <v>2016</v>
      </c>
      <c r="M2667" s="403" t="s">
        <v>111</v>
      </c>
      <c r="N2667" s="403">
        <v>768</v>
      </c>
      <c r="O2667" s="403">
        <v>432</v>
      </c>
      <c r="P2667" t="str">
        <f t="shared" si="329"/>
        <v>15fps 3584x2016 - SD</v>
      </c>
      <c r="Q2667">
        <f t="shared" si="330"/>
        <v>15</v>
      </c>
      <c r="R2667" t="str">
        <f t="shared" si="331"/>
        <v/>
      </c>
      <c r="S2667" t="str">
        <f t="shared" si="332"/>
        <v/>
      </c>
      <c r="T2667" s="403" t="str">
        <f t="shared" si="333"/>
        <v>NBN-80122-CA</v>
      </c>
      <c r="U2667" s="403">
        <f t="shared" si="334"/>
        <v>1</v>
      </c>
      <c r="V2667" s="403" t="str">
        <f t="shared" si="335"/>
        <v>CPP_6</v>
      </c>
    </row>
    <row r="2668" spans="1:22">
      <c r="A2668" t="str">
        <f t="shared" si="328"/>
        <v>NBN-80122-CA</v>
      </c>
      <c r="B2668" s="403" t="s">
        <v>1320</v>
      </c>
      <c r="C2668" s="403" t="s">
        <v>584</v>
      </c>
      <c r="D2668" s="403" t="s">
        <v>1321</v>
      </c>
      <c r="E2668" s="403" t="s">
        <v>1322</v>
      </c>
      <c r="F2668" s="403" t="s">
        <v>1326</v>
      </c>
      <c r="G2668" s="403" t="s">
        <v>1466</v>
      </c>
      <c r="H2668" s="403" t="s">
        <v>1276</v>
      </c>
      <c r="I2668" s="403">
        <v>1</v>
      </c>
      <c r="J2668" s="403" t="s">
        <v>1324</v>
      </c>
      <c r="K2668" s="403">
        <v>3584</v>
      </c>
      <c r="L2668" s="403">
        <v>2016</v>
      </c>
      <c r="M2668" s="403" t="s">
        <v>1279</v>
      </c>
      <c r="N2668" s="403">
        <v>768</v>
      </c>
      <c r="O2668" s="403">
        <v>432</v>
      </c>
      <c r="P2668" t="str">
        <f t="shared" si="329"/>
        <v>15fps 3584x2016 - SD ROI PTZ</v>
      </c>
      <c r="Q2668">
        <f t="shared" si="330"/>
        <v>15</v>
      </c>
      <c r="R2668" t="str">
        <f t="shared" si="331"/>
        <v/>
      </c>
      <c r="S2668" t="str">
        <f t="shared" si="332"/>
        <v/>
      </c>
      <c r="T2668" s="403" t="str">
        <f t="shared" si="333"/>
        <v>NBN-80122-CA</v>
      </c>
      <c r="U2668" s="403">
        <f t="shared" si="334"/>
        <v>1</v>
      </c>
      <c r="V2668" s="403" t="str">
        <f t="shared" si="335"/>
        <v>CPP_6</v>
      </c>
    </row>
    <row r="2669" spans="1:22">
      <c r="A2669" t="str">
        <f t="shared" si="328"/>
        <v>NBN-80122-CA</v>
      </c>
      <c r="B2669" s="403" t="s">
        <v>1320</v>
      </c>
      <c r="C2669" s="403" t="s">
        <v>584</v>
      </c>
      <c r="D2669" s="403" t="s">
        <v>1321</v>
      </c>
      <c r="E2669" s="403" t="s">
        <v>1322</v>
      </c>
      <c r="F2669" s="403" t="s">
        <v>1326</v>
      </c>
      <c r="G2669" s="403" t="s">
        <v>1466</v>
      </c>
      <c r="H2669" s="403" t="s">
        <v>1276</v>
      </c>
      <c r="I2669" s="403">
        <v>1</v>
      </c>
      <c r="J2669" s="403" t="s">
        <v>1324</v>
      </c>
      <c r="K2669" s="403">
        <v>3584</v>
      </c>
      <c r="L2669" s="403">
        <v>2016</v>
      </c>
      <c r="M2669" s="403" t="s">
        <v>1302</v>
      </c>
      <c r="N2669" s="403">
        <v>400</v>
      </c>
      <c r="O2669" s="403">
        <v>720</v>
      </c>
      <c r="P2669" t="str">
        <f t="shared" si="329"/>
        <v>15fps 3584x2016 - 400x720 upright (cropped)</v>
      </c>
      <c r="Q2669">
        <f t="shared" si="330"/>
        <v>15</v>
      </c>
      <c r="R2669" t="str">
        <f t="shared" si="331"/>
        <v/>
      </c>
      <c r="S2669" t="str">
        <f t="shared" si="332"/>
        <v/>
      </c>
      <c r="T2669" s="403" t="str">
        <f t="shared" si="333"/>
        <v>NBN-80122-CA</v>
      </c>
      <c r="U2669" s="403">
        <f t="shared" si="334"/>
        <v>1</v>
      </c>
      <c r="V2669" s="403" t="str">
        <f t="shared" si="335"/>
        <v>CPP_6</v>
      </c>
    </row>
    <row r="2670" spans="1:22">
      <c r="A2670" t="str">
        <f t="shared" si="328"/>
        <v>NBN-80122-CA</v>
      </c>
      <c r="B2670" s="403" t="s">
        <v>1320</v>
      </c>
      <c r="C2670" s="403" t="s">
        <v>584</v>
      </c>
      <c r="D2670" s="403" t="s">
        <v>1321</v>
      </c>
      <c r="E2670" s="403" t="s">
        <v>1322</v>
      </c>
      <c r="F2670" s="403" t="s">
        <v>1326</v>
      </c>
      <c r="G2670" s="403" t="s">
        <v>1466</v>
      </c>
      <c r="H2670" s="403" t="s">
        <v>1276</v>
      </c>
      <c r="I2670" s="403">
        <v>1</v>
      </c>
      <c r="J2670" s="403" t="s">
        <v>1324</v>
      </c>
      <c r="K2670" s="403">
        <v>3584</v>
      </c>
      <c r="L2670" s="403">
        <v>2016</v>
      </c>
      <c r="M2670" s="403" t="s">
        <v>1283</v>
      </c>
      <c r="N2670" s="403">
        <v>704</v>
      </c>
      <c r="O2670" s="403">
        <v>480</v>
      </c>
      <c r="P2670" t="str">
        <f t="shared" si="329"/>
        <v>15fps 3584x2016 - SD 4CIF resolution 4:3 format (cropped)</v>
      </c>
      <c r="Q2670">
        <f t="shared" si="330"/>
        <v>15</v>
      </c>
      <c r="R2670" t="str">
        <f t="shared" si="331"/>
        <v/>
      </c>
      <c r="S2670" t="str">
        <f t="shared" si="332"/>
        <v/>
      </c>
      <c r="T2670" s="403" t="str">
        <f t="shared" si="333"/>
        <v>NBN-80122-CA</v>
      </c>
      <c r="U2670" s="403">
        <f t="shared" si="334"/>
        <v>1</v>
      </c>
      <c r="V2670" s="403" t="str">
        <f t="shared" si="335"/>
        <v>CPP_6</v>
      </c>
    </row>
    <row r="2671" spans="1:22">
      <c r="A2671" t="str">
        <f t="shared" si="328"/>
        <v>NBN-80122-CA</v>
      </c>
      <c r="B2671" s="403" t="s">
        <v>1320</v>
      </c>
      <c r="C2671" s="403" t="s">
        <v>584</v>
      </c>
      <c r="D2671" s="403" t="s">
        <v>1321</v>
      </c>
      <c r="E2671" s="403" t="s">
        <v>1322</v>
      </c>
      <c r="F2671" s="403" t="s">
        <v>1326</v>
      </c>
      <c r="G2671" s="403" t="s">
        <v>1466</v>
      </c>
      <c r="H2671" s="403" t="s">
        <v>1276</v>
      </c>
      <c r="I2671" s="403">
        <v>1</v>
      </c>
      <c r="J2671" s="403" t="s">
        <v>1324</v>
      </c>
      <c r="K2671" s="403">
        <v>3584</v>
      </c>
      <c r="L2671" s="403">
        <v>2016</v>
      </c>
      <c r="M2671" s="403" t="s">
        <v>1284</v>
      </c>
      <c r="N2671" s="403">
        <v>640</v>
      </c>
      <c r="O2671" s="403">
        <v>480</v>
      </c>
      <c r="P2671" t="str">
        <f t="shared" si="329"/>
        <v>15fps 3584x2016 - SD VGA (cropped)</v>
      </c>
      <c r="Q2671">
        <f t="shared" si="330"/>
        <v>15</v>
      </c>
      <c r="R2671" t="str">
        <f t="shared" si="331"/>
        <v/>
      </c>
      <c r="S2671" t="str">
        <f t="shared" si="332"/>
        <v/>
      </c>
      <c r="T2671" s="403" t="str">
        <f t="shared" si="333"/>
        <v>NBN-80122-CA</v>
      </c>
      <c r="U2671" s="403">
        <f t="shared" si="334"/>
        <v>1</v>
      </c>
      <c r="V2671" s="403" t="str">
        <f t="shared" si="335"/>
        <v>CPP_6</v>
      </c>
    </row>
    <row r="2672" spans="1:22">
      <c r="A2672" t="str">
        <f t="shared" si="328"/>
        <v>NBN-80122-CA</v>
      </c>
      <c r="B2672" s="403" t="s">
        <v>1320</v>
      </c>
      <c r="C2672" s="403" t="s">
        <v>584</v>
      </c>
      <c r="D2672" s="403" t="s">
        <v>1321</v>
      </c>
      <c r="E2672" s="403" t="s">
        <v>1322</v>
      </c>
      <c r="F2672" s="403" t="s">
        <v>1326</v>
      </c>
      <c r="G2672" s="403" t="s">
        <v>1466</v>
      </c>
      <c r="H2672" s="403" t="s">
        <v>1276</v>
      </c>
      <c r="I2672" s="403">
        <v>1</v>
      </c>
      <c r="J2672" s="403" t="s">
        <v>1324</v>
      </c>
      <c r="K2672" s="403">
        <v>3584</v>
      </c>
      <c r="L2672" s="403">
        <v>2016</v>
      </c>
      <c r="M2672" s="403" t="s">
        <v>1280</v>
      </c>
      <c r="N2672" s="403">
        <v>3584</v>
      </c>
      <c r="O2672" s="403">
        <v>2016</v>
      </c>
      <c r="P2672" t="str">
        <f t="shared" si="329"/>
        <v>15fps 3584x2016 - copy other stream</v>
      </c>
      <c r="Q2672">
        <f t="shared" si="330"/>
        <v>15</v>
      </c>
      <c r="R2672" t="str">
        <f t="shared" si="331"/>
        <v/>
      </c>
      <c r="S2672" t="str">
        <f t="shared" si="332"/>
        <v/>
      </c>
      <c r="T2672" s="403" t="str">
        <f t="shared" si="333"/>
        <v>NBN-80122-CA</v>
      </c>
      <c r="U2672" s="403">
        <f t="shared" si="334"/>
        <v>1</v>
      </c>
      <c r="V2672" s="403" t="str">
        <f t="shared" si="335"/>
        <v>CPP_6</v>
      </c>
    </row>
    <row r="2673" spans="1:22">
      <c r="A2673" t="str">
        <f t="shared" si="328"/>
        <v>NBN-80122-CA</v>
      </c>
      <c r="B2673" s="403" t="s">
        <v>1320</v>
      </c>
      <c r="C2673" s="403" t="s">
        <v>584</v>
      </c>
      <c r="D2673" s="403" t="s">
        <v>1321</v>
      </c>
      <c r="E2673" s="403" t="s">
        <v>1322</v>
      </c>
      <c r="F2673" s="403" t="s">
        <v>1326</v>
      </c>
      <c r="G2673" s="403" t="s">
        <v>1466</v>
      </c>
      <c r="H2673" s="403" t="s">
        <v>1276</v>
      </c>
      <c r="I2673" s="403">
        <v>1</v>
      </c>
      <c r="J2673" s="403" t="s">
        <v>1324</v>
      </c>
      <c r="K2673" s="403">
        <v>3584</v>
      </c>
      <c r="L2673" s="403">
        <v>2016</v>
      </c>
      <c r="M2673" s="403" t="s">
        <v>1298</v>
      </c>
      <c r="N2673" s="403">
        <v>768</v>
      </c>
      <c r="O2673" s="403">
        <v>432</v>
      </c>
      <c r="P2673" t="str">
        <f t="shared" si="329"/>
        <v>15fps 3584x2016 - SD dual stream with independent ROI PTZ</v>
      </c>
      <c r="Q2673">
        <f t="shared" si="330"/>
        <v>15</v>
      </c>
      <c r="R2673" t="str">
        <f t="shared" si="331"/>
        <v/>
      </c>
      <c r="S2673" t="str">
        <f t="shared" si="332"/>
        <v/>
      </c>
      <c r="T2673" s="403" t="str">
        <f t="shared" si="333"/>
        <v>NBN-80122-CA</v>
      </c>
      <c r="U2673" s="403">
        <f t="shared" si="334"/>
        <v>1</v>
      </c>
      <c r="V2673" s="403" t="str">
        <f t="shared" si="335"/>
        <v>CPP_6</v>
      </c>
    </row>
    <row r="2674" spans="1:22">
      <c r="A2674" t="str">
        <f t="shared" si="328"/>
        <v>NBN-80122-CA</v>
      </c>
      <c r="B2674" s="403" t="s">
        <v>1320</v>
      </c>
      <c r="C2674" s="403" t="s">
        <v>584</v>
      </c>
      <c r="D2674" s="403" t="s">
        <v>1321</v>
      </c>
      <c r="E2674" s="403" t="s">
        <v>1322</v>
      </c>
      <c r="F2674" s="403" t="s">
        <v>1326</v>
      </c>
      <c r="G2674" s="403" t="s">
        <v>1466</v>
      </c>
      <c r="H2674" s="403" t="s">
        <v>1276</v>
      </c>
      <c r="I2674" s="403">
        <v>1</v>
      </c>
      <c r="J2674" s="403" t="s">
        <v>194</v>
      </c>
      <c r="K2674" s="403">
        <v>3840</v>
      </c>
      <c r="L2674" s="403">
        <v>2160</v>
      </c>
      <c r="M2674" s="403" t="s">
        <v>110</v>
      </c>
      <c r="N2674" s="403">
        <v>1920</v>
      </c>
      <c r="O2674" s="403">
        <v>1080</v>
      </c>
      <c r="P2674" t="str">
        <f t="shared" si="329"/>
        <v>15fps 3840x2160 - 1080p</v>
      </c>
      <c r="Q2674">
        <f t="shared" si="330"/>
        <v>15</v>
      </c>
      <c r="R2674" t="str">
        <f t="shared" si="331"/>
        <v/>
      </c>
      <c r="S2674" t="str">
        <f t="shared" si="332"/>
        <v/>
      </c>
      <c r="T2674" s="403" t="str">
        <f t="shared" si="333"/>
        <v>NBN-80122-CA</v>
      </c>
      <c r="U2674" s="403">
        <f t="shared" si="334"/>
        <v>1</v>
      </c>
      <c r="V2674" s="403" t="str">
        <f t="shared" si="335"/>
        <v>CPP_6</v>
      </c>
    </row>
    <row r="2675" spans="1:22">
      <c r="A2675" t="str">
        <f t="shared" si="328"/>
        <v>NBN-80122-CA</v>
      </c>
      <c r="B2675" s="403" t="s">
        <v>1320</v>
      </c>
      <c r="C2675" s="403" t="s">
        <v>584</v>
      </c>
      <c r="D2675" s="403" t="s">
        <v>1321</v>
      </c>
      <c r="E2675" s="403" t="s">
        <v>1322</v>
      </c>
      <c r="F2675" s="403" t="s">
        <v>1326</v>
      </c>
      <c r="G2675" s="403" t="s">
        <v>1466</v>
      </c>
      <c r="H2675" s="403" t="s">
        <v>1276</v>
      </c>
      <c r="I2675" s="403">
        <v>1</v>
      </c>
      <c r="J2675" s="403" t="s">
        <v>194</v>
      </c>
      <c r="K2675" s="403">
        <v>3840</v>
      </c>
      <c r="L2675" s="403">
        <v>2160</v>
      </c>
      <c r="M2675" s="403" t="s">
        <v>109</v>
      </c>
      <c r="N2675" s="403">
        <v>1280</v>
      </c>
      <c r="O2675" s="403">
        <v>720</v>
      </c>
      <c r="P2675" t="str">
        <f t="shared" si="329"/>
        <v>15fps 3840x2160 - 720p</v>
      </c>
      <c r="Q2675">
        <f t="shared" si="330"/>
        <v>15</v>
      </c>
      <c r="R2675" t="str">
        <f t="shared" si="331"/>
        <v/>
      </c>
      <c r="S2675" t="str">
        <f t="shared" si="332"/>
        <v/>
      </c>
      <c r="T2675" s="403" t="str">
        <f t="shared" si="333"/>
        <v>NBN-80122-CA</v>
      </c>
      <c r="U2675" s="403">
        <f t="shared" si="334"/>
        <v>1</v>
      </c>
      <c r="V2675" s="403" t="str">
        <f t="shared" si="335"/>
        <v>CPP_6</v>
      </c>
    </row>
    <row r="2676" spans="1:22">
      <c r="A2676" t="str">
        <f t="shared" si="328"/>
        <v>NBN-80122-CA</v>
      </c>
      <c r="B2676" s="403" t="s">
        <v>1320</v>
      </c>
      <c r="C2676" s="403" t="s">
        <v>584</v>
      </c>
      <c r="D2676" s="403" t="s">
        <v>1321</v>
      </c>
      <c r="E2676" s="403" t="s">
        <v>1322</v>
      </c>
      <c r="F2676" s="403" t="s">
        <v>1326</v>
      </c>
      <c r="G2676" s="403" t="s">
        <v>1466</v>
      </c>
      <c r="H2676" s="403" t="s">
        <v>1276</v>
      </c>
      <c r="I2676" s="403">
        <v>1</v>
      </c>
      <c r="J2676" s="403" t="s">
        <v>194</v>
      </c>
      <c r="K2676" s="403">
        <v>3840</v>
      </c>
      <c r="L2676" s="403">
        <v>2160</v>
      </c>
      <c r="M2676" s="403" t="s">
        <v>111</v>
      </c>
      <c r="N2676" s="403">
        <v>768</v>
      </c>
      <c r="O2676" s="403">
        <v>432</v>
      </c>
      <c r="P2676" t="str">
        <f t="shared" si="329"/>
        <v>15fps 3840x2160 - SD</v>
      </c>
      <c r="Q2676">
        <f t="shared" si="330"/>
        <v>15</v>
      </c>
      <c r="R2676" t="str">
        <f t="shared" si="331"/>
        <v/>
      </c>
      <c r="S2676" t="str">
        <f t="shared" si="332"/>
        <v/>
      </c>
      <c r="T2676" s="403" t="str">
        <f t="shared" si="333"/>
        <v>NBN-80122-CA</v>
      </c>
      <c r="U2676" s="403">
        <f t="shared" si="334"/>
        <v>1</v>
      </c>
      <c r="V2676" s="403" t="str">
        <f t="shared" si="335"/>
        <v>CPP_6</v>
      </c>
    </row>
    <row r="2677" spans="1:22">
      <c r="A2677" t="str">
        <f t="shared" si="328"/>
        <v>NBN-80122-CA</v>
      </c>
      <c r="B2677" s="403" t="s">
        <v>1320</v>
      </c>
      <c r="C2677" s="403" t="s">
        <v>584</v>
      </c>
      <c r="D2677" s="403" t="s">
        <v>1321</v>
      </c>
      <c r="E2677" s="403" t="s">
        <v>1322</v>
      </c>
      <c r="F2677" s="403" t="s">
        <v>1326</v>
      </c>
      <c r="G2677" s="403" t="s">
        <v>1466</v>
      </c>
      <c r="H2677" s="403" t="s">
        <v>1276</v>
      </c>
      <c r="I2677" s="403">
        <v>1</v>
      </c>
      <c r="J2677" s="403" t="s">
        <v>194</v>
      </c>
      <c r="K2677" s="403">
        <v>3840</v>
      </c>
      <c r="L2677" s="403">
        <v>2160</v>
      </c>
      <c r="M2677" s="403" t="s">
        <v>1279</v>
      </c>
      <c r="N2677" s="403">
        <v>768</v>
      </c>
      <c r="O2677" s="403">
        <v>432</v>
      </c>
      <c r="P2677" t="str">
        <f t="shared" si="329"/>
        <v>15fps 3840x2160 - SD ROI PTZ</v>
      </c>
      <c r="Q2677">
        <f t="shared" si="330"/>
        <v>15</v>
      </c>
      <c r="R2677" t="str">
        <f t="shared" si="331"/>
        <v/>
      </c>
      <c r="S2677" t="str">
        <f t="shared" si="332"/>
        <v/>
      </c>
      <c r="T2677" s="403" t="str">
        <f t="shared" si="333"/>
        <v>NBN-80122-CA</v>
      </c>
      <c r="U2677" s="403">
        <f t="shared" si="334"/>
        <v>1</v>
      </c>
      <c r="V2677" s="403" t="str">
        <f t="shared" si="335"/>
        <v>CPP_6</v>
      </c>
    </row>
    <row r="2678" spans="1:22">
      <c r="A2678" t="str">
        <f t="shared" si="328"/>
        <v>NBN-80122-CA</v>
      </c>
      <c r="B2678" s="403" t="s">
        <v>1320</v>
      </c>
      <c r="C2678" s="403" t="s">
        <v>584</v>
      </c>
      <c r="D2678" s="403" t="s">
        <v>1321</v>
      </c>
      <c r="E2678" s="403" t="s">
        <v>1322</v>
      </c>
      <c r="F2678" s="403" t="s">
        <v>1326</v>
      </c>
      <c r="G2678" s="403" t="s">
        <v>1466</v>
      </c>
      <c r="H2678" s="403" t="s">
        <v>1276</v>
      </c>
      <c r="I2678" s="403">
        <v>1</v>
      </c>
      <c r="J2678" s="403" t="s">
        <v>194</v>
      </c>
      <c r="K2678" s="403">
        <v>3840</v>
      </c>
      <c r="L2678" s="403">
        <v>2160</v>
      </c>
      <c r="M2678" s="403" t="s">
        <v>1302</v>
      </c>
      <c r="N2678" s="403">
        <v>400</v>
      </c>
      <c r="O2678" s="403">
        <v>720</v>
      </c>
      <c r="P2678" t="str">
        <f t="shared" si="329"/>
        <v>15fps 3840x2160 - 400x720 upright (cropped)</v>
      </c>
      <c r="Q2678">
        <f t="shared" si="330"/>
        <v>15</v>
      </c>
      <c r="R2678" t="str">
        <f t="shared" si="331"/>
        <v/>
      </c>
      <c r="S2678" t="str">
        <f t="shared" si="332"/>
        <v/>
      </c>
      <c r="T2678" s="403" t="str">
        <f t="shared" si="333"/>
        <v>NBN-80122-CA</v>
      </c>
      <c r="U2678" s="403">
        <f t="shared" si="334"/>
        <v>1</v>
      </c>
      <c r="V2678" s="403" t="str">
        <f t="shared" si="335"/>
        <v>CPP_6</v>
      </c>
    </row>
    <row r="2679" spans="1:22">
      <c r="A2679" t="str">
        <f t="shared" si="328"/>
        <v>NBN-80122-CA</v>
      </c>
      <c r="B2679" s="403" t="s">
        <v>1320</v>
      </c>
      <c r="C2679" s="403" t="s">
        <v>584</v>
      </c>
      <c r="D2679" s="403" t="s">
        <v>1321</v>
      </c>
      <c r="E2679" s="403" t="s">
        <v>1322</v>
      </c>
      <c r="F2679" s="403" t="s">
        <v>1326</v>
      </c>
      <c r="G2679" s="403" t="s">
        <v>1466</v>
      </c>
      <c r="H2679" s="403" t="s">
        <v>1276</v>
      </c>
      <c r="I2679" s="403">
        <v>1</v>
      </c>
      <c r="J2679" s="403" t="s">
        <v>194</v>
      </c>
      <c r="K2679" s="403">
        <v>3840</v>
      </c>
      <c r="L2679" s="403">
        <v>2160</v>
      </c>
      <c r="M2679" s="403" t="s">
        <v>1283</v>
      </c>
      <c r="N2679" s="403">
        <v>704</v>
      </c>
      <c r="O2679" s="403">
        <v>480</v>
      </c>
      <c r="P2679" t="str">
        <f t="shared" si="329"/>
        <v>15fps 3840x2160 - SD 4CIF resolution 4:3 format (cropped)</v>
      </c>
      <c r="Q2679">
        <f t="shared" si="330"/>
        <v>15</v>
      </c>
      <c r="R2679" t="str">
        <f t="shared" si="331"/>
        <v/>
      </c>
      <c r="S2679" t="str">
        <f t="shared" si="332"/>
        <v/>
      </c>
      <c r="T2679" s="403" t="str">
        <f t="shared" si="333"/>
        <v>NBN-80122-CA</v>
      </c>
      <c r="U2679" s="403">
        <f t="shared" si="334"/>
        <v>1</v>
      </c>
      <c r="V2679" s="403" t="str">
        <f t="shared" si="335"/>
        <v>CPP_6</v>
      </c>
    </row>
    <row r="2680" spans="1:22">
      <c r="A2680" t="str">
        <f t="shared" si="328"/>
        <v>NBN-80122-CA</v>
      </c>
      <c r="B2680" s="403" t="s">
        <v>1320</v>
      </c>
      <c r="C2680" s="403" t="s">
        <v>584</v>
      </c>
      <c r="D2680" s="403" t="s">
        <v>1321</v>
      </c>
      <c r="E2680" s="403" t="s">
        <v>1322</v>
      </c>
      <c r="F2680" s="403" t="s">
        <v>1326</v>
      </c>
      <c r="G2680" s="403" t="s">
        <v>1466</v>
      </c>
      <c r="H2680" s="403" t="s">
        <v>1276</v>
      </c>
      <c r="I2680" s="403">
        <v>1</v>
      </c>
      <c r="J2680" s="403" t="s">
        <v>194</v>
      </c>
      <c r="K2680" s="403">
        <v>3840</v>
      </c>
      <c r="L2680" s="403">
        <v>2160</v>
      </c>
      <c r="M2680" s="403" t="s">
        <v>1284</v>
      </c>
      <c r="N2680" s="403">
        <v>640</v>
      </c>
      <c r="O2680" s="403">
        <v>480</v>
      </c>
      <c r="P2680" t="str">
        <f t="shared" si="329"/>
        <v>15fps 3840x2160 - SD VGA (cropped)</v>
      </c>
      <c r="Q2680">
        <f t="shared" si="330"/>
        <v>15</v>
      </c>
      <c r="R2680" t="str">
        <f t="shared" si="331"/>
        <v/>
      </c>
      <c r="S2680" t="str">
        <f t="shared" si="332"/>
        <v/>
      </c>
      <c r="T2680" s="403" t="str">
        <f t="shared" si="333"/>
        <v>NBN-80122-CA</v>
      </c>
      <c r="U2680" s="403">
        <f t="shared" si="334"/>
        <v>1</v>
      </c>
      <c r="V2680" s="403" t="str">
        <f t="shared" si="335"/>
        <v>CPP_6</v>
      </c>
    </row>
    <row r="2681" spans="1:22">
      <c r="A2681" t="str">
        <f t="shared" si="328"/>
        <v>NBN-80122-CA</v>
      </c>
      <c r="B2681" s="403" t="s">
        <v>1320</v>
      </c>
      <c r="C2681" s="403" t="s">
        <v>584</v>
      </c>
      <c r="D2681" s="403" t="s">
        <v>1321</v>
      </c>
      <c r="E2681" s="403" t="s">
        <v>1322</v>
      </c>
      <c r="F2681" s="403" t="s">
        <v>1326</v>
      </c>
      <c r="G2681" s="403" t="s">
        <v>1466</v>
      </c>
      <c r="H2681" s="403" t="s">
        <v>1276</v>
      </c>
      <c r="I2681" s="403">
        <v>1</v>
      </c>
      <c r="J2681" s="403" t="s">
        <v>194</v>
      </c>
      <c r="K2681" s="403">
        <v>3840</v>
      </c>
      <c r="L2681" s="403">
        <v>2160</v>
      </c>
      <c r="M2681" s="403" t="s">
        <v>1298</v>
      </c>
      <c r="N2681" s="403">
        <v>768</v>
      </c>
      <c r="O2681" s="403">
        <v>432</v>
      </c>
      <c r="P2681" t="str">
        <f t="shared" si="329"/>
        <v>15fps 3840x2160 - SD dual stream with independent ROI PTZ</v>
      </c>
      <c r="Q2681">
        <f t="shared" si="330"/>
        <v>15</v>
      </c>
      <c r="R2681" t="str">
        <f t="shared" si="331"/>
        <v/>
      </c>
      <c r="S2681" t="str">
        <f t="shared" si="332"/>
        <v/>
      </c>
      <c r="T2681" s="403" t="str">
        <f t="shared" si="333"/>
        <v>NBN-80122-CA</v>
      </c>
      <c r="U2681" s="403">
        <f t="shared" si="334"/>
        <v>1</v>
      </c>
      <c r="V2681" s="403" t="str">
        <f t="shared" si="335"/>
        <v>CPP_6</v>
      </c>
    </row>
    <row r="2682" spans="1:22">
      <c r="A2682" t="str">
        <f t="shared" si="328"/>
        <v>NBN-80122-CA</v>
      </c>
      <c r="B2682" s="403" t="s">
        <v>1320</v>
      </c>
      <c r="C2682" s="403" t="s">
        <v>584</v>
      </c>
      <c r="D2682" s="403" t="s">
        <v>1321</v>
      </c>
      <c r="E2682" s="403" t="s">
        <v>1322</v>
      </c>
      <c r="F2682" s="403" t="s">
        <v>1326</v>
      </c>
      <c r="G2682" s="403" t="s">
        <v>1466</v>
      </c>
      <c r="H2682" s="403" t="s">
        <v>1276</v>
      </c>
      <c r="I2682" s="403">
        <v>1</v>
      </c>
      <c r="J2682" s="403" t="s">
        <v>1324</v>
      </c>
      <c r="K2682" s="403">
        <v>3584</v>
      </c>
      <c r="L2682" s="403">
        <v>2016</v>
      </c>
      <c r="M2682" s="403" t="s">
        <v>110</v>
      </c>
      <c r="N2682" s="403">
        <v>1920</v>
      </c>
      <c r="O2682" s="403">
        <v>1080</v>
      </c>
      <c r="P2682" t="str">
        <f t="shared" si="329"/>
        <v>15fps 3584x2016 - 1080p</v>
      </c>
      <c r="Q2682">
        <f t="shared" si="330"/>
        <v>15</v>
      </c>
      <c r="R2682" t="str">
        <f t="shared" si="331"/>
        <v/>
      </c>
      <c r="S2682" t="str">
        <f t="shared" si="332"/>
        <v/>
      </c>
      <c r="T2682" s="403" t="str">
        <f t="shared" si="333"/>
        <v>NBN-80122-CA</v>
      </c>
      <c r="U2682" s="403">
        <f t="shared" si="334"/>
        <v>1</v>
      </c>
      <c r="V2682" s="403" t="str">
        <f t="shared" si="335"/>
        <v>CPP_6</v>
      </c>
    </row>
    <row r="2683" spans="1:22">
      <c r="A2683" t="str">
        <f t="shared" si="328"/>
        <v>NBN-80122-CA</v>
      </c>
      <c r="B2683" s="403" t="s">
        <v>1320</v>
      </c>
      <c r="C2683" s="403" t="s">
        <v>584</v>
      </c>
      <c r="D2683" s="403" t="s">
        <v>1321</v>
      </c>
      <c r="E2683" s="403" t="s">
        <v>1322</v>
      </c>
      <c r="F2683" s="403" t="s">
        <v>1326</v>
      </c>
      <c r="G2683" s="403" t="s">
        <v>1466</v>
      </c>
      <c r="H2683" s="403" t="s">
        <v>1276</v>
      </c>
      <c r="I2683" s="403">
        <v>1</v>
      </c>
      <c r="J2683" s="403" t="s">
        <v>1324</v>
      </c>
      <c r="K2683" s="403">
        <v>3584</v>
      </c>
      <c r="L2683" s="403">
        <v>2016</v>
      </c>
      <c r="M2683" s="403" t="s">
        <v>109</v>
      </c>
      <c r="N2683" s="403">
        <v>1280</v>
      </c>
      <c r="O2683" s="403">
        <v>720</v>
      </c>
      <c r="P2683" t="str">
        <f t="shared" si="329"/>
        <v>15fps 3584x2016 - 720p</v>
      </c>
      <c r="Q2683">
        <f t="shared" si="330"/>
        <v>15</v>
      </c>
      <c r="R2683" t="str">
        <f t="shared" si="331"/>
        <v/>
      </c>
      <c r="S2683" t="str">
        <f t="shared" si="332"/>
        <v/>
      </c>
      <c r="T2683" s="403" t="str">
        <f t="shared" si="333"/>
        <v>NBN-80122-CA</v>
      </c>
      <c r="U2683" s="403">
        <f t="shared" si="334"/>
        <v>1</v>
      </c>
      <c r="V2683" s="403" t="str">
        <f t="shared" si="335"/>
        <v>CPP_6</v>
      </c>
    </row>
    <row r="2684" spans="1:22">
      <c r="A2684" t="str">
        <f t="shared" si="328"/>
        <v>NBN-80122-CA</v>
      </c>
      <c r="B2684" s="403" t="s">
        <v>1320</v>
      </c>
      <c r="C2684" s="403" t="s">
        <v>584</v>
      </c>
      <c r="D2684" s="403" t="s">
        <v>1321</v>
      </c>
      <c r="E2684" s="403" t="s">
        <v>1322</v>
      </c>
      <c r="F2684" s="403" t="s">
        <v>1326</v>
      </c>
      <c r="G2684" s="403" t="s">
        <v>1466</v>
      </c>
      <c r="H2684" s="403" t="s">
        <v>1276</v>
      </c>
      <c r="I2684" s="403">
        <v>1</v>
      </c>
      <c r="J2684" s="403" t="s">
        <v>110</v>
      </c>
      <c r="K2684" s="403">
        <v>1920</v>
      </c>
      <c r="L2684" s="403">
        <v>1080</v>
      </c>
      <c r="M2684" s="403" t="s">
        <v>111</v>
      </c>
      <c r="N2684" s="403">
        <v>768</v>
      </c>
      <c r="O2684" s="403">
        <v>432</v>
      </c>
      <c r="P2684" t="str">
        <f t="shared" si="329"/>
        <v>15fps 1080p - SD</v>
      </c>
      <c r="Q2684">
        <f t="shared" si="330"/>
        <v>15</v>
      </c>
      <c r="R2684" t="str">
        <f t="shared" si="331"/>
        <v/>
      </c>
      <c r="S2684" t="str">
        <f t="shared" si="332"/>
        <v/>
      </c>
      <c r="T2684" s="403" t="str">
        <f t="shared" si="333"/>
        <v>NBN-80122-CA</v>
      </c>
      <c r="U2684" s="403">
        <f t="shared" si="334"/>
        <v>1</v>
      </c>
      <c r="V2684" s="403" t="str">
        <f t="shared" si="335"/>
        <v>CPP_6</v>
      </c>
    </row>
    <row r="2685" spans="1:22">
      <c r="A2685" t="str">
        <f t="shared" si="328"/>
        <v>NBN-80122-CA</v>
      </c>
      <c r="B2685" s="403" t="s">
        <v>1320</v>
      </c>
      <c r="C2685" s="403" t="s">
        <v>584</v>
      </c>
      <c r="D2685" s="403" t="s">
        <v>1321</v>
      </c>
      <c r="E2685" s="403" t="s">
        <v>1322</v>
      </c>
      <c r="F2685" s="403" t="s">
        <v>1326</v>
      </c>
      <c r="G2685" s="403" t="s">
        <v>1466</v>
      </c>
      <c r="H2685" s="403" t="s">
        <v>1276</v>
      </c>
      <c r="I2685" s="403">
        <v>1</v>
      </c>
      <c r="J2685" s="403" t="s">
        <v>110</v>
      </c>
      <c r="K2685" s="403">
        <v>1920</v>
      </c>
      <c r="L2685" s="403">
        <v>1080</v>
      </c>
      <c r="M2685" s="403" t="s">
        <v>110</v>
      </c>
      <c r="N2685" s="403">
        <v>1920</v>
      </c>
      <c r="O2685" s="403">
        <v>1080</v>
      </c>
      <c r="P2685" t="str">
        <f t="shared" si="329"/>
        <v>15fps 1080p - 1080p</v>
      </c>
      <c r="Q2685">
        <f t="shared" si="330"/>
        <v>15</v>
      </c>
      <c r="R2685" t="str">
        <f t="shared" si="331"/>
        <v/>
      </c>
      <c r="S2685" t="str">
        <f t="shared" si="332"/>
        <v/>
      </c>
      <c r="T2685" s="403" t="str">
        <f t="shared" si="333"/>
        <v>NBN-80122-CA</v>
      </c>
      <c r="U2685" s="403">
        <f t="shared" si="334"/>
        <v>1</v>
      </c>
      <c r="V2685" s="403" t="str">
        <f t="shared" si="335"/>
        <v>CPP_6</v>
      </c>
    </row>
    <row r="2686" spans="1:22">
      <c r="A2686" t="str">
        <f t="shared" si="328"/>
        <v>NBN-80122-CA</v>
      </c>
      <c r="B2686" s="403" t="s">
        <v>1320</v>
      </c>
      <c r="C2686" s="403" t="s">
        <v>584</v>
      </c>
      <c r="D2686" s="403" t="s">
        <v>1321</v>
      </c>
      <c r="E2686" s="403" t="s">
        <v>1322</v>
      </c>
      <c r="F2686" s="403" t="s">
        <v>1326</v>
      </c>
      <c r="G2686" s="403" t="s">
        <v>1466</v>
      </c>
      <c r="H2686" s="403" t="s">
        <v>1276</v>
      </c>
      <c r="I2686" s="403">
        <v>1</v>
      </c>
      <c r="J2686" s="403" t="s">
        <v>110</v>
      </c>
      <c r="K2686" s="403">
        <v>1920</v>
      </c>
      <c r="L2686" s="403">
        <v>1080</v>
      </c>
      <c r="M2686" s="403" t="s">
        <v>109</v>
      </c>
      <c r="N2686" s="403">
        <v>1280</v>
      </c>
      <c r="O2686" s="403">
        <v>720</v>
      </c>
      <c r="P2686" t="str">
        <f t="shared" si="329"/>
        <v>15fps 1080p - 720p</v>
      </c>
      <c r="Q2686">
        <f t="shared" si="330"/>
        <v>15</v>
      </c>
      <c r="R2686" t="str">
        <f t="shared" si="331"/>
        <v/>
      </c>
      <c r="S2686" t="str">
        <f t="shared" si="332"/>
        <v/>
      </c>
      <c r="T2686" s="403" t="str">
        <f t="shared" si="333"/>
        <v>NBN-80122-CA</v>
      </c>
      <c r="U2686" s="403">
        <f t="shared" si="334"/>
        <v>1</v>
      </c>
      <c r="V2686" s="403" t="str">
        <f t="shared" si="335"/>
        <v>CPP_6</v>
      </c>
    </row>
    <row r="2687" spans="1:22">
      <c r="A2687" t="str">
        <f t="shared" si="328"/>
        <v>NBN-80122-CA</v>
      </c>
      <c r="B2687" s="403" t="s">
        <v>1320</v>
      </c>
      <c r="C2687" s="403" t="s">
        <v>584</v>
      </c>
      <c r="D2687" s="403" t="s">
        <v>1321</v>
      </c>
      <c r="E2687" s="403" t="s">
        <v>1322</v>
      </c>
      <c r="F2687" s="403" t="s">
        <v>1326</v>
      </c>
      <c r="G2687" s="403" t="s">
        <v>1466</v>
      </c>
      <c r="H2687" s="403" t="s">
        <v>1276</v>
      </c>
      <c r="I2687" s="403">
        <v>1</v>
      </c>
      <c r="J2687" s="403" t="s">
        <v>110</v>
      </c>
      <c r="K2687" s="403">
        <v>1920</v>
      </c>
      <c r="L2687" s="403">
        <v>1080</v>
      </c>
      <c r="M2687" s="403" t="s">
        <v>1279</v>
      </c>
      <c r="N2687" s="403">
        <v>768</v>
      </c>
      <c r="O2687" s="403">
        <v>432</v>
      </c>
      <c r="P2687" t="str">
        <f t="shared" si="329"/>
        <v>15fps 1080p - SD ROI PTZ</v>
      </c>
      <c r="Q2687">
        <f t="shared" si="330"/>
        <v>15</v>
      </c>
      <c r="R2687" t="str">
        <f t="shared" si="331"/>
        <v/>
      </c>
      <c r="S2687" t="str">
        <f t="shared" si="332"/>
        <v/>
      </c>
      <c r="T2687" s="403" t="str">
        <f t="shared" si="333"/>
        <v>NBN-80122-CA</v>
      </c>
      <c r="U2687" s="403">
        <f t="shared" si="334"/>
        <v>1</v>
      </c>
      <c r="V2687" s="403" t="str">
        <f t="shared" si="335"/>
        <v>CPP_6</v>
      </c>
    </row>
    <row r="2688" spans="1:22">
      <c r="A2688" t="str">
        <f t="shared" si="328"/>
        <v>NBN-80122-CA</v>
      </c>
      <c r="B2688" s="403" t="s">
        <v>1320</v>
      </c>
      <c r="C2688" s="403" t="s">
        <v>584</v>
      </c>
      <c r="D2688" s="403" t="s">
        <v>1321</v>
      </c>
      <c r="E2688" s="403" t="s">
        <v>1322</v>
      </c>
      <c r="F2688" s="403" t="s">
        <v>1326</v>
      </c>
      <c r="G2688" s="403" t="s">
        <v>1466</v>
      </c>
      <c r="H2688" s="403" t="s">
        <v>1276</v>
      </c>
      <c r="I2688" s="403">
        <v>1</v>
      </c>
      <c r="J2688" s="403" t="s">
        <v>110</v>
      </c>
      <c r="K2688" s="403">
        <v>1920</v>
      </c>
      <c r="L2688" s="403">
        <v>1080</v>
      </c>
      <c r="M2688" s="403" t="s">
        <v>1302</v>
      </c>
      <c r="N2688" s="403">
        <v>400</v>
      </c>
      <c r="O2688" s="403">
        <v>720</v>
      </c>
      <c r="P2688" t="str">
        <f t="shared" si="329"/>
        <v>15fps 1080p - 400x720 upright (cropped)</v>
      </c>
      <c r="Q2688">
        <f t="shared" si="330"/>
        <v>15</v>
      </c>
      <c r="R2688" t="str">
        <f t="shared" si="331"/>
        <v/>
      </c>
      <c r="S2688" t="str">
        <f t="shared" si="332"/>
        <v/>
      </c>
      <c r="T2688" s="403" t="str">
        <f t="shared" si="333"/>
        <v>NBN-80122-CA</v>
      </c>
      <c r="U2688" s="403">
        <f t="shared" si="334"/>
        <v>1</v>
      </c>
      <c r="V2688" s="403" t="str">
        <f t="shared" si="335"/>
        <v>CPP_6</v>
      </c>
    </row>
    <row r="2689" spans="1:22">
      <c r="A2689" t="str">
        <f t="shared" si="328"/>
        <v>NBN-80122-CA</v>
      </c>
      <c r="B2689" s="403" t="s">
        <v>1320</v>
      </c>
      <c r="C2689" s="403" t="s">
        <v>584</v>
      </c>
      <c r="D2689" s="403" t="s">
        <v>1321</v>
      </c>
      <c r="E2689" s="403" t="s">
        <v>1322</v>
      </c>
      <c r="F2689" s="403" t="s">
        <v>1326</v>
      </c>
      <c r="G2689" s="403" t="s">
        <v>1466</v>
      </c>
      <c r="H2689" s="403" t="s">
        <v>1276</v>
      </c>
      <c r="I2689" s="403">
        <v>1</v>
      </c>
      <c r="J2689" s="403" t="s">
        <v>110</v>
      </c>
      <c r="K2689" s="403">
        <v>1920</v>
      </c>
      <c r="L2689" s="403">
        <v>1080</v>
      </c>
      <c r="M2689" s="403" t="s">
        <v>1283</v>
      </c>
      <c r="N2689" s="403">
        <v>704</v>
      </c>
      <c r="O2689" s="403">
        <v>480</v>
      </c>
      <c r="P2689" t="str">
        <f t="shared" si="329"/>
        <v>15fps 1080p - SD 4CIF resolution 4:3 format (cropped)</v>
      </c>
      <c r="Q2689">
        <f t="shared" si="330"/>
        <v>15</v>
      </c>
      <c r="R2689" t="str">
        <f t="shared" si="331"/>
        <v/>
      </c>
      <c r="S2689" t="str">
        <f t="shared" si="332"/>
        <v/>
      </c>
      <c r="T2689" s="403" t="str">
        <f t="shared" si="333"/>
        <v>NBN-80122-CA</v>
      </c>
      <c r="U2689" s="403">
        <f t="shared" si="334"/>
        <v>1</v>
      </c>
      <c r="V2689" s="403" t="str">
        <f t="shared" si="335"/>
        <v>CPP_6</v>
      </c>
    </row>
    <row r="2690" spans="1:22">
      <c r="A2690" t="str">
        <f t="shared" ref="A2690:A2753" si="336">IF(AND(G2690&lt;&gt;"rotate 90°"),D2690,"")</f>
        <v>NBN-80122-CA</v>
      </c>
      <c r="B2690" s="403" t="s">
        <v>1320</v>
      </c>
      <c r="C2690" s="403" t="s">
        <v>584</v>
      </c>
      <c r="D2690" s="403" t="s">
        <v>1321</v>
      </c>
      <c r="E2690" s="403" t="s">
        <v>1322</v>
      </c>
      <c r="F2690" s="403" t="s">
        <v>1326</v>
      </c>
      <c r="G2690" s="403" t="s">
        <v>1466</v>
      </c>
      <c r="H2690" s="403" t="s">
        <v>1276</v>
      </c>
      <c r="I2690" s="403">
        <v>1</v>
      </c>
      <c r="J2690" s="403" t="s">
        <v>110</v>
      </c>
      <c r="K2690" s="403">
        <v>1920</v>
      </c>
      <c r="L2690" s="403">
        <v>1080</v>
      </c>
      <c r="M2690" s="403" t="s">
        <v>1284</v>
      </c>
      <c r="N2690" s="403">
        <v>640</v>
      </c>
      <c r="O2690" s="403">
        <v>480</v>
      </c>
      <c r="P2690" t="str">
        <f t="shared" ref="P2690:P2753" si="337">LEFT(F2690,5)&amp;" "&amp;J2690&amp;" - "&amp;M2690</f>
        <v>15fps 1080p - SD VGA (cropped)</v>
      </c>
      <c r="Q2690">
        <f t="shared" ref="Q2690:Q2753" si="338">IF(A2689=A2690,Q2689,Q2689+1)</f>
        <v>15</v>
      </c>
      <c r="R2690" t="str">
        <f t="shared" ref="R2690:R2753" si="339">IF(Q2689&lt;&gt;Q2690,Q2690,"")</f>
        <v/>
      </c>
      <c r="S2690" t="str">
        <f t="shared" ref="S2690:S2753" si="340">IF(R2690&lt;&gt;"",B2690&amp;" ("&amp;D2690&amp;")","")</f>
        <v/>
      </c>
      <c r="T2690" s="403" t="str">
        <f t="shared" ref="T2690:T2753" si="341">D2690</f>
        <v>NBN-80122-CA</v>
      </c>
      <c r="U2690" s="403">
        <f t="shared" ref="U2690:U2753" si="342">I2690</f>
        <v>1</v>
      </c>
      <c r="V2690" s="403" t="str">
        <f t="shared" ref="V2690:V2753" si="343">C2690</f>
        <v>CPP_6</v>
      </c>
    </row>
    <row r="2691" spans="1:22">
      <c r="A2691" t="str">
        <f t="shared" si="336"/>
        <v>NBN-80122-CA</v>
      </c>
      <c r="B2691" s="403" t="s">
        <v>1320</v>
      </c>
      <c r="C2691" s="403" t="s">
        <v>584</v>
      </c>
      <c r="D2691" s="403" t="s">
        <v>1321</v>
      </c>
      <c r="E2691" s="403" t="s">
        <v>1322</v>
      </c>
      <c r="F2691" s="403" t="s">
        <v>1326</v>
      </c>
      <c r="G2691" s="403" t="s">
        <v>1466</v>
      </c>
      <c r="H2691" s="403" t="s">
        <v>1276</v>
      </c>
      <c r="I2691" s="403">
        <v>1</v>
      </c>
      <c r="J2691" s="403" t="s">
        <v>110</v>
      </c>
      <c r="K2691" s="403">
        <v>1920</v>
      </c>
      <c r="L2691" s="403">
        <v>1080</v>
      </c>
      <c r="M2691" s="403" t="s">
        <v>1298</v>
      </c>
      <c r="N2691" s="403">
        <v>768</v>
      </c>
      <c r="O2691" s="403">
        <v>432</v>
      </c>
      <c r="P2691" t="str">
        <f t="shared" si="337"/>
        <v>15fps 1080p - SD dual stream with independent ROI PTZ</v>
      </c>
      <c r="Q2691">
        <f t="shared" si="338"/>
        <v>15</v>
      </c>
      <c r="R2691" t="str">
        <f t="shared" si="339"/>
        <v/>
      </c>
      <c r="S2691" t="str">
        <f t="shared" si="340"/>
        <v/>
      </c>
      <c r="T2691" s="403" t="str">
        <f t="shared" si="341"/>
        <v>NBN-80122-CA</v>
      </c>
      <c r="U2691" s="403">
        <f t="shared" si="342"/>
        <v>1</v>
      </c>
      <c r="V2691" s="403" t="str">
        <f t="shared" si="343"/>
        <v>CPP_6</v>
      </c>
    </row>
    <row r="2692" spans="1:22">
      <c r="A2692" t="str">
        <f t="shared" si="336"/>
        <v>NBN-80122-CA</v>
      </c>
      <c r="B2692" s="403" t="s">
        <v>1320</v>
      </c>
      <c r="C2692" s="403" t="s">
        <v>584</v>
      </c>
      <c r="D2692" s="403" t="s">
        <v>1321</v>
      </c>
      <c r="E2692" s="403" t="s">
        <v>1322</v>
      </c>
      <c r="F2692" s="403" t="s">
        <v>1326</v>
      </c>
      <c r="G2692" s="403" t="s">
        <v>1467</v>
      </c>
      <c r="H2692" s="403" t="s">
        <v>1276</v>
      </c>
      <c r="I2692" s="403">
        <v>1</v>
      </c>
      <c r="J2692" s="403" t="s">
        <v>194</v>
      </c>
      <c r="K2692" s="403">
        <v>2160</v>
      </c>
      <c r="L2692" s="403">
        <v>3840</v>
      </c>
      <c r="M2692" s="403" t="s">
        <v>1280</v>
      </c>
      <c r="N2692" s="403">
        <v>2160</v>
      </c>
      <c r="O2692" s="403">
        <v>3840</v>
      </c>
      <c r="P2692" t="str">
        <f t="shared" si="337"/>
        <v>15fps 3840x2160 - copy other stream</v>
      </c>
      <c r="Q2692">
        <f t="shared" si="338"/>
        <v>15</v>
      </c>
      <c r="R2692" t="str">
        <f t="shared" si="339"/>
        <v/>
      </c>
      <c r="S2692" t="str">
        <f t="shared" si="340"/>
        <v/>
      </c>
      <c r="T2692" s="403" t="str">
        <f t="shared" si="341"/>
        <v>NBN-80122-CA</v>
      </c>
      <c r="U2692" s="403">
        <f t="shared" si="342"/>
        <v>1</v>
      </c>
      <c r="V2692" s="403" t="str">
        <f t="shared" si="343"/>
        <v>CPP_6</v>
      </c>
    </row>
    <row r="2693" spans="1:22">
      <c r="A2693" t="str">
        <f t="shared" si="336"/>
        <v>NBN-80122-CA</v>
      </c>
      <c r="B2693" s="403" t="s">
        <v>1320</v>
      </c>
      <c r="C2693" s="403" t="s">
        <v>584</v>
      </c>
      <c r="D2693" s="403" t="s">
        <v>1321</v>
      </c>
      <c r="E2693" s="403" t="s">
        <v>1322</v>
      </c>
      <c r="F2693" s="403" t="s">
        <v>1326</v>
      </c>
      <c r="G2693" s="403" t="s">
        <v>1467</v>
      </c>
      <c r="H2693" s="403" t="s">
        <v>1276</v>
      </c>
      <c r="I2693" s="403">
        <v>1</v>
      </c>
      <c r="J2693" s="403" t="s">
        <v>1324</v>
      </c>
      <c r="K2693" s="403">
        <v>2016</v>
      </c>
      <c r="L2693" s="403">
        <v>3584</v>
      </c>
      <c r="M2693" s="403" t="s">
        <v>111</v>
      </c>
      <c r="N2693" s="403">
        <v>432</v>
      </c>
      <c r="O2693" s="403">
        <v>768</v>
      </c>
      <c r="P2693" t="str">
        <f t="shared" si="337"/>
        <v>15fps 3584x2016 - SD</v>
      </c>
      <c r="Q2693">
        <f t="shared" si="338"/>
        <v>15</v>
      </c>
      <c r="R2693" t="str">
        <f t="shared" si="339"/>
        <v/>
      </c>
      <c r="S2693" t="str">
        <f t="shared" si="340"/>
        <v/>
      </c>
      <c r="T2693" s="403" t="str">
        <f t="shared" si="341"/>
        <v>NBN-80122-CA</v>
      </c>
      <c r="U2693" s="403">
        <f t="shared" si="342"/>
        <v>1</v>
      </c>
      <c r="V2693" s="403" t="str">
        <f t="shared" si="343"/>
        <v>CPP_6</v>
      </c>
    </row>
    <row r="2694" spans="1:22">
      <c r="A2694" t="str">
        <f t="shared" si="336"/>
        <v>NBN-80122-CA</v>
      </c>
      <c r="B2694" s="403" t="s">
        <v>1320</v>
      </c>
      <c r="C2694" s="403" t="s">
        <v>584</v>
      </c>
      <c r="D2694" s="403" t="s">
        <v>1321</v>
      </c>
      <c r="E2694" s="403" t="s">
        <v>1322</v>
      </c>
      <c r="F2694" s="403" t="s">
        <v>1326</v>
      </c>
      <c r="G2694" s="403" t="s">
        <v>1467</v>
      </c>
      <c r="H2694" s="403" t="s">
        <v>1276</v>
      </c>
      <c r="I2694" s="403">
        <v>1</v>
      </c>
      <c r="J2694" s="403" t="s">
        <v>1324</v>
      </c>
      <c r="K2694" s="403">
        <v>2016</v>
      </c>
      <c r="L2694" s="403">
        <v>3584</v>
      </c>
      <c r="M2694" s="403" t="s">
        <v>1279</v>
      </c>
      <c r="N2694" s="403">
        <v>432</v>
      </c>
      <c r="O2694" s="403">
        <v>768</v>
      </c>
      <c r="P2694" t="str">
        <f t="shared" si="337"/>
        <v>15fps 3584x2016 - SD ROI PTZ</v>
      </c>
      <c r="Q2694">
        <f t="shared" si="338"/>
        <v>15</v>
      </c>
      <c r="R2694" t="str">
        <f t="shared" si="339"/>
        <v/>
      </c>
      <c r="S2694" t="str">
        <f t="shared" si="340"/>
        <v/>
      </c>
      <c r="T2694" s="403" t="str">
        <f t="shared" si="341"/>
        <v>NBN-80122-CA</v>
      </c>
      <c r="U2694" s="403">
        <f t="shared" si="342"/>
        <v>1</v>
      </c>
      <c r="V2694" s="403" t="str">
        <f t="shared" si="343"/>
        <v>CPP_6</v>
      </c>
    </row>
    <row r="2695" spans="1:22">
      <c r="A2695" t="str">
        <f t="shared" si="336"/>
        <v>NBN-80122-CA</v>
      </c>
      <c r="B2695" s="403" t="s">
        <v>1320</v>
      </c>
      <c r="C2695" s="403" t="s">
        <v>584</v>
      </c>
      <c r="D2695" s="403" t="s">
        <v>1321</v>
      </c>
      <c r="E2695" s="403" t="s">
        <v>1322</v>
      </c>
      <c r="F2695" s="403" t="s">
        <v>1326</v>
      </c>
      <c r="G2695" s="403" t="s">
        <v>1467</v>
      </c>
      <c r="H2695" s="403" t="s">
        <v>1276</v>
      </c>
      <c r="I2695" s="403">
        <v>1</v>
      </c>
      <c r="J2695" s="403" t="s">
        <v>1324</v>
      </c>
      <c r="K2695" s="403">
        <v>2016</v>
      </c>
      <c r="L2695" s="403">
        <v>3584</v>
      </c>
      <c r="M2695" s="403" t="s">
        <v>1302</v>
      </c>
      <c r="N2695" s="403">
        <v>720</v>
      </c>
      <c r="O2695" s="403">
        <v>400</v>
      </c>
      <c r="P2695" t="str">
        <f t="shared" si="337"/>
        <v>15fps 3584x2016 - 400x720 upright (cropped)</v>
      </c>
      <c r="Q2695">
        <f t="shared" si="338"/>
        <v>15</v>
      </c>
      <c r="R2695" t="str">
        <f t="shared" si="339"/>
        <v/>
      </c>
      <c r="S2695" t="str">
        <f t="shared" si="340"/>
        <v/>
      </c>
      <c r="T2695" s="403" t="str">
        <f t="shared" si="341"/>
        <v>NBN-80122-CA</v>
      </c>
      <c r="U2695" s="403">
        <f t="shared" si="342"/>
        <v>1</v>
      </c>
      <c r="V2695" s="403" t="str">
        <f t="shared" si="343"/>
        <v>CPP_6</v>
      </c>
    </row>
    <row r="2696" spans="1:22">
      <c r="A2696" t="str">
        <f t="shared" si="336"/>
        <v>NBN-80122-CA</v>
      </c>
      <c r="B2696" s="403" t="s">
        <v>1320</v>
      </c>
      <c r="C2696" s="403" t="s">
        <v>584</v>
      </c>
      <c r="D2696" s="403" t="s">
        <v>1321</v>
      </c>
      <c r="E2696" s="403" t="s">
        <v>1322</v>
      </c>
      <c r="F2696" s="403" t="s">
        <v>1326</v>
      </c>
      <c r="G2696" s="403" t="s">
        <v>1467</v>
      </c>
      <c r="H2696" s="403" t="s">
        <v>1276</v>
      </c>
      <c r="I2696" s="403">
        <v>1</v>
      </c>
      <c r="J2696" s="403" t="s">
        <v>1324</v>
      </c>
      <c r="K2696" s="403">
        <v>2016</v>
      </c>
      <c r="L2696" s="403">
        <v>3584</v>
      </c>
      <c r="M2696" s="403" t="s">
        <v>1283</v>
      </c>
      <c r="N2696" s="403">
        <v>480</v>
      </c>
      <c r="O2696" s="403">
        <v>704</v>
      </c>
      <c r="P2696" t="str">
        <f t="shared" si="337"/>
        <v>15fps 3584x2016 - SD 4CIF resolution 4:3 format (cropped)</v>
      </c>
      <c r="Q2696">
        <f t="shared" si="338"/>
        <v>15</v>
      </c>
      <c r="R2696" t="str">
        <f t="shared" si="339"/>
        <v/>
      </c>
      <c r="S2696" t="str">
        <f t="shared" si="340"/>
        <v/>
      </c>
      <c r="T2696" s="403" t="str">
        <f t="shared" si="341"/>
        <v>NBN-80122-CA</v>
      </c>
      <c r="U2696" s="403">
        <f t="shared" si="342"/>
        <v>1</v>
      </c>
      <c r="V2696" s="403" t="str">
        <f t="shared" si="343"/>
        <v>CPP_6</v>
      </c>
    </row>
    <row r="2697" spans="1:22">
      <c r="A2697" t="str">
        <f t="shared" si="336"/>
        <v>NBN-80122-CA</v>
      </c>
      <c r="B2697" s="403" t="s">
        <v>1320</v>
      </c>
      <c r="C2697" s="403" t="s">
        <v>584</v>
      </c>
      <c r="D2697" s="403" t="s">
        <v>1321</v>
      </c>
      <c r="E2697" s="403" t="s">
        <v>1322</v>
      </c>
      <c r="F2697" s="403" t="s">
        <v>1326</v>
      </c>
      <c r="G2697" s="403" t="s">
        <v>1467</v>
      </c>
      <c r="H2697" s="403" t="s">
        <v>1276</v>
      </c>
      <c r="I2697" s="403">
        <v>1</v>
      </c>
      <c r="J2697" s="403" t="s">
        <v>1324</v>
      </c>
      <c r="K2697" s="403">
        <v>2016</v>
      </c>
      <c r="L2697" s="403">
        <v>3584</v>
      </c>
      <c r="M2697" s="403" t="s">
        <v>1284</v>
      </c>
      <c r="N2697" s="403">
        <v>480</v>
      </c>
      <c r="O2697" s="403">
        <v>640</v>
      </c>
      <c r="P2697" t="str">
        <f t="shared" si="337"/>
        <v>15fps 3584x2016 - SD VGA (cropped)</v>
      </c>
      <c r="Q2697">
        <f t="shared" si="338"/>
        <v>15</v>
      </c>
      <c r="R2697" t="str">
        <f t="shared" si="339"/>
        <v/>
      </c>
      <c r="S2697" t="str">
        <f t="shared" si="340"/>
        <v/>
      </c>
      <c r="T2697" s="403" t="str">
        <f t="shared" si="341"/>
        <v>NBN-80122-CA</v>
      </c>
      <c r="U2697" s="403">
        <f t="shared" si="342"/>
        <v>1</v>
      </c>
      <c r="V2697" s="403" t="str">
        <f t="shared" si="343"/>
        <v>CPP_6</v>
      </c>
    </row>
    <row r="2698" spans="1:22">
      <c r="A2698" t="str">
        <f t="shared" si="336"/>
        <v>NBN-80122-CA</v>
      </c>
      <c r="B2698" s="403" t="s">
        <v>1320</v>
      </c>
      <c r="C2698" s="403" t="s">
        <v>584</v>
      </c>
      <c r="D2698" s="403" t="s">
        <v>1321</v>
      </c>
      <c r="E2698" s="403" t="s">
        <v>1322</v>
      </c>
      <c r="F2698" s="403" t="s">
        <v>1326</v>
      </c>
      <c r="G2698" s="403" t="s">
        <v>1467</v>
      </c>
      <c r="H2698" s="403" t="s">
        <v>1276</v>
      </c>
      <c r="I2698" s="403">
        <v>1</v>
      </c>
      <c r="J2698" s="403" t="s">
        <v>1324</v>
      </c>
      <c r="K2698" s="403">
        <v>2016</v>
      </c>
      <c r="L2698" s="403">
        <v>3584</v>
      </c>
      <c r="M2698" s="403" t="s">
        <v>1280</v>
      </c>
      <c r="N2698" s="403">
        <v>2016</v>
      </c>
      <c r="O2698" s="403">
        <v>3584</v>
      </c>
      <c r="P2698" t="str">
        <f t="shared" si="337"/>
        <v>15fps 3584x2016 - copy other stream</v>
      </c>
      <c r="Q2698">
        <f t="shared" si="338"/>
        <v>15</v>
      </c>
      <c r="R2698" t="str">
        <f t="shared" si="339"/>
        <v/>
      </c>
      <c r="S2698" t="str">
        <f t="shared" si="340"/>
        <v/>
      </c>
      <c r="T2698" s="403" t="str">
        <f t="shared" si="341"/>
        <v>NBN-80122-CA</v>
      </c>
      <c r="U2698" s="403">
        <f t="shared" si="342"/>
        <v>1</v>
      </c>
      <c r="V2698" s="403" t="str">
        <f t="shared" si="343"/>
        <v>CPP_6</v>
      </c>
    </row>
    <row r="2699" spans="1:22">
      <c r="A2699" t="str">
        <f t="shared" si="336"/>
        <v>NBN-80122-CA</v>
      </c>
      <c r="B2699" s="403" t="s">
        <v>1320</v>
      </c>
      <c r="C2699" s="403" t="s">
        <v>584</v>
      </c>
      <c r="D2699" s="403" t="s">
        <v>1321</v>
      </c>
      <c r="E2699" s="403" t="s">
        <v>1322</v>
      </c>
      <c r="F2699" s="403" t="s">
        <v>1326</v>
      </c>
      <c r="G2699" s="403" t="s">
        <v>1467</v>
      </c>
      <c r="H2699" s="403" t="s">
        <v>1276</v>
      </c>
      <c r="I2699" s="403">
        <v>1</v>
      </c>
      <c r="J2699" s="403" t="s">
        <v>1324</v>
      </c>
      <c r="K2699" s="403">
        <v>2016</v>
      </c>
      <c r="L2699" s="403">
        <v>3584</v>
      </c>
      <c r="M2699" s="403" t="s">
        <v>1298</v>
      </c>
      <c r="N2699" s="403">
        <v>432</v>
      </c>
      <c r="O2699" s="403">
        <v>768</v>
      </c>
      <c r="P2699" t="str">
        <f t="shared" si="337"/>
        <v>15fps 3584x2016 - SD dual stream with independent ROI PTZ</v>
      </c>
      <c r="Q2699">
        <f t="shared" si="338"/>
        <v>15</v>
      </c>
      <c r="R2699" t="str">
        <f t="shared" si="339"/>
        <v/>
      </c>
      <c r="S2699" t="str">
        <f t="shared" si="340"/>
        <v/>
      </c>
      <c r="T2699" s="403" t="str">
        <f t="shared" si="341"/>
        <v>NBN-80122-CA</v>
      </c>
      <c r="U2699" s="403">
        <f t="shared" si="342"/>
        <v>1</v>
      </c>
      <c r="V2699" s="403" t="str">
        <f t="shared" si="343"/>
        <v>CPP_6</v>
      </c>
    </row>
    <row r="2700" spans="1:22">
      <c r="A2700" t="str">
        <f t="shared" si="336"/>
        <v>NBN-80122-CA</v>
      </c>
      <c r="B2700" s="403" t="s">
        <v>1320</v>
      </c>
      <c r="C2700" s="403" t="s">
        <v>584</v>
      </c>
      <c r="D2700" s="403" t="s">
        <v>1321</v>
      </c>
      <c r="E2700" s="403" t="s">
        <v>1322</v>
      </c>
      <c r="F2700" s="403" t="s">
        <v>1326</v>
      </c>
      <c r="G2700" s="403" t="s">
        <v>1467</v>
      </c>
      <c r="H2700" s="403" t="s">
        <v>1276</v>
      </c>
      <c r="I2700" s="403">
        <v>1</v>
      </c>
      <c r="J2700" s="403" t="s">
        <v>194</v>
      </c>
      <c r="K2700" s="403">
        <v>2160</v>
      </c>
      <c r="L2700" s="403">
        <v>3840</v>
      </c>
      <c r="M2700" s="403" t="s">
        <v>110</v>
      </c>
      <c r="N2700" s="403">
        <v>1080</v>
      </c>
      <c r="O2700" s="403">
        <v>1920</v>
      </c>
      <c r="P2700" t="str">
        <f t="shared" si="337"/>
        <v>15fps 3840x2160 - 1080p</v>
      </c>
      <c r="Q2700">
        <f t="shared" si="338"/>
        <v>15</v>
      </c>
      <c r="R2700" t="str">
        <f t="shared" si="339"/>
        <v/>
      </c>
      <c r="S2700" t="str">
        <f t="shared" si="340"/>
        <v/>
      </c>
      <c r="T2700" s="403" t="str">
        <f t="shared" si="341"/>
        <v>NBN-80122-CA</v>
      </c>
      <c r="U2700" s="403">
        <f t="shared" si="342"/>
        <v>1</v>
      </c>
      <c r="V2700" s="403" t="str">
        <f t="shared" si="343"/>
        <v>CPP_6</v>
      </c>
    </row>
    <row r="2701" spans="1:22">
      <c r="A2701" t="str">
        <f t="shared" si="336"/>
        <v>NBN-80122-CA</v>
      </c>
      <c r="B2701" s="403" t="s">
        <v>1320</v>
      </c>
      <c r="C2701" s="403" t="s">
        <v>584</v>
      </c>
      <c r="D2701" s="403" t="s">
        <v>1321</v>
      </c>
      <c r="E2701" s="403" t="s">
        <v>1322</v>
      </c>
      <c r="F2701" s="403" t="s">
        <v>1326</v>
      </c>
      <c r="G2701" s="403" t="s">
        <v>1467</v>
      </c>
      <c r="H2701" s="403" t="s">
        <v>1276</v>
      </c>
      <c r="I2701" s="403">
        <v>1</v>
      </c>
      <c r="J2701" s="403" t="s">
        <v>194</v>
      </c>
      <c r="K2701" s="403">
        <v>2160</v>
      </c>
      <c r="L2701" s="403">
        <v>3840</v>
      </c>
      <c r="M2701" s="403" t="s">
        <v>109</v>
      </c>
      <c r="N2701" s="403">
        <v>720</v>
      </c>
      <c r="O2701" s="403">
        <v>1280</v>
      </c>
      <c r="P2701" t="str">
        <f t="shared" si="337"/>
        <v>15fps 3840x2160 - 720p</v>
      </c>
      <c r="Q2701">
        <f t="shared" si="338"/>
        <v>15</v>
      </c>
      <c r="R2701" t="str">
        <f t="shared" si="339"/>
        <v/>
      </c>
      <c r="S2701" t="str">
        <f t="shared" si="340"/>
        <v/>
      </c>
      <c r="T2701" s="403" t="str">
        <f t="shared" si="341"/>
        <v>NBN-80122-CA</v>
      </c>
      <c r="U2701" s="403">
        <f t="shared" si="342"/>
        <v>1</v>
      </c>
      <c r="V2701" s="403" t="str">
        <f t="shared" si="343"/>
        <v>CPP_6</v>
      </c>
    </row>
    <row r="2702" spans="1:22">
      <c r="A2702" t="str">
        <f t="shared" si="336"/>
        <v>NBN-80122-CA</v>
      </c>
      <c r="B2702" s="403" t="s">
        <v>1320</v>
      </c>
      <c r="C2702" s="403" t="s">
        <v>584</v>
      </c>
      <c r="D2702" s="403" t="s">
        <v>1321</v>
      </c>
      <c r="E2702" s="403" t="s">
        <v>1322</v>
      </c>
      <c r="F2702" s="403" t="s">
        <v>1326</v>
      </c>
      <c r="G2702" s="403" t="s">
        <v>1467</v>
      </c>
      <c r="H2702" s="403" t="s">
        <v>1276</v>
      </c>
      <c r="I2702" s="403">
        <v>1</v>
      </c>
      <c r="J2702" s="403" t="s">
        <v>194</v>
      </c>
      <c r="K2702" s="403">
        <v>2160</v>
      </c>
      <c r="L2702" s="403">
        <v>3840</v>
      </c>
      <c r="M2702" s="403" t="s">
        <v>111</v>
      </c>
      <c r="N2702" s="403">
        <v>432</v>
      </c>
      <c r="O2702" s="403">
        <v>768</v>
      </c>
      <c r="P2702" t="str">
        <f t="shared" si="337"/>
        <v>15fps 3840x2160 - SD</v>
      </c>
      <c r="Q2702">
        <f t="shared" si="338"/>
        <v>15</v>
      </c>
      <c r="R2702" t="str">
        <f t="shared" si="339"/>
        <v/>
      </c>
      <c r="S2702" t="str">
        <f t="shared" si="340"/>
        <v/>
      </c>
      <c r="T2702" s="403" t="str">
        <f t="shared" si="341"/>
        <v>NBN-80122-CA</v>
      </c>
      <c r="U2702" s="403">
        <f t="shared" si="342"/>
        <v>1</v>
      </c>
      <c r="V2702" s="403" t="str">
        <f t="shared" si="343"/>
        <v>CPP_6</v>
      </c>
    </row>
    <row r="2703" spans="1:22">
      <c r="A2703" t="str">
        <f t="shared" si="336"/>
        <v>NBN-80122-CA</v>
      </c>
      <c r="B2703" s="403" t="s">
        <v>1320</v>
      </c>
      <c r="C2703" s="403" t="s">
        <v>584</v>
      </c>
      <c r="D2703" s="403" t="s">
        <v>1321</v>
      </c>
      <c r="E2703" s="403" t="s">
        <v>1322</v>
      </c>
      <c r="F2703" s="403" t="s">
        <v>1326</v>
      </c>
      <c r="G2703" s="403" t="s">
        <v>1467</v>
      </c>
      <c r="H2703" s="403" t="s">
        <v>1276</v>
      </c>
      <c r="I2703" s="403">
        <v>1</v>
      </c>
      <c r="J2703" s="403" t="s">
        <v>194</v>
      </c>
      <c r="K2703" s="403">
        <v>2160</v>
      </c>
      <c r="L2703" s="403">
        <v>3840</v>
      </c>
      <c r="M2703" s="403" t="s">
        <v>1279</v>
      </c>
      <c r="N2703" s="403">
        <v>432</v>
      </c>
      <c r="O2703" s="403">
        <v>768</v>
      </c>
      <c r="P2703" t="str">
        <f t="shared" si="337"/>
        <v>15fps 3840x2160 - SD ROI PTZ</v>
      </c>
      <c r="Q2703">
        <f t="shared" si="338"/>
        <v>15</v>
      </c>
      <c r="R2703" t="str">
        <f t="shared" si="339"/>
        <v/>
      </c>
      <c r="S2703" t="str">
        <f t="shared" si="340"/>
        <v/>
      </c>
      <c r="T2703" s="403" t="str">
        <f t="shared" si="341"/>
        <v>NBN-80122-CA</v>
      </c>
      <c r="U2703" s="403">
        <f t="shared" si="342"/>
        <v>1</v>
      </c>
      <c r="V2703" s="403" t="str">
        <f t="shared" si="343"/>
        <v>CPP_6</v>
      </c>
    </row>
    <row r="2704" spans="1:22">
      <c r="A2704" t="str">
        <f t="shared" si="336"/>
        <v>NBN-80122-CA</v>
      </c>
      <c r="B2704" s="403" t="s">
        <v>1320</v>
      </c>
      <c r="C2704" s="403" t="s">
        <v>584</v>
      </c>
      <c r="D2704" s="403" t="s">
        <v>1321</v>
      </c>
      <c r="E2704" s="403" t="s">
        <v>1322</v>
      </c>
      <c r="F2704" s="403" t="s">
        <v>1326</v>
      </c>
      <c r="G2704" s="403" t="s">
        <v>1467</v>
      </c>
      <c r="H2704" s="403" t="s">
        <v>1276</v>
      </c>
      <c r="I2704" s="403">
        <v>1</v>
      </c>
      <c r="J2704" s="403" t="s">
        <v>194</v>
      </c>
      <c r="K2704" s="403">
        <v>2160</v>
      </c>
      <c r="L2704" s="403">
        <v>3840</v>
      </c>
      <c r="M2704" s="403" t="s">
        <v>1302</v>
      </c>
      <c r="N2704" s="403">
        <v>720</v>
      </c>
      <c r="O2704" s="403">
        <v>400</v>
      </c>
      <c r="P2704" t="str">
        <f t="shared" si="337"/>
        <v>15fps 3840x2160 - 400x720 upright (cropped)</v>
      </c>
      <c r="Q2704">
        <f t="shared" si="338"/>
        <v>15</v>
      </c>
      <c r="R2704" t="str">
        <f t="shared" si="339"/>
        <v/>
      </c>
      <c r="S2704" t="str">
        <f t="shared" si="340"/>
        <v/>
      </c>
      <c r="T2704" s="403" t="str">
        <f t="shared" si="341"/>
        <v>NBN-80122-CA</v>
      </c>
      <c r="U2704" s="403">
        <f t="shared" si="342"/>
        <v>1</v>
      </c>
      <c r="V2704" s="403" t="str">
        <f t="shared" si="343"/>
        <v>CPP_6</v>
      </c>
    </row>
    <row r="2705" spans="1:22">
      <c r="A2705" t="str">
        <f t="shared" si="336"/>
        <v>NBN-80122-CA</v>
      </c>
      <c r="B2705" s="403" t="s">
        <v>1320</v>
      </c>
      <c r="C2705" s="403" t="s">
        <v>584</v>
      </c>
      <c r="D2705" s="403" t="s">
        <v>1321</v>
      </c>
      <c r="E2705" s="403" t="s">
        <v>1322</v>
      </c>
      <c r="F2705" s="403" t="s">
        <v>1326</v>
      </c>
      <c r="G2705" s="403" t="s">
        <v>1467</v>
      </c>
      <c r="H2705" s="403" t="s">
        <v>1276</v>
      </c>
      <c r="I2705" s="403">
        <v>1</v>
      </c>
      <c r="J2705" s="403" t="s">
        <v>194</v>
      </c>
      <c r="K2705" s="403">
        <v>2160</v>
      </c>
      <c r="L2705" s="403">
        <v>3840</v>
      </c>
      <c r="M2705" s="403" t="s">
        <v>1283</v>
      </c>
      <c r="N2705" s="403">
        <v>480</v>
      </c>
      <c r="O2705" s="403">
        <v>704</v>
      </c>
      <c r="P2705" t="str">
        <f t="shared" si="337"/>
        <v>15fps 3840x2160 - SD 4CIF resolution 4:3 format (cropped)</v>
      </c>
      <c r="Q2705">
        <f t="shared" si="338"/>
        <v>15</v>
      </c>
      <c r="R2705" t="str">
        <f t="shared" si="339"/>
        <v/>
      </c>
      <c r="S2705" t="str">
        <f t="shared" si="340"/>
        <v/>
      </c>
      <c r="T2705" s="403" t="str">
        <f t="shared" si="341"/>
        <v>NBN-80122-CA</v>
      </c>
      <c r="U2705" s="403">
        <f t="shared" si="342"/>
        <v>1</v>
      </c>
      <c r="V2705" s="403" t="str">
        <f t="shared" si="343"/>
        <v>CPP_6</v>
      </c>
    </row>
    <row r="2706" spans="1:22">
      <c r="A2706" t="str">
        <f t="shared" si="336"/>
        <v>NBN-80122-CA</v>
      </c>
      <c r="B2706" s="403" t="s">
        <v>1320</v>
      </c>
      <c r="C2706" s="403" t="s">
        <v>584</v>
      </c>
      <c r="D2706" s="403" t="s">
        <v>1321</v>
      </c>
      <c r="E2706" s="403" t="s">
        <v>1322</v>
      </c>
      <c r="F2706" s="403" t="s">
        <v>1326</v>
      </c>
      <c r="G2706" s="403" t="s">
        <v>1467</v>
      </c>
      <c r="H2706" s="403" t="s">
        <v>1276</v>
      </c>
      <c r="I2706" s="403">
        <v>1</v>
      </c>
      <c r="J2706" s="403" t="s">
        <v>194</v>
      </c>
      <c r="K2706" s="403">
        <v>2160</v>
      </c>
      <c r="L2706" s="403">
        <v>3840</v>
      </c>
      <c r="M2706" s="403" t="s">
        <v>1284</v>
      </c>
      <c r="N2706" s="403">
        <v>480</v>
      </c>
      <c r="O2706" s="403">
        <v>640</v>
      </c>
      <c r="P2706" t="str">
        <f t="shared" si="337"/>
        <v>15fps 3840x2160 - SD VGA (cropped)</v>
      </c>
      <c r="Q2706">
        <f t="shared" si="338"/>
        <v>15</v>
      </c>
      <c r="R2706" t="str">
        <f t="shared" si="339"/>
        <v/>
      </c>
      <c r="S2706" t="str">
        <f t="shared" si="340"/>
        <v/>
      </c>
      <c r="T2706" s="403" t="str">
        <f t="shared" si="341"/>
        <v>NBN-80122-CA</v>
      </c>
      <c r="U2706" s="403">
        <f t="shared" si="342"/>
        <v>1</v>
      </c>
      <c r="V2706" s="403" t="str">
        <f t="shared" si="343"/>
        <v>CPP_6</v>
      </c>
    </row>
    <row r="2707" spans="1:22">
      <c r="A2707" t="str">
        <f t="shared" si="336"/>
        <v>NBN-80122-CA</v>
      </c>
      <c r="B2707" s="403" t="s">
        <v>1320</v>
      </c>
      <c r="C2707" s="403" t="s">
        <v>584</v>
      </c>
      <c r="D2707" s="403" t="s">
        <v>1321</v>
      </c>
      <c r="E2707" s="403" t="s">
        <v>1322</v>
      </c>
      <c r="F2707" s="403" t="s">
        <v>1326</v>
      </c>
      <c r="G2707" s="403" t="s">
        <v>1467</v>
      </c>
      <c r="H2707" s="403" t="s">
        <v>1276</v>
      </c>
      <c r="I2707" s="403">
        <v>1</v>
      </c>
      <c r="J2707" s="403" t="s">
        <v>194</v>
      </c>
      <c r="K2707" s="403">
        <v>2160</v>
      </c>
      <c r="L2707" s="403">
        <v>3840</v>
      </c>
      <c r="M2707" s="403" t="s">
        <v>1298</v>
      </c>
      <c r="N2707" s="403">
        <v>432</v>
      </c>
      <c r="O2707" s="403">
        <v>768</v>
      </c>
      <c r="P2707" t="str">
        <f t="shared" si="337"/>
        <v>15fps 3840x2160 - SD dual stream with independent ROI PTZ</v>
      </c>
      <c r="Q2707">
        <f t="shared" si="338"/>
        <v>15</v>
      </c>
      <c r="R2707" t="str">
        <f t="shared" si="339"/>
        <v/>
      </c>
      <c r="S2707" t="str">
        <f t="shared" si="340"/>
        <v/>
      </c>
      <c r="T2707" s="403" t="str">
        <f t="shared" si="341"/>
        <v>NBN-80122-CA</v>
      </c>
      <c r="U2707" s="403">
        <f t="shared" si="342"/>
        <v>1</v>
      </c>
      <c r="V2707" s="403" t="str">
        <f t="shared" si="343"/>
        <v>CPP_6</v>
      </c>
    </row>
    <row r="2708" spans="1:22">
      <c r="A2708" t="str">
        <f t="shared" si="336"/>
        <v>NBN-80122-CA</v>
      </c>
      <c r="B2708" s="403" t="s">
        <v>1320</v>
      </c>
      <c r="C2708" s="403" t="s">
        <v>584</v>
      </c>
      <c r="D2708" s="403" t="s">
        <v>1321</v>
      </c>
      <c r="E2708" s="403" t="s">
        <v>1322</v>
      </c>
      <c r="F2708" s="403" t="s">
        <v>1326</v>
      </c>
      <c r="G2708" s="403" t="s">
        <v>1467</v>
      </c>
      <c r="H2708" s="403" t="s">
        <v>1276</v>
      </c>
      <c r="I2708" s="403">
        <v>1</v>
      </c>
      <c r="J2708" s="403" t="s">
        <v>1324</v>
      </c>
      <c r="K2708" s="403">
        <v>2016</v>
      </c>
      <c r="L2708" s="403">
        <v>3584</v>
      </c>
      <c r="M2708" s="403" t="s">
        <v>110</v>
      </c>
      <c r="N2708" s="403">
        <v>1080</v>
      </c>
      <c r="O2708" s="403">
        <v>1920</v>
      </c>
      <c r="P2708" t="str">
        <f t="shared" si="337"/>
        <v>15fps 3584x2016 - 1080p</v>
      </c>
      <c r="Q2708">
        <f t="shared" si="338"/>
        <v>15</v>
      </c>
      <c r="R2708" t="str">
        <f t="shared" si="339"/>
        <v/>
      </c>
      <c r="S2708" t="str">
        <f t="shared" si="340"/>
        <v/>
      </c>
      <c r="T2708" s="403" t="str">
        <f t="shared" si="341"/>
        <v>NBN-80122-CA</v>
      </c>
      <c r="U2708" s="403">
        <f t="shared" si="342"/>
        <v>1</v>
      </c>
      <c r="V2708" s="403" t="str">
        <f t="shared" si="343"/>
        <v>CPP_6</v>
      </c>
    </row>
    <row r="2709" spans="1:22">
      <c r="A2709" t="str">
        <f t="shared" si="336"/>
        <v>NBN-80122-CA</v>
      </c>
      <c r="B2709" s="403" t="s">
        <v>1320</v>
      </c>
      <c r="C2709" s="403" t="s">
        <v>584</v>
      </c>
      <c r="D2709" s="403" t="s">
        <v>1321</v>
      </c>
      <c r="E2709" s="403" t="s">
        <v>1322</v>
      </c>
      <c r="F2709" s="403" t="s">
        <v>1326</v>
      </c>
      <c r="G2709" s="403" t="s">
        <v>1467</v>
      </c>
      <c r="H2709" s="403" t="s">
        <v>1276</v>
      </c>
      <c r="I2709" s="403">
        <v>1</v>
      </c>
      <c r="J2709" s="403" t="s">
        <v>1324</v>
      </c>
      <c r="K2709" s="403">
        <v>2016</v>
      </c>
      <c r="L2709" s="403">
        <v>3584</v>
      </c>
      <c r="M2709" s="403" t="s">
        <v>109</v>
      </c>
      <c r="N2709" s="403">
        <v>720</v>
      </c>
      <c r="O2709" s="403">
        <v>1280</v>
      </c>
      <c r="P2709" t="str">
        <f t="shared" si="337"/>
        <v>15fps 3584x2016 - 720p</v>
      </c>
      <c r="Q2709">
        <f t="shared" si="338"/>
        <v>15</v>
      </c>
      <c r="R2709" t="str">
        <f t="shared" si="339"/>
        <v/>
      </c>
      <c r="S2709" t="str">
        <f t="shared" si="340"/>
        <v/>
      </c>
      <c r="T2709" s="403" t="str">
        <f t="shared" si="341"/>
        <v>NBN-80122-CA</v>
      </c>
      <c r="U2709" s="403">
        <f t="shared" si="342"/>
        <v>1</v>
      </c>
      <c r="V2709" s="403" t="str">
        <f t="shared" si="343"/>
        <v>CPP_6</v>
      </c>
    </row>
    <row r="2710" spans="1:22">
      <c r="A2710" t="str">
        <f t="shared" si="336"/>
        <v>NBN-80122-CA</v>
      </c>
      <c r="B2710" s="403" t="s">
        <v>1320</v>
      </c>
      <c r="C2710" s="403" t="s">
        <v>584</v>
      </c>
      <c r="D2710" s="403" t="s">
        <v>1321</v>
      </c>
      <c r="E2710" s="403" t="s">
        <v>1322</v>
      </c>
      <c r="F2710" s="403" t="s">
        <v>1326</v>
      </c>
      <c r="G2710" s="403" t="s">
        <v>1467</v>
      </c>
      <c r="H2710" s="403" t="s">
        <v>1276</v>
      </c>
      <c r="I2710" s="403">
        <v>1</v>
      </c>
      <c r="J2710" s="403" t="s">
        <v>110</v>
      </c>
      <c r="K2710" s="403">
        <v>1080</v>
      </c>
      <c r="L2710" s="403">
        <v>1920</v>
      </c>
      <c r="M2710" s="403" t="s">
        <v>111</v>
      </c>
      <c r="N2710" s="403">
        <v>432</v>
      </c>
      <c r="O2710" s="403">
        <v>768</v>
      </c>
      <c r="P2710" t="str">
        <f t="shared" si="337"/>
        <v>15fps 1080p - SD</v>
      </c>
      <c r="Q2710">
        <f t="shared" si="338"/>
        <v>15</v>
      </c>
      <c r="R2710" t="str">
        <f t="shared" si="339"/>
        <v/>
      </c>
      <c r="S2710" t="str">
        <f t="shared" si="340"/>
        <v/>
      </c>
      <c r="T2710" s="403" t="str">
        <f t="shared" si="341"/>
        <v>NBN-80122-CA</v>
      </c>
      <c r="U2710" s="403">
        <f t="shared" si="342"/>
        <v>1</v>
      </c>
      <c r="V2710" s="403" t="str">
        <f t="shared" si="343"/>
        <v>CPP_6</v>
      </c>
    </row>
    <row r="2711" spans="1:22">
      <c r="A2711" t="str">
        <f t="shared" si="336"/>
        <v>NBN-80122-CA</v>
      </c>
      <c r="B2711" s="403" t="s">
        <v>1320</v>
      </c>
      <c r="C2711" s="403" t="s">
        <v>584</v>
      </c>
      <c r="D2711" s="403" t="s">
        <v>1321</v>
      </c>
      <c r="E2711" s="403" t="s">
        <v>1322</v>
      </c>
      <c r="F2711" s="403" t="s">
        <v>1326</v>
      </c>
      <c r="G2711" s="403" t="s">
        <v>1467</v>
      </c>
      <c r="H2711" s="403" t="s">
        <v>1276</v>
      </c>
      <c r="I2711" s="403">
        <v>1</v>
      </c>
      <c r="J2711" s="403" t="s">
        <v>110</v>
      </c>
      <c r="K2711" s="403">
        <v>1080</v>
      </c>
      <c r="L2711" s="403">
        <v>1920</v>
      </c>
      <c r="M2711" s="403" t="s">
        <v>110</v>
      </c>
      <c r="N2711" s="403">
        <v>1080</v>
      </c>
      <c r="O2711" s="403">
        <v>1920</v>
      </c>
      <c r="P2711" t="str">
        <f t="shared" si="337"/>
        <v>15fps 1080p - 1080p</v>
      </c>
      <c r="Q2711">
        <f t="shared" si="338"/>
        <v>15</v>
      </c>
      <c r="R2711" t="str">
        <f t="shared" si="339"/>
        <v/>
      </c>
      <c r="S2711" t="str">
        <f t="shared" si="340"/>
        <v/>
      </c>
      <c r="T2711" s="403" t="str">
        <f t="shared" si="341"/>
        <v>NBN-80122-CA</v>
      </c>
      <c r="U2711" s="403">
        <f t="shared" si="342"/>
        <v>1</v>
      </c>
      <c r="V2711" s="403" t="str">
        <f t="shared" si="343"/>
        <v>CPP_6</v>
      </c>
    </row>
    <row r="2712" spans="1:22">
      <c r="A2712" t="str">
        <f t="shared" si="336"/>
        <v>NBN-80122-CA</v>
      </c>
      <c r="B2712" s="403" t="s">
        <v>1320</v>
      </c>
      <c r="C2712" s="403" t="s">
        <v>584</v>
      </c>
      <c r="D2712" s="403" t="s">
        <v>1321</v>
      </c>
      <c r="E2712" s="403" t="s">
        <v>1322</v>
      </c>
      <c r="F2712" s="403" t="s">
        <v>1326</v>
      </c>
      <c r="G2712" s="403" t="s">
        <v>1467</v>
      </c>
      <c r="H2712" s="403" t="s">
        <v>1276</v>
      </c>
      <c r="I2712" s="403">
        <v>1</v>
      </c>
      <c r="J2712" s="403" t="s">
        <v>110</v>
      </c>
      <c r="K2712" s="403">
        <v>1080</v>
      </c>
      <c r="L2712" s="403">
        <v>1920</v>
      </c>
      <c r="M2712" s="403" t="s">
        <v>109</v>
      </c>
      <c r="N2712" s="403">
        <v>720</v>
      </c>
      <c r="O2712" s="403">
        <v>1280</v>
      </c>
      <c r="P2712" t="str">
        <f t="shared" si="337"/>
        <v>15fps 1080p - 720p</v>
      </c>
      <c r="Q2712">
        <f t="shared" si="338"/>
        <v>15</v>
      </c>
      <c r="R2712" t="str">
        <f t="shared" si="339"/>
        <v/>
      </c>
      <c r="S2712" t="str">
        <f t="shared" si="340"/>
        <v/>
      </c>
      <c r="T2712" s="403" t="str">
        <f t="shared" si="341"/>
        <v>NBN-80122-CA</v>
      </c>
      <c r="U2712" s="403">
        <f t="shared" si="342"/>
        <v>1</v>
      </c>
      <c r="V2712" s="403" t="str">
        <f t="shared" si="343"/>
        <v>CPP_6</v>
      </c>
    </row>
    <row r="2713" spans="1:22">
      <c r="A2713" t="str">
        <f t="shared" si="336"/>
        <v>NBN-80122-CA</v>
      </c>
      <c r="B2713" s="403" t="s">
        <v>1320</v>
      </c>
      <c r="C2713" s="403" t="s">
        <v>584</v>
      </c>
      <c r="D2713" s="403" t="s">
        <v>1321</v>
      </c>
      <c r="E2713" s="403" t="s">
        <v>1322</v>
      </c>
      <c r="F2713" s="403" t="s">
        <v>1326</v>
      </c>
      <c r="G2713" s="403" t="s">
        <v>1467</v>
      </c>
      <c r="H2713" s="403" t="s">
        <v>1276</v>
      </c>
      <c r="I2713" s="403">
        <v>1</v>
      </c>
      <c r="J2713" s="403" t="s">
        <v>110</v>
      </c>
      <c r="K2713" s="403">
        <v>1080</v>
      </c>
      <c r="L2713" s="403">
        <v>1920</v>
      </c>
      <c r="M2713" s="403" t="s">
        <v>1279</v>
      </c>
      <c r="N2713" s="403">
        <v>432</v>
      </c>
      <c r="O2713" s="403">
        <v>768</v>
      </c>
      <c r="P2713" t="str">
        <f t="shared" si="337"/>
        <v>15fps 1080p - SD ROI PTZ</v>
      </c>
      <c r="Q2713">
        <f t="shared" si="338"/>
        <v>15</v>
      </c>
      <c r="R2713" t="str">
        <f t="shared" si="339"/>
        <v/>
      </c>
      <c r="S2713" t="str">
        <f t="shared" si="340"/>
        <v/>
      </c>
      <c r="T2713" s="403" t="str">
        <f t="shared" si="341"/>
        <v>NBN-80122-CA</v>
      </c>
      <c r="U2713" s="403">
        <f t="shared" si="342"/>
        <v>1</v>
      </c>
      <c r="V2713" s="403" t="str">
        <f t="shared" si="343"/>
        <v>CPP_6</v>
      </c>
    </row>
    <row r="2714" spans="1:22">
      <c r="A2714" t="str">
        <f t="shared" si="336"/>
        <v>NBN-80122-CA</v>
      </c>
      <c r="B2714" s="403" t="s">
        <v>1320</v>
      </c>
      <c r="C2714" s="403" t="s">
        <v>584</v>
      </c>
      <c r="D2714" s="403" t="s">
        <v>1321</v>
      </c>
      <c r="E2714" s="403" t="s">
        <v>1322</v>
      </c>
      <c r="F2714" s="403" t="s">
        <v>1326</v>
      </c>
      <c r="G2714" s="403" t="s">
        <v>1467</v>
      </c>
      <c r="H2714" s="403" t="s">
        <v>1276</v>
      </c>
      <c r="I2714" s="403">
        <v>1</v>
      </c>
      <c r="J2714" s="403" t="s">
        <v>110</v>
      </c>
      <c r="K2714" s="403">
        <v>1080</v>
      </c>
      <c r="L2714" s="403">
        <v>1920</v>
      </c>
      <c r="M2714" s="403" t="s">
        <v>1302</v>
      </c>
      <c r="N2714" s="403">
        <v>720</v>
      </c>
      <c r="O2714" s="403">
        <v>400</v>
      </c>
      <c r="P2714" t="str">
        <f t="shared" si="337"/>
        <v>15fps 1080p - 400x720 upright (cropped)</v>
      </c>
      <c r="Q2714">
        <f t="shared" si="338"/>
        <v>15</v>
      </c>
      <c r="R2714" t="str">
        <f t="shared" si="339"/>
        <v/>
      </c>
      <c r="S2714" t="str">
        <f t="shared" si="340"/>
        <v/>
      </c>
      <c r="T2714" s="403" t="str">
        <f t="shared" si="341"/>
        <v>NBN-80122-CA</v>
      </c>
      <c r="U2714" s="403">
        <f t="shared" si="342"/>
        <v>1</v>
      </c>
      <c r="V2714" s="403" t="str">
        <f t="shared" si="343"/>
        <v>CPP_6</v>
      </c>
    </row>
    <row r="2715" spans="1:22">
      <c r="A2715" t="str">
        <f t="shared" si="336"/>
        <v>NBN-80122-CA</v>
      </c>
      <c r="B2715" s="403" t="s">
        <v>1320</v>
      </c>
      <c r="C2715" s="403" t="s">
        <v>584</v>
      </c>
      <c r="D2715" s="403" t="s">
        <v>1321</v>
      </c>
      <c r="E2715" s="403" t="s">
        <v>1322</v>
      </c>
      <c r="F2715" s="403" t="s">
        <v>1326</v>
      </c>
      <c r="G2715" s="403" t="s">
        <v>1467</v>
      </c>
      <c r="H2715" s="403" t="s">
        <v>1276</v>
      </c>
      <c r="I2715" s="403">
        <v>1</v>
      </c>
      <c r="J2715" s="403" t="s">
        <v>110</v>
      </c>
      <c r="K2715" s="403">
        <v>1080</v>
      </c>
      <c r="L2715" s="403">
        <v>1920</v>
      </c>
      <c r="M2715" s="403" t="s">
        <v>1283</v>
      </c>
      <c r="N2715" s="403">
        <v>480</v>
      </c>
      <c r="O2715" s="403">
        <v>704</v>
      </c>
      <c r="P2715" t="str">
        <f t="shared" si="337"/>
        <v>15fps 1080p - SD 4CIF resolution 4:3 format (cropped)</v>
      </c>
      <c r="Q2715">
        <f t="shared" si="338"/>
        <v>15</v>
      </c>
      <c r="R2715" t="str">
        <f t="shared" si="339"/>
        <v/>
      </c>
      <c r="S2715" t="str">
        <f t="shared" si="340"/>
        <v/>
      </c>
      <c r="T2715" s="403" t="str">
        <f t="shared" si="341"/>
        <v>NBN-80122-CA</v>
      </c>
      <c r="U2715" s="403">
        <f t="shared" si="342"/>
        <v>1</v>
      </c>
      <c r="V2715" s="403" t="str">
        <f t="shared" si="343"/>
        <v>CPP_6</v>
      </c>
    </row>
    <row r="2716" spans="1:22">
      <c r="A2716" t="str">
        <f t="shared" si="336"/>
        <v>NBN-80122-CA</v>
      </c>
      <c r="B2716" s="403" t="s">
        <v>1320</v>
      </c>
      <c r="C2716" s="403" t="s">
        <v>584</v>
      </c>
      <c r="D2716" s="403" t="s">
        <v>1321</v>
      </c>
      <c r="E2716" s="403" t="s">
        <v>1322</v>
      </c>
      <c r="F2716" s="403" t="s">
        <v>1326</v>
      </c>
      <c r="G2716" s="403" t="s">
        <v>1467</v>
      </c>
      <c r="H2716" s="403" t="s">
        <v>1276</v>
      </c>
      <c r="I2716" s="403">
        <v>1</v>
      </c>
      <c r="J2716" s="403" t="s">
        <v>110</v>
      </c>
      <c r="K2716" s="403">
        <v>1080</v>
      </c>
      <c r="L2716" s="403">
        <v>1920</v>
      </c>
      <c r="M2716" s="403" t="s">
        <v>1284</v>
      </c>
      <c r="N2716" s="403">
        <v>480</v>
      </c>
      <c r="O2716" s="403">
        <v>640</v>
      </c>
      <c r="P2716" t="str">
        <f t="shared" si="337"/>
        <v>15fps 1080p - SD VGA (cropped)</v>
      </c>
      <c r="Q2716">
        <f t="shared" si="338"/>
        <v>15</v>
      </c>
      <c r="R2716" t="str">
        <f t="shared" si="339"/>
        <v/>
      </c>
      <c r="S2716" t="str">
        <f t="shared" si="340"/>
        <v/>
      </c>
      <c r="T2716" s="403" t="str">
        <f t="shared" si="341"/>
        <v>NBN-80122-CA</v>
      </c>
      <c r="U2716" s="403">
        <f t="shared" si="342"/>
        <v>1</v>
      </c>
      <c r="V2716" s="403" t="str">
        <f t="shared" si="343"/>
        <v>CPP_6</v>
      </c>
    </row>
    <row r="2717" spans="1:22">
      <c r="A2717" t="str">
        <f t="shared" si="336"/>
        <v>NBN-80122-CA</v>
      </c>
      <c r="B2717" s="403" t="s">
        <v>1320</v>
      </c>
      <c r="C2717" s="403" t="s">
        <v>584</v>
      </c>
      <c r="D2717" s="403" t="s">
        <v>1321</v>
      </c>
      <c r="E2717" s="403" t="s">
        <v>1322</v>
      </c>
      <c r="F2717" s="403" t="s">
        <v>1326</v>
      </c>
      <c r="G2717" s="403" t="s">
        <v>1467</v>
      </c>
      <c r="H2717" s="403" t="s">
        <v>1276</v>
      </c>
      <c r="I2717" s="403">
        <v>1</v>
      </c>
      <c r="J2717" s="403" t="s">
        <v>110</v>
      </c>
      <c r="K2717" s="403">
        <v>1080</v>
      </c>
      <c r="L2717" s="403">
        <v>1920</v>
      </c>
      <c r="M2717" s="403" t="s">
        <v>1298</v>
      </c>
      <c r="N2717" s="403">
        <v>432</v>
      </c>
      <c r="O2717" s="403">
        <v>768</v>
      </c>
      <c r="P2717" t="str">
        <f t="shared" si="337"/>
        <v>15fps 1080p - SD dual stream with independent ROI PTZ</v>
      </c>
      <c r="Q2717">
        <f t="shared" si="338"/>
        <v>15</v>
      </c>
      <c r="R2717" t="str">
        <f t="shared" si="339"/>
        <v/>
      </c>
      <c r="S2717" t="str">
        <f t="shared" si="340"/>
        <v/>
      </c>
      <c r="T2717" s="403" t="str">
        <f t="shared" si="341"/>
        <v>NBN-80122-CA</v>
      </c>
      <c r="U2717" s="403">
        <f t="shared" si="342"/>
        <v>1</v>
      </c>
      <c r="V2717" s="403" t="str">
        <f t="shared" si="343"/>
        <v>CPP_6</v>
      </c>
    </row>
    <row r="2718" spans="1:22">
      <c r="A2718" t="str">
        <f t="shared" si="336"/>
        <v>NBN-80122-CA</v>
      </c>
      <c r="B2718" s="403" t="s">
        <v>1320</v>
      </c>
      <c r="C2718" s="403" t="s">
        <v>584</v>
      </c>
      <c r="D2718" s="403" t="s">
        <v>1321</v>
      </c>
      <c r="E2718" s="403" t="s">
        <v>1327</v>
      </c>
      <c r="F2718" s="403" t="s">
        <v>1328</v>
      </c>
      <c r="G2718" s="403" t="s">
        <v>1466</v>
      </c>
      <c r="H2718" s="403" t="s">
        <v>1276</v>
      </c>
      <c r="I2718" s="403">
        <v>1</v>
      </c>
      <c r="J2718" s="403" t="s">
        <v>195</v>
      </c>
      <c r="K2718" s="403">
        <v>4000</v>
      </c>
      <c r="L2718" s="403">
        <v>3000</v>
      </c>
      <c r="M2718" s="403" t="s">
        <v>1280</v>
      </c>
      <c r="N2718" s="403">
        <v>4000</v>
      </c>
      <c r="O2718" s="403">
        <v>3000</v>
      </c>
      <c r="P2718" t="str">
        <f t="shared" si="337"/>
        <v>20fps 4000x3000 - copy other stream</v>
      </c>
      <c r="Q2718">
        <f t="shared" si="338"/>
        <v>15</v>
      </c>
      <c r="R2718" t="str">
        <f t="shared" si="339"/>
        <v/>
      </c>
      <c r="S2718" t="str">
        <f t="shared" si="340"/>
        <v/>
      </c>
      <c r="T2718" s="403" t="str">
        <f t="shared" si="341"/>
        <v>NBN-80122-CA</v>
      </c>
      <c r="U2718" s="403">
        <f t="shared" si="342"/>
        <v>1</v>
      </c>
      <c r="V2718" s="403" t="str">
        <f t="shared" si="343"/>
        <v>CPP_6</v>
      </c>
    </row>
    <row r="2719" spans="1:22">
      <c r="A2719" t="str">
        <f t="shared" si="336"/>
        <v>NBN-80122-CA</v>
      </c>
      <c r="B2719" s="403" t="s">
        <v>1320</v>
      </c>
      <c r="C2719" s="403" t="s">
        <v>584</v>
      </c>
      <c r="D2719" s="403" t="s">
        <v>1321</v>
      </c>
      <c r="E2719" s="403" t="s">
        <v>1327</v>
      </c>
      <c r="F2719" s="403" t="s">
        <v>1329</v>
      </c>
      <c r="G2719" s="403" t="s">
        <v>1466</v>
      </c>
      <c r="H2719" s="403" t="s">
        <v>1276</v>
      </c>
      <c r="I2719" s="403">
        <v>1</v>
      </c>
      <c r="J2719" s="403" t="s">
        <v>195</v>
      </c>
      <c r="K2719" s="403">
        <v>4000</v>
      </c>
      <c r="L2719" s="403">
        <v>3000</v>
      </c>
      <c r="M2719" s="403" t="s">
        <v>1401</v>
      </c>
      <c r="N2719" s="403">
        <v>1600</v>
      </c>
      <c r="O2719" s="403">
        <v>1200</v>
      </c>
      <c r="P2719" t="str">
        <f t="shared" si="337"/>
        <v>15fps 4000x3000 - 1600x1200</v>
      </c>
      <c r="Q2719">
        <f t="shared" si="338"/>
        <v>15</v>
      </c>
      <c r="R2719" t="str">
        <f t="shared" si="339"/>
        <v/>
      </c>
      <c r="S2719" t="str">
        <f t="shared" si="340"/>
        <v/>
      </c>
      <c r="T2719" s="403" t="str">
        <f t="shared" si="341"/>
        <v>NBN-80122-CA</v>
      </c>
      <c r="U2719" s="403">
        <f t="shared" si="342"/>
        <v>1</v>
      </c>
      <c r="V2719" s="403" t="str">
        <f t="shared" si="343"/>
        <v>CPP_6</v>
      </c>
    </row>
    <row r="2720" spans="1:22">
      <c r="A2720" t="str">
        <f t="shared" si="336"/>
        <v>NBN-80122-CA</v>
      </c>
      <c r="B2720" s="403" t="s">
        <v>1320</v>
      </c>
      <c r="C2720" s="403" t="s">
        <v>584</v>
      </c>
      <c r="D2720" s="403" t="s">
        <v>1321</v>
      </c>
      <c r="E2720" s="403" t="s">
        <v>1327</v>
      </c>
      <c r="F2720" s="403" t="s">
        <v>1329</v>
      </c>
      <c r="G2720" s="403" t="s">
        <v>1466</v>
      </c>
      <c r="H2720" s="403" t="s">
        <v>1276</v>
      </c>
      <c r="I2720" s="403">
        <v>1</v>
      </c>
      <c r="J2720" s="403" t="s">
        <v>195</v>
      </c>
      <c r="K2720" s="403">
        <v>4000</v>
      </c>
      <c r="L2720" s="403">
        <v>3000</v>
      </c>
      <c r="M2720" s="403" t="s">
        <v>1313</v>
      </c>
      <c r="N2720" s="403">
        <v>1280</v>
      </c>
      <c r="O2720" s="403">
        <v>960</v>
      </c>
      <c r="P2720" t="str">
        <f t="shared" si="337"/>
        <v>15fps 4000x3000 - 1280x960</v>
      </c>
      <c r="Q2720">
        <f t="shared" si="338"/>
        <v>15</v>
      </c>
      <c r="R2720" t="str">
        <f t="shared" si="339"/>
        <v/>
      </c>
      <c r="S2720" t="str">
        <f t="shared" si="340"/>
        <v/>
      </c>
      <c r="T2720" s="403" t="str">
        <f t="shared" si="341"/>
        <v>NBN-80122-CA</v>
      </c>
      <c r="U2720" s="403">
        <f t="shared" si="342"/>
        <v>1</v>
      </c>
      <c r="V2720" s="403" t="str">
        <f t="shared" si="343"/>
        <v>CPP_6</v>
      </c>
    </row>
    <row r="2721" spans="1:22">
      <c r="A2721" t="str">
        <f t="shared" si="336"/>
        <v>NBN-80122-CA</v>
      </c>
      <c r="B2721" s="403" t="s">
        <v>1320</v>
      </c>
      <c r="C2721" s="403" t="s">
        <v>584</v>
      </c>
      <c r="D2721" s="403" t="s">
        <v>1321</v>
      </c>
      <c r="E2721" s="403" t="s">
        <v>1327</v>
      </c>
      <c r="F2721" s="403" t="s">
        <v>1329</v>
      </c>
      <c r="G2721" s="403" t="s">
        <v>1466</v>
      </c>
      <c r="H2721" s="403" t="s">
        <v>1276</v>
      </c>
      <c r="I2721" s="403">
        <v>1</v>
      </c>
      <c r="J2721" s="403" t="s">
        <v>195</v>
      </c>
      <c r="K2721" s="403">
        <v>4000</v>
      </c>
      <c r="L2721" s="403">
        <v>3000</v>
      </c>
      <c r="M2721" s="403" t="s">
        <v>1278</v>
      </c>
      <c r="N2721" s="403">
        <v>1024</v>
      </c>
      <c r="O2721" s="403">
        <v>768</v>
      </c>
      <c r="P2721" t="str">
        <f t="shared" si="337"/>
        <v>15fps 4000x3000 - 1024x768</v>
      </c>
      <c r="Q2721">
        <f t="shared" si="338"/>
        <v>15</v>
      </c>
      <c r="R2721" t="str">
        <f t="shared" si="339"/>
        <v/>
      </c>
      <c r="S2721" t="str">
        <f t="shared" si="340"/>
        <v/>
      </c>
      <c r="T2721" s="403" t="str">
        <f t="shared" si="341"/>
        <v>NBN-80122-CA</v>
      </c>
      <c r="U2721" s="403">
        <f t="shared" si="342"/>
        <v>1</v>
      </c>
      <c r="V2721" s="403" t="str">
        <f t="shared" si="343"/>
        <v>CPP_6</v>
      </c>
    </row>
    <row r="2722" spans="1:22">
      <c r="A2722" t="str">
        <f t="shared" si="336"/>
        <v>NBN-80122-CA</v>
      </c>
      <c r="B2722" s="403" t="s">
        <v>1320</v>
      </c>
      <c r="C2722" s="403" t="s">
        <v>584</v>
      </c>
      <c r="D2722" s="403" t="s">
        <v>1321</v>
      </c>
      <c r="E2722" s="403" t="s">
        <v>1327</v>
      </c>
      <c r="F2722" s="403" t="s">
        <v>1329</v>
      </c>
      <c r="G2722" s="403" t="s">
        <v>1466</v>
      </c>
      <c r="H2722" s="403" t="s">
        <v>1276</v>
      </c>
      <c r="I2722" s="403">
        <v>1</v>
      </c>
      <c r="J2722" s="403" t="s">
        <v>195</v>
      </c>
      <c r="K2722" s="403">
        <v>4000</v>
      </c>
      <c r="L2722" s="403">
        <v>3000</v>
      </c>
      <c r="M2722" s="403" t="s">
        <v>1330</v>
      </c>
      <c r="N2722" s="403">
        <v>800</v>
      </c>
      <c r="O2722" s="403">
        <v>600</v>
      </c>
      <c r="P2722" t="str">
        <f t="shared" si="337"/>
        <v>15fps 4000x3000 - 800x600</v>
      </c>
      <c r="Q2722">
        <f t="shared" si="338"/>
        <v>15</v>
      </c>
      <c r="R2722" t="str">
        <f t="shared" si="339"/>
        <v/>
      </c>
      <c r="S2722" t="str">
        <f t="shared" si="340"/>
        <v/>
      </c>
      <c r="T2722" s="403" t="str">
        <f t="shared" si="341"/>
        <v>NBN-80122-CA</v>
      </c>
      <c r="U2722" s="403">
        <f t="shared" si="342"/>
        <v>1</v>
      </c>
      <c r="V2722" s="403" t="str">
        <f t="shared" si="343"/>
        <v>CPP_6</v>
      </c>
    </row>
    <row r="2723" spans="1:22">
      <c r="A2723" t="str">
        <f t="shared" si="336"/>
        <v>NBN-80122-CA</v>
      </c>
      <c r="B2723" s="403" t="s">
        <v>1320</v>
      </c>
      <c r="C2723" s="403" t="s">
        <v>584</v>
      </c>
      <c r="D2723" s="403" t="s">
        <v>1321</v>
      </c>
      <c r="E2723" s="403" t="s">
        <v>1327</v>
      </c>
      <c r="F2723" s="403" t="s">
        <v>1329</v>
      </c>
      <c r="G2723" s="403" t="s">
        <v>1466</v>
      </c>
      <c r="H2723" s="403" t="s">
        <v>1276</v>
      </c>
      <c r="I2723" s="403">
        <v>1</v>
      </c>
      <c r="J2723" s="403" t="s">
        <v>195</v>
      </c>
      <c r="K2723" s="403">
        <v>4000</v>
      </c>
      <c r="L2723" s="403">
        <v>3000</v>
      </c>
      <c r="M2723" s="403" t="s">
        <v>111</v>
      </c>
      <c r="N2723" s="403">
        <v>640</v>
      </c>
      <c r="O2723" s="403">
        <v>480</v>
      </c>
      <c r="P2723" t="str">
        <f t="shared" si="337"/>
        <v>15fps 4000x3000 - SD</v>
      </c>
      <c r="Q2723">
        <f t="shared" si="338"/>
        <v>15</v>
      </c>
      <c r="R2723" t="str">
        <f t="shared" si="339"/>
        <v/>
      </c>
      <c r="S2723" t="str">
        <f t="shared" si="340"/>
        <v/>
      </c>
      <c r="T2723" s="403" t="str">
        <f t="shared" si="341"/>
        <v>NBN-80122-CA</v>
      </c>
      <c r="U2723" s="403">
        <f t="shared" si="342"/>
        <v>1</v>
      </c>
      <c r="V2723" s="403" t="str">
        <f t="shared" si="343"/>
        <v>CPP_6</v>
      </c>
    </row>
    <row r="2724" spans="1:22">
      <c r="A2724" t="str">
        <f t="shared" si="336"/>
        <v>NBN-80122-CA</v>
      </c>
      <c r="B2724" s="403" t="s">
        <v>1320</v>
      </c>
      <c r="C2724" s="403" t="s">
        <v>584</v>
      </c>
      <c r="D2724" s="403" t="s">
        <v>1321</v>
      </c>
      <c r="E2724" s="403" t="s">
        <v>1327</v>
      </c>
      <c r="F2724" s="403" t="s">
        <v>1329</v>
      </c>
      <c r="G2724" s="403" t="s">
        <v>1466</v>
      </c>
      <c r="H2724" s="403" t="s">
        <v>1276</v>
      </c>
      <c r="I2724" s="403">
        <v>1</v>
      </c>
      <c r="J2724" s="403" t="s">
        <v>195</v>
      </c>
      <c r="K2724" s="403">
        <v>4000</v>
      </c>
      <c r="L2724" s="403">
        <v>3000</v>
      </c>
      <c r="M2724" s="403" t="s">
        <v>1279</v>
      </c>
      <c r="N2724" s="403">
        <v>640</v>
      </c>
      <c r="O2724" s="403">
        <v>480</v>
      </c>
      <c r="P2724" t="str">
        <f t="shared" si="337"/>
        <v>15fps 4000x3000 - SD ROI PTZ</v>
      </c>
      <c r="Q2724">
        <f t="shared" si="338"/>
        <v>15</v>
      </c>
      <c r="R2724" t="str">
        <f t="shared" si="339"/>
        <v/>
      </c>
      <c r="S2724" t="str">
        <f t="shared" si="340"/>
        <v/>
      </c>
      <c r="T2724" s="403" t="str">
        <f t="shared" si="341"/>
        <v>NBN-80122-CA</v>
      </c>
      <c r="U2724" s="403">
        <f t="shared" si="342"/>
        <v>1</v>
      </c>
      <c r="V2724" s="403" t="str">
        <f t="shared" si="343"/>
        <v>CPP_6</v>
      </c>
    </row>
    <row r="2725" spans="1:22">
      <c r="A2725" t="str">
        <f t="shared" si="336"/>
        <v>NBN-80122-CA</v>
      </c>
      <c r="B2725" s="403" t="s">
        <v>1320</v>
      </c>
      <c r="C2725" s="403" t="s">
        <v>584</v>
      </c>
      <c r="D2725" s="403" t="s">
        <v>1321</v>
      </c>
      <c r="E2725" s="403" t="s">
        <v>1327</v>
      </c>
      <c r="F2725" s="403" t="s">
        <v>1329</v>
      </c>
      <c r="G2725" s="403" t="s">
        <v>1466</v>
      </c>
      <c r="H2725" s="403" t="s">
        <v>1276</v>
      </c>
      <c r="I2725" s="403">
        <v>1</v>
      </c>
      <c r="J2725" s="403" t="s">
        <v>195</v>
      </c>
      <c r="K2725" s="403">
        <v>4000</v>
      </c>
      <c r="L2725" s="403">
        <v>3000</v>
      </c>
      <c r="M2725" s="403" t="s">
        <v>1302</v>
      </c>
      <c r="N2725" s="403">
        <v>400</v>
      </c>
      <c r="O2725" s="403">
        <v>720</v>
      </c>
      <c r="P2725" t="str">
        <f t="shared" si="337"/>
        <v>15fps 4000x3000 - 400x720 upright (cropped)</v>
      </c>
      <c r="Q2725">
        <f t="shared" si="338"/>
        <v>15</v>
      </c>
      <c r="R2725" t="str">
        <f t="shared" si="339"/>
        <v/>
      </c>
      <c r="S2725" t="str">
        <f t="shared" si="340"/>
        <v/>
      </c>
      <c r="T2725" s="403" t="str">
        <f t="shared" si="341"/>
        <v>NBN-80122-CA</v>
      </c>
      <c r="U2725" s="403">
        <f t="shared" si="342"/>
        <v>1</v>
      </c>
      <c r="V2725" s="403" t="str">
        <f t="shared" si="343"/>
        <v>CPP_6</v>
      </c>
    </row>
    <row r="2726" spans="1:22">
      <c r="A2726" t="str">
        <f t="shared" si="336"/>
        <v>NBN-80122-CA</v>
      </c>
      <c r="B2726" s="403" t="s">
        <v>1320</v>
      </c>
      <c r="C2726" s="403" t="s">
        <v>584</v>
      </c>
      <c r="D2726" s="403" t="s">
        <v>1321</v>
      </c>
      <c r="E2726" s="403" t="s">
        <v>1327</v>
      </c>
      <c r="F2726" s="403" t="s">
        <v>1329</v>
      </c>
      <c r="G2726" s="403" t="s">
        <v>1466</v>
      </c>
      <c r="H2726" s="403" t="s">
        <v>1276</v>
      </c>
      <c r="I2726" s="403">
        <v>1</v>
      </c>
      <c r="J2726" s="403" t="s">
        <v>195</v>
      </c>
      <c r="K2726" s="403">
        <v>4000</v>
      </c>
      <c r="L2726" s="403">
        <v>3000</v>
      </c>
      <c r="M2726" s="403" t="s">
        <v>1298</v>
      </c>
      <c r="N2726" s="403">
        <v>640</v>
      </c>
      <c r="O2726" s="403">
        <v>480</v>
      </c>
      <c r="P2726" t="str">
        <f t="shared" si="337"/>
        <v>15fps 4000x3000 - SD dual stream with independent ROI PTZ</v>
      </c>
      <c r="Q2726">
        <f t="shared" si="338"/>
        <v>15</v>
      </c>
      <c r="R2726" t="str">
        <f t="shared" si="339"/>
        <v/>
      </c>
      <c r="S2726" t="str">
        <f t="shared" si="340"/>
        <v/>
      </c>
      <c r="T2726" s="403" t="str">
        <f t="shared" si="341"/>
        <v>NBN-80122-CA</v>
      </c>
      <c r="U2726" s="403">
        <f t="shared" si="342"/>
        <v>1</v>
      </c>
      <c r="V2726" s="403" t="str">
        <f t="shared" si="343"/>
        <v>CPP_6</v>
      </c>
    </row>
    <row r="2727" spans="1:22">
      <c r="A2727" t="str">
        <f t="shared" si="336"/>
        <v>NBN-80122-CA</v>
      </c>
      <c r="B2727" s="403" t="s">
        <v>1320</v>
      </c>
      <c r="C2727" s="403" t="s">
        <v>584</v>
      </c>
      <c r="D2727" s="403" t="s">
        <v>1321</v>
      </c>
      <c r="E2727" s="403" t="s">
        <v>1327</v>
      </c>
      <c r="F2727" s="403" t="s">
        <v>1329</v>
      </c>
      <c r="G2727" s="403" t="s">
        <v>1466</v>
      </c>
      <c r="H2727" s="403" t="s">
        <v>1276</v>
      </c>
      <c r="I2727" s="403">
        <v>1</v>
      </c>
      <c r="J2727" s="403" t="s">
        <v>195</v>
      </c>
      <c r="K2727" s="403">
        <v>4000</v>
      </c>
      <c r="L2727" s="403">
        <v>3000</v>
      </c>
      <c r="M2727" s="403" t="s">
        <v>1280</v>
      </c>
      <c r="N2727" s="403">
        <v>4000</v>
      </c>
      <c r="O2727" s="403">
        <v>3000</v>
      </c>
      <c r="P2727" t="str">
        <f t="shared" si="337"/>
        <v>15fps 4000x3000 - copy other stream</v>
      </c>
      <c r="Q2727">
        <f t="shared" si="338"/>
        <v>15</v>
      </c>
      <c r="R2727" t="str">
        <f t="shared" si="339"/>
        <v/>
      </c>
      <c r="S2727" t="str">
        <f t="shared" si="340"/>
        <v/>
      </c>
      <c r="T2727" s="403" t="str">
        <f t="shared" si="341"/>
        <v>NBN-80122-CA</v>
      </c>
      <c r="U2727" s="403">
        <f t="shared" si="342"/>
        <v>1</v>
      </c>
      <c r="V2727" s="403" t="str">
        <f t="shared" si="343"/>
        <v>CPP_6</v>
      </c>
    </row>
    <row r="2728" spans="1:22">
      <c r="A2728" t="str">
        <f t="shared" si="336"/>
        <v>NBN-80122-CA</v>
      </c>
      <c r="B2728" s="403" t="s">
        <v>1320</v>
      </c>
      <c r="C2728" s="403" t="s">
        <v>584</v>
      </c>
      <c r="D2728" s="403" t="s">
        <v>1321</v>
      </c>
      <c r="E2728" s="403" t="s">
        <v>1327</v>
      </c>
      <c r="F2728" s="403" t="s">
        <v>1329</v>
      </c>
      <c r="G2728" s="403" t="s">
        <v>1467</v>
      </c>
      <c r="H2728" s="403" t="s">
        <v>1276</v>
      </c>
      <c r="I2728" s="403">
        <v>1</v>
      </c>
      <c r="J2728" s="403" t="s">
        <v>195</v>
      </c>
      <c r="K2728" s="403">
        <v>3000</v>
      </c>
      <c r="L2728" s="403">
        <v>4000</v>
      </c>
      <c r="M2728" s="403" t="s">
        <v>1313</v>
      </c>
      <c r="N2728" s="403">
        <v>960</v>
      </c>
      <c r="O2728" s="403">
        <v>1280</v>
      </c>
      <c r="P2728" t="str">
        <f t="shared" si="337"/>
        <v>15fps 4000x3000 - 1280x960</v>
      </c>
      <c r="Q2728">
        <f t="shared" si="338"/>
        <v>15</v>
      </c>
      <c r="R2728" t="str">
        <f t="shared" si="339"/>
        <v/>
      </c>
      <c r="S2728" t="str">
        <f t="shared" si="340"/>
        <v/>
      </c>
      <c r="T2728" s="403" t="str">
        <f t="shared" si="341"/>
        <v>NBN-80122-CA</v>
      </c>
      <c r="U2728" s="403">
        <f t="shared" si="342"/>
        <v>1</v>
      </c>
      <c r="V2728" s="403" t="str">
        <f t="shared" si="343"/>
        <v>CPP_6</v>
      </c>
    </row>
    <row r="2729" spans="1:22">
      <c r="A2729" t="str">
        <f t="shared" si="336"/>
        <v>NBN-80122-CA</v>
      </c>
      <c r="B2729" s="403" t="s">
        <v>1320</v>
      </c>
      <c r="C2729" s="403" t="s">
        <v>584</v>
      </c>
      <c r="D2729" s="403" t="s">
        <v>1321</v>
      </c>
      <c r="E2729" s="403" t="s">
        <v>1327</v>
      </c>
      <c r="F2729" s="403" t="s">
        <v>1329</v>
      </c>
      <c r="G2729" s="403" t="s">
        <v>1467</v>
      </c>
      <c r="H2729" s="403" t="s">
        <v>1276</v>
      </c>
      <c r="I2729" s="403">
        <v>1</v>
      </c>
      <c r="J2729" s="403" t="s">
        <v>195</v>
      </c>
      <c r="K2729" s="403">
        <v>3000</v>
      </c>
      <c r="L2729" s="403">
        <v>4000</v>
      </c>
      <c r="M2729" s="403" t="s">
        <v>1278</v>
      </c>
      <c r="N2729" s="403">
        <v>768</v>
      </c>
      <c r="O2729" s="403">
        <v>1024</v>
      </c>
      <c r="P2729" t="str">
        <f t="shared" si="337"/>
        <v>15fps 4000x3000 - 1024x768</v>
      </c>
      <c r="Q2729">
        <f t="shared" si="338"/>
        <v>15</v>
      </c>
      <c r="R2729" t="str">
        <f t="shared" si="339"/>
        <v/>
      </c>
      <c r="S2729" t="str">
        <f t="shared" si="340"/>
        <v/>
      </c>
      <c r="T2729" s="403" t="str">
        <f t="shared" si="341"/>
        <v>NBN-80122-CA</v>
      </c>
      <c r="U2729" s="403">
        <f t="shared" si="342"/>
        <v>1</v>
      </c>
      <c r="V2729" s="403" t="str">
        <f t="shared" si="343"/>
        <v>CPP_6</v>
      </c>
    </row>
    <row r="2730" spans="1:22">
      <c r="A2730" t="str">
        <f t="shared" si="336"/>
        <v>NBN-80122-CA</v>
      </c>
      <c r="B2730" s="403" t="s">
        <v>1320</v>
      </c>
      <c r="C2730" s="403" t="s">
        <v>584</v>
      </c>
      <c r="D2730" s="403" t="s">
        <v>1321</v>
      </c>
      <c r="E2730" s="403" t="s">
        <v>1327</v>
      </c>
      <c r="F2730" s="403" t="s">
        <v>1329</v>
      </c>
      <c r="G2730" s="403" t="s">
        <v>1467</v>
      </c>
      <c r="H2730" s="403" t="s">
        <v>1276</v>
      </c>
      <c r="I2730" s="403">
        <v>1</v>
      </c>
      <c r="J2730" s="403" t="s">
        <v>195</v>
      </c>
      <c r="K2730" s="403">
        <v>3000</v>
      </c>
      <c r="L2730" s="403">
        <v>4000</v>
      </c>
      <c r="M2730" s="403" t="s">
        <v>1330</v>
      </c>
      <c r="N2730" s="403">
        <v>600</v>
      </c>
      <c r="O2730" s="403">
        <v>800</v>
      </c>
      <c r="P2730" t="str">
        <f t="shared" si="337"/>
        <v>15fps 4000x3000 - 800x600</v>
      </c>
      <c r="Q2730">
        <f t="shared" si="338"/>
        <v>15</v>
      </c>
      <c r="R2730" t="str">
        <f t="shared" si="339"/>
        <v/>
      </c>
      <c r="S2730" t="str">
        <f t="shared" si="340"/>
        <v/>
      </c>
      <c r="T2730" s="403" t="str">
        <f t="shared" si="341"/>
        <v>NBN-80122-CA</v>
      </c>
      <c r="U2730" s="403">
        <f t="shared" si="342"/>
        <v>1</v>
      </c>
      <c r="V2730" s="403" t="str">
        <f t="shared" si="343"/>
        <v>CPP_6</v>
      </c>
    </row>
    <row r="2731" spans="1:22">
      <c r="A2731" t="str">
        <f t="shared" si="336"/>
        <v>NBN-80122-CA</v>
      </c>
      <c r="B2731" s="403" t="s">
        <v>1320</v>
      </c>
      <c r="C2731" s="403" t="s">
        <v>584</v>
      </c>
      <c r="D2731" s="403" t="s">
        <v>1321</v>
      </c>
      <c r="E2731" s="403" t="s">
        <v>1327</v>
      </c>
      <c r="F2731" s="403" t="s">
        <v>1329</v>
      </c>
      <c r="G2731" s="403" t="s">
        <v>1467</v>
      </c>
      <c r="H2731" s="403" t="s">
        <v>1276</v>
      </c>
      <c r="I2731" s="403">
        <v>1</v>
      </c>
      <c r="J2731" s="403" t="s">
        <v>195</v>
      </c>
      <c r="K2731" s="403">
        <v>3000</v>
      </c>
      <c r="L2731" s="403">
        <v>4000</v>
      </c>
      <c r="M2731" s="403" t="s">
        <v>111</v>
      </c>
      <c r="N2731" s="403">
        <v>480</v>
      </c>
      <c r="O2731" s="403">
        <v>640</v>
      </c>
      <c r="P2731" t="str">
        <f t="shared" si="337"/>
        <v>15fps 4000x3000 - SD</v>
      </c>
      <c r="Q2731">
        <f t="shared" si="338"/>
        <v>15</v>
      </c>
      <c r="R2731" t="str">
        <f t="shared" si="339"/>
        <v/>
      </c>
      <c r="S2731" t="str">
        <f t="shared" si="340"/>
        <v/>
      </c>
      <c r="T2731" s="403" t="str">
        <f t="shared" si="341"/>
        <v>NBN-80122-CA</v>
      </c>
      <c r="U2731" s="403">
        <f t="shared" si="342"/>
        <v>1</v>
      </c>
      <c r="V2731" s="403" t="str">
        <f t="shared" si="343"/>
        <v>CPP_6</v>
      </c>
    </row>
    <row r="2732" spans="1:22">
      <c r="A2732" t="str">
        <f t="shared" si="336"/>
        <v>NBN-80122-CA</v>
      </c>
      <c r="B2732" s="403" t="s">
        <v>1320</v>
      </c>
      <c r="C2732" s="403" t="s">
        <v>584</v>
      </c>
      <c r="D2732" s="403" t="s">
        <v>1321</v>
      </c>
      <c r="E2732" s="403" t="s">
        <v>1327</v>
      </c>
      <c r="F2732" s="403" t="s">
        <v>1329</v>
      </c>
      <c r="G2732" s="403" t="s">
        <v>1467</v>
      </c>
      <c r="H2732" s="403" t="s">
        <v>1276</v>
      </c>
      <c r="I2732" s="403">
        <v>1</v>
      </c>
      <c r="J2732" s="403" t="s">
        <v>195</v>
      </c>
      <c r="K2732" s="403">
        <v>3000</v>
      </c>
      <c r="L2732" s="403">
        <v>4000</v>
      </c>
      <c r="M2732" s="403" t="s">
        <v>1279</v>
      </c>
      <c r="N2732" s="403">
        <v>480</v>
      </c>
      <c r="O2732" s="403">
        <v>640</v>
      </c>
      <c r="P2732" t="str">
        <f t="shared" si="337"/>
        <v>15fps 4000x3000 - SD ROI PTZ</v>
      </c>
      <c r="Q2732">
        <f t="shared" si="338"/>
        <v>15</v>
      </c>
      <c r="R2732" t="str">
        <f t="shared" si="339"/>
        <v/>
      </c>
      <c r="S2732" t="str">
        <f t="shared" si="340"/>
        <v/>
      </c>
      <c r="T2732" s="403" t="str">
        <f t="shared" si="341"/>
        <v>NBN-80122-CA</v>
      </c>
      <c r="U2732" s="403">
        <f t="shared" si="342"/>
        <v>1</v>
      </c>
      <c r="V2732" s="403" t="str">
        <f t="shared" si="343"/>
        <v>CPP_6</v>
      </c>
    </row>
    <row r="2733" spans="1:22">
      <c r="A2733" t="str">
        <f t="shared" si="336"/>
        <v>NBN-80122-CA</v>
      </c>
      <c r="B2733" s="403" t="s">
        <v>1320</v>
      </c>
      <c r="C2733" s="403" t="s">
        <v>584</v>
      </c>
      <c r="D2733" s="403" t="s">
        <v>1321</v>
      </c>
      <c r="E2733" s="403" t="s">
        <v>1327</v>
      </c>
      <c r="F2733" s="403" t="s">
        <v>1329</v>
      </c>
      <c r="G2733" s="403" t="s">
        <v>1467</v>
      </c>
      <c r="H2733" s="403" t="s">
        <v>1276</v>
      </c>
      <c r="I2733" s="403">
        <v>1</v>
      </c>
      <c r="J2733" s="403" t="s">
        <v>195</v>
      </c>
      <c r="K2733" s="403">
        <v>3000</v>
      </c>
      <c r="L2733" s="403">
        <v>4000</v>
      </c>
      <c r="M2733" s="403" t="s">
        <v>1302</v>
      </c>
      <c r="N2733" s="403">
        <v>720</v>
      </c>
      <c r="O2733" s="403">
        <v>400</v>
      </c>
      <c r="P2733" t="str">
        <f t="shared" si="337"/>
        <v>15fps 4000x3000 - 400x720 upright (cropped)</v>
      </c>
      <c r="Q2733">
        <f t="shared" si="338"/>
        <v>15</v>
      </c>
      <c r="R2733" t="str">
        <f t="shared" si="339"/>
        <v/>
      </c>
      <c r="S2733" t="str">
        <f t="shared" si="340"/>
        <v/>
      </c>
      <c r="T2733" s="403" t="str">
        <f t="shared" si="341"/>
        <v>NBN-80122-CA</v>
      </c>
      <c r="U2733" s="403">
        <f t="shared" si="342"/>
        <v>1</v>
      </c>
      <c r="V2733" s="403" t="str">
        <f t="shared" si="343"/>
        <v>CPP_6</v>
      </c>
    </row>
    <row r="2734" spans="1:22">
      <c r="A2734" t="str">
        <f t="shared" si="336"/>
        <v>NBN-80122-CA</v>
      </c>
      <c r="B2734" s="403" t="s">
        <v>1320</v>
      </c>
      <c r="C2734" s="403" t="s">
        <v>584</v>
      </c>
      <c r="D2734" s="403" t="s">
        <v>1321</v>
      </c>
      <c r="E2734" s="403" t="s">
        <v>1327</v>
      </c>
      <c r="F2734" s="403" t="s">
        <v>1329</v>
      </c>
      <c r="G2734" s="403" t="s">
        <v>1467</v>
      </c>
      <c r="H2734" s="403" t="s">
        <v>1276</v>
      </c>
      <c r="I2734" s="403">
        <v>1</v>
      </c>
      <c r="J2734" s="403" t="s">
        <v>195</v>
      </c>
      <c r="K2734" s="403">
        <v>3000</v>
      </c>
      <c r="L2734" s="403">
        <v>4000</v>
      </c>
      <c r="M2734" s="403" t="s">
        <v>1298</v>
      </c>
      <c r="N2734" s="403">
        <v>480</v>
      </c>
      <c r="O2734" s="403">
        <v>640</v>
      </c>
      <c r="P2734" t="str">
        <f t="shared" si="337"/>
        <v>15fps 4000x3000 - SD dual stream with independent ROI PTZ</v>
      </c>
      <c r="Q2734">
        <f t="shared" si="338"/>
        <v>15</v>
      </c>
      <c r="R2734" t="str">
        <f t="shared" si="339"/>
        <v/>
      </c>
      <c r="S2734" t="str">
        <f t="shared" si="340"/>
        <v/>
      </c>
      <c r="T2734" s="403" t="str">
        <f t="shared" si="341"/>
        <v>NBN-80122-CA</v>
      </c>
      <c r="U2734" s="403">
        <f t="shared" si="342"/>
        <v>1</v>
      </c>
      <c r="V2734" s="403" t="str">
        <f t="shared" si="343"/>
        <v>CPP_6</v>
      </c>
    </row>
    <row r="2735" spans="1:22">
      <c r="A2735" t="str">
        <f t="shared" si="336"/>
        <v>NBN-80122-CA</v>
      </c>
      <c r="B2735" s="403" t="s">
        <v>1320</v>
      </c>
      <c r="C2735" s="403" t="s">
        <v>584</v>
      </c>
      <c r="D2735" s="403" t="s">
        <v>1321</v>
      </c>
      <c r="E2735" s="403" t="s">
        <v>1327</v>
      </c>
      <c r="F2735" s="403" t="s">
        <v>1329</v>
      </c>
      <c r="G2735" s="403" t="s">
        <v>1467</v>
      </c>
      <c r="H2735" s="403" t="s">
        <v>1276</v>
      </c>
      <c r="I2735" s="403">
        <v>1</v>
      </c>
      <c r="J2735" s="403" t="s">
        <v>195</v>
      </c>
      <c r="K2735" s="403">
        <v>3000</v>
      </c>
      <c r="L2735" s="403">
        <v>4000</v>
      </c>
      <c r="M2735" s="403" t="s">
        <v>1280</v>
      </c>
      <c r="N2735" s="403">
        <v>3000</v>
      </c>
      <c r="O2735" s="403">
        <v>4000</v>
      </c>
      <c r="P2735" t="str">
        <f t="shared" si="337"/>
        <v>15fps 4000x3000 - copy other stream</v>
      </c>
      <c r="Q2735">
        <f t="shared" si="338"/>
        <v>15</v>
      </c>
      <c r="R2735" t="str">
        <f t="shared" si="339"/>
        <v/>
      </c>
      <c r="S2735" t="str">
        <f t="shared" si="340"/>
        <v/>
      </c>
      <c r="T2735" s="403" t="str">
        <f t="shared" si="341"/>
        <v>NBN-80122-CA</v>
      </c>
      <c r="U2735" s="403">
        <f t="shared" si="342"/>
        <v>1</v>
      </c>
      <c r="V2735" s="403" t="str">
        <f t="shared" si="343"/>
        <v>CPP_6</v>
      </c>
    </row>
    <row r="2736" spans="1:22">
      <c r="A2736" t="str">
        <f t="shared" si="336"/>
        <v>NBN-80122-CA</v>
      </c>
      <c r="B2736" s="403" t="s">
        <v>1320</v>
      </c>
      <c r="C2736" s="403" t="s">
        <v>584</v>
      </c>
      <c r="D2736" s="403" t="s">
        <v>1321</v>
      </c>
      <c r="E2736" s="403" t="s">
        <v>1331</v>
      </c>
      <c r="F2736" s="403" t="s">
        <v>1286</v>
      </c>
      <c r="G2736" s="403" t="s">
        <v>1466</v>
      </c>
      <c r="H2736" s="403" t="s">
        <v>1276</v>
      </c>
      <c r="I2736" s="403">
        <v>1</v>
      </c>
      <c r="J2736" s="403" t="s">
        <v>110</v>
      </c>
      <c r="K2736" s="403">
        <v>1920</v>
      </c>
      <c r="L2736" s="403">
        <v>1080</v>
      </c>
      <c r="M2736" s="403" t="s">
        <v>111</v>
      </c>
      <c r="N2736" s="403">
        <v>768</v>
      </c>
      <c r="O2736" s="403">
        <v>432</v>
      </c>
      <c r="P2736" t="str">
        <f t="shared" si="337"/>
        <v>30fps 1080p - SD</v>
      </c>
      <c r="Q2736">
        <f t="shared" si="338"/>
        <v>15</v>
      </c>
      <c r="R2736" t="str">
        <f t="shared" si="339"/>
        <v/>
      </c>
      <c r="S2736" t="str">
        <f t="shared" si="340"/>
        <v/>
      </c>
      <c r="T2736" s="403" t="str">
        <f t="shared" si="341"/>
        <v>NBN-80122-CA</v>
      </c>
      <c r="U2736" s="403">
        <f t="shared" si="342"/>
        <v>1</v>
      </c>
      <c r="V2736" s="403" t="str">
        <f t="shared" si="343"/>
        <v>CPP_6</v>
      </c>
    </row>
    <row r="2737" spans="1:22">
      <c r="A2737" t="str">
        <f t="shared" si="336"/>
        <v>NBN-80122-CA</v>
      </c>
      <c r="B2737" s="403" t="s">
        <v>1320</v>
      </c>
      <c r="C2737" s="403" t="s">
        <v>584</v>
      </c>
      <c r="D2737" s="403" t="s">
        <v>1321</v>
      </c>
      <c r="E2737" s="403" t="s">
        <v>1331</v>
      </c>
      <c r="F2737" s="403" t="s">
        <v>1286</v>
      </c>
      <c r="G2737" s="403" t="s">
        <v>1466</v>
      </c>
      <c r="H2737" s="403" t="s">
        <v>1276</v>
      </c>
      <c r="I2737" s="403">
        <v>1</v>
      </c>
      <c r="J2737" s="403" t="s">
        <v>110</v>
      </c>
      <c r="K2737" s="403">
        <v>1920</v>
      </c>
      <c r="L2737" s="403">
        <v>1080</v>
      </c>
      <c r="M2737" s="403" t="s">
        <v>110</v>
      </c>
      <c r="N2737" s="403">
        <v>1920</v>
      </c>
      <c r="O2737" s="403">
        <v>1080</v>
      </c>
      <c r="P2737" t="str">
        <f t="shared" si="337"/>
        <v>30fps 1080p - 1080p</v>
      </c>
      <c r="Q2737">
        <f t="shared" si="338"/>
        <v>15</v>
      </c>
      <c r="R2737" t="str">
        <f t="shared" si="339"/>
        <v/>
      </c>
      <c r="S2737" t="str">
        <f t="shared" si="340"/>
        <v/>
      </c>
      <c r="T2737" s="403" t="str">
        <f t="shared" si="341"/>
        <v>NBN-80122-CA</v>
      </c>
      <c r="U2737" s="403">
        <f t="shared" si="342"/>
        <v>1</v>
      </c>
      <c r="V2737" s="403" t="str">
        <f t="shared" si="343"/>
        <v>CPP_6</v>
      </c>
    </row>
    <row r="2738" spans="1:22">
      <c r="A2738" t="str">
        <f t="shared" si="336"/>
        <v>NBN-80122-CA</v>
      </c>
      <c r="B2738" s="403" t="s">
        <v>1320</v>
      </c>
      <c r="C2738" s="403" t="s">
        <v>584</v>
      </c>
      <c r="D2738" s="403" t="s">
        <v>1321</v>
      </c>
      <c r="E2738" s="403" t="s">
        <v>1331</v>
      </c>
      <c r="F2738" s="403" t="s">
        <v>1286</v>
      </c>
      <c r="G2738" s="403" t="s">
        <v>1466</v>
      </c>
      <c r="H2738" s="403" t="s">
        <v>1276</v>
      </c>
      <c r="I2738" s="403">
        <v>1</v>
      </c>
      <c r="J2738" s="403" t="s">
        <v>110</v>
      </c>
      <c r="K2738" s="403">
        <v>1920</v>
      </c>
      <c r="L2738" s="403">
        <v>1080</v>
      </c>
      <c r="M2738" s="403" t="s">
        <v>109</v>
      </c>
      <c r="N2738" s="403">
        <v>1280</v>
      </c>
      <c r="O2738" s="403">
        <v>720</v>
      </c>
      <c r="P2738" t="str">
        <f t="shared" si="337"/>
        <v>30fps 1080p - 720p</v>
      </c>
      <c r="Q2738">
        <f t="shared" si="338"/>
        <v>15</v>
      </c>
      <c r="R2738" t="str">
        <f t="shared" si="339"/>
        <v/>
      </c>
      <c r="S2738" t="str">
        <f t="shared" si="340"/>
        <v/>
      </c>
      <c r="T2738" s="403" t="str">
        <f t="shared" si="341"/>
        <v>NBN-80122-CA</v>
      </c>
      <c r="U2738" s="403">
        <f t="shared" si="342"/>
        <v>1</v>
      </c>
      <c r="V2738" s="403" t="str">
        <f t="shared" si="343"/>
        <v>CPP_6</v>
      </c>
    </row>
    <row r="2739" spans="1:22">
      <c r="A2739" t="str">
        <f t="shared" si="336"/>
        <v>NBN-80122-CA</v>
      </c>
      <c r="B2739" s="403" t="s">
        <v>1320</v>
      </c>
      <c r="C2739" s="403" t="s">
        <v>584</v>
      </c>
      <c r="D2739" s="403" t="s">
        <v>1321</v>
      </c>
      <c r="E2739" s="403" t="s">
        <v>1331</v>
      </c>
      <c r="F2739" s="403" t="s">
        <v>1286</v>
      </c>
      <c r="G2739" s="403" t="s">
        <v>1466</v>
      </c>
      <c r="H2739" s="403" t="s">
        <v>1276</v>
      </c>
      <c r="I2739" s="403">
        <v>1</v>
      </c>
      <c r="J2739" s="403" t="s">
        <v>110</v>
      </c>
      <c r="K2739" s="403">
        <v>1920</v>
      </c>
      <c r="L2739" s="403">
        <v>1080</v>
      </c>
      <c r="M2739" s="403" t="s">
        <v>1279</v>
      </c>
      <c r="N2739" s="403">
        <v>768</v>
      </c>
      <c r="O2739" s="403">
        <v>432</v>
      </c>
      <c r="P2739" t="str">
        <f t="shared" si="337"/>
        <v>30fps 1080p - SD ROI PTZ</v>
      </c>
      <c r="Q2739">
        <f t="shared" si="338"/>
        <v>15</v>
      </c>
      <c r="R2739" t="str">
        <f t="shared" si="339"/>
        <v/>
      </c>
      <c r="S2739" t="str">
        <f t="shared" si="340"/>
        <v/>
      </c>
      <c r="T2739" s="403" t="str">
        <f t="shared" si="341"/>
        <v>NBN-80122-CA</v>
      </c>
      <c r="U2739" s="403">
        <f t="shared" si="342"/>
        <v>1</v>
      </c>
      <c r="V2739" s="403" t="str">
        <f t="shared" si="343"/>
        <v>CPP_6</v>
      </c>
    </row>
    <row r="2740" spans="1:22">
      <c r="A2740" t="str">
        <f t="shared" si="336"/>
        <v>NBN-80122-CA</v>
      </c>
      <c r="B2740" s="403" t="s">
        <v>1320</v>
      </c>
      <c r="C2740" s="403" t="s">
        <v>584</v>
      </c>
      <c r="D2740" s="403" t="s">
        <v>1321</v>
      </c>
      <c r="E2740" s="403" t="s">
        <v>1331</v>
      </c>
      <c r="F2740" s="403" t="s">
        <v>1286</v>
      </c>
      <c r="G2740" s="403" t="s">
        <v>1466</v>
      </c>
      <c r="H2740" s="403" t="s">
        <v>1276</v>
      </c>
      <c r="I2740" s="403">
        <v>1</v>
      </c>
      <c r="J2740" s="403" t="s">
        <v>110</v>
      </c>
      <c r="K2740" s="403">
        <v>1920</v>
      </c>
      <c r="L2740" s="403">
        <v>1080</v>
      </c>
      <c r="M2740" s="403" t="s">
        <v>1302</v>
      </c>
      <c r="N2740" s="403">
        <v>400</v>
      </c>
      <c r="O2740" s="403">
        <v>720</v>
      </c>
      <c r="P2740" t="str">
        <f t="shared" si="337"/>
        <v>30fps 1080p - 400x720 upright (cropped)</v>
      </c>
      <c r="Q2740">
        <f t="shared" si="338"/>
        <v>15</v>
      </c>
      <c r="R2740" t="str">
        <f t="shared" si="339"/>
        <v/>
      </c>
      <c r="S2740" t="str">
        <f t="shared" si="340"/>
        <v/>
      </c>
      <c r="T2740" s="403" t="str">
        <f t="shared" si="341"/>
        <v>NBN-80122-CA</v>
      </c>
      <c r="U2740" s="403">
        <f t="shared" si="342"/>
        <v>1</v>
      </c>
      <c r="V2740" s="403" t="str">
        <f t="shared" si="343"/>
        <v>CPP_6</v>
      </c>
    </row>
    <row r="2741" spans="1:22">
      <c r="A2741" t="str">
        <f t="shared" si="336"/>
        <v>NBN-80122-CA</v>
      </c>
      <c r="B2741" s="403" t="s">
        <v>1320</v>
      </c>
      <c r="C2741" s="403" t="s">
        <v>584</v>
      </c>
      <c r="D2741" s="403" t="s">
        <v>1321</v>
      </c>
      <c r="E2741" s="403" t="s">
        <v>1331</v>
      </c>
      <c r="F2741" s="403" t="s">
        <v>1286</v>
      </c>
      <c r="G2741" s="403" t="s">
        <v>1466</v>
      </c>
      <c r="H2741" s="403" t="s">
        <v>1276</v>
      </c>
      <c r="I2741" s="403">
        <v>1</v>
      </c>
      <c r="J2741" s="403" t="s">
        <v>110</v>
      </c>
      <c r="K2741" s="403">
        <v>1920</v>
      </c>
      <c r="L2741" s="403">
        <v>1080</v>
      </c>
      <c r="M2741" s="403" t="s">
        <v>1283</v>
      </c>
      <c r="N2741" s="403">
        <v>704</v>
      </c>
      <c r="O2741" s="403">
        <v>480</v>
      </c>
      <c r="P2741" t="str">
        <f t="shared" si="337"/>
        <v>30fps 1080p - SD 4CIF resolution 4:3 format (cropped)</v>
      </c>
      <c r="Q2741">
        <f t="shared" si="338"/>
        <v>15</v>
      </c>
      <c r="R2741" t="str">
        <f t="shared" si="339"/>
        <v/>
      </c>
      <c r="S2741" t="str">
        <f t="shared" si="340"/>
        <v/>
      </c>
      <c r="T2741" s="403" t="str">
        <f t="shared" si="341"/>
        <v>NBN-80122-CA</v>
      </c>
      <c r="U2741" s="403">
        <f t="shared" si="342"/>
        <v>1</v>
      </c>
      <c r="V2741" s="403" t="str">
        <f t="shared" si="343"/>
        <v>CPP_6</v>
      </c>
    </row>
    <row r="2742" spans="1:22">
      <c r="A2742" t="str">
        <f t="shared" si="336"/>
        <v>NBN-80122-CA</v>
      </c>
      <c r="B2742" s="403" t="s">
        <v>1320</v>
      </c>
      <c r="C2742" s="403" t="s">
        <v>584</v>
      </c>
      <c r="D2742" s="403" t="s">
        <v>1321</v>
      </c>
      <c r="E2742" s="403" t="s">
        <v>1331</v>
      </c>
      <c r="F2742" s="403" t="s">
        <v>1286</v>
      </c>
      <c r="G2742" s="403" t="s">
        <v>1466</v>
      </c>
      <c r="H2742" s="403" t="s">
        <v>1276</v>
      </c>
      <c r="I2742" s="403">
        <v>1</v>
      </c>
      <c r="J2742" s="403" t="s">
        <v>110</v>
      </c>
      <c r="K2742" s="403">
        <v>1920</v>
      </c>
      <c r="L2742" s="403">
        <v>1080</v>
      </c>
      <c r="M2742" s="403" t="s">
        <v>1284</v>
      </c>
      <c r="N2742" s="403">
        <v>640</v>
      </c>
      <c r="O2742" s="403">
        <v>480</v>
      </c>
      <c r="P2742" t="str">
        <f t="shared" si="337"/>
        <v>30fps 1080p - SD VGA (cropped)</v>
      </c>
      <c r="Q2742">
        <f t="shared" si="338"/>
        <v>15</v>
      </c>
      <c r="R2742" t="str">
        <f t="shared" si="339"/>
        <v/>
      </c>
      <c r="S2742" t="str">
        <f t="shared" si="340"/>
        <v/>
      </c>
      <c r="T2742" s="403" t="str">
        <f t="shared" si="341"/>
        <v>NBN-80122-CA</v>
      </c>
      <c r="U2742" s="403">
        <f t="shared" si="342"/>
        <v>1</v>
      </c>
      <c r="V2742" s="403" t="str">
        <f t="shared" si="343"/>
        <v>CPP_6</v>
      </c>
    </row>
    <row r="2743" spans="1:22">
      <c r="A2743" t="str">
        <f t="shared" si="336"/>
        <v>NBN-80122-CA</v>
      </c>
      <c r="B2743" s="403" t="s">
        <v>1320</v>
      </c>
      <c r="C2743" s="403" t="s">
        <v>584</v>
      </c>
      <c r="D2743" s="403" t="s">
        <v>1321</v>
      </c>
      <c r="E2743" s="403" t="s">
        <v>1331</v>
      </c>
      <c r="F2743" s="403" t="s">
        <v>1286</v>
      </c>
      <c r="G2743" s="403" t="s">
        <v>1466</v>
      </c>
      <c r="H2743" s="403" t="s">
        <v>1276</v>
      </c>
      <c r="I2743" s="403">
        <v>1</v>
      </c>
      <c r="J2743" s="403" t="s">
        <v>110</v>
      </c>
      <c r="K2743" s="403">
        <v>1920</v>
      </c>
      <c r="L2743" s="403">
        <v>1080</v>
      </c>
      <c r="M2743" s="403" t="s">
        <v>1298</v>
      </c>
      <c r="N2743" s="403">
        <v>768</v>
      </c>
      <c r="O2743" s="403">
        <v>432</v>
      </c>
      <c r="P2743" t="str">
        <f t="shared" si="337"/>
        <v>30fps 1080p - SD dual stream with independent ROI PTZ</v>
      </c>
      <c r="Q2743">
        <f t="shared" si="338"/>
        <v>15</v>
      </c>
      <c r="R2743" t="str">
        <f t="shared" si="339"/>
        <v/>
      </c>
      <c r="S2743" t="str">
        <f t="shared" si="340"/>
        <v/>
      </c>
      <c r="T2743" s="403" t="str">
        <f t="shared" si="341"/>
        <v>NBN-80122-CA</v>
      </c>
      <c r="U2743" s="403">
        <f t="shared" si="342"/>
        <v>1</v>
      </c>
      <c r="V2743" s="403" t="str">
        <f t="shared" si="343"/>
        <v>CPP_6</v>
      </c>
    </row>
    <row r="2744" spans="1:22">
      <c r="A2744" t="str">
        <f t="shared" si="336"/>
        <v>NBN-80122-CA</v>
      </c>
      <c r="B2744" s="403" t="s">
        <v>1320</v>
      </c>
      <c r="C2744" s="403" t="s">
        <v>584</v>
      </c>
      <c r="D2744" s="403" t="s">
        <v>1321</v>
      </c>
      <c r="E2744" s="403" t="s">
        <v>1331</v>
      </c>
      <c r="F2744" s="403" t="s">
        <v>1286</v>
      </c>
      <c r="G2744" s="403" t="s">
        <v>1467</v>
      </c>
      <c r="H2744" s="403" t="s">
        <v>1276</v>
      </c>
      <c r="I2744" s="403">
        <v>1</v>
      </c>
      <c r="J2744" s="403" t="s">
        <v>110</v>
      </c>
      <c r="K2744" s="403">
        <v>1080</v>
      </c>
      <c r="L2744" s="403">
        <v>1920</v>
      </c>
      <c r="M2744" s="403" t="s">
        <v>111</v>
      </c>
      <c r="N2744" s="403">
        <v>432</v>
      </c>
      <c r="O2744" s="403">
        <v>768</v>
      </c>
      <c r="P2744" t="str">
        <f t="shared" si="337"/>
        <v>30fps 1080p - SD</v>
      </c>
      <c r="Q2744">
        <f t="shared" si="338"/>
        <v>15</v>
      </c>
      <c r="R2744" t="str">
        <f t="shared" si="339"/>
        <v/>
      </c>
      <c r="S2744" t="str">
        <f t="shared" si="340"/>
        <v/>
      </c>
      <c r="T2744" s="403" t="str">
        <f t="shared" si="341"/>
        <v>NBN-80122-CA</v>
      </c>
      <c r="U2744" s="403">
        <f t="shared" si="342"/>
        <v>1</v>
      </c>
      <c r="V2744" s="403" t="str">
        <f t="shared" si="343"/>
        <v>CPP_6</v>
      </c>
    </row>
    <row r="2745" spans="1:22">
      <c r="A2745" t="str">
        <f t="shared" si="336"/>
        <v>NBN-80122-CA</v>
      </c>
      <c r="B2745" s="403" t="s">
        <v>1320</v>
      </c>
      <c r="C2745" s="403" t="s">
        <v>584</v>
      </c>
      <c r="D2745" s="403" t="s">
        <v>1321</v>
      </c>
      <c r="E2745" s="403" t="s">
        <v>1331</v>
      </c>
      <c r="F2745" s="403" t="s">
        <v>1286</v>
      </c>
      <c r="G2745" s="403" t="s">
        <v>1467</v>
      </c>
      <c r="H2745" s="403" t="s">
        <v>1276</v>
      </c>
      <c r="I2745" s="403">
        <v>1</v>
      </c>
      <c r="J2745" s="403" t="s">
        <v>110</v>
      </c>
      <c r="K2745" s="403">
        <v>1080</v>
      </c>
      <c r="L2745" s="403">
        <v>1920</v>
      </c>
      <c r="M2745" s="403" t="s">
        <v>110</v>
      </c>
      <c r="N2745" s="403">
        <v>1080</v>
      </c>
      <c r="O2745" s="403">
        <v>1920</v>
      </c>
      <c r="P2745" t="str">
        <f t="shared" si="337"/>
        <v>30fps 1080p - 1080p</v>
      </c>
      <c r="Q2745">
        <f t="shared" si="338"/>
        <v>15</v>
      </c>
      <c r="R2745" t="str">
        <f t="shared" si="339"/>
        <v/>
      </c>
      <c r="S2745" t="str">
        <f t="shared" si="340"/>
        <v/>
      </c>
      <c r="T2745" s="403" t="str">
        <f t="shared" si="341"/>
        <v>NBN-80122-CA</v>
      </c>
      <c r="U2745" s="403">
        <f t="shared" si="342"/>
        <v>1</v>
      </c>
      <c r="V2745" s="403" t="str">
        <f t="shared" si="343"/>
        <v>CPP_6</v>
      </c>
    </row>
    <row r="2746" spans="1:22">
      <c r="A2746" t="str">
        <f t="shared" si="336"/>
        <v>NBN-80122-CA</v>
      </c>
      <c r="B2746" s="403" t="s">
        <v>1320</v>
      </c>
      <c r="C2746" s="403" t="s">
        <v>584</v>
      </c>
      <c r="D2746" s="403" t="s">
        <v>1321</v>
      </c>
      <c r="E2746" s="403" t="s">
        <v>1331</v>
      </c>
      <c r="F2746" s="403" t="s">
        <v>1286</v>
      </c>
      <c r="G2746" s="403" t="s">
        <v>1467</v>
      </c>
      <c r="H2746" s="403" t="s">
        <v>1276</v>
      </c>
      <c r="I2746" s="403">
        <v>1</v>
      </c>
      <c r="J2746" s="403" t="s">
        <v>110</v>
      </c>
      <c r="K2746" s="403">
        <v>1080</v>
      </c>
      <c r="L2746" s="403">
        <v>1920</v>
      </c>
      <c r="M2746" s="403" t="s">
        <v>109</v>
      </c>
      <c r="N2746" s="403">
        <v>720</v>
      </c>
      <c r="O2746" s="403">
        <v>1280</v>
      </c>
      <c r="P2746" t="str">
        <f t="shared" si="337"/>
        <v>30fps 1080p - 720p</v>
      </c>
      <c r="Q2746">
        <f t="shared" si="338"/>
        <v>15</v>
      </c>
      <c r="R2746" t="str">
        <f t="shared" si="339"/>
        <v/>
      </c>
      <c r="S2746" t="str">
        <f t="shared" si="340"/>
        <v/>
      </c>
      <c r="T2746" s="403" t="str">
        <f t="shared" si="341"/>
        <v>NBN-80122-CA</v>
      </c>
      <c r="U2746" s="403">
        <f t="shared" si="342"/>
        <v>1</v>
      </c>
      <c r="V2746" s="403" t="str">
        <f t="shared" si="343"/>
        <v>CPP_6</v>
      </c>
    </row>
    <row r="2747" spans="1:22">
      <c r="A2747" t="str">
        <f t="shared" si="336"/>
        <v>NBN-80122-CA</v>
      </c>
      <c r="B2747" s="403" t="s">
        <v>1320</v>
      </c>
      <c r="C2747" s="403" t="s">
        <v>584</v>
      </c>
      <c r="D2747" s="403" t="s">
        <v>1321</v>
      </c>
      <c r="E2747" s="403" t="s">
        <v>1331</v>
      </c>
      <c r="F2747" s="403" t="s">
        <v>1286</v>
      </c>
      <c r="G2747" s="403" t="s">
        <v>1467</v>
      </c>
      <c r="H2747" s="403" t="s">
        <v>1276</v>
      </c>
      <c r="I2747" s="403">
        <v>1</v>
      </c>
      <c r="J2747" s="403" t="s">
        <v>110</v>
      </c>
      <c r="K2747" s="403">
        <v>1080</v>
      </c>
      <c r="L2747" s="403">
        <v>1920</v>
      </c>
      <c r="M2747" s="403" t="s">
        <v>1279</v>
      </c>
      <c r="N2747" s="403">
        <v>432</v>
      </c>
      <c r="O2747" s="403">
        <v>768</v>
      </c>
      <c r="P2747" t="str">
        <f t="shared" si="337"/>
        <v>30fps 1080p - SD ROI PTZ</v>
      </c>
      <c r="Q2747">
        <f t="shared" si="338"/>
        <v>15</v>
      </c>
      <c r="R2747" t="str">
        <f t="shared" si="339"/>
        <v/>
      </c>
      <c r="S2747" t="str">
        <f t="shared" si="340"/>
        <v/>
      </c>
      <c r="T2747" s="403" t="str">
        <f t="shared" si="341"/>
        <v>NBN-80122-CA</v>
      </c>
      <c r="U2747" s="403">
        <f t="shared" si="342"/>
        <v>1</v>
      </c>
      <c r="V2747" s="403" t="str">
        <f t="shared" si="343"/>
        <v>CPP_6</v>
      </c>
    </row>
    <row r="2748" spans="1:22">
      <c r="A2748" t="str">
        <f t="shared" si="336"/>
        <v>NBN-80122-CA</v>
      </c>
      <c r="B2748" s="403" t="s">
        <v>1320</v>
      </c>
      <c r="C2748" s="403" t="s">
        <v>584</v>
      </c>
      <c r="D2748" s="403" t="s">
        <v>1321</v>
      </c>
      <c r="E2748" s="403" t="s">
        <v>1331</v>
      </c>
      <c r="F2748" s="403" t="s">
        <v>1286</v>
      </c>
      <c r="G2748" s="403" t="s">
        <v>1467</v>
      </c>
      <c r="H2748" s="403" t="s">
        <v>1276</v>
      </c>
      <c r="I2748" s="403">
        <v>1</v>
      </c>
      <c r="J2748" s="403" t="s">
        <v>110</v>
      </c>
      <c r="K2748" s="403">
        <v>1080</v>
      </c>
      <c r="L2748" s="403">
        <v>1920</v>
      </c>
      <c r="M2748" s="403" t="s">
        <v>1302</v>
      </c>
      <c r="N2748" s="403">
        <v>720</v>
      </c>
      <c r="O2748" s="403">
        <v>400</v>
      </c>
      <c r="P2748" t="str">
        <f t="shared" si="337"/>
        <v>30fps 1080p - 400x720 upright (cropped)</v>
      </c>
      <c r="Q2748">
        <f t="shared" si="338"/>
        <v>15</v>
      </c>
      <c r="R2748" t="str">
        <f t="shared" si="339"/>
        <v/>
      </c>
      <c r="S2748" t="str">
        <f t="shared" si="340"/>
        <v/>
      </c>
      <c r="T2748" s="403" t="str">
        <f t="shared" si="341"/>
        <v>NBN-80122-CA</v>
      </c>
      <c r="U2748" s="403">
        <f t="shared" si="342"/>
        <v>1</v>
      </c>
      <c r="V2748" s="403" t="str">
        <f t="shared" si="343"/>
        <v>CPP_6</v>
      </c>
    </row>
    <row r="2749" spans="1:22">
      <c r="A2749" t="str">
        <f t="shared" si="336"/>
        <v>NBN-80122-CA</v>
      </c>
      <c r="B2749" s="403" t="s">
        <v>1320</v>
      </c>
      <c r="C2749" s="403" t="s">
        <v>584</v>
      </c>
      <c r="D2749" s="403" t="s">
        <v>1321</v>
      </c>
      <c r="E2749" s="403" t="s">
        <v>1331</v>
      </c>
      <c r="F2749" s="403" t="s">
        <v>1286</v>
      </c>
      <c r="G2749" s="403" t="s">
        <v>1467</v>
      </c>
      <c r="H2749" s="403" t="s">
        <v>1276</v>
      </c>
      <c r="I2749" s="403">
        <v>1</v>
      </c>
      <c r="J2749" s="403" t="s">
        <v>110</v>
      </c>
      <c r="K2749" s="403">
        <v>1080</v>
      </c>
      <c r="L2749" s="403">
        <v>1920</v>
      </c>
      <c r="M2749" s="403" t="s">
        <v>1283</v>
      </c>
      <c r="N2749" s="403">
        <v>480</v>
      </c>
      <c r="O2749" s="403">
        <v>704</v>
      </c>
      <c r="P2749" t="str">
        <f t="shared" si="337"/>
        <v>30fps 1080p - SD 4CIF resolution 4:3 format (cropped)</v>
      </c>
      <c r="Q2749">
        <f t="shared" si="338"/>
        <v>15</v>
      </c>
      <c r="R2749" t="str">
        <f t="shared" si="339"/>
        <v/>
      </c>
      <c r="S2749" t="str">
        <f t="shared" si="340"/>
        <v/>
      </c>
      <c r="T2749" s="403" t="str">
        <f t="shared" si="341"/>
        <v>NBN-80122-CA</v>
      </c>
      <c r="U2749" s="403">
        <f t="shared" si="342"/>
        <v>1</v>
      </c>
      <c r="V2749" s="403" t="str">
        <f t="shared" si="343"/>
        <v>CPP_6</v>
      </c>
    </row>
    <row r="2750" spans="1:22">
      <c r="A2750" t="str">
        <f t="shared" si="336"/>
        <v>NBN-80122-CA</v>
      </c>
      <c r="B2750" s="403" t="s">
        <v>1320</v>
      </c>
      <c r="C2750" s="403" t="s">
        <v>584</v>
      </c>
      <c r="D2750" s="403" t="s">
        <v>1321</v>
      </c>
      <c r="E2750" s="403" t="s">
        <v>1331</v>
      </c>
      <c r="F2750" s="403" t="s">
        <v>1286</v>
      </c>
      <c r="G2750" s="403" t="s">
        <v>1467</v>
      </c>
      <c r="H2750" s="403" t="s">
        <v>1276</v>
      </c>
      <c r="I2750" s="403">
        <v>1</v>
      </c>
      <c r="J2750" s="403" t="s">
        <v>110</v>
      </c>
      <c r="K2750" s="403">
        <v>1080</v>
      </c>
      <c r="L2750" s="403">
        <v>1920</v>
      </c>
      <c r="M2750" s="403" t="s">
        <v>1284</v>
      </c>
      <c r="N2750" s="403">
        <v>480</v>
      </c>
      <c r="O2750" s="403">
        <v>640</v>
      </c>
      <c r="P2750" t="str">
        <f t="shared" si="337"/>
        <v>30fps 1080p - SD VGA (cropped)</v>
      </c>
      <c r="Q2750">
        <f t="shared" si="338"/>
        <v>15</v>
      </c>
      <c r="R2750" t="str">
        <f t="shared" si="339"/>
        <v/>
      </c>
      <c r="S2750" t="str">
        <f t="shared" si="340"/>
        <v/>
      </c>
      <c r="T2750" s="403" t="str">
        <f t="shared" si="341"/>
        <v>NBN-80122-CA</v>
      </c>
      <c r="U2750" s="403">
        <f t="shared" si="342"/>
        <v>1</v>
      </c>
      <c r="V2750" s="403" t="str">
        <f t="shared" si="343"/>
        <v>CPP_6</v>
      </c>
    </row>
    <row r="2751" spans="1:22">
      <c r="A2751" t="str">
        <f t="shared" si="336"/>
        <v>NBN-80122-CA</v>
      </c>
      <c r="B2751" s="403" t="s">
        <v>1320</v>
      </c>
      <c r="C2751" s="403" t="s">
        <v>584</v>
      </c>
      <c r="D2751" s="403" t="s">
        <v>1321</v>
      </c>
      <c r="E2751" s="403" t="s">
        <v>1331</v>
      </c>
      <c r="F2751" s="403" t="s">
        <v>1286</v>
      </c>
      <c r="G2751" s="403" t="s">
        <v>1467</v>
      </c>
      <c r="H2751" s="403" t="s">
        <v>1276</v>
      </c>
      <c r="I2751" s="403">
        <v>1</v>
      </c>
      <c r="J2751" s="403" t="s">
        <v>110</v>
      </c>
      <c r="K2751" s="403">
        <v>1080</v>
      </c>
      <c r="L2751" s="403">
        <v>1920</v>
      </c>
      <c r="M2751" s="403" t="s">
        <v>1298</v>
      </c>
      <c r="N2751" s="403">
        <v>432</v>
      </c>
      <c r="O2751" s="403">
        <v>768</v>
      </c>
      <c r="P2751" t="str">
        <f t="shared" si="337"/>
        <v>30fps 1080p - SD dual stream with independent ROI PTZ</v>
      </c>
      <c r="Q2751">
        <f t="shared" si="338"/>
        <v>15</v>
      </c>
      <c r="R2751" t="str">
        <f t="shared" si="339"/>
        <v/>
      </c>
      <c r="S2751" t="str">
        <f t="shared" si="340"/>
        <v/>
      </c>
      <c r="T2751" s="403" t="str">
        <f t="shared" si="341"/>
        <v>NBN-80122-CA</v>
      </c>
      <c r="U2751" s="403">
        <f t="shared" si="342"/>
        <v>1</v>
      </c>
      <c r="V2751" s="403" t="str">
        <f t="shared" si="343"/>
        <v>CPP_6</v>
      </c>
    </row>
    <row r="2752" spans="1:22">
      <c r="A2752" t="str">
        <f t="shared" si="336"/>
        <v>NBN-80122-CA</v>
      </c>
      <c r="B2752" s="403" t="s">
        <v>1320</v>
      </c>
      <c r="C2752" s="403" t="s">
        <v>584</v>
      </c>
      <c r="D2752" s="403" t="s">
        <v>1321</v>
      </c>
      <c r="E2752" s="403" t="s">
        <v>1331</v>
      </c>
      <c r="F2752" s="403" t="s">
        <v>1287</v>
      </c>
      <c r="G2752" s="403" t="s">
        <v>1466</v>
      </c>
      <c r="H2752" s="403" t="s">
        <v>1276</v>
      </c>
      <c r="I2752" s="403">
        <v>1</v>
      </c>
      <c r="J2752" s="403" t="s">
        <v>110</v>
      </c>
      <c r="K2752" s="403">
        <v>1920</v>
      </c>
      <c r="L2752" s="403">
        <v>1080</v>
      </c>
      <c r="M2752" s="403" t="s">
        <v>111</v>
      </c>
      <c r="N2752" s="403">
        <v>768</v>
      </c>
      <c r="O2752" s="403">
        <v>432</v>
      </c>
      <c r="P2752" t="str">
        <f t="shared" si="337"/>
        <v>25fps 1080p - SD</v>
      </c>
      <c r="Q2752">
        <f t="shared" si="338"/>
        <v>15</v>
      </c>
      <c r="R2752" t="str">
        <f t="shared" si="339"/>
        <v/>
      </c>
      <c r="S2752" t="str">
        <f t="shared" si="340"/>
        <v/>
      </c>
      <c r="T2752" s="403" t="str">
        <f t="shared" si="341"/>
        <v>NBN-80122-CA</v>
      </c>
      <c r="U2752" s="403">
        <f t="shared" si="342"/>
        <v>1</v>
      </c>
      <c r="V2752" s="403" t="str">
        <f t="shared" si="343"/>
        <v>CPP_6</v>
      </c>
    </row>
    <row r="2753" spans="1:22">
      <c r="A2753" t="str">
        <f t="shared" si="336"/>
        <v>NBN-80122-CA</v>
      </c>
      <c r="B2753" s="403" t="s">
        <v>1320</v>
      </c>
      <c r="C2753" s="403" t="s">
        <v>584</v>
      </c>
      <c r="D2753" s="403" t="s">
        <v>1321</v>
      </c>
      <c r="E2753" s="403" t="s">
        <v>1331</v>
      </c>
      <c r="F2753" s="403" t="s">
        <v>1287</v>
      </c>
      <c r="G2753" s="403" t="s">
        <v>1466</v>
      </c>
      <c r="H2753" s="403" t="s">
        <v>1276</v>
      </c>
      <c r="I2753" s="403">
        <v>1</v>
      </c>
      <c r="J2753" s="403" t="s">
        <v>110</v>
      </c>
      <c r="K2753" s="403">
        <v>1920</v>
      </c>
      <c r="L2753" s="403">
        <v>1080</v>
      </c>
      <c r="M2753" s="403" t="s">
        <v>110</v>
      </c>
      <c r="N2753" s="403">
        <v>1920</v>
      </c>
      <c r="O2753" s="403">
        <v>1080</v>
      </c>
      <c r="P2753" t="str">
        <f t="shared" si="337"/>
        <v>25fps 1080p - 1080p</v>
      </c>
      <c r="Q2753">
        <f t="shared" si="338"/>
        <v>15</v>
      </c>
      <c r="R2753" t="str">
        <f t="shared" si="339"/>
        <v/>
      </c>
      <c r="S2753" t="str">
        <f t="shared" si="340"/>
        <v/>
      </c>
      <c r="T2753" s="403" t="str">
        <f t="shared" si="341"/>
        <v>NBN-80122-CA</v>
      </c>
      <c r="U2753" s="403">
        <f t="shared" si="342"/>
        <v>1</v>
      </c>
      <c r="V2753" s="403" t="str">
        <f t="shared" si="343"/>
        <v>CPP_6</v>
      </c>
    </row>
    <row r="2754" spans="1:22">
      <c r="A2754" t="str">
        <f t="shared" ref="A2754:A2817" si="344">IF(AND(G2754&lt;&gt;"rotate 90°"),D2754,"")</f>
        <v>NBN-80122-CA</v>
      </c>
      <c r="B2754" s="403" t="s">
        <v>1320</v>
      </c>
      <c r="C2754" s="403" t="s">
        <v>584</v>
      </c>
      <c r="D2754" s="403" t="s">
        <v>1321</v>
      </c>
      <c r="E2754" s="403" t="s">
        <v>1331</v>
      </c>
      <c r="F2754" s="403" t="s">
        <v>1287</v>
      </c>
      <c r="G2754" s="403" t="s">
        <v>1466</v>
      </c>
      <c r="H2754" s="403" t="s">
        <v>1276</v>
      </c>
      <c r="I2754" s="403">
        <v>1</v>
      </c>
      <c r="J2754" s="403" t="s">
        <v>110</v>
      </c>
      <c r="K2754" s="403">
        <v>1920</v>
      </c>
      <c r="L2754" s="403">
        <v>1080</v>
      </c>
      <c r="M2754" s="403" t="s">
        <v>109</v>
      </c>
      <c r="N2754" s="403">
        <v>1280</v>
      </c>
      <c r="O2754" s="403">
        <v>720</v>
      </c>
      <c r="P2754" t="str">
        <f t="shared" ref="P2754:P2817" si="345">LEFT(F2754,5)&amp;" "&amp;J2754&amp;" - "&amp;M2754</f>
        <v>25fps 1080p - 720p</v>
      </c>
      <c r="Q2754">
        <f t="shared" ref="Q2754:Q2817" si="346">IF(A2753=A2754,Q2753,Q2753+1)</f>
        <v>15</v>
      </c>
      <c r="R2754" t="str">
        <f t="shared" ref="R2754:R2817" si="347">IF(Q2753&lt;&gt;Q2754,Q2754,"")</f>
        <v/>
      </c>
      <c r="S2754" t="str">
        <f t="shared" ref="S2754:S2817" si="348">IF(R2754&lt;&gt;"",B2754&amp;" ("&amp;D2754&amp;")","")</f>
        <v/>
      </c>
      <c r="T2754" s="403" t="str">
        <f t="shared" ref="T2754:T2817" si="349">D2754</f>
        <v>NBN-80122-CA</v>
      </c>
      <c r="U2754" s="403">
        <f t="shared" ref="U2754:U2817" si="350">I2754</f>
        <v>1</v>
      </c>
      <c r="V2754" s="403" t="str">
        <f t="shared" ref="V2754:V2817" si="351">C2754</f>
        <v>CPP_6</v>
      </c>
    </row>
    <row r="2755" spans="1:22">
      <c r="A2755" t="str">
        <f t="shared" si="344"/>
        <v>NBN-80122-CA</v>
      </c>
      <c r="B2755" s="403" t="s">
        <v>1320</v>
      </c>
      <c r="C2755" s="403" t="s">
        <v>584</v>
      </c>
      <c r="D2755" s="403" t="s">
        <v>1321</v>
      </c>
      <c r="E2755" s="403" t="s">
        <v>1331</v>
      </c>
      <c r="F2755" s="403" t="s">
        <v>1287</v>
      </c>
      <c r="G2755" s="403" t="s">
        <v>1466</v>
      </c>
      <c r="H2755" s="403" t="s">
        <v>1276</v>
      </c>
      <c r="I2755" s="403">
        <v>1</v>
      </c>
      <c r="J2755" s="403" t="s">
        <v>110</v>
      </c>
      <c r="K2755" s="403">
        <v>1920</v>
      </c>
      <c r="L2755" s="403">
        <v>1080</v>
      </c>
      <c r="M2755" s="403" t="s">
        <v>1279</v>
      </c>
      <c r="N2755" s="403">
        <v>768</v>
      </c>
      <c r="O2755" s="403">
        <v>432</v>
      </c>
      <c r="P2755" t="str">
        <f t="shared" si="345"/>
        <v>25fps 1080p - SD ROI PTZ</v>
      </c>
      <c r="Q2755">
        <f t="shared" si="346"/>
        <v>15</v>
      </c>
      <c r="R2755" t="str">
        <f t="shared" si="347"/>
        <v/>
      </c>
      <c r="S2755" t="str">
        <f t="shared" si="348"/>
        <v/>
      </c>
      <c r="T2755" s="403" t="str">
        <f t="shared" si="349"/>
        <v>NBN-80122-CA</v>
      </c>
      <c r="U2755" s="403">
        <f t="shared" si="350"/>
        <v>1</v>
      </c>
      <c r="V2755" s="403" t="str">
        <f t="shared" si="351"/>
        <v>CPP_6</v>
      </c>
    </row>
    <row r="2756" spans="1:22">
      <c r="A2756" t="str">
        <f t="shared" si="344"/>
        <v>NBN-80122-CA</v>
      </c>
      <c r="B2756" s="403" t="s">
        <v>1320</v>
      </c>
      <c r="C2756" s="403" t="s">
        <v>584</v>
      </c>
      <c r="D2756" s="403" t="s">
        <v>1321</v>
      </c>
      <c r="E2756" s="403" t="s">
        <v>1331</v>
      </c>
      <c r="F2756" s="403" t="s">
        <v>1287</v>
      </c>
      <c r="G2756" s="403" t="s">
        <v>1466</v>
      </c>
      <c r="H2756" s="403" t="s">
        <v>1276</v>
      </c>
      <c r="I2756" s="403">
        <v>1</v>
      </c>
      <c r="J2756" s="403" t="s">
        <v>110</v>
      </c>
      <c r="K2756" s="403">
        <v>1920</v>
      </c>
      <c r="L2756" s="403">
        <v>1080</v>
      </c>
      <c r="M2756" s="403" t="s">
        <v>1302</v>
      </c>
      <c r="N2756" s="403">
        <v>400</v>
      </c>
      <c r="O2756" s="403">
        <v>720</v>
      </c>
      <c r="P2756" t="str">
        <f t="shared" si="345"/>
        <v>25fps 1080p - 400x720 upright (cropped)</v>
      </c>
      <c r="Q2756">
        <f t="shared" si="346"/>
        <v>15</v>
      </c>
      <c r="R2756" t="str">
        <f t="shared" si="347"/>
        <v/>
      </c>
      <c r="S2756" t="str">
        <f t="shared" si="348"/>
        <v/>
      </c>
      <c r="T2756" s="403" t="str">
        <f t="shared" si="349"/>
        <v>NBN-80122-CA</v>
      </c>
      <c r="U2756" s="403">
        <f t="shared" si="350"/>
        <v>1</v>
      </c>
      <c r="V2756" s="403" t="str">
        <f t="shared" si="351"/>
        <v>CPP_6</v>
      </c>
    </row>
    <row r="2757" spans="1:22">
      <c r="A2757" t="str">
        <f t="shared" si="344"/>
        <v>NBN-80122-CA</v>
      </c>
      <c r="B2757" s="403" t="s">
        <v>1320</v>
      </c>
      <c r="C2757" s="403" t="s">
        <v>584</v>
      </c>
      <c r="D2757" s="403" t="s">
        <v>1321</v>
      </c>
      <c r="E2757" s="403" t="s">
        <v>1331</v>
      </c>
      <c r="F2757" s="403" t="s">
        <v>1287</v>
      </c>
      <c r="G2757" s="403" t="s">
        <v>1466</v>
      </c>
      <c r="H2757" s="403" t="s">
        <v>1276</v>
      </c>
      <c r="I2757" s="403">
        <v>1</v>
      </c>
      <c r="J2757" s="403" t="s">
        <v>110</v>
      </c>
      <c r="K2757" s="403">
        <v>1920</v>
      </c>
      <c r="L2757" s="403">
        <v>1080</v>
      </c>
      <c r="M2757" s="403" t="s">
        <v>1283</v>
      </c>
      <c r="N2757" s="403">
        <v>704</v>
      </c>
      <c r="O2757" s="403">
        <v>576</v>
      </c>
      <c r="P2757" t="str">
        <f t="shared" si="345"/>
        <v>25fps 1080p - SD 4CIF resolution 4:3 format (cropped)</v>
      </c>
      <c r="Q2757">
        <f t="shared" si="346"/>
        <v>15</v>
      </c>
      <c r="R2757" t="str">
        <f t="shared" si="347"/>
        <v/>
      </c>
      <c r="S2757" t="str">
        <f t="shared" si="348"/>
        <v/>
      </c>
      <c r="T2757" s="403" t="str">
        <f t="shared" si="349"/>
        <v>NBN-80122-CA</v>
      </c>
      <c r="U2757" s="403">
        <f t="shared" si="350"/>
        <v>1</v>
      </c>
      <c r="V2757" s="403" t="str">
        <f t="shared" si="351"/>
        <v>CPP_6</v>
      </c>
    </row>
    <row r="2758" spans="1:22">
      <c r="A2758" t="str">
        <f t="shared" si="344"/>
        <v>NBN-80122-CA</v>
      </c>
      <c r="B2758" s="403" t="s">
        <v>1320</v>
      </c>
      <c r="C2758" s="403" t="s">
        <v>584</v>
      </c>
      <c r="D2758" s="403" t="s">
        <v>1321</v>
      </c>
      <c r="E2758" s="403" t="s">
        <v>1331</v>
      </c>
      <c r="F2758" s="403" t="s">
        <v>1287</v>
      </c>
      <c r="G2758" s="403" t="s">
        <v>1466</v>
      </c>
      <c r="H2758" s="403" t="s">
        <v>1276</v>
      </c>
      <c r="I2758" s="403">
        <v>1</v>
      </c>
      <c r="J2758" s="403" t="s">
        <v>110</v>
      </c>
      <c r="K2758" s="403">
        <v>1920</v>
      </c>
      <c r="L2758" s="403">
        <v>1080</v>
      </c>
      <c r="M2758" s="403" t="s">
        <v>1284</v>
      </c>
      <c r="N2758" s="403">
        <v>640</v>
      </c>
      <c r="O2758" s="403">
        <v>480</v>
      </c>
      <c r="P2758" t="str">
        <f t="shared" si="345"/>
        <v>25fps 1080p - SD VGA (cropped)</v>
      </c>
      <c r="Q2758">
        <f t="shared" si="346"/>
        <v>15</v>
      </c>
      <c r="R2758" t="str">
        <f t="shared" si="347"/>
        <v/>
      </c>
      <c r="S2758" t="str">
        <f t="shared" si="348"/>
        <v/>
      </c>
      <c r="T2758" s="403" t="str">
        <f t="shared" si="349"/>
        <v>NBN-80122-CA</v>
      </c>
      <c r="U2758" s="403">
        <f t="shared" si="350"/>
        <v>1</v>
      </c>
      <c r="V2758" s="403" t="str">
        <f t="shared" si="351"/>
        <v>CPP_6</v>
      </c>
    </row>
    <row r="2759" spans="1:22">
      <c r="A2759" t="str">
        <f t="shared" si="344"/>
        <v>NBN-80122-CA</v>
      </c>
      <c r="B2759" s="403" t="s">
        <v>1320</v>
      </c>
      <c r="C2759" s="403" t="s">
        <v>584</v>
      </c>
      <c r="D2759" s="403" t="s">
        <v>1321</v>
      </c>
      <c r="E2759" s="403" t="s">
        <v>1331</v>
      </c>
      <c r="F2759" s="403" t="s">
        <v>1287</v>
      </c>
      <c r="G2759" s="403" t="s">
        <v>1466</v>
      </c>
      <c r="H2759" s="403" t="s">
        <v>1276</v>
      </c>
      <c r="I2759" s="403">
        <v>1</v>
      </c>
      <c r="J2759" s="403" t="s">
        <v>110</v>
      </c>
      <c r="K2759" s="403">
        <v>1920</v>
      </c>
      <c r="L2759" s="403">
        <v>1080</v>
      </c>
      <c r="M2759" s="403" t="s">
        <v>1298</v>
      </c>
      <c r="N2759" s="403">
        <v>768</v>
      </c>
      <c r="O2759" s="403">
        <v>432</v>
      </c>
      <c r="P2759" t="str">
        <f t="shared" si="345"/>
        <v>25fps 1080p - SD dual stream with independent ROI PTZ</v>
      </c>
      <c r="Q2759">
        <f t="shared" si="346"/>
        <v>15</v>
      </c>
      <c r="R2759" t="str">
        <f t="shared" si="347"/>
        <v/>
      </c>
      <c r="S2759" t="str">
        <f t="shared" si="348"/>
        <v/>
      </c>
      <c r="T2759" s="403" t="str">
        <f t="shared" si="349"/>
        <v>NBN-80122-CA</v>
      </c>
      <c r="U2759" s="403">
        <f t="shared" si="350"/>
        <v>1</v>
      </c>
      <c r="V2759" s="403" t="str">
        <f t="shared" si="351"/>
        <v>CPP_6</v>
      </c>
    </row>
    <row r="2760" spans="1:22">
      <c r="A2760" t="str">
        <f t="shared" si="344"/>
        <v>NBN-80122-CA</v>
      </c>
      <c r="B2760" s="403" t="s">
        <v>1320</v>
      </c>
      <c r="C2760" s="403" t="s">
        <v>584</v>
      </c>
      <c r="D2760" s="403" t="s">
        <v>1321</v>
      </c>
      <c r="E2760" s="403" t="s">
        <v>1331</v>
      </c>
      <c r="F2760" s="403" t="s">
        <v>1287</v>
      </c>
      <c r="G2760" s="403" t="s">
        <v>1467</v>
      </c>
      <c r="H2760" s="403" t="s">
        <v>1276</v>
      </c>
      <c r="I2760" s="403">
        <v>1</v>
      </c>
      <c r="J2760" s="403" t="s">
        <v>110</v>
      </c>
      <c r="K2760" s="403">
        <v>1080</v>
      </c>
      <c r="L2760" s="403">
        <v>1920</v>
      </c>
      <c r="M2760" s="403" t="s">
        <v>111</v>
      </c>
      <c r="N2760" s="403">
        <v>432</v>
      </c>
      <c r="O2760" s="403">
        <v>768</v>
      </c>
      <c r="P2760" t="str">
        <f t="shared" si="345"/>
        <v>25fps 1080p - SD</v>
      </c>
      <c r="Q2760">
        <f t="shared" si="346"/>
        <v>15</v>
      </c>
      <c r="R2760" t="str">
        <f t="shared" si="347"/>
        <v/>
      </c>
      <c r="S2760" t="str">
        <f t="shared" si="348"/>
        <v/>
      </c>
      <c r="T2760" s="403" t="str">
        <f t="shared" si="349"/>
        <v>NBN-80122-CA</v>
      </c>
      <c r="U2760" s="403">
        <f t="shared" si="350"/>
        <v>1</v>
      </c>
      <c r="V2760" s="403" t="str">
        <f t="shared" si="351"/>
        <v>CPP_6</v>
      </c>
    </row>
    <row r="2761" spans="1:22">
      <c r="A2761" t="str">
        <f t="shared" si="344"/>
        <v>NBN-80122-CA</v>
      </c>
      <c r="B2761" s="403" t="s">
        <v>1320</v>
      </c>
      <c r="C2761" s="403" t="s">
        <v>584</v>
      </c>
      <c r="D2761" s="403" t="s">
        <v>1321</v>
      </c>
      <c r="E2761" s="403" t="s">
        <v>1331</v>
      </c>
      <c r="F2761" s="403" t="s">
        <v>1287</v>
      </c>
      <c r="G2761" s="403" t="s">
        <v>1467</v>
      </c>
      <c r="H2761" s="403" t="s">
        <v>1276</v>
      </c>
      <c r="I2761" s="403">
        <v>1</v>
      </c>
      <c r="J2761" s="403" t="s">
        <v>110</v>
      </c>
      <c r="K2761" s="403">
        <v>1080</v>
      </c>
      <c r="L2761" s="403">
        <v>1920</v>
      </c>
      <c r="M2761" s="403" t="s">
        <v>110</v>
      </c>
      <c r="N2761" s="403">
        <v>1080</v>
      </c>
      <c r="O2761" s="403">
        <v>1920</v>
      </c>
      <c r="P2761" t="str">
        <f t="shared" si="345"/>
        <v>25fps 1080p - 1080p</v>
      </c>
      <c r="Q2761">
        <f t="shared" si="346"/>
        <v>15</v>
      </c>
      <c r="R2761" t="str">
        <f t="shared" si="347"/>
        <v/>
      </c>
      <c r="S2761" t="str">
        <f t="shared" si="348"/>
        <v/>
      </c>
      <c r="T2761" s="403" t="str">
        <f t="shared" si="349"/>
        <v>NBN-80122-CA</v>
      </c>
      <c r="U2761" s="403">
        <f t="shared" si="350"/>
        <v>1</v>
      </c>
      <c r="V2761" s="403" t="str">
        <f t="shared" si="351"/>
        <v>CPP_6</v>
      </c>
    </row>
    <row r="2762" spans="1:22">
      <c r="A2762" t="str">
        <f t="shared" si="344"/>
        <v>NBN-80122-CA</v>
      </c>
      <c r="B2762" s="403" t="s">
        <v>1320</v>
      </c>
      <c r="C2762" s="403" t="s">
        <v>584</v>
      </c>
      <c r="D2762" s="403" t="s">
        <v>1321</v>
      </c>
      <c r="E2762" s="403" t="s">
        <v>1331</v>
      </c>
      <c r="F2762" s="403" t="s">
        <v>1287</v>
      </c>
      <c r="G2762" s="403" t="s">
        <v>1467</v>
      </c>
      <c r="H2762" s="403" t="s">
        <v>1276</v>
      </c>
      <c r="I2762" s="403">
        <v>1</v>
      </c>
      <c r="J2762" s="403" t="s">
        <v>110</v>
      </c>
      <c r="K2762" s="403">
        <v>1080</v>
      </c>
      <c r="L2762" s="403">
        <v>1920</v>
      </c>
      <c r="M2762" s="403" t="s">
        <v>109</v>
      </c>
      <c r="N2762" s="403">
        <v>720</v>
      </c>
      <c r="O2762" s="403">
        <v>1280</v>
      </c>
      <c r="P2762" t="str">
        <f t="shared" si="345"/>
        <v>25fps 1080p - 720p</v>
      </c>
      <c r="Q2762">
        <f t="shared" si="346"/>
        <v>15</v>
      </c>
      <c r="R2762" t="str">
        <f t="shared" si="347"/>
        <v/>
      </c>
      <c r="S2762" t="str">
        <f t="shared" si="348"/>
        <v/>
      </c>
      <c r="T2762" s="403" t="str">
        <f t="shared" si="349"/>
        <v>NBN-80122-CA</v>
      </c>
      <c r="U2762" s="403">
        <f t="shared" si="350"/>
        <v>1</v>
      </c>
      <c r="V2762" s="403" t="str">
        <f t="shared" si="351"/>
        <v>CPP_6</v>
      </c>
    </row>
    <row r="2763" spans="1:22">
      <c r="A2763" t="str">
        <f t="shared" si="344"/>
        <v>NBN-80122-CA</v>
      </c>
      <c r="B2763" s="403" t="s">
        <v>1320</v>
      </c>
      <c r="C2763" s="403" t="s">
        <v>584</v>
      </c>
      <c r="D2763" s="403" t="s">
        <v>1321</v>
      </c>
      <c r="E2763" s="403" t="s">
        <v>1331</v>
      </c>
      <c r="F2763" s="403" t="s">
        <v>1287</v>
      </c>
      <c r="G2763" s="403" t="s">
        <v>1467</v>
      </c>
      <c r="H2763" s="403" t="s">
        <v>1276</v>
      </c>
      <c r="I2763" s="403">
        <v>1</v>
      </c>
      <c r="J2763" s="403" t="s">
        <v>110</v>
      </c>
      <c r="K2763" s="403">
        <v>1080</v>
      </c>
      <c r="L2763" s="403">
        <v>1920</v>
      </c>
      <c r="M2763" s="403" t="s">
        <v>1279</v>
      </c>
      <c r="N2763" s="403">
        <v>432</v>
      </c>
      <c r="O2763" s="403">
        <v>768</v>
      </c>
      <c r="P2763" t="str">
        <f t="shared" si="345"/>
        <v>25fps 1080p - SD ROI PTZ</v>
      </c>
      <c r="Q2763">
        <f t="shared" si="346"/>
        <v>15</v>
      </c>
      <c r="R2763" t="str">
        <f t="shared" si="347"/>
        <v/>
      </c>
      <c r="S2763" t="str">
        <f t="shared" si="348"/>
        <v/>
      </c>
      <c r="T2763" s="403" t="str">
        <f t="shared" si="349"/>
        <v>NBN-80122-CA</v>
      </c>
      <c r="U2763" s="403">
        <f t="shared" si="350"/>
        <v>1</v>
      </c>
      <c r="V2763" s="403" t="str">
        <f t="shared" si="351"/>
        <v>CPP_6</v>
      </c>
    </row>
    <row r="2764" spans="1:22">
      <c r="A2764" t="str">
        <f t="shared" si="344"/>
        <v>NBN-80122-CA</v>
      </c>
      <c r="B2764" s="403" t="s">
        <v>1320</v>
      </c>
      <c r="C2764" s="403" t="s">
        <v>584</v>
      </c>
      <c r="D2764" s="403" t="s">
        <v>1321</v>
      </c>
      <c r="E2764" s="403" t="s">
        <v>1331</v>
      </c>
      <c r="F2764" s="403" t="s">
        <v>1287</v>
      </c>
      <c r="G2764" s="403" t="s">
        <v>1467</v>
      </c>
      <c r="H2764" s="403" t="s">
        <v>1276</v>
      </c>
      <c r="I2764" s="403">
        <v>1</v>
      </c>
      <c r="J2764" s="403" t="s">
        <v>110</v>
      </c>
      <c r="K2764" s="403">
        <v>1080</v>
      </c>
      <c r="L2764" s="403">
        <v>1920</v>
      </c>
      <c r="M2764" s="403" t="s">
        <v>1302</v>
      </c>
      <c r="N2764" s="403">
        <v>720</v>
      </c>
      <c r="O2764" s="403">
        <v>400</v>
      </c>
      <c r="P2764" t="str">
        <f t="shared" si="345"/>
        <v>25fps 1080p - 400x720 upright (cropped)</v>
      </c>
      <c r="Q2764">
        <f t="shared" si="346"/>
        <v>15</v>
      </c>
      <c r="R2764" t="str">
        <f t="shared" si="347"/>
        <v/>
      </c>
      <c r="S2764" t="str">
        <f t="shared" si="348"/>
        <v/>
      </c>
      <c r="T2764" s="403" t="str">
        <f t="shared" si="349"/>
        <v>NBN-80122-CA</v>
      </c>
      <c r="U2764" s="403">
        <f t="shared" si="350"/>
        <v>1</v>
      </c>
      <c r="V2764" s="403" t="str">
        <f t="shared" si="351"/>
        <v>CPP_6</v>
      </c>
    </row>
    <row r="2765" spans="1:22">
      <c r="A2765" t="str">
        <f t="shared" si="344"/>
        <v>NBN-80122-CA</v>
      </c>
      <c r="B2765" s="403" t="s">
        <v>1320</v>
      </c>
      <c r="C2765" s="403" t="s">
        <v>584</v>
      </c>
      <c r="D2765" s="403" t="s">
        <v>1321</v>
      </c>
      <c r="E2765" s="403" t="s">
        <v>1331</v>
      </c>
      <c r="F2765" s="403" t="s">
        <v>1287</v>
      </c>
      <c r="G2765" s="403" t="s">
        <v>1467</v>
      </c>
      <c r="H2765" s="403" t="s">
        <v>1276</v>
      </c>
      <c r="I2765" s="403">
        <v>1</v>
      </c>
      <c r="J2765" s="403" t="s">
        <v>110</v>
      </c>
      <c r="K2765" s="403">
        <v>1080</v>
      </c>
      <c r="L2765" s="403">
        <v>1920</v>
      </c>
      <c r="M2765" s="403" t="s">
        <v>1283</v>
      </c>
      <c r="N2765" s="403">
        <v>576</v>
      </c>
      <c r="O2765" s="403">
        <v>704</v>
      </c>
      <c r="P2765" t="str">
        <f t="shared" si="345"/>
        <v>25fps 1080p - SD 4CIF resolution 4:3 format (cropped)</v>
      </c>
      <c r="Q2765">
        <f t="shared" si="346"/>
        <v>15</v>
      </c>
      <c r="R2765" t="str">
        <f t="shared" si="347"/>
        <v/>
      </c>
      <c r="S2765" t="str">
        <f t="shared" si="348"/>
        <v/>
      </c>
      <c r="T2765" s="403" t="str">
        <f t="shared" si="349"/>
        <v>NBN-80122-CA</v>
      </c>
      <c r="U2765" s="403">
        <f t="shared" si="350"/>
        <v>1</v>
      </c>
      <c r="V2765" s="403" t="str">
        <f t="shared" si="351"/>
        <v>CPP_6</v>
      </c>
    </row>
    <row r="2766" spans="1:22">
      <c r="A2766" t="str">
        <f t="shared" si="344"/>
        <v>NBN-80122-CA</v>
      </c>
      <c r="B2766" s="403" t="s">
        <v>1320</v>
      </c>
      <c r="C2766" s="403" t="s">
        <v>584</v>
      </c>
      <c r="D2766" s="403" t="s">
        <v>1321</v>
      </c>
      <c r="E2766" s="403" t="s">
        <v>1331</v>
      </c>
      <c r="F2766" s="403" t="s">
        <v>1287</v>
      </c>
      <c r="G2766" s="403" t="s">
        <v>1467</v>
      </c>
      <c r="H2766" s="403" t="s">
        <v>1276</v>
      </c>
      <c r="I2766" s="403">
        <v>1</v>
      </c>
      <c r="J2766" s="403" t="s">
        <v>110</v>
      </c>
      <c r="K2766" s="403">
        <v>1080</v>
      </c>
      <c r="L2766" s="403">
        <v>1920</v>
      </c>
      <c r="M2766" s="403" t="s">
        <v>1284</v>
      </c>
      <c r="N2766" s="403">
        <v>480</v>
      </c>
      <c r="O2766" s="403">
        <v>640</v>
      </c>
      <c r="P2766" t="str">
        <f t="shared" si="345"/>
        <v>25fps 1080p - SD VGA (cropped)</v>
      </c>
      <c r="Q2766">
        <f t="shared" si="346"/>
        <v>15</v>
      </c>
      <c r="R2766" t="str">
        <f t="shared" si="347"/>
        <v/>
      </c>
      <c r="S2766" t="str">
        <f t="shared" si="348"/>
        <v/>
      </c>
      <c r="T2766" s="403" t="str">
        <f t="shared" si="349"/>
        <v>NBN-80122-CA</v>
      </c>
      <c r="U2766" s="403">
        <f t="shared" si="350"/>
        <v>1</v>
      </c>
      <c r="V2766" s="403" t="str">
        <f t="shared" si="351"/>
        <v>CPP_6</v>
      </c>
    </row>
    <row r="2767" spans="1:22">
      <c r="A2767" t="str">
        <f t="shared" si="344"/>
        <v>NBN-80122-CA</v>
      </c>
      <c r="B2767" s="403" t="s">
        <v>1320</v>
      </c>
      <c r="C2767" s="403" t="s">
        <v>584</v>
      </c>
      <c r="D2767" s="403" t="s">
        <v>1321</v>
      </c>
      <c r="E2767" s="403" t="s">
        <v>1331</v>
      </c>
      <c r="F2767" s="403" t="s">
        <v>1287</v>
      </c>
      <c r="G2767" s="403" t="s">
        <v>1467</v>
      </c>
      <c r="H2767" s="403" t="s">
        <v>1276</v>
      </c>
      <c r="I2767" s="403">
        <v>1</v>
      </c>
      <c r="J2767" s="403" t="s">
        <v>110</v>
      </c>
      <c r="K2767" s="403">
        <v>1080</v>
      </c>
      <c r="L2767" s="403">
        <v>1920</v>
      </c>
      <c r="M2767" s="403" t="s">
        <v>1298</v>
      </c>
      <c r="N2767" s="403">
        <v>432</v>
      </c>
      <c r="O2767" s="403">
        <v>768</v>
      </c>
      <c r="P2767" t="str">
        <f t="shared" si="345"/>
        <v>25fps 1080p - SD dual stream with independent ROI PTZ</v>
      </c>
      <c r="Q2767">
        <f t="shared" si="346"/>
        <v>15</v>
      </c>
      <c r="R2767" t="str">
        <f t="shared" si="347"/>
        <v/>
      </c>
      <c r="S2767" t="str">
        <f t="shared" si="348"/>
        <v/>
      </c>
      <c r="T2767" s="403" t="str">
        <f t="shared" si="349"/>
        <v>NBN-80122-CA</v>
      </c>
      <c r="U2767" s="403">
        <f t="shared" si="350"/>
        <v>1</v>
      </c>
      <c r="V2767" s="403" t="str">
        <f t="shared" si="351"/>
        <v>CPP_6</v>
      </c>
    </row>
    <row r="2768" spans="1:22">
      <c r="A2768" t="str">
        <f t="shared" si="344"/>
        <v>NDE-3502-AL</v>
      </c>
      <c r="B2768" s="403" t="s">
        <v>1405</v>
      </c>
      <c r="C2768" s="403" t="s">
        <v>582</v>
      </c>
      <c r="D2768" s="403" t="s">
        <v>1406</v>
      </c>
      <c r="E2768" s="403" t="s">
        <v>778</v>
      </c>
      <c r="F2768" s="403" t="s">
        <v>1292</v>
      </c>
      <c r="G2768" s="403" t="s">
        <v>1466</v>
      </c>
      <c r="H2768" s="403" t="s">
        <v>1276</v>
      </c>
      <c r="I2768" s="403">
        <v>1</v>
      </c>
      <c r="J2768" s="403" t="s">
        <v>110</v>
      </c>
      <c r="K2768" s="403">
        <v>1920</v>
      </c>
      <c r="L2768" s="403">
        <v>1080</v>
      </c>
      <c r="M2768" s="403" t="s">
        <v>111</v>
      </c>
      <c r="N2768" s="403">
        <v>768</v>
      </c>
      <c r="O2768" s="403">
        <v>432</v>
      </c>
      <c r="P2768" t="str">
        <f t="shared" si="345"/>
        <v>30fps 1080p - SD</v>
      </c>
      <c r="Q2768">
        <f t="shared" si="346"/>
        <v>16</v>
      </c>
      <c r="R2768">
        <f t="shared" si="347"/>
        <v>16</v>
      </c>
      <c r="S2768" t="str">
        <f t="shared" si="348"/>
        <v>FLEXIDOME IP 3000i IR (NDE-3502-AL)</v>
      </c>
      <c r="T2768" s="403" t="str">
        <f t="shared" si="349"/>
        <v>NDE-3502-AL</v>
      </c>
      <c r="U2768" s="403">
        <f t="shared" si="350"/>
        <v>1</v>
      </c>
      <c r="V2768" s="403" t="str">
        <f t="shared" si="351"/>
        <v>CPP_7_3</v>
      </c>
    </row>
    <row r="2769" spans="1:22">
      <c r="A2769" t="str">
        <f t="shared" si="344"/>
        <v>NDE-3502-AL</v>
      </c>
      <c r="B2769" s="403" t="s">
        <v>1405</v>
      </c>
      <c r="C2769" s="403" t="s">
        <v>582</v>
      </c>
      <c r="D2769" s="403" t="s">
        <v>1406</v>
      </c>
      <c r="E2769" s="403" t="s">
        <v>778</v>
      </c>
      <c r="F2769" s="403" t="s">
        <v>1292</v>
      </c>
      <c r="G2769" s="403" t="s">
        <v>1466</v>
      </c>
      <c r="H2769" s="403" t="s">
        <v>1276</v>
      </c>
      <c r="I2769" s="403">
        <v>1</v>
      </c>
      <c r="J2769" s="403" t="s">
        <v>110</v>
      </c>
      <c r="K2769" s="403">
        <v>1920</v>
      </c>
      <c r="L2769" s="403">
        <v>1080</v>
      </c>
      <c r="M2769" s="403" t="s">
        <v>109</v>
      </c>
      <c r="N2769" s="403">
        <v>1280</v>
      </c>
      <c r="O2769" s="403">
        <v>720</v>
      </c>
      <c r="P2769" t="str">
        <f t="shared" si="345"/>
        <v>30fps 1080p - 720p</v>
      </c>
      <c r="Q2769">
        <f t="shared" si="346"/>
        <v>16</v>
      </c>
      <c r="R2769" t="str">
        <f t="shared" si="347"/>
        <v/>
      </c>
      <c r="S2769" t="str">
        <f t="shared" si="348"/>
        <v/>
      </c>
      <c r="T2769" s="403" t="str">
        <f t="shared" si="349"/>
        <v>NDE-3502-AL</v>
      </c>
      <c r="U2769" s="403">
        <f t="shared" si="350"/>
        <v>1</v>
      </c>
      <c r="V2769" s="403" t="str">
        <f t="shared" si="351"/>
        <v>CPP_7_3</v>
      </c>
    </row>
    <row r="2770" spans="1:22">
      <c r="A2770" t="str">
        <f t="shared" si="344"/>
        <v>NDE-3502-AL</v>
      </c>
      <c r="B2770" s="403" t="s">
        <v>1405</v>
      </c>
      <c r="C2770" s="403" t="s">
        <v>582</v>
      </c>
      <c r="D2770" s="403" t="s">
        <v>1406</v>
      </c>
      <c r="E2770" s="403" t="s">
        <v>778</v>
      </c>
      <c r="F2770" s="403" t="s">
        <v>1292</v>
      </c>
      <c r="G2770" s="403" t="s">
        <v>1466</v>
      </c>
      <c r="H2770" s="403" t="s">
        <v>1276</v>
      </c>
      <c r="I2770" s="403">
        <v>1</v>
      </c>
      <c r="J2770" s="403" t="s">
        <v>110</v>
      </c>
      <c r="K2770" s="403">
        <v>1920</v>
      </c>
      <c r="L2770" s="403">
        <v>1080</v>
      </c>
      <c r="M2770" s="403" t="s">
        <v>1285</v>
      </c>
      <c r="N2770" s="403">
        <v>1280</v>
      </c>
      <c r="O2770" s="403">
        <v>1024</v>
      </c>
      <c r="P2770" t="str">
        <f t="shared" si="345"/>
        <v>30fps 1080p - 1280x1024 5:4 (cropped)</v>
      </c>
      <c r="Q2770">
        <f t="shared" si="346"/>
        <v>16</v>
      </c>
      <c r="R2770" t="str">
        <f t="shared" si="347"/>
        <v/>
      </c>
      <c r="S2770" t="str">
        <f t="shared" si="348"/>
        <v/>
      </c>
      <c r="T2770" s="403" t="str">
        <f t="shared" si="349"/>
        <v>NDE-3502-AL</v>
      </c>
      <c r="U2770" s="403">
        <f t="shared" si="350"/>
        <v>1</v>
      </c>
      <c r="V2770" s="403" t="str">
        <f t="shared" si="351"/>
        <v>CPP_7_3</v>
      </c>
    </row>
    <row r="2771" spans="1:22">
      <c r="A2771" t="str">
        <f t="shared" si="344"/>
        <v>NDE-3502-AL</v>
      </c>
      <c r="B2771" s="403" t="s">
        <v>1405</v>
      </c>
      <c r="C2771" s="403" t="s">
        <v>582</v>
      </c>
      <c r="D2771" s="403" t="s">
        <v>1406</v>
      </c>
      <c r="E2771" s="403" t="s">
        <v>778</v>
      </c>
      <c r="F2771" s="403" t="s">
        <v>1292</v>
      </c>
      <c r="G2771" s="403" t="s">
        <v>1466</v>
      </c>
      <c r="H2771" s="403" t="s">
        <v>1276</v>
      </c>
      <c r="I2771" s="403">
        <v>1</v>
      </c>
      <c r="J2771" s="403" t="s">
        <v>110</v>
      </c>
      <c r="K2771" s="403">
        <v>1920</v>
      </c>
      <c r="L2771" s="403">
        <v>1080</v>
      </c>
      <c r="M2771" s="403" t="s">
        <v>1279</v>
      </c>
      <c r="N2771" s="403">
        <v>768</v>
      </c>
      <c r="O2771" s="403">
        <v>432</v>
      </c>
      <c r="P2771" t="str">
        <f t="shared" si="345"/>
        <v>30fps 1080p - SD ROI PTZ</v>
      </c>
      <c r="Q2771">
        <f t="shared" si="346"/>
        <v>16</v>
      </c>
      <c r="R2771" t="str">
        <f t="shared" si="347"/>
        <v/>
      </c>
      <c r="S2771" t="str">
        <f t="shared" si="348"/>
        <v/>
      </c>
      <c r="T2771" s="403" t="str">
        <f t="shared" si="349"/>
        <v>NDE-3502-AL</v>
      </c>
      <c r="U2771" s="403">
        <f t="shared" si="350"/>
        <v>1</v>
      </c>
      <c r="V2771" s="403" t="str">
        <f t="shared" si="351"/>
        <v>CPP_7_3</v>
      </c>
    </row>
    <row r="2772" spans="1:22">
      <c r="A2772" t="str">
        <f t="shared" si="344"/>
        <v>NDE-3502-AL</v>
      </c>
      <c r="B2772" s="403" t="s">
        <v>1405</v>
      </c>
      <c r="C2772" s="403" t="s">
        <v>582</v>
      </c>
      <c r="D2772" s="403" t="s">
        <v>1406</v>
      </c>
      <c r="E2772" s="403" t="s">
        <v>778</v>
      </c>
      <c r="F2772" s="403" t="s">
        <v>1292</v>
      </c>
      <c r="G2772" s="403" t="s">
        <v>1466</v>
      </c>
      <c r="H2772" s="403" t="s">
        <v>1276</v>
      </c>
      <c r="I2772" s="403">
        <v>1</v>
      </c>
      <c r="J2772" s="403" t="s">
        <v>110</v>
      </c>
      <c r="K2772" s="403">
        <v>1920</v>
      </c>
      <c r="L2772" s="403">
        <v>1080</v>
      </c>
      <c r="M2772" s="403" t="s">
        <v>1283</v>
      </c>
      <c r="N2772" s="403">
        <v>720</v>
      </c>
      <c r="O2772" s="403">
        <v>480</v>
      </c>
      <c r="P2772" t="str">
        <f t="shared" si="345"/>
        <v>30fps 1080p - SD 4CIF resolution 4:3 format (cropped)</v>
      </c>
      <c r="Q2772">
        <f t="shared" si="346"/>
        <v>16</v>
      </c>
      <c r="R2772" t="str">
        <f t="shared" si="347"/>
        <v/>
      </c>
      <c r="S2772" t="str">
        <f t="shared" si="348"/>
        <v/>
      </c>
      <c r="T2772" s="403" t="str">
        <f t="shared" si="349"/>
        <v>NDE-3502-AL</v>
      </c>
      <c r="U2772" s="403">
        <f t="shared" si="350"/>
        <v>1</v>
      </c>
      <c r="V2772" s="403" t="str">
        <f t="shared" si="351"/>
        <v>CPP_7_3</v>
      </c>
    </row>
    <row r="2773" spans="1:22">
      <c r="A2773" t="str">
        <f t="shared" si="344"/>
        <v>NDE-3502-AL</v>
      </c>
      <c r="B2773" s="403" t="s">
        <v>1405</v>
      </c>
      <c r="C2773" s="403" t="s">
        <v>582</v>
      </c>
      <c r="D2773" s="403" t="s">
        <v>1406</v>
      </c>
      <c r="E2773" s="403" t="s">
        <v>778</v>
      </c>
      <c r="F2773" s="403" t="s">
        <v>1292</v>
      </c>
      <c r="G2773" s="403" t="s">
        <v>1466</v>
      </c>
      <c r="H2773" s="403" t="s">
        <v>1276</v>
      </c>
      <c r="I2773" s="403">
        <v>1</v>
      </c>
      <c r="J2773" s="403" t="s">
        <v>110</v>
      </c>
      <c r="K2773" s="403">
        <v>1920</v>
      </c>
      <c r="L2773" s="403">
        <v>1080</v>
      </c>
      <c r="M2773" s="403" t="s">
        <v>1284</v>
      </c>
      <c r="N2773" s="403">
        <v>640</v>
      </c>
      <c r="O2773" s="403">
        <v>480</v>
      </c>
      <c r="P2773" t="str">
        <f t="shared" si="345"/>
        <v>30fps 1080p - SD VGA (cropped)</v>
      </c>
      <c r="Q2773">
        <f t="shared" si="346"/>
        <v>16</v>
      </c>
      <c r="R2773" t="str">
        <f t="shared" si="347"/>
        <v/>
      </c>
      <c r="S2773" t="str">
        <f t="shared" si="348"/>
        <v/>
      </c>
      <c r="T2773" s="403" t="str">
        <f t="shared" si="349"/>
        <v>NDE-3502-AL</v>
      </c>
      <c r="U2773" s="403">
        <f t="shared" si="350"/>
        <v>1</v>
      </c>
      <c r="V2773" s="403" t="str">
        <f t="shared" si="351"/>
        <v>CPP_7_3</v>
      </c>
    </row>
    <row r="2774" spans="1:22">
      <c r="A2774" t="str">
        <f t="shared" si="344"/>
        <v>NDE-3502-AL</v>
      </c>
      <c r="B2774" s="403" t="s">
        <v>1405</v>
      </c>
      <c r="C2774" s="403" t="s">
        <v>582</v>
      </c>
      <c r="D2774" s="403" t="s">
        <v>1406</v>
      </c>
      <c r="E2774" s="403" t="s">
        <v>778</v>
      </c>
      <c r="F2774" s="403" t="s">
        <v>1292</v>
      </c>
      <c r="G2774" s="403" t="s">
        <v>1466</v>
      </c>
      <c r="H2774" s="403" t="s">
        <v>1276</v>
      </c>
      <c r="I2774" s="403">
        <v>1</v>
      </c>
      <c r="J2774" s="403" t="s">
        <v>109</v>
      </c>
      <c r="K2774" s="403">
        <v>1280</v>
      </c>
      <c r="L2774" s="403">
        <v>720</v>
      </c>
      <c r="M2774" s="403" t="s">
        <v>109</v>
      </c>
      <c r="N2774" s="403">
        <v>1280</v>
      </c>
      <c r="O2774" s="403">
        <v>720</v>
      </c>
      <c r="P2774" t="str">
        <f t="shared" si="345"/>
        <v>30fps 720p - 720p</v>
      </c>
      <c r="Q2774">
        <f t="shared" si="346"/>
        <v>16</v>
      </c>
      <c r="R2774" t="str">
        <f t="shared" si="347"/>
        <v/>
      </c>
      <c r="S2774" t="str">
        <f t="shared" si="348"/>
        <v/>
      </c>
      <c r="T2774" s="403" t="str">
        <f t="shared" si="349"/>
        <v>NDE-3502-AL</v>
      </c>
      <c r="U2774" s="403">
        <f t="shared" si="350"/>
        <v>1</v>
      </c>
      <c r="V2774" s="403" t="str">
        <f t="shared" si="351"/>
        <v>CPP_7_3</v>
      </c>
    </row>
    <row r="2775" spans="1:22">
      <c r="A2775" t="str">
        <f t="shared" si="344"/>
        <v>NDE-3502-AL</v>
      </c>
      <c r="B2775" s="403" t="s">
        <v>1405</v>
      </c>
      <c r="C2775" s="403" t="s">
        <v>582</v>
      </c>
      <c r="D2775" s="403" t="s">
        <v>1406</v>
      </c>
      <c r="E2775" s="403" t="s">
        <v>778</v>
      </c>
      <c r="F2775" s="403" t="s">
        <v>1292</v>
      </c>
      <c r="G2775" s="403" t="s">
        <v>1466</v>
      </c>
      <c r="H2775" s="403" t="s">
        <v>1276</v>
      </c>
      <c r="I2775" s="403">
        <v>1</v>
      </c>
      <c r="J2775" s="403" t="s">
        <v>109</v>
      </c>
      <c r="K2775" s="403">
        <v>1280</v>
      </c>
      <c r="L2775" s="403">
        <v>720</v>
      </c>
      <c r="M2775" s="403" t="s">
        <v>111</v>
      </c>
      <c r="N2775" s="403">
        <v>768</v>
      </c>
      <c r="O2775" s="403">
        <v>432</v>
      </c>
      <c r="P2775" t="str">
        <f t="shared" si="345"/>
        <v>30fps 720p - SD</v>
      </c>
      <c r="Q2775">
        <f t="shared" si="346"/>
        <v>16</v>
      </c>
      <c r="R2775" t="str">
        <f t="shared" si="347"/>
        <v/>
      </c>
      <c r="S2775" t="str">
        <f t="shared" si="348"/>
        <v/>
      </c>
      <c r="T2775" s="403" t="str">
        <f t="shared" si="349"/>
        <v>NDE-3502-AL</v>
      </c>
      <c r="U2775" s="403">
        <f t="shared" si="350"/>
        <v>1</v>
      </c>
      <c r="V2775" s="403" t="str">
        <f t="shared" si="351"/>
        <v>CPP_7_3</v>
      </c>
    </row>
    <row r="2776" spans="1:22">
      <c r="A2776" t="str">
        <f t="shared" si="344"/>
        <v>NDE-3502-AL</v>
      </c>
      <c r="B2776" s="403" t="s">
        <v>1405</v>
      </c>
      <c r="C2776" s="403" t="s">
        <v>582</v>
      </c>
      <c r="D2776" s="403" t="s">
        <v>1406</v>
      </c>
      <c r="E2776" s="403" t="s">
        <v>778</v>
      </c>
      <c r="F2776" s="403" t="s">
        <v>1292</v>
      </c>
      <c r="G2776" s="403" t="s">
        <v>1466</v>
      </c>
      <c r="H2776" s="403" t="s">
        <v>1276</v>
      </c>
      <c r="I2776" s="403">
        <v>1</v>
      </c>
      <c r="J2776" s="403" t="s">
        <v>109</v>
      </c>
      <c r="K2776" s="403">
        <v>1280</v>
      </c>
      <c r="L2776" s="403">
        <v>720</v>
      </c>
      <c r="M2776" s="403" t="s">
        <v>1279</v>
      </c>
      <c r="N2776" s="403">
        <v>768</v>
      </c>
      <c r="O2776" s="403">
        <v>432</v>
      </c>
      <c r="P2776" t="str">
        <f t="shared" si="345"/>
        <v>30fps 720p - SD ROI PTZ</v>
      </c>
      <c r="Q2776">
        <f t="shared" si="346"/>
        <v>16</v>
      </c>
      <c r="R2776" t="str">
        <f t="shared" si="347"/>
        <v/>
      </c>
      <c r="S2776" t="str">
        <f t="shared" si="348"/>
        <v/>
      </c>
      <c r="T2776" s="403" t="str">
        <f t="shared" si="349"/>
        <v>NDE-3502-AL</v>
      </c>
      <c r="U2776" s="403">
        <f t="shared" si="350"/>
        <v>1</v>
      </c>
      <c r="V2776" s="403" t="str">
        <f t="shared" si="351"/>
        <v>CPP_7_3</v>
      </c>
    </row>
    <row r="2777" spans="1:22">
      <c r="A2777" t="str">
        <f t="shared" si="344"/>
        <v>NDE-3502-AL</v>
      </c>
      <c r="B2777" s="403" t="s">
        <v>1405</v>
      </c>
      <c r="C2777" s="403" t="s">
        <v>582</v>
      </c>
      <c r="D2777" s="403" t="s">
        <v>1406</v>
      </c>
      <c r="E2777" s="403" t="s">
        <v>778</v>
      </c>
      <c r="F2777" s="403" t="s">
        <v>1292</v>
      </c>
      <c r="G2777" s="403" t="s">
        <v>1466</v>
      </c>
      <c r="H2777" s="403" t="s">
        <v>1276</v>
      </c>
      <c r="I2777" s="403">
        <v>1</v>
      </c>
      <c r="J2777" s="403" t="s">
        <v>109</v>
      </c>
      <c r="K2777" s="403">
        <v>1280</v>
      </c>
      <c r="L2777" s="403">
        <v>720</v>
      </c>
      <c r="M2777" s="403" t="s">
        <v>1283</v>
      </c>
      <c r="N2777" s="403">
        <v>720</v>
      </c>
      <c r="O2777" s="403">
        <v>480</v>
      </c>
      <c r="P2777" t="str">
        <f t="shared" si="345"/>
        <v>30fps 720p - SD 4CIF resolution 4:3 format (cropped)</v>
      </c>
      <c r="Q2777">
        <f t="shared" si="346"/>
        <v>16</v>
      </c>
      <c r="R2777" t="str">
        <f t="shared" si="347"/>
        <v/>
      </c>
      <c r="S2777" t="str">
        <f t="shared" si="348"/>
        <v/>
      </c>
      <c r="T2777" s="403" t="str">
        <f t="shared" si="349"/>
        <v>NDE-3502-AL</v>
      </c>
      <c r="U2777" s="403">
        <f t="shared" si="350"/>
        <v>1</v>
      </c>
      <c r="V2777" s="403" t="str">
        <f t="shared" si="351"/>
        <v>CPP_7_3</v>
      </c>
    </row>
    <row r="2778" spans="1:22">
      <c r="A2778" t="str">
        <f t="shared" si="344"/>
        <v>NDE-3502-AL</v>
      </c>
      <c r="B2778" s="403" t="s">
        <v>1405</v>
      </c>
      <c r="C2778" s="403" t="s">
        <v>582</v>
      </c>
      <c r="D2778" s="403" t="s">
        <v>1406</v>
      </c>
      <c r="E2778" s="403" t="s">
        <v>778</v>
      </c>
      <c r="F2778" s="403" t="s">
        <v>1292</v>
      </c>
      <c r="G2778" s="403" t="s">
        <v>1466</v>
      </c>
      <c r="H2778" s="403" t="s">
        <v>1276</v>
      </c>
      <c r="I2778" s="403">
        <v>1</v>
      </c>
      <c r="J2778" s="403" t="s">
        <v>109</v>
      </c>
      <c r="K2778" s="403">
        <v>1280</v>
      </c>
      <c r="L2778" s="403">
        <v>720</v>
      </c>
      <c r="M2778" s="403" t="s">
        <v>1284</v>
      </c>
      <c r="N2778" s="403">
        <v>640</v>
      </c>
      <c r="O2778" s="403">
        <v>480</v>
      </c>
      <c r="P2778" t="str">
        <f t="shared" si="345"/>
        <v>30fps 720p - SD VGA (cropped)</v>
      </c>
      <c r="Q2778">
        <f t="shared" si="346"/>
        <v>16</v>
      </c>
      <c r="R2778" t="str">
        <f t="shared" si="347"/>
        <v/>
      </c>
      <c r="S2778" t="str">
        <f t="shared" si="348"/>
        <v/>
      </c>
      <c r="T2778" s="403" t="str">
        <f t="shared" si="349"/>
        <v>NDE-3502-AL</v>
      </c>
      <c r="U2778" s="403">
        <f t="shared" si="350"/>
        <v>1</v>
      </c>
      <c r="V2778" s="403" t="str">
        <f t="shared" si="351"/>
        <v>CPP_7_3</v>
      </c>
    </row>
    <row r="2779" spans="1:22">
      <c r="A2779" t="str">
        <f t="shared" si="344"/>
        <v>NDE-3502-AL</v>
      </c>
      <c r="B2779" s="403" t="s">
        <v>1405</v>
      </c>
      <c r="C2779" s="403" t="s">
        <v>582</v>
      </c>
      <c r="D2779" s="403" t="s">
        <v>1406</v>
      </c>
      <c r="E2779" s="403" t="s">
        <v>778</v>
      </c>
      <c r="F2779" s="403" t="s">
        <v>1292</v>
      </c>
      <c r="G2779" s="403" t="s">
        <v>1466</v>
      </c>
      <c r="H2779" s="403" t="s">
        <v>1281</v>
      </c>
      <c r="I2779" s="403">
        <v>1</v>
      </c>
      <c r="J2779" s="403" t="s">
        <v>110</v>
      </c>
      <c r="K2779" s="403">
        <v>1920</v>
      </c>
      <c r="L2779" s="403">
        <v>1080</v>
      </c>
      <c r="M2779" s="403" t="s">
        <v>111</v>
      </c>
      <c r="N2779" s="403">
        <v>768</v>
      </c>
      <c r="O2779" s="403">
        <v>432</v>
      </c>
      <c r="P2779" t="str">
        <f t="shared" si="345"/>
        <v>30fps 1080p - SD</v>
      </c>
      <c r="Q2779">
        <f t="shared" si="346"/>
        <v>16</v>
      </c>
      <c r="R2779" t="str">
        <f t="shared" si="347"/>
        <v/>
      </c>
      <c r="S2779" t="str">
        <f t="shared" si="348"/>
        <v/>
      </c>
      <c r="T2779" s="403" t="str">
        <f t="shared" si="349"/>
        <v>NDE-3502-AL</v>
      </c>
      <c r="U2779" s="403">
        <f t="shared" si="350"/>
        <v>1</v>
      </c>
      <c r="V2779" s="403" t="str">
        <f t="shared" si="351"/>
        <v>CPP_7_3</v>
      </c>
    </row>
    <row r="2780" spans="1:22">
      <c r="A2780" t="str">
        <f t="shared" si="344"/>
        <v>NDE-3502-AL</v>
      </c>
      <c r="B2780" s="403" t="s">
        <v>1405</v>
      </c>
      <c r="C2780" s="403" t="s">
        <v>582</v>
      </c>
      <c r="D2780" s="403" t="s">
        <v>1406</v>
      </c>
      <c r="E2780" s="403" t="s">
        <v>778</v>
      </c>
      <c r="F2780" s="403" t="s">
        <v>1292</v>
      </c>
      <c r="G2780" s="403" t="s">
        <v>1466</v>
      </c>
      <c r="H2780" s="403" t="s">
        <v>1281</v>
      </c>
      <c r="I2780" s="403">
        <v>1</v>
      </c>
      <c r="J2780" s="403" t="s">
        <v>110</v>
      </c>
      <c r="K2780" s="403">
        <v>1920</v>
      </c>
      <c r="L2780" s="403">
        <v>1080</v>
      </c>
      <c r="M2780" s="403" t="s">
        <v>1279</v>
      </c>
      <c r="N2780" s="403">
        <v>768</v>
      </c>
      <c r="O2780" s="403">
        <v>432</v>
      </c>
      <c r="P2780" t="str">
        <f t="shared" si="345"/>
        <v>30fps 1080p - SD ROI PTZ</v>
      </c>
      <c r="Q2780">
        <f t="shared" si="346"/>
        <v>16</v>
      </c>
      <c r="R2780" t="str">
        <f t="shared" si="347"/>
        <v/>
      </c>
      <c r="S2780" t="str">
        <f t="shared" si="348"/>
        <v/>
      </c>
      <c r="T2780" s="403" t="str">
        <f t="shared" si="349"/>
        <v>NDE-3502-AL</v>
      </c>
      <c r="U2780" s="403">
        <f t="shared" si="350"/>
        <v>1</v>
      </c>
      <c r="V2780" s="403" t="str">
        <f t="shared" si="351"/>
        <v>CPP_7_3</v>
      </c>
    </row>
    <row r="2781" spans="1:22">
      <c r="A2781" t="str">
        <f t="shared" si="344"/>
        <v>NDE-3502-AL</v>
      </c>
      <c r="B2781" s="403" t="s">
        <v>1405</v>
      </c>
      <c r="C2781" s="403" t="s">
        <v>582</v>
      </c>
      <c r="D2781" s="403" t="s">
        <v>1406</v>
      </c>
      <c r="E2781" s="403" t="s">
        <v>778</v>
      </c>
      <c r="F2781" s="403" t="s">
        <v>1292</v>
      </c>
      <c r="G2781" s="403" t="s">
        <v>1466</v>
      </c>
      <c r="H2781" s="403" t="s">
        <v>1281</v>
      </c>
      <c r="I2781" s="403">
        <v>1</v>
      </c>
      <c r="J2781" s="403" t="s">
        <v>110</v>
      </c>
      <c r="K2781" s="403">
        <v>1920</v>
      </c>
      <c r="L2781" s="403">
        <v>1080</v>
      </c>
      <c r="M2781" s="403" t="s">
        <v>1283</v>
      </c>
      <c r="N2781" s="403">
        <v>720</v>
      </c>
      <c r="O2781" s="403">
        <v>480</v>
      </c>
      <c r="P2781" t="str">
        <f t="shared" si="345"/>
        <v>30fps 1080p - SD 4CIF resolution 4:3 format (cropped)</v>
      </c>
      <c r="Q2781">
        <f t="shared" si="346"/>
        <v>16</v>
      </c>
      <c r="R2781" t="str">
        <f t="shared" si="347"/>
        <v/>
      </c>
      <c r="S2781" t="str">
        <f t="shared" si="348"/>
        <v/>
      </c>
      <c r="T2781" s="403" t="str">
        <f t="shared" si="349"/>
        <v>NDE-3502-AL</v>
      </c>
      <c r="U2781" s="403">
        <f t="shared" si="350"/>
        <v>1</v>
      </c>
      <c r="V2781" s="403" t="str">
        <f t="shared" si="351"/>
        <v>CPP_7_3</v>
      </c>
    </row>
    <row r="2782" spans="1:22">
      <c r="A2782" t="str">
        <f t="shared" si="344"/>
        <v>NDE-3502-AL</v>
      </c>
      <c r="B2782" s="403" t="s">
        <v>1405</v>
      </c>
      <c r="C2782" s="403" t="s">
        <v>582</v>
      </c>
      <c r="D2782" s="403" t="s">
        <v>1406</v>
      </c>
      <c r="E2782" s="403" t="s">
        <v>778</v>
      </c>
      <c r="F2782" s="403" t="s">
        <v>1292</v>
      </c>
      <c r="G2782" s="403" t="s">
        <v>1466</v>
      </c>
      <c r="H2782" s="403" t="s">
        <v>1281</v>
      </c>
      <c r="I2782" s="403">
        <v>1</v>
      </c>
      <c r="J2782" s="403" t="s">
        <v>110</v>
      </c>
      <c r="K2782" s="403">
        <v>1920</v>
      </c>
      <c r="L2782" s="403">
        <v>1080</v>
      </c>
      <c r="M2782" s="403" t="s">
        <v>1284</v>
      </c>
      <c r="N2782" s="403">
        <v>640</v>
      </c>
      <c r="O2782" s="403">
        <v>480</v>
      </c>
      <c r="P2782" t="str">
        <f t="shared" si="345"/>
        <v>30fps 1080p - SD VGA (cropped)</v>
      </c>
      <c r="Q2782">
        <f t="shared" si="346"/>
        <v>16</v>
      </c>
      <c r="R2782" t="str">
        <f t="shared" si="347"/>
        <v/>
      </c>
      <c r="S2782" t="str">
        <f t="shared" si="348"/>
        <v/>
      </c>
      <c r="T2782" s="403" t="str">
        <f t="shared" si="349"/>
        <v>NDE-3502-AL</v>
      </c>
      <c r="U2782" s="403">
        <f t="shared" si="350"/>
        <v>1</v>
      </c>
      <c r="V2782" s="403" t="str">
        <f t="shared" si="351"/>
        <v>CPP_7_3</v>
      </c>
    </row>
    <row r="2783" spans="1:22">
      <c r="A2783" t="str">
        <f t="shared" si="344"/>
        <v>NDE-3502-AL</v>
      </c>
      <c r="B2783" s="403" t="s">
        <v>1405</v>
      </c>
      <c r="C2783" s="403" t="s">
        <v>582</v>
      </c>
      <c r="D2783" s="403" t="s">
        <v>1406</v>
      </c>
      <c r="E2783" s="403" t="s">
        <v>778</v>
      </c>
      <c r="F2783" s="403" t="s">
        <v>1292</v>
      </c>
      <c r="G2783" s="403" t="s">
        <v>1466</v>
      </c>
      <c r="H2783" s="403" t="s">
        <v>1281</v>
      </c>
      <c r="I2783" s="403">
        <v>1</v>
      </c>
      <c r="J2783" s="403" t="s">
        <v>109</v>
      </c>
      <c r="K2783" s="403">
        <v>1280</v>
      </c>
      <c r="L2783" s="403">
        <v>720</v>
      </c>
      <c r="M2783" s="403" t="s">
        <v>109</v>
      </c>
      <c r="N2783" s="403">
        <v>1280</v>
      </c>
      <c r="O2783" s="403">
        <v>720</v>
      </c>
      <c r="P2783" t="str">
        <f t="shared" si="345"/>
        <v>30fps 720p - 720p</v>
      </c>
      <c r="Q2783">
        <f t="shared" si="346"/>
        <v>16</v>
      </c>
      <c r="R2783" t="str">
        <f t="shared" si="347"/>
        <v/>
      </c>
      <c r="S2783" t="str">
        <f t="shared" si="348"/>
        <v/>
      </c>
      <c r="T2783" s="403" t="str">
        <f t="shared" si="349"/>
        <v>NDE-3502-AL</v>
      </c>
      <c r="U2783" s="403">
        <f t="shared" si="350"/>
        <v>1</v>
      </c>
      <c r="V2783" s="403" t="str">
        <f t="shared" si="351"/>
        <v>CPP_7_3</v>
      </c>
    </row>
    <row r="2784" spans="1:22">
      <c r="A2784" t="str">
        <f t="shared" si="344"/>
        <v>NDE-3502-AL</v>
      </c>
      <c r="B2784" s="403" t="s">
        <v>1405</v>
      </c>
      <c r="C2784" s="403" t="s">
        <v>582</v>
      </c>
      <c r="D2784" s="403" t="s">
        <v>1406</v>
      </c>
      <c r="E2784" s="403" t="s">
        <v>778</v>
      </c>
      <c r="F2784" s="403" t="s">
        <v>1292</v>
      </c>
      <c r="G2784" s="403" t="s">
        <v>1466</v>
      </c>
      <c r="H2784" s="403" t="s">
        <v>1281</v>
      </c>
      <c r="I2784" s="403">
        <v>1</v>
      </c>
      <c r="J2784" s="403" t="s">
        <v>109</v>
      </c>
      <c r="K2784" s="403">
        <v>1280</v>
      </c>
      <c r="L2784" s="403">
        <v>720</v>
      </c>
      <c r="M2784" s="403" t="s">
        <v>111</v>
      </c>
      <c r="N2784" s="403">
        <v>768</v>
      </c>
      <c r="O2784" s="403">
        <v>432</v>
      </c>
      <c r="P2784" t="str">
        <f t="shared" si="345"/>
        <v>30fps 720p - SD</v>
      </c>
      <c r="Q2784">
        <f t="shared" si="346"/>
        <v>16</v>
      </c>
      <c r="R2784" t="str">
        <f t="shared" si="347"/>
        <v/>
      </c>
      <c r="S2784" t="str">
        <f t="shared" si="348"/>
        <v/>
      </c>
      <c r="T2784" s="403" t="str">
        <f t="shared" si="349"/>
        <v>NDE-3502-AL</v>
      </c>
      <c r="U2784" s="403">
        <f t="shared" si="350"/>
        <v>1</v>
      </c>
      <c r="V2784" s="403" t="str">
        <f t="shared" si="351"/>
        <v>CPP_7_3</v>
      </c>
    </row>
    <row r="2785" spans="1:22">
      <c r="A2785" t="str">
        <f t="shared" si="344"/>
        <v>NDE-3502-AL</v>
      </c>
      <c r="B2785" s="403" t="s">
        <v>1405</v>
      </c>
      <c r="C2785" s="403" t="s">
        <v>582</v>
      </c>
      <c r="D2785" s="403" t="s">
        <v>1406</v>
      </c>
      <c r="E2785" s="403" t="s">
        <v>778</v>
      </c>
      <c r="F2785" s="403" t="s">
        <v>1292</v>
      </c>
      <c r="G2785" s="403" t="s">
        <v>1466</v>
      </c>
      <c r="H2785" s="403" t="s">
        <v>1281</v>
      </c>
      <c r="I2785" s="403">
        <v>1</v>
      </c>
      <c r="J2785" s="403" t="s">
        <v>109</v>
      </c>
      <c r="K2785" s="403">
        <v>1280</v>
      </c>
      <c r="L2785" s="403">
        <v>720</v>
      </c>
      <c r="M2785" s="403" t="s">
        <v>1279</v>
      </c>
      <c r="N2785" s="403">
        <v>768</v>
      </c>
      <c r="O2785" s="403">
        <v>432</v>
      </c>
      <c r="P2785" t="str">
        <f t="shared" si="345"/>
        <v>30fps 720p - SD ROI PTZ</v>
      </c>
      <c r="Q2785">
        <f t="shared" si="346"/>
        <v>16</v>
      </c>
      <c r="R2785" t="str">
        <f t="shared" si="347"/>
        <v/>
      </c>
      <c r="S2785" t="str">
        <f t="shared" si="348"/>
        <v/>
      </c>
      <c r="T2785" s="403" t="str">
        <f t="shared" si="349"/>
        <v>NDE-3502-AL</v>
      </c>
      <c r="U2785" s="403">
        <f t="shared" si="350"/>
        <v>1</v>
      </c>
      <c r="V2785" s="403" t="str">
        <f t="shared" si="351"/>
        <v>CPP_7_3</v>
      </c>
    </row>
    <row r="2786" spans="1:22">
      <c r="A2786" t="str">
        <f t="shared" si="344"/>
        <v>NDE-3502-AL</v>
      </c>
      <c r="B2786" s="403" t="s">
        <v>1405</v>
      </c>
      <c r="C2786" s="403" t="s">
        <v>582</v>
      </c>
      <c r="D2786" s="403" t="s">
        <v>1406</v>
      </c>
      <c r="E2786" s="403" t="s">
        <v>778</v>
      </c>
      <c r="F2786" s="403" t="s">
        <v>1292</v>
      </c>
      <c r="G2786" s="403" t="s">
        <v>1466</v>
      </c>
      <c r="H2786" s="403" t="s">
        <v>1281</v>
      </c>
      <c r="I2786" s="403">
        <v>1</v>
      </c>
      <c r="J2786" s="403" t="s">
        <v>109</v>
      </c>
      <c r="K2786" s="403">
        <v>1280</v>
      </c>
      <c r="L2786" s="403">
        <v>720</v>
      </c>
      <c r="M2786" s="403" t="s">
        <v>1283</v>
      </c>
      <c r="N2786" s="403">
        <v>720</v>
      </c>
      <c r="O2786" s="403">
        <v>480</v>
      </c>
      <c r="P2786" t="str">
        <f t="shared" si="345"/>
        <v>30fps 720p - SD 4CIF resolution 4:3 format (cropped)</v>
      </c>
      <c r="Q2786">
        <f t="shared" si="346"/>
        <v>16</v>
      </c>
      <c r="R2786" t="str">
        <f t="shared" si="347"/>
        <v/>
      </c>
      <c r="S2786" t="str">
        <f t="shared" si="348"/>
        <v/>
      </c>
      <c r="T2786" s="403" t="str">
        <f t="shared" si="349"/>
        <v>NDE-3502-AL</v>
      </c>
      <c r="U2786" s="403">
        <f t="shared" si="350"/>
        <v>1</v>
      </c>
      <c r="V2786" s="403" t="str">
        <f t="shared" si="351"/>
        <v>CPP_7_3</v>
      </c>
    </row>
    <row r="2787" spans="1:22">
      <c r="A2787" t="str">
        <f t="shared" si="344"/>
        <v>NDE-3502-AL</v>
      </c>
      <c r="B2787" s="403" t="s">
        <v>1405</v>
      </c>
      <c r="C2787" s="403" t="s">
        <v>582</v>
      </c>
      <c r="D2787" s="403" t="s">
        <v>1406</v>
      </c>
      <c r="E2787" s="403" t="s">
        <v>778</v>
      </c>
      <c r="F2787" s="403" t="s">
        <v>1292</v>
      </c>
      <c r="G2787" s="403" t="s">
        <v>1466</v>
      </c>
      <c r="H2787" s="403" t="s">
        <v>1281</v>
      </c>
      <c r="I2787" s="403">
        <v>1</v>
      </c>
      <c r="J2787" s="403" t="s">
        <v>109</v>
      </c>
      <c r="K2787" s="403">
        <v>1280</v>
      </c>
      <c r="L2787" s="403">
        <v>720</v>
      </c>
      <c r="M2787" s="403" t="s">
        <v>1284</v>
      </c>
      <c r="N2787" s="403">
        <v>640</v>
      </c>
      <c r="O2787" s="403">
        <v>480</v>
      </c>
      <c r="P2787" t="str">
        <f t="shared" si="345"/>
        <v>30fps 720p - SD VGA (cropped)</v>
      </c>
      <c r="Q2787">
        <f t="shared" si="346"/>
        <v>16</v>
      </c>
      <c r="R2787" t="str">
        <f t="shared" si="347"/>
        <v/>
      </c>
      <c r="S2787" t="str">
        <f t="shared" si="348"/>
        <v/>
      </c>
      <c r="T2787" s="403" t="str">
        <f t="shared" si="349"/>
        <v>NDE-3502-AL</v>
      </c>
      <c r="U2787" s="403">
        <f t="shared" si="350"/>
        <v>1</v>
      </c>
      <c r="V2787" s="403" t="str">
        <f t="shared" si="351"/>
        <v>CPP_7_3</v>
      </c>
    </row>
    <row r="2788" spans="1:22">
      <c r="A2788" t="str">
        <f t="shared" si="344"/>
        <v>NDE-3502-AL</v>
      </c>
      <c r="B2788" s="403" t="s">
        <v>1405</v>
      </c>
      <c r="C2788" s="403" t="s">
        <v>582</v>
      </c>
      <c r="D2788" s="403" t="s">
        <v>1406</v>
      </c>
      <c r="E2788" s="403" t="s">
        <v>778</v>
      </c>
      <c r="F2788" s="403" t="s">
        <v>1292</v>
      </c>
      <c r="G2788" s="403" t="s">
        <v>1467</v>
      </c>
      <c r="H2788" s="403" t="s">
        <v>1276</v>
      </c>
      <c r="I2788" s="403">
        <v>1</v>
      </c>
      <c r="J2788" s="403" t="s">
        <v>110</v>
      </c>
      <c r="K2788" s="403">
        <v>1080</v>
      </c>
      <c r="L2788" s="403">
        <v>1920</v>
      </c>
      <c r="M2788" s="403" t="s">
        <v>111</v>
      </c>
      <c r="N2788" s="403">
        <v>432</v>
      </c>
      <c r="O2788" s="403">
        <v>768</v>
      </c>
      <c r="P2788" t="str">
        <f t="shared" si="345"/>
        <v>30fps 1080p - SD</v>
      </c>
      <c r="Q2788">
        <f t="shared" si="346"/>
        <v>16</v>
      </c>
      <c r="R2788" t="str">
        <f t="shared" si="347"/>
        <v/>
      </c>
      <c r="S2788" t="str">
        <f t="shared" si="348"/>
        <v/>
      </c>
      <c r="T2788" s="403" t="str">
        <f t="shared" si="349"/>
        <v>NDE-3502-AL</v>
      </c>
      <c r="U2788" s="403">
        <f t="shared" si="350"/>
        <v>1</v>
      </c>
      <c r="V2788" s="403" t="str">
        <f t="shared" si="351"/>
        <v>CPP_7_3</v>
      </c>
    </row>
    <row r="2789" spans="1:22">
      <c r="A2789" t="str">
        <f t="shared" si="344"/>
        <v>NDE-3502-AL</v>
      </c>
      <c r="B2789" s="403" t="s">
        <v>1405</v>
      </c>
      <c r="C2789" s="403" t="s">
        <v>582</v>
      </c>
      <c r="D2789" s="403" t="s">
        <v>1406</v>
      </c>
      <c r="E2789" s="403" t="s">
        <v>778</v>
      </c>
      <c r="F2789" s="403" t="s">
        <v>1292</v>
      </c>
      <c r="G2789" s="403" t="s">
        <v>1467</v>
      </c>
      <c r="H2789" s="403" t="s">
        <v>1276</v>
      </c>
      <c r="I2789" s="403">
        <v>1</v>
      </c>
      <c r="J2789" s="403" t="s">
        <v>110</v>
      </c>
      <c r="K2789" s="403">
        <v>1080</v>
      </c>
      <c r="L2789" s="403">
        <v>1920</v>
      </c>
      <c r="M2789" s="403" t="s">
        <v>1279</v>
      </c>
      <c r="N2789" s="403">
        <v>432</v>
      </c>
      <c r="O2789" s="403">
        <v>768</v>
      </c>
      <c r="P2789" t="str">
        <f t="shared" si="345"/>
        <v>30fps 1080p - SD ROI PTZ</v>
      </c>
      <c r="Q2789">
        <f t="shared" si="346"/>
        <v>16</v>
      </c>
      <c r="R2789" t="str">
        <f t="shared" si="347"/>
        <v/>
      </c>
      <c r="S2789" t="str">
        <f t="shared" si="348"/>
        <v/>
      </c>
      <c r="T2789" s="403" t="str">
        <f t="shared" si="349"/>
        <v>NDE-3502-AL</v>
      </c>
      <c r="U2789" s="403">
        <f t="shared" si="350"/>
        <v>1</v>
      </c>
      <c r="V2789" s="403" t="str">
        <f t="shared" si="351"/>
        <v>CPP_7_3</v>
      </c>
    </row>
    <row r="2790" spans="1:22">
      <c r="A2790" t="str">
        <f t="shared" si="344"/>
        <v>NDE-3502-AL</v>
      </c>
      <c r="B2790" s="403" t="s">
        <v>1405</v>
      </c>
      <c r="C2790" s="403" t="s">
        <v>582</v>
      </c>
      <c r="D2790" s="403" t="s">
        <v>1406</v>
      </c>
      <c r="E2790" s="403" t="s">
        <v>778</v>
      </c>
      <c r="F2790" s="403" t="s">
        <v>1292</v>
      </c>
      <c r="G2790" s="403" t="s">
        <v>1467</v>
      </c>
      <c r="H2790" s="403" t="s">
        <v>1276</v>
      </c>
      <c r="I2790" s="403">
        <v>1</v>
      </c>
      <c r="J2790" s="403" t="s">
        <v>110</v>
      </c>
      <c r="K2790" s="403">
        <v>1080</v>
      </c>
      <c r="L2790" s="403">
        <v>1920</v>
      </c>
      <c r="M2790" s="403" t="s">
        <v>1283</v>
      </c>
      <c r="N2790" s="403">
        <v>480</v>
      </c>
      <c r="O2790" s="403">
        <v>720</v>
      </c>
      <c r="P2790" t="str">
        <f t="shared" si="345"/>
        <v>30fps 1080p - SD 4CIF resolution 4:3 format (cropped)</v>
      </c>
      <c r="Q2790">
        <f t="shared" si="346"/>
        <v>16</v>
      </c>
      <c r="R2790" t="str">
        <f t="shared" si="347"/>
        <v/>
      </c>
      <c r="S2790" t="str">
        <f t="shared" si="348"/>
        <v/>
      </c>
      <c r="T2790" s="403" t="str">
        <f t="shared" si="349"/>
        <v>NDE-3502-AL</v>
      </c>
      <c r="U2790" s="403">
        <f t="shared" si="350"/>
        <v>1</v>
      </c>
      <c r="V2790" s="403" t="str">
        <f t="shared" si="351"/>
        <v>CPP_7_3</v>
      </c>
    </row>
    <row r="2791" spans="1:22">
      <c r="A2791" t="str">
        <f t="shared" si="344"/>
        <v>NDE-3502-AL</v>
      </c>
      <c r="B2791" s="403" t="s">
        <v>1405</v>
      </c>
      <c r="C2791" s="403" t="s">
        <v>582</v>
      </c>
      <c r="D2791" s="403" t="s">
        <v>1406</v>
      </c>
      <c r="E2791" s="403" t="s">
        <v>778</v>
      </c>
      <c r="F2791" s="403" t="s">
        <v>1292</v>
      </c>
      <c r="G2791" s="403" t="s">
        <v>1467</v>
      </c>
      <c r="H2791" s="403" t="s">
        <v>1276</v>
      </c>
      <c r="I2791" s="403">
        <v>1</v>
      </c>
      <c r="J2791" s="403" t="s">
        <v>110</v>
      </c>
      <c r="K2791" s="403">
        <v>1080</v>
      </c>
      <c r="L2791" s="403">
        <v>1920</v>
      </c>
      <c r="M2791" s="403" t="s">
        <v>1284</v>
      </c>
      <c r="N2791" s="403">
        <v>480</v>
      </c>
      <c r="O2791" s="403">
        <v>640</v>
      </c>
      <c r="P2791" t="str">
        <f t="shared" si="345"/>
        <v>30fps 1080p - SD VGA (cropped)</v>
      </c>
      <c r="Q2791">
        <f t="shared" si="346"/>
        <v>16</v>
      </c>
      <c r="R2791" t="str">
        <f t="shared" si="347"/>
        <v/>
      </c>
      <c r="S2791" t="str">
        <f t="shared" si="348"/>
        <v/>
      </c>
      <c r="T2791" s="403" t="str">
        <f t="shared" si="349"/>
        <v>NDE-3502-AL</v>
      </c>
      <c r="U2791" s="403">
        <f t="shared" si="350"/>
        <v>1</v>
      </c>
      <c r="V2791" s="403" t="str">
        <f t="shared" si="351"/>
        <v>CPP_7_3</v>
      </c>
    </row>
    <row r="2792" spans="1:22">
      <c r="A2792" t="str">
        <f t="shared" si="344"/>
        <v>NDE-3502-AL</v>
      </c>
      <c r="B2792" s="403" t="s">
        <v>1405</v>
      </c>
      <c r="C2792" s="403" t="s">
        <v>582</v>
      </c>
      <c r="D2792" s="403" t="s">
        <v>1406</v>
      </c>
      <c r="E2792" s="403" t="s">
        <v>778</v>
      </c>
      <c r="F2792" s="403" t="s">
        <v>1292</v>
      </c>
      <c r="G2792" s="403" t="s">
        <v>1467</v>
      </c>
      <c r="H2792" s="403" t="s">
        <v>1276</v>
      </c>
      <c r="I2792" s="403">
        <v>1</v>
      </c>
      <c r="J2792" s="403" t="s">
        <v>109</v>
      </c>
      <c r="K2792" s="403">
        <v>720</v>
      </c>
      <c r="L2792" s="403">
        <v>1280</v>
      </c>
      <c r="M2792" s="403" t="s">
        <v>109</v>
      </c>
      <c r="N2792" s="403">
        <v>720</v>
      </c>
      <c r="O2792" s="403">
        <v>1280</v>
      </c>
      <c r="P2792" t="str">
        <f t="shared" si="345"/>
        <v>30fps 720p - 720p</v>
      </c>
      <c r="Q2792">
        <f t="shared" si="346"/>
        <v>16</v>
      </c>
      <c r="R2792" t="str">
        <f t="shared" si="347"/>
        <v/>
      </c>
      <c r="S2792" t="str">
        <f t="shared" si="348"/>
        <v/>
      </c>
      <c r="T2792" s="403" t="str">
        <f t="shared" si="349"/>
        <v>NDE-3502-AL</v>
      </c>
      <c r="U2792" s="403">
        <f t="shared" si="350"/>
        <v>1</v>
      </c>
      <c r="V2792" s="403" t="str">
        <f t="shared" si="351"/>
        <v>CPP_7_3</v>
      </c>
    </row>
    <row r="2793" spans="1:22">
      <c r="A2793" t="str">
        <f t="shared" si="344"/>
        <v>NDE-3502-AL</v>
      </c>
      <c r="B2793" s="403" t="s">
        <v>1405</v>
      </c>
      <c r="C2793" s="403" t="s">
        <v>582</v>
      </c>
      <c r="D2793" s="403" t="s">
        <v>1406</v>
      </c>
      <c r="E2793" s="403" t="s">
        <v>778</v>
      </c>
      <c r="F2793" s="403" t="s">
        <v>1292</v>
      </c>
      <c r="G2793" s="403" t="s">
        <v>1467</v>
      </c>
      <c r="H2793" s="403" t="s">
        <v>1276</v>
      </c>
      <c r="I2793" s="403">
        <v>1</v>
      </c>
      <c r="J2793" s="403" t="s">
        <v>109</v>
      </c>
      <c r="K2793" s="403">
        <v>720</v>
      </c>
      <c r="L2793" s="403">
        <v>1280</v>
      </c>
      <c r="M2793" s="403" t="s">
        <v>111</v>
      </c>
      <c r="N2793" s="403">
        <v>432</v>
      </c>
      <c r="O2793" s="403">
        <v>768</v>
      </c>
      <c r="P2793" t="str">
        <f t="shared" si="345"/>
        <v>30fps 720p - SD</v>
      </c>
      <c r="Q2793">
        <f t="shared" si="346"/>
        <v>16</v>
      </c>
      <c r="R2793" t="str">
        <f t="shared" si="347"/>
        <v/>
      </c>
      <c r="S2793" t="str">
        <f t="shared" si="348"/>
        <v/>
      </c>
      <c r="T2793" s="403" t="str">
        <f t="shared" si="349"/>
        <v>NDE-3502-AL</v>
      </c>
      <c r="U2793" s="403">
        <f t="shared" si="350"/>
        <v>1</v>
      </c>
      <c r="V2793" s="403" t="str">
        <f t="shared" si="351"/>
        <v>CPP_7_3</v>
      </c>
    </row>
    <row r="2794" spans="1:22">
      <c r="A2794" t="str">
        <f t="shared" si="344"/>
        <v>NDE-3502-AL</v>
      </c>
      <c r="B2794" s="403" t="s">
        <v>1405</v>
      </c>
      <c r="C2794" s="403" t="s">
        <v>582</v>
      </c>
      <c r="D2794" s="403" t="s">
        <v>1406</v>
      </c>
      <c r="E2794" s="403" t="s">
        <v>778</v>
      </c>
      <c r="F2794" s="403" t="s">
        <v>1292</v>
      </c>
      <c r="G2794" s="403" t="s">
        <v>1467</v>
      </c>
      <c r="H2794" s="403" t="s">
        <v>1276</v>
      </c>
      <c r="I2794" s="403">
        <v>1</v>
      </c>
      <c r="J2794" s="403" t="s">
        <v>109</v>
      </c>
      <c r="K2794" s="403">
        <v>720</v>
      </c>
      <c r="L2794" s="403">
        <v>1280</v>
      </c>
      <c r="M2794" s="403" t="s">
        <v>1279</v>
      </c>
      <c r="N2794" s="403">
        <v>432</v>
      </c>
      <c r="O2794" s="403">
        <v>768</v>
      </c>
      <c r="P2794" t="str">
        <f t="shared" si="345"/>
        <v>30fps 720p - SD ROI PTZ</v>
      </c>
      <c r="Q2794">
        <f t="shared" si="346"/>
        <v>16</v>
      </c>
      <c r="R2794" t="str">
        <f t="shared" si="347"/>
        <v/>
      </c>
      <c r="S2794" t="str">
        <f t="shared" si="348"/>
        <v/>
      </c>
      <c r="T2794" s="403" t="str">
        <f t="shared" si="349"/>
        <v>NDE-3502-AL</v>
      </c>
      <c r="U2794" s="403">
        <f t="shared" si="350"/>
        <v>1</v>
      </c>
      <c r="V2794" s="403" t="str">
        <f t="shared" si="351"/>
        <v>CPP_7_3</v>
      </c>
    </row>
    <row r="2795" spans="1:22">
      <c r="A2795" t="str">
        <f t="shared" si="344"/>
        <v>NDE-3502-AL</v>
      </c>
      <c r="B2795" s="403" t="s">
        <v>1405</v>
      </c>
      <c r="C2795" s="403" t="s">
        <v>582</v>
      </c>
      <c r="D2795" s="403" t="s">
        <v>1406</v>
      </c>
      <c r="E2795" s="403" t="s">
        <v>778</v>
      </c>
      <c r="F2795" s="403" t="s">
        <v>1292</v>
      </c>
      <c r="G2795" s="403" t="s">
        <v>1467</v>
      </c>
      <c r="H2795" s="403" t="s">
        <v>1276</v>
      </c>
      <c r="I2795" s="403">
        <v>1</v>
      </c>
      <c r="J2795" s="403" t="s">
        <v>109</v>
      </c>
      <c r="K2795" s="403">
        <v>720</v>
      </c>
      <c r="L2795" s="403">
        <v>1280</v>
      </c>
      <c r="M2795" s="403" t="s">
        <v>1283</v>
      </c>
      <c r="N2795" s="403">
        <v>480</v>
      </c>
      <c r="O2795" s="403">
        <v>720</v>
      </c>
      <c r="P2795" t="str">
        <f t="shared" si="345"/>
        <v>30fps 720p - SD 4CIF resolution 4:3 format (cropped)</v>
      </c>
      <c r="Q2795">
        <f t="shared" si="346"/>
        <v>16</v>
      </c>
      <c r="R2795" t="str">
        <f t="shared" si="347"/>
        <v/>
      </c>
      <c r="S2795" t="str">
        <f t="shared" si="348"/>
        <v/>
      </c>
      <c r="T2795" s="403" t="str">
        <f t="shared" si="349"/>
        <v>NDE-3502-AL</v>
      </c>
      <c r="U2795" s="403">
        <f t="shared" si="350"/>
        <v>1</v>
      </c>
      <c r="V2795" s="403" t="str">
        <f t="shared" si="351"/>
        <v>CPP_7_3</v>
      </c>
    </row>
    <row r="2796" spans="1:22">
      <c r="A2796" t="str">
        <f t="shared" si="344"/>
        <v>NDE-3502-AL</v>
      </c>
      <c r="B2796" s="403" t="s">
        <v>1405</v>
      </c>
      <c r="C2796" s="403" t="s">
        <v>582</v>
      </c>
      <c r="D2796" s="403" t="s">
        <v>1406</v>
      </c>
      <c r="E2796" s="403" t="s">
        <v>778</v>
      </c>
      <c r="F2796" s="403" t="s">
        <v>1292</v>
      </c>
      <c r="G2796" s="403" t="s">
        <v>1467</v>
      </c>
      <c r="H2796" s="403" t="s">
        <v>1276</v>
      </c>
      <c r="I2796" s="403">
        <v>1</v>
      </c>
      <c r="J2796" s="403" t="s">
        <v>109</v>
      </c>
      <c r="K2796" s="403">
        <v>720</v>
      </c>
      <c r="L2796" s="403">
        <v>1280</v>
      </c>
      <c r="M2796" s="403" t="s">
        <v>1284</v>
      </c>
      <c r="N2796" s="403">
        <v>480</v>
      </c>
      <c r="O2796" s="403">
        <v>640</v>
      </c>
      <c r="P2796" t="str">
        <f t="shared" si="345"/>
        <v>30fps 720p - SD VGA (cropped)</v>
      </c>
      <c r="Q2796">
        <f t="shared" si="346"/>
        <v>16</v>
      </c>
      <c r="R2796" t="str">
        <f t="shared" si="347"/>
        <v/>
      </c>
      <c r="S2796" t="str">
        <f t="shared" si="348"/>
        <v/>
      </c>
      <c r="T2796" s="403" t="str">
        <f t="shared" si="349"/>
        <v>NDE-3502-AL</v>
      </c>
      <c r="U2796" s="403">
        <f t="shared" si="350"/>
        <v>1</v>
      </c>
      <c r="V2796" s="403" t="str">
        <f t="shared" si="351"/>
        <v>CPP_7_3</v>
      </c>
    </row>
    <row r="2797" spans="1:22">
      <c r="A2797" t="str">
        <f t="shared" si="344"/>
        <v>NDE-3502-AL</v>
      </c>
      <c r="B2797" s="403" t="s">
        <v>1405</v>
      </c>
      <c r="C2797" s="403" t="s">
        <v>582</v>
      </c>
      <c r="D2797" s="403" t="s">
        <v>1406</v>
      </c>
      <c r="E2797" s="403" t="s">
        <v>778</v>
      </c>
      <c r="F2797" s="403" t="s">
        <v>1292</v>
      </c>
      <c r="G2797" s="403" t="s">
        <v>1467</v>
      </c>
      <c r="H2797" s="403" t="s">
        <v>1281</v>
      </c>
      <c r="I2797" s="403">
        <v>1</v>
      </c>
      <c r="J2797" s="403" t="s">
        <v>110</v>
      </c>
      <c r="K2797" s="403">
        <v>1080</v>
      </c>
      <c r="L2797" s="403">
        <v>1920</v>
      </c>
      <c r="M2797" s="403" t="s">
        <v>111</v>
      </c>
      <c r="N2797" s="403">
        <v>432</v>
      </c>
      <c r="O2797" s="403">
        <v>768</v>
      </c>
      <c r="P2797" t="str">
        <f t="shared" si="345"/>
        <v>30fps 1080p - SD</v>
      </c>
      <c r="Q2797">
        <f t="shared" si="346"/>
        <v>16</v>
      </c>
      <c r="R2797" t="str">
        <f t="shared" si="347"/>
        <v/>
      </c>
      <c r="S2797" t="str">
        <f t="shared" si="348"/>
        <v/>
      </c>
      <c r="T2797" s="403" t="str">
        <f t="shared" si="349"/>
        <v>NDE-3502-AL</v>
      </c>
      <c r="U2797" s="403">
        <f t="shared" si="350"/>
        <v>1</v>
      </c>
      <c r="V2797" s="403" t="str">
        <f t="shared" si="351"/>
        <v>CPP_7_3</v>
      </c>
    </row>
    <row r="2798" spans="1:22">
      <c r="A2798" t="str">
        <f t="shared" si="344"/>
        <v>NDE-3502-AL</v>
      </c>
      <c r="B2798" s="403" t="s">
        <v>1405</v>
      </c>
      <c r="C2798" s="403" t="s">
        <v>582</v>
      </c>
      <c r="D2798" s="403" t="s">
        <v>1406</v>
      </c>
      <c r="E2798" s="403" t="s">
        <v>778</v>
      </c>
      <c r="F2798" s="403" t="s">
        <v>1292</v>
      </c>
      <c r="G2798" s="403" t="s">
        <v>1467</v>
      </c>
      <c r="H2798" s="403" t="s">
        <v>1281</v>
      </c>
      <c r="I2798" s="403">
        <v>1</v>
      </c>
      <c r="J2798" s="403" t="s">
        <v>110</v>
      </c>
      <c r="K2798" s="403">
        <v>1080</v>
      </c>
      <c r="L2798" s="403">
        <v>1920</v>
      </c>
      <c r="M2798" s="403" t="s">
        <v>1279</v>
      </c>
      <c r="N2798" s="403">
        <v>432</v>
      </c>
      <c r="O2798" s="403">
        <v>768</v>
      </c>
      <c r="P2798" t="str">
        <f t="shared" si="345"/>
        <v>30fps 1080p - SD ROI PTZ</v>
      </c>
      <c r="Q2798">
        <f t="shared" si="346"/>
        <v>16</v>
      </c>
      <c r="R2798" t="str">
        <f t="shared" si="347"/>
        <v/>
      </c>
      <c r="S2798" t="str">
        <f t="shared" si="348"/>
        <v/>
      </c>
      <c r="T2798" s="403" t="str">
        <f t="shared" si="349"/>
        <v>NDE-3502-AL</v>
      </c>
      <c r="U2798" s="403">
        <f t="shared" si="350"/>
        <v>1</v>
      </c>
      <c r="V2798" s="403" t="str">
        <f t="shared" si="351"/>
        <v>CPP_7_3</v>
      </c>
    </row>
    <row r="2799" spans="1:22">
      <c r="A2799" t="str">
        <f t="shared" si="344"/>
        <v>NDE-3502-AL</v>
      </c>
      <c r="B2799" s="403" t="s">
        <v>1405</v>
      </c>
      <c r="C2799" s="403" t="s">
        <v>582</v>
      </c>
      <c r="D2799" s="403" t="s">
        <v>1406</v>
      </c>
      <c r="E2799" s="403" t="s">
        <v>778</v>
      </c>
      <c r="F2799" s="403" t="s">
        <v>1292</v>
      </c>
      <c r="G2799" s="403" t="s">
        <v>1467</v>
      </c>
      <c r="H2799" s="403" t="s">
        <v>1281</v>
      </c>
      <c r="I2799" s="403">
        <v>1</v>
      </c>
      <c r="J2799" s="403" t="s">
        <v>110</v>
      </c>
      <c r="K2799" s="403">
        <v>1080</v>
      </c>
      <c r="L2799" s="403">
        <v>1920</v>
      </c>
      <c r="M2799" s="403" t="s">
        <v>1283</v>
      </c>
      <c r="N2799" s="403">
        <v>480</v>
      </c>
      <c r="O2799" s="403">
        <v>720</v>
      </c>
      <c r="P2799" t="str">
        <f t="shared" si="345"/>
        <v>30fps 1080p - SD 4CIF resolution 4:3 format (cropped)</v>
      </c>
      <c r="Q2799">
        <f t="shared" si="346"/>
        <v>16</v>
      </c>
      <c r="R2799" t="str">
        <f t="shared" si="347"/>
        <v/>
      </c>
      <c r="S2799" t="str">
        <f t="shared" si="348"/>
        <v/>
      </c>
      <c r="T2799" s="403" t="str">
        <f t="shared" si="349"/>
        <v>NDE-3502-AL</v>
      </c>
      <c r="U2799" s="403">
        <f t="shared" si="350"/>
        <v>1</v>
      </c>
      <c r="V2799" s="403" t="str">
        <f t="shared" si="351"/>
        <v>CPP_7_3</v>
      </c>
    </row>
    <row r="2800" spans="1:22">
      <c r="A2800" t="str">
        <f t="shared" si="344"/>
        <v>NDE-3502-AL</v>
      </c>
      <c r="B2800" s="403" t="s">
        <v>1405</v>
      </c>
      <c r="C2800" s="403" t="s">
        <v>582</v>
      </c>
      <c r="D2800" s="403" t="s">
        <v>1406</v>
      </c>
      <c r="E2800" s="403" t="s">
        <v>778</v>
      </c>
      <c r="F2800" s="403" t="s">
        <v>1292</v>
      </c>
      <c r="G2800" s="403" t="s">
        <v>1467</v>
      </c>
      <c r="H2800" s="403" t="s">
        <v>1281</v>
      </c>
      <c r="I2800" s="403">
        <v>1</v>
      </c>
      <c r="J2800" s="403" t="s">
        <v>110</v>
      </c>
      <c r="K2800" s="403">
        <v>1080</v>
      </c>
      <c r="L2800" s="403">
        <v>1920</v>
      </c>
      <c r="M2800" s="403" t="s">
        <v>1284</v>
      </c>
      <c r="N2800" s="403">
        <v>480</v>
      </c>
      <c r="O2800" s="403">
        <v>640</v>
      </c>
      <c r="P2800" t="str">
        <f t="shared" si="345"/>
        <v>30fps 1080p - SD VGA (cropped)</v>
      </c>
      <c r="Q2800">
        <f t="shared" si="346"/>
        <v>16</v>
      </c>
      <c r="R2800" t="str">
        <f t="shared" si="347"/>
        <v/>
      </c>
      <c r="S2800" t="str">
        <f t="shared" si="348"/>
        <v/>
      </c>
      <c r="T2800" s="403" t="str">
        <f t="shared" si="349"/>
        <v>NDE-3502-AL</v>
      </c>
      <c r="U2800" s="403">
        <f t="shared" si="350"/>
        <v>1</v>
      </c>
      <c r="V2800" s="403" t="str">
        <f t="shared" si="351"/>
        <v>CPP_7_3</v>
      </c>
    </row>
    <row r="2801" spans="1:22">
      <c r="A2801" t="str">
        <f t="shared" si="344"/>
        <v>NDE-3502-AL</v>
      </c>
      <c r="B2801" s="403" t="s">
        <v>1405</v>
      </c>
      <c r="C2801" s="403" t="s">
        <v>582</v>
      </c>
      <c r="D2801" s="403" t="s">
        <v>1406</v>
      </c>
      <c r="E2801" s="403" t="s">
        <v>778</v>
      </c>
      <c r="F2801" s="403" t="s">
        <v>1292</v>
      </c>
      <c r="G2801" s="403" t="s">
        <v>1467</v>
      </c>
      <c r="H2801" s="403" t="s">
        <v>1281</v>
      </c>
      <c r="I2801" s="403">
        <v>1</v>
      </c>
      <c r="J2801" s="403" t="s">
        <v>109</v>
      </c>
      <c r="K2801" s="403">
        <v>720</v>
      </c>
      <c r="L2801" s="403">
        <v>1280</v>
      </c>
      <c r="M2801" s="403" t="s">
        <v>109</v>
      </c>
      <c r="N2801" s="403">
        <v>720</v>
      </c>
      <c r="O2801" s="403">
        <v>1280</v>
      </c>
      <c r="P2801" t="str">
        <f t="shared" si="345"/>
        <v>30fps 720p - 720p</v>
      </c>
      <c r="Q2801">
        <f t="shared" si="346"/>
        <v>16</v>
      </c>
      <c r="R2801" t="str">
        <f t="shared" si="347"/>
        <v/>
      </c>
      <c r="S2801" t="str">
        <f t="shared" si="348"/>
        <v/>
      </c>
      <c r="T2801" s="403" t="str">
        <f t="shared" si="349"/>
        <v>NDE-3502-AL</v>
      </c>
      <c r="U2801" s="403">
        <f t="shared" si="350"/>
        <v>1</v>
      </c>
      <c r="V2801" s="403" t="str">
        <f t="shared" si="351"/>
        <v>CPP_7_3</v>
      </c>
    </row>
    <row r="2802" spans="1:22">
      <c r="A2802" t="str">
        <f t="shared" si="344"/>
        <v>NDE-3502-AL</v>
      </c>
      <c r="B2802" s="403" t="s">
        <v>1405</v>
      </c>
      <c r="C2802" s="403" t="s">
        <v>582</v>
      </c>
      <c r="D2802" s="403" t="s">
        <v>1406</v>
      </c>
      <c r="E2802" s="403" t="s">
        <v>778</v>
      </c>
      <c r="F2802" s="403" t="s">
        <v>1292</v>
      </c>
      <c r="G2802" s="403" t="s">
        <v>1467</v>
      </c>
      <c r="H2802" s="403" t="s">
        <v>1281</v>
      </c>
      <c r="I2802" s="403">
        <v>1</v>
      </c>
      <c r="J2802" s="403" t="s">
        <v>109</v>
      </c>
      <c r="K2802" s="403">
        <v>720</v>
      </c>
      <c r="L2802" s="403">
        <v>1280</v>
      </c>
      <c r="M2802" s="403" t="s">
        <v>111</v>
      </c>
      <c r="N2802" s="403">
        <v>432</v>
      </c>
      <c r="O2802" s="403">
        <v>768</v>
      </c>
      <c r="P2802" t="str">
        <f t="shared" si="345"/>
        <v>30fps 720p - SD</v>
      </c>
      <c r="Q2802">
        <f t="shared" si="346"/>
        <v>16</v>
      </c>
      <c r="R2802" t="str">
        <f t="shared" si="347"/>
        <v/>
      </c>
      <c r="S2802" t="str">
        <f t="shared" si="348"/>
        <v/>
      </c>
      <c r="T2802" s="403" t="str">
        <f t="shared" si="349"/>
        <v>NDE-3502-AL</v>
      </c>
      <c r="U2802" s="403">
        <f t="shared" si="350"/>
        <v>1</v>
      </c>
      <c r="V2802" s="403" t="str">
        <f t="shared" si="351"/>
        <v>CPP_7_3</v>
      </c>
    </row>
    <row r="2803" spans="1:22">
      <c r="A2803" t="str">
        <f t="shared" si="344"/>
        <v>NDE-3502-AL</v>
      </c>
      <c r="B2803" s="403" t="s">
        <v>1405</v>
      </c>
      <c r="C2803" s="403" t="s">
        <v>582</v>
      </c>
      <c r="D2803" s="403" t="s">
        <v>1406</v>
      </c>
      <c r="E2803" s="403" t="s">
        <v>778</v>
      </c>
      <c r="F2803" s="403" t="s">
        <v>1292</v>
      </c>
      <c r="G2803" s="403" t="s">
        <v>1467</v>
      </c>
      <c r="H2803" s="403" t="s">
        <v>1281</v>
      </c>
      <c r="I2803" s="403">
        <v>1</v>
      </c>
      <c r="J2803" s="403" t="s">
        <v>109</v>
      </c>
      <c r="K2803" s="403">
        <v>720</v>
      </c>
      <c r="L2803" s="403">
        <v>1280</v>
      </c>
      <c r="M2803" s="403" t="s">
        <v>1279</v>
      </c>
      <c r="N2803" s="403">
        <v>432</v>
      </c>
      <c r="O2803" s="403">
        <v>768</v>
      </c>
      <c r="P2803" t="str">
        <f t="shared" si="345"/>
        <v>30fps 720p - SD ROI PTZ</v>
      </c>
      <c r="Q2803">
        <f t="shared" si="346"/>
        <v>16</v>
      </c>
      <c r="R2803" t="str">
        <f t="shared" si="347"/>
        <v/>
      </c>
      <c r="S2803" t="str">
        <f t="shared" si="348"/>
        <v/>
      </c>
      <c r="T2803" s="403" t="str">
        <f t="shared" si="349"/>
        <v>NDE-3502-AL</v>
      </c>
      <c r="U2803" s="403">
        <f t="shared" si="350"/>
        <v>1</v>
      </c>
      <c r="V2803" s="403" t="str">
        <f t="shared" si="351"/>
        <v>CPP_7_3</v>
      </c>
    </row>
    <row r="2804" spans="1:22">
      <c r="A2804" t="str">
        <f t="shared" si="344"/>
        <v>NDE-3502-AL</v>
      </c>
      <c r="B2804" s="403" t="s">
        <v>1405</v>
      </c>
      <c r="C2804" s="403" t="s">
        <v>582</v>
      </c>
      <c r="D2804" s="403" t="s">
        <v>1406</v>
      </c>
      <c r="E2804" s="403" t="s">
        <v>778</v>
      </c>
      <c r="F2804" s="403" t="s">
        <v>1292</v>
      </c>
      <c r="G2804" s="403" t="s">
        <v>1467</v>
      </c>
      <c r="H2804" s="403" t="s">
        <v>1281</v>
      </c>
      <c r="I2804" s="403">
        <v>1</v>
      </c>
      <c r="J2804" s="403" t="s">
        <v>109</v>
      </c>
      <c r="K2804" s="403">
        <v>720</v>
      </c>
      <c r="L2804" s="403">
        <v>1280</v>
      </c>
      <c r="M2804" s="403" t="s">
        <v>1283</v>
      </c>
      <c r="N2804" s="403">
        <v>480</v>
      </c>
      <c r="O2804" s="403">
        <v>720</v>
      </c>
      <c r="P2804" t="str">
        <f t="shared" si="345"/>
        <v>30fps 720p - SD 4CIF resolution 4:3 format (cropped)</v>
      </c>
      <c r="Q2804">
        <f t="shared" si="346"/>
        <v>16</v>
      </c>
      <c r="R2804" t="str">
        <f t="shared" si="347"/>
        <v/>
      </c>
      <c r="S2804" t="str">
        <f t="shared" si="348"/>
        <v/>
      </c>
      <c r="T2804" s="403" t="str">
        <f t="shared" si="349"/>
        <v>NDE-3502-AL</v>
      </c>
      <c r="U2804" s="403">
        <f t="shared" si="350"/>
        <v>1</v>
      </c>
      <c r="V2804" s="403" t="str">
        <f t="shared" si="351"/>
        <v>CPP_7_3</v>
      </c>
    </row>
    <row r="2805" spans="1:22">
      <c r="A2805" t="str">
        <f t="shared" si="344"/>
        <v>NDE-3502-AL</v>
      </c>
      <c r="B2805" s="403" t="s">
        <v>1405</v>
      </c>
      <c r="C2805" s="403" t="s">
        <v>582</v>
      </c>
      <c r="D2805" s="403" t="s">
        <v>1406</v>
      </c>
      <c r="E2805" s="403" t="s">
        <v>778</v>
      </c>
      <c r="F2805" s="403" t="s">
        <v>1292</v>
      </c>
      <c r="G2805" s="403" t="s">
        <v>1467</v>
      </c>
      <c r="H2805" s="403" t="s">
        <v>1281</v>
      </c>
      <c r="I2805" s="403">
        <v>1</v>
      </c>
      <c r="J2805" s="403" t="s">
        <v>109</v>
      </c>
      <c r="K2805" s="403">
        <v>720</v>
      </c>
      <c r="L2805" s="403">
        <v>1280</v>
      </c>
      <c r="M2805" s="403" t="s">
        <v>1284</v>
      </c>
      <c r="N2805" s="403">
        <v>480</v>
      </c>
      <c r="O2805" s="403">
        <v>640</v>
      </c>
      <c r="P2805" t="str">
        <f t="shared" si="345"/>
        <v>30fps 720p - SD VGA (cropped)</v>
      </c>
      <c r="Q2805">
        <f t="shared" si="346"/>
        <v>16</v>
      </c>
      <c r="R2805" t="str">
        <f t="shared" si="347"/>
        <v/>
      </c>
      <c r="S2805" t="str">
        <f t="shared" si="348"/>
        <v/>
      </c>
      <c r="T2805" s="403" t="str">
        <f t="shared" si="349"/>
        <v>NDE-3502-AL</v>
      </c>
      <c r="U2805" s="403">
        <f t="shared" si="350"/>
        <v>1</v>
      </c>
      <c r="V2805" s="403" t="str">
        <f t="shared" si="351"/>
        <v>CPP_7_3</v>
      </c>
    </row>
    <row r="2806" spans="1:22">
      <c r="A2806" t="str">
        <f t="shared" si="344"/>
        <v>NDE-3502-AL</v>
      </c>
      <c r="B2806" s="403" t="s">
        <v>1405</v>
      </c>
      <c r="C2806" s="403" t="s">
        <v>582</v>
      </c>
      <c r="D2806" s="403" t="s">
        <v>1406</v>
      </c>
      <c r="E2806" s="403" t="s">
        <v>778</v>
      </c>
      <c r="F2806" s="403" t="s">
        <v>1293</v>
      </c>
      <c r="G2806" s="403" t="s">
        <v>1466</v>
      </c>
      <c r="H2806" s="403" t="s">
        <v>1276</v>
      </c>
      <c r="I2806" s="403">
        <v>1</v>
      </c>
      <c r="J2806" s="403" t="s">
        <v>110</v>
      </c>
      <c r="K2806" s="403">
        <v>1920</v>
      </c>
      <c r="L2806" s="403">
        <v>1080</v>
      </c>
      <c r="M2806" s="403" t="s">
        <v>111</v>
      </c>
      <c r="N2806" s="403">
        <v>768</v>
      </c>
      <c r="O2806" s="403">
        <v>432</v>
      </c>
      <c r="P2806" t="str">
        <f t="shared" si="345"/>
        <v>25fps 1080p - SD</v>
      </c>
      <c r="Q2806">
        <f t="shared" si="346"/>
        <v>16</v>
      </c>
      <c r="R2806" t="str">
        <f t="shared" si="347"/>
        <v/>
      </c>
      <c r="S2806" t="str">
        <f t="shared" si="348"/>
        <v/>
      </c>
      <c r="T2806" s="403" t="str">
        <f t="shared" si="349"/>
        <v>NDE-3502-AL</v>
      </c>
      <c r="U2806" s="403">
        <f t="shared" si="350"/>
        <v>1</v>
      </c>
      <c r="V2806" s="403" t="str">
        <f t="shared" si="351"/>
        <v>CPP_7_3</v>
      </c>
    </row>
    <row r="2807" spans="1:22">
      <c r="A2807" t="str">
        <f t="shared" si="344"/>
        <v>NDE-3502-AL</v>
      </c>
      <c r="B2807" s="403" t="s">
        <v>1405</v>
      </c>
      <c r="C2807" s="403" t="s">
        <v>582</v>
      </c>
      <c r="D2807" s="403" t="s">
        <v>1406</v>
      </c>
      <c r="E2807" s="403" t="s">
        <v>778</v>
      </c>
      <c r="F2807" s="403" t="s">
        <v>1293</v>
      </c>
      <c r="G2807" s="403" t="s">
        <v>1466</v>
      </c>
      <c r="H2807" s="403" t="s">
        <v>1276</v>
      </c>
      <c r="I2807" s="403">
        <v>1</v>
      </c>
      <c r="J2807" s="403" t="s">
        <v>110</v>
      </c>
      <c r="K2807" s="403">
        <v>1920</v>
      </c>
      <c r="L2807" s="403">
        <v>1080</v>
      </c>
      <c r="M2807" s="403" t="s">
        <v>110</v>
      </c>
      <c r="N2807" s="403">
        <v>1920</v>
      </c>
      <c r="O2807" s="403">
        <v>1080</v>
      </c>
      <c r="P2807" t="str">
        <f t="shared" si="345"/>
        <v>25fps 1080p - 1080p</v>
      </c>
      <c r="Q2807">
        <f t="shared" si="346"/>
        <v>16</v>
      </c>
      <c r="R2807" t="str">
        <f t="shared" si="347"/>
        <v/>
      </c>
      <c r="S2807" t="str">
        <f t="shared" si="348"/>
        <v/>
      </c>
      <c r="T2807" s="403" t="str">
        <f t="shared" si="349"/>
        <v>NDE-3502-AL</v>
      </c>
      <c r="U2807" s="403">
        <f t="shared" si="350"/>
        <v>1</v>
      </c>
      <c r="V2807" s="403" t="str">
        <f t="shared" si="351"/>
        <v>CPP_7_3</v>
      </c>
    </row>
    <row r="2808" spans="1:22">
      <c r="A2808" t="str">
        <f t="shared" si="344"/>
        <v>NDE-3502-AL</v>
      </c>
      <c r="B2808" s="403" t="s">
        <v>1405</v>
      </c>
      <c r="C2808" s="403" t="s">
        <v>582</v>
      </c>
      <c r="D2808" s="403" t="s">
        <v>1406</v>
      </c>
      <c r="E2808" s="403" t="s">
        <v>778</v>
      </c>
      <c r="F2808" s="403" t="s">
        <v>1293</v>
      </c>
      <c r="G2808" s="403" t="s">
        <v>1466</v>
      </c>
      <c r="H2808" s="403" t="s">
        <v>1276</v>
      </c>
      <c r="I2808" s="403">
        <v>1</v>
      </c>
      <c r="J2808" s="403" t="s">
        <v>110</v>
      </c>
      <c r="K2808" s="403">
        <v>1920</v>
      </c>
      <c r="L2808" s="403">
        <v>1080</v>
      </c>
      <c r="M2808" s="403" t="s">
        <v>109</v>
      </c>
      <c r="N2808" s="403">
        <v>1280</v>
      </c>
      <c r="O2808" s="403">
        <v>720</v>
      </c>
      <c r="P2808" t="str">
        <f t="shared" si="345"/>
        <v>25fps 1080p - 720p</v>
      </c>
      <c r="Q2808">
        <f t="shared" si="346"/>
        <v>16</v>
      </c>
      <c r="R2808" t="str">
        <f t="shared" si="347"/>
        <v/>
      </c>
      <c r="S2808" t="str">
        <f t="shared" si="348"/>
        <v/>
      </c>
      <c r="T2808" s="403" t="str">
        <f t="shared" si="349"/>
        <v>NDE-3502-AL</v>
      </c>
      <c r="U2808" s="403">
        <f t="shared" si="350"/>
        <v>1</v>
      </c>
      <c r="V2808" s="403" t="str">
        <f t="shared" si="351"/>
        <v>CPP_7_3</v>
      </c>
    </row>
    <row r="2809" spans="1:22">
      <c r="A2809" t="str">
        <f t="shared" si="344"/>
        <v>NDE-3502-AL</v>
      </c>
      <c r="B2809" s="403" t="s">
        <v>1405</v>
      </c>
      <c r="C2809" s="403" t="s">
        <v>582</v>
      </c>
      <c r="D2809" s="403" t="s">
        <v>1406</v>
      </c>
      <c r="E2809" s="403" t="s">
        <v>778</v>
      </c>
      <c r="F2809" s="403" t="s">
        <v>1293</v>
      </c>
      <c r="G2809" s="403" t="s">
        <v>1466</v>
      </c>
      <c r="H2809" s="403" t="s">
        <v>1276</v>
      </c>
      <c r="I2809" s="403">
        <v>1</v>
      </c>
      <c r="J2809" s="403" t="s">
        <v>110</v>
      </c>
      <c r="K2809" s="403">
        <v>1920</v>
      </c>
      <c r="L2809" s="403">
        <v>1080</v>
      </c>
      <c r="M2809" s="403" t="s">
        <v>1285</v>
      </c>
      <c r="N2809" s="403">
        <v>1280</v>
      </c>
      <c r="O2809" s="403">
        <v>1024</v>
      </c>
      <c r="P2809" t="str">
        <f t="shared" si="345"/>
        <v>25fps 1080p - 1280x1024 5:4 (cropped)</v>
      </c>
      <c r="Q2809">
        <f t="shared" si="346"/>
        <v>16</v>
      </c>
      <c r="R2809" t="str">
        <f t="shared" si="347"/>
        <v/>
      </c>
      <c r="S2809" t="str">
        <f t="shared" si="348"/>
        <v/>
      </c>
      <c r="T2809" s="403" t="str">
        <f t="shared" si="349"/>
        <v>NDE-3502-AL</v>
      </c>
      <c r="U2809" s="403">
        <f t="shared" si="350"/>
        <v>1</v>
      </c>
      <c r="V2809" s="403" t="str">
        <f t="shared" si="351"/>
        <v>CPP_7_3</v>
      </c>
    </row>
    <row r="2810" spans="1:22">
      <c r="A2810" t="str">
        <f t="shared" si="344"/>
        <v>NDE-3502-AL</v>
      </c>
      <c r="B2810" s="403" t="s">
        <v>1405</v>
      </c>
      <c r="C2810" s="403" t="s">
        <v>582</v>
      </c>
      <c r="D2810" s="403" t="s">
        <v>1406</v>
      </c>
      <c r="E2810" s="403" t="s">
        <v>778</v>
      </c>
      <c r="F2810" s="403" t="s">
        <v>1293</v>
      </c>
      <c r="G2810" s="403" t="s">
        <v>1466</v>
      </c>
      <c r="H2810" s="403" t="s">
        <v>1276</v>
      </c>
      <c r="I2810" s="403">
        <v>1</v>
      </c>
      <c r="J2810" s="403" t="s">
        <v>110</v>
      </c>
      <c r="K2810" s="403">
        <v>1920</v>
      </c>
      <c r="L2810" s="403">
        <v>1080</v>
      </c>
      <c r="M2810" s="403" t="s">
        <v>1279</v>
      </c>
      <c r="N2810" s="403">
        <v>768</v>
      </c>
      <c r="O2810" s="403">
        <v>432</v>
      </c>
      <c r="P2810" t="str">
        <f t="shared" si="345"/>
        <v>25fps 1080p - SD ROI PTZ</v>
      </c>
      <c r="Q2810">
        <f t="shared" si="346"/>
        <v>16</v>
      </c>
      <c r="R2810" t="str">
        <f t="shared" si="347"/>
        <v/>
      </c>
      <c r="S2810" t="str">
        <f t="shared" si="348"/>
        <v/>
      </c>
      <c r="T2810" s="403" t="str">
        <f t="shared" si="349"/>
        <v>NDE-3502-AL</v>
      </c>
      <c r="U2810" s="403">
        <f t="shared" si="350"/>
        <v>1</v>
      </c>
      <c r="V2810" s="403" t="str">
        <f t="shared" si="351"/>
        <v>CPP_7_3</v>
      </c>
    </row>
    <row r="2811" spans="1:22">
      <c r="A2811" t="str">
        <f t="shared" si="344"/>
        <v>NDE-3502-AL</v>
      </c>
      <c r="B2811" s="403" t="s">
        <v>1405</v>
      </c>
      <c r="C2811" s="403" t="s">
        <v>582</v>
      </c>
      <c r="D2811" s="403" t="s">
        <v>1406</v>
      </c>
      <c r="E2811" s="403" t="s">
        <v>778</v>
      </c>
      <c r="F2811" s="403" t="s">
        <v>1293</v>
      </c>
      <c r="G2811" s="403" t="s">
        <v>1466</v>
      </c>
      <c r="H2811" s="403" t="s">
        <v>1276</v>
      </c>
      <c r="I2811" s="403">
        <v>1</v>
      </c>
      <c r="J2811" s="403" t="s">
        <v>110</v>
      </c>
      <c r="K2811" s="403">
        <v>1920</v>
      </c>
      <c r="L2811" s="403">
        <v>1080</v>
      </c>
      <c r="M2811" s="403" t="s">
        <v>1283</v>
      </c>
      <c r="N2811" s="403">
        <v>720</v>
      </c>
      <c r="O2811" s="403">
        <v>576</v>
      </c>
      <c r="P2811" t="str">
        <f t="shared" si="345"/>
        <v>25fps 1080p - SD 4CIF resolution 4:3 format (cropped)</v>
      </c>
      <c r="Q2811">
        <f t="shared" si="346"/>
        <v>16</v>
      </c>
      <c r="R2811" t="str">
        <f t="shared" si="347"/>
        <v/>
      </c>
      <c r="S2811" t="str">
        <f t="shared" si="348"/>
        <v/>
      </c>
      <c r="T2811" s="403" t="str">
        <f t="shared" si="349"/>
        <v>NDE-3502-AL</v>
      </c>
      <c r="U2811" s="403">
        <f t="shared" si="350"/>
        <v>1</v>
      </c>
      <c r="V2811" s="403" t="str">
        <f t="shared" si="351"/>
        <v>CPP_7_3</v>
      </c>
    </row>
    <row r="2812" spans="1:22">
      <c r="A2812" t="str">
        <f t="shared" si="344"/>
        <v>NDE-3502-AL</v>
      </c>
      <c r="B2812" s="403" t="s">
        <v>1405</v>
      </c>
      <c r="C2812" s="403" t="s">
        <v>582</v>
      </c>
      <c r="D2812" s="403" t="s">
        <v>1406</v>
      </c>
      <c r="E2812" s="403" t="s">
        <v>778</v>
      </c>
      <c r="F2812" s="403" t="s">
        <v>1293</v>
      </c>
      <c r="G2812" s="403" t="s">
        <v>1466</v>
      </c>
      <c r="H2812" s="403" t="s">
        <v>1276</v>
      </c>
      <c r="I2812" s="403">
        <v>1</v>
      </c>
      <c r="J2812" s="403" t="s">
        <v>110</v>
      </c>
      <c r="K2812" s="403">
        <v>1920</v>
      </c>
      <c r="L2812" s="403">
        <v>1080</v>
      </c>
      <c r="M2812" s="403" t="s">
        <v>1284</v>
      </c>
      <c r="N2812" s="403">
        <v>640</v>
      </c>
      <c r="O2812" s="403">
        <v>480</v>
      </c>
      <c r="P2812" t="str">
        <f t="shared" si="345"/>
        <v>25fps 1080p - SD VGA (cropped)</v>
      </c>
      <c r="Q2812">
        <f t="shared" si="346"/>
        <v>16</v>
      </c>
      <c r="R2812" t="str">
        <f t="shared" si="347"/>
        <v/>
      </c>
      <c r="S2812" t="str">
        <f t="shared" si="348"/>
        <v/>
      </c>
      <c r="T2812" s="403" t="str">
        <f t="shared" si="349"/>
        <v>NDE-3502-AL</v>
      </c>
      <c r="U2812" s="403">
        <f t="shared" si="350"/>
        <v>1</v>
      </c>
      <c r="V2812" s="403" t="str">
        <f t="shared" si="351"/>
        <v>CPP_7_3</v>
      </c>
    </row>
    <row r="2813" spans="1:22">
      <c r="A2813" t="str">
        <f t="shared" si="344"/>
        <v>NDE-3502-AL</v>
      </c>
      <c r="B2813" s="403" t="s">
        <v>1405</v>
      </c>
      <c r="C2813" s="403" t="s">
        <v>582</v>
      </c>
      <c r="D2813" s="403" t="s">
        <v>1406</v>
      </c>
      <c r="E2813" s="403" t="s">
        <v>778</v>
      </c>
      <c r="F2813" s="403" t="s">
        <v>1293</v>
      </c>
      <c r="G2813" s="403" t="s">
        <v>1466</v>
      </c>
      <c r="H2813" s="403" t="s">
        <v>1276</v>
      </c>
      <c r="I2813" s="403">
        <v>1</v>
      </c>
      <c r="J2813" s="403" t="s">
        <v>109</v>
      </c>
      <c r="K2813" s="403">
        <v>1280</v>
      </c>
      <c r="L2813" s="403">
        <v>720</v>
      </c>
      <c r="M2813" s="403" t="s">
        <v>109</v>
      </c>
      <c r="N2813" s="403">
        <v>1280</v>
      </c>
      <c r="O2813" s="403">
        <v>720</v>
      </c>
      <c r="P2813" t="str">
        <f t="shared" si="345"/>
        <v>25fps 720p - 720p</v>
      </c>
      <c r="Q2813">
        <f t="shared" si="346"/>
        <v>16</v>
      </c>
      <c r="R2813" t="str">
        <f t="shared" si="347"/>
        <v/>
      </c>
      <c r="S2813" t="str">
        <f t="shared" si="348"/>
        <v/>
      </c>
      <c r="T2813" s="403" t="str">
        <f t="shared" si="349"/>
        <v>NDE-3502-AL</v>
      </c>
      <c r="U2813" s="403">
        <f t="shared" si="350"/>
        <v>1</v>
      </c>
      <c r="V2813" s="403" t="str">
        <f t="shared" si="351"/>
        <v>CPP_7_3</v>
      </c>
    </row>
    <row r="2814" spans="1:22">
      <c r="A2814" t="str">
        <f t="shared" si="344"/>
        <v>NDE-3502-AL</v>
      </c>
      <c r="B2814" s="403" t="s">
        <v>1405</v>
      </c>
      <c r="C2814" s="403" t="s">
        <v>582</v>
      </c>
      <c r="D2814" s="403" t="s">
        <v>1406</v>
      </c>
      <c r="E2814" s="403" t="s">
        <v>778</v>
      </c>
      <c r="F2814" s="403" t="s">
        <v>1293</v>
      </c>
      <c r="G2814" s="403" t="s">
        <v>1466</v>
      </c>
      <c r="H2814" s="403" t="s">
        <v>1276</v>
      </c>
      <c r="I2814" s="403">
        <v>1</v>
      </c>
      <c r="J2814" s="403" t="s">
        <v>109</v>
      </c>
      <c r="K2814" s="403">
        <v>1280</v>
      </c>
      <c r="L2814" s="403">
        <v>720</v>
      </c>
      <c r="M2814" s="403" t="s">
        <v>111</v>
      </c>
      <c r="N2814" s="403">
        <v>768</v>
      </c>
      <c r="O2814" s="403">
        <v>432</v>
      </c>
      <c r="P2814" t="str">
        <f t="shared" si="345"/>
        <v>25fps 720p - SD</v>
      </c>
      <c r="Q2814">
        <f t="shared" si="346"/>
        <v>16</v>
      </c>
      <c r="R2814" t="str">
        <f t="shared" si="347"/>
        <v/>
      </c>
      <c r="S2814" t="str">
        <f t="shared" si="348"/>
        <v/>
      </c>
      <c r="T2814" s="403" t="str">
        <f t="shared" si="349"/>
        <v>NDE-3502-AL</v>
      </c>
      <c r="U2814" s="403">
        <f t="shared" si="350"/>
        <v>1</v>
      </c>
      <c r="V2814" s="403" t="str">
        <f t="shared" si="351"/>
        <v>CPP_7_3</v>
      </c>
    </row>
    <row r="2815" spans="1:22">
      <c r="A2815" t="str">
        <f t="shared" si="344"/>
        <v>NDE-3502-AL</v>
      </c>
      <c r="B2815" s="403" t="s">
        <v>1405</v>
      </c>
      <c r="C2815" s="403" t="s">
        <v>582</v>
      </c>
      <c r="D2815" s="403" t="s">
        <v>1406</v>
      </c>
      <c r="E2815" s="403" t="s">
        <v>778</v>
      </c>
      <c r="F2815" s="403" t="s">
        <v>1293</v>
      </c>
      <c r="G2815" s="403" t="s">
        <v>1466</v>
      </c>
      <c r="H2815" s="403" t="s">
        <v>1276</v>
      </c>
      <c r="I2815" s="403">
        <v>1</v>
      </c>
      <c r="J2815" s="403" t="s">
        <v>109</v>
      </c>
      <c r="K2815" s="403">
        <v>1280</v>
      </c>
      <c r="L2815" s="403">
        <v>720</v>
      </c>
      <c r="M2815" s="403" t="s">
        <v>1279</v>
      </c>
      <c r="N2815" s="403">
        <v>768</v>
      </c>
      <c r="O2815" s="403">
        <v>432</v>
      </c>
      <c r="P2815" t="str">
        <f t="shared" si="345"/>
        <v>25fps 720p - SD ROI PTZ</v>
      </c>
      <c r="Q2815">
        <f t="shared" si="346"/>
        <v>16</v>
      </c>
      <c r="R2815" t="str">
        <f t="shared" si="347"/>
        <v/>
      </c>
      <c r="S2815" t="str">
        <f t="shared" si="348"/>
        <v/>
      </c>
      <c r="T2815" s="403" t="str">
        <f t="shared" si="349"/>
        <v>NDE-3502-AL</v>
      </c>
      <c r="U2815" s="403">
        <f t="shared" si="350"/>
        <v>1</v>
      </c>
      <c r="V2815" s="403" t="str">
        <f t="shared" si="351"/>
        <v>CPP_7_3</v>
      </c>
    </row>
    <row r="2816" spans="1:22">
      <c r="A2816" t="str">
        <f t="shared" si="344"/>
        <v>NDE-3502-AL</v>
      </c>
      <c r="B2816" s="403" t="s">
        <v>1405</v>
      </c>
      <c r="C2816" s="403" t="s">
        <v>582</v>
      </c>
      <c r="D2816" s="403" t="s">
        <v>1406</v>
      </c>
      <c r="E2816" s="403" t="s">
        <v>778</v>
      </c>
      <c r="F2816" s="403" t="s">
        <v>1293</v>
      </c>
      <c r="G2816" s="403" t="s">
        <v>1466</v>
      </c>
      <c r="H2816" s="403" t="s">
        <v>1276</v>
      </c>
      <c r="I2816" s="403">
        <v>1</v>
      </c>
      <c r="J2816" s="403" t="s">
        <v>109</v>
      </c>
      <c r="K2816" s="403">
        <v>1280</v>
      </c>
      <c r="L2816" s="403">
        <v>720</v>
      </c>
      <c r="M2816" s="403" t="s">
        <v>1283</v>
      </c>
      <c r="N2816" s="403">
        <v>720</v>
      </c>
      <c r="O2816" s="403">
        <v>576</v>
      </c>
      <c r="P2816" t="str">
        <f t="shared" si="345"/>
        <v>25fps 720p - SD 4CIF resolution 4:3 format (cropped)</v>
      </c>
      <c r="Q2816">
        <f t="shared" si="346"/>
        <v>16</v>
      </c>
      <c r="R2816" t="str">
        <f t="shared" si="347"/>
        <v/>
      </c>
      <c r="S2816" t="str">
        <f t="shared" si="348"/>
        <v/>
      </c>
      <c r="T2816" s="403" t="str">
        <f t="shared" si="349"/>
        <v>NDE-3502-AL</v>
      </c>
      <c r="U2816" s="403">
        <f t="shared" si="350"/>
        <v>1</v>
      </c>
      <c r="V2816" s="403" t="str">
        <f t="shared" si="351"/>
        <v>CPP_7_3</v>
      </c>
    </row>
    <row r="2817" spans="1:22">
      <c r="A2817" t="str">
        <f t="shared" si="344"/>
        <v>NDE-3502-AL</v>
      </c>
      <c r="B2817" s="403" t="s">
        <v>1405</v>
      </c>
      <c r="C2817" s="403" t="s">
        <v>582</v>
      </c>
      <c r="D2817" s="403" t="s">
        <v>1406</v>
      </c>
      <c r="E2817" s="403" t="s">
        <v>778</v>
      </c>
      <c r="F2817" s="403" t="s">
        <v>1293</v>
      </c>
      <c r="G2817" s="403" t="s">
        <v>1466</v>
      </c>
      <c r="H2817" s="403" t="s">
        <v>1276</v>
      </c>
      <c r="I2817" s="403">
        <v>1</v>
      </c>
      <c r="J2817" s="403" t="s">
        <v>109</v>
      </c>
      <c r="K2817" s="403">
        <v>1280</v>
      </c>
      <c r="L2817" s="403">
        <v>720</v>
      </c>
      <c r="M2817" s="403" t="s">
        <v>1284</v>
      </c>
      <c r="N2817" s="403">
        <v>640</v>
      </c>
      <c r="O2817" s="403">
        <v>480</v>
      </c>
      <c r="P2817" t="str">
        <f t="shared" si="345"/>
        <v>25fps 720p - SD VGA (cropped)</v>
      </c>
      <c r="Q2817">
        <f t="shared" si="346"/>
        <v>16</v>
      </c>
      <c r="R2817" t="str">
        <f t="shared" si="347"/>
        <v/>
      </c>
      <c r="S2817" t="str">
        <f t="shared" si="348"/>
        <v/>
      </c>
      <c r="T2817" s="403" t="str">
        <f t="shared" si="349"/>
        <v>NDE-3502-AL</v>
      </c>
      <c r="U2817" s="403">
        <f t="shared" si="350"/>
        <v>1</v>
      </c>
      <c r="V2817" s="403" t="str">
        <f t="shared" si="351"/>
        <v>CPP_7_3</v>
      </c>
    </row>
    <row r="2818" spans="1:22">
      <c r="A2818" t="str">
        <f t="shared" ref="A2818:A2881" si="352">IF(AND(G2818&lt;&gt;"rotate 90°"),D2818,"")</f>
        <v>NDE-3502-AL</v>
      </c>
      <c r="B2818" s="403" t="s">
        <v>1405</v>
      </c>
      <c r="C2818" s="403" t="s">
        <v>582</v>
      </c>
      <c r="D2818" s="403" t="s">
        <v>1406</v>
      </c>
      <c r="E2818" s="403" t="s">
        <v>778</v>
      </c>
      <c r="F2818" s="403" t="s">
        <v>1293</v>
      </c>
      <c r="G2818" s="403" t="s">
        <v>1466</v>
      </c>
      <c r="H2818" s="403" t="s">
        <v>1281</v>
      </c>
      <c r="I2818" s="403">
        <v>1</v>
      </c>
      <c r="J2818" s="403" t="s">
        <v>110</v>
      </c>
      <c r="K2818" s="403">
        <v>1920</v>
      </c>
      <c r="L2818" s="403">
        <v>1080</v>
      </c>
      <c r="M2818" s="403" t="s">
        <v>111</v>
      </c>
      <c r="N2818" s="403">
        <v>768</v>
      </c>
      <c r="O2818" s="403">
        <v>432</v>
      </c>
      <c r="P2818" t="str">
        <f t="shared" ref="P2818:P2881" si="353">LEFT(F2818,5)&amp;" "&amp;J2818&amp;" - "&amp;M2818</f>
        <v>25fps 1080p - SD</v>
      </c>
      <c r="Q2818">
        <f t="shared" ref="Q2818:Q2881" si="354">IF(A2817=A2818,Q2817,Q2817+1)</f>
        <v>16</v>
      </c>
      <c r="R2818" t="str">
        <f t="shared" ref="R2818:R2881" si="355">IF(Q2817&lt;&gt;Q2818,Q2818,"")</f>
        <v/>
      </c>
      <c r="S2818" t="str">
        <f t="shared" ref="S2818:S2881" si="356">IF(R2818&lt;&gt;"",B2818&amp;" ("&amp;D2818&amp;")","")</f>
        <v/>
      </c>
      <c r="T2818" s="403" t="str">
        <f t="shared" ref="T2818:T2881" si="357">D2818</f>
        <v>NDE-3502-AL</v>
      </c>
      <c r="U2818" s="403">
        <f t="shared" ref="U2818:U2881" si="358">I2818</f>
        <v>1</v>
      </c>
      <c r="V2818" s="403" t="str">
        <f t="shared" ref="V2818:V2881" si="359">C2818</f>
        <v>CPP_7_3</v>
      </c>
    </row>
    <row r="2819" spans="1:22">
      <c r="A2819" t="str">
        <f t="shared" si="352"/>
        <v>NDE-3502-AL</v>
      </c>
      <c r="B2819" s="403" t="s">
        <v>1405</v>
      </c>
      <c r="C2819" s="403" t="s">
        <v>582</v>
      </c>
      <c r="D2819" s="403" t="s">
        <v>1406</v>
      </c>
      <c r="E2819" s="403" t="s">
        <v>778</v>
      </c>
      <c r="F2819" s="403" t="s">
        <v>1293</v>
      </c>
      <c r="G2819" s="403" t="s">
        <v>1466</v>
      </c>
      <c r="H2819" s="403" t="s">
        <v>1281</v>
      </c>
      <c r="I2819" s="403">
        <v>1</v>
      </c>
      <c r="J2819" s="403" t="s">
        <v>110</v>
      </c>
      <c r="K2819" s="403">
        <v>1920</v>
      </c>
      <c r="L2819" s="403">
        <v>1080</v>
      </c>
      <c r="M2819" s="403" t="s">
        <v>109</v>
      </c>
      <c r="N2819" s="403">
        <v>1280</v>
      </c>
      <c r="O2819" s="403">
        <v>720</v>
      </c>
      <c r="P2819" t="str">
        <f t="shared" si="353"/>
        <v>25fps 1080p - 720p</v>
      </c>
      <c r="Q2819">
        <f t="shared" si="354"/>
        <v>16</v>
      </c>
      <c r="R2819" t="str">
        <f t="shared" si="355"/>
        <v/>
      </c>
      <c r="S2819" t="str">
        <f t="shared" si="356"/>
        <v/>
      </c>
      <c r="T2819" s="403" t="str">
        <f t="shared" si="357"/>
        <v>NDE-3502-AL</v>
      </c>
      <c r="U2819" s="403">
        <f t="shared" si="358"/>
        <v>1</v>
      </c>
      <c r="V2819" s="403" t="str">
        <f t="shared" si="359"/>
        <v>CPP_7_3</v>
      </c>
    </row>
    <row r="2820" spans="1:22">
      <c r="A2820" t="str">
        <f t="shared" si="352"/>
        <v>NDE-3502-AL</v>
      </c>
      <c r="B2820" s="403" t="s">
        <v>1405</v>
      </c>
      <c r="C2820" s="403" t="s">
        <v>582</v>
      </c>
      <c r="D2820" s="403" t="s">
        <v>1406</v>
      </c>
      <c r="E2820" s="403" t="s">
        <v>778</v>
      </c>
      <c r="F2820" s="403" t="s">
        <v>1293</v>
      </c>
      <c r="G2820" s="403" t="s">
        <v>1466</v>
      </c>
      <c r="H2820" s="403" t="s">
        <v>1281</v>
      </c>
      <c r="I2820" s="403">
        <v>1</v>
      </c>
      <c r="J2820" s="403" t="s">
        <v>110</v>
      </c>
      <c r="K2820" s="403">
        <v>1920</v>
      </c>
      <c r="L2820" s="403">
        <v>1080</v>
      </c>
      <c r="M2820" s="403" t="s">
        <v>1285</v>
      </c>
      <c r="N2820" s="403">
        <v>1280</v>
      </c>
      <c r="O2820" s="403">
        <v>1024</v>
      </c>
      <c r="P2820" t="str">
        <f t="shared" si="353"/>
        <v>25fps 1080p - 1280x1024 5:4 (cropped)</v>
      </c>
      <c r="Q2820">
        <f t="shared" si="354"/>
        <v>16</v>
      </c>
      <c r="R2820" t="str">
        <f t="shared" si="355"/>
        <v/>
      </c>
      <c r="S2820" t="str">
        <f t="shared" si="356"/>
        <v/>
      </c>
      <c r="T2820" s="403" t="str">
        <f t="shared" si="357"/>
        <v>NDE-3502-AL</v>
      </c>
      <c r="U2820" s="403">
        <f t="shared" si="358"/>
        <v>1</v>
      </c>
      <c r="V2820" s="403" t="str">
        <f t="shared" si="359"/>
        <v>CPP_7_3</v>
      </c>
    </row>
    <row r="2821" spans="1:22">
      <c r="A2821" t="str">
        <f t="shared" si="352"/>
        <v>NDE-3502-AL</v>
      </c>
      <c r="B2821" s="403" t="s">
        <v>1405</v>
      </c>
      <c r="C2821" s="403" t="s">
        <v>582</v>
      </c>
      <c r="D2821" s="403" t="s">
        <v>1406</v>
      </c>
      <c r="E2821" s="403" t="s">
        <v>778</v>
      </c>
      <c r="F2821" s="403" t="s">
        <v>1293</v>
      </c>
      <c r="G2821" s="403" t="s">
        <v>1466</v>
      </c>
      <c r="H2821" s="403" t="s">
        <v>1281</v>
      </c>
      <c r="I2821" s="403">
        <v>1</v>
      </c>
      <c r="J2821" s="403" t="s">
        <v>110</v>
      </c>
      <c r="K2821" s="403">
        <v>1920</v>
      </c>
      <c r="L2821" s="403">
        <v>1080</v>
      </c>
      <c r="M2821" s="403" t="s">
        <v>1279</v>
      </c>
      <c r="N2821" s="403">
        <v>768</v>
      </c>
      <c r="O2821" s="403">
        <v>432</v>
      </c>
      <c r="P2821" t="str">
        <f t="shared" si="353"/>
        <v>25fps 1080p - SD ROI PTZ</v>
      </c>
      <c r="Q2821">
        <f t="shared" si="354"/>
        <v>16</v>
      </c>
      <c r="R2821" t="str">
        <f t="shared" si="355"/>
        <v/>
      </c>
      <c r="S2821" t="str">
        <f t="shared" si="356"/>
        <v/>
      </c>
      <c r="T2821" s="403" t="str">
        <f t="shared" si="357"/>
        <v>NDE-3502-AL</v>
      </c>
      <c r="U2821" s="403">
        <f t="shared" si="358"/>
        <v>1</v>
      </c>
      <c r="V2821" s="403" t="str">
        <f t="shared" si="359"/>
        <v>CPP_7_3</v>
      </c>
    </row>
    <row r="2822" spans="1:22">
      <c r="A2822" t="str">
        <f t="shared" si="352"/>
        <v>NDE-3502-AL</v>
      </c>
      <c r="B2822" s="403" t="s">
        <v>1405</v>
      </c>
      <c r="C2822" s="403" t="s">
        <v>582</v>
      </c>
      <c r="D2822" s="403" t="s">
        <v>1406</v>
      </c>
      <c r="E2822" s="403" t="s">
        <v>778</v>
      </c>
      <c r="F2822" s="403" t="s">
        <v>1293</v>
      </c>
      <c r="G2822" s="403" t="s">
        <v>1466</v>
      </c>
      <c r="H2822" s="403" t="s">
        <v>1281</v>
      </c>
      <c r="I2822" s="403">
        <v>1</v>
      </c>
      <c r="J2822" s="403" t="s">
        <v>110</v>
      </c>
      <c r="K2822" s="403">
        <v>1920</v>
      </c>
      <c r="L2822" s="403">
        <v>1080</v>
      </c>
      <c r="M2822" s="403" t="s">
        <v>1283</v>
      </c>
      <c r="N2822" s="403">
        <v>720</v>
      </c>
      <c r="O2822" s="403">
        <v>576</v>
      </c>
      <c r="P2822" t="str">
        <f t="shared" si="353"/>
        <v>25fps 1080p - SD 4CIF resolution 4:3 format (cropped)</v>
      </c>
      <c r="Q2822">
        <f t="shared" si="354"/>
        <v>16</v>
      </c>
      <c r="R2822" t="str">
        <f t="shared" si="355"/>
        <v/>
      </c>
      <c r="S2822" t="str">
        <f t="shared" si="356"/>
        <v/>
      </c>
      <c r="T2822" s="403" t="str">
        <f t="shared" si="357"/>
        <v>NDE-3502-AL</v>
      </c>
      <c r="U2822" s="403">
        <f t="shared" si="358"/>
        <v>1</v>
      </c>
      <c r="V2822" s="403" t="str">
        <f t="shared" si="359"/>
        <v>CPP_7_3</v>
      </c>
    </row>
    <row r="2823" spans="1:22">
      <c r="A2823" t="str">
        <f t="shared" si="352"/>
        <v>NDE-3502-AL</v>
      </c>
      <c r="B2823" s="403" t="s">
        <v>1405</v>
      </c>
      <c r="C2823" s="403" t="s">
        <v>582</v>
      </c>
      <c r="D2823" s="403" t="s">
        <v>1406</v>
      </c>
      <c r="E2823" s="403" t="s">
        <v>778</v>
      </c>
      <c r="F2823" s="403" t="s">
        <v>1293</v>
      </c>
      <c r="G2823" s="403" t="s">
        <v>1466</v>
      </c>
      <c r="H2823" s="403" t="s">
        <v>1281</v>
      </c>
      <c r="I2823" s="403">
        <v>1</v>
      </c>
      <c r="J2823" s="403" t="s">
        <v>110</v>
      </c>
      <c r="K2823" s="403">
        <v>1920</v>
      </c>
      <c r="L2823" s="403">
        <v>1080</v>
      </c>
      <c r="M2823" s="403" t="s">
        <v>1284</v>
      </c>
      <c r="N2823" s="403">
        <v>640</v>
      </c>
      <c r="O2823" s="403">
        <v>480</v>
      </c>
      <c r="P2823" t="str">
        <f t="shared" si="353"/>
        <v>25fps 1080p - SD VGA (cropped)</v>
      </c>
      <c r="Q2823">
        <f t="shared" si="354"/>
        <v>16</v>
      </c>
      <c r="R2823" t="str">
        <f t="shared" si="355"/>
        <v/>
      </c>
      <c r="S2823" t="str">
        <f t="shared" si="356"/>
        <v/>
      </c>
      <c r="T2823" s="403" t="str">
        <f t="shared" si="357"/>
        <v>NDE-3502-AL</v>
      </c>
      <c r="U2823" s="403">
        <f t="shared" si="358"/>
        <v>1</v>
      </c>
      <c r="V2823" s="403" t="str">
        <f t="shared" si="359"/>
        <v>CPP_7_3</v>
      </c>
    </row>
    <row r="2824" spans="1:22">
      <c r="A2824" t="str">
        <f t="shared" si="352"/>
        <v>NDE-3502-AL</v>
      </c>
      <c r="B2824" s="403" t="s">
        <v>1405</v>
      </c>
      <c r="C2824" s="403" t="s">
        <v>582</v>
      </c>
      <c r="D2824" s="403" t="s">
        <v>1406</v>
      </c>
      <c r="E2824" s="403" t="s">
        <v>778</v>
      </c>
      <c r="F2824" s="403" t="s">
        <v>1293</v>
      </c>
      <c r="G2824" s="403" t="s">
        <v>1466</v>
      </c>
      <c r="H2824" s="403" t="s">
        <v>1281</v>
      </c>
      <c r="I2824" s="403">
        <v>1</v>
      </c>
      <c r="J2824" s="403" t="s">
        <v>109</v>
      </c>
      <c r="K2824" s="403">
        <v>1280</v>
      </c>
      <c r="L2824" s="403">
        <v>720</v>
      </c>
      <c r="M2824" s="403" t="s">
        <v>109</v>
      </c>
      <c r="N2824" s="403">
        <v>1280</v>
      </c>
      <c r="O2824" s="403">
        <v>720</v>
      </c>
      <c r="P2824" t="str">
        <f t="shared" si="353"/>
        <v>25fps 720p - 720p</v>
      </c>
      <c r="Q2824">
        <f t="shared" si="354"/>
        <v>16</v>
      </c>
      <c r="R2824" t="str">
        <f t="shared" si="355"/>
        <v/>
      </c>
      <c r="S2824" t="str">
        <f t="shared" si="356"/>
        <v/>
      </c>
      <c r="T2824" s="403" t="str">
        <f t="shared" si="357"/>
        <v>NDE-3502-AL</v>
      </c>
      <c r="U2824" s="403">
        <f t="shared" si="358"/>
        <v>1</v>
      </c>
      <c r="V2824" s="403" t="str">
        <f t="shared" si="359"/>
        <v>CPP_7_3</v>
      </c>
    </row>
    <row r="2825" spans="1:22">
      <c r="A2825" t="str">
        <f t="shared" si="352"/>
        <v>NDE-3502-AL</v>
      </c>
      <c r="B2825" s="403" t="s">
        <v>1405</v>
      </c>
      <c r="C2825" s="403" t="s">
        <v>582</v>
      </c>
      <c r="D2825" s="403" t="s">
        <v>1406</v>
      </c>
      <c r="E2825" s="403" t="s">
        <v>778</v>
      </c>
      <c r="F2825" s="403" t="s">
        <v>1293</v>
      </c>
      <c r="G2825" s="403" t="s">
        <v>1466</v>
      </c>
      <c r="H2825" s="403" t="s">
        <v>1281</v>
      </c>
      <c r="I2825" s="403">
        <v>1</v>
      </c>
      <c r="J2825" s="403" t="s">
        <v>109</v>
      </c>
      <c r="K2825" s="403">
        <v>1280</v>
      </c>
      <c r="L2825" s="403">
        <v>720</v>
      </c>
      <c r="M2825" s="403" t="s">
        <v>111</v>
      </c>
      <c r="N2825" s="403">
        <v>768</v>
      </c>
      <c r="O2825" s="403">
        <v>432</v>
      </c>
      <c r="P2825" t="str">
        <f t="shared" si="353"/>
        <v>25fps 720p - SD</v>
      </c>
      <c r="Q2825">
        <f t="shared" si="354"/>
        <v>16</v>
      </c>
      <c r="R2825" t="str">
        <f t="shared" si="355"/>
        <v/>
      </c>
      <c r="S2825" t="str">
        <f t="shared" si="356"/>
        <v/>
      </c>
      <c r="T2825" s="403" t="str">
        <f t="shared" si="357"/>
        <v>NDE-3502-AL</v>
      </c>
      <c r="U2825" s="403">
        <f t="shared" si="358"/>
        <v>1</v>
      </c>
      <c r="V2825" s="403" t="str">
        <f t="shared" si="359"/>
        <v>CPP_7_3</v>
      </c>
    </row>
    <row r="2826" spans="1:22">
      <c r="A2826" t="str">
        <f t="shared" si="352"/>
        <v>NDE-3502-AL</v>
      </c>
      <c r="B2826" s="403" t="s">
        <v>1405</v>
      </c>
      <c r="C2826" s="403" t="s">
        <v>582</v>
      </c>
      <c r="D2826" s="403" t="s">
        <v>1406</v>
      </c>
      <c r="E2826" s="403" t="s">
        <v>778</v>
      </c>
      <c r="F2826" s="403" t="s">
        <v>1293</v>
      </c>
      <c r="G2826" s="403" t="s">
        <v>1466</v>
      </c>
      <c r="H2826" s="403" t="s">
        <v>1281</v>
      </c>
      <c r="I2826" s="403">
        <v>1</v>
      </c>
      <c r="J2826" s="403" t="s">
        <v>109</v>
      </c>
      <c r="K2826" s="403">
        <v>1280</v>
      </c>
      <c r="L2826" s="403">
        <v>720</v>
      </c>
      <c r="M2826" s="403" t="s">
        <v>1279</v>
      </c>
      <c r="N2826" s="403">
        <v>768</v>
      </c>
      <c r="O2826" s="403">
        <v>432</v>
      </c>
      <c r="P2826" t="str">
        <f t="shared" si="353"/>
        <v>25fps 720p - SD ROI PTZ</v>
      </c>
      <c r="Q2826">
        <f t="shared" si="354"/>
        <v>16</v>
      </c>
      <c r="R2826" t="str">
        <f t="shared" si="355"/>
        <v/>
      </c>
      <c r="S2826" t="str">
        <f t="shared" si="356"/>
        <v/>
      </c>
      <c r="T2826" s="403" t="str">
        <f t="shared" si="357"/>
        <v>NDE-3502-AL</v>
      </c>
      <c r="U2826" s="403">
        <f t="shared" si="358"/>
        <v>1</v>
      </c>
      <c r="V2826" s="403" t="str">
        <f t="shared" si="359"/>
        <v>CPP_7_3</v>
      </c>
    </row>
    <row r="2827" spans="1:22">
      <c r="A2827" t="str">
        <f t="shared" si="352"/>
        <v>NDE-3502-AL</v>
      </c>
      <c r="B2827" s="403" t="s">
        <v>1405</v>
      </c>
      <c r="C2827" s="403" t="s">
        <v>582</v>
      </c>
      <c r="D2827" s="403" t="s">
        <v>1406</v>
      </c>
      <c r="E2827" s="403" t="s">
        <v>778</v>
      </c>
      <c r="F2827" s="403" t="s">
        <v>1293</v>
      </c>
      <c r="G2827" s="403" t="s">
        <v>1466</v>
      </c>
      <c r="H2827" s="403" t="s">
        <v>1281</v>
      </c>
      <c r="I2827" s="403">
        <v>1</v>
      </c>
      <c r="J2827" s="403" t="s">
        <v>109</v>
      </c>
      <c r="K2827" s="403">
        <v>1280</v>
      </c>
      <c r="L2827" s="403">
        <v>720</v>
      </c>
      <c r="M2827" s="403" t="s">
        <v>1283</v>
      </c>
      <c r="N2827" s="403">
        <v>720</v>
      </c>
      <c r="O2827" s="403">
        <v>576</v>
      </c>
      <c r="P2827" t="str">
        <f t="shared" si="353"/>
        <v>25fps 720p - SD 4CIF resolution 4:3 format (cropped)</v>
      </c>
      <c r="Q2827">
        <f t="shared" si="354"/>
        <v>16</v>
      </c>
      <c r="R2827" t="str">
        <f t="shared" si="355"/>
        <v/>
      </c>
      <c r="S2827" t="str">
        <f t="shared" si="356"/>
        <v/>
      </c>
      <c r="T2827" s="403" t="str">
        <f t="shared" si="357"/>
        <v>NDE-3502-AL</v>
      </c>
      <c r="U2827" s="403">
        <f t="shared" si="358"/>
        <v>1</v>
      </c>
      <c r="V2827" s="403" t="str">
        <f t="shared" si="359"/>
        <v>CPP_7_3</v>
      </c>
    </row>
    <row r="2828" spans="1:22">
      <c r="A2828" t="str">
        <f t="shared" si="352"/>
        <v>NDE-3502-AL</v>
      </c>
      <c r="B2828" s="403" t="s">
        <v>1405</v>
      </c>
      <c r="C2828" s="403" t="s">
        <v>582</v>
      </c>
      <c r="D2828" s="403" t="s">
        <v>1406</v>
      </c>
      <c r="E2828" s="403" t="s">
        <v>778</v>
      </c>
      <c r="F2828" s="403" t="s">
        <v>1293</v>
      </c>
      <c r="G2828" s="403" t="s">
        <v>1466</v>
      </c>
      <c r="H2828" s="403" t="s">
        <v>1281</v>
      </c>
      <c r="I2828" s="403">
        <v>1</v>
      </c>
      <c r="J2828" s="403" t="s">
        <v>109</v>
      </c>
      <c r="K2828" s="403">
        <v>1280</v>
      </c>
      <c r="L2828" s="403">
        <v>720</v>
      </c>
      <c r="M2828" s="403" t="s">
        <v>1284</v>
      </c>
      <c r="N2828" s="403">
        <v>640</v>
      </c>
      <c r="O2828" s="403">
        <v>480</v>
      </c>
      <c r="P2828" t="str">
        <f t="shared" si="353"/>
        <v>25fps 720p - SD VGA (cropped)</v>
      </c>
      <c r="Q2828">
        <f t="shared" si="354"/>
        <v>16</v>
      </c>
      <c r="R2828" t="str">
        <f t="shared" si="355"/>
        <v/>
      </c>
      <c r="S2828" t="str">
        <f t="shared" si="356"/>
        <v/>
      </c>
      <c r="T2828" s="403" t="str">
        <f t="shared" si="357"/>
        <v>NDE-3502-AL</v>
      </c>
      <c r="U2828" s="403">
        <f t="shared" si="358"/>
        <v>1</v>
      </c>
      <c r="V2828" s="403" t="str">
        <f t="shared" si="359"/>
        <v>CPP_7_3</v>
      </c>
    </row>
    <row r="2829" spans="1:22">
      <c r="A2829" t="str">
        <f t="shared" si="352"/>
        <v>NDE-3502-AL</v>
      </c>
      <c r="B2829" s="403" t="s">
        <v>1405</v>
      </c>
      <c r="C2829" s="403" t="s">
        <v>582</v>
      </c>
      <c r="D2829" s="403" t="s">
        <v>1406</v>
      </c>
      <c r="E2829" s="403" t="s">
        <v>778</v>
      </c>
      <c r="F2829" s="403" t="s">
        <v>1293</v>
      </c>
      <c r="G2829" s="403" t="s">
        <v>1467</v>
      </c>
      <c r="H2829" s="403" t="s">
        <v>1276</v>
      </c>
      <c r="I2829" s="403">
        <v>1</v>
      </c>
      <c r="J2829" s="403" t="s">
        <v>110</v>
      </c>
      <c r="K2829" s="403">
        <v>1080</v>
      </c>
      <c r="L2829" s="403">
        <v>1920</v>
      </c>
      <c r="M2829" s="403" t="s">
        <v>111</v>
      </c>
      <c r="N2829" s="403">
        <v>432</v>
      </c>
      <c r="O2829" s="403">
        <v>768</v>
      </c>
      <c r="P2829" t="str">
        <f t="shared" si="353"/>
        <v>25fps 1080p - SD</v>
      </c>
      <c r="Q2829">
        <f t="shared" si="354"/>
        <v>16</v>
      </c>
      <c r="R2829" t="str">
        <f t="shared" si="355"/>
        <v/>
      </c>
      <c r="S2829" t="str">
        <f t="shared" si="356"/>
        <v/>
      </c>
      <c r="T2829" s="403" t="str">
        <f t="shared" si="357"/>
        <v>NDE-3502-AL</v>
      </c>
      <c r="U2829" s="403">
        <f t="shared" si="358"/>
        <v>1</v>
      </c>
      <c r="V2829" s="403" t="str">
        <f t="shared" si="359"/>
        <v>CPP_7_3</v>
      </c>
    </row>
    <row r="2830" spans="1:22">
      <c r="A2830" t="str">
        <f t="shared" si="352"/>
        <v>NDE-3502-AL</v>
      </c>
      <c r="B2830" s="403" t="s">
        <v>1405</v>
      </c>
      <c r="C2830" s="403" t="s">
        <v>582</v>
      </c>
      <c r="D2830" s="403" t="s">
        <v>1406</v>
      </c>
      <c r="E2830" s="403" t="s">
        <v>778</v>
      </c>
      <c r="F2830" s="403" t="s">
        <v>1293</v>
      </c>
      <c r="G2830" s="403" t="s">
        <v>1467</v>
      </c>
      <c r="H2830" s="403" t="s">
        <v>1276</v>
      </c>
      <c r="I2830" s="403">
        <v>1</v>
      </c>
      <c r="J2830" s="403" t="s">
        <v>110</v>
      </c>
      <c r="K2830" s="403">
        <v>1080</v>
      </c>
      <c r="L2830" s="403">
        <v>1920</v>
      </c>
      <c r="M2830" s="403" t="s">
        <v>109</v>
      </c>
      <c r="N2830" s="403">
        <v>720</v>
      </c>
      <c r="O2830" s="403">
        <v>1280</v>
      </c>
      <c r="P2830" t="str">
        <f t="shared" si="353"/>
        <v>25fps 1080p - 720p</v>
      </c>
      <c r="Q2830">
        <f t="shared" si="354"/>
        <v>16</v>
      </c>
      <c r="R2830" t="str">
        <f t="shared" si="355"/>
        <v/>
      </c>
      <c r="S2830" t="str">
        <f t="shared" si="356"/>
        <v/>
      </c>
      <c r="T2830" s="403" t="str">
        <f t="shared" si="357"/>
        <v>NDE-3502-AL</v>
      </c>
      <c r="U2830" s="403">
        <f t="shared" si="358"/>
        <v>1</v>
      </c>
      <c r="V2830" s="403" t="str">
        <f t="shared" si="359"/>
        <v>CPP_7_3</v>
      </c>
    </row>
    <row r="2831" spans="1:22">
      <c r="A2831" t="str">
        <f t="shared" si="352"/>
        <v>NDE-3502-AL</v>
      </c>
      <c r="B2831" s="403" t="s">
        <v>1405</v>
      </c>
      <c r="C2831" s="403" t="s">
        <v>582</v>
      </c>
      <c r="D2831" s="403" t="s">
        <v>1406</v>
      </c>
      <c r="E2831" s="403" t="s">
        <v>778</v>
      </c>
      <c r="F2831" s="403" t="s">
        <v>1293</v>
      </c>
      <c r="G2831" s="403" t="s">
        <v>1467</v>
      </c>
      <c r="H2831" s="403" t="s">
        <v>1276</v>
      </c>
      <c r="I2831" s="403">
        <v>1</v>
      </c>
      <c r="J2831" s="403" t="s">
        <v>110</v>
      </c>
      <c r="K2831" s="403">
        <v>1080</v>
      </c>
      <c r="L2831" s="403">
        <v>1920</v>
      </c>
      <c r="M2831" s="403" t="s">
        <v>1285</v>
      </c>
      <c r="N2831" s="403">
        <v>1024</v>
      </c>
      <c r="O2831" s="403">
        <v>1280</v>
      </c>
      <c r="P2831" t="str">
        <f t="shared" si="353"/>
        <v>25fps 1080p - 1280x1024 5:4 (cropped)</v>
      </c>
      <c r="Q2831">
        <f t="shared" si="354"/>
        <v>16</v>
      </c>
      <c r="R2831" t="str">
        <f t="shared" si="355"/>
        <v/>
      </c>
      <c r="S2831" t="str">
        <f t="shared" si="356"/>
        <v/>
      </c>
      <c r="T2831" s="403" t="str">
        <f t="shared" si="357"/>
        <v>NDE-3502-AL</v>
      </c>
      <c r="U2831" s="403">
        <f t="shared" si="358"/>
        <v>1</v>
      </c>
      <c r="V2831" s="403" t="str">
        <f t="shared" si="359"/>
        <v>CPP_7_3</v>
      </c>
    </row>
    <row r="2832" spans="1:22">
      <c r="A2832" t="str">
        <f t="shared" si="352"/>
        <v>NDE-3502-AL</v>
      </c>
      <c r="B2832" s="403" t="s">
        <v>1405</v>
      </c>
      <c r="C2832" s="403" t="s">
        <v>582</v>
      </c>
      <c r="D2832" s="403" t="s">
        <v>1406</v>
      </c>
      <c r="E2832" s="403" t="s">
        <v>778</v>
      </c>
      <c r="F2832" s="403" t="s">
        <v>1293</v>
      </c>
      <c r="G2832" s="403" t="s">
        <v>1467</v>
      </c>
      <c r="H2832" s="403" t="s">
        <v>1276</v>
      </c>
      <c r="I2832" s="403">
        <v>1</v>
      </c>
      <c r="J2832" s="403" t="s">
        <v>110</v>
      </c>
      <c r="K2832" s="403">
        <v>1080</v>
      </c>
      <c r="L2832" s="403">
        <v>1920</v>
      </c>
      <c r="M2832" s="403" t="s">
        <v>1279</v>
      </c>
      <c r="N2832" s="403">
        <v>432</v>
      </c>
      <c r="O2832" s="403">
        <v>768</v>
      </c>
      <c r="P2832" t="str">
        <f t="shared" si="353"/>
        <v>25fps 1080p - SD ROI PTZ</v>
      </c>
      <c r="Q2832">
        <f t="shared" si="354"/>
        <v>16</v>
      </c>
      <c r="R2832" t="str">
        <f t="shared" si="355"/>
        <v/>
      </c>
      <c r="S2832" t="str">
        <f t="shared" si="356"/>
        <v/>
      </c>
      <c r="T2832" s="403" t="str">
        <f t="shared" si="357"/>
        <v>NDE-3502-AL</v>
      </c>
      <c r="U2832" s="403">
        <f t="shared" si="358"/>
        <v>1</v>
      </c>
      <c r="V2832" s="403" t="str">
        <f t="shared" si="359"/>
        <v>CPP_7_3</v>
      </c>
    </row>
    <row r="2833" spans="1:22">
      <c r="A2833" t="str">
        <f t="shared" si="352"/>
        <v>NDE-3502-AL</v>
      </c>
      <c r="B2833" s="403" t="s">
        <v>1405</v>
      </c>
      <c r="C2833" s="403" t="s">
        <v>582</v>
      </c>
      <c r="D2833" s="403" t="s">
        <v>1406</v>
      </c>
      <c r="E2833" s="403" t="s">
        <v>778</v>
      </c>
      <c r="F2833" s="403" t="s">
        <v>1293</v>
      </c>
      <c r="G2833" s="403" t="s">
        <v>1467</v>
      </c>
      <c r="H2833" s="403" t="s">
        <v>1276</v>
      </c>
      <c r="I2833" s="403">
        <v>1</v>
      </c>
      <c r="J2833" s="403" t="s">
        <v>110</v>
      </c>
      <c r="K2833" s="403">
        <v>1080</v>
      </c>
      <c r="L2833" s="403">
        <v>1920</v>
      </c>
      <c r="M2833" s="403" t="s">
        <v>1283</v>
      </c>
      <c r="N2833" s="403">
        <v>576</v>
      </c>
      <c r="O2833" s="403">
        <v>720</v>
      </c>
      <c r="P2833" t="str">
        <f t="shared" si="353"/>
        <v>25fps 1080p - SD 4CIF resolution 4:3 format (cropped)</v>
      </c>
      <c r="Q2833">
        <f t="shared" si="354"/>
        <v>16</v>
      </c>
      <c r="R2833" t="str">
        <f t="shared" si="355"/>
        <v/>
      </c>
      <c r="S2833" t="str">
        <f t="shared" si="356"/>
        <v/>
      </c>
      <c r="T2833" s="403" t="str">
        <f t="shared" si="357"/>
        <v>NDE-3502-AL</v>
      </c>
      <c r="U2833" s="403">
        <f t="shared" si="358"/>
        <v>1</v>
      </c>
      <c r="V2833" s="403" t="str">
        <f t="shared" si="359"/>
        <v>CPP_7_3</v>
      </c>
    </row>
    <row r="2834" spans="1:22">
      <c r="A2834" t="str">
        <f t="shared" si="352"/>
        <v>NDE-3502-AL</v>
      </c>
      <c r="B2834" s="403" t="s">
        <v>1405</v>
      </c>
      <c r="C2834" s="403" t="s">
        <v>582</v>
      </c>
      <c r="D2834" s="403" t="s">
        <v>1406</v>
      </c>
      <c r="E2834" s="403" t="s">
        <v>778</v>
      </c>
      <c r="F2834" s="403" t="s">
        <v>1293</v>
      </c>
      <c r="G2834" s="403" t="s">
        <v>1467</v>
      </c>
      <c r="H2834" s="403" t="s">
        <v>1276</v>
      </c>
      <c r="I2834" s="403">
        <v>1</v>
      </c>
      <c r="J2834" s="403" t="s">
        <v>110</v>
      </c>
      <c r="K2834" s="403">
        <v>1080</v>
      </c>
      <c r="L2834" s="403">
        <v>1920</v>
      </c>
      <c r="M2834" s="403" t="s">
        <v>1284</v>
      </c>
      <c r="N2834" s="403">
        <v>480</v>
      </c>
      <c r="O2834" s="403">
        <v>640</v>
      </c>
      <c r="P2834" t="str">
        <f t="shared" si="353"/>
        <v>25fps 1080p - SD VGA (cropped)</v>
      </c>
      <c r="Q2834">
        <f t="shared" si="354"/>
        <v>16</v>
      </c>
      <c r="R2834" t="str">
        <f t="shared" si="355"/>
        <v/>
      </c>
      <c r="S2834" t="str">
        <f t="shared" si="356"/>
        <v/>
      </c>
      <c r="T2834" s="403" t="str">
        <f t="shared" si="357"/>
        <v>NDE-3502-AL</v>
      </c>
      <c r="U2834" s="403">
        <f t="shared" si="358"/>
        <v>1</v>
      </c>
      <c r="V2834" s="403" t="str">
        <f t="shared" si="359"/>
        <v>CPP_7_3</v>
      </c>
    </row>
    <row r="2835" spans="1:22">
      <c r="A2835" t="str">
        <f t="shared" si="352"/>
        <v>NDE-3502-AL</v>
      </c>
      <c r="B2835" s="403" t="s">
        <v>1405</v>
      </c>
      <c r="C2835" s="403" t="s">
        <v>582</v>
      </c>
      <c r="D2835" s="403" t="s">
        <v>1406</v>
      </c>
      <c r="E2835" s="403" t="s">
        <v>778</v>
      </c>
      <c r="F2835" s="403" t="s">
        <v>1293</v>
      </c>
      <c r="G2835" s="403" t="s">
        <v>1467</v>
      </c>
      <c r="H2835" s="403" t="s">
        <v>1276</v>
      </c>
      <c r="I2835" s="403">
        <v>1</v>
      </c>
      <c r="J2835" s="403" t="s">
        <v>109</v>
      </c>
      <c r="K2835" s="403">
        <v>720</v>
      </c>
      <c r="L2835" s="403">
        <v>1280</v>
      </c>
      <c r="M2835" s="403" t="s">
        <v>109</v>
      </c>
      <c r="N2835" s="403">
        <v>720</v>
      </c>
      <c r="O2835" s="403">
        <v>1280</v>
      </c>
      <c r="P2835" t="str">
        <f t="shared" si="353"/>
        <v>25fps 720p - 720p</v>
      </c>
      <c r="Q2835">
        <f t="shared" si="354"/>
        <v>16</v>
      </c>
      <c r="R2835" t="str">
        <f t="shared" si="355"/>
        <v/>
      </c>
      <c r="S2835" t="str">
        <f t="shared" si="356"/>
        <v/>
      </c>
      <c r="T2835" s="403" t="str">
        <f t="shared" si="357"/>
        <v>NDE-3502-AL</v>
      </c>
      <c r="U2835" s="403">
        <f t="shared" si="358"/>
        <v>1</v>
      </c>
      <c r="V2835" s="403" t="str">
        <f t="shared" si="359"/>
        <v>CPP_7_3</v>
      </c>
    </row>
    <row r="2836" spans="1:22">
      <c r="A2836" t="str">
        <f t="shared" si="352"/>
        <v>NDE-3502-AL</v>
      </c>
      <c r="B2836" s="403" t="s">
        <v>1405</v>
      </c>
      <c r="C2836" s="403" t="s">
        <v>582</v>
      </c>
      <c r="D2836" s="403" t="s">
        <v>1406</v>
      </c>
      <c r="E2836" s="403" t="s">
        <v>778</v>
      </c>
      <c r="F2836" s="403" t="s">
        <v>1293</v>
      </c>
      <c r="G2836" s="403" t="s">
        <v>1467</v>
      </c>
      <c r="H2836" s="403" t="s">
        <v>1276</v>
      </c>
      <c r="I2836" s="403">
        <v>1</v>
      </c>
      <c r="J2836" s="403" t="s">
        <v>109</v>
      </c>
      <c r="K2836" s="403">
        <v>720</v>
      </c>
      <c r="L2836" s="403">
        <v>1280</v>
      </c>
      <c r="M2836" s="403" t="s">
        <v>111</v>
      </c>
      <c r="N2836" s="403">
        <v>432</v>
      </c>
      <c r="O2836" s="403">
        <v>768</v>
      </c>
      <c r="P2836" t="str">
        <f t="shared" si="353"/>
        <v>25fps 720p - SD</v>
      </c>
      <c r="Q2836">
        <f t="shared" si="354"/>
        <v>16</v>
      </c>
      <c r="R2836" t="str">
        <f t="shared" si="355"/>
        <v/>
      </c>
      <c r="S2836" t="str">
        <f t="shared" si="356"/>
        <v/>
      </c>
      <c r="T2836" s="403" t="str">
        <f t="shared" si="357"/>
        <v>NDE-3502-AL</v>
      </c>
      <c r="U2836" s="403">
        <f t="shared" si="358"/>
        <v>1</v>
      </c>
      <c r="V2836" s="403" t="str">
        <f t="shared" si="359"/>
        <v>CPP_7_3</v>
      </c>
    </row>
    <row r="2837" spans="1:22">
      <c r="A2837" t="str">
        <f t="shared" si="352"/>
        <v>NDE-3502-AL</v>
      </c>
      <c r="B2837" s="403" t="s">
        <v>1405</v>
      </c>
      <c r="C2837" s="403" t="s">
        <v>582</v>
      </c>
      <c r="D2837" s="403" t="s">
        <v>1406</v>
      </c>
      <c r="E2837" s="403" t="s">
        <v>778</v>
      </c>
      <c r="F2837" s="403" t="s">
        <v>1293</v>
      </c>
      <c r="G2837" s="403" t="s">
        <v>1467</v>
      </c>
      <c r="H2837" s="403" t="s">
        <v>1276</v>
      </c>
      <c r="I2837" s="403">
        <v>1</v>
      </c>
      <c r="J2837" s="403" t="s">
        <v>109</v>
      </c>
      <c r="K2837" s="403">
        <v>720</v>
      </c>
      <c r="L2837" s="403">
        <v>1280</v>
      </c>
      <c r="M2837" s="403" t="s">
        <v>1279</v>
      </c>
      <c r="N2837" s="403">
        <v>432</v>
      </c>
      <c r="O2837" s="403">
        <v>768</v>
      </c>
      <c r="P2837" t="str">
        <f t="shared" si="353"/>
        <v>25fps 720p - SD ROI PTZ</v>
      </c>
      <c r="Q2837">
        <f t="shared" si="354"/>
        <v>16</v>
      </c>
      <c r="R2837" t="str">
        <f t="shared" si="355"/>
        <v/>
      </c>
      <c r="S2837" t="str">
        <f t="shared" si="356"/>
        <v/>
      </c>
      <c r="T2837" s="403" t="str">
        <f t="shared" si="357"/>
        <v>NDE-3502-AL</v>
      </c>
      <c r="U2837" s="403">
        <f t="shared" si="358"/>
        <v>1</v>
      </c>
      <c r="V2837" s="403" t="str">
        <f t="shared" si="359"/>
        <v>CPP_7_3</v>
      </c>
    </row>
    <row r="2838" spans="1:22">
      <c r="A2838" t="str">
        <f t="shared" si="352"/>
        <v>NDE-3502-AL</v>
      </c>
      <c r="B2838" s="403" t="s">
        <v>1405</v>
      </c>
      <c r="C2838" s="403" t="s">
        <v>582</v>
      </c>
      <c r="D2838" s="403" t="s">
        <v>1406</v>
      </c>
      <c r="E2838" s="403" t="s">
        <v>778</v>
      </c>
      <c r="F2838" s="403" t="s">
        <v>1293</v>
      </c>
      <c r="G2838" s="403" t="s">
        <v>1467</v>
      </c>
      <c r="H2838" s="403" t="s">
        <v>1276</v>
      </c>
      <c r="I2838" s="403">
        <v>1</v>
      </c>
      <c r="J2838" s="403" t="s">
        <v>109</v>
      </c>
      <c r="K2838" s="403">
        <v>720</v>
      </c>
      <c r="L2838" s="403">
        <v>1280</v>
      </c>
      <c r="M2838" s="403" t="s">
        <v>1283</v>
      </c>
      <c r="N2838" s="403">
        <v>576</v>
      </c>
      <c r="O2838" s="403">
        <v>720</v>
      </c>
      <c r="P2838" t="str">
        <f t="shared" si="353"/>
        <v>25fps 720p - SD 4CIF resolution 4:3 format (cropped)</v>
      </c>
      <c r="Q2838">
        <f t="shared" si="354"/>
        <v>16</v>
      </c>
      <c r="R2838" t="str">
        <f t="shared" si="355"/>
        <v/>
      </c>
      <c r="S2838" t="str">
        <f t="shared" si="356"/>
        <v/>
      </c>
      <c r="T2838" s="403" t="str">
        <f t="shared" si="357"/>
        <v>NDE-3502-AL</v>
      </c>
      <c r="U2838" s="403">
        <f t="shared" si="358"/>
        <v>1</v>
      </c>
      <c r="V2838" s="403" t="str">
        <f t="shared" si="359"/>
        <v>CPP_7_3</v>
      </c>
    </row>
    <row r="2839" spans="1:22">
      <c r="A2839" t="str">
        <f t="shared" si="352"/>
        <v>NDE-3502-AL</v>
      </c>
      <c r="B2839" s="403" t="s">
        <v>1405</v>
      </c>
      <c r="C2839" s="403" t="s">
        <v>582</v>
      </c>
      <c r="D2839" s="403" t="s">
        <v>1406</v>
      </c>
      <c r="E2839" s="403" t="s">
        <v>778</v>
      </c>
      <c r="F2839" s="403" t="s">
        <v>1293</v>
      </c>
      <c r="G2839" s="403" t="s">
        <v>1467</v>
      </c>
      <c r="H2839" s="403" t="s">
        <v>1276</v>
      </c>
      <c r="I2839" s="403">
        <v>1</v>
      </c>
      <c r="J2839" s="403" t="s">
        <v>109</v>
      </c>
      <c r="K2839" s="403">
        <v>720</v>
      </c>
      <c r="L2839" s="403">
        <v>1280</v>
      </c>
      <c r="M2839" s="403" t="s">
        <v>1284</v>
      </c>
      <c r="N2839" s="403">
        <v>480</v>
      </c>
      <c r="O2839" s="403">
        <v>640</v>
      </c>
      <c r="P2839" t="str">
        <f t="shared" si="353"/>
        <v>25fps 720p - SD VGA (cropped)</v>
      </c>
      <c r="Q2839">
        <f t="shared" si="354"/>
        <v>16</v>
      </c>
      <c r="R2839" t="str">
        <f t="shared" si="355"/>
        <v/>
      </c>
      <c r="S2839" t="str">
        <f t="shared" si="356"/>
        <v/>
      </c>
      <c r="T2839" s="403" t="str">
        <f t="shared" si="357"/>
        <v>NDE-3502-AL</v>
      </c>
      <c r="U2839" s="403">
        <f t="shared" si="358"/>
        <v>1</v>
      </c>
      <c r="V2839" s="403" t="str">
        <f t="shared" si="359"/>
        <v>CPP_7_3</v>
      </c>
    </row>
    <row r="2840" spans="1:22">
      <c r="A2840" t="str">
        <f t="shared" si="352"/>
        <v>NDE-3502-AL</v>
      </c>
      <c r="B2840" s="403" t="s">
        <v>1405</v>
      </c>
      <c r="C2840" s="403" t="s">
        <v>582</v>
      </c>
      <c r="D2840" s="403" t="s">
        <v>1406</v>
      </c>
      <c r="E2840" s="403" t="s">
        <v>778</v>
      </c>
      <c r="F2840" s="403" t="s">
        <v>1293</v>
      </c>
      <c r="G2840" s="403" t="s">
        <v>1467</v>
      </c>
      <c r="H2840" s="403" t="s">
        <v>1281</v>
      </c>
      <c r="I2840" s="403">
        <v>1</v>
      </c>
      <c r="J2840" s="403" t="s">
        <v>110</v>
      </c>
      <c r="K2840" s="403">
        <v>1080</v>
      </c>
      <c r="L2840" s="403">
        <v>1920</v>
      </c>
      <c r="M2840" s="403" t="s">
        <v>111</v>
      </c>
      <c r="N2840" s="403">
        <v>432</v>
      </c>
      <c r="O2840" s="403">
        <v>768</v>
      </c>
      <c r="P2840" t="str">
        <f t="shared" si="353"/>
        <v>25fps 1080p - SD</v>
      </c>
      <c r="Q2840">
        <f t="shared" si="354"/>
        <v>16</v>
      </c>
      <c r="R2840" t="str">
        <f t="shared" si="355"/>
        <v/>
      </c>
      <c r="S2840" t="str">
        <f t="shared" si="356"/>
        <v/>
      </c>
      <c r="T2840" s="403" t="str">
        <f t="shared" si="357"/>
        <v>NDE-3502-AL</v>
      </c>
      <c r="U2840" s="403">
        <f t="shared" si="358"/>
        <v>1</v>
      </c>
      <c r="V2840" s="403" t="str">
        <f t="shared" si="359"/>
        <v>CPP_7_3</v>
      </c>
    </row>
    <row r="2841" spans="1:22">
      <c r="A2841" t="str">
        <f t="shared" si="352"/>
        <v>NDE-3502-AL</v>
      </c>
      <c r="B2841" s="403" t="s">
        <v>1405</v>
      </c>
      <c r="C2841" s="403" t="s">
        <v>582</v>
      </c>
      <c r="D2841" s="403" t="s">
        <v>1406</v>
      </c>
      <c r="E2841" s="403" t="s">
        <v>778</v>
      </c>
      <c r="F2841" s="403" t="s">
        <v>1293</v>
      </c>
      <c r="G2841" s="403" t="s">
        <v>1467</v>
      </c>
      <c r="H2841" s="403" t="s">
        <v>1281</v>
      </c>
      <c r="I2841" s="403">
        <v>1</v>
      </c>
      <c r="J2841" s="403" t="s">
        <v>110</v>
      </c>
      <c r="K2841" s="403">
        <v>1080</v>
      </c>
      <c r="L2841" s="403">
        <v>1920</v>
      </c>
      <c r="M2841" s="403" t="s">
        <v>109</v>
      </c>
      <c r="N2841" s="403">
        <v>720</v>
      </c>
      <c r="O2841" s="403">
        <v>1280</v>
      </c>
      <c r="P2841" t="str">
        <f t="shared" si="353"/>
        <v>25fps 1080p - 720p</v>
      </c>
      <c r="Q2841">
        <f t="shared" si="354"/>
        <v>16</v>
      </c>
      <c r="R2841" t="str">
        <f t="shared" si="355"/>
        <v/>
      </c>
      <c r="S2841" t="str">
        <f t="shared" si="356"/>
        <v/>
      </c>
      <c r="T2841" s="403" t="str">
        <f t="shared" si="357"/>
        <v>NDE-3502-AL</v>
      </c>
      <c r="U2841" s="403">
        <f t="shared" si="358"/>
        <v>1</v>
      </c>
      <c r="V2841" s="403" t="str">
        <f t="shared" si="359"/>
        <v>CPP_7_3</v>
      </c>
    </row>
    <row r="2842" spans="1:22">
      <c r="A2842" t="str">
        <f t="shared" si="352"/>
        <v>NDE-3502-AL</v>
      </c>
      <c r="B2842" s="403" t="s">
        <v>1405</v>
      </c>
      <c r="C2842" s="403" t="s">
        <v>582</v>
      </c>
      <c r="D2842" s="403" t="s">
        <v>1406</v>
      </c>
      <c r="E2842" s="403" t="s">
        <v>778</v>
      </c>
      <c r="F2842" s="403" t="s">
        <v>1293</v>
      </c>
      <c r="G2842" s="403" t="s">
        <v>1467</v>
      </c>
      <c r="H2842" s="403" t="s">
        <v>1281</v>
      </c>
      <c r="I2842" s="403">
        <v>1</v>
      </c>
      <c r="J2842" s="403" t="s">
        <v>110</v>
      </c>
      <c r="K2842" s="403">
        <v>1080</v>
      </c>
      <c r="L2842" s="403">
        <v>1920</v>
      </c>
      <c r="M2842" s="403" t="s">
        <v>1285</v>
      </c>
      <c r="N2842" s="403">
        <v>1024</v>
      </c>
      <c r="O2842" s="403">
        <v>1280</v>
      </c>
      <c r="P2842" t="str">
        <f t="shared" si="353"/>
        <v>25fps 1080p - 1280x1024 5:4 (cropped)</v>
      </c>
      <c r="Q2842">
        <f t="shared" si="354"/>
        <v>16</v>
      </c>
      <c r="R2842" t="str">
        <f t="shared" si="355"/>
        <v/>
      </c>
      <c r="S2842" t="str">
        <f t="shared" si="356"/>
        <v/>
      </c>
      <c r="T2842" s="403" t="str">
        <f t="shared" si="357"/>
        <v>NDE-3502-AL</v>
      </c>
      <c r="U2842" s="403">
        <f t="shared" si="358"/>
        <v>1</v>
      </c>
      <c r="V2842" s="403" t="str">
        <f t="shared" si="359"/>
        <v>CPP_7_3</v>
      </c>
    </row>
    <row r="2843" spans="1:22">
      <c r="A2843" t="str">
        <f t="shared" si="352"/>
        <v>NDE-3502-AL</v>
      </c>
      <c r="B2843" s="403" t="s">
        <v>1405</v>
      </c>
      <c r="C2843" s="403" t="s">
        <v>582</v>
      </c>
      <c r="D2843" s="403" t="s">
        <v>1406</v>
      </c>
      <c r="E2843" s="403" t="s">
        <v>778</v>
      </c>
      <c r="F2843" s="403" t="s">
        <v>1293</v>
      </c>
      <c r="G2843" s="403" t="s">
        <v>1467</v>
      </c>
      <c r="H2843" s="403" t="s">
        <v>1281</v>
      </c>
      <c r="I2843" s="403">
        <v>1</v>
      </c>
      <c r="J2843" s="403" t="s">
        <v>110</v>
      </c>
      <c r="K2843" s="403">
        <v>1080</v>
      </c>
      <c r="L2843" s="403">
        <v>1920</v>
      </c>
      <c r="M2843" s="403" t="s">
        <v>1279</v>
      </c>
      <c r="N2843" s="403">
        <v>432</v>
      </c>
      <c r="O2843" s="403">
        <v>768</v>
      </c>
      <c r="P2843" t="str">
        <f t="shared" si="353"/>
        <v>25fps 1080p - SD ROI PTZ</v>
      </c>
      <c r="Q2843">
        <f t="shared" si="354"/>
        <v>16</v>
      </c>
      <c r="R2843" t="str">
        <f t="shared" si="355"/>
        <v/>
      </c>
      <c r="S2843" t="str">
        <f t="shared" si="356"/>
        <v/>
      </c>
      <c r="T2843" s="403" t="str">
        <f t="shared" si="357"/>
        <v>NDE-3502-AL</v>
      </c>
      <c r="U2843" s="403">
        <f t="shared" si="358"/>
        <v>1</v>
      </c>
      <c r="V2843" s="403" t="str">
        <f t="shared" si="359"/>
        <v>CPP_7_3</v>
      </c>
    </row>
    <row r="2844" spans="1:22">
      <c r="A2844" t="str">
        <f t="shared" si="352"/>
        <v>NDE-3502-AL</v>
      </c>
      <c r="B2844" s="403" t="s">
        <v>1405</v>
      </c>
      <c r="C2844" s="403" t="s">
        <v>582</v>
      </c>
      <c r="D2844" s="403" t="s">
        <v>1406</v>
      </c>
      <c r="E2844" s="403" t="s">
        <v>778</v>
      </c>
      <c r="F2844" s="403" t="s">
        <v>1293</v>
      </c>
      <c r="G2844" s="403" t="s">
        <v>1467</v>
      </c>
      <c r="H2844" s="403" t="s">
        <v>1281</v>
      </c>
      <c r="I2844" s="403">
        <v>1</v>
      </c>
      <c r="J2844" s="403" t="s">
        <v>110</v>
      </c>
      <c r="K2844" s="403">
        <v>1080</v>
      </c>
      <c r="L2844" s="403">
        <v>1920</v>
      </c>
      <c r="M2844" s="403" t="s">
        <v>1283</v>
      </c>
      <c r="N2844" s="403">
        <v>576</v>
      </c>
      <c r="O2844" s="403">
        <v>720</v>
      </c>
      <c r="P2844" t="str">
        <f t="shared" si="353"/>
        <v>25fps 1080p - SD 4CIF resolution 4:3 format (cropped)</v>
      </c>
      <c r="Q2844">
        <f t="shared" si="354"/>
        <v>16</v>
      </c>
      <c r="R2844" t="str">
        <f t="shared" si="355"/>
        <v/>
      </c>
      <c r="S2844" t="str">
        <f t="shared" si="356"/>
        <v/>
      </c>
      <c r="T2844" s="403" t="str">
        <f t="shared" si="357"/>
        <v>NDE-3502-AL</v>
      </c>
      <c r="U2844" s="403">
        <f t="shared" si="358"/>
        <v>1</v>
      </c>
      <c r="V2844" s="403" t="str">
        <f t="shared" si="359"/>
        <v>CPP_7_3</v>
      </c>
    </row>
    <row r="2845" spans="1:22">
      <c r="A2845" t="str">
        <f t="shared" si="352"/>
        <v>NDE-3502-AL</v>
      </c>
      <c r="B2845" s="403" t="s">
        <v>1405</v>
      </c>
      <c r="C2845" s="403" t="s">
        <v>582</v>
      </c>
      <c r="D2845" s="403" t="s">
        <v>1406</v>
      </c>
      <c r="E2845" s="403" t="s">
        <v>778</v>
      </c>
      <c r="F2845" s="403" t="s">
        <v>1293</v>
      </c>
      <c r="G2845" s="403" t="s">
        <v>1467</v>
      </c>
      <c r="H2845" s="403" t="s">
        <v>1281</v>
      </c>
      <c r="I2845" s="403">
        <v>1</v>
      </c>
      <c r="J2845" s="403" t="s">
        <v>110</v>
      </c>
      <c r="K2845" s="403">
        <v>1080</v>
      </c>
      <c r="L2845" s="403">
        <v>1920</v>
      </c>
      <c r="M2845" s="403" t="s">
        <v>1284</v>
      </c>
      <c r="N2845" s="403">
        <v>480</v>
      </c>
      <c r="O2845" s="403">
        <v>640</v>
      </c>
      <c r="P2845" t="str">
        <f t="shared" si="353"/>
        <v>25fps 1080p - SD VGA (cropped)</v>
      </c>
      <c r="Q2845">
        <f t="shared" si="354"/>
        <v>16</v>
      </c>
      <c r="R2845" t="str">
        <f t="shared" si="355"/>
        <v/>
      </c>
      <c r="S2845" t="str">
        <f t="shared" si="356"/>
        <v/>
      </c>
      <c r="T2845" s="403" t="str">
        <f t="shared" si="357"/>
        <v>NDE-3502-AL</v>
      </c>
      <c r="U2845" s="403">
        <f t="shared" si="358"/>
        <v>1</v>
      </c>
      <c r="V2845" s="403" t="str">
        <f t="shared" si="359"/>
        <v>CPP_7_3</v>
      </c>
    </row>
    <row r="2846" spans="1:22">
      <c r="A2846" t="str">
        <f t="shared" si="352"/>
        <v>NDE-3502-AL</v>
      </c>
      <c r="B2846" s="403" t="s">
        <v>1405</v>
      </c>
      <c r="C2846" s="403" t="s">
        <v>582</v>
      </c>
      <c r="D2846" s="403" t="s">
        <v>1406</v>
      </c>
      <c r="E2846" s="403" t="s">
        <v>778</v>
      </c>
      <c r="F2846" s="403" t="s">
        <v>1293</v>
      </c>
      <c r="G2846" s="403" t="s">
        <v>1467</v>
      </c>
      <c r="H2846" s="403" t="s">
        <v>1281</v>
      </c>
      <c r="I2846" s="403">
        <v>1</v>
      </c>
      <c r="J2846" s="403" t="s">
        <v>109</v>
      </c>
      <c r="K2846" s="403">
        <v>720</v>
      </c>
      <c r="L2846" s="403">
        <v>1280</v>
      </c>
      <c r="M2846" s="403" t="s">
        <v>109</v>
      </c>
      <c r="N2846" s="403">
        <v>720</v>
      </c>
      <c r="O2846" s="403">
        <v>1280</v>
      </c>
      <c r="P2846" t="str">
        <f t="shared" si="353"/>
        <v>25fps 720p - 720p</v>
      </c>
      <c r="Q2846">
        <f t="shared" si="354"/>
        <v>16</v>
      </c>
      <c r="R2846" t="str">
        <f t="shared" si="355"/>
        <v/>
      </c>
      <c r="S2846" t="str">
        <f t="shared" si="356"/>
        <v/>
      </c>
      <c r="T2846" s="403" t="str">
        <f t="shared" si="357"/>
        <v>NDE-3502-AL</v>
      </c>
      <c r="U2846" s="403">
        <f t="shared" si="358"/>
        <v>1</v>
      </c>
      <c r="V2846" s="403" t="str">
        <f t="shared" si="359"/>
        <v>CPP_7_3</v>
      </c>
    </row>
    <row r="2847" spans="1:22">
      <c r="A2847" t="str">
        <f t="shared" si="352"/>
        <v>NDE-3502-AL</v>
      </c>
      <c r="B2847" s="403" t="s">
        <v>1405</v>
      </c>
      <c r="C2847" s="403" t="s">
        <v>582</v>
      </c>
      <c r="D2847" s="403" t="s">
        <v>1406</v>
      </c>
      <c r="E2847" s="403" t="s">
        <v>778</v>
      </c>
      <c r="F2847" s="403" t="s">
        <v>1293</v>
      </c>
      <c r="G2847" s="403" t="s">
        <v>1467</v>
      </c>
      <c r="H2847" s="403" t="s">
        <v>1281</v>
      </c>
      <c r="I2847" s="403">
        <v>1</v>
      </c>
      <c r="J2847" s="403" t="s">
        <v>109</v>
      </c>
      <c r="K2847" s="403">
        <v>720</v>
      </c>
      <c r="L2847" s="403">
        <v>1280</v>
      </c>
      <c r="M2847" s="403" t="s">
        <v>111</v>
      </c>
      <c r="N2847" s="403">
        <v>432</v>
      </c>
      <c r="O2847" s="403">
        <v>768</v>
      </c>
      <c r="P2847" t="str">
        <f t="shared" si="353"/>
        <v>25fps 720p - SD</v>
      </c>
      <c r="Q2847">
        <f t="shared" si="354"/>
        <v>16</v>
      </c>
      <c r="R2847" t="str">
        <f t="shared" si="355"/>
        <v/>
      </c>
      <c r="S2847" t="str">
        <f t="shared" si="356"/>
        <v/>
      </c>
      <c r="T2847" s="403" t="str">
        <f t="shared" si="357"/>
        <v>NDE-3502-AL</v>
      </c>
      <c r="U2847" s="403">
        <f t="shared" si="358"/>
        <v>1</v>
      </c>
      <c r="V2847" s="403" t="str">
        <f t="shared" si="359"/>
        <v>CPP_7_3</v>
      </c>
    </row>
    <row r="2848" spans="1:22">
      <c r="A2848" t="str">
        <f t="shared" si="352"/>
        <v>NDE-3502-AL</v>
      </c>
      <c r="B2848" s="403" t="s">
        <v>1405</v>
      </c>
      <c r="C2848" s="403" t="s">
        <v>582</v>
      </c>
      <c r="D2848" s="403" t="s">
        <v>1406</v>
      </c>
      <c r="E2848" s="403" t="s">
        <v>778</v>
      </c>
      <c r="F2848" s="403" t="s">
        <v>1293</v>
      </c>
      <c r="G2848" s="403" t="s">
        <v>1467</v>
      </c>
      <c r="H2848" s="403" t="s">
        <v>1281</v>
      </c>
      <c r="I2848" s="403">
        <v>1</v>
      </c>
      <c r="J2848" s="403" t="s">
        <v>109</v>
      </c>
      <c r="K2848" s="403">
        <v>720</v>
      </c>
      <c r="L2848" s="403">
        <v>1280</v>
      </c>
      <c r="M2848" s="403" t="s">
        <v>1279</v>
      </c>
      <c r="N2848" s="403">
        <v>432</v>
      </c>
      <c r="O2848" s="403">
        <v>768</v>
      </c>
      <c r="P2848" t="str">
        <f t="shared" si="353"/>
        <v>25fps 720p - SD ROI PTZ</v>
      </c>
      <c r="Q2848">
        <f t="shared" si="354"/>
        <v>16</v>
      </c>
      <c r="R2848" t="str">
        <f t="shared" si="355"/>
        <v/>
      </c>
      <c r="S2848" t="str">
        <f t="shared" si="356"/>
        <v/>
      </c>
      <c r="T2848" s="403" t="str">
        <f t="shared" si="357"/>
        <v>NDE-3502-AL</v>
      </c>
      <c r="U2848" s="403">
        <f t="shared" si="358"/>
        <v>1</v>
      </c>
      <c r="V2848" s="403" t="str">
        <f t="shared" si="359"/>
        <v>CPP_7_3</v>
      </c>
    </row>
    <row r="2849" spans="1:22">
      <c r="A2849" t="str">
        <f t="shared" si="352"/>
        <v>NDE-3502-AL</v>
      </c>
      <c r="B2849" s="403" t="s">
        <v>1405</v>
      </c>
      <c r="C2849" s="403" t="s">
        <v>582</v>
      </c>
      <c r="D2849" s="403" t="s">
        <v>1406</v>
      </c>
      <c r="E2849" s="403" t="s">
        <v>778</v>
      </c>
      <c r="F2849" s="403" t="s">
        <v>1293</v>
      </c>
      <c r="G2849" s="403" t="s">
        <v>1467</v>
      </c>
      <c r="H2849" s="403" t="s">
        <v>1281</v>
      </c>
      <c r="I2849" s="403">
        <v>1</v>
      </c>
      <c r="J2849" s="403" t="s">
        <v>109</v>
      </c>
      <c r="K2849" s="403">
        <v>720</v>
      </c>
      <c r="L2849" s="403">
        <v>1280</v>
      </c>
      <c r="M2849" s="403" t="s">
        <v>1283</v>
      </c>
      <c r="N2849" s="403">
        <v>576</v>
      </c>
      <c r="O2849" s="403">
        <v>720</v>
      </c>
      <c r="P2849" t="str">
        <f t="shared" si="353"/>
        <v>25fps 720p - SD 4CIF resolution 4:3 format (cropped)</v>
      </c>
      <c r="Q2849">
        <f t="shared" si="354"/>
        <v>16</v>
      </c>
      <c r="R2849" t="str">
        <f t="shared" si="355"/>
        <v/>
      </c>
      <c r="S2849" t="str">
        <f t="shared" si="356"/>
        <v/>
      </c>
      <c r="T2849" s="403" t="str">
        <f t="shared" si="357"/>
        <v>NDE-3502-AL</v>
      </c>
      <c r="U2849" s="403">
        <f t="shared" si="358"/>
        <v>1</v>
      </c>
      <c r="V2849" s="403" t="str">
        <f t="shared" si="359"/>
        <v>CPP_7_3</v>
      </c>
    </row>
    <row r="2850" spans="1:22">
      <c r="A2850" t="str">
        <f t="shared" si="352"/>
        <v>NDE-3502-AL</v>
      </c>
      <c r="B2850" s="403" t="s">
        <v>1405</v>
      </c>
      <c r="C2850" s="403" t="s">
        <v>582</v>
      </c>
      <c r="D2850" s="403" t="s">
        <v>1406</v>
      </c>
      <c r="E2850" s="403" t="s">
        <v>778</v>
      </c>
      <c r="F2850" s="403" t="s">
        <v>1293</v>
      </c>
      <c r="G2850" s="403" t="s">
        <v>1467</v>
      </c>
      <c r="H2850" s="403" t="s">
        <v>1281</v>
      </c>
      <c r="I2850" s="403">
        <v>1</v>
      </c>
      <c r="J2850" s="403" t="s">
        <v>109</v>
      </c>
      <c r="K2850" s="403">
        <v>720</v>
      </c>
      <c r="L2850" s="403">
        <v>1280</v>
      </c>
      <c r="M2850" s="403" t="s">
        <v>1284</v>
      </c>
      <c r="N2850" s="403">
        <v>480</v>
      </c>
      <c r="O2850" s="403">
        <v>640</v>
      </c>
      <c r="P2850" t="str">
        <f t="shared" si="353"/>
        <v>25fps 720p - SD VGA (cropped)</v>
      </c>
      <c r="Q2850">
        <f t="shared" si="354"/>
        <v>16</v>
      </c>
      <c r="R2850" t="str">
        <f t="shared" si="355"/>
        <v/>
      </c>
      <c r="S2850" t="str">
        <f t="shared" si="356"/>
        <v/>
      </c>
      <c r="T2850" s="403" t="str">
        <f t="shared" si="357"/>
        <v>NDE-3502-AL</v>
      </c>
      <c r="U2850" s="403">
        <f t="shared" si="358"/>
        <v>1</v>
      </c>
      <c r="V2850" s="403" t="str">
        <f t="shared" si="359"/>
        <v>CPP_7_3</v>
      </c>
    </row>
    <row r="2851" spans="1:22">
      <c r="A2851" t="str">
        <f t="shared" si="352"/>
        <v>NDE-3503-AL</v>
      </c>
      <c r="B2851" s="403" t="s">
        <v>1405</v>
      </c>
      <c r="C2851" s="403" t="s">
        <v>582</v>
      </c>
      <c r="D2851" s="403" t="s">
        <v>1407</v>
      </c>
      <c r="E2851" s="403" t="s">
        <v>778</v>
      </c>
      <c r="F2851" s="403" t="s">
        <v>1372</v>
      </c>
      <c r="G2851" s="403" t="s">
        <v>1466</v>
      </c>
      <c r="H2851" s="403" t="s">
        <v>1276</v>
      </c>
      <c r="I2851" s="403">
        <v>1</v>
      </c>
      <c r="J2851" s="403" t="s">
        <v>1373</v>
      </c>
      <c r="K2851" s="403">
        <v>2688</v>
      </c>
      <c r="L2851" s="403">
        <v>1512</v>
      </c>
      <c r="M2851" s="403" t="s">
        <v>111</v>
      </c>
      <c r="N2851" s="403">
        <v>768</v>
      </c>
      <c r="O2851" s="403">
        <v>432</v>
      </c>
      <c r="P2851" t="str">
        <f t="shared" si="353"/>
        <v>25fps 2688x1512 - SD</v>
      </c>
      <c r="Q2851">
        <f t="shared" si="354"/>
        <v>17</v>
      </c>
      <c r="R2851">
        <f t="shared" si="355"/>
        <v>17</v>
      </c>
      <c r="S2851" t="str">
        <f t="shared" si="356"/>
        <v>FLEXIDOME IP 3000i IR (NDE-3503-AL)</v>
      </c>
      <c r="T2851" s="403" t="str">
        <f t="shared" si="357"/>
        <v>NDE-3503-AL</v>
      </c>
      <c r="U2851" s="403">
        <f t="shared" si="358"/>
        <v>1</v>
      </c>
      <c r="V2851" s="403" t="str">
        <f t="shared" si="359"/>
        <v>CPP_7_3</v>
      </c>
    </row>
    <row r="2852" spans="1:22">
      <c r="A2852" t="str">
        <f t="shared" si="352"/>
        <v>NDE-3503-AL</v>
      </c>
      <c r="B2852" s="403" t="s">
        <v>1405</v>
      </c>
      <c r="C2852" s="403" t="s">
        <v>582</v>
      </c>
      <c r="D2852" s="403" t="s">
        <v>1407</v>
      </c>
      <c r="E2852" s="403" t="s">
        <v>778</v>
      </c>
      <c r="F2852" s="403" t="s">
        <v>1372</v>
      </c>
      <c r="G2852" s="403" t="s">
        <v>1466</v>
      </c>
      <c r="H2852" s="403" t="s">
        <v>1276</v>
      </c>
      <c r="I2852" s="403">
        <v>1</v>
      </c>
      <c r="J2852" s="403" t="s">
        <v>1373</v>
      </c>
      <c r="K2852" s="403">
        <v>2688</v>
      </c>
      <c r="L2852" s="403">
        <v>1512</v>
      </c>
      <c r="M2852" s="403" t="s">
        <v>1279</v>
      </c>
      <c r="N2852" s="403">
        <v>768</v>
      </c>
      <c r="O2852" s="403">
        <v>432</v>
      </c>
      <c r="P2852" t="str">
        <f t="shared" si="353"/>
        <v>25fps 2688x1512 - SD ROI PTZ</v>
      </c>
      <c r="Q2852">
        <f t="shared" si="354"/>
        <v>17</v>
      </c>
      <c r="R2852" t="str">
        <f t="shared" si="355"/>
        <v/>
      </c>
      <c r="S2852" t="str">
        <f t="shared" si="356"/>
        <v/>
      </c>
      <c r="T2852" s="403" t="str">
        <f t="shared" si="357"/>
        <v>NDE-3503-AL</v>
      </c>
      <c r="U2852" s="403">
        <f t="shared" si="358"/>
        <v>1</v>
      </c>
      <c r="V2852" s="403" t="str">
        <f t="shared" si="359"/>
        <v>CPP_7_3</v>
      </c>
    </row>
    <row r="2853" spans="1:22">
      <c r="A2853" t="str">
        <f t="shared" si="352"/>
        <v>NDE-3503-AL</v>
      </c>
      <c r="B2853" s="403" t="s">
        <v>1405</v>
      </c>
      <c r="C2853" s="403" t="s">
        <v>582</v>
      </c>
      <c r="D2853" s="403" t="s">
        <v>1407</v>
      </c>
      <c r="E2853" s="403" t="s">
        <v>778</v>
      </c>
      <c r="F2853" s="403" t="s">
        <v>1372</v>
      </c>
      <c r="G2853" s="403" t="s">
        <v>1466</v>
      </c>
      <c r="H2853" s="403" t="s">
        <v>1276</v>
      </c>
      <c r="I2853" s="403">
        <v>1</v>
      </c>
      <c r="J2853" s="403" t="s">
        <v>1373</v>
      </c>
      <c r="K2853" s="403">
        <v>2688</v>
      </c>
      <c r="L2853" s="403">
        <v>1512</v>
      </c>
      <c r="M2853" s="403" t="s">
        <v>1283</v>
      </c>
      <c r="N2853" s="403">
        <v>720</v>
      </c>
      <c r="O2853" s="403">
        <v>576</v>
      </c>
      <c r="P2853" t="str">
        <f t="shared" si="353"/>
        <v>25fps 2688x1512 - SD 4CIF resolution 4:3 format (cropped)</v>
      </c>
      <c r="Q2853">
        <f t="shared" si="354"/>
        <v>17</v>
      </c>
      <c r="R2853" t="str">
        <f t="shared" si="355"/>
        <v/>
      </c>
      <c r="S2853" t="str">
        <f t="shared" si="356"/>
        <v/>
      </c>
      <c r="T2853" s="403" t="str">
        <f t="shared" si="357"/>
        <v>NDE-3503-AL</v>
      </c>
      <c r="U2853" s="403">
        <f t="shared" si="358"/>
        <v>1</v>
      </c>
      <c r="V2853" s="403" t="str">
        <f t="shared" si="359"/>
        <v>CPP_7_3</v>
      </c>
    </row>
    <row r="2854" spans="1:22">
      <c r="A2854" t="str">
        <f t="shared" si="352"/>
        <v>NDE-3503-AL</v>
      </c>
      <c r="B2854" s="403" t="s">
        <v>1405</v>
      </c>
      <c r="C2854" s="403" t="s">
        <v>582</v>
      </c>
      <c r="D2854" s="403" t="s">
        <v>1407</v>
      </c>
      <c r="E2854" s="403" t="s">
        <v>778</v>
      </c>
      <c r="F2854" s="403" t="s">
        <v>1372</v>
      </c>
      <c r="G2854" s="403" t="s">
        <v>1466</v>
      </c>
      <c r="H2854" s="403" t="s">
        <v>1276</v>
      </c>
      <c r="I2854" s="403">
        <v>1</v>
      </c>
      <c r="J2854" s="403" t="s">
        <v>1373</v>
      </c>
      <c r="K2854" s="403">
        <v>2688</v>
      </c>
      <c r="L2854" s="403">
        <v>1512</v>
      </c>
      <c r="M2854" s="403" t="s">
        <v>1284</v>
      </c>
      <c r="N2854" s="403">
        <v>640</v>
      </c>
      <c r="O2854" s="403">
        <v>480</v>
      </c>
      <c r="P2854" t="str">
        <f t="shared" si="353"/>
        <v>25fps 2688x1512 - SD VGA (cropped)</v>
      </c>
      <c r="Q2854">
        <f t="shared" si="354"/>
        <v>17</v>
      </c>
      <c r="R2854" t="str">
        <f t="shared" si="355"/>
        <v/>
      </c>
      <c r="S2854" t="str">
        <f t="shared" si="356"/>
        <v/>
      </c>
      <c r="T2854" s="403" t="str">
        <f t="shared" si="357"/>
        <v>NDE-3503-AL</v>
      </c>
      <c r="U2854" s="403">
        <f t="shared" si="358"/>
        <v>1</v>
      </c>
      <c r="V2854" s="403" t="str">
        <f t="shared" si="359"/>
        <v>CPP_7_3</v>
      </c>
    </row>
    <row r="2855" spans="1:22">
      <c r="A2855" t="str">
        <f t="shared" si="352"/>
        <v>NDE-3503-AL</v>
      </c>
      <c r="B2855" s="403" t="s">
        <v>1405</v>
      </c>
      <c r="C2855" s="403" t="s">
        <v>582</v>
      </c>
      <c r="D2855" s="403" t="s">
        <v>1407</v>
      </c>
      <c r="E2855" s="403" t="s">
        <v>778</v>
      </c>
      <c r="F2855" s="403" t="s">
        <v>1372</v>
      </c>
      <c r="G2855" s="403" t="s">
        <v>1466</v>
      </c>
      <c r="H2855" s="403" t="s">
        <v>1276</v>
      </c>
      <c r="I2855" s="403">
        <v>1</v>
      </c>
      <c r="J2855" s="403" t="s">
        <v>1373</v>
      </c>
      <c r="K2855" s="403">
        <v>2688</v>
      </c>
      <c r="L2855" s="403">
        <v>1512</v>
      </c>
      <c r="M2855" s="403" t="s">
        <v>1280</v>
      </c>
      <c r="N2855" s="403">
        <v>2688</v>
      </c>
      <c r="O2855" s="403">
        <v>1512</v>
      </c>
      <c r="P2855" t="str">
        <f t="shared" si="353"/>
        <v>25fps 2688x1512 - copy other stream</v>
      </c>
      <c r="Q2855">
        <f t="shared" si="354"/>
        <v>17</v>
      </c>
      <c r="R2855" t="str">
        <f t="shared" si="355"/>
        <v/>
      </c>
      <c r="S2855" t="str">
        <f t="shared" si="356"/>
        <v/>
      </c>
      <c r="T2855" s="403" t="str">
        <f t="shared" si="357"/>
        <v>NDE-3503-AL</v>
      </c>
      <c r="U2855" s="403">
        <f t="shared" si="358"/>
        <v>1</v>
      </c>
      <c r="V2855" s="403" t="str">
        <f t="shared" si="359"/>
        <v>CPP_7_3</v>
      </c>
    </row>
    <row r="2856" spans="1:22">
      <c r="A2856" t="str">
        <f t="shared" si="352"/>
        <v>NDE-3503-AL</v>
      </c>
      <c r="B2856" s="403" t="s">
        <v>1405</v>
      </c>
      <c r="C2856" s="403" t="s">
        <v>582</v>
      </c>
      <c r="D2856" s="403" t="s">
        <v>1407</v>
      </c>
      <c r="E2856" s="403" t="s">
        <v>778</v>
      </c>
      <c r="F2856" s="403" t="s">
        <v>1372</v>
      </c>
      <c r="G2856" s="403" t="s">
        <v>1466</v>
      </c>
      <c r="H2856" s="403" t="s">
        <v>1276</v>
      </c>
      <c r="I2856" s="403">
        <v>1</v>
      </c>
      <c r="J2856" s="403" t="s">
        <v>1374</v>
      </c>
      <c r="K2856" s="403">
        <v>2304</v>
      </c>
      <c r="L2856" s="403">
        <v>1296</v>
      </c>
      <c r="M2856" s="403" t="s">
        <v>109</v>
      </c>
      <c r="N2856" s="403">
        <v>1280</v>
      </c>
      <c r="O2856" s="403">
        <v>720</v>
      </c>
      <c r="P2856" t="str">
        <f t="shared" si="353"/>
        <v>25fps 2304x1296 - 720p</v>
      </c>
      <c r="Q2856">
        <f t="shared" si="354"/>
        <v>17</v>
      </c>
      <c r="R2856" t="str">
        <f t="shared" si="355"/>
        <v/>
      </c>
      <c r="S2856" t="str">
        <f t="shared" si="356"/>
        <v/>
      </c>
      <c r="T2856" s="403" t="str">
        <f t="shared" si="357"/>
        <v>NDE-3503-AL</v>
      </c>
      <c r="U2856" s="403">
        <f t="shared" si="358"/>
        <v>1</v>
      </c>
      <c r="V2856" s="403" t="str">
        <f t="shared" si="359"/>
        <v>CPP_7_3</v>
      </c>
    </row>
    <row r="2857" spans="1:22">
      <c r="A2857" t="str">
        <f t="shared" si="352"/>
        <v>NDE-3503-AL</v>
      </c>
      <c r="B2857" s="403" t="s">
        <v>1405</v>
      </c>
      <c r="C2857" s="403" t="s">
        <v>582</v>
      </c>
      <c r="D2857" s="403" t="s">
        <v>1407</v>
      </c>
      <c r="E2857" s="403" t="s">
        <v>778</v>
      </c>
      <c r="F2857" s="403" t="s">
        <v>1372</v>
      </c>
      <c r="G2857" s="403" t="s">
        <v>1466</v>
      </c>
      <c r="H2857" s="403" t="s">
        <v>1276</v>
      </c>
      <c r="I2857" s="403">
        <v>1</v>
      </c>
      <c r="J2857" s="403" t="s">
        <v>1374</v>
      </c>
      <c r="K2857" s="403">
        <v>2304</v>
      </c>
      <c r="L2857" s="403">
        <v>1296</v>
      </c>
      <c r="M2857" s="403" t="s">
        <v>111</v>
      </c>
      <c r="N2857" s="403">
        <v>768</v>
      </c>
      <c r="O2857" s="403">
        <v>432</v>
      </c>
      <c r="P2857" t="str">
        <f t="shared" si="353"/>
        <v>25fps 2304x1296 - SD</v>
      </c>
      <c r="Q2857">
        <f t="shared" si="354"/>
        <v>17</v>
      </c>
      <c r="R2857" t="str">
        <f t="shared" si="355"/>
        <v/>
      </c>
      <c r="S2857" t="str">
        <f t="shared" si="356"/>
        <v/>
      </c>
      <c r="T2857" s="403" t="str">
        <f t="shared" si="357"/>
        <v>NDE-3503-AL</v>
      </c>
      <c r="U2857" s="403">
        <f t="shared" si="358"/>
        <v>1</v>
      </c>
      <c r="V2857" s="403" t="str">
        <f t="shared" si="359"/>
        <v>CPP_7_3</v>
      </c>
    </row>
    <row r="2858" spans="1:22">
      <c r="A2858" t="str">
        <f t="shared" si="352"/>
        <v>NDE-3503-AL</v>
      </c>
      <c r="B2858" s="403" t="s">
        <v>1405</v>
      </c>
      <c r="C2858" s="403" t="s">
        <v>582</v>
      </c>
      <c r="D2858" s="403" t="s">
        <v>1407</v>
      </c>
      <c r="E2858" s="403" t="s">
        <v>778</v>
      </c>
      <c r="F2858" s="403" t="s">
        <v>1372</v>
      </c>
      <c r="G2858" s="403" t="s">
        <v>1466</v>
      </c>
      <c r="H2858" s="403" t="s">
        <v>1276</v>
      </c>
      <c r="I2858" s="403">
        <v>1</v>
      </c>
      <c r="J2858" s="403" t="s">
        <v>1374</v>
      </c>
      <c r="K2858" s="403">
        <v>2304</v>
      </c>
      <c r="L2858" s="403">
        <v>1296</v>
      </c>
      <c r="M2858" s="403" t="s">
        <v>1279</v>
      </c>
      <c r="N2858" s="403">
        <v>768</v>
      </c>
      <c r="O2858" s="403">
        <v>432</v>
      </c>
      <c r="P2858" t="str">
        <f t="shared" si="353"/>
        <v>25fps 2304x1296 - SD ROI PTZ</v>
      </c>
      <c r="Q2858">
        <f t="shared" si="354"/>
        <v>17</v>
      </c>
      <c r="R2858" t="str">
        <f t="shared" si="355"/>
        <v/>
      </c>
      <c r="S2858" t="str">
        <f t="shared" si="356"/>
        <v/>
      </c>
      <c r="T2858" s="403" t="str">
        <f t="shared" si="357"/>
        <v>NDE-3503-AL</v>
      </c>
      <c r="U2858" s="403">
        <f t="shared" si="358"/>
        <v>1</v>
      </c>
      <c r="V2858" s="403" t="str">
        <f t="shared" si="359"/>
        <v>CPP_7_3</v>
      </c>
    </row>
    <row r="2859" spans="1:22">
      <c r="A2859" t="str">
        <f t="shared" si="352"/>
        <v>NDE-3503-AL</v>
      </c>
      <c r="B2859" s="403" t="s">
        <v>1405</v>
      </c>
      <c r="C2859" s="403" t="s">
        <v>582</v>
      </c>
      <c r="D2859" s="403" t="s">
        <v>1407</v>
      </c>
      <c r="E2859" s="403" t="s">
        <v>778</v>
      </c>
      <c r="F2859" s="403" t="s">
        <v>1372</v>
      </c>
      <c r="G2859" s="403" t="s">
        <v>1466</v>
      </c>
      <c r="H2859" s="403" t="s">
        <v>1276</v>
      </c>
      <c r="I2859" s="403">
        <v>1</v>
      </c>
      <c r="J2859" s="403" t="s">
        <v>1374</v>
      </c>
      <c r="K2859" s="403">
        <v>2304</v>
      </c>
      <c r="L2859" s="403">
        <v>1296</v>
      </c>
      <c r="M2859" s="403" t="s">
        <v>1285</v>
      </c>
      <c r="N2859" s="403">
        <v>1280</v>
      </c>
      <c r="O2859" s="403">
        <v>1024</v>
      </c>
      <c r="P2859" t="str">
        <f t="shared" si="353"/>
        <v>25fps 2304x1296 - 1280x1024 5:4 (cropped)</v>
      </c>
      <c r="Q2859">
        <f t="shared" si="354"/>
        <v>17</v>
      </c>
      <c r="R2859" t="str">
        <f t="shared" si="355"/>
        <v/>
      </c>
      <c r="S2859" t="str">
        <f t="shared" si="356"/>
        <v/>
      </c>
      <c r="T2859" s="403" t="str">
        <f t="shared" si="357"/>
        <v>NDE-3503-AL</v>
      </c>
      <c r="U2859" s="403">
        <f t="shared" si="358"/>
        <v>1</v>
      </c>
      <c r="V2859" s="403" t="str">
        <f t="shared" si="359"/>
        <v>CPP_7_3</v>
      </c>
    </row>
    <row r="2860" spans="1:22">
      <c r="A2860" t="str">
        <f t="shared" si="352"/>
        <v>NDE-3503-AL</v>
      </c>
      <c r="B2860" s="403" t="s">
        <v>1405</v>
      </c>
      <c r="C2860" s="403" t="s">
        <v>582</v>
      </c>
      <c r="D2860" s="403" t="s">
        <v>1407</v>
      </c>
      <c r="E2860" s="403" t="s">
        <v>778</v>
      </c>
      <c r="F2860" s="403" t="s">
        <v>1372</v>
      </c>
      <c r="G2860" s="403" t="s">
        <v>1466</v>
      </c>
      <c r="H2860" s="403" t="s">
        <v>1276</v>
      </c>
      <c r="I2860" s="403">
        <v>1</v>
      </c>
      <c r="J2860" s="403" t="s">
        <v>1374</v>
      </c>
      <c r="K2860" s="403">
        <v>2304</v>
      </c>
      <c r="L2860" s="403">
        <v>1296</v>
      </c>
      <c r="M2860" s="403" t="s">
        <v>1283</v>
      </c>
      <c r="N2860" s="403">
        <v>720</v>
      </c>
      <c r="O2860" s="403">
        <v>576</v>
      </c>
      <c r="P2860" t="str">
        <f t="shared" si="353"/>
        <v>25fps 2304x1296 - SD 4CIF resolution 4:3 format (cropped)</v>
      </c>
      <c r="Q2860">
        <f t="shared" si="354"/>
        <v>17</v>
      </c>
      <c r="R2860" t="str">
        <f t="shared" si="355"/>
        <v/>
      </c>
      <c r="S2860" t="str">
        <f t="shared" si="356"/>
        <v/>
      </c>
      <c r="T2860" s="403" t="str">
        <f t="shared" si="357"/>
        <v>NDE-3503-AL</v>
      </c>
      <c r="U2860" s="403">
        <f t="shared" si="358"/>
        <v>1</v>
      </c>
      <c r="V2860" s="403" t="str">
        <f t="shared" si="359"/>
        <v>CPP_7_3</v>
      </c>
    </row>
    <row r="2861" spans="1:22">
      <c r="A2861" t="str">
        <f t="shared" si="352"/>
        <v>NDE-3503-AL</v>
      </c>
      <c r="B2861" s="403" t="s">
        <v>1405</v>
      </c>
      <c r="C2861" s="403" t="s">
        <v>582</v>
      </c>
      <c r="D2861" s="403" t="s">
        <v>1407</v>
      </c>
      <c r="E2861" s="403" t="s">
        <v>778</v>
      </c>
      <c r="F2861" s="403" t="s">
        <v>1372</v>
      </c>
      <c r="G2861" s="403" t="s">
        <v>1466</v>
      </c>
      <c r="H2861" s="403" t="s">
        <v>1276</v>
      </c>
      <c r="I2861" s="403">
        <v>1</v>
      </c>
      <c r="J2861" s="403" t="s">
        <v>1374</v>
      </c>
      <c r="K2861" s="403">
        <v>2304</v>
      </c>
      <c r="L2861" s="403">
        <v>1296</v>
      </c>
      <c r="M2861" s="403" t="s">
        <v>1284</v>
      </c>
      <c r="N2861" s="403">
        <v>640</v>
      </c>
      <c r="O2861" s="403">
        <v>480</v>
      </c>
      <c r="P2861" t="str">
        <f t="shared" si="353"/>
        <v>25fps 2304x1296 - SD VGA (cropped)</v>
      </c>
      <c r="Q2861">
        <f t="shared" si="354"/>
        <v>17</v>
      </c>
      <c r="R2861" t="str">
        <f t="shared" si="355"/>
        <v/>
      </c>
      <c r="S2861" t="str">
        <f t="shared" si="356"/>
        <v/>
      </c>
      <c r="T2861" s="403" t="str">
        <f t="shared" si="357"/>
        <v>NDE-3503-AL</v>
      </c>
      <c r="U2861" s="403">
        <f t="shared" si="358"/>
        <v>1</v>
      </c>
      <c r="V2861" s="403" t="str">
        <f t="shared" si="359"/>
        <v>CPP_7_3</v>
      </c>
    </row>
    <row r="2862" spans="1:22">
      <c r="A2862" t="str">
        <f t="shared" si="352"/>
        <v>NDE-3503-AL</v>
      </c>
      <c r="B2862" s="403" t="s">
        <v>1405</v>
      </c>
      <c r="C2862" s="403" t="s">
        <v>582</v>
      </c>
      <c r="D2862" s="403" t="s">
        <v>1407</v>
      </c>
      <c r="E2862" s="403" t="s">
        <v>778</v>
      </c>
      <c r="F2862" s="403" t="s">
        <v>1372</v>
      </c>
      <c r="G2862" s="403" t="s">
        <v>1466</v>
      </c>
      <c r="H2862" s="403" t="s">
        <v>1276</v>
      </c>
      <c r="I2862" s="403">
        <v>1</v>
      </c>
      <c r="J2862" s="403" t="s">
        <v>1374</v>
      </c>
      <c r="K2862" s="403">
        <v>2304</v>
      </c>
      <c r="L2862" s="403">
        <v>1296</v>
      </c>
      <c r="M2862" s="403" t="s">
        <v>1280</v>
      </c>
      <c r="N2862" s="403">
        <v>2304</v>
      </c>
      <c r="O2862" s="403">
        <v>1296</v>
      </c>
      <c r="P2862" t="str">
        <f t="shared" si="353"/>
        <v>25fps 2304x1296 - copy other stream</v>
      </c>
      <c r="Q2862">
        <f t="shared" si="354"/>
        <v>17</v>
      </c>
      <c r="R2862" t="str">
        <f t="shared" si="355"/>
        <v/>
      </c>
      <c r="S2862" t="str">
        <f t="shared" si="356"/>
        <v/>
      </c>
      <c r="T2862" s="403" t="str">
        <f t="shared" si="357"/>
        <v>NDE-3503-AL</v>
      </c>
      <c r="U2862" s="403">
        <f t="shared" si="358"/>
        <v>1</v>
      </c>
      <c r="V2862" s="403" t="str">
        <f t="shared" si="359"/>
        <v>CPP_7_3</v>
      </c>
    </row>
    <row r="2863" spans="1:22">
      <c r="A2863" t="str">
        <f t="shared" si="352"/>
        <v>NDE-3503-AL</v>
      </c>
      <c r="B2863" s="403" t="s">
        <v>1405</v>
      </c>
      <c r="C2863" s="403" t="s">
        <v>582</v>
      </c>
      <c r="D2863" s="403" t="s">
        <v>1407</v>
      </c>
      <c r="E2863" s="403" t="s">
        <v>778</v>
      </c>
      <c r="F2863" s="403" t="s">
        <v>1372</v>
      </c>
      <c r="G2863" s="403" t="s">
        <v>1466</v>
      </c>
      <c r="H2863" s="403" t="s">
        <v>1276</v>
      </c>
      <c r="I2863" s="403">
        <v>1</v>
      </c>
      <c r="J2863" s="403" t="s">
        <v>110</v>
      </c>
      <c r="K2863" s="403">
        <v>1920</v>
      </c>
      <c r="L2863" s="403">
        <v>1080</v>
      </c>
      <c r="M2863" s="403" t="s">
        <v>111</v>
      </c>
      <c r="N2863" s="403">
        <v>768</v>
      </c>
      <c r="O2863" s="403">
        <v>432</v>
      </c>
      <c r="P2863" t="str">
        <f t="shared" si="353"/>
        <v>25fps 1080p - SD</v>
      </c>
      <c r="Q2863">
        <f t="shared" si="354"/>
        <v>17</v>
      </c>
      <c r="R2863" t="str">
        <f t="shared" si="355"/>
        <v/>
      </c>
      <c r="S2863" t="str">
        <f t="shared" si="356"/>
        <v/>
      </c>
      <c r="T2863" s="403" t="str">
        <f t="shared" si="357"/>
        <v>NDE-3503-AL</v>
      </c>
      <c r="U2863" s="403">
        <f t="shared" si="358"/>
        <v>1</v>
      </c>
      <c r="V2863" s="403" t="str">
        <f t="shared" si="359"/>
        <v>CPP_7_3</v>
      </c>
    </row>
    <row r="2864" spans="1:22">
      <c r="A2864" t="str">
        <f t="shared" si="352"/>
        <v>NDE-3503-AL</v>
      </c>
      <c r="B2864" s="403" t="s">
        <v>1405</v>
      </c>
      <c r="C2864" s="403" t="s">
        <v>582</v>
      </c>
      <c r="D2864" s="403" t="s">
        <v>1407</v>
      </c>
      <c r="E2864" s="403" t="s">
        <v>778</v>
      </c>
      <c r="F2864" s="403" t="s">
        <v>1372</v>
      </c>
      <c r="G2864" s="403" t="s">
        <v>1466</v>
      </c>
      <c r="H2864" s="403" t="s">
        <v>1276</v>
      </c>
      <c r="I2864" s="403">
        <v>1</v>
      </c>
      <c r="J2864" s="403" t="s">
        <v>110</v>
      </c>
      <c r="K2864" s="403">
        <v>1920</v>
      </c>
      <c r="L2864" s="403">
        <v>1080</v>
      </c>
      <c r="M2864" s="403" t="s">
        <v>110</v>
      </c>
      <c r="N2864" s="403">
        <v>1920</v>
      </c>
      <c r="O2864" s="403">
        <v>1080</v>
      </c>
      <c r="P2864" t="str">
        <f t="shared" si="353"/>
        <v>25fps 1080p - 1080p</v>
      </c>
      <c r="Q2864">
        <f t="shared" si="354"/>
        <v>17</v>
      </c>
      <c r="R2864" t="str">
        <f t="shared" si="355"/>
        <v/>
      </c>
      <c r="S2864" t="str">
        <f t="shared" si="356"/>
        <v/>
      </c>
      <c r="T2864" s="403" t="str">
        <f t="shared" si="357"/>
        <v>NDE-3503-AL</v>
      </c>
      <c r="U2864" s="403">
        <f t="shared" si="358"/>
        <v>1</v>
      </c>
      <c r="V2864" s="403" t="str">
        <f t="shared" si="359"/>
        <v>CPP_7_3</v>
      </c>
    </row>
    <row r="2865" spans="1:22">
      <c r="A2865" t="str">
        <f t="shared" si="352"/>
        <v>NDE-3503-AL</v>
      </c>
      <c r="B2865" s="403" t="s">
        <v>1405</v>
      </c>
      <c r="C2865" s="403" t="s">
        <v>582</v>
      </c>
      <c r="D2865" s="403" t="s">
        <v>1407</v>
      </c>
      <c r="E2865" s="403" t="s">
        <v>778</v>
      </c>
      <c r="F2865" s="403" t="s">
        <v>1372</v>
      </c>
      <c r="G2865" s="403" t="s">
        <v>1466</v>
      </c>
      <c r="H2865" s="403" t="s">
        <v>1276</v>
      </c>
      <c r="I2865" s="403">
        <v>1</v>
      </c>
      <c r="J2865" s="403" t="s">
        <v>110</v>
      </c>
      <c r="K2865" s="403">
        <v>1920</v>
      </c>
      <c r="L2865" s="403">
        <v>1080</v>
      </c>
      <c r="M2865" s="403" t="s">
        <v>109</v>
      </c>
      <c r="N2865" s="403">
        <v>1280</v>
      </c>
      <c r="O2865" s="403">
        <v>720</v>
      </c>
      <c r="P2865" t="str">
        <f t="shared" si="353"/>
        <v>25fps 1080p - 720p</v>
      </c>
      <c r="Q2865">
        <f t="shared" si="354"/>
        <v>17</v>
      </c>
      <c r="R2865" t="str">
        <f t="shared" si="355"/>
        <v/>
      </c>
      <c r="S2865" t="str">
        <f t="shared" si="356"/>
        <v/>
      </c>
      <c r="T2865" s="403" t="str">
        <f t="shared" si="357"/>
        <v>NDE-3503-AL</v>
      </c>
      <c r="U2865" s="403">
        <f t="shared" si="358"/>
        <v>1</v>
      </c>
      <c r="V2865" s="403" t="str">
        <f t="shared" si="359"/>
        <v>CPP_7_3</v>
      </c>
    </row>
    <row r="2866" spans="1:22">
      <c r="A2866" t="str">
        <f t="shared" si="352"/>
        <v>NDE-3503-AL</v>
      </c>
      <c r="B2866" s="403" t="s">
        <v>1405</v>
      </c>
      <c r="C2866" s="403" t="s">
        <v>582</v>
      </c>
      <c r="D2866" s="403" t="s">
        <v>1407</v>
      </c>
      <c r="E2866" s="403" t="s">
        <v>778</v>
      </c>
      <c r="F2866" s="403" t="s">
        <v>1372</v>
      </c>
      <c r="G2866" s="403" t="s">
        <v>1466</v>
      </c>
      <c r="H2866" s="403" t="s">
        <v>1276</v>
      </c>
      <c r="I2866" s="403">
        <v>1</v>
      </c>
      <c r="J2866" s="403" t="s">
        <v>110</v>
      </c>
      <c r="K2866" s="403">
        <v>1920</v>
      </c>
      <c r="L2866" s="403">
        <v>1080</v>
      </c>
      <c r="M2866" s="403" t="s">
        <v>1285</v>
      </c>
      <c r="N2866" s="403">
        <v>1280</v>
      </c>
      <c r="O2866" s="403">
        <v>1024</v>
      </c>
      <c r="P2866" t="str">
        <f t="shared" si="353"/>
        <v>25fps 1080p - 1280x1024 5:4 (cropped)</v>
      </c>
      <c r="Q2866">
        <f t="shared" si="354"/>
        <v>17</v>
      </c>
      <c r="R2866" t="str">
        <f t="shared" si="355"/>
        <v/>
      </c>
      <c r="S2866" t="str">
        <f t="shared" si="356"/>
        <v/>
      </c>
      <c r="T2866" s="403" t="str">
        <f t="shared" si="357"/>
        <v>NDE-3503-AL</v>
      </c>
      <c r="U2866" s="403">
        <f t="shared" si="358"/>
        <v>1</v>
      </c>
      <c r="V2866" s="403" t="str">
        <f t="shared" si="359"/>
        <v>CPP_7_3</v>
      </c>
    </row>
    <row r="2867" spans="1:22">
      <c r="A2867" t="str">
        <f t="shared" si="352"/>
        <v>NDE-3503-AL</v>
      </c>
      <c r="B2867" s="403" t="s">
        <v>1405</v>
      </c>
      <c r="C2867" s="403" t="s">
        <v>582</v>
      </c>
      <c r="D2867" s="403" t="s">
        <v>1407</v>
      </c>
      <c r="E2867" s="403" t="s">
        <v>778</v>
      </c>
      <c r="F2867" s="403" t="s">
        <v>1372</v>
      </c>
      <c r="G2867" s="403" t="s">
        <v>1466</v>
      </c>
      <c r="H2867" s="403" t="s">
        <v>1276</v>
      </c>
      <c r="I2867" s="403">
        <v>1</v>
      </c>
      <c r="J2867" s="403" t="s">
        <v>110</v>
      </c>
      <c r="K2867" s="403">
        <v>1920</v>
      </c>
      <c r="L2867" s="403">
        <v>1080</v>
      </c>
      <c r="M2867" s="403" t="s">
        <v>1279</v>
      </c>
      <c r="N2867" s="403">
        <v>768</v>
      </c>
      <c r="O2867" s="403">
        <v>432</v>
      </c>
      <c r="P2867" t="str">
        <f t="shared" si="353"/>
        <v>25fps 1080p - SD ROI PTZ</v>
      </c>
      <c r="Q2867">
        <f t="shared" si="354"/>
        <v>17</v>
      </c>
      <c r="R2867" t="str">
        <f t="shared" si="355"/>
        <v/>
      </c>
      <c r="S2867" t="str">
        <f t="shared" si="356"/>
        <v/>
      </c>
      <c r="T2867" s="403" t="str">
        <f t="shared" si="357"/>
        <v>NDE-3503-AL</v>
      </c>
      <c r="U2867" s="403">
        <f t="shared" si="358"/>
        <v>1</v>
      </c>
      <c r="V2867" s="403" t="str">
        <f t="shared" si="359"/>
        <v>CPP_7_3</v>
      </c>
    </row>
    <row r="2868" spans="1:22">
      <c r="A2868" t="str">
        <f t="shared" si="352"/>
        <v>NDE-3503-AL</v>
      </c>
      <c r="B2868" s="403" t="s">
        <v>1405</v>
      </c>
      <c r="C2868" s="403" t="s">
        <v>582</v>
      </c>
      <c r="D2868" s="403" t="s">
        <v>1407</v>
      </c>
      <c r="E2868" s="403" t="s">
        <v>778</v>
      </c>
      <c r="F2868" s="403" t="s">
        <v>1372</v>
      </c>
      <c r="G2868" s="403" t="s">
        <v>1466</v>
      </c>
      <c r="H2868" s="403" t="s">
        <v>1276</v>
      </c>
      <c r="I2868" s="403">
        <v>1</v>
      </c>
      <c r="J2868" s="403" t="s">
        <v>110</v>
      </c>
      <c r="K2868" s="403">
        <v>1920</v>
      </c>
      <c r="L2868" s="403">
        <v>1080</v>
      </c>
      <c r="M2868" s="403" t="s">
        <v>1283</v>
      </c>
      <c r="N2868" s="403">
        <v>720</v>
      </c>
      <c r="O2868" s="403">
        <v>576</v>
      </c>
      <c r="P2868" t="str">
        <f t="shared" si="353"/>
        <v>25fps 1080p - SD 4CIF resolution 4:3 format (cropped)</v>
      </c>
      <c r="Q2868">
        <f t="shared" si="354"/>
        <v>17</v>
      </c>
      <c r="R2868" t="str">
        <f t="shared" si="355"/>
        <v/>
      </c>
      <c r="S2868" t="str">
        <f t="shared" si="356"/>
        <v/>
      </c>
      <c r="T2868" s="403" t="str">
        <f t="shared" si="357"/>
        <v>NDE-3503-AL</v>
      </c>
      <c r="U2868" s="403">
        <f t="shared" si="358"/>
        <v>1</v>
      </c>
      <c r="V2868" s="403" t="str">
        <f t="shared" si="359"/>
        <v>CPP_7_3</v>
      </c>
    </row>
    <row r="2869" spans="1:22">
      <c r="A2869" t="str">
        <f t="shared" si="352"/>
        <v>NDE-3503-AL</v>
      </c>
      <c r="B2869" s="403" t="s">
        <v>1405</v>
      </c>
      <c r="C2869" s="403" t="s">
        <v>582</v>
      </c>
      <c r="D2869" s="403" t="s">
        <v>1407</v>
      </c>
      <c r="E2869" s="403" t="s">
        <v>778</v>
      </c>
      <c r="F2869" s="403" t="s">
        <v>1372</v>
      </c>
      <c r="G2869" s="403" t="s">
        <v>1466</v>
      </c>
      <c r="H2869" s="403" t="s">
        <v>1276</v>
      </c>
      <c r="I2869" s="403">
        <v>1</v>
      </c>
      <c r="J2869" s="403" t="s">
        <v>110</v>
      </c>
      <c r="K2869" s="403">
        <v>1920</v>
      </c>
      <c r="L2869" s="403">
        <v>1080</v>
      </c>
      <c r="M2869" s="403" t="s">
        <v>1284</v>
      </c>
      <c r="N2869" s="403">
        <v>640</v>
      </c>
      <c r="O2869" s="403">
        <v>480</v>
      </c>
      <c r="P2869" t="str">
        <f t="shared" si="353"/>
        <v>25fps 1080p - SD VGA (cropped)</v>
      </c>
      <c r="Q2869">
        <f t="shared" si="354"/>
        <v>17</v>
      </c>
      <c r="R2869" t="str">
        <f t="shared" si="355"/>
        <v/>
      </c>
      <c r="S2869" t="str">
        <f t="shared" si="356"/>
        <v/>
      </c>
      <c r="T2869" s="403" t="str">
        <f t="shared" si="357"/>
        <v>NDE-3503-AL</v>
      </c>
      <c r="U2869" s="403">
        <f t="shared" si="358"/>
        <v>1</v>
      </c>
      <c r="V2869" s="403" t="str">
        <f t="shared" si="359"/>
        <v>CPP_7_3</v>
      </c>
    </row>
    <row r="2870" spans="1:22">
      <c r="A2870" t="str">
        <f t="shared" si="352"/>
        <v>NDE-3503-AL</v>
      </c>
      <c r="B2870" s="403" t="s">
        <v>1405</v>
      </c>
      <c r="C2870" s="403" t="s">
        <v>582</v>
      </c>
      <c r="D2870" s="403" t="s">
        <v>1407</v>
      </c>
      <c r="E2870" s="403" t="s">
        <v>778</v>
      </c>
      <c r="F2870" s="403" t="s">
        <v>1372</v>
      </c>
      <c r="G2870" s="403" t="s">
        <v>1466</v>
      </c>
      <c r="H2870" s="403" t="s">
        <v>1276</v>
      </c>
      <c r="I2870" s="403">
        <v>1</v>
      </c>
      <c r="J2870" s="403" t="s">
        <v>109</v>
      </c>
      <c r="K2870" s="403">
        <v>1280</v>
      </c>
      <c r="L2870" s="403">
        <v>720</v>
      </c>
      <c r="M2870" s="403" t="s">
        <v>109</v>
      </c>
      <c r="N2870" s="403">
        <v>1280</v>
      </c>
      <c r="O2870" s="403">
        <v>720</v>
      </c>
      <c r="P2870" t="str">
        <f t="shared" si="353"/>
        <v>25fps 720p - 720p</v>
      </c>
      <c r="Q2870">
        <f t="shared" si="354"/>
        <v>17</v>
      </c>
      <c r="R2870" t="str">
        <f t="shared" si="355"/>
        <v/>
      </c>
      <c r="S2870" t="str">
        <f t="shared" si="356"/>
        <v/>
      </c>
      <c r="T2870" s="403" t="str">
        <f t="shared" si="357"/>
        <v>NDE-3503-AL</v>
      </c>
      <c r="U2870" s="403">
        <f t="shared" si="358"/>
        <v>1</v>
      </c>
      <c r="V2870" s="403" t="str">
        <f t="shared" si="359"/>
        <v>CPP_7_3</v>
      </c>
    </row>
    <row r="2871" spans="1:22">
      <c r="A2871" t="str">
        <f t="shared" si="352"/>
        <v>NDE-3503-AL</v>
      </c>
      <c r="B2871" s="403" t="s">
        <v>1405</v>
      </c>
      <c r="C2871" s="403" t="s">
        <v>582</v>
      </c>
      <c r="D2871" s="403" t="s">
        <v>1407</v>
      </c>
      <c r="E2871" s="403" t="s">
        <v>778</v>
      </c>
      <c r="F2871" s="403" t="s">
        <v>1372</v>
      </c>
      <c r="G2871" s="403" t="s">
        <v>1466</v>
      </c>
      <c r="H2871" s="403" t="s">
        <v>1276</v>
      </c>
      <c r="I2871" s="403">
        <v>1</v>
      </c>
      <c r="J2871" s="403" t="s">
        <v>109</v>
      </c>
      <c r="K2871" s="403">
        <v>1280</v>
      </c>
      <c r="L2871" s="403">
        <v>720</v>
      </c>
      <c r="M2871" s="403" t="s">
        <v>111</v>
      </c>
      <c r="N2871" s="403">
        <v>768</v>
      </c>
      <c r="O2871" s="403">
        <v>432</v>
      </c>
      <c r="P2871" t="str">
        <f t="shared" si="353"/>
        <v>25fps 720p - SD</v>
      </c>
      <c r="Q2871">
        <f t="shared" si="354"/>
        <v>17</v>
      </c>
      <c r="R2871" t="str">
        <f t="shared" si="355"/>
        <v/>
      </c>
      <c r="S2871" t="str">
        <f t="shared" si="356"/>
        <v/>
      </c>
      <c r="T2871" s="403" t="str">
        <f t="shared" si="357"/>
        <v>NDE-3503-AL</v>
      </c>
      <c r="U2871" s="403">
        <f t="shared" si="358"/>
        <v>1</v>
      </c>
      <c r="V2871" s="403" t="str">
        <f t="shared" si="359"/>
        <v>CPP_7_3</v>
      </c>
    </row>
    <row r="2872" spans="1:22">
      <c r="A2872" t="str">
        <f t="shared" si="352"/>
        <v>NDE-3503-AL</v>
      </c>
      <c r="B2872" s="403" t="s">
        <v>1405</v>
      </c>
      <c r="C2872" s="403" t="s">
        <v>582</v>
      </c>
      <c r="D2872" s="403" t="s">
        <v>1407</v>
      </c>
      <c r="E2872" s="403" t="s">
        <v>778</v>
      </c>
      <c r="F2872" s="403" t="s">
        <v>1372</v>
      </c>
      <c r="G2872" s="403" t="s">
        <v>1466</v>
      </c>
      <c r="H2872" s="403" t="s">
        <v>1276</v>
      </c>
      <c r="I2872" s="403">
        <v>1</v>
      </c>
      <c r="J2872" s="403" t="s">
        <v>109</v>
      </c>
      <c r="K2872" s="403">
        <v>1280</v>
      </c>
      <c r="L2872" s="403">
        <v>720</v>
      </c>
      <c r="M2872" s="403" t="s">
        <v>1279</v>
      </c>
      <c r="N2872" s="403">
        <v>768</v>
      </c>
      <c r="O2872" s="403">
        <v>432</v>
      </c>
      <c r="P2872" t="str">
        <f t="shared" si="353"/>
        <v>25fps 720p - SD ROI PTZ</v>
      </c>
      <c r="Q2872">
        <f t="shared" si="354"/>
        <v>17</v>
      </c>
      <c r="R2872" t="str">
        <f t="shared" si="355"/>
        <v/>
      </c>
      <c r="S2872" t="str">
        <f t="shared" si="356"/>
        <v/>
      </c>
      <c r="T2872" s="403" t="str">
        <f t="shared" si="357"/>
        <v>NDE-3503-AL</v>
      </c>
      <c r="U2872" s="403">
        <f t="shared" si="358"/>
        <v>1</v>
      </c>
      <c r="V2872" s="403" t="str">
        <f t="shared" si="359"/>
        <v>CPP_7_3</v>
      </c>
    </row>
    <row r="2873" spans="1:22">
      <c r="A2873" t="str">
        <f t="shared" si="352"/>
        <v>NDE-3503-AL</v>
      </c>
      <c r="B2873" s="403" t="s">
        <v>1405</v>
      </c>
      <c r="C2873" s="403" t="s">
        <v>582</v>
      </c>
      <c r="D2873" s="403" t="s">
        <v>1407</v>
      </c>
      <c r="E2873" s="403" t="s">
        <v>778</v>
      </c>
      <c r="F2873" s="403" t="s">
        <v>1372</v>
      </c>
      <c r="G2873" s="403" t="s">
        <v>1466</v>
      </c>
      <c r="H2873" s="403" t="s">
        <v>1276</v>
      </c>
      <c r="I2873" s="403">
        <v>1</v>
      </c>
      <c r="J2873" s="403" t="s">
        <v>109</v>
      </c>
      <c r="K2873" s="403">
        <v>1280</v>
      </c>
      <c r="L2873" s="403">
        <v>720</v>
      </c>
      <c r="M2873" s="403" t="s">
        <v>1283</v>
      </c>
      <c r="N2873" s="403">
        <v>720</v>
      </c>
      <c r="O2873" s="403">
        <v>576</v>
      </c>
      <c r="P2873" t="str">
        <f t="shared" si="353"/>
        <v>25fps 720p - SD 4CIF resolution 4:3 format (cropped)</v>
      </c>
      <c r="Q2873">
        <f t="shared" si="354"/>
        <v>17</v>
      </c>
      <c r="R2873" t="str">
        <f t="shared" si="355"/>
        <v/>
      </c>
      <c r="S2873" t="str">
        <f t="shared" si="356"/>
        <v/>
      </c>
      <c r="T2873" s="403" t="str">
        <f t="shared" si="357"/>
        <v>NDE-3503-AL</v>
      </c>
      <c r="U2873" s="403">
        <f t="shared" si="358"/>
        <v>1</v>
      </c>
      <c r="V2873" s="403" t="str">
        <f t="shared" si="359"/>
        <v>CPP_7_3</v>
      </c>
    </row>
    <row r="2874" spans="1:22">
      <c r="A2874" t="str">
        <f t="shared" si="352"/>
        <v>NDE-3503-AL</v>
      </c>
      <c r="B2874" s="403" t="s">
        <v>1405</v>
      </c>
      <c r="C2874" s="403" t="s">
        <v>582</v>
      </c>
      <c r="D2874" s="403" t="s">
        <v>1407</v>
      </c>
      <c r="E2874" s="403" t="s">
        <v>778</v>
      </c>
      <c r="F2874" s="403" t="s">
        <v>1372</v>
      </c>
      <c r="G2874" s="403" t="s">
        <v>1466</v>
      </c>
      <c r="H2874" s="403" t="s">
        <v>1276</v>
      </c>
      <c r="I2874" s="403">
        <v>1</v>
      </c>
      <c r="J2874" s="403" t="s">
        <v>109</v>
      </c>
      <c r="K2874" s="403">
        <v>1280</v>
      </c>
      <c r="L2874" s="403">
        <v>720</v>
      </c>
      <c r="M2874" s="403" t="s">
        <v>1284</v>
      </c>
      <c r="N2874" s="403">
        <v>640</v>
      </c>
      <c r="O2874" s="403">
        <v>480</v>
      </c>
      <c r="P2874" t="str">
        <f t="shared" si="353"/>
        <v>25fps 720p - SD VGA (cropped)</v>
      </c>
      <c r="Q2874">
        <f t="shared" si="354"/>
        <v>17</v>
      </c>
      <c r="R2874" t="str">
        <f t="shared" si="355"/>
        <v/>
      </c>
      <c r="S2874" t="str">
        <f t="shared" si="356"/>
        <v/>
      </c>
      <c r="T2874" s="403" t="str">
        <f t="shared" si="357"/>
        <v>NDE-3503-AL</v>
      </c>
      <c r="U2874" s="403">
        <f t="shared" si="358"/>
        <v>1</v>
      </c>
      <c r="V2874" s="403" t="str">
        <f t="shared" si="359"/>
        <v>CPP_7_3</v>
      </c>
    </row>
    <row r="2875" spans="1:22">
      <c r="A2875" t="str">
        <f t="shared" si="352"/>
        <v>NDE-3503-AL</v>
      </c>
      <c r="B2875" s="403" t="s">
        <v>1405</v>
      </c>
      <c r="C2875" s="403" t="s">
        <v>582</v>
      </c>
      <c r="D2875" s="403" t="s">
        <v>1407</v>
      </c>
      <c r="E2875" s="403" t="s">
        <v>778</v>
      </c>
      <c r="F2875" s="403" t="s">
        <v>1372</v>
      </c>
      <c r="G2875" s="403" t="s">
        <v>1466</v>
      </c>
      <c r="H2875" s="403" t="s">
        <v>1281</v>
      </c>
      <c r="I2875" s="403">
        <v>1</v>
      </c>
      <c r="J2875" s="403" t="s">
        <v>1374</v>
      </c>
      <c r="K2875" s="403">
        <v>2304</v>
      </c>
      <c r="L2875" s="403">
        <v>1296</v>
      </c>
      <c r="M2875" s="403" t="s">
        <v>111</v>
      </c>
      <c r="N2875" s="403">
        <v>768</v>
      </c>
      <c r="O2875" s="403">
        <v>432</v>
      </c>
      <c r="P2875" t="str">
        <f t="shared" si="353"/>
        <v>25fps 2304x1296 - SD</v>
      </c>
      <c r="Q2875">
        <f t="shared" si="354"/>
        <v>17</v>
      </c>
      <c r="R2875" t="str">
        <f t="shared" si="355"/>
        <v/>
      </c>
      <c r="S2875" t="str">
        <f t="shared" si="356"/>
        <v/>
      </c>
      <c r="T2875" s="403" t="str">
        <f t="shared" si="357"/>
        <v>NDE-3503-AL</v>
      </c>
      <c r="U2875" s="403">
        <f t="shared" si="358"/>
        <v>1</v>
      </c>
      <c r="V2875" s="403" t="str">
        <f t="shared" si="359"/>
        <v>CPP_7_3</v>
      </c>
    </row>
    <row r="2876" spans="1:22">
      <c r="A2876" t="str">
        <f t="shared" si="352"/>
        <v>NDE-3503-AL</v>
      </c>
      <c r="B2876" s="403" t="s">
        <v>1405</v>
      </c>
      <c r="C2876" s="403" t="s">
        <v>582</v>
      </c>
      <c r="D2876" s="403" t="s">
        <v>1407</v>
      </c>
      <c r="E2876" s="403" t="s">
        <v>778</v>
      </c>
      <c r="F2876" s="403" t="s">
        <v>1372</v>
      </c>
      <c r="G2876" s="403" t="s">
        <v>1466</v>
      </c>
      <c r="H2876" s="403" t="s">
        <v>1281</v>
      </c>
      <c r="I2876" s="403">
        <v>1</v>
      </c>
      <c r="J2876" s="403" t="s">
        <v>1374</v>
      </c>
      <c r="K2876" s="403">
        <v>2304</v>
      </c>
      <c r="L2876" s="403">
        <v>1296</v>
      </c>
      <c r="M2876" s="403" t="s">
        <v>1279</v>
      </c>
      <c r="N2876" s="403">
        <v>768</v>
      </c>
      <c r="O2876" s="403">
        <v>432</v>
      </c>
      <c r="P2876" t="str">
        <f t="shared" si="353"/>
        <v>25fps 2304x1296 - SD ROI PTZ</v>
      </c>
      <c r="Q2876">
        <f t="shared" si="354"/>
        <v>17</v>
      </c>
      <c r="R2876" t="str">
        <f t="shared" si="355"/>
        <v/>
      </c>
      <c r="S2876" t="str">
        <f t="shared" si="356"/>
        <v/>
      </c>
      <c r="T2876" s="403" t="str">
        <f t="shared" si="357"/>
        <v>NDE-3503-AL</v>
      </c>
      <c r="U2876" s="403">
        <f t="shared" si="358"/>
        <v>1</v>
      </c>
      <c r="V2876" s="403" t="str">
        <f t="shared" si="359"/>
        <v>CPP_7_3</v>
      </c>
    </row>
    <row r="2877" spans="1:22">
      <c r="A2877" t="str">
        <f t="shared" si="352"/>
        <v>NDE-3503-AL</v>
      </c>
      <c r="B2877" s="403" t="s">
        <v>1405</v>
      </c>
      <c r="C2877" s="403" t="s">
        <v>582</v>
      </c>
      <c r="D2877" s="403" t="s">
        <v>1407</v>
      </c>
      <c r="E2877" s="403" t="s">
        <v>778</v>
      </c>
      <c r="F2877" s="403" t="s">
        <v>1372</v>
      </c>
      <c r="G2877" s="403" t="s">
        <v>1466</v>
      </c>
      <c r="H2877" s="403" t="s">
        <v>1281</v>
      </c>
      <c r="I2877" s="403">
        <v>1</v>
      </c>
      <c r="J2877" s="403" t="s">
        <v>1374</v>
      </c>
      <c r="K2877" s="403">
        <v>2304</v>
      </c>
      <c r="L2877" s="403">
        <v>1296</v>
      </c>
      <c r="M2877" s="403" t="s">
        <v>1283</v>
      </c>
      <c r="N2877" s="403">
        <v>720</v>
      </c>
      <c r="O2877" s="403">
        <v>576</v>
      </c>
      <c r="P2877" t="str">
        <f t="shared" si="353"/>
        <v>25fps 2304x1296 - SD 4CIF resolution 4:3 format (cropped)</v>
      </c>
      <c r="Q2877">
        <f t="shared" si="354"/>
        <v>17</v>
      </c>
      <c r="R2877" t="str">
        <f t="shared" si="355"/>
        <v/>
      </c>
      <c r="S2877" t="str">
        <f t="shared" si="356"/>
        <v/>
      </c>
      <c r="T2877" s="403" t="str">
        <f t="shared" si="357"/>
        <v>NDE-3503-AL</v>
      </c>
      <c r="U2877" s="403">
        <f t="shared" si="358"/>
        <v>1</v>
      </c>
      <c r="V2877" s="403" t="str">
        <f t="shared" si="359"/>
        <v>CPP_7_3</v>
      </c>
    </row>
    <row r="2878" spans="1:22">
      <c r="A2878" t="str">
        <f t="shared" si="352"/>
        <v>NDE-3503-AL</v>
      </c>
      <c r="B2878" s="403" t="s">
        <v>1405</v>
      </c>
      <c r="C2878" s="403" t="s">
        <v>582</v>
      </c>
      <c r="D2878" s="403" t="s">
        <v>1407</v>
      </c>
      <c r="E2878" s="403" t="s">
        <v>778</v>
      </c>
      <c r="F2878" s="403" t="s">
        <v>1372</v>
      </c>
      <c r="G2878" s="403" t="s">
        <v>1466</v>
      </c>
      <c r="H2878" s="403" t="s">
        <v>1281</v>
      </c>
      <c r="I2878" s="403">
        <v>1</v>
      </c>
      <c r="J2878" s="403" t="s">
        <v>1374</v>
      </c>
      <c r="K2878" s="403">
        <v>2304</v>
      </c>
      <c r="L2878" s="403">
        <v>1296</v>
      </c>
      <c r="M2878" s="403" t="s">
        <v>1284</v>
      </c>
      <c r="N2878" s="403">
        <v>640</v>
      </c>
      <c r="O2878" s="403">
        <v>480</v>
      </c>
      <c r="P2878" t="str">
        <f t="shared" si="353"/>
        <v>25fps 2304x1296 - SD VGA (cropped)</v>
      </c>
      <c r="Q2878">
        <f t="shared" si="354"/>
        <v>17</v>
      </c>
      <c r="R2878" t="str">
        <f t="shared" si="355"/>
        <v/>
      </c>
      <c r="S2878" t="str">
        <f t="shared" si="356"/>
        <v/>
      </c>
      <c r="T2878" s="403" t="str">
        <f t="shared" si="357"/>
        <v>NDE-3503-AL</v>
      </c>
      <c r="U2878" s="403">
        <f t="shared" si="358"/>
        <v>1</v>
      </c>
      <c r="V2878" s="403" t="str">
        <f t="shared" si="359"/>
        <v>CPP_7_3</v>
      </c>
    </row>
    <row r="2879" spans="1:22">
      <c r="A2879" t="str">
        <f t="shared" si="352"/>
        <v>NDE-3503-AL</v>
      </c>
      <c r="B2879" s="403" t="s">
        <v>1405</v>
      </c>
      <c r="C2879" s="403" t="s">
        <v>582</v>
      </c>
      <c r="D2879" s="403" t="s">
        <v>1407</v>
      </c>
      <c r="E2879" s="403" t="s">
        <v>778</v>
      </c>
      <c r="F2879" s="403" t="s">
        <v>1372</v>
      </c>
      <c r="G2879" s="403" t="s">
        <v>1466</v>
      </c>
      <c r="H2879" s="403" t="s">
        <v>1281</v>
      </c>
      <c r="I2879" s="403">
        <v>1</v>
      </c>
      <c r="J2879" s="403" t="s">
        <v>1374</v>
      </c>
      <c r="K2879" s="403">
        <v>2304</v>
      </c>
      <c r="L2879" s="403">
        <v>1296</v>
      </c>
      <c r="M2879" s="403" t="s">
        <v>1280</v>
      </c>
      <c r="N2879" s="403">
        <v>2304</v>
      </c>
      <c r="O2879" s="403">
        <v>1296</v>
      </c>
      <c r="P2879" t="str">
        <f t="shared" si="353"/>
        <v>25fps 2304x1296 - copy other stream</v>
      </c>
      <c r="Q2879">
        <f t="shared" si="354"/>
        <v>17</v>
      </c>
      <c r="R2879" t="str">
        <f t="shared" si="355"/>
        <v/>
      </c>
      <c r="S2879" t="str">
        <f t="shared" si="356"/>
        <v/>
      </c>
      <c r="T2879" s="403" t="str">
        <f t="shared" si="357"/>
        <v>NDE-3503-AL</v>
      </c>
      <c r="U2879" s="403">
        <f t="shared" si="358"/>
        <v>1</v>
      </c>
      <c r="V2879" s="403" t="str">
        <f t="shared" si="359"/>
        <v>CPP_7_3</v>
      </c>
    </row>
    <row r="2880" spans="1:22">
      <c r="A2880" t="str">
        <f t="shared" si="352"/>
        <v>NDE-3503-AL</v>
      </c>
      <c r="B2880" s="403" t="s">
        <v>1405</v>
      </c>
      <c r="C2880" s="403" t="s">
        <v>582</v>
      </c>
      <c r="D2880" s="403" t="s">
        <v>1407</v>
      </c>
      <c r="E2880" s="403" t="s">
        <v>778</v>
      </c>
      <c r="F2880" s="403" t="s">
        <v>1372</v>
      </c>
      <c r="G2880" s="403" t="s">
        <v>1466</v>
      </c>
      <c r="H2880" s="403" t="s">
        <v>1281</v>
      </c>
      <c r="I2880" s="403">
        <v>1</v>
      </c>
      <c r="J2880" s="403" t="s">
        <v>110</v>
      </c>
      <c r="K2880" s="403">
        <v>1920</v>
      </c>
      <c r="L2880" s="403">
        <v>1080</v>
      </c>
      <c r="M2880" s="403" t="s">
        <v>111</v>
      </c>
      <c r="N2880" s="403">
        <v>768</v>
      </c>
      <c r="O2880" s="403">
        <v>432</v>
      </c>
      <c r="P2880" t="str">
        <f t="shared" si="353"/>
        <v>25fps 1080p - SD</v>
      </c>
      <c r="Q2880">
        <f t="shared" si="354"/>
        <v>17</v>
      </c>
      <c r="R2880" t="str">
        <f t="shared" si="355"/>
        <v/>
      </c>
      <c r="S2880" t="str">
        <f t="shared" si="356"/>
        <v/>
      </c>
      <c r="T2880" s="403" t="str">
        <f t="shared" si="357"/>
        <v>NDE-3503-AL</v>
      </c>
      <c r="U2880" s="403">
        <f t="shared" si="358"/>
        <v>1</v>
      </c>
      <c r="V2880" s="403" t="str">
        <f t="shared" si="359"/>
        <v>CPP_7_3</v>
      </c>
    </row>
    <row r="2881" spans="1:22">
      <c r="A2881" t="str">
        <f t="shared" si="352"/>
        <v>NDE-3503-AL</v>
      </c>
      <c r="B2881" s="403" t="s">
        <v>1405</v>
      </c>
      <c r="C2881" s="403" t="s">
        <v>582</v>
      </c>
      <c r="D2881" s="403" t="s">
        <v>1407</v>
      </c>
      <c r="E2881" s="403" t="s">
        <v>778</v>
      </c>
      <c r="F2881" s="403" t="s">
        <v>1372</v>
      </c>
      <c r="G2881" s="403" t="s">
        <v>1466</v>
      </c>
      <c r="H2881" s="403" t="s">
        <v>1281</v>
      </c>
      <c r="I2881" s="403">
        <v>1</v>
      </c>
      <c r="J2881" s="403" t="s">
        <v>110</v>
      </c>
      <c r="K2881" s="403">
        <v>1920</v>
      </c>
      <c r="L2881" s="403">
        <v>1080</v>
      </c>
      <c r="M2881" s="403" t="s">
        <v>109</v>
      </c>
      <c r="N2881" s="403">
        <v>1280</v>
      </c>
      <c r="O2881" s="403">
        <v>720</v>
      </c>
      <c r="P2881" t="str">
        <f t="shared" si="353"/>
        <v>25fps 1080p - 720p</v>
      </c>
      <c r="Q2881">
        <f t="shared" si="354"/>
        <v>17</v>
      </c>
      <c r="R2881" t="str">
        <f t="shared" si="355"/>
        <v/>
      </c>
      <c r="S2881" t="str">
        <f t="shared" si="356"/>
        <v/>
      </c>
      <c r="T2881" s="403" t="str">
        <f t="shared" si="357"/>
        <v>NDE-3503-AL</v>
      </c>
      <c r="U2881" s="403">
        <f t="shared" si="358"/>
        <v>1</v>
      </c>
      <c r="V2881" s="403" t="str">
        <f t="shared" si="359"/>
        <v>CPP_7_3</v>
      </c>
    </row>
    <row r="2882" spans="1:22">
      <c r="A2882" t="str">
        <f t="shared" ref="A2882:A2945" si="360">IF(AND(G2882&lt;&gt;"rotate 90°"),D2882,"")</f>
        <v>NDE-3503-AL</v>
      </c>
      <c r="B2882" s="403" t="s">
        <v>1405</v>
      </c>
      <c r="C2882" s="403" t="s">
        <v>582</v>
      </c>
      <c r="D2882" s="403" t="s">
        <v>1407</v>
      </c>
      <c r="E2882" s="403" t="s">
        <v>778</v>
      </c>
      <c r="F2882" s="403" t="s">
        <v>1372</v>
      </c>
      <c r="G2882" s="403" t="s">
        <v>1466</v>
      </c>
      <c r="H2882" s="403" t="s">
        <v>1281</v>
      </c>
      <c r="I2882" s="403">
        <v>1</v>
      </c>
      <c r="J2882" s="403" t="s">
        <v>110</v>
      </c>
      <c r="K2882" s="403">
        <v>1920</v>
      </c>
      <c r="L2882" s="403">
        <v>1080</v>
      </c>
      <c r="M2882" s="403" t="s">
        <v>1285</v>
      </c>
      <c r="N2882" s="403">
        <v>1280</v>
      </c>
      <c r="O2882" s="403">
        <v>1024</v>
      </c>
      <c r="P2882" t="str">
        <f t="shared" ref="P2882:P2945" si="361">LEFT(F2882,5)&amp;" "&amp;J2882&amp;" - "&amp;M2882</f>
        <v>25fps 1080p - 1280x1024 5:4 (cropped)</v>
      </c>
      <c r="Q2882">
        <f t="shared" ref="Q2882:Q2945" si="362">IF(A2881=A2882,Q2881,Q2881+1)</f>
        <v>17</v>
      </c>
      <c r="R2882" t="str">
        <f t="shared" ref="R2882:R2945" si="363">IF(Q2881&lt;&gt;Q2882,Q2882,"")</f>
        <v/>
      </c>
      <c r="S2882" t="str">
        <f t="shared" ref="S2882:S2945" si="364">IF(R2882&lt;&gt;"",B2882&amp;" ("&amp;D2882&amp;")","")</f>
        <v/>
      </c>
      <c r="T2882" s="403" t="str">
        <f t="shared" ref="T2882:T2945" si="365">D2882</f>
        <v>NDE-3503-AL</v>
      </c>
      <c r="U2882" s="403">
        <f t="shared" ref="U2882:U2945" si="366">I2882</f>
        <v>1</v>
      </c>
      <c r="V2882" s="403" t="str">
        <f t="shared" ref="V2882:V2945" si="367">C2882</f>
        <v>CPP_7_3</v>
      </c>
    </row>
    <row r="2883" spans="1:22">
      <c r="A2883" t="str">
        <f t="shared" si="360"/>
        <v>NDE-3503-AL</v>
      </c>
      <c r="B2883" s="403" t="s">
        <v>1405</v>
      </c>
      <c r="C2883" s="403" t="s">
        <v>582</v>
      </c>
      <c r="D2883" s="403" t="s">
        <v>1407</v>
      </c>
      <c r="E2883" s="403" t="s">
        <v>778</v>
      </c>
      <c r="F2883" s="403" t="s">
        <v>1372</v>
      </c>
      <c r="G2883" s="403" t="s">
        <v>1466</v>
      </c>
      <c r="H2883" s="403" t="s">
        <v>1281</v>
      </c>
      <c r="I2883" s="403">
        <v>1</v>
      </c>
      <c r="J2883" s="403" t="s">
        <v>110</v>
      </c>
      <c r="K2883" s="403">
        <v>1920</v>
      </c>
      <c r="L2883" s="403">
        <v>1080</v>
      </c>
      <c r="M2883" s="403" t="s">
        <v>1279</v>
      </c>
      <c r="N2883" s="403">
        <v>768</v>
      </c>
      <c r="O2883" s="403">
        <v>432</v>
      </c>
      <c r="P2883" t="str">
        <f t="shared" si="361"/>
        <v>25fps 1080p - SD ROI PTZ</v>
      </c>
      <c r="Q2883">
        <f t="shared" si="362"/>
        <v>17</v>
      </c>
      <c r="R2883" t="str">
        <f t="shared" si="363"/>
        <v/>
      </c>
      <c r="S2883" t="str">
        <f t="shared" si="364"/>
        <v/>
      </c>
      <c r="T2883" s="403" t="str">
        <f t="shared" si="365"/>
        <v>NDE-3503-AL</v>
      </c>
      <c r="U2883" s="403">
        <f t="shared" si="366"/>
        <v>1</v>
      </c>
      <c r="V2883" s="403" t="str">
        <f t="shared" si="367"/>
        <v>CPP_7_3</v>
      </c>
    </row>
    <row r="2884" spans="1:22">
      <c r="A2884" t="str">
        <f t="shared" si="360"/>
        <v>NDE-3503-AL</v>
      </c>
      <c r="B2884" s="403" t="s">
        <v>1405</v>
      </c>
      <c r="C2884" s="403" t="s">
        <v>582</v>
      </c>
      <c r="D2884" s="403" t="s">
        <v>1407</v>
      </c>
      <c r="E2884" s="403" t="s">
        <v>778</v>
      </c>
      <c r="F2884" s="403" t="s">
        <v>1372</v>
      </c>
      <c r="G2884" s="403" t="s">
        <v>1466</v>
      </c>
      <c r="H2884" s="403" t="s">
        <v>1281</v>
      </c>
      <c r="I2884" s="403">
        <v>1</v>
      </c>
      <c r="J2884" s="403" t="s">
        <v>110</v>
      </c>
      <c r="K2884" s="403">
        <v>1920</v>
      </c>
      <c r="L2884" s="403">
        <v>1080</v>
      </c>
      <c r="M2884" s="403" t="s">
        <v>1283</v>
      </c>
      <c r="N2884" s="403">
        <v>720</v>
      </c>
      <c r="O2884" s="403">
        <v>576</v>
      </c>
      <c r="P2884" t="str">
        <f t="shared" si="361"/>
        <v>25fps 1080p - SD 4CIF resolution 4:3 format (cropped)</v>
      </c>
      <c r="Q2884">
        <f t="shared" si="362"/>
        <v>17</v>
      </c>
      <c r="R2884" t="str">
        <f t="shared" si="363"/>
        <v/>
      </c>
      <c r="S2884" t="str">
        <f t="shared" si="364"/>
        <v/>
      </c>
      <c r="T2884" s="403" t="str">
        <f t="shared" si="365"/>
        <v>NDE-3503-AL</v>
      </c>
      <c r="U2884" s="403">
        <f t="shared" si="366"/>
        <v>1</v>
      </c>
      <c r="V2884" s="403" t="str">
        <f t="shared" si="367"/>
        <v>CPP_7_3</v>
      </c>
    </row>
    <row r="2885" spans="1:22">
      <c r="A2885" t="str">
        <f t="shared" si="360"/>
        <v>NDE-3503-AL</v>
      </c>
      <c r="B2885" s="403" t="s">
        <v>1405</v>
      </c>
      <c r="C2885" s="403" t="s">
        <v>582</v>
      </c>
      <c r="D2885" s="403" t="s">
        <v>1407</v>
      </c>
      <c r="E2885" s="403" t="s">
        <v>778</v>
      </c>
      <c r="F2885" s="403" t="s">
        <v>1372</v>
      </c>
      <c r="G2885" s="403" t="s">
        <v>1466</v>
      </c>
      <c r="H2885" s="403" t="s">
        <v>1281</v>
      </c>
      <c r="I2885" s="403">
        <v>1</v>
      </c>
      <c r="J2885" s="403" t="s">
        <v>110</v>
      </c>
      <c r="K2885" s="403">
        <v>1920</v>
      </c>
      <c r="L2885" s="403">
        <v>1080</v>
      </c>
      <c r="M2885" s="403" t="s">
        <v>1284</v>
      </c>
      <c r="N2885" s="403">
        <v>640</v>
      </c>
      <c r="O2885" s="403">
        <v>480</v>
      </c>
      <c r="P2885" t="str">
        <f t="shared" si="361"/>
        <v>25fps 1080p - SD VGA (cropped)</v>
      </c>
      <c r="Q2885">
        <f t="shared" si="362"/>
        <v>17</v>
      </c>
      <c r="R2885" t="str">
        <f t="shared" si="363"/>
        <v/>
      </c>
      <c r="S2885" t="str">
        <f t="shared" si="364"/>
        <v/>
      </c>
      <c r="T2885" s="403" t="str">
        <f t="shared" si="365"/>
        <v>NDE-3503-AL</v>
      </c>
      <c r="U2885" s="403">
        <f t="shared" si="366"/>
        <v>1</v>
      </c>
      <c r="V2885" s="403" t="str">
        <f t="shared" si="367"/>
        <v>CPP_7_3</v>
      </c>
    </row>
    <row r="2886" spans="1:22">
      <c r="A2886" t="str">
        <f t="shared" si="360"/>
        <v>NDE-3503-AL</v>
      </c>
      <c r="B2886" s="403" t="s">
        <v>1405</v>
      </c>
      <c r="C2886" s="403" t="s">
        <v>582</v>
      </c>
      <c r="D2886" s="403" t="s">
        <v>1407</v>
      </c>
      <c r="E2886" s="403" t="s">
        <v>778</v>
      </c>
      <c r="F2886" s="403" t="s">
        <v>1372</v>
      </c>
      <c r="G2886" s="403" t="s">
        <v>1466</v>
      </c>
      <c r="H2886" s="403" t="s">
        <v>1281</v>
      </c>
      <c r="I2886" s="403">
        <v>1</v>
      </c>
      <c r="J2886" s="403" t="s">
        <v>109</v>
      </c>
      <c r="K2886" s="403">
        <v>1280</v>
      </c>
      <c r="L2886" s="403">
        <v>720</v>
      </c>
      <c r="M2886" s="403" t="s">
        <v>109</v>
      </c>
      <c r="N2886" s="403">
        <v>1280</v>
      </c>
      <c r="O2886" s="403">
        <v>720</v>
      </c>
      <c r="P2886" t="str">
        <f t="shared" si="361"/>
        <v>25fps 720p - 720p</v>
      </c>
      <c r="Q2886">
        <f t="shared" si="362"/>
        <v>17</v>
      </c>
      <c r="R2886" t="str">
        <f t="shared" si="363"/>
        <v/>
      </c>
      <c r="S2886" t="str">
        <f t="shared" si="364"/>
        <v/>
      </c>
      <c r="T2886" s="403" t="str">
        <f t="shared" si="365"/>
        <v>NDE-3503-AL</v>
      </c>
      <c r="U2886" s="403">
        <f t="shared" si="366"/>
        <v>1</v>
      </c>
      <c r="V2886" s="403" t="str">
        <f t="shared" si="367"/>
        <v>CPP_7_3</v>
      </c>
    </row>
    <row r="2887" spans="1:22">
      <c r="A2887" t="str">
        <f t="shared" si="360"/>
        <v>NDE-3503-AL</v>
      </c>
      <c r="B2887" s="403" t="s">
        <v>1405</v>
      </c>
      <c r="C2887" s="403" t="s">
        <v>582</v>
      </c>
      <c r="D2887" s="403" t="s">
        <v>1407</v>
      </c>
      <c r="E2887" s="403" t="s">
        <v>778</v>
      </c>
      <c r="F2887" s="403" t="s">
        <v>1372</v>
      </c>
      <c r="G2887" s="403" t="s">
        <v>1466</v>
      </c>
      <c r="H2887" s="403" t="s">
        <v>1281</v>
      </c>
      <c r="I2887" s="403">
        <v>1</v>
      </c>
      <c r="J2887" s="403" t="s">
        <v>109</v>
      </c>
      <c r="K2887" s="403">
        <v>1280</v>
      </c>
      <c r="L2887" s="403">
        <v>720</v>
      </c>
      <c r="M2887" s="403" t="s">
        <v>111</v>
      </c>
      <c r="N2887" s="403">
        <v>768</v>
      </c>
      <c r="O2887" s="403">
        <v>432</v>
      </c>
      <c r="P2887" t="str">
        <f t="shared" si="361"/>
        <v>25fps 720p - SD</v>
      </c>
      <c r="Q2887">
        <f t="shared" si="362"/>
        <v>17</v>
      </c>
      <c r="R2887" t="str">
        <f t="shared" si="363"/>
        <v/>
      </c>
      <c r="S2887" t="str">
        <f t="shared" si="364"/>
        <v/>
      </c>
      <c r="T2887" s="403" t="str">
        <f t="shared" si="365"/>
        <v>NDE-3503-AL</v>
      </c>
      <c r="U2887" s="403">
        <f t="shared" si="366"/>
        <v>1</v>
      </c>
      <c r="V2887" s="403" t="str">
        <f t="shared" si="367"/>
        <v>CPP_7_3</v>
      </c>
    </row>
    <row r="2888" spans="1:22">
      <c r="A2888" t="str">
        <f t="shared" si="360"/>
        <v>NDE-3503-AL</v>
      </c>
      <c r="B2888" s="403" t="s">
        <v>1405</v>
      </c>
      <c r="C2888" s="403" t="s">
        <v>582</v>
      </c>
      <c r="D2888" s="403" t="s">
        <v>1407</v>
      </c>
      <c r="E2888" s="403" t="s">
        <v>778</v>
      </c>
      <c r="F2888" s="403" t="s">
        <v>1372</v>
      </c>
      <c r="G2888" s="403" t="s">
        <v>1466</v>
      </c>
      <c r="H2888" s="403" t="s">
        <v>1281</v>
      </c>
      <c r="I2888" s="403">
        <v>1</v>
      </c>
      <c r="J2888" s="403" t="s">
        <v>109</v>
      </c>
      <c r="K2888" s="403">
        <v>1280</v>
      </c>
      <c r="L2888" s="403">
        <v>720</v>
      </c>
      <c r="M2888" s="403" t="s">
        <v>1279</v>
      </c>
      <c r="N2888" s="403">
        <v>768</v>
      </c>
      <c r="O2888" s="403">
        <v>432</v>
      </c>
      <c r="P2888" t="str">
        <f t="shared" si="361"/>
        <v>25fps 720p - SD ROI PTZ</v>
      </c>
      <c r="Q2888">
        <f t="shared" si="362"/>
        <v>17</v>
      </c>
      <c r="R2888" t="str">
        <f t="shared" si="363"/>
        <v/>
      </c>
      <c r="S2888" t="str">
        <f t="shared" si="364"/>
        <v/>
      </c>
      <c r="T2888" s="403" t="str">
        <f t="shared" si="365"/>
        <v>NDE-3503-AL</v>
      </c>
      <c r="U2888" s="403">
        <f t="shared" si="366"/>
        <v>1</v>
      </c>
      <c r="V2888" s="403" t="str">
        <f t="shared" si="367"/>
        <v>CPP_7_3</v>
      </c>
    </row>
    <row r="2889" spans="1:22">
      <c r="A2889" t="str">
        <f t="shared" si="360"/>
        <v>NDE-3503-AL</v>
      </c>
      <c r="B2889" s="403" t="s">
        <v>1405</v>
      </c>
      <c r="C2889" s="403" t="s">
        <v>582</v>
      </c>
      <c r="D2889" s="403" t="s">
        <v>1407</v>
      </c>
      <c r="E2889" s="403" t="s">
        <v>778</v>
      </c>
      <c r="F2889" s="403" t="s">
        <v>1372</v>
      </c>
      <c r="G2889" s="403" t="s">
        <v>1466</v>
      </c>
      <c r="H2889" s="403" t="s">
        <v>1281</v>
      </c>
      <c r="I2889" s="403">
        <v>1</v>
      </c>
      <c r="J2889" s="403" t="s">
        <v>109</v>
      </c>
      <c r="K2889" s="403">
        <v>1280</v>
      </c>
      <c r="L2889" s="403">
        <v>720</v>
      </c>
      <c r="M2889" s="403" t="s">
        <v>1283</v>
      </c>
      <c r="N2889" s="403">
        <v>720</v>
      </c>
      <c r="O2889" s="403">
        <v>576</v>
      </c>
      <c r="P2889" t="str">
        <f t="shared" si="361"/>
        <v>25fps 720p - SD 4CIF resolution 4:3 format (cropped)</v>
      </c>
      <c r="Q2889">
        <f t="shared" si="362"/>
        <v>17</v>
      </c>
      <c r="R2889" t="str">
        <f t="shared" si="363"/>
        <v/>
      </c>
      <c r="S2889" t="str">
        <f t="shared" si="364"/>
        <v/>
      </c>
      <c r="T2889" s="403" t="str">
        <f t="shared" si="365"/>
        <v>NDE-3503-AL</v>
      </c>
      <c r="U2889" s="403">
        <f t="shared" si="366"/>
        <v>1</v>
      </c>
      <c r="V2889" s="403" t="str">
        <f t="shared" si="367"/>
        <v>CPP_7_3</v>
      </c>
    </row>
    <row r="2890" spans="1:22">
      <c r="A2890" t="str">
        <f t="shared" si="360"/>
        <v>NDE-3503-AL</v>
      </c>
      <c r="B2890" s="403" t="s">
        <v>1405</v>
      </c>
      <c r="C2890" s="403" t="s">
        <v>582</v>
      </c>
      <c r="D2890" s="403" t="s">
        <v>1407</v>
      </c>
      <c r="E2890" s="403" t="s">
        <v>778</v>
      </c>
      <c r="F2890" s="403" t="s">
        <v>1372</v>
      </c>
      <c r="G2890" s="403" t="s">
        <v>1466</v>
      </c>
      <c r="H2890" s="403" t="s">
        <v>1281</v>
      </c>
      <c r="I2890" s="403">
        <v>1</v>
      </c>
      <c r="J2890" s="403" t="s">
        <v>109</v>
      </c>
      <c r="K2890" s="403">
        <v>1280</v>
      </c>
      <c r="L2890" s="403">
        <v>720</v>
      </c>
      <c r="M2890" s="403" t="s">
        <v>1284</v>
      </c>
      <c r="N2890" s="403">
        <v>640</v>
      </c>
      <c r="O2890" s="403">
        <v>480</v>
      </c>
      <c r="P2890" t="str">
        <f t="shared" si="361"/>
        <v>25fps 720p - SD VGA (cropped)</v>
      </c>
      <c r="Q2890">
        <f t="shared" si="362"/>
        <v>17</v>
      </c>
      <c r="R2890" t="str">
        <f t="shared" si="363"/>
        <v/>
      </c>
      <c r="S2890" t="str">
        <f t="shared" si="364"/>
        <v/>
      </c>
      <c r="T2890" s="403" t="str">
        <f t="shared" si="365"/>
        <v>NDE-3503-AL</v>
      </c>
      <c r="U2890" s="403">
        <f t="shared" si="366"/>
        <v>1</v>
      </c>
      <c r="V2890" s="403" t="str">
        <f t="shared" si="367"/>
        <v>CPP_7_3</v>
      </c>
    </row>
    <row r="2891" spans="1:22">
      <c r="A2891" t="str">
        <f t="shared" si="360"/>
        <v>NDE-3503-AL</v>
      </c>
      <c r="B2891" s="403" t="s">
        <v>1405</v>
      </c>
      <c r="C2891" s="403" t="s">
        <v>582</v>
      </c>
      <c r="D2891" s="403" t="s">
        <v>1407</v>
      </c>
      <c r="E2891" s="403" t="s">
        <v>778</v>
      </c>
      <c r="F2891" s="403" t="s">
        <v>1372</v>
      </c>
      <c r="G2891" s="403" t="s">
        <v>1467</v>
      </c>
      <c r="H2891" s="403" t="s">
        <v>1276</v>
      </c>
      <c r="I2891" s="403">
        <v>1</v>
      </c>
      <c r="J2891" s="403" t="s">
        <v>1374</v>
      </c>
      <c r="K2891" s="403">
        <v>1296</v>
      </c>
      <c r="L2891" s="403">
        <v>2304</v>
      </c>
      <c r="M2891" s="403" t="s">
        <v>111</v>
      </c>
      <c r="N2891" s="403">
        <v>432</v>
      </c>
      <c r="O2891" s="403">
        <v>768</v>
      </c>
      <c r="P2891" t="str">
        <f t="shared" si="361"/>
        <v>25fps 2304x1296 - SD</v>
      </c>
      <c r="Q2891">
        <f t="shared" si="362"/>
        <v>17</v>
      </c>
      <c r="R2891" t="str">
        <f t="shared" si="363"/>
        <v/>
      </c>
      <c r="S2891" t="str">
        <f t="shared" si="364"/>
        <v/>
      </c>
      <c r="T2891" s="403" t="str">
        <f t="shared" si="365"/>
        <v>NDE-3503-AL</v>
      </c>
      <c r="U2891" s="403">
        <f t="shared" si="366"/>
        <v>1</v>
      </c>
      <c r="V2891" s="403" t="str">
        <f t="shared" si="367"/>
        <v>CPP_7_3</v>
      </c>
    </row>
    <row r="2892" spans="1:22">
      <c r="A2892" t="str">
        <f t="shared" si="360"/>
        <v>NDE-3503-AL</v>
      </c>
      <c r="B2892" s="403" t="s">
        <v>1405</v>
      </c>
      <c r="C2892" s="403" t="s">
        <v>582</v>
      </c>
      <c r="D2892" s="403" t="s">
        <v>1407</v>
      </c>
      <c r="E2892" s="403" t="s">
        <v>778</v>
      </c>
      <c r="F2892" s="403" t="s">
        <v>1372</v>
      </c>
      <c r="G2892" s="403" t="s">
        <v>1467</v>
      </c>
      <c r="H2892" s="403" t="s">
        <v>1276</v>
      </c>
      <c r="I2892" s="403">
        <v>1</v>
      </c>
      <c r="J2892" s="403" t="s">
        <v>1374</v>
      </c>
      <c r="K2892" s="403">
        <v>1296</v>
      </c>
      <c r="L2892" s="403">
        <v>2304</v>
      </c>
      <c r="M2892" s="403" t="s">
        <v>1279</v>
      </c>
      <c r="N2892" s="403">
        <v>432</v>
      </c>
      <c r="O2892" s="403">
        <v>768</v>
      </c>
      <c r="P2892" t="str">
        <f t="shared" si="361"/>
        <v>25fps 2304x1296 - SD ROI PTZ</v>
      </c>
      <c r="Q2892">
        <f t="shared" si="362"/>
        <v>17</v>
      </c>
      <c r="R2892" t="str">
        <f t="shared" si="363"/>
        <v/>
      </c>
      <c r="S2892" t="str">
        <f t="shared" si="364"/>
        <v/>
      </c>
      <c r="T2892" s="403" t="str">
        <f t="shared" si="365"/>
        <v>NDE-3503-AL</v>
      </c>
      <c r="U2892" s="403">
        <f t="shared" si="366"/>
        <v>1</v>
      </c>
      <c r="V2892" s="403" t="str">
        <f t="shared" si="367"/>
        <v>CPP_7_3</v>
      </c>
    </row>
    <row r="2893" spans="1:22">
      <c r="A2893" t="str">
        <f t="shared" si="360"/>
        <v>NDE-3503-AL</v>
      </c>
      <c r="B2893" s="403" t="s">
        <v>1405</v>
      </c>
      <c r="C2893" s="403" t="s">
        <v>582</v>
      </c>
      <c r="D2893" s="403" t="s">
        <v>1407</v>
      </c>
      <c r="E2893" s="403" t="s">
        <v>778</v>
      </c>
      <c r="F2893" s="403" t="s">
        <v>1372</v>
      </c>
      <c r="G2893" s="403" t="s">
        <v>1467</v>
      </c>
      <c r="H2893" s="403" t="s">
        <v>1276</v>
      </c>
      <c r="I2893" s="403">
        <v>1</v>
      </c>
      <c r="J2893" s="403" t="s">
        <v>1374</v>
      </c>
      <c r="K2893" s="403">
        <v>1296</v>
      </c>
      <c r="L2893" s="403">
        <v>2304</v>
      </c>
      <c r="M2893" s="403" t="s">
        <v>1283</v>
      </c>
      <c r="N2893" s="403">
        <v>576</v>
      </c>
      <c r="O2893" s="403">
        <v>720</v>
      </c>
      <c r="P2893" t="str">
        <f t="shared" si="361"/>
        <v>25fps 2304x1296 - SD 4CIF resolution 4:3 format (cropped)</v>
      </c>
      <c r="Q2893">
        <f t="shared" si="362"/>
        <v>17</v>
      </c>
      <c r="R2893" t="str">
        <f t="shared" si="363"/>
        <v/>
      </c>
      <c r="S2893" t="str">
        <f t="shared" si="364"/>
        <v/>
      </c>
      <c r="T2893" s="403" t="str">
        <f t="shared" si="365"/>
        <v>NDE-3503-AL</v>
      </c>
      <c r="U2893" s="403">
        <f t="shared" si="366"/>
        <v>1</v>
      </c>
      <c r="V2893" s="403" t="str">
        <f t="shared" si="367"/>
        <v>CPP_7_3</v>
      </c>
    </row>
    <row r="2894" spans="1:22">
      <c r="A2894" t="str">
        <f t="shared" si="360"/>
        <v>NDE-3503-AL</v>
      </c>
      <c r="B2894" s="403" t="s">
        <v>1405</v>
      </c>
      <c r="C2894" s="403" t="s">
        <v>582</v>
      </c>
      <c r="D2894" s="403" t="s">
        <v>1407</v>
      </c>
      <c r="E2894" s="403" t="s">
        <v>778</v>
      </c>
      <c r="F2894" s="403" t="s">
        <v>1372</v>
      </c>
      <c r="G2894" s="403" t="s">
        <v>1467</v>
      </c>
      <c r="H2894" s="403" t="s">
        <v>1276</v>
      </c>
      <c r="I2894" s="403">
        <v>1</v>
      </c>
      <c r="J2894" s="403" t="s">
        <v>1374</v>
      </c>
      <c r="K2894" s="403">
        <v>1296</v>
      </c>
      <c r="L2894" s="403">
        <v>2304</v>
      </c>
      <c r="M2894" s="403" t="s">
        <v>1284</v>
      </c>
      <c r="N2894" s="403">
        <v>480</v>
      </c>
      <c r="O2894" s="403">
        <v>640</v>
      </c>
      <c r="P2894" t="str">
        <f t="shared" si="361"/>
        <v>25fps 2304x1296 - SD VGA (cropped)</v>
      </c>
      <c r="Q2894">
        <f t="shared" si="362"/>
        <v>17</v>
      </c>
      <c r="R2894" t="str">
        <f t="shared" si="363"/>
        <v/>
      </c>
      <c r="S2894" t="str">
        <f t="shared" si="364"/>
        <v/>
      </c>
      <c r="T2894" s="403" t="str">
        <f t="shared" si="365"/>
        <v>NDE-3503-AL</v>
      </c>
      <c r="U2894" s="403">
        <f t="shared" si="366"/>
        <v>1</v>
      </c>
      <c r="V2894" s="403" t="str">
        <f t="shared" si="367"/>
        <v>CPP_7_3</v>
      </c>
    </row>
    <row r="2895" spans="1:22">
      <c r="A2895" t="str">
        <f t="shared" si="360"/>
        <v>NDE-3503-AL</v>
      </c>
      <c r="B2895" s="403" t="s">
        <v>1405</v>
      </c>
      <c r="C2895" s="403" t="s">
        <v>582</v>
      </c>
      <c r="D2895" s="403" t="s">
        <v>1407</v>
      </c>
      <c r="E2895" s="403" t="s">
        <v>778</v>
      </c>
      <c r="F2895" s="403" t="s">
        <v>1372</v>
      </c>
      <c r="G2895" s="403" t="s">
        <v>1467</v>
      </c>
      <c r="H2895" s="403" t="s">
        <v>1276</v>
      </c>
      <c r="I2895" s="403">
        <v>1</v>
      </c>
      <c r="J2895" s="403" t="s">
        <v>1374</v>
      </c>
      <c r="K2895" s="403">
        <v>1296</v>
      </c>
      <c r="L2895" s="403">
        <v>2304</v>
      </c>
      <c r="M2895" s="403" t="s">
        <v>1280</v>
      </c>
      <c r="N2895" s="403">
        <v>1296</v>
      </c>
      <c r="O2895" s="403">
        <v>2304</v>
      </c>
      <c r="P2895" t="str">
        <f t="shared" si="361"/>
        <v>25fps 2304x1296 - copy other stream</v>
      </c>
      <c r="Q2895">
        <f t="shared" si="362"/>
        <v>17</v>
      </c>
      <c r="R2895" t="str">
        <f t="shared" si="363"/>
        <v/>
      </c>
      <c r="S2895" t="str">
        <f t="shared" si="364"/>
        <v/>
      </c>
      <c r="T2895" s="403" t="str">
        <f t="shared" si="365"/>
        <v>NDE-3503-AL</v>
      </c>
      <c r="U2895" s="403">
        <f t="shared" si="366"/>
        <v>1</v>
      </c>
      <c r="V2895" s="403" t="str">
        <f t="shared" si="367"/>
        <v>CPP_7_3</v>
      </c>
    </row>
    <row r="2896" spans="1:22">
      <c r="A2896" t="str">
        <f t="shared" si="360"/>
        <v>NDE-3503-AL</v>
      </c>
      <c r="B2896" s="403" t="s">
        <v>1405</v>
      </c>
      <c r="C2896" s="403" t="s">
        <v>582</v>
      </c>
      <c r="D2896" s="403" t="s">
        <v>1407</v>
      </c>
      <c r="E2896" s="403" t="s">
        <v>778</v>
      </c>
      <c r="F2896" s="403" t="s">
        <v>1372</v>
      </c>
      <c r="G2896" s="403" t="s">
        <v>1467</v>
      </c>
      <c r="H2896" s="403" t="s">
        <v>1276</v>
      </c>
      <c r="I2896" s="403">
        <v>1</v>
      </c>
      <c r="J2896" s="403" t="s">
        <v>110</v>
      </c>
      <c r="K2896" s="403">
        <v>1080</v>
      </c>
      <c r="L2896" s="403">
        <v>1920</v>
      </c>
      <c r="M2896" s="403" t="s">
        <v>111</v>
      </c>
      <c r="N2896" s="403">
        <v>432</v>
      </c>
      <c r="O2896" s="403">
        <v>768</v>
      </c>
      <c r="P2896" t="str">
        <f t="shared" si="361"/>
        <v>25fps 1080p - SD</v>
      </c>
      <c r="Q2896">
        <f t="shared" si="362"/>
        <v>17</v>
      </c>
      <c r="R2896" t="str">
        <f t="shared" si="363"/>
        <v/>
      </c>
      <c r="S2896" t="str">
        <f t="shared" si="364"/>
        <v/>
      </c>
      <c r="T2896" s="403" t="str">
        <f t="shared" si="365"/>
        <v>NDE-3503-AL</v>
      </c>
      <c r="U2896" s="403">
        <f t="shared" si="366"/>
        <v>1</v>
      </c>
      <c r="V2896" s="403" t="str">
        <f t="shared" si="367"/>
        <v>CPP_7_3</v>
      </c>
    </row>
    <row r="2897" spans="1:22">
      <c r="A2897" t="str">
        <f t="shared" si="360"/>
        <v>NDE-3503-AL</v>
      </c>
      <c r="B2897" s="403" t="s">
        <v>1405</v>
      </c>
      <c r="C2897" s="403" t="s">
        <v>582</v>
      </c>
      <c r="D2897" s="403" t="s">
        <v>1407</v>
      </c>
      <c r="E2897" s="403" t="s">
        <v>778</v>
      </c>
      <c r="F2897" s="403" t="s">
        <v>1372</v>
      </c>
      <c r="G2897" s="403" t="s">
        <v>1467</v>
      </c>
      <c r="H2897" s="403" t="s">
        <v>1276</v>
      </c>
      <c r="I2897" s="403">
        <v>1</v>
      </c>
      <c r="J2897" s="403" t="s">
        <v>110</v>
      </c>
      <c r="K2897" s="403">
        <v>1080</v>
      </c>
      <c r="L2897" s="403">
        <v>1920</v>
      </c>
      <c r="M2897" s="403" t="s">
        <v>109</v>
      </c>
      <c r="N2897" s="403">
        <v>720</v>
      </c>
      <c r="O2897" s="403">
        <v>1280</v>
      </c>
      <c r="P2897" t="str">
        <f t="shared" si="361"/>
        <v>25fps 1080p - 720p</v>
      </c>
      <c r="Q2897">
        <f t="shared" si="362"/>
        <v>17</v>
      </c>
      <c r="R2897" t="str">
        <f t="shared" si="363"/>
        <v/>
      </c>
      <c r="S2897" t="str">
        <f t="shared" si="364"/>
        <v/>
      </c>
      <c r="T2897" s="403" t="str">
        <f t="shared" si="365"/>
        <v>NDE-3503-AL</v>
      </c>
      <c r="U2897" s="403">
        <f t="shared" si="366"/>
        <v>1</v>
      </c>
      <c r="V2897" s="403" t="str">
        <f t="shared" si="367"/>
        <v>CPP_7_3</v>
      </c>
    </row>
    <row r="2898" spans="1:22">
      <c r="A2898" t="str">
        <f t="shared" si="360"/>
        <v>NDE-3503-AL</v>
      </c>
      <c r="B2898" s="403" t="s">
        <v>1405</v>
      </c>
      <c r="C2898" s="403" t="s">
        <v>582</v>
      </c>
      <c r="D2898" s="403" t="s">
        <v>1407</v>
      </c>
      <c r="E2898" s="403" t="s">
        <v>778</v>
      </c>
      <c r="F2898" s="403" t="s">
        <v>1372</v>
      </c>
      <c r="G2898" s="403" t="s">
        <v>1467</v>
      </c>
      <c r="H2898" s="403" t="s">
        <v>1276</v>
      </c>
      <c r="I2898" s="403">
        <v>1</v>
      </c>
      <c r="J2898" s="403" t="s">
        <v>110</v>
      </c>
      <c r="K2898" s="403">
        <v>1080</v>
      </c>
      <c r="L2898" s="403">
        <v>1920</v>
      </c>
      <c r="M2898" s="403" t="s">
        <v>1285</v>
      </c>
      <c r="N2898" s="403">
        <v>1024</v>
      </c>
      <c r="O2898" s="403">
        <v>1280</v>
      </c>
      <c r="P2898" t="str">
        <f t="shared" si="361"/>
        <v>25fps 1080p - 1280x1024 5:4 (cropped)</v>
      </c>
      <c r="Q2898">
        <f t="shared" si="362"/>
        <v>17</v>
      </c>
      <c r="R2898" t="str">
        <f t="shared" si="363"/>
        <v/>
      </c>
      <c r="S2898" t="str">
        <f t="shared" si="364"/>
        <v/>
      </c>
      <c r="T2898" s="403" t="str">
        <f t="shared" si="365"/>
        <v>NDE-3503-AL</v>
      </c>
      <c r="U2898" s="403">
        <f t="shared" si="366"/>
        <v>1</v>
      </c>
      <c r="V2898" s="403" t="str">
        <f t="shared" si="367"/>
        <v>CPP_7_3</v>
      </c>
    </row>
    <row r="2899" spans="1:22">
      <c r="A2899" t="str">
        <f t="shared" si="360"/>
        <v>NDE-3503-AL</v>
      </c>
      <c r="B2899" s="403" t="s">
        <v>1405</v>
      </c>
      <c r="C2899" s="403" t="s">
        <v>582</v>
      </c>
      <c r="D2899" s="403" t="s">
        <v>1407</v>
      </c>
      <c r="E2899" s="403" t="s">
        <v>778</v>
      </c>
      <c r="F2899" s="403" t="s">
        <v>1372</v>
      </c>
      <c r="G2899" s="403" t="s">
        <v>1467</v>
      </c>
      <c r="H2899" s="403" t="s">
        <v>1276</v>
      </c>
      <c r="I2899" s="403">
        <v>1</v>
      </c>
      <c r="J2899" s="403" t="s">
        <v>110</v>
      </c>
      <c r="K2899" s="403">
        <v>1080</v>
      </c>
      <c r="L2899" s="403">
        <v>1920</v>
      </c>
      <c r="M2899" s="403" t="s">
        <v>1279</v>
      </c>
      <c r="N2899" s="403">
        <v>432</v>
      </c>
      <c r="O2899" s="403">
        <v>768</v>
      </c>
      <c r="P2899" t="str">
        <f t="shared" si="361"/>
        <v>25fps 1080p - SD ROI PTZ</v>
      </c>
      <c r="Q2899">
        <f t="shared" si="362"/>
        <v>17</v>
      </c>
      <c r="R2899" t="str">
        <f t="shared" si="363"/>
        <v/>
      </c>
      <c r="S2899" t="str">
        <f t="shared" si="364"/>
        <v/>
      </c>
      <c r="T2899" s="403" t="str">
        <f t="shared" si="365"/>
        <v>NDE-3503-AL</v>
      </c>
      <c r="U2899" s="403">
        <f t="shared" si="366"/>
        <v>1</v>
      </c>
      <c r="V2899" s="403" t="str">
        <f t="shared" si="367"/>
        <v>CPP_7_3</v>
      </c>
    </row>
    <row r="2900" spans="1:22">
      <c r="A2900" t="str">
        <f t="shared" si="360"/>
        <v>NDE-3503-AL</v>
      </c>
      <c r="B2900" s="403" t="s">
        <v>1405</v>
      </c>
      <c r="C2900" s="403" t="s">
        <v>582</v>
      </c>
      <c r="D2900" s="403" t="s">
        <v>1407</v>
      </c>
      <c r="E2900" s="403" t="s">
        <v>778</v>
      </c>
      <c r="F2900" s="403" t="s">
        <v>1372</v>
      </c>
      <c r="G2900" s="403" t="s">
        <v>1467</v>
      </c>
      <c r="H2900" s="403" t="s">
        <v>1276</v>
      </c>
      <c r="I2900" s="403">
        <v>1</v>
      </c>
      <c r="J2900" s="403" t="s">
        <v>110</v>
      </c>
      <c r="K2900" s="403">
        <v>1080</v>
      </c>
      <c r="L2900" s="403">
        <v>1920</v>
      </c>
      <c r="M2900" s="403" t="s">
        <v>1283</v>
      </c>
      <c r="N2900" s="403">
        <v>576</v>
      </c>
      <c r="O2900" s="403">
        <v>720</v>
      </c>
      <c r="P2900" t="str">
        <f t="shared" si="361"/>
        <v>25fps 1080p - SD 4CIF resolution 4:3 format (cropped)</v>
      </c>
      <c r="Q2900">
        <f t="shared" si="362"/>
        <v>17</v>
      </c>
      <c r="R2900" t="str">
        <f t="shared" si="363"/>
        <v/>
      </c>
      <c r="S2900" t="str">
        <f t="shared" si="364"/>
        <v/>
      </c>
      <c r="T2900" s="403" t="str">
        <f t="shared" si="365"/>
        <v>NDE-3503-AL</v>
      </c>
      <c r="U2900" s="403">
        <f t="shared" si="366"/>
        <v>1</v>
      </c>
      <c r="V2900" s="403" t="str">
        <f t="shared" si="367"/>
        <v>CPP_7_3</v>
      </c>
    </row>
    <row r="2901" spans="1:22">
      <c r="A2901" t="str">
        <f t="shared" si="360"/>
        <v>NDE-3503-AL</v>
      </c>
      <c r="B2901" s="403" t="s">
        <v>1405</v>
      </c>
      <c r="C2901" s="403" t="s">
        <v>582</v>
      </c>
      <c r="D2901" s="403" t="s">
        <v>1407</v>
      </c>
      <c r="E2901" s="403" t="s">
        <v>778</v>
      </c>
      <c r="F2901" s="403" t="s">
        <v>1372</v>
      </c>
      <c r="G2901" s="403" t="s">
        <v>1467</v>
      </c>
      <c r="H2901" s="403" t="s">
        <v>1276</v>
      </c>
      <c r="I2901" s="403">
        <v>1</v>
      </c>
      <c r="J2901" s="403" t="s">
        <v>110</v>
      </c>
      <c r="K2901" s="403">
        <v>1080</v>
      </c>
      <c r="L2901" s="403">
        <v>1920</v>
      </c>
      <c r="M2901" s="403" t="s">
        <v>1284</v>
      </c>
      <c r="N2901" s="403">
        <v>480</v>
      </c>
      <c r="O2901" s="403">
        <v>640</v>
      </c>
      <c r="P2901" t="str">
        <f t="shared" si="361"/>
        <v>25fps 1080p - SD VGA (cropped)</v>
      </c>
      <c r="Q2901">
        <f t="shared" si="362"/>
        <v>17</v>
      </c>
      <c r="R2901" t="str">
        <f t="shared" si="363"/>
        <v/>
      </c>
      <c r="S2901" t="str">
        <f t="shared" si="364"/>
        <v/>
      </c>
      <c r="T2901" s="403" t="str">
        <f t="shared" si="365"/>
        <v>NDE-3503-AL</v>
      </c>
      <c r="U2901" s="403">
        <f t="shared" si="366"/>
        <v>1</v>
      </c>
      <c r="V2901" s="403" t="str">
        <f t="shared" si="367"/>
        <v>CPP_7_3</v>
      </c>
    </row>
    <row r="2902" spans="1:22">
      <c r="A2902" t="str">
        <f t="shared" si="360"/>
        <v>NDE-3503-AL</v>
      </c>
      <c r="B2902" s="403" t="s">
        <v>1405</v>
      </c>
      <c r="C2902" s="403" t="s">
        <v>582</v>
      </c>
      <c r="D2902" s="403" t="s">
        <v>1407</v>
      </c>
      <c r="E2902" s="403" t="s">
        <v>778</v>
      </c>
      <c r="F2902" s="403" t="s">
        <v>1372</v>
      </c>
      <c r="G2902" s="403" t="s">
        <v>1467</v>
      </c>
      <c r="H2902" s="403" t="s">
        <v>1276</v>
      </c>
      <c r="I2902" s="403">
        <v>1</v>
      </c>
      <c r="J2902" s="403" t="s">
        <v>109</v>
      </c>
      <c r="K2902" s="403">
        <v>720</v>
      </c>
      <c r="L2902" s="403">
        <v>1280</v>
      </c>
      <c r="M2902" s="403" t="s">
        <v>109</v>
      </c>
      <c r="N2902" s="403">
        <v>720</v>
      </c>
      <c r="O2902" s="403">
        <v>1280</v>
      </c>
      <c r="P2902" t="str">
        <f t="shared" si="361"/>
        <v>25fps 720p - 720p</v>
      </c>
      <c r="Q2902">
        <f t="shared" si="362"/>
        <v>17</v>
      </c>
      <c r="R2902" t="str">
        <f t="shared" si="363"/>
        <v/>
      </c>
      <c r="S2902" t="str">
        <f t="shared" si="364"/>
        <v/>
      </c>
      <c r="T2902" s="403" t="str">
        <f t="shared" si="365"/>
        <v>NDE-3503-AL</v>
      </c>
      <c r="U2902" s="403">
        <f t="shared" si="366"/>
        <v>1</v>
      </c>
      <c r="V2902" s="403" t="str">
        <f t="shared" si="367"/>
        <v>CPP_7_3</v>
      </c>
    </row>
    <row r="2903" spans="1:22">
      <c r="A2903" t="str">
        <f t="shared" si="360"/>
        <v>NDE-3503-AL</v>
      </c>
      <c r="B2903" s="403" t="s">
        <v>1405</v>
      </c>
      <c r="C2903" s="403" t="s">
        <v>582</v>
      </c>
      <c r="D2903" s="403" t="s">
        <v>1407</v>
      </c>
      <c r="E2903" s="403" t="s">
        <v>778</v>
      </c>
      <c r="F2903" s="403" t="s">
        <v>1372</v>
      </c>
      <c r="G2903" s="403" t="s">
        <v>1467</v>
      </c>
      <c r="H2903" s="403" t="s">
        <v>1276</v>
      </c>
      <c r="I2903" s="403">
        <v>1</v>
      </c>
      <c r="J2903" s="403" t="s">
        <v>109</v>
      </c>
      <c r="K2903" s="403">
        <v>720</v>
      </c>
      <c r="L2903" s="403">
        <v>1280</v>
      </c>
      <c r="M2903" s="403" t="s">
        <v>111</v>
      </c>
      <c r="N2903" s="403">
        <v>432</v>
      </c>
      <c r="O2903" s="403">
        <v>768</v>
      </c>
      <c r="P2903" t="str">
        <f t="shared" si="361"/>
        <v>25fps 720p - SD</v>
      </c>
      <c r="Q2903">
        <f t="shared" si="362"/>
        <v>17</v>
      </c>
      <c r="R2903" t="str">
        <f t="shared" si="363"/>
        <v/>
      </c>
      <c r="S2903" t="str">
        <f t="shared" si="364"/>
        <v/>
      </c>
      <c r="T2903" s="403" t="str">
        <f t="shared" si="365"/>
        <v>NDE-3503-AL</v>
      </c>
      <c r="U2903" s="403">
        <f t="shared" si="366"/>
        <v>1</v>
      </c>
      <c r="V2903" s="403" t="str">
        <f t="shared" si="367"/>
        <v>CPP_7_3</v>
      </c>
    </row>
    <row r="2904" spans="1:22">
      <c r="A2904" t="str">
        <f t="shared" si="360"/>
        <v>NDE-3503-AL</v>
      </c>
      <c r="B2904" s="403" t="s">
        <v>1405</v>
      </c>
      <c r="C2904" s="403" t="s">
        <v>582</v>
      </c>
      <c r="D2904" s="403" t="s">
        <v>1407</v>
      </c>
      <c r="E2904" s="403" t="s">
        <v>778</v>
      </c>
      <c r="F2904" s="403" t="s">
        <v>1372</v>
      </c>
      <c r="G2904" s="403" t="s">
        <v>1467</v>
      </c>
      <c r="H2904" s="403" t="s">
        <v>1276</v>
      </c>
      <c r="I2904" s="403">
        <v>1</v>
      </c>
      <c r="J2904" s="403" t="s">
        <v>109</v>
      </c>
      <c r="K2904" s="403">
        <v>720</v>
      </c>
      <c r="L2904" s="403">
        <v>1280</v>
      </c>
      <c r="M2904" s="403" t="s">
        <v>1279</v>
      </c>
      <c r="N2904" s="403">
        <v>432</v>
      </c>
      <c r="O2904" s="403">
        <v>768</v>
      </c>
      <c r="P2904" t="str">
        <f t="shared" si="361"/>
        <v>25fps 720p - SD ROI PTZ</v>
      </c>
      <c r="Q2904">
        <f t="shared" si="362"/>
        <v>17</v>
      </c>
      <c r="R2904" t="str">
        <f t="shared" si="363"/>
        <v/>
      </c>
      <c r="S2904" t="str">
        <f t="shared" si="364"/>
        <v/>
      </c>
      <c r="T2904" s="403" t="str">
        <f t="shared" si="365"/>
        <v>NDE-3503-AL</v>
      </c>
      <c r="U2904" s="403">
        <f t="shared" si="366"/>
        <v>1</v>
      </c>
      <c r="V2904" s="403" t="str">
        <f t="shared" si="367"/>
        <v>CPP_7_3</v>
      </c>
    </row>
    <row r="2905" spans="1:22">
      <c r="A2905" t="str">
        <f t="shared" si="360"/>
        <v>NDE-3503-AL</v>
      </c>
      <c r="B2905" s="403" t="s">
        <v>1405</v>
      </c>
      <c r="C2905" s="403" t="s">
        <v>582</v>
      </c>
      <c r="D2905" s="403" t="s">
        <v>1407</v>
      </c>
      <c r="E2905" s="403" t="s">
        <v>778</v>
      </c>
      <c r="F2905" s="403" t="s">
        <v>1372</v>
      </c>
      <c r="G2905" s="403" t="s">
        <v>1467</v>
      </c>
      <c r="H2905" s="403" t="s">
        <v>1276</v>
      </c>
      <c r="I2905" s="403">
        <v>1</v>
      </c>
      <c r="J2905" s="403" t="s">
        <v>109</v>
      </c>
      <c r="K2905" s="403">
        <v>720</v>
      </c>
      <c r="L2905" s="403">
        <v>1280</v>
      </c>
      <c r="M2905" s="403" t="s">
        <v>1283</v>
      </c>
      <c r="N2905" s="403">
        <v>576</v>
      </c>
      <c r="O2905" s="403">
        <v>720</v>
      </c>
      <c r="P2905" t="str">
        <f t="shared" si="361"/>
        <v>25fps 720p - SD 4CIF resolution 4:3 format (cropped)</v>
      </c>
      <c r="Q2905">
        <f t="shared" si="362"/>
        <v>17</v>
      </c>
      <c r="R2905" t="str">
        <f t="shared" si="363"/>
        <v/>
      </c>
      <c r="S2905" t="str">
        <f t="shared" si="364"/>
        <v/>
      </c>
      <c r="T2905" s="403" t="str">
        <f t="shared" si="365"/>
        <v>NDE-3503-AL</v>
      </c>
      <c r="U2905" s="403">
        <f t="shared" si="366"/>
        <v>1</v>
      </c>
      <c r="V2905" s="403" t="str">
        <f t="shared" si="367"/>
        <v>CPP_7_3</v>
      </c>
    </row>
    <row r="2906" spans="1:22">
      <c r="A2906" t="str">
        <f t="shared" si="360"/>
        <v>NDE-3503-AL</v>
      </c>
      <c r="B2906" s="403" t="s">
        <v>1405</v>
      </c>
      <c r="C2906" s="403" t="s">
        <v>582</v>
      </c>
      <c r="D2906" s="403" t="s">
        <v>1407</v>
      </c>
      <c r="E2906" s="403" t="s">
        <v>778</v>
      </c>
      <c r="F2906" s="403" t="s">
        <v>1372</v>
      </c>
      <c r="G2906" s="403" t="s">
        <v>1467</v>
      </c>
      <c r="H2906" s="403" t="s">
        <v>1276</v>
      </c>
      <c r="I2906" s="403">
        <v>1</v>
      </c>
      <c r="J2906" s="403" t="s">
        <v>109</v>
      </c>
      <c r="K2906" s="403">
        <v>720</v>
      </c>
      <c r="L2906" s="403">
        <v>1280</v>
      </c>
      <c r="M2906" s="403" t="s">
        <v>1284</v>
      </c>
      <c r="N2906" s="403">
        <v>480</v>
      </c>
      <c r="O2906" s="403">
        <v>640</v>
      </c>
      <c r="P2906" t="str">
        <f t="shared" si="361"/>
        <v>25fps 720p - SD VGA (cropped)</v>
      </c>
      <c r="Q2906">
        <f t="shared" si="362"/>
        <v>17</v>
      </c>
      <c r="R2906" t="str">
        <f t="shared" si="363"/>
        <v/>
      </c>
      <c r="S2906" t="str">
        <f t="shared" si="364"/>
        <v/>
      </c>
      <c r="T2906" s="403" t="str">
        <f t="shared" si="365"/>
        <v>NDE-3503-AL</v>
      </c>
      <c r="U2906" s="403">
        <f t="shared" si="366"/>
        <v>1</v>
      </c>
      <c r="V2906" s="403" t="str">
        <f t="shared" si="367"/>
        <v>CPP_7_3</v>
      </c>
    </row>
    <row r="2907" spans="1:22">
      <c r="A2907" t="str">
        <f t="shared" si="360"/>
        <v>NDE-3503-AL</v>
      </c>
      <c r="B2907" s="403" t="s">
        <v>1405</v>
      </c>
      <c r="C2907" s="403" t="s">
        <v>582</v>
      </c>
      <c r="D2907" s="403" t="s">
        <v>1407</v>
      </c>
      <c r="E2907" s="403" t="s">
        <v>778</v>
      </c>
      <c r="F2907" s="403" t="s">
        <v>1372</v>
      </c>
      <c r="G2907" s="403" t="s">
        <v>1467</v>
      </c>
      <c r="H2907" s="403" t="s">
        <v>1281</v>
      </c>
      <c r="I2907" s="403">
        <v>1</v>
      </c>
      <c r="J2907" s="403" t="s">
        <v>1374</v>
      </c>
      <c r="K2907" s="403">
        <v>1296</v>
      </c>
      <c r="L2907" s="403">
        <v>2304</v>
      </c>
      <c r="M2907" s="403" t="s">
        <v>111</v>
      </c>
      <c r="N2907" s="403">
        <v>432</v>
      </c>
      <c r="O2907" s="403">
        <v>768</v>
      </c>
      <c r="P2907" t="str">
        <f t="shared" si="361"/>
        <v>25fps 2304x1296 - SD</v>
      </c>
      <c r="Q2907">
        <f t="shared" si="362"/>
        <v>17</v>
      </c>
      <c r="R2907" t="str">
        <f t="shared" si="363"/>
        <v/>
      </c>
      <c r="S2907" t="str">
        <f t="shared" si="364"/>
        <v/>
      </c>
      <c r="T2907" s="403" t="str">
        <f t="shared" si="365"/>
        <v>NDE-3503-AL</v>
      </c>
      <c r="U2907" s="403">
        <f t="shared" si="366"/>
        <v>1</v>
      </c>
      <c r="V2907" s="403" t="str">
        <f t="shared" si="367"/>
        <v>CPP_7_3</v>
      </c>
    </row>
    <row r="2908" spans="1:22">
      <c r="A2908" t="str">
        <f t="shared" si="360"/>
        <v>NDE-3503-AL</v>
      </c>
      <c r="B2908" s="403" t="s">
        <v>1405</v>
      </c>
      <c r="C2908" s="403" t="s">
        <v>582</v>
      </c>
      <c r="D2908" s="403" t="s">
        <v>1407</v>
      </c>
      <c r="E2908" s="403" t="s">
        <v>778</v>
      </c>
      <c r="F2908" s="403" t="s">
        <v>1372</v>
      </c>
      <c r="G2908" s="403" t="s">
        <v>1467</v>
      </c>
      <c r="H2908" s="403" t="s">
        <v>1281</v>
      </c>
      <c r="I2908" s="403">
        <v>1</v>
      </c>
      <c r="J2908" s="403" t="s">
        <v>1374</v>
      </c>
      <c r="K2908" s="403">
        <v>1296</v>
      </c>
      <c r="L2908" s="403">
        <v>2304</v>
      </c>
      <c r="M2908" s="403" t="s">
        <v>1279</v>
      </c>
      <c r="N2908" s="403">
        <v>432</v>
      </c>
      <c r="O2908" s="403">
        <v>768</v>
      </c>
      <c r="P2908" t="str">
        <f t="shared" si="361"/>
        <v>25fps 2304x1296 - SD ROI PTZ</v>
      </c>
      <c r="Q2908">
        <f t="shared" si="362"/>
        <v>17</v>
      </c>
      <c r="R2908" t="str">
        <f t="shared" si="363"/>
        <v/>
      </c>
      <c r="S2908" t="str">
        <f t="shared" si="364"/>
        <v/>
      </c>
      <c r="T2908" s="403" t="str">
        <f t="shared" si="365"/>
        <v>NDE-3503-AL</v>
      </c>
      <c r="U2908" s="403">
        <f t="shared" si="366"/>
        <v>1</v>
      </c>
      <c r="V2908" s="403" t="str">
        <f t="shared" si="367"/>
        <v>CPP_7_3</v>
      </c>
    </row>
    <row r="2909" spans="1:22">
      <c r="A2909" t="str">
        <f t="shared" si="360"/>
        <v>NDE-3503-AL</v>
      </c>
      <c r="B2909" s="403" t="s">
        <v>1405</v>
      </c>
      <c r="C2909" s="403" t="s">
        <v>582</v>
      </c>
      <c r="D2909" s="403" t="s">
        <v>1407</v>
      </c>
      <c r="E2909" s="403" t="s">
        <v>778</v>
      </c>
      <c r="F2909" s="403" t="s">
        <v>1372</v>
      </c>
      <c r="G2909" s="403" t="s">
        <v>1467</v>
      </c>
      <c r="H2909" s="403" t="s">
        <v>1281</v>
      </c>
      <c r="I2909" s="403">
        <v>1</v>
      </c>
      <c r="J2909" s="403" t="s">
        <v>1374</v>
      </c>
      <c r="K2909" s="403">
        <v>1296</v>
      </c>
      <c r="L2909" s="403">
        <v>2304</v>
      </c>
      <c r="M2909" s="403" t="s">
        <v>1283</v>
      </c>
      <c r="N2909" s="403">
        <v>576</v>
      </c>
      <c r="O2909" s="403">
        <v>720</v>
      </c>
      <c r="P2909" t="str">
        <f t="shared" si="361"/>
        <v>25fps 2304x1296 - SD 4CIF resolution 4:3 format (cropped)</v>
      </c>
      <c r="Q2909">
        <f t="shared" si="362"/>
        <v>17</v>
      </c>
      <c r="R2909" t="str">
        <f t="shared" si="363"/>
        <v/>
      </c>
      <c r="S2909" t="str">
        <f t="shared" si="364"/>
        <v/>
      </c>
      <c r="T2909" s="403" t="str">
        <f t="shared" si="365"/>
        <v>NDE-3503-AL</v>
      </c>
      <c r="U2909" s="403">
        <f t="shared" si="366"/>
        <v>1</v>
      </c>
      <c r="V2909" s="403" t="str">
        <f t="shared" si="367"/>
        <v>CPP_7_3</v>
      </c>
    </row>
    <row r="2910" spans="1:22">
      <c r="A2910" t="str">
        <f t="shared" si="360"/>
        <v>NDE-3503-AL</v>
      </c>
      <c r="B2910" s="403" t="s">
        <v>1405</v>
      </c>
      <c r="C2910" s="403" t="s">
        <v>582</v>
      </c>
      <c r="D2910" s="403" t="s">
        <v>1407</v>
      </c>
      <c r="E2910" s="403" t="s">
        <v>778</v>
      </c>
      <c r="F2910" s="403" t="s">
        <v>1372</v>
      </c>
      <c r="G2910" s="403" t="s">
        <v>1467</v>
      </c>
      <c r="H2910" s="403" t="s">
        <v>1281</v>
      </c>
      <c r="I2910" s="403">
        <v>1</v>
      </c>
      <c r="J2910" s="403" t="s">
        <v>1374</v>
      </c>
      <c r="K2910" s="403">
        <v>1296</v>
      </c>
      <c r="L2910" s="403">
        <v>2304</v>
      </c>
      <c r="M2910" s="403" t="s">
        <v>1284</v>
      </c>
      <c r="N2910" s="403">
        <v>480</v>
      </c>
      <c r="O2910" s="403">
        <v>640</v>
      </c>
      <c r="P2910" t="str">
        <f t="shared" si="361"/>
        <v>25fps 2304x1296 - SD VGA (cropped)</v>
      </c>
      <c r="Q2910">
        <f t="shared" si="362"/>
        <v>17</v>
      </c>
      <c r="R2910" t="str">
        <f t="shared" si="363"/>
        <v/>
      </c>
      <c r="S2910" t="str">
        <f t="shared" si="364"/>
        <v/>
      </c>
      <c r="T2910" s="403" t="str">
        <f t="shared" si="365"/>
        <v>NDE-3503-AL</v>
      </c>
      <c r="U2910" s="403">
        <f t="shared" si="366"/>
        <v>1</v>
      </c>
      <c r="V2910" s="403" t="str">
        <f t="shared" si="367"/>
        <v>CPP_7_3</v>
      </c>
    </row>
    <row r="2911" spans="1:22">
      <c r="A2911" t="str">
        <f t="shared" si="360"/>
        <v>NDE-3503-AL</v>
      </c>
      <c r="B2911" s="403" t="s">
        <v>1405</v>
      </c>
      <c r="C2911" s="403" t="s">
        <v>582</v>
      </c>
      <c r="D2911" s="403" t="s">
        <v>1407</v>
      </c>
      <c r="E2911" s="403" t="s">
        <v>778</v>
      </c>
      <c r="F2911" s="403" t="s">
        <v>1372</v>
      </c>
      <c r="G2911" s="403" t="s">
        <v>1467</v>
      </c>
      <c r="H2911" s="403" t="s">
        <v>1281</v>
      </c>
      <c r="I2911" s="403">
        <v>1</v>
      </c>
      <c r="J2911" s="403" t="s">
        <v>1374</v>
      </c>
      <c r="K2911" s="403">
        <v>1296</v>
      </c>
      <c r="L2911" s="403">
        <v>2304</v>
      </c>
      <c r="M2911" s="403" t="s">
        <v>1280</v>
      </c>
      <c r="N2911" s="403">
        <v>1296</v>
      </c>
      <c r="O2911" s="403">
        <v>2304</v>
      </c>
      <c r="P2911" t="str">
        <f t="shared" si="361"/>
        <v>25fps 2304x1296 - copy other stream</v>
      </c>
      <c r="Q2911">
        <f t="shared" si="362"/>
        <v>17</v>
      </c>
      <c r="R2911" t="str">
        <f t="shared" si="363"/>
        <v/>
      </c>
      <c r="S2911" t="str">
        <f t="shared" si="364"/>
        <v/>
      </c>
      <c r="T2911" s="403" t="str">
        <f t="shared" si="365"/>
        <v>NDE-3503-AL</v>
      </c>
      <c r="U2911" s="403">
        <f t="shared" si="366"/>
        <v>1</v>
      </c>
      <c r="V2911" s="403" t="str">
        <f t="shared" si="367"/>
        <v>CPP_7_3</v>
      </c>
    </row>
    <row r="2912" spans="1:22">
      <c r="A2912" t="str">
        <f t="shared" si="360"/>
        <v>NDE-3503-AL</v>
      </c>
      <c r="B2912" s="403" t="s">
        <v>1405</v>
      </c>
      <c r="C2912" s="403" t="s">
        <v>582</v>
      </c>
      <c r="D2912" s="403" t="s">
        <v>1407</v>
      </c>
      <c r="E2912" s="403" t="s">
        <v>778</v>
      </c>
      <c r="F2912" s="403" t="s">
        <v>1372</v>
      </c>
      <c r="G2912" s="403" t="s">
        <v>1467</v>
      </c>
      <c r="H2912" s="403" t="s">
        <v>1281</v>
      </c>
      <c r="I2912" s="403">
        <v>1</v>
      </c>
      <c r="J2912" s="403" t="s">
        <v>110</v>
      </c>
      <c r="K2912" s="403">
        <v>1080</v>
      </c>
      <c r="L2912" s="403">
        <v>1920</v>
      </c>
      <c r="M2912" s="403" t="s">
        <v>111</v>
      </c>
      <c r="N2912" s="403">
        <v>432</v>
      </c>
      <c r="O2912" s="403">
        <v>768</v>
      </c>
      <c r="P2912" t="str">
        <f t="shared" si="361"/>
        <v>25fps 1080p - SD</v>
      </c>
      <c r="Q2912">
        <f t="shared" si="362"/>
        <v>17</v>
      </c>
      <c r="R2912" t="str">
        <f t="shared" si="363"/>
        <v/>
      </c>
      <c r="S2912" t="str">
        <f t="shared" si="364"/>
        <v/>
      </c>
      <c r="T2912" s="403" t="str">
        <f t="shared" si="365"/>
        <v>NDE-3503-AL</v>
      </c>
      <c r="U2912" s="403">
        <f t="shared" si="366"/>
        <v>1</v>
      </c>
      <c r="V2912" s="403" t="str">
        <f t="shared" si="367"/>
        <v>CPP_7_3</v>
      </c>
    </row>
    <row r="2913" spans="1:22">
      <c r="A2913" t="str">
        <f t="shared" si="360"/>
        <v>NDE-3503-AL</v>
      </c>
      <c r="B2913" s="403" t="s">
        <v>1405</v>
      </c>
      <c r="C2913" s="403" t="s">
        <v>582</v>
      </c>
      <c r="D2913" s="403" t="s">
        <v>1407</v>
      </c>
      <c r="E2913" s="403" t="s">
        <v>778</v>
      </c>
      <c r="F2913" s="403" t="s">
        <v>1372</v>
      </c>
      <c r="G2913" s="403" t="s">
        <v>1467</v>
      </c>
      <c r="H2913" s="403" t="s">
        <v>1281</v>
      </c>
      <c r="I2913" s="403">
        <v>1</v>
      </c>
      <c r="J2913" s="403" t="s">
        <v>110</v>
      </c>
      <c r="K2913" s="403">
        <v>1080</v>
      </c>
      <c r="L2913" s="403">
        <v>1920</v>
      </c>
      <c r="M2913" s="403" t="s">
        <v>109</v>
      </c>
      <c r="N2913" s="403">
        <v>720</v>
      </c>
      <c r="O2913" s="403">
        <v>1280</v>
      </c>
      <c r="P2913" t="str">
        <f t="shared" si="361"/>
        <v>25fps 1080p - 720p</v>
      </c>
      <c r="Q2913">
        <f t="shared" si="362"/>
        <v>17</v>
      </c>
      <c r="R2913" t="str">
        <f t="shared" si="363"/>
        <v/>
      </c>
      <c r="S2913" t="str">
        <f t="shared" si="364"/>
        <v/>
      </c>
      <c r="T2913" s="403" t="str">
        <f t="shared" si="365"/>
        <v>NDE-3503-AL</v>
      </c>
      <c r="U2913" s="403">
        <f t="shared" si="366"/>
        <v>1</v>
      </c>
      <c r="V2913" s="403" t="str">
        <f t="shared" si="367"/>
        <v>CPP_7_3</v>
      </c>
    </row>
    <row r="2914" spans="1:22">
      <c r="A2914" t="str">
        <f t="shared" si="360"/>
        <v>NDE-3503-AL</v>
      </c>
      <c r="B2914" s="403" t="s">
        <v>1405</v>
      </c>
      <c r="C2914" s="403" t="s">
        <v>582</v>
      </c>
      <c r="D2914" s="403" t="s">
        <v>1407</v>
      </c>
      <c r="E2914" s="403" t="s">
        <v>778</v>
      </c>
      <c r="F2914" s="403" t="s">
        <v>1372</v>
      </c>
      <c r="G2914" s="403" t="s">
        <v>1467</v>
      </c>
      <c r="H2914" s="403" t="s">
        <v>1281</v>
      </c>
      <c r="I2914" s="403">
        <v>1</v>
      </c>
      <c r="J2914" s="403" t="s">
        <v>110</v>
      </c>
      <c r="K2914" s="403">
        <v>1080</v>
      </c>
      <c r="L2914" s="403">
        <v>1920</v>
      </c>
      <c r="M2914" s="403" t="s">
        <v>1285</v>
      </c>
      <c r="N2914" s="403">
        <v>1024</v>
      </c>
      <c r="O2914" s="403">
        <v>1280</v>
      </c>
      <c r="P2914" t="str">
        <f t="shared" si="361"/>
        <v>25fps 1080p - 1280x1024 5:4 (cropped)</v>
      </c>
      <c r="Q2914">
        <f t="shared" si="362"/>
        <v>17</v>
      </c>
      <c r="R2914" t="str">
        <f t="shared" si="363"/>
        <v/>
      </c>
      <c r="S2914" t="str">
        <f t="shared" si="364"/>
        <v/>
      </c>
      <c r="T2914" s="403" t="str">
        <f t="shared" si="365"/>
        <v>NDE-3503-AL</v>
      </c>
      <c r="U2914" s="403">
        <f t="shared" si="366"/>
        <v>1</v>
      </c>
      <c r="V2914" s="403" t="str">
        <f t="shared" si="367"/>
        <v>CPP_7_3</v>
      </c>
    </row>
    <row r="2915" spans="1:22">
      <c r="A2915" t="str">
        <f t="shared" si="360"/>
        <v>NDE-3503-AL</v>
      </c>
      <c r="B2915" s="403" t="s">
        <v>1405</v>
      </c>
      <c r="C2915" s="403" t="s">
        <v>582</v>
      </c>
      <c r="D2915" s="403" t="s">
        <v>1407</v>
      </c>
      <c r="E2915" s="403" t="s">
        <v>778</v>
      </c>
      <c r="F2915" s="403" t="s">
        <v>1372</v>
      </c>
      <c r="G2915" s="403" t="s">
        <v>1467</v>
      </c>
      <c r="H2915" s="403" t="s">
        <v>1281</v>
      </c>
      <c r="I2915" s="403">
        <v>1</v>
      </c>
      <c r="J2915" s="403" t="s">
        <v>110</v>
      </c>
      <c r="K2915" s="403">
        <v>1080</v>
      </c>
      <c r="L2915" s="403">
        <v>1920</v>
      </c>
      <c r="M2915" s="403" t="s">
        <v>1279</v>
      </c>
      <c r="N2915" s="403">
        <v>432</v>
      </c>
      <c r="O2915" s="403">
        <v>768</v>
      </c>
      <c r="P2915" t="str">
        <f t="shared" si="361"/>
        <v>25fps 1080p - SD ROI PTZ</v>
      </c>
      <c r="Q2915">
        <f t="shared" si="362"/>
        <v>17</v>
      </c>
      <c r="R2915" t="str">
        <f t="shared" si="363"/>
        <v/>
      </c>
      <c r="S2915" t="str">
        <f t="shared" si="364"/>
        <v/>
      </c>
      <c r="T2915" s="403" t="str">
        <f t="shared" si="365"/>
        <v>NDE-3503-AL</v>
      </c>
      <c r="U2915" s="403">
        <f t="shared" si="366"/>
        <v>1</v>
      </c>
      <c r="V2915" s="403" t="str">
        <f t="shared" si="367"/>
        <v>CPP_7_3</v>
      </c>
    </row>
    <row r="2916" spans="1:22">
      <c r="A2916" t="str">
        <f t="shared" si="360"/>
        <v>NDE-3503-AL</v>
      </c>
      <c r="B2916" s="403" t="s">
        <v>1405</v>
      </c>
      <c r="C2916" s="403" t="s">
        <v>582</v>
      </c>
      <c r="D2916" s="403" t="s">
        <v>1407</v>
      </c>
      <c r="E2916" s="403" t="s">
        <v>778</v>
      </c>
      <c r="F2916" s="403" t="s">
        <v>1372</v>
      </c>
      <c r="G2916" s="403" t="s">
        <v>1467</v>
      </c>
      <c r="H2916" s="403" t="s">
        <v>1281</v>
      </c>
      <c r="I2916" s="403">
        <v>1</v>
      </c>
      <c r="J2916" s="403" t="s">
        <v>110</v>
      </c>
      <c r="K2916" s="403">
        <v>1080</v>
      </c>
      <c r="L2916" s="403">
        <v>1920</v>
      </c>
      <c r="M2916" s="403" t="s">
        <v>1283</v>
      </c>
      <c r="N2916" s="403">
        <v>576</v>
      </c>
      <c r="O2916" s="403">
        <v>720</v>
      </c>
      <c r="P2916" t="str">
        <f t="shared" si="361"/>
        <v>25fps 1080p - SD 4CIF resolution 4:3 format (cropped)</v>
      </c>
      <c r="Q2916">
        <f t="shared" si="362"/>
        <v>17</v>
      </c>
      <c r="R2916" t="str">
        <f t="shared" si="363"/>
        <v/>
      </c>
      <c r="S2916" t="str">
        <f t="shared" si="364"/>
        <v/>
      </c>
      <c r="T2916" s="403" t="str">
        <f t="shared" si="365"/>
        <v>NDE-3503-AL</v>
      </c>
      <c r="U2916" s="403">
        <f t="shared" si="366"/>
        <v>1</v>
      </c>
      <c r="V2916" s="403" t="str">
        <f t="shared" si="367"/>
        <v>CPP_7_3</v>
      </c>
    </row>
    <row r="2917" spans="1:22">
      <c r="A2917" t="str">
        <f t="shared" si="360"/>
        <v>NDE-3503-AL</v>
      </c>
      <c r="B2917" s="403" t="s">
        <v>1405</v>
      </c>
      <c r="C2917" s="403" t="s">
        <v>582</v>
      </c>
      <c r="D2917" s="403" t="s">
        <v>1407</v>
      </c>
      <c r="E2917" s="403" t="s">
        <v>778</v>
      </c>
      <c r="F2917" s="403" t="s">
        <v>1372</v>
      </c>
      <c r="G2917" s="403" t="s">
        <v>1467</v>
      </c>
      <c r="H2917" s="403" t="s">
        <v>1281</v>
      </c>
      <c r="I2917" s="403">
        <v>1</v>
      </c>
      <c r="J2917" s="403" t="s">
        <v>110</v>
      </c>
      <c r="K2917" s="403">
        <v>1080</v>
      </c>
      <c r="L2917" s="403">
        <v>1920</v>
      </c>
      <c r="M2917" s="403" t="s">
        <v>1284</v>
      </c>
      <c r="N2917" s="403">
        <v>480</v>
      </c>
      <c r="O2917" s="403">
        <v>640</v>
      </c>
      <c r="P2917" t="str">
        <f t="shared" si="361"/>
        <v>25fps 1080p - SD VGA (cropped)</v>
      </c>
      <c r="Q2917">
        <f t="shared" si="362"/>
        <v>17</v>
      </c>
      <c r="R2917" t="str">
        <f t="shared" si="363"/>
        <v/>
      </c>
      <c r="S2917" t="str">
        <f t="shared" si="364"/>
        <v/>
      </c>
      <c r="T2917" s="403" t="str">
        <f t="shared" si="365"/>
        <v>NDE-3503-AL</v>
      </c>
      <c r="U2917" s="403">
        <f t="shared" si="366"/>
        <v>1</v>
      </c>
      <c r="V2917" s="403" t="str">
        <f t="shared" si="367"/>
        <v>CPP_7_3</v>
      </c>
    </row>
    <row r="2918" spans="1:22">
      <c r="A2918" t="str">
        <f t="shared" si="360"/>
        <v>NDE-3503-AL</v>
      </c>
      <c r="B2918" s="403" t="s">
        <v>1405</v>
      </c>
      <c r="C2918" s="403" t="s">
        <v>582</v>
      </c>
      <c r="D2918" s="403" t="s">
        <v>1407</v>
      </c>
      <c r="E2918" s="403" t="s">
        <v>778</v>
      </c>
      <c r="F2918" s="403" t="s">
        <v>1372</v>
      </c>
      <c r="G2918" s="403" t="s">
        <v>1467</v>
      </c>
      <c r="H2918" s="403" t="s">
        <v>1281</v>
      </c>
      <c r="I2918" s="403">
        <v>1</v>
      </c>
      <c r="J2918" s="403" t="s">
        <v>109</v>
      </c>
      <c r="K2918" s="403">
        <v>720</v>
      </c>
      <c r="L2918" s="403">
        <v>1280</v>
      </c>
      <c r="M2918" s="403" t="s">
        <v>109</v>
      </c>
      <c r="N2918" s="403">
        <v>720</v>
      </c>
      <c r="O2918" s="403">
        <v>1280</v>
      </c>
      <c r="P2918" t="str">
        <f t="shared" si="361"/>
        <v>25fps 720p - 720p</v>
      </c>
      <c r="Q2918">
        <f t="shared" si="362"/>
        <v>17</v>
      </c>
      <c r="R2918" t="str">
        <f t="shared" si="363"/>
        <v/>
      </c>
      <c r="S2918" t="str">
        <f t="shared" si="364"/>
        <v/>
      </c>
      <c r="T2918" s="403" t="str">
        <f t="shared" si="365"/>
        <v>NDE-3503-AL</v>
      </c>
      <c r="U2918" s="403">
        <f t="shared" si="366"/>
        <v>1</v>
      </c>
      <c r="V2918" s="403" t="str">
        <f t="shared" si="367"/>
        <v>CPP_7_3</v>
      </c>
    </row>
    <row r="2919" spans="1:22">
      <c r="A2919" t="str">
        <f t="shared" si="360"/>
        <v>NDE-3503-AL</v>
      </c>
      <c r="B2919" s="403" t="s">
        <v>1405</v>
      </c>
      <c r="C2919" s="403" t="s">
        <v>582</v>
      </c>
      <c r="D2919" s="403" t="s">
        <v>1407</v>
      </c>
      <c r="E2919" s="403" t="s">
        <v>778</v>
      </c>
      <c r="F2919" s="403" t="s">
        <v>1372</v>
      </c>
      <c r="G2919" s="403" t="s">
        <v>1467</v>
      </c>
      <c r="H2919" s="403" t="s">
        <v>1281</v>
      </c>
      <c r="I2919" s="403">
        <v>1</v>
      </c>
      <c r="J2919" s="403" t="s">
        <v>109</v>
      </c>
      <c r="K2919" s="403">
        <v>720</v>
      </c>
      <c r="L2919" s="403">
        <v>1280</v>
      </c>
      <c r="M2919" s="403" t="s">
        <v>111</v>
      </c>
      <c r="N2919" s="403">
        <v>432</v>
      </c>
      <c r="O2919" s="403">
        <v>768</v>
      </c>
      <c r="P2919" t="str">
        <f t="shared" si="361"/>
        <v>25fps 720p - SD</v>
      </c>
      <c r="Q2919">
        <f t="shared" si="362"/>
        <v>17</v>
      </c>
      <c r="R2919" t="str">
        <f t="shared" si="363"/>
        <v/>
      </c>
      <c r="S2919" t="str">
        <f t="shared" si="364"/>
        <v/>
      </c>
      <c r="T2919" s="403" t="str">
        <f t="shared" si="365"/>
        <v>NDE-3503-AL</v>
      </c>
      <c r="U2919" s="403">
        <f t="shared" si="366"/>
        <v>1</v>
      </c>
      <c r="V2919" s="403" t="str">
        <f t="shared" si="367"/>
        <v>CPP_7_3</v>
      </c>
    </row>
    <row r="2920" spans="1:22">
      <c r="A2920" t="str">
        <f t="shared" si="360"/>
        <v>NDE-3503-AL</v>
      </c>
      <c r="B2920" s="403" t="s">
        <v>1405</v>
      </c>
      <c r="C2920" s="403" t="s">
        <v>582</v>
      </c>
      <c r="D2920" s="403" t="s">
        <v>1407</v>
      </c>
      <c r="E2920" s="403" t="s">
        <v>778</v>
      </c>
      <c r="F2920" s="403" t="s">
        <v>1372</v>
      </c>
      <c r="G2920" s="403" t="s">
        <v>1467</v>
      </c>
      <c r="H2920" s="403" t="s">
        <v>1281</v>
      </c>
      <c r="I2920" s="403">
        <v>1</v>
      </c>
      <c r="J2920" s="403" t="s">
        <v>109</v>
      </c>
      <c r="K2920" s="403">
        <v>720</v>
      </c>
      <c r="L2920" s="403">
        <v>1280</v>
      </c>
      <c r="M2920" s="403" t="s">
        <v>1279</v>
      </c>
      <c r="N2920" s="403">
        <v>432</v>
      </c>
      <c r="O2920" s="403">
        <v>768</v>
      </c>
      <c r="P2920" t="str">
        <f t="shared" si="361"/>
        <v>25fps 720p - SD ROI PTZ</v>
      </c>
      <c r="Q2920">
        <f t="shared" si="362"/>
        <v>17</v>
      </c>
      <c r="R2920" t="str">
        <f t="shared" si="363"/>
        <v/>
      </c>
      <c r="S2920" t="str">
        <f t="shared" si="364"/>
        <v/>
      </c>
      <c r="T2920" s="403" t="str">
        <f t="shared" si="365"/>
        <v>NDE-3503-AL</v>
      </c>
      <c r="U2920" s="403">
        <f t="shared" si="366"/>
        <v>1</v>
      </c>
      <c r="V2920" s="403" t="str">
        <f t="shared" si="367"/>
        <v>CPP_7_3</v>
      </c>
    </row>
    <row r="2921" spans="1:22">
      <c r="A2921" t="str">
        <f t="shared" si="360"/>
        <v>NDE-3503-AL</v>
      </c>
      <c r="B2921" s="403" t="s">
        <v>1405</v>
      </c>
      <c r="C2921" s="403" t="s">
        <v>582</v>
      </c>
      <c r="D2921" s="403" t="s">
        <v>1407</v>
      </c>
      <c r="E2921" s="403" t="s">
        <v>778</v>
      </c>
      <c r="F2921" s="403" t="s">
        <v>1372</v>
      </c>
      <c r="G2921" s="403" t="s">
        <v>1467</v>
      </c>
      <c r="H2921" s="403" t="s">
        <v>1281</v>
      </c>
      <c r="I2921" s="403">
        <v>1</v>
      </c>
      <c r="J2921" s="403" t="s">
        <v>109</v>
      </c>
      <c r="K2921" s="403">
        <v>720</v>
      </c>
      <c r="L2921" s="403">
        <v>1280</v>
      </c>
      <c r="M2921" s="403" t="s">
        <v>1283</v>
      </c>
      <c r="N2921" s="403">
        <v>576</v>
      </c>
      <c r="O2921" s="403">
        <v>720</v>
      </c>
      <c r="P2921" t="str">
        <f t="shared" si="361"/>
        <v>25fps 720p - SD 4CIF resolution 4:3 format (cropped)</v>
      </c>
      <c r="Q2921">
        <f t="shared" si="362"/>
        <v>17</v>
      </c>
      <c r="R2921" t="str">
        <f t="shared" si="363"/>
        <v/>
      </c>
      <c r="S2921" t="str">
        <f t="shared" si="364"/>
        <v/>
      </c>
      <c r="T2921" s="403" t="str">
        <f t="shared" si="365"/>
        <v>NDE-3503-AL</v>
      </c>
      <c r="U2921" s="403">
        <f t="shared" si="366"/>
        <v>1</v>
      </c>
      <c r="V2921" s="403" t="str">
        <f t="shared" si="367"/>
        <v>CPP_7_3</v>
      </c>
    </row>
    <row r="2922" spans="1:22">
      <c r="A2922" t="str">
        <f t="shared" si="360"/>
        <v>NDE-3503-AL</v>
      </c>
      <c r="B2922" s="403" t="s">
        <v>1405</v>
      </c>
      <c r="C2922" s="403" t="s">
        <v>582</v>
      </c>
      <c r="D2922" s="403" t="s">
        <v>1407</v>
      </c>
      <c r="E2922" s="403" t="s">
        <v>778</v>
      </c>
      <c r="F2922" s="403" t="s">
        <v>1372</v>
      </c>
      <c r="G2922" s="403" t="s">
        <v>1467</v>
      </c>
      <c r="H2922" s="403" t="s">
        <v>1281</v>
      </c>
      <c r="I2922" s="403">
        <v>1</v>
      </c>
      <c r="J2922" s="403" t="s">
        <v>109</v>
      </c>
      <c r="K2922" s="403">
        <v>720</v>
      </c>
      <c r="L2922" s="403">
        <v>1280</v>
      </c>
      <c r="M2922" s="403" t="s">
        <v>1284</v>
      </c>
      <c r="N2922" s="403">
        <v>480</v>
      </c>
      <c r="O2922" s="403">
        <v>640</v>
      </c>
      <c r="P2922" t="str">
        <f t="shared" si="361"/>
        <v>25fps 720p - SD VGA (cropped)</v>
      </c>
      <c r="Q2922">
        <f t="shared" si="362"/>
        <v>17</v>
      </c>
      <c r="R2922" t="str">
        <f t="shared" si="363"/>
        <v/>
      </c>
      <c r="S2922" t="str">
        <f t="shared" si="364"/>
        <v/>
      </c>
      <c r="T2922" s="403" t="str">
        <f t="shared" si="365"/>
        <v>NDE-3503-AL</v>
      </c>
      <c r="U2922" s="403">
        <f t="shared" si="366"/>
        <v>1</v>
      </c>
      <c r="V2922" s="403" t="str">
        <f t="shared" si="367"/>
        <v>CPP_7_3</v>
      </c>
    </row>
    <row r="2923" spans="1:22">
      <c r="A2923" t="str">
        <f t="shared" si="360"/>
        <v>NDE-3503-AL</v>
      </c>
      <c r="B2923" s="403" t="s">
        <v>1405</v>
      </c>
      <c r="C2923" s="403" t="s">
        <v>582</v>
      </c>
      <c r="D2923" s="403" t="s">
        <v>1407</v>
      </c>
      <c r="E2923" s="403" t="s">
        <v>778</v>
      </c>
      <c r="F2923" s="403" t="s">
        <v>1375</v>
      </c>
      <c r="G2923" s="403" t="s">
        <v>1466</v>
      </c>
      <c r="H2923" s="403" t="s">
        <v>1276</v>
      </c>
      <c r="I2923" s="403">
        <v>1</v>
      </c>
      <c r="J2923" s="403" t="s">
        <v>1376</v>
      </c>
      <c r="K2923" s="403">
        <v>3072</v>
      </c>
      <c r="L2923" s="403">
        <v>1728</v>
      </c>
      <c r="M2923" s="403" t="s">
        <v>111</v>
      </c>
      <c r="N2923" s="403">
        <v>768</v>
      </c>
      <c r="O2923" s="403">
        <v>432</v>
      </c>
      <c r="P2923" t="str">
        <f t="shared" si="361"/>
        <v>20fps 3072x1728 - SD</v>
      </c>
      <c r="Q2923">
        <f t="shared" si="362"/>
        <v>17</v>
      </c>
      <c r="R2923" t="str">
        <f t="shared" si="363"/>
        <v/>
      </c>
      <c r="S2923" t="str">
        <f t="shared" si="364"/>
        <v/>
      </c>
      <c r="T2923" s="403" t="str">
        <f t="shared" si="365"/>
        <v>NDE-3503-AL</v>
      </c>
      <c r="U2923" s="403">
        <f t="shared" si="366"/>
        <v>1</v>
      </c>
      <c r="V2923" s="403" t="str">
        <f t="shared" si="367"/>
        <v>CPP_7_3</v>
      </c>
    </row>
    <row r="2924" spans="1:22">
      <c r="A2924" t="str">
        <f t="shared" si="360"/>
        <v>NDE-3503-AL</v>
      </c>
      <c r="B2924" s="403" t="s">
        <v>1405</v>
      </c>
      <c r="C2924" s="403" t="s">
        <v>582</v>
      </c>
      <c r="D2924" s="403" t="s">
        <v>1407</v>
      </c>
      <c r="E2924" s="403" t="s">
        <v>778</v>
      </c>
      <c r="F2924" s="403" t="s">
        <v>1375</v>
      </c>
      <c r="G2924" s="403" t="s">
        <v>1466</v>
      </c>
      <c r="H2924" s="403" t="s">
        <v>1276</v>
      </c>
      <c r="I2924" s="403">
        <v>1</v>
      </c>
      <c r="J2924" s="403" t="s">
        <v>1376</v>
      </c>
      <c r="K2924" s="403">
        <v>3072</v>
      </c>
      <c r="L2924" s="403">
        <v>1728</v>
      </c>
      <c r="M2924" s="403" t="s">
        <v>1280</v>
      </c>
      <c r="N2924" s="403">
        <v>3072</v>
      </c>
      <c r="O2924" s="403">
        <v>1728</v>
      </c>
      <c r="P2924" t="str">
        <f t="shared" si="361"/>
        <v>20fps 3072x1728 - copy other stream</v>
      </c>
      <c r="Q2924">
        <f t="shared" si="362"/>
        <v>17</v>
      </c>
      <c r="R2924" t="str">
        <f t="shared" si="363"/>
        <v/>
      </c>
      <c r="S2924" t="str">
        <f t="shared" si="364"/>
        <v/>
      </c>
      <c r="T2924" s="403" t="str">
        <f t="shared" si="365"/>
        <v>NDE-3503-AL</v>
      </c>
      <c r="U2924" s="403">
        <f t="shared" si="366"/>
        <v>1</v>
      </c>
      <c r="V2924" s="403" t="str">
        <f t="shared" si="367"/>
        <v>CPP_7_3</v>
      </c>
    </row>
    <row r="2925" spans="1:22">
      <c r="A2925" t="str">
        <f t="shared" si="360"/>
        <v>NDE-3503-AL</v>
      </c>
      <c r="B2925" s="403" t="s">
        <v>1405</v>
      </c>
      <c r="C2925" s="403" t="s">
        <v>582</v>
      </c>
      <c r="D2925" s="403" t="s">
        <v>1407</v>
      </c>
      <c r="E2925" s="403" t="s">
        <v>778</v>
      </c>
      <c r="F2925" s="403" t="s">
        <v>1375</v>
      </c>
      <c r="G2925" s="403" t="s">
        <v>1466</v>
      </c>
      <c r="H2925" s="403" t="s">
        <v>1276</v>
      </c>
      <c r="I2925" s="403">
        <v>1</v>
      </c>
      <c r="J2925" s="403" t="s">
        <v>1376</v>
      </c>
      <c r="K2925" s="403">
        <v>3072</v>
      </c>
      <c r="L2925" s="403">
        <v>1728</v>
      </c>
      <c r="M2925" s="403" t="s">
        <v>1283</v>
      </c>
      <c r="N2925" s="403">
        <v>720</v>
      </c>
      <c r="O2925" s="403">
        <v>480</v>
      </c>
      <c r="P2925" t="str">
        <f t="shared" si="361"/>
        <v>20fps 3072x1728 - SD 4CIF resolution 4:3 format (cropped)</v>
      </c>
      <c r="Q2925">
        <f t="shared" si="362"/>
        <v>17</v>
      </c>
      <c r="R2925" t="str">
        <f t="shared" si="363"/>
        <v/>
      </c>
      <c r="S2925" t="str">
        <f t="shared" si="364"/>
        <v/>
      </c>
      <c r="T2925" s="403" t="str">
        <f t="shared" si="365"/>
        <v>NDE-3503-AL</v>
      </c>
      <c r="U2925" s="403">
        <f t="shared" si="366"/>
        <v>1</v>
      </c>
      <c r="V2925" s="403" t="str">
        <f t="shared" si="367"/>
        <v>CPP_7_3</v>
      </c>
    </row>
    <row r="2926" spans="1:22">
      <c r="A2926" t="str">
        <f t="shared" si="360"/>
        <v>NDE-3503-AL</v>
      </c>
      <c r="B2926" s="403" t="s">
        <v>1405</v>
      </c>
      <c r="C2926" s="403" t="s">
        <v>582</v>
      </c>
      <c r="D2926" s="403" t="s">
        <v>1407</v>
      </c>
      <c r="E2926" s="403" t="s">
        <v>778</v>
      </c>
      <c r="F2926" s="403" t="s">
        <v>1375</v>
      </c>
      <c r="G2926" s="403" t="s">
        <v>1466</v>
      </c>
      <c r="H2926" s="403" t="s">
        <v>1276</v>
      </c>
      <c r="I2926" s="403">
        <v>1</v>
      </c>
      <c r="J2926" s="403" t="s">
        <v>1376</v>
      </c>
      <c r="K2926" s="403">
        <v>3072</v>
      </c>
      <c r="L2926" s="403">
        <v>1728</v>
      </c>
      <c r="M2926" s="403" t="s">
        <v>1279</v>
      </c>
      <c r="N2926" s="403">
        <v>768</v>
      </c>
      <c r="O2926" s="403">
        <v>432</v>
      </c>
      <c r="P2926" t="str">
        <f t="shared" si="361"/>
        <v>20fps 3072x1728 - SD ROI PTZ</v>
      </c>
      <c r="Q2926">
        <f t="shared" si="362"/>
        <v>17</v>
      </c>
      <c r="R2926" t="str">
        <f t="shared" si="363"/>
        <v/>
      </c>
      <c r="S2926" t="str">
        <f t="shared" si="364"/>
        <v/>
      </c>
      <c r="T2926" s="403" t="str">
        <f t="shared" si="365"/>
        <v>NDE-3503-AL</v>
      </c>
      <c r="U2926" s="403">
        <f t="shared" si="366"/>
        <v>1</v>
      </c>
      <c r="V2926" s="403" t="str">
        <f t="shared" si="367"/>
        <v>CPP_7_3</v>
      </c>
    </row>
    <row r="2927" spans="1:22">
      <c r="A2927" t="str">
        <f t="shared" si="360"/>
        <v>NDE-3503-AL</v>
      </c>
      <c r="B2927" s="403" t="s">
        <v>1405</v>
      </c>
      <c r="C2927" s="403" t="s">
        <v>582</v>
      </c>
      <c r="D2927" s="403" t="s">
        <v>1407</v>
      </c>
      <c r="E2927" s="403" t="s">
        <v>778</v>
      </c>
      <c r="F2927" s="403" t="s">
        <v>1375</v>
      </c>
      <c r="G2927" s="403" t="s">
        <v>1466</v>
      </c>
      <c r="H2927" s="403" t="s">
        <v>1276</v>
      </c>
      <c r="I2927" s="403">
        <v>1</v>
      </c>
      <c r="J2927" s="403" t="s">
        <v>1376</v>
      </c>
      <c r="K2927" s="403">
        <v>3072</v>
      </c>
      <c r="L2927" s="403">
        <v>1728</v>
      </c>
      <c r="M2927" s="403" t="s">
        <v>1284</v>
      </c>
      <c r="N2927" s="403">
        <v>640</v>
      </c>
      <c r="O2927" s="403">
        <v>480</v>
      </c>
      <c r="P2927" t="str">
        <f t="shared" si="361"/>
        <v>20fps 3072x1728 - SD VGA (cropped)</v>
      </c>
      <c r="Q2927">
        <f t="shared" si="362"/>
        <v>17</v>
      </c>
      <c r="R2927" t="str">
        <f t="shared" si="363"/>
        <v/>
      </c>
      <c r="S2927" t="str">
        <f t="shared" si="364"/>
        <v/>
      </c>
      <c r="T2927" s="403" t="str">
        <f t="shared" si="365"/>
        <v>NDE-3503-AL</v>
      </c>
      <c r="U2927" s="403">
        <f t="shared" si="366"/>
        <v>1</v>
      </c>
      <c r="V2927" s="403" t="str">
        <f t="shared" si="367"/>
        <v>CPP_7_3</v>
      </c>
    </row>
    <row r="2928" spans="1:22">
      <c r="A2928" t="str">
        <f t="shared" si="360"/>
        <v>NDE-3503-AL</v>
      </c>
      <c r="B2928" s="403" t="s">
        <v>1405</v>
      </c>
      <c r="C2928" s="403" t="s">
        <v>582</v>
      </c>
      <c r="D2928" s="403" t="s">
        <v>1407</v>
      </c>
      <c r="E2928" s="403" t="s">
        <v>778</v>
      </c>
      <c r="F2928" s="403" t="s">
        <v>1375</v>
      </c>
      <c r="G2928" s="403" t="s">
        <v>1466</v>
      </c>
      <c r="H2928" s="403" t="s">
        <v>1276</v>
      </c>
      <c r="I2928" s="403">
        <v>1</v>
      </c>
      <c r="J2928" s="403" t="s">
        <v>1377</v>
      </c>
      <c r="K2928" s="403">
        <v>2720</v>
      </c>
      <c r="L2928" s="403">
        <v>1528</v>
      </c>
      <c r="M2928" s="403" t="s">
        <v>109</v>
      </c>
      <c r="N2928" s="403">
        <v>1280</v>
      </c>
      <c r="O2928" s="403">
        <v>720</v>
      </c>
      <c r="P2928" t="str">
        <f t="shared" si="361"/>
        <v>20fps 2720x1530 - 720p</v>
      </c>
      <c r="Q2928">
        <f t="shared" si="362"/>
        <v>17</v>
      </c>
      <c r="R2928" t="str">
        <f t="shared" si="363"/>
        <v/>
      </c>
      <c r="S2928" t="str">
        <f t="shared" si="364"/>
        <v/>
      </c>
      <c r="T2928" s="403" t="str">
        <f t="shared" si="365"/>
        <v>NDE-3503-AL</v>
      </c>
      <c r="U2928" s="403">
        <f t="shared" si="366"/>
        <v>1</v>
      </c>
      <c r="V2928" s="403" t="str">
        <f t="shared" si="367"/>
        <v>CPP_7_3</v>
      </c>
    </row>
    <row r="2929" spans="1:22">
      <c r="A2929" t="str">
        <f t="shared" si="360"/>
        <v>NDE-3503-AL</v>
      </c>
      <c r="B2929" s="403" t="s">
        <v>1405</v>
      </c>
      <c r="C2929" s="403" t="s">
        <v>582</v>
      </c>
      <c r="D2929" s="403" t="s">
        <v>1407</v>
      </c>
      <c r="E2929" s="403" t="s">
        <v>778</v>
      </c>
      <c r="F2929" s="403" t="s">
        <v>1375</v>
      </c>
      <c r="G2929" s="403" t="s">
        <v>1466</v>
      </c>
      <c r="H2929" s="403" t="s">
        <v>1276</v>
      </c>
      <c r="I2929" s="403">
        <v>1</v>
      </c>
      <c r="J2929" s="403" t="s">
        <v>1377</v>
      </c>
      <c r="K2929" s="403">
        <v>2720</v>
      </c>
      <c r="L2929" s="403">
        <v>1528</v>
      </c>
      <c r="M2929" s="403" t="s">
        <v>111</v>
      </c>
      <c r="N2929" s="403">
        <v>768</v>
      </c>
      <c r="O2929" s="403">
        <v>432</v>
      </c>
      <c r="P2929" t="str">
        <f t="shared" si="361"/>
        <v>20fps 2720x1530 - SD</v>
      </c>
      <c r="Q2929">
        <f t="shared" si="362"/>
        <v>17</v>
      </c>
      <c r="R2929" t="str">
        <f t="shared" si="363"/>
        <v/>
      </c>
      <c r="S2929" t="str">
        <f t="shared" si="364"/>
        <v/>
      </c>
      <c r="T2929" s="403" t="str">
        <f t="shared" si="365"/>
        <v>NDE-3503-AL</v>
      </c>
      <c r="U2929" s="403">
        <f t="shared" si="366"/>
        <v>1</v>
      </c>
      <c r="V2929" s="403" t="str">
        <f t="shared" si="367"/>
        <v>CPP_7_3</v>
      </c>
    </row>
    <row r="2930" spans="1:22">
      <c r="A2930" t="str">
        <f t="shared" si="360"/>
        <v>NDE-3503-AL</v>
      </c>
      <c r="B2930" s="403" t="s">
        <v>1405</v>
      </c>
      <c r="C2930" s="403" t="s">
        <v>582</v>
      </c>
      <c r="D2930" s="403" t="s">
        <v>1407</v>
      </c>
      <c r="E2930" s="403" t="s">
        <v>778</v>
      </c>
      <c r="F2930" s="403" t="s">
        <v>1375</v>
      </c>
      <c r="G2930" s="403" t="s">
        <v>1466</v>
      </c>
      <c r="H2930" s="403" t="s">
        <v>1276</v>
      </c>
      <c r="I2930" s="403">
        <v>1</v>
      </c>
      <c r="J2930" s="403" t="s">
        <v>1377</v>
      </c>
      <c r="K2930" s="403">
        <v>2720</v>
      </c>
      <c r="L2930" s="403">
        <v>1528</v>
      </c>
      <c r="M2930" s="403" t="s">
        <v>1279</v>
      </c>
      <c r="N2930" s="403">
        <v>768</v>
      </c>
      <c r="O2930" s="403">
        <v>432</v>
      </c>
      <c r="P2930" t="str">
        <f t="shared" si="361"/>
        <v>20fps 2720x1530 - SD ROI PTZ</v>
      </c>
      <c r="Q2930">
        <f t="shared" si="362"/>
        <v>17</v>
      </c>
      <c r="R2930" t="str">
        <f t="shared" si="363"/>
        <v/>
      </c>
      <c r="S2930" t="str">
        <f t="shared" si="364"/>
        <v/>
      </c>
      <c r="T2930" s="403" t="str">
        <f t="shared" si="365"/>
        <v>NDE-3503-AL</v>
      </c>
      <c r="U2930" s="403">
        <f t="shared" si="366"/>
        <v>1</v>
      </c>
      <c r="V2930" s="403" t="str">
        <f t="shared" si="367"/>
        <v>CPP_7_3</v>
      </c>
    </row>
    <row r="2931" spans="1:22">
      <c r="A2931" t="str">
        <f t="shared" si="360"/>
        <v>NDE-3503-AL</v>
      </c>
      <c r="B2931" s="403" t="s">
        <v>1405</v>
      </c>
      <c r="C2931" s="403" t="s">
        <v>582</v>
      </c>
      <c r="D2931" s="403" t="s">
        <v>1407</v>
      </c>
      <c r="E2931" s="403" t="s">
        <v>778</v>
      </c>
      <c r="F2931" s="403" t="s">
        <v>1375</v>
      </c>
      <c r="G2931" s="403" t="s">
        <v>1466</v>
      </c>
      <c r="H2931" s="403" t="s">
        <v>1276</v>
      </c>
      <c r="I2931" s="403">
        <v>1</v>
      </c>
      <c r="J2931" s="403" t="s">
        <v>1377</v>
      </c>
      <c r="K2931" s="403">
        <v>2720</v>
      </c>
      <c r="L2931" s="403">
        <v>1528</v>
      </c>
      <c r="M2931" s="403" t="s">
        <v>1285</v>
      </c>
      <c r="N2931" s="403">
        <v>1280</v>
      </c>
      <c r="O2931" s="403">
        <v>1024</v>
      </c>
      <c r="P2931" t="str">
        <f t="shared" si="361"/>
        <v>20fps 2720x1530 - 1280x1024 5:4 (cropped)</v>
      </c>
      <c r="Q2931">
        <f t="shared" si="362"/>
        <v>17</v>
      </c>
      <c r="R2931" t="str">
        <f t="shared" si="363"/>
        <v/>
      </c>
      <c r="S2931" t="str">
        <f t="shared" si="364"/>
        <v/>
      </c>
      <c r="T2931" s="403" t="str">
        <f t="shared" si="365"/>
        <v>NDE-3503-AL</v>
      </c>
      <c r="U2931" s="403">
        <f t="shared" si="366"/>
        <v>1</v>
      </c>
      <c r="V2931" s="403" t="str">
        <f t="shared" si="367"/>
        <v>CPP_7_3</v>
      </c>
    </row>
    <row r="2932" spans="1:22">
      <c r="A2932" t="str">
        <f t="shared" si="360"/>
        <v>NDE-3503-AL</v>
      </c>
      <c r="B2932" s="403" t="s">
        <v>1405</v>
      </c>
      <c r="C2932" s="403" t="s">
        <v>582</v>
      </c>
      <c r="D2932" s="403" t="s">
        <v>1407</v>
      </c>
      <c r="E2932" s="403" t="s">
        <v>778</v>
      </c>
      <c r="F2932" s="403" t="s">
        <v>1375</v>
      </c>
      <c r="G2932" s="403" t="s">
        <v>1466</v>
      </c>
      <c r="H2932" s="403" t="s">
        <v>1276</v>
      </c>
      <c r="I2932" s="403">
        <v>1</v>
      </c>
      <c r="J2932" s="403" t="s">
        <v>1377</v>
      </c>
      <c r="K2932" s="403">
        <v>2720</v>
      </c>
      <c r="L2932" s="403">
        <v>1528</v>
      </c>
      <c r="M2932" s="403" t="s">
        <v>1283</v>
      </c>
      <c r="N2932" s="403">
        <v>720</v>
      </c>
      <c r="O2932" s="403">
        <v>480</v>
      </c>
      <c r="P2932" t="str">
        <f t="shared" si="361"/>
        <v>20fps 2720x1530 - SD 4CIF resolution 4:3 format (cropped)</v>
      </c>
      <c r="Q2932">
        <f t="shared" si="362"/>
        <v>17</v>
      </c>
      <c r="R2932" t="str">
        <f t="shared" si="363"/>
        <v/>
      </c>
      <c r="S2932" t="str">
        <f t="shared" si="364"/>
        <v/>
      </c>
      <c r="T2932" s="403" t="str">
        <f t="shared" si="365"/>
        <v>NDE-3503-AL</v>
      </c>
      <c r="U2932" s="403">
        <f t="shared" si="366"/>
        <v>1</v>
      </c>
      <c r="V2932" s="403" t="str">
        <f t="shared" si="367"/>
        <v>CPP_7_3</v>
      </c>
    </row>
    <row r="2933" spans="1:22">
      <c r="A2933" t="str">
        <f t="shared" si="360"/>
        <v>NDE-3503-AL</v>
      </c>
      <c r="B2933" s="403" t="s">
        <v>1405</v>
      </c>
      <c r="C2933" s="403" t="s">
        <v>582</v>
      </c>
      <c r="D2933" s="403" t="s">
        <v>1407</v>
      </c>
      <c r="E2933" s="403" t="s">
        <v>778</v>
      </c>
      <c r="F2933" s="403" t="s">
        <v>1375</v>
      </c>
      <c r="G2933" s="403" t="s">
        <v>1466</v>
      </c>
      <c r="H2933" s="403" t="s">
        <v>1276</v>
      </c>
      <c r="I2933" s="403">
        <v>1</v>
      </c>
      <c r="J2933" s="403" t="s">
        <v>1377</v>
      </c>
      <c r="K2933" s="403">
        <v>2720</v>
      </c>
      <c r="L2933" s="403">
        <v>1528</v>
      </c>
      <c r="M2933" s="403" t="s">
        <v>1284</v>
      </c>
      <c r="N2933" s="403">
        <v>640</v>
      </c>
      <c r="O2933" s="403">
        <v>480</v>
      </c>
      <c r="P2933" t="str">
        <f t="shared" si="361"/>
        <v>20fps 2720x1530 - SD VGA (cropped)</v>
      </c>
      <c r="Q2933">
        <f t="shared" si="362"/>
        <v>17</v>
      </c>
      <c r="R2933" t="str">
        <f t="shared" si="363"/>
        <v/>
      </c>
      <c r="S2933" t="str">
        <f t="shared" si="364"/>
        <v/>
      </c>
      <c r="T2933" s="403" t="str">
        <f t="shared" si="365"/>
        <v>NDE-3503-AL</v>
      </c>
      <c r="U2933" s="403">
        <f t="shared" si="366"/>
        <v>1</v>
      </c>
      <c r="V2933" s="403" t="str">
        <f t="shared" si="367"/>
        <v>CPP_7_3</v>
      </c>
    </row>
    <row r="2934" spans="1:22">
      <c r="A2934" t="str">
        <f t="shared" si="360"/>
        <v>NDE-3503-AL</v>
      </c>
      <c r="B2934" s="403" t="s">
        <v>1405</v>
      </c>
      <c r="C2934" s="403" t="s">
        <v>582</v>
      </c>
      <c r="D2934" s="403" t="s">
        <v>1407</v>
      </c>
      <c r="E2934" s="403" t="s">
        <v>778</v>
      </c>
      <c r="F2934" s="403" t="s">
        <v>1375</v>
      </c>
      <c r="G2934" s="403" t="s">
        <v>1466</v>
      </c>
      <c r="H2934" s="403" t="s">
        <v>1276</v>
      </c>
      <c r="I2934" s="403">
        <v>1</v>
      </c>
      <c r="J2934" s="403" t="s">
        <v>1377</v>
      </c>
      <c r="K2934" s="403">
        <v>2720</v>
      </c>
      <c r="L2934" s="403">
        <v>1528</v>
      </c>
      <c r="M2934" s="403" t="s">
        <v>1280</v>
      </c>
      <c r="N2934" s="403">
        <v>2720</v>
      </c>
      <c r="O2934" s="403">
        <v>1528</v>
      </c>
      <c r="P2934" t="str">
        <f t="shared" si="361"/>
        <v>20fps 2720x1530 - copy other stream</v>
      </c>
      <c r="Q2934">
        <f t="shared" si="362"/>
        <v>17</v>
      </c>
      <c r="R2934" t="str">
        <f t="shared" si="363"/>
        <v/>
      </c>
      <c r="S2934" t="str">
        <f t="shared" si="364"/>
        <v/>
      </c>
      <c r="T2934" s="403" t="str">
        <f t="shared" si="365"/>
        <v>NDE-3503-AL</v>
      </c>
      <c r="U2934" s="403">
        <f t="shared" si="366"/>
        <v>1</v>
      </c>
      <c r="V2934" s="403" t="str">
        <f t="shared" si="367"/>
        <v>CPP_7_3</v>
      </c>
    </row>
    <row r="2935" spans="1:22">
      <c r="A2935" t="str">
        <f t="shared" si="360"/>
        <v>NDE-3503-AL</v>
      </c>
      <c r="B2935" s="403" t="s">
        <v>1405</v>
      </c>
      <c r="C2935" s="403" t="s">
        <v>582</v>
      </c>
      <c r="D2935" s="403" t="s">
        <v>1407</v>
      </c>
      <c r="E2935" s="403" t="s">
        <v>778</v>
      </c>
      <c r="F2935" s="403" t="s">
        <v>1375</v>
      </c>
      <c r="G2935" s="403" t="s">
        <v>1466</v>
      </c>
      <c r="H2935" s="403" t="s">
        <v>1276</v>
      </c>
      <c r="I2935" s="403">
        <v>1</v>
      </c>
      <c r="J2935" s="403" t="s">
        <v>1374</v>
      </c>
      <c r="K2935" s="403">
        <v>2304</v>
      </c>
      <c r="L2935" s="403">
        <v>1296</v>
      </c>
      <c r="M2935" s="403" t="s">
        <v>110</v>
      </c>
      <c r="N2935" s="403">
        <v>1920</v>
      </c>
      <c r="O2935" s="403">
        <v>1080</v>
      </c>
      <c r="P2935" t="str">
        <f t="shared" si="361"/>
        <v>20fps 2304x1296 - 1080p</v>
      </c>
      <c r="Q2935">
        <f t="shared" si="362"/>
        <v>17</v>
      </c>
      <c r="R2935" t="str">
        <f t="shared" si="363"/>
        <v/>
      </c>
      <c r="S2935" t="str">
        <f t="shared" si="364"/>
        <v/>
      </c>
      <c r="T2935" s="403" t="str">
        <f t="shared" si="365"/>
        <v>NDE-3503-AL</v>
      </c>
      <c r="U2935" s="403">
        <f t="shared" si="366"/>
        <v>1</v>
      </c>
      <c r="V2935" s="403" t="str">
        <f t="shared" si="367"/>
        <v>CPP_7_3</v>
      </c>
    </row>
    <row r="2936" spans="1:22">
      <c r="A2936" t="str">
        <f t="shared" si="360"/>
        <v>NDE-3503-AL</v>
      </c>
      <c r="B2936" s="403" t="s">
        <v>1405</v>
      </c>
      <c r="C2936" s="403" t="s">
        <v>582</v>
      </c>
      <c r="D2936" s="403" t="s">
        <v>1407</v>
      </c>
      <c r="E2936" s="403" t="s">
        <v>778</v>
      </c>
      <c r="F2936" s="403" t="s">
        <v>1375</v>
      </c>
      <c r="G2936" s="403" t="s">
        <v>1466</v>
      </c>
      <c r="H2936" s="403" t="s">
        <v>1276</v>
      </c>
      <c r="I2936" s="403">
        <v>1</v>
      </c>
      <c r="J2936" s="403" t="s">
        <v>1374</v>
      </c>
      <c r="K2936" s="403">
        <v>2304</v>
      </c>
      <c r="L2936" s="403">
        <v>1296</v>
      </c>
      <c r="M2936" s="403" t="s">
        <v>109</v>
      </c>
      <c r="N2936" s="403">
        <v>1280</v>
      </c>
      <c r="O2936" s="403">
        <v>720</v>
      </c>
      <c r="P2936" t="str">
        <f t="shared" si="361"/>
        <v>20fps 2304x1296 - 720p</v>
      </c>
      <c r="Q2936">
        <f t="shared" si="362"/>
        <v>17</v>
      </c>
      <c r="R2936" t="str">
        <f t="shared" si="363"/>
        <v/>
      </c>
      <c r="S2936" t="str">
        <f t="shared" si="364"/>
        <v/>
      </c>
      <c r="T2936" s="403" t="str">
        <f t="shared" si="365"/>
        <v>NDE-3503-AL</v>
      </c>
      <c r="U2936" s="403">
        <f t="shared" si="366"/>
        <v>1</v>
      </c>
      <c r="V2936" s="403" t="str">
        <f t="shared" si="367"/>
        <v>CPP_7_3</v>
      </c>
    </row>
    <row r="2937" spans="1:22">
      <c r="A2937" t="str">
        <f t="shared" si="360"/>
        <v>NDE-3503-AL</v>
      </c>
      <c r="B2937" s="403" t="s">
        <v>1405</v>
      </c>
      <c r="C2937" s="403" t="s">
        <v>582</v>
      </c>
      <c r="D2937" s="403" t="s">
        <v>1407</v>
      </c>
      <c r="E2937" s="403" t="s">
        <v>778</v>
      </c>
      <c r="F2937" s="403" t="s">
        <v>1375</v>
      </c>
      <c r="G2937" s="403" t="s">
        <v>1466</v>
      </c>
      <c r="H2937" s="403" t="s">
        <v>1276</v>
      </c>
      <c r="I2937" s="403">
        <v>1</v>
      </c>
      <c r="J2937" s="403" t="s">
        <v>1374</v>
      </c>
      <c r="K2937" s="403">
        <v>2304</v>
      </c>
      <c r="L2937" s="403">
        <v>1296</v>
      </c>
      <c r="M2937" s="403" t="s">
        <v>111</v>
      </c>
      <c r="N2937" s="403">
        <v>768</v>
      </c>
      <c r="O2937" s="403">
        <v>432</v>
      </c>
      <c r="P2937" t="str">
        <f t="shared" si="361"/>
        <v>20fps 2304x1296 - SD</v>
      </c>
      <c r="Q2937">
        <f t="shared" si="362"/>
        <v>17</v>
      </c>
      <c r="R2937" t="str">
        <f t="shared" si="363"/>
        <v/>
      </c>
      <c r="S2937" t="str">
        <f t="shared" si="364"/>
        <v/>
      </c>
      <c r="T2937" s="403" t="str">
        <f t="shared" si="365"/>
        <v>NDE-3503-AL</v>
      </c>
      <c r="U2937" s="403">
        <f t="shared" si="366"/>
        <v>1</v>
      </c>
      <c r="V2937" s="403" t="str">
        <f t="shared" si="367"/>
        <v>CPP_7_3</v>
      </c>
    </row>
    <row r="2938" spans="1:22">
      <c r="A2938" t="str">
        <f t="shared" si="360"/>
        <v>NDE-3503-AL</v>
      </c>
      <c r="B2938" s="403" t="s">
        <v>1405</v>
      </c>
      <c r="C2938" s="403" t="s">
        <v>582</v>
      </c>
      <c r="D2938" s="403" t="s">
        <v>1407</v>
      </c>
      <c r="E2938" s="403" t="s">
        <v>778</v>
      </c>
      <c r="F2938" s="403" t="s">
        <v>1375</v>
      </c>
      <c r="G2938" s="403" t="s">
        <v>1466</v>
      </c>
      <c r="H2938" s="403" t="s">
        <v>1276</v>
      </c>
      <c r="I2938" s="403">
        <v>1</v>
      </c>
      <c r="J2938" s="403" t="s">
        <v>1374</v>
      </c>
      <c r="K2938" s="403">
        <v>2304</v>
      </c>
      <c r="L2938" s="403">
        <v>1296</v>
      </c>
      <c r="M2938" s="403" t="s">
        <v>1279</v>
      </c>
      <c r="N2938" s="403">
        <v>768</v>
      </c>
      <c r="O2938" s="403">
        <v>432</v>
      </c>
      <c r="P2938" t="str">
        <f t="shared" si="361"/>
        <v>20fps 2304x1296 - SD ROI PTZ</v>
      </c>
      <c r="Q2938">
        <f t="shared" si="362"/>
        <v>17</v>
      </c>
      <c r="R2938" t="str">
        <f t="shared" si="363"/>
        <v/>
      </c>
      <c r="S2938" t="str">
        <f t="shared" si="364"/>
        <v/>
      </c>
      <c r="T2938" s="403" t="str">
        <f t="shared" si="365"/>
        <v>NDE-3503-AL</v>
      </c>
      <c r="U2938" s="403">
        <f t="shared" si="366"/>
        <v>1</v>
      </c>
      <c r="V2938" s="403" t="str">
        <f t="shared" si="367"/>
        <v>CPP_7_3</v>
      </c>
    </row>
    <row r="2939" spans="1:22">
      <c r="A2939" t="str">
        <f t="shared" si="360"/>
        <v>NDE-3503-AL</v>
      </c>
      <c r="B2939" s="403" t="s">
        <v>1405</v>
      </c>
      <c r="C2939" s="403" t="s">
        <v>582</v>
      </c>
      <c r="D2939" s="403" t="s">
        <v>1407</v>
      </c>
      <c r="E2939" s="403" t="s">
        <v>778</v>
      </c>
      <c r="F2939" s="403" t="s">
        <v>1375</v>
      </c>
      <c r="G2939" s="403" t="s">
        <v>1466</v>
      </c>
      <c r="H2939" s="403" t="s">
        <v>1276</v>
      </c>
      <c r="I2939" s="403">
        <v>1</v>
      </c>
      <c r="J2939" s="403" t="s">
        <v>1374</v>
      </c>
      <c r="K2939" s="403">
        <v>2304</v>
      </c>
      <c r="L2939" s="403">
        <v>1296</v>
      </c>
      <c r="M2939" s="403" t="s">
        <v>1285</v>
      </c>
      <c r="N2939" s="403">
        <v>1280</v>
      </c>
      <c r="O2939" s="403">
        <v>1024</v>
      </c>
      <c r="P2939" t="str">
        <f t="shared" si="361"/>
        <v>20fps 2304x1296 - 1280x1024 5:4 (cropped)</v>
      </c>
      <c r="Q2939">
        <f t="shared" si="362"/>
        <v>17</v>
      </c>
      <c r="R2939" t="str">
        <f t="shared" si="363"/>
        <v/>
      </c>
      <c r="S2939" t="str">
        <f t="shared" si="364"/>
        <v/>
      </c>
      <c r="T2939" s="403" t="str">
        <f t="shared" si="365"/>
        <v>NDE-3503-AL</v>
      </c>
      <c r="U2939" s="403">
        <f t="shared" si="366"/>
        <v>1</v>
      </c>
      <c r="V2939" s="403" t="str">
        <f t="shared" si="367"/>
        <v>CPP_7_3</v>
      </c>
    </row>
    <row r="2940" spans="1:22">
      <c r="A2940" t="str">
        <f t="shared" si="360"/>
        <v>NDE-3503-AL</v>
      </c>
      <c r="B2940" s="403" t="s">
        <v>1405</v>
      </c>
      <c r="C2940" s="403" t="s">
        <v>582</v>
      </c>
      <c r="D2940" s="403" t="s">
        <v>1407</v>
      </c>
      <c r="E2940" s="403" t="s">
        <v>778</v>
      </c>
      <c r="F2940" s="403" t="s">
        <v>1375</v>
      </c>
      <c r="G2940" s="403" t="s">
        <v>1466</v>
      </c>
      <c r="H2940" s="403" t="s">
        <v>1276</v>
      </c>
      <c r="I2940" s="403">
        <v>1</v>
      </c>
      <c r="J2940" s="403" t="s">
        <v>1374</v>
      </c>
      <c r="K2940" s="403">
        <v>2304</v>
      </c>
      <c r="L2940" s="403">
        <v>1296</v>
      </c>
      <c r="M2940" s="403" t="s">
        <v>1283</v>
      </c>
      <c r="N2940" s="403">
        <v>720</v>
      </c>
      <c r="O2940" s="403">
        <v>480</v>
      </c>
      <c r="P2940" t="str">
        <f t="shared" si="361"/>
        <v>20fps 2304x1296 - SD 4CIF resolution 4:3 format (cropped)</v>
      </c>
      <c r="Q2940">
        <f t="shared" si="362"/>
        <v>17</v>
      </c>
      <c r="R2940" t="str">
        <f t="shared" si="363"/>
        <v/>
      </c>
      <c r="S2940" t="str">
        <f t="shared" si="364"/>
        <v/>
      </c>
      <c r="T2940" s="403" t="str">
        <f t="shared" si="365"/>
        <v>NDE-3503-AL</v>
      </c>
      <c r="U2940" s="403">
        <f t="shared" si="366"/>
        <v>1</v>
      </c>
      <c r="V2940" s="403" t="str">
        <f t="shared" si="367"/>
        <v>CPP_7_3</v>
      </c>
    </row>
    <row r="2941" spans="1:22">
      <c r="A2941" t="str">
        <f t="shared" si="360"/>
        <v>NDE-3503-AL</v>
      </c>
      <c r="B2941" s="403" t="s">
        <v>1405</v>
      </c>
      <c r="C2941" s="403" t="s">
        <v>582</v>
      </c>
      <c r="D2941" s="403" t="s">
        <v>1407</v>
      </c>
      <c r="E2941" s="403" t="s">
        <v>778</v>
      </c>
      <c r="F2941" s="403" t="s">
        <v>1375</v>
      </c>
      <c r="G2941" s="403" t="s">
        <v>1466</v>
      </c>
      <c r="H2941" s="403" t="s">
        <v>1276</v>
      </c>
      <c r="I2941" s="403">
        <v>1</v>
      </c>
      <c r="J2941" s="403" t="s">
        <v>1374</v>
      </c>
      <c r="K2941" s="403">
        <v>2304</v>
      </c>
      <c r="L2941" s="403">
        <v>1296</v>
      </c>
      <c r="M2941" s="403" t="s">
        <v>1284</v>
      </c>
      <c r="N2941" s="403">
        <v>640</v>
      </c>
      <c r="O2941" s="403">
        <v>480</v>
      </c>
      <c r="P2941" t="str">
        <f t="shared" si="361"/>
        <v>20fps 2304x1296 - SD VGA (cropped)</v>
      </c>
      <c r="Q2941">
        <f t="shared" si="362"/>
        <v>17</v>
      </c>
      <c r="R2941" t="str">
        <f t="shared" si="363"/>
        <v/>
      </c>
      <c r="S2941" t="str">
        <f t="shared" si="364"/>
        <v/>
      </c>
      <c r="T2941" s="403" t="str">
        <f t="shared" si="365"/>
        <v>NDE-3503-AL</v>
      </c>
      <c r="U2941" s="403">
        <f t="shared" si="366"/>
        <v>1</v>
      </c>
      <c r="V2941" s="403" t="str">
        <f t="shared" si="367"/>
        <v>CPP_7_3</v>
      </c>
    </row>
    <row r="2942" spans="1:22">
      <c r="A2942" t="str">
        <f t="shared" si="360"/>
        <v>NDE-3503-AL</v>
      </c>
      <c r="B2942" s="403" t="s">
        <v>1405</v>
      </c>
      <c r="C2942" s="403" t="s">
        <v>582</v>
      </c>
      <c r="D2942" s="403" t="s">
        <v>1407</v>
      </c>
      <c r="E2942" s="403" t="s">
        <v>778</v>
      </c>
      <c r="F2942" s="403" t="s">
        <v>1375</v>
      </c>
      <c r="G2942" s="403" t="s">
        <v>1466</v>
      </c>
      <c r="H2942" s="403" t="s">
        <v>1276</v>
      </c>
      <c r="I2942" s="403">
        <v>1</v>
      </c>
      <c r="J2942" s="403" t="s">
        <v>1374</v>
      </c>
      <c r="K2942" s="403">
        <v>2304</v>
      </c>
      <c r="L2942" s="403">
        <v>1296</v>
      </c>
      <c r="M2942" s="403" t="s">
        <v>1280</v>
      </c>
      <c r="N2942" s="403">
        <v>2304</v>
      </c>
      <c r="O2942" s="403">
        <v>1296</v>
      </c>
      <c r="P2942" t="str">
        <f t="shared" si="361"/>
        <v>20fps 2304x1296 - copy other stream</v>
      </c>
      <c r="Q2942">
        <f t="shared" si="362"/>
        <v>17</v>
      </c>
      <c r="R2942" t="str">
        <f t="shared" si="363"/>
        <v/>
      </c>
      <c r="S2942" t="str">
        <f t="shared" si="364"/>
        <v/>
      </c>
      <c r="T2942" s="403" t="str">
        <f t="shared" si="365"/>
        <v>NDE-3503-AL</v>
      </c>
      <c r="U2942" s="403">
        <f t="shared" si="366"/>
        <v>1</v>
      </c>
      <c r="V2942" s="403" t="str">
        <f t="shared" si="367"/>
        <v>CPP_7_3</v>
      </c>
    </row>
    <row r="2943" spans="1:22">
      <c r="A2943" t="str">
        <f t="shared" si="360"/>
        <v>NDE-3503-AL</v>
      </c>
      <c r="B2943" s="403" t="s">
        <v>1405</v>
      </c>
      <c r="C2943" s="403" t="s">
        <v>582</v>
      </c>
      <c r="D2943" s="403" t="s">
        <v>1407</v>
      </c>
      <c r="E2943" s="403" t="s">
        <v>778</v>
      </c>
      <c r="F2943" s="403" t="s">
        <v>1375</v>
      </c>
      <c r="G2943" s="403" t="s">
        <v>1466</v>
      </c>
      <c r="H2943" s="403" t="s">
        <v>1276</v>
      </c>
      <c r="I2943" s="403">
        <v>1</v>
      </c>
      <c r="J2943" s="403" t="s">
        <v>110</v>
      </c>
      <c r="K2943" s="403">
        <v>1920</v>
      </c>
      <c r="L2943" s="403">
        <v>1080</v>
      </c>
      <c r="M2943" s="403" t="s">
        <v>111</v>
      </c>
      <c r="N2943" s="403">
        <v>768</v>
      </c>
      <c r="O2943" s="403">
        <v>432</v>
      </c>
      <c r="P2943" t="str">
        <f t="shared" si="361"/>
        <v>20fps 1080p - SD</v>
      </c>
      <c r="Q2943">
        <f t="shared" si="362"/>
        <v>17</v>
      </c>
      <c r="R2943" t="str">
        <f t="shared" si="363"/>
        <v/>
      </c>
      <c r="S2943" t="str">
        <f t="shared" si="364"/>
        <v/>
      </c>
      <c r="T2943" s="403" t="str">
        <f t="shared" si="365"/>
        <v>NDE-3503-AL</v>
      </c>
      <c r="U2943" s="403">
        <f t="shared" si="366"/>
        <v>1</v>
      </c>
      <c r="V2943" s="403" t="str">
        <f t="shared" si="367"/>
        <v>CPP_7_3</v>
      </c>
    </row>
    <row r="2944" spans="1:22">
      <c r="A2944" t="str">
        <f t="shared" si="360"/>
        <v>NDE-3503-AL</v>
      </c>
      <c r="B2944" s="403" t="s">
        <v>1405</v>
      </c>
      <c r="C2944" s="403" t="s">
        <v>582</v>
      </c>
      <c r="D2944" s="403" t="s">
        <v>1407</v>
      </c>
      <c r="E2944" s="403" t="s">
        <v>778</v>
      </c>
      <c r="F2944" s="403" t="s">
        <v>1375</v>
      </c>
      <c r="G2944" s="403" t="s">
        <v>1466</v>
      </c>
      <c r="H2944" s="403" t="s">
        <v>1276</v>
      </c>
      <c r="I2944" s="403">
        <v>1</v>
      </c>
      <c r="J2944" s="403" t="s">
        <v>110</v>
      </c>
      <c r="K2944" s="403">
        <v>1920</v>
      </c>
      <c r="L2944" s="403">
        <v>1080</v>
      </c>
      <c r="M2944" s="403" t="s">
        <v>110</v>
      </c>
      <c r="N2944" s="403">
        <v>1920</v>
      </c>
      <c r="O2944" s="403">
        <v>1080</v>
      </c>
      <c r="P2944" t="str">
        <f t="shared" si="361"/>
        <v>20fps 1080p - 1080p</v>
      </c>
      <c r="Q2944">
        <f t="shared" si="362"/>
        <v>17</v>
      </c>
      <c r="R2944" t="str">
        <f t="shared" si="363"/>
        <v/>
      </c>
      <c r="S2944" t="str">
        <f t="shared" si="364"/>
        <v/>
      </c>
      <c r="T2944" s="403" t="str">
        <f t="shared" si="365"/>
        <v>NDE-3503-AL</v>
      </c>
      <c r="U2944" s="403">
        <f t="shared" si="366"/>
        <v>1</v>
      </c>
      <c r="V2944" s="403" t="str">
        <f t="shared" si="367"/>
        <v>CPP_7_3</v>
      </c>
    </row>
    <row r="2945" spans="1:22">
      <c r="A2945" t="str">
        <f t="shared" si="360"/>
        <v>NDE-3503-AL</v>
      </c>
      <c r="B2945" s="403" t="s">
        <v>1405</v>
      </c>
      <c r="C2945" s="403" t="s">
        <v>582</v>
      </c>
      <c r="D2945" s="403" t="s">
        <v>1407</v>
      </c>
      <c r="E2945" s="403" t="s">
        <v>778</v>
      </c>
      <c r="F2945" s="403" t="s">
        <v>1375</v>
      </c>
      <c r="G2945" s="403" t="s">
        <v>1466</v>
      </c>
      <c r="H2945" s="403" t="s">
        <v>1276</v>
      </c>
      <c r="I2945" s="403">
        <v>1</v>
      </c>
      <c r="J2945" s="403" t="s">
        <v>110</v>
      </c>
      <c r="K2945" s="403">
        <v>1920</v>
      </c>
      <c r="L2945" s="403">
        <v>1080</v>
      </c>
      <c r="M2945" s="403" t="s">
        <v>109</v>
      </c>
      <c r="N2945" s="403">
        <v>1280</v>
      </c>
      <c r="O2945" s="403">
        <v>720</v>
      </c>
      <c r="P2945" t="str">
        <f t="shared" si="361"/>
        <v>20fps 1080p - 720p</v>
      </c>
      <c r="Q2945">
        <f t="shared" si="362"/>
        <v>17</v>
      </c>
      <c r="R2945" t="str">
        <f t="shared" si="363"/>
        <v/>
      </c>
      <c r="S2945" t="str">
        <f t="shared" si="364"/>
        <v/>
      </c>
      <c r="T2945" s="403" t="str">
        <f t="shared" si="365"/>
        <v>NDE-3503-AL</v>
      </c>
      <c r="U2945" s="403">
        <f t="shared" si="366"/>
        <v>1</v>
      </c>
      <c r="V2945" s="403" t="str">
        <f t="shared" si="367"/>
        <v>CPP_7_3</v>
      </c>
    </row>
    <row r="2946" spans="1:22">
      <c r="A2946" t="str">
        <f t="shared" ref="A2946:A3009" si="368">IF(AND(G2946&lt;&gt;"rotate 90°"),D2946,"")</f>
        <v>NDE-3503-AL</v>
      </c>
      <c r="B2946" s="403" t="s">
        <v>1405</v>
      </c>
      <c r="C2946" s="403" t="s">
        <v>582</v>
      </c>
      <c r="D2946" s="403" t="s">
        <v>1407</v>
      </c>
      <c r="E2946" s="403" t="s">
        <v>778</v>
      </c>
      <c r="F2946" s="403" t="s">
        <v>1375</v>
      </c>
      <c r="G2946" s="403" t="s">
        <v>1466</v>
      </c>
      <c r="H2946" s="403" t="s">
        <v>1276</v>
      </c>
      <c r="I2946" s="403">
        <v>1</v>
      </c>
      <c r="J2946" s="403" t="s">
        <v>110</v>
      </c>
      <c r="K2946" s="403">
        <v>1920</v>
      </c>
      <c r="L2946" s="403">
        <v>1080</v>
      </c>
      <c r="M2946" s="403" t="s">
        <v>1285</v>
      </c>
      <c r="N2946" s="403">
        <v>1280</v>
      </c>
      <c r="O2946" s="403">
        <v>1024</v>
      </c>
      <c r="P2946" t="str">
        <f t="shared" ref="P2946:P3009" si="369">LEFT(F2946,5)&amp;" "&amp;J2946&amp;" - "&amp;M2946</f>
        <v>20fps 1080p - 1280x1024 5:4 (cropped)</v>
      </c>
      <c r="Q2946">
        <f t="shared" ref="Q2946:Q3009" si="370">IF(A2945=A2946,Q2945,Q2945+1)</f>
        <v>17</v>
      </c>
      <c r="R2946" t="str">
        <f t="shared" ref="R2946:R3009" si="371">IF(Q2945&lt;&gt;Q2946,Q2946,"")</f>
        <v/>
      </c>
      <c r="S2946" t="str">
        <f t="shared" ref="S2946:S3009" si="372">IF(R2946&lt;&gt;"",B2946&amp;" ("&amp;D2946&amp;")","")</f>
        <v/>
      </c>
      <c r="T2946" s="403" t="str">
        <f t="shared" ref="T2946:T3009" si="373">D2946</f>
        <v>NDE-3503-AL</v>
      </c>
      <c r="U2946" s="403">
        <f t="shared" ref="U2946:U3009" si="374">I2946</f>
        <v>1</v>
      </c>
      <c r="V2946" s="403" t="str">
        <f t="shared" ref="V2946:V3009" si="375">C2946</f>
        <v>CPP_7_3</v>
      </c>
    </row>
    <row r="2947" spans="1:22">
      <c r="A2947" t="str">
        <f t="shared" si="368"/>
        <v>NDE-3503-AL</v>
      </c>
      <c r="B2947" s="403" t="s">
        <v>1405</v>
      </c>
      <c r="C2947" s="403" t="s">
        <v>582</v>
      </c>
      <c r="D2947" s="403" t="s">
        <v>1407</v>
      </c>
      <c r="E2947" s="403" t="s">
        <v>778</v>
      </c>
      <c r="F2947" s="403" t="s">
        <v>1375</v>
      </c>
      <c r="G2947" s="403" t="s">
        <v>1466</v>
      </c>
      <c r="H2947" s="403" t="s">
        <v>1276</v>
      </c>
      <c r="I2947" s="403">
        <v>1</v>
      </c>
      <c r="J2947" s="403" t="s">
        <v>110</v>
      </c>
      <c r="K2947" s="403">
        <v>1920</v>
      </c>
      <c r="L2947" s="403">
        <v>1080</v>
      </c>
      <c r="M2947" s="403" t="s">
        <v>1279</v>
      </c>
      <c r="N2947" s="403">
        <v>768</v>
      </c>
      <c r="O2947" s="403">
        <v>432</v>
      </c>
      <c r="P2947" t="str">
        <f t="shared" si="369"/>
        <v>20fps 1080p - SD ROI PTZ</v>
      </c>
      <c r="Q2947">
        <f t="shared" si="370"/>
        <v>17</v>
      </c>
      <c r="R2947" t="str">
        <f t="shared" si="371"/>
        <v/>
      </c>
      <c r="S2947" t="str">
        <f t="shared" si="372"/>
        <v/>
      </c>
      <c r="T2947" s="403" t="str">
        <f t="shared" si="373"/>
        <v>NDE-3503-AL</v>
      </c>
      <c r="U2947" s="403">
        <f t="shared" si="374"/>
        <v>1</v>
      </c>
      <c r="V2947" s="403" t="str">
        <f t="shared" si="375"/>
        <v>CPP_7_3</v>
      </c>
    </row>
    <row r="2948" spans="1:22">
      <c r="A2948" t="str">
        <f t="shared" si="368"/>
        <v>NDE-3503-AL</v>
      </c>
      <c r="B2948" s="403" t="s">
        <v>1405</v>
      </c>
      <c r="C2948" s="403" t="s">
        <v>582</v>
      </c>
      <c r="D2948" s="403" t="s">
        <v>1407</v>
      </c>
      <c r="E2948" s="403" t="s">
        <v>778</v>
      </c>
      <c r="F2948" s="403" t="s">
        <v>1375</v>
      </c>
      <c r="G2948" s="403" t="s">
        <v>1466</v>
      </c>
      <c r="H2948" s="403" t="s">
        <v>1276</v>
      </c>
      <c r="I2948" s="403">
        <v>1</v>
      </c>
      <c r="J2948" s="403" t="s">
        <v>110</v>
      </c>
      <c r="K2948" s="403">
        <v>1920</v>
      </c>
      <c r="L2948" s="403">
        <v>1080</v>
      </c>
      <c r="M2948" s="403" t="s">
        <v>1283</v>
      </c>
      <c r="N2948" s="403">
        <v>720</v>
      </c>
      <c r="O2948" s="403">
        <v>480</v>
      </c>
      <c r="P2948" t="str">
        <f t="shared" si="369"/>
        <v>20fps 1080p - SD 4CIF resolution 4:3 format (cropped)</v>
      </c>
      <c r="Q2948">
        <f t="shared" si="370"/>
        <v>17</v>
      </c>
      <c r="R2948" t="str">
        <f t="shared" si="371"/>
        <v/>
      </c>
      <c r="S2948" t="str">
        <f t="shared" si="372"/>
        <v/>
      </c>
      <c r="T2948" s="403" t="str">
        <f t="shared" si="373"/>
        <v>NDE-3503-AL</v>
      </c>
      <c r="U2948" s="403">
        <f t="shared" si="374"/>
        <v>1</v>
      </c>
      <c r="V2948" s="403" t="str">
        <f t="shared" si="375"/>
        <v>CPP_7_3</v>
      </c>
    </row>
    <row r="2949" spans="1:22">
      <c r="A2949" t="str">
        <f t="shared" si="368"/>
        <v>NDE-3503-AL</v>
      </c>
      <c r="B2949" s="403" t="s">
        <v>1405</v>
      </c>
      <c r="C2949" s="403" t="s">
        <v>582</v>
      </c>
      <c r="D2949" s="403" t="s">
        <v>1407</v>
      </c>
      <c r="E2949" s="403" t="s">
        <v>778</v>
      </c>
      <c r="F2949" s="403" t="s">
        <v>1375</v>
      </c>
      <c r="G2949" s="403" t="s">
        <v>1466</v>
      </c>
      <c r="H2949" s="403" t="s">
        <v>1276</v>
      </c>
      <c r="I2949" s="403">
        <v>1</v>
      </c>
      <c r="J2949" s="403" t="s">
        <v>110</v>
      </c>
      <c r="K2949" s="403">
        <v>1920</v>
      </c>
      <c r="L2949" s="403">
        <v>1080</v>
      </c>
      <c r="M2949" s="403" t="s">
        <v>1284</v>
      </c>
      <c r="N2949" s="403">
        <v>640</v>
      </c>
      <c r="O2949" s="403">
        <v>480</v>
      </c>
      <c r="P2949" t="str">
        <f t="shared" si="369"/>
        <v>20fps 1080p - SD VGA (cropped)</v>
      </c>
      <c r="Q2949">
        <f t="shared" si="370"/>
        <v>17</v>
      </c>
      <c r="R2949" t="str">
        <f t="shared" si="371"/>
        <v/>
      </c>
      <c r="S2949" t="str">
        <f t="shared" si="372"/>
        <v/>
      </c>
      <c r="T2949" s="403" t="str">
        <f t="shared" si="373"/>
        <v>NDE-3503-AL</v>
      </c>
      <c r="U2949" s="403">
        <f t="shared" si="374"/>
        <v>1</v>
      </c>
      <c r="V2949" s="403" t="str">
        <f t="shared" si="375"/>
        <v>CPP_7_3</v>
      </c>
    </row>
    <row r="2950" spans="1:22">
      <c r="A2950" t="str">
        <f t="shared" si="368"/>
        <v>NDE-3503-AL</v>
      </c>
      <c r="B2950" s="403" t="s">
        <v>1405</v>
      </c>
      <c r="C2950" s="403" t="s">
        <v>582</v>
      </c>
      <c r="D2950" s="403" t="s">
        <v>1407</v>
      </c>
      <c r="E2950" s="403" t="s">
        <v>778</v>
      </c>
      <c r="F2950" s="403" t="s">
        <v>1375</v>
      </c>
      <c r="G2950" s="403" t="s">
        <v>1466</v>
      </c>
      <c r="H2950" s="403" t="s">
        <v>1276</v>
      </c>
      <c r="I2950" s="403">
        <v>1</v>
      </c>
      <c r="J2950" s="403" t="s">
        <v>109</v>
      </c>
      <c r="K2950" s="403">
        <v>1280</v>
      </c>
      <c r="L2950" s="403">
        <v>720</v>
      </c>
      <c r="M2950" s="403" t="s">
        <v>109</v>
      </c>
      <c r="N2950" s="403">
        <v>1280</v>
      </c>
      <c r="O2950" s="403">
        <v>720</v>
      </c>
      <c r="P2950" t="str">
        <f t="shared" si="369"/>
        <v>20fps 720p - 720p</v>
      </c>
      <c r="Q2950">
        <f t="shared" si="370"/>
        <v>17</v>
      </c>
      <c r="R2950" t="str">
        <f t="shared" si="371"/>
        <v/>
      </c>
      <c r="S2950" t="str">
        <f t="shared" si="372"/>
        <v/>
      </c>
      <c r="T2950" s="403" t="str">
        <f t="shared" si="373"/>
        <v>NDE-3503-AL</v>
      </c>
      <c r="U2950" s="403">
        <f t="shared" si="374"/>
        <v>1</v>
      </c>
      <c r="V2950" s="403" t="str">
        <f t="shared" si="375"/>
        <v>CPP_7_3</v>
      </c>
    </row>
    <row r="2951" spans="1:22">
      <c r="A2951" t="str">
        <f t="shared" si="368"/>
        <v>NDE-3503-AL</v>
      </c>
      <c r="B2951" s="403" t="s">
        <v>1405</v>
      </c>
      <c r="C2951" s="403" t="s">
        <v>582</v>
      </c>
      <c r="D2951" s="403" t="s">
        <v>1407</v>
      </c>
      <c r="E2951" s="403" t="s">
        <v>778</v>
      </c>
      <c r="F2951" s="403" t="s">
        <v>1375</v>
      </c>
      <c r="G2951" s="403" t="s">
        <v>1466</v>
      </c>
      <c r="H2951" s="403" t="s">
        <v>1276</v>
      </c>
      <c r="I2951" s="403">
        <v>1</v>
      </c>
      <c r="J2951" s="403" t="s">
        <v>109</v>
      </c>
      <c r="K2951" s="403">
        <v>1280</v>
      </c>
      <c r="L2951" s="403">
        <v>720</v>
      </c>
      <c r="M2951" s="403" t="s">
        <v>111</v>
      </c>
      <c r="N2951" s="403">
        <v>768</v>
      </c>
      <c r="O2951" s="403">
        <v>432</v>
      </c>
      <c r="P2951" t="str">
        <f t="shared" si="369"/>
        <v>20fps 720p - SD</v>
      </c>
      <c r="Q2951">
        <f t="shared" si="370"/>
        <v>17</v>
      </c>
      <c r="R2951" t="str">
        <f t="shared" si="371"/>
        <v/>
      </c>
      <c r="S2951" t="str">
        <f t="shared" si="372"/>
        <v/>
      </c>
      <c r="T2951" s="403" t="str">
        <f t="shared" si="373"/>
        <v>NDE-3503-AL</v>
      </c>
      <c r="U2951" s="403">
        <f t="shared" si="374"/>
        <v>1</v>
      </c>
      <c r="V2951" s="403" t="str">
        <f t="shared" si="375"/>
        <v>CPP_7_3</v>
      </c>
    </row>
    <row r="2952" spans="1:22">
      <c r="A2952" t="str">
        <f t="shared" si="368"/>
        <v>NDE-3503-AL</v>
      </c>
      <c r="B2952" s="403" t="s">
        <v>1405</v>
      </c>
      <c r="C2952" s="403" t="s">
        <v>582</v>
      </c>
      <c r="D2952" s="403" t="s">
        <v>1407</v>
      </c>
      <c r="E2952" s="403" t="s">
        <v>778</v>
      </c>
      <c r="F2952" s="403" t="s">
        <v>1375</v>
      </c>
      <c r="G2952" s="403" t="s">
        <v>1466</v>
      </c>
      <c r="H2952" s="403" t="s">
        <v>1276</v>
      </c>
      <c r="I2952" s="403">
        <v>1</v>
      </c>
      <c r="J2952" s="403" t="s">
        <v>109</v>
      </c>
      <c r="K2952" s="403">
        <v>1280</v>
      </c>
      <c r="L2952" s="403">
        <v>720</v>
      </c>
      <c r="M2952" s="403" t="s">
        <v>1279</v>
      </c>
      <c r="N2952" s="403">
        <v>768</v>
      </c>
      <c r="O2952" s="403">
        <v>432</v>
      </c>
      <c r="P2952" t="str">
        <f t="shared" si="369"/>
        <v>20fps 720p - SD ROI PTZ</v>
      </c>
      <c r="Q2952">
        <f t="shared" si="370"/>
        <v>17</v>
      </c>
      <c r="R2952" t="str">
        <f t="shared" si="371"/>
        <v/>
      </c>
      <c r="S2952" t="str">
        <f t="shared" si="372"/>
        <v/>
      </c>
      <c r="T2952" s="403" t="str">
        <f t="shared" si="373"/>
        <v>NDE-3503-AL</v>
      </c>
      <c r="U2952" s="403">
        <f t="shared" si="374"/>
        <v>1</v>
      </c>
      <c r="V2952" s="403" t="str">
        <f t="shared" si="375"/>
        <v>CPP_7_3</v>
      </c>
    </row>
    <row r="2953" spans="1:22">
      <c r="A2953" t="str">
        <f t="shared" si="368"/>
        <v>NDE-3503-AL</v>
      </c>
      <c r="B2953" s="403" t="s">
        <v>1405</v>
      </c>
      <c r="C2953" s="403" t="s">
        <v>582</v>
      </c>
      <c r="D2953" s="403" t="s">
        <v>1407</v>
      </c>
      <c r="E2953" s="403" t="s">
        <v>778</v>
      </c>
      <c r="F2953" s="403" t="s">
        <v>1375</v>
      </c>
      <c r="G2953" s="403" t="s">
        <v>1466</v>
      </c>
      <c r="H2953" s="403" t="s">
        <v>1276</v>
      </c>
      <c r="I2953" s="403">
        <v>1</v>
      </c>
      <c r="J2953" s="403" t="s">
        <v>109</v>
      </c>
      <c r="K2953" s="403">
        <v>1280</v>
      </c>
      <c r="L2953" s="403">
        <v>720</v>
      </c>
      <c r="M2953" s="403" t="s">
        <v>1283</v>
      </c>
      <c r="N2953" s="403">
        <v>720</v>
      </c>
      <c r="O2953" s="403">
        <v>480</v>
      </c>
      <c r="P2953" t="str">
        <f t="shared" si="369"/>
        <v>20fps 720p - SD 4CIF resolution 4:3 format (cropped)</v>
      </c>
      <c r="Q2953">
        <f t="shared" si="370"/>
        <v>17</v>
      </c>
      <c r="R2953" t="str">
        <f t="shared" si="371"/>
        <v/>
      </c>
      <c r="S2953" t="str">
        <f t="shared" si="372"/>
        <v/>
      </c>
      <c r="T2953" s="403" t="str">
        <f t="shared" si="373"/>
        <v>NDE-3503-AL</v>
      </c>
      <c r="U2953" s="403">
        <f t="shared" si="374"/>
        <v>1</v>
      </c>
      <c r="V2953" s="403" t="str">
        <f t="shared" si="375"/>
        <v>CPP_7_3</v>
      </c>
    </row>
    <row r="2954" spans="1:22">
      <c r="A2954" t="str">
        <f t="shared" si="368"/>
        <v>NDE-3503-AL</v>
      </c>
      <c r="B2954" s="403" t="s">
        <v>1405</v>
      </c>
      <c r="C2954" s="403" t="s">
        <v>582</v>
      </c>
      <c r="D2954" s="403" t="s">
        <v>1407</v>
      </c>
      <c r="E2954" s="403" t="s">
        <v>778</v>
      </c>
      <c r="F2954" s="403" t="s">
        <v>1375</v>
      </c>
      <c r="G2954" s="403" t="s">
        <v>1466</v>
      </c>
      <c r="H2954" s="403" t="s">
        <v>1276</v>
      </c>
      <c r="I2954" s="403">
        <v>1</v>
      </c>
      <c r="J2954" s="403" t="s">
        <v>109</v>
      </c>
      <c r="K2954" s="403">
        <v>1280</v>
      </c>
      <c r="L2954" s="403">
        <v>720</v>
      </c>
      <c r="M2954" s="403" t="s">
        <v>1284</v>
      </c>
      <c r="N2954" s="403">
        <v>640</v>
      </c>
      <c r="O2954" s="403">
        <v>480</v>
      </c>
      <c r="P2954" t="str">
        <f t="shared" si="369"/>
        <v>20fps 720p - SD VGA (cropped)</v>
      </c>
      <c r="Q2954">
        <f t="shared" si="370"/>
        <v>17</v>
      </c>
      <c r="R2954" t="str">
        <f t="shared" si="371"/>
        <v/>
      </c>
      <c r="S2954" t="str">
        <f t="shared" si="372"/>
        <v/>
      </c>
      <c r="T2954" s="403" t="str">
        <f t="shared" si="373"/>
        <v>NDE-3503-AL</v>
      </c>
      <c r="U2954" s="403">
        <f t="shared" si="374"/>
        <v>1</v>
      </c>
      <c r="V2954" s="403" t="str">
        <f t="shared" si="375"/>
        <v>CPP_7_3</v>
      </c>
    </row>
    <row r="2955" spans="1:22">
      <c r="A2955" t="str">
        <f t="shared" si="368"/>
        <v>NDE-3503-AL</v>
      </c>
      <c r="B2955" s="403" t="s">
        <v>1405</v>
      </c>
      <c r="C2955" s="403" t="s">
        <v>582</v>
      </c>
      <c r="D2955" s="403" t="s">
        <v>1407</v>
      </c>
      <c r="E2955" s="403" t="s">
        <v>778</v>
      </c>
      <c r="F2955" s="403" t="s">
        <v>1375</v>
      </c>
      <c r="G2955" s="403" t="s">
        <v>1466</v>
      </c>
      <c r="H2955" s="403" t="s">
        <v>1281</v>
      </c>
      <c r="I2955" s="403">
        <v>1</v>
      </c>
      <c r="J2955" s="403" t="s">
        <v>1377</v>
      </c>
      <c r="K2955" s="403">
        <v>2720</v>
      </c>
      <c r="L2955" s="403">
        <v>1528</v>
      </c>
      <c r="M2955" s="403" t="s">
        <v>1280</v>
      </c>
      <c r="N2955" s="403">
        <v>2720</v>
      </c>
      <c r="O2955" s="403">
        <v>1528</v>
      </c>
      <c r="P2955" t="str">
        <f t="shared" si="369"/>
        <v>20fps 2720x1530 - copy other stream</v>
      </c>
      <c r="Q2955">
        <f t="shared" si="370"/>
        <v>17</v>
      </c>
      <c r="R2955" t="str">
        <f t="shared" si="371"/>
        <v/>
      </c>
      <c r="S2955" t="str">
        <f t="shared" si="372"/>
        <v/>
      </c>
      <c r="T2955" s="403" t="str">
        <f t="shared" si="373"/>
        <v>NDE-3503-AL</v>
      </c>
      <c r="U2955" s="403">
        <f t="shared" si="374"/>
        <v>1</v>
      </c>
      <c r="V2955" s="403" t="str">
        <f t="shared" si="375"/>
        <v>CPP_7_3</v>
      </c>
    </row>
    <row r="2956" spans="1:22">
      <c r="A2956" t="str">
        <f t="shared" si="368"/>
        <v>NDE-3503-AL</v>
      </c>
      <c r="B2956" s="403" t="s">
        <v>1405</v>
      </c>
      <c r="C2956" s="403" t="s">
        <v>582</v>
      </c>
      <c r="D2956" s="403" t="s">
        <v>1407</v>
      </c>
      <c r="E2956" s="403" t="s">
        <v>778</v>
      </c>
      <c r="F2956" s="403" t="s">
        <v>1375</v>
      </c>
      <c r="G2956" s="403" t="s">
        <v>1466</v>
      </c>
      <c r="H2956" s="403" t="s">
        <v>1281</v>
      </c>
      <c r="I2956" s="403">
        <v>1</v>
      </c>
      <c r="J2956" s="403" t="s">
        <v>1374</v>
      </c>
      <c r="K2956" s="403">
        <v>2304</v>
      </c>
      <c r="L2956" s="403">
        <v>1296</v>
      </c>
      <c r="M2956" s="403" t="s">
        <v>109</v>
      </c>
      <c r="N2956" s="403">
        <v>1280</v>
      </c>
      <c r="O2956" s="403">
        <v>720</v>
      </c>
      <c r="P2956" t="str">
        <f t="shared" si="369"/>
        <v>20fps 2304x1296 - 720p</v>
      </c>
      <c r="Q2956">
        <f t="shared" si="370"/>
        <v>17</v>
      </c>
      <c r="R2956" t="str">
        <f t="shared" si="371"/>
        <v/>
      </c>
      <c r="S2956" t="str">
        <f t="shared" si="372"/>
        <v/>
      </c>
      <c r="T2956" s="403" t="str">
        <f t="shared" si="373"/>
        <v>NDE-3503-AL</v>
      </c>
      <c r="U2956" s="403">
        <f t="shared" si="374"/>
        <v>1</v>
      </c>
      <c r="V2956" s="403" t="str">
        <f t="shared" si="375"/>
        <v>CPP_7_3</v>
      </c>
    </row>
    <row r="2957" spans="1:22">
      <c r="A2957" t="str">
        <f t="shared" si="368"/>
        <v>NDE-3503-AL</v>
      </c>
      <c r="B2957" s="403" t="s">
        <v>1405</v>
      </c>
      <c r="C2957" s="403" t="s">
        <v>582</v>
      </c>
      <c r="D2957" s="403" t="s">
        <v>1407</v>
      </c>
      <c r="E2957" s="403" t="s">
        <v>778</v>
      </c>
      <c r="F2957" s="403" t="s">
        <v>1375</v>
      </c>
      <c r="G2957" s="403" t="s">
        <v>1466</v>
      </c>
      <c r="H2957" s="403" t="s">
        <v>1281</v>
      </c>
      <c r="I2957" s="403">
        <v>1</v>
      </c>
      <c r="J2957" s="403" t="s">
        <v>1374</v>
      </c>
      <c r="K2957" s="403">
        <v>2304</v>
      </c>
      <c r="L2957" s="403">
        <v>1296</v>
      </c>
      <c r="M2957" s="403" t="s">
        <v>111</v>
      </c>
      <c r="N2957" s="403">
        <v>768</v>
      </c>
      <c r="O2957" s="403">
        <v>432</v>
      </c>
      <c r="P2957" t="str">
        <f t="shared" si="369"/>
        <v>20fps 2304x1296 - SD</v>
      </c>
      <c r="Q2957">
        <f t="shared" si="370"/>
        <v>17</v>
      </c>
      <c r="R2957" t="str">
        <f t="shared" si="371"/>
        <v/>
      </c>
      <c r="S2957" t="str">
        <f t="shared" si="372"/>
        <v/>
      </c>
      <c r="T2957" s="403" t="str">
        <f t="shared" si="373"/>
        <v>NDE-3503-AL</v>
      </c>
      <c r="U2957" s="403">
        <f t="shared" si="374"/>
        <v>1</v>
      </c>
      <c r="V2957" s="403" t="str">
        <f t="shared" si="375"/>
        <v>CPP_7_3</v>
      </c>
    </row>
    <row r="2958" spans="1:22">
      <c r="A2958" t="str">
        <f t="shared" si="368"/>
        <v>NDE-3503-AL</v>
      </c>
      <c r="B2958" s="403" t="s">
        <v>1405</v>
      </c>
      <c r="C2958" s="403" t="s">
        <v>582</v>
      </c>
      <c r="D2958" s="403" t="s">
        <v>1407</v>
      </c>
      <c r="E2958" s="403" t="s">
        <v>778</v>
      </c>
      <c r="F2958" s="403" t="s">
        <v>1375</v>
      </c>
      <c r="G2958" s="403" t="s">
        <v>1466</v>
      </c>
      <c r="H2958" s="403" t="s">
        <v>1281</v>
      </c>
      <c r="I2958" s="403">
        <v>1</v>
      </c>
      <c r="J2958" s="403" t="s">
        <v>1374</v>
      </c>
      <c r="K2958" s="403">
        <v>2304</v>
      </c>
      <c r="L2958" s="403">
        <v>1296</v>
      </c>
      <c r="M2958" s="403" t="s">
        <v>1279</v>
      </c>
      <c r="N2958" s="403">
        <v>768</v>
      </c>
      <c r="O2958" s="403">
        <v>432</v>
      </c>
      <c r="P2958" t="str">
        <f t="shared" si="369"/>
        <v>20fps 2304x1296 - SD ROI PTZ</v>
      </c>
      <c r="Q2958">
        <f t="shared" si="370"/>
        <v>17</v>
      </c>
      <c r="R2958" t="str">
        <f t="shared" si="371"/>
        <v/>
      </c>
      <c r="S2958" t="str">
        <f t="shared" si="372"/>
        <v/>
      </c>
      <c r="T2958" s="403" t="str">
        <f t="shared" si="373"/>
        <v>NDE-3503-AL</v>
      </c>
      <c r="U2958" s="403">
        <f t="shared" si="374"/>
        <v>1</v>
      </c>
      <c r="V2958" s="403" t="str">
        <f t="shared" si="375"/>
        <v>CPP_7_3</v>
      </c>
    </row>
    <row r="2959" spans="1:22">
      <c r="A2959" t="str">
        <f t="shared" si="368"/>
        <v>NDE-3503-AL</v>
      </c>
      <c r="B2959" s="403" t="s">
        <v>1405</v>
      </c>
      <c r="C2959" s="403" t="s">
        <v>582</v>
      </c>
      <c r="D2959" s="403" t="s">
        <v>1407</v>
      </c>
      <c r="E2959" s="403" t="s">
        <v>778</v>
      </c>
      <c r="F2959" s="403" t="s">
        <v>1375</v>
      </c>
      <c r="G2959" s="403" t="s">
        <v>1466</v>
      </c>
      <c r="H2959" s="403" t="s">
        <v>1281</v>
      </c>
      <c r="I2959" s="403">
        <v>1</v>
      </c>
      <c r="J2959" s="403" t="s">
        <v>1374</v>
      </c>
      <c r="K2959" s="403">
        <v>2304</v>
      </c>
      <c r="L2959" s="403">
        <v>1296</v>
      </c>
      <c r="M2959" s="403" t="s">
        <v>1285</v>
      </c>
      <c r="N2959" s="403">
        <v>1280</v>
      </c>
      <c r="O2959" s="403">
        <v>1024</v>
      </c>
      <c r="P2959" t="str">
        <f t="shared" si="369"/>
        <v>20fps 2304x1296 - 1280x1024 5:4 (cropped)</v>
      </c>
      <c r="Q2959">
        <f t="shared" si="370"/>
        <v>17</v>
      </c>
      <c r="R2959" t="str">
        <f t="shared" si="371"/>
        <v/>
      </c>
      <c r="S2959" t="str">
        <f t="shared" si="372"/>
        <v/>
      </c>
      <c r="T2959" s="403" t="str">
        <f t="shared" si="373"/>
        <v>NDE-3503-AL</v>
      </c>
      <c r="U2959" s="403">
        <f t="shared" si="374"/>
        <v>1</v>
      </c>
      <c r="V2959" s="403" t="str">
        <f t="shared" si="375"/>
        <v>CPP_7_3</v>
      </c>
    </row>
    <row r="2960" spans="1:22">
      <c r="A2960" t="str">
        <f t="shared" si="368"/>
        <v>NDE-3503-AL</v>
      </c>
      <c r="B2960" s="403" t="s">
        <v>1405</v>
      </c>
      <c r="C2960" s="403" t="s">
        <v>582</v>
      </c>
      <c r="D2960" s="403" t="s">
        <v>1407</v>
      </c>
      <c r="E2960" s="403" t="s">
        <v>778</v>
      </c>
      <c r="F2960" s="403" t="s">
        <v>1375</v>
      </c>
      <c r="G2960" s="403" t="s">
        <v>1466</v>
      </c>
      <c r="H2960" s="403" t="s">
        <v>1281</v>
      </c>
      <c r="I2960" s="403">
        <v>1</v>
      </c>
      <c r="J2960" s="403" t="s">
        <v>1374</v>
      </c>
      <c r="K2960" s="403">
        <v>2304</v>
      </c>
      <c r="L2960" s="403">
        <v>1296</v>
      </c>
      <c r="M2960" s="403" t="s">
        <v>1283</v>
      </c>
      <c r="N2960" s="403">
        <v>720</v>
      </c>
      <c r="O2960" s="403">
        <v>480</v>
      </c>
      <c r="P2960" t="str">
        <f t="shared" si="369"/>
        <v>20fps 2304x1296 - SD 4CIF resolution 4:3 format (cropped)</v>
      </c>
      <c r="Q2960">
        <f t="shared" si="370"/>
        <v>17</v>
      </c>
      <c r="R2960" t="str">
        <f t="shared" si="371"/>
        <v/>
      </c>
      <c r="S2960" t="str">
        <f t="shared" si="372"/>
        <v/>
      </c>
      <c r="T2960" s="403" t="str">
        <f t="shared" si="373"/>
        <v>NDE-3503-AL</v>
      </c>
      <c r="U2960" s="403">
        <f t="shared" si="374"/>
        <v>1</v>
      </c>
      <c r="V2960" s="403" t="str">
        <f t="shared" si="375"/>
        <v>CPP_7_3</v>
      </c>
    </row>
    <row r="2961" spans="1:22">
      <c r="A2961" t="str">
        <f t="shared" si="368"/>
        <v>NDE-3503-AL</v>
      </c>
      <c r="B2961" s="403" t="s">
        <v>1405</v>
      </c>
      <c r="C2961" s="403" t="s">
        <v>582</v>
      </c>
      <c r="D2961" s="403" t="s">
        <v>1407</v>
      </c>
      <c r="E2961" s="403" t="s">
        <v>778</v>
      </c>
      <c r="F2961" s="403" t="s">
        <v>1375</v>
      </c>
      <c r="G2961" s="403" t="s">
        <v>1466</v>
      </c>
      <c r="H2961" s="403" t="s">
        <v>1281</v>
      </c>
      <c r="I2961" s="403">
        <v>1</v>
      </c>
      <c r="J2961" s="403" t="s">
        <v>1374</v>
      </c>
      <c r="K2961" s="403">
        <v>2304</v>
      </c>
      <c r="L2961" s="403">
        <v>1296</v>
      </c>
      <c r="M2961" s="403" t="s">
        <v>1284</v>
      </c>
      <c r="N2961" s="403">
        <v>640</v>
      </c>
      <c r="O2961" s="403">
        <v>480</v>
      </c>
      <c r="P2961" t="str">
        <f t="shared" si="369"/>
        <v>20fps 2304x1296 - SD VGA (cropped)</v>
      </c>
      <c r="Q2961">
        <f t="shared" si="370"/>
        <v>17</v>
      </c>
      <c r="R2961" t="str">
        <f t="shared" si="371"/>
        <v/>
      </c>
      <c r="S2961" t="str">
        <f t="shared" si="372"/>
        <v/>
      </c>
      <c r="T2961" s="403" t="str">
        <f t="shared" si="373"/>
        <v>NDE-3503-AL</v>
      </c>
      <c r="U2961" s="403">
        <f t="shared" si="374"/>
        <v>1</v>
      </c>
      <c r="V2961" s="403" t="str">
        <f t="shared" si="375"/>
        <v>CPP_7_3</v>
      </c>
    </row>
    <row r="2962" spans="1:22">
      <c r="A2962" t="str">
        <f t="shared" si="368"/>
        <v>NDE-3503-AL</v>
      </c>
      <c r="B2962" s="403" t="s">
        <v>1405</v>
      </c>
      <c r="C2962" s="403" t="s">
        <v>582</v>
      </c>
      <c r="D2962" s="403" t="s">
        <v>1407</v>
      </c>
      <c r="E2962" s="403" t="s">
        <v>778</v>
      </c>
      <c r="F2962" s="403" t="s">
        <v>1375</v>
      </c>
      <c r="G2962" s="403" t="s">
        <v>1466</v>
      </c>
      <c r="H2962" s="403" t="s">
        <v>1281</v>
      </c>
      <c r="I2962" s="403">
        <v>1</v>
      </c>
      <c r="J2962" s="403" t="s">
        <v>1374</v>
      </c>
      <c r="K2962" s="403">
        <v>2304</v>
      </c>
      <c r="L2962" s="403">
        <v>1296</v>
      </c>
      <c r="M2962" s="403" t="s">
        <v>1280</v>
      </c>
      <c r="N2962" s="403">
        <v>2304</v>
      </c>
      <c r="O2962" s="403">
        <v>1296</v>
      </c>
      <c r="P2962" t="str">
        <f t="shared" si="369"/>
        <v>20fps 2304x1296 - copy other stream</v>
      </c>
      <c r="Q2962">
        <f t="shared" si="370"/>
        <v>17</v>
      </c>
      <c r="R2962" t="str">
        <f t="shared" si="371"/>
        <v/>
      </c>
      <c r="S2962" t="str">
        <f t="shared" si="372"/>
        <v/>
      </c>
      <c r="T2962" s="403" t="str">
        <f t="shared" si="373"/>
        <v>NDE-3503-AL</v>
      </c>
      <c r="U2962" s="403">
        <f t="shared" si="374"/>
        <v>1</v>
      </c>
      <c r="V2962" s="403" t="str">
        <f t="shared" si="375"/>
        <v>CPP_7_3</v>
      </c>
    </row>
    <row r="2963" spans="1:22">
      <c r="A2963" t="str">
        <f t="shared" si="368"/>
        <v>NDE-3503-AL</v>
      </c>
      <c r="B2963" s="403" t="s">
        <v>1405</v>
      </c>
      <c r="C2963" s="403" t="s">
        <v>582</v>
      </c>
      <c r="D2963" s="403" t="s">
        <v>1407</v>
      </c>
      <c r="E2963" s="403" t="s">
        <v>778</v>
      </c>
      <c r="F2963" s="403" t="s">
        <v>1375</v>
      </c>
      <c r="G2963" s="403" t="s">
        <v>1466</v>
      </c>
      <c r="H2963" s="403" t="s">
        <v>1281</v>
      </c>
      <c r="I2963" s="403">
        <v>1</v>
      </c>
      <c r="J2963" s="403" t="s">
        <v>110</v>
      </c>
      <c r="K2963" s="403">
        <v>1920</v>
      </c>
      <c r="L2963" s="403">
        <v>1080</v>
      </c>
      <c r="M2963" s="403" t="s">
        <v>111</v>
      </c>
      <c r="N2963" s="403">
        <v>768</v>
      </c>
      <c r="O2963" s="403">
        <v>432</v>
      </c>
      <c r="P2963" t="str">
        <f t="shared" si="369"/>
        <v>20fps 1080p - SD</v>
      </c>
      <c r="Q2963">
        <f t="shared" si="370"/>
        <v>17</v>
      </c>
      <c r="R2963" t="str">
        <f t="shared" si="371"/>
        <v/>
      </c>
      <c r="S2963" t="str">
        <f t="shared" si="372"/>
        <v/>
      </c>
      <c r="T2963" s="403" t="str">
        <f t="shared" si="373"/>
        <v>NDE-3503-AL</v>
      </c>
      <c r="U2963" s="403">
        <f t="shared" si="374"/>
        <v>1</v>
      </c>
      <c r="V2963" s="403" t="str">
        <f t="shared" si="375"/>
        <v>CPP_7_3</v>
      </c>
    </row>
    <row r="2964" spans="1:22">
      <c r="A2964" t="str">
        <f t="shared" si="368"/>
        <v>NDE-3503-AL</v>
      </c>
      <c r="B2964" s="403" t="s">
        <v>1405</v>
      </c>
      <c r="C2964" s="403" t="s">
        <v>582</v>
      </c>
      <c r="D2964" s="403" t="s">
        <v>1407</v>
      </c>
      <c r="E2964" s="403" t="s">
        <v>778</v>
      </c>
      <c r="F2964" s="403" t="s">
        <v>1375</v>
      </c>
      <c r="G2964" s="403" t="s">
        <v>1466</v>
      </c>
      <c r="H2964" s="403" t="s">
        <v>1281</v>
      </c>
      <c r="I2964" s="403">
        <v>1</v>
      </c>
      <c r="J2964" s="403" t="s">
        <v>110</v>
      </c>
      <c r="K2964" s="403">
        <v>1920</v>
      </c>
      <c r="L2964" s="403">
        <v>1080</v>
      </c>
      <c r="M2964" s="403" t="s">
        <v>110</v>
      </c>
      <c r="N2964" s="403">
        <v>1920</v>
      </c>
      <c r="O2964" s="403">
        <v>1080</v>
      </c>
      <c r="P2964" t="str">
        <f t="shared" si="369"/>
        <v>20fps 1080p - 1080p</v>
      </c>
      <c r="Q2964">
        <f t="shared" si="370"/>
        <v>17</v>
      </c>
      <c r="R2964" t="str">
        <f t="shared" si="371"/>
        <v/>
      </c>
      <c r="S2964" t="str">
        <f t="shared" si="372"/>
        <v/>
      </c>
      <c r="T2964" s="403" t="str">
        <f t="shared" si="373"/>
        <v>NDE-3503-AL</v>
      </c>
      <c r="U2964" s="403">
        <f t="shared" si="374"/>
        <v>1</v>
      </c>
      <c r="V2964" s="403" t="str">
        <f t="shared" si="375"/>
        <v>CPP_7_3</v>
      </c>
    </row>
    <row r="2965" spans="1:22">
      <c r="A2965" t="str">
        <f t="shared" si="368"/>
        <v>NDE-3503-AL</v>
      </c>
      <c r="B2965" s="403" t="s">
        <v>1405</v>
      </c>
      <c r="C2965" s="403" t="s">
        <v>582</v>
      </c>
      <c r="D2965" s="403" t="s">
        <v>1407</v>
      </c>
      <c r="E2965" s="403" t="s">
        <v>778</v>
      </c>
      <c r="F2965" s="403" t="s">
        <v>1375</v>
      </c>
      <c r="G2965" s="403" t="s">
        <v>1466</v>
      </c>
      <c r="H2965" s="403" t="s">
        <v>1281</v>
      </c>
      <c r="I2965" s="403">
        <v>1</v>
      </c>
      <c r="J2965" s="403" t="s">
        <v>110</v>
      </c>
      <c r="K2965" s="403">
        <v>1920</v>
      </c>
      <c r="L2965" s="403">
        <v>1080</v>
      </c>
      <c r="M2965" s="403" t="s">
        <v>109</v>
      </c>
      <c r="N2965" s="403">
        <v>1280</v>
      </c>
      <c r="O2965" s="403">
        <v>720</v>
      </c>
      <c r="P2965" t="str">
        <f t="shared" si="369"/>
        <v>20fps 1080p - 720p</v>
      </c>
      <c r="Q2965">
        <f t="shared" si="370"/>
        <v>17</v>
      </c>
      <c r="R2965" t="str">
        <f t="shared" si="371"/>
        <v/>
      </c>
      <c r="S2965" t="str">
        <f t="shared" si="372"/>
        <v/>
      </c>
      <c r="T2965" s="403" t="str">
        <f t="shared" si="373"/>
        <v>NDE-3503-AL</v>
      </c>
      <c r="U2965" s="403">
        <f t="shared" si="374"/>
        <v>1</v>
      </c>
      <c r="V2965" s="403" t="str">
        <f t="shared" si="375"/>
        <v>CPP_7_3</v>
      </c>
    </row>
    <row r="2966" spans="1:22">
      <c r="A2966" t="str">
        <f t="shared" si="368"/>
        <v>NDE-3503-AL</v>
      </c>
      <c r="B2966" s="403" t="s">
        <v>1405</v>
      </c>
      <c r="C2966" s="403" t="s">
        <v>582</v>
      </c>
      <c r="D2966" s="403" t="s">
        <v>1407</v>
      </c>
      <c r="E2966" s="403" t="s">
        <v>778</v>
      </c>
      <c r="F2966" s="403" t="s">
        <v>1375</v>
      </c>
      <c r="G2966" s="403" t="s">
        <v>1466</v>
      </c>
      <c r="H2966" s="403" t="s">
        <v>1281</v>
      </c>
      <c r="I2966" s="403">
        <v>1</v>
      </c>
      <c r="J2966" s="403" t="s">
        <v>110</v>
      </c>
      <c r="K2966" s="403">
        <v>1920</v>
      </c>
      <c r="L2966" s="403">
        <v>1080</v>
      </c>
      <c r="M2966" s="403" t="s">
        <v>1285</v>
      </c>
      <c r="N2966" s="403">
        <v>1280</v>
      </c>
      <c r="O2966" s="403">
        <v>1024</v>
      </c>
      <c r="P2966" t="str">
        <f t="shared" si="369"/>
        <v>20fps 1080p - 1280x1024 5:4 (cropped)</v>
      </c>
      <c r="Q2966">
        <f t="shared" si="370"/>
        <v>17</v>
      </c>
      <c r="R2966" t="str">
        <f t="shared" si="371"/>
        <v/>
      </c>
      <c r="S2966" t="str">
        <f t="shared" si="372"/>
        <v/>
      </c>
      <c r="T2966" s="403" t="str">
        <f t="shared" si="373"/>
        <v>NDE-3503-AL</v>
      </c>
      <c r="U2966" s="403">
        <f t="shared" si="374"/>
        <v>1</v>
      </c>
      <c r="V2966" s="403" t="str">
        <f t="shared" si="375"/>
        <v>CPP_7_3</v>
      </c>
    </row>
    <row r="2967" spans="1:22">
      <c r="A2967" t="str">
        <f t="shared" si="368"/>
        <v>NDE-3503-AL</v>
      </c>
      <c r="B2967" s="403" t="s">
        <v>1405</v>
      </c>
      <c r="C2967" s="403" t="s">
        <v>582</v>
      </c>
      <c r="D2967" s="403" t="s">
        <v>1407</v>
      </c>
      <c r="E2967" s="403" t="s">
        <v>778</v>
      </c>
      <c r="F2967" s="403" t="s">
        <v>1375</v>
      </c>
      <c r="G2967" s="403" t="s">
        <v>1466</v>
      </c>
      <c r="H2967" s="403" t="s">
        <v>1281</v>
      </c>
      <c r="I2967" s="403">
        <v>1</v>
      </c>
      <c r="J2967" s="403" t="s">
        <v>110</v>
      </c>
      <c r="K2967" s="403">
        <v>1920</v>
      </c>
      <c r="L2967" s="403">
        <v>1080</v>
      </c>
      <c r="M2967" s="403" t="s">
        <v>1279</v>
      </c>
      <c r="N2967" s="403">
        <v>768</v>
      </c>
      <c r="O2967" s="403">
        <v>432</v>
      </c>
      <c r="P2967" t="str">
        <f t="shared" si="369"/>
        <v>20fps 1080p - SD ROI PTZ</v>
      </c>
      <c r="Q2967">
        <f t="shared" si="370"/>
        <v>17</v>
      </c>
      <c r="R2967" t="str">
        <f t="shared" si="371"/>
        <v/>
      </c>
      <c r="S2967" t="str">
        <f t="shared" si="372"/>
        <v/>
      </c>
      <c r="T2967" s="403" t="str">
        <f t="shared" si="373"/>
        <v>NDE-3503-AL</v>
      </c>
      <c r="U2967" s="403">
        <f t="shared" si="374"/>
        <v>1</v>
      </c>
      <c r="V2967" s="403" t="str">
        <f t="shared" si="375"/>
        <v>CPP_7_3</v>
      </c>
    </row>
    <row r="2968" spans="1:22">
      <c r="A2968" t="str">
        <f t="shared" si="368"/>
        <v>NDE-3503-AL</v>
      </c>
      <c r="B2968" s="403" t="s">
        <v>1405</v>
      </c>
      <c r="C2968" s="403" t="s">
        <v>582</v>
      </c>
      <c r="D2968" s="403" t="s">
        <v>1407</v>
      </c>
      <c r="E2968" s="403" t="s">
        <v>778</v>
      </c>
      <c r="F2968" s="403" t="s">
        <v>1375</v>
      </c>
      <c r="G2968" s="403" t="s">
        <v>1466</v>
      </c>
      <c r="H2968" s="403" t="s">
        <v>1281</v>
      </c>
      <c r="I2968" s="403">
        <v>1</v>
      </c>
      <c r="J2968" s="403" t="s">
        <v>110</v>
      </c>
      <c r="K2968" s="403">
        <v>1920</v>
      </c>
      <c r="L2968" s="403">
        <v>1080</v>
      </c>
      <c r="M2968" s="403" t="s">
        <v>1283</v>
      </c>
      <c r="N2968" s="403">
        <v>720</v>
      </c>
      <c r="O2968" s="403">
        <v>480</v>
      </c>
      <c r="P2968" t="str">
        <f t="shared" si="369"/>
        <v>20fps 1080p - SD 4CIF resolution 4:3 format (cropped)</v>
      </c>
      <c r="Q2968">
        <f t="shared" si="370"/>
        <v>17</v>
      </c>
      <c r="R2968" t="str">
        <f t="shared" si="371"/>
        <v/>
      </c>
      <c r="S2968" t="str">
        <f t="shared" si="372"/>
        <v/>
      </c>
      <c r="T2968" s="403" t="str">
        <f t="shared" si="373"/>
        <v>NDE-3503-AL</v>
      </c>
      <c r="U2968" s="403">
        <f t="shared" si="374"/>
        <v>1</v>
      </c>
      <c r="V2968" s="403" t="str">
        <f t="shared" si="375"/>
        <v>CPP_7_3</v>
      </c>
    </row>
    <row r="2969" spans="1:22">
      <c r="A2969" t="str">
        <f t="shared" si="368"/>
        <v>NDE-3503-AL</v>
      </c>
      <c r="B2969" s="403" t="s">
        <v>1405</v>
      </c>
      <c r="C2969" s="403" t="s">
        <v>582</v>
      </c>
      <c r="D2969" s="403" t="s">
        <v>1407</v>
      </c>
      <c r="E2969" s="403" t="s">
        <v>778</v>
      </c>
      <c r="F2969" s="403" t="s">
        <v>1375</v>
      </c>
      <c r="G2969" s="403" t="s">
        <v>1466</v>
      </c>
      <c r="H2969" s="403" t="s">
        <v>1281</v>
      </c>
      <c r="I2969" s="403">
        <v>1</v>
      </c>
      <c r="J2969" s="403" t="s">
        <v>110</v>
      </c>
      <c r="K2969" s="403">
        <v>1920</v>
      </c>
      <c r="L2969" s="403">
        <v>1080</v>
      </c>
      <c r="M2969" s="403" t="s">
        <v>1284</v>
      </c>
      <c r="N2969" s="403">
        <v>640</v>
      </c>
      <c r="O2969" s="403">
        <v>480</v>
      </c>
      <c r="P2969" t="str">
        <f t="shared" si="369"/>
        <v>20fps 1080p - SD VGA (cropped)</v>
      </c>
      <c r="Q2969">
        <f t="shared" si="370"/>
        <v>17</v>
      </c>
      <c r="R2969" t="str">
        <f t="shared" si="371"/>
        <v/>
      </c>
      <c r="S2969" t="str">
        <f t="shared" si="372"/>
        <v/>
      </c>
      <c r="T2969" s="403" t="str">
        <f t="shared" si="373"/>
        <v>NDE-3503-AL</v>
      </c>
      <c r="U2969" s="403">
        <f t="shared" si="374"/>
        <v>1</v>
      </c>
      <c r="V2969" s="403" t="str">
        <f t="shared" si="375"/>
        <v>CPP_7_3</v>
      </c>
    </row>
    <row r="2970" spans="1:22">
      <c r="A2970" t="str">
        <f t="shared" si="368"/>
        <v>NDE-3503-AL</v>
      </c>
      <c r="B2970" s="403" t="s">
        <v>1405</v>
      </c>
      <c r="C2970" s="403" t="s">
        <v>582</v>
      </c>
      <c r="D2970" s="403" t="s">
        <v>1407</v>
      </c>
      <c r="E2970" s="403" t="s">
        <v>778</v>
      </c>
      <c r="F2970" s="403" t="s">
        <v>1375</v>
      </c>
      <c r="G2970" s="403" t="s">
        <v>1466</v>
      </c>
      <c r="H2970" s="403" t="s">
        <v>1281</v>
      </c>
      <c r="I2970" s="403">
        <v>1</v>
      </c>
      <c r="J2970" s="403" t="s">
        <v>109</v>
      </c>
      <c r="K2970" s="403">
        <v>1280</v>
      </c>
      <c r="L2970" s="403">
        <v>720</v>
      </c>
      <c r="M2970" s="403" t="s">
        <v>109</v>
      </c>
      <c r="N2970" s="403">
        <v>1280</v>
      </c>
      <c r="O2970" s="403">
        <v>720</v>
      </c>
      <c r="P2970" t="str">
        <f t="shared" si="369"/>
        <v>20fps 720p - 720p</v>
      </c>
      <c r="Q2970">
        <f t="shared" si="370"/>
        <v>17</v>
      </c>
      <c r="R2970" t="str">
        <f t="shared" si="371"/>
        <v/>
      </c>
      <c r="S2970" t="str">
        <f t="shared" si="372"/>
        <v/>
      </c>
      <c r="T2970" s="403" t="str">
        <f t="shared" si="373"/>
        <v>NDE-3503-AL</v>
      </c>
      <c r="U2970" s="403">
        <f t="shared" si="374"/>
        <v>1</v>
      </c>
      <c r="V2970" s="403" t="str">
        <f t="shared" si="375"/>
        <v>CPP_7_3</v>
      </c>
    </row>
    <row r="2971" spans="1:22">
      <c r="A2971" t="str">
        <f t="shared" si="368"/>
        <v>NDE-3503-AL</v>
      </c>
      <c r="B2971" s="403" t="s">
        <v>1405</v>
      </c>
      <c r="C2971" s="403" t="s">
        <v>582</v>
      </c>
      <c r="D2971" s="403" t="s">
        <v>1407</v>
      </c>
      <c r="E2971" s="403" t="s">
        <v>778</v>
      </c>
      <c r="F2971" s="403" t="s">
        <v>1375</v>
      </c>
      <c r="G2971" s="403" t="s">
        <v>1466</v>
      </c>
      <c r="H2971" s="403" t="s">
        <v>1281</v>
      </c>
      <c r="I2971" s="403">
        <v>1</v>
      </c>
      <c r="J2971" s="403" t="s">
        <v>109</v>
      </c>
      <c r="K2971" s="403">
        <v>1280</v>
      </c>
      <c r="L2971" s="403">
        <v>720</v>
      </c>
      <c r="M2971" s="403" t="s">
        <v>111</v>
      </c>
      <c r="N2971" s="403">
        <v>768</v>
      </c>
      <c r="O2971" s="403">
        <v>432</v>
      </c>
      <c r="P2971" t="str">
        <f t="shared" si="369"/>
        <v>20fps 720p - SD</v>
      </c>
      <c r="Q2971">
        <f t="shared" si="370"/>
        <v>17</v>
      </c>
      <c r="R2971" t="str">
        <f t="shared" si="371"/>
        <v/>
      </c>
      <c r="S2971" t="str">
        <f t="shared" si="372"/>
        <v/>
      </c>
      <c r="T2971" s="403" t="str">
        <f t="shared" si="373"/>
        <v>NDE-3503-AL</v>
      </c>
      <c r="U2971" s="403">
        <f t="shared" si="374"/>
        <v>1</v>
      </c>
      <c r="V2971" s="403" t="str">
        <f t="shared" si="375"/>
        <v>CPP_7_3</v>
      </c>
    </row>
    <row r="2972" spans="1:22">
      <c r="A2972" t="str">
        <f t="shared" si="368"/>
        <v>NDE-3503-AL</v>
      </c>
      <c r="B2972" s="403" t="s">
        <v>1405</v>
      </c>
      <c r="C2972" s="403" t="s">
        <v>582</v>
      </c>
      <c r="D2972" s="403" t="s">
        <v>1407</v>
      </c>
      <c r="E2972" s="403" t="s">
        <v>778</v>
      </c>
      <c r="F2972" s="403" t="s">
        <v>1375</v>
      </c>
      <c r="G2972" s="403" t="s">
        <v>1466</v>
      </c>
      <c r="H2972" s="403" t="s">
        <v>1281</v>
      </c>
      <c r="I2972" s="403">
        <v>1</v>
      </c>
      <c r="J2972" s="403" t="s">
        <v>109</v>
      </c>
      <c r="K2972" s="403">
        <v>1280</v>
      </c>
      <c r="L2972" s="403">
        <v>720</v>
      </c>
      <c r="M2972" s="403" t="s">
        <v>1279</v>
      </c>
      <c r="N2972" s="403">
        <v>768</v>
      </c>
      <c r="O2972" s="403">
        <v>432</v>
      </c>
      <c r="P2972" t="str">
        <f t="shared" si="369"/>
        <v>20fps 720p - SD ROI PTZ</v>
      </c>
      <c r="Q2972">
        <f t="shared" si="370"/>
        <v>17</v>
      </c>
      <c r="R2972" t="str">
        <f t="shared" si="371"/>
        <v/>
      </c>
      <c r="S2972" t="str">
        <f t="shared" si="372"/>
        <v/>
      </c>
      <c r="T2972" s="403" t="str">
        <f t="shared" si="373"/>
        <v>NDE-3503-AL</v>
      </c>
      <c r="U2972" s="403">
        <f t="shared" si="374"/>
        <v>1</v>
      </c>
      <c r="V2972" s="403" t="str">
        <f t="shared" si="375"/>
        <v>CPP_7_3</v>
      </c>
    </row>
    <row r="2973" spans="1:22">
      <c r="A2973" t="str">
        <f t="shared" si="368"/>
        <v>NDE-3503-AL</v>
      </c>
      <c r="B2973" s="403" t="s">
        <v>1405</v>
      </c>
      <c r="C2973" s="403" t="s">
        <v>582</v>
      </c>
      <c r="D2973" s="403" t="s">
        <v>1407</v>
      </c>
      <c r="E2973" s="403" t="s">
        <v>778</v>
      </c>
      <c r="F2973" s="403" t="s">
        <v>1375</v>
      </c>
      <c r="G2973" s="403" t="s">
        <v>1466</v>
      </c>
      <c r="H2973" s="403" t="s">
        <v>1281</v>
      </c>
      <c r="I2973" s="403">
        <v>1</v>
      </c>
      <c r="J2973" s="403" t="s">
        <v>109</v>
      </c>
      <c r="K2973" s="403">
        <v>1280</v>
      </c>
      <c r="L2973" s="403">
        <v>720</v>
      </c>
      <c r="M2973" s="403" t="s">
        <v>1283</v>
      </c>
      <c r="N2973" s="403">
        <v>720</v>
      </c>
      <c r="O2973" s="403">
        <v>480</v>
      </c>
      <c r="P2973" t="str">
        <f t="shared" si="369"/>
        <v>20fps 720p - SD 4CIF resolution 4:3 format (cropped)</v>
      </c>
      <c r="Q2973">
        <f t="shared" si="370"/>
        <v>17</v>
      </c>
      <c r="R2973" t="str">
        <f t="shared" si="371"/>
        <v/>
      </c>
      <c r="S2973" t="str">
        <f t="shared" si="372"/>
        <v/>
      </c>
      <c r="T2973" s="403" t="str">
        <f t="shared" si="373"/>
        <v>NDE-3503-AL</v>
      </c>
      <c r="U2973" s="403">
        <f t="shared" si="374"/>
        <v>1</v>
      </c>
      <c r="V2973" s="403" t="str">
        <f t="shared" si="375"/>
        <v>CPP_7_3</v>
      </c>
    </row>
    <row r="2974" spans="1:22">
      <c r="A2974" t="str">
        <f t="shared" si="368"/>
        <v>NDE-3503-AL</v>
      </c>
      <c r="B2974" s="403" t="s">
        <v>1405</v>
      </c>
      <c r="C2974" s="403" t="s">
        <v>582</v>
      </c>
      <c r="D2974" s="403" t="s">
        <v>1407</v>
      </c>
      <c r="E2974" s="403" t="s">
        <v>778</v>
      </c>
      <c r="F2974" s="403" t="s">
        <v>1375</v>
      </c>
      <c r="G2974" s="403" t="s">
        <v>1466</v>
      </c>
      <c r="H2974" s="403" t="s">
        <v>1281</v>
      </c>
      <c r="I2974" s="403">
        <v>1</v>
      </c>
      <c r="J2974" s="403" t="s">
        <v>109</v>
      </c>
      <c r="K2974" s="403">
        <v>1280</v>
      </c>
      <c r="L2974" s="403">
        <v>720</v>
      </c>
      <c r="M2974" s="403" t="s">
        <v>1284</v>
      </c>
      <c r="N2974" s="403">
        <v>640</v>
      </c>
      <c r="O2974" s="403">
        <v>480</v>
      </c>
      <c r="P2974" t="str">
        <f t="shared" si="369"/>
        <v>20fps 720p - SD VGA (cropped)</v>
      </c>
      <c r="Q2974">
        <f t="shared" si="370"/>
        <v>17</v>
      </c>
      <c r="R2974" t="str">
        <f t="shared" si="371"/>
        <v/>
      </c>
      <c r="S2974" t="str">
        <f t="shared" si="372"/>
        <v/>
      </c>
      <c r="T2974" s="403" t="str">
        <f t="shared" si="373"/>
        <v>NDE-3503-AL</v>
      </c>
      <c r="U2974" s="403">
        <f t="shared" si="374"/>
        <v>1</v>
      </c>
      <c r="V2974" s="403" t="str">
        <f t="shared" si="375"/>
        <v>CPP_7_3</v>
      </c>
    </row>
    <row r="2975" spans="1:22">
      <c r="A2975" t="str">
        <f t="shared" si="368"/>
        <v>NDE-3503-AL</v>
      </c>
      <c r="B2975" s="403" t="s">
        <v>1405</v>
      </c>
      <c r="C2975" s="403" t="s">
        <v>582</v>
      </c>
      <c r="D2975" s="403" t="s">
        <v>1407</v>
      </c>
      <c r="E2975" s="403" t="s">
        <v>778</v>
      </c>
      <c r="F2975" s="403" t="s">
        <v>1375</v>
      </c>
      <c r="G2975" s="403" t="s">
        <v>1467</v>
      </c>
      <c r="H2975" s="403" t="s">
        <v>1276</v>
      </c>
      <c r="I2975" s="403">
        <v>1</v>
      </c>
      <c r="J2975" s="403" t="s">
        <v>1377</v>
      </c>
      <c r="K2975" s="403">
        <v>1528</v>
      </c>
      <c r="L2975" s="403">
        <v>2720</v>
      </c>
      <c r="M2975" s="403" t="s">
        <v>1280</v>
      </c>
      <c r="N2975" s="403">
        <v>1528</v>
      </c>
      <c r="O2975" s="403">
        <v>2720</v>
      </c>
      <c r="P2975" t="str">
        <f t="shared" si="369"/>
        <v>20fps 2720x1530 - copy other stream</v>
      </c>
      <c r="Q2975">
        <f t="shared" si="370"/>
        <v>17</v>
      </c>
      <c r="R2975" t="str">
        <f t="shared" si="371"/>
        <v/>
      </c>
      <c r="S2975" t="str">
        <f t="shared" si="372"/>
        <v/>
      </c>
      <c r="T2975" s="403" t="str">
        <f t="shared" si="373"/>
        <v>NDE-3503-AL</v>
      </c>
      <c r="U2975" s="403">
        <f t="shared" si="374"/>
        <v>1</v>
      </c>
      <c r="V2975" s="403" t="str">
        <f t="shared" si="375"/>
        <v>CPP_7_3</v>
      </c>
    </row>
    <row r="2976" spans="1:22">
      <c r="A2976" t="str">
        <f t="shared" si="368"/>
        <v>NDE-3503-AL</v>
      </c>
      <c r="B2976" s="403" t="s">
        <v>1405</v>
      </c>
      <c r="C2976" s="403" t="s">
        <v>582</v>
      </c>
      <c r="D2976" s="403" t="s">
        <v>1407</v>
      </c>
      <c r="E2976" s="403" t="s">
        <v>778</v>
      </c>
      <c r="F2976" s="403" t="s">
        <v>1375</v>
      </c>
      <c r="G2976" s="403" t="s">
        <v>1467</v>
      </c>
      <c r="H2976" s="403" t="s">
        <v>1276</v>
      </c>
      <c r="I2976" s="403">
        <v>1</v>
      </c>
      <c r="J2976" s="403" t="s">
        <v>1374</v>
      </c>
      <c r="K2976" s="403">
        <v>1296</v>
      </c>
      <c r="L2976" s="403">
        <v>2304</v>
      </c>
      <c r="M2976" s="403" t="s">
        <v>109</v>
      </c>
      <c r="N2976" s="403">
        <v>720</v>
      </c>
      <c r="O2976" s="403">
        <v>1280</v>
      </c>
      <c r="P2976" t="str">
        <f t="shared" si="369"/>
        <v>20fps 2304x1296 - 720p</v>
      </c>
      <c r="Q2976">
        <f t="shared" si="370"/>
        <v>17</v>
      </c>
      <c r="R2976" t="str">
        <f t="shared" si="371"/>
        <v/>
      </c>
      <c r="S2976" t="str">
        <f t="shared" si="372"/>
        <v/>
      </c>
      <c r="T2976" s="403" t="str">
        <f t="shared" si="373"/>
        <v>NDE-3503-AL</v>
      </c>
      <c r="U2976" s="403">
        <f t="shared" si="374"/>
        <v>1</v>
      </c>
      <c r="V2976" s="403" t="str">
        <f t="shared" si="375"/>
        <v>CPP_7_3</v>
      </c>
    </row>
    <row r="2977" spans="1:22">
      <c r="A2977" t="str">
        <f t="shared" si="368"/>
        <v>NDE-3503-AL</v>
      </c>
      <c r="B2977" s="403" t="s">
        <v>1405</v>
      </c>
      <c r="C2977" s="403" t="s">
        <v>582</v>
      </c>
      <c r="D2977" s="403" t="s">
        <v>1407</v>
      </c>
      <c r="E2977" s="403" t="s">
        <v>778</v>
      </c>
      <c r="F2977" s="403" t="s">
        <v>1375</v>
      </c>
      <c r="G2977" s="403" t="s">
        <v>1467</v>
      </c>
      <c r="H2977" s="403" t="s">
        <v>1276</v>
      </c>
      <c r="I2977" s="403">
        <v>1</v>
      </c>
      <c r="J2977" s="403" t="s">
        <v>1374</v>
      </c>
      <c r="K2977" s="403">
        <v>1296</v>
      </c>
      <c r="L2977" s="403">
        <v>2304</v>
      </c>
      <c r="M2977" s="403" t="s">
        <v>111</v>
      </c>
      <c r="N2977" s="403">
        <v>432</v>
      </c>
      <c r="O2977" s="403">
        <v>768</v>
      </c>
      <c r="P2977" t="str">
        <f t="shared" si="369"/>
        <v>20fps 2304x1296 - SD</v>
      </c>
      <c r="Q2977">
        <f t="shared" si="370"/>
        <v>17</v>
      </c>
      <c r="R2977" t="str">
        <f t="shared" si="371"/>
        <v/>
      </c>
      <c r="S2977" t="str">
        <f t="shared" si="372"/>
        <v/>
      </c>
      <c r="T2977" s="403" t="str">
        <f t="shared" si="373"/>
        <v>NDE-3503-AL</v>
      </c>
      <c r="U2977" s="403">
        <f t="shared" si="374"/>
        <v>1</v>
      </c>
      <c r="V2977" s="403" t="str">
        <f t="shared" si="375"/>
        <v>CPP_7_3</v>
      </c>
    </row>
    <row r="2978" spans="1:22">
      <c r="A2978" t="str">
        <f t="shared" si="368"/>
        <v>NDE-3503-AL</v>
      </c>
      <c r="B2978" s="403" t="s">
        <v>1405</v>
      </c>
      <c r="C2978" s="403" t="s">
        <v>582</v>
      </c>
      <c r="D2978" s="403" t="s">
        <v>1407</v>
      </c>
      <c r="E2978" s="403" t="s">
        <v>778</v>
      </c>
      <c r="F2978" s="403" t="s">
        <v>1375</v>
      </c>
      <c r="G2978" s="403" t="s">
        <v>1467</v>
      </c>
      <c r="H2978" s="403" t="s">
        <v>1276</v>
      </c>
      <c r="I2978" s="403">
        <v>1</v>
      </c>
      <c r="J2978" s="403" t="s">
        <v>1374</v>
      </c>
      <c r="K2978" s="403">
        <v>1296</v>
      </c>
      <c r="L2978" s="403">
        <v>2304</v>
      </c>
      <c r="M2978" s="403" t="s">
        <v>1279</v>
      </c>
      <c r="N2978" s="403">
        <v>432</v>
      </c>
      <c r="O2978" s="403">
        <v>768</v>
      </c>
      <c r="P2978" t="str">
        <f t="shared" si="369"/>
        <v>20fps 2304x1296 - SD ROI PTZ</v>
      </c>
      <c r="Q2978">
        <f t="shared" si="370"/>
        <v>17</v>
      </c>
      <c r="R2978" t="str">
        <f t="shared" si="371"/>
        <v/>
      </c>
      <c r="S2978" t="str">
        <f t="shared" si="372"/>
        <v/>
      </c>
      <c r="T2978" s="403" t="str">
        <f t="shared" si="373"/>
        <v>NDE-3503-AL</v>
      </c>
      <c r="U2978" s="403">
        <f t="shared" si="374"/>
        <v>1</v>
      </c>
      <c r="V2978" s="403" t="str">
        <f t="shared" si="375"/>
        <v>CPP_7_3</v>
      </c>
    </row>
    <row r="2979" spans="1:22">
      <c r="A2979" t="str">
        <f t="shared" si="368"/>
        <v>NDE-3503-AL</v>
      </c>
      <c r="B2979" s="403" t="s">
        <v>1405</v>
      </c>
      <c r="C2979" s="403" t="s">
        <v>582</v>
      </c>
      <c r="D2979" s="403" t="s">
        <v>1407</v>
      </c>
      <c r="E2979" s="403" t="s">
        <v>778</v>
      </c>
      <c r="F2979" s="403" t="s">
        <v>1375</v>
      </c>
      <c r="G2979" s="403" t="s">
        <v>1467</v>
      </c>
      <c r="H2979" s="403" t="s">
        <v>1276</v>
      </c>
      <c r="I2979" s="403">
        <v>1</v>
      </c>
      <c r="J2979" s="403" t="s">
        <v>1374</v>
      </c>
      <c r="K2979" s="403">
        <v>1296</v>
      </c>
      <c r="L2979" s="403">
        <v>2304</v>
      </c>
      <c r="M2979" s="403" t="s">
        <v>1285</v>
      </c>
      <c r="N2979" s="403">
        <v>1024</v>
      </c>
      <c r="O2979" s="403">
        <v>1280</v>
      </c>
      <c r="P2979" t="str">
        <f t="shared" si="369"/>
        <v>20fps 2304x1296 - 1280x1024 5:4 (cropped)</v>
      </c>
      <c r="Q2979">
        <f t="shared" si="370"/>
        <v>17</v>
      </c>
      <c r="R2979" t="str">
        <f t="shared" si="371"/>
        <v/>
      </c>
      <c r="S2979" t="str">
        <f t="shared" si="372"/>
        <v/>
      </c>
      <c r="T2979" s="403" t="str">
        <f t="shared" si="373"/>
        <v>NDE-3503-AL</v>
      </c>
      <c r="U2979" s="403">
        <f t="shared" si="374"/>
        <v>1</v>
      </c>
      <c r="V2979" s="403" t="str">
        <f t="shared" si="375"/>
        <v>CPP_7_3</v>
      </c>
    </row>
    <row r="2980" spans="1:22">
      <c r="A2980" t="str">
        <f t="shared" si="368"/>
        <v>NDE-3503-AL</v>
      </c>
      <c r="B2980" s="403" t="s">
        <v>1405</v>
      </c>
      <c r="C2980" s="403" t="s">
        <v>582</v>
      </c>
      <c r="D2980" s="403" t="s">
        <v>1407</v>
      </c>
      <c r="E2980" s="403" t="s">
        <v>778</v>
      </c>
      <c r="F2980" s="403" t="s">
        <v>1375</v>
      </c>
      <c r="G2980" s="403" t="s">
        <v>1467</v>
      </c>
      <c r="H2980" s="403" t="s">
        <v>1276</v>
      </c>
      <c r="I2980" s="403">
        <v>1</v>
      </c>
      <c r="J2980" s="403" t="s">
        <v>1374</v>
      </c>
      <c r="K2980" s="403">
        <v>1296</v>
      </c>
      <c r="L2980" s="403">
        <v>2304</v>
      </c>
      <c r="M2980" s="403" t="s">
        <v>1283</v>
      </c>
      <c r="N2980" s="403">
        <v>480</v>
      </c>
      <c r="O2980" s="403">
        <v>720</v>
      </c>
      <c r="P2980" t="str">
        <f t="shared" si="369"/>
        <v>20fps 2304x1296 - SD 4CIF resolution 4:3 format (cropped)</v>
      </c>
      <c r="Q2980">
        <f t="shared" si="370"/>
        <v>17</v>
      </c>
      <c r="R2980" t="str">
        <f t="shared" si="371"/>
        <v/>
      </c>
      <c r="S2980" t="str">
        <f t="shared" si="372"/>
        <v/>
      </c>
      <c r="T2980" s="403" t="str">
        <f t="shared" si="373"/>
        <v>NDE-3503-AL</v>
      </c>
      <c r="U2980" s="403">
        <f t="shared" si="374"/>
        <v>1</v>
      </c>
      <c r="V2980" s="403" t="str">
        <f t="shared" si="375"/>
        <v>CPP_7_3</v>
      </c>
    </row>
    <row r="2981" spans="1:22">
      <c r="A2981" t="str">
        <f t="shared" si="368"/>
        <v>NDE-3503-AL</v>
      </c>
      <c r="B2981" s="403" t="s">
        <v>1405</v>
      </c>
      <c r="C2981" s="403" t="s">
        <v>582</v>
      </c>
      <c r="D2981" s="403" t="s">
        <v>1407</v>
      </c>
      <c r="E2981" s="403" t="s">
        <v>778</v>
      </c>
      <c r="F2981" s="403" t="s">
        <v>1375</v>
      </c>
      <c r="G2981" s="403" t="s">
        <v>1467</v>
      </c>
      <c r="H2981" s="403" t="s">
        <v>1276</v>
      </c>
      <c r="I2981" s="403">
        <v>1</v>
      </c>
      <c r="J2981" s="403" t="s">
        <v>1374</v>
      </c>
      <c r="K2981" s="403">
        <v>1296</v>
      </c>
      <c r="L2981" s="403">
        <v>2304</v>
      </c>
      <c r="M2981" s="403" t="s">
        <v>1284</v>
      </c>
      <c r="N2981" s="403">
        <v>480</v>
      </c>
      <c r="O2981" s="403">
        <v>640</v>
      </c>
      <c r="P2981" t="str">
        <f t="shared" si="369"/>
        <v>20fps 2304x1296 - SD VGA (cropped)</v>
      </c>
      <c r="Q2981">
        <f t="shared" si="370"/>
        <v>17</v>
      </c>
      <c r="R2981" t="str">
        <f t="shared" si="371"/>
        <v/>
      </c>
      <c r="S2981" t="str">
        <f t="shared" si="372"/>
        <v/>
      </c>
      <c r="T2981" s="403" t="str">
        <f t="shared" si="373"/>
        <v>NDE-3503-AL</v>
      </c>
      <c r="U2981" s="403">
        <f t="shared" si="374"/>
        <v>1</v>
      </c>
      <c r="V2981" s="403" t="str">
        <f t="shared" si="375"/>
        <v>CPP_7_3</v>
      </c>
    </row>
    <row r="2982" spans="1:22">
      <c r="A2982" t="str">
        <f t="shared" si="368"/>
        <v>NDE-3503-AL</v>
      </c>
      <c r="B2982" s="403" t="s">
        <v>1405</v>
      </c>
      <c r="C2982" s="403" t="s">
        <v>582</v>
      </c>
      <c r="D2982" s="403" t="s">
        <v>1407</v>
      </c>
      <c r="E2982" s="403" t="s">
        <v>778</v>
      </c>
      <c r="F2982" s="403" t="s">
        <v>1375</v>
      </c>
      <c r="G2982" s="403" t="s">
        <v>1467</v>
      </c>
      <c r="H2982" s="403" t="s">
        <v>1276</v>
      </c>
      <c r="I2982" s="403">
        <v>1</v>
      </c>
      <c r="J2982" s="403" t="s">
        <v>1374</v>
      </c>
      <c r="K2982" s="403">
        <v>1296</v>
      </c>
      <c r="L2982" s="403">
        <v>2304</v>
      </c>
      <c r="M2982" s="403" t="s">
        <v>1280</v>
      </c>
      <c r="N2982" s="403">
        <v>1296</v>
      </c>
      <c r="O2982" s="403">
        <v>2304</v>
      </c>
      <c r="P2982" t="str">
        <f t="shared" si="369"/>
        <v>20fps 2304x1296 - copy other stream</v>
      </c>
      <c r="Q2982">
        <f t="shared" si="370"/>
        <v>17</v>
      </c>
      <c r="R2982" t="str">
        <f t="shared" si="371"/>
        <v/>
      </c>
      <c r="S2982" t="str">
        <f t="shared" si="372"/>
        <v/>
      </c>
      <c r="T2982" s="403" t="str">
        <f t="shared" si="373"/>
        <v>NDE-3503-AL</v>
      </c>
      <c r="U2982" s="403">
        <f t="shared" si="374"/>
        <v>1</v>
      </c>
      <c r="V2982" s="403" t="str">
        <f t="shared" si="375"/>
        <v>CPP_7_3</v>
      </c>
    </row>
    <row r="2983" spans="1:22">
      <c r="A2983" t="str">
        <f t="shared" si="368"/>
        <v>NDE-3503-AL</v>
      </c>
      <c r="B2983" s="403" t="s">
        <v>1405</v>
      </c>
      <c r="C2983" s="403" t="s">
        <v>582</v>
      </c>
      <c r="D2983" s="403" t="s">
        <v>1407</v>
      </c>
      <c r="E2983" s="403" t="s">
        <v>778</v>
      </c>
      <c r="F2983" s="403" t="s">
        <v>1375</v>
      </c>
      <c r="G2983" s="403" t="s">
        <v>1467</v>
      </c>
      <c r="H2983" s="403" t="s">
        <v>1276</v>
      </c>
      <c r="I2983" s="403">
        <v>1</v>
      </c>
      <c r="J2983" s="403" t="s">
        <v>110</v>
      </c>
      <c r="K2983" s="403">
        <v>1080</v>
      </c>
      <c r="L2983" s="403">
        <v>1920</v>
      </c>
      <c r="M2983" s="403" t="s">
        <v>111</v>
      </c>
      <c r="N2983" s="403">
        <v>432</v>
      </c>
      <c r="O2983" s="403">
        <v>768</v>
      </c>
      <c r="P2983" t="str">
        <f t="shared" si="369"/>
        <v>20fps 1080p - SD</v>
      </c>
      <c r="Q2983">
        <f t="shared" si="370"/>
        <v>17</v>
      </c>
      <c r="R2983" t="str">
        <f t="shared" si="371"/>
        <v/>
      </c>
      <c r="S2983" t="str">
        <f t="shared" si="372"/>
        <v/>
      </c>
      <c r="T2983" s="403" t="str">
        <f t="shared" si="373"/>
        <v>NDE-3503-AL</v>
      </c>
      <c r="U2983" s="403">
        <f t="shared" si="374"/>
        <v>1</v>
      </c>
      <c r="V2983" s="403" t="str">
        <f t="shared" si="375"/>
        <v>CPP_7_3</v>
      </c>
    </row>
    <row r="2984" spans="1:22">
      <c r="A2984" t="str">
        <f t="shared" si="368"/>
        <v>NDE-3503-AL</v>
      </c>
      <c r="B2984" s="403" t="s">
        <v>1405</v>
      </c>
      <c r="C2984" s="403" t="s">
        <v>582</v>
      </c>
      <c r="D2984" s="403" t="s">
        <v>1407</v>
      </c>
      <c r="E2984" s="403" t="s">
        <v>778</v>
      </c>
      <c r="F2984" s="403" t="s">
        <v>1375</v>
      </c>
      <c r="G2984" s="403" t="s">
        <v>1467</v>
      </c>
      <c r="H2984" s="403" t="s">
        <v>1276</v>
      </c>
      <c r="I2984" s="403">
        <v>1</v>
      </c>
      <c r="J2984" s="403" t="s">
        <v>110</v>
      </c>
      <c r="K2984" s="403">
        <v>1080</v>
      </c>
      <c r="L2984" s="403">
        <v>1920</v>
      </c>
      <c r="M2984" s="403" t="s">
        <v>110</v>
      </c>
      <c r="N2984" s="403">
        <v>1080</v>
      </c>
      <c r="O2984" s="403">
        <v>1920</v>
      </c>
      <c r="P2984" t="str">
        <f t="shared" si="369"/>
        <v>20fps 1080p - 1080p</v>
      </c>
      <c r="Q2984">
        <f t="shared" si="370"/>
        <v>17</v>
      </c>
      <c r="R2984" t="str">
        <f t="shared" si="371"/>
        <v/>
      </c>
      <c r="S2984" t="str">
        <f t="shared" si="372"/>
        <v/>
      </c>
      <c r="T2984" s="403" t="str">
        <f t="shared" si="373"/>
        <v>NDE-3503-AL</v>
      </c>
      <c r="U2984" s="403">
        <f t="shared" si="374"/>
        <v>1</v>
      </c>
      <c r="V2984" s="403" t="str">
        <f t="shared" si="375"/>
        <v>CPP_7_3</v>
      </c>
    </row>
    <row r="2985" spans="1:22">
      <c r="A2985" t="str">
        <f t="shared" si="368"/>
        <v>NDE-3503-AL</v>
      </c>
      <c r="B2985" s="403" t="s">
        <v>1405</v>
      </c>
      <c r="C2985" s="403" t="s">
        <v>582</v>
      </c>
      <c r="D2985" s="403" t="s">
        <v>1407</v>
      </c>
      <c r="E2985" s="403" t="s">
        <v>778</v>
      </c>
      <c r="F2985" s="403" t="s">
        <v>1375</v>
      </c>
      <c r="G2985" s="403" t="s">
        <v>1467</v>
      </c>
      <c r="H2985" s="403" t="s">
        <v>1276</v>
      </c>
      <c r="I2985" s="403">
        <v>1</v>
      </c>
      <c r="J2985" s="403" t="s">
        <v>110</v>
      </c>
      <c r="K2985" s="403">
        <v>1080</v>
      </c>
      <c r="L2985" s="403">
        <v>1920</v>
      </c>
      <c r="M2985" s="403" t="s">
        <v>109</v>
      </c>
      <c r="N2985" s="403">
        <v>720</v>
      </c>
      <c r="O2985" s="403">
        <v>1280</v>
      </c>
      <c r="P2985" t="str">
        <f t="shared" si="369"/>
        <v>20fps 1080p - 720p</v>
      </c>
      <c r="Q2985">
        <f t="shared" si="370"/>
        <v>17</v>
      </c>
      <c r="R2985" t="str">
        <f t="shared" si="371"/>
        <v/>
      </c>
      <c r="S2985" t="str">
        <f t="shared" si="372"/>
        <v/>
      </c>
      <c r="T2985" s="403" t="str">
        <f t="shared" si="373"/>
        <v>NDE-3503-AL</v>
      </c>
      <c r="U2985" s="403">
        <f t="shared" si="374"/>
        <v>1</v>
      </c>
      <c r="V2985" s="403" t="str">
        <f t="shared" si="375"/>
        <v>CPP_7_3</v>
      </c>
    </row>
    <row r="2986" spans="1:22">
      <c r="A2986" t="str">
        <f t="shared" si="368"/>
        <v>NDE-3503-AL</v>
      </c>
      <c r="B2986" s="403" t="s">
        <v>1405</v>
      </c>
      <c r="C2986" s="403" t="s">
        <v>582</v>
      </c>
      <c r="D2986" s="403" t="s">
        <v>1407</v>
      </c>
      <c r="E2986" s="403" t="s">
        <v>778</v>
      </c>
      <c r="F2986" s="403" t="s">
        <v>1375</v>
      </c>
      <c r="G2986" s="403" t="s">
        <v>1467</v>
      </c>
      <c r="H2986" s="403" t="s">
        <v>1276</v>
      </c>
      <c r="I2986" s="403">
        <v>1</v>
      </c>
      <c r="J2986" s="403" t="s">
        <v>110</v>
      </c>
      <c r="K2986" s="403">
        <v>1080</v>
      </c>
      <c r="L2986" s="403">
        <v>1920</v>
      </c>
      <c r="M2986" s="403" t="s">
        <v>1285</v>
      </c>
      <c r="N2986" s="403">
        <v>1024</v>
      </c>
      <c r="O2986" s="403">
        <v>1280</v>
      </c>
      <c r="P2986" t="str">
        <f t="shared" si="369"/>
        <v>20fps 1080p - 1280x1024 5:4 (cropped)</v>
      </c>
      <c r="Q2986">
        <f t="shared" si="370"/>
        <v>17</v>
      </c>
      <c r="R2986" t="str">
        <f t="shared" si="371"/>
        <v/>
      </c>
      <c r="S2986" t="str">
        <f t="shared" si="372"/>
        <v/>
      </c>
      <c r="T2986" s="403" t="str">
        <f t="shared" si="373"/>
        <v>NDE-3503-AL</v>
      </c>
      <c r="U2986" s="403">
        <f t="shared" si="374"/>
        <v>1</v>
      </c>
      <c r="V2986" s="403" t="str">
        <f t="shared" si="375"/>
        <v>CPP_7_3</v>
      </c>
    </row>
    <row r="2987" spans="1:22">
      <c r="A2987" t="str">
        <f t="shared" si="368"/>
        <v>NDE-3503-AL</v>
      </c>
      <c r="B2987" s="403" t="s">
        <v>1405</v>
      </c>
      <c r="C2987" s="403" t="s">
        <v>582</v>
      </c>
      <c r="D2987" s="403" t="s">
        <v>1407</v>
      </c>
      <c r="E2987" s="403" t="s">
        <v>778</v>
      </c>
      <c r="F2987" s="403" t="s">
        <v>1375</v>
      </c>
      <c r="G2987" s="403" t="s">
        <v>1467</v>
      </c>
      <c r="H2987" s="403" t="s">
        <v>1276</v>
      </c>
      <c r="I2987" s="403">
        <v>1</v>
      </c>
      <c r="J2987" s="403" t="s">
        <v>110</v>
      </c>
      <c r="K2987" s="403">
        <v>1080</v>
      </c>
      <c r="L2987" s="403">
        <v>1920</v>
      </c>
      <c r="M2987" s="403" t="s">
        <v>1279</v>
      </c>
      <c r="N2987" s="403">
        <v>432</v>
      </c>
      <c r="O2987" s="403">
        <v>768</v>
      </c>
      <c r="P2987" t="str">
        <f t="shared" si="369"/>
        <v>20fps 1080p - SD ROI PTZ</v>
      </c>
      <c r="Q2987">
        <f t="shared" si="370"/>
        <v>17</v>
      </c>
      <c r="R2987" t="str">
        <f t="shared" si="371"/>
        <v/>
      </c>
      <c r="S2987" t="str">
        <f t="shared" si="372"/>
        <v/>
      </c>
      <c r="T2987" s="403" t="str">
        <f t="shared" si="373"/>
        <v>NDE-3503-AL</v>
      </c>
      <c r="U2987" s="403">
        <f t="shared" si="374"/>
        <v>1</v>
      </c>
      <c r="V2987" s="403" t="str">
        <f t="shared" si="375"/>
        <v>CPP_7_3</v>
      </c>
    </row>
    <row r="2988" spans="1:22">
      <c r="A2988" t="str">
        <f t="shared" si="368"/>
        <v>NDE-3503-AL</v>
      </c>
      <c r="B2988" s="403" t="s">
        <v>1405</v>
      </c>
      <c r="C2988" s="403" t="s">
        <v>582</v>
      </c>
      <c r="D2988" s="403" t="s">
        <v>1407</v>
      </c>
      <c r="E2988" s="403" t="s">
        <v>778</v>
      </c>
      <c r="F2988" s="403" t="s">
        <v>1375</v>
      </c>
      <c r="G2988" s="403" t="s">
        <v>1467</v>
      </c>
      <c r="H2988" s="403" t="s">
        <v>1276</v>
      </c>
      <c r="I2988" s="403">
        <v>1</v>
      </c>
      <c r="J2988" s="403" t="s">
        <v>110</v>
      </c>
      <c r="K2988" s="403">
        <v>1080</v>
      </c>
      <c r="L2988" s="403">
        <v>1920</v>
      </c>
      <c r="M2988" s="403" t="s">
        <v>1283</v>
      </c>
      <c r="N2988" s="403">
        <v>480</v>
      </c>
      <c r="O2988" s="403">
        <v>720</v>
      </c>
      <c r="P2988" t="str">
        <f t="shared" si="369"/>
        <v>20fps 1080p - SD 4CIF resolution 4:3 format (cropped)</v>
      </c>
      <c r="Q2988">
        <f t="shared" si="370"/>
        <v>17</v>
      </c>
      <c r="R2988" t="str">
        <f t="shared" si="371"/>
        <v/>
      </c>
      <c r="S2988" t="str">
        <f t="shared" si="372"/>
        <v/>
      </c>
      <c r="T2988" s="403" t="str">
        <f t="shared" si="373"/>
        <v>NDE-3503-AL</v>
      </c>
      <c r="U2988" s="403">
        <f t="shared" si="374"/>
        <v>1</v>
      </c>
      <c r="V2988" s="403" t="str">
        <f t="shared" si="375"/>
        <v>CPP_7_3</v>
      </c>
    </row>
    <row r="2989" spans="1:22">
      <c r="A2989" t="str">
        <f t="shared" si="368"/>
        <v>NDE-3503-AL</v>
      </c>
      <c r="B2989" s="403" t="s">
        <v>1405</v>
      </c>
      <c r="C2989" s="403" t="s">
        <v>582</v>
      </c>
      <c r="D2989" s="403" t="s">
        <v>1407</v>
      </c>
      <c r="E2989" s="403" t="s">
        <v>778</v>
      </c>
      <c r="F2989" s="403" t="s">
        <v>1375</v>
      </c>
      <c r="G2989" s="403" t="s">
        <v>1467</v>
      </c>
      <c r="H2989" s="403" t="s">
        <v>1276</v>
      </c>
      <c r="I2989" s="403">
        <v>1</v>
      </c>
      <c r="J2989" s="403" t="s">
        <v>110</v>
      </c>
      <c r="K2989" s="403">
        <v>1080</v>
      </c>
      <c r="L2989" s="403">
        <v>1920</v>
      </c>
      <c r="M2989" s="403" t="s">
        <v>1284</v>
      </c>
      <c r="N2989" s="403">
        <v>480</v>
      </c>
      <c r="O2989" s="403">
        <v>640</v>
      </c>
      <c r="P2989" t="str">
        <f t="shared" si="369"/>
        <v>20fps 1080p - SD VGA (cropped)</v>
      </c>
      <c r="Q2989">
        <f t="shared" si="370"/>
        <v>17</v>
      </c>
      <c r="R2989" t="str">
        <f t="shared" si="371"/>
        <v/>
      </c>
      <c r="S2989" t="str">
        <f t="shared" si="372"/>
        <v/>
      </c>
      <c r="T2989" s="403" t="str">
        <f t="shared" si="373"/>
        <v>NDE-3503-AL</v>
      </c>
      <c r="U2989" s="403">
        <f t="shared" si="374"/>
        <v>1</v>
      </c>
      <c r="V2989" s="403" t="str">
        <f t="shared" si="375"/>
        <v>CPP_7_3</v>
      </c>
    </row>
    <row r="2990" spans="1:22">
      <c r="A2990" t="str">
        <f t="shared" si="368"/>
        <v>NDE-3503-AL</v>
      </c>
      <c r="B2990" s="403" t="s">
        <v>1405</v>
      </c>
      <c r="C2990" s="403" t="s">
        <v>582</v>
      </c>
      <c r="D2990" s="403" t="s">
        <v>1407</v>
      </c>
      <c r="E2990" s="403" t="s">
        <v>778</v>
      </c>
      <c r="F2990" s="403" t="s">
        <v>1375</v>
      </c>
      <c r="G2990" s="403" t="s">
        <v>1467</v>
      </c>
      <c r="H2990" s="403" t="s">
        <v>1276</v>
      </c>
      <c r="I2990" s="403">
        <v>1</v>
      </c>
      <c r="J2990" s="403" t="s">
        <v>109</v>
      </c>
      <c r="K2990" s="403">
        <v>720</v>
      </c>
      <c r="L2990" s="403">
        <v>1280</v>
      </c>
      <c r="M2990" s="403" t="s">
        <v>109</v>
      </c>
      <c r="N2990" s="403">
        <v>720</v>
      </c>
      <c r="O2990" s="403">
        <v>1280</v>
      </c>
      <c r="P2990" t="str">
        <f t="shared" si="369"/>
        <v>20fps 720p - 720p</v>
      </c>
      <c r="Q2990">
        <f t="shared" si="370"/>
        <v>17</v>
      </c>
      <c r="R2990" t="str">
        <f t="shared" si="371"/>
        <v/>
      </c>
      <c r="S2990" t="str">
        <f t="shared" si="372"/>
        <v/>
      </c>
      <c r="T2990" s="403" t="str">
        <f t="shared" si="373"/>
        <v>NDE-3503-AL</v>
      </c>
      <c r="U2990" s="403">
        <f t="shared" si="374"/>
        <v>1</v>
      </c>
      <c r="V2990" s="403" t="str">
        <f t="shared" si="375"/>
        <v>CPP_7_3</v>
      </c>
    </row>
    <row r="2991" spans="1:22">
      <c r="A2991" t="str">
        <f t="shared" si="368"/>
        <v>NDE-3503-AL</v>
      </c>
      <c r="B2991" s="403" t="s">
        <v>1405</v>
      </c>
      <c r="C2991" s="403" t="s">
        <v>582</v>
      </c>
      <c r="D2991" s="403" t="s">
        <v>1407</v>
      </c>
      <c r="E2991" s="403" t="s">
        <v>778</v>
      </c>
      <c r="F2991" s="403" t="s">
        <v>1375</v>
      </c>
      <c r="G2991" s="403" t="s">
        <v>1467</v>
      </c>
      <c r="H2991" s="403" t="s">
        <v>1276</v>
      </c>
      <c r="I2991" s="403">
        <v>1</v>
      </c>
      <c r="J2991" s="403" t="s">
        <v>109</v>
      </c>
      <c r="K2991" s="403">
        <v>720</v>
      </c>
      <c r="L2991" s="403">
        <v>1280</v>
      </c>
      <c r="M2991" s="403" t="s">
        <v>111</v>
      </c>
      <c r="N2991" s="403">
        <v>432</v>
      </c>
      <c r="O2991" s="403">
        <v>768</v>
      </c>
      <c r="P2991" t="str">
        <f t="shared" si="369"/>
        <v>20fps 720p - SD</v>
      </c>
      <c r="Q2991">
        <f t="shared" si="370"/>
        <v>17</v>
      </c>
      <c r="R2991" t="str">
        <f t="shared" si="371"/>
        <v/>
      </c>
      <c r="S2991" t="str">
        <f t="shared" si="372"/>
        <v/>
      </c>
      <c r="T2991" s="403" t="str">
        <f t="shared" si="373"/>
        <v>NDE-3503-AL</v>
      </c>
      <c r="U2991" s="403">
        <f t="shared" si="374"/>
        <v>1</v>
      </c>
      <c r="V2991" s="403" t="str">
        <f t="shared" si="375"/>
        <v>CPP_7_3</v>
      </c>
    </row>
    <row r="2992" spans="1:22">
      <c r="A2992" t="str">
        <f t="shared" si="368"/>
        <v>NDE-3503-AL</v>
      </c>
      <c r="B2992" s="403" t="s">
        <v>1405</v>
      </c>
      <c r="C2992" s="403" t="s">
        <v>582</v>
      </c>
      <c r="D2992" s="403" t="s">
        <v>1407</v>
      </c>
      <c r="E2992" s="403" t="s">
        <v>778</v>
      </c>
      <c r="F2992" s="403" t="s">
        <v>1375</v>
      </c>
      <c r="G2992" s="403" t="s">
        <v>1467</v>
      </c>
      <c r="H2992" s="403" t="s">
        <v>1276</v>
      </c>
      <c r="I2992" s="403">
        <v>1</v>
      </c>
      <c r="J2992" s="403" t="s">
        <v>109</v>
      </c>
      <c r="K2992" s="403">
        <v>720</v>
      </c>
      <c r="L2992" s="403">
        <v>1280</v>
      </c>
      <c r="M2992" s="403" t="s">
        <v>1279</v>
      </c>
      <c r="N2992" s="403">
        <v>432</v>
      </c>
      <c r="O2992" s="403">
        <v>768</v>
      </c>
      <c r="P2992" t="str">
        <f t="shared" si="369"/>
        <v>20fps 720p - SD ROI PTZ</v>
      </c>
      <c r="Q2992">
        <f t="shared" si="370"/>
        <v>17</v>
      </c>
      <c r="R2992" t="str">
        <f t="shared" si="371"/>
        <v/>
      </c>
      <c r="S2992" t="str">
        <f t="shared" si="372"/>
        <v/>
      </c>
      <c r="T2992" s="403" t="str">
        <f t="shared" si="373"/>
        <v>NDE-3503-AL</v>
      </c>
      <c r="U2992" s="403">
        <f t="shared" si="374"/>
        <v>1</v>
      </c>
      <c r="V2992" s="403" t="str">
        <f t="shared" si="375"/>
        <v>CPP_7_3</v>
      </c>
    </row>
    <row r="2993" spans="1:22">
      <c r="A2993" t="str">
        <f t="shared" si="368"/>
        <v>NDE-3503-AL</v>
      </c>
      <c r="B2993" s="403" t="s">
        <v>1405</v>
      </c>
      <c r="C2993" s="403" t="s">
        <v>582</v>
      </c>
      <c r="D2993" s="403" t="s">
        <v>1407</v>
      </c>
      <c r="E2993" s="403" t="s">
        <v>778</v>
      </c>
      <c r="F2993" s="403" t="s">
        <v>1375</v>
      </c>
      <c r="G2993" s="403" t="s">
        <v>1467</v>
      </c>
      <c r="H2993" s="403" t="s">
        <v>1276</v>
      </c>
      <c r="I2993" s="403">
        <v>1</v>
      </c>
      <c r="J2993" s="403" t="s">
        <v>109</v>
      </c>
      <c r="K2993" s="403">
        <v>720</v>
      </c>
      <c r="L2993" s="403">
        <v>1280</v>
      </c>
      <c r="M2993" s="403" t="s">
        <v>1283</v>
      </c>
      <c r="N2993" s="403">
        <v>480</v>
      </c>
      <c r="O2993" s="403">
        <v>720</v>
      </c>
      <c r="P2993" t="str">
        <f t="shared" si="369"/>
        <v>20fps 720p - SD 4CIF resolution 4:3 format (cropped)</v>
      </c>
      <c r="Q2993">
        <f t="shared" si="370"/>
        <v>17</v>
      </c>
      <c r="R2993" t="str">
        <f t="shared" si="371"/>
        <v/>
      </c>
      <c r="S2993" t="str">
        <f t="shared" si="372"/>
        <v/>
      </c>
      <c r="T2993" s="403" t="str">
        <f t="shared" si="373"/>
        <v>NDE-3503-AL</v>
      </c>
      <c r="U2993" s="403">
        <f t="shared" si="374"/>
        <v>1</v>
      </c>
      <c r="V2993" s="403" t="str">
        <f t="shared" si="375"/>
        <v>CPP_7_3</v>
      </c>
    </row>
    <row r="2994" spans="1:22">
      <c r="A2994" t="str">
        <f t="shared" si="368"/>
        <v>NDE-3503-AL</v>
      </c>
      <c r="B2994" s="403" t="s">
        <v>1405</v>
      </c>
      <c r="C2994" s="403" t="s">
        <v>582</v>
      </c>
      <c r="D2994" s="403" t="s">
        <v>1407</v>
      </c>
      <c r="E2994" s="403" t="s">
        <v>778</v>
      </c>
      <c r="F2994" s="403" t="s">
        <v>1375</v>
      </c>
      <c r="G2994" s="403" t="s">
        <v>1467</v>
      </c>
      <c r="H2994" s="403" t="s">
        <v>1276</v>
      </c>
      <c r="I2994" s="403">
        <v>1</v>
      </c>
      <c r="J2994" s="403" t="s">
        <v>109</v>
      </c>
      <c r="K2994" s="403">
        <v>720</v>
      </c>
      <c r="L2994" s="403">
        <v>1280</v>
      </c>
      <c r="M2994" s="403" t="s">
        <v>1284</v>
      </c>
      <c r="N2994" s="403">
        <v>480</v>
      </c>
      <c r="O2994" s="403">
        <v>640</v>
      </c>
      <c r="P2994" t="str">
        <f t="shared" si="369"/>
        <v>20fps 720p - SD VGA (cropped)</v>
      </c>
      <c r="Q2994">
        <f t="shared" si="370"/>
        <v>17</v>
      </c>
      <c r="R2994" t="str">
        <f t="shared" si="371"/>
        <v/>
      </c>
      <c r="S2994" t="str">
        <f t="shared" si="372"/>
        <v/>
      </c>
      <c r="T2994" s="403" t="str">
        <f t="shared" si="373"/>
        <v>NDE-3503-AL</v>
      </c>
      <c r="U2994" s="403">
        <f t="shared" si="374"/>
        <v>1</v>
      </c>
      <c r="V2994" s="403" t="str">
        <f t="shared" si="375"/>
        <v>CPP_7_3</v>
      </c>
    </row>
    <row r="2995" spans="1:22">
      <c r="A2995" t="str">
        <f t="shared" si="368"/>
        <v>NDE-3503-AL</v>
      </c>
      <c r="B2995" s="403" t="s">
        <v>1405</v>
      </c>
      <c r="C2995" s="403" t="s">
        <v>582</v>
      </c>
      <c r="D2995" s="403" t="s">
        <v>1407</v>
      </c>
      <c r="E2995" s="403" t="s">
        <v>778</v>
      </c>
      <c r="F2995" s="403" t="s">
        <v>1375</v>
      </c>
      <c r="G2995" s="403" t="s">
        <v>1467</v>
      </c>
      <c r="H2995" s="403" t="s">
        <v>1281</v>
      </c>
      <c r="I2995" s="403">
        <v>1</v>
      </c>
      <c r="J2995" s="403" t="s">
        <v>1377</v>
      </c>
      <c r="K2995" s="403">
        <v>1528</v>
      </c>
      <c r="L2995" s="403">
        <v>2720</v>
      </c>
      <c r="M2995" s="403" t="s">
        <v>1280</v>
      </c>
      <c r="N2995" s="403">
        <v>1528</v>
      </c>
      <c r="O2995" s="403">
        <v>2720</v>
      </c>
      <c r="P2995" t="str">
        <f t="shared" si="369"/>
        <v>20fps 2720x1530 - copy other stream</v>
      </c>
      <c r="Q2995">
        <f t="shared" si="370"/>
        <v>17</v>
      </c>
      <c r="R2995" t="str">
        <f t="shared" si="371"/>
        <v/>
      </c>
      <c r="S2995" t="str">
        <f t="shared" si="372"/>
        <v/>
      </c>
      <c r="T2995" s="403" t="str">
        <f t="shared" si="373"/>
        <v>NDE-3503-AL</v>
      </c>
      <c r="U2995" s="403">
        <f t="shared" si="374"/>
        <v>1</v>
      </c>
      <c r="V2995" s="403" t="str">
        <f t="shared" si="375"/>
        <v>CPP_7_3</v>
      </c>
    </row>
    <row r="2996" spans="1:22">
      <c r="A2996" t="str">
        <f t="shared" si="368"/>
        <v>NDE-3503-AL</v>
      </c>
      <c r="B2996" s="403" t="s">
        <v>1405</v>
      </c>
      <c r="C2996" s="403" t="s">
        <v>582</v>
      </c>
      <c r="D2996" s="403" t="s">
        <v>1407</v>
      </c>
      <c r="E2996" s="403" t="s">
        <v>778</v>
      </c>
      <c r="F2996" s="403" t="s">
        <v>1375</v>
      </c>
      <c r="G2996" s="403" t="s">
        <v>1467</v>
      </c>
      <c r="H2996" s="403" t="s">
        <v>1281</v>
      </c>
      <c r="I2996" s="403">
        <v>1</v>
      </c>
      <c r="J2996" s="403" t="s">
        <v>1374</v>
      </c>
      <c r="K2996" s="403">
        <v>1296</v>
      </c>
      <c r="L2996" s="403">
        <v>2304</v>
      </c>
      <c r="M2996" s="403" t="s">
        <v>109</v>
      </c>
      <c r="N2996" s="403">
        <v>720</v>
      </c>
      <c r="O2996" s="403">
        <v>1280</v>
      </c>
      <c r="P2996" t="str">
        <f t="shared" si="369"/>
        <v>20fps 2304x1296 - 720p</v>
      </c>
      <c r="Q2996">
        <f t="shared" si="370"/>
        <v>17</v>
      </c>
      <c r="R2996" t="str">
        <f t="shared" si="371"/>
        <v/>
      </c>
      <c r="S2996" t="str">
        <f t="shared" si="372"/>
        <v/>
      </c>
      <c r="T2996" s="403" t="str">
        <f t="shared" si="373"/>
        <v>NDE-3503-AL</v>
      </c>
      <c r="U2996" s="403">
        <f t="shared" si="374"/>
        <v>1</v>
      </c>
      <c r="V2996" s="403" t="str">
        <f t="shared" si="375"/>
        <v>CPP_7_3</v>
      </c>
    </row>
    <row r="2997" spans="1:22">
      <c r="A2997" t="str">
        <f t="shared" si="368"/>
        <v>NDE-3503-AL</v>
      </c>
      <c r="B2997" s="403" t="s">
        <v>1405</v>
      </c>
      <c r="C2997" s="403" t="s">
        <v>582</v>
      </c>
      <c r="D2997" s="403" t="s">
        <v>1407</v>
      </c>
      <c r="E2997" s="403" t="s">
        <v>778</v>
      </c>
      <c r="F2997" s="403" t="s">
        <v>1375</v>
      </c>
      <c r="G2997" s="403" t="s">
        <v>1467</v>
      </c>
      <c r="H2997" s="403" t="s">
        <v>1281</v>
      </c>
      <c r="I2997" s="403">
        <v>1</v>
      </c>
      <c r="J2997" s="403" t="s">
        <v>1374</v>
      </c>
      <c r="K2997" s="403">
        <v>1296</v>
      </c>
      <c r="L2997" s="403">
        <v>2304</v>
      </c>
      <c r="M2997" s="403" t="s">
        <v>111</v>
      </c>
      <c r="N2997" s="403">
        <v>432</v>
      </c>
      <c r="O2997" s="403">
        <v>768</v>
      </c>
      <c r="P2997" t="str">
        <f t="shared" si="369"/>
        <v>20fps 2304x1296 - SD</v>
      </c>
      <c r="Q2997">
        <f t="shared" si="370"/>
        <v>17</v>
      </c>
      <c r="R2997" t="str">
        <f t="shared" si="371"/>
        <v/>
      </c>
      <c r="S2997" t="str">
        <f t="shared" si="372"/>
        <v/>
      </c>
      <c r="T2997" s="403" t="str">
        <f t="shared" si="373"/>
        <v>NDE-3503-AL</v>
      </c>
      <c r="U2997" s="403">
        <f t="shared" si="374"/>
        <v>1</v>
      </c>
      <c r="V2997" s="403" t="str">
        <f t="shared" si="375"/>
        <v>CPP_7_3</v>
      </c>
    </row>
    <row r="2998" spans="1:22">
      <c r="A2998" t="str">
        <f t="shared" si="368"/>
        <v>NDE-3503-AL</v>
      </c>
      <c r="B2998" s="403" t="s">
        <v>1405</v>
      </c>
      <c r="C2998" s="403" t="s">
        <v>582</v>
      </c>
      <c r="D2998" s="403" t="s">
        <v>1407</v>
      </c>
      <c r="E2998" s="403" t="s">
        <v>778</v>
      </c>
      <c r="F2998" s="403" t="s">
        <v>1375</v>
      </c>
      <c r="G2998" s="403" t="s">
        <v>1467</v>
      </c>
      <c r="H2998" s="403" t="s">
        <v>1281</v>
      </c>
      <c r="I2998" s="403">
        <v>1</v>
      </c>
      <c r="J2998" s="403" t="s">
        <v>1374</v>
      </c>
      <c r="K2998" s="403">
        <v>1296</v>
      </c>
      <c r="L2998" s="403">
        <v>2304</v>
      </c>
      <c r="M2998" s="403" t="s">
        <v>1279</v>
      </c>
      <c r="N2998" s="403">
        <v>432</v>
      </c>
      <c r="O2998" s="403">
        <v>768</v>
      </c>
      <c r="P2998" t="str">
        <f t="shared" si="369"/>
        <v>20fps 2304x1296 - SD ROI PTZ</v>
      </c>
      <c r="Q2998">
        <f t="shared" si="370"/>
        <v>17</v>
      </c>
      <c r="R2998" t="str">
        <f t="shared" si="371"/>
        <v/>
      </c>
      <c r="S2998" t="str">
        <f t="shared" si="372"/>
        <v/>
      </c>
      <c r="T2998" s="403" t="str">
        <f t="shared" si="373"/>
        <v>NDE-3503-AL</v>
      </c>
      <c r="U2998" s="403">
        <f t="shared" si="374"/>
        <v>1</v>
      </c>
      <c r="V2998" s="403" t="str">
        <f t="shared" si="375"/>
        <v>CPP_7_3</v>
      </c>
    </row>
    <row r="2999" spans="1:22">
      <c r="A2999" t="str">
        <f t="shared" si="368"/>
        <v>NDE-3503-AL</v>
      </c>
      <c r="B2999" s="403" t="s">
        <v>1405</v>
      </c>
      <c r="C2999" s="403" t="s">
        <v>582</v>
      </c>
      <c r="D2999" s="403" t="s">
        <v>1407</v>
      </c>
      <c r="E2999" s="403" t="s">
        <v>778</v>
      </c>
      <c r="F2999" s="403" t="s">
        <v>1375</v>
      </c>
      <c r="G2999" s="403" t="s">
        <v>1467</v>
      </c>
      <c r="H2999" s="403" t="s">
        <v>1281</v>
      </c>
      <c r="I2999" s="403">
        <v>1</v>
      </c>
      <c r="J2999" s="403" t="s">
        <v>1374</v>
      </c>
      <c r="K2999" s="403">
        <v>1296</v>
      </c>
      <c r="L2999" s="403">
        <v>2304</v>
      </c>
      <c r="M2999" s="403" t="s">
        <v>1285</v>
      </c>
      <c r="N2999" s="403">
        <v>1024</v>
      </c>
      <c r="O2999" s="403">
        <v>1280</v>
      </c>
      <c r="P2999" t="str">
        <f t="shared" si="369"/>
        <v>20fps 2304x1296 - 1280x1024 5:4 (cropped)</v>
      </c>
      <c r="Q2999">
        <f t="shared" si="370"/>
        <v>17</v>
      </c>
      <c r="R2999" t="str">
        <f t="shared" si="371"/>
        <v/>
      </c>
      <c r="S2999" t="str">
        <f t="shared" si="372"/>
        <v/>
      </c>
      <c r="T2999" s="403" t="str">
        <f t="shared" si="373"/>
        <v>NDE-3503-AL</v>
      </c>
      <c r="U2999" s="403">
        <f t="shared" si="374"/>
        <v>1</v>
      </c>
      <c r="V2999" s="403" t="str">
        <f t="shared" si="375"/>
        <v>CPP_7_3</v>
      </c>
    </row>
    <row r="3000" spans="1:22">
      <c r="A3000" t="str">
        <f t="shared" si="368"/>
        <v>NDE-3503-AL</v>
      </c>
      <c r="B3000" s="403" t="s">
        <v>1405</v>
      </c>
      <c r="C3000" s="403" t="s">
        <v>582</v>
      </c>
      <c r="D3000" s="403" t="s">
        <v>1407</v>
      </c>
      <c r="E3000" s="403" t="s">
        <v>778</v>
      </c>
      <c r="F3000" s="403" t="s">
        <v>1375</v>
      </c>
      <c r="G3000" s="403" t="s">
        <v>1467</v>
      </c>
      <c r="H3000" s="403" t="s">
        <v>1281</v>
      </c>
      <c r="I3000" s="403">
        <v>1</v>
      </c>
      <c r="J3000" s="403" t="s">
        <v>1374</v>
      </c>
      <c r="K3000" s="403">
        <v>1296</v>
      </c>
      <c r="L3000" s="403">
        <v>2304</v>
      </c>
      <c r="M3000" s="403" t="s">
        <v>1283</v>
      </c>
      <c r="N3000" s="403">
        <v>480</v>
      </c>
      <c r="O3000" s="403">
        <v>720</v>
      </c>
      <c r="P3000" t="str">
        <f t="shared" si="369"/>
        <v>20fps 2304x1296 - SD 4CIF resolution 4:3 format (cropped)</v>
      </c>
      <c r="Q3000">
        <f t="shared" si="370"/>
        <v>17</v>
      </c>
      <c r="R3000" t="str">
        <f t="shared" si="371"/>
        <v/>
      </c>
      <c r="S3000" t="str">
        <f t="shared" si="372"/>
        <v/>
      </c>
      <c r="T3000" s="403" t="str">
        <f t="shared" si="373"/>
        <v>NDE-3503-AL</v>
      </c>
      <c r="U3000" s="403">
        <f t="shared" si="374"/>
        <v>1</v>
      </c>
      <c r="V3000" s="403" t="str">
        <f t="shared" si="375"/>
        <v>CPP_7_3</v>
      </c>
    </row>
    <row r="3001" spans="1:22">
      <c r="A3001" t="str">
        <f t="shared" si="368"/>
        <v>NDE-3503-AL</v>
      </c>
      <c r="B3001" s="403" t="s">
        <v>1405</v>
      </c>
      <c r="C3001" s="403" t="s">
        <v>582</v>
      </c>
      <c r="D3001" s="403" t="s">
        <v>1407</v>
      </c>
      <c r="E3001" s="403" t="s">
        <v>778</v>
      </c>
      <c r="F3001" s="403" t="s">
        <v>1375</v>
      </c>
      <c r="G3001" s="403" t="s">
        <v>1467</v>
      </c>
      <c r="H3001" s="403" t="s">
        <v>1281</v>
      </c>
      <c r="I3001" s="403">
        <v>1</v>
      </c>
      <c r="J3001" s="403" t="s">
        <v>1374</v>
      </c>
      <c r="K3001" s="403">
        <v>1296</v>
      </c>
      <c r="L3001" s="403">
        <v>2304</v>
      </c>
      <c r="M3001" s="403" t="s">
        <v>1284</v>
      </c>
      <c r="N3001" s="403">
        <v>480</v>
      </c>
      <c r="O3001" s="403">
        <v>640</v>
      </c>
      <c r="P3001" t="str">
        <f t="shared" si="369"/>
        <v>20fps 2304x1296 - SD VGA (cropped)</v>
      </c>
      <c r="Q3001">
        <f t="shared" si="370"/>
        <v>17</v>
      </c>
      <c r="R3001" t="str">
        <f t="shared" si="371"/>
        <v/>
      </c>
      <c r="S3001" t="str">
        <f t="shared" si="372"/>
        <v/>
      </c>
      <c r="T3001" s="403" t="str">
        <f t="shared" si="373"/>
        <v>NDE-3503-AL</v>
      </c>
      <c r="U3001" s="403">
        <f t="shared" si="374"/>
        <v>1</v>
      </c>
      <c r="V3001" s="403" t="str">
        <f t="shared" si="375"/>
        <v>CPP_7_3</v>
      </c>
    </row>
    <row r="3002" spans="1:22">
      <c r="A3002" t="str">
        <f t="shared" si="368"/>
        <v>NDE-3503-AL</v>
      </c>
      <c r="B3002" s="403" t="s">
        <v>1405</v>
      </c>
      <c r="C3002" s="403" t="s">
        <v>582</v>
      </c>
      <c r="D3002" s="403" t="s">
        <v>1407</v>
      </c>
      <c r="E3002" s="403" t="s">
        <v>778</v>
      </c>
      <c r="F3002" s="403" t="s">
        <v>1375</v>
      </c>
      <c r="G3002" s="403" t="s">
        <v>1467</v>
      </c>
      <c r="H3002" s="403" t="s">
        <v>1281</v>
      </c>
      <c r="I3002" s="403">
        <v>1</v>
      </c>
      <c r="J3002" s="403" t="s">
        <v>1374</v>
      </c>
      <c r="K3002" s="403">
        <v>1296</v>
      </c>
      <c r="L3002" s="403">
        <v>2304</v>
      </c>
      <c r="M3002" s="403" t="s">
        <v>1280</v>
      </c>
      <c r="N3002" s="403">
        <v>1296</v>
      </c>
      <c r="O3002" s="403">
        <v>2304</v>
      </c>
      <c r="P3002" t="str">
        <f t="shared" si="369"/>
        <v>20fps 2304x1296 - copy other stream</v>
      </c>
      <c r="Q3002">
        <f t="shared" si="370"/>
        <v>17</v>
      </c>
      <c r="R3002" t="str">
        <f t="shared" si="371"/>
        <v/>
      </c>
      <c r="S3002" t="str">
        <f t="shared" si="372"/>
        <v/>
      </c>
      <c r="T3002" s="403" t="str">
        <f t="shared" si="373"/>
        <v>NDE-3503-AL</v>
      </c>
      <c r="U3002" s="403">
        <f t="shared" si="374"/>
        <v>1</v>
      </c>
      <c r="V3002" s="403" t="str">
        <f t="shared" si="375"/>
        <v>CPP_7_3</v>
      </c>
    </row>
    <row r="3003" spans="1:22">
      <c r="A3003" t="str">
        <f t="shared" si="368"/>
        <v>NDE-3503-AL</v>
      </c>
      <c r="B3003" s="403" t="s">
        <v>1405</v>
      </c>
      <c r="C3003" s="403" t="s">
        <v>582</v>
      </c>
      <c r="D3003" s="403" t="s">
        <v>1407</v>
      </c>
      <c r="E3003" s="403" t="s">
        <v>778</v>
      </c>
      <c r="F3003" s="403" t="s">
        <v>1375</v>
      </c>
      <c r="G3003" s="403" t="s">
        <v>1467</v>
      </c>
      <c r="H3003" s="403" t="s">
        <v>1281</v>
      </c>
      <c r="I3003" s="403">
        <v>1</v>
      </c>
      <c r="J3003" s="403" t="s">
        <v>110</v>
      </c>
      <c r="K3003" s="403">
        <v>1080</v>
      </c>
      <c r="L3003" s="403">
        <v>1920</v>
      </c>
      <c r="M3003" s="403" t="s">
        <v>111</v>
      </c>
      <c r="N3003" s="403">
        <v>432</v>
      </c>
      <c r="O3003" s="403">
        <v>768</v>
      </c>
      <c r="P3003" t="str">
        <f t="shared" si="369"/>
        <v>20fps 1080p - SD</v>
      </c>
      <c r="Q3003">
        <f t="shared" si="370"/>
        <v>17</v>
      </c>
      <c r="R3003" t="str">
        <f t="shared" si="371"/>
        <v/>
      </c>
      <c r="S3003" t="str">
        <f t="shared" si="372"/>
        <v/>
      </c>
      <c r="T3003" s="403" t="str">
        <f t="shared" si="373"/>
        <v>NDE-3503-AL</v>
      </c>
      <c r="U3003" s="403">
        <f t="shared" si="374"/>
        <v>1</v>
      </c>
      <c r="V3003" s="403" t="str">
        <f t="shared" si="375"/>
        <v>CPP_7_3</v>
      </c>
    </row>
    <row r="3004" spans="1:22">
      <c r="A3004" t="str">
        <f t="shared" si="368"/>
        <v>NDE-3503-AL</v>
      </c>
      <c r="B3004" s="403" t="s">
        <v>1405</v>
      </c>
      <c r="C3004" s="403" t="s">
        <v>582</v>
      </c>
      <c r="D3004" s="403" t="s">
        <v>1407</v>
      </c>
      <c r="E3004" s="403" t="s">
        <v>778</v>
      </c>
      <c r="F3004" s="403" t="s">
        <v>1375</v>
      </c>
      <c r="G3004" s="403" t="s">
        <v>1467</v>
      </c>
      <c r="H3004" s="403" t="s">
        <v>1281</v>
      </c>
      <c r="I3004" s="403">
        <v>1</v>
      </c>
      <c r="J3004" s="403" t="s">
        <v>110</v>
      </c>
      <c r="K3004" s="403">
        <v>1080</v>
      </c>
      <c r="L3004" s="403">
        <v>1920</v>
      </c>
      <c r="M3004" s="403" t="s">
        <v>110</v>
      </c>
      <c r="N3004" s="403">
        <v>1080</v>
      </c>
      <c r="O3004" s="403">
        <v>1920</v>
      </c>
      <c r="P3004" t="str">
        <f t="shared" si="369"/>
        <v>20fps 1080p - 1080p</v>
      </c>
      <c r="Q3004">
        <f t="shared" si="370"/>
        <v>17</v>
      </c>
      <c r="R3004" t="str">
        <f t="shared" si="371"/>
        <v/>
      </c>
      <c r="S3004" t="str">
        <f t="shared" si="372"/>
        <v/>
      </c>
      <c r="T3004" s="403" t="str">
        <f t="shared" si="373"/>
        <v>NDE-3503-AL</v>
      </c>
      <c r="U3004" s="403">
        <f t="shared" si="374"/>
        <v>1</v>
      </c>
      <c r="V3004" s="403" t="str">
        <f t="shared" si="375"/>
        <v>CPP_7_3</v>
      </c>
    </row>
    <row r="3005" spans="1:22">
      <c r="A3005" t="str">
        <f t="shared" si="368"/>
        <v>NDE-3503-AL</v>
      </c>
      <c r="B3005" s="403" t="s">
        <v>1405</v>
      </c>
      <c r="C3005" s="403" t="s">
        <v>582</v>
      </c>
      <c r="D3005" s="403" t="s">
        <v>1407</v>
      </c>
      <c r="E3005" s="403" t="s">
        <v>778</v>
      </c>
      <c r="F3005" s="403" t="s">
        <v>1375</v>
      </c>
      <c r="G3005" s="403" t="s">
        <v>1467</v>
      </c>
      <c r="H3005" s="403" t="s">
        <v>1281</v>
      </c>
      <c r="I3005" s="403">
        <v>1</v>
      </c>
      <c r="J3005" s="403" t="s">
        <v>110</v>
      </c>
      <c r="K3005" s="403">
        <v>1080</v>
      </c>
      <c r="L3005" s="403">
        <v>1920</v>
      </c>
      <c r="M3005" s="403" t="s">
        <v>109</v>
      </c>
      <c r="N3005" s="403">
        <v>720</v>
      </c>
      <c r="O3005" s="403">
        <v>1280</v>
      </c>
      <c r="P3005" t="str">
        <f t="shared" si="369"/>
        <v>20fps 1080p - 720p</v>
      </c>
      <c r="Q3005">
        <f t="shared" si="370"/>
        <v>17</v>
      </c>
      <c r="R3005" t="str">
        <f t="shared" si="371"/>
        <v/>
      </c>
      <c r="S3005" t="str">
        <f t="shared" si="372"/>
        <v/>
      </c>
      <c r="T3005" s="403" t="str">
        <f t="shared" si="373"/>
        <v>NDE-3503-AL</v>
      </c>
      <c r="U3005" s="403">
        <f t="shared" si="374"/>
        <v>1</v>
      </c>
      <c r="V3005" s="403" t="str">
        <f t="shared" si="375"/>
        <v>CPP_7_3</v>
      </c>
    </row>
    <row r="3006" spans="1:22">
      <c r="A3006" t="str">
        <f t="shared" si="368"/>
        <v>NDE-3503-AL</v>
      </c>
      <c r="B3006" s="403" t="s">
        <v>1405</v>
      </c>
      <c r="C3006" s="403" t="s">
        <v>582</v>
      </c>
      <c r="D3006" s="403" t="s">
        <v>1407</v>
      </c>
      <c r="E3006" s="403" t="s">
        <v>778</v>
      </c>
      <c r="F3006" s="403" t="s">
        <v>1375</v>
      </c>
      <c r="G3006" s="403" t="s">
        <v>1467</v>
      </c>
      <c r="H3006" s="403" t="s">
        <v>1281</v>
      </c>
      <c r="I3006" s="403">
        <v>1</v>
      </c>
      <c r="J3006" s="403" t="s">
        <v>110</v>
      </c>
      <c r="K3006" s="403">
        <v>1080</v>
      </c>
      <c r="L3006" s="403">
        <v>1920</v>
      </c>
      <c r="M3006" s="403" t="s">
        <v>1285</v>
      </c>
      <c r="N3006" s="403">
        <v>1024</v>
      </c>
      <c r="O3006" s="403">
        <v>1280</v>
      </c>
      <c r="P3006" t="str">
        <f t="shared" si="369"/>
        <v>20fps 1080p - 1280x1024 5:4 (cropped)</v>
      </c>
      <c r="Q3006">
        <f t="shared" si="370"/>
        <v>17</v>
      </c>
      <c r="R3006" t="str">
        <f t="shared" si="371"/>
        <v/>
      </c>
      <c r="S3006" t="str">
        <f t="shared" si="372"/>
        <v/>
      </c>
      <c r="T3006" s="403" t="str">
        <f t="shared" si="373"/>
        <v>NDE-3503-AL</v>
      </c>
      <c r="U3006" s="403">
        <f t="shared" si="374"/>
        <v>1</v>
      </c>
      <c r="V3006" s="403" t="str">
        <f t="shared" si="375"/>
        <v>CPP_7_3</v>
      </c>
    </row>
    <row r="3007" spans="1:22">
      <c r="A3007" t="str">
        <f t="shared" si="368"/>
        <v>NDE-3503-AL</v>
      </c>
      <c r="B3007" s="403" t="s">
        <v>1405</v>
      </c>
      <c r="C3007" s="403" t="s">
        <v>582</v>
      </c>
      <c r="D3007" s="403" t="s">
        <v>1407</v>
      </c>
      <c r="E3007" s="403" t="s">
        <v>778</v>
      </c>
      <c r="F3007" s="403" t="s">
        <v>1375</v>
      </c>
      <c r="G3007" s="403" t="s">
        <v>1467</v>
      </c>
      <c r="H3007" s="403" t="s">
        <v>1281</v>
      </c>
      <c r="I3007" s="403">
        <v>1</v>
      </c>
      <c r="J3007" s="403" t="s">
        <v>110</v>
      </c>
      <c r="K3007" s="403">
        <v>1080</v>
      </c>
      <c r="L3007" s="403">
        <v>1920</v>
      </c>
      <c r="M3007" s="403" t="s">
        <v>1279</v>
      </c>
      <c r="N3007" s="403">
        <v>432</v>
      </c>
      <c r="O3007" s="403">
        <v>768</v>
      </c>
      <c r="P3007" t="str">
        <f t="shared" si="369"/>
        <v>20fps 1080p - SD ROI PTZ</v>
      </c>
      <c r="Q3007">
        <f t="shared" si="370"/>
        <v>17</v>
      </c>
      <c r="R3007" t="str">
        <f t="shared" si="371"/>
        <v/>
      </c>
      <c r="S3007" t="str">
        <f t="shared" si="372"/>
        <v/>
      </c>
      <c r="T3007" s="403" t="str">
        <f t="shared" si="373"/>
        <v>NDE-3503-AL</v>
      </c>
      <c r="U3007" s="403">
        <f t="shared" si="374"/>
        <v>1</v>
      </c>
      <c r="V3007" s="403" t="str">
        <f t="shared" si="375"/>
        <v>CPP_7_3</v>
      </c>
    </row>
    <row r="3008" spans="1:22">
      <c r="A3008" t="str">
        <f t="shared" si="368"/>
        <v>NDE-3503-AL</v>
      </c>
      <c r="B3008" s="403" t="s">
        <v>1405</v>
      </c>
      <c r="C3008" s="403" t="s">
        <v>582</v>
      </c>
      <c r="D3008" s="403" t="s">
        <v>1407</v>
      </c>
      <c r="E3008" s="403" t="s">
        <v>778</v>
      </c>
      <c r="F3008" s="403" t="s">
        <v>1375</v>
      </c>
      <c r="G3008" s="403" t="s">
        <v>1467</v>
      </c>
      <c r="H3008" s="403" t="s">
        <v>1281</v>
      </c>
      <c r="I3008" s="403">
        <v>1</v>
      </c>
      <c r="J3008" s="403" t="s">
        <v>110</v>
      </c>
      <c r="K3008" s="403">
        <v>1080</v>
      </c>
      <c r="L3008" s="403">
        <v>1920</v>
      </c>
      <c r="M3008" s="403" t="s">
        <v>1283</v>
      </c>
      <c r="N3008" s="403">
        <v>480</v>
      </c>
      <c r="O3008" s="403">
        <v>720</v>
      </c>
      <c r="P3008" t="str">
        <f t="shared" si="369"/>
        <v>20fps 1080p - SD 4CIF resolution 4:3 format (cropped)</v>
      </c>
      <c r="Q3008">
        <f t="shared" si="370"/>
        <v>17</v>
      </c>
      <c r="R3008" t="str">
        <f t="shared" si="371"/>
        <v/>
      </c>
      <c r="S3008" t="str">
        <f t="shared" si="372"/>
        <v/>
      </c>
      <c r="T3008" s="403" t="str">
        <f t="shared" si="373"/>
        <v>NDE-3503-AL</v>
      </c>
      <c r="U3008" s="403">
        <f t="shared" si="374"/>
        <v>1</v>
      </c>
      <c r="V3008" s="403" t="str">
        <f t="shared" si="375"/>
        <v>CPP_7_3</v>
      </c>
    </row>
    <row r="3009" spans="1:22">
      <c r="A3009" t="str">
        <f t="shared" si="368"/>
        <v>NDE-3503-AL</v>
      </c>
      <c r="B3009" s="403" t="s">
        <v>1405</v>
      </c>
      <c r="C3009" s="403" t="s">
        <v>582</v>
      </c>
      <c r="D3009" s="403" t="s">
        <v>1407</v>
      </c>
      <c r="E3009" s="403" t="s">
        <v>778</v>
      </c>
      <c r="F3009" s="403" t="s">
        <v>1375</v>
      </c>
      <c r="G3009" s="403" t="s">
        <v>1467</v>
      </c>
      <c r="H3009" s="403" t="s">
        <v>1281</v>
      </c>
      <c r="I3009" s="403">
        <v>1</v>
      </c>
      <c r="J3009" s="403" t="s">
        <v>110</v>
      </c>
      <c r="K3009" s="403">
        <v>1080</v>
      </c>
      <c r="L3009" s="403">
        <v>1920</v>
      </c>
      <c r="M3009" s="403" t="s">
        <v>1284</v>
      </c>
      <c r="N3009" s="403">
        <v>480</v>
      </c>
      <c r="O3009" s="403">
        <v>640</v>
      </c>
      <c r="P3009" t="str">
        <f t="shared" si="369"/>
        <v>20fps 1080p - SD VGA (cropped)</v>
      </c>
      <c r="Q3009">
        <f t="shared" si="370"/>
        <v>17</v>
      </c>
      <c r="R3009" t="str">
        <f t="shared" si="371"/>
        <v/>
      </c>
      <c r="S3009" t="str">
        <f t="shared" si="372"/>
        <v/>
      </c>
      <c r="T3009" s="403" t="str">
        <f t="shared" si="373"/>
        <v>NDE-3503-AL</v>
      </c>
      <c r="U3009" s="403">
        <f t="shared" si="374"/>
        <v>1</v>
      </c>
      <c r="V3009" s="403" t="str">
        <f t="shared" si="375"/>
        <v>CPP_7_3</v>
      </c>
    </row>
    <row r="3010" spans="1:22">
      <c r="A3010" t="str">
        <f t="shared" ref="A3010:A3073" si="376">IF(AND(G3010&lt;&gt;"rotate 90°"),D3010,"")</f>
        <v>NDE-3503-AL</v>
      </c>
      <c r="B3010" s="403" t="s">
        <v>1405</v>
      </c>
      <c r="C3010" s="403" t="s">
        <v>582</v>
      </c>
      <c r="D3010" s="403" t="s">
        <v>1407</v>
      </c>
      <c r="E3010" s="403" t="s">
        <v>778</v>
      </c>
      <c r="F3010" s="403" t="s">
        <v>1375</v>
      </c>
      <c r="G3010" s="403" t="s">
        <v>1467</v>
      </c>
      <c r="H3010" s="403" t="s">
        <v>1281</v>
      </c>
      <c r="I3010" s="403">
        <v>1</v>
      </c>
      <c r="J3010" s="403" t="s">
        <v>109</v>
      </c>
      <c r="K3010" s="403">
        <v>720</v>
      </c>
      <c r="L3010" s="403">
        <v>1280</v>
      </c>
      <c r="M3010" s="403" t="s">
        <v>109</v>
      </c>
      <c r="N3010" s="403">
        <v>720</v>
      </c>
      <c r="O3010" s="403">
        <v>1280</v>
      </c>
      <c r="P3010" t="str">
        <f t="shared" ref="P3010:P3073" si="377">LEFT(F3010,5)&amp;" "&amp;J3010&amp;" - "&amp;M3010</f>
        <v>20fps 720p - 720p</v>
      </c>
      <c r="Q3010">
        <f t="shared" ref="Q3010:Q3073" si="378">IF(A3009=A3010,Q3009,Q3009+1)</f>
        <v>17</v>
      </c>
      <c r="R3010" t="str">
        <f t="shared" ref="R3010:R3073" si="379">IF(Q3009&lt;&gt;Q3010,Q3010,"")</f>
        <v/>
      </c>
      <c r="S3010" t="str">
        <f t="shared" ref="S3010:S3073" si="380">IF(R3010&lt;&gt;"",B3010&amp;" ("&amp;D3010&amp;")","")</f>
        <v/>
      </c>
      <c r="T3010" s="403" t="str">
        <f t="shared" ref="T3010:T3073" si="381">D3010</f>
        <v>NDE-3503-AL</v>
      </c>
      <c r="U3010" s="403">
        <f t="shared" ref="U3010:U3073" si="382">I3010</f>
        <v>1</v>
      </c>
      <c r="V3010" s="403" t="str">
        <f t="shared" ref="V3010:V3073" si="383">C3010</f>
        <v>CPP_7_3</v>
      </c>
    </row>
    <row r="3011" spans="1:22">
      <c r="A3011" t="str">
        <f t="shared" si="376"/>
        <v>NDE-3503-AL</v>
      </c>
      <c r="B3011" s="403" t="s">
        <v>1405</v>
      </c>
      <c r="C3011" s="403" t="s">
        <v>582</v>
      </c>
      <c r="D3011" s="403" t="s">
        <v>1407</v>
      </c>
      <c r="E3011" s="403" t="s">
        <v>778</v>
      </c>
      <c r="F3011" s="403" t="s">
        <v>1375</v>
      </c>
      <c r="G3011" s="403" t="s">
        <v>1467</v>
      </c>
      <c r="H3011" s="403" t="s">
        <v>1281</v>
      </c>
      <c r="I3011" s="403">
        <v>1</v>
      </c>
      <c r="J3011" s="403" t="s">
        <v>109</v>
      </c>
      <c r="K3011" s="403">
        <v>720</v>
      </c>
      <c r="L3011" s="403">
        <v>1280</v>
      </c>
      <c r="M3011" s="403" t="s">
        <v>111</v>
      </c>
      <c r="N3011" s="403">
        <v>432</v>
      </c>
      <c r="O3011" s="403">
        <v>768</v>
      </c>
      <c r="P3011" t="str">
        <f t="shared" si="377"/>
        <v>20fps 720p - SD</v>
      </c>
      <c r="Q3011">
        <f t="shared" si="378"/>
        <v>17</v>
      </c>
      <c r="R3011" t="str">
        <f t="shared" si="379"/>
        <v/>
      </c>
      <c r="S3011" t="str">
        <f t="shared" si="380"/>
        <v/>
      </c>
      <c r="T3011" s="403" t="str">
        <f t="shared" si="381"/>
        <v>NDE-3503-AL</v>
      </c>
      <c r="U3011" s="403">
        <f t="shared" si="382"/>
        <v>1</v>
      </c>
      <c r="V3011" s="403" t="str">
        <f t="shared" si="383"/>
        <v>CPP_7_3</v>
      </c>
    </row>
    <row r="3012" spans="1:22">
      <c r="A3012" t="str">
        <f t="shared" si="376"/>
        <v>NDE-3503-AL</v>
      </c>
      <c r="B3012" s="403" t="s">
        <v>1405</v>
      </c>
      <c r="C3012" s="403" t="s">
        <v>582</v>
      </c>
      <c r="D3012" s="403" t="s">
        <v>1407</v>
      </c>
      <c r="E3012" s="403" t="s">
        <v>778</v>
      </c>
      <c r="F3012" s="403" t="s">
        <v>1375</v>
      </c>
      <c r="G3012" s="403" t="s">
        <v>1467</v>
      </c>
      <c r="H3012" s="403" t="s">
        <v>1281</v>
      </c>
      <c r="I3012" s="403">
        <v>1</v>
      </c>
      <c r="J3012" s="403" t="s">
        <v>109</v>
      </c>
      <c r="K3012" s="403">
        <v>720</v>
      </c>
      <c r="L3012" s="403">
        <v>1280</v>
      </c>
      <c r="M3012" s="403" t="s">
        <v>1279</v>
      </c>
      <c r="N3012" s="403">
        <v>432</v>
      </c>
      <c r="O3012" s="403">
        <v>768</v>
      </c>
      <c r="P3012" t="str">
        <f t="shared" si="377"/>
        <v>20fps 720p - SD ROI PTZ</v>
      </c>
      <c r="Q3012">
        <f t="shared" si="378"/>
        <v>17</v>
      </c>
      <c r="R3012" t="str">
        <f t="shared" si="379"/>
        <v/>
      </c>
      <c r="S3012" t="str">
        <f t="shared" si="380"/>
        <v/>
      </c>
      <c r="T3012" s="403" t="str">
        <f t="shared" si="381"/>
        <v>NDE-3503-AL</v>
      </c>
      <c r="U3012" s="403">
        <f t="shared" si="382"/>
        <v>1</v>
      </c>
      <c r="V3012" s="403" t="str">
        <f t="shared" si="383"/>
        <v>CPP_7_3</v>
      </c>
    </row>
    <row r="3013" spans="1:22">
      <c r="A3013" t="str">
        <f t="shared" si="376"/>
        <v>NDE-3503-AL</v>
      </c>
      <c r="B3013" s="403" t="s">
        <v>1405</v>
      </c>
      <c r="C3013" s="403" t="s">
        <v>582</v>
      </c>
      <c r="D3013" s="403" t="s">
        <v>1407</v>
      </c>
      <c r="E3013" s="403" t="s">
        <v>778</v>
      </c>
      <c r="F3013" s="403" t="s">
        <v>1375</v>
      </c>
      <c r="G3013" s="403" t="s">
        <v>1467</v>
      </c>
      <c r="H3013" s="403" t="s">
        <v>1281</v>
      </c>
      <c r="I3013" s="403">
        <v>1</v>
      </c>
      <c r="J3013" s="403" t="s">
        <v>109</v>
      </c>
      <c r="K3013" s="403">
        <v>720</v>
      </c>
      <c r="L3013" s="403">
        <v>1280</v>
      </c>
      <c r="M3013" s="403" t="s">
        <v>1283</v>
      </c>
      <c r="N3013" s="403">
        <v>480</v>
      </c>
      <c r="O3013" s="403">
        <v>720</v>
      </c>
      <c r="P3013" t="str">
        <f t="shared" si="377"/>
        <v>20fps 720p - SD 4CIF resolution 4:3 format (cropped)</v>
      </c>
      <c r="Q3013">
        <f t="shared" si="378"/>
        <v>17</v>
      </c>
      <c r="R3013" t="str">
        <f t="shared" si="379"/>
        <v/>
      </c>
      <c r="S3013" t="str">
        <f t="shared" si="380"/>
        <v/>
      </c>
      <c r="T3013" s="403" t="str">
        <f t="shared" si="381"/>
        <v>NDE-3503-AL</v>
      </c>
      <c r="U3013" s="403">
        <f t="shared" si="382"/>
        <v>1</v>
      </c>
      <c r="V3013" s="403" t="str">
        <f t="shared" si="383"/>
        <v>CPP_7_3</v>
      </c>
    </row>
    <row r="3014" spans="1:22">
      <c r="A3014" t="str">
        <f t="shared" si="376"/>
        <v>NDE-3503-AL</v>
      </c>
      <c r="B3014" s="403" t="s">
        <v>1405</v>
      </c>
      <c r="C3014" s="403" t="s">
        <v>582</v>
      </c>
      <c r="D3014" s="403" t="s">
        <v>1407</v>
      </c>
      <c r="E3014" s="403" t="s">
        <v>778</v>
      </c>
      <c r="F3014" s="403" t="s">
        <v>1375</v>
      </c>
      <c r="G3014" s="403" t="s">
        <v>1467</v>
      </c>
      <c r="H3014" s="403" t="s">
        <v>1281</v>
      </c>
      <c r="I3014" s="403">
        <v>1</v>
      </c>
      <c r="J3014" s="403" t="s">
        <v>109</v>
      </c>
      <c r="K3014" s="403">
        <v>720</v>
      </c>
      <c r="L3014" s="403">
        <v>1280</v>
      </c>
      <c r="M3014" s="403" t="s">
        <v>1284</v>
      </c>
      <c r="N3014" s="403">
        <v>480</v>
      </c>
      <c r="O3014" s="403">
        <v>640</v>
      </c>
      <c r="P3014" t="str">
        <f t="shared" si="377"/>
        <v>20fps 720p - SD VGA (cropped)</v>
      </c>
      <c r="Q3014">
        <f t="shared" si="378"/>
        <v>17</v>
      </c>
      <c r="R3014" t="str">
        <f t="shared" si="379"/>
        <v/>
      </c>
      <c r="S3014" t="str">
        <f t="shared" si="380"/>
        <v/>
      </c>
      <c r="T3014" s="403" t="str">
        <f t="shared" si="381"/>
        <v>NDE-3503-AL</v>
      </c>
      <c r="U3014" s="403">
        <f t="shared" si="382"/>
        <v>1</v>
      </c>
      <c r="V3014" s="403" t="str">
        <f t="shared" si="383"/>
        <v>CPP_7_3</v>
      </c>
    </row>
    <row r="3015" spans="1:22">
      <c r="A3015" t="str">
        <f t="shared" si="376"/>
        <v>NDE-4502-AL</v>
      </c>
      <c r="B3015" s="403" t="s">
        <v>1408</v>
      </c>
      <c r="C3015" s="403" t="s">
        <v>582</v>
      </c>
      <c r="D3015" s="403" t="s">
        <v>1409</v>
      </c>
      <c r="E3015" s="403" t="s">
        <v>778</v>
      </c>
      <c r="F3015" s="403" t="s">
        <v>1286</v>
      </c>
      <c r="G3015" s="403" t="s">
        <v>1466</v>
      </c>
      <c r="H3015" s="403" t="s">
        <v>1276</v>
      </c>
      <c r="I3015" s="403">
        <v>1</v>
      </c>
      <c r="J3015" s="403" t="s">
        <v>110</v>
      </c>
      <c r="K3015" s="403">
        <v>1920</v>
      </c>
      <c r="L3015" s="403">
        <v>1080</v>
      </c>
      <c r="M3015" s="403" t="s">
        <v>111</v>
      </c>
      <c r="N3015" s="403">
        <v>768</v>
      </c>
      <c r="O3015" s="403">
        <v>432</v>
      </c>
      <c r="P3015" t="str">
        <f t="shared" si="377"/>
        <v>30fps 1080p - SD</v>
      </c>
      <c r="Q3015">
        <f t="shared" si="378"/>
        <v>18</v>
      </c>
      <c r="R3015">
        <f t="shared" si="379"/>
        <v>18</v>
      </c>
      <c r="S3015" t="str">
        <f t="shared" si="380"/>
        <v>FLEXIDOME IP 4000i IR (NDE-4502-AL)</v>
      </c>
      <c r="T3015" s="403" t="str">
        <f t="shared" si="381"/>
        <v>NDE-4502-AL</v>
      </c>
      <c r="U3015" s="403">
        <f t="shared" si="382"/>
        <v>1</v>
      </c>
      <c r="V3015" s="403" t="str">
        <f t="shared" si="383"/>
        <v>CPP_7_3</v>
      </c>
    </row>
    <row r="3016" spans="1:22">
      <c r="A3016" t="str">
        <f t="shared" si="376"/>
        <v>NDE-4502-AL</v>
      </c>
      <c r="B3016" s="403" t="s">
        <v>1408</v>
      </c>
      <c r="C3016" s="403" t="s">
        <v>582</v>
      </c>
      <c r="D3016" s="403" t="s">
        <v>1409</v>
      </c>
      <c r="E3016" s="403" t="s">
        <v>778</v>
      </c>
      <c r="F3016" s="403" t="s">
        <v>1286</v>
      </c>
      <c r="G3016" s="403" t="s">
        <v>1466</v>
      </c>
      <c r="H3016" s="403" t="s">
        <v>1276</v>
      </c>
      <c r="I3016" s="403">
        <v>1</v>
      </c>
      <c r="J3016" s="403" t="s">
        <v>110</v>
      </c>
      <c r="K3016" s="403">
        <v>1920</v>
      </c>
      <c r="L3016" s="403">
        <v>1080</v>
      </c>
      <c r="M3016" s="403" t="s">
        <v>110</v>
      </c>
      <c r="N3016" s="403">
        <v>1920</v>
      </c>
      <c r="O3016" s="403">
        <v>1080</v>
      </c>
      <c r="P3016" t="str">
        <f t="shared" si="377"/>
        <v>30fps 1080p - 1080p</v>
      </c>
      <c r="Q3016">
        <f t="shared" si="378"/>
        <v>18</v>
      </c>
      <c r="R3016" t="str">
        <f t="shared" si="379"/>
        <v/>
      </c>
      <c r="S3016" t="str">
        <f t="shared" si="380"/>
        <v/>
      </c>
      <c r="T3016" s="403" t="str">
        <f t="shared" si="381"/>
        <v>NDE-4502-AL</v>
      </c>
      <c r="U3016" s="403">
        <f t="shared" si="382"/>
        <v>1</v>
      </c>
      <c r="V3016" s="403" t="str">
        <f t="shared" si="383"/>
        <v>CPP_7_3</v>
      </c>
    </row>
    <row r="3017" spans="1:22">
      <c r="A3017" t="str">
        <f t="shared" si="376"/>
        <v>NDE-4502-AL</v>
      </c>
      <c r="B3017" s="403" t="s">
        <v>1408</v>
      </c>
      <c r="C3017" s="403" t="s">
        <v>582</v>
      </c>
      <c r="D3017" s="403" t="s">
        <v>1409</v>
      </c>
      <c r="E3017" s="403" t="s">
        <v>778</v>
      </c>
      <c r="F3017" s="403" t="s">
        <v>1286</v>
      </c>
      <c r="G3017" s="403" t="s">
        <v>1466</v>
      </c>
      <c r="H3017" s="403" t="s">
        <v>1276</v>
      </c>
      <c r="I3017" s="403">
        <v>1</v>
      </c>
      <c r="J3017" s="403" t="s">
        <v>110</v>
      </c>
      <c r="K3017" s="403">
        <v>1920</v>
      </c>
      <c r="L3017" s="403">
        <v>1080</v>
      </c>
      <c r="M3017" s="403" t="s">
        <v>109</v>
      </c>
      <c r="N3017" s="403">
        <v>1280</v>
      </c>
      <c r="O3017" s="403">
        <v>720</v>
      </c>
      <c r="P3017" t="str">
        <f t="shared" si="377"/>
        <v>30fps 1080p - 720p</v>
      </c>
      <c r="Q3017">
        <f t="shared" si="378"/>
        <v>18</v>
      </c>
      <c r="R3017" t="str">
        <f t="shared" si="379"/>
        <v/>
      </c>
      <c r="S3017" t="str">
        <f t="shared" si="380"/>
        <v/>
      </c>
      <c r="T3017" s="403" t="str">
        <f t="shared" si="381"/>
        <v>NDE-4502-AL</v>
      </c>
      <c r="U3017" s="403">
        <f t="shared" si="382"/>
        <v>1</v>
      </c>
      <c r="V3017" s="403" t="str">
        <f t="shared" si="383"/>
        <v>CPP_7_3</v>
      </c>
    </row>
    <row r="3018" spans="1:22">
      <c r="A3018" t="str">
        <f t="shared" si="376"/>
        <v>NDE-4502-AL</v>
      </c>
      <c r="B3018" s="403" t="s">
        <v>1408</v>
      </c>
      <c r="C3018" s="403" t="s">
        <v>582</v>
      </c>
      <c r="D3018" s="403" t="s">
        <v>1409</v>
      </c>
      <c r="E3018" s="403" t="s">
        <v>778</v>
      </c>
      <c r="F3018" s="403" t="s">
        <v>1286</v>
      </c>
      <c r="G3018" s="403" t="s">
        <v>1466</v>
      </c>
      <c r="H3018" s="403" t="s">
        <v>1276</v>
      </c>
      <c r="I3018" s="403">
        <v>1</v>
      </c>
      <c r="J3018" s="403" t="s">
        <v>110</v>
      </c>
      <c r="K3018" s="403">
        <v>1920</v>
      </c>
      <c r="L3018" s="403">
        <v>1080</v>
      </c>
      <c r="M3018" s="403" t="s">
        <v>1285</v>
      </c>
      <c r="N3018" s="403">
        <v>1280</v>
      </c>
      <c r="O3018" s="403">
        <v>1024</v>
      </c>
      <c r="P3018" t="str">
        <f t="shared" si="377"/>
        <v>30fps 1080p - 1280x1024 5:4 (cropped)</v>
      </c>
      <c r="Q3018">
        <f t="shared" si="378"/>
        <v>18</v>
      </c>
      <c r="R3018" t="str">
        <f t="shared" si="379"/>
        <v/>
      </c>
      <c r="S3018" t="str">
        <f t="shared" si="380"/>
        <v/>
      </c>
      <c r="T3018" s="403" t="str">
        <f t="shared" si="381"/>
        <v>NDE-4502-AL</v>
      </c>
      <c r="U3018" s="403">
        <f t="shared" si="382"/>
        <v>1</v>
      </c>
      <c r="V3018" s="403" t="str">
        <f t="shared" si="383"/>
        <v>CPP_7_3</v>
      </c>
    </row>
    <row r="3019" spans="1:22">
      <c r="A3019" t="str">
        <f t="shared" si="376"/>
        <v>NDE-4502-AL</v>
      </c>
      <c r="B3019" s="403" t="s">
        <v>1408</v>
      </c>
      <c r="C3019" s="403" t="s">
        <v>582</v>
      </c>
      <c r="D3019" s="403" t="s">
        <v>1409</v>
      </c>
      <c r="E3019" s="403" t="s">
        <v>778</v>
      </c>
      <c r="F3019" s="403" t="s">
        <v>1286</v>
      </c>
      <c r="G3019" s="403" t="s">
        <v>1466</v>
      </c>
      <c r="H3019" s="403" t="s">
        <v>1276</v>
      </c>
      <c r="I3019" s="403">
        <v>1</v>
      </c>
      <c r="J3019" s="403" t="s">
        <v>110</v>
      </c>
      <c r="K3019" s="403">
        <v>1920</v>
      </c>
      <c r="L3019" s="403">
        <v>1080</v>
      </c>
      <c r="M3019" s="403" t="s">
        <v>1279</v>
      </c>
      <c r="N3019" s="403">
        <v>768</v>
      </c>
      <c r="O3019" s="403">
        <v>432</v>
      </c>
      <c r="P3019" t="str">
        <f t="shared" si="377"/>
        <v>30fps 1080p - SD ROI PTZ</v>
      </c>
      <c r="Q3019">
        <f t="shared" si="378"/>
        <v>18</v>
      </c>
      <c r="R3019" t="str">
        <f t="shared" si="379"/>
        <v/>
      </c>
      <c r="S3019" t="str">
        <f t="shared" si="380"/>
        <v/>
      </c>
      <c r="T3019" s="403" t="str">
        <f t="shared" si="381"/>
        <v>NDE-4502-AL</v>
      </c>
      <c r="U3019" s="403">
        <f t="shared" si="382"/>
        <v>1</v>
      </c>
      <c r="V3019" s="403" t="str">
        <f t="shared" si="383"/>
        <v>CPP_7_3</v>
      </c>
    </row>
    <row r="3020" spans="1:22">
      <c r="A3020" t="str">
        <f t="shared" si="376"/>
        <v>NDE-4502-AL</v>
      </c>
      <c r="B3020" s="403" t="s">
        <v>1408</v>
      </c>
      <c r="C3020" s="403" t="s">
        <v>582</v>
      </c>
      <c r="D3020" s="403" t="s">
        <v>1409</v>
      </c>
      <c r="E3020" s="403" t="s">
        <v>778</v>
      </c>
      <c r="F3020" s="403" t="s">
        <v>1286</v>
      </c>
      <c r="G3020" s="403" t="s">
        <v>1466</v>
      </c>
      <c r="H3020" s="403" t="s">
        <v>1276</v>
      </c>
      <c r="I3020" s="403">
        <v>1</v>
      </c>
      <c r="J3020" s="403" t="s">
        <v>110</v>
      </c>
      <c r="K3020" s="403">
        <v>1920</v>
      </c>
      <c r="L3020" s="403">
        <v>1080</v>
      </c>
      <c r="M3020" s="403" t="s">
        <v>1283</v>
      </c>
      <c r="N3020" s="403">
        <v>720</v>
      </c>
      <c r="O3020" s="403">
        <v>480</v>
      </c>
      <c r="P3020" t="str">
        <f t="shared" si="377"/>
        <v>30fps 1080p - SD 4CIF resolution 4:3 format (cropped)</v>
      </c>
      <c r="Q3020">
        <f t="shared" si="378"/>
        <v>18</v>
      </c>
      <c r="R3020" t="str">
        <f t="shared" si="379"/>
        <v/>
      </c>
      <c r="S3020" t="str">
        <f t="shared" si="380"/>
        <v/>
      </c>
      <c r="T3020" s="403" t="str">
        <f t="shared" si="381"/>
        <v>NDE-4502-AL</v>
      </c>
      <c r="U3020" s="403">
        <f t="shared" si="382"/>
        <v>1</v>
      </c>
      <c r="V3020" s="403" t="str">
        <f t="shared" si="383"/>
        <v>CPP_7_3</v>
      </c>
    </row>
    <row r="3021" spans="1:22">
      <c r="A3021" t="str">
        <f t="shared" si="376"/>
        <v>NDE-4502-AL</v>
      </c>
      <c r="B3021" s="403" t="s">
        <v>1408</v>
      </c>
      <c r="C3021" s="403" t="s">
        <v>582</v>
      </c>
      <c r="D3021" s="403" t="s">
        <v>1409</v>
      </c>
      <c r="E3021" s="403" t="s">
        <v>778</v>
      </c>
      <c r="F3021" s="403" t="s">
        <v>1286</v>
      </c>
      <c r="G3021" s="403" t="s">
        <v>1466</v>
      </c>
      <c r="H3021" s="403" t="s">
        <v>1276</v>
      </c>
      <c r="I3021" s="403">
        <v>1</v>
      </c>
      <c r="J3021" s="403" t="s">
        <v>110</v>
      </c>
      <c r="K3021" s="403">
        <v>1920</v>
      </c>
      <c r="L3021" s="403">
        <v>1080</v>
      </c>
      <c r="M3021" s="403" t="s">
        <v>1284</v>
      </c>
      <c r="N3021" s="403">
        <v>640</v>
      </c>
      <c r="O3021" s="403">
        <v>480</v>
      </c>
      <c r="P3021" t="str">
        <f t="shared" si="377"/>
        <v>30fps 1080p - SD VGA (cropped)</v>
      </c>
      <c r="Q3021">
        <f t="shared" si="378"/>
        <v>18</v>
      </c>
      <c r="R3021" t="str">
        <f t="shared" si="379"/>
        <v/>
      </c>
      <c r="S3021" t="str">
        <f t="shared" si="380"/>
        <v/>
      </c>
      <c r="T3021" s="403" t="str">
        <f t="shared" si="381"/>
        <v>NDE-4502-AL</v>
      </c>
      <c r="U3021" s="403">
        <f t="shared" si="382"/>
        <v>1</v>
      </c>
      <c r="V3021" s="403" t="str">
        <f t="shared" si="383"/>
        <v>CPP_7_3</v>
      </c>
    </row>
    <row r="3022" spans="1:22">
      <c r="A3022" t="str">
        <f t="shared" si="376"/>
        <v>NDE-4502-AL</v>
      </c>
      <c r="B3022" s="403" t="s">
        <v>1408</v>
      </c>
      <c r="C3022" s="403" t="s">
        <v>582</v>
      </c>
      <c r="D3022" s="403" t="s">
        <v>1409</v>
      </c>
      <c r="E3022" s="403" t="s">
        <v>778</v>
      </c>
      <c r="F3022" s="403" t="s">
        <v>1286</v>
      </c>
      <c r="G3022" s="403" t="s">
        <v>1466</v>
      </c>
      <c r="H3022" s="403" t="s">
        <v>1276</v>
      </c>
      <c r="I3022" s="403">
        <v>1</v>
      </c>
      <c r="J3022" s="403" t="s">
        <v>109</v>
      </c>
      <c r="K3022" s="403">
        <v>1280</v>
      </c>
      <c r="L3022" s="403">
        <v>720</v>
      </c>
      <c r="M3022" s="403" t="s">
        <v>109</v>
      </c>
      <c r="N3022" s="403">
        <v>1280</v>
      </c>
      <c r="O3022" s="403">
        <v>720</v>
      </c>
      <c r="P3022" t="str">
        <f t="shared" si="377"/>
        <v>30fps 720p - 720p</v>
      </c>
      <c r="Q3022">
        <f t="shared" si="378"/>
        <v>18</v>
      </c>
      <c r="R3022" t="str">
        <f t="shared" si="379"/>
        <v/>
      </c>
      <c r="S3022" t="str">
        <f t="shared" si="380"/>
        <v/>
      </c>
      <c r="T3022" s="403" t="str">
        <f t="shared" si="381"/>
        <v>NDE-4502-AL</v>
      </c>
      <c r="U3022" s="403">
        <f t="shared" si="382"/>
        <v>1</v>
      </c>
      <c r="V3022" s="403" t="str">
        <f t="shared" si="383"/>
        <v>CPP_7_3</v>
      </c>
    </row>
    <row r="3023" spans="1:22">
      <c r="A3023" t="str">
        <f t="shared" si="376"/>
        <v>NDE-4502-AL</v>
      </c>
      <c r="B3023" s="403" t="s">
        <v>1408</v>
      </c>
      <c r="C3023" s="403" t="s">
        <v>582</v>
      </c>
      <c r="D3023" s="403" t="s">
        <v>1409</v>
      </c>
      <c r="E3023" s="403" t="s">
        <v>778</v>
      </c>
      <c r="F3023" s="403" t="s">
        <v>1286</v>
      </c>
      <c r="G3023" s="403" t="s">
        <v>1466</v>
      </c>
      <c r="H3023" s="403" t="s">
        <v>1276</v>
      </c>
      <c r="I3023" s="403">
        <v>1</v>
      </c>
      <c r="J3023" s="403" t="s">
        <v>109</v>
      </c>
      <c r="K3023" s="403">
        <v>1280</v>
      </c>
      <c r="L3023" s="403">
        <v>720</v>
      </c>
      <c r="M3023" s="403" t="s">
        <v>111</v>
      </c>
      <c r="N3023" s="403">
        <v>768</v>
      </c>
      <c r="O3023" s="403">
        <v>432</v>
      </c>
      <c r="P3023" t="str">
        <f t="shared" si="377"/>
        <v>30fps 720p - SD</v>
      </c>
      <c r="Q3023">
        <f t="shared" si="378"/>
        <v>18</v>
      </c>
      <c r="R3023" t="str">
        <f t="shared" si="379"/>
        <v/>
      </c>
      <c r="S3023" t="str">
        <f t="shared" si="380"/>
        <v/>
      </c>
      <c r="T3023" s="403" t="str">
        <f t="shared" si="381"/>
        <v>NDE-4502-AL</v>
      </c>
      <c r="U3023" s="403">
        <f t="shared" si="382"/>
        <v>1</v>
      </c>
      <c r="V3023" s="403" t="str">
        <f t="shared" si="383"/>
        <v>CPP_7_3</v>
      </c>
    </row>
    <row r="3024" spans="1:22">
      <c r="A3024" t="str">
        <f t="shared" si="376"/>
        <v>NDE-4502-AL</v>
      </c>
      <c r="B3024" s="403" t="s">
        <v>1408</v>
      </c>
      <c r="C3024" s="403" t="s">
        <v>582</v>
      </c>
      <c r="D3024" s="403" t="s">
        <v>1409</v>
      </c>
      <c r="E3024" s="403" t="s">
        <v>778</v>
      </c>
      <c r="F3024" s="403" t="s">
        <v>1286</v>
      </c>
      <c r="G3024" s="403" t="s">
        <v>1466</v>
      </c>
      <c r="H3024" s="403" t="s">
        <v>1276</v>
      </c>
      <c r="I3024" s="403">
        <v>1</v>
      </c>
      <c r="J3024" s="403" t="s">
        <v>109</v>
      </c>
      <c r="K3024" s="403">
        <v>1280</v>
      </c>
      <c r="L3024" s="403">
        <v>720</v>
      </c>
      <c r="M3024" s="403" t="s">
        <v>1279</v>
      </c>
      <c r="N3024" s="403">
        <v>768</v>
      </c>
      <c r="O3024" s="403">
        <v>432</v>
      </c>
      <c r="P3024" t="str">
        <f t="shared" si="377"/>
        <v>30fps 720p - SD ROI PTZ</v>
      </c>
      <c r="Q3024">
        <f t="shared" si="378"/>
        <v>18</v>
      </c>
      <c r="R3024" t="str">
        <f t="shared" si="379"/>
        <v/>
      </c>
      <c r="S3024" t="str">
        <f t="shared" si="380"/>
        <v/>
      </c>
      <c r="T3024" s="403" t="str">
        <f t="shared" si="381"/>
        <v>NDE-4502-AL</v>
      </c>
      <c r="U3024" s="403">
        <f t="shared" si="382"/>
        <v>1</v>
      </c>
      <c r="V3024" s="403" t="str">
        <f t="shared" si="383"/>
        <v>CPP_7_3</v>
      </c>
    </row>
    <row r="3025" spans="1:22">
      <c r="A3025" t="str">
        <f t="shared" si="376"/>
        <v>NDE-4502-AL</v>
      </c>
      <c r="B3025" s="403" t="s">
        <v>1408</v>
      </c>
      <c r="C3025" s="403" t="s">
        <v>582</v>
      </c>
      <c r="D3025" s="403" t="s">
        <v>1409</v>
      </c>
      <c r="E3025" s="403" t="s">
        <v>778</v>
      </c>
      <c r="F3025" s="403" t="s">
        <v>1286</v>
      </c>
      <c r="G3025" s="403" t="s">
        <v>1466</v>
      </c>
      <c r="H3025" s="403" t="s">
        <v>1276</v>
      </c>
      <c r="I3025" s="403">
        <v>1</v>
      </c>
      <c r="J3025" s="403" t="s">
        <v>109</v>
      </c>
      <c r="K3025" s="403">
        <v>1280</v>
      </c>
      <c r="L3025" s="403">
        <v>720</v>
      </c>
      <c r="M3025" s="403" t="s">
        <v>1283</v>
      </c>
      <c r="N3025" s="403">
        <v>720</v>
      </c>
      <c r="O3025" s="403">
        <v>480</v>
      </c>
      <c r="P3025" t="str">
        <f t="shared" si="377"/>
        <v>30fps 720p - SD 4CIF resolution 4:3 format (cropped)</v>
      </c>
      <c r="Q3025">
        <f t="shared" si="378"/>
        <v>18</v>
      </c>
      <c r="R3025" t="str">
        <f t="shared" si="379"/>
        <v/>
      </c>
      <c r="S3025" t="str">
        <f t="shared" si="380"/>
        <v/>
      </c>
      <c r="T3025" s="403" t="str">
        <f t="shared" si="381"/>
        <v>NDE-4502-AL</v>
      </c>
      <c r="U3025" s="403">
        <f t="shared" si="382"/>
        <v>1</v>
      </c>
      <c r="V3025" s="403" t="str">
        <f t="shared" si="383"/>
        <v>CPP_7_3</v>
      </c>
    </row>
    <row r="3026" spans="1:22">
      <c r="A3026" t="str">
        <f t="shared" si="376"/>
        <v>NDE-4502-AL</v>
      </c>
      <c r="B3026" s="403" t="s">
        <v>1408</v>
      </c>
      <c r="C3026" s="403" t="s">
        <v>582</v>
      </c>
      <c r="D3026" s="403" t="s">
        <v>1409</v>
      </c>
      <c r="E3026" s="403" t="s">
        <v>778</v>
      </c>
      <c r="F3026" s="403" t="s">
        <v>1286</v>
      </c>
      <c r="G3026" s="403" t="s">
        <v>1466</v>
      </c>
      <c r="H3026" s="403" t="s">
        <v>1276</v>
      </c>
      <c r="I3026" s="403">
        <v>1</v>
      </c>
      <c r="J3026" s="403" t="s">
        <v>109</v>
      </c>
      <c r="K3026" s="403">
        <v>1280</v>
      </c>
      <c r="L3026" s="403">
        <v>720</v>
      </c>
      <c r="M3026" s="403" t="s">
        <v>1284</v>
      </c>
      <c r="N3026" s="403">
        <v>640</v>
      </c>
      <c r="O3026" s="403">
        <v>480</v>
      </c>
      <c r="P3026" t="str">
        <f t="shared" si="377"/>
        <v>30fps 720p - SD VGA (cropped)</v>
      </c>
      <c r="Q3026">
        <f t="shared" si="378"/>
        <v>18</v>
      </c>
      <c r="R3026" t="str">
        <f t="shared" si="379"/>
        <v/>
      </c>
      <c r="S3026" t="str">
        <f t="shared" si="380"/>
        <v/>
      </c>
      <c r="T3026" s="403" t="str">
        <f t="shared" si="381"/>
        <v>NDE-4502-AL</v>
      </c>
      <c r="U3026" s="403">
        <f t="shared" si="382"/>
        <v>1</v>
      </c>
      <c r="V3026" s="403" t="str">
        <f t="shared" si="383"/>
        <v>CPP_7_3</v>
      </c>
    </row>
    <row r="3027" spans="1:22">
      <c r="A3027" t="str">
        <f t="shared" si="376"/>
        <v>NDE-4502-AL</v>
      </c>
      <c r="B3027" s="403" t="s">
        <v>1408</v>
      </c>
      <c r="C3027" s="403" t="s">
        <v>582</v>
      </c>
      <c r="D3027" s="403" t="s">
        <v>1409</v>
      </c>
      <c r="E3027" s="403" t="s">
        <v>778</v>
      </c>
      <c r="F3027" s="403" t="s">
        <v>1286</v>
      </c>
      <c r="G3027" s="403" t="s">
        <v>1466</v>
      </c>
      <c r="H3027" s="403" t="s">
        <v>1281</v>
      </c>
      <c r="I3027" s="403">
        <v>1</v>
      </c>
      <c r="J3027" s="403" t="s">
        <v>110</v>
      </c>
      <c r="K3027" s="403">
        <v>1920</v>
      </c>
      <c r="L3027" s="403">
        <v>1080</v>
      </c>
      <c r="M3027" s="403" t="s">
        <v>111</v>
      </c>
      <c r="N3027" s="403">
        <v>768</v>
      </c>
      <c r="O3027" s="403">
        <v>432</v>
      </c>
      <c r="P3027" t="str">
        <f t="shared" si="377"/>
        <v>30fps 1080p - SD</v>
      </c>
      <c r="Q3027">
        <f t="shared" si="378"/>
        <v>18</v>
      </c>
      <c r="R3027" t="str">
        <f t="shared" si="379"/>
        <v/>
      </c>
      <c r="S3027" t="str">
        <f t="shared" si="380"/>
        <v/>
      </c>
      <c r="T3027" s="403" t="str">
        <f t="shared" si="381"/>
        <v>NDE-4502-AL</v>
      </c>
      <c r="U3027" s="403">
        <f t="shared" si="382"/>
        <v>1</v>
      </c>
      <c r="V3027" s="403" t="str">
        <f t="shared" si="383"/>
        <v>CPP_7_3</v>
      </c>
    </row>
    <row r="3028" spans="1:22">
      <c r="A3028" t="str">
        <f t="shared" si="376"/>
        <v>NDE-4502-AL</v>
      </c>
      <c r="B3028" s="403" t="s">
        <v>1408</v>
      </c>
      <c r="C3028" s="403" t="s">
        <v>582</v>
      </c>
      <c r="D3028" s="403" t="s">
        <v>1409</v>
      </c>
      <c r="E3028" s="403" t="s">
        <v>778</v>
      </c>
      <c r="F3028" s="403" t="s">
        <v>1286</v>
      </c>
      <c r="G3028" s="403" t="s">
        <v>1466</v>
      </c>
      <c r="H3028" s="403" t="s">
        <v>1281</v>
      </c>
      <c r="I3028" s="403">
        <v>1</v>
      </c>
      <c r="J3028" s="403" t="s">
        <v>110</v>
      </c>
      <c r="K3028" s="403">
        <v>1920</v>
      </c>
      <c r="L3028" s="403">
        <v>1080</v>
      </c>
      <c r="M3028" s="403" t="s">
        <v>110</v>
      </c>
      <c r="N3028" s="403">
        <v>1920</v>
      </c>
      <c r="O3028" s="403">
        <v>1080</v>
      </c>
      <c r="P3028" t="str">
        <f t="shared" si="377"/>
        <v>30fps 1080p - 1080p</v>
      </c>
      <c r="Q3028">
        <f t="shared" si="378"/>
        <v>18</v>
      </c>
      <c r="R3028" t="str">
        <f t="shared" si="379"/>
        <v/>
      </c>
      <c r="S3028" t="str">
        <f t="shared" si="380"/>
        <v/>
      </c>
      <c r="T3028" s="403" t="str">
        <f t="shared" si="381"/>
        <v>NDE-4502-AL</v>
      </c>
      <c r="U3028" s="403">
        <f t="shared" si="382"/>
        <v>1</v>
      </c>
      <c r="V3028" s="403" t="str">
        <f t="shared" si="383"/>
        <v>CPP_7_3</v>
      </c>
    </row>
    <row r="3029" spans="1:22">
      <c r="A3029" t="str">
        <f t="shared" si="376"/>
        <v>NDE-4502-AL</v>
      </c>
      <c r="B3029" s="403" t="s">
        <v>1408</v>
      </c>
      <c r="C3029" s="403" t="s">
        <v>582</v>
      </c>
      <c r="D3029" s="403" t="s">
        <v>1409</v>
      </c>
      <c r="E3029" s="403" t="s">
        <v>778</v>
      </c>
      <c r="F3029" s="403" t="s">
        <v>1286</v>
      </c>
      <c r="G3029" s="403" t="s">
        <v>1466</v>
      </c>
      <c r="H3029" s="403" t="s">
        <v>1281</v>
      </c>
      <c r="I3029" s="403">
        <v>1</v>
      </c>
      <c r="J3029" s="403" t="s">
        <v>110</v>
      </c>
      <c r="K3029" s="403">
        <v>1920</v>
      </c>
      <c r="L3029" s="403">
        <v>1080</v>
      </c>
      <c r="M3029" s="403" t="s">
        <v>109</v>
      </c>
      <c r="N3029" s="403">
        <v>1280</v>
      </c>
      <c r="O3029" s="403">
        <v>720</v>
      </c>
      <c r="P3029" t="str">
        <f t="shared" si="377"/>
        <v>30fps 1080p - 720p</v>
      </c>
      <c r="Q3029">
        <f t="shared" si="378"/>
        <v>18</v>
      </c>
      <c r="R3029" t="str">
        <f t="shared" si="379"/>
        <v/>
      </c>
      <c r="S3029" t="str">
        <f t="shared" si="380"/>
        <v/>
      </c>
      <c r="T3029" s="403" t="str">
        <f t="shared" si="381"/>
        <v>NDE-4502-AL</v>
      </c>
      <c r="U3029" s="403">
        <f t="shared" si="382"/>
        <v>1</v>
      </c>
      <c r="V3029" s="403" t="str">
        <f t="shared" si="383"/>
        <v>CPP_7_3</v>
      </c>
    </row>
    <row r="3030" spans="1:22">
      <c r="A3030" t="str">
        <f t="shared" si="376"/>
        <v>NDE-4502-AL</v>
      </c>
      <c r="B3030" s="403" t="s">
        <v>1408</v>
      </c>
      <c r="C3030" s="403" t="s">
        <v>582</v>
      </c>
      <c r="D3030" s="403" t="s">
        <v>1409</v>
      </c>
      <c r="E3030" s="403" t="s">
        <v>778</v>
      </c>
      <c r="F3030" s="403" t="s">
        <v>1286</v>
      </c>
      <c r="G3030" s="403" t="s">
        <v>1466</v>
      </c>
      <c r="H3030" s="403" t="s">
        <v>1281</v>
      </c>
      <c r="I3030" s="403">
        <v>1</v>
      </c>
      <c r="J3030" s="403" t="s">
        <v>110</v>
      </c>
      <c r="K3030" s="403">
        <v>1920</v>
      </c>
      <c r="L3030" s="403">
        <v>1080</v>
      </c>
      <c r="M3030" s="403" t="s">
        <v>1285</v>
      </c>
      <c r="N3030" s="403">
        <v>1280</v>
      </c>
      <c r="O3030" s="403">
        <v>1024</v>
      </c>
      <c r="P3030" t="str">
        <f t="shared" si="377"/>
        <v>30fps 1080p - 1280x1024 5:4 (cropped)</v>
      </c>
      <c r="Q3030">
        <f t="shared" si="378"/>
        <v>18</v>
      </c>
      <c r="R3030" t="str">
        <f t="shared" si="379"/>
        <v/>
      </c>
      <c r="S3030" t="str">
        <f t="shared" si="380"/>
        <v/>
      </c>
      <c r="T3030" s="403" t="str">
        <f t="shared" si="381"/>
        <v>NDE-4502-AL</v>
      </c>
      <c r="U3030" s="403">
        <f t="shared" si="382"/>
        <v>1</v>
      </c>
      <c r="V3030" s="403" t="str">
        <f t="shared" si="383"/>
        <v>CPP_7_3</v>
      </c>
    </row>
    <row r="3031" spans="1:22">
      <c r="A3031" t="str">
        <f t="shared" si="376"/>
        <v>NDE-4502-AL</v>
      </c>
      <c r="B3031" s="403" t="s">
        <v>1408</v>
      </c>
      <c r="C3031" s="403" t="s">
        <v>582</v>
      </c>
      <c r="D3031" s="403" t="s">
        <v>1409</v>
      </c>
      <c r="E3031" s="403" t="s">
        <v>778</v>
      </c>
      <c r="F3031" s="403" t="s">
        <v>1286</v>
      </c>
      <c r="G3031" s="403" t="s">
        <v>1466</v>
      </c>
      <c r="H3031" s="403" t="s">
        <v>1281</v>
      </c>
      <c r="I3031" s="403">
        <v>1</v>
      </c>
      <c r="J3031" s="403" t="s">
        <v>110</v>
      </c>
      <c r="K3031" s="403">
        <v>1920</v>
      </c>
      <c r="L3031" s="403">
        <v>1080</v>
      </c>
      <c r="M3031" s="403" t="s">
        <v>1279</v>
      </c>
      <c r="N3031" s="403">
        <v>768</v>
      </c>
      <c r="O3031" s="403">
        <v>432</v>
      </c>
      <c r="P3031" t="str">
        <f t="shared" si="377"/>
        <v>30fps 1080p - SD ROI PTZ</v>
      </c>
      <c r="Q3031">
        <f t="shared" si="378"/>
        <v>18</v>
      </c>
      <c r="R3031" t="str">
        <f t="shared" si="379"/>
        <v/>
      </c>
      <c r="S3031" t="str">
        <f t="shared" si="380"/>
        <v/>
      </c>
      <c r="T3031" s="403" t="str">
        <f t="shared" si="381"/>
        <v>NDE-4502-AL</v>
      </c>
      <c r="U3031" s="403">
        <f t="shared" si="382"/>
        <v>1</v>
      </c>
      <c r="V3031" s="403" t="str">
        <f t="shared" si="383"/>
        <v>CPP_7_3</v>
      </c>
    </row>
    <row r="3032" spans="1:22">
      <c r="A3032" t="str">
        <f t="shared" si="376"/>
        <v>NDE-4502-AL</v>
      </c>
      <c r="B3032" s="403" t="s">
        <v>1408</v>
      </c>
      <c r="C3032" s="403" t="s">
        <v>582</v>
      </c>
      <c r="D3032" s="403" t="s">
        <v>1409</v>
      </c>
      <c r="E3032" s="403" t="s">
        <v>778</v>
      </c>
      <c r="F3032" s="403" t="s">
        <v>1286</v>
      </c>
      <c r="G3032" s="403" t="s">
        <v>1466</v>
      </c>
      <c r="H3032" s="403" t="s">
        <v>1281</v>
      </c>
      <c r="I3032" s="403">
        <v>1</v>
      </c>
      <c r="J3032" s="403" t="s">
        <v>110</v>
      </c>
      <c r="K3032" s="403">
        <v>1920</v>
      </c>
      <c r="L3032" s="403">
        <v>1080</v>
      </c>
      <c r="M3032" s="403" t="s">
        <v>1283</v>
      </c>
      <c r="N3032" s="403">
        <v>720</v>
      </c>
      <c r="O3032" s="403">
        <v>480</v>
      </c>
      <c r="P3032" t="str">
        <f t="shared" si="377"/>
        <v>30fps 1080p - SD 4CIF resolution 4:3 format (cropped)</v>
      </c>
      <c r="Q3032">
        <f t="shared" si="378"/>
        <v>18</v>
      </c>
      <c r="R3032" t="str">
        <f t="shared" si="379"/>
        <v/>
      </c>
      <c r="S3032" t="str">
        <f t="shared" si="380"/>
        <v/>
      </c>
      <c r="T3032" s="403" t="str">
        <f t="shared" si="381"/>
        <v>NDE-4502-AL</v>
      </c>
      <c r="U3032" s="403">
        <f t="shared" si="382"/>
        <v>1</v>
      </c>
      <c r="V3032" s="403" t="str">
        <f t="shared" si="383"/>
        <v>CPP_7_3</v>
      </c>
    </row>
    <row r="3033" spans="1:22">
      <c r="A3033" t="str">
        <f t="shared" si="376"/>
        <v>NDE-4502-AL</v>
      </c>
      <c r="B3033" s="403" t="s">
        <v>1408</v>
      </c>
      <c r="C3033" s="403" t="s">
        <v>582</v>
      </c>
      <c r="D3033" s="403" t="s">
        <v>1409</v>
      </c>
      <c r="E3033" s="403" t="s">
        <v>778</v>
      </c>
      <c r="F3033" s="403" t="s">
        <v>1286</v>
      </c>
      <c r="G3033" s="403" t="s">
        <v>1466</v>
      </c>
      <c r="H3033" s="403" t="s">
        <v>1281</v>
      </c>
      <c r="I3033" s="403">
        <v>1</v>
      </c>
      <c r="J3033" s="403" t="s">
        <v>110</v>
      </c>
      <c r="K3033" s="403">
        <v>1920</v>
      </c>
      <c r="L3033" s="403">
        <v>1080</v>
      </c>
      <c r="M3033" s="403" t="s">
        <v>1284</v>
      </c>
      <c r="N3033" s="403">
        <v>640</v>
      </c>
      <c r="O3033" s="403">
        <v>480</v>
      </c>
      <c r="P3033" t="str">
        <f t="shared" si="377"/>
        <v>30fps 1080p - SD VGA (cropped)</v>
      </c>
      <c r="Q3033">
        <f t="shared" si="378"/>
        <v>18</v>
      </c>
      <c r="R3033" t="str">
        <f t="shared" si="379"/>
        <v/>
      </c>
      <c r="S3033" t="str">
        <f t="shared" si="380"/>
        <v/>
      </c>
      <c r="T3033" s="403" t="str">
        <f t="shared" si="381"/>
        <v>NDE-4502-AL</v>
      </c>
      <c r="U3033" s="403">
        <f t="shared" si="382"/>
        <v>1</v>
      </c>
      <c r="V3033" s="403" t="str">
        <f t="shared" si="383"/>
        <v>CPP_7_3</v>
      </c>
    </row>
    <row r="3034" spans="1:22">
      <c r="A3034" t="str">
        <f t="shared" si="376"/>
        <v>NDE-4502-AL</v>
      </c>
      <c r="B3034" s="403" t="s">
        <v>1408</v>
      </c>
      <c r="C3034" s="403" t="s">
        <v>582</v>
      </c>
      <c r="D3034" s="403" t="s">
        <v>1409</v>
      </c>
      <c r="E3034" s="403" t="s">
        <v>778</v>
      </c>
      <c r="F3034" s="403" t="s">
        <v>1286</v>
      </c>
      <c r="G3034" s="403" t="s">
        <v>1466</v>
      </c>
      <c r="H3034" s="403" t="s">
        <v>1281</v>
      </c>
      <c r="I3034" s="403">
        <v>1</v>
      </c>
      <c r="J3034" s="403" t="s">
        <v>109</v>
      </c>
      <c r="K3034" s="403">
        <v>1280</v>
      </c>
      <c r="L3034" s="403">
        <v>720</v>
      </c>
      <c r="M3034" s="403" t="s">
        <v>109</v>
      </c>
      <c r="N3034" s="403">
        <v>1280</v>
      </c>
      <c r="O3034" s="403">
        <v>720</v>
      </c>
      <c r="P3034" t="str">
        <f t="shared" si="377"/>
        <v>30fps 720p - 720p</v>
      </c>
      <c r="Q3034">
        <f t="shared" si="378"/>
        <v>18</v>
      </c>
      <c r="R3034" t="str">
        <f t="shared" si="379"/>
        <v/>
      </c>
      <c r="S3034" t="str">
        <f t="shared" si="380"/>
        <v/>
      </c>
      <c r="T3034" s="403" t="str">
        <f t="shared" si="381"/>
        <v>NDE-4502-AL</v>
      </c>
      <c r="U3034" s="403">
        <f t="shared" si="382"/>
        <v>1</v>
      </c>
      <c r="V3034" s="403" t="str">
        <f t="shared" si="383"/>
        <v>CPP_7_3</v>
      </c>
    </row>
    <row r="3035" spans="1:22">
      <c r="A3035" t="str">
        <f t="shared" si="376"/>
        <v>NDE-4502-AL</v>
      </c>
      <c r="B3035" s="403" t="s">
        <v>1408</v>
      </c>
      <c r="C3035" s="403" t="s">
        <v>582</v>
      </c>
      <c r="D3035" s="403" t="s">
        <v>1409</v>
      </c>
      <c r="E3035" s="403" t="s">
        <v>778</v>
      </c>
      <c r="F3035" s="403" t="s">
        <v>1286</v>
      </c>
      <c r="G3035" s="403" t="s">
        <v>1466</v>
      </c>
      <c r="H3035" s="403" t="s">
        <v>1281</v>
      </c>
      <c r="I3035" s="403">
        <v>1</v>
      </c>
      <c r="J3035" s="403" t="s">
        <v>109</v>
      </c>
      <c r="K3035" s="403">
        <v>1280</v>
      </c>
      <c r="L3035" s="403">
        <v>720</v>
      </c>
      <c r="M3035" s="403" t="s">
        <v>111</v>
      </c>
      <c r="N3035" s="403">
        <v>768</v>
      </c>
      <c r="O3035" s="403">
        <v>432</v>
      </c>
      <c r="P3035" t="str">
        <f t="shared" si="377"/>
        <v>30fps 720p - SD</v>
      </c>
      <c r="Q3035">
        <f t="shared" si="378"/>
        <v>18</v>
      </c>
      <c r="R3035" t="str">
        <f t="shared" si="379"/>
        <v/>
      </c>
      <c r="S3035" t="str">
        <f t="shared" si="380"/>
        <v/>
      </c>
      <c r="T3035" s="403" t="str">
        <f t="shared" si="381"/>
        <v>NDE-4502-AL</v>
      </c>
      <c r="U3035" s="403">
        <f t="shared" si="382"/>
        <v>1</v>
      </c>
      <c r="V3035" s="403" t="str">
        <f t="shared" si="383"/>
        <v>CPP_7_3</v>
      </c>
    </row>
    <row r="3036" spans="1:22">
      <c r="A3036" t="str">
        <f t="shared" si="376"/>
        <v>NDE-4502-AL</v>
      </c>
      <c r="B3036" s="403" t="s">
        <v>1408</v>
      </c>
      <c r="C3036" s="403" t="s">
        <v>582</v>
      </c>
      <c r="D3036" s="403" t="s">
        <v>1409</v>
      </c>
      <c r="E3036" s="403" t="s">
        <v>778</v>
      </c>
      <c r="F3036" s="403" t="s">
        <v>1286</v>
      </c>
      <c r="G3036" s="403" t="s">
        <v>1466</v>
      </c>
      <c r="H3036" s="403" t="s">
        <v>1281</v>
      </c>
      <c r="I3036" s="403">
        <v>1</v>
      </c>
      <c r="J3036" s="403" t="s">
        <v>109</v>
      </c>
      <c r="K3036" s="403">
        <v>1280</v>
      </c>
      <c r="L3036" s="403">
        <v>720</v>
      </c>
      <c r="M3036" s="403" t="s">
        <v>1279</v>
      </c>
      <c r="N3036" s="403">
        <v>768</v>
      </c>
      <c r="O3036" s="403">
        <v>432</v>
      </c>
      <c r="P3036" t="str">
        <f t="shared" si="377"/>
        <v>30fps 720p - SD ROI PTZ</v>
      </c>
      <c r="Q3036">
        <f t="shared" si="378"/>
        <v>18</v>
      </c>
      <c r="R3036" t="str">
        <f t="shared" si="379"/>
        <v/>
      </c>
      <c r="S3036" t="str">
        <f t="shared" si="380"/>
        <v/>
      </c>
      <c r="T3036" s="403" t="str">
        <f t="shared" si="381"/>
        <v>NDE-4502-AL</v>
      </c>
      <c r="U3036" s="403">
        <f t="shared" si="382"/>
        <v>1</v>
      </c>
      <c r="V3036" s="403" t="str">
        <f t="shared" si="383"/>
        <v>CPP_7_3</v>
      </c>
    </row>
    <row r="3037" spans="1:22">
      <c r="A3037" t="str">
        <f t="shared" si="376"/>
        <v>NDE-4502-AL</v>
      </c>
      <c r="B3037" s="403" t="s">
        <v>1408</v>
      </c>
      <c r="C3037" s="403" t="s">
        <v>582</v>
      </c>
      <c r="D3037" s="403" t="s">
        <v>1409</v>
      </c>
      <c r="E3037" s="403" t="s">
        <v>778</v>
      </c>
      <c r="F3037" s="403" t="s">
        <v>1286</v>
      </c>
      <c r="G3037" s="403" t="s">
        <v>1466</v>
      </c>
      <c r="H3037" s="403" t="s">
        <v>1281</v>
      </c>
      <c r="I3037" s="403">
        <v>1</v>
      </c>
      <c r="J3037" s="403" t="s">
        <v>109</v>
      </c>
      <c r="K3037" s="403">
        <v>1280</v>
      </c>
      <c r="L3037" s="403">
        <v>720</v>
      </c>
      <c r="M3037" s="403" t="s">
        <v>1283</v>
      </c>
      <c r="N3037" s="403">
        <v>720</v>
      </c>
      <c r="O3037" s="403">
        <v>480</v>
      </c>
      <c r="P3037" t="str">
        <f t="shared" si="377"/>
        <v>30fps 720p - SD 4CIF resolution 4:3 format (cropped)</v>
      </c>
      <c r="Q3037">
        <f t="shared" si="378"/>
        <v>18</v>
      </c>
      <c r="R3037" t="str">
        <f t="shared" si="379"/>
        <v/>
      </c>
      <c r="S3037" t="str">
        <f t="shared" si="380"/>
        <v/>
      </c>
      <c r="T3037" s="403" t="str">
        <f t="shared" si="381"/>
        <v>NDE-4502-AL</v>
      </c>
      <c r="U3037" s="403">
        <f t="shared" si="382"/>
        <v>1</v>
      </c>
      <c r="V3037" s="403" t="str">
        <f t="shared" si="383"/>
        <v>CPP_7_3</v>
      </c>
    </row>
    <row r="3038" spans="1:22">
      <c r="A3038" t="str">
        <f t="shared" si="376"/>
        <v>NDE-4502-AL</v>
      </c>
      <c r="B3038" s="403" t="s">
        <v>1408</v>
      </c>
      <c r="C3038" s="403" t="s">
        <v>582</v>
      </c>
      <c r="D3038" s="403" t="s">
        <v>1409</v>
      </c>
      <c r="E3038" s="403" t="s">
        <v>778</v>
      </c>
      <c r="F3038" s="403" t="s">
        <v>1286</v>
      </c>
      <c r="G3038" s="403" t="s">
        <v>1466</v>
      </c>
      <c r="H3038" s="403" t="s">
        <v>1281</v>
      </c>
      <c r="I3038" s="403">
        <v>1</v>
      </c>
      <c r="J3038" s="403" t="s">
        <v>109</v>
      </c>
      <c r="K3038" s="403">
        <v>1280</v>
      </c>
      <c r="L3038" s="403">
        <v>720</v>
      </c>
      <c r="M3038" s="403" t="s">
        <v>1284</v>
      </c>
      <c r="N3038" s="403">
        <v>640</v>
      </c>
      <c r="O3038" s="403">
        <v>480</v>
      </c>
      <c r="P3038" t="str">
        <f t="shared" si="377"/>
        <v>30fps 720p - SD VGA (cropped)</v>
      </c>
      <c r="Q3038">
        <f t="shared" si="378"/>
        <v>18</v>
      </c>
      <c r="R3038" t="str">
        <f t="shared" si="379"/>
        <v/>
      </c>
      <c r="S3038" t="str">
        <f t="shared" si="380"/>
        <v/>
      </c>
      <c r="T3038" s="403" t="str">
        <f t="shared" si="381"/>
        <v>NDE-4502-AL</v>
      </c>
      <c r="U3038" s="403">
        <f t="shared" si="382"/>
        <v>1</v>
      </c>
      <c r="V3038" s="403" t="str">
        <f t="shared" si="383"/>
        <v>CPP_7_3</v>
      </c>
    </row>
    <row r="3039" spans="1:22">
      <c r="A3039" t="str">
        <f t="shared" si="376"/>
        <v>NDE-4502-AL</v>
      </c>
      <c r="B3039" s="403" t="s">
        <v>1408</v>
      </c>
      <c r="C3039" s="403" t="s">
        <v>582</v>
      </c>
      <c r="D3039" s="403" t="s">
        <v>1409</v>
      </c>
      <c r="E3039" s="403" t="s">
        <v>778</v>
      </c>
      <c r="F3039" s="403" t="s">
        <v>1286</v>
      </c>
      <c r="G3039" s="403" t="s">
        <v>1466</v>
      </c>
      <c r="H3039" s="403" t="s">
        <v>1282</v>
      </c>
      <c r="I3039" s="403">
        <v>1</v>
      </c>
      <c r="J3039" s="403" t="s">
        <v>110</v>
      </c>
      <c r="K3039" s="403">
        <v>1920</v>
      </c>
      <c r="L3039" s="403">
        <v>1080</v>
      </c>
      <c r="M3039" s="403" t="s">
        <v>111</v>
      </c>
      <c r="N3039" s="403">
        <v>768</v>
      </c>
      <c r="O3039" s="403">
        <v>432</v>
      </c>
      <c r="P3039" t="str">
        <f t="shared" si="377"/>
        <v>30fps 1080p - SD</v>
      </c>
      <c r="Q3039">
        <f t="shared" si="378"/>
        <v>18</v>
      </c>
      <c r="R3039" t="str">
        <f t="shared" si="379"/>
        <v/>
      </c>
      <c r="S3039" t="str">
        <f t="shared" si="380"/>
        <v/>
      </c>
      <c r="T3039" s="403" t="str">
        <f t="shared" si="381"/>
        <v>NDE-4502-AL</v>
      </c>
      <c r="U3039" s="403">
        <f t="shared" si="382"/>
        <v>1</v>
      </c>
      <c r="V3039" s="403" t="str">
        <f t="shared" si="383"/>
        <v>CPP_7_3</v>
      </c>
    </row>
    <row r="3040" spans="1:22">
      <c r="A3040" t="str">
        <f t="shared" si="376"/>
        <v>NDE-4502-AL</v>
      </c>
      <c r="B3040" s="403" t="s">
        <v>1408</v>
      </c>
      <c r="C3040" s="403" t="s">
        <v>582</v>
      </c>
      <c r="D3040" s="403" t="s">
        <v>1409</v>
      </c>
      <c r="E3040" s="403" t="s">
        <v>778</v>
      </c>
      <c r="F3040" s="403" t="s">
        <v>1286</v>
      </c>
      <c r="G3040" s="403" t="s">
        <v>1466</v>
      </c>
      <c r="H3040" s="403" t="s">
        <v>1282</v>
      </c>
      <c r="I3040" s="403">
        <v>1</v>
      </c>
      <c r="J3040" s="403" t="s">
        <v>110</v>
      </c>
      <c r="K3040" s="403">
        <v>1920</v>
      </c>
      <c r="L3040" s="403">
        <v>1080</v>
      </c>
      <c r="M3040" s="403" t="s">
        <v>110</v>
      </c>
      <c r="N3040" s="403">
        <v>1920</v>
      </c>
      <c r="O3040" s="403">
        <v>1080</v>
      </c>
      <c r="P3040" t="str">
        <f t="shared" si="377"/>
        <v>30fps 1080p - 1080p</v>
      </c>
      <c r="Q3040">
        <f t="shared" si="378"/>
        <v>18</v>
      </c>
      <c r="R3040" t="str">
        <f t="shared" si="379"/>
        <v/>
      </c>
      <c r="S3040" t="str">
        <f t="shared" si="380"/>
        <v/>
      </c>
      <c r="T3040" s="403" t="str">
        <f t="shared" si="381"/>
        <v>NDE-4502-AL</v>
      </c>
      <c r="U3040" s="403">
        <f t="shared" si="382"/>
        <v>1</v>
      </c>
      <c r="V3040" s="403" t="str">
        <f t="shared" si="383"/>
        <v>CPP_7_3</v>
      </c>
    </row>
    <row r="3041" spans="1:22">
      <c r="A3041" t="str">
        <f t="shared" si="376"/>
        <v>NDE-4502-AL</v>
      </c>
      <c r="B3041" s="403" t="s">
        <v>1408</v>
      </c>
      <c r="C3041" s="403" t="s">
        <v>582</v>
      </c>
      <c r="D3041" s="403" t="s">
        <v>1409</v>
      </c>
      <c r="E3041" s="403" t="s">
        <v>778</v>
      </c>
      <c r="F3041" s="403" t="s">
        <v>1286</v>
      </c>
      <c r="G3041" s="403" t="s">
        <v>1466</v>
      </c>
      <c r="H3041" s="403" t="s">
        <v>1282</v>
      </c>
      <c r="I3041" s="403">
        <v>1</v>
      </c>
      <c r="J3041" s="403" t="s">
        <v>110</v>
      </c>
      <c r="K3041" s="403">
        <v>1920</v>
      </c>
      <c r="L3041" s="403">
        <v>1080</v>
      </c>
      <c r="M3041" s="403" t="s">
        <v>109</v>
      </c>
      <c r="N3041" s="403">
        <v>1280</v>
      </c>
      <c r="O3041" s="403">
        <v>720</v>
      </c>
      <c r="P3041" t="str">
        <f t="shared" si="377"/>
        <v>30fps 1080p - 720p</v>
      </c>
      <c r="Q3041">
        <f t="shared" si="378"/>
        <v>18</v>
      </c>
      <c r="R3041" t="str">
        <f t="shared" si="379"/>
        <v/>
      </c>
      <c r="S3041" t="str">
        <f t="shared" si="380"/>
        <v/>
      </c>
      <c r="T3041" s="403" t="str">
        <f t="shared" si="381"/>
        <v>NDE-4502-AL</v>
      </c>
      <c r="U3041" s="403">
        <f t="shared" si="382"/>
        <v>1</v>
      </c>
      <c r="V3041" s="403" t="str">
        <f t="shared" si="383"/>
        <v>CPP_7_3</v>
      </c>
    </row>
    <row r="3042" spans="1:22">
      <c r="A3042" t="str">
        <f t="shared" si="376"/>
        <v>NDE-4502-AL</v>
      </c>
      <c r="B3042" s="403" t="s">
        <v>1408</v>
      </c>
      <c r="C3042" s="403" t="s">
        <v>582</v>
      </c>
      <c r="D3042" s="403" t="s">
        <v>1409</v>
      </c>
      <c r="E3042" s="403" t="s">
        <v>778</v>
      </c>
      <c r="F3042" s="403" t="s">
        <v>1286</v>
      </c>
      <c r="G3042" s="403" t="s">
        <v>1466</v>
      </c>
      <c r="H3042" s="403" t="s">
        <v>1282</v>
      </c>
      <c r="I3042" s="403">
        <v>1</v>
      </c>
      <c r="J3042" s="403" t="s">
        <v>110</v>
      </c>
      <c r="K3042" s="403">
        <v>1920</v>
      </c>
      <c r="L3042" s="403">
        <v>1080</v>
      </c>
      <c r="M3042" s="403" t="s">
        <v>1285</v>
      </c>
      <c r="N3042" s="403">
        <v>1280</v>
      </c>
      <c r="O3042" s="403">
        <v>1024</v>
      </c>
      <c r="P3042" t="str">
        <f t="shared" si="377"/>
        <v>30fps 1080p - 1280x1024 5:4 (cropped)</v>
      </c>
      <c r="Q3042">
        <f t="shared" si="378"/>
        <v>18</v>
      </c>
      <c r="R3042" t="str">
        <f t="shared" si="379"/>
        <v/>
      </c>
      <c r="S3042" t="str">
        <f t="shared" si="380"/>
        <v/>
      </c>
      <c r="T3042" s="403" t="str">
        <f t="shared" si="381"/>
        <v>NDE-4502-AL</v>
      </c>
      <c r="U3042" s="403">
        <f t="shared" si="382"/>
        <v>1</v>
      </c>
      <c r="V3042" s="403" t="str">
        <f t="shared" si="383"/>
        <v>CPP_7_3</v>
      </c>
    </row>
    <row r="3043" spans="1:22">
      <c r="A3043" t="str">
        <f t="shared" si="376"/>
        <v>NDE-4502-AL</v>
      </c>
      <c r="B3043" s="403" t="s">
        <v>1408</v>
      </c>
      <c r="C3043" s="403" t="s">
        <v>582</v>
      </c>
      <c r="D3043" s="403" t="s">
        <v>1409</v>
      </c>
      <c r="E3043" s="403" t="s">
        <v>778</v>
      </c>
      <c r="F3043" s="403" t="s">
        <v>1286</v>
      </c>
      <c r="G3043" s="403" t="s">
        <v>1466</v>
      </c>
      <c r="H3043" s="403" t="s">
        <v>1282</v>
      </c>
      <c r="I3043" s="403">
        <v>1</v>
      </c>
      <c r="J3043" s="403" t="s">
        <v>110</v>
      </c>
      <c r="K3043" s="403">
        <v>1920</v>
      </c>
      <c r="L3043" s="403">
        <v>1080</v>
      </c>
      <c r="M3043" s="403" t="s">
        <v>1279</v>
      </c>
      <c r="N3043" s="403">
        <v>768</v>
      </c>
      <c r="O3043" s="403">
        <v>432</v>
      </c>
      <c r="P3043" t="str">
        <f t="shared" si="377"/>
        <v>30fps 1080p - SD ROI PTZ</v>
      </c>
      <c r="Q3043">
        <f t="shared" si="378"/>
        <v>18</v>
      </c>
      <c r="R3043" t="str">
        <f t="shared" si="379"/>
        <v/>
      </c>
      <c r="S3043" t="str">
        <f t="shared" si="380"/>
        <v/>
      </c>
      <c r="T3043" s="403" t="str">
        <f t="shared" si="381"/>
        <v>NDE-4502-AL</v>
      </c>
      <c r="U3043" s="403">
        <f t="shared" si="382"/>
        <v>1</v>
      </c>
      <c r="V3043" s="403" t="str">
        <f t="shared" si="383"/>
        <v>CPP_7_3</v>
      </c>
    </row>
    <row r="3044" spans="1:22">
      <c r="A3044" t="str">
        <f t="shared" si="376"/>
        <v>NDE-4502-AL</v>
      </c>
      <c r="B3044" s="403" t="s">
        <v>1408</v>
      </c>
      <c r="C3044" s="403" t="s">
        <v>582</v>
      </c>
      <c r="D3044" s="403" t="s">
        <v>1409</v>
      </c>
      <c r="E3044" s="403" t="s">
        <v>778</v>
      </c>
      <c r="F3044" s="403" t="s">
        <v>1286</v>
      </c>
      <c r="G3044" s="403" t="s">
        <v>1466</v>
      </c>
      <c r="H3044" s="403" t="s">
        <v>1282</v>
      </c>
      <c r="I3044" s="403">
        <v>1</v>
      </c>
      <c r="J3044" s="403" t="s">
        <v>110</v>
      </c>
      <c r="K3044" s="403">
        <v>1920</v>
      </c>
      <c r="L3044" s="403">
        <v>1080</v>
      </c>
      <c r="M3044" s="403" t="s">
        <v>1283</v>
      </c>
      <c r="N3044" s="403">
        <v>720</v>
      </c>
      <c r="O3044" s="403">
        <v>480</v>
      </c>
      <c r="P3044" t="str">
        <f t="shared" si="377"/>
        <v>30fps 1080p - SD 4CIF resolution 4:3 format (cropped)</v>
      </c>
      <c r="Q3044">
        <f t="shared" si="378"/>
        <v>18</v>
      </c>
      <c r="R3044" t="str">
        <f t="shared" si="379"/>
        <v/>
      </c>
      <c r="S3044" t="str">
        <f t="shared" si="380"/>
        <v/>
      </c>
      <c r="T3044" s="403" t="str">
        <f t="shared" si="381"/>
        <v>NDE-4502-AL</v>
      </c>
      <c r="U3044" s="403">
        <f t="shared" si="382"/>
        <v>1</v>
      </c>
      <c r="V3044" s="403" t="str">
        <f t="shared" si="383"/>
        <v>CPP_7_3</v>
      </c>
    </row>
    <row r="3045" spans="1:22">
      <c r="A3045" t="str">
        <f t="shared" si="376"/>
        <v>NDE-4502-AL</v>
      </c>
      <c r="B3045" s="403" t="s">
        <v>1408</v>
      </c>
      <c r="C3045" s="403" t="s">
        <v>582</v>
      </c>
      <c r="D3045" s="403" t="s">
        <v>1409</v>
      </c>
      <c r="E3045" s="403" t="s">
        <v>778</v>
      </c>
      <c r="F3045" s="403" t="s">
        <v>1286</v>
      </c>
      <c r="G3045" s="403" t="s">
        <v>1466</v>
      </c>
      <c r="H3045" s="403" t="s">
        <v>1282</v>
      </c>
      <c r="I3045" s="403">
        <v>1</v>
      </c>
      <c r="J3045" s="403" t="s">
        <v>110</v>
      </c>
      <c r="K3045" s="403">
        <v>1920</v>
      </c>
      <c r="L3045" s="403">
        <v>1080</v>
      </c>
      <c r="M3045" s="403" t="s">
        <v>1284</v>
      </c>
      <c r="N3045" s="403">
        <v>640</v>
      </c>
      <c r="O3045" s="403">
        <v>480</v>
      </c>
      <c r="P3045" t="str">
        <f t="shared" si="377"/>
        <v>30fps 1080p - SD VGA (cropped)</v>
      </c>
      <c r="Q3045">
        <f t="shared" si="378"/>
        <v>18</v>
      </c>
      <c r="R3045" t="str">
        <f t="shared" si="379"/>
        <v/>
      </c>
      <c r="S3045" t="str">
        <f t="shared" si="380"/>
        <v/>
      </c>
      <c r="T3045" s="403" t="str">
        <f t="shared" si="381"/>
        <v>NDE-4502-AL</v>
      </c>
      <c r="U3045" s="403">
        <f t="shared" si="382"/>
        <v>1</v>
      </c>
      <c r="V3045" s="403" t="str">
        <f t="shared" si="383"/>
        <v>CPP_7_3</v>
      </c>
    </row>
    <row r="3046" spans="1:22">
      <c r="A3046" t="str">
        <f t="shared" si="376"/>
        <v>NDE-4502-AL</v>
      </c>
      <c r="B3046" s="403" t="s">
        <v>1408</v>
      </c>
      <c r="C3046" s="403" t="s">
        <v>582</v>
      </c>
      <c r="D3046" s="403" t="s">
        <v>1409</v>
      </c>
      <c r="E3046" s="403" t="s">
        <v>778</v>
      </c>
      <c r="F3046" s="403" t="s">
        <v>1286</v>
      </c>
      <c r="G3046" s="403" t="s">
        <v>1466</v>
      </c>
      <c r="H3046" s="403" t="s">
        <v>1282</v>
      </c>
      <c r="I3046" s="403">
        <v>1</v>
      </c>
      <c r="J3046" s="403" t="s">
        <v>109</v>
      </c>
      <c r="K3046" s="403">
        <v>1280</v>
      </c>
      <c r="L3046" s="403">
        <v>720</v>
      </c>
      <c r="M3046" s="403" t="s">
        <v>109</v>
      </c>
      <c r="N3046" s="403">
        <v>1280</v>
      </c>
      <c r="O3046" s="403">
        <v>720</v>
      </c>
      <c r="P3046" t="str">
        <f t="shared" si="377"/>
        <v>30fps 720p - 720p</v>
      </c>
      <c r="Q3046">
        <f t="shared" si="378"/>
        <v>18</v>
      </c>
      <c r="R3046" t="str">
        <f t="shared" si="379"/>
        <v/>
      </c>
      <c r="S3046" t="str">
        <f t="shared" si="380"/>
        <v/>
      </c>
      <c r="T3046" s="403" t="str">
        <f t="shared" si="381"/>
        <v>NDE-4502-AL</v>
      </c>
      <c r="U3046" s="403">
        <f t="shared" si="382"/>
        <v>1</v>
      </c>
      <c r="V3046" s="403" t="str">
        <f t="shared" si="383"/>
        <v>CPP_7_3</v>
      </c>
    </row>
    <row r="3047" spans="1:22">
      <c r="A3047" t="str">
        <f t="shared" si="376"/>
        <v>NDE-4502-AL</v>
      </c>
      <c r="B3047" s="403" t="s">
        <v>1408</v>
      </c>
      <c r="C3047" s="403" t="s">
        <v>582</v>
      </c>
      <c r="D3047" s="403" t="s">
        <v>1409</v>
      </c>
      <c r="E3047" s="403" t="s">
        <v>778</v>
      </c>
      <c r="F3047" s="403" t="s">
        <v>1286</v>
      </c>
      <c r="G3047" s="403" t="s">
        <v>1466</v>
      </c>
      <c r="H3047" s="403" t="s">
        <v>1282</v>
      </c>
      <c r="I3047" s="403">
        <v>1</v>
      </c>
      <c r="J3047" s="403" t="s">
        <v>109</v>
      </c>
      <c r="K3047" s="403">
        <v>1280</v>
      </c>
      <c r="L3047" s="403">
        <v>720</v>
      </c>
      <c r="M3047" s="403" t="s">
        <v>111</v>
      </c>
      <c r="N3047" s="403">
        <v>768</v>
      </c>
      <c r="O3047" s="403">
        <v>432</v>
      </c>
      <c r="P3047" t="str">
        <f t="shared" si="377"/>
        <v>30fps 720p - SD</v>
      </c>
      <c r="Q3047">
        <f t="shared" si="378"/>
        <v>18</v>
      </c>
      <c r="R3047" t="str">
        <f t="shared" si="379"/>
        <v/>
      </c>
      <c r="S3047" t="str">
        <f t="shared" si="380"/>
        <v/>
      </c>
      <c r="T3047" s="403" t="str">
        <f t="shared" si="381"/>
        <v>NDE-4502-AL</v>
      </c>
      <c r="U3047" s="403">
        <f t="shared" si="382"/>
        <v>1</v>
      </c>
      <c r="V3047" s="403" t="str">
        <f t="shared" si="383"/>
        <v>CPP_7_3</v>
      </c>
    </row>
    <row r="3048" spans="1:22">
      <c r="A3048" t="str">
        <f t="shared" si="376"/>
        <v>NDE-4502-AL</v>
      </c>
      <c r="B3048" s="403" t="s">
        <v>1408</v>
      </c>
      <c r="C3048" s="403" t="s">
        <v>582</v>
      </c>
      <c r="D3048" s="403" t="s">
        <v>1409</v>
      </c>
      <c r="E3048" s="403" t="s">
        <v>778</v>
      </c>
      <c r="F3048" s="403" t="s">
        <v>1286</v>
      </c>
      <c r="G3048" s="403" t="s">
        <v>1466</v>
      </c>
      <c r="H3048" s="403" t="s">
        <v>1282</v>
      </c>
      <c r="I3048" s="403">
        <v>1</v>
      </c>
      <c r="J3048" s="403" t="s">
        <v>109</v>
      </c>
      <c r="K3048" s="403">
        <v>1280</v>
      </c>
      <c r="L3048" s="403">
        <v>720</v>
      </c>
      <c r="M3048" s="403" t="s">
        <v>1279</v>
      </c>
      <c r="N3048" s="403">
        <v>768</v>
      </c>
      <c r="O3048" s="403">
        <v>432</v>
      </c>
      <c r="P3048" t="str">
        <f t="shared" si="377"/>
        <v>30fps 720p - SD ROI PTZ</v>
      </c>
      <c r="Q3048">
        <f t="shared" si="378"/>
        <v>18</v>
      </c>
      <c r="R3048" t="str">
        <f t="shared" si="379"/>
        <v/>
      </c>
      <c r="S3048" t="str">
        <f t="shared" si="380"/>
        <v/>
      </c>
      <c r="T3048" s="403" t="str">
        <f t="shared" si="381"/>
        <v>NDE-4502-AL</v>
      </c>
      <c r="U3048" s="403">
        <f t="shared" si="382"/>
        <v>1</v>
      </c>
      <c r="V3048" s="403" t="str">
        <f t="shared" si="383"/>
        <v>CPP_7_3</v>
      </c>
    </row>
    <row r="3049" spans="1:22">
      <c r="A3049" t="str">
        <f t="shared" si="376"/>
        <v>NDE-4502-AL</v>
      </c>
      <c r="B3049" s="403" t="s">
        <v>1408</v>
      </c>
      <c r="C3049" s="403" t="s">
        <v>582</v>
      </c>
      <c r="D3049" s="403" t="s">
        <v>1409</v>
      </c>
      <c r="E3049" s="403" t="s">
        <v>778</v>
      </c>
      <c r="F3049" s="403" t="s">
        <v>1286</v>
      </c>
      <c r="G3049" s="403" t="s">
        <v>1466</v>
      </c>
      <c r="H3049" s="403" t="s">
        <v>1282</v>
      </c>
      <c r="I3049" s="403">
        <v>1</v>
      </c>
      <c r="J3049" s="403" t="s">
        <v>109</v>
      </c>
      <c r="K3049" s="403">
        <v>1280</v>
      </c>
      <c r="L3049" s="403">
        <v>720</v>
      </c>
      <c r="M3049" s="403" t="s">
        <v>1283</v>
      </c>
      <c r="N3049" s="403">
        <v>720</v>
      </c>
      <c r="O3049" s="403">
        <v>480</v>
      </c>
      <c r="P3049" t="str">
        <f t="shared" si="377"/>
        <v>30fps 720p - SD 4CIF resolution 4:3 format (cropped)</v>
      </c>
      <c r="Q3049">
        <f t="shared" si="378"/>
        <v>18</v>
      </c>
      <c r="R3049" t="str">
        <f t="shared" si="379"/>
        <v/>
      </c>
      <c r="S3049" t="str">
        <f t="shared" si="380"/>
        <v/>
      </c>
      <c r="T3049" s="403" t="str">
        <f t="shared" si="381"/>
        <v>NDE-4502-AL</v>
      </c>
      <c r="U3049" s="403">
        <f t="shared" si="382"/>
        <v>1</v>
      </c>
      <c r="V3049" s="403" t="str">
        <f t="shared" si="383"/>
        <v>CPP_7_3</v>
      </c>
    </row>
    <row r="3050" spans="1:22">
      <c r="A3050" t="str">
        <f t="shared" si="376"/>
        <v>NDE-4502-AL</v>
      </c>
      <c r="B3050" s="403" t="s">
        <v>1408</v>
      </c>
      <c r="C3050" s="403" t="s">
        <v>582</v>
      </c>
      <c r="D3050" s="403" t="s">
        <v>1409</v>
      </c>
      <c r="E3050" s="403" t="s">
        <v>778</v>
      </c>
      <c r="F3050" s="403" t="s">
        <v>1286</v>
      </c>
      <c r="G3050" s="403" t="s">
        <v>1466</v>
      </c>
      <c r="H3050" s="403" t="s">
        <v>1282</v>
      </c>
      <c r="I3050" s="403">
        <v>1</v>
      </c>
      <c r="J3050" s="403" t="s">
        <v>109</v>
      </c>
      <c r="K3050" s="403">
        <v>1280</v>
      </c>
      <c r="L3050" s="403">
        <v>720</v>
      </c>
      <c r="M3050" s="403" t="s">
        <v>1284</v>
      </c>
      <c r="N3050" s="403">
        <v>640</v>
      </c>
      <c r="O3050" s="403">
        <v>480</v>
      </c>
      <c r="P3050" t="str">
        <f t="shared" si="377"/>
        <v>30fps 720p - SD VGA (cropped)</v>
      </c>
      <c r="Q3050">
        <f t="shared" si="378"/>
        <v>18</v>
      </c>
      <c r="R3050" t="str">
        <f t="shared" si="379"/>
        <v/>
      </c>
      <c r="S3050" t="str">
        <f t="shared" si="380"/>
        <v/>
      </c>
      <c r="T3050" s="403" t="str">
        <f t="shared" si="381"/>
        <v>NDE-4502-AL</v>
      </c>
      <c r="U3050" s="403">
        <f t="shared" si="382"/>
        <v>1</v>
      </c>
      <c r="V3050" s="403" t="str">
        <f t="shared" si="383"/>
        <v>CPP_7_3</v>
      </c>
    </row>
    <row r="3051" spans="1:22">
      <c r="A3051" t="str">
        <f t="shared" si="376"/>
        <v>NDE-4502-AL</v>
      </c>
      <c r="B3051" s="403" t="s">
        <v>1408</v>
      </c>
      <c r="C3051" s="403" t="s">
        <v>582</v>
      </c>
      <c r="D3051" s="403" t="s">
        <v>1409</v>
      </c>
      <c r="E3051" s="403" t="s">
        <v>778</v>
      </c>
      <c r="F3051" s="403" t="s">
        <v>1286</v>
      </c>
      <c r="G3051" s="403" t="s">
        <v>1467</v>
      </c>
      <c r="H3051" s="403" t="s">
        <v>1276</v>
      </c>
      <c r="I3051" s="403">
        <v>1</v>
      </c>
      <c r="J3051" s="403" t="s">
        <v>110</v>
      </c>
      <c r="K3051" s="403">
        <v>1080</v>
      </c>
      <c r="L3051" s="403">
        <v>1920</v>
      </c>
      <c r="M3051" s="403" t="s">
        <v>111</v>
      </c>
      <c r="N3051" s="403">
        <v>432</v>
      </c>
      <c r="O3051" s="403">
        <v>768</v>
      </c>
      <c r="P3051" t="str">
        <f t="shared" si="377"/>
        <v>30fps 1080p - SD</v>
      </c>
      <c r="Q3051">
        <f t="shared" si="378"/>
        <v>18</v>
      </c>
      <c r="R3051" t="str">
        <f t="shared" si="379"/>
        <v/>
      </c>
      <c r="S3051" t="str">
        <f t="shared" si="380"/>
        <v/>
      </c>
      <c r="T3051" s="403" t="str">
        <f t="shared" si="381"/>
        <v>NDE-4502-AL</v>
      </c>
      <c r="U3051" s="403">
        <f t="shared" si="382"/>
        <v>1</v>
      </c>
      <c r="V3051" s="403" t="str">
        <f t="shared" si="383"/>
        <v>CPP_7_3</v>
      </c>
    </row>
    <row r="3052" spans="1:22">
      <c r="A3052" t="str">
        <f t="shared" si="376"/>
        <v>NDE-4502-AL</v>
      </c>
      <c r="B3052" s="403" t="s">
        <v>1408</v>
      </c>
      <c r="C3052" s="403" t="s">
        <v>582</v>
      </c>
      <c r="D3052" s="403" t="s">
        <v>1409</v>
      </c>
      <c r="E3052" s="403" t="s">
        <v>778</v>
      </c>
      <c r="F3052" s="403" t="s">
        <v>1286</v>
      </c>
      <c r="G3052" s="403" t="s">
        <v>1467</v>
      </c>
      <c r="H3052" s="403" t="s">
        <v>1276</v>
      </c>
      <c r="I3052" s="403">
        <v>1</v>
      </c>
      <c r="J3052" s="403" t="s">
        <v>110</v>
      </c>
      <c r="K3052" s="403">
        <v>1080</v>
      </c>
      <c r="L3052" s="403">
        <v>1920</v>
      </c>
      <c r="M3052" s="403" t="s">
        <v>110</v>
      </c>
      <c r="N3052" s="403">
        <v>1080</v>
      </c>
      <c r="O3052" s="403">
        <v>1920</v>
      </c>
      <c r="P3052" t="str">
        <f t="shared" si="377"/>
        <v>30fps 1080p - 1080p</v>
      </c>
      <c r="Q3052">
        <f t="shared" si="378"/>
        <v>18</v>
      </c>
      <c r="R3052" t="str">
        <f t="shared" si="379"/>
        <v/>
      </c>
      <c r="S3052" t="str">
        <f t="shared" si="380"/>
        <v/>
      </c>
      <c r="T3052" s="403" t="str">
        <f t="shared" si="381"/>
        <v>NDE-4502-AL</v>
      </c>
      <c r="U3052" s="403">
        <f t="shared" si="382"/>
        <v>1</v>
      </c>
      <c r="V3052" s="403" t="str">
        <f t="shared" si="383"/>
        <v>CPP_7_3</v>
      </c>
    </row>
    <row r="3053" spans="1:22">
      <c r="A3053" t="str">
        <f t="shared" si="376"/>
        <v>NDE-4502-AL</v>
      </c>
      <c r="B3053" s="403" t="s">
        <v>1408</v>
      </c>
      <c r="C3053" s="403" t="s">
        <v>582</v>
      </c>
      <c r="D3053" s="403" t="s">
        <v>1409</v>
      </c>
      <c r="E3053" s="403" t="s">
        <v>778</v>
      </c>
      <c r="F3053" s="403" t="s">
        <v>1286</v>
      </c>
      <c r="G3053" s="403" t="s">
        <v>1467</v>
      </c>
      <c r="H3053" s="403" t="s">
        <v>1276</v>
      </c>
      <c r="I3053" s="403">
        <v>1</v>
      </c>
      <c r="J3053" s="403" t="s">
        <v>110</v>
      </c>
      <c r="K3053" s="403">
        <v>1080</v>
      </c>
      <c r="L3053" s="403">
        <v>1920</v>
      </c>
      <c r="M3053" s="403" t="s">
        <v>109</v>
      </c>
      <c r="N3053" s="403">
        <v>720</v>
      </c>
      <c r="O3053" s="403">
        <v>1280</v>
      </c>
      <c r="P3053" t="str">
        <f t="shared" si="377"/>
        <v>30fps 1080p - 720p</v>
      </c>
      <c r="Q3053">
        <f t="shared" si="378"/>
        <v>18</v>
      </c>
      <c r="R3053" t="str">
        <f t="shared" si="379"/>
        <v/>
      </c>
      <c r="S3053" t="str">
        <f t="shared" si="380"/>
        <v/>
      </c>
      <c r="T3053" s="403" t="str">
        <f t="shared" si="381"/>
        <v>NDE-4502-AL</v>
      </c>
      <c r="U3053" s="403">
        <f t="shared" si="382"/>
        <v>1</v>
      </c>
      <c r="V3053" s="403" t="str">
        <f t="shared" si="383"/>
        <v>CPP_7_3</v>
      </c>
    </row>
    <row r="3054" spans="1:22">
      <c r="A3054" t="str">
        <f t="shared" si="376"/>
        <v>NDE-4502-AL</v>
      </c>
      <c r="B3054" s="403" t="s">
        <v>1408</v>
      </c>
      <c r="C3054" s="403" t="s">
        <v>582</v>
      </c>
      <c r="D3054" s="403" t="s">
        <v>1409</v>
      </c>
      <c r="E3054" s="403" t="s">
        <v>778</v>
      </c>
      <c r="F3054" s="403" t="s">
        <v>1286</v>
      </c>
      <c r="G3054" s="403" t="s">
        <v>1467</v>
      </c>
      <c r="H3054" s="403" t="s">
        <v>1276</v>
      </c>
      <c r="I3054" s="403">
        <v>1</v>
      </c>
      <c r="J3054" s="403" t="s">
        <v>110</v>
      </c>
      <c r="K3054" s="403">
        <v>1080</v>
      </c>
      <c r="L3054" s="403">
        <v>1920</v>
      </c>
      <c r="M3054" s="403" t="s">
        <v>1285</v>
      </c>
      <c r="N3054" s="403">
        <v>1024</v>
      </c>
      <c r="O3054" s="403">
        <v>1280</v>
      </c>
      <c r="P3054" t="str">
        <f t="shared" si="377"/>
        <v>30fps 1080p - 1280x1024 5:4 (cropped)</v>
      </c>
      <c r="Q3054">
        <f t="shared" si="378"/>
        <v>18</v>
      </c>
      <c r="R3054" t="str">
        <f t="shared" si="379"/>
        <v/>
      </c>
      <c r="S3054" t="str">
        <f t="shared" si="380"/>
        <v/>
      </c>
      <c r="T3054" s="403" t="str">
        <f t="shared" si="381"/>
        <v>NDE-4502-AL</v>
      </c>
      <c r="U3054" s="403">
        <f t="shared" si="382"/>
        <v>1</v>
      </c>
      <c r="V3054" s="403" t="str">
        <f t="shared" si="383"/>
        <v>CPP_7_3</v>
      </c>
    </row>
    <row r="3055" spans="1:22">
      <c r="A3055" t="str">
        <f t="shared" si="376"/>
        <v>NDE-4502-AL</v>
      </c>
      <c r="B3055" s="403" t="s">
        <v>1408</v>
      </c>
      <c r="C3055" s="403" t="s">
        <v>582</v>
      </c>
      <c r="D3055" s="403" t="s">
        <v>1409</v>
      </c>
      <c r="E3055" s="403" t="s">
        <v>778</v>
      </c>
      <c r="F3055" s="403" t="s">
        <v>1286</v>
      </c>
      <c r="G3055" s="403" t="s">
        <v>1467</v>
      </c>
      <c r="H3055" s="403" t="s">
        <v>1276</v>
      </c>
      <c r="I3055" s="403">
        <v>1</v>
      </c>
      <c r="J3055" s="403" t="s">
        <v>110</v>
      </c>
      <c r="K3055" s="403">
        <v>1080</v>
      </c>
      <c r="L3055" s="403">
        <v>1920</v>
      </c>
      <c r="M3055" s="403" t="s">
        <v>1279</v>
      </c>
      <c r="N3055" s="403">
        <v>432</v>
      </c>
      <c r="O3055" s="403">
        <v>768</v>
      </c>
      <c r="P3055" t="str">
        <f t="shared" si="377"/>
        <v>30fps 1080p - SD ROI PTZ</v>
      </c>
      <c r="Q3055">
        <f t="shared" si="378"/>
        <v>18</v>
      </c>
      <c r="R3055" t="str">
        <f t="shared" si="379"/>
        <v/>
      </c>
      <c r="S3055" t="str">
        <f t="shared" si="380"/>
        <v/>
      </c>
      <c r="T3055" s="403" t="str">
        <f t="shared" si="381"/>
        <v>NDE-4502-AL</v>
      </c>
      <c r="U3055" s="403">
        <f t="shared" si="382"/>
        <v>1</v>
      </c>
      <c r="V3055" s="403" t="str">
        <f t="shared" si="383"/>
        <v>CPP_7_3</v>
      </c>
    </row>
    <row r="3056" spans="1:22">
      <c r="A3056" t="str">
        <f t="shared" si="376"/>
        <v>NDE-4502-AL</v>
      </c>
      <c r="B3056" s="403" t="s">
        <v>1408</v>
      </c>
      <c r="C3056" s="403" t="s">
        <v>582</v>
      </c>
      <c r="D3056" s="403" t="s">
        <v>1409</v>
      </c>
      <c r="E3056" s="403" t="s">
        <v>778</v>
      </c>
      <c r="F3056" s="403" t="s">
        <v>1286</v>
      </c>
      <c r="G3056" s="403" t="s">
        <v>1467</v>
      </c>
      <c r="H3056" s="403" t="s">
        <v>1276</v>
      </c>
      <c r="I3056" s="403">
        <v>1</v>
      </c>
      <c r="J3056" s="403" t="s">
        <v>110</v>
      </c>
      <c r="K3056" s="403">
        <v>1080</v>
      </c>
      <c r="L3056" s="403">
        <v>1920</v>
      </c>
      <c r="M3056" s="403" t="s">
        <v>1283</v>
      </c>
      <c r="N3056" s="403">
        <v>480</v>
      </c>
      <c r="O3056" s="403">
        <v>720</v>
      </c>
      <c r="P3056" t="str">
        <f t="shared" si="377"/>
        <v>30fps 1080p - SD 4CIF resolution 4:3 format (cropped)</v>
      </c>
      <c r="Q3056">
        <f t="shared" si="378"/>
        <v>18</v>
      </c>
      <c r="R3056" t="str">
        <f t="shared" si="379"/>
        <v/>
      </c>
      <c r="S3056" t="str">
        <f t="shared" si="380"/>
        <v/>
      </c>
      <c r="T3056" s="403" t="str">
        <f t="shared" si="381"/>
        <v>NDE-4502-AL</v>
      </c>
      <c r="U3056" s="403">
        <f t="shared" si="382"/>
        <v>1</v>
      </c>
      <c r="V3056" s="403" t="str">
        <f t="shared" si="383"/>
        <v>CPP_7_3</v>
      </c>
    </row>
    <row r="3057" spans="1:22">
      <c r="A3057" t="str">
        <f t="shared" si="376"/>
        <v>NDE-4502-AL</v>
      </c>
      <c r="B3057" s="403" t="s">
        <v>1408</v>
      </c>
      <c r="C3057" s="403" t="s">
        <v>582</v>
      </c>
      <c r="D3057" s="403" t="s">
        <v>1409</v>
      </c>
      <c r="E3057" s="403" t="s">
        <v>778</v>
      </c>
      <c r="F3057" s="403" t="s">
        <v>1286</v>
      </c>
      <c r="G3057" s="403" t="s">
        <v>1467</v>
      </c>
      <c r="H3057" s="403" t="s">
        <v>1276</v>
      </c>
      <c r="I3057" s="403">
        <v>1</v>
      </c>
      <c r="J3057" s="403" t="s">
        <v>110</v>
      </c>
      <c r="K3057" s="403">
        <v>1080</v>
      </c>
      <c r="L3057" s="403">
        <v>1920</v>
      </c>
      <c r="M3057" s="403" t="s">
        <v>1284</v>
      </c>
      <c r="N3057" s="403">
        <v>480</v>
      </c>
      <c r="O3057" s="403">
        <v>640</v>
      </c>
      <c r="P3057" t="str">
        <f t="shared" si="377"/>
        <v>30fps 1080p - SD VGA (cropped)</v>
      </c>
      <c r="Q3057">
        <f t="shared" si="378"/>
        <v>18</v>
      </c>
      <c r="R3057" t="str">
        <f t="shared" si="379"/>
        <v/>
      </c>
      <c r="S3057" t="str">
        <f t="shared" si="380"/>
        <v/>
      </c>
      <c r="T3057" s="403" t="str">
        <f t="shared" si="381"/>
        <v>NDE-4502-AL</v>
      </c>
      <c r="U3057" s="403">
        <f t="shared" si="382"/>
        <v>1</v>
      </c>
      <c r="V3057" s="403" t="str">
        <f t="shared" si="383"/>
        <v>CPP_7_3</v>
      </c>
    </row>
    <row r="3058" spans="1:22">
      <c r="A3058" t="str">
        <f t="shared" si="376"/>
        <v>NDE-4502-AL</v>
      </c>
      <c r="B3058" s="403" t="s">
        <v>1408</v>
      </c>
      <c r="C3058" s="403" t="s">
        <v>582</v>
      </c>
      <c r="D3058" s="403" t="s">
        <v>1409</v>
      </c>
      <c r="E3058" s="403" t="s">
        <v>778</v>
      </c>
      <c r="F3058" s="403" t="s">
        <v>1286</v>
      </c>
      <c r="G3058" s="403" t="s">
        <v>1467</v>
      </c>
      <c r="H3058" s="403" t="s">
        <v>1276</v>
      </c>
      <c r="I3058" s="403">
        <v>1</v>
      </c>
      <c r="J3058" s="403" t="s">
        <v>109</v>
      </c>
      <c r="K3058" s="403">
        <v>720</v>
      </c>
      <c r="L3058" s="403">
        <v>1280</v>
      </c>
      <c r="M3058" s="403" t="s">
        <v>109</v>
      </c>
      <c r="N3058" s="403">
        <v>720</v>
      </c>
      <c r="O3058" s="403">
        <v>1280</v>
      </c>
      <c r="P3058" t="str">
        <f t="shared" si="377"/>
        <v>30fps 720p - 720p</v>
      </c>
      <c r="Q3058">
        <f t="shared" si="378"/>
        <v>18</v>
      </c>
      <c r="R3058" t="str">
        <f t="shared" si="379"/>
        <v/>
      </c>
      <c r="S3058" t="str">
        <f t="shared" si="380"/>
        <v/>
      </c>
      <c r="T3058" s="403" t="str">
        <f t="shared" si="381"/>
        <v>NDE-4502-AL</v>
      </c>
      <c r="U3058" s="403">
        <f t="shared" si="382"/>
        <v>1</v>
      </c>
      <c r="V3058" s="403" t="str">
        <f t="shared" si="383"/>
        <v>CPP_7_3</v>
      </c>
    </row>
    <row r="3059" spans="1:22">
      <c r="A3059" t="str">
        <f t="shared" si="376"/>
        <v>NDE-4502-AL</v>
      </c>
      <c r="B3059" s="403" t="s">
        <v>1408</v>
      </c>
      <c r="C3059" s="403" t="s">
        <v>582</v>
      </c>
      <c r="D3059" s="403" t="s">
        <v>1409</v>
      </c>
      <c r="E3059" s="403" t="s">
        <v>778</v>
      </c>
      <c r="F3059" s="403" t="s">
        <v>1286</v>
      </c>
      <c r="G3059" s="403" t="s">
        <v>1467</v>
      </c>
      <c r="H3059" s="403" t="s">
        <v>1276</v>
      </c>
      <c r="I3059" s="403">
        <v>1</v>
      </c>
      <c r="J3059" s="403" t="s">
        <v>109</v>
      </c>
      <c r="K3059" s="403">
        <v>720</v>
      </c>
      <c r="L3059" s="403">
        <v>1280</v>
      </c>
      <c r="M3059" s="403" t="s">
        <v>111</v>
      </c>
      <c r="N3059" s="403">
        <v>432</v>
      </c>
      <c r="O3059" s="403">
        <v>768</v>
      </c>
      <c r="P3059" t="str">
        <f t="shared" si="377"/>
        <v>30fps 720p - SD</v>
      </c>
      <c r="Q3059">
        <f t="shared" si="378"/>
        <v>18</v>
      </c>
      <c r="R3059" t="str">
        <f t="shared" si="379"/>
        <v/>
      </c>
      <c r="S3059" t="str">
        <f t="shared" si="380"/>
        <v/>
      </c>
      <c r="T3059" s="403" t="str">
        <f t="shared" si="381"/>
        <v>NDE-4502-AL</v>
      </c>
      <c r="U3059" s="403">
        <f t="shared" si="382"/>
        <v>1</v>
      </c>
      <c r="V3059" s="403" t="str">
        <f t="shared" si="383"/>
        <v>CPP_7_3</v>
      </c>
    </row>
    <row r="3060" spans="1:22">
      <c r="A3060" t="str">
        <f t="shared" si="376"/>
        <v>NDE-4502-AL</v>
      </c>
      <c r="B3060" s="403" t="s">
        <v>1408</v>
      </c>
      <c r="C3060" s="403" t="s">
        <v>582</v>
      </c>
      <c r="D3060" s="403" t="s">
        <v>1409</v>
      </c>
      <c r="E3060" s="403" t="s">
        <v>778</v>
      </c>
      <c r="F3060" s="403" t="s">
        <v>1286</v>
      </c>
      <c r="G3060" s="403" t="s">
        <v>1467</v>
      </c>
      <c r="H3060" s="403" t="s">
        <v>1276</v>
      </c>
      <c r="I3060" s="403">
        <v>1</v>
      </c>
      <c r="J3060" s="403" t="s">
        <v>109</v>
      </c>
      <c r="K3060" s="403">
        <v>720</v>
      </c>
      <c r="L3060" s="403">
        <v>1280</v>
      </c>
      <c r="M3060" s="403" t="s">
        <v>1279</v>
      </c>
      <c r="N3060" s="403">
        <v>432</v>
      </c>
      <c r="O3060" s="403">
        <v>768</v>
      </c>
      <c r="P3060" t="str">
        <f t="shared" si="377"/>
        <v>30fps 720p - SD ROI PTZ</v>
      </c>
      <c r="Q3060">
        <f t="shared" si="378"/>
        <v>18</v>
      </c>
      <c r="R3060" t="str">
        <f t="shared" si="379"/>
        <v/>
      </c>
      <c r="S3060" t="str">
        <f t="shared" si="380"/>
        <v/>
      </c>
      <c r="T3060" s="403" t="str">
        <f t="shared" si="381"/>
        <v>NDE-4502-AL</v>
      </c>
      <c r="U3060" s="403">
        <f t="shared" si="382"/>
        <v>1</v>
      </c>
      <c r="V3060" s="403" t="str">
        <f t="shared" si="383"/>
        <v>CPP_7_3</v>
      </c>
    </row>
    <row r="3061" spans="1:22">
      <c r="A3061" t="str">
        <f t="shared" si="376"/>
        <v>NDE-4502-AL</v>
      </c>
      <c r="B3061" s="403" t="s">
        <v>1408</v>
      </c>
      <c r="C3061" s="403" t="s">
        <v>582</v>
      </c>
      <c r="D3061" s="403" t="s">
        <v>1409</v>
      </c>
      <c r="E3061" s="403" t="s">
        <v>778</v>
      </c>
      <c r="F3061" s="403" t="s">
        <v>1286</v>
      </c>
      <c r="G3061" s="403" t="s">
        <v>1467</v>
      </c>
      <c r="H3061" s="403" t="s">
        <v>1276</v>
      </c>
      <c r="I3061" s="403">
        <v>1</v>
      </c>
      <c r="J3061" s="403" t="s">
        <v>109</v>
      </c>
      <c r="K3061" s="403">
        <v>720</v>
      </c>
      <c r="L3061" s="403">
        <v>1280</v>
      </c>
      <c r="M3061" s="403" t="s">
        <v>1283</v>
      </c>
      <c r="N3061" s="403">
        <v>480</v>
      </c>
      <c r="O3061" s="403">
        <v>720</v>
      </c>
      <c r="P3061" t="str">
        <f t="shared" si="377"/>
        <v>30fps 720p - SD 4CIF resolution 4:3 format (cropped)</v>
      </c>
      <c r="Q3061">
        <f t="shared" si="378"/>
        <v>18</v>
      </c>
      <c r="R3061" t="str">
        <f t="shared" si="379"/>
        <v/>
      </c>
      <c r="S3061" t="str">
        <f t="shared" si="380"/>
        <v/>
      </c>
      <c r="T3061" s="403" t="str">
        <f t="shared" si="381"/>
        <v>NDE-4502-AL</v>
      </c>
      <c r="U3061" s="403">
        <f t="shared" si="382"/>
        <v>1</v>
      </c>
      <c r="V3061" s="403" t="str">
        <f t="shared" si="383"/>
        <v>CPP_7_3</v>
      </c>
    </row>
    <row r="3062" spans="1:22">
      <c r="A3062" t="str">
        <f t="shared" si="376"/>
        <v>NDE-4502-AL</v>
      </c>
      <c r="B3062" s="403" t="s">
        <v>1408</v>
      </c>
      <c r="C3062" s="403" t="s">
        <v>582</v>
      </c>
      <c r="D3062" s="403" t="s">
        <v>1409</v>
      </c>
      <c r="E3062" s="403" t="s">
        <v>778</v>
      </c>
      <c r="F3062" s="403" t="s">
        <v>1286</v>
      </c>
      <c r="G3062" s="403" t="s">
        <v>1467</v>
      </c>
      <c r="H3062" s="403" t="s">
        <v>1276</v>
      </c>
      <c r="I3062" s="403">
        <v>1</v>
      </c>
      <c r="J3062" s="403" t="s">
        <v>109</v>
      </c>
      <c r="K3062" s="403">
        <v>720</v>
      </c>
      <c r="L3062" s="403">
        <v>1280</v>
      </c>
      <c r="M3062" s="403" t="s">
        <v>1284</v>
      </c>
      <c r="N3062" s="403">
        <v>480</v>
      </c>
      <c r="O3062" s="403">
        <v>640</v>
      </c>
      <c r="P3062" t="str">
        <f t="shared" si="377"/>
        <v>30fps 720p - SD VGA (cropped)</v>
      </c>
      <c r="Q3062">
        <f t="shared" si="378"/>
        <v>18</v>
      </c>
      <c r="R3062" t="str">
        <f t="shared" si="379"/>
        <v/>
      </c>
      <c r="S3062" t="str">
        <f t="shared" si="380"/>
        <v/>
      </c>
      <c r="T3062" s="403" t="str">
        <f t="shared" si="381"/>
        <v>NDE-4502-AL</v>
      </c>
      <c r="U3062" s="403">
        <f t="shared" si="382"/>
        <v>1</v>
      </c>
      <c r="V3062" s="403" t="str">
        <f t="shared" si="383"/>
        <v>CPP_7_3</v>
      </c>
    </row>
    <row r="3063" spans="1:22">
      <c r="A3063" t="str">
        <f t="shared" si="376"/>
        <v>NDE-4502-AL</v>
      </c>
      <c r="B3063" s="403" t="s">
        <v>1408</v>
      </c>
      <c r="C3063" s="403" t="s">
        <v>582</v>
      </c>
      <c r="D3063" s="403" t="s">
        <v>1409</v>
      </c>
      <c r="E3063" s="403" t="s">
        <v>778</v>
      </c>
      <c r="F3063" s="403" t="s">
        <v>1286</v>
      </c>
      <c r="G3063" s="403" t="s">
        <v>1467</v>
      </c>
      <c r="H3063" s="403" t="s">
        <v>1281</v>
      </c>
      <c r="I3063" s="403">
        <v>1</v>
      </c>
      <c r="J3063" s="403" t="s">
        <v>110</v>
      </c>
      <c r="K3063" s="403">
        <v>1080</v>
      </c>
      <c r="L3063" s="403">
        <v>1920</v>
      </c>
      <c r="M3063" s="403" t="s">
        <v>111</v>
      </c>
      <c r="N3063" s="403">
        <v>432</v>
      </c>
      <c r="O3063" s="403">
        <v>768</v>
      </c>
      <c r="P3063" t="str">
        <f t="shared" si="377"/>
        <v>30fps 1080p - SD</v>
      </c>
      <c r="Q3063">
        <f t="shared" si="378"/>
        <v>18</v>
      </c>
      <c r="R3063" t="str">
        <f t="shared" si="379"/>
        <v/>
      </c>
      <c r="S3063" t="str">
        <f t="shared" si="380"/>
        <v/>
      </c>
      <c r="T3063" s="403" t="str">
        <f t="shared" si="381"/>
        <v>NDE-4502-AL</v>
      </c>
      <c r="U3063" s="403">
        <f t="shared" si="382"/>
        <v>1</v>
      </c>
      <c r="V3063" s="403" t="str">
        <f t="shared" si="383"/>
        <v>CPP_7_3</v>
      </c>
    </row>
    <row r="3064" spans="1:22">
      <c r="A3064" t="str">
        <f t="shared" si="376"/>
        <v>NDE-4502-AL</v>
      </c>
      <c r="B3064" s="403" t="s">
        <v>1408</v>
      </c>
      <c r="C3064" s="403" t="s">
        <v>582</v>
      </c>
      <c r="D3064" s="403" t="s">
        <v>1409</v>
      </c>
      <c r="E3064" s="403" t="s">
        <v>778</v>
      </c>
      <c r="F3064" s="403" t="s">
        <v>1286</v>
      </c>
      <c r="G3064" s="403" t="s">
        <v>1467</v>
      </c>
      <c r="H3064" s="403" t="s">
        <v>1281</v>
      </c>
      <c r="I3064" s="403">
        <v>1</v>
      </c>
      <c r="J3064" s="403" t="s">
        <v>110</v>
      </c>
      <c r="K3064" s="403">
        <v>1080</v>
      </c>
      <c r="L3064" s="403">
        <v>1920</v>
      </c>
      <c r="M3064" s="403" t="s">
        <v>110</v>
      </c>
      <c r="N3064" s="403">
        <v>1080</v>
      </c>
      <c r="O3064" s="403">
        <v>1920</v>
      </c>
      <c r="P3064" t="str">
        <f t="shared" si="377"/>
        <v>30fps 1080p - 1080p</v>
      </c>
      <c r="Q3064">
        <f t="shared" si="378"/>
        <v>18</v>
      </c>
      <c r="R3064" t="str">
        <f t="shared" si="379"/>
        <v/>
      </c>
      <c r="S3064" t="str">
        <f t="shared" si="380"/>
        <v/>
      </c>
      <c r="T3064" s="403" t="str">
        <f t="shared" si="381"/>
        <v>NDE-4502-AL</v>
      </c>
      <c r="U3064" s="403">
        <f t="shared" si="382"/>
        <v>1</v>
      </c>
      <c r="V3064" s="403" t="str">
        <f t="shared" si="383"/>
        <v>CPP_7_3</v>
      </c>
    </row>
    <row r="3065" spans="1:22">
      <c r="A3065" t="str">
        <f t="shared" si="376"/>
        <v>NDE-4502-AL</v>
      </c>
      <c r="B3065" s="403" t="s">
        <v>1408</v>
      </c>
      <c r="C3065" s="403" t="s">
        <v>582</v>
      </c>
      <c r="D3065" s="403" t="s">
        <v>1409</v>
      </c>
      <c r="E3065" s="403" t="s">
        <v>778</v>
      </c>
      <c r="F3065" s="403" t="s">
        <v>1286</v>
      </c>
      <c r="G3065" s="403" t="s">
        <v>1467</v>
      </c>
      <c r="H3065" s="403" t="s">
        <v>1281</v>
      </c>
      <c r="I3065" s="403">
        <v>1</v>
      </c>
      <c r="J3065" s="403" t="s">
        <v>110</v>
      </c>
      <c r="K3065" s="403">
        <v>1080</v>
      </c>
      <c r="L3065" s="403">
        <v>1920</v>
      </c>
      <c r="M3065" s="403" t="s">
        <v>109</v>
      </c>
      <c r="N3065" s="403">
        <v>720</v>
      </c>
      <c r="O3065" s="403">
        <v>1280</v>
      </c>
      <c r="P3065" t="str">
        <f t="shared" si="377"/>
        <v>30fps 1080p - 720p</v>
      </c>
      <c r="Q3065">
        <f t="shared" si="378"/>
        <v>18</v>
      </c>
      <c r="R3065" t="str">
        <f t="shared" si="379"/>
        <v/>
      </c>
      <c r="S3065" t="str">
        <f t="shared" si="380"/>
        <v/>
      </c>
      <c r="T3065" s="403" t="str">
        <f t="shared" si="381"/>
        <v>NDE-4502-AL</v>
      </c>
      <c r="U3065" s="403">
        <f t="shared" si="382"/>
        <v>1</v>
      </c>
      <c r="V3065" s="403" t="str">
        <f t="shared" si="383"/>
        <v>CPP_7_3</v>
      </c>
    </row>
    <row r="3066" spans="1:22">
      <c r="A3066" t="str">
        <f t="shared" si="376"/>
        <v>NDE-4502-AL</v>
      </c>
      <c r="B3066" s="403" t="s">
        <v>1408</v>
      </c>
      <c r="C3066" s="403" t="s">
        <v>582</v>
      </c>
      <c r="D3066" s="403" t="s">
        <v>1409</v>
      </c>
      <c r="E3066" s="403" t="s">
        <v>778</v>
      </c>
      <c r="F3066" s="403" t="s">
        <v>1286</v>
      </c>
      <c r="G3066" s="403" t="s">
        <v>1467</v>
      </c>
      <c r="H3066" s="403" t="s">
        <v>1281</v>
      </c>
      <c r="I3066" s="403">
        <v>1</v>
      </c>
      <c r="J3066" s="403" t="s">
        <v>110</v>
      </c>
      <c r="K3066" s="403">
        <v>1080</v>
      </c>
      <c r="L3066" s="403">
        <v>1920</v>
      </c>
      <c r="M3066" s="403" t="s">
        <v>1285</v>
      </c>
      <c r="N3066" s="403">
        <v>1024</v>
      </c>
      <c r="O3066" s="403">
        <v>1280</v>
      </c>
      <c r="P3066" t="str">
        <f t="shared" si="377"/>
        <v>30fps 1080p - 1280x1024 5:4 (cropped)</v>
      </c>
      <c r="Q3066">
        <f t="shared" si="378"/>
        <v>18</v>
      </c>
      <c r="R3066" t="str">
        <f t="shared" si="379"/>
        <v/>
      </c>
      <c r="S3066" t="str">
        <f t="shared" si="380"/>
        <v/>
      </c>
      <c r="T3066" s="403" t="str">
        <f t="shared" si="381"/>
        <v>NDE-4502-AL</v>
      </c>
      <c r="U3066" s="403">
        <f t="shared" si="382"/>
        <v>1</v>
      </c>
      <c r="V3066" s="403" t="str">
        <f t="shared" si="383"/>
        <v>CPP_7_3</v>
      </c>
    </row>
    <row r="3067" spans="1:22">
      <c r="A3067" t="str">
        <f t="shared" si="376"/>
        <v>NDE-4502-AL</v>
      </c>
      <c r="B3067" s="403" t="s">
        <v>1408</v>
      </c>
      <c r="C3067" s="403" t="s">
        <v>582</v>
      </c>
      <c r="D3067" s="403" t="s">
        <v>1409</v>
      </c>
      <c r="E3067" s="403" t="s">
        <v>778</v>
      </c>
      <c r="F3067" s="403" t="s">
        <v>1286</v>
      </c>
      <c r="G3067" s="403" t="s">
        <v>1467</v>
      </c>
      <c r="H3067" s="403" t="s">
        <v>1281</v>
      </c>
      <c r="I3067" s="403">
        <v>1</v>
      </c>
      <c r="J3067" s="403" t="s">
        <v>110</v>
      </c>
      <c r="K3067" s="403">
        <v>1080</v>
      </c>
      <c r="L3067" s="403">
        <v>1920</v>
      </c>
      <c r="M3067" s="403" t="s">
        <v>1279</v>
      </c>
      <c r="N3067" s="403">
        <v>432</v>
      </c>
      <c r="O3067" s="403">
        <v>768</v>
      </c>
      <c r="P3067" t="str">
        <f t="shared" si="377"/>
        <v>30fps 1080p - SD ROI PTZ</v>
      </c>
      <c r="Q3067">
        <f t="shared" si="378"/>
        <v>18</v>
      </c>
      <c r="R3067" t="str">
        <f t="shared" si="379"/>
        <v/>
      </c>
      <c r="S3067" t="str">
        <f t="shared" si="380"/>
        <v/>
      </c>
      <c r="T3067" s="403" t="str">
        <f t="shared" si="381"/>
        <v>NDE-4502-AL</v>
      </c>
      <c r="U3067" s="403">
        <f t="shared" si="382"/>
        <v>1</v>
      </c>
      <c r="V3067" s="403" t="str">
        <f t="shared" si="383"/>
        <v>CPP_7_3</v>
      </c>
    </row>
    <row r="3068" spans="1:22">
      <c r="A3068" t="str">
        <f t="shared" si="376"/>
        <v>NDE-4502-AL</v>
      </c>
      <c r="B3068" s="403" t="s">
        <v>1408</v>
      </c>
      <c r="C3068" s="403" t="s">
        <v>582</v>
      </c>
      <c r="D3068" s="403" t="s">
        <v>1409</v>
      </c>
      <c r="E3068" s="403" t="s">
        <v>778</v>
      </c>
      <c r="F3068" s="403" t="s">
        <v>1286</v>
      </c>
      <c r="G3068" s="403" t="s">
        <v>1467</v>
      </c>
      <c r="H3068" s="403" t="s">
        <v>1281</v>
      </c>
      <c r="I3068" s="403">
        <v>1</v>
      </c>
      <c r="J3068" s="403" t="s">
        <v>110</v>
      </c>
      <c r="K3068" s="403">
        <v>1080</v>
      </c>
      <c r="L3068" s="403">
        <v>1920</v>
      </c>
      <c r="M3068" s="403" t="s">
        <v>1283</v>
      </c>
      <c r="N3068" s="403">
        <v>480</v>
      </c>
      <c r="O3068" s="403">
        <v>720</v>
      </c>
      <c r="P3068" t="str">
        <f t="shared" si="377"/>
        <v>30fps 1080p - SD 4CIF resolution 4:3 format (cropped)</v>
      </c>
      <c r="Q3068">
        <f t="shared" si="378"/>
        <v>18</v>
      </c>
      <c r="R3068" t="str">
        <f t="shared" si="379"/>
        <v/>
      </c>
      <c r="S3068" t="str">
        <f t="shared" si="380"/>
        <v/>
      </c>
      <c r="T3068" s="403" t="str">
        <f t="shared" si="381"/>
        <v>NDE-4502-AL</v>
      </c>
      <c r="U3068" s="403">
        <f t="shared" si="382"/>
        <v>1</v>
      </c>
      <c r="V3068" s="403" t="str">
        <f t="shared" si="383"/>
        <v>CPP_7_3</v>
      </c>
    </row>
    <row r="3069" spans="1:22">
      <c r="A3069" t="str">
        <f t="shared" si="376"/>
        <v>NDE-4502-AL</v>
      </c>
      <c r="B3069" s="403" t="s">
        <v>1408</v>
      </c>
      <c r="C3069" s="403" t="s">
        <v>582</v>
      </c>
      <c r="D3069" s="403" t="s">
        <v>1409</v>
      </c>
      <c r="E3069" s="403" t="s">
        <v>778</v>
      </c>
      <c r="F3069" s="403" t="s">
        <v>1286</v>
      </c>
      <c r="G3069" s="403" t="s">
        <v>1467</v>
      </c>
      <c r="H3069" s="403" t="s">
        <v>1281</v>
      </c>
      <c r="I3069" s="403">
        <v>1</v>
      </c>
      <c r="J3069" s="403" t="s">
        <v>110</v>
      </c>
      <c r="K3069" s="403">
        <v>1080</v>
      </c>
      <c r="L3069" s="403">
        <v>1920</v>
      </c>
      <c r="M3069" s="403" t="s">
        <v>1284</v>
      </c>
      <c r="N3069" s="403">
        <v>480</v>
      </c>
      <c r="O3069" s="403">
        <v>640</v>
      </c>
      <c r="P3069" t="str">
        <f t="shared" si="377"/>
        <v>30fps 1080p - SD VGA (cropped)</v>
      </c>
      <c r="Q3069">
        <f t="shared" si="378"/>
        <v>18</v>
      </c>
      <c r="R3069" t="str">
        <f t="shared" si="379"/>
        <v/>
      </c>
      <c r="S3069" t="str">
        <f t="shared" si="380"/>
        <v/>
      </c>
      <c r="T3069" s="403" t="str">
        <f t="shared" si="381"/>
        <v>NDE-4502-AL</v>
      </c>
      <c r="U3069" s="403">
        <f t="shared" si="382"/>
        <v>1</v>
      </c>
      <c r="V3069" s="403" t="str">
        <f t="shared" si="383"/>
        <v>CPP_7_3</v>
      </c>
    </row>
    <row r="3070" spans="1:22">
      <c r="A3070" t="str">
        <f t="shared" si="376"/>
        <v>NDE-4502-AL</v>
      </c>
      <c r="B3070" s="403" t="s">
        <v>1408</v>
      </c>
      <c r="C3070" s="403" t="s">
        <v>582</v>
      </c>
      <c r="D3070" s="403" t="s">
        <v>1409</v>
      </c>
      <c r="E3070" s="403" t="s">
        <v>778</v>
      </c>
      <c r="F3070" s="403" t="s">
        <v>1286</v>
      </c>
      <c r="G3070" s="403" t="s">
        <v>1467</v>
      </c>
      <c r="H3070" s="403" t="s">
        <v>1281</v>
      </c>
      <c r="I3070" s="403">
        <v>1</v>
      </c>
      <c r="J3070" s="403" t="s">
        <v>109</v>
      </c>
      <c r="K3070" s="403">
        <v>720</v>
      </c>
      <c r="L3070" s="403">
        <v>1280</v>
      </c>
      <c r="M3070" s="403" t="s">
        <v>109</v>
      </c>
      <c r="N3070" s="403">
        <v>720</v>
      </c>
      <c r="O3070" s="403">
        <v>1280</v>
      </c>
      <c r="P3070" t="str">
        <f t="shared" si="377"/>
        <v>30fps 720p - 720p</v>
      </c>
      <c r="Q3070">
        <f t="shared" si="378"/>
        <v>18</v>
      </c>
      <c r="R3070" t="str">
        <f t="shared" si="379"/>
        <v/>
      </c>
      <c r="S3070" t="str">
        <f t="shared" si="380"/>
        <v/>
      </c>
      <c r="T3070" s="403" t="str">
        <f t="shared" si="381"/>
        <v>NDE-4502-AL</v>
      </c>
      <c r="U3070" s="403">
        <f t="shared" si="382"/>
        <v>1</v>
      </c>
      <c r="V3070" s="403" t="str">
        <f t="shared" si="383"/>
        <v>CPP_7_3</v>
      </c>
    </row>
    <row r="3071" spans="1:22">
      <c r="A3071" t="str">
        <f t="shared" si="376"/>
        <v>NDE-4502-AL</v>
      </c>
      <c r="B3071" s="403" t="s">
        <v>1408</v>
      </c>
      <c r="C3071" s="403" t="s">
        <v>582</v>
      </c>
      <c r="D3071" s="403" t="s">
        <v>1409</v>
      </c>
      <c r="E3071" s="403" t="s">
        <v>778</v>
      </c>
      <c r="F3071" s="403" t="s">
        <v>1286</v>
      </c>
      <c r="G3071" s="403" t="s">
        <v>1467</v>
      </c>
      <c r="H3071" s="403" t="s">
        <v>1281</v>
      </c>
      <c r="I3071" s="403">
        <v>1</v>
      </c>
      <c r="J3071" s="403" t="s">
        <v>109</v>
      </c>
      <c r="K3071" s="403">
        <v>720</v>
      </c>
      <c r="L3071" s="403">
        <v>1280</v>
      </c>
      <c r="M3071" s="403" t="s">
        <v>111</v>
      </c>
      <c r="N3071" s="403">
        <v>432</v>
      </c>
      <c r="O3071" s="403">
        <v>768</v>
      </c>
      <c r="P3071" t="str">
        <f t="shared" si="377"/>
        <v>30fps 720p - SD</v>
      </c>
      <c r="Q3071">
        <f t="shared" si="378"/>
        <v>18</v>
      </c>
      <c r="R3071" t="str">
        <f t="shared" si="379"/>
        <v/>
      </c>
      <c r="S3071" t="str">
        <f t="shared" si="380"/>
        <v/>
      </c>
      <c r="T3071" s="403" t="str">
        <f t="shared" si="381"/>
        <v>NDE-4502-AL</v>
      </c>
      <c r="U3071" s="403">
        <f t="shared" si="382"/>
        <v>1</v>
      </c>
      <c r="V3071" s="403" t="str">
        <f t="shared" si="383"/>
        <v>CPP_7_3</v>
      </c>
    </row>
    <row r="3072" spans="1:22">
      <c r="A3072" t="str">
        <f t="shared" si="376"/>
        <v>NDE-4502-AL</v>
      </c>
      <c r="B3072" s="403" t="s">
        <v>1408</v>
      </c>
      <c r="C3072" s="403" t="s">
        <v>582</v>
      </c>
      <c r="D3072" s="403" t="s">
        <v>1409</v>
      </c>
      <c r="E3072" s="403" t="s">
        <v>778</v>
      </c>
      <c r="F3072" s="403" t="s">
        <v>1286</v>
      </c>
      <c r="G3072" s="403" t="s">
        <v>1467</v>
      </c>
      <c r="H3072" s="403" t="s">
        <v>1281</v>
      </c>
      <c r="I3072" s="403">
        <v>1</v>
      </c>
      <c r="J3072" s="403" t="s">
        <v>109</v>
      </c>
      <c r="K3072" s="403">
        <v>720</v>
      </c>
      <c r="L3072" s="403">
        <v>1280</v>
      </c>
      <c r="M3072" s="403" t="s">
        <v>1279</v>
      </c>
      <c r="N3072" s="403">
        <v>432</v>
      </c>
      <c r="O3072" s="403">
        <v>768</v>
      </c>
      <c r="P3072" t="str">
        <f t="shared" si="377"/>
        <v>30fps 720p - SD ROI PTZ</v>
      </c>
      <c r="Q3072">
        <f t="shared" si="378"/>
        <v>18</v>
      </c>
      <c r="R3072" t="str">
        <f t="shared" si="379"/>
        <v/>
      </c>
      <c r="S3072" t="str">
        <f t="shared" si="380"/>
        <v/>
      </c>
      <c r="T3072" s="403" t="str">
        <f t="shared" si="381"/>
        <v>NDE-4502-AL</v>
      </c>
      <c r="U3072" s="403">
        <f t="shared" si="382"/>
        <v>1</v>
      </c>
      <c r="V3072" s="403" t="str">
        <f t="shared" si="383"/>
        <v>CPP_7_3</v>
      </c>
    </row>
    <row r="3073" spans="1:22">
      <c r="A3073" t="str">
        <f t="shared" si="376"/>
        <v>NDE-4502-AL</v>
      </c>
      <c r="B3073" s="403" t="s">
        <v>1408</v>
      </c>
      <c r="C3073" s="403" t="s">
        <v>582</v>
      </c>
      <c r="D3073" s="403" t="s">
        <v>1409</v>
      </c>
      <c r="E3073" s="403" t="s">
        <v>778</v>
      </c>
      <c r="F3073" s="403" t="s">
        <v>1286</v>
      </c>
      <c r="G3073" s="403" t="s">
        <v>1467</v>
      </c>
      <c r="H3073" s="403" t="s">
        <v>1281</v>
      </c>
      <c r="I3073" s="403">
        <v>1</v>
      </c>
      <c r="J3073" s="403" t="s">
        <v>109</v>
      </c>
      <c r="K3073" s="403">
        <v>720</v>
      </c>
      <c r="L3073" s="403">
        <v>1280</v>
      </c>
      <c r="M3073" s="403" t="s">
        <v>1283</v>
      </c>
      <c r="N3073" s="403">
        <v>480</v>
      </c>
      <c r="O3073" s="403">
        <v>720</v>
      </c>
      <c r="P3073" t="str">
        <f t="shared" si="377"/>
        <v>30fps 720p - SD 4CIF resolution 4:3 format (cropped)</v>
      </c>
      <c r="Q3073">
        <f t="shared" si="378"/>
        <v>18</v>
      </c>
      <c r="R3073" t="str">
        <f t="shared" si="379"/>
        <v/>
      </c>
      <c r="S3073" t="str">
        <f t="shared" si="380"/>
        <v/>
      </c>
      <c r="T3073" s="403" t="str">
        <f t="shared" si="381"/>
        <v>NDE-4502-AL</v>
      </c>
      <c r="U3073" s="403">
        <f t="shared" si="382"/>
        <v>1</v>
      </c>
      <c r="V3073" s="403" t="str">
        <f t="shared" si="383"/>
        <v>CPP_7_3</v>
      </c>
    </row>
    <row r="3074" spans="1:22">
      <c r="A3074" t="str">
        <f t="shared" ref="A3074:A3137" si="384">IF(AND(G3074&lt;&gt;"rotate 90°"),D3074,"")</f>
        <v>NDE-4502-AL</v>
      </c>
      <c r="B3074" s="403" t="s">
        <v>1408</v>
      </c>
      <c r="C3074" s="403" t="s">
        <v>582</v>
      </c>
      <c r="D3074" s="403" t="s">
        <v>1409</v>
      </c>
      <c r="E3074" s="403" t="s">
        <v>778</v>
      </c>
      <c r="F3074" s="403" t="s">
        <v>1286</v>
      </c>
      <c r="G3074" s="403" t="s">
        <v>1467</v>
      </c>
      <c r="H3074" s="403" t="s">
        <v>1281</v>
      </c>
      <c r="I3074" s="403">
        <v>1</v>
      </c>
      <c r="J3074" s="403" t="s">
        <v>109</v>
      </c>
      <c r="K3074" s="403">
        <v>720</v>
      </c>
      <c r="L3074" s="403">
        <v>1280</v>
      </c>
      <c r="M3074" s="403" t="s">
        <v>1284</v>
      </c>
      <c r="N3074" s="403">
        <v>480</v>
      </c>
      <c r="O3074" s="403">
        <v>640</v>
      </c>
      <c r="P3074" t="str">
        <f t="shared" ref="P3074:P3137" si="385">LEFT(F3074,5)&amp;" "&amp;J3074&amp;" - "&amp;M3074</f>
        <v>30fps 720p - SD VGA (cropped)</v>
      </c>
      <c r="Q3074">
        <f t="shared" ref="Q3074:Q3137" si="386">IF(A3073=A3074,Q3073,Q3073+1)</f>
        <v>18</v>
      </c>
      <c r="R3074" t="str">
        <f t="shared" ref="R3074:R3137" si="387">IF(Q3073&lt;&gt;Q3074,Q3074,"")</f>
        <v/>
      </c>
      <c r="S3074" t="str">
        <f t="shared" ref="S3074:S3137" si="388">IF(R3074&lt;&gt;"",B3074&amp;" ("&amp;D3074&amp;")","")</f>
        <v/>
      </c>
      <c r="T3074" s="403" t="str">
        <f t="shared" ref="T3074:T3137" si="389">D3074</f>
        <v>NDE-4502-AL</v>
      </c>
      <c r="U3074" s="403">
        <f t="shared" ref="U3074:U3137" si="390">I3074</f>
        <v>1</v>
      </c>
      <c r="V3074" s="403" t="str">
        <f t="shared" ref="V3074:V3137" si="391">C3074</f>
        <v>CPP_7_3</v>
      </c>
    </row>
    <row r="3075" spans="1:22">
      <c r="A3075" t="str">
        <f t="shared" si="384"/>
        <v>NDE-4502-AL</v>
      </c>
      <c r="B3075" s="403" t="s">
        <v>1408</v>
      </c>
      <c r="C3075" s="403" t="s">
        <v>582</v>
      </c>
      <c r="D3075" s="403" t="s">
        <v>1409</v>
      </c>
      <c r="E3075" s="403" t="s">
        <v>778</v>
      </c>
      <c r="F3075" s="403" t="s">
        <v>1286</v>
      </c>
      <c r="G3075" s="403" t="s">
        <v>1467</v>
      </c>
      <c r="H3075" s="403" t="s">
        <v>1282</v>
      </c>
      <c r="I3075" s="403">
        <v>1</v>
      </c>
      <c r="J3075" s="403" t="s">
        <v>110</v>
      </c>
      <c r="K3075" s="403">
        <v>1080</v>
      </c>
      <c r="L3075" s="403">
        <v>1920</v>
      </c>
      <c r="M3075" s="403" t="s">
        <v>111</v>
      </c>
      <c r="N3075" s="403">
        <v>432</v>
      </c>
      <c r="O3075" s="403">
        <v>768</v>
      </c>
      <c r="P3075" t="str">
        <f t="shared" si="385"/>
        <v>30fps 1080p - SD</v>
      </c>
      <c r="Q3075">
        <f t="shared" si="386"/>
        <v>18</v>
      </c>
      <c r="R3075" t="str">
        <f t="shared" si="387"/>
        <v/>
      </c>
      <c r="S3075" t="str">
        <f t="shared" si="388"/>
        <v/>
      </c>
      <c r="T3075" s="403" t="str">
        <f t="shared" si="389"/>
        <v>NDE-4502-AL</v>
      </c>
      <c r="U3075" s="403">
        <f t="shared" si="390"/>
        <v>1</v>
      </c>
      <c r="V3075" s="403" t="str">
        <f t="shared" si="391"/>
        <v>CPP_7_3</v>
      </c>
    </row>
    <row r="3076" spans="1:22">
      <c r="A3076" t="str">
        <f t="shared" si="384"/>
        <v>NDE-4502-AL</v>
      </c>
      <c r="B3076" s="403" t="s">
        <v>1408</v>
      </c>
      <c r="C3076" s="403" t="s">
        <v>582</v>
      </c>
      <c r="D3076" s="403" t="s">
        <v>1409</v>
      </c>
      <c r="E3076" s="403" t="s">
        <v>778</v>
      </c>
      <c r="F3076" s="403" t="s">
        <v>1286</v>
      </c>
      <c r="G3076" s="403" t="s">
        <v>1467</v>
      </c>
      <c r="H3076" s="403" t="s">
        <v>1282</v>
      </c>
      <c r="I3076" s="403">
        <v>1</v>
      </c>
      <c r="J3076" s="403" t="s">
        <v>110</v>
      </c>
      <c r="K3076" s="403">
        <v>1080</v>
      </c>
      <c r="L3076" s="403">
        <v>1920</v>
      </c>
      <c r="M3076" s="403" t="s">
        <v>110</v>
      </c>
      <c r="N3076" s="403">
        <v>1080</v>
      </c>
      <c r="O3076" s="403">
        <v>1920</v>
      </c>
      <c r="P3076" t="str">
        <f t="shared" si="385"/>
        <v>30fps 1080p - 1080p</v>
      </c>
      <c r="Q3076">
        <f t="shared" si="386"/>
        <v>18</v>
      </c>
      <c r="R3076" t="str">
        <f t="shared" si="387"/>
        <v/>
      </c>
      <c r="S3076" t="str">
        <f t="shared" si="388"/>
        <v/>
      </c>
      <c r="T3076" s="403" t="str">
        <f t="shared" si="389"/>
        <v>NDE-4502-AL</v>
      </c>
      <c r="U3076" s="403">
        <f t="shared" si="390"/>
        <v>1</v>
      </c>
      <c r="V3076" s="403" t="str">
        <f t="shared" si="391"/>
        <v>CPP_7_3</v>
      </c>
    </row>
    <row r="3077" spans="1:22">
      <c r="A3077" t="str">
        <f t="shared" si="384"/>
        <v>NDE-4502-AL</v>
      </c>
      <c r="B3077" s="403" t="s">
        <v>1408</v>
      </c>
      <c r="C3077" s="403" t="s">
        <v>582</v>
      </c>
      <c r="D3077" s="403" t="s">
        <v>1409</v>
      </c>
      <c r="E3077" s="403" t="s">
        <v>778</v>
      </c>
      <c r="F3077" s="403" t="s">
        <v>1286</v>
      </c>
      <c r="G3077" s="403" t="s">
        <v>1467</v>
      </c>
      <c r="H3077" s="403" t="s">
        <v>1282</v>
      </c>
      <c r="I3077" s="403">
        <v>1</v>
      </c>
      <c r="J3077" s="403" t="s">
        <v>110</v>
      </c>
      <c r="K3077" s="403">
        <v>1080</v>
      </c>
      <c r="L3077" s="403">
        <v>1920</v>
      </c>
      <c r="M3077" s="403" t="s">
        <v>109</v>
      </c>
      <c r="N3077" s="403">
        <v>720</v>
      </c>
      <c r="O3077" s="403">
        <v>1280</v>
      </c>
      <c r="P3077" t="str">
        <f t="shared" si="385"/>
        <v>30fps 1080p - 720p</v>
      </c>
      <c r="Q3077">
        <f t="shared" si="386"/>
        <v>18</v>
      </c>
      <c r="R3077" t="str">
        <f t="shared" si="387"/>
        <v/>
      </c>
      <c r="S3077" t="str">
        <f t="shared" si="388"/>
        <v/>
      </c>
      <c r="T3077" s="403" t="str">
        <f t="shared" si="389"/>
        <v>NDE-4502-AL</v>
      </c>
      <c r="U3077" s="403">
        <f t="shared" si="390"/>
        <v>1</v>
      </c>
      <c r="V3077" s="403" t="str">
        <f t="shared" si="391"/>
        <v>CPP_7_3</v>
      </c>
    </row>
    <row r="3078" spans="1:22">
      <c r="A3078" t="str">
        <f t="shared" si="384"/>
        <v>NDE-4502-AL</v>
      </c>
      <c r="B3078" s="403" t="s">
        <v>1408</v>
      </c>
      <c r="C3078" s="403" t="s">
        <v>582</v>
      </c>
      <c r="D3078" s="403" t="s">
        <v>1409</v>
      </c>
      <c r="E3078" s="403" t="s">
        <v>778</v>
      </c>
      <c r="F3078" s="403" t="s">
        <v>1286</v>
      </c>
      <c r="G3078" s="403" t="s">
        <v>1467</v>
      </c>
      <c r="H3078" s="403" t="s">
        <v>1282</v>
      </c>
      <c r="I3078" s="403">
        <v>1</v>
      </c>
      <c r="J3078" s="403" t="s">
        <v>110</v>
      </c>
      <c r="K3078" s="403">
        <v>1080</v>
      </c>
      <c r="L3078" s="403">
        <v>1920</v>
      </c>
      <c r="M3078" s="403" t="s">
        <v>1285</v>
      </c>
      <c r="N3078" s="403">
        <v>1024</v>
      </c>
      <c r="O3078" s="403">
        <v>1280</v>
      </c>
      <c r="P3078" t="str">
        <f t="shared" si="385"/>
        <v>30fps 1080p - 1280x1024 5:4 (cropped)</v>
      </c>
      <c r="Q3078">
        <f t="shared" si="386"/>
        <v>18</v>
      </c>
      <c r="R3078" t="str">
        <f t="shared" si="387"/>
        <v/>
      </c>
      <c r="S3078" t="str">
        <f t="shared" si="388"/>
        <v/>
      </c>
      <c r="T3078" s="403" t="str">
        <f t="shared" si="389"/>
        <v>NDE-4502-AL</v>
      </c>
      <c r="U3078" s="403">
        <f t="shared" si="390"/>
        <v>1</v>
      </c>
      <c r="V3078" s="403" t="str">
        <f t="shared" si="391"/>
        <v>CPP_7_3</v>
      </c>
    </row>
    <row r="3079" spans="1:22">
      <c r="A3079" t="str">
        <f t="shared" si="384"/>
        <v>NDE-4502-AL</v>
      </c>
      <c r="B3079" s="403" t="s">
        <v>1408</v>
      </c>
      <c r="C3079" s="403" t="s">
        <v>582</v>
      </c>
      <c r="D3079" s="403" t="s">
        <v>1409</v>
      </c>
      <c r="E3079" s="403" t="s">
        <v>778</v>
      </c>
      <c r="F3079" s="403" t="s">
        <v>1286</v>
      </c>
      <c r="G3079" s="403" t="s">
        <v>1467</v>
      </c>
      <c r="H3079" s="403" t="s">
        <v>1282</v>
      </c>
      <c r="I3079" s="403">
        <v>1</v>
      </c>
      <c r="J3079" s="403" t="s">
        <v>110</v>
      </c>
      <c r="K3079" s="403">
        <v>1080</v>
      </c>
      <c r="L3079" s="403">
        <v>1920</v>
      </c>
      <c r="M3079" s="403" t="s">
        <v>1279</v>
      </c>
      <c r="N3079" s="403">
        <v>432</v>
      </c>
      <c r="O3079" s="403">
        <v>768</v>
      </c>
      <c r="P3079" t="str">
        <f t="shared" si="385"/>
        <v>30fps 1080p - SD ROI PTZ</v>
      </c>
      <c r="Q3079">
        <f t="shared" si="386"/>
        <v>18</v>
      </c>
      <c r="R3079" t="str">
        <f t="shared" si="387"/>
        <v/>
      </c>
      <c r="S3079" t="str">
        <f t="shared" si="388"/>
        <v/>
      </c>
      <c r="T3079" s="403" t="str">
        <f t="shared" si="389"/>
        <v>NDE-4502-AL</v>
      </c>
      <c r="U3079" s="403">
        <f t="shared" si="390"/>
        <v>1</v>
      </c>
      <c r="V3079" s="403" t="str">
        <f t="shared" si="391"/>
        <v>CPP_7_3</v>
      </c>
    </row>
    <row r="3080" spans="1:22">
      <c r="A3080" t="str">
        <f t="shared" si="384"/>
        <v>NDE-4502-AL</v>
      </c>
      <c r="B3080" s="403" t="s">
        <v>1408</v>
      </c>
      <c r="C3080" s="403" t="s">
        <v>582</v>
      </c>
      <c r="D3080" s="403" t="s">
        <v>1409</v>
      </c>
      <c r="E3080" s="403" t="s">
        <v>778</v>
      </c>
      <c r="F3080" s="403" t="s">
        <v>1286</v>
      </c>
      <c r="G3080" s="403" t="s">
        <v>1467</v>
      </c>
      <c r="H3080" s="403" t="s">
        <v>1282</v>
      </c>
      <c r="I3080" s="403">
        <v>1</v>
      </c>
      <c r="J3080" s="403" t="s">
        <v>110</v>
      </c>
      <c r="K3080" s="403">
        <v>1080</v>
      </c>
      <c r="L3080" s="403">
        <v>1920</v>
      </c>
      <c r="M3080" s="403" t="s">
        <v>1283</v>
      </c>
      <c r="N3080" s="403">
        <v>480</v>
      </c>
      <c r="O3080" s="403">
        <v>720</v>
      </c>
      <c r="P3080" t="str">
        <f t="shared" si="385"/>
        <v>30fps 1080p - SD 4CIF resolution 4:3 format (cropped)</v>
      </c>
      <c r="Q3080">
        <f t="shared" si="386"/>
        <v>18</v>
      </c>
      <c r="R3080" t="str">
        <f t="shared" si="387"/>
        <v/>
      </c>
      <c r="S3080" t="str">
        <f t="shared" si="388"/>
        <v/>
      </c>
      <c r="T3080" s="403" t="str">
        <f t="shared" si="389"/>
        <v>NDE-4502-AL</v>
      </c>
      <c r="U3080" s="403">
        <f t="shared" si="390"/>
        <v>1</v>
      </c>
      <c r="V3080" s="403" t="str">
        <f t="shared" si="391"/>
        <v>CPP_7_3</v>
      </c>
    </row>
    <row r="3081" spans="1:22">
      <c r="A3081" t="str">
        <f t="shared" si="384"/>
        <v>NDE-4502-AL</v>
      </c>
      <c r="B3081" s="403" t="s">
        <v>1408</v>
      </c>
      <c r="C3081" s="403" t="s">
        <v>582</v>
      </c>
      <c r="D3081" s="403" t="s">
        <v>1409</v>
      </c>
      <c r="E3081" s="403" t="s">
        <v>778</v>
      </c>
      <c r="F3081" s="403" t="s">
        <v>1286</v>
      </c>
      <c r="G3081" s="403" t="s">
        <v>1467</v>
      </c>
      <c r="H3081" s="403" t="s">
        <v>1282</v>
      </c>
      <c r="I3081" s="403">
        <v>1</v>
      </c>
      <c r="J3081" s="403" t="s">
        <v>110</v>
      </c>
      <c r="K3081" s="403">
        <v>1080</v>
      </c>
      <c r="L3081" s="403">
        <v>1920</v>
      </c>
      <c r="M3081" s="403" t="s">
        <v>1284</v>
      </c>
      <c r="N3081" s="403">
        <v>480</v>
      </c>
      <c r="O3081" s="403">
        <v>640</v>
      </c>
      <c r="P3081" t="str">
        <f t="shared" si="385"/>
        <v>30fps 1080p - SD VGA (cropped)</v>
      </c>
      <c r="Q3081">
        <f t="shared" si="386"/>
        <v>18</v>
      </c>
      <c r="R3081" t="str">
        <f t="shared" si="387"/>
        <v/>
      </c>
      <c r="S3081" t="str">
        <f t="shared" si="388"/>
        <v/>
      </c>
      <c r="T3081" s="403" t="str">
        <f t="shared" si="389"/>
        <v>NDE-4502-AL</v>
      </c>
      <c r="U3081" s="403">
        <f t="shared" si="390"/>
        <v>1</v>
      </c>
      <c r="V3081" s="403" t="str">
        <f t="shared" si="391"/>
        <v>CPP_7_3</v>
      </c>
    </row>
    <row r="3082" spans="1:22">
      <c r="A3082" t="str">
        <f t="shared" si="384"/>
        <v>NDE-4502-AL</v>
      </c>
      <c r="B3082" s="403" t="s">
        <v>1408</v>
      </c>
      <c r="C3082" s="403" t="s">
        <v>582</v>
      </c>
      <c r="D3082" s="403" t="s">
        <v>1409</v>
      </c>
      <c r="E3082" s="403" t="s">
        <v>778</v>
      </c>
      <c r="F3082" s="403" t="s">
        <v>1286</v>
      </c>
      <c r="G3082" s="403" t="s">
        <v>1467</v>
      </c>
      <c r="H3082" s="403" t="s">
        <v>1282</v>
      </c>
      <c r="I3082" s="403">
        <v>1</v>
      </c>
      <c r="J3082" s="403" t="s">
        <v>109</v>
      </c>
      <c r="K3082" s="403">
        <v>720</v>
      </c>
      <c r="L3082" s="403">
        <v>1280</v>
      </c>
      <c r="M3082" s="403" t="s">
        <v>109</v>
      </c>
      <c r="N3082" s="403">
        <v>720</v>
      </c>
      <c r="O3082" s="403">
        <v>1280</v>
      </c>
      <c r="P3082" t="str">
        <f t="shared" si="385"/>
        <v>30fps 720p - 720p</v>
      </c>
      <c r="Q3082">
        <f t="shared" si="386"/>
        <v>18</v>
      </c>
      <c r="R3082" t="str">
        <f t="shared" si="387"/>
        <v/>
      </c>
      <c r="S3082" t="str">
        <f t="shared" si="388"/>
        <v/>
      </c>
      <c r="T3082" s="403" t="str">
        <f t="shared" si="389"/>
        <v>NDE-4502-AL</v>
      </c>
      <c r="U3082" s="403">
        <f t="shared" si="390"/>
        <v>1</v>
      </c>
      <c r="V3082" s="403" t="str">
        <f t="shared" si="391"/>
        <v>CPP_7_3</v>
      </c>
    </row>
    <row r="3083" spans="1:22">
      <c r="A3083" t="str">
        <f t="shared" si="384"/>
        <v>NDE-4502-AL</v>
      </c>
      <c r="B3083" s="403" t="s">
        <v>1408</v>
      </c>
      <c r="C3083" s="403" t="s">
        <v>582</v>
      </c>
      <c r="D3083" s="403" t="s">
        <v>1409</v>
      </c>
      <c r="E3083" s="403" t="s">
        <v>778</v>
      </c>
      <c r="F3083" s="403" t="s">
        <v>1286</v>
      </c>
      <c r="G3083" s="403" t="s">
        <v>1467</v>
      </c>
      <c r="H3083" s="403" t="s">
        <v>1282</v>
      </c>
      <c r="I3083" s="403">
        <v>1</v>
      </c>
      <c r="J3083" s="403" t="s">
        <v>109</v>
      </c>
      <c r="K3083" s="403">
        <v>720</v>
      </c>
      <c r="L3083" s="403">
        <v>1280</v>
      </c>
      <c r="M3083" s="403" t="s">
        <v>111</v>
      </c>
      <c r="N3083" s="403">
        <v>432</v>
      </c>
      <c r="O3083" s="403">
        <v>768</v>
      </c>
      <c r="P3083" t="str">
        <f t="shared" si="385"/>
        <v>30fps 720p - SD</v>
      </c>
      <c r="Q3083">
        <f t="shared" si="386"/>
        <v>18</v>
      </c>
      <c r="R3083" t="str">
        <f t="shared" si="387"/>
        <v/>
      </c>
      <c r="S3083" t="str">
        <f t="shared" si="388"/>
        <v/>
      </c>
      <c r="T3083" s="403" t="str">
        <f t="shared" si="389"/>
        <v>NDE-4502-AL</v>
      </c>
      <c r="U3083" s="403">
        <f t="shared" si="390"/>
        <v>1</v>
      </c>
      <c r="V3083" s="403" t="str">
        <f t="shared" si="391"/>
        <v>CPP_7_3</v>
      </c>
    </row>
    <row r="3084" spans="1:22">
      <c r="A3084" t="str">
        <f t="shared" si="384"/>
        <v>NDE-4502-AL</v>
      </c>
      <c r="B3084" s="403" t="s">
        <v>1408</v>
      </c>
      <c r="C3084" s="403" t="s">
        <v>582</v>
      </c>
      <c r="D3084" s="403" t="s">
        <v>1409</v>
      </c>
      <c r="E3084" s="403" t="s">
        <v>778</v>
      </c>
      <c r="F3084" s="403" t="s">
        <v>1286</v>
      </c>
      <c r="G3084" s="403" t="s">
        <v>1467</v>
      </c>
      <c r="H3084" s="403" t="s">
        <v>1282</v>
      </c>
      <c r="I3084" s="403">
        <v>1</v>
      </c>
      <c r="J3084" s="403" t="s">
        <v>109</v>
      </c>
      <c r="K3084" s="403">
        <v>720</v>
      </c>
      <c r="L3084" s="403">
        <v>1280</v>
      </c>
      <c r="M3084" s="403" t="s">
        <v>1279</v>
      </c>
      <c r="N3084" s="403">
        <v>432</v>
      </c>
      <c r="O3084" s="403">
        <v>768</v>
      </c>
      <c r="P3084" t="str">
        <f t="shared" si="385"/>
        <v>30fps 720p - SD ROI PTZ</v>
      </c>
      <c r="Q3084">
        <f t="shared" si="386"/>
        <v>18</v>
      </c>
      <c r="R3084" t="str">
        <f t="shared" si="387"/>
        <v/>
      </c>
      <c r="S3084" t="str">
        <f t="shared" si="388"/>
        <v/>
      </c>
      <c r="T3084" s="403" t="str">
        <f t="shared" si="389"/>
        <v>NDE-4502-AL</v>
      </c>
      <c r="U3084" s="403">
        <f t="shared" si="390"/>
        <v>1</v>
      </c>
      <c r="V3084" s="403" t="str">
        <f t="shared" si="391"/>
        <v>CPP_7_3</v>
      </c>
    </row>
    <row r="3085" spans="1:22">
      <c r="A3085" t="str">
        <f t="shared" si="384"/>
        <v>NDE-4502-AL</v>
      </c>
      <c r="B3085" s="403" t="s">
        <v>1408</v>
      </c>
      <c r="C3085" s="403" t="s">
        <v>582</v>
      </c>
      <c r="D3085" s="403" t="s">
        <v>1409</v>
      </c>
      <c r="E3085" s="403" t="s">
        <v>778</v>
      </c>
      <c r="F3085" s="403" t="s">
        <v>1286</v>
      </c>
      <c r="G3085" s="403" t="s">
        <v>1467</v>
      </c>
      <c r="H3085" s="403" t="s">
        <v>1282</v>
      </c>
      <c r="I3085" s="403">
        <v>1</v>
      </c>
      <c r="J3085" s="403" t="s">
        <v>109</v>
      </c>
      <c r="K3085" s="403">
        <v>720</v>
      </c>
      <c r="L3085" s="403">
        <v>1280</v>
      </c>
      <c r="M3085" s="403" t="s">
        <v>1283</v>
      </c>
      <c r="N3085" s="403">
        <v>480</v>
      </c>
      <c r="O3085" s="403">
        <v>720</v>
      </c>
      <c r="P3085" t="str">
        <f t="shared" si="385"/>
        <v>30fps 720p - SD 4CIF resolution 4:3 format (cropped)</v>
      </c>
      <c r="Q3085">
        <f t="shared" si="386"/>
        <v>18</v>
      </c>
      <c r="R3085" t="str">
        <f t="shared" si="387"/>
        <v/>
      </c>
      <c r="S3085" t="str">
        <f t="shared" si="388"/>
        <v/>
      </c>
      <c r="T3085" s="403" t="str">
        <f t="shared" si="389"/>
        <v>NDE-4502-AL</v>
      </c>
      <c r="U3085" s="403">
        <f t="shared" si="390"/>
        <v>1</v>
      </c>
      <c r="V3085" s="403" t="str">
        <f t="shared" si="391"/>
        <v>CPP_7_3</v>
      </c>
    </row>
    <row r="3086" spans="1:22">
      <c r="A3086" t="str">
        <f t="shared" si="384"/>
        <v>NDE-4502-AL</v>
      </c>
      <c r="B3086" s="403" t="s">
        <v>1408</v>
      </c>
      <c r="C3086" s="403" t="s">
        <v>582</v>
      </c>
      <c r="D3086" s="403" t="s">
        <v>1409</v>
      </c>
      <c r="E3086" s="403" t="s">
        <v>778</v>
      </c>
      <c r="F3086" s="403" t="s">
        <v>1286</v>
      </c>
      <c r="G3086" s="403" t="s">
        <v>1467</v>
      </c>
      <c r="H3086" s="403" t="s">
        <v>1282</v>
      </c>
      <c r="I3086" s="403">
        <v>1</v>
      </c>
      <c r="J3086" s="403" t="s">
        <v>109</v>
      </c>
      <c r="K3086" s="403">
        <v>720</v>
      </c>
      <c r="L3086" s="403">
        <v>1280</v>
      </c>
      <c r="M3086" s="403" t="s">
        <v>1284</v>
      </c>
      <c r="N3086" s="403">
        <v>480</v>
      </c>
      <c r="O3086" s="403">
        <v>640</v>
      </c>
      <c r="P3086" t="str">
        <f t="shared" si="385"/>
        <v>30fps 720p - SD VGA (cropped)</v>
      </c>
      <c r="Q3086">
        <f t="shared" si="386"/>
        <v>18</v>
      </c>
      <c r="R3086" t="str">
        <f t="shared" si="387"/>
        <v/>
      </c>
      <c r="S3086" t="str">
        <f t="shared" si="388"/>
        <v/>
      </c>
      <c r="T3086" s="403" t="str">
        <f t="shared" si="389"/>
        <v>NDE-4502-AL</v>
      </c>
      <c r="U3086" s="403">
        <f t="shared" si="390"/>
        <v>1</v>
      </c>
      <c r="V3086" s="403" t="str">
        <f t="shared" si="391"/>
        <v>CPP_7_3</v>
      </c>
    </row>
    <row r="3087" spans="1:22">
      <c r="A3087" t="str">
        <f t="shared" si="384"/>
        <v>NDE-4502-AL</v>
      </c>
      <c r="B3087" s="403" t="s">
        <v>1408</v>
      </c>
      <c r="C3087" s="403" t="s">
        <v>582</v>
      </c>
      <c r="D3087" s="403" t="s">
        <v>1409</v>
      </c>
      <c r="E3087" s="403" t="s">
        <v>778</v>
      </c>
      <c r="F3087" s="403" t="s">
        <v>1287</v>
      </c>
      <c r="G3087" s="403" t="s">
        <v>1466</v>
      </c>
      <c r="H3087" s="403" t="s">
        <v>1276</v>
      </c>
      <c r="I3087" s="403">
        <v>1</v>
      </c>
      <c r="J3087" s="403" t="s">
        <v>110</v>
      </c>
      <c r="K3087" s="403">
        <v>1920</v>
      </c>
      <c r="L3087" s="403">
        <v>1080</v>
      </c>
      <c r="M3087" s="403" t="s">
        <v>111</v>
      </c>
      <c r="N3087" s="403">
        <v>768</v>
      </c>
      <c r="O3087" s="403">
        <v>432</v>
      </c>
      <c r="P3087" t="str">
        <f t="shared" si="385"/>
        <v>25fps 1080p - SD</v>
      </c>
      <c r="Q3087">
        <f t="shared" si="386"/>
        <v>18</v>
      </c>
      <c r="R3087" t="str">
        <f t="shared" si="387"/>
        <v/>
      </c>
      <c r="S3087" t="str">
        <f t="shared" si="388"/>
        <v/>
      </c>
      <c r="T3087" s="403" t="str">
        <f t="shared" si="389"/>
        <v>NDE-4502-AL</v>
      </c>
      <c r="U3087" s="403">
        <f t="shared" si="390"/>
        <v>1</v>
      </c>
      <c r="V3087" s="403" t="str">
        <f t="shared" si="391"/>
        <v>CPP_7_3</v>
      </c>
    </row>
    <row r="3088" spans="1:22">
      <c r="A3088" t="str">
        <f t="shared" si="384"/>
        <v>NDE-4502-AL</v>
      </c>
      <c r="B3088" s="403" t="s">
        <v>1408</v>
      </c>
      <c r="C3088" s="403" t="s">
        <v>582</v>
      </c>
      <c r="D3088" s="403" t="s">
        <v>1409</v>
      </c>
      <c r="E3088" s="403" t="s">
        <v>778</v>
      </c>
      <c r="F3088" s="403" t="s">
        <v>1287</v>
      </c>
      <c r="G3088" s="403" t="s">
        <v>1466</v>
      </c>
      <c r="H3088" s="403" t="s">
        <v>1276</v>
      </c>
      <c r="I3088" s="403">
        <v>1</v>
      </c>
      <c r="J3088" s="403" t="s">
        <v>110</v>
      </c>
      <c r="K3088" s="403">
        <v>1920</v>
      </c>
      <c r="L3088" s="403">
        <v>1080</v>
      </c>
      <c r="M3088" s="403" t="s">
        <v>110</v>
      </c>
      <c r="N3088" s="403">
        <v>1920</v>
      </c>
      <c r="O3088" s="403">
        <v>1080</v>
      </c>
      <c r="P3088" t="str">
        <f t="shared" si="385"/>
        <v>25fps 1080p - 1080p</v>
      </c>
      <c r="Q3088">
        <f t="shared" si="386"/>
        <v>18</v>
      </c>
      <c r="R3088" t="str">
        <f t="shared" si="387"/>
        <v/>
      </c>
      <c r="S3088" t="str">
        <f t="shared" si="388"/>
        <v/>
      </c>
      <c r="T3088" s="403" t="str">
        <f t="shared" si="389"/>
        <v>NDE-4502-AL</v>
      </c>
      <c r="U3088" s="403">
        <f t="shared" si="390"/>
        <v>1</v>
      </c>
      <c r="V3088" s="403" t="str">
        <f t="shared" si="391"/>
        <v>CPP_7_3</v>
      </c>
    </row>
    <row r="3089" spans="1:22">
      <c r="A3089" t="str">
        <f t="shared" si="384"/>
        <v>NDE-4502-AL</v>
      </c>
      <c r="B3089" s="403" t="s">
        <v>1408</v>
      </c>
      <c r="C3089" s="403" t="s">
        <v>582</v>
      </c>
      <c r="D3089" s="403" t="s">
        <v>1409</v>
      </c>
      <c r="E3089" s="403" t="s">
        <v>778</v>
      </c>
      <c r="F3089" s="403" t="s">
        <v>1287</v>
      </c>
      <c r="G3089" s="403" t="s">
        <v>1466</v>
      </c>
      <c r="H3089" s="403" t="s">
        <v>1276</v>
      </c>
      <c r="I3089" s="403">
        <v>1</v>
      </c>
      <c r="J3089" s="403" t="s">
        <v>110</v>
      </c>
      <c r="K3089" s="403">
        <v>1920</v>
      </c>
      <c r="L3089" s="403">
        <v>1080</v>
      </c>
      <c r="M3089" s="403" t="s">
        <v>109</v>
      </c>
      <c r="N3089" s="403">
        <v>1280</v>
      </c>
      <c r="O3089" s="403">
        <v>720</v>
      </c>
      <c r="P3089" t="str">
        <f t="shared" si="385"/>
        <v>25fps 1080p - 720p</v>
      </c>
      <c r="Q3089">
        <f t="shared" si="386"/>
        <v>18</v>
      </c>
      <c r="R3089" t="str">
        <f t="shared" si="387"/>
        <v/>
      </c>
      <c r="S3089" t="str">
        <f t="shared" si="388"/>
        <v/>
      </c>
      <c r="T3089" s="403" t="str">
        <f t="shared" si="389"/>
        <v>NDE-4502-AL</v>
      </c>
      <c r="U3089" s="403">
        <f t="shared" si="390"/>
        <v>1</v>
      </c>
      <c r="V3089" s="403" t="str">
        <f t="shared" si="391"/>
        <v>CPP_7_3</v>
      </c>
    </row>
    <row r="3090" spans="1:22">
      <c r="A3090" t="str">
        <f t="shared" si="384"/>
        <v>NDE-4502-AL</v>
      </c>
      <c r="B3090" s="403" t="s">
        <v>1408</v>
      </c>
      <c r="C3090" s="403" t="s">
        <v>582</v>
      </c>
      <c r="D3090" s="403" t="s">
        <v>1409</v>
      </c>
      <c r="E3090" s="403" t="s">
        <v>778</v>
      </c>
      <c r="F3090" s="403" t="s">
        <v>1287</v>
      </c>
      <c r="G3090" s="403" t="s">
        <v>1466</v>
      </c>
      <c r="H3090" s="403" t="s">
        <v>1276</v>
      </c>
      <c r="I3090" s="403">
        <v>1</v>
      </c>
      <c r="J3090" s="403" t="s">
        <v>110</v>
      </c>
      <c r="K3090" s="403">
        <v>1920</v>
      </c>
      <c r="L3090" s="403">
        <v>1080</v>
      </c>
      <c r="M3090" s="403" t="s">
        <v>1285</v>
      </c>
      <c r="N3090" s="403">
        <v>1280</v>
      </c>
      <c r="O3090" s="403">
        <v>1024</v>
      </c>
      <c r="P3090" t="str">
        <f t="shared" si="385"/>
        <v>25fps 1080p - 1280x1024 5:4 (cropped)</v>
      </c>
      <c r="Q3090">
        <f t="shared" si="386"/>
        <v>18</v>
      </c>
      <c r="R3090" t="str">
        <f t="shared" si="387"/>
        <v/>
      </c>
      <c r="S3090" t="str">
        <f t="shared" si="388"/>
        <v/>
      </c>
      <c r="T3090" s="403" t="str">
        <f t="shared" si="389"/>
        <v>NDE-4502-AL</v>
      </c>
      <c r="U3090" s="403">
        <f t="shared" si="390"/>
        <v>1</v>
      </c>
      <c r="V3090" s="403" t="str">
        <f t="shared" si="391"/>
        <v>CPP_7_3</v>
      </c>
    </row>
    <row r="3091" spans="1:22">
      <c r="A3091" t="str">
        <f t="shared" si="384"/>
        <v>NDE-4502-AL</v>
      </c>
      <c r="B3091" s="403" t="s">
        <v>1408</v>
      </c>
      <c r="C3091" s="403" t="s">
        <v>582</v>
      </c>
      <c r="D3091" s="403" t="s">
        <v>1409</v>
      </c>
      <c r="E3091" s="403" t="s">
        <v>778</v>
      </c>
      <c r="F3091" s="403" t="s">
        <v>1287</v>
      </c>
      <c r="G3091" s="403" t="s">
        <v>1466</v>
      </c>
      <c r="H3091" s="403" t="s">
        <v>1276</v>
      </c>
      <c r="I3091" s="403">
        <v>1</v>
      </c>
      <c r="J3091" s="403" t="s">
        <v>110</v>
      </c>
      <c r="K3091" s="403">
        <v>1920</v>
      </c>
      <c r="L3091" s="403">
        <v>1080</v>
      </c>
      <c r="M3091" s="403" t="s">
        <v>1279</v>
      </c>
      <c r="N3091" s="403">
        <v>768</v>
      </c>
      <c r="O3091" s="403">
        <v>432</v>
      </c>
      <c r="P3091" t="str">
        <f t="shared" si="385"/>
        <v>25fps 1080p - SD ROI PTZ</v>
      </c>
      <c r="Q3091">
        <f t="shared" si="386"/>
        <v>18</v>
      </c>
      <c r="R3091" t="str">
        <f t="shared" si="387"/>
        <v/>
      </c>
      <c r="S3091" t="str">
        <f t="shared" si="388"/>
        <v/>
      </c>
      <c r="T3091" s="403" t="str">
        <f t="shared" si="389"/>
        <v>NDE-4502-AL</v>
      </c>
      <c r="U3091" s="403">
        <f t="shared" si="390"/>
        <v>1</v>
      </c>
      <c r="V3091" s="403" t="str">
        <f t="shared" si="391"/>
        <v>CPP_7_3</v>
      </c>
    </row>
    <row r="3092" spans="1:22">
      <c r="A3092" t="str">
        <f t="shared" si="384"/>
        <v>NDE-4502-AL</v>
      </c>
      <c r="B3092" s="403" t="s">
        <v>1408</v>
      </c>
      <c r="C3092" s="403" t="s">
        <v>582</v>
      </c>
      <c r="D3092" s="403" t="s">
        <v>1409</v>
      </c>
      <c r="E3092" s="403" t="s">
        <v>778</v>
      </c>
      <c r="F3092" s="403" t="s">
        <v>1287</v>
      </c>
      <c r="G3092" s="403" t="s">
        <v>1466</v>
      </c>
      <c r="H3092" s="403" t="s">
        <v>1276</v>
      </c>
      <c r="I3092" s="403">
        <v>1</v>
      </c>
      <c r="J3092" s="403" t="s">
        <v>110</v>
      </c>
      <c r="K3092" s="403">
        <v>1920</v>
      </c>
      <c r="L3092" s="403">
        <v>1080</v>
      </c>
      <c r="M3092" s="403" t="s">
        <v>1283</v>
      </c>
      <c r="N3092" s="403">
        <v>720</v>
      </c>
      <c r="O3092" s="403">
        <v>576</v>
      </c>
      <c r="P3092" t="str">
        <f t="shared" si="385"/>
        <v>25fps 1080p - SD 4CIF resolution 4:3 format (cropped)</v>
      </c>
      <c r="Q3092">
        <f t="shared" si="386"/>
        <v>18</v>
      </c>
      <c r="R3092" t="str">
        <f t="shared" si="387"/>
        <v/>
      </c>
      <c r="S3092" t="str">
        <f t="shared" si="388"/>
        <v/>
      </c>
      <c r="T3092" s="403" t="str">
        <f t="shared" si="389"/>
        <v>NDE-4502-AL</v>
      </c>
      <c r="U3092" s="403">
        <f t="shared" si="390"/>
        <v>1</v>
      </c>
      <c r="V3092" s="403" t="str">
        <f t="shared" si="391"/>
        <v>CPP_7_3</v>
      </c>
    </row>
    <row r="3093" spans="1:22">
      <c r="A3093" t="str">
        <f t="shared" si="384"/>
        <v>NDE-4502-AL</v>
      </c>
      <c r="B3093" s="403" t="s">
        <v>1408</v>
      </c>
      <c r="C3093" s="403" t="s">
        <v>582</v>
      </c>
      <c r="D3093" s="403" t="s">
        <v>1409</v>
      </c>
      <c r="E3093" s="403" t="s">
        <v>778</v>
      </c>
      <c r="F3093" s="403" t="s">
        <v>1287</v>
      </c>
      <c r="G3093" s="403" t="s">
        <v>1466</v>
      </c>
      <c r="H3093" s="403" t="s">
        <v>1276</v>
      </c>
      <c r="I3093" s="403">
        <v>1</v>
      </c>
      <c r="J3093" s="403" t="s">
        <v>110</v>
      </c>
      <c r="K3093" s="403">
        <v>1920</v>
      </c>
      <c r="L3093" s="403">
        <v>1080</v>
      </c>
      <c r="M3093" s="403" t="s">
        <v>1284</v>
      </c>
      <c r="N3093" s="403">
        <v>640</v>
      </c>
      <c r="O3093" s="403">
        <v>480</v>
      </c>
      <c r="P3093" t="str">
        <f t="shared" si="385"/>
        <v>25fps 1080p - SD VGA (cropped)</v>
      </c>
      <c r="Q3093">
        <f t="shared" si="386"/>
        <v>18</v>
      </c>
      <c r="R3093" t="str">
        <f t="shared" si="387"/>
        <v/>
      </c>
      <c r="S3093" t="str">
        <f t="shared" si="388"/>
        <v/>
      </c>
      <c r="T3093" s="403" t="str">
        <f t="shared" si="389"/>
        <v>NDE-4502-AL</v>
      </c>
      <c r="U3093" s="403">
        <f t="shared" si="390"/>
        <v>1</v>
      </c>
      <c r="V3093" s="403" t="str">
        <f t="shared" si="391"/>
        <v>CPP_7_3</v>
      </c>
    </row>
    <row r="3094" spans="1:22">
      <c r="A3094" t="str">
        <f t="shared" si="384"/>
        <v>NDE-4502-AL</v>
      </c>
      <c r="B3094" s="403" t="s">
        <v>1408</v>
      </c>
      <c r="C3094" s="403" t="s">
        <v>582</v>
      </c>
      <c r="D3094" s="403" t="s">
        <v>1409</v>
      </c>
      <c r="E3094" s="403" t="s">
        <v>778</v>
      </c>
      <c r="F3094" s="403" t="s">
        <v>1287</v>
      </c>
      <c r="G3094" s="403" t="s">
        <v>1466</v>
      </c>
      <c r="H3094" s="403" t="s">
        <v>1276</v>
      </c>
      <c r="I3094" s="403">
        <v>1</v>
      </c>
      <c r="J3094" s="403" t="s">
        <v>109</v>
      </c>
      <c r="K3094" s="403">
        <v>1280</v>
      </c>
      <c r="L3094" s="403">
        <v>720</v>
      </c>
      <c r="M3094" s="403" t="s">
        <v>109</v>
      </c>
      <c r="N3094" s="403">
        <v>1280</v>
      </c>
      <c r="O3094" s="403">
        <v>720</v>
      </c>
      <c r="P3094" t="str">
        <f t="shared" si="385"/>
        <v>25fps 720p - 720p</v>
      </c>
      <c r="Q3094">
        <f t="shared" si="386"/>
        <v>18</v>
      </c>
      <c r="R3094" t="str">
        <f t="shared" si="387"/>
        <v/>
      </c>
      <c r="S3094" t="str">
        <f t="shared" si="388"/>
        <v/>
      </c>
      <c r="T3094" s="403" t="str">
        <f t="shared" si="389"/>
        <v>NDE-4502-AL</v>
      </c>
      <c r="U3094" s="403">
        <f t="shared" si="390"/>
        <v>1</v>
      </c>
      <c r="V3094" s="403" t="str">
        <f t="shared" si="391"/>
        <v>CPP_7_3</v>
      </c>
    </row>
    <row r="3095" spans="1:22">
      <c r="A3095" t="str">
        <f t="shared" si="384"/>
        <v>NDE-4502-AL</v>
      </c>
      <c r="B3095" s="403" t="s">
        <v>1408</v>
      </c>
      <c r="C3095" s="403" t="s">
        <v>582</v>
      </c>
      <c r="D3095" s="403" t="s">
        <v>1409</v>
      </c>
      <c r="E3095" s="403" t="s">
        <v>778</v>
      </c>
      <c r="F3095" s="403" t="s">
        <v>1287</v>
      </c>
      <c r="G3095" s="403" t="s">
        <v>1466</v>
      </c>
      <c r="H3095" s="403" t="s">
        <v>1276</v>
      </c>
      <c r="I3095" s="403">
        <v>1</v>
      </c>
      <c r="J3095" s="403" t="s">
        <v>109</v>
      </c>
      <c r="K3095" s="403">
        <v>1280</v>
      </c>
      <c r="L3095" s="403">
        <v>720</v>
      </c>
      <c r="M3095" s="403" t="s">
        <v>111</v>
      </c>
      <c r="N3095" s="403">
        <v>768</v>
      </c>
      <c r="O3095" s="403">
        <v>432</v>
      </c>
      <c r="P3095" t="str">
        <f t="shared" si="385"/>
        <v>25fps 720p - SD</v>
      </c>
      <c r="Q3095">
        <f t="shared" si="386"/>
        <v>18</v>
      </c>
      <c r="R3095" t="str">
        <f t="shared" si="387"/>
        <v/>
      </c>
      <c r="S3095" t="str">
        <f t="shared" si="388"/>
        <v/>
      </c>
      <c r="T3095" s="403" t="str">
        <f t="shared" si="389"/>
        <v>NDE-4502-AL</v>
      </c>
      <c r="U3095" s="403">
        <f t="shared" si="390"/>
        <v>1</v>
      </c>
      <c r="V3095" s="403" t="str">
        <f t="shared" si="391"/>
        <v>CPP_7_3</v>
      </c>
    </row>
    <row r="3096" spans="1:22">
      <c r="A3096" t="str">
        <f t="shared" si="384"/>
        <v>NDE-4502-AL</v>
      </c>
      <c r="B3096" s="403" t="s">
        <v>1408</v>
      </c>
      <c r="C3096" s="403" t="s">
        <v>582</v>
      </c>
      <c r="D3096" s="403" t="s">
        <v>1409</v>
      </c>
      <c r="E3096" s="403" t="s">
        <v>778</v>
      </c>
      <c r="F3096" s="403" t="s">
        <v>1287</v>
      </c>
      <c r="G3096" s="403" t="s">
        <v>1466</v>
      </c>
      <c r="H3096" s="403" t="s">
        <v>1276</v>
      </c>
      <c r="I3096" s="403">
        <v>1</v>
      </c>
      <c r="J3096" s="403" t="s">
        <v>109</v>
      </c>
      <c r="K3096" s="403">
        <v>1280</v>
      </c>
      <c r="L3096" s="403">
        <v>720</v>
      </c>
      <c r="M3096" s="403" t="s">
        <v>1279</v>
      </c>
      <c r="N3096" s="403">
        <v>768</v>
      </c>
      <c r="O3096" s="403">
        <v>432</v>
      </c>
      <c r="P3096" t="str">
        <f t="shared" si="385"/>
        <v>25fps 720p - SD ROI PTZ</v>
      </c>
      <c r="Q3096">
        <f t="shared" si="386"/>
        <v>18</v>
      </c>
      <c r="R3096" t="str">
        <f t="shared" si="387"/>
        <v/>
      </c>
      <c r="S3096" t="str">
        <f t="shared" si="388"/>
        <v/>
      </c>
      <c r="T3096" s="403" t="str">
        <f t="shared" si="389"/>
        <v>NDE-4502-AL</v>
      </c>
      <c r="U3096" s="403">
        <f t="shared" si="390"/>
        <v>1</v>
      </c>
      <c r="V3096" s="403" t="str">
        <f t="shared" si="391"/>
        <v>CPP_7_3</v>
      </c>
    </row>
    <row r="3097" spans="1:22">
      <c r="A3097" t="str">
        <f t="shared" si="384"/>
        <v>NDE-4502-AL</v>
      </c>
      <c r="B3097" s="403" t="s">
        <v>1408</v>
      </c>
      <c r="C3097" s="403" t="s">
        <v>582</v>
      </c>
      <c r="D3097" s="403" t="s">
        <v>1409</v>
      </c>
      <c r="E3097" s="403" t="s">
        <v>778</v>
      </c>
      <c r="F3097" s="403" t="s">
        <v>1287</v>
      </c>
      <c r="G3097" s="403" t="s">
        <v>1466</v>
      </c>
      <c r="H3097" s="403" t="s">
        <v>1276</v>
      </c>
      <c r="I3097" s="403">
        <v>1</v>
      </c>
      <c r="J3097" s="403" t="s">
        <v>109</v>
      </c>
      <c r="K3097" s="403">
        <v>1280</v>
      </c>
      <c r="L3097" s="403">
        <v>720</v>
      </c>
      <c r="M3097" s="403" t="s">
        <v>1283</v>
      </c>
      <c r="N3097" s="403">
        <v>720</v>
      </c>
      <c r="O3097" s="403">
        <v>576</v>
      </c>
      <c r="P3097" t="str">
        <f t="shared" si="385"/>
        <v>25fps 720p - SD 4CIF resolution 4:3 format (cropped)</v>
      </c>
      <c r="Q3097">
        <f t="shared" si="386"/>
        <v>18</v>
      </c>
      <c r="R3097" t="str">
        <f t="shared" si="387"/>
        <v/>
      </c>
      <c r="S3097" t="str">
        <f t="shared" si="388"/>
        <v/>
      </c>
      <c r="T3097" s="403" t="str">
        <f t="shared" si="389"/>
        <v>NDE-4502-AL</v>
      </c>
      <c r="U3097" s="403">
        <f t="shared" si="390"/>
        <v>1</v>
      </c>
      <c r="V3097" s="403" t="str">
        <f t="shared" si="391"/>
        <v>CPP_7_3</v>
      </c>
    </row>
    <row r="3098" spans="1:22">
      <c r="A3098" t="str">
        <f t="shared" si="384"/>
        <v>NDE-4502-AL</v>
      </c>
      <c r="B3098" s="403" t="s">
        <v>1408</v>
      </c>
      <c r="C3098" s="403" t="s">
        <v>582</v>
      </c>
      <c r="D3098" s="403" t="s">
        <v>1409</v>
      </c>
      <c r="E3098" s="403" t="s">
        <v>778</v>
      </c>
      <c r="F3098" s="403" t="s">
        <v>1287</v>
      </c>
      <c r="G3098" s="403" t="s">
        <v>1466</v>
      </c>
      <c r="H3098" s="403" t="s">
        <v>1276</v>
      </c>
      <c r="I3098" s="403">
        <v>1</v>
      </c>
      <c r="J3098" s="403" t="s">
        <v>109</v>
      </c>
      <c r="K3098" s="403">
        <v>1280</v>
      </c>
      <c r="L3098" s="403">
        <v>720</v>
      </c>
      <c r="M3098" s="403" t="s">
        <v>1284</v>
      </c>
      <c r="N3098" s="403">
        <v>640</v>
      </c>
      <c r="O3098" s="403">
        <v>480</v>
      </c>
      <c r="P3098" t="str">
        <f t="shared" si="385"/>
        <v>25fps 720p - SD VGA (cropped)</v>
      </c>
      <c r="Q3098">
        <f t="shared" si="386"/>
        <v>18</v>
      </c>
      <c r="R3098" t="str">
        <f t="shared" si="387"/>
        <v/>
      </c>
      <c r="S3098" t="str">
        <f t="shared" si="388"/>
        <v/>
      </c>
      <c r="T3098" s="403" t="str">
        <f t="shared" si="389"/>
        <v>NDE-4502-AL</v>
      </c>
      <c r="U3098" s="403">
        <f t="shared" si="390"/>
        <v>1</v>
      </c>
      <c r="V3098" s="403" t="str">
        <f t="shared" si="391"/>
        <v>CPP_7_3</v>
      </c>
    </row>
    <row r="3099" spans="1:22">
      <c r="A3099" t="str">
        <f t="shared" si="384"/>
        <v>NDE-4502-AL</v>
      </c>
      <c r="B3099" s="403" t="s">
        <v>1408</v>
      </c>
      <c r="C3099" s="403" t="s">
        <v>582</v>
      </c>
      <c r="D3099" s="403" t="s">
        <v>1409</v>
      </c>
      <c r="E3099" s="403" t="s">
        <v>778</v>
      </c>
      <c r="F3099" s="403" t="s">
        <v>1287</v>
      </c>
      <c r="G3099" s="403" t="s">
        <v>1466</v>
      </c>
      <c r="H3099" s="403" t="s">
        <v>1281</v>
      </c>
      <c r="I3099" s="403">
        <v>1</v>
      </c>
      <c r="J3099" s="403" t="s">
        <v>110</v>
      </c>
      <c r="K3099" s="403">
        <v>1920</v>
      </c>
      <c r="L3099" s="403">
        <v>1080</v>
      </c>
      <c r="M3099" s="403" t="s">
        <v>111</v>
      </c>
      <c r="N3099" s="403">
        <v>768</v>
      </c>
      <c r="O3099" s="403">
        <v>432</v>
      </c>
      <c r="P3099" t="str">
        <f t="shared" si="385"/>
        <v>25fps 1080p - SD</v>
      </c>
      <c r="Q3099">
        <f t="shared" si="386"/>
        <v>18</v>
      </c>
      <c r="R3099" t="str">
        <f t="shared" si="387"/>
        <v/>
      </c>
      <c r="S3099" t="str">
        <f t="shared" si="388"/>
        <v/>
      </c>
      <c r="T3099" s="403" t="str">
        <f t="shared" si="389"/>
        <v>NDE-4502-AL</v>
      </c>
      <c r="U3099" s="403">
        <f t="shared" si="390"/>
        <v>1</v>
      </c>
      <c r="V3099" s="403" t="str">
        <f t="shared" si="391"/>
        <v>CPP_7_3</v>
      </c>
    </row>
    <row r="3100" spans="1:22">
      <c r="A3100" t="str">
        <f t="shared" si="384"/>
        <v>NDE-4502-AL</v>
      </c>
      <c r="B3100" s="403" t="s">
        <v>1408</v>
      </c>
      <c r="C3100" s="403" t="s">
        <v>582</v>
      </c>
      <c r="D3100" s="403" t="s">
        <v>1409</v>
      </c>
      <c r="E3100" s="403" t="s">
        <v>778</v>
      </c>
      <c r="F3100" s="403" t="s">
        <v>1287</v>
      </c>
      <c r="G3100" s="403" t="s">
        <v>1466</v>
      </c>
      <c r="H3100" s="403" t="s">
        <v>1281</v>
      </c>
      <c r="I3100" s="403">
        <v>1</v>
      </c>
      <c r="J3100" s="403" t="s">
        <v>110</v>
      </c>
      <c r="K3100" s="403">
        <v>1920</v>
      </c>
      <c r="L3100" s="403">
        <v>1080</v>
      </c>
      <c r="M3100" s="403" t="s">
        <v>110</v>
      </c>
      <c r="N3100" s="403">
        <v>1920</v>
      </c>
      <c r="O3100" s="403">
        <v>1080</v>
      </c>
      <c r="P3100" t="str">
        <f t="shared" si="385"/>
        <v>25fps 1080p - 1080p</v>
      </c>
      <c r="Q3100">
        <f t="shared" si="386"/>
        <v>18</v>
      </c>
      <c r="R3100" t="str">
        <f t="shared" si="387"/>
        <v/>
      </c>
      <c r="S3100" t="str">
        <f t="shared" si="388"/>
        <v/>
      </c>
      <c r="T3100" s="403" t="str">
        <f t="shared" si="389"/>
        <v>NDE-4502-AL</v>
      </c>
      <c r="U3100" s="403">
        <f t="shared" si="390"/>
        <v>1</v>
      </c>
      <c r="V3100" s="403" t="str">
        <f t="shared" si="391"/>
        <v>CPP_7_3</v>
      </c>
    </row>
    <row r="3101" spans="1:22">
      <c r="A3101" t="str">
        <f t="shared" si="384"/>
        <v>NDE-4502-AL</v>
      </c>
      <c r="B3101" s="403" t="s">
        <v>1408</v>
      </c>
      <c r="C3101" s="403" t="s">
        <v>582</v>
      </c>
      <c r="D3101" s="403" t="s">
        <v>1409</v>
      </c>
      <c r="E3101" s="403" t="s">
        <v>778</v>
      </c>
      <c r="F3101" s="403" t="s">
        <v>1287</v>
      </c>
      <c r="G3101" s="403" t="s">
        <v>1466</v>
      </c>
      <c r="H3101" s="403" t="s">
        <v>1281</v>
      </c>
      <c r="I3101" s="403">
        <v>1</v>
      </c>
      <c r="J3101" s="403" t="s">
        <v>110</v>
      </c>
      <c r="K3101" s="403">
        <v>1920</v>
      </c>
      <c r="L3101" s="403">
        <v>1080</v>
      </c>
      <c r="M3101" s="403" t="s">
        <v>109</v>
      </c>
      <c r="N3101" s="403">
        <v>1280</v>
      </c>
      <c r="O3101" s="403">
        <v>720</v>
      </c>
      <c r="P3101" t="str">
        <f t="shared" si="385"/>
        <v>25fps 1080p - 720p</v>
      </c>
      <c r="Q3101">
        <f t="shared" si="386"/>
        <v>18</v>
      </c>
      <c r="R3101" t="str">
        <f t="shared" si="387"/>
        <v/>
      </c>
      <c r="S3101" t="str">
        <f t="shared" si="388"/>
        <v/>
      </c>
      <c r="T3101" s="403" t="str">
        <f t="shared" si="389"/>
        <v>NDE-4502-AL</v>
      </c>
      <c r="U3101" s="403">
        <f t="shared" si="390"/>
        <v>1</v>
      </c>
      <c r="V3101" s="403" t="str">
        <f t="shared" si="391"/>
        <v>CPP_7_3</v>
      </c>
    </row>
    <row r="3102" spans="1:22">
      <c r="A3102" t="str">
        <f t="shared" si="384"/>
        <v>NDE-4502-AL</v>
      </c>
      <c r="B3102" s="403" t="s">
        <v>1408</v>
      </c>
      <c r="C3102" s="403" t="s">
        <v>582</v>
      </c>
      <c r="D3102" s="403" t="s">
        <v>1409</v>
      </c>
      <c r="E3102" s="403" t="s">
        <v>778</v>
      </c>
      <c r="F3102" s="403" t="s">
        <v>1287</v>
      </c>
      <c r="G3102" s="403" t="s">
        <v>1466</v>
      </c>
      <c r="H3102" s="403" t="s">
        <v>1281</v>
      </c>
      <c r="I3102" s="403">
        <v>1</v>
      </c>
      <c r="J3102" s="403" t="s">
        <v>110</v>
      </c>
      <c r="K3102" s="403">
        <v>1920</v>
      </c>
      <c r="L3102" s="403">
        <v>1080</v>
      </c>
      <c r="M3102" s="403" t="s">
        <v>1285</v>
      </c>
      <c r="N3102" s="403">
        <v>1280</v>
      </c>
      <c r="O3102" s="403">
        <v>1024</v>
      </c>
      <c r="P3102" t="str">
        <f t="shared" si="385"/>
        <v>25fps 1080p - 1280x1024 5:4 (cropped)</v>
      </c>
      <c r="Q3102">
        <f t="shared" si="386"/>
        <v>18</v>
      </c>
      <c r="R3102" t="str">
        <f t="shared" si="387"/>
        <v/>
      </c>
      <c r="S3102" t="str">
        <f t="shared" si="388"/>
        <v/>
      </c>
      <c r="T3102" s="403" t="str">
        <f t="shared" si="389"/>
        <v>NDE-4502-AL</v>
      </c>
      <c r="U3102" s="403">
        <f t="shared" si="390"/>
        <v>1</v>
      </c>
      <c r="V3102" s="403" t="str">
        <f t="shared" si="391"/>
        <v>CPP_7_3</v>
      </c>
    </row>
    <row r="3103" spans="1:22">
      <c r="A3103" t="str">
        <f t="shared" si="384"/>
        <v>NDE-4502-AL</v>
      </c>
      <c r="B3103" s="403" t="s">
        <v>1408</v>
      </c>
      <c r="C3103" s="403" t="s">
        <v>582</v>
      </c>
      <c r="D3103" s="403" t="s">
        <v>1409</v>
      </c>
      <c r="E3103" s="403" t="s">
        <v>778</v>
      </c>
      <c r="F3103" s="403" t="s">
        <v>1287</v>
      </c>
      <c r="G3103" s="403" t="s">
        <v>1466</v>
      </c>
      <c r="H3103" s="403" t="s">
        <v>1281</v>
      </c>
      <c r="I3103" s="403">
        <v>1</v>
      </c>
      <c r="J3103" s="403" t="s">
        <v>110</v>
      </c>
      <c r="K3103" s="403">
        <v>1920</v>
      </c>
      <c r="L3103" s="403">
        <v>1080</v>
      </c>
      <c r="M3103" s="403" t="s">
        <v>1279</v>
      </c>
      <c r="N3103" s="403">
        <v>768</v>
      </c>
      <c r="O3103" s="403">
        <v>432</v>
      </c>
      <c r="P3103" t="str">
        <f t="shared" si="385"/>
        <v>25fps 1080p - SD ROI PTZ</v>
      </c>
      <c r="Q3103">
        <f t="shared" si="386"/>
        <v>18</v>
      </c>
      <c r="R3103" t="str">
        <f t="shared" si="387"/>
        <v/>
      </c>
      <c r="S3103" t="str">
        <f t="shared" si="388"/>
        <v/>
      </c>
      <c r="T3103" s="403" t="str">
        <f t="shared" si="389"/>
        <v>NDE-4502-AL</v>
      </c>
      <c r="U3103" s="403">
        <f t="shared" si="390"/>
        <v>1</v>
      </c>
      <c r="V3103" s="403" t="str">
        <f t="shared" si="391"/>
        <v>CPP_7_3</v>
      </c>
    </row>
    <row r="3104" spans="1:22">
      <c r="A3104" t="str">
        <f t="shared" si="384"/>
        <v>NDE-4502-AL</v>
      </c>
      <c r="B3104" s="403" t="s">
        <v>1408</v>
      </c>
      <c r="C3104" s="403" t="s">
        <v>582</v>
      </c>
      <c r="D3104" s="403" t="s">
        <v>1409</v>
      </c>
      <c r="E3104" s="403" t="s">
        <v>778</v>
      </c>
      <c r="F3104" s="403" t="s">
        <v>1287</v>
      </c>
      <c r="G3104" s="403" t="s">
        <v>1466</v>
      </c>
      <c r="H3104" s="403" t="s">
        <v>1281</v>
      </c>
      <c r="I3104" s="403">
        <v>1</v>
      </c>
      <c r="J3104" s="403" t="s">
        <v>110</v>
      </c>
      <c r="K3104" s="403">
        <v>1920</v>
      </c>
      <c r="L3104" s="403">
        <v>1080</v>
      </c>
      <c r="M3104" s="403" t="s">
        <v>1283</v>
      </c>
      <c r="N3104" s="403">
        <v>720</v>
      </c>
      <c r="O3104" s="403">
        <v>576</v>
      </c>
      <c r="P3104" t="str">
        <f t="shared" si="385"/>
        <v>25fps 1080p - SD 4CIF resolution 4:3 format (cropped)</v>
      </c>
      <c r="Q3104">
        <f t="shared" si="386"/>
        <v>18</v>
      </c>
      <c r="R3104" t="str">
        <f t="shared" si="387"/>
        <v/>
      </c>
      <c r="S3104" t="str">
        <f t="shared" si="388"/>
        <v/>
      </c>
      <c r="T3104" s="403" t="str">
        <f t="shared" si="389"/>
        <v>NDE-4502-AL</v>
      </c>
      <c r="U3104" s="403">
        <f t="shared" si="390"/>
        <v>1</v>
      </c>
      <c r="V3104" s="403" t="str">
        <f t="shared" si="391"/>
        <v>CPP_7_3</v>
      </c>
    </row>
    <row r="3105" spans="1:22">
      <c r="A3105" t="str">
        <f t="shared" si="384"/>
        <v>NDE-4502-AL</v>
      </c>
      <c r="B3105" s="403" t="s">
        <v>1408</v>
      </c>
      <c r="C3105" s="403" t="s">
        <v>582</v>
      </c>
      <c r="D3105" s="403" t="s">
        <v>1409</v>
      </c>
      <c r="E3105" s="403" t="s">
        <v>778</v>
      </c>
      <c r="F3105" s="403" t="s">
        <v>1287</v>
      </c>
      <c r="G3105" s="403" t="s">
        <v>1466</v>
      </c>
      <c r="H3105" s="403" t="s">
        <v>1281</v>
      </c>
      <c r="I3105" s="403">
        <v>1</v>
      </c>
      <c r="J3105" s="403" t="s">
        <v>110</v>
      </c>
      <c r="K3105" s="403">
        <v>1920</v>
      </c>
      <c r="L3105" s="403">
        <v>1080</v>
      </c>
      <c r="M3105" s="403" t="s">
        <v>1284</v>
      </c>
      <c r="N3105" s="403">
        <v>640</v>
      </c>
      <c r="O3105" s="403">
        <v>480</v>
      </c>
      <c r="P3105" t="str">
        <f t="shared" si="385"/>
        <v>25fps 1080p - SD VGA (cropped)</v>
      </c>
      <c r="Q3105">
        <f t="shared" si="386"/>
        <v>18</v>
      </c>
      <c r="R3105" t="str">
        <f t="shared" si="387"/>
        <v/>
      </c>
      <c r="S3105" t="str">
        <f t="shared" si="388"/>
        <v/>
      </c>
      <c r="T3105" s="403" t="str">
        <f t="shared" si="389"/>
        <v>NDE-4502-AL</v>
      </c>
      <c r="U3105" s="403">
        <f t="shared" si="390"/>
        <v>1</v>
      </c>
      <c r="V3105" s="403" t="str">
        <f t="shared" si="391"/>
        <v>CPP_7_3</v>
      </c>
    </row>
    <row r="3106" spans="1:22">
      <c r="A3106" t="str">
        <f t="shared" si="384"/>
        <v>NDE-4502-AL</v>
      </c>
      <c r="B3106" s="403" t="s">
        <v>1408</v>
      </c>
      <c r="C3106" s="403" t="s">
        <v>582</v>
      </c>
      <c r="D3106" s="403" t="s">
        <v>1409</v>
      </c>
      <c r="E3106" s="403" t="s">
        <v>778</v>
      </c>
      <c r="F3106" s="403" t="s">
        <v>1287</v>
      </c>
      <c r="G3106" s="403" t="s">
        <v>1466</v>
      </c>
      <c r="H3106" s="403" t="s">
        <v>1281</v>
      </c>
      <c r="I3106" s="403">
        <v>1</v>
      </c>
      <c r="J3106" s="403" t="s">
        <v>109</v>
      </c>
      <c r="K3106" s="403">
        <v>1280</v>
      </c>
      <c r="L3106" s="403">
        <v>720</v>
      </c>
      <c r="M3106" s="403" t="s">
        <v>109</v>
      </c>
      <c r="N3106" s="403">
        <v>1280</v>
      </c>
      <c r="O3106" s="403">
        <v>720</v>
      </c>
      <c r="P3106" t="str">
        <f t="shared" si="385"/>
        <v>25fps 720p - 720p</v>
      </c>
      <c r="Q3106">
        <f t="shared" si="386"/>
        <v>18</v>
      </c>
      <c r="R3106" t="str">
        <f t="shared" si="387"/>
        <v/>
      </c>
      <c r="S3106" t="str">
        <f t="shared" si="388"/>
        <v/>
      </c>
      <c r="T3106" s="403" t="str">
        <f t="shared" si="389"/>
        <v>NDE-4502-AL</v>
      </c>
      <c r="U3106" s="403">
        <f t="shared" si="390"/>
        <v>1</v>
      </c>
      <c r="V3106" s="403" t="str">
        <f t="shared" si="391"/>
        <v>CPP_7_3</v>
      </c>
    </row>
    <row r="3107" spans="1:22">
      <c r="A3107" t="str">
        <f t="shared" si="384"/>
        <v>NDE-4502-AL</v>
      </c>
      <c r="B3107" s="403" t="s">
        <v>1408</v>
      </c>
      <c r="C3107" s="403" t="s">
        <v>582</v>
      </c>
      <c r="D3107" s="403" t="s">
        <v>1409</v>
      </c>
      <c r="E3107" s="403" t="s">
        <v>778</v>
      </c>
      <c r="F3107" s="403" t="s">
        <v>1287</v>
      </c>
      <c r="G3107" s="403" t="s">
        <v>1466</v>
      </c>
      <c r="H3107" s="403" t="s">
        <v>1281</v>
      </c>
      <c r="I3107" s="403">
        <v>1</v>
      </c>
      <c r="J3107" s="403" t="s">
        <v>109</v>
      </c>
      <c r="K3107" s="403">
        <v>1280</v>
      </c>
      <c r="L3107" s="403">
        <v>720</v>
      </c>
      <c r="M3107" s="403" t="s">
        <v>111</v>
      </c>
      <c r="N3107" s="403">
        <v>768</v>
      </c>
      <c r="O3107" s="403">
        <v>432</v>
      </c>
      <c r="P3107" t="str">
        <f t="shared" si="385"/>
        <v>25fps 720p - SD</v>
      </c>
      <c r="Q3107">
        <f t="shared" si="386"/>
        <v>18</v>
      </c>
      <c r="R3107" t="str">
        <f t="shared" si="387"/>
        <v/>
      </c>
      <c r="S3107" t="str">
        <f t="shared" si="388"/>
        <v/>
      </c>
      <c r="T3107" s="403" t="str">
        <f t="shared" si="389"/>
        <v>NDE-4502-AL</v>
      </c>
      <c r="U3107" s="403">
        <f t="shared" si="390"/>
        <v>1</v>
      </c>
      <c r="V3107" s="403" t="str">
        <f t="shared" si="391"/>
        <v>CPP_7_3</v>
      </c>
    </row>
    <row r="3108" spans="1:22">
      <c r="A3108" t="str">
        <f t="shared" si="384"/>
        <v>NDE-4502-AL</v>
      </c>
      <c r="B3108" s="403" t="s">
        <v>1408</v>
      </c>
      <c r="C3108" s="403" t="s">
        <v>582</v>
      </c>
      <c r="D3108" s="403" t="s">
        <v>1409</v>
      </c>
      <c r="E3108" s="403" t="s">
        <v>778</v>
      </c>
      <c r="F3108" s="403" t="s">
        <v>1287</v>
      </c>
      <c r="G3108" s="403" t="s">
        <v>1466</v>
      </c>
      <c r="H3108" s="403" t="s">
        <v>1281</v>
      </c>
      <c r="I3108" s="403">
        <v>1</v>
      </c>
      <c r="J3108" s="403" t="s">
        <v>109</v>
      </c>
      <c r="K3108" s="403">
        <v>1280</v>
      </c>
      <c r="L3108" s="403">
        <v>720</v>
      </c>
      <c r="M3108" s="403" t="s">
        <v>1279</v>
      </c>
      <c r="N3108" s="403">
        <v>768</v>
      </c>
      <c r="O3108" s="403">
        <v>432</v>
      </c>
      <c r="P3108" t="str">
        <f t="shared" si="385"/>
        <v>25fps 720p - SD ROI PTZ</v>
      </c>
      <c r="Q3108">
        <f t="shared" si="386"/>
        <v>18</v>
      </c>
      <c r="R3108" t="str">
        <f t="shared" si="387"/>
        <v/>
      </c>
      <c r="S3108" t="str">
        <f t="shared" si="388"/>
        <v/>
      </c>
      <c r="T3108" s="403" t="str">
        <f t="shared" si="389"/>
        <v>NDE-4502-AL</v>
      </c>
      <c r="U3108" s="403">
        <f t="shared" si="390"/>
        <v>1</v>
      </c>
      <c r="V3108" s="403" t="str">
        <f t="shared" si="391"/>
        <v>CPP_7_3</v>
      </c>
    </row>
    <row r="3109" spans="1:22">
      <c r="A3109" t="str">
        <f t="shared" si="384"/>
        <v>NDE-4502-AL</v>
      </c>
      <c r="B3109" s="403" t="s">
        <v>1408</v>
      </c>
      <c r="C3109" s="403" t="s">
        <v>582</v>
      </c>
      <c r="D3109" s="403" t="s">
        <v>1409</v>
      </c>
      <c r="E3109" s="403" t="s">
        <v>778</v>
      </c>
      <c r="F3109" s="403" t="s">
        <v>1287</v>
      </c>
      <c r="G3109" s="403" t="s">
        <v>1466</v>
      </c>
      <c r="H3109" s="403" t="s">
        <v>1281</v>
      </c>
      <c r="I3109" s="403">
        <v>1</v>
      </c>
      <c r="J3109" s="403" t="s">
        <v>109</v>
      </c>
      <c r="K3109" s="403">
        <v>1280</v>
      </c>
      <c r="L3109" s="403">
        <v>720</v>
      </c>
      <c r="M3109" s="403" t="s">
        <v>1283</v>
      </c>
      <c r="N3109" s="403">
        <v>720</v>
      </c>
      <c r="O3109" s="403">
        <v>576</v>
      </c>
      <c r="P3109" t="str">
        <f t="shared" si="385"/>
        <v>25fps 720p - SD 4CIF resolution 4:3 format (cropped)</v>
      </c>
      <c r="Q3109">
        <f t="shared" si="386"/>
        <v>18</v>
      </c>
      <c r="R3109" t="str">
        <f t="shared" si="387"/>
        <v/>
      </c>
      <c r="S3109" t="str">
        <f t="shared" si="388"/>
        <v/>
      </c>
      <c r="T3109" s="403" t="str">
        <f t="shared" si="389"/>
        <v>NDE-4502-AL</v>
      </c>
      <c r="U3109" s="403">
        <f t="shared" si="390"/>
        <v>1</v>
      </c>
      <c r="V3109" s="403" t="str">
        <f t="shared" si="391"/>
        <v>CPP_7_3</v>
      </c>
    </row>
    <row r="3110" spans="1:22">
      <c r="A3110" t="str">
        <f t="shared" si="384"/>
        <v>NDE-4502-AL</v>
      </c>
      <c r="B3110" s="403" t="s">
        <v>1408</v>
      </c>
      <c r="C3110" s="403" t="s">
        <v>582</v>
      </c>
      <c r="D3110" s="403" t="s">
        <v>1409</v>
      </c>
      <c r="E3110" s="403" t="s">
        <v>778</v>
      </c>
      <c r="F3110" s="403" t="s">
        <v>1287</v>
      </c>
      <c r="G3110" s="403" t="s">
        <v>1466</v>
      </c>
      <c r="H3110" s="403" t="s">
        <v>1281</v>
      </c>
      <c r="I3110" s="403">
        <v>1</v>
      </c>
      <c r="J3110" s="403" t="s">
        <v>109</v>
      </c>
      <c r="K3110" s="403">
        <v>1280</v>
      </c>
      <c r="L3110" s="403">
        <v>720</v>
      </c>
      <c r="M3110" s="403" t="s">
        <v>1284</v>
      </c>
      <c r="N3110" s="403">
        <v>640</v>
      </c>
      <c r="O3110" s="403">
        <v>480</v>
      </c>
      <c r="P3110" t="str">
        <f t="shared" si="385"/>
        <v>25fps 720p - SD VGA (cropped)</v>
      </c>
      <c r="Q3110">
        <f t="shared" si="386"/>
        <v>18</v>
      </c>
      <c r="R3110" t="str">
        <f t="shared" si="387"/>
        <v/>
      </c>
      <c r="S3110" t="str">
        <f t="shared" si="388"/>
        <v/>
      </c>
      <c r="T3110" s="403" t="str">
        <f t="shared" si="389"/>
        <v>NDE-4502-AL</v>
      </c>
      <c r="U3110" s="403">
        <f t="shared" si="390"/>
        <v>1</v>
      </c>
      <c r="V3110" s="403" t="str">
        <f t="shared" si="391"/>
        <v>CPP_7_3</v>
      </c>
    </row>
    <row r="3111" spans="1:22">
      <c r="A3111" t="str">
        <f t="shared" si="384"/>
        <v>NDE-4502-AL</v>
      </c>
      <c r="B3111" s="403" t="s">
        <v>1408</v>
      </c>
      <c r="C3111" s="403" t="s">
        <v>582</v>
      </c>
      <c r="D3111" s="403" t="s">
        <v>1409</v>
      </c>
      <c r="E3111" s="403" t="s">
        <v>778</v>
      </c>
      <c r="F3111" s="403" t="s">
        <v>1287</v>
      </c>
      <c r="G3111" s="403" t="s">
        <v>1466</v>
      </c>
      <c r="H3111" s="403" t="s">
        <v>1282</v>
      </c>
      <c r="I3111" s="403">
        <v>1</v>
      </c>
      <c r="J3111" s="403" t="s">
        <v>110</v>
      </c>
      <c r="K3111" s="403">
        <v>1920</v>
      </c>
      <c r="L3111" s="403">
        <v>1080</v>
      </c>
      <c r="M3111" s="403" t="s">
        <v>111</v>
      </c>
      <c r="N3111" s="403">
        <v>768</v>
      </c>
      <c r="O3111" s="403">
        <v>432</v>
      </c>
      <c r="P3111" t="str">
        <f t="shared" si="385"/>
        <v>25fps 1080p - SD</v>
      </c>
      <c r="Q3111">
        <f t="shared" si="386"/>
        <v>18</v>
      </c>
      <c r="R3111" t="str">
        <f t="shared" si="387"/>
        <v/>
      </c>
      <c r="S3111" t="str">
        <f t="shared" si="388"/>
        <v/>
      </c>
      <c r="T3111" s="403" t="str">
        <f t="shared" si="389"/>
        <v>NDE-4502-AL</v>
      </c>
      <c r="U3111" s="403">
        <f t="shared" si="390"/>
        <v>1</v>
      </c>
      <c r="V3111" s="403" t="str">
        <f t="shared" si="391"/>
        <v>CPP_7_3</v>
      </c>
    </row>
    <row r="3112" spans="1:22">
      <c r="A3112" t="str">
        <f t="shared" si="384"/>
        <v>NDE-4502-AL</v>
      </c>
      <c r="B3112" s="403" t="s">
        <v>1408</v>
      </c>
      <c r="C3112" s="403" t="s">
        <v>582</v>
      </c>
      <c r="D3112" s="403" t="s">
        <v>1409</v>
      </c>
      <c r="E3112" s="403" t="s">
        <v>778</v>
      </c>
      <c r="F3112" s="403" t="s">
        <v>1287</v>
      </c>
      <c r="G3112" s="403" t="s">
        <v>1466</v>
      </c>
      <c r="H3112" s="403" t="s">
        <v>1282</v>
      </c>
      <c r="I3112" s="403">
        <v>1</v>
      </c>
      <c r="J3112" s="403" t="s">
        <v>110</v>
      </c>
      <c r="K3112" s="403">
        <v>1920</v>
      </c>
      <c r="L3112" s="403">
        <v>1080</v>
      </c>
      <c r="M3112" s="403" t="s">
        <v>110</v>
      </c>
      <c r="N3112" s="403">
        <v>1920</v>
      </c>
      <c r="O3112" s="403">
        <v>1080</v>
      </c>
      <c r="P3112" t="str">
        <f t="shared" si="385"/>
        <v>25fps 1080p - 1080p</v>
      </c>
      <c r="Q3112">
        <f t="shared" si="386"/>
        <v>18</v>
      </c>
      <c r="R3112" t="str">
        <f t="shared" si="387"/>
        <v/>
      </c>
      <c r="S3112" t="str">
        <f t="shared" si="388"/>
        <v/>
      </c>
      <c r="T3112" s="403" t="str">
        <f t="shared" si="389"/>
        <v>NDE-4502-AL</v>
      </c>
      <c r="U3112" s="403">
        <f t="shared" si="390"/>
        <v>1</v>
      </c>
      <c r="V3112" s="403" t="str">
        <f t="shared" si="391"/>
        <v>CPP_7_3</v>
      </c>
    </row>
    <row r="3113" spans="1:22">
      <c r="A3113" t="str">
        <f t="shared" si="384"/>
        <v>NDE-4502-AL</v>
      </c>
      <c r="B3113" s="403" t="s">
        <v>1408</v>
      </c>
      <c r="C3113" s="403" t="s">
        <v>582</v>
      </c>
      <c r="D3113" s="403" t="s">
        <v>1409</v>
      </c>
      <c r="E3113" s="403" t="s">
        <v>778</v>
      </c>
      <c r="F3113" s="403" t="s">
        <v>1287</v>
      </c>
      <c r="G3113" s="403" t="s">
        <v>1466</v>
      </c>
      <c r="H3113" s="403" t="s">
        <v>1282</v>
      </c>
      <c r="I3113" s="403">
        <v>1</v>
      </c>
      <c r="J3113" s="403" t="s">
        <v>110</v>
      </c>
      <c r="K3113" s="403">
        <v>1920</v>
      </c>
      <c r="L3113" s="403">
        <v>1080</v>
      </c>
      <c r="M3113" s="403" t="s">
        <v>109</v>
      </c>
      <c r="N3113" s="403">
        <v>1280</v>
      </c>
      <c r="O3113" s="403">
        <v>720</v>
      </c>
      <c r="P3113" t="str">
        <f t="shared" si="385"/>
        <v>25fps 1080p - 720p</v>
      </c>
      <c r="Q3113">
        <f t="shared" si="386"/>
        <v>18</v>
      </c>
      <c r="R3113" t="str">
        <f t="shared" si="387"/>
        <v/>
      </c>
      <c r="S3113" t="str">
        <f t="shared" si="388"/>
        <v/>
      </c>
      <c r="T3113" s="403" t="str">
        <f t="shared" si="389"/>
        <v>NDE-4502-AL</v>
      </c>
      <c r="U3113" s="403">
        <f t="shared" si="390"/>
        <v>1</v>
      </c>
      <c r="V3113" s="403" t="str">
        <f t="shared" si="391"/>
        <v>CPP_7_3</v>
      </c>
    </row>
    <row r="3114" spans="1:22">
      <c r="A3114" t="str">
        <f t="shared" si="384"/>
        <v>NDE-4502-AL</v>
      </c>
      <c r="B3114" s="403" t="s">
        <v>1408</v>
      </c>
      <c r="C3114" s="403" t="s">
        <v>582</v>
      </c>
      <c r="D3114" s="403" t="s">
        <v>1409</v>
      </c>
      <c r="E3114" s="403" t="s">
        <v>778</v>
      </c>
      <c r="F3114" s="403" t="s">
        <v>1287</v>
      </c>
      <c r="G3114" s="403" t="s">
        <v>1466</v>
      </c>
      <c r="H3114" s="403" t="s">
        <v>1282</v>
      </c>
      <c r="I3114" s="403">
        <v>1</v>
      </c>
      <c r="J3114" s="403" t="s">
        <v>110</v>
      </c>
      <c r="K3114" s="403">
        <v>1920</v>
      </c>
      <c r="L3114" s="403">
        <v>1080</v>
      </c>
      <c r="M3114" s="403" t="s">
        <v>1285</v>
      </c>
      <c r="N3114" s="403">
        <v>1280</v>
      </c>
      <c r="O3114" s="403">
        <v>1024</v>
      </c>
      <c r="P3114" t="str">
        <f t="shared" si="385"/>
        <v>25fps 1080p - 1280x1024 5:4 (cropped)</v>
      </c>
      <c r="Q3114">
        <f t="shared" si="386"/>
        <v>18</v>
      </c>
      <c r="R3114" t="str">
        <f t="shared" si="387"/>
        <v/>
      </c>
      <c r="S3114" t="str">
        <f t="shared" si="388"/>
        <v/>
      </c>
      <c r="T3114" s="403" t="str">
        <f t="shared" si="389"/>
        <v>NDE-4502-AL</v>
      </c>
      <c r="U3114" s="403">
        <f t="shared" si="390"/>
        <v>1</v>
      </c>
      <c r="V3114" s="403" t="str">
        <f t="shared" si="391"/>
        <v>CPP_7_3</v>
      </c>
    </row>
    <row r="3115" spans="1:22">
      <c r="A3115" t="str">
        <f t="shared" si="384"/>
        <v>NDE-4502-AL</v>
      </c>
      <c r="B3115" s="403" t="s">
        <v>1408</v>
      </c>
      <c r="C3115" s="403" t="s">
        <v>582</v>
      </c>
      <c r="D3115" s="403" t="s">
        <v>1409</v>
      </c>
      <c r="E3115" s="403" t="s">
        <v>778</v>
      </c>
      <c r="F3115" s="403" t="s">
        <v>1287</v>
      </c>
      <c r="G3115" s="403" t="s">
        <v>1466</v>
      </c>
      <c r="H3115" s="403" t="s">
        <v>1282</v>
      </c>
      <c r="I3115" s="403">
        <v>1</v>
      </c>
      <c r="J3115" s="403" t="s">
        <v>110</v>
      </c>
      <c r="K3115" s="403">
        <v>1920</v>
      </c>
      <c r="L3115" s="403">
        <v>1080</v>
      </c>
      <c r="M3115" s="403" t="s">
        <v>1279</v>
      </c>
      <c r="N3115" s="403">
        <v>768</v>
      </c>
      <c r="O3115" s="403">
        <v>432</v>
      </c>
      <c r="P3115" t="str">
        <f t="shared" si="385"/>
        <v>25fps 1080p - SD ROI PTZ</v>
      </c>
      <c r="Q3115">
        <f t="shared" si="386"/>
        <v>18</v>
      </c>
      <c r="R3115" t="str">
        <f t="shared" si="387"/>
        <v/>
      </c>
      <c r="S3115" t="str">
        <f t="shared" si="388"/>
        <v/>
      </c>
      <c r="T3115" s="403" t="str">
        <f t="shared" si="389"/>
        <v>NDE-4502-AL</v>
      </c>
      <c r="U3115" s="403">
        <f t="shared" si="390"/>
        <v>1</v>
      </c>
      <c r="V3115" s="403" t="str">
        <f t="shared" si="391"/>
        <v>CPP_7_3</v>
      </c>
    </row>
    <row r="3116" spans="1:22">
      <c r="A3116" t="str">
        <f t="shared" si="384"/>
        <v>NDE-4502-AL</v>
      </c>
      <c r="B3116" s="403" t="s">
        <v>1408</v>
      </c>
      <c r="C3116" s="403" t="s">
        <v>582</v>
      </c>
      <c r="D3116" s="403" t="s">
        <v>1409</v>
      </c>
      <c r="E3116" s="403" t="s">
        <v>778</v>
      </c>
      <c r="F3116" s="403" t="s">
        <v>1287</v>
      </c>
      <c r="G3116" s="403" t="s">
        <v>1466</v>
      </c>
      <c r="H3116" s="403" t="s">
        <v>1282</v>
      </c>
      <c r="I3116" s="403">
        <v>1</v>
      </c>
      <c r="J3116" s="403" t="s">
        <v>110</v>
      </c>
      <c r="K3116" s="403">
        <v>1920</v>
      </c>
      <c r="L3116" s="403">
        <v>1080</v>
      </c>
      <c r="M3116" s="403" t="s">
        <v>1283</v>
      </c>
      <c r="N3116" s="403">
        <v>720</v>
      </c>
      <c r="O3116" s="403">
        <v>576</v>
      </c>
      <c r="P3116" t="str">
        <f t="shared" si="385"/>
        <v>25fps 1080p - SD 4CIF resolution 4:3 format (cropped)</v>
      </c>
      <c r="Q3116">
        <f t="shared" si="386"/>
        <v>18</v>
      </c>
      <c r="R3116" t="str">
        <f t="shared" si="387"/>
        <v/>
      </c>
      <c r="S3116" t="str">
        <f t="shared" si="388"/>
        <v/>
      </c>
      <c r="T3116" s="403" t="str">
        <f t="shared" si="389"/>
        <v>NDE-4502-AL</v>
      </c>
      <c r="U3116" s="403">
        <f t="shared" si="390"/>
        <v>1</v>
      </c>
      <c r="V3116" s="403" t="str">
        <f t="shared" si="391"/>
        <v>CPP_7_3</v>
      </c>
    </row>
    <row r="3117" spans="1:22">
      <c r="A3117" t="str">
        <f t="shared" si="384"/>
        <v>NDE-4502-AL</v>
      </c>
      <c r="B3117" s="403" t="s">
        <v>1408</v>
      </c>
      <c r="C3117" s="403" t="s">
        <v>582</v>
      </c>
      <c r="D3117" s="403" t="s">
        <v>1409</v>
      </c>
      <c r="E3117" s="403" t="s">
        <v>778</v>
      </c>
      <c r="F3117" s="403" t="s">
        <v>1287</v>
      </c>
      <c r="G3117" s="403" t="s">
        <v>1466</v>
      </c>
      <c r="H3117" s="403" t="s">
        <v>1282</v>
      </c>
      <c r="I3117" s="403">
        <v>1</v>
      </c>
      <c r="J3117" s="403" t="s">
        <v>110</v>
      </c>
      <c r="K3117" s="403">
        <v>1920</v>
      </c>
      <c r="L3117" s="403">
        <v>1080</v>
      </c>
      <c r="M3117" s="403" t="s">
        <v>1284</v>
      </c>
      <c r="N3117" s="403">
        <v>640</v>
      </c>
      <c r="O3117" s="403">
        <v>480</v>
      </c>
      <c r="P3117" t="str">
        <f t="shared" si="385"/>
        <v>25fps 1080p - SD VGA (cropped)</v>
      </c>
      <c r="Q3117">
        <f t="shared" si="386"/>
        <v>18</v>
      </c>
      <c r="R3117" t="str">
        <f t="shared" si="387"/>
        <v/>
      </c>
      <c r="S3117" t="str">
        <f t="shared" si="388"/>
        <v/>
      </c>
      <c r="T3117" s="403" t="str">
        <f t="shared" si="389"/>
        <v>NDE-4502-AL</v>
      </c>
      <c r="U3117" s="403">
        <f t="shared" si="390"/>
        <v>1</v>
      </c>
      <c r="V3117" s="403" t="str">
        <f t="shared" si="391"/>
        <v>CPP_7_3</v>
      </c>
    </row>
    <row r="3118" spans="1:22">
      <c r="A3118" t="str">
        <f t="shared" si="384"/>
        <v>NDE-4502-AL</v>
      </c>
      <c r="B3118" s="403" t="s">
        <v>1408</v>
      </c>
      <c r="C3118" s="403" t="s">
        <v>582</v>
      </c>
      <c r="D3118" s="403" t="s">
        <v>1409</v>
      </c>
      <c r="E3118" s="403" t="s">
        <v>778</v>
      </c>
      <c r="F3118" s="403" t="s">
        <v>1287</v>
      </c>
      <c r="G3118" s="403" t="s">
        <v>1466</v>
      </c>
      <c r="H3118" s="403" t="s">
        <v>1282</v>
      </c>
      <c r="I3118" s="403">
        <v>1</v>
      </c>
      <c r="J3118" s="403" t="s">
        <v>109</v>
      </c>
      <c r="K3118" s="403">
        <v>1280</v>
      </c>
      <c r="L3118" s="403">
        <v>720</v>
      </c>
      <c r="M3118" s="403" t="s">
        <v>109</v>
      </c>
      <c r="N3118" s="403">
        <v>1280</v>
      </c>
      <c r="O3118" s="403">
        <v>720</v>
      </c>
      <c r="P3118" t="str">
        <f t="shared" si="385"/>
        <v>25fps 720p - 720p</v>
      </c>
      <c r="Q3118">
        <f t="shared" si="386"/>
        <v>18</v>
      </c>
      <c r="R3118" t="str">
        <f t="shared" si="387"/>
        <v/>
      </c>
      <c r="S3118" t="str">
        <f t="shared" si="388"/>
        <v/>
      </c>
      <c r="T3118" s="403" t="str">
        <f t="shared" si="389"/>
        <v>NDE-4502-AL</v>
      </c>
      <c r="U3118" s="403">
        <f t="shared" si="390"/>
        <v>1</v>
      </c>
      <c r="V3118" s="403" t="str">
        <f t="shared" si="391"/>
        <v>CPP_7_3</v>
      </c>
    </row>
    <row r="3119" spans="1:22">
      <c r="A3119" t="str">
        <f t="shared" si="384"/>
        <v>NDE-4502-AL</v>
      </c>
      <c r="B3119" s="403" t="s">
        <v>1408</v>
      </c>
      <c r="C3119" s="403" t="s">
        <v>582</v>
      </c>
      <c r="D3119" s="403" t="s">
        <v>1409</v>
      </c>
      <c r="E3119" s="403" t="s">
        <v>778</v>
      </c>
      <c r="F3119" s="403" t="s">
        <v>1287</v>
      </c>
      <c r="G3119" s="403" t="s">
        <v>1466</v>
      </c>
      <c r="H3119" s="403" t="s">
        <v>1282</v>
      </c>
      <c r="I3119" s="403">
        <v>1</v>
      </c>
      <c r="J3119" s="403" t="s">
        <v>109</v>
      </c>
      <c r="K3119" s="403">
        <v>1280</v>
      </c>
      <c r="L3119" s="403">
        <v>720</v>
      </c>
      <c r="M3119" s="403" t="s">
        <v>111</v>
      </c>
      <c r="N3119" s="403">
        <v>768</v>
      </c>
      <c r="O3119" s="403">
        <v>432</v>
      </c>
      <c r="P3119" t="str">
        <f t="shared" si="385"/>
        <v>25fps 720p - SD</v>
      </c>
      <c r="Q3119">
        <f t="shared" si="386"/>
        <v>18</v>
      </c>
      <c r="R3119" t="str">
        <f t="shared" si="387"/>
        <v/>
      </c>
      <c r="S3119" t="str">
        <f t="shared" si="388"/>
        <v/>
      </c>
      <c r="T3119" s="403" t="str">
        <f t="shared" si="389"/>
        <v>NDE-4502-AL</v>
      </c>
      <c r="U3119" s="403">
        <f t="shared" si="390"/>
        <v>1</v>
      </c>
      <c r="V3119" s="403" t="str">
        <f t="shared" si="391"/>
        <v>CPP_7_3</v>
      </c>
    </row>
    <row r="3120" spans="1:22">
      <c r="A3120" t="str">
        <f t="shared" si="384"/>
        <v>NDE-4502-AL</v>
      </c>
      <c r="B3120" s="403" t="s">
        <v>1408</v>
      </c>
      <c r="C3120" s="403" t="s">
        <v>582</v>
      </c>
      <c r="D3120" s="403" t="s">
        <v>1409</v>
      </c>
      <c r="E3120" s="403" t="s">
        <v>778</v>
      </c>
      <c r="F3120" s="403" t="s">
        <v>1287</v>
      </c>
      <c r="G3120" s="403" t="s">
        <v>1466</v>
      </c>
      <c r="H3120" s="403" t="s">
        <v>1282</v>
      </c>
      <c r="I3120" s="403">
        <v>1</v>
      </c>
      <c r="J3120" s="403" t="s">
        <v>109</v>
      </c>
      <c r="K3120" s="403">
        <v>1280</v>
      </c>
      <c r="L3120" s="403">
        <v>720</v>
      </c>
      <c r="M3120" s="403" t="s">
        <v>1279</v>
      </c>
      <c r="N3120" s="403">
        <v>768</v>
      </c>
      <c r="O3120" s="403">
        <v>432</v>
      </c>
      <c r="P3120" t="str">
        <f t="shared" si="385"/>
        <v>25fps 720p - SD ROI PTZ</v>
      </c>
      <c r="Q3120">
        <f t="shared" si="386"/>
        <v>18</v>
      </c>
      <c r="R3120" t="str">
        <f t="shared" si="387"/>
        <v/>
      </c>
      <c r="S3120" t="str">
        <f t="shared" si="388"/>
        <v/>
      </c>
      <c r="T3120" s="403" t="str">
        <f t="shared" si="389"/>
        <v>NDE-4502-AL</v>
      </c>
      <c r="U3120" s="403">
        <f t="shared" si="390"/>
        <v>1</v>
      </c>
      <c r="V3120" s="403" t="str">
        <f t="shared" si="391"/>
        <v>CPP_7_3</v>
      </c>
    </row>
    <row r="3121" spans="1:22">
      <c r="A3121" t="str">
        <f t="shared" si="384"/>
        <v>NDE-4502-AL</v>
      </c>
      <c r="B3121" s="403" t="s">
        <v>1408</v>
      </c>
      <c r="C3121" s="403" t="s">
        <v>582</v>
      </c>
      <c r="D3121" s="403" t="s">
        <v>1409</v>
      </c>
      <c r="E3121" s="403" t="s">
        <v>778</v>
      </c>
      <c r="F3121" s="403" t="s">
        <v>1287</v>
      </c>
      <c r="G3121" s="403" t="s">
        <v>1466</v>
      </c>
      <c r="H3121" s="403" t="s">
        <v>1282</v>
      </c>
      <c r="I3121" s="403">
        <v>1</v>
      </c>
      <c r="J3121" s="403" t="s">
        <v>109</v>
      </c>
      <c r="K3121" s="403">
        <v>1280</v>
      </c>
      <c r="L3121" s="403">
        <v>720</v>
      </c>
      <c r="M3121" s="403" t="s">
        <v>1283</v>
      </c>
      <c r="N3121" s="403">
        <v>720</v>
      </c>
      <c r="O3121" s="403">
        <v>576</v>
      </c>
      <c r="P3121" t="str">
        <f t="shared" si="385"/>
        <v>25fps 720p - SD 4CIF resolution 4:3 format (cropped)</v>
      </c>
      <c r="Q3121">
        <f t="shared" si="386"/>
        <v>18</v>
      </c>
      <c r="R3121" t="str">
        <f t="shared" si="387"/>
        <v/>
      </c>
      <c r="S3121" t="str">
        <f t="shared" si="388"/>
        <v/>
      </c>
      <c r="T3121" s="403" t="str">
        <f t="shared" si="389"/>
        <v>NDE-4502-AL</v>
      </c>
      <c r="U3121" s="403">
        <f t="shared" si="390"/>
        <v>1</v>
      </c>
      <c r="V3121" s="403" t="str">
        <f t="shared" si="391"/>
        <v>CPP_7_3</v>
      </c>
    </row>
    <row r="3122" spans="1:22">
      <c r="A3122" t="str">
        <f t="shared" si="384"/>
        <v>NDE-4502-AL</v>
      </c>
      <c r="B3122" s="403" t="s">
        <v>1408</v>
      </c>
      <c r="C3122" s="403" t="s">
        <v>582</v>
      </c>
      <c r="D3122" s="403" t="s">
        <v>1409</v>
      </c>
      <c r="E3122" s="403" t="s">
        <v>778</v>
      </c>
      <c r="F3122" s="403" t="s">
        <v>1287</v>
      </c>
      <c r="G3122" s="403" t="s">
        <v>1466</v>
      </c>
      <c r="H3122" s="403" t="s">
        <v>1282</v>
      </c>
      <c r="I3122" s="403">
        <v>1</v>
      </c>
      <c r="J3122" s="403" t="s">
        <v>109</v>
      </c>
      <c r="K3122" s="403">
        <v>1280</v>
      </c>
      <c r="L3122" s="403">
        <v>720</v>
      </c>
      <c r="M3122" s="403" t="s">
        <v>1284</v>
      </c>
      <c r="N3122" s="403">
        <v>640</v>
      </c>
      <c r="O3122" s="403">
        <v>480</v>
      </c>
      <c r="P3122" t="str">
        <f t="shared" si="385"/>
        <v>25fps 720p - SD VGA (cropped)</v>
      </c>
      <c r="Q3122">
        <f t="shared" si="386"/>
        <v>18</v>
      </c>
      <c r="R3122" t="str">
        <f t="shared" si="387"/>
        <v/>
      </c>
      <c r="S3122" t="str">
        <f t="shared" si="388"/>
        <v/>
      </c>
      <c r="T3122" s="403" t="str">
        <f t="shared" si="389"/>
        <v>NDE-4502-AL</v>
      </c>
      <c r="U3122" s="403">
        <f t="shared" si="390"/>
        <v>1</v>
      </c>
      <c r="V3122" s="403" t="str">
        <f t="shared" si="391"/>
        <v>CPP_7_3</v>
      </c>
    </row>
    <row r="3123" spans="1:22">
      <c r="A3123" t="str">
        <f t="shared" si="384"/>
        <v>NDE-4502-AL</v>
      </c>
      <c r="B3123" s="403" t="s">
        <v>1408</v>
      </c>
      <c r="C3123" s="403" t="s">
        <v>582</v>
      </c>
      <c r="D3123" s="403" t="s">
        <v>1409</v>
      </c>
      <c r="E3123" s="403" t="s">
        <v>778</v>
      </c>
      <c r="F3123" s="403" t="s">
        <v>1287</v>
      </c>
      <c r="G3123" s="403" t="s">
        <v>1467</v>
      </c>
      <c r="H3123" s="403" t="s">
        <v>1276</v>
      </c>
      <c r="I3123" s="403">
        <v>1</v>
      </c>
      <c r="J3123" s="403" t="s">
        <v>110</v>
      </c>
      <c r="K3123" s="403">
        <v>1080</v>
      </c>
      <c r="L3123" s="403">
        <v>1920</v>
      </c>
      <c r="M3123" s="403" t="s">
        <v>111</v>
      </c>
      <c r="N3123" s="403">
        <v>432</v>
      </c>
      <c r="O3123" s="403">
        <v>768</v>
      </c>
      <c r="P3123" t="str">
        <f t="shared" si="385"/>
        <v>25fps 1080p - SD</v>
      </c>
      <c r="Q3123">
        <f t="shared" si="386"/>
        <v>18</v>
      </c>
      <c r="R3123" t="str">
        <f t="shared" si="387"/>
        <v/>
      </c>
      <c r="S3123" t="str">
        <f t="shared" si="388"/>
        <v/>
      </c>
      <c r="T3123" s="403" t="str">
        <f t="shared" si="389"/>
        <v>NDE-4502-AL</v>
      </c>
      <c r="U3123" s="403">
        <f t="shared" si="390"/>
        <v>1</v>
      </c>
      <c r="V3123" s="403" t="str">
        <f t="shared" si="391"/>
        <v>CPP_7_3</v>
      </c>
    </row>
    <row r="3124" spans="1:22">
      <c r="A3124" t="str">
        <f t="shared" si="384"/>
        <v>NDE-4502-AL</v>
      </c>
      <c r="B3124" s="403" t="s">
        <v>1408</v>
      </c>
      <c r="C3124" s="403" t="s">
        <v>582</v>
      </c>
      <c r="D3124" s="403" t="s">
        <v>1409</v>
      </c>
      <c r="E3124" s="403" t="s">
        <v>778</v>
      </c>
      <c r="F3124" s="403" t="s">
        <v>1287</v>
      </c>
      <c r="G3124" s="403" t="s">
        <v>1467</v>
      </c>
      <c r="H3124" s="403" t="s">
        <v>1276</v>
      </c>
      <c r="I3124" s="403">
        <v>1</v>
      </c>
      <c r="J3124" s="403" t="s">
        <v>110</v>
      </c>
      <c r="K3124" s="403">
        <v>1080</v>
      </c>
      <c r="L3124" s="403">
        <v>1920</v>
      </c>
      <c r="M3124" s="403" t="s">
        <v>110</v>
      </c>
      <c r="N3124" s="403">
        <v>1080</v>
      </c>
      <c r="O3124" s="403">
        <v>1920</v>
      </c>
      <c r="P3124" t="str">
        <f t="shared" si="385"/>
        <v>25fps 1080p - 1080p</v>
      </c>
      <c r="Q3124">
        <f t="shared" si="386"/>
        <v>18</v>
      </c>
      <c r="R3124" t="str">
        <f t="shared" si="387"/>
        <v/>
      </c>
      <c r="S3124" t="str">
        <f t="shared" si="388"/>
        <v/>
      </c>
      <c r="T3124" s="403" t="str">
        <f t="shared" si="389"/>
        <v>NDE-4502-AL</v>
      </c>
      <c r="U3124" s="403">
        <f t="shared" si="390"/>
        <v>1</v>
      </c>
      <c r="V3124" s="403" t="str">
        <f t="shared" si="391"/>
        <v>CPP_7_3</v>
      </c>
    </row>
    <row r="3125" spans="1:22">
      <c r="A3125" t="str">
        <f t="shared" si="384"/>
        <v>NDE-4502-AL</v>
      </c>
      <c r="B3125" s="403" t="s">
        <v>1408</v>
      </c>
      <c r="C3125" s="403" t="s">
        <v>582</v>
      </c>
      <c r="D3125" s="403" t="s">
        <v>1409</v>
      </c>
      <c r="E3125" s="403" t="s">
        <v>778</v>
      </c>
      <c r="F3125" s="403" t="s">
        <v>1287</v>
      </c>
      <c r="G3125" s="403" t="s">
        <v>1467</v>
      </c>
      <c r="H3125" s="403" t="s">
        <v>1276</v>
      </c>
      <c r="I3125" s="403">
        <v>1</v>
      </c>
      <c r="J3125" s="403" t="s">
        <v>110</v>
      </c>
      <c r="K3125" s="403">
        <v>1080</v>
      </c>
      <c r="L3125" s="403">
        <v>1920</v>
      </c>
      <c r="M3125" s="403" t="s">
        <v>109</v>
      </c>
      <c r="N3125" s="403">
        <v>720</v>
      </c>
      <c r="O3125" s="403">
        <v>1280</v>
      </c>
      <c r="P3125" t="str">
        <f t="shared" si="385"/>
        <v>25fps 1080p - 720p</v>
      </c>
      <c r="Q3125">
        <f t="shared" si="386"/>
        <v>18</v>
      </c>
      <c r="R3125" t="str">
        <f t="shared" si="387"/>
        <v/>
      </c>
      <c r="S3125" t="str">
        <f t="shared" si="388"/>
        <v/>
      </c>
      <c r="T3125" s="403" t="str">
        <f t="shared" si="389"/>
        <v>NDE-4502-AL</v>
      </c>
      <c r="U3125" s="403">
        <f t="shared" si="390"/>
        <v>1</v>
      </c>
      <c r="V3125" s="403" t="str">
        <f t="shared" si="391"/>
        <v>CPP_7_3</v>
      </c>
    </row>
    <row r="3126" spans="1:22">
      <c r="A3126" t="str">
        <f t="shared" si="384"/>
        <v>NDE-4502-AL</v>
      </c>
      <c r="B3126" s="403" t="s">
        <v>1408</v>
      </c>
      <c r="C3126" s="403" t="s">
        <v>582</v>
      </c>
      <c r="D3126" s="403" t="s">
        <v>1409</v>
      </c>
      <c r="E3126" s="403" t="s">
        <v>778</v>
      </c>
      <c r="F3126" s="403" t="s">
        <v>1287</v>
      </c>
      <c r="G3126" s="403" t="s">
        <v>1467</v>
      </c>
      <c r="H3126" s="403" t="s">
        <v>1276</v>
      </c>
      <c r="I3126" s="403">
        <v>1</v>
      </c>
      <c r="J3126" s="403" t="s">
        <v>110</v>
      </c>
      <c r="K3126" s="403">
        <v>1080</v>
      </c>
      <c r="L3126" s="403">
        <v>1920</v>
      </c>
      <c r="M3126" s="403" t="s">
        <v>1285</v>
      </c>
      <c r="N3126" s="403">
        <v>1024</v>
      </c>
      <c r="O3126" s="403">
        <v>1280</v>
      </c>
      <c r="P3126" t="str">
        <f t="shared" si="385"/>
        <v>25fps 1080p - 1280x1024 5:4 (cropped)</v>
      </c>
      <c r="Q3126">
        <f t="shared" si="386"/>
        <v>18</v>
      </c>
      <c r="R3126" t="str">
        <f t="shared" si="387"/>
        <v/>
      </c>
      <c r="S3126" t="str">
        <f t="shared" si="388"/>
        <v/>
      </c>
      <c r="T3126" s="403" t="str">
        <f t="shared" si="389"/>
        <v>NDE-4502-AL</v>
      </c>
      <c r="U3126" s="403">
        <f t="shared" si="390"/>
        <v>1</v>
      </c>
      <c r="V3126" s="403" t="str">
        <f t="shared" si="391"/>
        <v>CPP_7_3</v>
      </c>
    </row>
    <row r="3127" spans="1:22">
      <c r="A3127" t="str">
        <f t="shared" si="384"/>
        <v>NDE-4502-AL</v>
      </c>
      <c r="B3127" s="403" t="s">
        <v>1408</v>
      </c>
      <c r="C3127" s="403" t="s">
        <v>582</v>
      </c>
      <c r="D3127" s="403" t="s">
        <v>1409</v>
      </c>
      <c r="E3127" s="403" t="s">
        <v>778</v>
      </c>
      <c r="F3127" s="403" t="s">
        <v>1287</v>
      </c>
      <c r="G3127" s="403" t="s">
        <v>1467</v>
      </c>
      <c r="H3127" s="403" t="s">
        <v>1276</v>
      </c>
      <c r="I3127" s="403">
        <v>1</v>
      </c>
      <c r="J3127" s="403" t="s">
        <v>110</v>
      </c>
      <c r="K3127" s="403">
        <v>1080</v>
      </c>
      <c r="L3127" s="403">
        <v>1920</v>
      </c>
      <c r="M3127" s="403" t="s">
        <v>1279</v>
      </c>
      <c r="N3127" s="403">
        <v>432</v>
      </c>
      <c r="O3127" s="403">
        <v>768</v>
      </c>
      <c r="P3127" t="str">
        <f t="shared" si="385"/>
        <v>25fps 1080p - SD ROI PTZ</v>
      </c>
      <c r="Q3127">
        <f t="shared" si="386"/>
        <v>18</v>
      </c>
      <c r="R3127" t="str">
        <f t="shared" si="387"/>
        <v/>
      </c>
      <c r="S3127" t="str">
        <f t="shared" si="388"/>
        <v/>
      </c>
      <c r="T3127" s="403" t="str">
        <f t="shared" si="389"/>
        <v>NDE-4502-AL</v>
      </c>
      <c r="U3127" s="403">
        <f t="shared" si="390"/>
        <v>1</v>
      </c>
      <c r="V3127" s="403" t="str">
        <f t="shared" si="391"/>
        <v>CPP_7_3</v>
      </c>
    </row>
    <row r="3128" spans="1:22">
      <c r="A3128" t="str">
        <f t="shared" si="384"/>
        <v>NDE-4502-AL</v>
      </c>
      <c r="B3128" s="403" t="s">
        <v>1408</v>
      </c>
      <c r="C3128" s="403" t="s">
        <v>582</v>
      </c>
      <c r="D3128" s="403" t="s">
        <v>1409</v>
      </c>
      <c r="E3128" s="403" t="s">
        <v>778</v>
      </c>
      <c r="F3128" s="403" t="s">
        <v>1287</v>
      </c>
      <c r="G3128" s="403" t="s">
        <v>1467</v>
      </c>
      <c r="H3128" s="403" t="s">
        <v>1276</v>
      </c>
      <c r="I3128" s="403">
        <v>1</v>
      </c>
      <c r="J3128" s="403" t="s">
        <v>110</v>
      </c>
      <c r="K3128" s="403">
        <v>1080</v>
      </c>
      <c r="L3128" s="403">
        <v>1920</v>
      </c>
      <c r="M3128" s="403" t="s">
        <v>1283</v>
      </c>
      <c r="N3128" s="403">
        <v>576</v>
      </c>
      <c r="O3128" s="403">
        <v>720</v>
      </c>
      <c r="P3128" t="str">
        <f t="shared" si="385"/>
        <v>25fps 1080p - SD 4CIF resolution 4:3 format (cropped)</v>
      </c>
      <c r="Q3128">
        <f t="shared" si="386"/>
        <v>18</v>
      </c>
      <c r="R3128" t="str">
        <f t="shared" si="387"/>
        <v/>
      </c>
      <c r="S3128" t="str">
        <f t="shared" si="388"/>
        <v/>
      </c>
      <c r="T3128" s="403" t="str">
        <f t="shared" si="389"/>
        <v>NDE-4502-AL</v>
      </c>
      <c r="U3128" s="403">
        <f t="shared" si="390"/>
        <v>1</v>
      </c>
      <c r="V3128" s="403" t="str">
        <f t="shared" si="391"/>
        <v>CPP_7_3</v>
      </c>
    </row>
    <row r="3129" spans="1:22">
      <c r="A3129" t="str">
        <f t="shared" si="384"/>
        <v>NDE-4502-AL</v>
      </c>
      <c r="B3129" s="403" t="s">
        <v>1408</v>
      </c>
      <c r="C3129" s="403" t="s">
        <v>582</v>
      </c>
      <c r="D3129" s="403" t="s">
        <v>1409</v>
      </c>
      <c r="E3129" s="403" t="s">
        <v>778</v>
      </c>
      <c r="F3129" s="403" t="s">
        <v>1287</v>
      </c>
      <c r="G3129" s="403" t="s">
        <v>1467</v>
      </c>
      <c r="H3129" s="403" t="s">
        <v>1276</v>
      </c>
      <c r="I3129" s="403">
        <v>1</v>
      </c>
      <c r="J3129" s="403" t="s">
        <v>110</v>
      </c>
      <c r="K3129" s="403">
        <v>1080</v>
      </c>
      <c r="L3129" s="403">
        <v>1920</v>
      </c>
      <c r="M3129" s="403" t="s">
        <v>1284</v>
      </c>
      <c r="N3129" s="403">
        <v>480</v>
      </c>
      <c r="O3129" s="403">
        <v>640</v>
      </c>
      <c r="P3129" t="str">
        <f t="shared" si="385"/>
        <v>25fps 1080p - SD VGA (cropped)</v>
      </c>
      <c r="Q3129">
        <f t="shared" si="386"/>
        <v>18</v>
      </c>
      <c r="R3129" t="str">
        <f t="shared" si="387"/>
        <v/>
      </c>
      <c r="S3129" t="str">
        <f t="shared" si="388"/>
        <v/>
      </c>
      <c r="T3129" s="403" t="str">
        <f t="shared" si="389"/>
        <v>NDE-4502-AL</v>
      </c>
      <c r="U3129" s="403">
        <f t="shared" si="390"/>
        <v>1</v>
      </c>
      <c r="V3129" s="403" t="str">
        <f t="shared" si="391"/>
        <v>CPP_7_3</v>
      </c>
    </row>
    <row r="3130" spans="1:22">
      <c r="A3130" t="str">
        <f t="shared" si="384"/>
        <v>NDE-4502-AL</v>
      </c>
      <c r="B3130" s="403" t="s">
        <v>1408</v>
      </c>
      <c r="C3130" s="403" t="s">
        <v>582</v>
      </c>
      <c r="D3130" s="403" t="s">
        <v>1409</v>
      </c>
      <c r="E3130" s="403" t="s">
        <v>778</v>
      </c>
      <c r="F3130" s="403" t="s">
        <v>1287</v>
      </c>
      <c r="G3130" s="403" t="s">
        <v>1467</v>
      </c>
      <c r="H3130" s="403" t="s">
        <v>1276</v>
      </c>
      <c r="I3130" s="403">
        <v>1</v>
      </c>
      <c r="J3130" s="403" t="s">
        <v>109</v>
      </c>
      <c r="K3130" s="403">
        <v>720</v>
      </c>
      <c r="L3130" s="403">
        <v>1280</v>
      </c>
      <c r="M3130" s="403" t="s">
        <v>109</v>
      </c>
      <c r="N3130" s="403">
        <v>720</v>
      </c>
      <c r="O3130" s="403">
        <v>1280</v>
      </c>
      <c r="P3130" t="str">
        <f t="shared" si="385"/>
        <v>25fps 720p - 720p</v>
      </c>
      <c r="Q3130">
        <f t="shared" si="386"/>
        <v>18</v>
      </c>
      <c r="R3130" t="str">
        <f t="shared" si="387"/>
        <v/>
      </c>
      <c r="S3130" t="str">
        <f t="shared" si="388"/>
        <v/>
      </c>
      <c r="T3130" s="403" t="str">
        <f t="shared" si="389"/>
        <v>NDE-4502-AL</v>
      </c>
      <c r="U3130" s="403">
        <f t="shared" si="390"/>
        <v>1</v>
      </c>
      <c r="V3130" s="403" t="str">
        <f t="shared" si="391"/>
        <v>CPP_7_3</v>
      </c>
    </row>
    <row r="3131" spans="1:22">
      <c r="A3131" t="str">
        <f t="shared" si="384"/>
        <v>NDE-4502-AL</v>
      </c>
      <c r="B3131" s="403" t="s">
        <v>1408</v>
      </c>
      <c r="C3131" s="403" t="s">
        <v>582</v>
      </c>
      <c r="D3131" s="403" t="s">
        <v>1409</v>
      </c>
      <c r="E3131" s="403" t="s">
        <v>778</v>
      </c>
      <c r="F3131" s="403" t="s">
        <v>1287</v>
      </c>
      <c r="G3131" s="403" t="s">
        <v>1467</v>
      </c>
      <c r="H3131" s="403" t="s">
        <v>1276</v>
      </c>
      <c r="I3131" s="403">
        <v>1</v>
      </c>
      <c r="J3131" s="403" t="s">
        <v>109</v>
      </c>
      <c r="K3131" s="403">
        <v>720</v>
      </c>
      <c r="L3131" s="403">
        <v>1280</v>
      </c>
      <c r="M3131" s="403" t="s">
        <v>111</v>
      </c>
      <c r="N3131" s="403">
        <v>432</v>
      </c>
      <c r="O3131" s="403">
        <v>768</v>
      </c>
      <c r="P3131" t="str">
        <f t="shared" si="385"/>
        <v>25fps 720p - SD</v>
      </c>
      <c r="Q3131">
        <f t="shared" si="386"/>
        <v>18</v>
      </c>
      <c r="R3131" t="str">
        <f t="shared" si="387"/>
        <v/>
      </c>
      <c r="S3131" t="str">
        <f t="shared" si="388"/>
        <v/>
      </c>
      <c r="T3131" s="403" t="str">
        <f t="shared" si="389"/>
        <v>NDE-4502-AL</v>
      </c>
      <c r="U3131" s="403">
        <f t="shared" si="390"/>
        <v>1</v>
      </c>
      <c r="V3131" s="403" t="str">
        <f t="shared" si="391"/>
        <v>CPP_7_3</v>
      </c>
    </row>
    <row r="3132" spans="1:22">
      <c r="A3132" t="str">
        <f t="shared" si="384"/>
        <v>NDE-4502-AL</v>
      </c>
      <c r="B3132" s="403" t="s">
        <v>1408</v>
      </c>
      <c r="C3132" s="403" t="s">
        <v>582</v>
      </c>
      <c r="D3132" s="403" t="s">
        <v>1409</v>
      </c>
      <c r="E3132" s="403" t="s">
        <v>778</v>
      </c>
      <c r="F3132" s="403" t="s">
        <v>1287</v>
      </c>
      <c r="G3132" s="403" t="s">
        <v>1467</v>
      </c>
      <c r="H3132" s="403" t="s">
        <v>1276</v>
      </c>
      <c r="I3132" s="403">
        <v>1</v>
      </c>
      <c r="J3132" s="403" t="s">
        <v>109</v>
      </c>
      <c r="K3132" s="403">
        <v>720</v>
      </c>
      <c r="L3132" s="403">
        <v>1280</v>
      </c>
      <c r="M3132" s="403" t="s">
        <v>1279</v>
      </c>
      <c r="N3132" s="403">
        <v>432</v>
      </c>
      <c r="O3132" s="403">
        <v>768</v>
      </c>
      <c r="P3132" t="str">
        <f t="shared" si="385"/>
        <v>25fps 720p - SD ROI PTZ</v>
      </c>
      <c r="Q3132">
        <f t="shared" si="386"/>
        <v>18</v>
      </c>
      <c r="R3132" t="str">
        <f t="shared" si="387"/>
        <v/>
      </c>
      <c r="S3132" t="str">
        <f t="shared" si="388"/>
        <v/>
      </c>
      <c r="T3132" s="403" t="str">
        <f t="shared" si="389"/>
        <v>NDE-4502-AL</v>
      </c>
      <c r="U3132" s="403">
        <f t="shared" si="390"/>
        <v>1</v>
      </c>
      <c r="V3132" s="403" t="str">
        <f t="shared" si="391"/>
        <v>CPP_7_3</v>
      </c>
    </row>
    <row r="3133" spans="1:22">
      <c r="A3133" t="str">
        <f t="shared" si="384"/>
        <v>NDE-4502-AL</v>
      </c>
      <c r="B3133" s="403" t="s">
        <v>1408</v>
      </c>
      <c r="C3133" s="403" t="s">
        <v>582</v>
      </c>
      <c r="D3133" s="403" t="s">
        <v>1409</v>
      </c>
      <c r="E3133" s="403" t="s">
        <v>778</v>
      </c>
      <c r="F3133" s="403" t="s">
        <v>1287</v>
      </c>
      <c r="G3133" s="403" t="s">
        <v>1467</v>
      </c>
      <c r="H3133" s="403" t="s">
        <v>1276</v>
      </c>
      <c r="I3133" s="403">
        <v>1</v>
      </c>
      <c r="J3133" s="403" t="s">
        <v>109</v>
      </c>
      <c r="K3133" s="403">
        <v>720</v>
      </c>
      <c r="L3133" s="403">
        <v>1280</v>
      </c>
      <c r="M3133" s="403" t="s">
        <v>1283</v>
      </c>
      <c r="N3133" s="403">
        <v>576</v>
      </c>
      <c r="O3133" s="403">
        <v>720</v>
      </c>
      <c r="P3133" t="str">
        <f t="shared" si="385"/>
        <v>25fps 720p - SD 4CIF resolution 4:3 format (cropped)</v>
      </c>
      <c r="Q3133">
        <f t="shared" si="386"/>
        <v>18</v>
      </c>
      <c r="R3133" t="str">
        <f t="shared" si="387"/>
        <v/>
      </c>
      <c r="S3133" t="str">
        <f t="shared" si="388"/>
        <v/>
      </c>
      <c r="T3133" s="403" t="str">
        <f t="shared" si="389"/>
        <v>NDE-4502-AL</v>
      </c>
      <c r="U3133" s="403">
        <f t="shared" si="390"/>
        <v>1</v>
      </c>
      <c r="V3133" s="403" t="str">
        <f t="shared" si="391"/>
        <v>CPP_7_3</v>
      </c>
    </row>
    <row r="3134" spans="1:22">
      <c r="A3134" t="str">
        <f t="shared" si="384"/>
        <v>NDE-4502-AL</v>
      </c>
      <c r="B3134" s="403" t="s">
        <v>1408</v>
      </c>
      <c r="C3134" s="403" t="s">
        <v>582</v>
      </c>
      <c r="D3134" s="403" t="s">
        <v>1409</v>
      </c>
      <c r="E3134" s="403" t="s">
        <v>778</v>
      </c>
      <c r="F3134" s="403" t="s">
        <v>1287</v>
      </c>
      <c r="G3134" s="403" t="s">
        <v>1467</v>
      </c>
      <c r="H3134" s="403" t="s">
        <v>1276</v>
      </c>
      <c r="I3134" s="403">
        <v>1</v>
      </c>
      <c r="J3134" s="403" t="s">
        <v>109</v>
      </c>
      <c r="K3134" s="403">
        <v>720</v>
      </c>
      <c r="L3134" s="403">
        <v>1280</v>
      </c>
      <c r="M3134" s="403" t="s">
        <v>1284</v>
      </c>
      <c r="N3134" s="403">
        <v>480</v>
      </c>
      <c r="O3134" s="403">
        <v>640</v>
      </c>
      <c r="P3134" t="str">
        <f t="shared" si="385"/>
        <v>25fps 720p - SD VGA (cropped)</v>
      </c>
      <c r="Q3134">
        <f t="shared" si="386"/>
        <v>18</v>
      </c>
      <c r="R3134" t="str">
        <f t="shared" si="387"/>
        <v/>
      </c>
      <c r="S3134" t="str">
        <f t="shared" si="388"/>
        <v/>
      </c>
      <c r="T3134" s="403" t="str">
        <f t="shared" si="389"/>
        <v>NDE-4502-AL</v>
      </c>
      <c r="U3134" s="403">
        <f t="shared" si="390"/>
        <v>1</v>
      </c>
      <c r="V3134" s="403" t="str">
        <f t="shared" si="391"/>
        <v>CPP_7_3</v>
      </c>
    </row>
    <row r="3135" spans="1:22">
      <c r="A3135" t="str">
        <f t="shared" si="384"/>
        <v>NDE-4502-AL</v>
      </c>
      <c r="B3135" s="403" t="s">
        <v>1408</v>
      </c>
      <c r="C3135" s="403" t="s">
        <v>582</v>
      </c>
      <c r="D3135" s="403" t="s">
        <v>1409</v>
      </c>
      <c r="E3135" s="403" t="s">
        <v>778</v>
      </c>
      <c r="F3135" s="403" t="s">
        <v>1287</v>
      </c>
      <c r="G3135" s="403" t="s">
        <v>1467</v>
      </c>
      <c r="H3135" s="403" t="s">
        <v>1281</v>
      </c>
      <c r="I3135" s="403">
        <v>1</v>
      </c>
      <c r="J3135" s="403" t="s">
        <v>110</v>
      </c>
      <c r="K3135" s="403">
        <v>1080</v>
      </c>
      <c r="L3135" s="403">
        <v>1920</v>
      </c>
      <c r="M3135" s="403" t="s">
        <v>111</v>
      </c>
      <c r="N3135" s="403">
        <v>432</v>
      </c>
      <c r="O3135" s="403">
        <v>768</v>
      </c>
      <c r="P3135" t="str">
        <f t="shared" si="385"/>
        <v>25fps 1080p - SD</v>
      </c>
      <c r="Q3135">
        <f t="shared" si="386"/>
        <v>18</v>
      </c>
      <c r="R3135" t="str">
        <f t="shared" si="387"/>
        <v/>
      </c>
      <c r="S3135" t="str">
        <f t="shared" si="388"/>
        <v/>
      </c>
      <c r="T3135" s="403" t="str">
        <f t="shared" si="389"/>
        <v>NDE-4502-AL</v>
      </c>
      <c r="U3135" s="403">
        <f t="shared" si="390"/>
        <v>1</v>
      </c>
      <c r="V3135" s="403" t="str">
        <f t="shared" si="391"/>
        <v>CPP_7_3</v>
      </c>
    </row>
    <row r="3136" spans="1:22">
      <c r="A3136" t="str">
        <f t="shared" si="384"/>
        <v>NDE-4502-AL</v>
      </c>
      <c r="B3136" s="403" t="s">
        <v>1408</v>
      </c>
      <c r="C3136" s="403" t="s">
        <v>582</v>
      </c>
      <c r="D3136" s="403" t="s">
        <v>1409</v>
      </c>
      <c r="E3136" s="403" t="s">
        <v>778</v>
      </c>
      <c r="F3136" s="403" t="s">
        <v>1287</v>
      </c>
      <c r="G3136" s="403" t="s">
        <v>1467</v>
      </c>
      <c r="H3136" s="403" t="s">
        <v>1281</v>
      </c>
      <c r="I3136" s="403">
        <v>1</v>
      </c>
      <c r="J3136" s="403" t="s">
        <v>110</v>
      </c>
      <c r="K3136" s="403">
        <v>1080</v>
      </c>
      <c r="L3136" s="403">
        <v>1920</v>
      </c>
      <c r="M3136" s="403" t="s">
        <v>110</v>
      </c>
      <c r="N3136" s="403">
        <v>1080</v>
      </c>
      <c r="O3136" s="403">
        <v>1920</v>
      </c>
      <c r="P3136" t="str">
        <f t="shared" si="385"/>
        <v>25fps 1080p - 1080p</v>
      </c>
      <c r="Q3136">
        <f t="shared" si="386"/>
        <v>18</v>
      </c>
      <c r="R3136" t="str">
        <f t="shared" si="387"/>
        <v/>
      </c>
      <c r="S3136" t="str">
        <f t="shared" si="388"/>
        <v/>
      </c>
      <c r="T3136" s="403" t="str">
        <f t="shared" si="389"/>
        <v>NDE-4502-AL</v>
      </c>
      <c r="U3136" s="403">
        <f t="shared" si="390"/>
        <v>1</v>
      </c>
      <c r="V3136" s="403" t="str">
        <f t="shared" si="391"/>
        <v>CPP_7_3</v>
      </c>
    </row>
    <row r="3137" spans="1:22">
      <c r="A3137" t="str">
        <f t="shared" si="384"/>
        <v>NDE-4502-AL</v>
      </c>
      <c r="B3137" s="403" t="s">
        <v>1408</v>
      </c>
      <c r="C3137" s="403" t="s">
        <v>582</v>
      </c>
      <c r="D3137" s="403" t="s">
        <v>1409</v>
      </c>
      <c r="E3137" s="403" t="s">
        <v>778</v>
      </c>
      <c r="F3137" s="403" t="s">
        <v>1287</v>
      </c>
      <c r="G3137" s="403" t="s">
        <v>1467</v>
      </c>
      <c r="H3137" s="403" t="s">
        <v>1281</v>
      </c>
      <c r="I3137" s="403">
        <v>1</v>
      </c>
      <c r="J3137" s="403" t="s">
        <v>110</v>
      </c>
      <c r="K3137" s="403">
        <v>1080</v>
      </c>
      <c r="L3137" s="403">
        <v>1920</v>
      </c>
      <c r="M3137" s="403" t="s">
        <v>109</v>
      </c>
      <c r="N3137" s="403">
        <v>720</v>
      </c>
      <c r="O3137" s="403">
        <v>1280</v>
      </c>
      <c r="P3137" t="str">
        <f t="shared" si="385"/>
        <v>25fps 1080p - 720p</v>
      </c>
      <c r="Q3137">
        <f t="shared" si="386"/>
        <v>18</v>
      </c>
      <c r="R3137" t="str">
        <f t="shared" si="387"/>
        <v/>
      </c>
      <c r="S3137" t="str">
        <f t="shared" si="388"/>
        <v/>
      </c>
      <c r="T3137" s="403" t="str">
        <f t="shared" si="389"/>
        <v>NDE-4502-AL</v>
      </c>
      <c r="U3137" s="403">
        <f t="shared" si="390"/>
        <v>1</v>
      </c>
      <c r="V3137" s="403" t="str">
        <f t="shared" si="391"/>
        <v>CPP_7_3</v>
      </c>
    </row>
    <row r="3138" spans="1:22">
      <c r="A3138" t="str">
        <f t="shared" ref="A3138:A3201" si="392">IF(AND(G3138&lt;&gt;"rotate 90°"),D3138,"")</f>
        <v>NDE-4502-AL</v>
      </c>
      <c r="B3138" s="403" t="s">
        <v>1408</v>
      </c>
      <c r="C3138" s="403" t="s">
        <v>582</v>
      </c>
      <c r="D3138" s="403" t="s">
        <v>1409</v>
      </c>
      <c r="E3138" s="403" t="s">
        <v>778</v>
      </c>
      <c r="F3138" s="403" t="s">
        <v>1287</v>
      </c>
      <c r="G3138" s="403" t="s">
        <v>1467</v>
      </c>
      <c r="H3138" s="403" t="s">
        <v>1281</v>
      </c>
      <c r="I3138" s="403">
        <v>1</v>
      </c>
      <c r="J3138" s="403" t="s">
        <v>110</v>
      </c>
      <c r="K3138" s="403">
        <v>1080</v>
      </c>
      <c r="L3138" s="403">
        <v>1920</v>
      </c>
      <c r="M3138" s="403" t="s">
        <v>1285</v>
      </c>
      <c r="N3138" s="403">
        <v>1024</v>
      </c>
      <c r="O3138" s="403">
        <v>1280</v>
      </c>
      <c r="P3138" t="str">
        <f t="shared" ref="P3138:P3201" si="393">LEFT(F3138,5)&amp;" "&amp;J3138&amp;" - "&amp;M3138</f>
        <v>25fps 1080p - 1280x1024 5:4 (cropped)</v>
      </c>
      <c r="Q3138">
        <f t="shared" ref="Q3138:Q3201" si="394">IF(A3137=A3138,Q3137,Q3137+1)</f>
        <v>18</v>
      </c>
      <c r="R3138" t="str">
        <f t="shared" ref="R3138:R3201" si="395">IF(Q3137&lt;&gt;Q3138,Q3138,"")</f>
        <v/>
      </c>
      <c r="S3138" t="str">
        <f t="shared" ref="S3138:S3201" si="396">IF(R3138&lt;&gt;"",B3138&amp;" ("&amp;D3138&amp;")","")</f>
        <v/>
      </c>
      <c r="T3138" s="403" t="str">
        <f t="shared" ref="T3138:T3201" si="397">D3138</f>
        <v>NDE-4502-AL</v>
      </c>
      <c r="U3138" s="403">
        <f t="shared" ref="U3138:U3201" si="398">I3138</f>
        <v>1</v>
      </c>
      <c r="V3138" s="403" t="str">
        <f t="shared" ref="V3138:V3201" si="399">C3138</f>
        <v>CPP_7_3</v>
      </c>
    </row>
    <row r="3139" spans="1:22">
      <c r="A3139" t="str">
        <f t="shared" si="392"/>
        <v>NDE-4502-AL</v>
      </c>
      <c r="B3139" s="403" t="s">
        <v>1408</v>
      </c>
      <c r="C3139" s="403" t="s">
        <v>582</v>
      </c>
      <c r="D3139" s="403" t="s">
        <v>1409</v>
      </c>
      <c r="E3139" s="403" t="s">
        <v>778</v>
      </c>
      <c r="F3139" s="403" t="s">
        <v>1287</v>
      </c>
      <c r="G3139" s="403" t="s">
        <v>1467</v>
      </c>
      <c r="H3139" s="403" t="s">
        <v>1281</v>
      </c>
      <c r="I3139" s="403">
        <v>1</v>
      </c>
      <c r="J3139" s="403" t="s">
        <v>110</v>
      </c>
      <c r="K3139" s="403">
        <v>1080</v>
      </c>
      <c r="L3139" s="403">
        <v>1920</v>
      </c>
      <c r="M3139" s="403" t="s">
        <v>1279</v>
      </c>
      <c r="N3139" s="403">
        <v>432</v>
      </c>
      <c r="O3139" s="403">
        <v>768</v>
      </c>
      <c r="P3139" t="str">
        <f t="shared" si="393"/>
        <v>25fps 1080p - SD ROI PTZ</v>
      </c>
      <c r="Q3139">
        <f t="shared" si="394"/>
        <v>18</v>
      </c>
      <c r="R3139" t="str">
        <f t="shared" si="395"/>
        <v/>
      </c>
      <c r="S3139" t="str">
        <f t="shared" si="396"/>
        <v/>
      </c>
      <c r="T3139" s="403" t="str">
        <f t="shared" si="397"/>
        <v>NDE-4502-AL</v>
      </c>
      <c r="U3139" s="403">
        <f t="shared" si="398"/>
        <v>1</v>
      </c>
      <c r="V3139" s="403" t="str">
        <f t="shared" si="399"/>
        <v>CPP_7_3</v>
      </c>
    </row>
    <row r="3140" spans="1:22">
      <c r="A3140" t="str">
        <f t="shared" si="392"/>
        <v>NDE-4502-AL</v>
      </c>
      <c r="B3140" s="403" t="s">
        <v>1408</v>
      </c>
      <c r="C3140" s="403" t="s">
        <v>582</v>
      </c>
      <c r="D3140" s="403" t="s">
        <v>1409</v>
      </c>
      <c r="E3140" s="403" t="s">
        <v>778</v>
      </c>
      <c r="F3140" s="403" t="s">
        <v>1287</v>
      </c>
      <c r="G3140" s="403" t="s">
        <v>1467</v>
      </c>
      <c r="H3140" s="403" t="s">
        <v>1281</v>
      </c>
      <c r="I3140" s="403">
        <v>1</v>
      </c>
      <c r="J3140" s="403" t="s">
        <v>110</v>
      </c>
      <c r="K3140" s="403">
        <v>1080</v>
      </c>
      <c r="L3140" s="403">
        <v>1920</v>
      </c>
      <c r="M3140" s="403" t="s">
        <v>1283</v>
      </c>
      <c r="N3140" s="403">
        <v>576</v>
      </c>
      <c r="O3140" s="403">
        <v>720</v>
      </c>
      <c r="P3140" t="str">
        <f t="shared" si="393"/>
        <v>25fps 1080p - SD 4CIF resolution 4:3 format (cropped)</v>
      </c>
      <c r="Q3140">
        <f t="shared" si="394"/>
        <v>18</v>
      </c>
      <c r="R3140" t="str">
        <f t="shared" si="395"/>
        <v/>
      </c>
      <c r="S3140" t="str">
        <f t="shared" si="396"/>
        <v/>
      </c>
      <c r="T3140" s="403" t="str">
        <f t="shared" si="397"/>
        <v>NDE-4502-AL</v>
      </c>
      <c r="U3140" s="403">
        <f t="shared" si="398"/>
        <v>1</v>
      </c>
      <c r="V3140" s="403" t="str">
        <f t="shared" si="399"/>
        <v>CPP_7_3</v>
      </c>
    </row>
    <row r="3141" spans="1:22">
      <c r="A3141" t="str">
        <f t="shared" si="392"/>
        <v>NDE-4502-AL</v>
      </c>
      <c r="B3141" s="403" t="s">
        <v>1408</v>
      </c>
      <c r="C3141" s="403" t="s">
        <v>582</v>
      </c>
      <c r="D3141" s="403" t="s">
        <v>1409</v>
      </c>
      <c r="E3141" s="403" t="s">
        <v>778</v>
      </c>
      <c r="F3141" s="403" t="s">
        <v>1287</v>
      </c>
      <c r="G3141" s="403" t="s">
        <v>1467</v>
      </c>
      <c r="H3141" s="403" t="s">
        <v>1281</v>
      </c>
      <c r="I3141" s="403">
        <v>1</v>
      </c>
      <c r="J3141" s="403" t="s">
        <v>110</v>
      </c>
      <c r="K3141" s="403">
        <v>1080</v>
      </c>
      <c r="L3141" s="403">
        <v>1920</v>
      </c>
      <c r="M3141" s="403" t="s">
        <v>1284</v>
      </c>
      <c r="N3141" s="403">
        <v>480</v>
      </c>
      <c r="O3141" s="403">
        <v>640</v>
      </c>
      <c r="P3141" t="str">
        <f t="shared" si="393"/>
        <v>25fps 1080p - SD VGA (cropped)</v>
      </c>
      <c r="Q3141">
        <f t="shared" si="394"/>
        <v>18</v>
      </c>
      <c r="R3141" t="str">
        <f t="shared" si="395"/>
        <v/>
      </c>
      <c r="S3141" t="str">
        <f t="shared" si="396"/>
        <v/>
      </c>
      <c r="T3141" s="403" t="str">
        <f t="shared" si="397"/>
        <v>NDE-4502-AL</v>
      </c>
      <c r="U3141" s="403">
        <f t="shared" si="398"/>
        <v>1</v>
      </c>
      <c r="V3141" s="403" t="str">
        <f t="shared" si="399"/>
        <v>CPP_7_3</v>
      </c>
    </row>
    <row r="3142" spans="1:22">
      <c r="A3142" t="str">
        <f t="shared" si="392"/>
        <v>NDE-4502-AL</v>
      </c>
      <c r="B3142" s="403" t="s">
        <v>1408</v>
      </c>
      <c r="C3142" s="403" t="s">
        <v>582</v>
      </c>
      <c r="D3142" s="403" t="s">
        <v>1409</v>
      </c>
      <c r="E3142" s="403" t="s">
        <v>778</v>
      </c>
      <c r="F3142" s="403" t="s">
        <v>1287</v>
      </c>
      <c r="G3142" s="403" t="s">
        <v>1467</v>
      </c>
      <c r="H3142" s="403" t="s">
        <v>1281</v>
      </c>
      <c r="I3142" s="403">
        <v>1</v>
      </c>
      <c r="J3142" s="403" t="s">
        <v>109</v>
      </c>
      <c r="K3142" s="403">
        <v>720</v>
      </c>
      <c r="L3142" s="403">
        <v>1280</v>
      </c>
      <c r="M3142" s="403" t="s">
        <v>109</v>
      </c>
      <c r="N3142" s="403">
        <v>720</v>
      </c>
      <c r="O3142" s="403">
        <v>1280</v>
      </c>
      <c r="P3142" t="str">
        <f t="shared" si="393"/>
        <v>25fps 720p - 720p</v>
      </c>
      <c r="Q3142">
        <f t="shared" si="394"/>
        <v>18</v>
      </c>
      <c r="R3142" t="str">
        <f t="shared" si="395"/>
        <v/>
      </c>
      <c r="S3142" t="str">
        <f t="shared" si="396"/>
        <v/>
      </c>
      <c r="T3142" s="403" t="str">
        <f t="shared" si="397"/>
        <v>NDE-4502-AL</v>
      </c>
      <c r="U3142" s="403">
        <f t="shared" si="398"/>
        <v>1</v>
      </c>
      <c r="V3142" s="403" t="str">
        <f t="shared" si="399"/>
        <v>CPP_7_3</v>
      </c>
    </row>
    <row r="3143" spans="1:22">
      <c r="A3143" t="str">
        <f t="shared" si="392"/>
        <v>NDE-4502-AL</v>
      </c>
      <c r="B3143" s="403" t="s">
        <v>1408</v>
      </c>
      <c r="C3143" s="403" t="s">
        <v>582</v>
      </c>
      <c r="D3143" s="403" t="s">
        <v>1409</v>
      </c>
      <c r="E3143" s="403" t="s">
        <v>778</v>
      </c>
      <c r="F3143" s="403" t="s">
        <v>1287</v>
      </c>
      <c r="G3143" s="403" t="s">
        <v>1467</v>
      </c>
      <c r="H3143" s="403" t="s">
        <v>1281</v>
      </c>
      <c r="I3143" s="403">
        <v>1</v>
      </c>
      <c r="J3143" s="403" t="s">
        <v>109</v>
      </c>
      <c r="K3143" s="403">
        <v>720</v>
      </c>
      <c r="L3143" s="403">
        <v>1280</v>
      </c>
      <c r="M3143" s="403" t="s">
        <v>111</v>
      </c>
      <c r="N3143" s="403">
        <v>432</v>
      </c>
      <c r="O3143" s="403">
        <v>768</v>
      </c>
      <c r="P3143" t="str">
        <f t="shared" si="393"/>
        <v>25fps 720p - SD</v>
      </c>
      <c r="Q3143">
        <f t="shared" si="394"/>
        <v>18</v>
      </c>
      <c r="R3143" t="str">
        <f t="shared" si="395"/>
        <v/>
      </c>
      <c r="S3143" t="str">
        <f t="shared" si="396"/>
        <v/>
      </c>
      <c r="T3143" s="403" t="str">
        <f t="shared" si="397"/>
        <v>NDE-4502-AL</v>
      </c>
      <c r="U3143" s="403">
        <f t="shared" si="398"/>
        <v>1</v>
      </c>
      <c r="V3143" s="403" t="str">
        <f t="shared" si="399"/>
        <v>CPP_7_3</v>
      </c>
    </row>
    <row r="3144" spans="1:22">
      <c r="A3144" t="str">
        <f t="shared" si="392"/>
        <v>NDE-4502-AL</v>
      </c>
      <c r="B3144" s="403" t="s">
        <v>1408</v>
      </c>
      <c r="C3144" s="403" t="s">
        <v>582</v>
      </c>
      <c r="D3144" s="403" t="s">
        <v>1409</v>
      </c>
      <c r="E3144" s="403" t="s">
        <v>778</v>
      </c>
      <c r="F3144" s="403" t="s">
        <v>1287</v>
      </c>
      <c r="G3144" s="403" t="s">
        <v>1467</v>
      </c>
      <c r="H3144" s="403" t="s">
        <v>1281</v>
      </c>
      <c r="I3144" s="403">
        <v>1</v>
      </c>
      <c r="J3144" s="403" t="s">
        <v>109</v>
      </c>
      <c r="K3144" s="403">
        <v>720</v>
      </c>
      <c r="L3144" s="403">
        <v>1280</v>
      </c>
      <c r="M3144" s="403" t="s">
        <v>1279</v>
      </c>
      <c r="N3144" s="403">
        <v>432</v>
      </c>
      <c r="O3144" s="403">
        <v>768</v>
      </c>
      <c r="P3144" t="str">
        <f t="shared" si="393"/>
        <v>25fps 720p - SD ROI PTZ</v>
      </c>
      <c r="Q3144">
        <f t="shared" si="394"/>
        <v>18</v>
      </c>
      <c r="R3144" t="str">
        <f t="shared" si="395"/>
        <v/>
      </c>
      <c r="S3144" t="str">
        <f t="shared" si="396"/>
        <v/>
      </c>
      <c r="T3144" s="403" t="str">
        <f t="shared" si="397"/>
        <v>NDE-4502-AL</v>
      </c>
      <c r="U3144" s="403">
        <f t="shared" si="398"/>
        <v>1</v>
      </c>
      <c r="V3144" s="403" t="str">
        <f t="shared" si="399"/>
        <v>CPP_7_3</v>
      </c>
    </row>
    <row r="3145" spans="1:22">
      <c r="A3145" t="str">
        <f t="shared" si="392"/>
        <v>NDE-4502-AL</v>
      </c>
      <c r="B3145" s="403" t="s">
        <v>1408</v>
      </c>
      <c r="C3145" s="403" t="s">
        <v>582</v>
      </c>
      <c r="D3145" s="403" t="s">
        <v>1409</v>
      </c>
      <c r="E3145" s="403" t="s">
        <v>778</v>
      </c>
      <c r="F3145" s="403" t="s">
        <v>1287</v>
      </c>
      <c r="G3145" s="403" t="s">
        <v>1467</v>
      </c>
      <c r="H3145" s="403" t="s">
        <v>1281</v>
      </c>
      <c r="I3145" s="403">
        <v>1</v>
      </c>
      <c r="J3145" s="403" t="s">
        <v>109</v>
      </c>
      <c r="K3145" s="403">
        <v>720</v>
      </c>
      <c r="L3145" s="403">
        <v>1280</v>
      </c>
      <c r="M3145" s="403" t="s">
        <v>1283</v>
      </c>
      <c r="N3145" s="403">
        <v>576</v>
      </c>
      <c r="O3145" s="403">
        <v>720</v>
      </c>
      <c r="P3145" t="str">
        <f t="shared" si="393"/>
        <v>25fps 720p - SD 4CIF resolution 4:3 format (cropped)</v>
      </c>
      <c r="Q3145">
        <f t="shared" si="394"/>
        <v>18</v>
      </c>
      <c r="R3145" t="str">
        <f t="shared" si="395"/>
        <v/>
      </c>
      <c r="S3145" t="str">
        <f t="shared" si="396"/>
        <v/>
      </c>
      <c r="T3145" s="403" t="str">
        <f t="shared" si="397"/>
        <v>NDE-4502-AL</v>
      </c>
      <c r="U3145" s="403">
        <f t="shared" si="398"/>
        <v>1</v>
      </c>
      <c r="V3145" s="403" t="str">
        <f t="shared" si="399"/>
        <v>CPP_7_3</v>
      </c>
    </row>
    <row r="3146" spans="1:22">
      <c r="A3146" t="str">
        <f t="shared" si="392"/>
        <v>NDE-4502-AL</v>
      </c>
      <c r="B3146" s="403" t="s">
        <v>1408</v>
      </c>
      <c r="C3146" s="403" t="s">
        <v>582</v>
      </c>
      <c r="D3146" s="403" t="s">
        <v>1409</v>
      </c>
      <c r="E3146" s="403" t="s">
        <v>778</v>
      </c>
      <c r="F3146" s="403" t="s">
        <v>1287</v>
      </c>
      <c r="G3146" s="403" t="s">
        <v>1467</v>
      </c>
      <c r="H3146" s="403" t="s">
        <v>1281</v>
      </c>
      <c r="I3146" s="403">
        <v>1</v>
      </c>
      <c r="J3146" s="403" t="s">
        <v>109</v>
      </c>
      <c r="K3146" s="403">
        <v>720</v>
      </c>
      <c r="L3146" s="403">
        <v>1280</v>
      </c>
      <c r="M3146" s="403" t="s">
        <v>1284</v>
      </c>
      <c r="N3146" s="403">
        <v>480</v>
      </c>
      <c r="O3146" s="403">
        <v>640</v>
      </c>
      <c r="P3146" t="str">
        <f t="shared" si="393"/>
        <v>25fps 720p - SD VGA (cropped)</v>
      </c>
      <c r="Q3146">
        <f t="shared" si="394"/>
        <v>18</v>
      </c>
      <c r="R3146" t="str">
        <f t="shared" si="395"/>
        <v/>
      </c>
      <c r="S3146" t="str">
        <f t="shared" si="396"/>
        <v/>
      </c>
      <c r="T3146" s="403" t="str">
        <f t="shared" si="397"/>
        <v>NDE-4502-AL</v>
      </c>
      <c r="U3146" s="403">
        <f t="shared" si="398"/>
        <v>1</v>
      </c>
      <c r="V3146" s="403" t="str">
        <f t="shared" si="399"/>
        <v>CPP_7_3</v>
      </c>
    </row>
    <row r="3147" spans="1:22">
      <c r="A3147" t="str">
        <f t="shared" si="392"/>
        <v>NDE-4502-AL</v>
      </c>
      <c r="B3147" s="403" t="s">
        <v>1408</v>
      </c>
      <c r="C3147" s="403" t="s">
        <v>582</v>
      </c>
      <c r="D3147" s="403" t="s">
        <v>1409</v>
      </c>
      <c r="E3147" s="403" t="s">
        <v>778</v>
      </c>
      <c r="F3147" s="403" t="s">
        <v>1287</v>
      </c>
      <c r="G3147" s="403" t="s">
        <v>1467</v>
      </c>
      <c r="H3147" s="403" t="s">
        <v>1282</v>
      </c>
      <c r="I3147" s="403">
        <v>1</v>
      </c>
      <c r="J3147" s="403" t="s">
        <v>110</v>
      </c>
      <c r="K3147" s="403">
        <v>1080</v>
      </c>
      <c r="L3147" s="403">
        <v>1920</v>
      </c>
      <c r="M3147" s="403" t="s">
        <v>111</v>
      </c>
      <c r="N3147" s="403">
        <v>432</v>
      </c>
      <c r="O3147" s="403">
        <v>768</v>
      </c>
      <c r="P3147" t="str">
        <f t="shared" si="393"/>
        <v>25fps 1080p - SD</v>
      </c>
      <c r="Q3147">
        <f t="shared" si="394"/>
        <v>18</v>
      </c>
      <c r="R3147" t="str">
        <f t="shared" si="395"/>
        <v/>
      </c>
      <c r="S3147" t="str">
        <f t="shared" si="396"/>
        <v/>
      </c>
      <c r="T3147" s="403" t="str">
        <f t="shared" si="397"/>
        <v>NDE-4502-AL</v>
      </c>
      <c r="U3147" s="403">
        <f t="shared" si="398"/>
        <v>1</v>
      </c>
      <c r="V3147" s="403" t="str">
        <f t="shared" si="399"/>
        <v>CPP_7_3</v>
      </c>
    </row>
    <row r="3148" spans="1:22">
      <c r="A3148" t="str">
        <f t="shared" si="392"/>
        <v>NDE-4502-AL</v>
      </c>
      <c r="B3148" s="403" t="s">
        <v>1408</v>
      </c>
      <c r="C3148" s="403" t="s">
        <v>582</v>
      </c>
      <c r="D3148" s="403" t="s">
        <v>1409</v>
      </c>
      <c r="E3148" s="403" t="s">
        <v>778</v>
      </c>
      <c r="F3148" s="403" t="s">
        <v>1287</v>
      </c>
      <c r="G3148" s="403" t="s">
        <v>1467</v>
      </c>
      <c r="H3148" s="403" t="s">
        <v>1282</v>
      </c>
      <c r="I3148" s="403">
        <v>1</v>
      </c>
      <c r="J3148" s="403" t="s">
        <v>110</v>
      </c>
      <c r="K3148" s="403">
        <v>1080</v>
      </c>
      <c r="L3148" s="403">
        <v>1920</v>
      </c>
      <c r="M3148" s="403" t="s">
        <v>110</v>
      </c>
      <c r="N3148" s="403">
        <v>1080</v>
      </c>
      <c r="O3148" s="403">
        <v>1920</v>
      </c>
      <c r="P3148" t="str">
        <f t="shared" si="393"/>
        <v>25fps 1080p - 1080p</v>
      </c>
      <c r="Q3148">
        <f t="shared" si="394"/>
        <v>18</v>
      </c>
      <c r="R3148" t="str">
        <f t="shared" si="395"/>
        <v/>
      </c>
      <c r="S3148" t="str">
        <f t="shared" si="396"/>
        <v/>
      </c>
      <c r="T3148" s="403" t="str">
        <f t="shared" si="397"/>
        <v>NDE-4502-AL</v>
      </c>
      <c r="U3148" s="403">
        <f t="shared" si="398"/>
        <v>1</v>
      </c>
      <c r="V3148" s="403" t="str">
        <f t="shared" si="399"/>
        <v>CPP_7_3</v>
      </c>
    </row>
    <row r="3149" spans="1:22">
      <c r="A3149" t="str">
        <f t="shared" si="392"/>
        <v>NDE-4502-AL</v>
      </c>
      <c r="B3149" s="403" t="s">
        <v>1408</v>
      </c>
      <c r="C3149" s="403" t="s">
        <v>582</v>
      </c>
      <c r="D3149" s="403" t="s">
        <v>1409</v>
      </c>
      <c r="E3149" s="403" t="s">
        <v>778</v>
      </c>
      <c r="F3149" s="403" t="s">
        <v>1287</v>
      </c>
      <c r="G3149" s="403" t="s">
        <v>1467</v>
      </c>
      <c r="H3149" s="403" t="s">
        <v>1282</v>
      </c>
      <c r="I3149" s="403">
        <v>1</v>
      </c>
      <c r="J3149" s="403" t="s">
        <v>110</v>
      </c>
      <c r="K3149" s="403">
        <v>1080</v>
      </c>
      <c r="L3149" s="403">
        <v>1920</v>
      </c>
      <c r="M3149" s="403" t="s">
        <v>109</v>
      </c>
      <c r="N3149" s="403">
        <v>720</v>
      </c>
      <c r="O3149" s="403">
        <v>1280</v>
      </c>
      <c r="P3149" t="str">
        <f t="shared" si="393"/>
        <v>25fps 1080p - 720p</v>
      </c>
      <c r="Q3149">
        <f t="shared" si="394"/>
        <v>18</v>
      </c>
      <c r="R3149" t="str">
        <f t="shared" si="395"/>
        <v/>
      </c>
      <c r="S3149" t="str">
        <f t="shared" si="396"/>
        <v/>
      </c>
      <c r="T3149" s="403" t="str">
        <f t="shared" si="397"/>
        <v>NDE-4502-AL</v>
      </c>
      <c r="U3149" s="403">
        <f t="shared" si="398"/>
        <v>1</v>
      </c>
      <c r="V3149" s="403" t="str">
        <f t="shared" si="399"/>
        <v>CPP_7_3</v>
      </c>
    </row>
    <row r="3150" spans="1:22">
      <c r="A3150" t="str">
        <f t="shared" si="392"/>
        <v>NDE-4502-AL</v>
      </c>
      <c r="B3150" s="403" t="s">
        <v>1408</v>
      </c>
      <c r="C3150" s="403" t="s">
        <v>582</v>
      </c>
      <c r="D3150" s="403" t="s">
        <v>1409</v>
      </c>
      <c r="E3150" s="403" t="s">
        <v>778</v>
      </c>
      <c r="F3150" s="403" t="s">
        <v>1287</v>
      </c>
      <c r="G3150" s="403" t="s">
        <v>1467</v>
      </c>
      <c r="H3150" s="403" t="s">
        <v>1282</v>
      </c>
      <c r="I3150" s="403">
        <v>1</v>
      </c>
      <c r="J3150" s="403" t="s">
        <v>110</v>
      </c>
      <c r="K3150" s="403">
        <v>1080</v>
      </c>
      <c r="L3150" s="403">
        <v>1920</v>
      </c>
      <c r="M3150" s="403" t="s">
        <v>1285</v>
      </c>
      <c r="N3150" s="403">
        <v>1024</v>
      </c>
      <c r="O3150" s="403">
        <v>1280</v>
      </c>
      <c r="P3150" t="str">
        <f t="shared" si="393"/>
        <v>25fps 1080p - 1280x1024 5:4 (cropped)</v>
      </c>
      <c r="Q3150">
        <f t="shared" si="394"/>
        <v>18</v>
      </c>
      <c r="R3150" t="str">
        <f t="shared" si="395"/>
        <v/>
      </c>
      <c r="S3150" t="str">
        <f t="shared" si="396"/>
        <v/>
      </c>
      <c r="T3150" s="403" t="str">
        <f t="shared" si="397"/>
        <v>NDE-4502-AL</v>
      </c>
      <c r="U3150" s="403">
        <f t="shared" si="398"/>
        <v>1</v>
      </c>
      <c r="V3150" s="403" t="str">
        <f t="shared" si="399"/>
        <v>CPP_7_3</v>
      </c>
    </row>
    <row r="3151" spans="1:22">
      <c r="A3151" t="str">
        <f t="shared" si="392"/>
        <v>NDE-4502-AL</v>
      </c>
      <c r="B3151" s="403" t="s">
        <v>1408</v>
      </c>
      <c r="C3151" s="403" t="s">
        <v>582</v>
      </c>
      <c r="D3151" s="403" t="s">
        <v>1409</v>
      </c>
      <c r="E3151" s="403" t="s">
        <v>778</v>
      </c>
      <c r="F3151" s="403" t="s">
        <v>1287</v>
      </c>
      <c r="G3151" s="403" t="s">
        <v>1467</v>
      </c>
      <c r="H3151" s="403" t="s">
        <v>1282</v>
      </c>
      <c r="I3151" s="403">
        <v>1</v>
      </c>
      <c r="J3151" s="403" t="s">
        <v>110</v>
      </c>
      <c r="K3151" s="403">
        <v>1080</v>
      </c>
      <c r="L3151" s="403">
        <v>1920</v>
      </c>
      <c r="M3151" s="403" t="s">
        <v>1279</v>
      </c>
      <c r="N3151" s="403">
        <v>432</v>
      </c>
      <c r="O3151" s="403">
        <v>768</v>
      </c>
      <c r="P3151" t="str">
        <f t="shared" si="393"/>
        <v>25fps 1080p - SD ROI PTZ</v>
      </c>
      <c r="Q3151">
        <f t="shared" si="394"/>
        <v>18</v>
      </c>
      <c r="R3151" t="str">
        <f t="shared" si="395"/>
        <v/>
      </c>
      <c r="S3151" t="str">
        <f t="shared" si="396"/>
        <v/>
      </c>
      <c r="T3151" s="403" t="str">
        <f t="shared" si="397"/>
        <v>NDE-4502-AL</v>
      </c>
      <c r="U3151" s="403">
        <f t="shared" si="398"/>
        <v>1</v>
      </c>
      <c r="V3151" s="403" t="str">
        <f t="shared" si="399"/>
        <v>CPP_7_3</v>
      </c>
    </row>
    <row r="3152" spans="1:22">
      <c r="A3152" t="str">
        <f t="shared" si="392"/>
        <v>NDE-4502-AL</v>
      </c>
      <c r="B3152" s="403" t="s">
        <v>1408</v>
      </c>
      <c r="C3152" s="403" t="s">
        <v>582</v>
      </c>
      <c r="D3152" s="403" t="s">
        <v>1409</v>
      </c>
      <c r="E3152" s="403" t="s">
        <v>778</v>
      </c>
      <c r="F3152" s="403" t="s">
        <v>1287</v>
      </c>
      <c r="G3152" s="403" t="s">
        <v>1467</v>
      </c>
      <c r="H3152" s="403" t="s">
        <v>1282</v>
      </c>
      <c r="I3152" s="403">
        <v>1</v>
      </c>
      <c r="J3152" s="403" t="s">
        <v>110</v>
      </c>
      <c r="K3152" s="403">
        <v>1080</v>
      </c>
      <c r="L3152" s="403">
        <v>1920</v>
      </c>
      <c r="M3152" s="403" t="s">
        <v>1283</v>
      </c>
      <c r="N3152" s="403">
        <v>576</v>
      </c>
      <c r="O3152" s="403">
        <v>720</v>
      </c>
      <c r="P3152" t="str">
        <f t="shared" si="393"/>
        <v>25fps 1080p - SD 4CIF resolution 4:3 format (cropped)</v>
      </c>
      <c r="Q3152">
        <f t="shared" si="394"/>
        <v>18</v>
      </c>
      <c r="R3152" t="str">
        <f t="shared" si="395"/>
        <v/>
      </c>
      <c r="S3152" t="str">
        <f t="shared" si="396"/>
        <v/>
      </c>
      <c r="T3152" s="403" t="str">
        <f t="shared" si="397"/>
        <v>NDE-4502-AL</v>
      </c>
      <c r="U3152" s="403">
        <f t="shared" si="398"/>
        <v>1</v>
      </c>
      <c r="V3152" s="403" t="str">
        <f t="shared" si="399"/>
        <v>CPP_7_3</v>
      </c>
    </row>
    <row r="3153" spans="1:22">
      <c r="A3153" t="str">
        <f t="shared" si="392"/>
        <v>NDE-4502-AL</v>
      </c>
      <c r="B3153" s="403" t="s">
        <v>1408</v>
      </c>
      <c r="C3153" s="403" t="s">
        <v>582</v>
      </c>
      <c r="D3153" s="403" t="s">
        <v>1409</v>
      </c>
      <c r="E3153" s="403" t="s">
        <v>778</v>
      </c>
      <c r="F3153" s="403" t="s">
        <v>1287</v>
      </c>
      <c r="G3153" s="403" t="s">
        <v>1467</v>
      </c>
      <c r="H3153" s="403" t="s">
        <v>1282</v>
      </c>
      <c r="I3153" s="403">
        <v>1</v>
      </c>
      <c r="J3153" s="403" t="s">
        <v>110</v>
      </c>
      <c r="K3153" s="403">
        <v>1080</v>
      </c>
      <c r="L3153" s="403">
        <v>1920</v>
      </c>
      <c r="M3153" s="403" t="s">
        <v>1284</v>
      </c>
      <c r="N3153" s="403">
        <v>480</v>
      </c>
      <c r="O3153" s="403">
        <v>640</v>
      </c>
      <c r="P3153" t="str">
        <f t="shared" si="393"/>
        <v>25fps 1080p - SD VGA (cropped)</v>
      </c>
      <c r="Q3153">
        <f t="shared" si="394"/>
        <v>18</v>
      </c>
      <c r="R3153" t="str">
        <f t="shared" si="395"/>
        <v/>
      </c>
      <c r="S3153" t="str">
        <f t="shared" si="396"/>
        <v/>
      </c>
      <c r="T3153" s="403" t="str">
        <f t="shared" si="397"/>
        <v>NDE-4502-AL</v>
      </c>
      <c r="U3153" s="403">
        <f t="shared" si="398"/>
        <v>1</v>
      </c>
      <c r="V3153" s="403" t="str">
        <f t="shared" si="399"/>
        <v>CPP_7_3</v>
      </c>
    </row>
    <row r="3154" spans="1:22">
      <c r="A3154" t="str">
        <f t="shared" si="392"/>
        <v>NDE-4502-AL</v>
      </c>
      <c r="B3154" s="403" t="s">
        <v>1408</v>
      </c>
      <c r="C3154" s="403" t="s">
        <v>582</v>
      </c>
      <c r="D3154" s="403" t="s">
        <v>1409</v>
      </c>
      <c r="E3154" s="403" t="s">
        <v>778</v>
      </c>
      <c r="F3154" s="403" t="s">
        <v>1287</v>
      </c>
      <c r="G3154" s="403" t="s">
        <v>1467</v>
      </c>
      <c r="H3154" s="403" t="s">
        <v>1282</v>
      </c>
      <c r="I3154" s="403">
        <v>1</v>
      </c>
      <c r="J3154" s="403" t="s">
        <v>109</v>
      </c>
      <c r="K3154" s="403">
        <v>720</v>
      </c>
      <c r="L3154" s="403">
        <v>1280</v>
      </c>
      <c r="M3154" s="403" t="s">
        <v>109</v>
      </c>
      <c r="N3154" s="403">
        <v>720</v>
      </c>
      <c r="O3154" s="403">
        <v>1280</v>
      </c>
      <c r="P3154" t="str">
        <f t="shared" si="393"/>
        <v>25fps 720p - 720p</v>
      </c>
      <c r="Q3154">
        <f t="shared" si="394"/>
        <v>18</v>
      </c>
      <c r="R3154" t="str">
        <f t="shared" si="395"/>
        <v/>
      </c>
      <c r="S3154" t="str">
        <f t="shared" si="396"/>
        <v/>
      </c>
      <c r="T3154" s="403" t="str">
        <f t="shared" si="397"/>
        <v>NDE-4502-AL</v>
      </c>
      <c r="U3154" s="403">
        <f t="shared" si="398"/>
        <v>1</v>
      </c>
      <c r="V3154" s="403" t="str">
        <f t="shared" si="399"/>
        <v>CPP_7_3</v>
      </c>
    </row>
    <row r="3155" spans="1:22">
      <c r="A3155" t="str">
        <f t="shared" si="392"/>
        <v>NDE-4502-AL</v>
      </c>
      <c r="B3155" s="403" t="s">
        <v>1408</v>
      </c>
      <c r="C3155" s="403" t="s">
        <v>582</v>
      </c>
      <c r="D3155" s="403" t="s">
        <v>1409</v>
      </c>
      <c r="E3155" s="403" t="s">
        <v>778</v>
      </c>
      <c r="F3155" s="403" t="s">
        <v>1287</v>
      </c>
      <c r="G3155" s="403" t="s">
        <v>1467</v>
      </c>
      <c r="H3155" s="403" t="s">
        <v>1282</v>
      </c>
      <c r="I3155" s="403">
        <v>1</v>
      </c>
      <c r="J3155" s="403" t="s">
        <v>109</v>
      </c>
      <c r="K3155" s="403">
        <v>720</v>
      </c>
      <c r="L3155" s="403">
        <v>1280</v>
      </c>
      <c r="M3155" s="403" t="s">
        <v>111</v>
      </c>
      <c r="N3155" s="403">
        <v>432</v>
      </c>
      <c r="O3155" s="403">
        <v>768</v>
      </c>
      <c r="P3155" t="str">
        <f t="shared" si="393"/>
        <v>25fps 720p - SD</v>
      </c>
      <c r="Q3155">
        <f t="shared" si="394"/>
        <v>18</v>
      </c>
      <c r="R3155" t="str">
        <f t="shared" si="395"/>
        <v/>
      </c>
      <c r="S3155" t="str">
        <f t="shared" si="396"/>
        <v/>
      </c>
      <c r="T3155" s="403" t="str">
        <f t="shared" si="397"/>
        <v>NDE-4502-AL</v>
      </c>
      <c r="U3155" s="403">
        <f t="shared" si="398"/>
        <v>1</v>
      </c>
      <c r="V3155" s="403" t="str">
        <f t="shared" si="399"/>
        <v>CPP_7_3</v>
      </c>
    </row>
    <row r="3156" spans="1:22">
      <c r="A3156" t="str">
        <f t="shared" si="392"/>
        <v>NDE-4502-AL</v>
      </c>
      <c r="B3156" s="403" t="s">
        <v>1408</v>
      </c>
      <c r="C3156" s="403" t="s">
        <v>582</v>
      </c>
      <c r="D3156" s="403" t="s">
        <v>1409</v>
      </c>
      <c r="E3156" s="403" t="s">
        <v>778</v>
      </c>
      <c r="F3156" s="403" t="s">
        <v>1287</v>
      </c>
      <c r="G3156" s="403" t="s">
        <v>1467</v>
      </c>
      <c r="H3156" s="403" t="s">
        <v>1282</v>
      </c>
      <c r="I3156" s="403">
        <v>1</v>
      </c>
      <c r="J3156" s="403" t="s">
        <v>109</v>
      </c>
      <c r="K3156" s="403">
        <v>720</v>
      </c>
      <c r="L3156" s="403">
        <v>1280</v>
      </c>
      <c r="M3156" s="403" t="s">
        <v>1279</v>
      </c>
      <c r="N3156" s="403">
        <v>432</v>
      </c>
      <c r="O3156" s="403">
        <v>768</v>
      </c>
      <c r="P3156" t="str">
        <f t="shared" si="393"/>
        <v>25fps 720p - SD ROI PTZ</v>
      </c>
      <c r="Q3156">
        <f t="shared" si="394"/>
        <v>18</v>
      </c>
      <c r="R3156" t="str">
        <f t="shared" si="395"/>
        <v/>
      </c>
      <c r="S3156" t="str">
        <f t="shared" si="396"/>
        <v/>
      </c>
      <c r="T3156" s="403" t="str">
        <f t="shared" si="397"/>
        <v>NDE-4502-AL</v>
      </c>
      <c r="U3156" s="403">
        <f t="shared" si="398"/>
        <v>1</v>
      </c>
      <c r="V3156" s="403" t="str">
        <f t="shared" si="399"/>
        <v>CPP_7_3</v>
      </c>
    </row>
    <row r="3157" spans="1:22">
      <c r="A3157" t="str">
        <f t="shared" si="392"/>
        <v>NDE-4502-AL</v>
      </c>
      <c r="B3157" s="403" t="s">
        <v>1408</v>
      </c>
      <c r="C3157" s="403" t="s">
        <v>582</v>
      </c>
      <c r="D3157" s="403" t="s">
        <v>1409</v>
      </c>
      <c r="E3157" s="403" t="s">
        <v>778</v>
      </c>
      <c r="F3157" s="403" t="s">
        <v>1287</v>
      </c>
      <c r="G3157" s="403" t="s">
        <v>1467</v>
      </c>
      <c r="H3157" s="403" t="s">
        <v>1282</v>
      </c>
      <c r="I3157" s="403">
        <v>1</v>
      </c>
      <c r="J3157" s="403" t="s">
        <v>109</v>
      </c>
      <c r="K3157" s="403">
        <v>720</v>
      </c>
      <c r="L3157" s="403">
        <v>1280</v>
      </c>
      <c r="M3157" s="403" t="s">
        <v>1283</v>
      </c>
      <c r="N3157" s="403">
        <v>576</v>
      </c>
      <c r="O3157" s="403">
        <v>720</v>
      </c>
      <c r="P3157" t="str">
        <f t="shared" si="393"/>
        <v>25fps 720p - SD 4CIF resolution 4:3 format (cropped)</v>
      </c>
      <c r="Q3157">
        <f t="shared" si="394"/>
        <v>18</v>
      </c>
      <c r="R3157" t="str">
        <f t="shared" si="395"/>
        <v/>
      </c>
      <c r="S3157" t="str">
        <f t="shared" si="396"/>
        <v/>
      </c>
      <c r="T3157" s="403" t="str">
        <f t="shared" si="397"/>
        <v>NDE-4502-AL</v>
      </c>
      <c r="U3157" s="403">
        <f t="shared" si="398"/>
        <v>1</v>
      </c>
      <c r="V3157" s="403" t="str">
        <f t="shared" si="399"/>
        <v>CPP_7_3</v>
      </c>
    </row>
    <row r="3158" spans="1:22">
      <c r="A3158" t="str">
        <f t="shared" si="392"/>
        <v>NDE-4502-AL</v>
      </c>
      <c r="B3158" s="403" t="s">
        <v>1408</v>
      </c>
      <c r="C3158" s="403" t="s">
        <v>582</v>
      </c>
      <c r="D3158" s="403" t="s">
        <v>1409</v>
      </c>
      <c r="E3158" s="403" t="s">
        <v>778</v>
      </c>
      <c r="F3158" s="403" t="s">
        <v>1287</v>
      </c>
      <c r="G3158" s="403" t="s">
        <v>1467</v>
      </c>
      <c r="H3158" s="403" t="s">
        <v>1282</v>
      </c>
      <c r="I3158" s="403">
        <v>1</v>
      </c>
      <c r="J3158" s="403" t="s">
        <v>109</v>
      </c>
      <c r="K3158" s="403">
        <v>720</v>
      </c>
      <c r="L3158" s="403">
        <v>1280</v>
      </c>
      <c r="M3158" s="403" t="s">
        <v>1284</v>
      </c>
      <c r="N3158" s="403">
        <v>480</v>
      </c>
      <c r="O3158" s="403">
        <v>640</v>
      </c>
      <c r="P3158" t="str">
        <f t="shared" si="393"/>
        <v>25fps 720p - SD VGA (cropped)</v>
      </c>
      <c r="Q3158">
        <f t="shared" si="394"/>
        <v>18</v>
      </c>
      <c r="R3158" t="str">
        <f t="shared" si="395"/>
        <v/>
      </c>
      <c r="S3158" t="str">
        <f t="shared" si="396"/>
        <v/>
      </c>
      <c r="T3158" s="403" t="str">
        <f t="shared" si="397"/>
        <v>NDE-4502-AL</v>
      </c>
      <c r="U3158" s="403">
        <f t="shared" si="398"/>
        <v>1</v>
      </c>
      <c r="V3158" s="403" t="str">
        <f t="shared" si="399"/>
        <v>CPP_7_3</v>
      </c>
    </row>
    <row r="3159" spans="1:22">
      <c r="A3159" t="str">
        <f t="shared" si="392"/>
        <v>NDE-8502-R</v>
      </c>
      <c r="B3159" s="403" t="s">
        <v>1410</v>
      </c>
      <c r="C3159" s="403" t="s">
        <v>582</v>
      </c>
      <c r="D3159" s="403" t="s">
        <v>1411</v>
      </c>
      <c r="E3159" s="403" t="s">
        <v>1412</v>
      </c>
      <c r="F3159" s="403" t="s">
        <v>1288</v>
      </c>
      <c r="G3159" s="403" t="s">
        <v>1466</v>
      </c>
      <c r="H3159" s="403" t="s">
        <v>1276</v>
      </c>
      <c r="I3159" s="403">
        <v>1</v>
      </c>
      <c r="J3159" s="403" t="s">
        <v>110</v>
      </c>
      <c r="K3159" s="403">
        <v>1920</v>
      </c>
      <c r="L3159" s="403">
        <v>1080</v>
      </c>
      <c r="M3159" s="403" t="s">
        <v>111</v>
      </c>
      <c r="N3159" s="403">
        <v>768</v>
      </c>
      <c r="O3159" s="403">
        <v>432</v>
      </c>
      <c r="P3159" t="str">
        <f t="shared" si="393"/>
        <v>60fps 1080p - SD</v>
      </c>
      <c r="Q3159">
        <f t="shared" si="394"/>
        <v>19</v>
      </c>
      <c r="R3159">
        <f t="shared" si="395"/>
        <v>19</v>
      </c>
      <c r="S3159" t="str">
        <f t="shared" si="396"/>
        <v>FLEXIDOME IP starlight 8000i (NDE-8502-R)</v>
      </c>
      <c r="T3159" s="403" t="str">
        <f t="shared" si="397"/>
        <v>NDE-8502-R</v>
      </c>
      <c r="U3159" s="403">
        <f t="shared" si="398"/>
        <v>1</v>
      </c>
      <c r="V3159" s="403" t="str">
        <f t="shared" si="399"/>
        <v>CPP_7_3</v>
      </c>
    </row>
    <row r="3160" spans="1:22">
      <c r="A3160" t="str">
        <f t="shared" si="392"/>
        <v>NDE-8502-R</v>
      </c>
      <c r="B3160" s="403" t="s">
        <v>1410</v>
      </c>
      <c r="C3160" s="403" t="s">
        <v>582</v>
      </c>
      <c r="D3160" s="403" t="s">
        <v>1411</v>
      </c>
      <c r="E3160" s="403" t="s">
        <v>1412</v>
      </c>
      <c r="F3160" s="403" t="s">
        <v>1288</v>
      </c>
      <c r="G3160" s="403" t="s">
        <v>1466</v>
      </c>
      <c r="H3160" s="403" t="s">
        <v>1276</v>
      </c>
      <c r="I3160" s="403">
        <v>1</v>
      </c>
      <c r="J3160" s="403" t="s">
        <v>110</v>
      </c>
      <c r="K3160" s="403">
        <v>1920</v>
      </c>
      <c r="L3160" s="403">
        <v>1080</v>
      </c>
      <c r="M3160" s="403" t="s">
        <v>110</v>
      </c>
      <c r="N3160" s="403">
        <v>1920</v>
      </c>
      <c r="O3160" s="403">
        <v>1080</v>
      </c>
      <c r="P3160" t="str">
        <f t="shared" si="393"/>
        <v>60fps 1080p - 1080p</v>
      </c>
      <c r="Q3160">
        <f t="shared" si="394"/>
        <v>19</v>
      </c>
      <c r="R3160" t="str">
        <f t="shared" si="395"/>
        <v/>
      </c>
      <c r="S3160" t="str">
        <f t="shared" si="396"/>
        <v/>
      </c>
      <c r="T3160" s="403" t="str">
        <f t="shared" si="397"/>
        <v>NDE-8502-R</v>
      </c>
      <c r="U3160" s="403">
        <f t="shared" si="398"/>
        <v>1</v>
      </c>
      <c r="V3160" s="403" t="str">
        <f t="shared" si="399"/>
        <v>CPP_7_3</v>
      </c>
    </row>
    <row r="3161" spans="1:22">
      <c r="A3161" t="str">
        <f t="shared" si="392"/>
        <v>NDE-8502-R</v>
      </c>
      <c r="B3161" s="403" t="s">
        <v>1410</v>
      </c>
      <c r="C3161" s="403" t="s">
        <v>582</v>
      </c>
      <c r="D3161" s="403" t="s">
        <v>1411</v>
      </c>
      <c r="E3161" s="403" t="s">
        <v>1412</v>
      </c>
      <c r="F3161" s="403" t="s">
        <v>1288</v>
      </c>
      <c r="G3161" s="403" t="s">
        <v>1466</v>
      </c>
      <c r="H3161" s="403" t="s">
        <v>1276</v>
      </c>
      <c r="I3161" s="403">
        <v>1</v>
      </c>
      <c r="J3161" s="403" t="s">
        <v>110</v>
      </c>
      <c r="K3161" s="403">
        <v>1920</v>
      </c>
      <c r="L3161" s="403">
        <v>1080</v>
      </c>
      <c r="M3161" s="403" t="s">
        <v>1289</v>
      </c>
      <c r="N3161" s="403">
        <v>1280</v>
      </c>
      <c r="O3161" s="403">
        <v>720</v>
      </c>
      <c r="P3161" t="str">
        <f t="shared" si="393"/>
        <v>60fps 1080p - 720p full frame rate</v>
      </c>
      <c r="Q3161">
        <f t="shared" si="394"/>
        <v>19</v>
      </c>
      <c r="R3161" t="str">
        <f t="shared" si="395"/>
        <v/>
      </c>
      <c r="S3161" t="str">
        <f t="shared" si="396"/>
        <v/>
      </c>
      <c r="T3161" s="403" t="str">
        <f t="shared" si="397"/>
        <v>NDE-8502-R</v>
      </c>
      <c r="U3161" s="403">
        <f t="shared" si="398"/>
        <v>1</v>
      </c>
      <c r="V3161" s="403" t="str">
        <f t="shared" si="399"/>
        <v>CPP_7_3</v>
      </c>
    </row>
    <row r="3162" spans="1:22">
      <c r="A3162" t="str">
        <f t="shared" si="392"/>
        <v>NDE-8502-R</v>
      </c>
      <c r="B3162" s="403" t="s">
        <v>1410</v>
      </c>
      <c r="C3162" s="403" t="s">
        <v>582</v>
      </c>
      <c r="D3162" s="403" t="s">
        <v>1411</v>
      </c>
      <c r="E3162" s="403" t="s">
        <v>1412</v>
      </c>
      <c r="F3162" s="403" t="s">
        <v>1288</v>
      </c>
      <c r="G3162" s="403" t="s">
        <v>1466</v>
      </c>
      <c r="H3162" s="403" t="s">
        <v>1276</v>
      </c>
      <c r="I3162" s="403">
        <v>1</v>
      </c>
      <c r="J3162" s="403" t="s">
        <v>110</v>
      </c>
      <c r="K3162" s="403">
        <v>1920</v>
      </c>
      <c r="L3162" s="403">
        <v>1080</v>
      </c>
      <c r="M3162" s="403" t="s">
        <v>1285</v>
      </c>
      <c r="N3162" s="403">
        <v>1280</v>
      </c>
      <c r="O3162" s="403">
        <v>1024</v>
      </c>
      <c r="P3162" t="str">
        <f t="shared" si="393"/>
        <v>60fps 1080p - 1280x1024 5:4 (cropped)</v>
      </c>
      <c r="Q3162">
        <f t="shared" si="394"/>
        <v>19</v>
      </c>
      <c r="R3162" t="str">
        <f t="shared" si="395"/>
        <v/>
      </c>
      <c r="S3162" t="str">
        <f t="shared" si="396"/>
        <v/>
      </c>
      <c r="T3162" s="403" t="str">
        <f t="shared" si="397"/>
        <v>NDE-8502-R</v>
      </c>
      <c r="U3162" s="403">
        <f t="shared" si="398"/>
        <v>1</v>
      </c>
      <c r="V3162" s="403" t="str">
        <f t="shared" si="399"/>
        <v>CPP_7_3</v>
      </c>
    </row>
    <row r="3163" spans="1:22">
      <c r="A3163" t="str">
        <f t="shared" si="392"/>
        <v>NDE-8502-R</v>
      </c>
      <c r="B3163" s="403" t="s">
        <v>1410</v>
      </c>
      <c r="C3163" s="403" t="s">
        <v>582</v>
      </c>
      <c r="D3163" s="403" t="s">
        <v>1411</v>
      </c>
      <c r="E3163" s="403" t="s">
        <v>1412</v>
      </c>
      <c r="F3163" s="403" t="s">
        <v>1288</v>
      </c>
      <c r="G3163" s="403" t="s">
        <v>1466</v>
      </c>
      <c r="H3163" s="403" t="s">
        <v>1276</v>
      </c>
      <c r="I3163" s="403">
        <v>1</v>
      </c>
      <c r="J3163" s="403" t="s">
        <v>110</v>
      </c>
      <c r="K3163" s="403">
        <v>1920</v>
      </c>
      <c r="L3163" s="403">
        <v>1080</v>
      </c>
      <c r="M3163" s="403" t="s">
        <v>1279</v>
      </c>
      <c r="N3163" s="403">
        <v>768</v>
      </c>
      <c r="O3163" s="403">
        <v>432</v>
      </c>
      <c r="P3163" t="str">
        <f t="shared" si="393"/>
        <v>60fps 1080p - SD ROI PTZ</v>
      </c>
      <c r="Q3163">
        <f t="shared" si="394"/>
        <v>19</v>
      </c>
      <c r="R3163" t="str">
        <f t="shared" si="395"/>
        <v/>
      </c>
      <c r="S3163" t="str">
        <f t="shared" si="396"/>
        <v/>
      </c>
      <c r="T3163" s="403" t="str">
        <f t="shared" si="397"/>
        <v>NDE-8502-R</v>
      </c>
      <c r="U3163" s="403">
        <f t="shared" si="398"/>
        <v>1</v>
      </c>
      <c r="V3163" s="403" t="str">
        <f t="shared" si="399"/>
        <v>CPP_7_3</v>
      </c>
    </row>
    <row r="3164" spans="1:22">
      <c r="A3164" t="str">
        <f t="shared" si="392"/>
        <v>NDE-8502-R</v>
      </c>
      <c r="B3164" s="403" t="s">
        <v>1410</v>
      </c>
      <c r="C3164" s="403" t="s">
        <v>582</v>
      </c>
      <c r="D3164" s="403" t="s">
        <v>1411</v>
      </c>
      <c r="E3164" s="403" t="s">
        <v>1412</v>
      </c>
      <c r="F3164" s="403" t="s">
        <v>1288</v>
      </c>
      <c r="G3164" s="403" t="s">
        <v>1466</v>
      </c>
      <c r="H3164" s="403" t="s">
        <v>1276</v>
      </c>
      <c r="I3164" s="403">
        <v>1</v>
      </c>
      <c r="J3164" s="403" t="s">
        <v>110</v>
      </c>
      <c r="K3164" s="403">
        <v>1920</v>
      </c>
      <c r="L3164" s="403">
        <v>1080</v>
      </c>
      <c r="M3164" s="403" t="s">
        <v>1283</v>
      </c>
      <c r="N3164" s="403">
        <v>720</v>
      </c>
      <c r="O3164" s="403">
        <v>480</v>
      </c>
      <c r="P3164" t="str">
        <f t="shared" si="393"/>
        <v>60fps 1080p - SD 4CIF resolution 4:3 format (cropped)</v>
      </c>
      <c r="Q3164">
        <f t="shared" si="394"/>
        <v>19</v>
      </c>
      <c r="R3164" t="str">
        <f t="shared" si="395"/>
        <v/>
      </c>
      <c r="S3164" t="str">
        <f t="shared" si="396"/>
        <v/>
      </c>
      <c r="T3164" s="403" t="str">
        <f t="shared" si="397"/>
        <v>NDE-8502-R</v>
      </c>
      <c r="U3164" s="403">
        <f t="shared" si="398"/>
        <v>1</v>
      </c>
      <c r="V3164" s="403" t="str">
        <f t="shared" si="399"/>
        <v>CPP_7_3</v>
      </c>
    </row>
    <row r="3165" spans="1:22">
      <c r="A3165" t="str">
        <f t="shared" si="392"/>
        <v>NDE-8502-R</v>
      </c>
      <c r="B3165" s="403" t="s">
        <v>1410</v>
      </c>
      <c r="C3165" s="403" t="s">
        <v>582</v>
      </c>
      <c r="D3165" s="403" t="s">
        <v>1411</v>
      </c>
      <c r="E3165" s="403" t="s">
        <v>1412</v>
      </c>
      <c r="F3165" s="403" t="s">
        <v>1288</v>
      </c>
      <c r="G3165" s="403" t="s">
        <v>1466</v>
      </c>
      <c r="H3165" s="403" t="s">
        <v>1276</v>
      </c>
      <c r="I3165" s="403">
        <v>1</v>
      </c>
      <c r="J3165" s="403" t="s">
        <v>110</v>
      </c>
      <c r="K3165" s="403">
        <v>1920</v>
      </c>
      <c r="L3165" s="403">
        <v>1080</v>
      </c>
      <c r="M3165" s="403" t="s">
        <v>1284</v>
      </c>
      <c r="N3165" s="403">
        <v>640</v>
      </c>
      <c r="O3165" s="403">
        <v>480</v>
      </c>
      <c r="P3165" t="str">
        <f t="shared" si="393"/>
        <v>60fps 1080p - SD VGA (cropped)</v>
      </c>
      <c r="Q3165">
        <f t="shared" si="394"/>
        <v>19</v>
      </c>
      <c r="R3165" t="str">
        <f t="shared" si="395"/>
        <v/>
      </c>
      <c r="S3165" t="str">
        <f t="shared" si="396"/>
        <v/>
      </c>
      <c r="T3165" s="403" t="str">
        <f t="shared" si="397"/>
        <v>NDE-8502-R</v>
      </c>
      <c r="U3165" s="403">
        <f t="shared" si="398"/>
        <v>1</v>
      </c>
      <c r="V3165" s="403" t="str">
        <f t="shared" si="399"/>
        <v>CPP_7_3</v>
      </c>
    </row>
    <row r="3166" spans="1:22">
      <c r="A3166" t="str">
        <f t="shared" si="392"/>
        <v>NDE-8502-R</v>
      </c>
      <c r="B3166" s="403" t="s">
        <v>1410</v>
      </c>
      <c r="C3166" s="403" t="s">
        <v>582</v>
      </c>
      <c r="D3166" s="403" t="s">
        <v>1411</v>
      </c>
      <c r="E3166" s="403" t="s">
        <v>1412</v>
      </c>
      <c r="F3166" s="403" t="s">
        <v>1288</v>
      </c>
      <c r="G3166" s="403" t="s">
        <v>1466</v>
      </c>
      <c r="H3166" s="403" t="s">
        <v>1276</v>
      </c>
      <c r="I3166" s="403">
        <v>1</v>
      </c>
      <c r="J3166" s="403" t="s">
        <v>1289</v>
      </c>
      <c r="K3166" s="403">
        <v>1280</v>
      </c>
      <c r="L3166" s="403">
        <v>720</v>
      </c>
      <c r="M3166" s="403" t="s">
        <v>1289</v>
      </c>
      <c r="N3166" s="403">
        <v>1280</v>
      </c>
      <c r="O3166" s="403">
        <v>720</v>
      </c>
      <c r="P3166" t="str">
        <f t="shared" si="393"/>
        <v>60fps 720p full frame rate - 720p full frame rate</v>
      </c>
      <c r="Q3166">
        <f t="shared" si="394"/>
        <v>19</v>
      </c>
      <c r="R3166" t="str">
        <f t="shared" si="395"/>
        <v/>
      </c>
      <c r="S3166" t="str">
        <f t="shared" si="396"/>
        <v/>
      </c>
      <c r="T3166" s="403" t="str">
        <f t="shared" si="397"/>
        <v>NDE-8502-R</v>
      </c>
      <c r="U3166" s="403">
        <f t="shared" si="398"/>
        <v>1</v>
      </c>
      <c r="V3166" s="403" t="str">
        <f t="shared" si="399"/>
        <v>CPP_7_3</v>
      </c>
    </row>
    <row r="3167" spans="1:22">
      <c r="A3167" t="str">
        <f t="shared" si="392"/>
        <v>NDE-8502-R</v>
      </c>
      <c r="B3167" s="403" t="s">
        <v>1410</v>
      </c>
      <c r="C3167" s="403" t="s">
        <v>582</v>
      </c>
      <c r="D3167" s="403" t="s">
        <v>1411</v>
      </c>
      <c r="E3167" s="403" t="s">
        <v>1412</v>
      </c>
      <c r="F3167" s="403" t="s">
        <v>1288</v>
      </c>
      <c r="G3167" s="403" t="s">
        <v>1466</v>
      </c>
      <c r="H3167" s="403" t="s">
        <v>1276</v>
      </c>
      <c r="I3167" s="403">
        <v>1</v>
      </c>
      <c r="J3167" s="403" t="s">
        <v>1289</v>
      </c>
      <c r="K3167" s="403">
        <v>1280</v>
      </c>
      <c r="L3167" s="403">
        <v>720</v>
      </c>
      <c r="M3167" s="403" t="s">
        <v>111</v>
      </c>
      <c r="N3167" s="403">
        <v>768</v>
      </c>
      <c r="O3167" s="403">
        <v>432</v>
      </c>
      <c r="P3167" t="str">
        <f t="shared" si="393"/>
        <v>60fps 720p full frame rate - SD</v>
      </c>
      <c r="Q3167">
        <f t="shared" si="394"/>
        <v>19</v>
      </c>
      <c r="R3167" t="str">
        <f t="shared" si="395"/>
        <v/>
      </c>
      <c r="S3167" t="str">
        <f t="shared" si="396"/>
        <v/>
      </c>
      <c r="T3167" s="403" t="str">
        <f t="shared" si="397"/>
        <v>NDE-8502-R</v>
      </c>
      <c r="U3167" s="403">
        <f t="shared" si="398"/>
        <v>1</v>
      </c>
      <c r="V3167" s="403" t="str">
        <f t="shared" si="399"/>
        <v>CPP_7_3</v>
      </c>
    </row>
    <row r="3168" spans="1:22">
      <c r="A3168" t="str">
        <f t="shared" si="392"/>
        <v>NDE-8502-R</v>
      </c>
      <c r="B3168" s="403" t="s">
        <v>1410</v>
      </c>
      <c r="C3168" s="403" t="s">
        <v>582</v>
      </c>
      <c r="D3168" s="403" t="s">
        <v>1411</v>
      </c>
      <c r="E3168" s="403" t="s">
        <v>1412</v>
      </c>
      <c r="F3168" s="403" t="s">
        <v>1288</v>
      </c>
      <c r="G3168" s="403" t="s">
        <v>1466</v>
      </c>
      <c r="H3168" s="403" t="s">
        <v>1276</v>
      </c>
      <c r="I3168" s="403">
        <v>1</v>
      </c>
      <c r="J3168" s="403" t="s">
        <v>1289</v>
      </c>
      <c r="K3168" s="403">
        <v>1280</v>
      </c>
      <c r="L3168" s="403">
        <v>720</v>
      </c>
      <c r="M3168" s="403" t="s">
        <v>1279</v>
      </c>
      <c r="N3168" s="403">
        <v>768</v>
      </c>
      <c r="O3168" s="403">
        <v>432</v>
      </c>
      <c r="P3168" t="str">
        <f t="shared" si="393"/>
        <v>60fps 720p full frame rate - SD ROI PTZ</v>
      </c>
      <c r="Q3168">
        <f t="shared" si="394"/>
        <v>19</v>
      </c>
      <c r="R3168" t="str">
        <f t="shared" si="395"/>
        <v/>
      </c>
      <c r="S3168" t="str">
        <f t="shared" si="396"/>
        <v/>
      </c>
      <c r="T3168" s="403" t="str">
        <f t="shared" si="397"/>
        <v>NDE-8502-R</v>
      </c>
      <c r="U3168" s="403">
        <f t="shared" si="398"/>
        <v>1</v>
      </c>
      <c r="V3168" s="403" t="str">
        <f t="shared" si="399"/>
        <v>CPP_7_3</v>
      </c>
    </row>
    <row r="3169" spans="1:22">
      <c r="A3169" t="str">
        <f t="shared" si="392"/>
        <v>NDE-8502-R</v>
      </c>
      <c r="B3169" s="403" t="s">
        <v>1410</v>
      </c>
      <c r="C3169" s="403" t="s">
        <v>582</v>
      </c>
      <c r="D3169" s="403" t="s">
        <v>1411</v>
      </c>
      <c r="E3169" s="403" t="s">
        <v>1412</v>
      </c>
      <c r="F3169" s="403" t="s">
        <v>1288</v>
      </c>
      <c r="G3169" s="403" t="s">
        <v>1466</v>
      </c>
      <c r="H3169" s="403" t="s">
        <v>1276</v>
      </c>
      <c r="I3169" s="403">
        <v>1</v>
      </c>
      <c r="J3169" s="403" t="s">
        <v>1289</v>
      </c>
      <c r="K3169" s="403">
        <v>1280</v>
      </c>
      <c r="L3169" s="403">
        <v>720</v>
      </c>
      <c r="M3169" s="403" t="s">
        <v>1283</v>
      </c>
      <c r="N3169" s="403">
        <v>720</v>
      </c>
      <c r="O3169" s="403">
        <v>480</v>
      </c>
      <c r="P3169" t="str">
        <f t="shared" si="393"/>
        <v>60fps 720p full frame rate - SD 4CIF resolution 4:3 format (cropped)</v>
      </c>
      <c r="Q3169">
        <f t="shared" si="394"/>
        <v>19</v>
      </c>
      <c r="R3169" t="str">
        <f t="shared" si="395"/>
        <v/>
      </c>
      <c r="S3169" t="str">
        <f t="shared" si="396"/>
        <v/>
      </c>
      <c r="T3169" s="403" t="str">
        <f t="shared" si="397"/>
        <v>NDE-8502-R</v>
      </c>
      <c r="U3169" s="403">
        <f t="shared" si="398"/>
        <v>1</v>
      </c>
      <c r="V3169" s="403" t="str">
        <f t="shared" si="399"/>
        <v>CPP_7_3</v>
      </c>
    </row>
    <row r="3170" spans="1:22">
      <c r="A3170" t="str">
        <f t="shared" si="392"/>
        <v>NDE-8502-R</v>
      </c>
      <c r="B3170" s="403" t="s">
        <v>1410</v>
      </c>
      <c r="C3170" s="403" t="s">
        <v>582</v>
      </c>
      <c r="D3170" s="403" t="s">
        <v>1411</v>
      </c>
      <c r="E3170" s="403" t="s">
        <v>1412</v>
      </c>
      <c r="F3170" s="403" t="s">
        <v>1288</v>
      </c>
      <c r="G3170" s="403" t="s">
        <v>1466</v>
      </c>
      <c r="H3170" s="403" t="s">
        <v>1276</v>
      </c>
      <c r="I3170" s="403">
        <v>1</v>
      </c>
      <c r="J3170" s="403" t="s">
        <v>1289</v>
      </c>
      <c r="K3170" s="403">
        <v>1280</v>
      </c>
      <c r="L3170" s="403">
        <v>720</v>
      </c>
      <c r="M3170" s="403" t="s">
        <v>1284</v>
      </c>
      <c r="N3170" s="403">
        <v>640</v>
      </c>
      <c r="O3170" s="403">
        <v>480</v>
      </c>
      <c r="P3170" t="str">
        <f t="shared" si="393"/>
        <v>60fps 720p full frame rate - SD VGA (cropped)</v>
      </c>
      <c r="Q3170">
        <f t="shared" si="394"/>
        <v>19</v>
      </c>
      <c r="R3170" t="str">
        <f t="shared" si="395"/>
        <v/>
      </c>
      <c r="S3170" t="str">
        <f t="shared" si="396"/>
        <v/>
      </c>
      <c r="T3170" s="403" t="str">
        <f t="shared" si="397"/>
        <v>NDE-8502-R</v>
      </c>
      <c r="U3170" s="403">
        <f t="shared" si="398"/>
        <v>1</v>
      </c>
      <c r="V3170" s="403" t="str">
        <f t="shared" si="399"/>
        <v>CPP_7_3</v>
      </c>
    </row>
    <row r="3171" spans="1:22">
      <c r="A3171" t="str">
        <f t="shared" si="392"/>
        <v>NDE-8502-R</v>
      </c>
      <c r="B3171" s="403" t="s">
        <v>1410</v>
      </c>
      <c r="C3171" s="403" t="s">
        <v>582</v>
      </c>
      <c r="D3171" s="403" t="s">
        <v>1411</v>
      </c>
      <c r="E3171" s="403" t="s">
        <v>1412</v>
      </c>
      <c r="F3171" s="403" t="s">
        <v>1288</v>
      </c>
      <c r="G3171" s="403" t="s">
        <v>1466</v>
      </c>
      <c r="H3171" s="403" t="s">
        <v>1281</v>
      </c>
      <c r="I3171" s="403">
        <v>1</v>
      </c>
      <c r="J3171" s="403" t="s">
        <v>110</v>
      </c>
      <c r="K3171" s="403">
        <v>1920</v>
      </c>
      <c r="L3171" s="403">
        <v>1080</v>
      </c>
      <c r="M3171" s="403" t="s">
        <v>111</v>
      </c>
      <c r="N3171" s="403">
        <v>768</v>
      </c>
      <c r="O3171" s="403">
        <v>432</v>
      </c>
      <c r="P3171" t="str">
        <f t="shared" si="393"/>
        <v>60fps 1080p - SD</v>
      </c>
      <c r="Q3171">
        <f t="shared" si="394"/>
        <v>19</v>
      </c>
      <c r="R3171" t="str">
        <f t="shared" si="395"/>
        <v/>
      </c>
      <c r="S3171" t="str">
        <f t="shared" si="396"/>
        <v/>
      </c>
      <c r="T3171" s="403" t="str">
        <f t="shared" si="397"/>
        <v>NDE-8502-R</v>
      </c>
      <c r="U3171" s="403">
        <f t="shared" si="398"/>
        <v>1</v>
      </c>
      <c r="V3171" s="403" t="str">
        <f t="shared" si="399"/>
        <v>CPP_7_3</v>
      </c>
    </row>
    <row r="3172" spans="1:22">
      <c r="A3172" t="str">
        <f t="shared" si="392"/>
        <v>NDE-8502-R</v>
      </c>
      <c r="B3172" s="403" t="s">
        <v>1410</v>
      </c>
      <c r="C3172" s="403" t="s">
        <v>582</v>
      </c>
      <c r="D3172" s="403" t="s">
        <v>1411</v>
      </c>
      <c r="E3172" s="403" t="s">
        <v>1412</v>
      </c>
      <c r="F3172" s="403" t="s">
        <v>1288</v>
      </c>
      <c r="G3172" s="403" t="s">
        <v>1466</v>
      </c>
      <c r="H3172" s="403" t="s">
        <v>1281</v>
      </c>
      <c r="I3172" s="403">
        <v>1</v>
      </c>
      <c r="J3172" s="403" t="s">
        <v>110</v>
      </c>
      <c r="K3172" s="403">
        <v>1920</v>
      </c>
      <c r="L3172" s="403">
        <v>1080</v>
      </c>
      <c r="M3172" s="403" t="s">
        <v>1279</v>
      </c>
      <c r="N3172" s="403">
        <v>768</v>
      </c>
      <c r="O3172" s="403">
        <v>432</v>
      </c>
      <c r="P3172" t="str">
        <f t="shared" si="393"/>
        <v>60fps 1080p - SD ROI PTZ</v>
      </c>
      <c r="Q3172">
        <f t="shared" si="394"/>
        <v>19</v>
      </c>
      <c r="R3172" t="str">
        <f t="shared" si="395"/>
        <v/>
      </c>
      <c r="S3172" t="str">
        <f t="shared" si="396"/>
        <v/>
      </c>
      <c r="T3172" s="403" t="str">
        <f t="shared" si="397"/>
        <v>NDE-8502-R</v>
      </c>
      <c r="U3172" s="403">
        <f t="shared" si="398"/>
        <v>1</v>
      </c>
      <c r="V3172" s="403" t="str">
        <f t="shared" si="399"/>
        <v>CPP_7_3</v>
      </c>
    </row>
    <row r="3173" spans="1:22">
      <c r="A3173" t="str">
        <f t="shared" si="392"/>
        <v>NDE-8502-R</v>
      </c>
      <c r="B3173" s="403" t="s">
        <v>1410</v>
      </c>
      <c r="C3173" s="403" t="s">
        <v>582</v>
      </c>
      <c r="D3173" s="403" t="s">
        <v>1411</v>
      </c>
      <c r="E3173" s="403" t="s">
        <v>1412</v>
      </c>
      <c r="F3173" s="403" t="s">
        <v>1288</v>
      </c>
      <c r="G3173" s="403" t="s">
        <v>1466</v>
      </c>
      <c r="H3173" s="403" t="s">
        <v>1281</v>
      </c>
      <c r="I3173" s="403">
        <v>1</v>
      </c>
      <c r="J3173" s="403" t="s">
        <v>110</v>
      </c>
      <c r="K3173" s="403">
        <v>1920</v>
      </c>
      <c r="L3173" s="403">
        <v>1080</v>
      </c>
      <c r="M3173" s="403" t="s">
        <v>1283</v>
      </c>
      <c r="N3173" s="403">
        <v>720</v>
      </c>
      <c r="O3173" s="403">
        <v>480</v>
      </c>
      <c r="P3173" t="str">
        <f t="shared" si="393"/>
        <v>60fps 1080p - SD 4CIF resolution 4:3 format (cropped)</v>
      </c>
      <c r="Q3173">
        <f t="shared" si="394"/>
        <v>19</v>
      </c>
      <c r="R3173" t="str">
        <f t="shared" si="395"/>
        <v/>
      </c>
      <c r="S3173" t="str">
        <f t="shared" si="396"/>
        <v/>
      </c>
      <c r="T3173" s="403" t="str">
        <f t="shared" si="397"/>
        <v>NDE-8502-R</v>
      </c>
      <c r="U3173" s="403">
        <f t="shared" si="398"/>
        <v>1</v>
      </c>
      <c r="V3173" s="403" t="str">
        <f t="shared" si="399"/>
        <v>CPP_7_3</v>
      </c>
    </row>
    <row r="3174" spans="1:22">
      <c r="A3174" t="str">
        <f t="shared" si="392"/>
        <v>NDE-8502-R</v>
      </c>
      <c r="B3174" s="403" t="s">
        <v>1410</v>
      </c>
      <c r="C3174" s="403" t="s">
        <v>582</v>
      </c>
      <c r="D3174" s="403" t="s">
        <v>1411</v>
      </c>
      <c r="E3174" s="403" t="s">
        <v>1412</v>
      </c>
      <c r="F3174" s="403" t="s">
        <v>1288</v>
      </c>
      <c r="G3174" s="403" t="s">
        <v>1466</v>
      </c>
      <c r="H3174" s="403" t="s">
        <v>1281</v>
      </c>
      <c r="I3174" s="403">
        <v>1</v>
      </c>
      <c r="J3174" s="403" t="s">
        <v>110</v>
      </c>
      <c r="K3174" s="403">
        <v>1920</v>
      </c>
      <c r="L3174" s="403">
        <v>1080</v>
      </c>
      <c r="M3174" s="403" t="s">
        <v>1284</v>
      </c>
      <c r="N3174" s="403">
        <v>640</v>
      </c>
      <c r="O3174" s="403">
        <v>480</v>
      </c>
      <c r="P3174" t="str">
        <f t="shared" si="393"/>
        <v>60fps 1080p - SD VGA (cropped)</v>
      </c>
      <c r="Q3174">
        <f t="shared" si="394"/>
        <v>19</v>
      </c>
      <c r="R3174" t="str">
        <f t="shared" si="395"/>
        <v/>
      </c>
      <c r="S3174" t="str">
        <f t="shared" si="396"/>
        <v/>
      </c>
      <c r="T3174" s="403" t="str">
        <f t="shared" si="397"/>
        <v>NDE-8502-R</v>
      </c>
      <c r="U3174" s="403">
        <f t="shared" si="398"/>
        <v>1</v>
      </c>
      <c r="V3174" s="403" t="str">
        <f t="shared" si="399"/>
        <v>CPP_7_3</v>
      </c>
    </row>
    <row r="3175" spans="1:22">
      <c r="A3175" t="str">
        <f t="shared" si="392"/>
        <v>NDE-8502-R</v>
      </c>
      <c r="B3175" s="403" t="s">
        <v>1410</v>
      </c>
      <c r="C3175" s="403" t="s">
        <v>582</v>
      </c>
      <c r="D3175" s="403" t="s">
        <v>1411</v>
      </c>
      <c r="E3175" s="403" t="s">
        <v>1412</v>
      </c>
      <c r="F3175" s="403" t="s">
        <v>1288</v>
      </c>
      <c r="G3175" s="403" t="s">
        <v>1466</v>
      </c>
      <c r="H3175" s="403" t="s">
        <v>1281</v>
      </c>
      <c r="I3175" s="403">
        <v>1</v>
      </c>
      <c r="J3175" s="403" t="s">
        <v>1289</v>
      </c>
      <c r="K3175" s="403">
        <v>1280</v>
      </c>
      <c r="L3175" s="403">
        <v>720</v>
      </c>
      <c r="M3175" s="403" t="s">
        <v>1289</v>
      </c>
      <c r="N3175" s="403">
        <v>1280</v>
      </c>
      <c r="O3175" s="403">
        <v>720</v>
      </c>
      <c r="P3175" t="str">
        <f t="shared" si="393"/>
        <v>60fps 720p full frame rate - 720p full frame rate</v>
      </c>
      <c r="Q3175">
        <f t="shared" si="394"/>
        <v>19</v>
      </c>
      <c r="R3175" t="str">
        <f t="shared" si="395"/>
        <v/>
      </c>
      <c r="S3175" t="str">
        <f t="shared" si="396"/>
        <v/>
      </c>
      <c r="T3175" s="403" t="str">
        <f t="shared" si="397"/>
        <v>NDE-8502-R</v>
      </c>
      <c r="U3175" s="403">
        <f t="shared" si="398"/>
        <v>1</v>
      </c>
      <c r="V3175" s="403" t="str">
        <f t="shared" si="399"/>
        <v>CPP_7_3</v>
      </c>
    </row>
    <row r="3176" spans="1:22">
      <c r="A3176" t="str">
        <f t="shared" si="392"/>
        <v>NDE-8502-R</v>
      </c>
      <c r="B3176" s="403" t="s">
        <v>1410</v>
      </c>
      <c r="C3176" s="403" t="s">
        <v>582</v>
      </c>
      <c r="D3176" s="403" t="s">
        <v>1411</v>
      </c>
      <c r="E3176" s="403" t="s">
        <v>1412</v>
      </c>
      <c r="F3176" s="403" t="s">
        <v>1288</v>
      </c>
      <c r="G3176" s="403" t="s">
        <v>1466</v>
      </c>
      <c r="H3176" s="403" t="s">
        <v>1281</v>
      </c>
      <c r="I3176" s="403">
        <v>1</v>
      </c>
      <c r="J3176" s="403" t="s">
        <v>1289</v>
      </c>
      <c r="K3176" s="403">
        <v>1280</v>
      </c>
      <c r="L3176" s="403">
        <v>720</v>
      </c>
      <c r="M3176" s="403" t="s">
        <v>111</v>
      </c>
      <c r="N3176" s="403">
        <v>768</v>
      </c>
      <c r="O3176" s="403">
        <v>432</v>
      </c>
      <c r="P3176" t="str">
        <f t="shared" si="393"/>
        <v>60fps 720p full frame rate - SD</v>
      </c>
      <c r="Q3176">
        <f t="shared" si="394"/>
        <v>19</v>
      </c>
      <c r="R3176" t="str">
        <f t="shared" si="395"/>
        <v/>
      </c>
      <c r="S3176" t="str">
        <f t="shared" si="396"/>
        <v/>
      </c>
      <c r="T3176" s="403" t="str">
        <f t="shared" si="397"/>
        <v>NDE-8502-R</v>
      </c>
      <c r="U3176" s="403">
        <f t="shared" si="398"/>
        <v>1</v>
      </c>
      <c r="V3176" s="403" t="str">
        <f t="shared" si="399"/>
        <v>CPP_7_3</v>
      </c>
    </row>
    <row r="3177" spans="1:22">
      <c r="A3177" t="str">
        <f t="shared" si="392"/>
        <v>NDE-8502-R</v>
      </c>
      <c r="B3177" s="403" t="s">
        <v>1410</v>
      </c>
      <c r="C3177" s="403" t="s">
        <v>582</v>
      </c>
      <c r="D3177" s="403" t="s">
        <v>1411</v>
      </c>
      <c r="E3177" s="403" t="s">
        <v>1412</v>
      </c>
      <c r="F3177" s="403" t="s">
        <v>1288</v>
      </c>
      <c r="G3177" s="403" t="s">
        <v>1466</v>
      </c>
      <c r="H3177" s="403" t="s">
        <v>1281</v>
      </c>
      <c r="I3177" s="403">
        <v>1</v>
      </c>
      <c r="J3177" s="403" t="s">
        <v>1289</v>
      </c>
      <c r="K3177" s="403">
        <v>1280</v>
      </c>
      <c r="L3177" s="403">
        <v>720</v>
      </c>
      <c r="M3177" s="403" t="s">
        <v>1279</v>
      </c>
      <c r="N3177" s="403">
        <v>768</v>
      </c>
      <c r="O3177" s="403">
        <v>432</v>
      </c>
      <c r="P3177" t="str">
        <f t="shared" si="393"/>
        <v>60fps 720p full frame rate - SD ROI PTZ</v>
      </c>
      <c r="Q3177">
        <f t="shared" si="394"/>
        <v>19</v>
      </c>
      <c r="R3177" t="str">
        <f t="shared" si="395"/>
        <v/>
      </c>
      <c r="S3177" t="str">
        <f t="shared" si="396"/>
        <v/>
      </c>
      <c r="T3177" s="403" t="str">
        <f t="shared" si="397"/>
        <v>NDE-8502-R</v>
      </c>
      <c r="U3177" s="403">
        <f t="shared" si="398"/>
        <v>1</v>
      </c>
      <c r="V3177" s="403" t="str">
        <f t="shared" si="399"/>
        <v>CPP_7_3</v>
      </c>
    </row>
    <row r="3178" spans="1:22">
      <c r="A3178" t="str">
        <f t="shared" si="392"/>
        <v>NDE-8502-R</v>
      </c>
      <c r="B3178" s="403" t="s">
        <v>1410</v>
      </c>
      <c r="C3178" s="403" t="s">
        <v>582</v>
      </c>
      <c r="D3178" s="403" t="s">
        <v>1411</v>
      </c>
      <c r="E3178" s="403" t="s">
        <v>1412</v>
      </c>
      <c r="F3178" s="403" t="s">
        <v>1288</v>
      </c>
      <c r="G3178" s="403" t="s">
        <v>1466</v>
      </c>
      <c r="H3178" s="403" t="s">
        <v>1281</v>
      </c>
      <c r="I3178" s="403">
        <v>1</v>
      </c>
      <c r="J3178" s="403" t="s">
        <v>1289</v>
      </c>
      <c r="K3178" s="403">
        <v>1280</v>
      </c>
      <c r="L3178" s="403">
        <v>720</v>
      </c>
      <c r="M3178" s="403" t="s">
        <v>1283</v>
      </c>
      <c r="N3178" s="403">
        <v>720</v>
      </c>
      <c r="O3178" s="403">
        <v>480</v>
      </c>
      <c r="P3178" t="str">
        <f t="shared" si="393"/>
        <v>60fps 720p full frame rate - SD 4CIF resolution 4:3 format (cropped)</v>
      </c>
      <c r="Q3178">
        <f t="shared" si="394"/>
        <v>19</v>
      </c>
      <c r="R3178" t="str">
        <f t="shared" si="395"/>
        <v/>
      </c>
      <c r="S3178" t="str">
        <f t="shared" si="396"/>
        <v/>
      </c>
      <c r="T3178" s="403" t="str">
        <f t="shared" si="397"/>
        <v>NDE-8502-R</v>
      </c>
      <c r="U3178" s="403">
        <f t="shared" si="398"/>
        <v>1</v>
      </c>
      <c r="V3178" s="403" t="str">
        <f t="shared" si="399"/>
        <v>CPP_7_3</v>
      </c>
    </row>
    <row r="3179" spans="1:22">
      <c r="A3179" t="str">
        <f t="shared" si="392"/>
        <v>NDE-8502-R</v>
      </c>
      <c r="B3179" s="403" t="s">
        <v>1410</v>
      </c>
      <c r="C3179" s="403" t="s">
        <v>582</v>
      </c>
      <c r="D3179" s="403" t="s">
        <v>1411</v>
      </c>
      <c r="E3179" s="403" t="s">
        <v>1412</v>
      </c>
      <c r="F3179" s="403" t="s">
        <v>1288</v>
      </c>
      <c r="G3179" s="403" t="s">
        <v>1466</v>
      </c>
      <c r="H3179" s="403" t="s">
        <v>1281</v>
      </c>
      <c r="I3179" s="403">
        <v>1</v>
      </c>
      <c r="J3179" s="403" t="s">
        <v>1289</v>
      </c>
      <c r="K3179" s="403">
        <v>1280</v>
      </c>
      <c r="L3179" s="403">
        <v>720</v>
      </c>
      <c r="M3179" s="403" t="s">
        <v>1284</v>
      </c>
      <c r="N3179" s="403">
        <v>640</v>
      </c>
      <c r="O3179" s="403">
        <v>480</v>
      </c>
      <c r="P3179" t="str">
        <f t="shared" si="393"/>
        <v>60fps 720p full frame rate - SD VGA (cropped)</v>
      </c>
      <c r="Q3179">
        <f t="shared" si="394"/>
        <v>19</v>
      </c>
      <c r="R3179" t="str">
        <f t="shared" si="395"/>
        <v/>
      </c>
      <c r="S3179" t="str">
        <f t="shared" si="396"/>
        <v/>
      </c>
      <c r="T3179" s="403" t="str">
        <f t="shared" si="397"/>
        <v>NDE-8502-R</v>
      </c>
      <c r="U3179" s="403">
        <f t="shared" si="398"/>
        <v>1</v>
      </c>
      <c r="V3179" s="403" t="str">
        <f t="shared" si="399"/>
        <v>CPP_7_3</v>
      </c>
    </row>
    <row r="3180" spans="1:22">
      <c r="A3180" t="str">
        <f t="shared" si="392"/>
        <v>NDE-8502-R</v>
      </c>
      <c r="B3180" s="403" t="s">
        <v>1410</v>
      </c>
      <c r="C3180" s="403" t="s">
        <v>582</v>
      </c>
      <c r="D3180" s="403" t="s">
        <v>1411</v>
      </c>
      <c r="E3180" s="403" t="s">
        <v>1412</v>
      </c>
      <c r="F3180" s="403" t="s">
        <v>1288</v>
      </c>
      <c r="G3180" s="403" t="s">
        <v>1466</v>
      </c>
      <c r="H3180" s="403" t="s">
        <v>1282</v>
      </c>
      <c r="I3180" s="403">
        <v>1</v>
      </c>
      <c r="J3180" s="403" t="s">
        <v>110</v>
      </c>
      <c r="K3180" s="403">
        <v>1920</v>
      </c>
      <c r="L3180" s="403">
        <v>1080</v>
      </c>
      <c r="M3180" s="403" t="s">
        <v>111</v>
      </c>
      <c r="N3180" s="403">
        <v>768</v>
      </c>
      <c r="O3180" s="403">
        <v>432</v>
      </c>
      <c r="P3180" t="str">
        <f t="shared" si="393"/>
        <v>60fps 1080p - SD</v>
      </c>
      <c r="Q3180">
        <f t="shared" si="394"/>
        <v>19</v>
      </c>
      <c r="R3180" t="str">
        <f t="shared" si="395"/>
        <v/>
      </c>
      <c r="S3180" t="str">
        <f t="shared" si="396"/>
        <v/>
      </c>
      <c r="T3180" s="403" t="str">
        <f t="shared" si="397"/>
        <v>NDE-8502-R</v>
      </c>
      <c r="U3180" s="403">
        <f t="shared" si="398"/>
        <v>1</v>
      </c>
      <c r="V3180" s="403" t="str">
        <f t="shared" si="399"/>
        <v>CPP_7_3</v>
      </c>
    </row>
    <row r="3181" spans="1:22">
      <c r="A3181" t="str">
        <f t="shared" si="392"/>
        <v>NDE-8502-R</v>
      </c>
      <c r="B3181" s="403" t="s">
        <v>1410</v>
      </c>
      <c r="C3181" s="403" t="s">
        <v>582</v>
      </c>
      <c r="D3181" s="403" t="s">
        <v>1411</v>
      </c>
      <c r="E3181" s="403" t="s">
        <v>1412</v>
      </c>
      <c r="F3181" s="403" t="s">
        <v>1288</v>
      </c>
      <c r="G3181" s="403" t="s">
        <v>1466</v>
      </c>
      <c r="H3181" s="403" t="s">
        <v>1282</v>
      </c>
      <c r="I3181" s="403">
        <v>1</v>
      </c>
      <c r="J3181" s="403" t="s">
        <v>110</v>
      </c>
      <c r="K3181" s="403">
        <v>1920</v>
      </c>
      <c r="L3181" s="403">
        <v>1080</v>
      </c>
      <c r="M3181" s="403" t="s">
        <v>1289</v>
      </c>
      <c r="N3181" s="403">
        <v>1280</v>
      </c>
      <c r="O3181" s="403">
        <v>720</v>
      </c>
      <c r="P3181" t="str">
        <f t="shared" si="393"/>
        <v>60fps 1080p - 720p full frame rate</v>
      </c>
      <c r="Q3181">
        <f t="shared" si="394"/>
        <v>19</v>
      </c>
      <c r="R3181" t="str">
        <f t="shared" si="395"/>
        <v/>
      </c>
      <c r="S3181" t="str">
        <f t="shared" si="396"/>
        <v/>
      </c>
      <c r="T3181" s="403" t="str">
        <f t="shared" si="397"/>
        <v>NDE-8502-R</v>
      </c>
      <c r="U3181" s="403">
        <f t="shared" si="398"/>
        <v>1</v>
      </c>
      <c r="V3181" s="403" t="str">
        <f t="shared" si="399"/>
        <v>CPP_7_3</v>
      </c>
    </row>
    <row r="3182" spans="1:22">
      <c r="A3182" t="str">
        <f t="shared" si="392"/>
        <v>NDE-8502-R</v>
      </c>
      <c r="B3182" s="403" t="s">
        <v>1410</v>
      </c>
      <c r="C3182" s="403" t="s">
        <v>582</v>
      </c>
      <c r="D3182" s="403" t="s">
        <v>1411</v>
      </c>
      <c r="E3182" s="403" t="s">
        <v>1412</v>
      </c>
      <c r="F3182" s="403" t="s">
        <v>1288</v>
      </c>
      <c r="G3182" s="403" t="s">
        <v>1466</v>
      </c>
      <c r="H3182" s="403" t="s">
        <v>1282</v>
      </c>
      <c r="I3182" s="403">
        <v>1</v>
      </c>
      <c r="J3182" s="403" t="s">
        <v>110</v>
      </c>
      <c r="K3182" s="403">
        <v>1920</v>
      </c>
      <c r="L3182" s="403">
        <v>1080</v>
      </c>
      <c r="M3182" s="403" t="s">
        <v>1285</v>
      </c>
      <c r="N3182" s="403">
        <v>1280</v>
      </c>
      <c r="O3182" s="403">
        <v>1024</v>
      </c>
      <c r="P3182" t="str">
        <f t="shared" si="393"/>
        <v>60fps 1080p - 1280x1024 5:4 (cropped)</v>
      </c>
      <c r="Q3182">
        <f t="shared" si="394"/>
        <v>19</v>
      </c>
      <c r="R3182" t="str">
        <f t="shared" si="395"/>
        <v/>
      </c>
      <c r="S3182" t="str">
        <f t="shared" si="396"/>
        <v/>
      </c>
      <c r="T3182" s="403" t="str">
        <f t="shared" si="397"/>
        <v>NDE-8502-R</v>
      </c>
      <c r="U3182" s="403">
        <f t="shared" si="398"/>
        <v>1</v>
      </c>
      <c r="V3182" s="403" t="str">
        <f t="shared" si="399"/>
        <v>CPP_7_3</v>
      </c>
    </row>
    <row r="3183" spans="1:22">
      <c r="A3183" t="str">
        <f t="shared" si="392"/>
        <v>NDE-8502-R</v>
      </c>
      <c r="B3183" s="403" t="s">
        <v>1410</v>
      </c>
      <c r="C3183" s="403" t="s">
        <v>582</v>
      </c>
      <c r="D3183" s="403" t="s">
        <v>1411</v>
      </c>
      <c r="E3183" s="403" t="s">
        <v>1412</v>
      </c>
      <c r="F3183" s="403" t="s">
        <v>1288</v>
      </c>
      <c r="G3183" s="403" t="s">
        <v>1466</v>
      </c>
      <c r="H3183" s="403" t="s">
        <v>1282</v>
      </c>
      <c r="I3183" s="403">
        <v>1</v>
      </c>
      <c r="J3183" s="403" t="s">
        <v>110</v>
      </c>
      <c r="K3183" s="403">
        <v>1920</v>
      </c>
      <c r="L3183" s="403">
        <v>1080</v>
      </c>
      <c r="M3183" s="403" t="s">
        <v>1279</v>
      </c>
      <c r="N3183" s="403">
        <v>768</v>
      </c>
      <c r="O3183" s="403">
        <v>432</v>
      </c>
      <c r="P3183" t="str">
        <f t="shared" si="393"/>
        <v>60fps 1080p - SD ROI PTZ</v>
      </c>
      <c r="Q3183">
        <f t="shared" si="394"/>
        <v>19</v>
      </c>
      <c r="R3183" t="str">
        <f t="shared" si="395"/>
        <v/>
      </c>
      <c r="S3183" t="str">
        <f t="shared" si="396"/>
        <v/>
      </c>
      <c r="T3183" s="403" t="str">
        <f t="shared" si="397"/>
        <v>NDE-8502-R</v>
      </c>
      <c r="U3183" s="403">
        <f t="shared" si="398"/>
        <v>1</v>
      </c>
      <c r="V3183" s="403" t="str">
        <f t="shared" si="399"/>
        <v>CPP_7_3</v>
      </c>
    </row>
    <row r="3184" spans="1:22">
      <c r="A3184" t="str">
        <f t="shared" si="392"/>
        <v>NDE-8502-R</v>
      </c>
      <c r="B3184" s="403" t="s">
        <v>1410</v>
      </c>
      <c r="C3184" s="403" t="s">
        <v>582</v>
      </c>
      <c r="D3184" s="403" t="s">
        <v>1411</v>
      </c>
      <c r="E3184" s="403" t="s">
        <v>1412</v>
      </c>
      <c r="F3184" s="403" t="s">
        <v>1288</v>
      </c>
      <c r="G3184" s="403" t="s">
        <v>1466</v>
      </c>
      <c r="H3184" s="403" t="s">
        <v>1282</v>
      </c>
      <c r="I3184" s="403">
        <v>1</v>
      </c>
      <c r="J3184" s="403" t="s">
        <v>110</v>
      </c>
      <c r="K3184" s="403">
        <v>1920</v>
      </c>
      <c r="L3184" s="403">
        <v>1080</v>
      </c>
      <c r="M3184" s="403" t="s">
        <v>1283</v>
      </c>
      <c r="N3184" s="403">
        <v>720</v>
      </c>
      <c r="O3184" s="403">
        <v>480</v>
      </c>
      <c r="P3184" t="str">
        <f t="shared" si="393"/>
        <v>60fps 1080p - SD 4CIF resolution 4:3 format (cropped)</v>
      </c>
      <c r="Q3184">
        <f t="shared" si="394"/>
        <v>19</v>
      </c>
      <c r="R3184" t="str">
        <f t="shared" si="395"/>
        <v/>
      </c>
      <c r="S3184" t="str">
        <f t="shared" si="396"/>
        <v/>
      </c>
      <c r="T3184" s="403" t="str">
        <f t="shared" si="397"/>
        <v>NDE-8502-R</v>
      </c>
      <c r="U3184" s="403">
        <f t="shared" si="398"/>
        <v>1</v>
      </c>
      <c r="V3184" s="403" t="str">
        <f t="shared" si="399"/>
        <v>CPP_7_3</v>
      </c>
    </row>
    <row r="3185" spans="1:22">
      <c r="A3185" t="str">
        <f t="shared" si="392"/>
        <v>NDE-8502-R</v>
      </c>
      <c r="B3185" s="403" t="s">
        <v>1410</v>
      </c>
      <c r="C3185" s="403" t="s">
        <v>582</v>
      </c>
      <c r="D3185" s="403" t="s">
        <v>1411</v>
      </c>
      <c r="E3185" s="403" t="s">
        <v>1412</v>
      </c>
      <c r="F3185" s="403" t="s">
        <v>1288</v>
      </c>
      <c r="G3185" s="403" t="s">
        <v>1466</v>
      </c>
      <c r="H3185" s="403" t="s">
        <v>1282</v>
      </c>
      <c r="I3185" s="403">
        <v>1</v>
      </c>
      <c r="J3185" s="403" t="s">
        <v>110</v>
      </c>
      <c r="K3185" s="403">
        <v>1920</v>
      </c>
      <c r="L3185" s="403">
        <v>1080</v>
      </c>
      <c r="M3185" s="403" t="s">
        <v>1284</v>
      </c>
      <c r="N3185" s="403">
        <v>640</v>
      </c>
      <c r="O3185" s="403">
        <v>480</v>
      </c>
      <c r="P3185" t="str">
        <f t="shared" si="393"/>
        <v>60fps 1080p - SD VGA (cropped)</v>
      </c>
      <c r="Q3185">
        <f t="shared" si="394"/>
        <v>19</v>
      </c>
      <c r="R3185" t="str">
        <f t="shared" si="395"/>
        <v/>
      </c>
      <c r="S3185" t="str">
        <f t="shared" si="396"/>
        <v/>
      </c>
      <c r="T3185" s="403" t="str">
        <f t="shared" si="397"/>
        <v>NDE-8502-R</v>
      </c>
      <c r="U3185" s="403">
        <f t="shared" si="398"/>
        <v>1</v>
      </c>
      <c r="V3185" s="403" t="str">
        <f t="shared" si="399"/>
        <v>CPP_7_3</v>
      </c>
    </row>
    <row r="3186" spans="1:22">
      <c r="A3186" t="str">
        <f t="shared" si="392"/>
        <v>NDE-8502-R</v>
      </c>
      <c r="B3186" s="403" t="s">
        <v>1410</v>
      </c>
      <c r="C3186" s="403" t="s">
        <v>582</v>
      </c>
      <c r="D3186" s="403" t="s">
        <v>1411</v>
      </c>
      <c r="E3186" s="403" t="s">
        <v>1412</v>
      </c>
      <c r="F3186" s="403" t="s">
        <v>1288</v>
      </c>
      <c r="G3186" s="403" t="s">
        <v>1466</v>
      </c>
      <c r="H3186" s="403" t="s">
        <v>1282</v>
      </c>
      <c r="I3186" s="403">
        <v>1</v>
      </c>
      <c r="J3186" s="403" t="s">
        <v>1289</v>
      </c>
      <c r="K3186" s="403">
        <v>1280</v>
      </c>
      <c r="L3186" s="403">
        <v>720</v>
      </c>
      <c r="M3186" s="403" t="s">
        <v>1289</v>
      </c>
      <c r="N3186" s="403">
        <v>1280</v>
      </c>
      <c r="O3186" s="403">
        <v>720</v>
      </c>
      <c r="P3186" t="str">
        <f t="shared" si="393"/>
        <v>60fps 720p full frame rate - 720p full frame rate</v>
      </c>
      <c r="Q3186">
        <f t="shared" si="394"/>
        <v>19</v>
      </c>
      <c r="R3186" t="str">
        <f t="shared" si="395"/>
        <v/>
      </c>
      <c r="S3186" t="str">
        <f t="shared" si="396"/>
        <v/>
      </c>
      <c r="T3186" s="403" t="str">
        <f t="shared" si="397"/>
        <v>NDE-8502-R</v>
      </c>
      <c r="U3186" s="403">
        <f t="shared" si="398"/>
        <v>1</v>
      </c>
      <c r="V3186" s="403" t="str">
        <f t="shared" si="399"/>
        <v>CPP_7_3</v>
      </c>
    </row>
    <row r="3187" spans="1:22">
      <c r="A3187" t="str">
        <f t="shared" si="392"/>
        <v>NDE-8502-R</v>
      </c>
      <c r="B3187" s="403" t="s">
        <v>1410</v>
      </c>
      <c r="C3187" s="403" t="s">
        <v>582</v>
      </c>
      <c r="D3187" s="403" t="s">
        <v>1411</v>
      </c>
      <c r="E3187" s="403" t="s">
        <v>1412</v>
      </c>
      <c r="F3187" s="403" t="s">
        <v>1288</v>
      </c>
      <c r="G3187" s="403" t="s">
        <v>1466</v>
      </c>
      <c r="H3187" s="403" t="s">
        <v>1282</v>
      </c>
      <c r="I3187" s="403">
        <v>1</v>
      </c>
      <c r="J3187" s="403" t="s">
        <v>1289</v>
      </c>
      <c r="K3187" s="403">
        <v>1280</v>
      </c>
      <c r="L3187" s="403">
        <v>720</v>
      </c>
      <c r="M3187" s="403" t="s">
        <v>111</v>
      </c>
      <c r="N3187" s="403">
        <v>768</v>
      </c>
      <c r="O3187" s="403">
        <v>432</v>
      </c>
      <c r="P3187" t="str">
        <f t="shared" si="393"/>
        <v>60fps 720p full frame rate - SD</v>
      </c>
      <c r="Q3187">
        <f t="shared" si="394"/>
        <v>19</v>
      </c>
      <c r="R3187" t="str">
        <f t="shared" si="395"/>
        <v/>
      </c>
      <c r="S3187" t="str">
        <f t="shared" si="396"/>
        <v/>
      </c>
      <c r="T3187" s="403" t="str">
        <f t="shared" si="397"/>
        <v>NDE-8502-R</v>
      </c>
      <c r="U3187" s="403">
        <f t="shared" si="398"/>
        <v>1</v>
      </c>
      <c r="V3187" s="403" t="str">
        <f t="shared" si="399"/>
        <v>CPP_7_3</v>
      </c>
    </row>
    <row r="3188" spans="1:22">
      <c r="A3188" t="str">
        <f t="shared" si="392"/>
        <v>NDE-8502-R</v>
      </c>
      <c r="B3188" s="403" t="s">
        <v>1410</v>
      </c>
      <c r="C3188" s="403" t="s">
        <v>582</v>
      </c>
      <c r="D3188" s="403" t="s">
        <v>1411</v>
      </c>
      <c r="E3188" s="403" t="s">
        <v>1412</v>
      </c>
      <c r="F3188" s="403" t="s">
        <v>1288</v>
      </c>
      <c r="G3188" s="403" t="s">
        <v>1466</v>
      </c>
      <c r="H3188" s="403" t="s">
        <v>1282</v>
      </c>
      <c r="I3188" s="403">
        <v>1</v>
      </c>
      <c r="J3188" s="403" t="s">
        <v>1289</v>
      </c>
      <c r="K3188" s="403">
        <v>1280</v>
      </c>
      <c r="L3188" s="403">
        <v>720</v>
      </c>
      <c r="M3188" s="403" t="s">
        <v>1279</v>
      </c>
      <c r="N3188" s="403">
        <v>768</v>
      </c>
      <c r="O3188" s="403">
        <v>432</v>
      </c>
      <c r="P3188" t="str">
        <f t="shared" si="393"/>
        <v>60fps 720p full frame rate - SD ROI PTZ</v>
      </c>
      <c r="Q3188">
        <f t="shared" si="394"/>
        <v>19</v>
      </c>
      <c r="R3188" t="str">
        <f t="shared" si="395"/>
        <v/>
      </c>
      <c r="S3188" t="str">
        <f t="shared" si="396"/>
        <v/>
      </c>
      <c r="T3188" s="403" t="str">
        <f t="shared" si="397"/>
        <v>NDE-8502-R</v>
      </c>
      <c r="U3188" s="403">
        <f t="shared" si="398"/>
        <v>1</v>
      </c>
      <c r="V3188" s="403" t="str">
        <f t="shared" si="399"/>
        <v>CPP_7_3</v>
      </c>
    </row>
    <row r="3189" spans="1:22">
      <c r="A3189" t="str">
        <f t="shared" si="392"/>
        <v>NDE-8502-R</v>
      </c>
      <c r="B3189" s="403" t="s">
        <v>1410</v>
      </c>
      <c r="C3189" s="403" t="s">
        <v>582</v>
      </c>
      <c r="D3189" s="403" t="s">
        <v>1411</v>
      </c>
      <c r="E3189" s="403" t="s">
        <v>1412</v>
      </c>
      <c r="F3189" s="403" t="s">
        <v>1288</v>
      </c>
      <c r="G3189" s="403" t="s">
        <v>1466</v>
      </c>
      <c r="H3189" s="403" t="s">
        <v>1282</v>
      </c>
      <c r="I3189" s="403">
        <v>1</v>
      </c>
      <c r="J3189" s="403" t="s">
        <v>1289</v>
      </c>
      <c r="K3189" s="403">
        <v>1280</v>
      </c>
      <c r="L3189" s="403">
        <v>720</v>
      </c>
      <c r="M3189" s="403" t="s">
        <v>1283</v>
      </c>
      <c r="N3189" s="403">
        <v>720</v>
      </c>
      <c r="O3189" s="403">
        <v>480</v>
      </c>
      <c r="P3189" t="str">
        <f t="shared" si="393"/>
        <v>60fps 720p full frame rate - SD 4CIF resolution 4:3 format (cropped)</v>
      </c>
      <c r="Q3189">
        <f t="shared" si="394"/>
        <v>19</v>
      </c>
      <c r="R3189" t="str">
        <f t="shared" si="395"/>
        <v/>
      </c>
      <c r="S3189" t="str">
        <f t="shared" si="396"/>
        <v/>
      </c>
      <c r="T3189" s="403" t="str">
        <f t="shared" si="397"/>
        <v>NDE-8502-R</v>
      </c>
      <c r="U3189" s="403">
        <f t="shared" si="398"/>
        <v>1</v>
      </c>
      <c r="V3189" s="403" t="str">
        <f t="shared" si="399"/>
        <v>CPP_7_3</v>
      </c>
    </row>
    <row r="3190" spans="1:22">
      <c r="A3190" t="str">
        <f t="shared" si="392"/>
        <v>NDE-8502-R</v>
      </c>
      <c r="B3190" s="403" t="s">
        <v>1410</v>
      </c>
      <c r="C3190" s="403" t="s">
        <v>582</v>
      </c>
      <c r="D3190" s="403" t="s">
        <v>1411</v>
      </c>
      <c r="E3190" s="403" t="s">
        <v>1412</v>
      </c>
      <c r="F3190" s="403" t="s">
        <v>1288</v>
      </c>
      <c r="G3190" s="403" t="s">
        <v>1466</v>
      </c>
      <c r="H3190" s="403" t="s">
        <v>1282</v>
      </c>
      <c r="I3190" s="403">
        <v>1</v>
      </c>
      <c r="J3190" s="403" t="s">
        <v>1289</v>
      </c>
      <c r="K3190" s="403">
        <v>1280</v>
      </c>
      <c r="L3190" s="403">
        <v>720</v>
      </c>
      <c r="M3190" s="403" t="s">
        <v>1284</v>
      </c>
      <c r="N3190" s="403">
        <v>640</v>
      </c>
      <c r="O3190" s="403">
        <v>480</v>
      </c>
      <c r="P3190" t="str">
        <f t="shared" si="393"/>
        <v>60fps 720p full frame rate - SD VGA (cropped)</v>
      </c>
      <c r="Q3190">
        <f t="shared" si="394"/>
        <v>19</v>
      </c>
      <c r="R3190" t="str">
        <f t="shared" si="395"/>
        <v/>
      </c>
      <c r="S3190" t="str">
        <f t="shared" si="396"/>
        <v/>
      </c>
      <c r="T3190" s="403" t="str">
        <f t="shared" si="397"/>
        <v>NDE-8502-R</v>
      </c>
      <c r="U3190" s="403">
        <f t="shared" si="398"/>
        <v>1</v>
      </c>
      <c r="V3190" s="403" t="str">
        <f t="shared" si="399"/>
        <v>CPP_7_3</v>
      </c>
    </row>
    <row r="3191" spans="1:22">
      <c r="A3191" t="str">
        <f t="shared" si="392"/>
        <v>NDE-8502-R</v>
      </c>
      <c r="B3191" s="403" t="s">
        <v>1410</v>
      </c>
      <c r="C3191" s="403" t="s">
        <v>582</v>
      </c>
      <c r="D3191" s="403" t="s">
        <v>1411</v>
      </c>
      <c r="E3191" s="403" t="s">
        <v>1412</v>
      </c>
      <c r="F3191" s="403" t="s">
        <v>1288</v>
      </c>
      <c r="G3191" s="403" t="s">
        <v>1467</v>
      </c>
      <c r="H3191" s="403" t="s">
        <v>1276</v>
      </c>
      <c r="I3191" s="403">
        <v>1</v>
      </c>
      <c r="J3191" s="403" t="s">
        <v>110</v>
      </c>
      <c r="K3191" s="403">
        <v>1080</v>
      </c>
      <c r="L3191" s="403">
        <v>1920</v>
      </c>
      <c r="M3191" s="403" t="s">
        <v>111</v>
      </c>
      <c r="N3191" s="403">
        <v>432</v>
      </c>
      <c r="O3191" s="403">
        <v>768</v>
      </c>
      <c r="P3191" t="str">
        <f t="shared" si="393"/>
        <v>60fps 1080p - SD</v>
      </c>
      <c r="Q3191">
        <f t="shared" si="394"/>
        <v>19</v>
      </c>
      <c r="R3191" t="str">
        <f t="shared" si="395"/>
        <v/>
      </c>
      <c r="S3191" t="str">
        <f t="shared" si="396"/>
        <v/>
      </c>
      <c r="T3191" s="403" t="str">
        <f t="shared" si="397"/>
        <v>NDE-8502-R</v>
      </c>
      <c r="U3191" s="403">
        <f t="shared" si="398"/>
        <v>1</v>
      </c>
      <c r="V3191" s="403" t="str">
        <f t="shared" si="399"/>
        <v>CPP_7_3</v>
      </c>
    </row>
    <row r="3192" spans="1:22">
      <c r="A3192" t="str">
        <f t="shared" si="392"/>
        <v>NDE-8502-R</v>
      </c>
      <c r="B3192" s="403" t="s">
        <v>1410</v>
      </c>
      <c r="C3192" s="403" t="s">
        <v>582</v>
      </c>
      <c r="D3192" s="403" t="s">
        <v>1411</v>
      </c>
      <c r="E3192" s="403" t="s">
        <v>1412</v>
      </c>
      <c r="F3192" s="403" t="s">
        <v>1288</v>
      </c>
      <c r="G3192" s="403" t="s">
        <v>1467</v>
      </c>
      <c r="H3192" s="403" t="s">
        <v>1276</v>
      </c>
      <c r="I3192" s="403">
        <v>1</v>
      </c>
      <c r="J3192" s="403" t="s">
        <v>110</v>
      </c>
      <c r="K3192" s="403">
        <v>1080</v>
      </c>
      <c r="L3192" s="403">
        <v>1920</v>
      </c>
      <c r="M3192" s="403" t="s">
        <v>1289</v>
      </c>
      <c r="N3192" s="403">
        <v>720</v>
      </c>
      <c r="O3192" s="403">
        <v>1280</v>
      </c>
      <c r="P3192" t="str">
        <f t="shared" si="393"/>
        <v>60fps 1080p - 720p full frame rate</v>
      </c>
      <c r="Q3192">
        <f t="shared" si="394"/>
        <v>19</v>
      </c>
      <c r="R3192" t="str">
        <f t="shared" si="395"/>
        <v/>
      </c>
      <c r="S3192" t="str">
        <f t="shared" si="396"/>
        <v/>
      </c>
      <c r="T3192" s="403" t="str">
        <f t="shared" si="397"/>
        <v>NDE-8502-R</v>
      </c>
      <c r="U3192" s="403">
        <f t="shared" si="398"/>
        <v>1</v>
      </c>
      <c r="V3192" s="403" t="str">
        <f t="shared" si="399"/>
        <v>CPP_7_3</v>
      </c>
    </row>
    <row r="3193" spans="1:22">
      <c r="A3193" t="str">
        <f t="shared" si="392"/>
        <v>NDE-8502-R</v>
      </c>
      <c r="B3193" s="403" t="s">
        <v>1410</v>
      </c>
      <c r="C3193" s="403" t="s">
        <v>582</v>
      </c>
      <c r="D3193" s="403" t="s">
        <v>1411</v>
      </c>
      <c r="E3193" s="403" t="s">
        <v>1412</v>
      </c>
      <c r="F3193" s="403" t="s">
        <v>1288</v>
      </c>
      <c r="G3193" s="403" t="s">
        <v>1467</v>
      </c>
      <c r="H3193" s="403" t="s">
        <v>1276</v>
      </c>
      <c r="I3193" s="403">
        <v>1</v>
      </c>
      <c r="J3193" s="403" t="s">
        <v>110</v>
      </c>
      <c r="K3193" s="403">
        <v>1080</v>
      </c>
      <c r="L3193" s="403">
        <v>1920</v>
      </c>
      <c r="M3193" s="403" t="s">
        <v>1285</v>
      </c>
      <c r="N3193" s="403">
        <v>1024</v>
      </c>
      <c r="O3193" s="403">
        <v>1280</v>
      </c>
      <c r="P3193" t="str">
        <f t="shared" si="393"/>
        <v>60fps 1080p - 1280x1024 5:4 (cropped)</v>
      </c>
      <c r="Q3193">
        <f t="shared" si="394"/>
        <v>19</v>
      </c>
      <c r="R3193" t="str">
        <f t="shared" si="395"/>
        <v/>
      </c>
      <c r="S3193" t="str">
        <f t="shared" si="396"/>
        <v/>
      </c>
      <c r="T3193" s="403" t="str">
        <f t="shared" si="397"/>
        <v>NDE-8502-R</v>
      </c>
      <c r="U3193" s="403">
        <f t="shared" si="398"/>
        <v>1</v>
      </c>
      <c r="V3193" s="403" t="str">
        <f t="shared" si="399"/>
        <v>CPP_7_3</v>
      </c>
    </row>
    <row r="3194" spans="1:22">
      <c r="A3194" t="str">
        <f t="shared" si="392"/>
        <v>NDE-8502-R</v>
      </c>
      <c r="B3194" s="403" t="s">
        <v>1410</v>
      </c>
      <c r="C3194" s="403" t="s">
        <v>582</v>
      </c>
      <c r="D3194" s="403" t="s">
        <v>1411</v>
      </c>
      <c r="E3194" s="403" t="s">
        <v>1412</v>
      </c>
      <c r="F3194" s="403" t="s">
        <v>1288</v>
      </c>
      <c r="G3194" s="403" t="s">
        <v>1467</v>
      </c>
      <c r="H3194" s="403" t="s">
        <v>1276</v>
      </c>
      <c r="I3194" s="403">
        <v>1</v>
      </c>
      <c r="J3194" s="403" t="s">
        <v>110</v>
      </c>
      <c r="K3194" s="403">
        <v>1080</v>
      </c>
      <c r="L3194" s="403">
        <v>1920</v>
      </c>
      <c r="M3194" s="403" t="s">
        <v>1279</v>
      </c>
      <c r="N3194" s="403">
        <v>432</v>
      </c>
      <c r="O3194" s="403">
        <v>768</v>
      </c>
      <c r="P3194" t="str">
        <f t="shared" si="393"/>
        <v>60fps 1080p - SD ROI PTZ</v>
      </c>
      <c r="Q3194">
        <f t="shared" si="394"/>
        <v>19</v>
      </c>
      <c r="R3194" t="str">
        <f t="shared" si="395"/>
        <v/>
      </c>
      <c r="S3194" t="str">
        <f t="shared" si="396"/>
        <v/>
      </c>
      <c r="T3194" s="403" t="str">
        <f t="shared" si="397"/>
        <v>NDE-8502-R</v>
      </c>
      <c r="U3194" s="403">
        <f t="shared" si="398"/>
        <v>1</v>
      </c>
      <c r="V3194" s="403" t="str">
        <f t="shared" si="399"/>
        <v>CPP_7_3</v>
      </c>
    </row>
    <row r="3195" spans="1:22">
      <c r="A3195" t="str">
        <f t="shared" si="392"/>
        <v>NDE-8502-R</v>
      </c>
      <c r="B3195" s="403" t="s">
        <v>1410</v>
      </c>
      <c r="C3195" s="403" t="s">
        <v>582</v>
      </c>
      <c r="D3195" s="403" t="s">
        <v>1411</v>
      </c>
      <c r="E3195" s="403" t="s">
        <v>1412</v>
      </c>
      <c r="F3195" s="403" t="s">
        <v>1288</v>
      </c>
      <c r="G3195" s="403" t="s">
        <v>1467</v>
      </c>
      <c r="H3195" s="403" t="s">
        <v>1276</v>
      </c>
      <c r="I3195" s="403">
        <v>1</v>
      </c>
      <c r="J3195" s="403" t="s">
        <v>110</v>
      </c>
      <c r="K3195" s="403">
        <v>1080</v>
      </c>
      <c r="L3195" s="403">
        <v>1920</v>
      </c>
      <c r="M3195" s="403" t="s">
        <v>1283</v>
      </c>
      <c r="N3195" s="403">
        <v>480</v>
      </c>
      <c r="O3195" s="403">
        <v>720</v>
      </c>
      <c r="P3195" t="str">
        <f t="shared" si="393"/>
        <v>60fps 1080p - SD 4CIF resolution 4:3 format (cropped)</v>
      </c>
      <c r="Q3195">
        <f t="shared" si="394"/>
        <v>19</v>
      </c>
      <c r="R3195" t="str">
        <f t="shared" si="395"/>
        <v/>
      </c>
      <c r="S3195" t="str">
        <f t="shared" si="396"/>
        <v/>
      </c>
      <c r="T3195" s="403" t="str">
        <f t="shared" si="397"/>
        <v>NDE-8502-R</v>
      </c>
      <c r="U3195" s="403">
        <f t="shared" si="398"/>
        <v>1</v>
      </c>
      <c r="V3195" s="403" t="str">
        <f t="shared" si="399"/>
        <v>CPP_7_3</v>
      </c>
    </row>
    <row r="3196" spans="1:22">
      <c r="A3196" t="str">
        <f t="shared" si="392"/>
        <v>NDE-8502-R</v>
      </c>
      <c r="B3196" s="403" t="s">
        <v>1410</v>
      </c>
      <c r="C3196" s="403" t="s">
        <v>582</v>
      </c>
      <c r="D3196" s="403" t="s">
        <v>1411</v>
      </c>
      <c r="E3196" s="403" t="s">
        <v>1412</v>
      </c>
      <c r="F3196" s="403" t="s">
        <v>1288</v>
      </c>
      <c r="G3196" s="403" t="s">
        <v>1467</v>
      </c>
      <c r="H3196" s="403" t="s">
        <v>1276</v>
      </c>
      <c r="I3196" s="403">
        <v>1</v>
      </c>
      <c r="J3196" s="403" t="s">
        <v>110</v>
      </c>
      <c r="K3196" s="403">
        <v>1080</v>
      </c>
      <c r="L3196" s="403">
        <v>1920</v>
      </c>
      <c r="M3196" s="403" t="s">
        <v>1284</v>
      </c>
      <c r="N3196" s="403">
        <v>480</v>
      </c>
      <c r="O3196" s="403">
        <v>640</v>
      </c>
      <c r="P3196" t="str">
        <f t="shared" si="393"/>
        <v>60fps 1080p - SD VGA (cropped)</v>
      </c>
      <c r="Q3196">
        <f t="shared" si="394"/>
        <v>19</v>
      </c>
      <c r="R3196" t="str">
        <f t="shared" si="395"/>
        <v/>
      </c>
      <c r="S3196" t="str">
        <f t="shared" si="396"/>
        <v/>
      </c>
      <c r="T3196" s="403" t="str">
        <f t="shared" si="397"/>
        <v>NDE-8502-R</v>
      </c>
      <c r="U3196" s="403">
        <f t="shared" si="398"/>
        <v>1</v>
      </c>
      <c r="V3196" s="403" t="str">
        <f t="shared" si="399"/>
        <v>CPP_7_3</v>
      </c>
    </row>
    <row r="3197" spans="1:22">
      <c r="A3197" t="str">
        <f t="shared" si="392"/>
        <v>NDE-8502-R</v>
      </c>
      <c r="B3197" s="403" t="s">
        <v>1410</v>
      </c>
      <c r="C3197" s="403" t="s">
        <v>582</v>
      </c>
      <c r="D3197" s="403" t="s">
        <v>1411</v>
      </c>
      <c r="E3197" s="403" t="s">
        <v>1412</v>
      </c>
      <c r="F3197" s="403" t="s">
        <v>1288</v>
      </c>
      <c r="G3197" s="403" t="s">
        <v>1467</v>
      </c>
      <c r="H3197" s="403" t="s">
        <v>1276</v>
      </c>
      <c r="I3197" s="403">
        <v>1</v>
      </c>
      <c r="J3197" s="403" t="s">
        <v>1289</v>
      </c>
      <c r="K3197" s="403">
        <v>720</v>
      </c>
      <c r="L3197" s="403">
        <v>1280</v>
      </c>
      <c r="M3197" s="403" t="s">
        <v>1289</v>
      </c>
      <c r="N3197" s="403">
        <v>720</v>
      </c>
      <c r="O3197" s="403">
        <v>1280</v>
      </c>
      <c r="P3197" t="str">
        <f t="shared" si="393"/>
        <v>60fps 720p full frame rate - 720p full frame rate</v>
      </c>
      <c r="Q3197">
        <f t="shared" si="394"/>
        <v>19</v>
      </c>
      <c r="R3197" t="str">
        <f t="shared" si="395"/>
        <v/>
      </c>
      <c r="S3197" t="str">
        <f t="shared" si="396"/>
        <v/>
      </c>
      <c r="T3197" s="403" t="str">
        <f t="shared" si="397"/>
        <v>NDE-8502-R</v>
      </c>
      <c r="U3197" s="403">
        <f t="shared" si="398"/>
        <v>1</v>
      </c>
      <c r="V3197" s="403" t="str">
        <f t="shared" si="399"/>
        <v>CPP_7_3</v>
      </c>
    </row>
    <row r="3198" spans="1:22">
      <c r="A3198" t="str">
        <f t="shared" si="392"/>
        <v>NDE-8502-R</v>
      </c>
      <c r="B3198" s="403" t="s">
        <v>1410</v>
      </c>
      <c r="C3198" s="403" t="s">
        <v>582</v>
      </c>
      <c r="D3198" s="403" t="s">
        <v>1411</v>
      </c>
      <c r="E3198" s="403" t="s">
        <v>1412</v>
      </c>
      <c r="F3198" s="403" t="s">
        <v>1288</v>
      </c>
      <c r="G3198" s="403" t="s">
        <v>1467</v>
      </c>
      <c r="H3198" s="403" t="s">
        <v>1276</v>
      </c>
      <c r="I3198" s="403">
        <v>1</v>
      </c>
      <c r="J3198" s="403" t="s">
        <v>1289</v>
      </c>
      <c r="K3198" s="403">
        <v>720</v>
      </c>
      <c r="L3198" s="403">
        <v>1280</v>
      </c>
      <c r="M3198" s="403" t="s">
        <v>111</v>
      </c>
      <c r="N3198" s="403">
        <v>432</v>
      </c>
      <c r="O3198" s="403">
        <v>768</v>
      </c>
      <c r="P3198" t="str">
        <f t="shared" si="393"/>
        <v>60fps 720p full frame rate - SD</v>
      </c>
      <c r="Q3198">
        <f t="shared" si="394"/>
        <v>19</v>
      </c>
      <c r="R3198" t="str">
        <f t="shared" si="395"/>
        <v/>
      </c>
      <c r="S3198" t="str">
        <f t="shared" si="396"/>
        <v/>
      </c>
      <c r="T3198" s="403" t="str">
        <f t="shared" si="397"/>
        <v>NDE-8502-R</v>
      </c>
      <c r="U3198" s="403">
        <f t="shared" si="398"/>
        <v>1</v>
      </c>
      <c r="V3198" s="403" t="str">
        <f t="shared" si="399"/>
        <v>CPP_7_3</v>
      </c>
    </row>
    <row r="3199" spans="1:22">
      <c r="A3199" t="str">
        <f t="shared" si="392"/>
        <v>NDE-8502-R</v>
      </c>
      <c r="B3199" s="403" t="s">
        <v>1410</v>
      </c>
      <c r="C3199" s="403" t="s">
        <v>582</v>
      </c>
      <c r="D3199" s="403" t="s">
        <v>1411</v>
      </c>
      <c r="E3199" s="403" t="s">
        <v>1412</v>
      </c>
      <c r="F3199" s="403" t="s">
        <v>1288</v>
      </c>
      <c r="G3199" s="403" t="s">
        <v>1467</v>
      </c>
      <c r="H3199" s="403" t="s">
        <v>1276</v>
      </c>
      <c r="I3199" s="403">
        <v>1</v>
      </c>
      <c r="J3199" s="403" t="s">
        <v>1289</v>
      </c>
      <c r="K3199" s="403">
        <v>720</v>
      </c>
      <c r="L3199" s="403">
        <v>1280</v>
      </c>
      <c r="M3199" s="403" t="s">
        <v>1279</v>
      </c>
      <c r="N3199" s="403">
        <v>432</v>
      </c>
      <c r="O3199" s="403">
        <v>768</v>
      </c>
      <c r="P3199" t="str">
        <f t="shared" si="393"/>
        <v>60fps 720p full frame rate - SD ROI PTZ</v>
      </c>
      <c r="Q3199">
        <f t="shared" si="394"/>
        <v>19</v>
      </c>
      <c r="R3199" t="str">
        <f t="shared" si="395"/>
        <v/>
      </c>
      <c r="S3199" t="str">
        <f t="shared" si="396"/>
        <v/>
      </c>
      <c r="T3199" s="403" t="str">
        <f t="shared" si="397"/>
        <v>NDE-8502-R</v>
      </c>
      <c r="U3199" s="403">
        <f t="shared" si="398"/>
        <v>1</v>
      </c>
      <c r="V3199" s="403" t="str">
        <f t="shared" si="399"/>
        <v>CPP_7_3</v>
      </c>
    </row>
    <row r="3200" spans="1:22">
      <c r="A3200" t="str">
        <f t="shared" si="392"/>
        <v>NDE-8502-R</v>
      </c>
      <c r="B3200" s="403" t="s">
        <v>1410</v>
      </c>
      <c r="C3200" s="403" t="s">
        <v>582</v>
      </c>
      <c r="D3200" s="403" t="s">
        <v>1411</v>
      </c>
      <c r="E3200" s="403" t="s">
        <v>1412</v>
      </c>
      <c r="F3200" s="403" t="s">
        <v>1288</v>
      </c>
      <c r="G3200" s="403" t="s">
        <v>1467</v>
      </c>
      <c r="H3200" s="403" t="s">
        <v>1276</v>
      </c>
      <c r="I3200" s="403">
        <v>1</v>
      </c>
      <c r="J3200" s="403" t="s">
        <v>1289</v>
      </c>
      <c r="K3200" s="403">
        <v>720</v>
      </c>
      <c r="L3200" s="403">
        <v>1280</v>
      </c>
      <c r="M3200" s="403" t="s">
        <v>1283</v>
      </c>
      <c r="N3200" s="403">
        <v>480</v>
      </c>
      <c r="O3200" s="403">
        <v>720</v>
      </c>
      <c r="P3200" t="str">
        <f t="shared" si="393"/>
        <v>60fps 720p full frame rate - SD 4CIF resolution 4:3 format (cropped)</v>
      </c>
      <c r="Q3200">
        <f t="shared" si="394"/>
        <v>19</v>
      </c>
      <c r="R3200" t="str">
        <f t="shared" si="395"/>
        <v/>
      </c>
      <c r="S3200" t="str">
        <f t="shared" si="396"/>
        <v/>
      </c>
      <c r="T3200" s="403" t="str">
        <f t="shared" si="397"/>
        <v>NDE-8502-R</v>
      </c>
      <c r="U3200" s="403">
        <f t="shared" si="398"/>
        <v>1</v>
      </c>
      <c r="V3200" s="403" t="str">
        <f t="shared" si="399"/>
        <v>CPP_7_3</v>
      </c>
    </row>
    <row r="3201" spans="1:22">
      <c r="A3201" t="str">
        <f t="shared" si="392"/>
        <v>NDE-8502-R</v>
      </c>
      <c r="B3201" s="403" t="s">
        <v>1410</v>
      </c>
      <c r="C3201" s="403" t="s">
        <v>582</v>
      </c>
      <c r="D3201" s="403" t="s">
        <v>1411</v>
      </c>
      <c r="E3201" s="403" t="s">
        <v>1412</v>
      </c>
      <c r="F3201" s="403" t="s">
        <v>1288</v>
      </c>
      <c r="G3201" s="403" t="s">
        <v>1467</v>
      </c>
      <c r="H3201" s="403" t="s">
        <v>1276</v>
      </c>
      <c r="I3201" s="403">
        <v>1</v>
      </c>
      <c r="J3201" s="403" t="s">
        <v>1289</v>
      </c>
      <c r="K3201" s="403">
        <v>720</v>
      </c>
      <c r="L3201" s="403">
        <v>1280</v>
      </c>
      <c r="M3201" s="403" t="s">
        <v>1284</v>
      </c>
      <c r="N3201" s="403">
        <v>480</v>
      </c>
      <c r="O3201" s="403">
        <v>640</v>
      </c>
      <c r="P3201" t="str">
        <f t="shared" si="393"/>
        <v>60fps 720p full frame rate - SD VGA (cropped)</v>
      </c>
      <c r="Q3201">
        <f t="shared" si="394"/>
        <v>19</v>
      </c>
      <c r="R3201" t="str">
        <f t="shared" si="395"/>
        <v/>
      </c>
      <c r="S3201" t="str">
        <f t="shared" si="396"/>
        <v/>
      </c>
      <c r="T3201" s="403" t="str">
        <f t="shared" si="397"/>
        <v>NDE-8502-R</v>
      </c>
      <c r="U3201" s="403">
        <f t="shared" si="398"/>
        <v>1</v>
      </c>
      <c r="V3201" s="403" t="str">
        <f t="shared" si="399"/>
        <v>CPP_7_3</v>
      </c>
    </row>
    <row r="3202" spans="1:22">
      <c r="A3202" t="str">
        <f t="shared" ref="A3202:A3265" si="400">IF(AND(G3202&lt;&gt;"rotate 90°"),D3202,"")</f>
        <v>NDE-8502-R</v>
      </c>
      <c r="B3202" s="403" t="s">
        <v>1410</v>
      </c>
      <c r="C3202" s="403" t="s">
        <v>582</v>
      </c>
      <c r="D3202" s="403" t="s">
        <v>1411</v>
      </c>
      <c r="E3202" s="403" t="s">
        <v>1412</v>
      </c>
      <c r="F3202" s="403" t="s">
        <v>1288</v>
      </c>
      <c r="G3202" s="403" t="s">
        <v>1467</v>
      </c>
      <c r="H3202" s="403" t="s">
        <v>1281</v>
      </c>
      <c r="I3202" s="403">
        <v>1</v>
      </c>
      <c r="J3202" s="403" t="s">
        <v>110</v>
      </c>
      <c r="K3202" s="403">
        <v>1080</v>
      </c>
      <c r="L3202" s="403">
        <v>1920</v>
      </c>
      <c r="M3202" s="403" t="s">
        <v>111</v>
      </c>
      <c r="N3202" s="403">
        <v>432</v>
      </c>
      <c r="O3202" s="403">
        <v>768</v>
      </c>
      <c r="P3202" t="str">
        <f t="shared" ref="P3202:P3265" si="401">LEFT(F3202,5)&amp;" "&amp;J3202&amp;" - "&amp;M3202</f>
        <v>60fps 1080p - SD</v>
      </c>
      <c r="Q3202">
        <f t="shared" ref="Q3202:Q3265" si="402">IF(A3201=A3202,Q3201,Q3201+1)</f>
        <v>19</v>
      </c>
      <c r="R3202" t="str">
        <f t="shared" ref="R3202:R3265" si="403">IF(Q3201&lt;&gt;Q3202,Q3202,"")</f>
        <v/>
      </c>
      <c r="S3202" t="str">
        <f t="shared" ref="S3202:S3265" si="404">IF(R3202&lt;&gt;"",B3202&amp;" ("&amp;D3202&amp;")","")</f>
        <v/>
      </c>
      <c r="T3202" s="403" t="str">
        <f t="shared" ref="T3202:T3265" si="405">D3202</f>
        <v>NDE-8502-R</v>
      </c>
      <c r="U3202" s="403">
        <f t="shared" ref="U3202:U3265" si="406">I3202</f>
        <v>1</v>
      </c>
      <c r="V3202" s="403" t="str">
        <f t="shared" ref="V3202:V3265" si="407">C3202</f>
        <v>CPP_7_3</v>
      </c>
    </row>
    <row r="3203" spans="1:22">
      <c r="A3203" t="str">
        <f t="shared" si="400"/>
        <v>NDE-8502-R</v>
      </c>
      <c r="B3203" s="403" t="s">
        <v>1410</v>
      </c>
      <c r="C3203" s="403" t="s">
        <v>582</v>
      </c>
      <c r="D3203" s="403" t="s">
        <v>1411</v>
      </c>
      <c r="E3203" s="403" t="s">
        <v>1412</v>
      </c>
      <c r="F3203" s="403" t="s">
        <v>1288</v>
      </c>
      <c r="G3203" s="403" t="s">
        <v>1467</v>
      </c>
      <c r="H3203" s="403" t="s">
        <v>1281</v>
      </c>
      <c r="I3203" s="403">
        <v>1</v>
      </c>
      <c r="J3203" s="403" t="s">
        <v>110</v>
      </c>
      <c r="K3203" s="403">
        <v>1080</v>
      </c>
      <c r="L3203" s="403">
        <v>1920</v>
      </c>
      <c r="M3203" s="403" t="s">
        <v>1279</v>
      </c>
      <c r="N3203" s="403">
        <v>432</v>
      </c>
      <c r="O3203" s="403">
        <v>768</v>
      </c>
      <c r="P3203" t="str">
        <f t="shared" si="401"/>
        <v>60fps 1080p - SD ROI PTZ</v>
      </c>
      <c r="Q3203">
        <f t="shared" si="402"/>
        <v>19</v>
      </c>
      <c r="R3203" t="str">
        <f t="shared" si="403"/>
        <v/>
      </c>
      <c r="S3203" t="str">
        <f t="shared" si="404"/>
        <v/>
      </c>
      <c r="T3203" s="403" t="str">
        <f t="shared" si="405"/>
        <v>NDE-8502-R</v>
      </c>
      <c r="U3203" s="403">
        <f t="shared" si="406"/>
        <v>1</v>
      </c>
      <c r="V3203" s="403" t="str">
        <f t="shared" si="407"/>
        <v>CPP_7_3</v>
      </c>
    </row>
    <row r="3204" spans="1:22">
      <c r="A3204" t="str">
        <f t="shared" si="400"/>
        <v>NDE-8502-R</v>
      </c>
      <c r="B3204" s="403" t="s">
        <v>1410</v>
      </c>
      <c r="C3204" s="403" t="s">
        <v>582</v>
      </c>
      <c r="D3204" s="403" t="s">
        <v>1411</v>
      </c>
      <c r="E3204" s="403" t="s">
        <v>1412</v>
      </c>
      <c r="F3204" s="403" t="s">
        <v>1288</v>
      </c>
      <c r="G3204" s="403" t="s">
        <v>1467</v>
      </c>
      <c r="H3204" s="403" t="s">
        <v>1281</v>
      </c>
      <c r="I3204" s="403">
        <v>1</v>
      </c>
      <c r="J3204" s="403" t="s">
        <v>110</v>
      </c>
      <c r="K3204" s="403">
        <v>1080</v>
      </c>
      <c r="L3204" s="403">
        <v>1920</v>
      </c>
      <c r="M3204" s="403" t="s">
        <v>1283</v>
      </c>
      <c r="N3204" s="403">
        <v>480</v>
      </c>
      <c r="O3204" s="403">
        <v>720</v>
      </c>
      <c r="P3204" t="str">
        <f t="shared" si="401"/>
        <v>60fps 1080p - SD 4CIF resolution 4:3 format (cropped)</v>
      </c>
      <c r="Q3204">
        <f t="shared" si="402"/>
        <v>19</v>
      </c>
      <c r="R3204" t="str">
        <f t="shared" si="403"/>
        <v/>
      </c>
      <c r="S3204" t="str">
        <f t="shared" si="404"/>
        <v/>
      </c>
      <c r="T3204" s="403" t="str">
        <f t="shared" si="405"/>
        <v>NDE-8502-R</v>
      </c>
      <c r="U3204" s="403">
        <f t="shared" si="406"/>
        <v>1</v>
      </c>
      <c r="V3204" s="403" t="str">
        <f t="shared" si="407"/>
        <v>CPP_7_3</v>
      </c>
    </row>
    <row r="3205" spans="1:22">
      <c r="A3205" t="str">
        <f t="shared" si="400"/>
        <v>NDE-8502-R</v>
      </c>
      <c r="B3205" s="403" t="s">
        <v>1410</v>
      </c>
      <c r="C3205" s="403" t="s">
        <v>582</v>
      </c>
      <c r="D3205" s="403" t="s">
        <v>1411</v>
      </c>
      <c r="E3205" s="403" t="s">
        <v>1412</v>
      </c>
      <c r="F3205" s="403" t="s">
        <v>1288</v>
      </c>
      <c r="G3205" s="403" t="s">
        <v>1467</v>
      </c>
      <c r="H3205" s="403" t="s">
        <v>1281</v>
      </c>
      <c r="I3205" s="403">
        <v>1</v>
      </c>
      <c r="J3205" s="403" t="s">
        <v>110</v>
      </c>
      <c r="K3205" s="403">
        <v>1080</v>
      </c>
      <c r="L3205" s="403">
        <v>1920</v>
      </c>
      <c r="M3205" s="403" t="s">
        <v>1284</v>
      </c>
      <c r="N3205" s="403">
        <v>480</v>
      </c>
      <c r="O3205" s="403">
        <v>640</v>
      </c>
      <c r="P3205" t="str">
        <f t="shared" si="401"/>
        <v>60fps 1080p - SD VGA (cropped)</v>
      </c>
      <c r="Q3205">
        <f t="shared" si="402"/>
        <v>19</v>
      </c>
      <c r="R3205" t="str">
        <f t="shared" si="403"/>
        <v/>
      </c>
      <c r="S3205" t="str">
        <f t="shared" si="404"/>
        <v/>
      </c>
      <c r="T3205" s="403" t="str">
        <f t="shared" si="405"/>
        <v>NDE-8502-R</v>
      </c>
      <c r="U3205" s="403">
        <f t="shared" si="406"/>
        <v>1</v>
      </c>
      <c r="V3205" s="403" t="str">
        <f t="shared" si="407"/>
        <v>CPP_7_3</v>
      </c>
    </row>
    <row r="3206" spans="1:22">
      <c r="A3206" t="str">
        <f t="shared" si="400"/>
        <v>NDE-8502-R</v>
      </c>
      <c r="B3206" s="403" t="s">
        <v>1410</v>
      </c>
      <c r="C3206" s="403" t="s">
        <v>582</v>
      </c>
      <c r="D3206" s="403" t="s">
        <v>1411</v>
      </c>
      <c r="E3206" s="403" t="s">
        <v>1412</v>
      </c>
      <c r="F3206" s="403" t="s">
        <v>1288</v>
      </c>
      <c r="G3206" s="403" t="s">
        <v>1467</v>
      </c>
      <c r="H3206" s="403" t="s">
        <v>1281</v>
      </c>
      <c r="I3206" s="403">
        <v>1</v>
      </c>
      <c r="J3206" s="403" t="s">
        <v>1289</v>
      </c>
      <c r="K3206" s="403">
        <v>720</v>
      </c>
      <c r="L3206" s="403">
        <v>1280</v>
      </c>
      <c r="M3206" s="403" t="s">
        <v>1289</v>
      </c>
      <c r="N3206" s="403">
        <v>720</v>
      </c>
      <c r="O3206" s="403">
        <v>1280</v>
      </c>
      <c r="P3206" t="str">
        <f t="shared" si="401"/>
        <v>60fps 720p full frame rate - 720p full frame rate</v>
      </c>
      <c r="Q3206">
        <f t="shared" si="402"/>
        <v>19</v>
      </c>
      <c r="R3206" t="str">
        <f t="shared" si="403"/>
        <v/>
      </c>
      <c r="S3206" t="str">
        <f t="shared" si="404"/>
        <v/>
      </c>
      <c r="T3206" s="403" t="str">
        <f t="shared" si="405"/>
        <v>NDE-8502-R</v>
      </c>
      <c r="U3206" s="403">
        <f t="shared" si="406"/>
        <v>1</v>
      </c>
      <c r="V3206" s="403" t="str">
        <f t="shared" si="407"/>
        <v>CPP_7_3</v>
      </c>
    </row>
    <row r="3207" spans="1:22">
      <c r="A3207" t="str">
        <f t="shared" si="400"/>
        <v>NDE-8502-R</v>
      </c>
      <c r="B3207" s="403" t="s">
        <v>1410</v>
      </c>
      <c r="C3207" s="403" t="s">
        <v>582</v>
      </c>
      <c r="D3207" s="403" t="s">
        <v>1411</v>
      </c>
      <c r="E3207" s="403" t="s">
        <v>1412</v>
      </c>
      <c r="F3207" s="403" t="s">
        <v>1288</v>
      </c>
      <c r="G3207" s="403" t="s">
        <v>1467</v>
      </c>
      <c r="H3207" s="403" t="s">
        <v>1281</v>
      </c>
      <c r="I3207" s="403">
        <v>1</v>
      </c>
      <c r="J3207" s="403" t="s">
        <v>1289</v>
      </c>
      <c r="K3207" s="403">
        <v>720</v>
      </c>
      <c r="L3207" s="403">
        <v>1280</v>
      </c>
      <c r="M3207" s="403" t="s">
        <v>111</v>
      </c>
      <c r="N3207" s="403">
        <v>432</v>
      </c>
      <c r="O3207" s="403">
        <v>768</v>
      </c>
      <c r="P3207" t="str">
        <f t="shared" si="401"/>
        <v>60fps 720p full frame rate - SD</v>
      </c>
      <c r="Q3207">
        <f t="shared" si="402"/>
        <v>19</v>
      </c>
      <c r="R3207" t="str">
        <f t="shared" si="403"/>
        <v/>
      </c>
      <c r="S3207" t="str">
        <f t="shared" si="404"/>
        <v/>
      </c>
      <c r="T3207" s="403" t="str">
        <f t="shared" si="405"/>
        <v>NDE-8502-R</v>
      </c>
      <c r="U3207" s="403">
        <f t="shared" si="406"/>
        <v>1</v>
      </c>
      <c r="V3207" s="403" t="str">
        <f t="shared" si="407"/>
        <v>CPP_7_3</v>
      </c>
    </row>
    <row r="3208" spans="1:22">
      <c r="A3208" t="str">
        <f t="shared" si="400"/>
        <v>NDE-8502-R</v>
      </c>
      <c r="B3208" s="403" t="s">
        <v>1410</v>
      </c>
      <c r="C3208" s="403" t="s">
        <v>582</v>
      </c>
      <c r="D3208" s="403" t="s">
        <v>1411</v>
      </c>
      <c r="E3208" s="403" t="s">
        <v>1412</v>
      </c>
      <c r="F3208" s="403" t="s">
        <v>1288</v>
      </c>
      <c r="G3208" s="403" t="s">
        <v>1467</v>
      </c>
      <c r="H3208" s="403" t="s">
        <v>1281</v>
      </c>
      <c r="I3208" s="403">
        <v>1</v>
      </c>
      <c r="J3208" s="403" t="s">
        <v>1289</v>
      </c>
      <c r="K3208" s="403">
        <v>720</v>
      </c>
      <c r="L3208" s="403">
        <v>1280</v>
      </c>
      <c r="M3208" s="403" t="s">
        <v>1279</v>
      </c>
      <c r="N3208" s="403">
        <v>432</v>
      </c>
      <c r="O3208" s="403">
        <v>768</v>
      </c>
      <c r="P3208" t="str">
        <f t="shared" si="401"/>
        <v>60fps 720p full frame rate - SD ROI PTZ</v>
      </c>
      <c r="Q3208">
        <f t="shared" si="402"/>
        <v>19</v>
      </c>
      <c r="R3208" t="str">
        <f t="shared" si="403"/>
        <v/>
      </c>
      <c r="S3208" t="str">
        <f t="shared" si="404"/>
        <v/>
      </c>
      <c r="T3208" s="403" t="str">
        <f t="shared" si="405"/>
        <v>NDE-8502-R</v>
      </c>
      <c r="U3208" s="403">
        <f t="shared" si="406"/>
        <v>1</v>
      </c>
      <c r="V3208" s="403" t="str">
        <f t="shared" si="407"/>
        <v>CPP_7_3</v>
      </c>
    </row>
    <row r="3209" spans="1:22">
      <c r="A3209" t="str">
        <f t="shared" si="400"/>
        <v>NDE-8502-R</v>
      </c>
      <c r="B3209" s="403" t="s">
        <v>1410</v>
      </c>
      <c r="C3209" s="403" t="s">
        <v>582</v>
      </c>
      <c r="D3209" s="403" t="s">
        <v>1411</v>
      </c>
      <c r="E3209" s="403" t="s">
        <v>1412</v>
      </c>
      <c r="F3209" s="403" t="s">
        <v>1288</v>
      </c>
      <c r="G3209" s="403" t="s">
        <v>1467</v>
      </c>
      <c r="H3209" s="403" t="s">
        <v>1281</v>
      </c>
      <c r="I3209" s="403">
        <v>1</v>
      </c>
      <c r="J3209" s="403" t="s">
        <v>1289</v>
      </c>
      <c r="K3209" s="403">
        <v>720</v>
      </c>
      <c r="L3209" s="403">
        <v>1280</v>
      </c>
      <c r="M3209" s="403" t="s">
        <v>1283</v>
      </c>
      <c r="N3209" s="403">
        <v>480</v>
      </c>
      <c r="O3209" s="403">
        <v>720</v>
      </c>
      <c r="P3209" t="str">
        <f t="shared" si="401"/>
        <v>60fps 720p full frame rate - SD 4CIF resolution 4:3 format (cropped)</v>
      </c>
      <c r="Q3209">
        <f t="shared" si="402"/>
        <v>19</v>
      </c>
      <c r="R3209" t="str">
        <f t="shared" si="403"/>
        <v/>
      </c>
      <c r="S3209" t="str">
        <f t="shared" si="404"/>
        <v/>
      </c>
      <c r="T3209" s="403" t="str">
        <f t="shared" si="405"/>
        <v>NDE-8502-R</v>
      </c>
      <c r="U3209" s="403">
        <f t="shared" si="406"/>
        <v>1</v>
      </c>
      <c r="V3209" s="403" t="str">
        <f t="shared" si="407"/>
        <v>CPP_7_3</v>
      </c>
    </row>
    <row r="3210" spans="1:22">
      <c r="A3210" t="str">
        <f t="shared" si="400"/>
        <v>NDE-8502-R</v>
      </c>
      <c r="B3210" s="403" t="s">
        <v>1410</v>
      </c>
      <c r="C3210" s="403" t="s">
        <v>582</v>
      </c>
      <c r="D3210" s="403" t="s">
        <v>1411</v>
      </c>
      <c r="E3210" s="403" t="s">
        <v>1412</v>
      </c>
      <c r="F3210" s="403" t="s">
        <v>1288</v>
      </c>
      <c r="G3210" s="403" t="s">
        <v>1467</v>
      </c>
      <c r="H3210" s="403" t="s">
        <v>1281</v>
      </c>
      <c r="I3210" s="403">
        <v>1</v>
      </c>
      <c r="J3210" s="403" t="s">
        <v>1289</v>
      </c>
      <c r="K3210" s="403">
        <v>720</v>
      </c>
      <c r="L3210" s="403">
        <v>1280</v>
      </c>
      <c r="M3210" s="403" t="s">
        <v>1284</v>
      </c>
      <c r="N3210" s="403">
        <v>480</v>
      </c>
      <c r="O3210" s="403">
        <v>640</v>
      </c>
      <c r="P3210" t="str">
        <f t="shared" si="401"/>
        <v>60fps 720p full frame rate - SD VGA (cropped)</v>
      </c>
      <c r="Q3210">
        <f t="shared" si="402"/>
        <v>19</v>
      </c>
      <c r="R3210" t="str">
        <f t="shared" si="403"/>
        <v/>
      </c>
      <c r="S3210" t="str">
        <f t="shared" si="404"/>
        <v/>
      </c>
      <c r="T3210" s="403" t="str">
        <f t="shared" si="405"/>
        <v>NDE-8502-R</v>
      </c>
      <c r="U3210" s="403">
        <f t="shared" si="406"/>
        <v>1</v>
      </c>
      <c r="V3210" s="403" t="str">
        <f t="shared" si="407"/>
        <v>CPP_7_3</v>
      </c>
    </row>
    <row r="3211" spans="1:22">
      <c r="A3211" t="str">
        <f t="shared" si="400"/>
        <v>NDE-8502-R</v>
      </c>
      <c r="B3211" s="403" t="s">
        <v>1410</v>
      </c>
      <c r="C3211" s="403" t="s">
        <v>582</v>
      </c>
      <c r="D3211" s="403" t="s">
        <v>1411</v>
      </c>
      <c r="E3211" s="403" t="s">
        <v>1412</v>
      </c>
      <c r="F3211" s="403" t="s">
        <v>1288</v>
      </c>
      <c r="G3211" s="403" t="s">
        <v>1467</v>
      </c>
      <c r="H3211" s="403" t="s">
        <v>1282</v>
      </c>
      <c r="I3211" s="403">
        <v>1</v>
      </c>
      <c r="J3211" s="403" t="s">
        <v>110</v>
      </c>
      <c r="K3211" s="403">
        <v>1080</v>
      </c>
      <c r="L3211" s="403">
        <v>1920</v>
      </c>
      <c r="M3211" s="403" t="s">
        <v>111</v>
      </c>
      <c r="N3211" s="403">
        <v>432</v>
      </c>
      <c r="O3211" s="403">
        <v>768</v>
      </c>
      <c r="P3211" t="str">
        <f t="shared" si="401"/>
        <v>60fps 1080p - SD</v>
      </c>
      <c r="Q3211">
        <f t="shared" si="402"/>
        <v>19</v>
      </c>
      <c r="R3211" t="str">
        <f t="shared" si="403"/>
        <v/>
      </c>
      <c r="S3211" t="str">
        <f t="shared" si="404"/>
        <v/>
      </c>
      <c r="T3211" s="403" t="str">
        <f t="shared" si="405"/>
        <v>NDE-8502-R</v>
      </c>
      <c r="U3211" s="403">
        <f t="shared" si="406"/>
        <v>1</v>
      </c>
      <c r="V3211" s="403" t="str">
        <f t="shared" si="407"/>
        <v>CPP_7_3</v>
      </c>
    </row>
    <row r="3212" spans="1:22">
      <c r="A3212" t="str">
        <f t="shared" si="400"/>
        <v>NDE-8502-R</v>
      </c>
      <c r="B3212" s="403" t="s">
        <v>1410</v>
      </c>
      <c r="C3212" s="403" t="s">
        <v>582</v>
      </c>
      <c r="D3212" s="403" t="s">
        <v>1411</v>
      </c>
      <c r="E3212" s="403" t="s">
        <v>1412</v>
      </c>
      <c r="F3212" s="403" t="s">
        <v>1288</v>
      </c>
      <c r="G3212" s="403" t="s">
        <v>1467</v>
      </c>
      <c r="H3212" s="403" t="s">
        <v>1282</v>
      </c>
      <c r="I3212" s="403">
        <v>1</v>
      </c>
      <c r="J3212" s="403" t="s">
        <v>110</v>
      </c>
      <c r="K3212" s="403">
        <v>1080</v>
      </c>
      <c r="L3212" s="403">
        <v>1920</v>
      </c>
      <c r="M3212" s="403" t="s">
        <v>1289</v>
      </c>
      <c r="N3212" s="403">
        <v>720</v>
      </c>
      <c r="O3212" s="403">
        <v>1280</v>
      </c>
      <c r="P3212" t="str">
        <f t="shared" si="401"/>
        <v>60fps 1080p - 720p full frame rate</v>
      </c>
      <c r="Q3212">
        <f t="shared" si="402"/>
        <v>19</v>
      </c>
      <c r="R3212" t="str">
        <f t="shared" si="403"/>
        <v/>
      </c>
      <c r="S3212" t="str">
        <f t="shared" si="404"/>
        <v/>
      </c>
      <c r="T3212" s="403" t="str">
        <f t="shared" si="405"/>
        <v>NDE-8502-R</v>
      </c>
      <c r="U3212" s="403">
        <f t="shared" si="406"/>
        <v>1</v>
      </c>
      <c r="V3212" s="403" t="str">
        <f t="shared" si="407"/>
        <v>CPP_7_3</v>
      </c>
    </row>
    <row r="3213" spans="1:22">
      <c r="A3213" t="str">
        <f t="shared" si="400"/>
        <v>NDE-8502-R</v>
      </c>
      <c r="B3213" s="403" t="s">
        <v>1410</v>
      </c>
      <c r="C3213" s="403" t="s">
        <v>582</v>
      </c>
      <c r="D3213" s="403" t="s">
        <v>1411</v>
      </c>
      <c r="E3213" s="403" t="s">
        <v>1412</v>
      </c>
      <c r="F3213" s="403" t="s">
        <v>1288</v>
      </c>
      <c r="G3213" s="403" t="s">
        <v>1467</v>
      </c>
      <c r="H3213" s="403" t="s">
        <v>1282</v>
      </c>
      <c r="I3213" s="403">
        <v>1</v>
      </c>
      <c r="J3213" s="403" t="s">
        <v>110</v>
      </c>
      <c r="K3213" s="403">
        <v>1080</v>
      </c>
      <c r="L3213" s="403">
        <v>1920</v>
      </c>
      <c r="M3213" s="403" t="s">
        <v>1285</v>
      </c>
      <c r="N3213" s="403">
        <v>1024</v>
      </c>
      <c r="O3213" s="403">
        <v>1280</v>
      </c>
      <c r="P3213" t="str">
        <f t="shared" si="401"/>
        <v>60fps 1080p - 1280x1024 5:4 (cropped)</v>
      </c>
      <c r="Q3213">
        <f t="shared" si="402"/>
        <v>19</v>
      </c>
      <c r="R3213" t="str">
        <f t="shared" si="403"/>
        <v/>
      </c>
      <c r="S3213" t="str">
        <f t="shared" si="404"/>
        <v/>
      </c>
      <c r="T3213" s="403" t="str">
        <f t="shared" si="405"/>
        <v>NDE-8502-R</v>
      </c>
      <c r="U3213" s="403">
        <f t="shared" si="406"/>
        <v>1</v>
      </c>
      <c r="V3213" s="403" t="str">
        <f t="shared" si="407"/>
        <v>CPP_7_3</v>
      </c>
    </row>
    <row r="3214" spans="1:22">
      <c r="A3214" t="str">
        <f t="shared" si="400"/>
        <v>NDE-8502-R</v>
      </c>
      <c r="B3214" s="403" t="s">
        <v>1410</v>
      </c>
      <c r="C3214" s="403" t="s">
        <v>582</v>
      </c>
      <c r="D3214" s="403" t="s">
        <v>1411</v>
      </c>
      <c r="E3214" s="403" t="s">
        <v>1412</v>
      </c>
      <c r="F3214" s="403" t="s">
        <v>1288</v>
      </c>
      <c r="G3214" s="403" t="s">
        <v>1467</v>
      </c>
      <c r="H3214" s="403" t="s">
        <v>1282</v>
      </c>
      <c r="I3214" s="403">
        <v>1</v>
      </c>
      <c r="J3214" s="403" t="s">
        <v>110</v>
      </c>
      <c r="K3214" s="403">
        <v>1080</v>
      </c>
      <c r="L3214" s="403">
        <v>1920</v>
      </c>
      <c r="M3214" s="403" t="s">
        <v>1279</v>
      </c>
      <c r="N3214" s="403">
        <v>432</v>
      </c>
      <c r="O3214" s="403">
        <v>768</v>
      </c>
      <c r="P3214" t="str">
        <f t="shared" si="401"/>
        <v>60fps 1080p - SD ROI PTZ</v>
      </c>
      <c r="Q3214">
        <f t="shared" si="402"/>
        <v>19</v>
      </c>
      <c r="R3214" t="str">
        <f t="shared" si="403"/>
        <v/>
      </c>
      <c r="S3214" t="str">
        <f t="shared" si="404"/>
        <v/>
      </c>
      <c r="T3214" s="403" t="str">
        <f t="shared" si="405"/>
        <v>NDE-8502-R</v>
      </c>
      <c r="U3214" s="403">
        <f t="shared" si="406"/>
        <v>1</v>
      </c>
      <c r="V3214" s="403" t="str">
        <f t="shared" si="407"/>
        <v>CPP_7_3</v>
      </c>
    </row>
    <row r="3215" spans="1:22">
      <c r="A3215" t="str">
        <f t="shared" si="400"/>
        <v>NDE-8502-R</v>
      </c>
      <c r="B3215" s="403" t="s">
        <v>1410</v>
      </c>
      <c r="C3215" s="403" t="s">
        <v>582</v>
      </c>
      <c r="D3215" s="403" t="s">
        <v>1411</v>
      </c>
      <c r="E3215" s="403" t="s">
        <v>1412</v>
      </c>
      <c r="F3215" s="403" t="s">
        <v>1288</v>
      </c>
      <c r="G3215" s="403" t="s">
        <v>1467</v>
      </c>
      <c r="H3215" s="403" t="s">
        <v>1282</v>
      </c>
      <c r="I3215" s="403">
        <v>1</v>
      </c>
      <c r="J3215" s="403" t="s">
        <v>110</v>
      </c>
      <c r="K3215" s="403">
        <v>1080</v>
      </c>
      <c r="L3215" s="403">
        <v>1920</v>
      </c>
      <c r="M3215" s="403" t="s">
        <v>1283</v>
      </c>
      <c r="N3215" s="403">
        <v>480</v>
      </c>
      <c r="O3215" s="403">
        <v>720</v>
      </c>
      <c r="P3215" t="str">
        <f t="shared" si="401"/>
        <v>60fps 1080p - SD 4CIF resolution 4:3 format (cropped)</v>
      </c>
      <c r="Q3215">
        <f t="shared" si="402"/>
        <v>19</v>
      </c>
      <c r="R3215" t="str">
        <f t="shared" si="403"/>
        <v/>
      </c>
      <c r="S3215" t="str">
        <f t="shared" si="404"/>
        <v/>
      </c>
      <c r="T3215" s="403" t="str">
        <f t="shared" si="405"/>
        <v>NDE-8502-R</v>
      </c>
      <c r="U3215" s="403">
        <f t="shared" si="406"/>
        <v>1</v>
      </c>
      <c r="V3215" s="403" t="str">
        <f t="shared" si="407"/>
        <v>CPP_7_3</v>
      </c>
    </row>
    <row r="3216" spans="1:22">
      <c r="A3216" t="str">
        <f t="shared" si="400"/>
        <v>NDE-8502-R</v>
      </c>
      <c r="B3216" s="403" t="s">
        <v>1410</v>
      </c>
      <c r="C3216" s="403" t="s">
        <v>582</v>
      </c>
      <c r="D3216" s="403" t="s">
        <v>1411</v>
      </c>
      <c r="E3216" s="403" t="s">
        <v>1412</v>
      </c>
      <c r="F3216" s="403" t="s">
        <v>1288</v>
      </c>
      <c r="G3216" s="403" t="s">
        <v>1467</v>
      </c>
      <c r="H3216" s="403" t="s">
        <v>1282</v>
      </c>
      <c r="I3216" s="403">
        <v>1</v>
      </c>
      <c r="J3216" s="403" t="s">
        <v>110</v>
      </c>
      <c r="K3216" s="403">
        <v>1080</v>
      </c>
      <c r="L3216" s="403">
        <v>1920</v>
      </c>
      <c r="M3216" s="403" t="s">
        <v>1284</v>
      </c>
      <c r="N3216" s="403">
        <v>480</v>
      </c>
      <c r="O3216" s="403">
        <v>640</v>
      </c>
      <c r="P3216" t="str">
        <f t="shared" si="401"/>
        <v>60fps 1080p - SD VGA (cropped)</v>
      </c>
      <c r="Q3216">
        <f t="shared" si="402"/>
        <v>19</v>
      </c>
      <c r="R3216" t="str">
        <f t="shared" si="403"/>
        <v/>
      </c>
      <c r="S3216" t="str">
        <f t="shared" si="404"/>
        <v/>
      </c>
      <c r="T3216" s="403" t="str">
        <f t="shared" si="405"/>
        <v>NDE-8502-R</v>
      </c>
      <c r="U3216" s="403">
        <f t="shared" si="406"/>
        <v>1</v>
      </c>
      <c r="V3216" s="403" t="str">
        <f t="shared" si="407"/>
        <v>CPP_7_3</v>
      </c>
    </row>
    <row r="3217" spans="1:22">
      <c r="A3217" t="str">
        <f t="shared" si="400"/>
        <v>NDE-8502-R</v>
      </c>
      <c r="B3217" s="403" t="s">
        <v>1410</v>
      </c>
      <c r="C3217" s="403" t="s">
        <v>582</v>
      </c>
      <c r="D3217" s="403" t="s">
        <v>1411</v>
      </c>
      <c r="E3217" s="403" t="s">
        <v>1412</v>
      </c>
      <c r="F3217" s="403" t="s">
        <v>1288</v>
      </c>
      <c r="G3217" s="403" t="s">
        <v>1467</v>
      </c>
      <c r="H3217" s="403" t="s">
        <v>1282</v>
      </c>
      <c r="I3217" s="403">
        <v>1</v>
      </c>
      <c r="J3217" s="403" t="s">
        <v>1289</v>
      </c>
      <c r="K3217" s="403">
        <v>720</v>
      </c>
      <c r="L3217" s="403">
        <v>1280</v>
      </c>
      <c r="M3217" s="403" t="s">
        <v>1289</v>
      </c>
      <c r="N3217" s="403">
        <v>720</v>
      </c>
      <c r="O3217" s="403">
        <v>1280</v>
      </c>
      <c r="P3217" t="str">
        <f t="shared" si="401"/>
        <v>60fps 720p full frame rate - 720p full frame rate</v>
      </c>
      <c r="Q3217">
        <f t="shared" si="402"/>
        <v>19</v>
      </c>
      <c r="R3217" t="str">
        <f t="shared" si="403"/>
        <v/>
      </c>
      <c r="S3217" t="str">
        <f t="shared" si="404"/>
        <v/>
      </c>
      <c r="T3217" s="403" t="str">
        <f t="shared" si="405"/>
        <v>NDE-8502-R</v>
      </c>
      <c r="U3217" s="403">
        <f t="shared" si="406"/>
        <v>1</v>
      </c>
      <c r="V3217" s="403" t="str">
        <f t="shared" si="407"/>
        <v>CPP_7_3</v>
      </c>
    </row>
    <row r="3218" spans="1:22">
      <c r="A3218" t="str">
        <f t="shared" si="400"/>
        <v>NDE-8502-R</v>
      </c>
      <c r="B3218" s="403" t="s">
        <v>1410</v>
      </c>
      <c r="C3218" s="403" t="s">
        <v>582</v>
      </c>
      <c r="D3218" s="403" t="s">
        <v>1411</v>
      </c>
      <c r="E3218" s="403" t="s">
        <v>1412</v>
      </c>
      <c r="F3218" s="403" t="s">
        <v>1288</v>
      </c>
      <c r="G3218" s="403" t="s">
        <v>1467</v>
      </c>
      <c r="H3218" s="403" t="s">
        <v>1282</v>
      </c>
      <c r="I3218" s="403">
        <v>1</v>
      </c>
      <c r="J3218" s="403" t="s">
        <v>1289</v>
      </c>
      <c r="K3218" s="403">
        <v>720</v>
      </c>
      <c r="L3218" s="403">
        <v>1280</v>
      </c>
      <c r="M3218" s="403" t="s">
        <v>111</v>
      </c>
      <c r="N3218" s="403">
        <v>432</v>
      </c>
      <c r="O3218" s="403">
        <v>768</v>
      </c>
      <c r="P3218" t="str">
        <f t="shared" si="401"/>
        <v>60fps 720p full frame rate - SD</v>
      </c>
      <c r="Q3218">
        <f t="shared" si="402"/>
        <v>19</v>
      </c>
      <c r="R3218" t="str">
        <f t="shared" si="403"/>
        <v/>
      </c>
      <c r="S3218" t="str">
        <f t="shared" si="404"/>
        <v/>
      </c>
      <c r="T3218" s="403" t="str">
        <f t="shared" si="405"/>
        <v>NDE-8502-R</v>
      </c>
      <c r="U3218" s="403">
        <f t="shared" si="406"/>
        <v>1</v>
      </c>
      <c r="V3218" s="403" t="str">
        <f t="shared" si="407"/>
        <v>CPP_7_3</v>
      </c>
    </row>
    <row r="3219" spans="1:22">
      <c r="A3219" t="str">
        <f t="shared" si="400"/>
        <v>NDE-8502-R</v>
      </c>
      <c r="B3219" s="403" t="s">
        <v>1410</v>
      </c>
      <c r="C3219" s="403" t="s">
        <v>582</v>
      </c>
      <c r="D3219" s="403" t="s">
        <v>1411</v>
      </c>
      <c r="E3219" s="403" t="s">
        <v>1412</v>
      </c>
      <c r="F3219" s="403" t="s">
        <v>1288</v>
      </c>
      <c r="G3219" s="403" t="s">
        <v>1467</v>
      </c>
      <c r="H3219" s="403" t="s">
        <v>1282</v>
      </c>
      <c r="I3219" s="403">
        <v>1</v>
      </c>
      <c r="J3219" s="403" t="s">
        <v>1289</v>
      </c>
      <c r="K3219" s="403">
        <v>720</v>
      </c>
      <c r="L3219" s="403">
        <v>1280</v>
      </c>
      <c r="M3219" s="403" t="s">
        <v>1279</v>
      </c>
      <c r="N3219" s="403">
        <v>432</v>
      </c>
      <c r="O3219" s="403">
        <v>768</v>
      </c>
      <c r="P3219" t="str">
        <f t="shared" si="401"/>
        <v>60fps 720p full frame rate - SD ROI PTZ</v>
      </c>
      <c r="Q3219">
        <f t="shared" si="402"/>
        <v>19</v>
      </c>
      <c r="R3219" t="str">
        <f t="shared" si="403"/>
        <v/>
      </c>
      <c r="S3219" t="str">
        <f t="shared" si="404"/>
        <v/>
      </c>
      <c r="T3219" s="403" t="str">
        <f t="shared" si="405"/>
        <v>NDE-8502-R</v>
      </c>
      <c r="U3219" s="403">
        <f t="shared" si="406"/>
        <v>1</v>
      </c>
      <c r="V3219" s="403" t="str">
        <f t="shared" si="407"/>
        <v>CPP_7_3</v>
      </c>
    </row>
    <row r="3220" spans="1:22">
      <c r="A3220" t="str">
        <f t="shared" si="400"/>
        <v>NDE-8502-R</v>
      </c>
      <c r="B3220" s="403" t="s">
        <v>1410</v>
      </c>
      <c r="C3220" s="403" t="s">
        <v>582</v>
      </c>
      <c r="D3220" s="403" t="s">
        <v>1411</v>
      </c>
      <c r="E3220" s="403" t="s">
        <v>1412</v>
      </c>
      <c r="F3220" s="403" t="s">
        <v>1288</v>
      </c>
      <c r="G3220" s="403" t="s">
        <v>1467</v>
      </c>
      <c r="H3220" s="403" t="s">
        <v>1282</v>
      </c>
      <c r="I3220" s="403">
        <v>1</v>
      </c>
      <c r="J3220" s="403" t="s">
        <v>1289</v>
      </c>
      <c r="K3220" s="403">
        <v>720</v>
      </c>
      <c r="L3220" s="403">
        <v>1280</v>
      </c>
      <c r="M3220" s="403" t="s">
        <v>1283</v>
      </c>
      <c r="N3220" s="403">
        <v>480</v>
      </c>
      <c r="O3220" s="403">
        <v>720</v>
      </c>
      <c r="P3220" t="str">
        <f t="shared" si="401"/>
        <v>60fps 720p full frame rate - SD 4CIF resolution 4:3 format (cropped)</v>
      </c>
      <c r="Q3220">
        <f t="shared" si="402"/>
        <v>19</v>
      </c>
      <c r="R3220" t="str">
        <f t="shared" si="403"/>
        <v/>
      </c>
      <c r="S3220" t="str">
        <f t="shared" si="404"/>
        <v/>
      </c>
      <c r="T3220" s="403" t="str">
        <f t="shared" si="405"/>
        <v>NDE-8502-R</v>
      </c>
      <c r="U3220" s="403">
        <f t="shared" si="406"/>
        <v>1</v>
      </c>
      <c r="V3220" s="403" t="str">
        <f t="shared" si="407"/>
        <v>CPP_7_3</v>
      </c>
    </row>
    <row r="3221" spans="1:22">
      <c r="A3221" t="str">
        <f t="shared" si="400"/>
        <v>NDE-8502-R</v>
      </c>
      <c r="B3221" s="403" t="s">
        <v>1410</v>
      </c>
      <c r="C3221" s="403" t="s">
        <v>582</v>
      </c>
      <c r="D3221" s="403" t="s">
        <v>1411</v>
      </c>
      <c r="E3221" s="403" t="s">
        <v>1412</v>
      </c>
      <c r="F3221" s="403" t="s">
        <v>1288</v>
      </c>
      <c r="G3221" s="403" t="s">
        <v>1467</v>
      </c>
      <c r="H3221" s="403" t="s">
        <v>1282</v>
      </c>
      <c r="I3221" s="403">
        <v>1</v>
      </c>
      <c r="J3221" s="403" t="s">
        <v>1289</v>
      </c>
      <c r="K3221" s="403">
        <v>720</v>
      </c>
      <c r="L3221" s="403">
        <v>1280</v>
      </c>
      <c r="M3221" s="403" t="s">
        <v>1284</v>
      </c>
      <c r="N3221" s="403">
        <v>480</v>
      </c>
      <c r="O3221" s="403">
        <v>640</v>
      </c>
      <c r="P3221" t="str">
        <f t="shared" si="401"/>
        <v>60fps 720p full frame rate - SD VGA (cropped)</v>
      </c>
      <c r="Q3221">
        <f t="shared" si="402"/>
        <v>19</v>
      </c>
      <c r="R3221" t="str">
        <f t="shared" si="403"/>
        <v/>
      </c>
      <c r="S3221" t="str">
        <f t="shared" si="404"/>
        <v/>
      </c>
      <c r="T3221" s="403" t="str">
        <f t="shared" si="405"/>
        <v>NDE-8502-R</v>
      </c>
      <c r="U3221" s="403">
        <f t="shared" si="406"/>
        <v>1</v>
      </c>
      <c r="V3221" s="403" t="str">
        <f t="shared" si="407"/>
        <v>CPP_7_3</v>
      </c>
    </row>
    <row r="3222" spans="1:22">
      <c r="A3222" t="str">
        <f t="shared" si="400"/>
        <v>NDE-8502-R</v>
      </c>
      <c r="B3222" s="403" t="s">
        <v>1410</v>
      </c>
      <c r="C3222" s="403" t="s">
        <v>582</v>
      </c>
      <c r="D3222" s="403" t="s">
        <v>1411</v>
      </c>
      <c r="E3222" s="403" t="s">
        <v>1412</v>
      </c>
      <c r="F3222" s="403" t="s">
        <v>1290</v>
      </c>
      <c r="G3222" s="403" t="s">
        <v>1466</v>
      </c>
      <c r="H3222" s="403" t="s">
        <v>1276</v>
      </c>
      <c r="I3222" s="403">
        <v>1</v>
      </c>
      <c r="J3222" s="403" t="s">
        <v>110</v>
      </c>
      <c r="K3222" s="403">
        <v>1920</v>
      </c>
      <c r="L3222" s="403">
        <v>1080</v>
      </c>
      <c r="M3222" s="403" t="s">
        <v>111</v>
      </c>
      <c r="N3222" s="403">
        <v>768</v>
      </c>
      <c r="O3222" s="403">
        <v>432</v>
      </c>
      <c r="P3222" t="str">
        <f t="shared" si="401"/>
        <v>50fps 1080p - SD</v>
      </c>
      <c r="Q3222">
        <f t="shared" si="402"/>
        <v>19</v>
      </c>
      <c r="R3222" t="str">
        <f t="shared" si="403"/>
        <v/>
      </c>
      <c r="S3222" t="str">
        <f t="shared" si="404"/>
        <v/>
      </c>
      <c r="T3222" s="403" t="str">
        <f t="shared" si="405"/>
        <v>NDE-8502-R</v>
      </c>
      <c r="U3222" s="403">
        <f t="shared" si="406"/>
        <v>1</v>
      </c>
      <c r="V3222" s="403" t="str">
        <f t="shared" si="407"/>
        <v>CPP_7_3</v>
      </c>
    </row>
    <row r="3223" spans="1:22">
      <c r="A3223" t="str">
        <f t="shared" si="400"/>
        <v>NDE-8502-R</v>
      </c>
      <c r="B3223" s="403" t="s">
        <v>1410</v>
      </c>
      <c r="C3223" s="403" t="s">
        <v>582</v>
      </c>
      <c r="D3223" s="403" t="s">
        <v>1411</v>
      </c>
      <c r="E3223" s="403" t="s">
        <v>1412</v>
      </c>
      <c r="F3223" s="403" t="s">
        <v>1290</v>
      </c>
      <c r="G3223" s="403" t="s">
        <v>1466</v>
      </c>
      <c r="H3223" s="403" t="s">
        <v>1276</v>
      </c>
      <c r="I3223" s="403">
        <v>1</v>
      </c>
      <c r="J3223" s="403" t="s">
        <v>110</v>
      </c>
      <c r="K3223" s="403">
        <v>1920</v>
      </c>
      <c r="L3223" s="403">
        <v>1080</v>
      </c>
      <c r="M3223" s="403" t="s">
        <v>110</v>
      </c>
      <c r="N3223" s="403">
        <v>1920</v>
      </c>
      <c r="O3223" s="403">
        <v>1080</v>
      </c>
      <c r="P3223" t="str">
        <f t="shared" si="401"/>
        <v>50fps 1080p - 1080p</v>
      </c>
      <c r="Q3223">
        <f t="shared" si="402"/>
        <v>19</v>
      </c>
      <c r="R3223" t="str">
        <f t="shared" si="403"/>
        <v/>
      </c>
      <c r="S3223" t="str">
        <f t="shared" si="404"/>
        <v/>
      </c>
      <c r="T3223" s="403" t="str">
        <f t="shared" si="405"/>
        <v>NDE-8502-R</v>
      </c>
      <c r="U3223" s="403">
        <f t="shared" si="406"/>
        <v>1</v>
      </c>
      <c r="V3223" s="403" t="str">
        <f t="shared" si="407"/>
        <v>CPP_7_3</v>
      </c>
    </row>
    <row r="3224" spans="1:22">
      <c r="A3224" t="str">
        <f t="shared" si="400"/>
        <v>NDE-8502-R</v>
      </c>
      <c r="B3224" s="403" t="s">
        <v>1410</v>
      </c>
      <c r="C3224" s="403" t="s">
        <v>582</v>
      </c>
      <c r="D3224" s="403" t="s">
        <v>1411</v>
      </c>
      <c r="E3224" s="403" t="s">
        <v>1412</v>
      </c>
      <c r="F3224" s="403" t="s">
        <v>1290</v>
      </c>
      <c r="G3224" s="403" t="s">
        <v>1466</v>
      </c>
      <c r="H3224" s="403" t="s">
        <v>1276</v>
      </c>
      <c r="I3224" s="403">
        <v>1</v>
      </c>
      <c r="J3224" s="403" t="s">
        <v>110</v>
      </c>
      <c r="K3224" s="403">
        <v>1920</v>
      </c>
      <c r="L3224" s="403">
        <v>1080</v>
      </c>
      <c r="M3224" s="403" t="s">
        <v>1289</v>
      </c>
      <c r="N3224" s="403">
        <v>1280</v>
      </c>
      <c r="O3224" s="403">
        <v>720</v>
      </c>
      <c r="P3224" t="str">
        <f t="shared" si="401"/>
        <v>50fps 1080p - 720p full frame rate</v>
      </c>
      <c r="Q3224">
        <f t="shared" si="402"/>
        <v>19</v>
      </c>
      <c r="R3224" t="str">
        <f t="shared" si="403"/>
        <v/>
      </c>
      <c r="S3224" t="str">
        <f t="shared" si="404"/>
        <v/>
      </c>
      <c r="T3224" s="403" t="str">
        <f t="shared" si="405"/>
        <v>NDE-8502-R</v>
      </c>
      <c r="U3224" s="403">
        <f t="shared" si="406"/>
        <v>1</v>
      </c>
      <c r="V3224" s="403" t="str">
        <f t="shared" si="407"/>
        <v>CPP_7_3</v>
      </c>
    </row>
    <row r="3225" spans="1:22">
      <c r="A3225" t="str">
        <f t="shared" si="400"/>
        <v>NDE-8502-R</v>
      </c>
      <c r="B3225" s="403" t="s">
        <v>1410</v>
      </c>
      <c r="C3225" s="403" t="s">
        <v>582</v>
      </c>
      <c r="D3225" s="403" t="s">
        <v>1411</v>
      </c>
      <c r="E3225" s="403" t="s">
        <v>1412</v>
      </c>
      <c r="F3225" s="403" t="s">
        <v>1290</v>
      </c>
      <c r="G3225" s="403" t="s">
        <v>1466</v>
      </c>
      <c r="H3225" s="403" t="s">
        <v>1276</v>
      </c>
      <c r="I3225" s="403">
        <v>1</v>
      </c>
      <c r="J3225" s="403" t="s">
        <v>110</v>
      </c>
      <c r="K3225" s="403">
        <v>1920</v>
      </c>
      <c r="L3225" s="403">
        <v>1080</v>
      </c>
      <c r="M3225" s="403" t="s">
        <v>1285</v>
      </c>
      <c r="N3225" s="403">
        <v>1280</v>
      </c>
      <c r="O3225" s="403">
        <v>1024</v>
      </c>
      <c r="P3225" t="str">
        <f t="shared" si="401"/>
        <v>50fps 1080p - 1280x1024 5:4 (cropped)</v>
      </c>
      <c r="Q3225">
        <f t="shared" si="402"/>
        <v>19</v>
      </c>
      <c r="R3225" t="str">
        <f t="shared" si="403"/>
        <v/>
      </c>
      <c r="S3225" t="str">
        <f t="shared" si="404"/>
        <v/>
      </c>
      <c r="T3225" s="403" t="str">
        <f t="shared" si="405"/>
        <v>NDE-8502-R</v>
      </c>
      <c r="U3225" s="403">
        <f t="shared" si="406"/>
        <v>1</v>
      </c>
      <c r="V3225" s="403" t="str">
        <f t="shared" si="407"/>
        <v>CPP_7_3</v>
      </c>
    </row>
    <row r="3226" spans="1:22">
      <c r="A3226" t="str">
        <f t="shared" si="400"/>
        <v>NDE-8502-R</v>
      </c>
      <c r="B3226" s="403" t="s">
        <v>1410</v>
      </c>
      <c r="C3226" s="403" t="s">
        <v>582</v>
      </c>
      <c r="D3226" s="403" t="s">
        <v>1411</v>
      </c>
      <c r="E3226" s="403" t="s">
        <v>1412</v>
      </c>
      <c r="F3226" s="403" t="s">
        <v>1290</v>
      </c>
      <c r="G3226" s="403" t="s">
        <v>1466</v>
      </c>
      <c r="H3226" s="403" t="s">
        <v>1276</v>
      </c>
      <c r="I3226" s="403">
        <v>1</v>
      </c>
      <c r="J3226" s="403" t="s">
        <v>110</v>
      </c>
      <c r="K3226" s="403">
        <v>1920</v>
      </c>
      <c r="L3226" s="403">
        <v>1080</v>
      </c>
      <c r="M3226" s="403" t="s">
        <v>1279</v>
      </c>
      <c r="N3226" s="403">
        <v>768</v>
      </c>
      <c r="O3226" s="403">
        <v>432</v>
      </c>
      <c r="P3226" t="str">
        <f t="shared" si="401"/>
        <v>50fps 1080p - SD ROI PTZ</v>
      </c>
      <c r="Q3226">
        <f t="shared" si="402"/>
        <v>19</v>
      </c>
      <c r="R3226" t="str">
        <f t="shared" si="403"/>
        <v/>
      </c>
      <c r="S3226" t="str">
        <f t="shared" si="404"/>
        <v/>
      </c>
      <c r="T3226" s="403" t="str">
        <f t="shared" si="405"/>
        <v>NDE-8502-R</v>
      </c>
      <c r="U3226" s="403">
        <f t="shared" si="406"/>
        <v>1</v>
      </c>
      <c r="V3226" s="403" t="str">
        <f t="shared" si="407"/>
        <v>CPP_7_3</v>
      </c>
    </row>
    <row r="3227" spans="1:22">
      <c r="A3227" t="str">
        <f t="shared" si="400"/>
        <v>NDE-8502-R</v>
      </c>
      <c r="B3227" s="403" t="s">
        <v>1410</v>
      </c>
      <c r="C3227" s="403" t="s">
        <v>582</v>
      </c>
      <c r="D3227" s="403" t="s">
        <v>1411</v>
      </c>
      <c r="E3227" s="403" t="s">
        <v>1412</v>
      </c>
      <c r="F3227" s="403" t="s">
        <v>1290</v>
      </c>
      <c r="G3227" s="403" t="s">
        <v>1466</v>
      </c>
      <c r="H3227" s="403" t="s">
        <v>1276</v>
      </c>
      <c r="I3227" s="403">
        <v>1</v>
      </c>
      <c r="J3227" s="403" t="s">
        <v>110</v>
      </c>
      <c r="K3227" s="403">
        <v>1920</v>
      </c>
      <c r="L3227" s="403">
        <v>1080</v>
      </c>
      <c r="M3227" s="403" t="s">
        <v>1283</v>
      </c>
      <c r="N3227" s="403">
        <v>720</v>
      </c>
      <c r="O3227" s="403">
        <v>576</v>
      </c>
      <c r="P3227" t="str">
        <f t="shared" si="401"/>
        <v>50fps 1080p - SD 4CIF resolution 4:3 format (cropped)</v>
      </c>
      <c r="Q3227">
        <f t="shared" si="402"/>
        <v>19</v>
      </c>
      <c r="R3227" t="str">
        <f t="shared" si="403"/>
        <v/>
      </c>
      <c r="S3227" t="str">
        <f t="shared" si="404"/>
        <v/>
      </c>
      <c r="T3227" s="403" t="str">
        <f t="shared" si="405"/>
        <v>NDE-8502-R</v>
      </c>
      <c r="U3227" s="403">
        <f t="shared" si="406"/>
        <v>1</v>
      </c>
      <c r="V3227" s="403" t="str">
        <f t="shared" si="407"/>
        <v>CPP_7_3</v>
      </c>
    </row>
    <row r="3228" spans="1:22">
      <c r="A3228" t="str">
        <f t="shared" si="400"/>
        <v>NDE-8502-R</v>
      </c>
      <c r="B3228" s="403" t="s">
        <v>1410</v>
      </c>
      <c r="C3228" s="403" t="s">
        <v>582</v>
      </c>
      <c r="D3228" s="403" t="s">
        <v>1411</v>
      </c>
      <c r="E3228" s="403" t="s">
        <v>1412</v>
      </c>
      <c r="F3228" s="403" t="s">
        <v>1290</v>
      </c>
      <c r="G3228" s="403" t="s">
        <v>1466</v>
      </c>
      <c r="H3228" s="403" t="s">
        <v>1276</v>
      </c>
      <c r="I3228" s="403">
        <v>1</v>
      </c>
      <c r="J3228" s="403" t="s">
        <v>110</v>
      </c>
      <c r="K3228" s="403">
        <v>1920</v>
      </c>
      <c r="L3228" s="403">
        <v>1080</v>
      </c>
      <c r="M3228" s="403" t="s">
        <v>1284</v>
      </c>
      <c r="N3228" s="403">
        <v>640</v>
      </c>
      <c r="O3228" s="403">
        <v>480</v>
      </c>
      <c r="P3228" t="str">
        <f t="shared" si="401"/>
        <v>50fps 1080p - SD VGA (cropped)</v>
      </c>
      <c r="Q3228">
        <f t="shared" si="402"/>
        <v>19</v>
      </c>
      <c r="R3228" t="str">
        <f t="shared" si="403"/>
        <v/>
      </c>
      <c r="S3228" t="str">
        <f t="shared" si="404"/>
        <v/>
      </c>
      <c r="T3228" s="403" t="str">
        <f t="shared" si="405"/>
        <v>NDE-8502-R</v>
      </c>
      <c r="U3228" s="403">
        <f t="shared" si="406"/>
        <v>1</v>
      </c>
      <c r="V3228" s="403" t="str">
        <f t="shared" si="407"/>
        <v>CPP_7_3</v>
      </c>
    </row>
    <row r="3229" spans="1:22">
      <c r="A3229" t="str">
        <f t="shared" si="400"/>
        <v>NDE-8502-R</v>
      </c>
      <c r="B3229" s="403" t="s">
        <v>1410</v>
      </c>
      <c r="C3229" s="403" t="s">
        <v>582</v>
      </c>
      <c r="D3229" s="403" t="s">
        <v>1411</v>
      </c>
      <c r="E3229" s="403" t="s">
        <v>1412</v>
      </c>
      <c r="F3229" s="403" t="s">
        <v>1290</v>
      </c>
      <c r="G3229" s="403" t="s">
        <v>1466</v>
      </c>
      <c r="H3229" s="403" t="s">
        <v>1276</v>
      </c>
      <c r="I3229" s="403">
        <v>1</v>
      </c>
      <c r="J3229" s="403" t="s">
        <v>1289</v>
      </c>
      <c r="K3229" s="403">
        <v>1280</v>
      </c>
      <c r="L3229" s="403">
        <v>720</v>
      </c>
      <c r="M3229" s="403" t="s">
        <v>1289</v>
      </c>
      <c r="N3229" s="403">
        <v>1280</v>
      </c>
      <c r="O3229" s="403">
        <v>720</v>
      </c>
      <c r="P3229" t="str">
        <f t="shared" si="401"/>
        <v>50fps 720p full frame rate - 720p full frame rate</v>
      </c>
      <c r="Q3229">
        <f t="shared" si="402"/>
        <v>19</v>
      </c>
      <c r="R3229" t="str">
        <f t="shared" si="403"/>
        <v/>
      </c>
      <c r="S3229" t="str">
        <f t="shared" si="404"/>
        <v/>
      </c>
      <c r="T3229" s="403" t="str">
        <f t="shared" si="405"/>
        <v>NDE-8502-R</v>
      </c>
      <c r="U3229" s="403">
        <f t="shared" si="406"/>
        <v>1</v>
      </c>
      <c r="V3229" s="403" t="str">
        <f t="shared" si="407"/>
        <v>CPP_7_3</v>
      </c>
    </row>
    <row r="3230" spans="1:22">
      <c r="A3230" t="str">
        <f t="shared" si="400"/>
        <v>NDE-8502-R</v>
      </c>
      <c r="B3230" s="403" t="s">
        <v>1410</v>
      </c>
      <c r="C3230" s="403" t="s">
        <v>582</v>
      </c>
      <c r="D3230" s="403" t="s">
        <v>1411</v>
      </c>
      <c r="E3230" s="403" t="s">
        <v>1412</v>
      </c>
      <c r="F3230" s="403" t="s">
        <v>1290</v>
      </c>
      <c r="G3230" s="403" t="s">
        <v>1466</v>
      </c>
      <c r="H3230" s="403" t="s">
        <v>1276</v>
      </c>
      <c r="I3230" s="403">
        <v>1</v>
      </c>
      <c r="J3230" s="403" t="s">
        <v>1289</v>
      </c>
      <c r="K3230" s="403">
        <v>1280</v>
      </c>
      <c r="L3230" s="403">
        <v>720</v>
      </c>
      <c r="M3230" s="403" t="s">
        <v>111</v>
      </c>
      <c r="N3230" s="403">
        <v>768</v>
      </c>
      <c r="O3230" s="403">
        <v>432</v>
      </c>
      <c r="P3230" t="str">
        <f t="shared" si="401"/>
        <v>50fps 720p full frame rate - SD</v>
      </c>
      <c r="Q3230">
        <f t="shared" si="402"/>
        <v>19</v>
      </c>
      <c r="R3230" t="str">
        <f t="shared" si="403"/>
        <v/>
      </c>
      <c r="S3230" t="str">
        <f t="shared" si="404"/>
        <v/>
      </c>
      <c r="T3230" s="403" t="str">
        <f t="shared" si="405"/>
        <v>NDE-8502-R</v>
      </c>
      <c r="U3230" s="403">
        <f t="shared" si="406"/>
        <v>1</v>
      </c>
      <c r="V3230" s="403" t="str">
        <f t="shared" si="407"/>
        <v>CPP_7_3</v>
      </c>
    </row>
    <row r="3231" spans="1:22">
      <c r="A3231" t="str">
        <f t="shared" si="400"/>
        <v>NDE-8502-R</v>
      </c>
      <c r="B3231" s="403" t="s">
        <v>1410</v>
      </c>
      <c r="C3231" s="403" t="s">
        <v>582</v>
      </c>
      <c r="D3231" s="403" t="s">
        <v>1411</v>
      </c>
      <c r="E3231" s="403" t="s">
        <v>1412</v>
      </c>
      <c r="F3231" s="403" t="s">
        <v>1290</v>
      </c>
      <c r="G3231" s="403" t="s">
        <v>1466</v>
      </c>
      <c r="H3231" s="403" t="s">
        <v>1276</v>
      </c>
      <c r="I3231" s="403">
        <v>1</v>
      </c>
      <c r="J3231" s="403" t="s">
        <v>1289</v>
      </c>
      <c r="K3231" s="403">
        <v>1280</v>
      </c>
      <c r="L3231" s="403">
        <v>720</v>
      </c>
      <c r="M3231" s="403" t="s">
        <v>1279</v>
      </c>
      <c r="N3231" s="403">
        <v>768</v>
      </c>
      <c r="O3231" s="403">
        <v>432</v>
      </c>
      <c r="P3231" t="str">
        <f t="shared" si="401"/>
        <v>50fps 720p full frame rate - SD ROI PTZ</v>
      </c>
      <c r="Q3231">
        <f t="shared" si="402"/>
        <v>19</v>
      </c>
      <c r="R3231" t="str">
        <f t="shared" si="403"/>
        <v/>
      </c>
      <c r="S3231" t="str">
        <f t="shared" si="404"/>
        <v/>
      </c>
      <c r="T3231" s="403" t="str">
        <f t="shared" si="405"/>
        <v>NDE-8502-R</v>
      </c>
      <c r="U3231" s="403">
        <f t="shared" si="406"/>
        <v>1</v>
      </c>
      <c r="V3231" s="403" t="str">
        <f t="shared" si="407"/>
        <v>CPP_7_3</v>
      </c>
    </row>
    <row r="3232" spans="1:22">
      <c r="A3232" t="str">
        <f t="shared" si="400"/>
        <v>NDE-8502-R</v>
      </c>
      <c r="B3232" s="403" t="s">
        <v>1410</v>
      </c>
      <c r="C3232" s="403" t="s">
        <v>582</v>
      </c>
      <c r="D3232" s="403" t="s">
        <v>1411</v>
      </c>
      <c r="E3232" s="403" t="s">
        <v>1412</v>
      </c>
      <c r="F3232" s="403" t="s">
        <v>1290</v>
      </c>
      <c r="G3232" s="403" t="s">
        <v>1466</v>
      </c>
      <c r="H3232" s="403" t="s">
        <v>1276</v>
      </c>
      <c r="I3232" s="403">
        <v>1</v>
      </c>
      <c r="J3232" s="403" t="s">
        <v>1289</v>
      </c>
      <c r="K3232" s="403">
        <v>1280</v>
      </c>
      <c r="L3232" s="403">
        <v>720</v>
      </c>
      <c r="M3232" s="403" t="s">
        <v>1283</v>
      </c>
      <c r="N3232" s="403">
        <v>720</v>
      </c>
      <c r="O3232" s="403">
        <v>576</v>
      </c>
      <c r="P3232" t="str">
        <f t="shared" si="401"/>
        <v>50fps 720p full frame rate - SD 4CIF resolution 4:3 format (cropped)</v>
      </c>
      <c r="Q3232">
        <f t="shared" si="402"/>
        <v>19</v>
      </c>
      <c r="R3232" t="str">
        <f t="shared" si="403"/>
        <v/>
      </c>
      <c r="S3232" t="str">
        <f t="shared" si="404"/>
        <v/>
      </c>
      <c r="T3232" s="403" t="str">
        <f t="shared" si="405"/>
        <v>NDE-8502-R</v>
      </c>
      <c r="U3232" s="403">
        <f t="shared" si="406"/>
        <v>1</v>
      </c>
      <c r="V3232" s="403" t="str">
        <f t="shared" si="407"/>
        <v>CPP_7_3</v>
      </c>
    </row>
    <row r="3233" spans="1:22">
      <c r="A3233" t="str">
        <f t="shared" si="400"/>
        <v>NDE-8502-R</v>
      </c>
      <c r="B3233" s="403" t="s">
        <v>1410</v>
      </c>
      <c r="C3233" s="403" t="s">
        <v>582</v>
      </c>
      <c r="D3233" s="403" t="s">
        <v>1411</v>
      </c>
      <c r="E3233" s="403" t="s">
        <v>1412</v>
      </c>
      <c r="F3233" s="403" t="s">
        <v>1290</v>
      </c>
      <c r="G3233" s="403" t="s">
        <v>1466</v>
      </c>
      <c r="H3233" s="403" t="s">
        <v>1276</v>
      </c>
      <c r="I3233" s="403">
        <v>1</v>
      </c>
      <c r="J3233" s="403" t="s">
        <v>1289</v>
      </c>
      <c r="K3233" s="403">
        <v>1280</v>
      </c>
      <c r="L3233" s="403">
        <v>720</v>
      </c>
      <c r="M3233" s="403" t="s">
        <v>1284</v>
      </c>
      <c r="N3233" s="403">
        <v>640</v>
      </c>
      <c r="O3233" s="403">
        <v>480</v>
      </c>
      <c r="P3233" t="str">
        <f t="shared" si="401"/>
        <v>50fps 720p full frame rate - SD VGA (cropped)</v>
      </c>
      <c r="Q3233">
        <f t="shared" si="402"/>
        <v>19</v>
      </c>
      <c r="R3233" t="str">
        <f t="shared" si="403"/>
        <v/>
      </c>
      <c r="S3233" t="str">
        <f t="shared" si="404"/>
        <v/>
      </c>
      <c r="T3233" s="403" t="str">
        <f t="shared" si="405"/>
        <v>NDE-8502-R</v>
      </c>
      <c r="U3233" s="403">
        <f t="shared" si="406"/>
        <v>1</v>
      </c>
      <c r="V3233" s="403" t="str">
        <f t="shared" si="407"/>
        <v>CPP_7_3</v>
      </c>
    </row>
    <row r="3234" spans="1:22">
      <c r="A3234" t="str">
        <f t="shared" si="400"/>
        <v>NDE-8502-R</v>
      </c>
      <c r="B3234" s="403" t="s">
        <v>1410</v>
      </c>
      <c r="C3234" s="403" t="s">
        <v>582</v>
      </c>
      <c r="D3234" s="403" t="s">
        <v>1411</v>
      </c>
      <c r="E3234" s="403" t="s">
        <v>1412</v>
      </c>
      <c r="F3234" s="403" t="s">
        <v>1290</v>
      </c>
      <c r="G3234" s="403" t="s">
        <v>1466</v>
      </c>
      <c r="H3234" s="403" t="s">
        <v>1281</v>
      </c>
      <c r="I3234" s="403">
        <v>1</v>
      </c>
      <c r="J3234" s="403" t="s">
        <v>110</v>
      </c>
      <c r="K3234" s="403">
        <v>1920</v>
      </c>
      <c r="L3234" s="403">
        <v>1080</v>
      </c>
      <c r="M3234" s="403" t="s">
        <v>111</v>
      </c>
      <c r="N3234" s="403">
        <v>768</v>
      </c>
      <c r="O3234" s="403">
        <v>432</v>
      </c>
      <c r="P3234" t="str">
        <f t="shared" si="401"/>
        <v>50fps 1080p - SD</v>
      </c>
      <c r="Q3234">
        <f t="shared" si="402"/>
        <v>19</v>
      </c>
      <c r="R3234" t="str">
        <f t="shared" si="403"/>
        <v/>
      </c>
      <c r="S3234" t="str">
        <f t="shared" si="404"/>
        <v/>
      </c>
      <c r="T3234" s="403" t="str">
        <f t="shared" si="405"/>
        <v>NDE-8502-R</v>
      </c>
      <c r="U3234" s="403">
        <f t="shared" si="406"/>
        <v>1</v>
      </c>
      <c r="V3234" s="403" t="str">
        <f t="shared" si="407"/>
        <v>CPP_7_3</v>
      </c>
    </row>
    <row r="3235" spans="1:22">
      <c r="A3235" t="str">
        <f t="shared" si="400"/>
        <v>NDE-8502-R</v>
      </c>
      <c r="B3235" s="403" t="s">
        <v>1410</v>
      </c>
      <c r="C3235" s="403" t="s">
        <v>582</v>
      </c>
      <c r="D3235" s="403" t="s">
        <v>1411</v>
      </c>
      <c r="E3235" s="403" t="s">
        <v>1412</v>
      </c>
      <c r="F3235" s="403" t="s">
        <v>1290</v>
      </c>
      <c r="G3235" s="403" t="s">
        <v>1466</v>
      </c>
      <c r="H3235" s="403" t="s">
        <v>1281</v>
      </c>
      <c r="I3235" s="403">
        <v>1</v>
      </c>
      <c r="J3235" s="403" t="s">
        <v>110</v>
      </c>
      <c r="K3235" s="403">
        <v>1920</v>
      </c>
      <c r="L3235" s="403">
        <v>1080</v>
      </c>
      <c r="M3235" s="403" t="s">
        <v>1289</v>
      </c>
      <c r="N3235" s="403">
        <v>1280</v>
      </c>
      <c r="O3235" s="403">
        <v>720</v>
      </c>
      <c r="P3235" t="str">
        <f t="shared" si="401"/>
        <v>50fps 1080p - 720p full frame rate</v>
      </c>
      <c r="Q3235">
        <f t="shared" si="402"/>
        <v>19</v>
      </c>
      <c r="R3235" t="str">
        <f t="shared" si="403"/>
        <v/>
      </c>
      <c r="S3235" t="str">
        <f t="shared" si="404"/>
        <v/>
      </c>
      <c r="T3235" s="403" t="str">
        <f t="shared" si="405"/>
        <v>NDE-8502-R</v>
      </c>
      <c r="U3235" s="403">
        <f t="shared" si="406"/>
        <v>1</v>
      </c>
      <c r="V3235" s="403" t="str">
        <f t="shared" si="407"/>
        <v>CPP_7_3</v>
      </c>
    </row>
    <row r="3236" spans="1:22">
      <c r="A3236" t="str">
        <f t="shared" si="400"/>
        <v>NDE-8502-R</v>
      </c>
      <c r="B3236" s="403" t="s">
        <v>1410</v>
      </c>
      <c r="C3236" s="403" t="s">
        <v>582</v>
      </c>
      <c r="D3236" s="403" t="s">
        <v>1411</v>
      </c>
      <c r="E3236" s="403" t="s">
        <v>1412</v>
      </c>
      <c r="F3236" s="403" t="s">
        <v>1290</v>
      </c>
      <c r="G3236" s="403" t="s">
        <v>1466</v>
      </c>
      <c r="H3236" s="403" t="s">
        <v>1281</v>
      </c>
      <c r="I3236" s="403">
        <v>1</v>
      </c>
      <c r="J3236" s="403" t="s">
        <v>110</v>
      </c>
      <c r="K3236" s="403">
        <v>1920</v>
      </c>
      <c r="L3236" s="403">
        <v>1080</v>
      </c>
      <c r="M3236" s="403" t="s">
        <v>1279</v>
      </c>
      <c r="N3236" s="403">
        <v>768</v>
      </c>
      <c r="O3236" s="403">
        <v>432</v>
      </c>
      <c r="P3236" t="str">
        <f t="shared" si="401"/>
        <v>50fps 1080p - SD ROI PTZ</v>
      </c>
      <c r="Q3236">
        <f t="shared" si="402"/>
        <v>19</v>
      </c>
      <c r="R3236" t="str">
        <f t="shared" si="403"/>
        <v/>
      </c>
      <c r="S3236" t="str">
        <f t="shared" si="404"/>
        <v/>
      </c>
      <c r="T3236" s="403" t="str">
        <f t="shared" si="405"/>
        <v>NDE-8502-R</v>
      </c>
      <c r="U3236" s="403">
        <f t="shared" si="406"/>
        <v>1</v>
      </c>
      <c r="V3236" s="403" t="str">
        <f t="shared" si="407"/>
        <v>CPP_7_3</v>
      </c>
    </row>
    <row r="3237" spans="1:22">
      <c r="A3237" t="str">
        <f t="shared" si="400"/>
        <v>NDE-8502-R</v>
      </c>
      <c r="B3237" s="403" t="s">
        <v>1410</v>
      </c>
      <c r="C3237" s="403" t="s">
        <v>582</v>
      </c>
      <c r="D3237" s="403" t="s">
        <v>1411</v>
      </c>
      <c r="E3237" s="403" t="s">
        <v>1412</v>
      </c>
      <c r="F3237" s="403" t="s">
        <v>1290</v>
      </c>
      <c r="G3237" s="403" t="s">
        <v>1466</v>
      </c>
      <c r="H3237" s="403" t="s">
        <v>1281</v>
      </c>
      <c r="I3237" s="403">
        <v>1</v>
      </c>
      <c r="J3237" s="403" t="s">
        <v>110</v>
      </c>
      <c r="K3237" s="403">
        <v>1920</v>
      </c>
      <c r="L3237" s="403">
        <v>1080</v>
      </c>
      <c r="M3237" s="403" t="s">
        <v>1283</v>
      </c>
      <c r="N3237" s="403">
        <v>720</v>
      </c>
      <c r="O3237" s="403">
        <v>576</v>
      </c>
      <c r="P3237" t="str">
        <f t="shared" si="401"/>
        <v>50fps 1080p - SD 4CIF resolution 4:3 format (cropped)</v>
      </c>
      <c r="Q3237">
        <f t="shared" si="402"/>
        <v>19</v>
      </c>
      <c r="R3237" t="str">
        <f t="shared" si="403"/>
        <v/>
      </c>
      <c r="S3237" t="str">
        <f t="shared" si="404"/>
        <v/>
      </c>
      <c r="T3237" s="403" t="str">
        <f t="shared" si="405"/>
        <v>NDE-8502-R</v>
      </c>
      <c r="U3237" s="403">
        <f t="shared" si="406"/>
        <v>1</v>
      </c>
      <c r="V3237" s="403" t="str">
        <f t="shared" si="407"/>
        <v>CPP_7_3</v>
      </c>
    </row>
    <row r="3238" spans="1:22">
      <c r="A3238" t="str">
        <f t="shared" si="400"/>
        <v>NDE-8502-R</v>
      </c>
      <c r="B3238" s="403" t="s">
        <v>1410</v>
      </c>
      <c r="C3238" s="403" t="s">
        <v>582</v>
      </c>
      <c r="D3238" s="403" t="s">
        <v>1411</v>
      </c>
      <c r="E3238" s="403" t="s">
        <v>1412</v>
      </c>
      <c r="F3238" s="403" t="s">
        <v>1290</v>
      </c>
      <c r="G3238" s="403" t="s">
        <v>1466</v>
      </c>
      <c r="H3238" s="403" t="s">
        <v>1281</v>
      </c>
      <c r="I3238" s="403">
        <v>1</v>
      </c>
      <c r="J3238" s="403" t="s">
        <v>110</v>
      </c>
      <c r="K3238" s="403">
        <v>1920</v>
      </c>
      <c r="L3238" s="403">
        <v>1080</v>
      </c>
      <c r="M3238" s="403" t="s">
        <v>1284</v>
      </c>
      <c r="N3238" s="403">
        <v>640</v>
      </c>
      <c r="O3238" s="403">
        <v>480</v>
      </c>
      <c r="P3238" t="str">
        <f t="shared" si="401"/>
        <v>50fps 1080p - SD VGA (cropped)</v>
      </c>
      <c r="Q3238">
        <f t="shared" si="402"/>
        <v>19</v>
      </c>
      <c r="R3238" t="str">
        <f t="shared" si="403"/>
        <v/>
      </c>
      <c r="S3238" t="str">
        <f t="shared" si="404"/>
        <v/>
      </c>
      <c r="T3238" s="403" t="str">
        <f t="shared" si="405"/>
        <v>NDE-8502-R</v>
      </c>
      <c r="U3238" s="403">
        <f t="shared" si="406"/>
        <v>1</v>
      </c>
      <c r="V3238" s="403" t="str">
        <f t="shared" si="407"/>
        <v>CPP_7_3</v>
      </c>
    </row>
    <row r="3239" spans="1:22">
      <c r="A3239" t="str">
        <f t="shared" si="400"/>
        <v>NDE-8502-R</v>
      </c>
      <c r="B3239" s="403" t="s">
        <v>1410</v>
      </c>
      <c r="C3239" s="403" t="s">
        <v>582</v>
      </c>
      <c r="D3239" s="403" t="s">
        <v>1411</v>
      </c>
      <c r="E3239" s="403" t="s">
        <v>1412</v>
      </c>
      <c r="F3239" s="403" t="s">
        <v>1290</v>
      </c>
      <c r="G3239" s="403" t="s">
        <v>1466</v>
      </c>
      <c r="H3239" s="403" t="s">
        <v>1281</v>
      </c>
      <c r="I3239" s="403">
        <v>1</v>
      </c>
      <c r="J3239" s="403" t="s">
        <v>1289</v>
      </c>
      <c r="K3239" s="403">
        <v>1280</v>
      </c>
      <c r="L3239" s="403">
        <v>720</v>
      </c>
      <c r="M3239" s="403" t="s">
        <v>1289</v>
      </c>
      <c r="N3239" s="403">
        <v>1280</v>
      </c>
      <c r="O3239" s="403">
        <v>720</v>
      </c>
      <c r="P3239" t="str">
        <f t="shared" si="401"/>
        <v>50fps 720p full frame rate - 720p full frame rate</v>
      </c>
      <c r="Q3239">
        <f t="shared" si="402"/>
        <v>19</v>
      </c>
      <c r="R3239" t="str">
        <f t="shared" si="403"/>
        <v/>
      </c>
      <c r="S3239" t="str">
        <f t="shared" si="404"/>
        <v/>
      </c>
      <c r="T3239" s="403" t="str">
        <f t="shared" si="405"/>
        <v>NDE-8502-R</v>
      </c>
      <c r="U3239" s="403">
        <f t="shared" si="406"/>
        <v>1</v>
      </c>
      <c r="V3239" s="403" t="str">
        <f t="shared" si="407"/>
        <v>CPP_7_3</v>
      </c>
    </row>
    <row r="3240" spans="1:22">
      <c r="A3240" t="str">
        <f t="shared" si="400"/>
        <v>NDE-8502-R</v>
      </c>
      <c r="B3240" s="403" t="s">
        <v>1410</v>
      </c>
      <c r="C3240" s="403" t="s">
        <v>582</v>
      </c>
      <c r="D3240" s="403" t="s">
        <v>1411</v>
      </c>
      <c r="E3240" s="403" t="s">
        <v>1412</v>
      </c>
      <c r="F3240" s="403" t="s">
        <v>1290</v>
      </c>
      <c r="G3240" s="403" t="s">
        <v>1466</v>
      </c>
      <c r="H3240" s="403" t="s">
        <v>1281</v>
      </c>
      <c r="I3240" s="403">
        <v>1</v>
      </c>
      <c r="J3240" s="403" t="s">
        <v>1289</v>
      </c>
      <c r="K3240" s="403">
        <v>1280</v>
      </c>
      <c r="L3240" s="403">
        <v>720</v>
      </c>
      <c r="M3240" s="403" t="s">
        <v>111</v>
      </c>
      <c r="N3240" s="403">
        <v>768</v>
      </c>
      <c r="O3240" s="403">
        <v>432</v>
      </c>
      <c r="P3240" t="str">
        <f t="shared" si="401"/>
        <v>50fps 720p full frame rate - SD</v>
      </c>
      <c r="Q3240">
        <f t="shared" si="402"/>
        <v>19</v>
      </c>
      <c r="R3240" t="str">
        <f t="shared" si="403"/>
        <v/>
      </c>
      <c r="S3240" t="str">
        <f t="shared" si="404"/>
        <v/>
      </c>
      <c r="T3240" s="403" t="str">
        <f t="shared" si="405"/>
        <v>NDE-8502-R</v>
      </c>
      <c r="U3240" s="403">
        <f t="shared" si="406"/>
        <v>1</v>
      </c>
      <c r="V3240" s="403" t="str">
        <f t="shared" si="407"/>
        <v>CPP_7_3</v>
      </c>
    </row>
    <row r="3241" spans="1:22">
      <c r="A3241" t="str">
        <f t="shared" si="400"/>
        <v>NDE-8502-R</v>
      </c>
      <c r="B3241" s="403" t="s">
        <v>1410</v>
      </c>
      <c r="C3241" s="403" t="s">
        <v>582</v>
      </c>
      <c r="D3241" s="403" t="s">
        <v>1411</v>
      </c>
      <c r="E3241" s="403" t="s">
        <v>1412</v>
      </c>
      <c r="F3241" s="403" t="s">
        <v>1290</v>
      </c>
      <c r="G3241" s="403" t="s">
        <v>1466</v>
      </c>
      <c r="H3241" s="403" t="s">
        <v>1281</v>
      </c>
      <c r="I3241" s="403">
        <v>1</v>
      </c>
      <c r="J3241" s="403" t="s">
        <v>1289</v>
      </c>
      <c r="K3241" s="403">
        <v>1280</v>
      </c>
      <c r="L3241" s="403">
        <v>720</v>
      </c>
      <c r="M3241" s="403" t="s">
        <v>1279</v>
      </c>
      <c r="N3241" s="403">
        <v>768</v>
      </c>
      <c r="O3241" s="403">
        <v>432</v>
      </c>
      <c r="P3241" t="str">
        <f t="shared" si="401"/>
        <v>50fps 720p full frame rate - SD ROI PTZ</v>
      </c>
      <c r="Q3241">
        <f t="shared" si="402"/>
        <v>19</v>
      </c>
      <c r="R3241" t="str">
        <f t="shared" si="403"/>
        <v/>
      </c>
      <c r="S3241" t="str">
        <f t="shared" si="404"/>
        <v/>
      </c>
      <c r="T3241" s="403" t="str">
        <f t="shared" si="405"/>
        <v>NDE-8502-R</v>
      </c>
      <c r="U3241" s="403">
        <f t="shared" si="406"/>
        <v>1</v>
      </c>
      <c r="V3241" s="403" t="str">
        <f t="shared" si="407"/>
        <v>CPP_7_3</v>
      </c>
    </row>
    <row r="3242" spans="1:22">
      <c r="A3242" t="str">
        <f t="shared" si="400"/>
        <v>NDE-8502-R</v>
      </c>
      <c r="B3242" s="403" t="s">
        <v>1410</v>
      </c>
      <c r="C3242" s="403" t="s">
        <v>582</v>
      </c>
      <c r="D3242" s="403" t="s">
        <v>1411</v>
      </c>
      <c r="E3242" s="403" t="s">
        <v>1412</v>
      </c>
      <c r="F3242" s="403" t="s">
        <v>1290</v>
      </c>
      <c r="G3242" s="403" t="s">
        <v>1466</v>
      </c>
      <c r="H3242" s="403" t="s">
        <v>1281</v>
      </c>
      <c r="I3242" s="403">
        <v>1</v>
      </c>
      <c r="J3242" s="403" t="s">
        <v>1289</v>
      </c>
      <c r="K3242" s="403">
        <v>1280</v>
      </c>
      <c r="L3242" s="403">
        <v>720</v>
      </c>
      <c r="M3242" s="403" t="s">
        <v>1283</v>
      </c>
      <c r="N3242" s="403">
        <v>720</v>
      </c>
      <c r="O3242" s="403">
        <v>576</v>
      </c>
      <c r="P3242" t="str">
        <f t="shared" si="401"/>
        <v>50fps 720p full frame rate - SD 4CIF resolution 4:3 format (cropped)</v>
      </c>
      <c r="Q3242">
        <f t="shared" si="402"/>
        <v>19</v>
      </c>
      <c r="R3242" t="str">
        <f t="shared" si="403"/>
        <v/>
      </c>
      <c r="S3242" t="str">
        <f t="shared" si="404"/>
        <v/>
      </c>
      <c r="T3242" s="403" t="str">
        <f t="shared" si="405"/>
        <v>NDE-8502-R</v>
      </c>
      <c r="U3242" s="403">
        <f t="shared" si="406"/>
        <v>1</v>
      </c>
      <c r="V3242" s="403" t="str">
        <f t="shared" si="407"/>
        <v>CPP_7_3</v>
      </c>
    </row>
    <row r="3243" spans="1:22">
      <c r="A3243" t="str">
        <f t="shared" si="400"/>
        <v>NDE-8502-R</v>
      </c>
      <c r="B3243" s="403" t="s">
        <v>1410</v>
      </c>
      <c r="C3243" s="403" t="s">
        <v>582</v>
      </c>
      <c r="D3243" s="403" t="s">
        <v>1411</v>
      </c>
      <c r="E3243" s="403" t="s">
        <v>1412</v>
      </c>
      <c r="F3243" s="403" t="s">
        <v>1290</v>
      </c>
      <c r="G3243" s="403" t="s">
        <v>1466</v>
      </c>
      <c r="H3243" s="403" t="s">
        <v>1281</v>
      </c>
      <c r="I3243" s="403">
        <v>1</v>
      </c>
      <c r="J3243" s="403" t="s">
        <v>1289</v>
      </c>
      <c r="K3243" s="403">
        <v>1280</v>
      </c>
      <c r="L3243" s="403">
        <v>720</v>
      </c>
      <c r="M3243" s="403" t="s">
        <v>1284</v>
      </c>
      <c r="N3243" s="403">
        <v>640</v>
      </c>
      <c r="O3243" s="403">
        <v>480</v>
      </c>
      <c r="P3243" t="str">
        <f t="shared" si="401"/>
        <v>50fps 720p full frame rate - SD VGA (cropped)</v>
      </c>
      <c r="Q3243">
        <f t="shared" si="402"/>
        <v>19</v>
      </c>
      <c r="R3243" t="str">
        <f t="shared" si="403"/>
        <v/>
      </c>
      <c r="S3243" t="str">
        <f t="shared" si="404"/>
        <v/>
      </c>
      <c r="T3243" s="403" t="str">
        <f t="shared" si="405"/>
        <v>NDE-8502-R</v>
      </c>
      <c r="U3243" s="403">
        <f t="shared" si="406"/>
        <v>1</v>
      </c>
      <c r="V3243" s="403" t="str">
        <f t="shared" si="407"/>
        <v>CPP_7_3</v>
      </c>
    </row>
    <row r="3244" spans="1:22">
      <c r="A3244" t="str">
        <f t="shared" si="400"/>
        <v>NDE-8502-R</v>
      </c>
      <c r="B3244" s="403" t="s">
        <v>1410</v>
      </c>
      <c r="C3244" s="403" t="s">
        <v>582</v>
      </c>
      <c r="D3244" s="403" t="s">
        <v>1411</v>
      </c>
      <c r="E3244" s="403" t="s">
        <v>1412</v>
      </c>
      <c r="F3244" s="403" t="s">
        <v>1290</v>
      </c>
      <c r="G3244" s="403" t="s">
        <v>1466</v>
      </c>
      <c r="H3244" s="403" t="s">
        <v>1282</v>
      </c>
      <c r="I3244" s="403">
        <v>1</v>
      </c>
      <c r="J3244" s="403" t="s">
        <v>110</v>
      </c>
      <c r="K3244" s="403">
        <v>1920</v>
      </c>
      <c r="L3244" s="403">
        <v>1080</v>
      </c>
      <c r="M3244" s="403" t="s">
        <v>111</v>
      </c>
      <c r="N3244" s="403">
        <v>768</v>
      </c>
      <c r="O3244" s="403">
        <v>432</v>
      </c>
      <c r="P3244" t="str">
        <f t="shared" si="401"/>
        <v>50fps 1080p - SD</v>
      </c>
      <c r="Q3244">
        <f t="shared" si="402"/>
        <v>19</v>
      </c>
      <c r="R3244" t="str">
        <f t="shared" si="403"/>
        <v/>
      </c>
      <c r="S3244" t="str">
        <f t="shared" si="404"/>
        <v/>
      </c>
      <c r="T3244" s="403" t="str">
        <f t="shared" si="405"/>
        <v>NDE-8502-R</v>
      </c>
      <c r="U3244" s="403">
        <f t="shared" si="406"/>
        <v>1</v>
      </c>
      <c r="V3244" s="403" t="str">
        <f t="shared" si="407"/>
        <v>CPP_7_3</v>
      </c>
    </row>
    <row r="3245" spans="1:22">
      <c r="A3245" t="str">
        <f t="shared" si="400"/>
        <v>NDE-8502-R</v>
      </c>
      <c r="B3245" s="403" t="s">
        <v>1410</v>
      </c>
      <c r="C3245" s="403" t="s">
        <v>582</v>
      </c>
      <c r="D3245" s="403" t="s">
        <v>1411</v>
      </c>
      <c r="E3245" s="403" t="s">
        <v>1412</v>
      </c>
      <c r="F3245" s="403" t="s">
        <v>1290</v>
      </c>
      <c r="G3245" s="403" t="s">
        <v>1466</v>
      </c>
      <c r="H3245" s="403" t="s">
        <v>1282</v>
      </c>
      <c r="I3245" s="403">
        <v>1</v>
      </c>
      <c r="J3245" s="403" t="s">
        <v>110</v>
      </c>
      <c r="K3245" s="403">
        <v>1920</v>
      </c>
      <c r="L3245" s="403">
        <v>1080</v>
      </c>
      <c r="M3245" s="403" t="s">
        <v>110</v>
      </c>
      <c r="N3245" s="403">
        <v>1920</v>
      </c>
      <c r="O3245" s="403">
        <v>1080</v>
      </c>
      <c r="P3245" t="str">
        <f t="shared" si="401"/>
        <v>50fps 1080p - 1080p</v>
      </c>
      <c r="Q3245">
        <f t="shared" si="402"/>
        <v>19</v>
      </c>
      <c r="R3245" t="str">
        <f t="shared" si="403"/>
        <v/>
      </c>
      <c r="S3245" t="str">
        <f t="shared" si="404"/>
        <v/>
      </c>
      <c r="T3245" s="403" t="str">
        <f t="shared" si="405"/>
        <v>NDE-8502-R</v>
      </c>
      <c r="U3245" s="403">
        <f t="shared" si="406"/>
        <v>1</v>
      </c>
      <c r="V3245" s="403" t="str">
        <f t="shared" si="407"/>
        <v>CPP_7_3</v>
      </c>
    </row>
    <row r="3246" spans="1:22">
      <c r="A3246" t="str">
        <f t="shared" si="400"/>
        <v>NDE-8502-R</v>
      </c>
      <c r="B3246" s="403" t="s">
        <v>1410</v>
      </c>
      <c r="C3246" s="403" t="s">
        <v>582</v>
      </c>
      <c r="D3246" s="403" t="s">
        <v>1411</v>
      </c>
      <c r="E3246" s="403" t="s">
        <v>1412</v>
      </c>
      <c r="F3246" s="403" t="s">
        <v>1290</v>
      </c>
      <c r="G3246" s="403" t="s">
        <v>1466</v>
      </c>
      <c r="H3246" s="403" t="s">
        <v>1282</v>
      </c>
      <c r="I3246" s="403">
        <v>1</v>
      </c>
      <c r="J3246" s="403" t="s">
        <v>110</v>
      </c>
      <c r="K3246" s="403">
        <v>1920</v>
      </c>
      <c r="L3246" s="403">
        <v>1080</v>
      </c>
      <c r="M3246" s="403" t="s">
        <v>1289</v>
      </c>
      <c r="N3246" s="403">
        <v>1280</v>
      </c>
      <c r="O3246" s="403">
        <v>720</v>
      </c>
      <c r="P3246" t="str">
        <f t="shared" si="401"/>
        <v>50fps 1080p - 720p full frame rate</v>
      </c>
      <c r="Q3246">
        <f t="shared" si="402"/>
        <v>19</v>
      </c>
      <c r="R3246" t="str">
        <f t="shared" si="403"/>
        <v/>
      </c>
      <c r="S3246" t="str">
        <f t="shared" si="404"/>
        <v/>
      </c>
      <c r="T3246" s="403" t="str">
        <f t="shared" si="405"/>
        <v>NDE-8502-R</v>
      </c>
      <c r="U3246" s="403">
        <f t="shared" si="406"/>
        <v>1</v>
      </c>
      <c r="V3246" s="403" t="str">
        <f t="shared" si="407"/>
        <v>CPP_7_3</v>
      </c>
    </row>
    <row r="3247" spans="1:22">
      <c r="A3247" t="str">
        <f t="shared" si="400"/>
        <v>NDE-8502-R</v>
      </c>
      <c r="B3247" s="403" t="s">
        <v>1410</v>
      </c>
      <c r="C3247" s="403" t="s">
        <v>582</v>
      </c>
      <c r="D3247" s="403" t="s">
        <v>1411</v>
      </c>
      <c r="E3247" s="403" t="s">
        <v>1412</v>
      </c>
      <c r="F3247" s="403" t="s">
        <v>1290</v>
      </c>
      <c r="G3247" s="403" t="s">
        <v>1466</v>
      </c>
      <c r="H3247" s="403" t="s">
        <v>1282</v>
      </c>
      <c r="I3247" s="403">
        <v>1</v>
      </c>
      <c r="J3247" s="403" t="s">
        <v>110</v>
      </c>
      <c r="K3247" s="403">
        <v>1920</v>
      </c>
      <c r="L3247" s="403">
        <v>1080</v>
      </c>
      <c r="M3247" s="403" t="s">
        <v>1285</v>
      </c>
      <c r="N3247" s="403">
        <v>1280</v>
      </c>
      <c r="O3247" s="403">
        <v>1024</v>
      </c>
      <c r="P3247" t="str">
        <f t="shared" si="401"/>
        <v>50fps 1080p - 1280x1024 5:4 (cropped)</v>
      </c>
      <c r="Q3247">
        <f t="shared" si="402"/>
        <v>19</v>
      </c>
      <c r="R3247" t="str">
        <f t="shared" si="403"/>
        <v/>
      </c>
      <c r="S3247" t="str">
        <f t="shared" si="404"/>
        <v/>
      </c>
      <c r="T3247" s="403" t="str">
        <f t="shared" si="405"/>
        <v>NDE-8502-R</v>
      </c>
      <c r="U3247" s="403">
        <f t="shared" si="406"/>
        <v>1</v>
      </c>
      <c r="V3247" s="403" t="str">
        <f t="shared" si="407"/>
        <v>CPP_7_3</v>
      </c>
    </row>
    <row r="3248" spans="1:22">
      <c r="A3248" t="str">
        <f t="shared" si="400"/>
        <v>NDE-8502-R</v>
      </c>
      <c r="B3248" s="403" t="s">
        <v>1410</v>
      </c>
      <c r="C3248" s="403" t="s">
        <v>582</v>
      </c>
      <c r="D3248" s="403" t="s">
        <v>1411</v>
      </c>
      <c r="E3248" s="403" t="s">
        <v>1412</v>
      </c>
      <c r="F3248" s="403" t="s">
        <v>1290</v>
      </c>
      <c r="G3248" s="403" t="s">
        <v>1466</v>
      </c>
      <c r="H3248" s="403" t="s">
        <v>1282</v>
      </c>
      <c r="I3248" s="403">
        <v>1</v>
      </c>
      <c r="J3248" s="403" t="s">
        <v>110</v>
      </c>
      <c r="K3248" s="403">
        <v>1920</v>
      </c>
      <c r="L3248" s="403">
        <v>1080</v>
      </c>
      <c r="M3248" s="403" t="s">
        <v>1279</v>
      </c>
      <c r="N3248" s="403">
        <v>768</v>
      </c>
      <c r="O3248" s="403">
        <v>432</v>
      </c>
      <c r="P3248" t="str">
        <f t="shared" si="401"/>
        <v>50fps 1080p - SD ROI PTZ</v>
      </c>
      <c r="Q3248">
        <f t="shared" si="402"/>
        <v>19</v>
      </c>
      <c r="R3248" t="str">
        <f t="shared" si="403"/>
        <v/>
      </c>
      <c r="S3248" t="str">
        <f t="shared" si="404"/>
        <v/>
      </c>
      <c r="T3248" s="403" t="str">
        <f t="shared" si="405"/>
        <v>NDE-8502-R</v>
      </c>
      <c r="U3248" s="403">
        <f t="shared" si="406"/>
        <v>1</v>
      </c>
      <c r="V3248" s="403" t="str">
        <f t="shared" si="407"/>
        <v>CPP_7_3</v>
      </c>
    </row>
    <row r="3249" spans="1:22">
      <c r="A3249" t="str">
        <f t="shared" si="400"/>
        <v>NDE-8502-R</v>
      </c>
      <c r="B3249" s="403" t="s">
        <v>1410</v>
      </c>
      <c r="C3249" s="403" t="s">
        <v>582</v>
      </c>
      <c r="D3249" s="403" t="s">
        <v>1411</v>
      </c>
      <c r="E3249" s="403" t="s">
        <v>1412</v>
      </c>
      <c r="F3249" s="403" t="s">
        <v>1290</v>
      </c>
      <c r="G3249" s="403" t="s">
        <v>1466</v>
      </c>
      <c r="H3249" s="403" t="s">
        <v>1282</v>
      </c>
      <c r="I3249" s="403">
        <v>1</v>
      </c>
      <c r="J3249" s="403" t="s">
        <v>110</v>
      </c>
      <c r="K3249" s="403">
        <v>1920</v>
      </c>
      <c r="L3249" s="403">
        <v>1080</v>
      </c>
      <c r="M3249" s="403" t="s">
        <v>1283</v>
      </c>
      <c r="N3249" s="403">
        <v>720</v>
      </c>
      <c r="O3249" s="403">
        <v>576</v>
      </c>
      <c r="P3249" t="str">
        <f t="shared" si="401"/>
        <v>50fps 1080p - SD 4CIF resolution 4:3 format (cropped)</v>
      </c>
      <c r="Q3249">
        <f t="shared" si="402"/>
        <v>19</v>
      </c>
      <c r="R3249" t="str">
        <f t="shared" si="403"/>
        <v/>
      </c>
      <c r="S3249" t="str">
        <f t="shared" si="404"/>
        <v/>
      </c>
      <c r="T3249" s="403" t="str">
        <f t="shared" si="405"/>
        <v>NDE-8502-R</v>
      </c>
      <c r="U3249" s="403">
        <f t="shared" si="406"/>
        <v>1</v>
      </c>
      <c r="V3249" s="403" t="str">
        <f t="shared" si="407"/>
        <v>CPP_7_3</v>
      </c>
    </row>
    <row r="3250" spans="1:22">
      <c r="A3250" t="str">
        <f t="shared" si="400"/>
        <v>NDE-8502-R</v>
      </c>
      <c r="B3250" s="403" t="s">
        <v>1410</v>
      </c>
      <c r="C3250" s="403" t="s">
        <v>582</v>
      </c>
      <c r="D3250" s="403" t="s">
        <v>1411</v>
      </c>
      <c r="E3250" s="403" t="s">
        <v>1412</v>
      </c>
      <c r="F3250" s="403" t="s">
        <v>1290</v>
      </c>
      <c r="G3250" s="403" t="s">
        <v>1466</v>
      </c>
      <c r="H3250" s="403" t="s">
        <v>1282</v>
      </c>
      <c r="I3250" s="403">
        <v>1</v>
      </c>
      <c r="J3250" s="403" t="s">
        <v>110</v>
      </c>
      <c r="K3250" s="403">
        <v>1920</v>
      </c>
      <c r="L3250" s="403">
        <v>1080</v>
      </c>
      <c r="M3250" s="403" t="s">
        <v>1284</v>
      </c>
      <c r="N3250" s="403">
        <v>640</v>
      </c>
      <c r="O3250" s="403">
        <v>480</v>
      </c>
      <c r="P3250" t="str">
        <f t="shared" si="401"/>
        <v>50fps 1080p - SD VGA (cropped)</v>
      </c>
      <c r="Q3250">
        <f t="shared" si="402"/>
        <v>19</v>
      </c>
      <c r="R3250" t="str">
        <f t="shared" si="403"/>
        <v/>
      </c>
      <c r="S3250" t="str">
        <f t="shared" si="404"/>
        <v/>
      </c>
      <c r="T3250" s="403" t="str">
        <f t="shared" si="405"/>
        <v>NDE-8502-R</v>
      </c>
      <c r="U3250" s="403">
        <f t="shared" si="406"/>
        <v>1</v>
      </c>
      <c r="V3250" s="403" t="str">
        <f t="shared" si="407"/>
        <v>CPP_7_3</v>
      </c>
    </row>
    <row r="3251" spans="1:22">
      <c r="A3251" t="str">
        <f t="shared" si="400"/>
        <v>NDE-8502-R</v>
      </c>
      <c r="B3251" s="403" t="s">
        <v>1410</v>
      </c>
      <c r="C3251" s="403" t="s">
        <v>582</v>
      </c>
      <c r="D3251" s="403" t="s">
        <v>1411</v>
      </c>
      <c r="E3251" s="403" t="s">
        <v>1412</v>
      </c>
      <c r="F3251" s="403" t="s">
        <v>1290</v>
      </c>
      <c r="G3251" s="403" t="s">
        <v>1466</v>
      </c>
      <c r="H3251" s="403" t="s">
        <v>1282</v>
      </c>
      <c r="I3251" s="403">
        <v>1</v>
      </c>
      <c r="J3251" s="403" t="s">
        <v>1289</v>
      </c>
      <c r="K3251" s="403">
        <v>1280</v>
      </c>
      <c r="L3251" s="403">
        <v>720</v>
      </c>
      <c r="M3251" s="403" t="s">
        <v>1289</v>
      </c>
      <c r="N3251" s="403">
        <v>1280</v>
      </c>
      <c r="O3251" s="403">
        <v>720</v>
      </c>
      <c r="P3251" t="str">
        <f t="shared" si="401"/>
        <v>50fps 720p full frame rate - 720p full frame rate</v>
      </c>
      <c r="Q3251">
        <f t="shared" si="402"/>
        <v>19</v>
      </c>
      <c r="R3251" t="str">
        <f t="shared" si="403"/>
        <v/>
      </c>
      <c r="S3251" t="str">
        <f t="shared" si="404"/>
        <v/>
      </c>
      <c r="T3251" s="403" t="str">
        <f t="shared" si="405"/>
        <v>NDE-8502-R</v>
      </c>
      <c r="U3251" s="403">
        <f t="shared" si="406"/>
        <v>1</v>
      </c>
      <c r="V3251" s="403" t="str">
        <f t="shared" si="407"/>
        <v>CPP_7_3</v>
      </c>
    </row>
    <row r="3252" spans="1:22">
      <c r="A3252" t="str">
        <f t="shared" si="400"/>
        <v>NDE-8502-R</v>
      </c>
      <c r="B3252" s="403" t="s">
        <v>1410</v>
      </c>
      <c r="C3252" s="403" t="s">
        <v>582</v>
      </c>
      <c r="D3252" s="403" t="s">
        <v>1411</v>
      </c>
      <c r="E3252" s="403" t="s">
        <v>1412</v>
      </c>
      <c r="F3252" s="403" t="s">
        <v>1290</v>
      </c>
      <c r="G3252" s="403" t="s">
        <v>1466</v>
      </c>
      <c r="H3252" s="403" t="s">
        <v>1282</v>
      </c>
      <c r="I3252" s="403">
        <v>1</v>
      </c>
      <c r="J3252" s="403" t="s">
        <v>1289</v>
      </c>
      <c r="K3252" s="403">
        <v>1280</v>
      </c>
      <c r="L3252" s="403">
        <v>720</v>
      </c>
      <c r="M3252" s="403" t="s">
        <v>111</v>
      </c>
      <c r="N3252" s="403">
        <v>768</v>
      </c>
      <c r="O3252" s="403">
        <v>432</v>
      </c>
      <c r="P3252" t="str">
        <f t="shared" si="401"/>
        <v>50fps 720p full frame rate - SD</v>
      </c>
      <c r="Q3252">
        <f t="shared" si="402"/>
        <v>19</v>
      </c>
      <c r="R3252" t="str">
        <f t="shared" si="403"/>
        <v/>
      </c>
      <c r="S3252" t="str">
        <f t="shared" si="404"/>
        <v/>
      </c>
      <c r="T3252" s="403" t="str">
        <f t="shared" si="405"/>
        <v>NDE-8502-R</v>
      </c>
      <c r="U3252" s="403">
        <f t="shared" si="406"/>
        <v>1</v>
      </c>
      <c r="V3252" s="403" t="str">
        <f t="shared" si="407"/>
        <v>CPP_7_3</v>
      </c>
    </row>
    <row r="3253" spans="1:22">
      <c r="A3253" t="str">
        <f t="shared" si="400"/>
        <v>NDE-8502-R</v>
      </c>
      <c r="B3253" s="403" t="s">
        <v>1410</v>
      </c>
      <c r="C3253" s="403" t="s">
        <v>582</v>
      </c>
      <c r="D3253" s="403" t="s">
        <v>1411</v>
      </c>
      <c r="E3253" s="403" t="s">
        <v>1412</v>
      </c>
      <c r="F3253" s="403" t="s">
        <v>1290</v>
      </c>
      <c r="G3253" s="403" t="s">
        <v>1466</v>
      </c>
      <c r="H3253" s="403" t="s">
        <v>1282</v>
      </c>
      <c r="I3253" s="403">
        <v>1</v>
      </c>
      <c r="J3253" s="403" t="s">
        <v>1289</v>
      </c>
      <c r="K3253" s="403">
        <v>1280</v>
      </c>
      <c r="L3253" s="403">
        <v>720</v>
      </c>
      <c r="M3253" s="403" t="s">
        <v>1279</v>
      </c>
      <c r="N3253" s="403">
        <v>768</v>
      </c>
      <c r="O3253" s="403">
        <v>432</v>
      </c>
      <c r="P3253" t="str">
        <f t="shared" si="401"/>
        <v>50fps 720p full frame rate - SD ROI PTZ</v>
      </c>
      <c r="Q3253">
        <f t="shared" si="402"/>
        <v>19</v>
      </c>
      <c r="R3253" t="str">
        <f t="shared" si="403"/>
        <v/>
      </c>
      <c r="S3253" t="str">
        <f t="shared" si="404"/>
        <v/>
      </c>
      <c r="T3253" s="403" t="str">
        <f t="shared" si="405"/>
        <v>NDE-8502-R</v>
      </c>
      <c r="U3253" s="403">
        <f t="shared" si="406"/>
        <v>1</v>
      </c>
      <c r="V3253" s="403" t="str">
        <f t="shared" si="407"/>
        <v>CPP_7_3</v>
      </c>
    </row>
    <row r="3254" spans="1:22">
      <c r="A3254" t="str">
        <f t="shared" si="400"/>
        <v>NDE-8502-R</v>
      </c>
      <c r="B3254" s="403" t="s">
        <v>1410</v>
      </c>
      <c r="C3254" s="403" t="s">
        <v>582</v>
      </c>
      <c r="D3254" s="403" t="s">
        <v>1411</v>
      </c>
      <c r="E3254" s="403" t="s">
        <v>1412</v>
      </c>
      <c r="F3254" s="403" t="s">
        <v>1290</v>
      </c>
      <c r="G3254" s="403" t="s">
        <v>1466</v>
      </c>
      <c r="H3254" s="403" t="s">
        <v>1282</v>
      </c>
      <c r="I3254" s="403">
        <v>1</v>
      </c>
      <c r="J3254" s="403" t="s">
        <v>1289</v>
      </c>
      <c r="K3254" s="403">
        <v>1280</v>
      </c>
      <c r="L3254" s="403">
        <v>720</v>
      </c>
      <c r="M3254" s="403" t="s">
        <v>1283</v>
      </c>
      <c r="N3254" s="403">
        <v>720</v>
      </c>
      <c r="O3254" s="403">
        <v>576</v>
      </c>
      <c r="P3254" t="str">
        <f t="shared" si="401"/>
        <v>50fps 720p full frame rate - SD 4CIF resolution 4:3 format (cropped)</v>
      </c>
      <c r="Q3254">
        <f t="shared" si="402"/>
        <v>19</v>
      </c>
      <c r="R3254" t="str">
        <f t="shared" si="403"/>
        <v/>
      </c>
      <c r="S3254" t="str">
        <f t="shared" si="404"/>
        <v/>
      </c>
      <c r="T3254" s="403" t="str">
        <f t="shared" si="405"/>
        <v>NDE-8502-R</v>
      </c>
      <c r="U3254" s="403">
        <f t="shared" si="406"/>
        <v>1</v>
      </c>
      <c r="V3254" s="403" t="str">
        <f t="shared" si="407"/>
        <v>CPP_7_3</v>
      </c>
    </row>
    <row r="3255" spans="1:22">
      <c r="A3255" t="str">
        <f t="shared" si="400"/>
        <v>NDE-8502-R</v>
      </c>
      <c r="B3255" s="403" t="s">
        <v>1410</v>
      </c>
      <c r="C3255" s="403" t="s">
        <v>582</v>
      </c>
      <c r="D3255" s="403" t="s">
        <v>1411</v>
      </c>
      <c r="E3255" s="403" t="s">
        <v>1412</v>
      </c>
      <c r="F3255" s="403" t="s">
        <v>1290</v>
      </c>
      <c r="G3255" s="403" t="s">
        <v>1466</v>
      </c>
      <c r="H3255" s="403" t="s">
        <v>1282</v>
      </c>
      <c r="I3255" s="403">
        <v>1</v>
      </c>
      <c r="J3255" s="403" t="s">
        <v>1289</v>
      </c>
      <c r="K3255" s="403">
        <v>1280</v>
      </c>
      <c r="L3255" s="403">
        <v>720</v>
      </c>
      <c r="M3255" s="403" t="s">
        <v>1284</v>
      </c>
      <c r="N3255" s="403">
        <v>640</v>
      </c>
      <c r="O3255" s="403">
        <v>480</v>
      </c>
      <c r="P3255" t="str">
        <f t="shared" si="401"/>
        <v>50fps 720p full frame rate - SD VGA (cropped)</v>
      </c>
      <c r="Q3255">
        <f t="shared" si="402"/>
        <v>19</v>
      </c>
      <c r="R3255" t="str">
        <f t="shared" si="403"/>
        <v/>
      </c>
      <c r="S3255" t="str">
        <f t="shared" si="404"/>
        <v/>
      </c>
      <c r="T3255" s="403" t="str">
        <f t="shared" si="405"/>
        <v>NDE-8502-R</v>
      </c>
      <c r="U3255" s="403">
        <f t="shared" si="406"/>
        <v>1</v>
      </c>
      <c r="V3255" s="403" t="str">
        <f t="shared" si="407"/>
        <v>CPP_7_3</v>
      </c>
    </row>
    <row r="3256" spans="1:22">
      <c r="A3256" t="str">
        <f t="shared" si="400"/>
        <v>NDE-8502-R</v>
      </c>
      <c r="B3256" s="403" t="s">
        <v>1410</v>
      </c>
      <c r="C3256" s="403" t="s">
        <v>582</v>
      </c>
      <c r="D3256" s="403" t="s">
        <v>1411</v>
      </c>
      <c r="E3256" s="403" t="s">
        <v>1412</v>
      </c>
      <c r="F3256" s="403" t="s">
        <v>1290</v>
      </c>
      <c r="G3256" s="403" t="s">
        <v>1467</v>
      </c>
      <c r="H3256" s="403" t="s">
        <v>1276</v>
      </c>
      <c r="I3256" s="403">
        <v>1</v>
      </c>
      <c r="J3256" s="403" t="s">
        <v>110</v>
      </c>
      <c r="K3256" s="403">
        <v>1080</v>
      </c>
      <c r="L3256" s="403">
        <v>1920</v>
      </c>
      <c r="M3256" s="403" t="s">
        <v>111</v>
      </c>
      <c r="N3256" s="403">
        <v>432</v>
      </c>
      <c r="O3256" s="403">
        <v>768</v>
      </c>
      <c r="P3256" t="str">
        <f t="shared" si="401"/>
        <v>50fps 1080p - SD</v>
      </c>
      <c r="Q3256">
        <f t="shared" si="402"/>
        <v>19</v>
      </c>
      <c r="R3256" t="str">
        <f t="shared" si="403"/>
        <v/>
      </c>
      <c r="S3256" t="str">
        <f t="shared" si="404"/>
        <v/>
      </c>
      <c r="T3256" s="403" t="str">
        <f t="shared" si="405"/>
        <v>NDE-8502-R</v>
      </c>
      <c r="U3256" s="403">
        <f t="shared" si="406"/>
        <v>1</v>
      </c>
      <c r="V3256" s="403" t="str">
        <f t="shared" si="407"/>
        <v>CPP_7_3</v>
      </c>
    </row>
    <row r="3257" spans="1:22">
      <c r="A3257" t="str">
        <f t="shared" si="400"/>
        <v>NDE-8502-R</v>
      </c>
      <c r="B3257" s="403" t="s">
        <v>1410</v>
      </c>
      <c r="C3257" s="403" t="s">
        <v>582</v>
      </c>
      <c r="D3257" s="403" t="s">
        <v>1411</v>
      </c>
      <c r="E3257" s="403" t="s">
        <v>1412</v>
      </c>
      <c r="F3257" s="403" t="s">
        <v>1290</v>
      </c>
      <c r="G3257" s="403" t="s">
        <v>1467</v>
      </c>
      <c r="H3257" s="403" t="s">
        <v>1276</v>
      </c>
      <c r="I3257" s="403">
        <v>1</v>
      </c>
      <c r="J3257" s="403" t="s">
        <v>110</v>
      </c>
      <c r="K3257" s="403">
        <v>1080</v>
      </c>
      <c r="L3257" s="403">
        <v>1920</v>
      </c>
      <c r="M3257" s="403" t="s">
        <v>110</v>
      </c>
      <c r="N3257" s="403">
        <v>1080</v>
      </c>
      <c r="O3257" s="403">
        <v>1920</v>
      </c>
      <c r="P3257" t="str">
        <f t="shared" si="401"/>
        <v>50fps 1080p - 1080p</v>
      </c>
      <c r="Q3257">
        <f t="shared" si="402"/>
        <v>19</v>
      </c>
      <c r="R3257" t="str">
        <f t="shared" si="403"/>
        <v/>
      </c>
      <c r="S3257" t="str">
        <f t="shared" si="404"/>
        <v/>
      </c>
      <c r="T3257" s="403" t="str">
        <f t="shared" si="405"/>
        <v>NDE-8502-R</v>
      </c>
      <c r="U3257" s="403">
        <f t="shared" si="406"/>
        <v>1</v>
      </c>
      <c r="V3257" s="403" t="str">
        <f t="shared" si="407"/>
        <v>CPP_7_3</v>
      </c>
    </row>
    <row r="3258" spans="1:22">
      <c r="A3258" t="str">
        <f t="shared" si="400"/>
        <v>NDE-8502-R</v>
      </c>
      <c r="B3258" s="403" t="s">
        <v>1410</v>
      </c>
      <c r="C3258" s="403" t="s">
        <v>582</v>
      </c>
      <c r="D3258" s="403" t="s">
        <v>1411</v>
      </c>
      <c r="E3258" s="403" t="s">
        <v>1412</v>
      </c>
      <c r="F3258" s="403" t="s">
        <v>1290</v>
      </c>
      <c r="G3258" s="403" t="s">
        <v>1467</v>
      </c>
      <c r="H3258" s="403" t="s">
        <v>1276</v>
      </c>
      <c r="I3258" s="403">
        <v>1</v>
      </c>
      <c r="J3258" s="403" t="s">
        <v>110</v>
      </c>
      <c r="K3258" s="403">
        <v>1080</v>
      </c>
      <c r="L3258" s="403">
        <v>1920</v>
      </c>
      <c r="M3258" s="403" t="s">
        <v>1289</v>
      </c>
      <c r="N3258" s="403">
        <v>720</v>
      </c>
      <c r="O3258" s="403">
        <v>1280</v>
      </c>
      <c r="P3258" t="str">
        <f t="shared" si="401"/>
        <v>50fps 1080p - 720p full frame rate</v>
      </c>
      <c r="Q3258">
        <f t="shared" si="402"/>
        <v>19</v>
      </c>
      <c r="R3258" t="str">
        <f t="shared" si="403"/>
        <v/>
      </c>
      <c r="S3258" t="str">
        <f t="shared" si="404"/>
        <v/>
      </c>
      <c r="T3258" s="403" t="str">
        <f t="shared" si="405"/>
        <v>NDE-8502-R</v>
      </c>
      <c r="U3258" s="403">
        <f t="shared" si="406"/>
        <v>1</v>
      </c>
      <c r="V3258" s="403" t="str">
        <f t="shared" si="407"/>
        <v>CPP_7_3</v>
      </c>
    </row>
    <row r="3259" spans="1:22">
      <c r="A3259" t="str">
        <f t="shared" si="400"/>
        <v>NDE-8502-R</v>
      </c>
      <c r="B3259" s="403" t="s">
        <v>1410</v>
      </c>
      <c r="C3259" s="403" t="s">
        <v>582</v>
      </c>
      <c r="D3259" s="403" t="s">
        <v>1411</v>
      </c>
      <c r="E3259" s="403" t="s">
        <v>1412</v>
      </c>
      <c r="F3259" s="403" t="s">
        <v>1290</v>
      </c>
      <c r="G3259" s="403" t="s">
        <v>1467</v>
      </c>
      <c r="H3259" s="403" t="s">
        <v>1276</v>
      </c>
      <c r="I3259" s="403">
        <v>1</v>
      </c>
      <c r="J3259" s="403" t="s">
        <v>110</v>
      </c>
      <c r="K3259" s="403">
        <v>1080</v>
      </c>
      <c r="L3259" s="403">
        <v>1920</v>
      </c>
      <c r="M3259" s="403" t="s">
        <v>1285</v>
      </c>
      <c r="N3259" s="403">
        <v>1024</v>
      </c>
      <c r="O3259" s="403">
        <v>1280</v>
      </c>
      <c r="P3259" t="str">
        <f t="shared" si="401"/>
        <v>50fps 1080p - 1280x1024 5:4 (cropped)</v>
      </c>
      <c r="Q3259">
        <f t="shared" si="402"/>
        <v>19</v>
      </c>
      <c r="R3259" t="str">
        <f t="shared" si="403"/>
        <v/>
      </c>
      <c r="S3259" t="str">
        <f t="shared" si="404"/>
        <v/>
      </c>
      <c r="T3259" s="403" t="str">
        <f t="shared" si="405"/>
        <v>NDE-8502-R</v>
      </c>
      <c r="U3259" s="403">
        <f t="shared" si="406"/>
        <v>1</v>
      </c>
      <c r="V3259" s="403" t="str">
        <f t="shared" si="407"/>
        <v>CPP_7_3</v>
      </c>
    </row>
    <row r="3260" spans="1:22">
      <c r="A3260" t="str">
        <f t="shared" si="400"/>
        <v>NDE-8502-R</v>
      </c>
      <c r="B3260" s="403" t="s">
        <v>1410</v>
      </c>
      <c r="C3260" s="403" t="s">
        <v>582</v>
      </c>
      <c r="D3260" s="403" t="s">
        <v>1411</v>
      </c>
      <c r="E3260" s="403" t="s">
        <v>1412</v>
      </c>
      <c r="F3260" s="403" t="s">
        <v>1290</v>
      </c>
      <c r="G3260" s="403" t="s">
        <v>1467</v>
      </c>
      <c r="H3260" s="403" t="s">
        <v>1276</v>
      </c>
      <c r="I3260" s="403">
        <v>1</v>
      </c>
      <c r="J3260" s="403" t="s">
        <v>110</v>
      </c>
      <c r="K3260" s="403">
        <v>1080</v>
      </c>
      <c r="L3260" s="403">
        <v>1920</v>
      </c>
      <c r="M3260" s="403" t="s">
        <v>1279</v>
      </c>
      <c r="N3260" s="403">
        <v>432</v>
      </c>
      <c r="O3260" s="403">
        <v>768</v>
      </c>
      <c r="P3260" t="str">
        <f t="shared" si="401"/>
        <v>50fps 1080p - SD ROI PTZ</v>
      </c>
      <c r="Q3260">
        <f t="shared" si="402"/>
        <v>19</v>
      </c>
      <c r="R3260" t="str">
        <f t="shared" si="403"/>
        <v/>
      </c>
      <c r="S3260" t="str">
        <f t="shared" si="404"/>
        <v/>
      </c>
      <c r="T3260" s="403" t="str">
        <f t="shared" si="405"/>
        <v>NDE-8502-R</v>
      </c>
      <c r="U3260" s="403">
        <f t="shared" si="406"/>
        <v>1</v>
      </c>
      <c r="V3260" s="403" t="str">
        <f t="shared" si="407"/>
        <v>CPP_7_3</v>
      </c>
    </row>
    <row r="3261" spans="1:22">
      <c r="A3261" t="str">
        <f t="shared" si="400"/>
        <v>NDE-8502-R</v>
      </c>
      <c r="B3261" s="403" t="s">
        <v>1410</v>
      </c>
      <c r="C3261" s="403" t="s">
        <v>582</v>
      </c>
      <c r="D3261" s="403" t="s">
        <v>1411</v>
      </c>
      <c r="E3261" s="403" t="s">
        <v>1412</v>
      </c>
      <c r="F3261" s="403" t="s">
        <v>1290</v>
      </c>
      <c r="G3261" s="403" t="s">
        <v>1467</v>
      </c>
      <c r="H3261" s="403" t="s">
        <v>1276</v>
      </c>
      <c r="I3261" s="403">
        <v>1</v>
      </c>
      <c r="J3261" s="403" t="s">
        <v>110</v>
      </c>
      <c r="K3261" s="403">
        <v>1080</v>
      </c>
      <c r="L3261" s="403">
        <v>1920</v>
      </c>
      <c r="M3261" s="403" t="s">
        <v>1283</v>
      </c>
      <c r="N3261" s="403">
        <v>576</v>
      </c>
      <c r="O3261" s="403">
        <v>720</v>
      </c>
      <c r="P3261" t="str">
        <f t="shared" si="401"/>
        <v>50fps 1080p - SD 4CIF resolution 4:3 format (cropped)</v>
      </c>
      <c r="Q3261">
        <f t="shared" si="402"/>
        <v>19</v>
      </c>
      <c r="R3261" t="str">
        <f t="shared" si="403"/>
        <v/>
      </c>
      <c r="S3261" t="str">
        <f t="shared" si="404"/>
        <v/>
      </c>
      <c r="T3261" s="403" t="str">
        <f t="shared" si="405"/>
        <v>NDE-8502-R</v>
      </c>
      <c r="U3261" s="403">
        <f t="shared" si="406"/>
        <v>1</v>
      </c>
      <c r="V3261" s="403" t="str">
        <f t="shared" si="407"/>
        <v>CPP_7_3</v>
      </c>
    </row>
    <row r="3262" spans="1:22">
      <c r="A3262" t="str">
        <f t="shared" si="400"/>
        <v>NDE-8502-R</v>
      </c>
      <c r="B3262" s="403" t="s">
        <v>1410</v>
      </c>
      <c r="C3262" s="403" t="s">
        <v>582</v>
      </c>
      <c r="D3262" s="403" t="s">
        <v>1411</v>
      </c>
      <c r="E3262" s="403" t="s">
        <v>1412</v>
      </c>
      <c r="F3262" s="403" t="s">
        <v>1290</v>
      </c>
      <c r="G3262" s="403" t="s">
        <v>1467</v>
      </c>
      <c r="H3262" s="403" t="s">
        <v>1276</v>
      </c>
      <c r="I3262" s="403">
        <v>1</v>
      </c>
      <c r="J3262" s="403" t="s">
        <v>110</v>
      </c>
      <c r="K3262" s="403">
        <v>1080</v>
      </c>
      <c r="L3262" s="403">
        <v>1920</v>
      </c>
      <c r="M3262" s="403" t="s">
        <v>1284</v>
      </c>
      <c r="N3262" s="403">
        <v>480</v>
      </c>
      <c r="O3262" s="403">
        <v>640</v>
      </c>
      <c r="P3262" t="str">
        <f t="shared" si="401"/>
        <v>50fps 1080p - SD VGA (cropped)</v>
      </c>
      <c r="Q3262">
        <f t="shared" si="402"/>
        <v>19</v>
      </c>
      <c r="R3262" t="str">
        <f t="shared" si="403"/>
        <v/>
      </c>
      <c r="S3262" t="str">
        <f t="shared" si="404"/>
        <v/>
      </c>
      <c r="T3262" s="403" t="str">
        <f t="shared" si="405"/>
        <v>NDE-8502-R</v>
      </c>
      <c r="U3262" s="403">
        <f t="shared" si="406"/>
        <v>1</v>
      </c>
      <c r="V3262" s="403" t="str">
        <f t="shared" si="407"/>
        <v>CPP_7_3</v>
      </c>
    </row>
    <row r="3263" spans="1:22">
      <c r="A3263" t="str">
        <f t="shared" si="400"/>
        <v>NDE-8502-R</v>
      </c>
      <c r="B3263" s="403" t="s">
        <v>1410</v>
      </c>
      <c r="C3263" s="403" t="s">
        <v>582</v>
      </c>
      <c r="D3263" s="403" t="s">
        <v>1411</v>
      </c>
      <c r="E3263" s="403" t="s">
        <v>1412</v>
      </c>
      <c r="F3263" s="403" t="s">
        <v>1290</v>
      </c>
      <c r="G3263" s="403" t="s">
        <v>1467</v>
      </c>
      <c r="H3263" s="403" t="s">
        <v>1276</v>
      </c>
      <c r="I3263" s="403">
        <v>1</v>
      </c>
      <c r="J3263" s="403" t="s">
        <v>1289</v>
      </c>
      <c r="K3263" s="403">
        <v>720</v>
      </c>
      <c r="L3263" s="403">
        <v>1280</v>
      </c>
      <c r="M3263" s="403" t="s">
        <v>1289</v>
      </c>
      <c r="N3263" s="403">
        <v>720</v>
      </c>
      <c r="O3263" s="403">
        <v>1280</v>
      </c>
      <c r="P3263" t="str">
        <f t="shared" si="401"/>
        <v>50fps 720p full frame rate - 720p full frame rate</v>
      </c>
      <c r="Q3263">
        <f t="shared" si="402"/>
        <v>19</v>
      </c>
      <c r="R3263" t="str">
        <f t="shared" si="403"/>
        <v/>
      </c>
      <c r="S3263" t="str">
        <f t="shared" si="404"/>
        <v/>
      </c>
      <c r="T3263" s="403" t="str">
        <f t="shared" si="405"/>
        <v>NDE-8502-R</v>
      </c>
      <c r="U3263" s="403">
        <f t="shared" si="406"/>
        <v>1</v>
      </c>
      <c r="V3263" s="403" t="str">
        <f t="shared" si="407"/>
        <v>CPP_7_3</v>
      </c>
    </row>
    <row r="3264" spans="1:22">
      <c r="A3264" t="str">
        <f t="shared" si="400"/>
        <v>NDE-8502-R</v>
      </c>
      <c r="B3264" s="403" t="s">
        <v>1410</v>
      </c>
      <c r="C3264" s="403" t="s">
        <v>582</v>
      </c>
      <c r="D3264" s="403" t="s">
        <v>1411</v>
      </c>
      <c r="E3264" s="403" t="s">
        <v>1412</v>
      </c>
      <c r="F3264" s="403" t="s">
        <v>1290</v>
      </c>
      <c r="G3264" s="403" t="s">
        <v>1467</v>
      </c>
      <c r="H3264" s="403" t="s">
        <v>1276</v>
      </c>
      <c r="I3264" s="403">
        <v>1</v>
      </c>
      <c r="J3264" s="403" t="s">
        <v>1289</v>
      </c>
      <c r="K3264" s="403">
        <v>720</v>
      </c>
      <c r="L3264" s="403">
        <v>1280</v>
      </c>
      <c r="M3264" s="403" t="s">
        <v>111</v>
      </c>
      <c r="N3264" s="403">
        <v>432</v>
      </c>
      <c r="O3264" s="403">
        <v>768</v>
      </c>
      <c r="P3264" t="str">
        <f t="shared" si="401"/>
        <v>50fps 720p full frame rate - SD</v>
      </c>
      <c r="Q3264">
        <f t="shared" si="402"/>
        <v>19</v>
      </c>
      <c r="R3264" t="str">
        <f t="shared" si="403"/>
        <v/>
      </c>
      <c r="S3264" t="str">
        <f t="shared" si="404"/>
        <v/>
      </c>
      <c r="T3264" s="403" t="str">
        <f t="shared" si="405"/>
        <v>NDE-8502-R</v>
      </c>
      <c r="U3264" s="403">
        <f t="shared" si="406"/>
        <v>1</v>
      </c>
      <c r="V3264" s="403" t="str">
        <f t="shared" si="407"/>
        <v>CPP_7_3</v>
      </c>
    </row>
    <row r="3265" spans="1:22">
      <c r="A3265" t="str">
        <f t="shared" si="400"/>
        <v>NDE-8502-R</v>
      </c>
      <c r="B3265" s="403" t="s">
        <v>1410</v>
      </c>
      <c r="C3265" s="403" t="s">
        <v>582</v>
      </c>
      <c r="D3265" s="403" t="s">
        <v>1411</v>
      </c>
      <c r="E3265" s="403" t="s">
        <v>1412</v>
      </c>
      <c r="F3265" s="403" t="s">
        <v>1290</v>
      </c>
      <c r="G3265" s="403" t="s">
        <v>1467</v>
      </c>
      <c r="H3265" s="403" t="s">
        <v>1276</v>
      </c>
      <c r="I3265" s="403">
        <v>1</v>
      </c>
      <c r="J3265" s="403" t="s">
        <v>1289</v>
      </c>
      <c r="K3265" s="403">
        <v>720</v>
      </c>
      <c r="L3265" s="403">
        <v>1280</v>
      </c>
      <c r="M3265" s="403" t="s">
        <v>1279</v>
      </c>
      <c r="N3265" s="403">
        <v>432</v>
      </c>
      <c r="O3265" s="403">
        <v>768</v>
      </c>
      <c r="P3265" t="str">
        <f t="shared" si="401"/>
        <v>50fps 720p full frame rate - SD ROI PTZ</v>
      </c>
      <c r="Q3265">
        <f t="shared" si="402"/>
        <v>19</v>
      </c>
      <c r="R3265" t="str">
        <f t="shared" si="403"/>
        <v/>
      </c>
      <c r="S3265" t="str">
        <f t="shared" si="404"/>
        <v/>
      </c>
      <c r="T3265" s="403" t="str">
        <f t="shared" si="405"/>
        <v>NDE-8502-R</v>
      </c>
      <c r="U3265" s="403">
        <f t="shared" si="406"/>
        <v>1</v>
      </c>
      <c r="V3265" s="403" t="str">
        <f t="shared" si="407"/>
        <v>CPP_7_3</v>
      </c>
    </row>
    <row r="3266" spans="1:22">
      <c r="A3266" t="str">
        <f t="shared" ref="A3266:A3329" si="408">IF(AND(G3266&lt;&gt;"rotate 90°"),D3266,"")</f>
        <v>NDE-8502-R</v>
      </c>
      <c r="B3266" s="403" t="s">
        <v>1410</v>
      </c>
      <c r="C3266" s="403" t="s">
        <v>582</v>
      </c>
      <c r="D3266" s="403" t="s">
        <v>1411</v>
      </c>
      <c r="E3266" s="403" t="s">
        <v>1412</v>
      </c>
      <c r="F3266" s="403" t="s">
        <v>1290</v>
      </c>
      <c r="G3266" s="403" t="s">
        <v>1467</v>
      </c>
      <c r="H3266" s="403" t="s">
        <v>1276</v>
      </c>
      <c r="I3266" s="403">
        <v>1</v>
      </c>
      <c r="J3266" s="403" t="s">
        <v>1289</v>
      </c>
      <c r="K3266" s="403">
        <v>720</v>
      </c>
      <c r="L3266" s="403">
        <v>1280</v>
      </c>
      <c r="M3266" s="403" t="s">
        <v>1283</v>
      </c>
      <c r="N3266" s="403">
        <v>576</v>
      </c>
      <c r="O3266" s="403">
        <v>720</v>
      </c>
      <c r="P3266" t="str">
        <f t="shared" ref="P3266:P3329" si="409">LEFT(F3266,5)&amp;" "&amp;J3266&amp;" - "&amp;M3266</f>
        <v>50fps 720p full frame rate - SD 4CIF resolution 4:3 format (cropped)</v>
      </c>
      <c r="Q3266">
        <f t="shared" ref="Q3266:Q3329" si="410">IF(A3265=A3266,Q3265,Q3265+1)</f>
        <v>19</v>
      </c>
      <c r="R3266" t="str">
        <f t="shared" ref="R3266:R3329" si="411">IF(Q3265&lt;&gt;Q3266,Q3266,"")</f>
        <v/>
      </c>
      <c r="S3266" t="str">
        <f t="shared" ref="S3266:S3329" si="412">IF(R3266&lt;&gt;"",B3266&amp;" ("&amp;D3266&amp;")","")</f>
        <v/>
      </c>
      <c r="T3266" s="403" t="str">
        <f t="shared" ref="T3266:T3329" si="413">D3266</f>
        <v>NDE-8502-R</v>
      </c>
      <c r="U3266" s="403">
        <f t="shared" ref="U3266:U3329" si="414">I3266</f>
        <v>1</v>
      </c>
      <c r="V3266" s="403" t="str">
        <f t="shared" ref="V3266:V3329" si="415">C3266</f>
        <v>CPP_7_3</v>
      </c>
    </row>
    <row r="3267" spans="1:22">
      <c r="A3267" t="str">
        <f t="shared" si="408"/>
        <v>NDE-8502-R</v>
      </c>
      <c r="B3267" s="403" t="s">
        <v>1410</v>
      </c>
      <c r="C3267" s="403" t="s">
        <v>582</v>
      </c>
      <c r="D3267" s="403" t="s">
        <v>1411</v>
      </c>
      <c r="E3267" s="403" t="s">
        <v>1412</v>
      </c>
      <c r="F3267" s="403" t="s">
        <v>1290</v>
      </c>
      <c r="G3267" s="403" t="s">
        <v>1467</v>
      </c>
      <c r="H3267" s="403" t="s">
        <v>1276</v>
      </c>
      <c r="I3267" s="403">
        <v>1</v>
      </c>
      <c r="J3267" s="403" t="s">
        <v>1289</v>
      </c>
      <c r="K3267" s="403">
        <v>720</v>
      </c>
      <c r="L3267" s="403">
        <v>1280</v>
      </c>
      <c r="M3267" s="403" t="s">
        <v>1284</v>
      </c>
      <c r="N3267" s="403">
        <v>480</v>
      </c>
      <c r="O3267" s="403">
        <v>640</v>
      </c>
      <c r="P3267" t="str">
        <f t="shared" si="409"/>
        <v>50fps 720p full frame rate - SD VGA (cropped)</v>
      </c>
      <c r="Q3267">
        <f t="shared" si="410"/>
        <v>19</v>
      </c>
      <c r="R3267" t="str">
        <f t="shared" si="411"/>
        <v/>
      </c>
      <c r="S3267" t="str">
        <f t="shared" si="412"/>
        <v/>
      </c>
      <c r="T3267" s="403" t="str">
        <f t="shared" si="413"/>
        <v>NDE-8502-R</v>
      </c>
      <c r="U3267" s="403">
        <f t="shared" si="414"/>
        <v>1</v>
      </c>
      <c r="V3267" s="403" t="str">
        <f t="shared" si="415"/>
        <v>CPP_7_3</v>
      </c>
    </row>
    <row r="3268" spans="1:22">
      <c r="A3268" t="str">
        <f t="shared" si="408"/>
        <v>NDE-8502-R</v>
      </c>
      <c r="B3268" s="403" t="s">
        <v>1410</v>
      </c>
      <c r="C3268" s="403" t="s">
        <v>582</v>
      </c>
      <c r="D3268" s="403" t="s">
        <v>1411</v>
      </c>
      <c r="E3268" s="403" t="s">
        <v>1412</v>
      </c>
      <c r="F3268" s="403" t="s">
        <v>1290</v>
      </c>
      <c r="G3268" s="403" t="s">
        <v>1467</v>
      </c>
      <c r="H3268" s="403" t="s">
        <v>1281</v>
      </c>
      <c r="I3268" s="403">
        <v>1</v>
      </c>
      <c r="J3268" s="403" t="s">
        <v>110</v>
      </c>
      <c r="K3268" s="403">
        <v>1080</v>
      </c>
      <c r="L3268" s="403">
        <v>1920</v>
      </c>
      <c r="M3268" s="403" t="s">
        <v>111</v>
      </c>
      <c r="N3268" s="403">
        <v>432</v>
      </c>
      <c r="O3268" s="403">
        <v>768</v>
      </c>
      <c r="P3268" t="str">
        <f t="shared" si="409"/>
        <v>50fps 1080p - SD</v>
      </c>
      <c r="Q3268">
        <f t="shared" si="410"/>
        <v>19</v>
      </c>
      <c r="R3268" t="str">
        <f t="shared" si="411"/>
        <v/>
      </c>
      <c r="S3268" t="str">
        <f t="shared" si="412"/>
        <v/>
      </c>
      <c r="T3268" s="403" t="str">
        <f t="shared" si="413"/>
        <v>NDE-8502-R</v>
      </c>
      <c r="U3268" s="403">
        <f t="shared" si="414"/>
        <v>1</v>
      </c>
      <c r="V3268" s="403" t="str">
        <f t="shared" si="415"/>
        <v>CPP_7_3</v>
      </c>
    </row>
    <row r="3269" spans="1:22">
      <c r="A3269" t="str">
        <f t="shared" si="408"/>
        <v>NDE-8502-R</v>
      </c>
      <c r="B3269" s="403" t="s">
        <v>1410</v>
      </c>
      <c r="C3269" s="403" t="s">
        <v>582</v>
      </c>
      <c r="D3269" s="403" t="s">
        <v>1411</v>
      </c>
      <c r="E3269" s="403" t="s">
        <v>1412</v>
      </c>
      <c r="F3269" s="403" t="s">
        <v>1290</v>
      </c>
      <c r="G3269" s="403" t="s">
        <v>1467</v>
      </c>
      <c r="H3269" s="403" t="s">
        <v>1281</v>
      </c>
      <c r="I3269" s="403">
        <v>1</v>
      </c>
      <c r="J3269" s="403" t="s">
        <v>110</v>
      </c>
      <c r="K3269" s="403">
        <v>1080</v>
      </c>
      <c r="L3269" s="403">
        <v>1920</v>
      </c>
      <c r="M3269" s="403" t="s">
        <v>1289</v>
      </c>
      <c r="N3269" s="403">
        <v>720</v>
      </c>
      <c r="O3269" s="403">
        <v>1280</v>
      </c>
      <c r="P3269" t="str">
        <f t="shared" si="409"/>
        <v>50fps 1080p - 720p full frame rate</v>
      </c>
      <c r="Q3269">
        <f t="shared" si="410"/>
        <v>19</v>
      </c>
      <c r="R3269" t="str">
        <f t="shared" si="411"/>
        <v/>
      </c>
      <c r="S3269" t="str">
        <f t="shared" si="412"/>
        <v/>
      </c>
      <c r="T3269" s="403" t="str">
        <f t="shared" si="413"/>
        <v>NDE-8502-R</v>
      </c>
      <c r="U3269" s="403">
        <f t="shared" si="414"/>
        <v>1</v>
      </c>
      <c r="V3269" s="403" t="str">
        <f t="shared" si="415"/>
        <v>CPP_7_3</v>
      </c>
    </row>
    <row r="3270" spans="1:22">
      <c r="A3270" t="str">
        <f t="shared" si="408"/>
        <v>NDE-8502-R</v>
      </c>
      <c r="B3270" s="403" t="s">
        <v>1410</v>
      </c>
      <c r="C3270" s="403" t="s">
        <v>582</v>
      </c>
      <c r="D3270" s="403" t="s">
        <v>1411</v>
      </c>
      <c r="E3270" s="403" t="s">
        <v>1412</v>
      </c>
      <c r="F3270" s="403" t="s">
        <v>1290</v>
      </c>
      <c r="G3270" s="403" t="s">
        <v>1467</v>
      </c>
      <c r="H3270" s="403" t="s">
        <v>1281</v>
      </c>
      <c r="I3270" s="403">
        <v>1</v>
      </c>
      <c r="J3270" s="403" t="s">
        <v>110</v>
      </c>
      <c r="K3270" s="403">
        <v>1080</v>
      </c>
      <c r="L3270" s="403">
        <v>1920</v>
      </c>
      <c r="M3270" s="403" t="s">
        <v>1279</v>
      </c>
      <c r="N3270" s="403">
        <v>432</v>
      </c>
      <c r="O3270" s="403">
        <v>768</v>
      </c>
      <c r="P3270" t="str">
        <f t="shared" si="409"/>
        <v>50fps 1080p - SD ROI PTZ</v>
      </c>
      <c r="Q3270">
        <f t="shared" si="410"/>
        <v>19</v>
      </c>
      <c r="R3270" t="str">
        <f t="shared" si="411"/>
        <v/>
      </c>
      <c r="S3270" t="str">
        <f t="shared" si="412"/>
        <v/>
      </c>
      <c r="T3270" s="403" t="str">
        <f t="shared" si="413"/>
        <v>NDE-8502-R</v>
      </c>
      <c r="U3270" s="403">
        <f t="shared" si="414"/>
        <v>1</v>
      </c>
      <c r="V3270" s="403" t="str">
        <f t="shared" si="415"/>
        <v>CPP_7_3</v>
      </c>
    </row>
    <row r="3271" spans="1:22">
      <c r="A3271" t="str">
        <f t="shared" si="408"/>
        <v>NDE-8502-R</v>
      </c>
      <c r="B3271" s="403" t="s">
        <v>1410</v>
      </c>
      <c r="C3271" s="403" t="s">
        <v>582</v>
      </c>
      <c r="D3271" s="403" t="s">
        <v>1411</v>
      </c>
      <c r="E3271" s="403" t="s">
        <v>1412</v>
      </c>
      <c r="F3271" s="403" t="s">
        <v>1290</v>
      </c>
      <c r="G3271" s="403" t="s">
        <v>1467</v>
      </c>
      <c r="H3271" s="403" t="s">
        <v>1281</v>
      </c>
      <c r="I3271" s="403">
        <v>1</v>
      </c>
      <c r="J3271" s="403" t="s">
        <v>110</v>
      </c>
      <c r="K3271" s="403">
        <v>1080</v>
      </c>
      <c r="L3271" s="403">
        <v>1920</v>
      </c>
      <c r="M3271" s="403" t="s">
        <v>1283</v>
      </c>
      <c r="N3271" s="403">
        <v>576</v>
      </c>
      <c r="O3271" s="403">
        <v>720</v>
      </c>
      <c r="P3271" t="str">
        <f t="shared" si="409"/>
        <v>50fps 1080p - SD 4CIF resolution 4:3 format (cropped)</v>
      </c>
      <c r="Q3271">
        <f t="shared" si="410"/>
        <v>19</v>
      </c>
      <c r="R3271" t="str">
        <f t="shared" si="411"/>
        <v/>
      </c>
      <c r="S3271" t="str">
        <f t="shared" si="412"/>
        <v/>
      </c>
      <c r="T3271" s="403" t="str">
        <f t="shared" si="413"/>
        <v>NDE-8502-R</v>
      </c>
      <c r="U3271" s="403">
        <f t="shared" si="414"/>
        <v>1</v>
      </c>
      <c r="V3271" s="403" t="str">
        <f t="shared" si="415"/>
        <v>CPP_7_3</v>
      </c>
    </row>
    <row r="3272" spans="1:22">
      <c r="A3272" t="str">
        <f t="shared" si="408"/>
        <v>NDE-8502-R</v>
      </c>
      <c r="B3272" s="403" t="s">
        <v>1410</v>
      </c>
      <c r="C3272" s="403" t="s">
        <v>582</v>
      </c>
      <c r="D3272" s="403" t="s">
        <v>1411</v>
      </c>
      <c r="E3272" s="403" t="s">
        <v>1412</v>
      </c>
      <c r="F3272" s="403" t="s">
        <v>1290</v>
      </c>
      <c r="G3272" s="403" t="s">
        <v>1467</v>
      </c>
      <c r="H3272" s="403" t="s">
        <v>1281</v>
      </c>
      <c r="I3272" s="403">
        <v>1</v>
      </c>
      <c r="J3272" s="403" t="s">
        <v>110</v>
      </c>
      <c r="K3272" s="403">
        <v>1080</v>
      </c>
      <c r="L3272" s="403">
        <v>1920</v>
      </c>
      <c r="M3272" s="403" t="s">
        <v>1284</v>
      </c>
      <c r="N3272" s="403">
        <v>480</v>
      </c>
      <c r="O3272" s="403">
        <v>640</v>
      </c>
      <c r="P3272" t="str">
        <f t="shared" si="409"/>
        <v>50fps 1080p - SD VGA (cropped)</v>
      </c>
      <c r="Q3272">
        <f t="shared" si="410"/>
        <v>19</v>
      </c>
      <c r="R3272" t="str">
        <f t="shared" si="411"/>
        <v/>
      </c>
      <c r="S3272" t="str">
        <f t="shared" si="412"/>
        <v/>
      </c>
      <c r="T3272" s="403" t="str">
        <f t="shared" si="413"/>
        <v>NDE-8502-R</v>
      </c>
      <c r="U3272" s="403">
        <f t="shared" si="414"/>
        <v>1</v>
      </c>
      <c r="V3272" s="403" t="str">
        <f t="shared" si="415"/>
        <v>CPP_7_3</v>
      </c>
    </row>
    <row r="3273" spans="1:22">
      <c r="A3273" t="str">
        <f t="shared" si="408"/>
        <v>NDE-8502-R</v>
      </c>
      <c r="B3273" s="403" t="s">
        <v>1410</v>
      </c>
      <c r="C3273" s="403" t="s">
        <v>582</v>
      </c>
      <c r="D3273" s="403" t="s">
        <v>1411</v>
      </c>
      <c r="E3273" s="403" t="s">
        <v>1412</v>
      </c>
      <c r="F3273" s="403" t="s">
        <v>1290</v>
      </c>
      <c r="G3273" s="403" t="s">
        <v>1467</v>
      </c>
      <c r="H3273" s="403" t="s">
        <v>1281</v>
      </c>
      <c r="I3273" s="403">
        <v>1</v>
      </c>
      <c r="J3273" s="403" t="s">
        <v>1289</v>
      </c>
      <c r="K3273" s="403">
        <v>720</v>
      </c>
      <c r="L3273" s="403">
        <v>1280</v>
      </c>
      <c r="M3273" s="403" t="s">
        <v>1289</v>
      </c>
      <c r="N3273" s="403">
        <v>720</v>
      </c>
      <c r="O3273" s="403">
        <v>1280</v>
      </c>
      <c r="P3273" t="str">
        <f t="shared" si="409"/>
        <v>50fps 720p full frame rate - 720p full frame rate</v>
      </c>
      <c r="Q3273">
        <f t="shared" si="410"/>
        <v>19</v>
      </c>
      <c r="R3273" t="str">
        <f t="shared" si="411"/>
        <v/>
      </c>
      <c r="S3273" t="str">
        <f t="shared" si="412"/>
        <v/>
      </c>
      <c r="T3273" s="403" t="str">
        <f t="shared" si="413"/>
        <v>NDE-8502-R</v>
      </c>
      <c r="U3273" s="403">
        <f t="shared" si="414"/>
        <v>1</v>
      </c>
      <c r="V3273" s="403" t="str">
        <f t="shared" si="415"/>
        <v>CPP_7_3</v>
      </c>
    </row>
    <row r="3274" spans="1:22">
      <c r="A3274" t="str">
        <f t="shared" si="408"/>
        <v>NDE-8502-R</v>
      </c>
      <c r="B3274" s="403" t="s">
        <v>1410</v>
      </c>
      <c r="C3274" s="403" t="s">
        <v>582</v>
      </c>
      <c r="D3274" s="403" t="s">
        <v>1411</v>
      </c>
      <c r="E3274" s="403" t="s">
        <v>1412</v>
      </c>
      <c r="F3274" s="403" t="s">
        <v>1290</v>
      </c>
      <c r="G3274" s="403" t="s">
        <v>1467</v>
      </c>
      <c r="H3274" s="403" t="s">
        <v>1281</v>
      </c>
      <c r="I3274" s="403">
        <v>1</v>
      </c>
      <c r="J3274" s="403" t="s">
        <v>1289</v>
      </c>
      <c r="K3274" s="403">
        <v>720</v>
      </c>
      <c r="L3274" s="403">
        <v>1280</v>
      </c>
      <c r="M3274" s="403" t="s">
        <v>111</v>
      </c>
      <c r="N3274" s="403">
        <v>432</v>
      </c>
      <c r="O3274" s="403">
        <v>768</v>
      </c>
      <c r="P3274" t="str">
        <f t="shared" si="409"/>
        <v>50fps 720p full frame rate - SD</v>
      </c>
      <c r="Q3274">
        <f t="shared" si="410"/>
        <v>19</v>
      </c>
      <c r="R3274" t="str">
        <f t="shared" si="411"/>
        <v/>
      </c>
      <c r="S3274" t="str">
        <f t="shared" si="412"/>
        <v/>
      </c>
      <c r="T3274" s="403" t="str">
        <f t="shared" si="413"/>
        <v>NDE-8502-R</v>
      </c>
      <c r="U3274" s="403">
        <f t="shared" si="414"/>
        <v>1</v>
      </c>
      <c r="V3274" s="403" t="str">
        <f t="shared" si="415"/>
        <v>CPP_7_3</v>
      </c>
    </row>
    <row r="3275" spans="1:22">
      <c r="A3275" t="str">
        <f t="shared" si="408"/>
        <v>NDE-8502-R</v>
      </c>
      <c r="B3275" s="403" t="s">
        <v>1410</v>
      </c>
      <c r="C3275" s="403" t="s">
        <v>582</v>
      </c>
      <c r="D3275" s="403" t="s">
        <v>1411</v>
      </c>
      <c r="E3275" s="403" t="s">
        <v>1412</v>
      </c>
      <c r="F3275" s="403" t="s">
        <v>1290</v>
      </c>
      <c r="G3275" s="403" t="s">
        <v>1467</v>
      </c>
      <c r="H3275" s="403" t="s">
        <v>1281</v>
      </c>
      <c r="I3275" s="403">
        <v>1</v>
      </c>
      <c r="J3275" s="403" t="s">
        <v>1289</v>
      </c>
      <c r="K3275" s="403">
        <v>720</v>
      </c>
      <c r="L3275" s="403">
        <v>1280</v>
      </c>
      <c r="M3275" s="403" t="s">
        <v>1279</v>
      </c>
      <c r="N3275" s="403">
        <v>432</v>
      </c>
      <c r="O3275" s="403">
        <v>768</v>
      </c>
      <c r="P3275" t="str">
        <f t="shared" si="409"/>
        <v>50fps 720p full frame rate - SD ROI PTZ</v>
      </c>
      <c r="Q3275">
        <f t="shared" si="410"/>
        <v>19</v>
      </c>
      <c r="R3275" t="str">
        <f t="shared" si="411"/>
        <v/>
      </c>
      <c r="S3275" t="str">
        <f t="shared" si="412"/>
        <v/>
      </c>
      <c r="T3275" s="403" t="str">
        <f t="shared" si="413"/>
        <v>NDE-8502-R</v>
      </c>
      <c r="U3275" s="403">
        <f t="shared" si="414"/>
        <v>1</v>
      </c>
      <c r="V3275" s="403" t="str">
        <f t="shared" si="415"/>
        <v>CPP_7_3</v>
      </c>
    </row>
    <row r="3276" spans="1:22">
      <c r="A3276" t="str">
        <f t="shared" si="408"/>
        <v>NDE-8502-R</v>
      </c>
      <c r="B3276" s="403" t="s">
        <v>1410</v>
      </c>
      <c r="C3276" s="403" t="s">
        <v>582</v>
      </c>
      <c r="D3276" s="403" t="s">
        <v>1411</v>
      </c>
      <c r="E3276" s="403" t="s">
        <v>1412</v>
      </c>
      <c r="F3276" s="403" t="s">
        <v>1290</v>
      </c>
      <c r="G3276" s="403" t="s">
        <v>1467</v>
      </c>
      <c r="H3276" s="403" t="s">
        <v>1281</v>
      </c>
      <c r="I3276" s="403">
        <v>1</v>
      </c>
      <c r="J3276" s="403" t="s">
        <v>1289</v>
      </c>
      <c r="K3276" s="403">
        <v>720</v>
      </c>
      <c r="L3276" s="403">
        <v>1280</v>
      </c>
      <c r="M3276" s="403" t="s">
        <v>1283</v>
      </c>
      <c r="N3276" s="403">
        <v>576</v>
      </c>
      <c r="O3276" s="403">
        <v>720</v>
      </c>
      <c r="P3276" t="str">
        <f t="shared" si="409"/>
        <v>50fps 720p full frame rate - SD 4CIF resolution 4:3 format (cropped)</v>
      </c>
      <c r="Q3276">
        <f t="shared" si="410"/>
        <v>19</v>
      </c>
      <c r="R3276" t="str">
        <f t="shared" si="411"/>
        <v/>
      </c>
      <c r="S3276" t="str">
        <f t="shared" si="412"/>
        <v/>
      </c>
      <c r="T3276" s="403" t="str">
        <f t="shared" si="413"/>
        <v>NDE-8502-R</v>
      </c>
      <c r="U3276" s="403">
        <f t="shared" si="414"/>
        <v>1</v>
      </c>
      <c r="V3276" s="403" t="str">
        <f t="shared" si="415"/>
        <v>CPP_7_3</v>
      </c>
    </row>
    <row r="3277" spans="1:22">
      <c r="A3277" t="str">
        <f t="shared" si="408"/>
        <v>NDE-8502-R</v>
      </c>
      <c r="B3277" s="403" t="s">
        <v>1410</v>
      </c>
      <c r="C3277" s="403" t="s">
        <v>582</v>
      </c>
      <c r="D3277" s="403" t="s">
        <v>1411</v>
      </c>
      <c r="E3277" s="403" t="s">
        <v>1412</v>
      </c>
      <c r="F3277" s="403" t="s">
        <v>1290</v>
      </c>
      <c r="G3277" s="403" t="s">
        <v>1467</v>
      </c>
      <c r="H3277" s="403" t="s">
        <v>1281</v>
      </c>
      <c r="I3277" s="403">
        <v>1</v>
      </c>
      <c r="J3277" s="403" t="s">
        <v>1289</v>
      </c>
      <c r="K3277" s="403">
        <v>720</v>
      </c>
      <c r="L3277" s="403">
        <v>1280</v>
      </c>
      <c r="M3277" s="403" t="s">
        <v>1284</v>
      </c>
      <c r="N3277" s="403">
        <v>480</v>
      </c>
      <c r="O3277" s="403">
        <v>640</v>
      </c>
      <c r="P3277" t="str">
        <f t="shared" si="409"/>
        <v>50fps 720p full frame rate - SD VGA (cropped)</v>
      </c>
      <c r="Q3277">
        <f t="shared" si="410"/>
        <v>19</v>
      </c>
      <c r="R3277" t="str">
        <f t="shared" si="411"/>
        <v/>
      </c>
      <c r="S3277" t="str">
        <f t="shared" si="412"/>
        <v/>
      </c>
      <c r="T3277" s="403" t="str">
        <f t="shared" si="413"/>
        <v>NDE-8502-R</v>
      </c>
      <c r="U3277" s="403">
        <f t="shared" si="414"/>
        <v>1</v>
      </c>
      <c r="V3277" s="403" t="str">
        <f t="shared" si="415"/>
        <v>CPP_7_3</v>
      </c>
    </row>
    <row r="3278" spans="1:22">
      <c r="A3278" t="str">
        <f t="shared" si="408"/>
        <v>NDE-8502-R</v>
      </c>
      <c r="B3278" s="403" t="s">
        <v>1410</v>
      </c>
      <c r="C3278" s="403" t="s">
        <v>582</v>
      </c>
      <c r="D3278" s="403" t="s">
        <v>1411</v>
      </c>
      <c r="E3278" s="403" t="s">
        <v>1412</v>
      </c>
      <c r="F3278" s="403" t="s">
        <v>1290</v>
      </c>
      <c r="G3278" s="403" t="s">
        <v>1467</v>
      </c>
      <c r="H3278" s="403" t="s">
        <v>1282</v>
      </c>
      <c r="I3278" s="403">
        <v>1</v>
      </c>
      <c r="J3278" s="403" t="s">
        <v>110</v>
      </c>
      <c r="K3278" s="403">
        <v>1080</v>
      </c>
      <c r="L3278" s="403">
        <v>1920</v>
      </c>
      <c r="M3278" s="403" t="s">
        <v>111</v>
      </c>
      <c r="N3278" s="403">
        <v>432</v>
      </c>
      <c r="O3278" s="403">
        <v>768</v>
      </c>
      <c r="P3278" t="str">
        <f t="shared" si="409"/>
        <v>50fps 1080p - SD</v>
      </c>
      <c r="Q3278">
        <f t="shared" si="410"/>
        <v>19</v>
      </c>
      <c r="R3278" t="str">
        <f t="shared" si="411"/>
        <v/>
      </c>
      <c r="S3278" t="str">
        <f t="shared" si="412"/>
        <v/>
      </c>
      <c r="T3278" s="403" t="str">
        <f t="shared" si="413"/>
        <v>NDE-8502-R</v>
      </c>
      <c r="U3278" s="403">
        <f t="shared" si="414"/>
        <v>1</v>
      </c>
      <c r="V3278" s="403" t="str">
        <f t="shared" si="415"/>
        <v>CPP_7_3</v>
      </c>
    </row>
    <row r="3279" spans="1:22">
      <c r="A3279" t="str">
        <f t="shared" si="408"/>
        <v>NDE-8502-R</v>
      </c>
      <c r="B3279" s="403" t="s">
        <v>1410</v>
      </c>
      <c r="C3279" s="403" t="s">
        <v>582</v>
      </c>
      <c r="D3279" s="403" t="s">
        <v>1411</v>
      </c>
      <c r="E3279" s="403" t="s">
        <v>1412</v>
      </c>
      <c r="F3279" s="403" t="s">
        <v>1290</v>
      </c>
      <c r="G3279" s="403" t="s">
        <v>1467</v>
      </c>
      <c r="H3279" s="403" t="s">
        <v>1282</v>
      </c>
      <c r="I3279" s="403">
        <v>1</v>
      </c>
      <c r="J3279" s="403" t="s">
        <v>110</v>
      </c>
      <c r="K3279" s="403">
        <v>1080</v>
      </c>
      <c r="L3279" s="403">
        <v>1920</v>
      </c>
      <c r="M3279" s="403" t="s">
        <v>110</v>
      </c>
      <c r="N3279" s="403">
        <v>1080</v>
      </c>
      <c r="O3279" s="403">
        <v>1920</v>
      </c>
      <c r="P3279" t="str">
        <f t="shared" si="409"/>
        <v>50fps 1080p - 1080p</v>
      </c>
      <c r="Q3279">
        <f t="shared" si="410"/>
        <v>19</v>
      </c>
      <c r="R3279" t="str">
        <f t="shared" si="411"/>
        <v/>
      </c>
      <c r="S3279" t="str">
        <f t="shared" si="412"/>
        <v/>
      </c>
      <c r="T3279" s="403" t="str">
        <f t="shared" si="413"/>
        <v>NDE-8502-R</v>
      </c>
      <c r="U3279" s="403">
        <f t="shared" si="414"/>
        <v>1</v>
      </c>
      <c r="V3279" s="403" t="str">
        <f t="shared" si="415"/>
        <v>CPP_7_3</v>
      </c>
    </row>
    <row r="3280" spans="1:22">
      <c r="A3280" t="str">
        <f t="shared" si="408"/>
        <v>NDE-8502-R</v>
      </c>
      <c r="B3280" s="403" t="s">
        <v>1410</v>
      </c>
      <c r="C3280" s="403" t="s">
        <v>582</v>
      </c>
      <c r="D3280" s="403" t="s">
        <v>1411</v>
      </c>
      <c r="E3280" s="403" t="s">
        <v>1412</v>
      </c>
      <c r="F3280" s="403" t="s">
        <v>1290</v>
      </c>
      <c r="G3280" s="403" t="s">
        <v>1467</v>
      </c>
      <c r="H3280" s="403" t="s">
        <v>1282</v>
      </c>
      <c r="I3280" s="403">
        <v>1</v>
      </c>
      <c r="J3280" s="403" t="s">
        <v>110</v>
      </c>
      <c r="K3280" s="403">
        <v>1080</v>
      </c>
      <c r="L3280" s="403">
        <v>1920</v>
      </c>
      <c r="M3280" s="403" t="s">
        <v>1289</v>
      </c>
      <c r="N3280" s="403">
        <v>720</v>
      </c>
      <c r="O3280" s="403">
        <v>1280</v>
      </c>
      <c r="P3280" t="str">
        <f t="shared" si="409"/>
        <v>50fps 1080p - 720p full frame rate</v>
      </c>
      <c r="Q3280">
        <f t="shared" si="410"/>
        <v>19</v>
      </c>
      <c r="R3280" t="str">
        <f t="shared" si="411"/>
        <v/>
      </c>
      <c r="S3280" t="str">
        <f t="shared" si="412"/>
        <v/>
      </c>
      <c r="T3280" s="403" t="str">
        <f t="shared" si="413"/>
        <v>NDE-8502-R</v>
      </c>
      <c r="U3280" s="403">
        <f t="shared" si="414"/>
        <v>1</v>
      </c>
      <c r="V3280" s="403" t="str">
        <f t="shared" si="415"/>
        <v>CPP_7_3</v>
      </c>
    </row>
    <row r="3281" spans="1:22">
      <c r="A3281" t="str">
        <f t="shared" si="408"/>
        <v>NDE-8502-R</v>
      </c>
      <c r="B3281" s="403" t="s">
        <v>1410</v>
      </c>
      <c r="C3281" s="403" t="s">
        <v>582</v>
      </c>
      <c r="D3281" s="403" t="s">
        <v>1411</v>
      </c>
      <c r="E3281" s="403" t="s">
        <v>1412</v>
      </c>
      <c r="F3281" s="403" t="s">
        <v>1290</v>
      </c>
      <c r="G3281" s="403" t="s">
        <v>1467</v>
      </c>
      <c r="H3281" s="403" t="s">
        <v>1282</v>
      </c>
      <c r="I3281" s="403">
        <v>1</v>
      </c>
      <c r="J3281" s="403" t="s">
        <v>110</v>
      </c>
      <c r="K3281" s="403">
        <v>1080</v>
      </c>
      <c r="L3281" s="403">
        <v>1920</v>
      </c>
      <c r="M3281" s="403" t="s">
        <v>1285</v>
      </c>
      <c r="N3281" s="403">
        <v>1024</v>
      </c>
      <c r="O3281" s="403">
        <v>1280</v>
      </c>
      <c r="P3281" t="str">
        <f t="shared" si="409"/>
        <v>50fps 1080p - 1280x1024 5:4 (cropped)</v>
      </c>
      <c r="Q3281">
        <f t="shared" si="410"/>
        <v>19</v>
      </c>
      <c r="R3281" t="str">
        <f t="shared" si="411"/>
        <v/>
      </c>
      <c r="S3281" t="str">
        <f t="shared" si="412"/>
        <v/>
      </c>
      <c r="T3281" s="403" t="str">
        <f t="shared" si="413"/>
        <v>NDE-8502-R</v>
      </c>
      <c r="U3281" s="403">
        <f t="shared" si="414"/>
        <v>1</v>
      </c>
      <c r="V3281" s="403" t="str">
        <f t="shared" si="415"/>
        <v>CPP_7_3</v>
      </c>
    </row>
    <row r="3282" spans="1:22">
      <c r="A3282" t="str">
        <f t="shared" si="408"/>
        <v>NDE-8502-R</v>
      </c>
      <c r="B3282" s="403" t="s">
        <v>1410</v>
      </c>
      <c r="C3282" s="403" t="s">
        <v>582</v>
      </c>
      <c r="D3282" s="403" t="s">
        <v>1411</v>
      </c>
      <c r="E3282" s="403" t="s">
        <v>1412</v>
      </c>
      <c r="F3282" s="403" t="s">
        <v>1290</v>
      </c>
      <c r="G3282" s="403" t="s">
        <v>1467</v>
      </c>
      <c r="H3282" s="403" t="s">
        <v>1282</v>
      </c>
      <c r="I3282" s="403">
        <v>1</v>
      </c>
      <c r="J3282" s="403" t="s">
        <v>110</v>
      </c>
      <c r="K3282" s="403">
        <v>1080</v>
      </c>
      <c r="L3282" s="403">
        <v>1920</v>
      </c>
      <c r="M3282" s="403" t="s">
        <v>1279</v>
      </c>
      <c r="N3282" s="403">
        <v>432</v>
      </c>
      <c r="O3282" s="403">
        <v>768</v>
      </c>
      <c r="P3282" t="str">
        <f t="shared" si="409"/>
        <v>50fps 1080p - SD ROI PTZ</v>
      </c>
      <c r="Q3282">
        <f t="shared" si="410"/>
        <v>19</v>
      </c>
      <c r="R3282" t="str">
        <f t="shared" si="411"/>
        <v/>
      </c>
      <c r="S3282" t="str">
        <f t="shared" si="412"/>
        <v/>
      </c>
      <c r="T3282" s="403" t="str">
        <f t="shared" si="413"/>
        <v>NDE-8502-R</v>
      </c>
      <c r="U3282" s="403">
        <f t="shared" si="414"/>
        <v>1</v>
      </c>
      <c r="V3282" s="403" t="str">
        <f t="shared" si="415"/>
        <v>CPP_7_3</v>
      </c>
    </row>
    <row r="3283" spans="1:22">
      <c r="A3283" t="str">
        <f t="shared" si="408"/>
        <v>NDE-8502-R</v>
      </c>
      <c r="B3283" s="403" t="s">
        <v>1410</v>
      </c>
      <c r="C3283" s="403" t="s">
        <v>582</v>
      </c>
      <c r="D3283" s="403" t="s">
        <v>1411</v>
      </c>
      <c r="E3283" s="403" t="s">
        <v>1412</v>
      </c>
      <c r="F3283" s="403" t="s">
        <v>1290</v>
      </c>
      <c r="G3283" s="403" t="s">
        <v>1467</v>
      </c>
      <c r="H3283" s="403" t="s">
        <v>1282</v>
      </c>
      <c r="I3283" s="403">
        <v>1</v>
      </c>
      <c r="J3283" s="403" t="s">
        <v>110</v>
      </c>
      <c r="K3283" s="403">
        <v>1080</v>
      </c>
      <c r="L3283" s="403">
        <v>1920</v>
      </c>
      <c r="M3283" s="403" t="s">
        <v>1283</v>
      </c>
      <c r="N3283" s="403">
        <v>576</v>
      </c>
      <c r="O3283" s="403">
        <v>720</v>
      </c>
      <c r="P3283" t="str">
        <f t="shared" si="409"/>
        <v>50fps 1080p - SD 4CIF resolution 4:3 format (cropped)</v>
      </c>
      <c r="Q3283">
        <f t="shared" si="410"/>
        <v>19</v>
      </c>
      <c r="R3283" t="str">
        <f t="shared" si="411"/>
        <v/>
      </c>
      <c r="S3283" t="str">
        <f t="shared" si="412"/>
        <v/>
      </c>
      <c r="T3283" s="403" t="str">
        <f t="shared" si="413"/>
        <v>NDE-8502-R</v>
      </c>
      <c r="U3283" s="403">
        <f t="shared" si="414"/>
        <v>1</v>
      </c>
      <c r="V3283" s="403" t="str">
        <f t="shared" si="415"/>
        <v>CPP_7_3</v>
      </c>
    </row>
    <row r="3284" spans="1:22">
      <c r="A3284" t="str">
        <f t="shared" si="408"/>
        <v>NDE-8502-R</v>
      </c>
      <c r="B3284" s="403" t="s">
        <v>1410</v>
      </c>
      <c r="C3284" s="403" t="s">
        <v>582</v>
      </c>
      <c r="D3284" s="403" t="s">
        <v>1411</v>
      </c>
      <c r="E3284" s="403" t="s">
        <v>1412</v>
      </c>
      <c r="F3284" s="403" t="s">
        <v>1290</v>
      </c>
      <c r="G3284" s="403" t="s">
        <v>1467</v>
      </c>
      <c r="H3284" s="403" t="s">
        <v>1282</v>
      </c>
      <c r="I3284" s="403">
        <v>1</v>
      </c>
      <c r="J3284" s="403" t="s">
        <v>110</v>
      </c>
      <c r="K3284" s="403">
        <v>1080</v>
      </c>
      <c r="L3284" s="403">
        <v>1920</v>
      </c>
      <c r="M3284" s="403" t="s">
        <v>1284</v>
      </c>
      <c r="N3284" s="403">
        <v>480</v>
      </c>
      <c r="O3284" s="403">
        <v>640</v>
      </c>
      <c r="P3284" t="str">
        <f t="shared" si="409"/>
        <v>50fps 1080p - SD VGA (cropped)</v>
      </c>
      <c r="Q3284">
        <f t="shared" si="410"/>
        <v>19</v>
      </c>
      <c r="R3284" t="str">
        <f t="shared" si="411"/>
        <v/>
      </c>
      <c r="S3284" t="str">
        <f t="shared" si="412"/>
        <v/>
      </c>
      <c r="T3284" s="403" t="str">
        <f t="shared" si="413"/>
        <v>NDE-8502-R</v>
      </c>
      <c r="U3284" s="403">
        <f t="shared" si="414"/>
        <v>1</v>
      </c>
      <c r="V3284" s="403" t="str">
        <f t="shared" si="415"/>
        <v>CPP_7_3</v>
      </c>
    </row>
    <row r="3285" spans="1:22">
      <c r="A3285" t="str">
        <f t="shared" si="408"/>
        <v>NDE-8502-R</v>
      </c>
      <c r="B3285" s="403" t="s">
        <v>1410</v>
      </c>
      <c r="C3285" s="403" t="s">
        <v>582</v>
      </c>
      <c r="D3285" s="403" t="s">
        <v>1411</v>
      </c>
      <c r="E3285" s="403" t="s">
        <v>1412</v>
      </c>
      <c r="F3285" s="403" t="s">
        <v>1290</v>
      </c>
      <c r="G3285" s="403" t="s">
        <v>1467</v>
      </c>
      <c r="H3285" s="403" t="s">
        <v>1282</v>
      </c>
      <c r="I3285" s="403">
        <v>1</v>
      </c>
      <c r="J3285" s="403" t="s">
        <v>1289</v>
      </c>
      <c r="K3285" s="403">
        <v>720</v>
      </c>
      <c r="L3285" s="403">
        <v>1280</v>
      </c>
      <c r="M3285" s="403" t="s">
        <v>1289</v>
      </c>
      <c r="N3285" s="403">
        <v>720</v>
      </c>
      <c r="O3285" s="403">
        <v>1280</v>
      </c>
      <c r="P3285" t="str">
        <f t="shared" si="409"/>
        <v>50fps 720p full frame rate - 720p full frame rate</v>
      </c>
      <c r="Q3285">
        <f t="shared" si="410"/>
        <v>19</v>
      </c>
      <c r="R3285" t="str">
        <f t="shared" si="411"/>
        <v/>
      </c>
      <c r="S3285" t="str">
        <f t="shared" si="412"/>
        <v/>
      </c>
      <c r="T3285" s="403" t="str">
        <f t="shared" si="413"/>
        <v>NDE-8502-R</v>
      </c>
      <c r="U3285" s="403">
        <f t="shared" si="414"/>
        <v>1</v>
      </c>
      <c r="V3285" s="403" t="str">
        <f t="shared" si="415"/>
        <v>CPP_7_3</v>
      </c>
    </row>
    <row r="3286" spans="1:22">
      <c r="A3286" t="str">
        <f t="shared" si="408"/>
        <v>NDE-8502-R</v>
      </c>
      <c r="B3286" s="403" t="s">
        <v>1410</v>
      </c>
      <c r="C3286" s="403" t="s">
        <v>582</v>
      </c>
      <c r="D3286" s="403" t="s">
        <v>1411</v>
      </c>
      <c r="E3286" s="403" t="s">
        <v>1412</v>
      </c>
      <c r="F3286" s="403" t="s">
        <v>1290</v>
      </c>
      <c r="G3286" s="403" t="s">
        <v>1467</v>
      </c>
      <c r="H3286" s="403" t="s">
        <v>1282</v>
      </c>
      <c r="I3286" s="403">
        <v>1</v>
      </c>
      <c r="J3286" s="403" t="s">
        <v>1289</v>
      </c>
      <c r="K3286" s="403">
        <v>720</v>
      </c>
      <c r="L3286" s="403">
        <v>1280</v>
      </c>
      <c r="M3286" s="403" t="s">
        <v>111</v>
      </c>
      <c r="N3286" s="403">
        <v>432</v>
      </c>
      <c r="O3286" s="403">
        <v>768</v>
      </c>
      <c r="P3286" t="str">
        <f t="shared" si="409"/>
        <v>50fps 720p full frame rate - SD</v>
      </c>
      <c r="Q3286">
        <f t="shared" si="410"/>
        <v>19</v>
      </c>
      <c r="R3286" t="str">
        <f t="shared" si="411"/>
        <v/>
      </c>
      <c r="S3286" t="str">
        <f t="shared" si="412"/>
        <v/>
      </c>
      <c r="T3286" s="403" t="str">
        <f t="shared" si="413"/>
        <v>NDE-8502-R</v>
      </c>
      <c r="U3286" s="403">
        <f t="shared" si="414"/>
        <v>1</v>
      </c>
      <c r="V3286" s="403" t="str">
        <f t="shared" si="415"/>
        <v>CPP_7_3</v>
      </c>
    </row>
    <row r="3287" spans="1:22">
      <c r="A3287" t="str">
        <f t="shared" si="408"/>
        <v>NDE-8502-R</v>
      </c>
      <c r="B3287" s="403" t="s">
        <v>1410</v>
      </c>
      <c r="C3287" s="403" t="s">
        <v>582</v>
      </c>
      <c r="D3287" s="403" t="s">
        <v>1411</v>
      </c>
      <c r="E3287" s="403" t="s">
        <v>1412</v>
      </c>
      <c r="F3287" s="403" t="s">
        <v>1290</v>
      </c>
      <c r="G3287" s="403" t="s">
        <v>1467</v>
      </c>
      <c r="H3287" s="403" t="s">
        <v>1282</v>
      </c>
      <c r="I3287" s="403">
        <v>1</v>
      </c>
      <c r="J3287" s="403" t="s">
        <v>1289</v>
      </c>
      <c r="K3287" s="403">
        <v>720</v>
      </c>
      <c r="L3287" s="403">
        <v>1280</v>
      </c>
      <c r="M3287" s="403" t="s">
        <v>1279</v>
      </c>
      <c r="N3287" s="403">
        <v>432</v>
      </c>
      <c r="O3287" s="403">
        <v>768</v>
      </c>
      <c r="P3287" t="str">
        <f t="shared" si="409"/>
        <v>50fps 720p full frame rate - SD ROI PTZ</v>
      </c>
      <c r="Q3287">
        <f t="shared" si="410"/>
        <v>19</v>
      </c>
      <c r="R3287" t="str">
        <f t="shared" si="411"/>
        <v/>
      </c>
      <c r="S3287" t="str">
        <f t="shared" si="412"/>
        <v/>
      </c>
      <c r="T3287" s="403" t="str">
        <f t="shared" si="413"/>
        <v>NDE-8502-R</v>
      </c>
      <c r="U3287" s="403">
        <f t="shared" si="414"/>
        <v>1</v>
      </c>
      <c r="V3287" s="403" t="str">
        <f t="shared" si="415"/>
        <v>CPP_7_3</v>
      </c>
    </row>
    <row r="3288" spans="1:22">
      <c r="A3288" t="str">
        <f t="shared" si="408"/>
        <v>NDE-8502-R</v>
      </c>
      <c r="B3288" s="403" t="s">
        <v>1410</v>
      </c>
      <c r="C3288" s="403" t="s">
        <v>582</v>
      </c>
      <c r="D3288" s="403" t="s">
        <v>1411</v>
      </c>
      <c r="E3288" s="403" t="s">
        <v>1412</v>
      </c>
      <c r="F3288" s="403" t="s">
        <v>1290</v>
      </c>
      <c r="G3288" s="403" t="s">
        <v>1467</v>
      </c>
      <c r="H3288" s="403" t="s">
        <v>1282</v>
      </c>
      <c r="I3288" s="403">
        <v>1</v>
      </c>
      <c r="J3288" s="403" t="s">
        <v>1289</v>
      </c>
      <c r="K3288" s="403">
        <v>720</v>
      </c>
      <c r="L3288" s="403">
        <v>1280</v>
      </c>
      <c r="M3288" s="403" t="s">
        <v>1283</v>
      </c>
      <c r="N3288" s="403">
        <v>576</v>
      </c>
      <c r="O3288" s="403">
        <v>720</v>
      </c>
      <c r="P3288" t="str">
        <f t="shared" si="409"/>
        <v>50fps 720p full frame rate - SD 4CIF resolution 4:3 format (cropped)</v>
      </c>
      <c r="Q3288">
        <f t="shared" si="410"/>
        <v>19</v>
      </c>
      <c r="R3288" t="str">
        <f t="shared" si="411"/>
        <v/>
      </c>
      <c r="S3288" t="str">
        <f t="shared" si="412"/>
        <v/>
      </c>
      <c r="T3288" s="403" t="str">
        <f t="shared" si="413"/>
        <v>NDE-8502-R</v>
      </c>
      <c r="U3288" s="403">
        <f t="shared" si="414"/>
        <v>1</v>
      </c>
      <c r="V3288" s="403" t="str">
        <f t="shared" si="415"/>
        <v>CPP_7_3</v>
      </c>
    </row>
    <row r="3289" spans="1:22">
      <c r="A3289" t="str">
        <f t="shared" si="408"/>
        <v>NDE-8502-R</v>
      </c>
      <c r="B3289" s="403" t="s">
        <v>1410</v>
      </c>
      <c r="C3289" s="403" t="s">
        <v>582</v>
      </c>
      <c r="D3289" s="403" t="s">
        <v>1411</v>
      </c>
      <c r="E3289" s="403" t="s">
        <v>1412</v>
      </c>
      <c r="F3289" s="403" t="s">
        <v>1290</v>
      </c>
      <c r="G3289" s="403" t="s">
        <v>1467</v>
      </c>
      <c r="H3289" s="403" t="s">
        <v>1282</v>
      </c>
      <c r="I3289" s="403">
        <v>1</v>
      </c>
      <c r="J3289" s="403" t="s">
        <v>1289</v>
      </c>
      <c r="K3289" s="403">
        <v>720</v>
      </c>
      <c r="L3289" s="403">
        <v>1280</v>
      </c>
      <c r="M3289" s="403" t="s">
        <v>1284</v>
      </c>
      <c r="N3289" s="403">
        <v>480</v>
      </c>
      <c r="O3289" s="403">
        <v>640</v>
      </c>
      <c r="P3289" t="str">
        <f t="shared" si="409"/>
        <v>50fps 720p full frame rate - SD VGA (cropped)</v>
      </c>
      <c r="Q3289">
        <f t="shared" si="410"/>
        <v>19</v>
      </c>
      <c r="R3289" t="str">
        <f t="shared" si="411"/>
        <v/>
      </c>
      <c r="S3289" t="str">
        <f t="shared" si="412"/>
        <v/>
      </c>
      <c r="T3289" s="403" t="str">
        <f t="shared" si="413"/>
        <v>NDE-8502-R</v>
      </c>
      <c r="U3289" s="403">
        <f t="shared" si="414"/>
        <v>1</v>
      </c>
      <c r="V3289" s="403" t="str">
        <f t="shared" si="415"/>
        <v>CPP_7_3</v>
      </c>
    </row>
    <row r="3290" spans="1:22">
      <c r="A3290" t="str">
        <f t="shared" si="408"/>
        <v>NDE-8502-R</v>
      </c>
      <c r="B3290" s="403" t="s">
        <v>1410</v>
      </c>
      <c r="C3290" s="403" t="s">
        <v>582</v>
      </c>
      <c r="D3290" s="403" t="s">
        <v>1411</v>
      </c>
      <c r="E3290" s="403" t="s">
        <v>1412</v>
      </c>
      <c r="F3290" s="403" t="s">
        <v>1292</v>
      </c>
      <c r="G3290" s="403" t="s">
        <v>1466</v>
      </c>
      <c r="H3290" s="403" t="s">
        <v>1276</v>
      </c>
      <c r="I3290" s="403">
        <v>1</v>
      </c>
      <c r="J3290" s="403" t="s">
        <v>110</v>
      </c>
      <c r="K3290" s="403">
        <v>1920</v>
      </c>
      <c r="L3290" s="403">
        <v>1080</v>
      </c>
      <c r="M3290" s="403" t="s">
        <v>111</v>
      </c>
      <c r="N3290" s="403">
        <v>768</v>
      </c>
      <c r="O3290" s="403">
        <v>432</v>
      </c>
      <c r="P3290" t="str">
        <f t="shared" si="409"/>
        <v>30fps 1080p - SD</v>
      </c>
      <c r="Q3290">
        <f t="shared" si="410"/>
        <v>19</v>
      </c>
      <c r="R3290" t="str">
        <f t="shared" si="411"/>
        <v/>
      </c>
      <c r="S3290" t="str">
        <f t="shared" si="412"/>
        <v/>
      </c>
      <c r="T3290" s="403" t="str">
        <f t="shared" si="413"/>
        <v>NDE-8502-R</v>
      </c>
      <c r="U3290" s="403">
        <f t="shared" si="414"/>
        <v>1</v>
      </c>
      <c r="V3290" s="403" t="str">
        <f t="shared" si="415"/>
        <v>CPP_7_3</v>
      </c>
    </row>
    <row r="3291" spans="1:22">
      <c r="A3291" t="str">
        <f t="shared" si="408"/>
        <v>NDE-8502-R</v>
      </c>
      <c r="B3291" s="403" t="s">
        <v>1410</v>
      </c>
      <c r="C3291" s="403" t="s">
        <v>582</v>
      </c>
      <c r="D3291" s="403" t="s">
        <v>1411</v>
      </c>
      <c r="E3291" s="403" t="s">
        <v>1412</v>
      </c>
      <c r="F3291" s="403" t="s">
        <v>1292</v>
      </c>
      <c r="G3291" s="403" t="s">
        <v>1466</v>
      </c>
      <c r="H3291" s="403" t="s">
        <v>1276</v>
      </c>
      <c r="I3291" s="403">
        <v>1</v>
      </c>
      <c r="J3291" s="403" t="s">
        <v>110</v>
      </c>
      <c r="K3291" s="403">
        <v>1920</v>
      </c>
      <c r="L3291" s="403">
        <v>1080</v>
      </c>
      <c r="M3291" s="403" t="s">
        <v>110</v>
      </c>
      <c r="N3291" s="403">
        <v>1920</v>
      </c>
      <c r="O3291" s="403">
        <v>1080</v>
      </c>
      <c r="P3291" t="str">
        <f t="shared" si="409"/>
        <v>30fps 1080p - 1080p</v>
      </c>
      <c r="Q3291">
        <f t="shared" si="410"/>
        <v>19</v>
      </c>
      <c r="R3291" t="str">
        <f t="shared" si="411"/>
        <v/>
      </c>
      <c r="S3291" t="str">
        <f t="shared" si="412"/>
        <v/>
      </c>
      <c r="T3291" s="403" t="str">
        <f t="shared" si="413"/>
        <v>NDE-8502-R</v>
      </c>
      <c r="U3291" s="403">
        <f t="shared" si="414"/>
        <v>1</v>
      </c>
      <c r="V3291" s="403" t="str">
        <f t="shared" si="415"/>
        <v>CPP_7_3</v>
      </c>
    </row>
    <row r="3292" spans="1:22">
      <c r="A3292" t="str">
        <f t="shared" si="408"/>
        <v>NDE-8502-R</v>
      </c>
      <c r="B3292" s="403" t="s">
        <v>1410</v>
      </c>
      <c r="C3292" s="403" t="s">
        <v>582</v>
      </c>
      <c r="D3292" s="403" t="s">
        <v>1411</v>
      </c>
      <c r="E3292" s="403" t="s">
        <v>1412</v>
      </c>
      <c r="F3292" s="403" t="s">
        <v>1292</v>
      </c>
      <c r="G3292" s="403" t="s">
        <v>1466</v>
      </c>
      <c r="H3292" s="403" t="s">
        <v>1276</v>
      </c>
      <c r="I3292" s="403">
        <v>1</v>
      </c>
      <c r="J3292" s="403" t="s">
        <v>110</v>
      </c>
      <c r="K3292" s="403">
        <v>1920</v>
      </c>
      <c r="L3292" s="403">
        <v>1080</v>
      </c>
      <c r="M3292" s="403" t="s">
        <v>109</v>
      </c>
      <c r="N3292" s="403">
        <v>1280</v>
      </c>
      <c r="O3292" s="403">
        <v>720</v>
      </c>
      <c r="P3292" t="str">
        <f t="shared" si="409"/>
        <v>30fps 1080p - 720p</v>
      </c>
      <c r="Q3292">
        <f t="shared" si="410"/>
        <v>19</v>
      </c>
      <c r="R3292" t="str">
        <f t="shared" si="411"/>
        <v/>
      </c>
      <c r="S3292" t="str">
        <f t="shared" si="412"/>
        <v/>
      </c>
      <c r="T3292" s="403" t="str">
        <f t="shared" si="413"/>
        <v>NDE-8502-R</v>
      </c>
      <c r="U3292" s="403">
        <f t="shared" si="414"/>
        <v>1</v>
      </c>
      <c r="V3292" s="403" t="str">
        <f t="shared" si="415"/>
        <v>CPP_7_3</v>
      </c>
    </row>
    <row r="3293" spans="1:22">
      <c r="A3293" t="str">
        <f t="shared" si="408"/>
        <v>NDE-8502-R</v>
      </c>
      <c r="B3293" s="403" t="s">
        <v>1410</v>
      </c>
      <c r="C3293" s="403" t="s">
        <v>582</v>
      </c>
      <c r="D3293" s="403" t="s">
        <v>1411</v>
      </c>
      <c r="E3293" s="403" t="s">
        <v>1412</v>
      </c>
      <c r="F3293" s="403" t="s">
        <v>1292</v>
      </c>
      <c r="G3293" s="403" t="s">
        <v>1466</v>
      </c>
      <c r="H3293" s="403" t="s">
        <v>1276</v>
      </c>
      <c r="I3293" s="403">
        <v>1</v>
      </c>
      <c r="J3293" s="403" t="s">
        <v>110</v>
      </c>
      <c r="K3293" s="403">
        <v>1920</v>
      </c>
      <c r="L3293" s="403">
        <v>1080</v>
      </c>
      <c r="M3293" s="403" t="s">
        <v>1285</v>
      </c>
      <c r="N3293" s="403">
        <v>1280</v>
      </c>
      <c r="O3293" s="403">
        <v>1024</v>
      </c>
      <c r="P3293" t="str">
        <f t="shared" si="409"/>
        <v>30fps 1080p - 1280x1024 5:4 (cropped)</v>
      </c>
      <c r="Q3293">
        <f t="shared" si="410"/>
        <v>19</v>
      </c>
      <c r="R3293" t="str">
        <f t="shared" si="411"/>
        <v/>
      </c>
      <c r="S3293" t="str">
        <f t="shared" si="412"/>
        <v/>
      </c>
      <c r="T3293" s="403" t="str">
        <f t="shared" si="413"/>
        <v>NDE-8502-R</v>
      </c>
      <c r="U3293" s="403">
        <f t="shared" si="414"/>
        <v>1</v>
      </c>
      <c r="V3293" s="403" t="str">
        <f t="shared" si="415"/>
        <v>CPP_7_3</v>
      </c>
    </row>
    <row r="3294" spans="1:22">
      <c r="A3294" t="str">
        <f t="shared" si="408"/>
        <v>NDE-8502-R</v>
      </c>
      <c r="B3294" s="403" t="s">
        <v>1410</v>
      </c>
      <c r="C3294" s="403" t="s">
        <v>582</v>
      </c>
      <c r="D3294" s="403" t="s">
        <v>1411</v>
      </c>
      <c r="E3294" s="403" t="s">
        <v>1412</v>
      </c>
      <c r="F3294" s="403" t="s">
        <v>1292</v>
      </c>
      <c r="G3294" s="403" t="s">
        <v>1466</v>
      </c>
      <c r="H3294" s="403" t="s">
        <v>1276</v>
      </c>
      <c r="I3294" s="403">
        <v>1</v>
      </c>
      <c r="J3294" s="403" t="s">
        <v>110</v>
      </c>
      <c r="K3294" s="403">
        <v>1920</v>
      </c>
      <c r="L3294" s="403">
        <v>1080</v>
      </c>
      <c r="M3294" s="403" t="s">
        <v>1279</v>
      </c>
      <c r="N3294" s="403">
        <v>768</v>
      </c>
      <c r="O3294" s="403">
        <v>432</v>
      </c>
      <c r="P3294" t="str">
        <f t="shared" si="409"/>
        <v>30fps 1080p - SD ROI PTZ</v>
      </c>
      <c r="Q3294">
        <f t="shared" si="410"/>
        <v>19</v>
      </c>
      <c r="R3294" t="str">
        <f t="shared" si="411"/>
        <v/>
      </c>
      <c r="S3294" t="str">
        <f t="shared" si="412"/>
        <v/>
      </c>
      <c r="T3294" s="403" t="str">
        <f t="shared" si="413"/>
        <v>NDE-8502-R</v>
      </c>
      <c r="U3294" s="403">
        <f t="shared" si="414"/>
        <v>1</v>
      </c>
      <c r="V3294" s="403" t="str">
        <f t="shared" si="415"/>
        <v>CPP_7_3</v>
      </c>
    </row>
    <row r="3295" spans="1:22">
      <c r="A3295" t="str">
        <f t="shared" si="408"/>
        <v>NDE-8502-R</v>
      </c>
      <c r="B3295" s="403" t="s">
        <v>1410</v>
      </c>
      <c r="C3295" s="403" t="s">
        <v>582</v>
      </c>
      <c r="D3295" s="403" t="s">
        <v>1411</v>
      </c>
      <c r="E3295" s="403" t="s">
        <v>1412</v>
      </c>
      <c r="F3295" s="403" t="s">
        <v>1292</v>
      </c>
      <c r="G3295" s="403" t="s">
        <v>1466</v>
      </c>
      <c r="H3295" s="403" t="s">
        <v>1276</v>
      </c>
      <c r="I3295" s="403">
        <v>1</v>
      </c>
      <c r="J3295" s="403" t="s">
        <v>110</v>
      </c>
      <c r="K3295" s="403">
        <v>1920</v>
      </c>
      <c r="L3295" s="403">
        <v>1080</v>
      </c>
      <c r="M3295" s="403" t="s">
        <v>1283</v>
      </c>
      <c r="N3295" s="403">
        <v>720</v>
      </c>
      <c r="O3295" s="403">
        <v>480</v>
      </c>
      <c r="P3295" t="str">
        <f t="shared" si="409"/>
        <v>30fps 1080p - SD 4CIF resolution 4:3 format (cropped)</v>
      </c>
      <c r="Q3295">
        <f t="shared" si="410"/>
        <v>19</v>
      </c>
      <c r="R3295" t="str">
        <f t="shared" si="411"/>
        <v/>
      </c>
      <c r="S3295" t="str">
        <f t="shared" si="412"/>
        <v/>
      </c>
      <c r="T3295" s="403" t="str">
        <f t="shared" si="413"/>
        <v>NDE-8502-R</v>
      </c>
      <c r="U3295" s="403">
        <f t="shared" si="414"/>
        <v>1</v>
      </c>
      <c r="V3295" s="403" t="str">
        <f t="shared" si="415"/>
        <v>CPP_7_3</v>
      </c>
    </row>
    <row r="3296" spans="1:22">
      <c r="A3296" t="str">
        <f t="shared" si="408"/>
        <v>NDE-8502-R</v>
      </c>
      <c r="B3296" s="403" t="s">
        <v>1410</v>
      </c>
      <c r="C3296" s="403" t="s">
        <v>582</v>
      </c>
      <c r="D3296" s="403" t="s">
        <v>1411</v>
      </c>
      <c r="E3296" s="403" t="s">
        <v>1412</v>
      </c>
      <c r="F3296" s="403" t="s">
        <v>1292</v>
      </c>
      <c r="G3296" s="403" t="s">
        <v>1466</v>
      </c>
      <c r="H3296" s="403" t="s">
        <v>1276</v>
      </c>
      <c r="I3296" s="403">
        <v>1</v>
      </c>
      <c r="J3296" s="403" t="s">
        <v>110</v>
      </c>
      <c r="K3296" s="403">
        <v>1920</v>
      </c>
      <c r="L3296" s="403">
        <v>1080</v>
      </c>
      <c r="M3296" s="403" t="s">
        <v>1284</v>
      </c>
      <c r="N3296" s="403">
        <v>640</v>
      </c>
      <c r="O3296" s="403">
        <v>480</v>
      </c>
      <c r="P3296" t="str">
        <f t="shared" si="409"/>
        <v>30fps 1080p - SD VGA (cropped)</v>
      </c>
      <c r="Q3296">
        <f t="shared" si="410"/>
        <v>19</v>
      </c>
      <c r="R3296" t="str">
        <f t="shared" si="411"/>
        <v/>
      </c>
      <c r="S3296" t="str">
        <f t="shared" si="412"/>
        <v/>
      </c>
      <c r="T3296" s="403" t="str">
        <f t="shared" si="413"/>
        <v>NDE-8502-R</v>
      </c>
      <c r="U3296" s="403">
        <f t="shared" si="414"/>
        <v>1</v>
      </c>
      <c r="V3296" s="403" t="str">
        <f t="shared" si="415"/>
        <v>CPP_7_3</v>
      </c>
    </row>
    <row r="3297" spans="1:22">
      <c r="A3297" t="str">
        <f t="shared" si="408"/>
        <v>NDE-8502-R</v>
      </c>
      <c r="B3297" s="403" t="s">
        <v>1410</v>
      </c>
      <c r="C3297" s="403" t="s">
        <v>582</v>
      </c>
      <c r="D3297" s="403" t="s">
        <v>1411</v>
      </c>
      <c r="E3297" s="403" t="s">
        <v>1412</v>
      </c>
      <c r="F3297" s="403" t="s">
        <v>1292</v>
      </c>
      <c r="G3297" s="403" t="s">
        <v>1466</v>
      </c>
      <c r="H3297" s="403" t="s">
        <v>1276</v>
      </c>
      <c r="I3297" s="403">
        <v>1</v>
      </c>
      <c r="J3297" s="403" t="s">
        <v>109</v>
      </c>
      <c r="K3297" s="403">
        <v>1280</v>
      </c>
      <c r="L3297" s="403">
        <v>720</v>
      </c>
      <c r="M3297" s="403" t="s">
        <v>109</v>
      </c>
      <c r="N3297" s="403">
        <v>1280</v>
      </c>
      <c r="O3297" s="403">
        <v>720</v>
      </c>
      <c r="P3297" t="str">
        <f t="shared" si="409"/>
        <v>30fps 720p - 720p</v>
      </c>
      <c r="Q3297">
        <f t="shared" si="410"/>
        <v>19</v>
      </c>
      <c r="R3297" t="str">
        <f t="shared" si="411"/>
        <v/>
      </c>
      <c r="S3297" t="str">
        <f t="shared" si="412"/>
        <v/>
      </c>
      <c r="T3297" s="403" t="str">
        <f t="shared" si="413"/>
        <v>NDE-8502-R</v>
      </c>
      <c r="U3297" s="403">
        <f t="shared" si="414"/>
        <v>1</v>
      </c>
      <c r="V3297" s="403" t="str">
        <f t="shared" si="415"/>
        <v>CPP_7_3</v>
      </c>
    </row>
    <row r="3298" spans="1:22">
      <c r="A3298" t="str">
        <f t="shared" si="408"/>
        <v>NDE-8502-R</v>
      </c>
      <c r="B3298" s="403" t="s">
        <v>1410</v>
      </c>
      <c r="C3298" s="403" t="s">
        <v>582</v>
      </c>
      <c r="D3298" s="403" t="s">
        <v>1411</v>
      </c>
      <c r="E3298" s="403" t="s">
        <v>1412</v>
      </c>
      <c r="F3298" s="403" t="s">
        <v>1292</v>
      </c>
      <c r="G3298" s="403" t="s">
        <v>1466</v>
      </c>
      <c r="H3298" s="403" t="s">
        <v>1276</v>
      </c>
      <c r="I3298" s="403">
        <v>1</v>
      </c>
      <c r="J3298" s="403" t="s">
        <v>109</v>
      </c>
      <c r="K3298" s="403">
        <v>1280</v>
      </c>
      <c r="L3298" s="403">
        <v>720</v>
      </c>
      <c r="M3298" s="403" t="s">
        <v>111</v>
      </c>
      <c r="N3298" s="403">
        <v>768</v>
      </c>
      <c r="O3298" s="403">
        <v>432</v>
      </c>
      <c r="P3298" t="str">
        <f t="shared" si="409"/>
        <v>30fps 720p - SD</v>
      </c>
      <c r="Q3298">
        <f t="shared" si="410"/>
        <v>19</v>
      </c>
      <c r="R3298" t="str">
        <f t="shared" si="411"/>
        <v/>
      </c>
      <c r="S3298" t="str">
        <f t="shared" si="412"/>
        <v/>
      </c>
      <c r="T3298" s="403" t="str">
        <f t="shared" si="413"/>
        <v>NDE-8502-R</v>
      </c>
      <c r="U3298" s="403">
        <f t="shared" si="414"/>
        <v>1</v>
      </c>
      <c r="V3298" s="403" t="str">
        <f t="shared" si="415"/>
        <v>CPP_7_3</v>
      </c>
    </row>
    <row r="3299" spans="1:22">
      <c r="A3299" t="str">
        <f t="shared" si="408"/>
        <v>NDE-8502-R</v>
      </c>
      <c r="B3299" s="403" t="s">
        <v>1410</v>
      </c>
      <c r="C3299" s="403" t="s">
        <v>582</v>
      </c>
      <c r="D3299" s="403" t="s">
        <v>1411</v>
      </c>
      <c r="E3299" s="403" t="s">
        <v>1412</v>
      </c>
      <c r="F3299" s="403" t="s">
        <v>1292</v>
      </c>
      <c r="G3299" s="403" t="s">
        <v>1466</v>
      </c>
      <c r="H3299" s="403" t="s">
        <v>1276</v>
      </c>
      <c r="I3299" s="403">
        <v>1</v>
      </c>
      <c r="J3299" s="403" t="s">
        <v>109</v>
      </c>
      <c r="K3299" s="403">
        <v>1280</v>
      </c>
      <c r="L3299" s="403">
        <v>720</v>
      </c>
      <c r="M3299" s="403" t="s">
        <v>1279</v>
      </c>
      <c r="N3299" s="403">
        <v>768</v>
      </c>
      <c r="O3299" s="403">
        <v>432</v>
      </c>
      <c r="P3299" t="str">
        <f t="shared" si="409"/>
        <v>30fps 720p - SD ROI PTZ</v>
      </c>
      <c r="Q3299">
        <f t="shared" si="410"/>
        <v>19</v>
      </c>
      <c r="R3299" t="str">
        <f t="shared" si="411"/>
        <v/>
      </c>
      <c r="S3299" t="str">
        <f t="shared" si="412"/>
        <v/>
      </c>
      <c r="T3299" s="403" t="str">
        <f t="shared" si="413"/>
        <v>NDE-8502-R</v>
      </c>
      <c r="U3299" s="403">
        <f t="shared" si="414"/>
        <v>1</v>
      </c>
      <c r="V3299" s="403" t="str">
        <f t="shared" si="415"/>
        <v>CPP_7_3</v>
      </c>
    </row>
    <row r="3300" spans="1:22">
      <c r="A3300" t="str">
        <f t="shared" si="408"/>
        <v>NDE-8502-R</v>
      </c>
      <c r="B3300" s="403" t="s">
        <v>1410</v>
      </c>
      <c r="C3300" s="403" t="s">
        <v>582</v>
      </c>
      <c r="D3300" s="403" t="s">
        <v>1411</v>
      </c>
      <c r="E3300" s="403" t="s">
        <v>1412</v>
      </c>
      <c r="F3300" s="403" t="s">
        <v>1292</v>
      </c>
      <c r="G3300" s="403" t="s">
        <v>1466</v>
      </c>
      <c r="H3300" s="403" t="s">
        <v>1276</v>
      </c>
      <c r="I3300" s="403">
        <v>1</v>
      </c>
      <c r="J3300" s="403" t="s">
        <v>109</v>
      </c>
      <c r="K3300" s="403">
        <v>1280</v>
      </c>
      <c r="L3300" s="403">
        <v>720</v>
      </c>
      <c r="M3300" s="403" t="s">
        <v>1283</v>
      </c>
      <c r="N3300" s="403">
        <v>720</v>
      </c>
      <c r="O3300" s="403">
        <v>480</v>
      </c>
      <c r="P3300" t="str">
        <f t="shared" si="409"/>
        <v>30fps 720p - SD 4CIF resolution 4:3 format (cropped)</v>
      </c>
      <c r="Q3300">
        <f t="shared" si="410"/>
        <v>19</v>
      </c>
      <c r="R3300" t="str">
        <f t="shared" si="411"/>
        <v/>
      </c>
      <c r="S3300" t="str">
        <f t="shared" si="412"/>
        <v/>
      </c>
      <c r="T3300" s="403" t="str">
        <f t="shared" si="413"/>
        <v>NDE-8502-R</v>
      </c>
      <c r="U3300" s="403">
        <f t="shared" si="414"/>
        <v>1</v>
      </c>
      <c r="V3300" s="403" t="str">
        <f t="shared" si="415"/>
        <v>CPP_7_3</v>
      </c>
    </row>
    <row r="3301" spans="1:22">
      <c r="A3301" t="str">
        <f t="shared" si="408"/>
        <v>NDE-8502-R</v>
      </c>
      <c r="B3301" s="403" t="s">
        <v>1410</v>
      </c>
      <c r="C3301" s="403" t="s">
        <v>582</v>
      </c>
      <c r="D3301" s="403" t="s">
        <v>1411</v>
      </c>
      <c r="E3301" s="403" t="s">
        <v>1412</v>
      </c>
      <c r="F3301" s="403" t="s">
        <v>1292</v>
      </c>
      <c r="G3301" s="403" t="s">
        <v>1466</v>
      </c>
      <c r="H3301" s="403" t="s">
        <v>1276</v>
      </c>
      <c r="I3301" s="403">
        <v>1</v>
      </c>
      <c r="J3301" s="403" t="s">
        <v>109</v>
      </c>
      <c r="K3301" s="403">
        <v>1280</v>
      </c>
      <c r="L3301" s="403">
        <v>720</v>
      </c>
      <c r="M3301" s="403" t="s">
        <v>1284</v>
      </c>
      <c r="N3301" s="403">
        <v>640</v>
      </c>
      <c r="O3301" s="403">
        <v>480</v>
      </c>
      <c r="P3301" t="str">
        <f t="shared" si="409"/>
        <v>30fps 720p - SD VGA (cropped)</v>
      </c>
      <c r="Q3301">
        <f t="shared" si="410"/>
        <v>19</v>
      </c>
      <c r="R3301" t="str">
        <f t="shared" si="411"/>
        <v/>
      </c>
      <c r="S3301" t="str">
        <f t="shared" si="412"/>
        <v/>
      </c>
      <c r="T3301" s="403" t="str">
        <f t="shared" si="413"/>
        <v>NDE-8502-R</v>
      </c>
      <c r="U3301" s="403">
        <f t="shared" si="414"/>
        <v>1</v>
      </c>
      <c r="V3301" s="403" t="str">
        <f t="shared" si="415"/>
        <v>CPP_7_3</v>
      </c>
    </row>
    <row r="3302" spans="1:22">
      <c r="A3302" t="str">
        <f t="shared" si="408"/>
        <v>NDE-8502-R</v>
      </c>
      <c r="B3302" s="403" t="s">
        <v>1410</v>
      </c>
      <c r="C3302" s="403" t="s">
        <v>582</v>
      </c>
      <c r="D3302" s="403" t="s">
        <v>1411</v>
      </c>
      <c r="E3302" s="403" t="s">
        <v>1412</v>
      </c>
      <c r="F3302" s="403" t="s">
        <v>1292</v>
      </c>
      <c r="G3302" s="403" t="s">
        <v>1466</v>
      </c>
      <c r="H3302" s="403" t="s">
        <v>1281</v>
      </c>
      <c r="I3302" s="403">
        <v>1</v>
      </c>
      <c r="J3302" s="403" t="s">
        <v>110</v>
      </c>
      <c r="K3302" s="403">
        <v>1920</v>
      </c>
      <c r="L3302" s="403">
        <v>1080</v>
      </c>
      <c r="M3302" s="403" t="s">
        <v>111</v>
      </c>
      <c r="N3302" s="403">
        <v>768</v>
      </c>
      <c r="O3302" s="403">
        <v>432</v>
      </c>
      <c r="P3302" t="str">
        <f t="shared" si="409"/>
        <v>30fps 1080p - SD</v>
      </c>
      <c r="Q3302">
        <f t="shared" si="410"/>
        <v>19</v>
      </c>
      <c r="R3302" t="str">
        <f t="shared" si="411"/>
        <v/>
      </c>
      <c r="S3302" t="str">
        <f t="shared" si="412"/>
        <v/>
      </c>
      <c r="T3302" s="403" t="str">
        <f t="shared" si="413"/>
        <v>NDE-8502-R</v>
      </c>
      <c r="U3302" s="403">
        <f t="shared" si="414"/>
        <v>1</v>
      </c>
      <c r="V3302" s="403" t="str">
        <f t="shared" si="415"/>
        <v>CPP_7_3</v>
      </c>
    </row>
    <row r="3303" spans="1:22">
      <c r="A3303" t="str">
        <f t="shared" si="408"/>
        <v>NDE-8502-R</v>
      </c>
      <c r="B3303" s="403" t="s">
        <v>1410</v>
      </c>
      <c r="C3303" s="403" t="s">
        <v>582</v>
      </c>
      <c r="D3303" s="403" t="s">
        <v>1411</v>
      </c>
      <c r="E3303" s="403" t="s">
        <v>1412</v>
      </c>
      <c r="F3303" s="403" t="s">
        <v>1292</v>
      </c>
      <c r="G3303" s="403" t="s">
        <v>1466</v>
      </c>
      <c r="H3303" s="403" t="s">
        <v>1281</v>
      </c>
      <c r="I3303" s="403">
        <v>1</v>
      </c>
      <c r="J3303" s="403" t="s">
        <v>110</v>
      </c>
      <c r="K3303" s="403">
        <v>1920</v>
      </c>
      <c r="L3303" s="403">
        <v>1080</v>
      </c>
      <c r="M3303" s="403" t="s">
        <v>110</v>
      </c>
      <c r="N3303" s="403">
        <v>1920</v>
      </c>
      <c r="O3303" s="403">
        <v>1080</v>
      </c>
      <c r="P3303" t="str">
        <f t="shared" si="409"/>
        <v>30fps 1080p - 1080p</v>
      </c>
      <c r="Q3303">
        <f t="shared" si="410"/>
        <v>19</v>
      </c>
      <c r="R3303" t="str">
        <f t="shared" si="411"/>
        <v/>
      </c>
      <c r="S3303" t="str">
        <f t="shared" si="412"/>
        <v/>
      </c>
      <c r="T3303" s="403" t="str">
        <f t="shared" si="413"/>
        <v>NDE-8502-R</v>
      </c>
      <c r="U3303" s="403">
        <f t="shared" si="414"/>
        <v>1</v>
      </c>
      <c r="V3303" s="403" t="str">
        <f t="shared" si="415"/>
        <v>CPP_7_3</v>
      </c>
    </row>
    <row r="3304" spans="1:22">
      <c r="A3304" t="str">
        <f t="shared" si="408"/>
        <v>NDE-8502-R</v>
      </c>
      <c r="B3304" s="403" t="s">
        <v>1410</v>
      </c>
      <c r="C3304" s="403" t="s">
        <v>582</v>
      </c>
      <c r="D3304" s="403" t="s">
        <v>1411</v>
      </c>
      <c r="E3304" s="403" t="s">
        <v>1412</v>
      </c>
      <c r="F3304" s="403" t="s">
        <v>1292</v>
      </c>
      <c r="G3304" s="403" t="s">
        <v>1466</v>
      </c>
      <c r="H3304" s="403" t="s">
        <v>1281</v>
      </c>
      <c r="I3304" s="403">
        <v>1</v>
      </c>
      <c r="J3304" s="403" t="s">
        <v>110</v>
      </c>
      <c r="K3304" s="403">
        <v>1920</v>
      </c>
      <c r="L3304" s="403">
        <v>1080</v>
      </c>
      <c r="M3304" s="403" t="s">
        <v>109</v>
      </c>
      <c r="N3304" s="403">
        <v>1280</v>
      </c>
      <c r="O3304" s="403">
        <v>720</v>
      </c>
      <c r="P3304" t="str">
        <f t="shared" si="409"/>
        <v>30fps 1080p - 720p</v>
      </c>
      <c r="Q3304">
        <f t="shared" si="410"/>
        <v>19</v>
      </c>
      <c r="R3304" t="str">
        <f t="shared" si="411"/>
        <v/>
      </c>
      <c r="S3304" t="str">
        <f t="shared" si="412"/>
        <v/>
      </c>
      <c r="T3304" s="403" t="str">
        <f t="shared" si="413"/>
        <v>NDE-8502-R</v>
      </c>
      <c r="U3304" s="403">
        <f t="shared" si="414"/>
        <v>1</v>
      </c>
      <c r="V3304" s="403" t="str">
        <f t="shared" si="415"/>
        <v>CPP_7_3</v>
      </c>
    </row>
    <row r="3305" spans="1:22">
      <c r="A3305" t="str">
        <f t="shared" si="408"/>
        <v>NDE-8502-R</v>
      </c>
      <c r="B3305" s="403" t="s">
        <v>1410</v>
      </c>
      <c r="C3305" s="403" t="s">
        <v>582</v>
      </c>
      <c r="D3305" s="403" t="s">
        <v>1411</v>
      </c>
      <c r="E3305" s="403" t="s">
        <v>1412</v>
      </c>
      <c r="F3305" s="403" t="s">
        <v>1292</v>
      </c>
      <c r="G3305" s="403" t="s">
        <v>1466</v>
      </c>
      <c r="H3305" s="403" t="s">
        <v>1281</v>
      </c>
      <c r="I3305" s="403">
        <v>1</v>
      </c>
      <c r="J3305" s="403" t="s">
        <v>110</v>
      </c>
      <c r="K3305" s="403">
        <v>1920</v>
      </c>
      <c r="L3305" s="403">
        <v>1080</v>
      </c>
      <c r="M3305" s="403" t="s">
        <v>1285</v>
      </c>
      <c r="N3305" s="403">
        <v>1280</v>
      </c>
      <c r="O3305" s="403">
        <v>1024</v>
      </c>
      <c r="P3305" t="str">
        <f t="shared" si="409"/>
        <v>30fps 1080p - 1280x1024 5:4 (cropped)</v>
      </c>
      <c r="Q3305">
        <f t="shared" si="410"/>
        <v>19</v>
      </c>
      <c r="R3305" t="str">
        <f t="shared" si="411"/>
        <v/>
      </c>
      <c r="S3305" t="str">
        <f t="shared" si="412"/>
        <v/>
      </c>
      <c r="T3305" s="403" t="str">
        <f t="shared" si="413"/>
        <v>NDE-8502-R</v>
      </c>
      <c r="U3305" s="403">
        <f t="shared" si="414"/>
        <v>1</v>
      </c>
      <c r="V3305" s="403" t="str">
        <f t="shared" si="415"/>
        <v>CPP_7_3</v>
      </c>
    </row>
    <row r="3306" spans="1:22">
      <c r="A3306" t="str">
        <f t="shared" si="408"/>
        <v>NDE-8502-R</v>
      </c>
      <c r="B3306" s="403" t="s">
        <v>1410</v>
      </c>
      <c r="C3306" s="403" t="s">
        <v>582</v>
      </c>
      <c r="D3306" s="403" t="s">
        <v>1411</v>
      </c>
      <c r="E3306" s="403" t="s">
        <v>1412</v>
      </c>
      <c r="F3306" s="403" t="s">
        <v>1292</v>
      </c>
      <c r="G3306" s="403" t="s">
        <v>1466</v>
      </c>
      <c r="H3306" s="403" t="s">
        <v>1281</v>
      </c>
      <c r="I3306" s="403">
        <v>1</v>
      </c>
      <c r="J3306" s="403" t="s">
        <v>110</v>
      </c>
      <c r="K3306" s="403">
        <v>1920</v>
      </c>
      <c r="L3306" s="403">
        <v>1080</v>
      </c>
      <c r="M3306" s="403" t="s">
        <v>1279</v>
      </c>
      <c r="N3306" s="403">
        <v>768</v>
      </c>
      <c r="O3306" s="403">
        <v>432</v>
      </c>
      <c r="P3306" t="str">
        <f t="shared" si="409"/>
        <v>30fps 1080p - SD ROI PTZ</v>
      </c>
      <c r="Q3306">
        <f t="shared" si="410"/>
        <v>19</v>
      </c>
      <c r="R3306" t="str">
        <f t="shared" si="411"/>
        <v/>
      </c>
      <c r="S3306" t="str">
        <f t="shared" si="412"/>
        <v/>
      </c>
      <c r="T3306" s="403" t="str">
        <f t="shared" si="413"/>
        <v>NDE-8502-R</v>
      </c>
      <c r="U3306" s="403">
        <f t="shared" si="414"/>
        <v>1</v>
      </c>
      <c r="V3306" s="403" t="str">
        <f t="shared" si="415"/>
        <v>CPP_7_3</v>
      </c>
    </row>
    <row r="3307" spans="1:22">
      <c r="A3307" t="str">
        <f t="shared" si="408"/>
        <v>NDE-8502-R</v>
      </c>
      <c r="B3307" s="403" t="s">
        <v>1410</v>
      </c>
      <c r="C3307" s="403" t="s">
        <v>582</v>
      </c>
      <c r="D3307" s="403" t="s">
        <v>1411</v>
      </c>
      <c r="E3307" s="403" t="s">
        <v>1412</v>
      </c>
      <c r="F3307" s="403" t="s">
        <v>1292</v>
      </c>
      <c r="G3307" s="403" t="s">
        <v>1466</v>
      </c>
      <c r="H3307" s="403" t="s">
        <v>1281</v>
      </c>
      <c r="I3307" s="403">
        <v>1</v>
      </c>
      <c r="J3307" s="403" t="s">
        <v>110</v>
      </c>
      <c r="K3307" s="403">
        <v>1920</v>
      </c>
      <c r="L3307" s="403">
        <v>1080</v>
      </c>
      <c r="M3307" s="403" t="s">
        <v>1283</v>
      </c>
      <c r="N3307" s="403">
        <v>720</v>
      </c>
      <c r="O3307" s="403">
        <v>480</v>
      </c>
      <c r="P3307" t="str">
        <f t="shared" si="409"/>
        <v>30fps 1080p - SD 4CIF resolution 4:3 format (cropped)</v>
      </c>
      <c r="Q3307">
        <f t="shared" si="410"/>
        <v>19</v>
      </c>
      <c r="R3307" t="str">
        <f t="shared" si="411"/>
        <v/>
      </c>
      <c r="S3307" t="str">
        <f t="shared" si="412"/>
        <v/>
      </c>
      <c r="T3307" s="403" t="str">
        <f t="shared" si="413"/>
        <v>NDE-8502-R</v>
      </c>
      <c r="U3307" s="403">
        <f t="shared" si="414"/>
        <v>1</v>
      </c>
      <c r="V3307" s="403" t="str">
        <f t="shared" si="415"/>
        <v>CPP_7_3</v>
      </c>
    </row>
    <row r="3308" spans="1:22">
      <c r="A3308" t="str">
        <f t="shared" si="408"/>
        <v>NDE-8502-R</v>
      </c>
      <c r="B3308" s="403" t="s">
        <v>1410</v>
      </c>
      <c r="C3308" s="403" t="s">
        <v>582</v>
      </c>
      <c r="D3308" s="403" t="s">
        <v>1411</v>
      </c>
      <c r="E3308" s="403" t="s">
        <v>1412</v>
      </c>
      <c r="F3308" s="403" t="s">
        <v>1292</v>
      </c>
      <c r="G3308" s="403" t="s">
        <v>1466</v>
      </c>
      <c r="H3308" s="403" t="s">
        <v>1281</v>
      </c>
      <c r="I3308" s="403">
        <v>1</v>
      </c>
      <c r="J3308" s="403" t="s">
        <v>110</v>
      </c>
      <c r="K3308" s="403">
        <v>1920</v>
      </c>
      <c r="L3308" s="403">
        <v>1080</v>
      </c>
      <c r="M3308" s="403" t="s">
        <v>1284</v>
      </c>
      <c r="N3308" s="403">
        <v>640</v>
      </c>
      <c r="O3308" s="403">
        <v>480</v>
      </c>
      <c r="P3308" t="str">
        <f t="shared" si="409"/>
        <v>30fps 1080p - SD VGA (cropped)</v>
      </c>
      <c r="Q3308">
        <f t="shared" si="410"/>
        <v>19</v>
      </c>
      <c r="R3308" t="str">
        <f t="shared" si="411"/>
        <v/>
      </c>
      <c r="S3308" t="str">
        <f t="shared" si="412"/>
        <v/>
      </c>
      <c r="T3308" s="403" t="str">
        <f t="shared" si="413"/>
        <v>NDE-8502-R</v>
      </c>
      <c r="U3308" s="403">
        <f t="shared" si="414"/>
        <v>1</v>
      </c>
      <c r="V3308" s="403" t="str">
        <f t="shared" si="415"/>
        <v>CPP_7_3</v>
      </c>
    </row>
    <row r="3309" spans="1:22">
      <c r="A3309" t="str">
        <f t="shared" si="408"/>
        <v>NDE-8502-R</v>
      </c>
      <c r="B3309" s="403" t="s">
        <v>1410</v>
      </c>
      <c r="C3309" s="403" t="s">
        <v>582</v>
      </c>
      <c r="D3309" s="403" t="s">
        <v>1411</v>
      </c>
      <c r="E3309" s="403" t="s">
        <v>1412</v>
      </c>
      <c r="F3309" s="403" t="s">
        <v>1292</v>
      </c>
      <c r="G3309" s="403" t="s">
        <v>1466</v>
      </c>
      <c r="H3309" s="403" t="s">
        <v>1281</v>
      </c>
      <c r="I3309" s="403">
        <v>1</v>
      </c>
      <c r="J3309" s="403" t="s">
        <v>109</v>
      </c>
      <c r="K3309" s="403">
        <v>1280</v>
      </c>
      <c r="L3309" s="403">
        <v>720</v>
      </c>
      <c r="M3309" s="403" t="s">
        <v>109</v>
      </c>
      <c r="N3309" s="403">
        <v>1280</v>
      </c>
      <c r="O3309" s="403">
        <v>720</v>
      </c>
      <c r="P3309" t="str">
        <f t="shared" si="409"/>
        <v>30fps 720p - 720p</v>
      </c>
      <c r="Q3309">
        <f t="shared" si="410"/>
        <v>19</v>
      </c>
      <c r="R3309" t="str">
        <f t="shared" si="411"/>
        <v/>
      </c>
      <c r="S3309" t="str">
        <f t="shared" si="412"/>
        <v/>
      </c>
      <c r="T3309" s="403" t="str">
        <f t="shared" si="413"/>
        <v>NDE-8502-R</v>
      </c>
      <c r="U3309" s="403">
        <f t="shared" si="414"/>
        <v>1</v>
      </c>
      <c r="V3309" s="403" t="str">
        <f t="shared" si="415"/>
        <v>CPP_7_3</v>
      </c>
    </row>
    <row r="3310" spans="1:22">
      <c r="A3310" t="str">
        <f t="shared" si="408"/>
        <v>NDE-8502-R</v>
      </c>
      <c r="B3310" s="403" t="s">
        <v>1410</v>
      </c>
      <c r="C3310" s="403" t="s">
        <v>582</v>
      </c>
      <c r="D3310" s="403" t="s">
        <v>1411</v>
      </c>
      <c r="E3310" s="403" t="s">
        <v>1412</v>
      </c>
      <c r="F3310" s="403" t="s">
        <v>1292</v>
      </c>
      <c r="G3310" s="403" t="s">
        <v>1466</v>
      </c>
      <c r="H3310" s="403" t="s">
        <v>1281</v>
      </c>
      <c r="I3310" s="403">
        <v>1</v>
      </c>
      <c r="J3310" s="403" t="s">
        <v>109</v>
      </c>
      <c r="K3310" s="403">
        <v>1280</v>
      </c>
      <c r="L3310" s="403">
        <v>720</v>
      </c>
      <c r="M3310" s="403" t="s">
        <v>111</v>
      </c>
      <c r="N3310" s="403">
        <v>768</v>
      </c>
      <c r="O3310" s="403">
        <v>432</v>
      </c>
      <c r="P3310" t="str">
        <f t="shared" si="409"/>
        <v>30fps 720p - SD</v>
      </c>
      <c r="Q3310">
        <f t="shared" si="410"/>
        <v>19</v>
      </c>
      <c r="R3310" t="str">
        <f t="shared" si="411"/>
        <v/>
      </c>
      <c r="S3310" t="str">
        <f t="shared" si="412"/>
        <v/>
      </c>
      <c r="T3310" s="403" t="str">
        <f t="shared" si="413"/>
        <v>NDE-8502-R</v>
      </c>
      <c r="U3310" s="403">
        <f t="shared" si="414"/>
        <v>1</v>
      </c>
      <c r="V3310" s="403" t="str">
        <f t="shared" si="415"/>
        <v>CPP_7_3</v>
      </c>
    </row>
    <row r="3311" spans="1:22">
      <c r="A3311" t="str">
        <f t="shared" si="408"/>
        <v>NDE-8502-R</v>
      </c>
      <c r="B3311" s="403" t="s">
        <v>1410</v>
      </c>
      <c r="C3311" s="403" t="s">
        <v>582</v>
      </c>
      <c r="D3311" s="403" t="s">
        <v>1411</v>
      </c>
      <c r="E3311" s="403" t="s">
        <v>1412</v>
      </c>
      <c r="F3311" s="403" t="s">
        <v>1292</v>
      </c>
      <c r="G3311" s="403" t="s">
        <v>1466</v>
      </c>
      <c r="H3311" s="403" t="s">
        <v>1281</v>
      </c>
      <c r="I3311" s="403">
        <v>1</v>
      </c>
      <c r="J3311" s="403" t="s">
        <v>109</v>
      </c>
      <c r="K3311" s="403">
        <v>1280</v>
      </c>
      <c r="L3311" s="403">
        <v>720</v>
      </c>
      <c r="M3311" s="403" t="s">
        <v>1279</v>
      </c>
      <c r="N3311" s="403">
        <v>768</v>
      </c>
      <c r="O3311" s="403">
        <v>432</v>
      </c>
      <c r="P3311" t="str">
        <f t="shared" si="409"/>
        <v>30fps 720p - SD ROI PTZ</v>
      </c>
      <c r="Q3311">
        <f t="shared" si="410"/>
        <v>19</v>
      </c>
      <c r="R3311" t="str">
        <f t="shared" si="411"/>
        <v/>
      </c>
      <c r="S3311" t="str">
        <f t="shared" si="412"/>
        <v/>
      </c>
      <c r="T3311" s="403" t="str">
        <f t="shared" si="413"/>
        <v>NDE-8502-R</v>
      </c>
      <c r="U3311" s="403">
        <f t="shared" si="414"/>
        <v>1</v>
      </c>
      <c r="V3311" s="403" t="str">
        <f t="shared" si="415"/>
        <v>CPP_7_3</v>
      </c>
    </row>
    <row r="3312" spans="1:22">
      <c r="A3312" t="str">
        <f t="shared" si="408"/>
        <v>NDE-8502-R</v>
      </c>
      <c r="B3312" s="403" t="s">
        <v>1410</v>
      </c>
      <c r="C3312" s="403" t="s">
        <v>582</v>
      </c>
      <c r="D3312" s="403" t="s">
        <v>1411</v>
      </c>
      <c r="E3312" s="403" t="s">
        <v>1412</v>
      </c>
      <c r="F3312" s="403" t="s">
        <v>1292</v>
      </c>
      <c r="G3312" s="403" t="s">
        <v>1466</v>
      </c>
      <c r="H3312" s="403" t="s">
        <v>1281</v>
      </c>
      <c r="I3312" s="403">
        <v>1</v>
      </c>
      <c r="J3312" s="403" t="s">
        <v>109</v>
      </c>
      <c r="K3312" s="403">
        <v>1280</v>
      </c>
      <c r="L3312" s="403">
        <v>720</v>
      </c>
      <c r="M3312" s="403" t="s">
        <v>1283</v>
      </c>
      <c r="N3312" s="403">
        <v>720</v>
      </c>
      <c r="O3312" s="403">
        <v>480</v>
      </c>
      <c r="P3312" t="str">
        <f t="shared" si="409"/>
        <v>30fps 720p - SD 4CIF resolution 4:3 format (cropped)</v>
      </c>
      <c r="Q3312">
        <f t="shared" si="410"/>
        <v>19</v>
      </c>
      <c r="R3312" t="str">
        <f t="shared" si="411"/>
        <v/>
      </c>
      <c r="S3312" t="str">
        <f t="shared" si="412"/>
        <v/>
      </c>
      <c r="T3312" s="403" t="str">
        <f t="shared" si="413"/>
        <v>NDE-8502-R</v>
      </c>
      <c r="U3312" s="403">
        <f t="shared" si="414"/>
        <v>1</v>
      </c>
      <c r="V3312" s="403" t="str">
        <f t="shared" si="415"/>
        <v>CPP_7_3</v>
      </c>
    </row>
    <row r="3313" spans="1:22">
      <c r="A3313" t="str">
        <f t="shared" si="408"/>
        <v>NDE-8502-R</v>
      </c>
      <c r="B3313" s="403" t="s">
        <v>1410</v>
      </c>
      <c r="C3313" s="403" t="s">
        <v>582</v>
      </c>
      <c r="D3313" s="403" t="s">
        <v>1411</v>
      </c>
      <c r="E3313" s="403" t="s">
        <v>1412</v>
      </c>
      <c r="F3313" s="403" t="s">
        <v>1292</v>
      </c>
      <c r="G3313" s="403" t="s">
        <v>1466</v>
      </c>
      <c r="H3313" s="403" t="s">
        <v>1281</v>
      </c>
      <c r="I3313" s="403">
        <v>1</v>
      </c>
      <c r="J3313" s="403" t="s">
        <v>109</v>
      </c>
      <c r="K3313" s="403">
        <v>1280</v>
      </c>
      <c r="L3313" s="403">
        <v>720</v>
      </c>
      <c r="M3313" s="403" t="s">
        <v>1284</v>
      </c>
      <c r="N3313" s="403">
        <v>640</v>
      </c>
      <c r="O3313" s="403">
        <v>480</v>
      </c>
      <c r="P3313" t="str">
        <f t="shared" si="409"/>
        <v>30fps 720p - SD VGA (cropped)</v>
      </c>
      <c r="Q3313">
        <f t="shared" si="410"/>
        <v>19</v>
      </c>
      <c r="R3313" t="str">
        <f t="shared" si="411"/>
        <v/>
      </c>
      <c r="S3313" t="str">
        <f t="shared" si="412"/>
        <v/>
      </c>
      <c r="T3313" s="403" t="str">
        <f t="shared" si="413"/>
        <v>NDE-8502-R</v>
      </c>
      <c r="U3313" s="403">
        <f t="shared" si="414"/>
        <v>1</v>
      </c>
      <c r="V3313" s="403" t="str">
        <f t="shared" si="415"/>
        <v>CPP_7_3</v>
      </c>
    </row>
    <row r="3314" spans="1:22">
      <c r="A3314" t="str">
        <f t="shared" si="408"/>
        <v>NDE-8502-R</v>
      </c>
      <c r="B3314" s="403" t="s">
        <v>1410</v>
      </c>
      <c r="C3314" s="403" t="s">
        <v>582</v>
      </c>
      <c r="D3314" s="403" t="s">
        <v>1411</v>
      </c>
      <c r="E3314" s="403" t="s">
        <v>1412</v>
      </c>
      <c r="F3314" s="403" t="s">
        <v>1292</v>
      </c>
      <c r="G3314" s="403" t="s">
        <v>1466</v>
      </c>
      <c r="H3314" s="403" t="s">
        <v>1282</v>
      </c>
      <c r="I3314" s="403">
        <v>1</v>
      </c>
      <c r="J3314" s="403" t="s">
        <v>110</v>
      </c>
      <c r="K3314" s="403">
        <v>1920</v>
      </c>
      <c r="L3314" s="403">
        <v>1080</v>
      </c>
      <c r="M3314" s="403" t="s">
        <v>111</v>
      </c>
      <c r="N3314" s="403">
        <v>768</v>
      </c>
      <c r="O3314" s="403">
        <v>432</v>
      </c>
      <c r="P3314" t="str">
        <f t="shared" si="409"/>
        <v>30fps 1080p - SD</v>
      </c>
      <c r="Q3314">
        <f t="shared" si="410"/>
        <v>19</v>
      </c>
      <c r="R3314" t="str">
        <f t="shared" si="411"/>
        <v/>
      </c>
      <c r="S3314" t="str">
        <f t="shared" si="412"/>
        <v/>
      </c>
      <c r="T3314" s="403" t="str">
        <f t="shared" si="413"/>
        <v>NDE-8502-R</v>
      </c>
      <c r="U3314" s="403">
        <f t="shared" si="414"/>
        <v>1</v>
      </c>
      <c r="V3314" s="403" t="str">
        <f t="shared" si="415"/>
        <v>CPP_7_3</v>
      </c>
    </row>
    <row r="3315" spans="1:22">
      <c r="A3315" t="str">
        <f t="shared" si="408"/>
        <v>NDE-8502-R</v>
      </c>
      <c r="B3315" s="403" t="s">
        <v>1410</v>
      </c>
      <c r="C3315" s="403" t="s">
        <v>582</v>
      </c>
      <c r="D3315" s="403" t="s">
        <v>1411</v>
      </c>
      <c r="E3315" s="403" t="s">
        <v>1412</v>
      </c>
      <c r="F3315" s="403" t="s">
        <v>1292</v>
      </c>
      <c r="G3315" s="403" t="s">
        <v>1466</v>
      </c>
      <c r="H3315" s="403" t="s">
        <v>1282</v>
      </c>
      <c r="I3315" s="403">
        <v>1</v>
      </c>
      <c r="J3315" s="403" t="s">
        <v>110</v>
      </c>
      <c r="K3315" s="403">
        <v>1920</v>
      </c>
      <c r="L3315" s="403">
        <v>1080</v>
      </c>
      <c r="M3315" s="403" t="s">
        <v>110</v>
      </c>
      <c r="N3315" s="403">
        <v>1920</v>
      </c>
      <c r="O3315" s="403">
        <v>1080</v>
      </c>
      <c r="P3315" t="str">
        <f t="shared" si="409"/>
        <v>30fps 1080p - 1080p</v>
      </c>
      <c r="Q3315">
        <f t="shared" si="410"/>
        <v>19</v>
      </c>
      <c r="R3315" t="str">
        <f t="shared" si="411"/>
        <v/>
      </c>
      <c r="S3315" t="str">
        <f t="shared" si="412"/>
        <v/>
      </c>
      <c r="T3315" s="403" t="str">
        <f t="shared" si="413"/>
        <v>NDE-8502-R</v>
      </c>
      <c r="U3315" s="403">
        <f t="shared" si="414"/>
        <v>1</v>
      </c>
      <c r="V3315" s="403" t="str">
        <f t="shared" si="415"/>
        <v>CPP_7_3</v>
      </c>
    </row>
    <row r="3316" spans="1:22">
      <c r="A3316" t="str">
        <f t="shared" si="408"/>
        <v>NDE-8502-R</v>
      </c>
      <c r="B3316" s="403" t="s">
        <v>1410</v>
      </c>
      <c r="C3316" s="403" t="s">
        <v>582</v>
      </c>
      <c r="D3316" s="403" t="s">
        <v>1411</v>
      </c>
      <c r="E3316" s="403" t="s">
        <v>1412</v>
      </c>
      <c r="F3316" s="403" t="s">
        <v>1292</v>
      </c>
      <c r="G3316" s="403" t="s">
        <v>1466</v>
      </c>
      <c r="H3316" s="403" t="s">
        <v>1282</v>
      </c>
      <c r="I3316" s="403">
        <v>1</v>
      </c>
      <c r="J3316" s="403" t="s">
        <v>110</v>
      </c>
      <c r="K3316" s="403">
        <v>1920</v>
      </c>
      <c r="L3316" s="403">
        <v>1080</v>
      </c>
      <c r="M3316" s="403" t="s">
        <v>109</v>
      </c>
      <c r="N3316" s="403">
        <v>1280</v>
      </c>
      <c r="O3316" s="403">
        <v>720</v>
      </c>
      <c r="P3316" t="str">
        <f t="shared" si="409"/>
        <v>30fps 1080p - 720p</v>
      </c>
      <c r="Q3316">
        <f t="shared" si="410"/>
        <v>19</v>
      </c>
      <c r="R3316" t="str">
        <f t="shared" si="411"/>
        <v/>
      </c>
      <c r="S3316" t="str">
        <f t="shared" si="412"/>
        <v/>
      </c>
      <c r="T3316" s="403" t="str">
        <f t="shared" si="413"/>
        <v>NDE-8502-R</v>
      </c>
      <c r="U3316" s="403">
        <f t="shared" si="414"/>
        <v>1</v>
      </c>
      <c r="V3316" s="403" t="str">
        <f t="shared" si="415"/>
        <v>CPP_7_3</v>
      </c>
    </row>
    <row r="3317" spans="1:22">
      <c r="A3317" t="str">
        <f t="shared" si="408"/>
        <v>NDE-8502-R</v>
      </c>
      <c r="B3317" s="403" t="s">
        <v>1410</v>
      </c>
      <c r="C3317" s="403" t="s">
        <v>582</v>
      </c>
      <c r="D3317" s="403" t="s">
        <v>1411</v>
      </c>
      <c r="E3317" s="403" t="s">
        <v>1412</v>
      </c>
      <c r="F3317" s="403" t="s">
        <v>1292</v>
      </c>
      <c r="G3317" s="403" t="s">
        <v>1466</v>
      </c>
      <c r="H3317" s="403" t="s">
        <v>1282</v>
      </c>
      <c r="I3317" s="403">
        <v>1</v>
      </c>
      <c r="J3317" s="403" t="s">
        <v>110</v>
      </c>
      <c r="K3317" s="403">
        <v>1920</v>
      </c>
      <c r="L3317" s="403">
        <v>1080</v>
      </c>
      <c r="M3317" s="403" t="s">
        <v>1285</v>
      </c>
      <c r="N3317" s="403">
        <v>1280</v>
      </c>
      <c r="O3317" s="403">
        <v>1024</v>
      </c>
      <c r="P3317" t="str">
        <f t="shared" si="409"/>
        <v>30fps 1080p - 1280x1024 5:4 (cropped)</v>
      </c>
      <c r="Q3317">
        <f t="shared" si="410"/>
        <v>19</v>
      </c>
      <c r="R3317" t="str">
        <f t="shared" si="411"/>
        <v/>
      </c>
      <c r="S3317" t="str">
        <f t="shared" si="412"/>
        <v/>
      </c>
      <c r="T3317" s="403" t="str">
        <f t="shared" si="413"/>
        <v>NDE-8502-R</v>
      </c>
      <c r="U3317" s="403">
        <f t="shared" si="414"/>
        <v>1</v>
      </c>
      <c r="V3317" s="403" t="str">
        <f t="shared" si="415"/>
        <v>CPP_7_3</v>
      </c>
    </row>
    <row r="3318" spans="1:22">
      <c r="A3318" t="str">
        <f t="shared" si="408"/>
        <v>NDE-8502-R</v>
      </c>
      <c r="B3318" s="403" t="s">
        <v>1410</v>
      </c>
      <c r="C3318" s="403" t="s">
        <v>582</v>
      </c>
      <c r="D3318" s="403" t="s">
        <v>1411</v>
      </c>
      <c r="E3318" s="403" t="s">
        <v>1412</v>
      </c>
      <c r="F3318" s="403" t="s">
        <v>1292</v>
      </c>
      <c r="G3318" s="403" t="s">
        <v>1466</v>
      </c>
      <c r="H3318" s="403" t="s">
        <v>1282</v>
      </c>
      <c r="I3318" s="403">
        <v>1</v>
      </c>
      <c r="J3318" s="403" t="s">
        <v>110</v>
      </c>
      <c r="K3318" s="403">
        <v>1920</v>
      </c>
      <c r="L3318" s="403">
        <v>1080</v>
      </c>
      <c r="M3318" s="403" t="s">
        <v>1279</v>
      </c>
      <c r="N3318" s="403">
        <v>768</v>
      </c>
      <c r="O3318" s="403">
        <v>432</v>
      </c>
      <c r="P3318" t="str">
        <f t="shared" si="409"/>
        <v>30fps 1080p - SD ROI PTZ</v>
      </c>
      <c r="Q3318">
        <f t="shared" si="410"/>
        <v>19</v>
      </c>
      <c r="R3318" t="str">
        <f t="shared" si="411"/>
        <v/>
      </c>
      <c r="S3318" t="str">
        <f t="shared" si="412"/>
        <v/>
      </c>
      <c r="T3318" s="403" t="str">
        <f t="shared" si="413"/>
        <v>NDE-8502-R</v>
      </c>
      <c r="U3318" s="403">
        <f t="shared" si="414"/>
        <v>1</v>
      </c>
      <c r="V3318" s="403" t="str">
        <f t="shared" si="415"/>
        <v>CPP_7_3</v>
      </c>
    </row>
    <row r="3319" spans="1:22">
      <c r="A3319" t="str">
        <f t="shared" si="408"/>
        <v>NDE-8502-R</v>
      </c>
      <c r="B3319" s="403" t="s">
        <v>1410</v>
      </c>
      <c r="C3319" s="403" t="s">
        <v>582</v>
      </c>
      <c r="D3319" s="403" t="s">
        <v>1411</v>
      </c>
      <c r="E3319" s="403" t="s">
        <v>1412</v>
      </c>
      <c r="F3319" s="403" t="s">
        <v>1292</v>
      </c>
      <c r="G3319" s="403" t="s">
        <v>1466</v>
      </c>
      <c r="H3319" s="403" t="s">
        <v>1282</v>
      </c>
      <c r="I3319" s="403">
        <v>1</v>
      </c>
      <c r="J3319" s="403" t="s">
        <v>110</v>
      </c>
      <c r="K3319" s="403">
        <v>1920</v>
      </c>
      <c r="L3319" s="403">
        <v>1080</v>
      </c>
      <c r="M3319" s="403" t="s">
        <v>1283</v>
      </c>
      <c r="N3319" s="403">
        <v>720</v>
      </c>
      <c r="O3319" s="403">
        <v>480</v>
      </c>
      <c r="P3319" t="str">
        <f t="shared" si="409"/>
        <v>30fps 1080p - SD 4CIF resolution 4:3 format (cropped)</v>
      </c>
      <c r="Q3319">
        <f t="shared" si="410"/>
        <v>19</v>
      </c>
      <c r="R3319" t="str">
        <f t="shared" si="411"/>
        <v/>
      </c>
      <c r="S3319" t="str">
        <f t="shared" si="412"/>
        <v/>
      </c>
      <c r="T3319" s="403" t="str">
        <f t="shared" si="413"/>
        <v>NDE-8502-R</v>
      </c>
      <c r="U3319" s="403">
        <f t="shared" si="414"/>
        <v>1</v>
      </c>
      <c r="V3319" s="403" t="str">
        <f t="shared" si="415"/>
        <v>CPP_7_3</v>
      </c>
    </row>
    <row r="3320" spans="1:22">
      <c r="A3320" t="str">
        <f t="shared" si="408"/>
        <v>NDE-8502-R</v>
      </c>
      <c r="B3320" s="403" t="s">
        <v>1410</v>
      </c>
      <c r="C3320" s="403" t="s">
        <v>582</v>
      </c>
      <c r="D3320" s="403" t="s">
        <v>1411</v>
      </c>
      <c r="E3320" s="403" t="s">
        <v>1412</v>
      </c>
      <c r="F3320" s="403" t="s">
        <v>1292</v>
      </c>
      <c r="G3320" s="403" t="s">
        <v>1466</v>
      </c>
      <c r="H3320" s="403" t="s">
        <v>1282</v>
      </c>
      <c r="I3320" s="403">
        <v>1</v>
      </c>
      <c r="J3320" s="403" t="s">
        <v>110</v>
      </c>
      <c r="K3320" s="403">
        <v>1920</v>
      </c>
      <c r="L3320" s="403">
        <v>1080</v>
      </c>
      <c r="M3320" s="403" t="s">
        <v>1284</v>
      </c>
      <c r="N3320" s="403">
        <v>640</v>
      </c>
      <c r="O3320" s="403">
        <v>480</v>
      </c>
      <c r="P3320" t="str">
        <f t="shared" si="409"/>
        <v>30fps 1080p - SD VGA (cropped)</v>
      </c>
      <c r="Q3320">
        <f t="shared" si="410"/>
        <v>19</v>
      </c>
      <c r="R3320" t="str">
        <f t="shared" si="411"/>
        <v/>
      </c>
      <c r="S3320" t="str">
        <f t="shared" si="412"/>
        <v/>
      </c>
      <c r="T3320" s="403" t="str">
        <f t="shared" si="413"/>
        <v>NDE-8502-R</v>
      </c>
      <c r="U3320" s="403">
        <f t="shared" si="414"/>
        <v>1</v>
      </c>
      <c r="V3320" s="403" t="str">
        <f t="shared" si="415"/>
        <v>CPP_7_3</v>
      </c>
    </row>
    <row r="3321" spans="1:22">
      <c r="A3321" t="str">
        <f t="shared" si="408"/>
        <v>NDE-8502-R</v>
      </c>
      <c r="B3321" s="403" t="s">
        <v>1410</v>
      </c>
      <c r="C3321" s="403" t="s">
        <v>582</v>
      </c>
      <c r="D3321" s="403" t="s">
        <v>1411</v>
      </c>
      <c r="E3321" s="403" t="s">
        <v>1412</v>
      </c>
      <c r="F3321" s="403" t="s">
        <v>1292</v>
      </c>
      <c r="G3321" s="403" t="s">
        <v>1466</v>
      </c>
      <c r="H3321" s="403" t="s">
        <v>1282</v>
      </c>
      <c r="I3321" s="403">
        <v>1</v>
      </c>
      <c r="J3321" s="403" t="s">
        <v>109</v>
      </c>
      <c r="K3321" s="403">
        <v>1280</v>
      </c>
      <c r="L3321" s="403">
        <v>720</v>
      </c>
      <c r="M3321" s="403" t="s">
        <v>109</v>
      </c>
      <c r="N3321" s="403">
        <v>1280</v>
      </c>
      <c r="O3321" s="403">
        <v>720</v>
      </c>
      <c r="P3321" t="str">
        <f t="shared" si="409"/>
        <v>30fps 720p - 720p</v>
      </c>
      <c r="Q3321">
        <f t="shared" si="410"/>
        <v>19</v>
      </c>
      <c r="R3321" t="str">
        <f t="shared" si="411"/>
        <v/>
      </c>
      <c r="S3321" t="str">
        <f t="shared" si="412"/>
        <v/>
      </c>
      <c r="T3321" s="403" t="str">
        <f t="shared" si="413"/>
        <v>NDE-8502-R</v>
      </c>
      <c r="U3321" s="403">
        <f t="shared" si="414"/>
        <v>1</v>
      </c>
      <c r="V3321" s="403" t="str">
        <f t="shared" si="415"/>
        <v>CPP_7_3</v>
      </c>
    </row>
    <row r="3322" spans="1:22">
      <c r="A3322" t="str">
        <f t="shared" si="408"/>
        <v>NDE-8502-R</v>
      </c>
      <c r="B3322" s="403" t="s">
        <v>1410</v>
      </c>
      <c r="C3322" s="403" t="s">
        <v>582</v>
      </c>
      <c r="D3322" s="403" t="s">
        <v>1411</v>
      </c>
      <c r="E3322" s="403" t="s">
        <v>1412</v>
      </c>
      <c r="F3322" s="403" t="s">
        <v>1292</v>
      </c>
      <c r="G3322" s="403" t="s">
        <v>1466</v>
      </c>
      <c r="H3322" s="403" t="s">
        <v>1282</v>
      </c>
      <c r="I3322" s="403">
        <v>1</v>
      </c>
      <c r="J3322" s="403" t="s">
        <v>109</v>
      </c>
      <c r="K3322" s="403">
        <v>1280</v>
      </c>
      <c r="L3322" s="403">
        <v>720</v>
      </c>
      <c r="M3322" s="403" t="s">
        <v>111</v>
      </c>
      <c r="N3322" s="403">
        <v>768</v>
      </c>
      <c r="O3322" s="403">
        <v>432</v>
      </c>
      <c r="P3322" t="str">
        <f t="shared" si="409"/>
        <v>30fps 720p - SD</v>
      </c>
      <c r="Q3322">
        <f t="shared" si="410"/>
        <v>19</v>
      </c>
      <c r="R3322" t="str">
        <f t="shared" si="411"/>
        <v/>
      </c>
      <c r="S3322" t="str">
        <f t="shared" si="412"/>
        <v/>
      </c>
      <c r="T3322" s="403" t="str">
        <f t="shared" si="413"/>
        <v>NDE-8502-R</v>
      </c>
      <c r="U3322" s="403">
        <f t="shared" si="414"/>
        <v>1</v>
      </c>
      <c r="V3322" s="403" t="str">
        <f t="shared" si="415"/>
        <v>CPP_7_3</v>
      </c>
    </row>
    <row r="3323" spans="1:22">
      <c r="A3323" t="str">
        <f t="shared" si="408"/>
        <v>NDE-8502-R</v>
      </c>
      <c r="B3323" s="403" t="s">
        <v>1410</v>
      </c>
      <c r="C3323" s="403" t="s">
        <v>582</v>
      </c>
      <c r="D3323" s="403" t="s">
        <v>1411</v>
      </c>
      <c r="E3323" s="403" t="s">
        <v>1412</v>
      </c>
      <c r="F3323" s="403" t="s">
        <v>1292</v>
      </c>
      <c r="G3323" s="403" t="s">
        <v>1466</v>
      </c>
      <c r="H3323" s="403" t="s">
        <v>1282</v>
      </c>
      <c r="I3323" s="403">
        <v>1</v>
      </c>
      <c r="J3323" s="403" t="s">
        <v>109</v>
      </c>
      <c r="K3323" s="403">
        <v>1280</v>
      </c>
      <c r="L3323" s="403">
        <v>720</v>
      </c>
      <c r="M3323" s="403" t="s">
        <v>1279</v>
      </c>
      <c r="N3323" s="403">
        <v>768</v>
      </c>
      <c r="O3323" s="403">
        <v>432</v>
      </c>
      <c r="P3323" t="str">
        <f t="shared" si="409"/>
        <v>30fps 720p - SD ROI PTZ</v>
      </c>
      <c r="Q3323">
        <f t="shared" si="410"/>
        <v>19</v>
      </c>
      <c r="R3323" t="str">
        <f t="shared" si="411"/>
        <v/>
      </c>
      <c r="S3323" t="str">
        <f t="shared" si="412"/>
        <v/>
      </c>
      <c r="T3323" s="403" t="str">
        <f t="shared" si="413"/>
        <v>NDE-8502-R</v>
      </c>
      <c r="U3323" s="403">
        <f t="shared" si="414"/>
        <v>1</v>
      </c>
      <c r="V3323" s="403" t="str">
        <f t="shared" si="415"/>
        <v>CPP_7_3</v>
      </c>
    </row>
    <row r="3324" spans="1:22">
      <c r="A3324" t="str">
        <f t="shared" si="408"/>
        <v>NDE-8502-R</v>
      </c>
      <c r="B3324" s="403" t="s">
        <v>1410</v>
      </c>
      <c r="C3324" s="403" t="s">
        <v>582</v>
      </c>
      <c r="D3324" s="403" t="s">
        <v>1411</v>
      </c>
      <c r="E3324" s="403" t="s">
        <v>1412</v>
      </c>
      <c r="F3324" s="403" t="s">
        <v>1292</v>
      </c>
      <c r="G3324" s="403" t="s">
        <v>1466</v>
      </c>
      <c r="H3324" s="403" t="s">
        <v>1282</v>
      </c>
      <c r="I3324" s="403">
        <v>1</v>
      </c>
      <c r="J3324" s="403" t="s">
        <v>109</v>
      </c>
      <c r="K3324" s="403">
        <v>1280</v>
      </c>
      <c r="L3324" s="403">
        <v>720</v>
      </c>
      <c r="M3324" s="403" t="s">
        <v>1283</v>
      </c>
      <c r="N3324" s="403">
        <v>720</v>
      </c>
      <c r="O3324" s="403">
        <v>480</v>
      </c>
      <c r="P3324" t="str">
        <f t="shared" si="409"/>
        <v>30fps 720p - SD 4CIF resolution 4:3 format (cropped)</v>
      </c>
      <c r="Q3324">
        <f t="shared" si="410"/>
        <v>19</v>
      </c>
      <c r="R3324" t="str">
        <f t="shared" si="411"/>
        <v/>
      </c>
      <c r="S3324" t="str">
        <f t="shared" si="412"/>
        <v/>
      </c>
      <c r="T3324" s="403" t="str">
        <f t="shared" si="413"/>
        <v>NDE-8502-R</v>
      </c>
      <c r="U3324" s="403">
        <f t="shared" si="414"/>
        <v>1</v>
      </c>
      <c r="V3324" s="403" t="str">
        <f t="shared" si="415"/>
        <v>CPP_7_3</v>
      </c>
    </row>
    <row r="3325" spans="1:22">
      <c r="A3325" t="str">
        <f t="shared" si="408"/>
        <v>NDE-8502-R</v>
      </c>
      <c r="B3325" s="403" t="s">
        <v>1410</v>
      </c>
      <c r="C3325" s="403" t="s">
        <v>582</v>
      </c>
      <c r="D3325" s="403" t="s">
        <v>1411</v>
      </c>
      <c r="E3325" s="403" t="s">
        <v>1412</v>
      </c>
      <c r="F3325" s="403" t="s">
        <v>1292</v>
      </c>
      <c r="G3325" s="403" t="s">
        <v>1466</v>
      </c>
      <c r="H3325" s="403" t="s">
        <v>1282</v>
      </c>
      <c r="I3325" s="403">
        <v>1</v>
      </c>
      <c r="J3325" s="403" t="s">
        <v>109</v>
      </c>
      <c r="K3325" s="403">
        <v>1280</v>
      </c>
      <c r="L3325" s="403">
        <v>720</v>
      </c>
      <c r="M3325" s="403" t="s">
        <v>1284</v>
      </c>
      <c r="N3325" s="403">
        <v>640</v>
      </c>
      <c r="O3325" s="403">
        <v>480</v>
      </c>
      <c r="P3325" t="str">
        <f t="shared" si="409"/>
        <v>30fps 720p - SD VGA (cropped)</v>
      </c>
      <c r="Q3325">
        <f t="shared" si="410"/>
        <v>19</v>
      </c>
      <c r="R3325" t="str">
        <f t="shared" si="411"/>
        <v/>
      </c>
      <c r="S3325" t="str">
        <f t="shared" si="412"/>
        <v/>
      </c>
      <c r="T3325" s="403" t="str">
        <f t="shared" si="413"/>
        <v>NDE-8502-R</v>
      </c>
      <c r="U3325" s="403">
        <f t="shared" si="414"/>
        <v>1</v>
      </c>
      <c r="V3325" s="403" t="str">
        <f t="shared" si="415"/>
        <v>CPP_7_3</v>
      </c>
    </row>
    <row r="3326" spans="1:22">
      <c r="A3326" t="str">
        <f t="shared" si="408"/>
        <v>NDE-8502-R</v>
      </c>
      <c r="B3326" s="403" t="s">
        <v>1410</v>
      </c>
      <c r="C3326" s="403" t="s">
        <v>582</v>
      </c>
      <c r="D3326" s="403" t="s">
        <v>1411</v>
      </c>
      <c r="E3326" s="403" t="s">
        <v>1412</v>
      </c>
      <c r="F3326" s="403" t="s">
        <v>1292</v>
      </c>
      <c r="G3326" s="403" t="s">
        <v>1467</v>
      </c>
      <c r="H3326" s="403" t="s">
        <v>1276</v>
      </c>
      <c r="I3326" s="403">
        <v>1</v>
      </c>
      <c r="J3326" s="403" t="s">
        <v>110</v>
      </c>
      <c r="K3326" s="403">
        <v>1080</v>
      </c>
      <c r="L3326" s="403">
        <v>1920</v>
      </c>
      <c r="M3326" s="403" t="s">
        <v>111</v>
      </c>
      <c r="N3326" s="403">
        <v>432</v>
      </c>
      <c r="O3326" s="403">
        <v>768</v>
      </c>
      <c r="P3326" t="str">
        <f t="shared" si="409"/>
        <v>30fps 1080p - SD</v>
      </c>
      <c r="Q3326">
        <f t="shared" si="410"/>
        <v>19</v>
      </c>
      <c r="R3326" t="str">
        <f t="shared" si="411"/>
        <v/>
      </c>
      <c r="S3326" t="str">
        <f t="shared" si="412"/>
        <v/>
      </c>
      <c r="T3326" s="403" t="str">
        <f t="shared" si="413"/>
        <v>NDE-8502-R</v>
      </c>
      <c r="U3326" s="403">
        <f t="shared" si="414"/>
        <v>1</v>
      </c>
      <c r="V3326" s="403" t="str">
        <f t="shared" si="415"/>
        <v>CPP_7_3</v>
      </c>
    </row>
    <row r="3327" spans="1:22">
      <c r="A3327" t="str">
        <f t="shared" si="408"/>
        <v>NDE-8502-R</v>
      </c>
      <c r="B3327" s="403" t="s">
        <v>1410</v>
      </c>
      <c r="C3327" s="403" t="s">
        <v>582</v>
      </c>
      <c r="D3327" s="403" t="s">
        <v>1411</v>
      </c>
      <c r="E3327" s="403" t="s">
        <v>1412</v>
      </c>
      <c r="F3327" s="403" t="s">
        <v>1292</v>
      </c>
      <c r="G3327" s="403" t="s">
        <v>1467</v>
      </c>
      <c r="H3327" s="403" t="s">
        <v>1276</v>
      </c>
      <c r="I3327" s="403">
        <v>1</v>
      </c>
      <c r="J3327" s="403" t="s">
        <v>110</v>
      </c>
      <c r="K3327" s="403">
        <v>1080</v>
      </c>
      <c r="L3327" s="403">
        <v>1920</v>
      </c>
      <c r="M3327" s="403" t="s">
        <v>110</v>
      </c>
      <c r="N3327" s="403">
        <v>1080</v>
      </c>
      <c r="O3327" s="403">
        <v>1920</v>
      </c>
      <c r="P3327" t="str">
        <f t="shared" si="409"/>
        <v>30fps 1080p - 1080p</v>
      </c>
      <c r="Q3327">
        <f t="shared" si="410"/>
        <v>19</v>
      </c>
      <c r="R3327" t="str">
        <f t="shared" si="411"/>
        <v/>
      </c>
      <c r="S3327" t="str">
        <f t="shared" si="412"/>
        <v/>
      </c>
      <c r="T3327" s="403" t="str">
        <f t="shared" si="413"/>
        <v>NDE-8502-R</v>
      </c>
      <c r="U3327" s="403">
        <f t="shared" si="414"/>
        <v>1</v>
      </c>
      <c r="V3327" s="403" t="str">
        <f t="shared" si="415"/>
        <v>CPP_7_3</v>
      </c>
    </row>
    <row r="3328" spans="1:22">
      <c r="A3328" t="str">
        <f t="shared" si="408"/>
        <v>NDE-8502-R</v>
      </c>
      <c r="B3328" s="403" t="s">
        <v>1410</v>
      </c>
      <c r="C3328" s="403" t="s">
        <v>582</v>
      </c>
      <c r="D3328" s="403" t="s">
        <v>1411</v>
      </c>
      <c r="E3328" s="403" t="s">
        <v>1412</v>
      </c>
      <c r="F3328" s="403" t="s">
        <v>1292</v>
      </c>
      <c r="G3328" s="403" t="s">
        <v>1467</v>
      </c>
      <c r="H3328" s="403" t="s">
        <v>1276</v>
      </c>
      <c r="I3328" s="403">
        <v>1</v>
      </c>
      <c r="J3328" s="403" t="s">
        <v>110</v>
      </c>
      <c r="K3328" s="403">
        <v>1080</v>
      </c>
      <c r="L3328" s="403">
        <v>1920</v>
      </c>
      <c r="M3328" s="403" t="s">
        <v>109</v>
      </c>
      <c r="N3328" s="403">
        <v>720</v>
      </c>
      <c r="O3328" s="403">
        <v>1280</v>
      </c>
      <c r="P3328" t="str">
        <f t="shared" si="409"/>
        <v>30fps 1080p - 720p</v>
      </c>
      <c r="Q3328">
        <f t="shared" si="410"/>
        <v>19</v>
      </c>
      <c r="R3328" t="str">
        <f t="shared" si="411"/>
        <v/>
      </c>
      <c r="S3328" t="str">
        <f t="shared" si="412"/>
        <v/>
      </c>
      <c r="T3328" s="403" t="str">
        <f t="shared" si="413"/>
        <v>NDE-8502-R</v>
      </c>
      <c r="U3328" s="403">
        <f t="shared" si="414"/>
        <v>1</v>
      </c>
      <c r="V3328" s="403" t="str">
        <f t="shared" si="415"/>
        <v>CPP_7_3</v>
      </c>
    </row>
    <row r="3329" spans="1:22">
      <c r="A3329" t="str">
        <f t="shared" si="408"/>
        <v>NDE-8502-R</v>
      </c>
      <c r="B3329" s="403" t="s">
        <v>1410</v>
      </c>
      <c r="C3329" s="403" t="s">
        <v>582</v>
      </c>
      <c r="D3329" s="403" t="s">
        <v>1411</v>
      </c>
      <c r="E3329" s="403" t="s">
        <v>1412</v>
      </c>
      <c r="F3329" s="403" t="s">
        <v>1292</v>
      </c>
      <c r="G3329" s="403" t="s">
        <v>1467</v>
      </c>
      <c r="H3329" s="403" t="s">
        <v>1276</v>
      </c>
      <c r="I3329" s="403">
        <v>1</v>
      </c>
      <c r="J3329" s="403" t="s">
        <v>110</v>
      </c>
      <c r="K3329" s="403">
        <v>1080</v>
      </c>
      <c r="L3329" s="403">
        <v>1920</v>
      </c>
      <c r="M3329" s="403" t="s">
        <v>1285</v>
      </c>
      <c r="N3329" s="403">
        <v>1024</v>
      </c>
      <c r="O3329" s="403">
        <v>1280</v>
      </c>
      <c r="P3329" t="str">
        <f t="shared" si="409"/>
        <v>30fps 1080p - 1280x1024 5:4 (cropped)</v>
      </c>
      <c r="Q3329">
        <f t="shared" si="410"/>
        <v>19</v>
      </c>
      <c r="R3329" t="str">
        <f t="shared" si="411"/>
        <v/>
      </c>
      <c r="S3329" t="str">
        <f t="shared" si="412"/>
        <v/>
      </c>
      <c r="T3329" s="403" t="str">
        <f t="shared" si="413"/>
        <v>NDE-8502-R</v>
      </c>
      <c r="U3329" s="403">
        <f t="shared" si="414"/>
        <v>1</v>
      </c>
      <c r="V3329" s="403" t="str">
        <f t="shared" si="415"/>
        <v>CPP_7_3</v>
      </c>
    </row>
    <row r="3330" spans="1:22">
      <c r="A3330" t="str">
        <f t="shared" ref="A3330:A3393" si="416">IF(AND(G3330&lt;&gt;"rotate 90°"),D3330,"")</f>
        <v>NDE-8502-R</v>
      </c>
      <c r="B3330" s="403" t="s">
        <v>1410</v>
      </c>
      <c r="C3330" s="403" t="s">
        <v>582</v>
      </c>
      <c r="D3330" s="403" t="s">
        <v>1411</v>
      </c>
      <c r="E3330" s="403" t="s">
        <v>1412</v>
      </c>
      <c r="F3330" s="403" t="s">
        <v>1292</v>
      </c>
      <c r="G3330" s="403" t="s">
        <v>1467</v>
      </c>
      <c r="H3330" s="403" t="s">
        <v>1276</v>
      </c>
      <c r="I3330" s="403">
        <v>1</v>
      </c>
      <c r="J3330" s="403" t="s">
        <v>110</v>
      </c>
      <c r="K3330" s="403">
        <v>1080</v>
      </c>
      <c r="L3330" s="403">
        <v>1920</v>
      </c>
      <c r="M3330" s="403" t="s">
        <v>1279</v>
      </c>
      <c r="N3330" s="403">
        <v>432</v>
      </c>
      <c r="O3330" s="403">
        <v>768</v>
      </c>
      <c r="P3330" t="str">
        <f t="shared" ref="P3330:P3393" si="417">LEFT(F3330,5)&amp;" "&amp;J3330&amp;" - "&amp;M3330</f>
        <v>30fps 1080p - SD ROI PTZ</v>
      </c>
      <c r="Q3330">
        <f t="shared" ref="Q3330:Q3393" si="418">IF(A3329=A3330,Q3329,Q3329+1)</f>
        <v>19</v>
      </c>
      <c r="R3330" t="str">
        <f t="shared" ref="R3330:R3393" si="419">IF(Q3329&lt;&gt;Q3330,Q3330,"")</f>
        <v/>
      </c>
      <c r="S3330" t="str">
        <f t="shared" ref="S3330:S3393" si="420">IF(R3330&lt;&gt;"",B3330&amp;" ("&amp;D3330&amp;")","")</f>
        <v/>
      </c>
      <c r="T3330" s="403" t="str">
        <f t="shared" ref="T3330:T3393" si="421">D3330</f>
        <v>NDE-8502-R</v>
      </c>
      <c r="U3330" s="403">
        <f t="shared" ref="U3330:U3393" si="422">I3330</f>
        <v>1</v>
      </c>
      <c r="V3330" s="403" t="str">
        <f t="shared" ref="V3330:V3393" si="423">C3330</f>
        <v>CPP_7_3</v>
      </c>
    </row>
    <row r="3331" spans="1:22">
      <c r="A3331" t="str">
        <f t="shared" si="416"/>
        <v>NDE-8502-R</v>
      </c>
      <c r="B3331" s="403" t="s">
        <v>1410</v>
      </c>
      <c r="C3331" s="403" t="s">
        <v>582</v>
      </c>
      <c r="D3331" s="403" t="s">
        <v>1411</v>
      </c>
      <c r="E3331" s="403" t="s">
        <v>1412</v>
      </c>
      <c r="F3331" s="403" t="s">
        <v>1292</v>
      </c>
      <c r="G3331" s="403" t="s">
        <v>1467</v>
      </c>
      <c r="H3331" s="403" t="s">
        <v>1276</v>
      </c>
      <c r="I3331" s="403">
        <v>1</v>
      </c>
      <c r="J3331" s="403" t="s">
        <v>110</v>
      </c>
      <c r="K3331" s="403">
        <v>1080</v>
      </c>
      <c r="L3331" s="403">
        <v>1920</v>
      </c>
      <c r="M3331" s="403" t="s">
        <v>1283</v>
      </c>
      <c r="N3331" s="403">
        <v>480</v>
      </c>
      <c r="O3331" s="403">
        <v>720</v>
      </c>
      <c r="P3331" t="str">
        <f t="shared" si="417"/>
        <v>30fps 1080p - SD 4CIF resolution 4:3 format (cropped)</v>
      </c>
      <c r="Q3331">
        <f t="shared" si="418"/>
        <v>19</v>
      </c>
      <c r="R3331" t="str">
        <f t="shared" si="419"/>
        <v/>
      </c>
      <c r="S3331" t="str">
        <f t="shared" si="420"/>
        <v/>
      </c>
      <c r="T3331" s="403" t="str">
        <f t="shared" si="421"/>
        <v>NDE-8502-R</v>
      </c>
      <c r="U3331" s="403">
        <f t="shared" si="422"/>
        <v>1</v>
      </c>
      <c r="V3331" s="403" t="str">
        <f t="shared" si="423"/>
        <v>CPP_7_3</v>
      </c>
    </row>
    <row r="3332" spans="1:22">
      <c r="A3332" t="str">
        <f t="shared" si="416"/>
        <v>NDE-8502-R</v>
      </c>
      <c r="B3332" s="403" t="s">
        <v>1410</v>
      </c>
      <c r="C3332" s="403" t="s">
        <v>582</v>
      </c>
      <c r="D3332" s="403" t="s">
        <v>1411</v>
      </c>
      <c r="E3332" s="403" t="s">
        <v>1412</v>
      </c>
      <c r="F3332" s="403" t="s">
        <v>1292</v>
      </c>
      <c r="G3332" s="403" t="s">
        <v>1467</v>
      </c>
      <c r="H3332" s="403" t="s">
        <v>1276</v>
      </c>
      <c r="I3332" s="403">
        <v>1</v>
      </c>
      <c r="J3332" s="403" t="s">
        <v>110</v>
      </c>
      <c r="K3332" s="403">
        <v>1080</v>
      </c>
      <c r="L3332" s="403">
        <v>1920</v>
      </c>
      <c r="M3332" s="403" t="s">
        <v>1284</v>
      </c>
      <c r="N3332" s="403">
        <v>480</v>
      </c>
      <c r="O3332" s="403">
        <v>640</v>
      </c>
      <c r="P3332" t="str">
        <f t="shared" si="417"/>
        <v>30fps 1080p - SD VGA (cropped)</v>
      </c>
      <c r="Q3332">
        <f t="shared" si="418"/>
        <v>19</v>
      </c>
      <c r="R3332" t="str">
        <f t="shared" si="419"/>
        <v/>
      </c>
      <c r="S3332" t="str">
        <f t="shared" si="420"/>
        <v/>
      </c>
      <c r="T3332" s="403" t="str">
        <f t="shared" si="421"/>
        <v>NDE-8502-R</v>
      </c>
      <c r="U3332" s="403">
        <f t="shared" si="422"/>
        <v>1</v>
      </c>
      <c r="V3332" s="403" t="str">
        <f t="shared" si="423"/>
        <v>CPP_7_3</v>
      </c>
    </row>
    <row r="3333" spans="1:22">
      <c r="A3333" t="str">
        <f t="shared" si="416"/>
        <v>NDE-8502-R</v>
      </c>
      <c r="B3333" s="403" t="s">
        <v>1410</v>
      </c>
      <c r="C3333" s="403" t="s">
        <v>582</v>
      </c>
      <c r="D3333" s="403" t="s">
        <v>1411</v>
      </c>
      <c r="E3333" s="403" t="s">
        <v>1412</v>
      </c>
      <c r="F3333" s="403" t="s">
        <v>1292</v>
      </c>
      <c r="G3333" s="403" t="s">
        <v>1467</v>
      </c>
      <c r="H3333" s="403" t="s">
        <v>1276</v>
      </c>
      <c r="I3333" s="403">
        <v>1</v>
      </c>
      <c r="J3333" s="403" t="s">
        <v>109</v>
      </c>
      <c r="K3333" s="403">
        <v>720</v>
      </c>
      <c r="L3333" s="403">
        <v>1280</v>
      </c>
      <c r="M3333" s="403" t="s">
        <v>109</v>
      </c>
      <c r="N3333" s="403">
        <v>720</v>
      </c>
      <c r="O3333" s="403">
        <v>1280</v>
      </c>
      <c r="P3333" t="str">
        <f t="shared" si="417"/>
        <v>30fps 720p - 720p</v>
      </c>
      <c r="Q3333">
        <f t="shared" si="418"/>
        <v>19</v>
      </c>
      <c r="R3333" t="str">
        <f t="shared" si="419"/>
        <v/>
      </c>
      <c r="S3333" t="str">
        <f t="shared" si="420"/>
        <v/>
      </c>
      <c r="T3333" s="403" t="str">
        <f t="shared" si="421"/>
        <v>NDE-8502-R</v>
      </c>
      <c r="U3333" s="403">
        <f t="shared" si="422"/>
        <v>1</v>
      </c>
      <c r="V3333" s="403" t="str">
        <f t="shared" si="423"/>
        <v>CPP_7_3</v>
      </c>
    </row>
    <row r="3334" spans="1:22">
      <c r="A3334" t="str">
        <f t="shared" si="416"/>
        <v>NDE-8502-R</v>
      </c>
      <c r="B3334" s="403" t="s">
        <v>1410</v>
      </c>
      <c r="C3334" s="403" t="s">
        <v>582</v>
      </c>
      <c r="D3334" s="403" t="s">
        <v>1411</v>
      </c>
      <c r="E3334" s="403" t="s">
        <v>1412</v>
      </c>
      <c r="F3334" s="403" t="s">
        <v>1292</v>
      </c>
      <c r="G3334" s="403" t="s">
        <v>1467</v>
      </c>
      <c r="H3334" s="403" t="s">
        <v>1276</v>
      </c>
      <c r="I3334" s="403">
        <v>1</v>
      </c>
      <c r="J3334" s="403" t="s">
        <v>109</v>
      </c>
      <c r="K3334" s="403">
        <v>720</v>
      </c>
      <c r="L3334" s="403">
        <v>1280</v>
      </c>
      <c r="M3334" s="403" t="s">
        <v>111</v>
      </c>
      <c r="N3334" s="403">
        <v>432</v>
      </c>
      <c r="O3334" s="403">
        <v>768</v>
      </c>
      <c r="P3334" t="str">
        <f t="shared" si="417"/>
        <v>30fps 720p - SD</v>
      </c>
      <c r="Q3334">
        <f t="shared" si="418"/>
        <v>19</v>
      </c>
      <c r="R3334" t="str">
        <f t="shared" si="419"/>
        <v/>
      </c>
      <c r="S3334" t="str">
        <f t="shared" si="420"/>
        <v/>
      </c>
      <c r="T3334" s="403" t="str">
        <f t="shared" si="421"/>
        <v>NDE-8502-R</v>
      </c>
      <c r="U3334" s="403">
        <f t="shared" si="422"/>
        <v>1</v>
      </c>
      <c r="V3334" s="403" t="str">
        <f t="shared" si="423"/>
        <v>CPP_7_3</v>
      </c>
    </row>
    <row r="3335" spans="1:22">
      <c r="A3335" t="str">
        <f t="shared" si="416"/>
        <v>NDE-8502-R</v>
      </c>
      <c r="B3335" s="403" t="s">
        <v>1410</v>
      </c>
      <c r="C3335" s="403" t="s">
        <v>582</v>
      </c>
      <c r="D3335" s="403" t="s">
        <v>1411</v>
      </c>
      <c r="E3335" s="403" t="s">
        <v>1412</v>
      </c>
      <c r="F3335" s="403" t="s">
        <v>1292</v>
      </c>
      <c r="G3335" s="403" t="s">
        <v>1467</v>
      </c>
      <c r="H3335" s="403" t="s">
        <v>1276</v>
      </c>
      <c r="I3335" s="403">
        <v>1</v>
      </c>
      <c r="J3335" s="403" t="s">
        <v>109</v>
      </c>
      <c r="K3335" s="403">
        <v>720</v>
      </c>
      <c r="L3335" s="403">
        <v>1280</v>
      </c>
      <c r="M3335" s="403" t="s">
        <v>1279</v>
      </c>
      <c r="N3335" s="403">
        <v>432</v>
      </c>
      <c r="O3335" s="403">
        <v>768</v>
      </c>
      <c r="P3335" t="str">
        <f t="shared" si="417"/>
        <v>30fps 720p - SD ROI PTZ</v>
      </c>
      <c r="Q3335">
        <f t="shared" si="418"/>
        <v>19</v>
      </c>
      <c r="R3335" t="str">
        <f t="shared" si="419"/>
        <v/>
      </c>
      <c r="S3335" t="str">
        <f t="shared" si="420"/>
        <v/>
      </c>
      <c r="T3335" s="403" t="str">
        <f t="shared" si="421"/>
        <v>NDE-8502-R</v>
      </c>
      <c r="U3335" s="403">
        <f t="shared" si="422"/>
        <v>1</v>
      </c>
      <c r="V3335" s="403" t="str">
        <f t="shared" si="423"/>
        <v>CPP_7_3</v>
      </c>
    </row>
    <row r="3336" spans="1:22">
      <c r="A3336" t="str">
        <f t="shared" si="416"/>
        <v>NDE-8502-R</v>
      </c>
      <c r="B3336" s="403" t="s">
        <v>1410</v>
      </c>
      <c r="C3336" s="403" t="s">
        <v>582</v>
      </c>
      <c r="D3336" s="403" t="s">
        <v>1411</v>
      </c>
      <c r="E3336" s="403" t="s">
        <v>1412</v>
      </c>
      <c r="F3336" s="403" t="s">
        <v>1292</v>
      </c>
      <c r="G3336" s="403" t="s">
        <v>1467</v>
      </c>
      <c r="H3336" s="403" t="s">
        <v>1276</v>
      </c>
      <c r="I3336" s="403">
        <v>1</v>
      </c>
      <c r="J3336" s="403" t="s">
        <v>109</v>
      </c>
      <c r="K3336" s="403">
        <v>720</v>
      </c>
      <c r="L3336" s="403">
        <v>1280</v>
      </c>
      <c r="M3336" s="403" t="s">
        <v>1283</v>
      </c>
      <c r="N3336" s="403">
        <v>480</v>
      </c>
      <c r="O3336" s="403">
        <v>720</v>
      </c>
      <c r="P3336" t="str">
        <f t="shared" si="417"/>
        <v>30fps 720p - SD 4CIF resolution 4:3 format (cropped)</v>
      </c>
      <c r="Q3336">
        <f t="shared" si="418"/>
        <v>19</v>
      </c>
      <c r="R3336" t="str">
        <f t="shared" si="419"/>
        <v/>
      </c>
      <c r="S3336" t="str">
        <f t="shared" si="420"/>
        <v/>
      </c>
      <c r="T3336" s="403" t="str">
        <f t="shared" si="421"/>
        <v>NDE-8502-R</v>
      </c>
      <c r="U3336" s="403">
        <f t="shared" si="422"/>
        <v>1</v>
      </c>
      <c r="V3336" s="403" t="str">
        <f t="shared" si="423"/>
        <v>CPP_7_3</v>
      </c>
    </row>
    <row r="3337" spans="1:22">
      <c r="A3337" t="str">
        <f t="shared" si="416"/>
        <v>NDE-8502-R</v>
      </c>
      <c r="B3337" s="403" t="s">
        <v>1410</v>
      </c>
      <c r="C3337" s="403" t="s">
        <v>582</v>
      </c>
      <c r="D3337" s="403" t="s">
        <v>1411</v>
      </c>
      <c r="E3337" s="403" t="s">
        <v>1412</v>
      </c>
      <c r="F3337" s="403" t="s">
        <v>1292</v>
      </c>
      <c r="G3337" s="403" t="s">
        <v>1467</v>
      </c>
      <c r="H3337" s="403" t="s">
        <v>1276</v>
      </c>
      <c r="I3337" s="403">
        <v>1</v>
      </c>
      <c r="J3337" s="403" t="s">
        <v>109</v>
      </c>
      <c r="K3337" s="403">
        <v>720</v>
      </c>
      <c r="L3337" s="403">
        <v>1280</v>
      </c>
      <c r="M3337" s="403" t="s">
        <v>1284</v>
      </c>
      <c r="N3337" s="403">
        <v>480</v>
      </c>
      <c r="O3337" s="403">
        <v>640</v>
      </c>
      <c r="P3337" t="str">
        <f t="shared" si="417"/>
        <v>30fps 720p - SD VGA (cropped)</v>
      </c>
      <c r="Q3337">
        <f t="shared" si="418"/>
        <v>19</v>
      </c>
      <c r="R3337" t="str">
        <f t="shared" si="419"/>
        <v/>
      </c>
      <c r="S3337" t="str">
        <f t="shared" si="420"/>
        <v/>
      </c>
      <c r="T3337" s="403" t="str">
        <f t="shared" si="421"/>
        <v>NDE-8502-R</v>
      </c>
      <c r="U3337" s="403">
        <f t="shared" si="422"/>
        <v>1</v>
      </c>
      <c r="V3337" s="403" t="str">
        <f t="shared" si="423"/>
        <v>CPP_7_3</v>
      </c>
    </row>
    <row r="3338" spans="1:22">
      <c r="A3338" t="str">
        <f t="shared" si="416"/>
        <v>NDE-8502-R</v>
      </c>
      <c r="B3338" s="403" t="s">
        <v>1410</v>
      </c>
      <c r="C3338" s="403" t="s">
        <v>582</v>
      </c>
      <c r="D3338" s="403" t="s">
        <v>1411</v>
      </c>
      <c r="E3338" s="403" t="s">
        <v>1412</v>
      </c>
      <c r="F3338" s="403" t="s">
        <v>1292</v>
      </c>
      <c r="G3338" s="403" t="s">
        <v>1467</v>
      </c>
      <c r="H3338" s="403" t="s">
        <v>1281</v>
      </c>
      <c r="I3338" s="403">
        <v>1</v>
      </c>
      <c r="J3338" s="403" t="s">
        <v>110</v>
      </c>
      <c r="K3338" s="403">
        <v>1080</v>
      </c>
      <c r="L3338" s="403">
        <v>1920</v>
      </c>
      <c r="M3338" s="403" t="s">
        <v>111</v>
      </c>
      <c r="N3338" s="403">
        <v>432</v>
      </c>
      <c r="O3338" s="403">
        <v>768</v>
      </c>
      <c r="P3338" t="str">
        <f t="shared" si="417"/>
        <v>30fps 1080p - SD</v>
      </c>
      <c r="Q3338">
        <f t="shared" si="418"/>
        <v>19</v>
      </c>
      <c r="R3338" t="str">
        <f t="shared" si="419"/>
        <v/>
      </c>
      <c r="S3338" t="str">
        <f t="shared" si="420"/>
        <v/>
      </c>
      <c r="T3338" s="403" t="str">
        <f t="shared" si="421"/>
        <v>NDE-8502-R</v>
      </c>
      <c r="U3338" s="403">
        <f t="shared" si="422"/>
        <v>1</v>
      </c>
      <c r="V3338" s="403" t="str">
        <f t="shared" si="423"/>
        <v>CPP_7_3</v>
      </c>
    </row>
    <row r="3339" spans="1:22">
      <c r="A3339" t="str">
        <f t="shared" si="416"/>
        <v>NDE-8502-R</v>
      </c>
      <c r="B3339" s="403" t="s">
        <v>1410</v>
      </c>
      <c r="C3339" s="403" t="s">
        <v>582</v>
      </c>
      <c r="D3339" s="403" t="s">
        <v>1411</v>
      </c>
      <c r="E3339" s="403" t="s">
        <v>1412</v>
      </c>
      <c r="F3339" s="403" t="s">
        <v>1292</v>
      </c>
      <c r="G3339" s="403" t="s">
        <v>1467</v>
      </c>
      <c r="H3339" s="403" t="s">
        <v>1281</v>
      </c>
      <c r="I3339" s="403">
        <v>1</v>
      </c>
      <c r="J3339" s="403" t="s">
        <v>110</v>
      </c>
      <c r="K3339" s="403">
        <v>1080</v>
      </c>
      <c r="L3339" s="403">
        <v>1920</v>
      </c>
      <c r="M3339" s="403" t="s">
        <v>110</v>
      </c>
      <c r="N3339" s="403">
        <v>1080</v>
      </c>
      <c r="O3339" s="403">
        <v>1920</v>
      </c>
      <c r="P3339" t="str">
        <f t="shared" si="417"/>
        <v>30fps 1080p - 1080p</v>
      </c>
      <c r="Q3339">
        <f t="shared" si="418"/>
        <v>19</v>
      </c>
      <c r="R3339" t="str">
        <f t="shared" si="419"/>
        <v/>
      </c>
      <c r="S3339" t="str">
        <f t="shared" si="420"/>
        <v/>
      </c>
      <c r="T3339" s="403" t="str">
        <f t="shared" si="421"/>
        <v>NDE-8502-R</v>
      </c>
      <c r="U3339" s="403">
        <f t="shared" si="422"/>
        <v>1</v>
      </c>
      <c r="V3339" s="403" t="str">
        <f t="shared" si="423"/>
        <v>CPP_7_3</v>
      </c>
    </row>
    <row r="3340" spans="1:22">
      <c r="A3340" t="str">
        <f t="shared" si="416"/>
        <v>NDE-8502-R</v>
      </c>
      <c r="B3340" s="403" t="s">
        <v>1410</v>
      </c>
      <c r="C3340" s="403" t="s">
        <v>582</v>
      </c>
      <c r="D3340" s="403" t="s">
        <v>1411</v>
      </c>
      <c r="E3340" s="403" t="s">
        <v>1412</v>
      </c>
      <c r="F3340" s="403" t="s">
        <v>1292</v>
      </c>
      <c r="G3340" s="403" t="s">
        <v>1467</v>
      </c>
      <c r="H3340" s="403" t="s">
        <v>1281</v>
      </c>
      <c r="I3340" s="403">
        <v>1</v>
      </c>
      <c r="J3340" s="403" t="s">
        <v>110</v>
      </c>
      <c r="K3340" s="403">
        <v>1080</v>
      </c>
      <c r="L3340" s="403">
        <v>1920</v>
      </c>
      <c r="M3340" s="403" t="s">
        <v>109</v>
      </c>
      <c r="N3340" s="403">
        <v>720</v>
      </c>
      <c r="O3340" s="403">
        <v>1280</v>
      </c>
      <c r="P3340" t="str">
        <f t="shared" si="417"/>
        <v>30fps 1080p - 720p</v>
      </c>
      <c r="Q3340">
        <f t="shared" si="418"/>
        <v>19</v>
      </c>
      <c r="R3340" t="str">
        <f t="shared" si="419"/>
        <v/>
      </c>
      <c r="S3340" t="str">
        <f t="shared" si="420"/>
        <v/>
      </c>
      <c r="T3340" s="403" t="str">
        <f t="shared" si="421"/>
        <v>NDE-8502-R</v>
      </c>
      <c r="U3340" s="403">
        <f t="shared" si="422"/>
        <v>1</v>
      </c>
      <c r="V3340" s="403" t="str">
        <f t="shared" si="423"/>
        <v>CPP_7_3</v>
      </c>
    </row>
    <row r="3341" spans="1:22">
      <c r="A3341" t="str">
        <f t="shared" si="416"/>
        <v>NDE-8502-R</v>
      </c>
      <c r="B3341" s="403" t="s">
        <v>1410</v>
      </c>
      <c r="C3341" s="403" t="s">
        <v>582</v>
      </c>
      <c r="D3341" s="403" t="s">
        <v>1411</v>
      </c>
      <c r="E3341" s="403" t="s">
        <v>1412</v>
      </c>
      <c r="F3341" s="403" t="s">
        <v>1292</v>
      </c>
      <c r="G3341" s="403" t="s">
        <v>1467</v>
      </c>
      <c r="H3341" s="403" t="s">
        <v>1281</v>
      </c>
      <c r="I3341" s="403">
        <v>1</v>
      </c>
      <c r="J3341" s="403" t="s">
        <v>110</v>
      </c>
      <c r="K3341" s="403">
        <v>1080</v>
      </c>
      <c r="L3341" s="403">
        <v>1920</v>
      </c>
      <c r="M3341" s="403" t="s">
        <v>1285</v>
      </c>
      <c r="N3341" s="403">
        <v>1024</v>
      </c>
      <c r="O3341" s="403">
        <v>1280</v>
      </c>
      <c r="P3341" t="str">
        <f t="shared" si="417"/>
        <v>30fps 1080p - 1280x1024 5:4 (cropped)</v>
      </c>
      <c r="Q3341">
        <f t="shared" si="418"/>
        <v>19</v>
      </c>
      <c r="R3341" t="str">
        <f t="shared" si="419"/>
        <v/>
      </c>
      <c r="S3341" t="str">
        <f t="shared" si="420"/>
        <v/>
      </c>
      <c r="T3341" s="403" t="str">
        <f t="shared" si="421"/>
        <v>NDE-8502-R</v>
      </c>
      <c r="U3341" s="403">
        <f t="shared" si="422"/>
        <v>1</v>
      </c>
      <c r="V3341" s="403" t="str">
        <f t="shared" si="423"/>
        <v>CPP_7_3</v>
      </c>
    </row>
    <row r="3342" spans="1:22">
      <c r="A3342" t="str">
        <f t="shared" si="416"/>
        <v>NDE-8502-R</v>
      </c>
      <c r="B3342" s="403" t="s">
        <v>1410</v>
      </c>
      <c r="C3342" s="403" t="s">
        <v>582</v>
      </c>
      <c r="D3342" s="403" t="s">
        <v>1411</v>
      </c>
      <c r="E3342" s="403" t="s">
        <v>1412</v>
      </c>
      <c r="F3342" s="403" t="s">
        <v>1292</v>
      </c>
      <c r="G3342" s="403" t="s">
        <v>1467</v>
      </c>
      <c r="H3342" s="403" t="s">
        <v>1281</v>
      </c>
      <c r="I3342" s="403">
        <v>1</v>
      </c>
      <c r="J3342" s="403" t="s">
        <v>110</v>
      </c>
      <c r="K3342" s="403">
        <v>1080</v>
      </c>
      <c r="L3342" s="403">
        <v>1920</v>
      </c>
      <c r="M3342" s="403" t="s">
        <v>1279</v>
      </c>
      <c r="N3342" s="403">
        <v>432</v>
      </c>
      <c r="O3342" s="403">
        <v>768</v>
      </c>
      <c r="P3342" t="str">
        <f t="shared" si="417"/>
        <v>30fps 1080p - SD ROI PTZ</v>
      </c>
      <c r="Q3342">
        <f t="shared" si="418"/>
        <v>19</v>
      </c>
      <c r="R3342" t="str">
        <f t="shared" si="419"/>
        <v/>
      </c>
      <c r="S3342" t="str">
        <f t="shared" si="420"/>
        <v/>
      </c>
      <c r="T3342" s="403" t="str">
        <f t="shared" si="421"/>
        <v>NDE-8502-R</v>
      </c>
      <c r="U3342" s="403">
        <f t="shared" si="422"/>
        <v>1</v>
      </c>
      <c r="V3342" s="403" t="str">
        <f t="shared" si="423"/>
        <v>CPP_7_3</v>
      </c>
    </row>
    <row r="3343" spans="1:22">
      <c r="A3343" t="str">
        <f t="shared" si="416"/>
        <v>NDE-8502-R</v>
      </c>
      <c r="B3343" s="403" t="s">
        <v>1410</v>
      </c>
      <c r="C3343" s="403" t="s">
        <v>582</v>
      </c>
      <c r="D3343" s="403" t="s">
        <v>1411</v>
      </c>
      <c r="E3343" s="403" t="s">
        <v>1412</v>
      </c>
      <c r="F3343" s="403" t="s">
        <v>1292</v>
      </c>
      <c r="G3343" s="403" t="s">
        <v>1467</v>
      </c>
      <c r="H3343" s="403" t="s">
        <v>1281</v>
      </c>
      <c r="I3343" s="403">
        <v>1</v>
      </c>
      <c r="J3343" s="403" t="s">
        <v>110</v>
      </c>
      <c r="K3343" s="403">
        <v>1080</v>
      </c>
      <c r="L3343" s="403">
        <v>1920</v>
      </c>
      <c r="M3343" s="403" t="s">
        <v>1283</v>
      </c>
      <c r="N3343" s="403">
        <v>480</v>
      </c>
      <c r="O3343" s="403">
        <v>720</v>
      </c>
      <c r="P3343" t="str">
        <f t="shared" si="417"/>
        <v>30fps 1080p - SD 4CIF resolution 4:3 format (cropped)</v>
      </c>
      <c r="Q3343">
        <f t="shared" si="418"/>
        <v>19</v>
      </c>
      <c r="R3343" t="str">
        <f t="shared" si="419"/>
        <v/>
      </c>
      <c r="S3343" t="str">
        <f t="shared" si="420"/>
        <v/>
      </c>
      <c r="T3343" s="403" t="str">
        <f t="shared" si="421"/>
        <v>NDE-8502-R</v>
      </c>
      <c r="U3343" s="403">
        <f t="shared" si="422"/>
        <v>1</v>
      </c>
      <c r="V3343" s="403" t="str">
        <f t="shared" si="423"/>
        <v>CPP_7_3</v>
      </c>
    </row>
    <row r="3344" spans="1:22">
      <c r="A3344" t="str">
        <f t="shared" si="416"/>
        <v>NDE-8502-R</v>
      </c>
      <c r="B3344" s="403" t="s">
        <v>1410</v>
      </c>
      <c r="C3344" s="403" t="s">
        <v>582</v>
      </c>
      <c r="D3344" s="403" t="s">
        <v>1411</v>
      </c>
      <c r="E3344" s="403" t="s">
        <v>1412</v>
      </c>
      <c r="F3344" s="403" t="s">
        <v>1292</v>
      </c>
      <c r="G3344" s="403" t="s">
        <v>1467</v>
      </c>
      <c r="H3344" s="403" t="s">
        <v>1281</v>
      </c>
      <c r="I3344" s="403">
        <v>1</v>
      </c>
      <c r="J3344" s="403" t="s">
        <v>110</v>
      </c>
      <c r="K3344" s="403">
        <v>1080</v>
      </c>
      <c r="L3344" s="403">
        <v>1920</v>
      </c>
      <c r="M3344" s="403" t="s">
        <v>1284</v>
      </c>
      <c r="N3344" s="403">
        <v>480</v>
      </c>
      <c r="O3344" s="403">
        <v>640</v>
      </c>
      <c r="P3344" t="str">
        <f t="shared" si="417"/>
        <v>30fps 1080p - SD VGA (cropped)</v>
      </c>
      <c r="Q3344">
        <f t="shared" si="418"/>
        <v>19</v>
      </c>
      <c r="R3344" t="str">
        <f t="shared" si="419"/>
        <v/>
      </c>
      <c r="S3344" t="str">
        <f t="shared" si="420"/>
        <v/>
      </c>
      <c r="T3344" s="403" t="str">
        <f t="shared" si="421"/>
        <v>NDE-8502-R</v>
      </c>
      <c r="U3344" s="403">
        <f t="shared" si="422"/>
        <v>1</v>
      </c>
      <c r="V3344" s="403" t="str">
        <f t="shared" si="423"/>
        <v>CPP_7_3</v>
      </c>
    </row>
    <row r="3345" spans="1:22">
      <c r="A3345" t="str">
        <f t="shared" si="416"/>
        <v>NDE-8502-R</v>
      </c>
      <c r="B3345" s="403" t="s">
        <v>1410</v>
      </c>
      <c r="C3345" s="403" t="s">
        <v>582</v>
      </c>
      <c r="D3345" s="403" t="s">
        <v>1411</v>
      </c>
      <c r="E3345" s="403" t="s">
        <v>1412</v>
      </c>
      <c r="F3345" s="403" t="s">
        <v>1292</v>
      </c>
      <c r="G3345" s="403" t="s">
        <v>1467</v>
      </c>
      <c r="H3345" s="403" t="s">
        <v>1281</v>
      </c>
      <c r="I3345" s="403">
        <v>1</v>
      </c>
      <c r="J3345" s="403" t="s">
        <v>109</v>
      </c>
      <c r="K3345" s="403">
        <v>720</v>
      </c>
      <c r="L3345" s="403">
        <v>1280</v>
      </c>
      <c r="M3345" s="403" t="s">
        <v>109</v>
      </c>
      <c r="N3345" s="403">
        <v>720</v>
      </c>
      <c r="O3345" s="403">
        <v>1280</v>
      </c>
      <c r="P3345" t="str">
        <f t="shared" si="417"/>
        <v>30fps 720p - 720p</v>
      </c>
      <c r="Q3345">
        <f t="shared" si="418"/>
        <v>19</v>
      </c>
      <c r="R3345" t="str">
        <f t="shared" si="419"/>
        <v/>
      </c>
      <c r="S3345" t="str">
        <f t="shared" si="420"/>
        <v/>
      </c>
      <c r="T3345" s="403" t="str">
        <f t="shared" si="421"/>
        <v>NDE-8502-R</v>
      </c>
      <c r="U3345" s="403">
        <f t="shared" si="422"/>
        <v>1</v>
      </c>
      <c r="V3345" s="403" t="str">
        <f t="shared" si="423"/>
        <v>CPP_7_3</v>
      </c>
    </row>
    <row r="3346" spans="1:22">
      <c r="A3346" t="str">
        <f t="shared" si="416"/>
        <v>NDE-8502-R</v>
      </c>
      <c r="B3346" s="403" t="s">
        <v>1410</v>
      </c>
      <c r="C3346" s="403" t="s">
        <v>582</v>
      </c>
      <c r="D3346" s="403" t="s">
        <v>1411</v>
      </c>
      <c r="E3346" s="403" t="s">
        <v>1412</v>
      </c>
      <c r="F3346" s="403" t="s">
        <v>1292</v>
      </c>
      <c r="G3346" s="403" t="s">
        <v>1467</v>
      </c>
      <c r="H3346" s="403" t="s">
        <v>1281</v>
      </c>
      <c r="I3346" s="403">
        <v>1</v>
      </c>
      <c r="J3346" s="403" t="s">
        <v>109</v>
      </c>
      <c r="K3346" s="403">
        <v>720</v>
      </c>
      <c r="L3346" s="403">
        <v>1280</v>
      </c>
      <c r="M3346" s="403" t="s">
        <v>111</v>
      </c>
      <c r="N3346" s="403">
        <v>432</v>
      </c>
      <c r="O3346" s="403">
        <v>768</v>
      </c>
      <c r="P3346" t="str">
        <f t="shared" si="417"/>
        <v>30fps 720p - SD</v>
      </c>
      <c r="Q3346">
        <f t="shared" si="418"/>
        <v>19</v>
      </c>
      <c r="R3346" t="str">
        <f t="shared" si="419"/>
        <v/>
      </c>
      <c r="S3346" t="str">
        <f t="shared" si="420"/>
        <v/>
      </c>
      <c r="T3346" s="403" t="str">
        <f t="shared" si="421"/>
        <v>NDE-8502-R</v>
      </c>
      <c r="U3346" s="403">
        <f t="shared" si="422"/>
        <v>1</v>
      </c>
      <c r="V3346" s="403" t="str">
        <f t="shared" si="423"/>
        <v>CPP_7_3</v>
      </c>
    </row>
    <row r="3347" spans="1:22">
      <c r="A3347" t="str">
        <f t="shared" si="416"/>
        <v>NDE-8502-R</v>
      </c>
      <c r="B3347" s="403" t="s">
        <v>1410</v>
      </c>
      <c r="C3347" s="403" t="s">
        <v>582</v>
      </c>
      <c r="D3347" s="403" t="s">
        <v>1411</v>
      </c>
      <c r="E3347" s="403" t="s">
        <v>1412</v>
      </c>
      <c r="F3347" s="403" t="s">
        <v>1292</v>
      </c>
      <c r="G3347" s="403" t="s">
        <v>1467</v>
      </c>
      <c r="H3347" s="403" t="s">
        <v>1281</v>
      </c>
      <c r="I3347" s="403">
        <v>1</v>
      </c>
      <c r="J3347" s="403" t="s">
        <v>109</v>
      </c>
      <c r="K3347" s="403">
        <v>720</v>
      </c>
      <c r="L3347" s="403">
        <v>1280</v>
      </c>
      <c r="M3347" s="403" t="s">
        <v>1279</v>
      </c>
      <c r="N3347" s="403">
        <v>432</v>
      </c>
      <c r="O3347" s="403">
        <v>768</v>
      </c>
      <c r="P3347" t="str">
        <f t="shared" si="417"/>
        <v>30fps 720p - SD ROI PTZ</v>
      </c>
      <c r="Q3347">
        <f t="shared" si="418"/>
        <v>19</v>
      </c>
      <c r="R3347" t="str">
        <f t="shared" si="419"/>
        <v/>
      </c>
      <c r="S3347" t="str">
        <f t="shared" si="420"/>
        <v/>
      </c>
      <c r="T3347" s="403" t="str">
        <f t="shared" si="421"/>
        <v>NDE-8502-R</v>
      </c>
      <c r="U3347" s="403">
        <f t="shared" si="422"/>
        <v>1</v>
      </c>
      <c r="V3347" s="403" t="str">
        <f t="shared" si="423"/>
        <v>CPP_7_3</v>
      </c>
    </row>
    <row r="3348" spans="1:22">
      <c r="A3348" t="str">
        <f t="shared" si="416"/>
        <v>NDE-8502-R</v>
      </c>
      <c r="B3348" s="403" t="s">
        <v>1410</v>
      </c>
      <c r="C3348" s="403" t="s">
        <v>582</v>
      </c>
      <c r="D3348" s="403" t="s">
        <v>1411</v>
      </c>
      <c r="E3348" s="403" t="s">
        <v>1412</v>
      </c>
      <c r="F3348" s="403" t="s">
        <v>1292</v>
      </c>
      <c r="G3348" s="403" t="s">
        <v>1467</v>
      </c>
      <c r="H3348" s="403" t="s">
        <v>1281</v>
      </c>
      <c r="I3348" s="403">
        <v>1</v>
      </c>
      <c r="J3348" s="403" t="s">
        <v>109</v>
      </c>
      <c r="K3348" s="403">
        <v>720</v>
      </c>
      <c r="L3348" s="403">
        <v>1280</v>
      </c>
      <c r="M3348" s="403" t="s">
        <v>1283</v>
      </c>
      <c r="N3348" s="403">
        <v>480</v>
      </c>
      <c r="O3348" s="403">
        <v>720</v>
      </c>
      <c r="P3348" t="str">
        <f t="shared" si="417"/>
        <v>30fps 720p - SD 4CIF resolution 4:3 format (cropped)</v>
      </c>
      <c r="Q3348">
        <f t="shared" si="418"/>
        <v>19</v>
      </c>
      <c r="R3348" t="str">
        <f t="shared" si="419"/>
        <v/>
      </c>
      <c r="S3348" t="str">
        <f t="shared" si="420"/>
        <v/>
      </c>
      <c r="T3348" s="403" t="str">
        <f t="shared" si="421"/>
        <v>NDE-8502-R</v>
      </c>
      <c r="U3348" s="403">
        <f t="shared" si="422"/>
        <v>1</v>
      </c>
      <c r="V3348" s="403" t="str">
        <f t="shared" si="423"/>
        <v>CPP_7_3</v>
      </c>
    </row>
    <row r="3349" spans="1:22">
      <c r="A3349" t="str">
        <f t="shared" si="416"/>
        <v>NDE-8502-R</v>
      </c>
      <c r="B3349" s="403" t="s">
        <v>1410</v>
      </c>
      <c r="C3349" s="403" t="s">
        <v>582</v>
      </c>
      <c r="D3349" s="403" t="s">
        <v>1411</v>
      </c>
      <c r="E3349" s="403" t="s">
        <v>1412</v>
      </c>
      <c r="F3349" s="403" t="s">
        <v>1292</v>
      </c>
      <c r="G3349" s="403" t="s">
        <v>1467</v>
      </c>
      <c r="H3349" s="403" t="s">
        <v>1281</v>
      </c>
      <c r="I3349" s="403">
        <v>1</v>
      </c>
      <c r="J3349" s="403" t="s">
        <v>109</v>
      </c>
      <c r="K3349" s="403">
        <v>720</v>
      </c>
      <c r="L3349" s="403">
        <v>1280</v>
      </c>
      <c r="M3349" s="403" t="s">
        <v>1284</v>
      </c>
      <c r="N3349" s="403">
        <v>480</v>
      </c>
      <c r="O3349" s="403">
        <v>640</v>
      </c>
      <c r="P3349" t="str">
        <f t="shared" si="417"/>
        <v>30fps 720p - SD VGA (cropped)</v>
      </c>
      <c r="Q3349">
        <f t="shared" si="418"/>
        <v>19</v>
      </c>
      <c r="R3349" t="str">
        <f t="shared" si="419"/>
        <v/>
      </c>
      <c r="S3349" t="str">
        <f t="shared" si="420"/>
        <v/>
      </c>
      <c r="T3349" s="403" t="str">
        <f t="shared" si="421"/>
        <v>NDE-8502-R</v>
      </c>
      <c r="U3349" s="403">
        <f t="shared" si="422"/>
        <v>1</v>
      </c>
      <c r="V3349" s="403" t="str">
        <f t="shared" si="423"/>
        <v>CPP_7_3</v>
      </c>
    </row>
    <row r="3350" spans="1:22">
      <c r="A3350" t="str">
        <f t="shared" si="416"/>
        <v>NDE-8502-R</v>
      </c>
      <c r="B3350" s="403" t="s">
        <v>1410</v>
      </c>
      <c r="C3350" s="403" t="s">
        <v>582</v>
      </c>
      <c r="D3350" s="403" t="s">
        <v>1411</v>
      </c>
      <c r="E3350" s="403" t="s">
        <v>1412</v>
      </c>
      <c r="F3350" s="403" t="s">
        <v>1292</v>
      </c>
      <c r="G3350" s="403" t="s">
        <v>1467</v>
      </c>
      <c r="H3350" s="403" t="s">
        <v>1282</v>
      </c>
      <c r="I3350" s="403">
        <v>1</v>
      </c>
      <c r="J3350" s="403" t="s">
        <v>110</v>
      </c>
      <c r="K3350" s="403">
        <v>1080</v>
      </c>
      <c r="L3350" s="403">
        <v>1920</v>
      </c>
      <c r="M3350" s="403" t="s">
        <v>111</v>
      </c>
      <c r="N3350" s="403">
        <v>432</v>
      </c>
      <c r="O3350" s="403">
        <v>768</v>
      </c>
      <c r="P3350" t="str">
        <f t="shared" si="417"/>
        <v>30fps 1080p - SD</v>
      </c>
      <c r="Q3350">
        <f t="shared" si="418"/>
        <v>19</v>
      </c>
      <c r="R3350" t="str">
        <f t="shared" si="419"/>
        <v/>
      </c>
      <c r="S3350" t="str">
        <f t="shared" si="420"/>
        <v/>
      </c>
      <c r="T3350" s="403" t="str">
        <f t="shared" si="421"/>
        <v>NDE-8502-R</v>
      </c>
      <c r="U3350" s="403">
        <f t="shared" si="422"/>
        <v>1</v>
      </c>
      <c r="V3350" s="403" t="str">
        <f t="shared" si="423"/>
        <v>CPP_7_3</v>
      </c>
    </row>
    <row r="3351" spans="1:22">
      <c r="A3351" t="str">
        <f t="shared" si="416"/>
        <v>NDE-8502-R</v>
      </c>
      <c r="B3351" s="403" t="s">
        <v>1410</v>
      </c>
      <c r="C3351" s="403" t="s">
        <v>582</v>
      </c>
      <c r="D3351" s="403" t="s">
        <v>1411</v>
      </c>
      <c r="E3351" s="403" t="s">
        <v>1412</v>
      </c>
      <c r="F3351" s="403" t="s">
        <v>1292</v>
      </c>
      <c r="G3351" s="403" t="s">
        <v>1467</v>
      </c>
      <c r="H3351" s="403" t="s">
        <v>1282</v>
      </c>
      <c r="I3351" s="403">
        <v>1</v>
      </c>
      <c r="J3351" s="403" t="s">
        <v>110</v>
      </c>
      <c r="K3351" s="403">
        <v>1080</v>
      </c>
      <c r="L3351" s="403">
        <v>1920</v>
      </c>
      <c r="M3351" s="403" t="s">
        <v>110</v>
      </c>
      <c r="N3351" s="403">
        <v>1080</v>
      </c>
      <c r="O3351" s="403">
        <v>1920</v>
      </c>
      <c r="P3351" t="str">
        <f t="shared" si="417"/>
        <v>30fps 1080p - 1080p</v>
      </c>
      <c r="Q3351">
        <f t="shared" si="418"/>
        <v>19</v>
      </c>
      <c r="R3351" t="str">
        <f t="shared" si="419"/>
        <v/>
      </c>
      <c r="S3351" t="str">
        <f t="shared" si="420"/>
        <v/>
      </c>
      <c r="T3351" s="403" t="str">
        <f t="shared" si="421"/>
        <v>NDE-8502-R</v>
      </c>
      <c r="U3351" s="403">
        <f t="shared" si="422"/>
        <v>1</v>
      </c>
      <c r="V3351" s="403" t="str">
        <f t="shared" si="423"/>
        <v>CPP_7_3</v>
      </c>
    </row>
    <row r="3352" spans="1:22">
      <c r="A3352" t="str">
        <f t="shared" si="416"/>
        <v>NDE-8502-R</v>
      </c>
      <c r="B3352" s="403" t="s">
        <v>1410</v>
      </c>
      <c r="C3352" s="403" t="s">
        <v>582</v>
      </c>
      <c r="D3352" s="403" t="s">
        <v>1411</v>
      </c>
      <c r="E3352" s="403" t="s">
        <v>1412</v>
      </c>
      <c r="F3352" s="403" t="s">
        <v>1292</v>
      </c>
      <c r="G3352" s="403" t="s">
        <v>1467</v>
      </c>
      <c r="H3352" s="403" t="s">
        <v>1282</v>
      </c>
      <c r="I3352" s="403">
        <v>1</v>
      </c>
      <c r="J3352" s="403" t="s">
        <v>110</v>
      </c>
      <c r="K3352" s="403">
        <v>1080</v>
      </c>
      <c r="L3352" s="403">
        <v>1920</v>
      </c>
      <c r="M3352" s="403" t="s">
        <v>109</v>
      </c>
      <c r="N3352" s="403">
        <v>720</v>
      </c>
      <c r="O3352" s="403">
        <v>1280</v>
      </c>
      <c r="P3352" t="str">
        <f t="shared" si="417"/>
        <v>30fps 1080p - 720p</v>
      </c>
      <c r="Q3352">
        <f t="shared" si="418"/>
        <v>19</v>
      </c>
      <c r="R3352" t="str">
        <f t="shared" si="419"/>
        <v/>
      </c>
      <c r="S3352" t="str">
        <f t="shared" si="420"/>
        <v/>
      </c>
      <c r="T3352" s="403" t="str">
        <f t="shared" si="421"/>
        <v>NDE-8502-R</v>
      </c>
      <c r="U3352" s="403">
        <f t="shared" si="422"/>
        <v>1</v>
      </c>
      <c r="V3352" s="403" t="str">
        <f t="shared" si="423"/>
        <v>CPP_7_3</v>
      </c>
    </row>
    <row r="3353" spans="1:22">
      <c r="A3353" t="str">
        <f t="shared" si="416"/>
        <v>NDE-8502-R</v>
      </c>
      <c r="B3353" s="403" t="s">
        <v>1410</v>
      </c>
      <c r="C3353" s="403" t="s">
        <v>582</v>
      </c>
      <c r="D3353" s="403" t="s">
        <v>1411</v>
      </c>
      <c r="E3353" s="403" t="s">
        <v>1412</v>
      </c>
      <c r="F3353" s="403" t="s">
        <v>1292</v>
      </c>
      <c r="G3353" s="403" t="s">
        <v>1467</v>
      </c>
      <c r="H3353" s="403" t="s">
        <v>1282</v>
      </c>
      <c r="I3353" s="403">
        <v>1</v>
      </c>
      <c r="J3353" s="403" t="s">
        <v>110</v>
      </c>
      <c r="K3353" s="403">
        <v>1080</v>
      </c>
      <c r="L3353" s="403">
        <v>1920</v>
      </c>
      <c r="M3353" s="403" t="s">
        <v>1285</v>
      </c>
      <c r="N3353" s="403">
        <v>1024</v>
      </c>
      <c r="O3353" s="403">
        <v>1280</v>
      </c>
      <c r="P3353" t="str">
        <f t="shared" si="417"/>
        <v>30fps 1080p - 1280x1024 5:4 (cropped)</v>
      </c>
      <c r="Q3353">
        <f t="shared" si="418"/>
        <v>19</v>
      </c>
      <c r="R3353" t="str">
        <f t="shared" si="419"/>
        <v/>
      </c>
      <c r="S3353" t="str">
        <f t="shared" si="420"/>
        <v/>
      </c>
      <c r="T3353" s="403" t="str">
        <f t="shared" si="421"/>
        <v>NDE-8502-R</v>
      </c>
      <c r="U3353" s="403">
        <f t="shared" si="422"/>
        <v>1</v>
      </c>
      <c r="V3353" s="403" t="str">
        <f t="shared" si="423"/>
        <v>CPP_7_3</v>
      </c>
    </row>
    <row r="3354" spans="1:22">
      <c r="A3354" t="str">
        <f t="shared" si="416"/>
        <v>NDE-8502-R</v>
      </c>
      <c r="B3354" s="403" t="s">
        <v>1410</v>
      </c>
      <c r="C3354" s="403" t="s">
        <v>582</v>
      </c>
      <c r="D3354" s="403" t="s">
        <v>1411</v>
      </c>
      <c r="E3354" s="403" t="s">
        <v>1412</v>
      </c>
      <c r="F3354" s="403" t="s">
        <v>1292</v>
      </c>
      <c r="G3354" s="403" t="s">
        <v>1467</v>
      </c>
      <c r="H3354" s="403" t="s">
        <v>1282</v>
      </c>
      <c r="I3354" s="403">
        <v>1</v>
      </c>
      <c r="J3354" s="403" t="s">
        <v>110</v>
      </c>
      <c r="K3354" s="403">
        <v>1080</v>
      </c>
      <c r="L3354" s="403">
        <v>1920</v>
      </c>
      <c r="M3354" s="403" t="s">
        <v>1279</v>
      </c>
      <c r="N3354" s="403">
        <v>432</v>
      </c>
      <c r="O3354" s="403">
        <v>768</v>
      </c>
      <c r="P3354" t="str">
        <f t="shared" si="417"/>
        <v>30fps 1080p - SD ROI PTZ</v>
      </c>
      <c r="Q3354">
        <f t="shared" si="418"/>
        <v>19</v>
      </c>
      <c r="R3354" t="str">
        <f t="shared" si="419"/>
        <v/>
      </c>
      <c r="S3354" t="str">
        <f t="shared" si="420"/>
        <v/>
      </c>
      <c r="T3354" s="403" t="str">
        <f t="shared" si="421"/>
        <v>NDE-8502-R</v>
      </c>
      <c r="U3354" s="403">
        <f t="shared" si="422"/>
        <v>1</v>
      </c>
      <c r="V3354" s="403" t="str">
        <f t="shared" si="423"/>
        <v>CPP_7_3</v>
      </c>
    </row>
    <row r="3355" spans="1:22">
      <c r="A3355" t="str">
        <f t="shared" si="416"/>
        <v>NDE-8502-R</v>
      </c>
      <c r="B3355" s="403" t="s">
        <v>1410</v>
      </c>
      <c r="C3355" s="403" t="s">
        <v>582</v>
      </c>
      <c r="D3355" s="403" t="s">
        <v>1411</v>
      </c>
      <c r="E3355" s="403" t="s">
        <v>1412</v>
      </c>
      <c r="F3355" s="403" t="s">
        <v>1292</v>
      </c>
      <c r="G3355" s="403" t="s">
        <v>1467</v>
      </c>
      <c r="H3355" s="403" t="s">
        <v>1282</v>
      </c>
      <c r="I3355" s="403">
        <v>1</v>
      </c>
      <c r="J3355" s="403" t="s">
        <v>110</v>
      </c>
      <c r="K3355" s="403">
        <v>1080</v>
      </c>
      <c r="L3355" s="403">
        <v>1920</v>
      </c>
      <c r="M3355" s="403" t="s">
        <v>1283</v>
      </c>
      <c r="N3355" s="403">
        <v>480</v>
      </c>
      <c r="O3355" s="403">
        <v>720</v>
      </c>
      <c r="P3355" t="str">
        <f t="shared" si="417"/>
        <v>30fps 1080p - SD 4CIF resolution 4:3 format (cropped)</v>
      </c>
      <c r="Q3355">
        <f t="shared" si="418"/>
        <v>19</v>
      </c>
      <c r="R3355" t="str">
        <f t="shared" si="419"/>
        <v/>
      </c>
      <c r="S3355" t="str">
        <f t="shared" si="420"/>
        <v/>
      </c>
      <c r="T3355" s="403" t="str">
        <f t="shared" si="421"/>
        <v>NDE-8502-R</v>
      </c>
      <c r="U3355" s="403">
        <f t="shared" si="422"/>
        <v>1</v>
      </c>
      <c r="V3355" s="403" t="str">
        <f t="shared" si="423"/>
        <v>CPP_7_3</v>
      </c>
    </row>
    <row r="3356" spans="1:22">
      <c r="A3356" t="str">
        <f t="shared" si="416"/>
        <v>NDE-8502-R</v>
      </c>
      <c r="B3356" s="403" t="s">
        <v>1410</v>
      </c>
      <c r="C3356" s="403" t="s">
        <v>582</v>
      </c>
      <c r="D3356" s="403" t="s">
        <v>1411</v>
      </c>
      <c r="E3356" s="403" t="s">
        <v>1412</v>
      </c>
      <c r="F3356" s="403" t="s">
        <v>1292</v>
      </c>
      <c r="G3356" s="403" t="s">
        <v>1467</v>
      </c>
      <c r="H3356" s="403" t="s">
        <v>1282</v>
      </c>
      <c r="I3356" s="403">
        <v>1</v>
      </c>
      <c r="J3356" s="403" t="s">
        <v>110</v>
      </c>
      <c r="K3356" s="403">
        <v>1080</v>
      </c>
      <c r="L3356" s="403">
        <v>1920</v>
      </c>
      <c r="M3356" s="403" t="s">
        <v>1284</v>
      </c>
      <c r="N3356" s="403">
        <v>480</v>
      </c>
      <c r="O3356" s="403">
        <v>640</v>
      </c>
      <c r="P3356" t="str">
        <f t="shared" si="417"/>
        <v>30fps 1080p - SD VGA (cropped)</v>
      </c>
      <c r="Q3356">
        <f t="shared" si="418"/>
        <v>19</v>
      </c>
      <c r="R3356" t="str">
        <f t="shared" si="419"/>
        <v/>
      </c>
      <c r="S3356" t="str">
        <f t="shared" si="420"/>
        <v/>
      </c>
      <c r="T3356" s="403" t="str">
        <f t="shared" si="421"/>
        <v>NDE-8502-R</v>
      </c>
      <c r="U3356" s="403">
        <f t="shared" si="422"/>
        <v>1</v>
      </c>
      <c r="V3356" s="403" t="str">
        <f t="shared" si="423"/>
        <v>CPP_7_3</v>
      </c>
    </row>
    <row r="3357" spans="1:22">
      <c r="A3357" t="str">
        <f t="shared" si="416"/>
        <v>NDE-8502-R</v>
      </c>
      <c r="B3357" s="403" t="s">
        <v>1410</v>
      </c>
      <c r="C3357" s="403" t="s">
        <v>582</v>
      </c>
      <c r="D3357" s="403" t="s">
        <v>1411</v>
      </c>
      <c r="E3357" s="403" t="s">
        <v>1412</v>
      </c>
      <c r="F3357" s="403" t="s">
        <v>1292</v>
      </c>
      <c r="G3357" s="403" t="s">
        <v>1467</v>
      </c>
      <c r="H3357" s="403" t="s">
        <v>1282</v>
      </c>
      <c r="I3357" s="403">
        <v>1</v>
      </c>
      <c r="J3357" s="403" t="s">
        <v>109</v>
      </c>
      <c r="K3357" s="403">
        <v>720</v>
      </c>
      <c r="L3357" s="403">
        <v>1280</v>
      </c>
      <c r="M3357" s="403" t="s">
        <v>109</v>
      </c>
      <c r="N3357" s="403">
        <v>720</v>
      </c>
      <c r="O3357" s="403">
        <v>1280</v>
      </c>
      <c r="P3357" t="str">
        <f t="shared" si="417"/>
        <v>30fps 720p - 720p</v>
      </c>
      <c r="Q3357">
        <f t="shared" si="418"/>
        <v>19</v>
      </c>
      <c r="R3357" t="str">
        <f t="shared" si="419"/>
        <v/>
      </c>
      <c r="S3357" t="str">
        <f t="shared" si="420"/>
        <v/>
      </c>
      <c r="T3357" s="403" t="str">
        <f t="shared" si="421"/>
        <v>NDE-8502-R</v>
      </c>
      <c r="U3357" s="403">
        <f t="shared" si="422"/>
        <v>1</v>
      </c>
      <c r="V3357" s="403" t="str">
        <f t="shared" si="423"/>
        <v>CPP_7_3</v>
      </c>
    </row>
    <row r="3358" spans="1:22">
      <c r="A3358" t="str">
        <f t="shared" si="416"/>
        <v>NDE-8502-R</v>
      </c>
      <c r="B3358" s="403" t="s">
        <v>1410</v>
      </c>
      <c r="C3358" s="403" t="s">
        <v>582</v>
      </c>
      <c r="D3358" s="403" t="s">
        <v>1411</v>
      </c>
      <c r="E3358" s="403" t="s">
        <v>1412</v>
      </c>
      <c r="F3358" s="403" t="s">
        <v>1292</v>
      </c>
      <c r="G3358" s="403" t="s">
        <v>1467</v>
      </c>
      <c r="H3358" s="403" t="s">
        <v>1282</v>
      </c>
      <c r="I3358" s="403">
        <v>1</v>
      </c>
      <c r="J3358" s="403" t="s">
        <v>109</v>
      </c>
      <c r="K3358" s="403">
        <v>720</v>
      </c>
      <c r="L3358" s="403">
        <v>1280</v>
      </c>
      <c r="M3358" s="403" t="s">
        <v>111</v>
      </c>
      <c r="N3358" s="403">
        <v>432</v>
      </c>
      <c r="O3358" s="403">
        <v>768</v>
      </c>
      <c r="P3358" t="str">
        <f t="shared" si="417"/>
        <v>30fps 720p - SD</v>
      </c>
      <c r="Q3358">
        <f t="shared" si="418"/>
        <v>19</v>
      </c>
      <c r="R3358" t="str">
        <f t="shared" si="419"/>
        <v/>
      </c>
      <c r="S3358" t="str">
        <f t="shared" si="420"/>
        <v/>
      </c>
      <c r="T3358" s="403" t="str">
        <f t="shared" si="421"/>
        <v>NDE-8502-R</v>
      </c>
      <c r="U3358" s="403">
        <f t="shared" si="422"/>
        <v>1</v>
      </c>
      <c r="V3358" s="403" t="str">
        <f t="shared" si="423"/>
        <v>CPP_7_3</v>
      </c>
    </row>
    <row r="3359" spans="1:22">
      <c r="A3359" t="str">
        <f t="shared" si="416"/>
        <v>NDE-8502-R</v>
      </c>
      <c r="B3359" s="403" t="s">
        <v>1410</v>
      </c>
      <c r="C3359" s="403" t="s">
        <v>582</v>
      </c>
      <c r="D3359" s="403" t="s">
        <v>1411</v>
      </c>
      <c r="E3359" s="403" t="s">
        <v>1412</v>
      </c>
      <c r="F3359" s="403" t="s">
        <v>1292</v>
      </c>
      <c r="G3359" s="403" t="s">
        <v>1467</v>
      </c>
      <c r="H3359" s="403" t="s">
        <v>1282</v>
      </c>
      <c r="I3359" s="403">
        <v>1</v>
      </c>
      <c r="J3359" s="403" t="s">
        <v>109</v>
      </c>
      <c r="K3359" s="403">
        <v>720</v>
      </c>
      <c r="L3359" s="403">
        <v>1280</v>
      </c>
      <c r="M3359" s="403" t="s">
        <v>1279</v>
      </c>
      <c r="N3359" s="403">
        <v>432</v>
      </c>
      <c r="O3359" s="403">
        <v>768</v>
      </c>
      <c r="P3359" t="str">
        <f t="shared" si="417"/>
        <v>30fps 720p - SD ROI PTZ</v>
      </c>
      <c r="Q3359">
        <f t="shared" si="418"/>
        <v>19</v>
      </c>
      <c r="R3359" t="str">
        <f t="shared" si="419"/>
        <v/>
      </c>
      <c r="S3359" t="str">
        <f t="shared" si="420"/>
        <v/>
      </c>
      <c r="T3359" s="403" t="str">
        <f t="shared" si="421"/>
        <v>NDE-8502-R</v>
      </c>
      <c r="U3359" s="403">
        <f t="shared" si="422"/>
        <v>1</v>
      </c>
      <c r="V3359" s="403" t="str">
        <f t="shared" si="423"/>
        <v>CPP_7_3</v>
      </c>
    </row>
    <row r="3360" spans="1:22">
      <c r="A3360" t="str">
        <f t="shared" si="416"/>
        <v>NDE-8502-R</v>
      </c>
      <c r="B3360" s="403" t="s">
        <v>1410</v>
      </c>
      <c r="C3360" s="403" t="s">
        <v>582</v>
      </c>
      <c r="D3360" s="403" t="s">
        <v>1411</v>
      </c>
      <c r="E3360" s="403" t="s">
        <v>1412</v>
      </c>
      <c r="F3360" s="403" t="s">
        <v>1292</v>
      </c>
      <c r="G3360" s="403" t="s">
        <v>1467</v>
      </c>
      <c r="H3360" s="403" t="s">
        <v>1282</v>
      </c>
      <c r="I3360" s="403">
        <v>1</v>
      </c>
      <c r="J3360" s="403" t="s">
        <v>109</v>
      </c>
      <c r="K3360" s="403">
        <v>720</v>
      </c>
      <c r="L3360" s="403">
        <v>1280</v>
      </c>
      <c r="M3360" s="403" t="s">
        <v>1283</v>
      </c>
      <c r="N3360" s="403">
        <v>480</v>
      </c>
      <c r="O3360" s="403">
        <v>720</v>
      </c>
      <c r="P3360" t="str">
        <f t="shared" si="417"/>
        <v>30fps 720p - SD 4CIF resolution 4:3 format (cropped)</v>
      </c>
      <c r="Q3360">
        <f t="shared" si="418"/>
        <v>19</v>
      </c>
      <c r="R3360" t="str">
        <f t="shared" si="419"/>
        <v/>
      </c>
      <c r="S3360" t="str">
        <f t="shared" si="420"/>
        <v/>
      </c>
      <c r="T3360" s="403" t="str">
        <f t="shared" si="421"/>
        <v>NDE-8502-R</v>
      </c>
      <c r="U3360" s="403">
        <f t="shared" si="422"/>
        <v>1</v>
      </c>
      <c r="V3360" s="403" t="str">
        <f t="shared" si="423"/>
        <v>CPP_7_3</v>
      </c>
    </row>
    <row r="3361" spans="1:22">
      <c r="A3361" t="str">
        <f t="shared" si="416"/>
        <v>NDE-8502-R</v>
      </c>
      <c r="B3361" s="403" t="s">
        <v>1410</v>
      </c>
      <c r="C3361" s="403" t="s">
        <v>582</v>
      </c>
      <c r="D3361" s="403" t="s">
        <v>1411</v>
      </c>
      <c r="E3361" s="403" t="s">
        <v>1412</v>
      </c>
      <c r="F3361" s="403" t="s">
        <v>1292</v>
      </c>
      <c r="G3361" s="403" t="s">
        <v>1467</v>
      </c>
      <c r="H3361" s="403" t="s">
        <v>1282</v>
      </c>
      <c r="I3361" s="403">
        <v>1</v>
      </c>
      <c r="J3361" s="403" t="s">
        <v>109</v>
      </c>
      <c r="K3361" s="403">
        <v>720</v>
      </c>
      <c r="L3361" s="403">
        <v>1280</v>
      </c>
      <c r="M3361" s="403" t="s">
        <v>1284</v>
      </c>
      <c r="N3361" s="403">
        <v>480</v>
      </c>
      <c r="O3361" s="403">
        <v>640</v>
      </c>
      <c r="P3361" t="str">
        <f t="shared" si="417"/>
        <v>30fps 720p - SD VGA (cropped)</v>
      </c>
      <c r="Q3361">
        <f t="shared" si="418"/>
        <v>19</v>
      </c>
      <c r="R3361" t="str">
        <f t="shared" si="419"/>
        <v/>
      </c>
      <c r="S3361" t="str">
        <f t="shared" si="420"/>
        <v/>
      </c>
      <c r="T3361" s="403" t="str">
        <f t="shared" si="421"/>
        <v>NDE-8502-R</v>
      </c>
      <c r="U3361" s="403">
        <f t="shared" si="422"/>
        <v>1</v>
      </c>
      <c r="V3361" s="403" t="str">
        <f t="shared" si="423"/>
        <v>CPP_7_3</v>
      </c>
    </row>
    <row r="3362" spans="1:22">
      <c r="A3362" t="str">
        <f t="shared" si="416"/>
        <v>NDE-8502-R</v>
      </c>
      <c r="B3362" s="403" t="s">
        <v>1410</v>
      </c>
      <c r="C3362" s="403" t="s">
        <v>582</v>
      </c>
      <c r="D3362" s="403" t="s">
        <v>1411</v>
      </c>
      <c r="E3362" s="403" t="s">
        <v>1412</v>
      </c>
      <c r="F3362" s="403" t="s">
        <v>1293</v>
      </c>
      <c r="G3362" s="403" t="s">
        <v>1466</v>
      </c>
      <c r="H3362" s="403" t="s">
        <v>1276</v>
      </c>
      <c r="I3362" s="403">
        <v>1</v>
      </c>
      <c r="J3362" s="403" t="s">
        <v>110</v>
      </c>
      <c r="K3362" s="403">
        <v>1920</v>
      </c>
      <c r="L3362" s="403">
        <v>1080</v>
      </c>
      <c r="M3362" s="403" t="s">
        <v>111</v>
      </c>
      <c r="N3362" s="403">
        <v>768</v>
      </c>
      <c r="O3362" s="403">
        <v>432</v>
      </c>
      <c r="P3362" t="str">
        <f t="shared" si="417"/>
        <v>25fps 1080p - SD</v>
      </c>
      <c r="Q3362">
        <f t="shared" si="418"/>
        <v>19</v>
      </c>
      <c r="R3362" t="str">
        <f t="shared" si="419"/>
        <v/>
      </c>
      <c r="S3362" t="str">
        <f t="shared" si="420"/>
        <v/>
      </c>
      <c r="T3362" s="403" t="str">
        <f t="shared" si="421"/>
        <v>NDE-8502-R</v>
      </c>
      <c r="U3362" s="403">
        <f t="shared" si="422"/>
        <v>1</v>
      </c>
      <c r="V3362" s="403" t="str">
        <f t="shared" si="423"/>
        <v>CPP_7_3</v>
      </c>
    </row>
    <row r="3363" spans="1:22">
      <c r="A3363" t="str">
        <f t="shared" si="416"/>
        <v>NDE-8502-R</v>
      </c>
      <c r="B3363" s="403" t="s">
        <v>1410</v>
      </c>
      <c r="C3363" s="403" t="s">
        <v>582</v>
      </c>
      <c r="D3363" s="403" t="s">
        <v>1411</v>
      </c>
      <c r="E3363" s="403" t="s">
        <v>1412</v>
      </c>
      <c r="F3363" s="403" t="s">
        <v>1293</v>
      </c>
      <c r="G3363" s="403" t="s">
        <v>1466</v>
      </c>
      <c r="H3363" s="403" t="s">
        <v>1276</v>
      </c>
      <c r="I3363" s="403">
        <v>1</v>
      </c>
      <c r="J3363" s="403" t="s">
        <v>110</v>
      </c>
      <c r="K3363" s="403">
        <v>1920</v>
      </c>
      <c r="L3363" s="403">
        <v>1080</v>
      </c>
      <c r="M3363" s="403" t="s">
        <v>110</v>
      </c>
      <c r="N3363" s="403">
        <v>1920</v>
      </c>
      <c r="O3363" s="403">
        <v>1080</v>
      </c>
      <c r="P3363" t="str">
        <f t="shared" si="417"/>
        <v>25fps 1080p - 1080p</v>
      </c>
      <c r="Q3363">
        <f t="shared" si="418"/>
        <v>19</v>
      </c>
      <c r="R3363" t="str">
        <f t="shared" si="419"/>
        <v/>
      </c>
      <c r="S3363" t="str">
        <f t="shared" si="420"/>
        <v/>
      </c>
      <c r="T3363" s="403" t="str">
        <f t="shared" si="421"/>
        <v>NDE-8502-R</v>
      </c>
      <c r="U3363" s="403">
        <f t="shared" si="422"/>
        <v>1</v>
      </c>
      <c r="V3363" s="403" t="str">
        <f t="shared" si="423"/>
        <v>CPP_7_3</v>
      </c>
    </row>
    <row r="3364" spans="1:22">
      <c r="A3364" t="str">
        <f t="shared" si="416"/>
        <v>NDE-8502-R</v>
      </c>
      <c r="B3364" s="403" t="s">
        <v>1410</v>
      </c>
      <c r="C3364" s="403" t="s">
        <v>582</v>
      </c>
      <c r="D3364" s="403" t="s">
        <v>1411</v>
      </c>
      <c r="E3364" s="403" t="s">
        <v>1412</v>
      </c>
      <c r="F3364" s="403" t="s">
        <v>1293</v>
      </c>
      <c r="G3364" s="403" t="s">
        <v>1466</v>
      </c>
      <c r="H3364" s="403" t="s">
        <v>1276</v>
      </c>
      <c r="I3364" s="403">
        <v>1</v>
      </c>
      <c r="J3364" s="403" t="s">
        <v>110</v>
      </c>
      <c r="K3364" s="403">
        <v>1920</v>
      </c>
      <c r="L3364" s="403">
        <v>1080</v>
      </c>
      <c r="M3364" s="403" t="s">
        <v>109</v>
      </c>
      <c r="N3364" s="403">
        <v>1280</v>
      </c>
      <c r="O3364" s="403">
        <v>720</v>
      </c>
      <c r="P3364" t="str">
        <f t="shared" si="417"/>
        <v>25fps 1080p - 720p</v>
      </c>
      <c r="Q3364">
        <f t="shared" si="418"/>
        <v>19</v>
      </c>
      <c r="R3364" t="str">
        <f t="shared" si="419"/>
        <v/>
      </c>
      <c r="S3364" t="str">
        <f t="shared" si="420"/>
        <v/>
      </c>
      <c r="T3364" s="403" t="str">
        <f t="shared" si="421"/>
        <v>NDE-8502-R</v>
      </c>
      <c r="U3364" s="403">
        <f t="shared" si="422"/>
        <v>1</v>
      </c>
      <c r="V3364" s="403" t="str">
        <f t="shared" si="423"/>
        <v>CPP_7_3</v>
      </c>
    </row>
    <row r="3365" spans="1:22">
      <c r="A3365" t="str">
        <f t="shared" si="416"/>
        <v>NDE-8502-R</v>
      </c>
      <c r="B3365" s="403" t="s">
        <v>1410</v>
      </c>
      <c r="C3365" s="403" t="s">
        <v>582</v>
      </c>
      <c r="D3365" s="403" t="s">
        <v>1411</v>
      </c>
      <c r="E3365" s="403" t="s">
        <v>1412</v>
      </c>
      <c r="F3365" s="403" t="s">
        <v>1293</v>
      </c>
      <c r="G3365" s="403" t="s">
        <v>1466</v>
      </c>
      <c r="H3365" s="403" t="s">
        <v>1276</v>
      </c>
      <c r="I3365" s="403">
        <v>1</v>
      </c>
      <c r="J3365" s="403" t="s">
        <v>110</v>
      </c>
      <c r="K3365" s="403">
        <v>1920</v>
      </c>
      <c r="L3365" s="403">
        <v>1080</v>
      </c>
      <c r="M3365" s="403" t="s">
        <v>1285</v>
      </c>
      <c r="N3365" s="403">
        <v>1280</v>
      </c>
      <c r="O3365" s="403">
        <v>1024</v>
      </c>
      <c r="P3365" t="str">
        <f t="shared" si="417"/>
        <v>25fps 1080p - 1280x1024 5:4 (cropped)</v>
      </c>
      <c r="Q3365">
        <f t="shared" si="418"/>
        <v>19</v>
      </c>
      <c r="R3365" t="str">
        <f t="shared" si="419"/>
        <v/>
      </c>
      <c r="S3365" t="str">
        <f t="shared" si="420"/>
        <v/>
      </c>
      <c r="T3365" s="403" t="str">
        <f t="shared" si="421"/>
        <v>NDE-8502-R</v>
      </c>
      <c r="U3365" s="403">
        <f t="shared" si="422"/>
        <v>1</v>
      </c>
      <c r="V3365" s="403" t="str">
        <f t="shared" si="423"/>
        <v>CPP_7_3</v>
      </c>
    </row>
    <row r="3366" spans="1:22">
      <c r="A3366" t="str">
        <f t="shared" si="416"/>
        <v>NDE-8502-R</v>
      </c>
      <c r="B3366" s="403" t="s">
        <v>1410</v>
      </c>
      <c r="C3366" s="403" t="s">
        <v>582</v>
      </c>
      <c r="D3366" s="403" t="s">
        <v>1411</v>
      </c>
      <c r="E3366" s="403" t="s">
        <v>1412</v>
      </c>
      <c r="F3366" s="403" t="s">
        <v>1293</v>
      </c>
      <c r="G3366" s="403" t="s">
        <v>1466</v>
      </c>
      <c r="H3366" s="403" t="s">
        <v>1276</v>
      </c>
      <c r="I3366" s="403">
        <v>1</v>
      </c>
      <c r="J3366" s="403" t="s">
        <v>110</v>
      </c>
      <c r="K3366" s="403">
        <v>1920</v>
      </c>
      <c r="L3366" s="403">
        <v>1080</v>
      </c>
      <c r="M3366" s="403" t="s">
        <v>1279</v>
      </c>
      <c r="N3366" s="403">
        <v>768</v>
      </c>
      <c r="O3366" s="403">
        <v>432</v>
      </c>
      <c r="P3366" t="str">
        <f t="shared" si="417"/>
        <v>25fps 1080p - SD ROI PTZ</v>
      </c>
      <c r="Q3366">
        <f t="shared" si="418"/>
        <v>19</v>
      </c>
      <c r="R3366" t="str">
        <f t="shared" si="419"/>
        <v/>
      </c>
      <c r="S3366" t="str">
        <f t="shared" si="420"/>
        <v/>
      </c>
      <c r="T3366" s="403" t="str">
        <f t="shared" si="421"/>
        <v>NDE-8502-R</v>
      </c>
      <c r="U3366" s="403">
        <f t="shared" si="422"/>
        <v>1</v>
      </c>
      <c r="V3366" s="403" t="str">
        <f t="shared" si="423"/>
        <v>CPP_7_3</v>
      </c>
    </row>
    <row r="3367" spans="1:22">
      <c r="A3367" t="str">
        <f t="shared" si="416"/>
        <v>NDE-8502-R</v>
      </c>
      <c r="B3367" s="403" t="s">
        <v>1410</v>
      </c>
      <c r="C3367" s="403" t="s">
        <v>582</v>
      </c>
      <c r="D3367" s="403" t="s">
        <v>1411</v>
      </c>
      <c r="E3367" s="403" t="s">
        <v>1412</v>
      </c>
      <c r="F3367" s="403" t="s">
        <v>1293</v>
      </c>
      <c r="G3367" s="403" t="s">
        <v>1466</v>
      </c>
      <c r="H3367" s="403" t="s">
        <v>1276</v>
      </c>
      <c r="I3367" s="403">
        <v>1</v>
      </c>
      <c r="J3367" s="403" t="s">
        <v>110</v>
      </c>
      <c r="K3367" s="403">
        <v>1920</v>
      </c>
      <c r="L3367" s="403">
        <v>1080</v>
      </c>
      <c r="M3367" s="403" t="s">
        <v>1283</v>
      </c>
      <c r="N3367" s="403">
        <v>720</v>
      </c>
      <c r="O3367" s="403">
        <v>576</v>
      </c>
      <c r="P3367" t="str">
        <f t="shared" si="417"/>
        <v>25fps 1080p - SD 4CIF resolution 4:3 format (cropped)</v>
      </c>
      <c r="Q3367">
        <f t="shared" si="418"/>
        <v>19</v>
      </c>
      <c r="R3367" t="str">
        <f t="shared" si="419"/>
        <v/>
      </c>
      <c r="S3367" t="str">
        <f t="shared" si="420"/>
        <v/>
      </c>
      <c r="T3367" s="403" t="str">
        <f t="shared" si="421"/>
        <v>NDE-8502-R</v>
      </c>
      <c r="U3367" s="403">
        <f t="shared" si="422"/>
        <v>1</v>
      </c>
      <c r="V3367" s="403" t="str">
        <f t="shared" si="423"/>
        <v>CPP_7_3</v>
      </c>
    </row>
    <row r="3368" spans="1:22">
      <c r="A3368" t="str">
        <f t="shared" si="416"/>
        <v>NDE-8502-R</v>
      </c>
      <c r="B3368" s="403" t="s">
        <v>1410</v>
      </c>
      <c r="C3368" s="403" t="s">
        <v>582</v>
      </c>
      <c r="D3368" s="403" t="s">
        <v>1411</v>
      </c>
      <c r="E3368" s="403" t="s">
        <v>1412</v>
      </c>
      <c r="F3368" s="403" t="s">
        <v>1293</v>
      </c>
      <c r="G3368" s="403" t="s">
        <v>1466</v>
      </c>
      <c r="H3368" s="403" t="s">
        <v>1276</v>
      </c>
      <c r="I3368" s="403">
        <v>1</v>
      </c>
      <c r="J3368" s="403" t="s">
        <v>110</v>
      </c>
      <c r="K3368" s="403">
        <v>1920</v>
      </c>
      <c r="L3368" s="403">
        <v>1080</v>
      </c>
      <c r="M3368" s="403" t="s">
        <v>1284</v>
      </c>
      <c r="N3368" s="403">
        <v>640</v>
      </c>
      <c r="O3368" s="403">
        <v>480</v>
      </c>
      <c r="P3368" t="str">
        <f t="shared" si="417"/>
        <v>25fps 1080p - SD VGA (cropped)</v>
      </c>
      <c r="Q3368">
        <f t="shared" si="418"/>
        <v>19</v>
      </c>
      <c r="R3368" t="str">
        <f t="shared" si="419"/>
        <v/>
      </c>
      <c r="S3368" t="str">
        <f t="shared" si="420"/>
        <v/>
      </c>
      <c r="T3368" s="403" t="str">
        <f t="shared" si="421"/>
        <v>NDE-8502-R</v>
      </c>
      <c r="U3368" s="403">
        <f t="shared" si="422"/>
        <v>1</v>
      </c>
      <c r="V3368" s="403" t="str">
        <f t="shared" si="423"/>
        <v>CPP_7_3</v>
      </c>
    </row>
    <row r="3369" spans="1:22">
      <c r="A3369" t="str">
        <f t="shared" si="416"/>
        <v>NDE-8502-R</v>
      </c>
      <c r="B3369" s="403" t="s">
        <v>1410</v>
      </c>
      <c r="C3369" s="403" t="s">
        <v>582</v>
      </c>
      <c r="D3369" s="403" t="s">
        <v>1411</v>
      </c>
      <c r="E3369" s="403" t="s">
        <v>1412</v>
      </c>
      <c r="F3369" s="403" t="s">
        <v>1293</v>
      </c>
      <c r="G3369" s="403" t="s">
        <v>1466</v>
      </c>
      <c r="H3369" s="403" t="s">
        <v>1276</v>
      </c>
      <c r="I3369" s="403">
        <v>1</v>
      </c>
      <c r="J3369" s="403" t="s">
        <v>109</v>
      </c>
      <c r="K3369" s="403">
        <v>1280</v>
      </c>
      <c r="L3369" s="403">
        <v>720</v>
      </c>
      <c r="M3369" s="403" t="s">
        <v>109</v>
      </c>
      <c r="N3369" s="403">
        <v>1280</v>
      </c>
      <c r="O3369" s="403">
        <v>720</v>
      </c>
      <c r="P3369" t="str">
        <f t="shared" si="417"/>
        <v>25fps 720p - 720p</v>
      </c>
      <c r="Q3369">
        <f t="shared" si="418"/>
        <v>19</v>
      </c>
      <c r="R3369" t="str">
        <f t="shared" si="419"/>
        <v/>
      </c>
      <c r="S3369" t="str">
        <f t="shared" si="420"/>
        <v/>
      </c>
      <c r="T3369" s="403" t="str">
        <f t="shared" si="421"/>
        <v>NDE-8502-R</v>
      </c>
      <c r="U3369" s="403">
        <f t="shared" si="422"/>
        <v>1</v>
      </c>
      <c r="V3369" s="403" t="str">
        <f t="shared" si="423"/>
        <v>CPP_7_3</v>
      </c>
    </row>
    <row r="3370" spans="1:22">
      <c r="A3370" t="str">
        <f t="shared" si="416"/>
        <v>NDE-8502-R</v>
      </c>
      <c r="B3370" s="403" t="s">
        <v>1410</v>
      </c>
      <c r="C3370" s="403" t="s">
        <v>582</v>
      </c>
      <c r="D3370" s="403" t="s">
        <v>1411</v>
      </c>
      <c r="E3370" s="403" t="s">
        <v>1412</v>
      </c>
      <c r="F3370" s="403" t="s">
        <v>1293</v>
      </c>
      <c r="G3370" s="403" t="s">
        <v>1466</v>
      </c>
      <c r="H3370" s="403" t="s">
        <v>1276</v>
      </c>
      <c r="I3370" s="403">
        <v>1</v>
      </c>
      <c r="J3370" s="403" t="s">
        <v>109</v>
      </c>
      <c r="K3370" s="403">
        <v>1280</v>
      </c>
      <c r="L3370" s="403">
        <v>720</v>
      </c>
      <c r="M3370" s="403" t="s">
        <v>111</v>
      </c>
      <c r="N3370" s="403">
        <v>768</v>
      </c>
      <c r="O3370" s="403">
        <v>432</v>
      </c>
      <c r="P3370" t="str">
        <f t="shared" si="417"/>
        <v>25fps 720p - SD</v>
      </c>
      <c r="Q3370">
        <f t="shared" si="418"/>
        <v>19</v>
      </c>
      <c r="R3370" t="str">
        <f t="shared" si="419"/>
        <v/>
      </c>
      <c r="S3370" t="str">
        <f t="shared" si="420"/>
        <v/>
      </c>
      <c r="T3370" s="403" t="str">
        <f t="shared" si="421"/>
        <v>NDE-8502-R</v>
      </c>
      <c r="U3370" s="403">
        <f t="shared" si="422"/>
        <v>1</v>
      </c>
      <c r="V3370" s="403" t="str">
        <f t="shared" si="423"/>
        <v>CPP_7_3</v>
      </c>
    </row>
    <row r="3371" spans="1:22">
      <c r="A3371" t="str">
        <f t="shared" si="416"/>
        <v>NDE-8502-R</v>
      </c>
      <c r="B3371" s="403" t="s">
        <v>1410</v>
      </c>
      <c r="C3371" s="403" t="s">
        <v>582</v>
      </c>
      <c r="D3371" s="403" t="s">
        <v>1411</v>
      </c>
      <c r="E3371" s="403" t="s">
        <v>1412</v>
      </c>
      <c r="F3371" s="403" t="s">
        <v>1293</v>
      </c>
      <c r="G3371" s="403" t="s">
        <v>1466</v>
      </c>
      <c r="H3371" s="403" t="s">
        <v>1276</v>
      </c>
      <c r="I3371" s="403">
        <v>1</v>
      </c>
      <c r="J3371" s="403" t="s">
        <v>109</v>
      </c>
      <c r="K3371" s="403">
        <v>1280</v>
      </c>
      <c r="L3371" s="403">
        <v>720</v>
      </c>
      <c r="M3371" s="403" t="s">
        <v>1279</v>
      </c>
      <c r="N3371" s="403">
        <v>768</v>
      </c>
      <c r="O3371" s="403">
        <v>432</v>
      </c>
      <c r="P3371" t="str">
        <f t="shared" si="417"/>
        <v>25fps 720p - SD ROI PTZ</v>
      </c>
      <c r="Q3371">
        <f t="shared" si="418"/>
        <v>19</v>
      </c>
      <c r="R3371" t="str">
        <f t="shared" si="419"/>
        <v/>
      </c>
      <c r="S3371" t="str">
        <f t="shared" si="420"/>
        <v/>
      </c>
      <c r="T3371" s="403" t="str">
        <f t="shared" si="421"/>
        <v>NDE-8502-R</v>
      </c>
      <c r="U3371" s="403">
        <f t="shared" si="422"/>
        <v>1</v>
      </c>
      <c r="V3371" s="403" t="str">
        <f t="shared" si="423"/>
        <v>CPP_7_3</v>
      </c>
    </row>
    <row r="3372" spans="1:22">
      <c r="A3372" t="str">
        <f t="shared" si="416"/>
        <v>NDE-8502-R</v>
      </c>
      <c r="B3372" s="403" t="s">
        <v>1410</v>
      </c>
      <c r="C3372" s="403" t="s">
        <v>582</v>
      </c>
      <c r="D3372" s="403" t="s">
        <v>1411</v>
      </c>
      <c r="E3372" s="403" t="s">
        <v>1412</v>
      </c>
      <c r="F3372" s="403" t="s">
        <v>1293</v>
      </c>
      <c r="G3372" s="403" t="s">
        <v>1466</v>
      </c>
      <c r="H3372" s="403" t="s">
        <v>1276</v>
      </c>
      <c r="I3372" s="403">
        <v>1</v>
      </c>
      <c r="J3372" s="403" t="s">
        <v>109</v>
      </c>
      <c r="K3372" s="403">
        <v>1280</v>
      </c>
      <c r="L3372" s="403">
        <v>720</v>
      </c>
      <c r="M3372" s="403" t="s">
        <v>1283</v>
      </c>
      <c r="N3372" s="403">
        <v>720</v>
      </c>
      <c r="O3372" s="403">
        <v>576</v>
      </c>
      <c r="P3372" t="str">
        <f t="shared" si="417"/>
        <v>25fps 720p - SD 4CIF resolution 4:3 format (cropped)</v>
      </c>
      <c r="Q3372">
        <f t="shared" si="418"/>
        <v>19</v>
      </c>
      <c r="R3372" t="str">
        <f t="shared" si="419"/>
        <v/>
      </c>
      <c r="S3372" t="str">
        <f t="shared" si="420"/>
        <v/>
      </c>
      <c r="T3372" s="403" t="str">
        <f t="shared" si="421"/>
        <v>NDE-8502-R</v>
      </c>
      <c r="U3372" s="403">
        <f t="shared" si="422"/>
        <v>1</v>
      </c>
      <c r="V3372" s="403" t="str">
        <f t="shared" si="423"/>
        <v>CPP_7_3</v>
      </c>
    </row>
    <row r="3373" spans="1:22">
      <c r="A3373" t="str">
        <f t="shared" si="416"/>
        <v>NDE-8502-R</v>
      </c>
      <c r="B3373" s="403" t="s">
        <v>1410</v>
      </c>
      <c r="C3373" s="403" t="s">
        <v>582</v>
      </c>
      <c r="D3373" s="403" t="s">
        <v>1411</v>
      </c>
      <c r="E3373" s="403" t="s">
        <v>1412</v>
      </c>
      <c r="F3373" s="403" t="s">
        <v>1293</v>
      </c>
      <c r="G3373" s="403" t="s">
        <v>1466</v>
      </c>
      <c r="H3373" s="403" t="s">
        <v>1276</v>
      </c>
      <c r="I3373" s="403">
        <v>1</v>
      </c>
      <c r="J3373" s="403" t="s">
        <v>109</v>
      </c>
      <c r="K3373" s="403">
        <v>1280</v>
      </c>
      <c r="L3373" s="403">
        <v>720</v>
      </c>
      <c r="M3373" s="403" t="s">
        <v>1284</v>
      </c>
      <c r="N3373" s="403">
        <v>640</v>
      </c>
      <c r="O3373" s="403">
        <v>480</v>
      </c>
      <c r="P3373" t="str">
        <f t="shared" si="417"/>
        <v>25fps 720p - SD VGA (cropped)</v>
      </c>
      <c r="Q3373">
        <f t="shared" si="418"/>
        <v>19</v>
      </c>
      <c r="R3373" t="str">
        <f t="shared" si="419"/>
        <v/>
      </c>
      <c r="S3373" t="str">
        <f t="shared" si="420"/>
        <v/>
      </c>
      <c r="T3373" s="403" t="str">
        <f t="shared" si="421"/>
        <v>NDE-8502-R</v>
      </c>
      <c r="U3373" s="403">
        <f t="shared" si="422"/>
        <v>1</v>
      </c>
      <c r="V3373" s="403" t="str">
        <f t="shared" si="423"/>
        <v>CPP_7_3</v>
      </c>
    </row>
    <row r="3374" spans="1:22">
      <c r="A3374" t="str">
        <f t="shared" si="416"/>
        <v>NDE-8502-R</v>
      </c>
      <c r="B3374" s="403" t="s">
        <v>1410</v>
      </c>
      <c r="C3374" s="403" t="s">
        <v>582</v>
      </c>
      <c r="D3374" s="403" t="s">
        <v>1411</v>
      </c>
      <c r="E3374" s="403" t="s">
        <v>1412</v>
      </c>
      <c r="F3374" s="403" t="s">
        <v>1293</v>
      </c>
      <c r="G3374" s="403" t="s">
        <v>1466</v>
      </c>
      <c r="H3374" s="403" t="s">
        <v>1281</v>
      </c>
      <c r="I3374" s="403">
        <v>1</v>
      </c>
      <c r="J3374" s="403" t="s">
        <v>110</v>
      </c>
      <c r="K3374" s="403">
        <v>1920</v>
      </c>
      <c r="L3374" s="403">
        <v>1080</v>
      </c>
      <c r="M3374" s="403" t="s">
        <v>111</v>
      </c>
      <c r="N3374" s="403">
        <v>768</v>
      </c>
      <c r="O3374" s="403">
        <v>432</v>
      </c>
      <c r="P3374" t="str">
        <f t="shared" si="417"/>
        <v>25fps 1080p - SD</v>
      </c>
      <c r="Q3374">
        <f t="shared" si="418"/>
        <v>19</v>
      </c>
      <c r="R3374" t="str">
        <f t="shared" si="419"/>
        <v/>
      </c>
      <c r="S3374" t="str">
        <f t="shared" si="420"/>
        <v/>
      </c>
      <c r="T3374" s="403" t="str">
        <f t="shared" si="421"/>
        <v>NDE-8502-R</v>
      </c>
      <c r="U3374" s="403">
        <f t="shared" si="422"/>
        <v>1</v>
      </c>
      <c r="V3374" s="403" t="str">
        <f t="shared" si="423"/>
        <v>CPP_7_3</v>
      </c>
    </row>
    <row r="3375" spans="1:22">
      <c r="A3375" t="str">
        <f t="shared" si="416"/>
        <v>NDE-8502-R</v>
      </c>
      <c r="B3375" s="403" t="s">
        <v>1410</v>
      </c>
      <c r="C3375" s="403" t="s">
        <v>582</v>
      </c>
      <c r="D3375" s="403" t="s">
        <v>1411</v>
      </c>
      <c r="E3375" s="403" t="s">
        <v>1412</v>
      </c>
      <c r="F3375" s="403" t="s">
        <v>1293</v>
      </c>
      <c r="G3375" s="403" t="s">
        <v>1466</v>
      </c>
      <c r="H3375" s="403" t="s">
        <v>1281</v>
      </c>
      <c r="I3375" s="403">
        <v>1</v>
      </c>
      <c r="J3375" s="403" t="s">
        <v>110</v>
      </c>
      <c r="K3375" s="403">
        <v>1920</v>
      </c>
      <c r="L3375" s="403">
        <v>1080</v>
      </c>
      <c r="M3375" s="403" t="s">
        <v>110</v>
      </c>
      <c r="N3375" s="403">
        <v>1920</v>
      </c>
      <c r="O3375" s="403">
        <v>1080</v>
      </c>
      <c r="P3375" t="str">
        <f t="shared" si="417"/>
        <v>25fps 1080p - 1080p</v>
      </c>
      <c r="Q3375">
        <f t="shared" si="418"/>
        <v>19</v>
      </c>
      <c r="R3375" t="str">
        <f t="shared" si="419"/>
        <v/>
      </c>
      <c r="S3375" t="str">
        <f t="shared" si="420"/>
        <v/>
      </c>
      <c r="T3375" s="403" t="str">
        <f t="shared" si="421"/>
        <v>NDE-8502-R</v>
      </c>
      <c r="U3375" s="403">
        <f t="shared" si="422"/>
        <v>1</v>
      </c>
      <c r="V3375" s="403" t="str">
        <f t="shared" si="423"/>
        <v>CPP_7_3</v>
      </c>
    </row>
    <row r="3376" spans="1:22">
      <c r="A3376" t="str">
        <f t="shared" si="416"/>
        <v>NDE-8502-R</v>
      </c>
      <c r="B3376" s="403" t="s">
        <v>1410</v>
      </c>
      <c r="C3376" s="403" t="s">
        <v>582</v>
      </c>
      <c r="D3376" s="403" t="s">
        <v>1411</v>
      </c>
      <c r="E3376" s="403" t="s">
        <v>1412</v>
      </c>
      <c r="F3376" s="403" t="s">
        <v>1293</v>
      </c>
      <c r="G3376" s="403" t="s">
        <v>1466</v>
      </c>
      <c r="H3376" s="403" t="s">
        <v>1281</v>
      </c>
      <c r="I3376" s="403">
        <v>1</v>
      </c>
      <c r="J3376" s="403" t="s">
        <v>110</v>
      </c>
      <c r="K3376" s="403">
        <v>1920</v>
      </c>
      <c r="L3376" s="403">
        <v>1080</v>
      </c>
      <c r="M3376" s="403" t="s">
        <v>109</v>
      </c>
      <c r="N3376" s="403">
        <v>1280</v>
      </c>
      <c r="O3376" s="403">
        <v>720</v>
      </c>
      <c r="P3376" t="str">
        <f t="shared" si="417"/>
        <v>25fps 1080p - 720p</v>
      </c>
      <c r="Q3376">
        <f t="shared" si="418"/>
        <v>19</v>
      </c>
      <c r="R3376" t="str">
        <f t="shared" si="419"/>
        <v/>
      </c>
      <c r="S3376" t="str">
        <f t="shared" si="420"/>
        <v/>
      </c>
      <c r="T3376" s="403" t="str">
        <f t="shared" si="421"/>
        <v>NDE-8502-R</v>
      </c>
      <c r="U3376" s="403">
        <f t="shared" si="422"/>
        <v>1</v>
      </c>
      <c r="V3376" s="403" t="str">
        <f t="shared" si="423"/>
        <v>CPP_7_3</v>
      </c>
    </row>
    <row r="3377" spans="1:22">
      <c r="A3377" t="str">
        <f t="shared" si="416"/>
        <v>NDE-8502-R</v>
      </c>
      <c r="B3377" s="403" t="s">
        <v>1410</v>
      </c>
      <c r="C3377" s="403" t="s">
        <v>582</v>
      </c>
      <c r="D3377" s="403" t="s">
        <v>1411</v>
      </c>
      <c r="E3377" s="403" t="s">
        <v>1412</v>
      </c>
      <c r="F3377" s="403" t="s">
        <v>1293</v>
      </c>
      <c r="G3377" s="403" t="s">
        <v>1466</v>
      </c>
      <c r="H3377" s="403" t="s">
        <v>1281</v>
      </c>
      <c r="I3377" s="403">
        <v>1</v>
      </c>
      <c r="J3377" s="403" t="s">
        <v>110</v>
      </c>
      <c r="K3377" s="403">
        <v>1920</v>
      </c>
      <c r="L3377" s="403">
        <v>1080</v>
      </c>
      <c r="M3377" s="403" t="s">
        <v>1285</v>
      </c>
      <c r="N3377" s="403">
        <v>1280</v>
      </c>
      <c r="O3377" s="403">
        <v>1024</v>
      </c>
      <c r="P3377" t="str">
        <f t="shared" si="417"/>
        <v>25fps 1080p - 1280x1024 5:4 (cropped)</v>
      </c>
      <c r="Q3377">
        <f t="shared" si="418"/>
        <v>19</v>
      </c>
      <c r="R3377" t="str">
        <f t="shared" si="419"/>
        <v/>
      </c>
      <c r="S3377" t="str">
        <f t="shared" si="420"/>
        <v/>
      </c>
      <c r="T3377" s="403" t="str">
        <f t="shared" si="421"/>
        <v>NDE-8502-R</v>
      </c>
      <c r="U3377" s="403">
        <f t="shared" si="422"/>
        <v>1</v>
      </c>
      <c r="V3377" s="403" t="str">
        <f t="shared" si="423"/>
        <v>CPP_7_3</v>
      </c>
    </row>
    <row r="3378" spans="1:22">
      <c r="A3378" t="str">
        <f t="shared" si="416"/>
        <v>NDE-8502-R</v>
      </c>
      <c r="B3378" s="403" t="s">
        <v>1410</v>
      </c>
      <c r="C3378" s="403" t="s">
        <v>582</v>
      </c>
      <c r="D3378" s="403" t="s">
        <v>1411</v>
      </c>
      <c r="E3378" s="403" t="s">
        <v>1412</v>
      </c>
      <c r="F3378" s="403" t="s">
        <v>1293</v>
      </c>
      <c r="G3378" s="403" t="s">
        <v>1466</v>
      </c>
      <c r="H3378" s="403" t="s">
        <v>1281</v>
      </c>
      <c r="I3378" s="403">
        <v>1</v>
      </c>
      <c r="J3378" s="403" t="s">
        <v>110</v>
      </c>
      <c r="K3378" s="403">
        <v>1920</v>
      </c>
      <c r="L3378" s="403">
        <v>1080</v>
      </c>
      <c r="M3378" s="403" t="s">
        <v>1279</v>
      </c>
      <c r="N3378" s="403">
        <v>768</v>
      </c>
      <c r="O3378" s="403">
        <v>432</v>
      </c>
      <c r="P3378" t="str">
        <f t="shared" si="417"/>
        <v>25fps 1080p - SD ROI PTZ</v>
      </c>
      <c r="Q3378">
        <f t="shared" si="418"/>
        <v>19</v>
      </c>
      <c r="R3378" t="str">
        <f t="shared" si="419"/>
        <v/>
      </c>
      <c r="S3378" t="str">
        <f t="shared" si="420"/>
        <v/>
      </c>
      <c r="T3378" s="403" t="str">
        <f t="shared" si="421"/>
        <v>NDE-8502-R</v>
      </c>
      <c r="U3378" s="403">
        <f t="shared" si="422"/>
        <v>1</v>
      </c>
      <c r="V3378" s="403" t="str">
        <f t="shared" si="423"/>
        <v>CPP_7_3</v>
      </c>
    </row>
    <row r="3379" spans="1:22">
      <c r="A3379" t="str">
        <f t="shared" si="416"/>
        <v>NDE-8502-R</v>
      </c>
      <c r="B3379" s="403" t="s">
        <v>1410</v>
      </c>
      <c r="C3379" s="403" t="s">
        <v>582</v>
      </c>
      <c r="D3379" s="403" t="s">
        <v>1411</v>
      </c>
      <c r="E3379" s="403" t="s">
        <v>1412</v>
      </c>
      <c r="F3379" s="403" t="s">
        <v>1293</v>
      </c>
      <c r="G3379" s="403" t="s">
        <v>1466</v>
      </c>
      <c r="H3379" s="403" t="s">
        <v>1281</v>
      </c>
      <c r="I3379" s="403">
        <v>1</v>
      </c>
      <c r="J3379" s="403" t="s">
        <v>110</v>
      </c>
      <c r="K3379" s="403">
        <v>1920</v>
      </c>
      <c r="L3379" s="403">
        <v>1080</v>
      </c>
      <c r="M3379" s="403" t="s">
        <v>1283</v>
      </c>
      <c r="N3379" s="403">
        <v>720</v>
      </c>
      <c r="O3379" s="403">
        <v>576</v>
      </c>
      <c r="P3379" t="str">
        <f t="shared" si="417"/>
        <v>25fps 1080p - SD 4CIF resolution 4:3 format (cropped)</v>
      </c>
      <c r="Q3379">
        <f t="shared" si="418"/>
        <v>19</v>
      </c>
      <c r="R3379" t="str">
        <f t="shared" si="419"/>
        <v/>
      </c>
      <c r="S3379" t="str">
        <f t="shared" si="420"/>
        <v/>
      </c>
      <c r="T3379" s="403" t="str">
        <f t="shared" si="421"/>
        <v>NDE-8502-R</v>
      </c>
      <c r="U3379" s="403">
        <f t="shared" si="422"/>
        <v>1</v>
      </c>
      <c r="V3379" s="403" t="str">
        <f t="shared" si="423"/>
        <v>CPP_7_3</v>
      </c>
    </row>
    <row r="3380" spans="1:22">
      <c r="A3380" t="str">
        <f t="shared" si="416"/>
        <v>NDE-8502-R</v>
      </c>
      <c r="B3380" s="403" t="s">
        <v>1410</v>
      </c>
      <c r="C3380" s="403" t="s">
        <v>582</v>
      </c>
      <c r="D3380" s="403" t="s">
        <v>1411</v>
      </c>
      <c r="E3380" s="403" t="s">
        <v>1412</v>
      </c>
      <c r="F3380" s="403" t="s">
        <v>1293</v>
      </c>
      <c r="G3380" s="403" t="s">
        <v>1466</v>
      </c>
      <c r="H3380" s="403" t="s">
        <v>1281</v>
      </c>
      <c r="I3380" s="403">
        <v>1</v>
      </c>
      <c r="J3380" s="403" t="s">
        <v>110</v>
      </c>
      <c r="K3380" s="403">
        <v>1920</v>
      </c>
      <c r="L3380" s="403">
        <v>1080</v>
      </c>
      <c r="M3380" s="403" t="s">
        <v>1284</v>
      </c>
      <c r="N3380" s="403">
        <v>640</v>
      </c>
      <c r="O3380" s="403">
        <v>480</v>
      </c>
      <c r="P3380" t="str">
        <f t="shared" si="417"/>
        <v>25fps 1080p - SD VGA (cropped)</v>
      </c>
      <c r="Q3380">
        <f t="shared" si="418"/>
        <v>19</v>
      </c>
      <c r="R3380" t="str">
        <f t="shared" si="419"/>
        <v/>
      </c>
      <c r="S3380" t="str">
        <f t="shared" si="420"/>
        <v/>
      </c>
      <c r="T3380" s="403" t="str">
        <f t="shared" si="421"/>
        <v>NDE-8502-R</v>
      </c>
      <c r="U3380" s="403">
        <f t="shared" si="422"/>
        <v>1</v>
      </c>
      <c r="V3380" s="403" t="str">
        <f t="shared" si="423"/>
        <v>CPP_7_3</v>
      </c>
    </row>
    <row r="3381" spans="1:22">
      <c r="A3381" t="str">
        <f t="shared" si="416"/>
        <v>NDE-8502-R</v>
      </c>
      <c r="B3381" s="403" t="s">
        <v>1410</v>
      </c>
      <c r="C3381" s="403" t="s">
        <v>582</v>
      </c>
      <c r="D3381" s="403" t="s">
        <v>1411</v>
      </c>
      <c r="E3381" s="403" t="s">
        <v>1412</v>
      </c>
      <c r="F3381" s="403" t="s">
        <v>1293</v>
      </c>
      <c r="G3381" s="403" t="s">
        <v>1466</v>
      </c>
      <c r="H3381" s="403" t="s">
        <v>1281</v>
      </c>
      <c r="I3381" s="403">
        <v>1</v>
      </c>
      <c r="J3381" s="403" t="s">
        <v>109</v>
      </c>
      <c r="K3381" s="403">
        <v>1280</v>
      </c>
      <c r="L3381" s="403">
        <v>720</v>
      </c>
      <c r="M3381" s="403" t="s">
        <v>109</v>
      </c>
      <c r="N3381" s="403">
        <v>1280</v>
      </c>
      <c r="O3381" s="403">
        <v>720</v>
      </c>
      <c r="P3381" t="str">
        <f t="shared" si="417"/>
        <v>25fps 720p - 720p</v>
      </c>
      <c r="Q3381">
        <f t="shared" si="418"/>
        <v>19</v>
      </c>
      <c r="R3381" t="str">
        <f t="shared" si="419"/>
        <v/>
      </c>
      <c r="S3381" t="str">
        <f t="shared" si="420"/>
        <v/>
      </c>
      <c r="T3381" s="403" t="str">
        <f t="shared" si="421"/>
        <v>NDE-8502-R</v>
      </c>
      <c r="U3381" s="403">
        <f t="shared" si="422"/>
        <v>1</v>
      </c>
      <c r="V3381" s="403" t="str">
        <f t="shared" si="423"/>
        <v>CPP_7_3</v>
      </c>
    </row>
    <row r="3382" spans="1:22">
      <c r="A3382" t="str">
        <f t="shared" si="416"/>
        <v>NDE-8502-R</v>
      </c>
      <c r="B3382" s="403" t="s">
        <v>1410</v>
      </c>
      <c r="C3382" s="403" t="s">
        <v>582</v>
      </c>
      <c r="D3382" s="403" t="s">
        <v>1411</v>
      </c>
      <c r="E3382" s="403" t="s">
        <v>1412</v>
      </c>
      <c r="F3382" s="403" t="s">
        <v>1293</v>
      </c>
      <c r="G3382" s="403" t="s">
        <v>1466</v>
      </c>
      <c r="H3382" s="403" t="s">
        <v>1281</v>
      </c>
      <c r="I3382" s="403">
        <v>1</v>
      </c>
      <c r="J3382" s="403" t="s">
        <v>109</v>
      </c>
      <c r="K3382" s="403">
        <v>1280</v>
      </c>
      <c r="L3382" s="403">
        <v>720</v>
      </c>
      <c r="M3382" s="403" t="s">
        <v>111</v>
      </c>
      <c r="N3382" s="403">
        <v>768</v>
      </c>
      <c r="O3382" s="403">
        <v>432</v>
      </c>
      <c r="P3382" t="str">
        <f t="shared" si="417"/>
        <v>25fps 720p - SD</v>
      </c>
      <c r="Q3382">
        <f t="shared" si="418"/>
        <v>19</v>
      </c>
      <c r="R3382" t="str">
        <f t="shared" si="419"/>
        <v/>
      </c>
      <c r="S3382" t="str">
        <f t="shared" si="420"/>
        <v/>
      </c>
      <c r="T3382" s="403" t="str">
        <f t="shared" si="421"/>
        <v>NDE-8502-R</v>
      </c>
      <c r="U3382" s="403">
        <f t="shared" si="422"/>
        <v>1</v>
      </c>
      <c r="V3382" s="403" t="str">
        <f t="shared" si="423"/>
        <v>CPP_7_3</v>
      </c>
    </row>
    <row r="3383" spans="1:22">
      <c r="A3383" t="str">
        <f t="shared" si="416"/>
        <v>NDE-8502-R</v>
      </c>
      <c r="B3383" s="403" t="s">
        <v>1410</v>
      </c>
      <c r="C3383" s="403" t="s">
        <v>582</v>
      </c>
      <c r="D3383" s="403" t="s">
        <v>1411</v>
      </c>
      <c r="E3383" s="403" t="s">
        <v>1412</v>
      </c>
      <c r="F3383" s="403" t="s">
        <v>1293</v>
      </c>
      <c r="G3383" s="403" t="s">
        <v>1466</v>
      </c>
      <c r="H3383" s="403" t="s">
        <v>1281</v>
      </c>
      <c r="I3383" s="403">
        <v>1</v>
      </c>
      <c r="J3383" s="403" t="s">
        <v>109</v>
      </c>
      <c r="K3383" s="403">
        <v>1280</v>
      </c>
      <c r="L3383" s="403">
        <v>720</v>
      </c>
      <c r="M3383" s="403" t="s">
        <v>1279</v>
      </c>
      <c r="N3383" s="403">
        <v>768</v>
      </c>
      <c r="O3383" s="403">
        <v>432</v>
      </c>
      <c r="P3383" t="str">
        <f t="shared" si="417"/>
        <v>25fps 720p - SD ROI PTZ</v>
      </c>
      <c r="Q3383">
        <f t="shared" si="418"/>
        <v>19</v>
      </c>
      <c r="R3383" t="str">
        <f t="shared" si="419"/>
        <v/>
      </c>
      <c r="S3383" t="str">
        <f t="shared" si="420"/>
        <v/>
      </c>
      <c r="T3383" s="403" t="str">
        <f t="shared" si="421"/>
        <v>NDE-8502-R</v>
      </c>
      <c r="U3383" s="403">
        <f t="shared" si="422"/>
        <v>1</v>
      </c>
      <c r="V3383" s="403" t="str">
        <f t="shared" si="423"/>
        <v>CPP_7_3</v>
      </c>
    </row>
    <row r="3384" spans="1:22">
      <c r="A3384" t="str">
        <f t="shared" si="416"/>
        <v>NDE-8502-R</v>
      </c>
      <c r="B3384" s="403" t="s">
        <v>1410</v>
      </c>
      <c r="C3384" s="403" t="s">
        <v>582</v>
      </c>
      <c r="D3384" s="403" t="s">
        <v>1411</v>
      </c>
      <c r="E3384" s="403" t="s">
        <v>1412</v>
      </c>
      <c r="F3384" s="403" t="s">
        <v>1293</v>
      </c>
      <c r="G3384" s="403" t="s">
        <v>1466</v>
      </c>
      <c r="H3384" s="403" t="s">
        <v>1281</v>
      </c>
      <c r="I3384" s="403">
        <v>1</v>
      </c>
      <c r="J3384" s="403" t="s">
        <v>109</v>
      </c>
      <c r="K3384" s="403">
        <v>1280</v>
      </c>
      <c r="L3384" s="403">
        <v>720</v>
      </c>
      <c r="M3384" s="403" t="s">
        <v>1283</v>
      </c>
      <c r="N3384" s="403">
        <v>720</v>
      </c>
      <c r="O3384" s="403">
        <v>576</v>
      </c>
      <c r="P3384" t="str">
        <f t="shared" si="417"/>
        <v>25fps 720p - SD 4CIF resolution 4:3 format (cropped)</v>
      </c>
      <c r="Q3384">
        <f t="shared" si="418"/>
        <v>19</v>
      </c>
      <c r="R3384" t="str">
        <f t="shared" si="419"/>
        <v/>
      </c>
      <c r="S3384" t="str">
        <f t="shared" si="420"/>
        <v/>
      </c>
      <c r="T3384" s="403" t="str">
        <f t="shared" si="421"/>
        <v>NDE-8502-R</v>
      </c>
      <c r="U3384" s="403">
        <f t="shared" si="422"/>
        <v>1</v>
      </c>
      <c r="V3384" s="403" t="str">
        <f t="shared" si="423"/>
        <v>CPP_7_3</v>
      </c>
    </row>
    <row r="3385" spans="1:22">
      <c r="A3385" t="str">
        <f t="shared" si="416"/>
        <v>NDE-8502-R</v>
      </c>
      <c r="B3385" s="403" t="s">
        <v>1410</v>
      </c>
      <c r="C3385" s="403" t="s">
        <v>582</v>
      </c>
      <c r="D3385" s="403" t="s">
        <v>1411</v>
      </c>
      <c r="E3385" s="403" t="s">
        <v>1412</v>
      </c>
      <c r="F3385" s="403" t="s">
        <v>1293</v>
      </c>
      <c r="G3385" s="403" t="s">
        <v>1466</v>
      </c>
      <c r="H3385" s="403" t="s">
        <v>1281</v>
      </c>
      <c r="I3385" s="403">
        <v>1</v>
      </c>
      <c r="J3385" s="403" t="s">
        <v>109</v>
      </c>
      <c r="K3385" s="403">
        <v>1280</v>
      </c>
      <c r="L3385" s="403">
        <v>720</v>
      </c>
      <c r="M3385" s="403" t="s">
        <v>1284</v>
      </c>
      <c r="N3385" s="403">
        <v>640</v>
      </c>
      <c r="O3385" s="403">
        <v>480</v>
      </c>
      <c r="P3385" t="str">
        <f t="shared" si="417"/>
        <v>25fps 720p - SD VGA (cropped)</v>
      </c>
      <c r="Q3385">
        <f t="shared" si="418"/>
        <v>19</v>
      </c>
      <c r="R3385" t="str">
        <f t="shared" si="419"/>
        <v/>
      </c>
      <c r="S3385" t="str">
        <f t="shared" si="420"/>
        <v/>
      </c>
      <c r="T3385" s="403" t="str">
        <f t="shared" si="421"/>
        <v>NDE-8502-R</v>
      </c>
      <c r="U3385" s="403">
        <f t="shared" si="422"/>
        <v>1</v>
      </c>
      <c r="V3385" s="403" t="str">
        <f t="shared" si="423"/>
        <v>CPP_7_3</v>
      </c>
    </row>
    <row r="3386" spans="1:22">
      <c r="A3386" t="str">
        <f t="shared" si="416"/>
        <v>NDE-8502-R</v>
      </c>
      <c r="B3386" s="403" t="s">
        <v>1410</v>
      </c>
      <c r="C3386" s="403" t="s">
        <v>582</v>
      </c>
      <c r="D3386" s="403" t="s">
        <v>1411</v>
      </c>
      <c r="E3386" s="403" t="s">
        <v>1412</v>
      </c>
      <c r="F3386" s="403" t="s">
        <v>1293</v>
      </c>
      <c r="G3386" s="403" t="s">
        <v>1466</v>
      </c>
      <c r="H3386" s="403" t="s">
        <v>1282</v>
      </c>
      <c r="I3386" s="403">
        <v>1</v>
      </c>
      <c r="J3386" s="403" t="s">
        <v>110</v>
      </c>
      <c r="K3386" s="403">
        <v>1920</v>
      </c>
      <c r="L3386" s="403">
        <v>1080</v>
      </c>
      <c r="M3386" s="403" t="s">
        <v>111</v>
      </c>
      <c r="N3386" s="403">
        <v>768</v>
      </c>
      <c r="O3386" s="403">
        <v>432</v>
      </c>
      <c r="P3386" t="str">
        <f t="shared" si="417"/>
        <v>25fps 1080p - SD</v>
      </c>
      <c r="Q3386">
        <f t="shared" si="418"/>
        <v>19</v>
      </c>
      <c r="R3386" t="str">
        <f t="shared" si="419"/>
        <v/>
      </c>
      <c r="S3386" t="str">
        <f t="shared" si="420"/>
        <v/>
      </c>
      <c r="T3386" s="403" t="str">
        <f t="shared" si="421"/>
        <v>NDE-8502-R</v>
      </c>
      <c r="U3386" s="403">
        <f t="shared" si="422"/>
        <v>1</v>
      </c>
      <c r="V3386" s="403" t="str">
        <f t="shared" si="423"/>
        <v>CPP_7_3</v>
      </c>
    </row>
    <row r="3387" spans="1:22">
      <c r="A3387" t="str">
        <f t="shared" si="416"/>
        <v>NDE-8502-R</v>
      </c>
      <c r="B3387" s="403" t="s">
        <v>1410</v>
      </c>
      <c r="C3387" s="403" t="s">
        <v>582</v>
      </c>
      <c r="D3387" s="403" t="s">
        <v>1411</v>
      </c>
      <c r="E3387" s="403" t="s">
        <v>1412</v>
      </c>
      <c r="F3387" s="403" t="s">
        <v>1293</v>
      </c>
      <c r="G3387" s="403" t="s">
        <v>1466</v>
      </c>
      <c r="H3387" s="403" t="s">
        <v>1282</v>
      </c>
      <c r="I3387" s="403">
        <v>1</v>
      </c>
      <c r="J3387" s="403" t="s">
        <v>110</v>
      </c>
      <c r="K3387" s="403">
        <v>1920</v>
      </c>
      <c r="L3387" s="403">
        <v>1080</v>
      </c>
      <c r="M3387" s="403" t="s">
        <v>110</v>
      </c>
      <c r="N3387" s="403">
        <v>1920</v>
      </c>
      <c r="O3387" s="403">
        <v>1080</v>
      </c>
      <c r="P3387" t="str">
        <f t="shared" si="417"/>
        <v>25fps 1080p - 1080p</v>
      </c>
      <c r="Q3387">
        <f t="shared" si="418"/>
        <v>19</v>
      </c>
      <c r="R3387" t="str">
        <f t="shared" si="419"/>
        <v/>
      </c>
      <c r="S3387" t="str">
        <f t="shared" si="420"/>
        <v/>
      </c>
      <c r="T3387" s="403" t="str">
        <f t="shared" si="421"/>
        <v>NDE-8502-R</v>
      </c>
      <c r="U3387" s="403">
        <f t="shared" si="422"/>
        <v>1</v>
      </c>
      <c r="V3387" s="403" t="str">
        <f t="shared" si="423"/>
        <v>CPP_7_3</v>
      </c>
    </row>
    <row r="3388" spans="1:22">
      <c r="A3388" t="str">
        <f t="shared" si="416"/>
        <v>NDE-8502-R</v>
      </c>
      <c r="B3388" s="403" t="s">
        <v>1410</v>
      </c>
      <c r="C3388" s="403" t="s">
        <v>582</v>
      </c>
      <c r="D3388" s="403" t="s">
        <v>1411</v>
      </c>
      <c r="E3388" s="403" t="s">
        <v>1412</v>
      </c>
      <c r="F3388" s="403" t="s">
        <v>1293</v>
      </c>
      <c r="G3388" s="403" t="s">
        <v>1466</v>
      </c>
      <c r="H3388" s="403" t="s">
        <v>1282</v>
      </c>
      <c r="I3388" s="403">
        <v>1</v>
      </c>
      <c r="J3388" s="403" t="s">
        <v>110</v>
      </c>
      <c r="K3388" s="403">
        <v>1920</v>
      </c>
      <c r="L3388" s="403">
        <v>1080</v>
      </c>
      <c r="M3388" s="403" t="s">
        <v>109</v>
      </c>
      <c r="N3388" s="403">
        <v>1280</v>
      </c>
      <c r="O3388" s="403">
        <v>720</v>
      </c>
      <c r="P3388" t="str">
        <f t="shared" si="417"/>
        <v>25fps 1080p - 720p</v>
      </c>
      <c r="Q3388">
        <f t="shared" si="418"/>
        <v>19</v>
      </c>
      <c r="R3388" t="str">
        <f t="shared" si="419"/>
        <v/>
      </c>
      <c r="S3388" t="str">
        <f t="shared" si="420"/>
        <v/>
      </c>
      <c r="T3388" s="403" t="str">
        <f t="shared" si="421"/>
        <v>NDE-8502-R</v>
      </c>
      <c r="U3388" s="403">
        <f t="shared" si="422"/>
        <v>1</v>
      </c>
      <c r="V3388" s="403" t="str">
        <f t="shared" si="423"/>
        <v>CPP_7_3</v>
      </c>
    </row>
    <row r="3389" spans="1:22">
      <c r="A3389" t="str">
        <f t="shared" si="416"/>
        <v>NDE-8502-R</v>
      </c>
      <c r="B3389" s="403" t="s">
        <v>1410</v>
      </c>
      <c r="C3389" s="403" t="s">
        <v>582</v>
      </c>
      <c r="D3389" s="403" t="s">
        <v>1411</v>
      </c>
      <c r="E3389" s="403" t="s">
        <v>1412</v>
      </c>
      <c r="F3389" s="403" t="s">
        <v>1293</v>
      </c>
      <c r="G3389" s="403" t="s">
        <v>1466</v>
      </c>
      <c r="H3389" s="403" t="s">
        <v>1282</v>
      </c>
      <c r="I3389" s="403">
        <v>1</v>
      </c>
      <c r="J3389" s="403" t="s">
        <v>110</v>
      </c>
      <c r="K3389" s="403">
        <v>1920</v>
      </c>
      <c r="L3389" s="403">
        <v>1080</v>
      </c>
      <c r="M3389" s="403" t="s">
        <v>1285</v>
      </c>
      <c r="N3389" s="403">
        <v>1280</v>
      </c>
      <c r="O3389" s="403">
        <v>1024</v>
      </c>
      <c r="P3389" t="str">
        <f t="shared" si="417"/>
        <v>25fps 1080p - 1280x1024 5:4 (cropped)</v>
      </c>
      <c r="Q3389">
        <f t="shared" si="418"/>
        <v>19</v>
      </c>
      <c r="R3389" t="str">
        <f t="shared" si="419"/>
        <v/>
      </c>
      <c r="S3389" t="str">
        <f t="shared" si="420"/>
        <v/>
      </c>
      <c r="T3389" s="403" t="str">
        <f t="shared" si="421"/>
        <v>NDE-8502-R</v>
      </c>
      <c r="U3389" s="403">
        <f t="shared" si="422"/>
        <v>1</v>
      </c>
      <c r="V3389" s="403" t="str">
        <f t="shared" si="423"/>
        <v>CPP_7_3</v>
      </c>
    </row>
    <row r="3390" spans="1:22">
      <c r="A3390" t="str">
        <f t="shared" si="416"/>
        <v>NDE-8502-R</v>
      </c>
      <c r="B3390" s="403" t="s">
        <v>1410</v>
      </c>
      <c r="C3390" s="403" t="s">
        <v>582</v>
      </c>
      <c r="D3390" s="403" t="s">
        <v>1411</v>
      </c>
      <c r="E3390" s="403" t="s">
        <v>1412</v>
      </c>
      <c r="F3390" s="403" t="s">
        <v>1293</v>
      </c>
      <c r="G3390" s="403" t="s">
        <v>1466</v>
      </c>
      <c r="H3390" s="403" t="s">
        <v>1282</v>
      </c>
      <c r="I3390" s="403">
        <v>1</v>
      </c>
      <c r="J3390" s="403" t="s">
        <v>110</v>
      </c>
      <c r="K3390" s="403">
        <v>1920</v>
      </c>
      <c r="L3390" s="403">
        <v>1080</v>
      </c>
      <c r="M3390" s="403" t="s">
        <v>1279</v>
      </c>
      <c r="N3390" s="403">
        <v>768</v>
      </c>
      <c r="O3390" s="403">
        <v>432</v>
      </c>
      <c r="P3390" t="str">
        <f t="shared" si="417"/>
        <v>25fps 1080p - SD ROI PTZ</v>
      </c>
      <c r="Q3390">
        <f t="shared" si="418"/>
        <v>19</v>
      </c>
      <c r="R3390" t="str">
        <f t="shared" si="419"/>
        <v/>
      </c>
      <c r="S3390" t="str">
        <f t="shared" si="420"/>
        <v/>
      </c>
      <c r="T3390" s="403" t="str">
        <f t="shared" si="421"/>
        <v>NDE-8502-R</v>
      </c>
      <c r="U3390" s="403">
        <f t="shared" si="422"/>
        <v>1</v>
      </c>
      <c r="V3390" s="403" t="str">
        <f t="shared" si="423"/>
        <v>CPP_7_3</v>
      </c>
    </row>
    <row r="3391" spans="1:22">
      <c r="A3391" t="str">
        <f t="shared" si="416"/>
        <v>NDE-8502-R</v>
      </c>
      <c r="B3391" s="403" t="s">
        <v>1410</v>
      </c>
      <c r="C3391" s="403" t="s">
        <v>582</v>
      </c>
      <c r="D3391" s="403" t="s">
        <v>1411</v>
      </c>
      <c r="E3391" s="403" t="s">
        <v>1412</v>
      </c>
      <c r="F3391" s="403" t="s">
        <v>1293</v>
      </c>
      <c r="G3391" s="403" t="s">
        <v>1466</v>
      </c>
      <c r="H3391" s="403" t="s">
        <v>1282</v>
      </c>
      <c r="I3391" s="403">
        <v>1</v>
      </c>
      <c r="J3391" s="403" t="s">
        <v>110</v>
      </c>
      <c r="K3391" s="403">
        <v>1920</v>
      </c>
      <c r="L3391" s="403">
        <v>1080</v>
      </c>
      <c r="M3391" s="403" t="s">
        <v>1283</v>
      </c>
      <c r="N3391" s="403">
        <v>720</v>
      </c>
      <c r="O3391" s="403">
        <v>576</v>
      </c>
      <c r="P3391" t="str">
        <f t="shared" si="417"/>
        <v>25fps 1080p - SD 4CIF resolution 4:3 format (cropped)</v>
      </c>
      <c r="Q3391">
        <f t="shared" si="418"/>
        <v>19</v>
      </c>
      <c r="R3391" t="str">
        <f t="shared" si="419"/>
        <v/>
      </c>
      <c r="S3391" t="str">
        <f t="shared" si="420"/>
        <v/>
      </c>
      <c r="T3391" s="403" t="str">
        <f t="shared" si="421"/>
        <v>NDE-8502-R</v>
      </c>
      <c r="U3391" s="403">
        <f t="shared" si="422"/>
        <v>1</v>
      </c>
      <c r="V3391" s="403" t="str">
        <f t="shared" si="423"/>
        <v>CPP_7_3</v>
      </c>
    </row>
    <row r="3392" spans="1:22">
      <c r="A3392" t="str">
        <f t="shared" si="416"/>
        <v>NDE-8502-R</v>
      </c>
      <c r="B3392" s="403" t="s">
        <v>1410</v>
      </c>
      <c r="C3392" s="403" t="s">
        <v>582</v>
      </c>
      <c r="D3392" s="403" t="s">
        <v>1411</v>
      </c>
      <c r="E3392" s="403" t="s">
        <v>1412</v>
      </c>
      <c r="F3392" s="403" t="s">
        <v>1293</v>
      </c>
      <c r="G3392" s="403" t="s">
        <v>1466</v>
      </c>
      <c r="H3392" s="403" t="s">
        <v>1282</v>
      </c>
      <c r="I3392" s="403">
        <v>1</v>
      </c>
      <c r="J3392" s="403" t="s">
        <v>110</v>
      </c>
      <c r="K3392" s="403">
        <v>1920</v>
      </c>
      <c r="L3392" s="403">
        <v>1080</v>
      </c>
      <c r="M3392" s="403" t="s">
        <v>1284</v>
      </c>
      <c r="N3392" s="403">
        <v>640</v>
      </c>
      <c r="O3392" s="403">
        <v>480</v>
      </c>
      <c r="P3392" t="str">
        <f t="shared" si="417"/>
        <v>25fps 1080p - SD VGA (cropped)</v>
      </c>
      <c r="Q3392">
        <f t="shared" si="418"/>
        <v>19</v>
      </c>
      <c r="R3392" t="str">
        <f t="shared" si="419"/>
        <v/>
      </c>
      <c r="S3392" t="str">
        <f t="shared" si="420"/>
        <v/>
      </c>
      <c r="T3392" s="403" t="str">
        <f t="shared" si="421"/>
        <v>NDE-8502-R</v>
      </c>
      <c r="U3392" s="403">
        <f t="shared" si="422"/>
        <v>1</v>
      </c>
      <c r="V3392" s="403" t="str">
        <f t="shared" si="423"/>
        <v>CPP_7_3</v>
      </c>
    </row>
    <row r="3393" spans="1:22">
      <c r="A3393" t="str">
        <f t="shared" si="416"/>
        <v>NDE-8502-R</v>
      </c>
      <c r="B3393" s="403" t="s">
        <v>1410</v>
      </c>
      <c r="C3393" s="403" t="s">
        <v>582</v>
      </c>
      <c r="D3393" s="403" t="s">
        <v>1411</v>
      </c>
      <c r="E3393" s="403" t="s">
        <v>1412</v>
      </c>
      <c r="F3393" s="403" t="s">
        <v>1293</v>
      </c>
      <c r="G3393" s="403" t="s">
        <v>1466</v>
      </c>
      <c r="H3393" s="403" t="s">
        <v>1282</v>
      </c>
      <c r="I3393" s="403">
        <v>1</v>
      </c>
      <c r="J3393" s="403" t="s">
        <v>109</v>
      </c>
      <c r="K3393" s="403">
        <v>1280</v>
      </c>
      <c r="L3393" s="403">
        <v>720</v>
      </c>
      <c r="M3393" s="403" t="s">
        <v>109</v>
      </c>
      <c r="N3393" s="403">
        <v>1280</v>
      </c>
      <c r="O3393" s="403">
        <v>720</v>
      </c>
      <c r="P3393" t="str">
        <f t="shared" si="417"/>
        <v>25fps 720p - 720p</v>
      </c>
      <c r="Q3393">
        <f t="shared" si="418"/>
        <v>19</v>
      </c>
      <c r="R3393" t="str">
        <f t="shared" si="419"/>
        <v/>
      </c>
      <c r="S3393" t="str">
        <f t="shared" si="420"/>
        <v/>
      </c>
      <c r="T3393" s="403" t="str">
        <f t="shared" si="421"/>
        <v>NDE-8502-R</v>
      </c>
      <c r="U3393" s="403">
        <f t="shared" si="422"/>
        <v>1</v>
      </c>
      <c r="V3393" s="403" t="str">
        <f t="shared" si="423"/>
        <v>CPP_7_3</v>
      </c>
    </row>
    <row r="3394" spans="1:22">
      <c r="A3394" t="str">
        <f t="shared" ref="A3394:A3457" si="424">IF(AND(G3394&lt;&gt;"rotate 90°"),D3394,"")</f>
        <v>NDE-8502-R</v>
      </c>
      <c r="B3394" s="403" t="s">
        <v>1410</v>
      </c>
      <c r="C3394" s="403" t="s">
        <v>582</v>
      </c>
      <c r="D3394" s="403" t="s">
        <v>1411</v>
      </c>
      <c r="E3394" s="403" t="s">
        <v>1412</v>
      </c>
      <c r="F3394" s="403" t="s">
        <v>1293</v>
      </c>
      <c r="G3394" s="403" t="s">
        <v>1466</v>
      </c>
      <c r="H3394" s="403" t="s">
        <v>1282</v>
      </c>
      <c r="I3394" s="403">
        <v>1</v>
      </c>
      <c r="J3394" s="403" t="s">
        <v>109</v>
      </c>
      <c r="K3394" s="403">
        <v>1280</v>
      </c>
      <c r="L3394" s="403">
        <v>720</v>
      </c>
      <c r="M3394" s="403" t="s">
        <v>111</v>
      </c>
      <c r="N3394" s="403">
        <v>768</v>
      </c>
      <c r="O3394" s="403">
        <v>432</v>
      </c>
      <c r="P3394" t="str">
        <f t="shared" ref="P3394:P3457" si="425">LEFT(F3394,5)&amp;" "&amp;J3394&amp;" - "&amp;M3394</f>
        <v>25fps 720p - SD</v>
      </c>
      <c r="Q3394">
        <f t="shared" ref="Q3394:Q3457" si="426">IF(A3393=A3394,Q3393,Q3393+1)</f>
        <v>19</v>
      </c>
      <c r="R3394" t="str">
        <f t="shared" ref="R3394:R3457" si="427">IF(Q3393&lt;&gt;Q3394,Q3394,"")</f>
        <v/>
      </c>
      <c r="S3394" t="str">
        <f t="shared" ref="S3394:S3457" si="428">IF(R3394&lt;&gt;"",B3394&amp;" ("&amp;D3394&amp;")","")</f>
        <v/>
      </c>
      <c r="T3394" s="403" t="str">
        <f t="shared" ref="T3394:T3457" si="429">D3394</f>
        <v>NDE-8502-R</v>
      </c>
      <c r="U3394" s="403">
        <f t="shared" ref="U3394:U3457" si="430">I3394</f>
        <v>1</v>
      </c>
      <c r="V3394" s="403" t="str">
        <f t="shared" ref="V3394:V3457" si="431">C3394</f>
        <v>CPP_7_3</v>
      </c>
    </row>
    <row r="3395" spans="1:22">
      <c r="A3395" t="str">
        <f t="shared" si="424"/>
        <v>NDE-8502-R</v>
      </c>
      <c r="B3395" s="403" t="s">
        <v>1410</v>
      </c>
      <c r="C3395" s="403" t="s">
        <v>582</v>
      </c>
      <c r="D3395" s="403" t="s">
        <v>1411</v>
      </c>
      <c r="E3395" s="403" t="s">
        <v>1412</v>
      </c>
      <c r="F3395" s="403" t="s">
        <v>1293</v>
      </c>
      <c r="G3395" s="403" t="s">
        <v>1466</v>
      </c>
      <c r="H3395" s="403" t="s">
        <v>1282</v>
      </c>
      <c r="I3395" s="403">
        <v>1</v>
      </c>
      <c r="J3395" s="403" t="s">
        <v>109</v>
      </c>
      <c r="K3395" s="403">
        <v>1280</v>
      </c>
      <c r="L3395" s="403">
        <v>720</v>
      </c>
      <c r="M3395" s="403" t="s">
        <v>1279</v>
      </c>
      <c r="N3395" s="403">
        <v>768</v>
      </c>
      <c r="O3395" s="403">
        <v>432</v>
      </c>
      <c r="P3395" t="str">
        <f t="shared" si="425"/>
        <v>25fps 720p - SD ROI PTZ</v>
      </c>
      <c r="Q3395">
        <f t="shared" si="426"/>
        <v>19</v>
      </c>
      <c r="R3395" t="str">
        <f t="shared" si="427"/>
        <v/>
      </c>
      <c r="S3395" t="str">
        <f t="shared" si="428"/>
        <v/>
      </c>
      <c r="T3395" s="403" t="str">
        <f t="shared" si="429"/>
        <v>NDE-8502-R</v>
      </c>
      <c r="U3395" s="403">
        <f t="shared" si="430"/>
        <v>1</v>
      </c>
      <c r="V3395" s="403" t="str">
        <f t="shared" si="431"/>
        <v>CPP_7_3</v>
      </c>
    </row>
    <row r="3396" spans="1:22">
      <c r="A3396" t="str">
        <f t="shared" si="424"/>
        <v>NDE-8502-R</v>
      </c>
      <c r="B3396" s="403" t="s">
        <v>1410</v>
      </c>
      <c r="C3396" s="403" t="s">
        <v>582</v>
      </c>
      <c r="D3396" s="403" t="s">
        <v>1411</v>
      </c>
      <c r="E3396" s="403" t="s">
        <v>1412</v>
      </c>
      <c r="F3396" s="403" t="s">
        <v>1293</v>
      </c>
      <c r="G3396" s="403" t="s">
        <v>1466</v>
      </c>
      <c r="H3396" s="403" t="s">
        <v>1282</v>
      </c>
      <c r="I3396" s="403">
        <v>1</v>
      </c>
      <c r="J3396" s="403" t="s">
        <v>109</v>
      </c>
      <c r="K3396" s="403">
        <v>1280</v>
      </c>
      <c r="L3396" s="403">
        <v>720</v>
      </c>
      <c r="M3396" s="403" t="s">
        <v>1283</v>
      </c>
      <c r="N3396" s="403">
        <v>720</v>
      </c>
      <c r="O3396" s="403">
        <v>576</v>
      </c>
      <c r="P3396" t="str">
        <f t="shared" si="425"/>
        <v>25fps 720p - SD 4CIF resolution 4:3 format (cropped)</v>
      </c>
      <c r="Q3396">
        <f t="shared" si="426"/>
        <v>19</v>
      </c>
      <c r="R3396" t="str">
        <f t="shared" si="427"/>
        <v/>
      </c>
      <c r="S3396" t="str">
        <f t="shared" si="428"/>
        <v/>
      </c>
      <c r="T3396" s="403" t="str">
        <f t="shared" si="429"/>
        <v>NDE-8502-R</v>
      </c>
      <c r="U3396" s="403">
        <f t="shared" si="430"/>
        <v>1</v>
      </c>
      <c r="V3396" s="403" t="str">
        <f t="shared" si="431"/>
        <v>CPP_7_3</v>
      </c>
    </row>
    <row r="3397" spans="1:22">
      <c r="A3397" t="str">
        <f t="shared" si="424"/>
        <v>NDE-8502-R</v>
      </c>
      <c r="B3397" s="403" t="s">
        <v>1410</v>
      </c>
      <c r="C3397" s="403" t="s">
        <v>582</v>
      </c>
      <c r="D3397" s="403" t="s">
        <v>1411</v>
      </c>
      <c r="E3397" s="403" t="s">
        <v>1412</v>
      </c>
      <c r="F3397" s="403" t="s">
        <v>1293</v>
      </c>
      <c r="G3397" s="403" t="s">
        <v>1466</v>
      </c>
      <c r="H3397" s="403" t="s">
        <v>1282</v>
      </c>
      <c r="I3397" s="403">
        <v>1</v>
      </c>
      <c r="J3397" s="403" t="s">
        <v>109</v>
      </c>
      <c r="K3397" s="403">
        <v>1280</v>
      </c>
      <c r="L3397" s="403">
        <v>720</v>
      </c>
      <c r="M3397" s="403" t="s">
        <v>1284</v>
      </c>
      <c r="N3397" s="403">
        <v>640</v>
      </c>
      <c r="O3397" s="403">
        <v>480</v>
      </c>
      <c r="P3397" t="str">
        <f t="shared" si="425"/>
        <v>25fps 720p - SD VGA (cropped)</v>
      </c>
      <c r="Q3397">
        <f t="shared" si="426"/>
        <v>19</v>
      </c>
      <c r="R3397" t="str">
        <f t="shared" si="427"/>
        <v/>
      </c>
      <c r="S3397" t="str">
        <f t="shared" si="428"/>
        <v/>
      </c>
      <c r="T3397" s="403" t="str">
        <f t="shared" si="429"/>
        <v>NDE-8502-R</v>
      </c>
      <c r="U3397" s="403">
        <f t="shared" si="430"/>
        <v>1</v>
      </c>
      <c r="V3397" s="403" t="str">
        <f t="shared" si="431"/>
        <v>CPP_7_3</v>
      </c>
    </row>
    <row r="3398" spans="1:22">
      <c r="A3398" t="str">
        <f t="shared" si="424"/>
        <v>NDE-8502-R</v>
      </c>
      <c r="B3398" s="403" t="s">
        <v>1410</v>
      </c>
      <c r="C3398" s="403" t="s">
        <v>582</v>
      </c>
      <c r="D3398" s="403" t="s">
        <v>1411</v>
      </c>
      <c r="E3398" s="403" t="s">
        <v>1412</v>
      </c>
      <c r="F3398" s="403" t="s">
        <v>1293</v>
      </c>
      <c r="G3398" s="403" t="s">
        <v>1467</v>
      </c>
      <c r="H3398" s="403" t="s">
        <v>1276</v>
      </c>
      <c r="I3398" s="403">
        <v>1</v>
      </c>
      <c r="J3398" s="403" t="s">
        <v>110</v>
      </c>
      <c r="K3398" s="403">
        <v>1080</v>
      </c>
      <c r="L3398" s="403">
        <v>1920</v>
      </c>
      <c r="M3398" s="403" t="s">
        <v>111</v>
      </c>
      <c r="N3398" s="403">
        <v>432</v>
      </c>
      <c r="O3398" s="403">
        <v>768</v>
      </c>
      <c r="P3398" t="str">
        <f t="shared" si="425"/>
        <v>25fps 1080p - SD</v>
      </c>
      <c r="Q3398">
        <f t="shared" si="426"/>
        <v>19</v>
      </c>
      <c r="R3398" t="str">
        <f t="shared" si="427"/>
        <v/>
      </c>
      <c r="S3398" t="str">
        <f t="shared" si="428"/>
        <v/>
      </c>
      <c r="T3398" s="403" t="str">
        <f t="shared" si="429"/>
        <v>NDE-8502-R</v>
      </c>
      <c r="U3398" s="403">
        <f t="shared" si="430"/>
        <v>1</v>
      </c>
      <c r="V3398" s="403" t="str">
        <f t="shared" si="431"/>
        <v>CPP_7_3</v>
      </c>
    </row>
    <row r="3399" spans="1:22">
      <c r="A3399" t="str">
        <f t="shared" si="424"/>
        <v>NDE-8502-R</v>
      </c>
      <c r="B3399" s="403" t="s">
        <v>1410</v>
      </c>
      <c r="C3399" s="403" t="s">
        <v>582</v>
      </c>
      <c r="D3399" s="403" t="s">
        <v>1411</v>
      </c>
      <c r="E3399" s="403" t="s">
        <v>1412</v>
      </c>
      <c r="F3399" s="403" t="s">
        <v>1293</v>
      </c>
      <c r="G3399" s="403" t="s">
        <v>1467</v>
      </c>
      <c r="H3399" s="403" t="s">
        <v>1276</v>
      </c>
      <c r="I3399" s="403">
        <v>1</v>
      </c>
      <c r="J3399" s="403" t="s">
        <v>110</v>
      </c>
      <c r="K3399" s="403">
        <v>1080</v>
      </c>
      <c r="L3399" s="403">
        <v>1920</v>
      </c>
      <c r="M3399" s="403" t="s">
        <v>110</v>
      </c>
      <c r="N3399" s="403">
        <v>1080</v>
      </c>
      <c r="O3399" s="403">
        <v>1920</v>
      </c>
      <c r="P3399" t="str">
        <f t="shared" si="425"/>
        <v>25fps 1080p - 1080p</v>
      </c>
      <c r="Q3399">
        <f t="shared" si="426"/>
        <v>19</v>
      </c>
      <c r="R3399" t="str">
        <f t="shared" si="427"/>
        <v/>
      </c>
      <c r="S3399" t="str">
        <f t="shared" si="428"/>
        <v/>
      </c>
      <c r="T3399" s="403" t="str">
        <f t="shared" si="429"/>
        <v>NDE-8502-R</v>
      </c>
      <c r="U3399" s="403">
        <f t="shared" si="430"/>
        <v>1</v>
      </c>
      <c r="V3399" s="403" t="str">
        <f t="shared" si="431"/>
        <v>CPP_7_3</v>
      </c>
    </row>
    <row r="3400" spans="1:22">
      <c r="A3400" t="str">
        <f t="shared" si="424"/>
        <v>NDE-8502-R</v>
      </c>
      <c r="B3400" s="403" t="s">
        <v>1410</v>
      </c>
      <c r="C3400" s="403" t="s">
        <v>582</v>
      </c>
      <c r="D3400" s="403" t="s">
        <v>1411</v>
      </c>
      <c r="E3400" s="403" t="s">
        <v>1412</v>
      </c>
      <c r="F3400" s="403" t="s">
        <v>1293</v>
      </c>
      <c r="G3400" s="403" t="s">
        <v>1467</v>
      </c>
      <c r="H3400" s="403" t="s">
        <v>1276</v>
      </c>
      <c r="I3400" s="403">
        <v>1</v>
      </c>
      <c r="J3400" s="403" t="s">
        <v>110</v>
      </c>
      <c r="K3400" s="403">
        <v>1080</v>
      </c>
      <c r="L3400" s="403">
        <v>1920</v>
      </c>
      <c r="M3400" s="403" t="s">
        <v>109</v>
      </c>
      <c r="N3400" s="403">
        <v>720</v>
      </c>
      <c r="O3400" s="403">
        <v>1280</v>
      </c>
      <c r="P3400" t="str">
        <f t="shared" si="425"/>
        <v>25fps 1080p - 720p</v>
      </c>
      <c r="Q3400">
        <f t="shared" si="426"/>
        <v>19</v>
      </c>
      <c r="R3400" t="str">
        <f t="shared" si="427"/>
        <v/>
      </c>
      <c r="S3400" t="str">
        <f t="shared" si="428"/>
        <v/>
      </c>
      <c r="T3400" s="403" t="str">
        <f t="shared" si="429"/>
        <v>NDE-8502-R</v>
      </c>
      <c r="U3400" s="403">
        <f t="shared" si="430"/>
        <v>1</v>
      </c>
      <c r="V3400" s="403" t="str">
        <f t="shared" si="431"/>
        <v>CPP_7_3</v>
      </c>
    </row>
    <row r="3401" spans="1:22">
      <c r="A3401" t="str">
        <f t="shared" si="424"/>
        <v>NDE-8502-R</v>
      </c>
      <c r="B3401" s="403" t="s">
        <v>1410</v>
      </c>
      <c r="C3401" s="403" t="s">
        <v>582</v>
      </c>
      <c r="D3401" s="403" t="s">
        <v>1411</v>
      </c>
      <c r="E3401" s="403" t="s">
        <v>1412</v>
      </c>
      <c r="F3401" s="403" t="s">
        <v>1293</v>
      </c>
      <c r="G3401" s="403" t="s">
        <v>1467</v>
      </c>
      <c r="H3401" s="403" t="s">
        <v>1276</v>
      </c>
      <c r="I3401" s="403">
        <v>1</v>
      </c>
      <c r="J3401" s="403" t="s">
        <v>110</v>
      </c>
      <c r="K3401" s="403">
        <v>1080</v>
      </c>
      <c r="L3401" s="403">
        <v>1920</v>
      </c>
      <c r="M3401" s="403" t="s">
        <v>1285</v>
      </c>
      <c r="N3401" s="403">
        <v>1024</v>
      </c>
      <c r="O3401" s="403">
        <v>1280</v>
      </c>
      <c r="P3401" t="str">
        <f t="shared" si="425"/>
        <v>25fps 1080p - 1280x1024 5:4 (cropped)</v>
      </c>
      <c r="Q3401">
        <f t="shared" si="426"/>
        <v>19</v>
      </c>
      <c r="R3401" t="str">
        <f t="shared" si="427"/>
        <v/>
      </c>
      <c r="S3401" t="str">
        <f t="shared" si="428"/>
        <v/>
      </c>
      <c r="T3401" s="403" t="str">
        <f t="shared" si="429"/>
        <v>NDE-8502-R</v>
      </c>
      <c r="U3401" s="403">
        <f t="shared" si="430"/>
        <v>1</v>
      </c>
      <c r="V3401" s="403" t="str">
        <f t="shared" si="431"/>
        <v>CPP_7_3</v>
      </c>
    </row>
    <row r="3402" spans="1:22">
      <c r="A3402" t="str">
        <f t="shared" si="424"/>
        <v>NDE-8502-R</v>
      </c>
      <c r="B3402" s="403" t="s">
        <v>1410</v>
      </c>
      <c r="C3402" s="403" t="s">
        <v>582</v>
      </c>
      <c r="D3402" s="403" t="s">
        <v>1411</v>
      </c>
      <c r="E3402" s="403" t="s">
        <v>1412</v>
      </c>
      <c r="F3402" s="403" t="s">
        <v>1293</v>
      </c>
      <c r="G3402" s="403" t="s">
        <v>1467</v>
      </c>
      <c r="H3402" s="403" t="s">
        <v>1276</v>
      </c>
      <c r="I3402" s="403">
        <v>1</v>
      </c>
      <c r="J3402" s="403" t="s">
        <v>110</v>
      </c>
      <c r="K3402" s="403">
        <v>1080</v>
      </c>
      <c r="L3402" s="403">
        <v>1920</v>
      </c>
      <c r="M3402" s="403" t="s">
        <v>1279</v>
      </c>
      <c r="N3402" s="403">
        <v>432</v>
      </c>
      <c r="O3402" s="403">
        <v>768</v>
      </c>
      <c r="P3402" t="str">
        <f t="shared" si="425"/>
        <v>25fps 1080p - SD ROI PTZ</v>
      </c>
      <c r="Q3402">
        <f t="shared" si="426"/>
        <v>19</v>
      </c>
      <c r="R3402" t="str">
        <f t="shared" si="427"/>
        <v/>
      </c>
      <c r="S3402" t="str">
        <f t="shared" si="428"/>
        <v/>
      </c>
      <c r="T3402" s="403" t="str">
        <f t="shared" si="429"/>
        <v>NDE-8502-R</v>
      </c>
      <c r="U3402" s="403">
        <f t="shared" si="430"/>
        <v>1</v>
      </c>
      <c r="V3402" s="403" t="str">
        <f t="shared" si="431"/>
        <v>CPP_7_3</v>
      </c>
    </row>
    <row r="3403" spans="1:22">
      <c r="A3403" t="str">
        <f t="shared" si="424"/>
        <v>NDE-8502-R</v>
      </c>
      <c r="B3403" s="403" t="s">
        <v>1410</v>
      </c>
      <c r="C3403" s="403" t="s">
        <v>582</v>
      </c>
      <c r="D3403" s="403" t="s">
        <v>1411</v>
      </c>
      <c r="E3403" s="403" t="s">
        <v>1412</v>
      </c>
      <c r="F3403" s="403" t="s">
        <v>1293</v>
      </c>
      <c r="G3403" s="403" t="s">
        <v>1467</v>
      </c>
      <c r="H3403" s="403" t="s">
        <v>1276</v>
      </c>
      <c r="I3403" s="403">
        <v>1</v>
      </c>
      <c r="J3403" s="403" t="s">
        <v>110</v>
      </c>
      <c r="K3403" s="403">
        <v>1080</v>
      </c>
      <c r="L3403" s="403">
        <v>1920</v>
      </c>
      <c r="M3403" s="403" t="s">
        <v>1283</v>
      </c>
      <c r="N3403" s="403">
        <v>576</v>
      </c>
      <c r="O3403" s="403">
        <v>720</v>
      </c>
      <c r="P3403" t="str">
        <f t="shared" si="425"/>
        <v>25fps 1080p - SD 4CIF resolution 4:3 format (cropped)</v>
      </c>
      <c r="Q3403">
        <f t="shared" si="426"/>
        <v>19</v>
      </c>
      <c r="R3403" t="str">
        <f t="shared" si="427"/>
        <v/>
      </c>
      <c r="S3403" t="str">
        <f t="shared" si="428"/>
        <v/>
      </c>
      <c r="T3403" s="403" t="str">
        <f t="shared" si="429"/>
        <v>NDE-8502-R</v>
      </c>
      <c r="U3403" s="403">
        <f t="shared" si="430"/>
        <v>1</v>
      </c>
      <c r="V3403" s="403" t="str">
        <f t="shared" si="431"/>
        <v>CPP_7_3</v>
      </c>
    </row>
    <row r="3404" spans="1:22">
      <c r="A3404" t="str">
        <f t="shared" si="424"/>
        <v>NDE-8502-R</v>
      </c>
      <c r="B3404" s="403" t="s">
        <v>1410</v>
      </c>
      <c r="C3404" s="403" t="s">
        <v>582</v>
      </c>
      <c r="D3404" s="403" t="s">
        <v>1411</v>
      </c>
      <c r="E3404" s="403" t="s">
        <v>1412</v>
      </c>
      <c r="F3404" s="403" t="s">
        <v>1293</v>
      </c>
      <c r="G3404" s="403" t="s">
        <v>1467</v>
      </c>
      <c r="H3404" s="403" t="s">
        <v>1276</v>
      </c>
      <c r="I3404" s="403">
        <v>1</v>
      </c>
      <c r="J3404" s="403" t="s">
        <v>110</v>
      </c>
      <c r="K3404" s="403">
        <v>1080</v>
      </c>
      <c r="L3404" s="403">
        <v>1920</v>
      </c>
      <c r="M3404" s="403" t="s">
        <v>1284</v>
      </c>
      <c r="N3404" s="403">
        <v>480</v>
      </c>
      <c r="O3404" s="403">
        <v>640</v>
      </c>
      <c r="P3404" t="str">
        <f t="shared" si="425"/>
        <v>25fps 1080p - SD VGA (cropped)</v>
      </c>
      <c r="Q3404">
        <f t="shared" si="426"/>
        <v>19</v>
      </c>
      <c r="R3404" t="str">
        <f t="shared" si="427"/>
        <v/>
      </c>
      <c r="S3404" t="str">
        <f t="shared" si="428"/>
        <v/>
      </c>
      <c r="T3404" s="403" t="str">
        <f t="shared" si="429"/>
        <v>NDE-8502-R</v>
      </c>
      <c r="U3404" s="403">
        <f t="shared" si="430"/>
        <v>1</v>
      </c>
      <c r="V3404" s="403" t="str">
        <f t="shared" si="431"/>
        <v>CPP_7_3</v>
      </c>
    </row>
    <row r="3405" spans="1:22">
      <c r="A3405" t="str">
        <f t="shared" si="424"/>
        <v>NDE-8502-R</v>
      </c>
      <c r="B3405" s="403" t="s">
        <v>1410</v>
      </c>
      <c r="C3405" s="403" t="s">
        <v>582</v>
      </c>
      <c r="D3405" s="403" t="s">
        <v>1411</v>
      </c>
      <c r="E3405" s="403" t="s">
        <v>1412</v>
      </c>
      <c r="F3405" s="403" t="s">
        <v>1293</v>
      </c>
      <c r="G3405" s="403" t="s">
        <v>1467</v>
      </c>
      <c r="H3405" s="403" t="s">
        <v>1276</v>
      </c>
      <c r="I3405" s="403">
        <v>1</v>
      </c>
      <c r="J3405" s="403" t="s">
        <v>109</v>
      </c>
      <c r="K3405" s="403">
        <v>720</v>
      </c>
      <c r="L3405" s="403">
        <v>1280</v>
      </c>
      <c r="M3405" s="403" t="s">
        <v>109</v>
      </c>
      <c r="N3405" s="403">
        <v>720</v>
      </c>
      <c r="O3405" s="403">
        <v>1280</v>
      </c>
      <c r="P3405" t="str">
        <f t="shared" si="425"/>
        <v>25fps 720p - 720p</v>
      </c>
      <c r="Q3405">
        <f t="shared" si="426"/>
        <v>19</v>
      </c>
      <c r="R3405" t="str">
        <f t="shared" si="427"/>
        <v/>
      </c>
      <c r="S3405" t="str">
        <f t="shared" si="428"/>
        <v/>
      </c>
      <c r="T3405" s="403" t="str">
        <f t="shared" si="429"/>
        <v>NDE-8502-R</v>
      </c>
      <c r="U3405" s="403">
        <f t="shared" si="430"/>
        <v>1</v>
      </c>
      <c r="V3405" s="403" t="str">
        <f t="shared" si="431"/>
        <v>CPP_7_3</v>
      </c>
    </row>
    <row r="3406" spans="1:22">
      <c r="A3406" t="str">
        <f t="shared" si="424"/>
        <v>NDE-8502-R</v>
      </c>
      <c r="B3406" s="403" t="s">
        <v>1410</v>
      </c>
      <c r="C3406" s="403" t="s">
        <v>582</v>
      </c>
      <c r="D3406" s="403" t="s">
        <v>1411</v>
      </c>
      <c r="E3406" s="403" t="s">
        <v>1412</v>
      </c>
      <c r="F3406" s="403" t="s">
        <v>1293</v>
      </c>
      <c r="G3406" s="403" t="s">
        <v>1467</v>
      </c>
      <c r="H3406" s="403" t="s">
        <v>1276</v>
      </c>
      <c r="I3406" s="403">
        <v>1</v>
      </c>
      <c r="J3406" s="403" t="s">
        <v>109</v>
      </c>
      <c r="K3406" s="403">
        <v>720</v>
      </c>
      <c r="L3406" s="403">
        <v>1280</v>
      </c>
      <c r="M3406" s="403" t="s">
        <v>111</v>
      </c>
      <c r="N3406" s="403">
        <v>432</v>
      </c>
      <c r="O3406" s="403">
        <v>768</v>
      </c>
      <c r="P3406" t="str">
        <f t="shared" si="425"/>
        <v>25fps 720p - SD</v>
      </c>
      <c r="Q3406">
        <f t="shared" si="426"/>
        <v>19</v>
      </c>
      <c r="R3406" t="str">
        <f t="shared" si="427"/>
        <v/>
      </c>
      <c r="S3406" t="str">
        <f t="shared" si="428"/>
        <v/>
      </c>
      <c r="T3406" s="403" t="str">
        <f t="shared" si="429"/>
        <v>NDE-8502-R</v>
      </c>
      <c r="U3406" s="403">
        <f t="shared" si="430"/>
        <v>1</v>
      </c>
      <c r="V3406" s="403" t="str">
        <f t="shared" si="431"/>
        <v>CPP_7_3</v>
      </c>
    </row>
    <row r="3407" spans="1:22">
      <c r="A3407" t="str">
        <f t="shared" si="424"/>
        <v>NDE-8502-R</v>
      </c>
      <c r="B3407" s="403" t="s">
        <v>1410</v>
      </c>
      <c r="C3407" s="403" t="s">
        <v>582</v>
      </c>
      <c r="D3407" s="403" t="s">
        <v>1411</v>
      </c>
      <c r="E3407" s="403" t="s">
        <v>1412</v>
      </c>
      <c r="F3407" s="403" t="s">
        <v>1293</v>
      </c>
      <c r="G3407" s="403" t="s">
        <v>1467</v>
      </c>
      <c r="H3407" s="403" t="s">
        <v>1276</v>
      </c>
      <c r="I3407" s="403">
        <v>1</v>
      </c>
      <c r="J3407" s="403" t="s">
        <v>109</v>
      </c>
      <c r="K3407" s="403">
        <v>720</v>
      </c>
      <c r="L3407" s="403">
        <v>1280</v>
      </c>
      <c r="M3407" s="403" t="s">
        <v>1279</v>
      </c>
      <c r="N3407" s="403">
        <v>432</v>
      </c>
      <c r="O3407" s="403">
        <v>768</v>
      </c>
      <c r="P3407" t="str">
        <f t="shared" si="425"/>
        <v>25fps 720p - SD ROI PTZ</v>
      </c>
      <c r="Q3407">
        <f t="shared" si="426"/>
        <v>19</v>
      </c>
      <c r="R3407" t="str">
        <f t="shared" si="427"/>
        <v/>
      </c>
      <c r="S3407" t="str">
        <f t="shared" si="428"/>
        <v/>
      </c>
      <c r="T3407" s="403" t="str">
        <f t="shared" si="429"/>
        <v>NDE-8502-R</v>
      </c>
      <c r="U3407" s="403">
        <f t="shared" si="430"/>
        <v>1</v>
      </c>
      <c r="V3407" s="403" t="str">
        <f t="shared" si="431"/>
        <v>CPP_7_3</v>
      </c>
    </row>
    <row r="3408" spans="1:22">
      <c r="A3408" t="str">
        <f t="shared" si="424"/>
        <v>NDE-8502-R</v>
      </c>
      <c r="B3408" s="403" t="s">
        <v>1410</v>
      </c>
      <c r="C3408" s="403" t="s">
        <v>582</v>
      </c>
      <c r="D3408" s="403" t="s">
        <v>1411</v>
      </c>
      <c r="E3408" s="403" t="s">
        <v>1412</v>
      </c>
      <c r="F3408" s="403" t="s">
        <v>1293</v>
      </c>
      <c r="G3408" s="403" t="s">
        <v>1467</v>
      </c>
      <c r="H3408" s="403" t="s">
        <v>1276</v>
      </c>
      <c r="I3408" s="403">
        <v>1</v>
      </c>
      <c r="J3408" s="403" t="s">
        <v>109</v>
      </c>
      <c r="K3408" s="403">
        <v>720</v>
      </c>
      <c r="L3408" s="403">
        <v>1280</v>
      </c>
      <c r="M3408" s="403" t="s">
        <v>1283</v>
      </c>
      <c r="N3408" s="403">
        <v>576</v>
      </c>
      <c r="O3408" s="403">
        <v>720</v>
      </c>
      <c r="P3408" t="str">
        <f t="shared" si="425"/>
        <v>25fps 720p - SD 4CIF resolution 4:3 format (cropped)</v>
      </c>
      <c r="Q3408">
        <f t="shared" si="426"/>
        <v>19</v>
      </c>
      <c r="R3408" t="str">
        <f t="shared" si="427"/>
        <v/>
      </c>
      <c r="S3408" t="str">
        <f t="shared" si="428"/>
        <v/>
      </c>
      <c r="T3408" s="403" t="str">
        <f t="shared" si="429"/>
        <v>NDE-8502-R</v>
      </c>
      <c r="U3408" s="403">
        <f t="shared" si="430"/>
        <v>1</v>
      </c>
      <c r="V3408" s="403" t="str">
        <f t="shared" si="431"/>
        <v>CPP_7_3</v>
      </c>
    </row>
    <row r="3409" spans="1:22">
      <c r="A3409" t="str">
        <f t="shared" si="424"/>
        <v>NDE-8502-R</v>
      </c>
      <c r="B3409" s="403" t="s">
        <v>1410</v>
      </c>
      <c r="C3409" s="403" t="s">
        <v>582</v>
      </c>
      <c r="D3409" s="403" t="s">
        <v>1411</v>
      </c>
      <c r="E3409" s="403" t="s">
        <v>1412</v>
      </c>
      <c r="F3409" s="403" t="s">
        <v>1293</v>
      </c>
      <c r="G3409" s="403" t="s">
        <v>1467</v>
      </c>
      <c r="H3409" s="403" t="s">
        <v>1276</v>
      </c>
      <c r="I3409" s="403">
        <v>1</v>
      </c>
      <c r="J3409" s="403" t="s">
        <v>109</v>
      </c>
      <c r="K3409" s="403">
        <v>720</v>
      </c>
      <c r="L3409" s="403">
        <v>1280</v>
      </c>
      <c r="M3409" s="403" t="s">
        <v>1284</v>
      </c>
      <c r="N3409" s="403">
        <v>480</v>
      </c>
      <c r="O3409" s="403">
        <v>640</v>
      </c>
      <c r="P3409" t="str">
        <f t="shared" si="425"/>
        <v>25fps 720p - SD VGA (cropped)</v>
      </c>
      <c r="Q3409">
        <f t="shared" si="426"/>
        <v>19</v>
      </c>
      <c r="R3409" t="str">
        <f t="shared" si="427"/>
        <v/>
      </c>
      <c r="S3409" t="str">
        <f t="shared" si="428"/>
        <v/>
      </c>
      <c r="T3409" s="403" t="str">
        <f t="shared" si="429"/>
        <v>NDE-8502-R</v>
      </c>
      <c r="U3409" s="403">
        <f t="shared" si="430"/>
        <v>1</v>
      </c>
      <c r="V3409" s="403" t="str">
        <f t="shared" si="431"/>
        <v>CPP_7_3</v>
      </c>
    </row>
    <row r="3410" spans="1:22">
      <c r="A3410" t="str">
        <f t="shared" si="424"/>
        <v>NDE-8502-R</v>
      </c>
      <c r="B3410" s="403" t="s">
        <v>1410</v>
      </c>
      <c r="C3410" s="403" t="s">
        <v>582</v>
      </c>
      <c r="D3410" s="403" t="s">
        <v>1411</v>
      </c>
      <c r="E3410" s="403" t="s">
        <v>1412</v>
      </c>
      <c r="F3410" s="403" t="s">
        <v>1293</v>
      </c>
      <c r="G3410" s="403" t="s">
        <v>1467</v>
      </c>
      <c r="H3410" s="403" t="s">
        <v>1281</v>
      </c>
      <c r="I3410" s="403">
        <v>1</v>
      </c>
      <c r="J3410" s="403" t="s">
        <v>110</v>
      </c>
      <c r="K3410" s="403">
        <v>1080</v>
      </c>
      <c r="L3410" s="403">
        <v>1920</v>
      </c>
      <c r="M3410" s="403" t="s">
        <v>111</v>
      </c>
      <c r="N3410" s="403">
        <v>432</v>
      </c>
      <c r="O3410" s="403">
        <v>768</v>
      </c>
      <c r="P3410" t="str">
        <f t="shared" si="425"/>
        <v>25fps 1080p - SD</v>
      </c>
      <c r="Q3410">
        <f t="shared" si="426"/>
        <v>19</v>
      </c>
      <c r="R3410" t="str">
        <f t="shared" si="427"/>
        <v/>
      </c>
      <c r="S3410" t="str">
        <f t="shared" si="428"/>
        <v/>
      </c>
      <c r="T3410" s="403" t="str">
        <f t="shared" si="429"/>
        <v>NDE-8502-R</v>
      </c>
      <c r="U3410" s="403">
        <f t="shared" si="430"/>
        <v>1</v>
      </c>
      <c r="V3410" s="403" t="str">
        <f t="shared" si="431"/>
        <v>CPP_7_3</v>
      </c>
    </row>
    <row r="3411" spans="1:22">
      <c r="A3411" t="str">
        <f t="shared" si="424"/>
        <v>NDE-8502-R</v>
      </c>
      <c r="B3411" s="403" t="s">
        <v>1410</v>
      </c>
      <c r="C3411" s="403" t="s">
        <v>582</v>
      </c>
      <c r="D3411" s="403" t="s">
        <v>1411</v>
      </c>
      <c r="E3411" s="403" t="s">
        <v>1412</v>
      </c>
      <c r="F3411" s="403" t="s">
        <v>1293</v>
      </c>
      <c r="G3411" s="403" t="s">
        <v>1467</v>
      </c>
      <c r="H3411" s="403" t="s">
        <v>1281</v>
      </c>
      <c r="I3411" s="403">
        <v>1</v>
      </c>
      <c r="J3411" s="403" t="s">
        <v>110</v>
      </c>
      <c r="K3411" s="403">
        <v>1080</v>
      </c>
      <c r="L3411" s="403">
        <v>1920</v>
      </c>
      <c r="M3411" s="403" t="s">
        <v>110</v>
      </c>
      <c r="N3411" s="403">
        <v>1080</v>
      </c>
      <c r="O3411" s="403">
        <v>1920</v>
      </c>
      <c r="P3411" t="str">
        <f t="shared" si="425"/>
        <v>25fps 1080p - 1080p</v>
      </c>
      <c r="Q3411">
        <f t="shared" si="426"/>
        <v>19</v>
      </c>
      <c r="R3411" t="str">
        <f t="shared" si="427"/>
        <v/>
      </c>
      <c r="S3411" t="str">
        <f t="shared" si="428"/>
        <v/>
      </c>
      <c r="T3411" s="403" t="str">
        <f t="shared" si="429"/>
        <v>NDE-8502-R</v>
      </c>
      <c r="U3411" s="403">
        <f t="shared" si="430"/>
        <v>1</v>
      </c>
      <c r="V3411" s="403" t="str">
        <f t="shared" si="431"/>
        <v>CPP_7_3</v>
      </c>
    </row>
    <row r="3412" spans="1:22">
      <c r="A3412" t="str">
        <f t="shared" si="424"/>
        <v>NDE-8502-R</v>
      </c>
      <c r="B3412" s="403" t="s">
        <v>1410</v>
      </c>
      <c r="C3412" s="403" t="s">
        <v>582</v>
      </c>
      <c r="D3412" s="403" t="s">
        <v>1411</v>
      </c>
      <c r="E3412" s="403" t="s">
        <v>1412</v>
      </c>
      <c r="F3412" s="403" t="s">
        <v>1293</v>
      </c>
      <c r="G3412" s="403" t="s">
        <v>1467</v>
      </c>
      <c r="H3412" s="403" t="s">
        <v>1281</v>
      </c>
      <c r="I3412" s="403">
        <v>1</v>
      </c>
      <c r="J3412" s="403" t="s">
        <v>110</v>
      </c>
      <c r="K3412" s="403">
        <v>1080</v>
      </c>
      <c r="L3412" s="403">
        <v>1920</v>
      </c>
      <c r="M3412" s="403" t="s">
        <v>109</v>
      </c>
      <c r="N3412" s="403">
        <v>720</v>
      </c>
      <c r="O3412" s="403">
        <v>1280</v>
      </c>
      <c r="P3412" t="str">
        <f t="shared" si="425"/>
        <v>25fps 1080p - 720p</v>
      </c>
      <c r="Q3412">
        <f t="shared" si="426"/>
        <v>19</v>
      </c>
      <c r="R3412" t="str">
        <f t="shared" si="427"/>
        <v/>
      </c>
      <c r="S3412" t="str">
        <f t="shared" si="428"/>
        <v/>
      </c>
      <c r="T3412" s="403" t="str">
        <f t="shared" si="429"/>
        <v>NDE-8502-R</v>
      </c>
      <c r="U3412" s="403">
        <f t="shared" si="430"/>
        <v>1</v>
      </c>
      <c r="V3412" s="403" t="str">
        <f t="shared" si="431"/>
        <v>CPP_7_3</v>
      </c>
    </row>
    <row r="3413" spans="1:22">
      <c r="A3413" t="str">
        <f t="shared" si="424"/>
        <v>NDE-8502-R</v>
      </c>
      <c r="B3413" s="403" t="s">
        <v>1410</v>
      </c>
      <c r="C3413" s="403" t="s">
        <v>582</v>
      </c>
      <c r="D3413" s="403" t="s">
        <v>1411</v>
      </c>
      <c r="E3413" s="403" t="s">
        <v>1412</v>
      </c>
      <c r="F3413" s="403" t="s">
        <v>1293</v>
      </c>
      <c r="G3413" s="403" t="s">
        <v>1467</v>
      </c>
      <c r="H3413" s="403" t="s">
        <v>1281</v>
      </c>
      <c r="I3413" s="403">
        <v>1</v>
      </c>
      <c r="J3413" s="403" t="s">
        <v>110</v>
      </c>
      <c r="K3413" s="403">
        <v>1080</v>
      </c>
      <c r="L3413" s="403">
        <v>1920</v>
      </c>
      <c r="M3413" s="403" t="s">
        <v>1285</v>
      </c>
      <c r="N3413" s="403">
        <v>1024</v>
      </c>
      <c r="O3413" s="403">
        <v>1280</v>
      </c>
      <c r="P3413" t="str">
        <f t="shared" si="425"/>
        <v>25fps 1080p - 1280x1024 5:4 (cropped)</v>
      </c>
      <c r="Q3413">
        <f t="shared" si="426"/>
        <v>19</v>
      </c>
      <c r="R3413" t="str">
        <f t="shared" si="427"/>
        <v/>
      </c>
      <c r="S3413" t="str">
        <f t="shared" si="428"/>
        <v/>
      </c>
      <c r="T3413" s="403" t="str">
        <f t="shared" si="429"/>
        <v>NDE-8502-R</v>
      </c>
      <c r="U3413" s="403">
        <f t="shared" si="430"/>
        <v>1</v>
      </c>
      <c r="V3413" s="403" t="str">
        <f t="shared" si="431"/>
        <v>CPP_7_3</v>
      </c>
    </row>
    <row r="3414" spans="1:22">
      <c r="A3414" t="str">
        <f t="shared" si="424"/>
        <v>NDE-8502-R</v>
      </c>
      <c r="B3414" s="403" t="s">
        <v>1410</v>
      </c>
      <c r="C3414" s="403" t="s">
        <v>582</v>
      </c>
      <c r="D3414" s="403" t="s">
        <v>1411</v>
      </c>
      <c r="E3414" s="403" t="s">
        <v>1412</v>
      </c>
      <c r="F3414" s="403" t="s">
        <v>1293</v>
      </c>
      <c r="G3414" s="403" t="s">
        <v>1467</v>
      </c>
      <c r="H3414" s="403" t="s">
        <v>1281</v>
      </c>
      <c r="I3414" s="403">
        <v>1</v>
      </c>
      <c r="J3414" s="403" t="s">
        <v>110</v>
      </c>
      <c r="K3414" s="403">
        <v>1080</v>
      </c>
      <c r="L3414" s="403">
        <v>1920</v>
      </c>
      <c r="M3414" s="403" t="s">
        <v>1279</v>
      </c>
      <c r="N3414" s="403">
        <v>432</v>
      </c>
      <c r="O3414" s="403">
        <v>768</v>
      </c>
      <c r="P3414" t="str">
        <f t="shared" si="425"/>
        <v>25fps 1080p - SD ROI PTZ</v>
      </c>
      <c r="Q3414">
        <f t="shared" si="426"/>
        <v>19</v>
      </c>
      <c r="R3414" t="str">
        <f t="shared" si="427"/>
        <v/>
      </c>
      <c r="S3414" t="str">
        <f t="shared" si="428"/>
        <v/>
      </c>
      <c r="T3414" s="403" t="str">
        <f t="shared" si="429"/>
        <v>NDE-8502-R</v>
      </c>
      <c r="U3414" s="403">
        <f t="shared" si="430"/>
        <v>1</v>
      </c>
      <c r="V3414" s="403" t="str">
        <f t="shared" si="431"/>
        <v>CPP_7_3</v>
      </c>
    </row>
    <row r="3415" spans="1:22">
      <c r="A3415" t="str">
        <f t="shared" si="424"/>
        <v>NDE-8502-R</v>
      </c>
      <c r="B3415" s="403" t="s">
        <v>1410</v>
      </c>
      <c r="C3415" s="403" t="s">
        <v>582</v>
      </c>
      <c r="D3415" s="403" t="s">
        <v>1411</v>
      </c>
      <c r="E3415" s="403" t="s">
        <v>1412</v>
      </c>
      <c r="F3415" s="403" t="s">
        <v>1293</v>
      </c>
      <c r="G3415" s="403" t="s">
        <v>1467</v>
      </c>
      <c r="H3415" s="403" t="s">
        <v>1281</v>
      </c>
      <c r="I3415" s="403">
        <v>1</v>
      </c>
      <c r="J3415" s="403" t="s">
        <v>110</v>
      </c>
      <c r="K3415" s="403">
        <v>1080</v>
      </c>
      <c r="L3415" s="403">
        <v>1920</v>
      </c>
      <c r="M3415" s="403" t="s">
        <v>1283</v>
      </c>
      <c r="N3415" s="403">
        <v>576</v>
      </c>
      <c r="O3415" s="403">
        <v>720</v>
      </c>
      <c r="P3415" t="str">
        <f t="shared" si="425"/>
        <v>25fps 1080p - SD 4CIF resolution 4:3 format (cropped)</v>
      </c>
      <c r="Q3415">
        <f t="shared" si="426"/>
        <v>19</v>
      </c>
      <c r="R3415" t="str">
        <f t="shared" si="427"/>
        <v/>
      </c>
      <c r="S3415" t="str">
        <f t="shared" si="428"/>
        <v/>
      </c>
      <c r="T3415" s="403" t="str">
        <f t="shared" si="429"/>
        <v>NDE-8502-R</v>
      </c>
      <c r="U3415" s="403">
        <f t="shared" si="430"/>
        <v>1</v>
      </c>
      <c r="V3415" s="403" t="str">
        <f t="shared" si="431"/>
        <v>CPP_7_3</v>
      </c>
    </row>
    <row r="3416" spans="1:22">
      <c r="A3416" t="str">
        <f t="shared" si="424"/>
        <v>NDE-8502-R</v>
      </c>
      <c r="B3416" s="403" t="s">
        <v>1410</v>
      </c>
      <c r="C3416" s="403" t="s">
        <v>582</v>
      </c>
      <c r="D3416" s="403" t="s">
        <v>1411</v>
      </c>
      <c r="E3416" s="403" t="s">
        <v>1412</v>
      </c>
      <c r="F3416" s="403" t="s">
        <v>1293</v>
      </c>
      <c r="G3416" s="403" t="s">
        <v>1467</v>
      </c>
      <c r="H3416" s="403" t="s">
        <v>1281</v>
      </c>
      <c r="I3416" s="403">
        <v>1</v>
      </c>
      <c r="J3416" s="403" t="s">
        <v>110</v>
      </c>
      <c r="K3416" s="403">
        <v>1080</v>
      </c>
      <c r="L3416" s="403">
        <v>1920</v>
      </c>
      <c r="M3416" s="403" t="s">
        <v>1284</v>
      </c>
      <c r="N3416" s="403">
        <v>480</v>
      </c>
      <c r="O3416" s="403">
        <v>640</v>
      </c>
      <c r="P3416" t="str">
        <f t="shared" si="425"/>
        <v>25fps 1080p - SD VGA (cropped)</v>
      </c>
      <c r="Q3416">
        <f t="shared" si="426"/>
        <v>19</v>
      </c>
      <c r="R3416" t="str">
        <f t="shared" si="427"/>
        <v/>
      </c>
      <c r="S3416" t="str">
        <f t="shared" si="428"/>
        <v/>
      </c>
      <c r="T3416" s="403" t="str">
        <f t="shared" si="429"/>
        <v>NDE-8502-R</v>
      </c>
      <c r="U3416" s="403">
        <f t="shared" si="430"/>
        <v>1</v>
      </c>
      <c r="V3416" s="403" t="str">
        <f t="shared" si="431"/>
        <v>CPP_7_3</v>
      </c>
    </row>
    <row r="3417" spans="1:22">
      <c r="A3417" t="str">
        <f t="shared" si="424"/>
        <v>NDE-8502-R</v>
      </c>
      <c r="B3417" s="403" t="s">
        <v>1410</v>
      </c>
      <c r="C3417" s="403" t="s">
        <v>582</v>
      </c>
      <c r="D3417" s="403" t="s">
        <v>1411</v>
      </c>
      <c r="E3417" s="403" t="s">
        <v>1412</v>
      </c>
      <c r="F3417" s="403" t="s">
        <v>1293</v>
      </c>
      <c r="G3417" s="403" t="s">
        <v>1467</v>
      </c>
      <c r="H3417" s="403" t="s">
        <v>1281</v>
      </c>
      <c r="I3417" s="403">
        <v>1</v>
      </c>
      <c r="J3417" s="403" t="s">
        <v>109</v>
      </c>
      <c r="K3417" s="403">
        <v>720</v>
      </c>
      <c r="L3417" s="403">
        <v>1280</v>
      </c>
      <c r="M3417" s="403" t="s">
        <v>109</v>
      </c>
      <c r="N3417" s="403">
        <v>720</v>
      </c>
      <c r="O3417" s="403">
        <v>1280</v>
      </c>
      <c r="P3417" t="str">
        <f t="shared" si="425"/>
        <v>25fps 720p - 720p</v>
      </c>
      <c r="Q3417">
        <f t="shared" si="426"/>
        <v>19</v>
      </c>
      <c r="R3417" t="str">
        <f t="shared" si="427"/>
        <v/>
      </c>
      <c r="S3417" t="str">
        <f t="shared" si="428"/>
        <v/>
      </c>
      <c r="T3417" s="403" t="str">
        <f t="shared" si="429"/>
        <v>NDE-8502-R</v>
      </c>
      <c r="U3417" s="403">
        <f t="shared" si="430"/>
        <v>1</v>
      </c>
      <c r="V3417" s="403" t="str">
        <f t="shared" si="431"/>
        <v>CPP_7_3</v>
      </c>
    </row>
    <row r="3418" spans="1:22">
      <c r="A3418" t="str">
        <f t="shared" si="424"/>
        <v>NDE-8502-R</v>
      </c>
      <c r="B3418" s="403" t="s">
        <v>1410</v>
      </c>
      <c r="C3418" s="403" t="s">
        <v>582</v>
      </c>
      <c r="D3418" s="403" t="s">
        <v>1411</v>
      </c>
      <c r="E3418" s="403" t="s">
        <v>1412</v>
      </c>
      <c r="F3418" s="403" t="s">
        <v>1293</v>
      </c>
      <c r="G3418" s="403" t="s">
        <v>1467</v>
      </c>
      <c r="H3418" s="403" t="s">
        <v>1281</v>
      </c>
      <c r="I3418" s="403">
        <v>1</v>
      </c>
      <c r="J3418" s="403" t="s">
        <v>109</v>
      </c>
      <c r="K3418" s="403">
        <v>720</v>
      </c>
      <c r="L3418" s="403">
        <v>1280</v>
      </c>
      <c r="M3418" s="403" t="s">
        <v>111</v>
      </c>
      <c r="N3418" s="403">
        <v>432</v>
      </c>
      <c r="O3418" s="403">
        <v>768</v>
      </c>
      <c r="P3418" t="str">
        <f t="shared" si="425"/>
        <v>25fps 720p - SD</v>
      </c>
      <c r="Q3418">
        <f t="shared" si="426"/>
        <v>19</v>
      </c>
      <c r="R3418" t="str">
        <f t="shared" si="427"/>
        <v/>
      </c>
      <c r="S3418" t="str">
        <f t="shared" si="428"/>
        <v/>
      </c>
      <c r="T3418" s="403" t="str">
        <f t="shared" si="429"/>
        <v>NDE-8502-R</v>
      </c>
      <c r="U3418" s="403">
        <f t="shared" si="430"/>
        <v>1</v>
      </c>
      <c r="V3418" s="403" t="str">
        <f t="shared" si="431"/>
        <v>CPP_7_3</v>
      </c>
    </row>
    <row r="3419" spans="1:22">
      <c r="A3419" t="str">
        <f t="shared" si="424"/>
        <v>NDE-8502-R</v>
      </c>
      <c r="B3419" s="403" t="s">
        <v>1410</v>
      </c>
      <c r="C3419" s="403" t="s">
        <v>582</v>
      </c>
      <c r="D3419" s="403" t="s">
        <v>1411</v>
      </c>
      <c r="E3419" s="403" t="s">
        <v>1412</v>
      </c>
      <c r="F3419" s="403" t="s">
        <v>1293</v>
      </c>
      <c r="G3419" s="403" t="s">
        <v>1467</v>
      </c>
      <c r="H3419" s="403" t="s">
        <v>1281</v>
      </c>
      <c r="I3419" s="403">
        <v>1</v>
      </c>
      <c r="J3419" s="403" t="s">
        <v>109</v>
      </c>
      <c r="K3419" s="403">
        <v>720</v>
      </c>
      <c r="L3419" s="403">
        <v>1280</v>
      </c>
      <c r="M3419" s="403" t="s">
        <v>1279</v>
      </c>
      <c r="N3419" s="403">
        <v>432</v>
      </c>
      <c r="O3419" s="403">
        <v>768</v>
      </c>
      <c r="P3419" t="str">
        <f t="shared" si="425"/>
        <v>25fps 720p - SD ROI PTZ</v>
      </c>
      <c r="Q3419">
        <f t="shared" si="426"/>
        <v>19</v>
      </c>
      <c r="R3419" t="str">
        <f t="shared" si="427"/>
        <v/>
      </c>
      <c r="S3419" t="str">
        <f t="shared" si="428"/>
        <v/>
      </c>
      <c r="T3419" s="403" t="str">
        <f t="shared" si="429"/>
        <v>NDE-8502-R</v>
      </c>
      <c r="U3419" s="403">
        <f t="shared" si="430"/>
        <v>1</v>
      </c>
      <c r="V3419" s="403" t="str">
        <f t="shared" si="431"/>
        <v>CPP_7_3</v>
      </c>
    </row>
    <row r="3420" spans="1:22">
      <c r="A3420" t="str">
        <f t="shared" si="424"/>
        <v>NDE-8502-R</v>
      </c>
      <c r="B3420" s="403" t="s">
        <v>1410</v>
      </c>
      <c r="C3420" s="403" t="s">
        <v>582</v>
      </c>
      <c r="D3420" s="403" t="s">
        <v>1411</v>
      </c>
      <c r="E3420" s="403" t="s">
        <v>1412</v>
      </c>
      <c r="F3420" s="403" t="s">
        <v>1293</v>
      </c>
      <c r="G3420" s="403" t="s">
        <v>1467</v>
      </c>
      <c r="H3420" s="403" t="s">
        <v>1281</v>
      </c>
      <c r="I3420" s="403">
        <v>1</v>
      </c>
      <c r="J3420" s="403" t="s">
        <v>109</v>
      </c>
      <c r="K3420" s="403">
        <v>720</v>
      </c>
      <c r="L3420" s="403">
        <v>1280</v>
      </c>
      <c r="M3420" s="403" t="s">
        <v>1283</v>
      </c>
      <c r="N3420" s="403">
        <v>576</v>
      </c>
      <c r="O3420" s="403">
        <v>720</v>
      </c>
      <c r="P3420" t="str">
        <f t="shared" si="425"/>
        <v>25fps 720p - SD 4CIF resolution 4:3 format (cropped)</v>
      </c>
      <c r="Q3420">
        <f t="shared" si="426"/>
        <v>19</v>
      </c>
      <c r="R3420" t="str">
        <f t="shared" si="427"/>
        <v/>
      </c>
      <c r="S3420" t="str">
        <f t="shared" si="428"/>
        <v/>
      </c>
      <c r="T3420" s="403" t="str">
        <f t="shared" si="429"/>
        <v>NDE-8502-R</v>
      </c>
      <c r="U3420" s="403">
        <f t="shared" si="430"/>
        <v>1</v>
      </c>
      <c r="V3420" s="403" t="str">
        <f t="shared" si="431"/>
        <v>CPP_7_3</v>
      </c>
    </row>
    <row r="3421" spans="1:22">
      <c r="A3421" t="str">
        <f t="shared" si="424"/>
        <v>NDE-8502-R</v>
      </c>
      <c r="B3421" s="403" t="s">
        <v>1410</v>
      </c>
      <c r="C3421" s="403" t="s">
        <v>582</v>
      </c>
      <c r="D3421" s="403" t="s">
        <v>1411</v>
      </c>
      <c r="E3421" s="403" t="s">
        <v>1412</v>
      </c>
      <c r="F3421" s="403" t="s">
        <v>1293</v>
      </c>
      <c r="G3421" s="403" t="s">
        <v>1467</v>
      </c>
      <c r="H3421" s="403" t="s">
        <v>1281</v>
      </c>
      <c r="I3421" s="403">
        <v>1</v>
      </c>
      <c r="J3421" s="403" t="s">
        <v>109</v>
      </c>
      <c r="K3421" s="403">
        <v>720</v>
      </c>
      <c r="L3421" s="403">
        <v>1280</v>
      </c>
      <c r="M3421" s="403" t="s">
        <v>1284</v>
      </c>
      <c r="N3421" s="403">
        <v>480</v>
      </c>
      <c r="O3421" s="403">
        <v>640</v>
      </c>
      <c r="P3421" t="str">
        <f t="shared" si="425"/>
        <v>25fps 720p - SD VGA (cropped)</v>
      </c>
      <c r="Q3421">
        <f t="shared" si="426"/>
        <v>19</v>
      </c>
      <c r="R3421" t="str">
        <f t="shared" si="427"/>
        <v/>
      </c>
      <c r="S3421" t="str">
        <f t="shared" si="428"/>
        <v/>
      </c>
      <c r="T3421" s="403" t="str">
        <f t="shared" si="429"/>
        <v>NDE-8502-R</v>
      </c>
      <c r="U3421" s="403">
        <f t="shared" si="430"/>
        <v>1</v>
      </c>
      <c r="V3421" s="403" t="str">
        <f t="shared" si="431"/>
        <v>CPP_7_3</v>
      </c>
    </row>
    <row r="3422" spans="1:22">
      <c r="A3422" t="str">
        <f t="shared" si="424"/>
        <v>NDE-8502-R</v>
      </c>
      <c r="B3422" s="403" t="s">
        <v>1410</v>
      </c>
      <c r="C3422" s="403" t="s">
        <v>582</v>
      </c>
      <c r="D3422" s="403" t="s">
        <v>1411</v>
      </c>
      <c r="E3422" s="403" t="s">
        <v>1412</v>
      </c>
      <c r="F3422" s="403" t="s">
        <v>1293</v>
      </c>
      <c r="G3422" s="403" t="s">
        <v>1467</v>
      </c>
      <c r="H3422" s="403" t="s">
        <v>1282</v>
      </c>
      <c r="I3422" s="403">
        <v>1</v>
      </c>
      <c r="J3422" s="403" t="s">
        <v>110</v>
      </c>
      <c r="K3422" s="403">
        <v>1080</v>
      </c>
      <c r="L3422" s="403">
        <v>1920</v>
      </c>
      <c r="M3422" s="403" t="s">
        <v>111</v>
      </c>
      <c r="N3422" s="403">
        <v>432</v>
      </c>
      <c r="O3422" s="403">
        <v>768</v>
      </c>
      <c r="P3422" t="str">
        <f t="shared" si="425"/>
        <v>25fps 1080p - SD</v>
      </c>
      <c r="Q3422">
        <f t="shared" si="426"/>
        <v>19</v>
      </c>
      <c r="R3422" t="str">
        <f t="shared" si="427"/>
        <v/>
      </c>
      <c r="S3422" t="str">
        <f t="shared" si="428"/>
        <v/>
      </c>
      <c r="T3422" s="403" t="str">
        <f t="shared" si="429"/>
        <v>NDE-8502-R</v>
      </c>
      <c r="U3422" s="403">
        <f t="shared" si="430"/>
        <v>1</v>
      </c>
      <c r="V3422" s="403" t="str">
        <f t="shared" si="431"/>
        <v>CPP_7_3</v>
      </c>
    </row>
    <row r="3423" spans="1:22">
      <c r="A3423" t="str">
        <f t="shared" si="424"/>
        <v>NDE-8502-R</v>
      </c>
      <c r="B3423" s="403" t="s">
        <v>1410</v>
      </c>
      <c r="C3423" s="403" t="s">
        <v>582</v>
      </c>
      <c r="D3423" s="403" t="s">
        <v>1411</v>
      </c>
      <c r="E3423" s="403" t="s">
        <v>1412</v>
      </c>
      <c r="F3423" s="403" t="s">
        <v>1293</v>
      </c>
      <c r="G3423" s="403" t="s">
        <v>1467</v>
      </c>
      <c r="H3423" s="403" t="s">
        <v>1282</v>
      </c>
      <c r="I3423" s="403">
        <v>1</v>
      </c>
      <c r="J3423" s="403" t="s">
        <v>110</v>
      </c>
      <c r="K3423" s="403">
        <v>1080</v>
      </c>
      <c r="L3423" s="403">
        <v>1920</v>
      </c>
      <c r="M3423" s="403" t="s">
        <v>110</v>
      </c>
      <c r="N3423" s="403">
        <v>1080</v>
      </c>
      <c r="O3423" s="403">
        <v>1920</v>
      </c>
      <c r="P3423" t="str">
        <f t="shared" si="425"/>
        <v>25fps 1080p - 1080p</v>
      </c>
      <c r="Q3423">
        <f t="shared" si="426"/>
        <v>19</v>
      </c>
      <c r="R3423" t="str">
        <f t="shared" si="427"/>
        <v/>
      </c>
      <c r="S3423" t="str">
        <f t="shared" si="428"/>
        <v/>
      </c>
      <c r="T3423" s="403" t="str">
        <f t="shared" si="429"/>
        <v>NDE-8502-R</v>
      </c>
      <c r="U3423" s="403">
        <f t="shared" si="430"/>
        <v>1</v>
      </c>
      <c r="V3423" s="403" t="str">
        <f t="shared" si="431"/>
        <v>CPP_7_3</v>
      </c>
    </row>
    <row r="3424" spans="1:22">
      <c r="A3424" t="str">
        <f t="shared" si="424"/>
        <v>NDE-8502-R</v>
      </c>
      <c r="B3424" s="403" t="s">
        <v>1410</v>
      </c>
      <c r="C3424" s="403" t="s">
        <v>582</v>
      </c>
      <c r="D3424" s="403" t="s">
        <v>1411</v>
      </c>
      <c r="E3424" s="403" t="s">
        <v>1412</v>
      </c>
      <c r="F3424" s="403" t="s">
        <v>1293</v>
      </c>
      <c r="G3424" s="403" t="s">
        <v>1467</v>
      </c>
      <c r="H3424" s="403" t="s">
        <v>1282</v>
      </c>
      <c r="I3424" s="403">
        <v>1</v>
      </c>
      <c r="J3424" s="403" t="s">
        <v>110</v>
      </c>
      <c r="K3424" s="403">
        <v>1080</v>
      </c>
      <c r="L3424" s="403">
        <v>1920</v>
      </c>
      <c r="M3424" s="403" t="s">
        <v>109</v>
      </c>
      <c r="N3424" s="403">
        <v>720</v>
      </c>
      <c r="O3424" s="403">
        <v>1280</v>
      </c>
      <c r="P3424" t="str">
        <f t="shared" si="425"/>
        <v>25fps 1080p - 720p</v>
      </c>
      <c r="Q3424">
        <f t="shared" si="426"/>
        <v>19</v>
      </c>
      <c r="R3424" t="str">
        <f t="shared" si="427"/>
        <v/>
      </c>
      <c r="S3424" t="str">
        <f t="shared" si="428"/>
        <v/>
      </c>
      <c r="T3424" s="403" t="str">
        <f t="shared" si="429"/>
        <v>NDE-8502-R</v>
      </c>
      <c r="U3424" s="403">
        <f t="shared" si="430"/>
        <v>1</v>
      </c>
      <c r="V3424" s="403" t="str">
        <f t="shared" si="431"/>
        <v>CPP_7_3</v>
      </c>
    </row>
    <row r="3425" spans="1:22">
      <c r="A3425" t="str">
        <f t="shared" si="424"/>
        <v>NDE-8502-R</v>
      </c>
      <c r="B3425" s="403" t="s">
        <v>1410</v>
      </c>
      <c r="C3425" s="403" t="s">
        <v>582</v>
      </c>
      <c r="D3425" s="403" t="s">
        <v>1411</v>
      </c>
      <c r="E3425" s="403" t="s">
        <v>1412</v>
      </c>
      <c r="F3425" s="403" t="s">
        <v>1293</v>
      </c>
      <c r="G3425" s="403" t="s">
        <v>1467</v>
      </c>
      <c r="H3425" s="403" t="s">
        <v>1282</v>
      </c>
      <c r="I3425" s="403">
        <v>1</v>
      </c>
      <c r="J3425" s="403" t="s">
        <v>110</v>
      </c>
      <c r="K3425" s="403">
        <v>1080</v>
      </c>
      <c r="L3425" s="403">
        <v>1920</v>
      </c>
      <c r="M3425" s="403" t="s">
        <v>1285</v>
      </c>
      <c r="N3425" s="403">
        <v>1024</v>
      </c>
      <c r="O3425" s="403">
        <v>1280</v>
      </c>
      <c r="P3425" t="str">
        <f t="shared" si="425"/>
        <v>25fps 1080p - 1280x1024 5:4 (cropped)</v>
      </c>
      <c r="Q3425">
        <f t="shared" si="426"/>
        <v>19</v>
      </c>
      <c r="R3425" t="str">
        <f t="shared" si="427"/>
        <v/>
      </c>
      <c r="S3425" t="str">
        <f t="shared" si="428"/>
        <v/>
      </c>
      <c r="T3425" s="403" t="str">
        <f t="shared" si="429"/>
        <v>NDE-8502-R</v>
      </c>
      <c r="U3425" s="403">
        <f t="shared" si="430"/>
        <v>1</v>
      </c>
      <c r="V3425" s="403" t="str">
        <f t="shared" si="431"/>
        <v>CPP_7_3</v>
      </c>
    </row>
    <row r="3426" spans="1:22">
      <c r="A3426" t="str">
        <f t="shared" si="424"/>
        <v>NDE-8502-R</v>
      </c>
      <c r="B3426" s="403" t="s">
        <v>1410</v>
      </c>
      <c r="C3426" s="403" t="s">
        <v>582</v>
      </c>
      <c r="D3426" s="403" t="s">
        <v>1411</v>
      </c>
      <c r="E3426" s="403" t="s">
        <v>1412</v>
      </c>
      <c r="F3426" s="403" t="s">
        <v>1293</v>
      </c>
      <c r="G3426" s="403" t="s">
        <v>1467</v>
      </c>
      <c r="H3426" s="403" t="s">
        <v>1282</v>
      </c>
      <c r="I3426" s="403">
        <v>1</v>
      </c>
      <c r="J3426" s="403" t="s">
        <v>110</v>
      </c>
      <c r="K3426" s="403">
        <v>1080</v>
      </c>
      <c r="L3426" s="403">
        <v>1920</v>
      </c>
      <c r="M3426" s="403" t="s">
        <v>1279</v>
      </c>
      <c r="N3426" s="403">
        <v>432</v>
      </c>
      <c r="O3426" s="403">
        <v>768</v>
      </c>
      <c r="P3426" t="str">
        <f t="shared" si="425"/>
        <v>25fps 1080p - SD ROI PTZ</v>
      </c>
      <c r="Q3426">
        <f t="shared" si="426"/>
        <v>19</v>
      </c>
      <c r="R3426" t="str">
        <f t="shared" si="427"/>
        <v/>
      </c>
      <c r="S3426" t="str">
        <f t="shared" si="428"/>
        <v/>
      </c>
      <c r="T3426" s="403" t="str">
        <f t="shared" si="429"/>
        <v>NDE-8502-R</v>
      </c>
      <c r="U3426" s="403">
        <f t="shared" si="430"/>
        <v>1</v>
      </c>
      <c r="V3426" s="403" t="str">
        <f t="shared" si="431"/>
        <v>CPP_7_3</v>
      </c>
    </row>
    <row r="3427" spans="1:22">
      <c r="A3427" t="str">
        <f t="shared" si="424"/>
        <v>NDE-8502-R</v>
      </c>
      <c r="B3427" s="403" t="s">
        <v>1410</v>
      </c>
      <c r="C3427" s="403" t="s">
        <v>582</v>
      </c>
      <c r="D3427" s="403" t="s">
        <v>1411</v>
      </c>
      <c r="E3427" s="403" t="s">
        <v>1412</v>
      </c>
      <c r="F3427" s="403" t="s">
        <v>1293</v>
      </c>
      <c r="G3427" s="403" t="s">
        <v>1467</v>
      </c>
      <c r="H3427" s="403" t="s">
        <v>1282</v>
      </c>
      <c r="I3427" s="403">
        <v>1</v>
      </c>
      <c r="J3427" s="403" t="s">
        <v>110</v>
      </c>
      <c r="K3427" s="403">
        <v>1080</v>
      </c>
      <c r="L3427" s="403">
        <v>1920</v>
      </c>
      <c r="M3427" s="403" t="s">
        <v>1283</v>
      </c>
      <c r="N3427" s="403">
        <v>576</v>
      </c>
      <c r="O3427" s="403">
        <v>720</v>
      </c>
      <c r="P3427" t="str">
        <f t="shared" si="425"/>
        <v>25fps 1080p - SD 4CIF resolution 4:3 format (cropped)</v>
      </c>
      <c r="Q3427">
        <f t="shared" si="426"/>
        <v>19</v>
      </c>
      <c r="R3427" t="str">
        <f t="shared" si="427"/>
        <v/>
      </c>
      <c r="S3427" t="str">
        <f t="shared" si="428"/>
        <v/>
      </c>
      <c r="T3427" s="403" t="str">
        <f t="shared" si="429"/>
        <v>NDE-8502-R</v>
      </c>
      <c r="U3427" s="403">
        <f t="shared" si="430"/>
        <v>1</v>
      </c>
      <c r="V3427" s="403" t="str">
        <f t="shared" si="431"/>
        <v>CPP_7_3</v>
      </c>
    </row>
    <row r="3428" spans="1:22">
      <c r="A3428" t="str">
        <f t="shared" si="424"/>
        <v>NDE-8502-R</v>
      </c>
      <c r="B3428" s="403" t="s">
        <v>1410</v>
      </c>
      <c r="C3428" s="403" t="s">
        <v>582</v>
      </c>
      <c r="D3428" s="403" t="s">
        <v>1411</v>
      </c>
      <c r="E3428" s="403" t="s">
        <v>1412</v>
      </c>
      <c r="F3428" s="403" t="s">
        <v>1293</v>
      </c>
      <c r="G3428" s="403" t="s">
        <v>1467</v>
      </c>
      <c r="H3428" s="403" t="s">
        <v>1282</v>
      </c>
      <c r="I3428" s="403">
        <v>1</v>
      </c>
      <c r="J3428" s="403" t="s">
        <v>110</v>
      </c>
      <c r="K3428" s="403">
        <v>1080</v>
      </c>
      <c r="L3428" s="403">
        <v>1920</v>
      </c>
      <c r="M3428" s="403" t="s">
        <v>1284</v>
      </c>
      <c r="N3428" s="403">
        <v>480</v>
      </c>
      <c r="O3428" s="403">
        <v>640</v>
      </c>
      <c r="P3428" t="str">
        <f t="shared" si="425"/>
        <v>25fps 1080p - SD VGA (cropped)</v>
      </c>
      <c r="Q3428">
        <f t="shared" si="426"/>
        <v>19</v>
      </c>
      <c r="R3428" t="str">
        <f t="shared" si="427"/>
        <v/>
      </c>
      <c r="S3428" t="str">
        <f t="shared" si="428"/>
        <v/>
      </c>
      <c r="T3428" s="403" t="str">
        <f t="shared" si="429"/>
        <v>NDE-8502-R</v>
      </c>
      <c r="U3428" s="403">
        <f t="shared" si="430"/>
        <v>1</v>
      </c>
      <c r="V3428" s="403" t="str">
        <f t="shared" si="431"/>
        <v>CPP_7_3</v>
      </c>
    </row>
    <row r="3429" spans="1:22">
      <c r="A3429" t="str">
        <f t="shared" si="424"/>
        <v>NDE-8502-R</v>
      </c>
      <c r="B3429" s="403" t="s">
        <v>1410</v>
      </c>
      <c r="C3429" s="403" t="s">
        <v>582</v>
      </c>
      <c r="D3429" s="403" t="s">
        <v>1411</v>
      </c>
      <c r="E3429" s="403" t="s">
        <v>1412</v>
      </c>
      <c r="F3429" s="403" t="s">
        <v>1293</v>
      </c>
      <c r="G3429" s="403" t="s">
        <v>1467</v>
      </c>
      <c r="H3429" s="403" t="s">
        <v>1282</v>
      </c>
      <c r="I3429" s="403">
        <v>1</v>
      </c>
      <c r="J3429" s="403" t="s">
        <v>109</v>
      </c>
      <c r="K3429" s="403">
        <v>720</v>
      </c>
      <c r="L3429" s="403">
        <v>1280</v>
      </c>
      <c r="M3429" s="403" t="s">
        <v>109</v>
      </c>
      <c r="N3429" s="403">
        <v>720</v>
      </c>
      <c r="O3429" s="403">
        <v>1280</v>
      </c>
      <c r="P3429" t="str">
        <f t="shared" si="425"/>
        <v>25fps 720p - 720p</v>
      </c>
      <c r="Q3429">
        <f t="shared" si="426"/>
        <v>19</v>
      </c>
      <c r="R3429" t="str">
        <f t="shared" si="427"/>
        <v/>
      </c>
      <c r="S3429" t="str">
        <f t="shared" si="428"/>
        <v/>
      </c>
      <c r="T3429" s="403" t="str">
        <f t="shared" si="429"/>
        <v>NDE-8502-R</v>
      </c>
      <c r="U3429" s="403">
        <f t="shared" si="430"/>
        <v>1</v>
      </c>
      <c r="V3429" s="403" t="str">
        <f t="shared" si="431"/>
        <v>CPP_7_3</v>
      </c>
    </row>
    <row r="3430" spans="1:22">
      <c r="A3430" t="str">
        <f t="shared" si="424"/>
        <v>NDE-8502-R</v>
      </c>
      <c r="B3430" s="403" t="s">
        <v>1410</v>
      </c>
      <c r="C3430" s="403" t="s">
        <v>582</v>
      </c>
      <c r="D3430" s="403" t="s">
        <v>1411</v>
      </c>
      <c r="E3430" s="403" t="s">
        <v>1412</v>
      </c>
      <c r="F3430" s="403" t="s">
        <v>1293</v>
      </c>
      <c r="G3430" s="403" t="s">
        <v>1467</v>
      </c>
      <c r="H3430" s="403" t="s">
        <v>1282</v>
      </c>
      <c r="I3430" s="403">
        <v>1</v>
      </c>
      <c r="J3430" s="403" t="s">
        <v>109</v>
      </c>
      <c r="K3430" s="403">
        <v>720</v>
      </c>
      <c r="L3430" s="403">
        <v>1280</v>
      </c>
      <c r="M3430" s="403" t="s">
        <v>111</v>
      </c>
      <c r="N3430" s="403">
        <v>432</v>
      </c>
      <c r="O3430" s="403">
        <v>768</v>
      </c>
      <c r="P3430" t="str">
        <f t="shared" si="425"/>
        <v>25fps 720p - SD</v>
      </c>
      <c r="Q3430">
        <f t="shared" si="426"/>
        <v>19</v>
      </c>
      <c r="R3430" t="str">
        <f t="shared" si="427"/>
        <v/>
      </c>
      <c r="S3430" t="str">
        <f t="shared" si="428"/>
        <v/>
      </c>
      <c r="T3430" s="403" t="str">
        <f t="shared" si="429"/>
        <v>NDE-8502-R</v>
      </c>
      <c r="U3430" s="403">
        <f t="shared" si="430"/>
        <v>1</v>
      </c>
      <c r="V3430" s="403" t="str">
        <f t="shared" si="431"/>
        <v>CPP_7_3</v>
      </c>
    </row>
    <row r="3431" spans="1:22">
      <c r="A3431" t="str">
        <f t="shared" si="424"/>
        <v>NDE-8502-R</v>
      </c>
      <c r="B3431" s="403" t="s">
        <v>1410</v>
      </c>
      <c r="C3431" s="403" t="s">
        <v>582</v>
      </c>
      <c r="D3431" s="403" t="s">
        <v>1411</v>
      </c>
      <c r="E3431" s="403" t="s">
        <v>1412</v>
      </c>
      <c r="F3431" s="403" t="s">
        <v>1293</v>
      </c>
      <c r="G3431" s="403" t="s">
        <v>1467</v>
      </c>
      <c r="H3431" s="403" t="s">
        <v>1282</v>
      </c>
      <c r="I3431" s="403">
        <v>1</v>
      </c>
      <c r="J3431" s="403" t="s">
        <v>109</v>
      </c>
      <c r="K3431" s="403">
        <v>720</v>
      </c>
      <c r="L3431" s="403">
        <v>1280</v>
      </c>
      <c r="M3431" s="403" t="s">
        <v>1279</v>
      </c>
      <c r="N3431" s="403">
        <v>432</v>
      </c>
      <c r="O3431" s="403">
        <v>768</v>
      </c>
      <c r="P3431" t="str">
        <f t="shared" si="425"/>
        <v>25fps 720p - SD ROI PTZ</v>
      </c>
      <c r="Q3431">
        <f t="shared" si="426"/>
        <v>19</v>
      </c>
      <c r="R3431" t="str">
        <f t="shared" si="427"/>
        <v/>
      </c>
      <c r="S3431" t="str">
        <f t="shared" si="428"/>
        <v/>
      </c>
      <c r="T3431" s="403" t="str">
        <f t="shared" si="429"/>
        <v>NDE-8502-R</v>
      </c>
      <c r="U3431" s="403">
        <f t="shared" si="430"/>
        <v>1</v>
      </c>
      <c r="V3431" s="403" t="str">
        <f t="shared" si="431"/>
        <v>CPP_7_3</v>
      </c>
    </row>
    <row r="3432" spans="1:22">
      <c r="A3432" t="str">
        <f t="shared" si="424"/>
        <v>NDE-8502-R</v>
      </c>
      <c r="B3432" s="403" t="s">
        <v>1410</v>
      </c>
      <c r="C3432" s="403" t="s">
        <v>582</v>
      </c>
      <c r="D3432" s="403" t="s">
        <v>1411</v>
      </c>
      <c r="E3432" s="403" t="s">
        <v>1412</v>
      </c>
      <c r="F3432" s="403" t="s">
        <v>1293</v>
      </c>
      <c r="G3432" s="403" t="s">
        <v>1467</v>
      </c>
      <c r="H3432" s="403" t="s">
        <v>1282</v>
      </c>
      <c r="I3432" s="403">
        <v>1</v>
      </c>
      <c r="J3432" s="403" t="s">
        <v>109</v>
      </c>
      <c r="K3432" s="403">
        <v>720</v>
      </c>
      <c r="L3432" s="403">
        <v>1280</v>
      </c>
      <c r="M3432" s="403" t="s">
        <v>1283</v>
      </c>
      <c r="N3432" s="403">
        <v>576</v>
      </c>
      <c r="O3432" s="403">
        <v>720</v>
      </c>
      <c r="P3432" t="str">
        <f t="shared" si="425"/>
        <v>25fps 720p - SD 4CIF resolution 4:3 format (cropped)</v>
      </c>
      <c r="Q3432">
        <f t="shared" si="426"/>
        <v>19</v>
      </c>
      <c r="R3432" t="str">
        <f t="shared" si="427"/>
        <v/>
      </c>
      <c r="S3432" t="str">
        <f t="shared" si="428"/>
        <v/>
      </c>
      <c r="T3432" s="403" t="str">
        <f t="shared" si="429"/>
        <v>NDE-8502-R</v>
      </c>
      <c r="U3432" s="403">
        <f t="shared" si="430"/>
        <v>1</v>
      </c>
      <c r="V3432" s="403" t="str">
        <f t="shared" si="431"/>
        <v>CPP_7_3</v>
      </c>
    </row>
    <row r="3433" spans="1:22">
      <c r="A3433" t="str">
        <f t="shared" si="424"/>
        <v>NDE-8502-R</v>
      </c>
      <c r="B3433" s="403" t="s">
        <v>1410</v>
      </c>
      <c r="C3433" s="403" t="s">
        <v>582</v>
      </c>
      <c r="D3433" s="403" t="s">
        <v>1411</v>
      </c>
      <c r="E3433" s="403" t="s">
        <v>1412</v>
      </c>
      <c r="F3433" s="403" t="s">
        <v>1293</v>
      </c>
      <c r="G3433" s="403" t="s">
        <v>1467</v>
      </c>
      <c r="H3433" s="403" t="s">
        <v>1282</v>
      </c>
      <c r="I3433" s="403">
        <v>1</v>
      </c>
      <c r="J3433" s="403" t="s">
        <v>109</v>
      </c>
      <c r="K3433" s="403">
        <v>720</v>
      </c>
      <c r="L3433" s="403">
        <v>1280</v>
      </c>
      <c r="M3433" s="403" t="s">
        <v>1284</v>
      </c>
      <c r="N3433" s="403">
        <v>480</v>
      </c>
      <c r="O3433" s="403">
        <v>640</v>
      </c>
      <c r="P3433" t="str">
        <f t="shared" si="425"/>
        <v>25fps 720p - SD VGA (cropped)</v>
      </c>
      <c r="Q3433">
        <f t="shared" si="426"/>
        <v>19</v>
      </c>
      <c r="R3433" t="str">
        <f t="shared" si="427"/>
        <v/>
      </c>
      <c r="S3433" t="str">
        <f t="shared" si="428"/>
        <v/>
      </c>
      <c r="T3433" s="403" t="str">
        <f t="shared" si="429"/>
        <v>NDE-8502-R</v>
      </c>
      <c r="U3433" s="403">
        <f t="shared" si="430"/>
        <v>1</v>
      </c>
      <c r="V3433" s="403" t="str">
        <f t="shared" si="431"/>
        <v>CPP_7_3</v>
      </c>
    </row>
    <row r="3434" spans="1:22">
      <c r="A3434" t="str">
        <f t="shared" si="424"/>
        <v>NDE-8502-R</v>
      </c>
      <c r="B3434" s="403" t="s">
        <v>1410</v>
      </c>
      <c r="C3434" s="403" t="s">
        <v>582</v>
      </c>
      <c r="D3434" s="403" t="s">
        <v>1411</v>
      </c>
      <c r="E3434" s="403" t="s">
        <v>1413</v>
      </c>
      <c r="F3434" s="403" t="s">
        <v>1288</v>
      </c>
      <c r="G3434" s="403" t="s">
        <v>1466</v>
      </c>
      <c r="H3434" s="403" t="s">
        <v>1276</v>
      </c>
      <c r="I3434" s="403">
        <v>1</v>
      </c>
      <c r="J3434" s="403" t="s">
        <v>110</v>
      </c>
      <c r="K3434" s="403">
        <v>1920</v>
      </c>
      <c r="L3434" s="403">
        <v>1080</v>
      </c>
      <c r="M3434" s="403" t="s">
        <v>111</v>
      </c>
      <c r="N3434" s="403">
        <v>768</v>
      </c>
      <c r="O3434" s="403">
        <v>432</v>
      </c>
      <c r="P3434" t="str">
        <f t="shared" si="425"/>
        <v>60fps 1080p - SD</v>
      </c>
      <c r="Q3434">
        <f t="shared" si="426"/>
        <v>19</v>
      </c>
      <c r="R3434" t="str">
        <f t="shared" si="427"/>
        <v/>
      </c>
      <c r="S3434" t="str">
        <f t="shared" si="428"/>
        <v/>
      </c>
      <c r="T3434" s="403" t="str">
        <f t="shared" si="429"/>
        <v>NDE-8502-R</v>
      </c>
      <c r="U3434" s="403">
        <f t="shared" si="430"/>
        <v>1</v>
      </c>
      <c r="V3434" s="403" t="str">
        <f t="shared" si="431"/>
        <v>CPP_7_3</v>
      </c>
    </row>
    <row r="3435" spans="1:22">
      <c r="A3435" t="str">
        <f t="shared" si="424"/>
        <v>NDE-8502-R</v>
      </c>
      <c r="B3435" s="403" t="s">
        <v>1410</v>
      </c>
      <c r="C3435" s="403" t="s">
        <v>582</v>
      </c>
      <c r="D3435" s="403" t="s">
        <v>1411</v>
      </c>
      <c r="E3435" s="403" t="s">
        <v>1413</v>
      </c>
      <c r="F3435" s="403" t="s">
        <v>1288</v>
      </c>
      <c r="G3435" s="403" t="s">
        <v>1466</v>
      </c>
      <c r="H3435" s="403" t="s">
        <v>1276</v>
      </c>
      <c r="I3435" s="403">
        <v>1</v>
      </c>
      <c r="J3435" s="403" t="s">
        <v>110</v>
      </c>
      <c r="K3435" s="403">
        <v>1920</v>
      </c>
      <c r="L3435" s="403">
        <v>1080</v>
      </c>
      <c r="M3435" s="403" t="s">
        <v>110</v>
      </c>
      <c r="N3435" s="403">
        <v>1920</v>
      </c>
      <c r="O3435" s="403">
        <v>1080</v>
      </c>
      <c r="P3435" t="str">
        <f t="shared" si="425"/>
        <v>60fps 1080p - 1080p</v>
      </c>
      <c r="Q3435">
        <f t="shared" si="426"/>
        <v>19</v>
      </c>
      <c r="R3435" t="str">
        <f t="shared" si="427"/>
        <v/>
      </c>
      <c r="S3435" t="str">
        <f t="shared" si="428"/>
        <v/>
      </c>
      <c r="T3435" s="403" t="str">
        <f t="shared" si="429"/>
        <v>NDE-8502-R</v>
      </c>
      <c r="U3435" s="403">
        <f t="shared" si="430"/>
        <v>1</v>
      </c>
      <c r="V3435" s="403" t="str">
        <f t="shared" si="431"/>
        <v>CPP_7_3</v>
      </c>
    </row>
    <row r="3436" spans="1:22">
      <c r="A3436" t="str">
        <f t="shared" si="424"/>
        <v>NDE-8502-R</v>
      </c>
      <c r="B3436" s="403" t="s">
        <v>1410</v>
      </c>
      <c r="C3436" s="403" t="s">
        <v>582</v>
      </c>
      <c r="D3436" s="403" t="s">
        <v>1411</v>
      </c>
      <c r="E3436" s="403" t="s">
        <v>1413</v>
      </c>
      <c r="F3436" s="403" t="s">
        <v>1288</v>
      </c>
      <c r="G3436" s="403" t="s">
        <v>1466</v>
      </c>
      <c r="H3436" s="403" t="s">
        <v>1276</v>
      </c>
      <c r="I3436" s="403">
        <v>1</v>
      </c>
      <c r="J3436" s="403" t="s">
        <v>110</v>
      </c>
      <c r="K3436" s="403">
        <v>1920</v>
      </c>
      <c r="L3436" s="403">
        <v>1080</v>
      </c>
      <c r="M3436" s="403" t="s">
        <v>1289</v>
      </c>
      <c r="N3436" s="403">
        <v>1280</v>
      </c>
      <c r="O3436" s="403">
        <v>720</v>
      </c>
      <c r="P3436" t="str">
        <f t="shared" si="425"/>
        <v>60fps 1080p - 720p full frame rate</v>
      </c>
      <c r="Q3436">
        <f t="shared" si="426"/>
        <v>19</v>
      </c>
      <c r="R3436" t="str">
        <f t="shared" si="427"/>
        <v/>
      </c>
      <c r="S3436" t="str">
        <f t="shared" si="428"/>
        <v/>
      </c>
      <c r="T3436" s="403" t="str">
        <f t="shared" si="429"/>
        <v>NDE-8502-R</v>
      </c>
      <c r="U3436" s="403">
        <f t="shared" si="430"/>
        <v>1</v>
      </c>
      <c r="V3436" s="403" t="str">
        <f t="shared" si="431"/>
        <v>CPP_7_3</v>
      </c>
    </row>
    <row r="3437" spans="1:22">
      <c r="A3437" t="str">
        <f t="shared" si="424"/>
        <v>NDE-8502-R</v>
      </c>
      <c r="B3437" s="403" t="s">
        <v>1410</v>
      </c>
      <c r="C3437" s="403" t="s">
        <v>582</v>
      </c>
      <c r="D3437" s="403" t="s">
        <v>1411</v>
      </c>
      <c r="E3437" s="403" t="s">
        <v>1413</v>
      </c>
      <c r="F3437" s="403" t="s">
        <v>1288</v>
      </c>
      <c r="G3437" s="403" t="s">
        <v>1466</v>
      </c>
      <c r="H3437" s="403" t="s">
        <v>1276</v>
      </c>
      <c r="I3437" s="403">
        <v>1</v>
      </c>
      <c r="J3437" s="403" t="s">
        <v>110</v>
      </c>
      <c r="K3437" s="403">
        <v>1920</v>
      </c>
      <c r="L3437" s="403">
        <v>1080</v>
      </c>
      <c r="M3437" s="403" t="s">
        <v>1285</v>
      </c>
      <c r="N3437" s="403">
        <v>1280</v>
      </c>
      <c r="O3437" s="403">
        <v>1024</v>
      </c>
      <c r="P3437" t="str">
        <f t="shared" si="425"/>
        <v>60fps 1080p - 1280x1024 5:4 (cropped)</v>
      </c>
      <c r="Q3437">
        <f t="shared" si="426"/>
        <v>19</v>
      </c>
      <c r="R3437" t="str">
        <f t="shared" si="427"/>
        <v/>
      </c>
      <c r="S3437" t="str">
        <f t="shared" si="428"/>
        <v/>
      </c>
      <c r="T3437" s="403" t="str">
        <f t="shared" si="429"/>
        <v>NDE-8502-R</v>
      </c>
      <c r="U3437" s="403">
        <f t="shared" si="430"/>
        <v>1</v>
      </c>
      <c r="V3437" s="403" t="str">
        <f t="shared" si="431"/>
        <v>CPP_7_3</v>
      </c>
    </row>
    <row r="3438" spans="1:22">
      <c r="A3438" t="str">
        <f t="shared" si="424"/>
        <v>NDE-8502-R</v>
      </c>
      <c r="B3438" s="403" t="s">
        <v>1410</v>
      </c>
      <c r="C3438" s="403" t="s">
        <v>582</v>
      </c>
      <c r="D3438" s="403" t="s">
        <v>1411</v>
      </c>
      <c r="E3438" s="403" t="s">
        <v>1413</v>
      </c>
      <c r="F3438" s="403" t="s">
        <v>1288</v>
      </c>
      <c r="G3438" s="403" t="s">
        <v>1466</v>
      </c>
      <c r="H3438" s="403" t="s">
        <v>1276</v>
      </c>
      <c r="I3438" s="403">
        <v>1</v>
      </c>
      <c r="J3438" s="403" t="s">
        <v>110</v>
      </c>
      <c r="K3438" s="403">
        <v>1920</v>
      </c>
      <c r="L3438" s="403">
        <v>1080</v>
      </c>
      <c r="M3438" s="403" t="s">
        <v>1279</v>
      </c>
      <c r="N3438" s="403">
        <v>768</v>
      </c>
      <c r="O3438" s="403">
        <v>432</v>
      </c>
      <c r="P3438" t="str">
        <f t="shared" si="425"/>
        <v>60fps 1080p - SD ROI PTZ</v>
      </c>
      <c r="Q3438">
        <f t="shared" si="426"/>
        <v>19</v>
      </c>
      <c r="R3438" t="str">
        <f t="shared" si="427"/>
        <v/>
      </c>
      <c r="S3438" t="str">
        <f t="shared" si="428"/>
        <v/>
      </c>
      <c r="T3438" s="403" t="str">
        <f t="shared" si="429"/>
        <v>NDE-8502-R</v>
      </c>
      <c r="U3438" s="403">
        <f t="shared" si="430"/>
        <v>1</v>
      </c>
      <c r="V3438" s="403" t="str">
        <f t="shared" si="431"/>
        <v>CPP_7_3</v>
      </c>
    </row>
    <row r="3439" spans="1:22">
      <c r="A3439" t="str">
        <f t="shared" si="424"/>
        <v>NDE-8502-R</v>
      </c>
      <c r="B3439" s="403" t="s">
        <v>1410</v>
      </c>
      <c r="C3439" s="403" t="s">
        <v>582</v>
      </c>
      <c r="D3439" s="403" t="s">
        <v>1411</v>
      </c>
      <c r="E3439" s="403" t="s">
        <v>1413</v>
      </c>
      <c r="F3439" s="403" t="s">
        <v>1288</v>
      </c>
      <c r="G3439" s="403" t="s">
        <v>1466</v>
      </c>
      <c r="H3439" s="403" t="s">
        <v>1276</v>
      </c>
      <c r="I3439" s="403">
        <v>1</v>
      </c>
      <c r="J3439" s="403" t="s">
        <v>110</v>
      </c>
      <c r="K3439" s="403">
        <v>1920</v>
      </c>
      <c r="L3439" s="403">
        <v>1080</v>
      </c>
      <c r="M3439" s="403" t="s">
        <v>1283</v>
      </c>
      <c r="N3439" s="403">
        <v>720</v>
      </c>
      <c r="O3439" s="403">
        <v>480</v>
      </c>
      <c r="P3439" t="str">
        <f t="shared" si="425"/>
        <v>60fps 1080p - SD 4CIF resolution 4:3 format (cropped)</v>
      </c>
      <c r="Q3439">
        <f t="shared" si="426"/>
        <v>19</v>
      </c>
      <c r="R3439" t="str">
        <f t="shared" si="427"/>
        <v/>
      </c>
      <c r="S3439" t="str">
        <f t="shared" si="428"/>
        <v/>
      </c>
      <c r="T3439" s="403" t="str">
        <f t="shared" si="429"/>
        <v>NDE-8502-R</v>
      </c>
      <c r="U3439" s="403">
        <f t="shared" si="430"/>
        <v>1</v>
      </c>
      <c r="V3439" s="403" t="str">
        <f t="shared" si="431"/>
        <v>CPP_7_3</v>
      </c>
    </row>
    <row r="3440" spans="1:22">
      <c r="A3440" t="str">
        <f t="shared" si="424"/>
        <v>NDE-8502-R</v>
      </c>
      <c r="B3440" s="403" t="s">
        <v>1410</v>
      </c>
      <c r="C3440" s="403" t="s">
        <v>582</v>
      </c>
      <c r="D3440" s="403" t="s">
        <v>1411</v>
      </c>
      <c r="E3440" s="403" t="s">
        <v>1413</v>
      </c>
      <c r="F3440" s="403" t="s">
        <v>1288</v>
      </c>
      <c r="G3440" s="403" t="s">
        <v>1466</v>
      </c>
      <c r="H3440" s="403" t="s">
        <v>1276</v>
      </c>
      <c r="I3440" s="403">
        <v>1</v>
      </c>
      <c r="J3440" s="403" t="s">
        <v>110</v>
      </c>
      <c r="K3440" s="403">
        <v>1920</v>
      </c>
      <c r="L3440" s="403">
        <v>1080</v>
      </c>
      <c r="M3440" s="403" t="s">
        <v>1284</v>
      </c>
      <c r="N3440" s="403">
        <v>640</v>
      </c>
      <c r="O3440" s="403">
        <v>480</v>
      </c>
      <c r="P3440" t="str">
        <f t="shared" si="425"/>
        <v>60fps 1080p - SD VGA (cropped)</v>
      </c>
      <c r="Q3440">
        <f t="shared" si="426"/>
        <v>19</v>
      </c>
      <c r="R3440" t="str">
        <f t="shared" si="427"/>
        <v/>
      </c>
      <c r="S3440" t="str">
        <f t="shared" si="428"/>
        <v/>
      </c>
      <c r="T3440" s="403" t="str">
        <f t="shared" si="429"/>
        <v>NDE-8502-R</v>
      </c>
      <c r="U3440" s="403">
        <f t="shared" si="430"/>
        <v>1</v>
      </c>
      <c r="V3440" s="403" t="str">
        <f t="shared" si="431"/>
        <v>CPP_7_3</v>
      </c>
    </row>
    <row r="3441" spans="1:22">
      <c r="A3441" t="str">
        <f t="shared" si="424"/>
        <v>NDE-8502-R</v>
      </c>
      <c r="B3441" s="403" t="s">
        <v>1410</v>
      </c>
      <c r="C3441" s="403" t="s">
        <v>582</v>
      </c>
      <c r="D3441" s="403" t="s">
        <v>1411</v>
      </c>
      <c r="E3441" s="403" t="s">
        <v>1413</v>
      </c>
      <c r="F3441" s="403" t="s">
        <v>1288</v>
      </c>
      <c r="G3441" s="403" t="s">
        <v>1466</v>
      </c>
      <c r="H3441" s="403" t="s">
        <v>1276</v>
      </c>
      <c r="I3441" s="403">
        <v>1</v>
      </c>
      <c r="J3441" s="403" t="s">
        <v>1289</v>
      </c>
      <c r="K3441" s="403">
        <v>1280</v>
      </c>
      <c r="L3441" s="403">
        <v>720</v>
      </c>
      <c r="M3441" s="403" t="s">
        <v>1289</v>
      </c>
      <c r="N3441" s="403">
        <v>1280</v>
      </c>
      <c r="O3441" s="403">
        <v>720</v>
      </c>
      <c r="P3441" t="str">
        <f t="shared" si="425"/>
        <v>60fps 720p full frame rate - 720p full frame rate</v>
      </c>
      <c r="Q3441">
        <f t="shared" si="426"/>
        <v>19</v>
      </c>
      <c r="R3441" t="str">
        <f t="shared" si="427"/>
        <v/>
      </c>
      <c r="S3441" t="str">
        <f t="shared" si="428"/>
        <v/>
      </c>
      <c r="T3441" s="403" t="str">
        <f t="shared" si="429"/>
        <v>NDE-8502-R</v>
      </c>
      <c r="U3441" s="403">
        <f t="shared" si="430"/>
        <v>1</v>
      </c>
      <c r="V3441" s="403" t="str">
        <f t="shared" si="431"/>
        <v>CPP_7_3</v>
      </c>
    </row>
    <row r="3442" spans="1:22">
      <c r="A3442" t="str">
        <f t="shared" si="424"/>
        <v>NDE-8502-R</v>
      </c>
      <c r="B3442" s="403" t="s">
        <v>1410</v>
      </c>
      <c r="C3442" s="403" t="s">
        <v>582</v>
      </c>
      <c r="D3442" s="403" t="s">
        <v>1411</v>
      </c>
      <c r="E3442" s="403" t="s">
        <v>1413</v>
      </c>
      <c r="F3442" s="403" t="s">
        <v>1288</v>
      </c>
      <c r="G3442" s="403" t="s">
        <v>1466</v>
      </c>
      <c r="H3442" s="403" t="s">
        <v>1276</v>
      </c>
      <c r="I3442" s="403">
        <v>1</v>
      </c>
      <c r="J3442" s="403" t="s">
        <v>1289</v>
      </c>
      <c r="K3442" s="403">
        <v>1280</v>
      </c>
      <c r="L3442" s="403">
        <v>720</v>
      </c>
      <c r="M3442" s="403" t="s">
        <v>111</v>
      </c>
      <c r="N3442" s="403">
        <v>768</v>
      </c>
      <c r="O3442" s="403">
        <v>432</v>
      </c>
      <c r="P3442" t="str">
        <f t="shared" si="425"/>
        <v>60fps 720p full frame rate - SD</v>
      </c>
      <c r="Q3442">
        <f t="shared" si="426"/>
        <v>19</v>
      </c>
      <c r="R3442" t="str">
        <f t="shared" si="427"/>
        <v/>
      </c>
      <c r="S3442" t="str">
        <f t="shared" si="428"/>
        <v/>
      </c>
      <c r="T3442" s="403" t="str">
        <f t="shared" si="429"/>
        <v>NDE-8502-R</v>
      </c>
      <c r="U3442" s="403">
        <f t="shared" si="430"/>
        <v>1</v>
      </c>
      <c r="V3442" s="403" t="str">
        <f t="shared" si="431"/>
        <v>CPP_7_3</v>
      </c>
    </row>
    <row r="3443" spans="1:22">
      <c r="A3443" t="str">
        <f t="shared" si="424"/>
        <v>NDE-8502-R</v>
      </c>
      <c r="B3443" s="403" t="s">
        <v>1410</v>
      </c>
      <c r="C3443" s="403" t="s">
        <v>582</v>
      </c>
      <c r="D3443" s="403" t="s">
        <v>1411</v>
      </c>
      <c r="E3443" s="403" t="s">
        <v>1413</v>
      </c>
      <c r="F3443" s="403" t="s">
        <v>1288</v>
      </c>
      <c r="G3443" s="403" t="s">
        <v>1466</v>
      </c>
      <c r="H3443" s="403" t="s">
        <v>1276</v>
      </c>
      <c r="I3443" s="403">
        <v>1</v>
      </c>
      <c r="J3443" s="403" t="s">
        <v>1289</v>
      </c>
      <c r="K3443" s="403">
        <v>1280</v>
      </c>
      <c r="L3443" s="403">
        <v>720</v>
      </c>
      <c r="M3443" s="403" t="s">
        <v>1279</v>
      </c>
      <c r="N3443" s="403">
        <v>768</v>
      </c>
      <c r="O3443" s="403">
        <v>432</v>
      </c>
      <c r="P3443" t="str">
        <f t="shared" si="425"/>
        <v>60fps 720p full frame rate - SD ROI PTZ</v>
      </c>
      <c r="Q3443">
        <f t="shared" si="426"/>
        <v>19</v>
      </c>
      <c r="R3443" t="str">
        <f t="shared" si="427"/>
        <v/>
      </c>
      <c r="S3443" t="str">
        <f t="shared" si="428"/>
        <v/>
      </c>
      <c r="T3443" s="403" t="str">
        <f t="shared" si="429"/>
        <v>NDE-8502-R</v>
      </c>
      <c r="U3443" s="403">
        <f t="shared" si="430"/>
        <v>1</v>
      </c>
      <c r="V3443" s="403" t="str">
        <f t="shared" si="431"/>
        <v>CPP_7_3</v>
      </c>
    </row>
    <row r="3444" spans="1:22">
      <c r="A3444" t="str">
        <f t="shared" si="424"/>
        <v>NDE-8502-R</v>
      </c>
      <c r="B3444" s="403" t="s">
        <v>1410</v>
      </c>
      <c r="C3444" s="403" t="s">
        <v>582</v>
      </c>
      <c r="D3444" s="403" t="s">
        <v>1411</v>
      </c>
      <c r="E3444" s="403" t="s">
        <v>1413</v>
      </c>
      <c r="F3444" s="403" t="s">
        <v>1288</v>
      </c>
      <c r="G3444" s="403" t="s">
        <v>1466</v>
      </c>
      <c r="H3444" s="403" t="s">
        <v>1276</v>
      </c>
      <c r="I3444" s="403">
        <v>1</v>
      </c>
      <c r="J3444" s="403" t="s">
        <v>1289</v>
      </c>
      <c r="K3444" s="403">
        <v>1280</v>
      </c>
      <c r="L3444" s="403">
        <v>720</v>
      </c>
      <c r="M3444" s="403" t="s">
        <v>1283</v>
      </c>
      <c r="N3444" s="403">
        <v>720</v>
      </c>
      <c r="O3444" s="403">
        <v>480</v>
      </c>
      <c r="P3444" t="str">
        <f t="shared" si="425"/>
        <v>60fps 720p full frame rate - SD 4CIF resolution 4:3 format (cropped)</v>
      </c>
      <c r="Q3444">
        <f t="shared" si="426"/>
        <v>19</v>
      </c>
      <c r="R3444" t="str">
        <f t="shared" si="427"/>
        <v/>
      </c>
      <c r="S3444" t="str">
        <f t="shared" si="428"/>
        <v/>
      </c>
      <c r="T3444" s="403" t="str">
        <f t="shared" si="429"/>
        <v>NDE-8502-R</v>
      </c>
      <c r="U3444" s="403">
        <f t="shared" si="430"/>
        <v>1</v>
      </c>
      <c r="V3444" s="403" t="str">
        <f t="shared" si="431"/>
        <v>CPP_7_3</v>
      </c>
    </row>
    <row r="3445" spans="1:22">
      <c r="A3445" t="str">
        <f t="shared" si="424"/>
        <v>NDE-8502-R</v>
      </c>
      <c r="B3445" s="403" t="s">
        <v>1410</v>
      </c>
      <c r="C3445" s="403" t="s">
        <v>582</v>
      </c>
      <c r="D3445" s="403" t="s">
        <v>1411</v>
      </c>
      <c r="E3445" s="403" t="s">
        <v>1413</v>
      </c>
      <c r="F3445" s="403" t="s">
        <v>1288</v>
      </c>
      <c r="G3445" s="403" t="s">
        <v>1466</v>
      </c>
      <c r="H3445" s="403" t="s">
        <v>1276</v>
      </c>
      <c r="I3445" s="403">
        <v>1</v>
      </c>
      <c r="J3445" s="403" t="s">
        <v>1289</v>
      </c>
      <c r="K3445" s="403">
        <v>1280</v>
      </c>
      <c r="L3445" s="403">
        <v>720</v>
      </c>
      <c r="M3445" s="403" t="s">
        <v>1284</v>
      </c>
      <c r="N3445" s="403">
        <v>640</v>
      </c>
      <c r="O3445" s="403">
        <v>480</v>
      </c>
      <c r="P3445" t="str">
        <f t="shared" si="425"/>
        <v>60fps 720p full frame rate - SD VGA (cropped)</v>
      </c>
      <c r="Q3445">
        <f t="shared" si="426"/>
        <v>19</v>
      </c>
      <c r="R3445" t="str">
        <f t="shared" si="427"/>
        <v/>
      </c>
      <c r="S3445" t="str">
        <f t="shared" si="428"/>
        <v/>
      </c>
      <c r="T3445" s="403" t="str">
        <f t="shared" si="429"/>
        <v>NDE-8502-R</v>
      </c>
      <c r="U3445" s="403">
        <f t="shared" si="430"/>
        <v>1</v>
      </c>
      <c r="V3445" s="403" t="str">
        <f t="shared" si="431"/>
        <v>CPP_7_3</v>
      </c>
    </row>
    <row r="3446" spans="1:22">
      <c r="A3446" t="str">
        <f t="shared" si="424"/>
        <v>NDE-8502-R</v>
      </c>
      <c r="B3446" s="403" t="s">
        <v>1410</v>
      </c>
      <c r="C3446" s="403" t="s">
        <v>582</v>
      </c>
      <c r="D3446" s="403" t="s">
        <v>1411</v>
      </c>
      <c r="E3446" s="403" t="s">
        <v>1413</v>
      </c>
      <c r="F3446" s="403" t="s">
        <v>1288</v>
      </c>
      <c r="G3446" s="403" t="s">
        <v>1466</v>
      </c>
      <c r="H3446" s="403" t="s">
        <v>1281</v>
      </c>
      <c r="I3446" s="403">
        <v>1</v>
      </c>
      <c r="J3446" s="403" t="s">
        <v>110</v>
      </c>
      <c r="K3446" s="403">
        <v>1920</v>
      </c>
      <c r="L3446" s="403">
        <v>1080</v>
      </c>
      <c r="M3446" s="403" t="s">
        <v>111</v>
      </c>
      <c r="N3446" s="403">
        <v>768</v>
      </c>
      <c r="O3446" s="403">
        <v>432</v>
      </c>
      <c r="P3446" t="str">
        <f t="shared" si="425"/>
        <v>60fps 1080p - SD</v>
      </c>
      <c r="Q3446">
        <f t="shared" si="426"/>
        <v>19</v>
      </c>
      <c r="R3446" t="str">
        <f t="shared" si="427"/>
        <v/>
      </c>
      <c r="S3446" t="str">
        <f t="shared" si="428"/>
        <v/>
      </c>
      <c r="T3446" s="403" t="str">
        <f t="shared" si="429"/>
        <v>NDE-8502-R</v>
      </c>
      <c r="U3446" s="403">
        <f t="shared" si="430"/>
        <v>1</v>
      </c>
      <c r="V3446" s="403" t="str">
        <f t="shared" si="431"/>
        <v>CPP_7_3</v>
      </c>
    </row>
    <row r="3447" spans="1:22">
      <c r="A3447" t="str">
        <f t="shared" si="424"/>
        <v>NDE-8502-R</v>
      </c>
      <c r="B3447" s="403" t="s">
        <v>1410</v>
      </c>
      <c r="C3447" s="403" t="s">
        <v>582</v>
      </c>
      <c r="D3447" s="403" t="s">
        <v>1411</v>
      </c>
      <c r="E3447" s="403" t="s">
        <v>1413</v>
      </c>
      <c r="F3447" s="403" t="s">
        <v>1288</v>
      </c>
      <c r="G3447" s="403" t="s">
        <v>1466</v>
      </c>
      <c r="H3447" s="403" t="s">
        <v>1281</v>
      </c>
      <c r="I3447" s="403">
        <v>1</v>
      </c>
      <c r="J3447" s="403" t="s">
        <v>110</v>
      </c>
      <c r="K3447" s="403">
        <v>1920</v>
      </c>
      <c r="L3447" s="403">
        <v>1080</v>
      </c>
      <c r="M3447" s="403" t="s">
        <v>1279</v>
      </c>
      <c r="N3447" s="403">
        <v>768</v>
      </c>
      <c r="O3447" s="403">
        <v>432</v>
      </c>
      <c r="P3447" t="str">
        <f t="shared" si="425"/>
        <v>60fps 1080p - SD ROI PTZ</v>
      </c>
      <c r="Q3447">
        <f t="shared" si="426"/>
        <v>19</v>
      </c>
      <c r="R3447" t="str">
        <f t="shared" si="427"/>
        <v/>
      </c>
      <c r="S3447" t="str">
        <f t="shared" si="428"/>
        <v/>
      </c>
      <c r="T3447" s="403" t="str">
        <f t="shared" si="429"/>
        <v>NDE-8502-R</v>
      </c>
      <c r="U3447" s="403">
        <f t="shared" si="430"/>
        <v>1</v>
      </c>
      <c r="V3447" s="403" t="str">
        <f t="shared" si="431"/>
        <v>CPP_7_3</v>
      </c>
    </row>
    <row r="3448" spans="1:22">
      <c r="A3448" t="str">
        <f t="shared" si="424"/>
        <v>NDE-8502-R</v>
      </c>
      <c r="B3448" s="403" t="s">
        <v>1410</v>
      </c>
      <c r="C3448" s="403" t="s">
        <v>582</v>
      </c>
      <c r="D3448" s="403" t="s">
        <v>1411</v>
      </c>
      <c r="E3448" s="403" t="s">
        <v>1413</v>
      </c>
      <c r="F3448" s="403" t="s">
        <v>1288</v>
      </c>
      <c r="G3448" s="403" t="s">
        <v>1466</v>
      </c>
      <c r="H3448" s="403" t="s">
        <v>1281</v>
      </c>
      <c r="I3448" s="403">
        <v>1</v>
      </c>
      <c r="J3448" s="403" t="s">
        <v>110</v>
      </c>
      <c r="K3448" s="403">
        <v>1920</v>
      </c>
      <c r="L3448" s="403">
        <v>1080</v>
      </c>
      <c r="M3448" s="403" t="s">
        <v>1283</v>
      </c>
      <c r="N3448" s="403">
        <v>720</v>
      </c>
      <c r="O3448" s="403">
        <v>480</v>
      </c>
      <c r="P3448" t="str">
        <f t="shared" si="425"/>
        <v>60fps 1080p - SD 4CIF resolution 4:3 format (cropped)</v>
      </c>
      <c r="Q3448">
        <f t="shared" si="426"/>
        <v>19</v>
      </c>
      <c r="R3448" t="str">
        <f t="shared" si="427"/>
        <v/>
      </c>
      <c r="S3448" t="str">
        <f t="shared" si="428"/>
        <v/>
      </c>
      <c r="T3448" s="403" t="str">
        <f t="shared" si="429"/>
        <v>NDE-8502-R</v>
      </c>
      <c r="U3448" s="403">
        <f t="shared" si="430"/>
        <v>1</v>
      </c>
      <c r="V3448" s="403" t="str">
        <f t="shared" si="431"/>
        <v>CPP_7_3</v>
      </c>
    </row>
    <row r="3449" spans="1:22">
      <c r="A3449" t="str">
        <f t="shared" si="424"/>
        <v>NDE-8502-R</v>
      </c>
      <c r="B3449" s="403" t="s">
        <v>1410</v>
      </c>
      <c r="C3449" s="403" t="s">
        <v>582</v>
      </c>
      <c r="D3449" s="403" t="s">
        <v>1411</v>
      </c>
      <c r="E3449" s="403" t="s">
        <v>1413</v>
      </c>
      <c r="F3449" s="403" t="s">
        <v>1288</v>
      </c>
      <c r="G3449" s="403" t="s">
        <v>1466</v>
      </c>
      <c r="H3449" s="403" t="s">
        <v>1281</v>
      </c>
      <c r="I3449" s="403">
        <v>1</v>
      </c>
      <c r="J3449" s="403" t="s">
        <v>110</v>
      </c>
      <c r="K3449" s="403">
        <v>1920</v>
      </c>
      <c r="L3449" s="403">
        <v>1080</v>
      </c>
      <c r="M3449" s="403" t="s">
        <v>1284</v>
      </c>
      <c r="N3449" s="403">
        <v>640</v>
      </c>
      <c r="O3449" s="403">
        <v>480</v>
      </c>
      <c r="P3449" t="str">
        <f t="shared" si="425"/>
        <v>60fps 1080p - SD VGA (cropped)</v>
      </c>
      <c r="Q3449">
        <f t="shared" si="426"/>
        <v>19</v>
      </c>
      <c r="R3449" t="str">
        <f t="shared" si="427"/>
        <v/>
      </c>
      <c r="S3449" t="str">
        <f t="shared" si="428"/>
        <v/>
      </c>
      <c r="T3449" s="403" t="str">
        <f t="shared" si="429"/>
        <v>NDE-8502-R</v>
      </c>
      <c r="U3449" s="403">
        <f t="shared" si="430"/>
        <v>1</v>
      </c>
      <c r="V3449" s="403" t="str">
        <f t="shared" si="431"/>
        <v>CPP_7_3</v>
      </c>
    </row>
    <row r="3450" spans="1:22">
      <c r="A3450" t="str">
        <f t="shared" si="424"/>
        <v>NDE-8502-R</v>
      </c>
      <c r="B3450" s="403" t="s">
        <v>1410</v>
      </c>
      <c r="C3450" s="403" t="s">
        <v>582</v>
      </c>
      <c r="D3450" s="403" t="s">
        <v>1411</v>
      </c>
      <c r="E3450" s="403" t="s">
        <v>1413</v>
      </c>
      <c r="F3450" s="403" t="s">
        <v>1288</v>
      </c>
      <c r="G3450" s="403" t="s">
        <v>1466</v>
      </c>
      <c r="H3450" s="403" t="s">
        <v>1281</v>
      </c>
      <c r="I3450" s="403">
        <v>1</v>
      </c>
      <c r="J3450" s="403" t="s">
        <v>1289</v>
      </c>
      <c r="K3450" s="403">
        <v>1280</v>
      </c>
      <c r="L3450" s="403">
        <v>720</v>
      </c>
      <c r="M3450" s="403" t="s">
        <v>1289</v>
      </c>
      <c r="N3450" s="403">
        <v>1280</v>
      </c>
      <c r="O3450" s="403">
        <v>720</v>
      </c>
      <c r="P3450" t="str">
        <f t="shared" si="425"/>
        <v>60fps 720p full frame rate - 720p full frame rate</v>
      </c>
      <c r="Q3450">
        <f t="shared" si="426"/>
        <v>19</v>
      </c>
      <c r="R3450" t="str">
        <f t="shared" si="427"/>
        <v/>
      </c>
      <c r="S3450" t="str">
        <f t="shared" si="428"/>
        <v/>
      </c>
      <c r="T3450" s="403" t="str">
        <f t="shared" si="429"/>
        <v>NDE-8502-R</v>
      </c>
      <c r="U3450" s="403">
        <f t="shared" si="430"/>
        <v>1</v>
      </c>
      <c r="V3450" s="403" t="str">
        <f t="shared" si="431"/>
        <v>CPP_7_3</v>
      </c>
    </row>
    <row r="3451" spans="1:22">
      <c r="A3451" t="str">
        <f t="shared" si="424"/>
        <v>NDE-8502-R</v>
      </c>
      <c r="B3451" s="403" t="s">
        <v>1410</v>
      </c>
      <c r="C3451" s="403" t="s">
        <v>582</v>
      </c>
      <c r="D3451" s="403" t="s">
        <v>1411</v>
      </c>
      <c r="E3451" s="403" t="s">
        <v>1413</v>
      </c>
      <c r="F3451" s="403" t="s">
        <v>1288</v>
      </c>
      <c r="G3451" s="403" t="s">
        <v>1466</v>
      </c>
      <c r="H3451" s="403" t="s">
        <v>1281</v>
      </c>
      <c r="I3451" s="403">
        <v>1</v>
      </c>
      <c r="J3451" s="403" t="s">
        <v>1289</v>
      </c>
      <c r="K3451" s="403">
        <v>1280</v>
      </c>
      <c r="L3451" s="403">
        <v>720</v>
      </c>
      <c r="M3451" s="403" t="s">
        <v>111</v>
      </c>
      <c r="N3451" s="403">
        <v>768</v>
      </c>
      <c r="O3451" s="403">
        <v>432</v>
      </c>
      <c r="P3451" t="str">
        <f t="shared" si="425"/>
        <v>60fps 720p full frame rate - SD</v>
      </c>
      <c r="Q3451">
        <f t="shared" si="426"/>
        <v>19</v>
      </c>
      <c r="R3451" t="str">
        <f t="shared" si="427"/>
        <v/>
      </c>
      <c r="S3451" t="str">
        <f t="shared" si="428"/>
        <v/>
      </c>
      <c r="T3451" s="403" t="str">
        <f t="shared" si="429"/>
        <v>NDE-8502-R</v>
      </c>
      <c r="U3451" s="403">
        <f t="shared" si="430"/>
        <v>1</v>
      </c>
      <c r="V3451" s="403" t="str">
        <f t="shared" si="431"/>
        <v>CPP_7_3</v>
      </c>
    </row>
    <row r="3452" spans="1:22">
      <c r="A3452" t="str">
        <f t="shared" si="424"/>
        <v>NDE-8502-R</v>
      </c>
      <c r="B3452" s="403" t="s">
        <v>1410</v>
      </c>
      <c r="C3452" s="403" t="s">
        <v>582</v>
      </c>
      <c r="D3452" s="403" t="s">
        <v>1411</v>
      </c>
      <c r="E3452" s="403" t="s">
        <v>1413</v>
      </c>
      <c r="F3452" s="403" t="s">
        <v>1288</v>
      </c>
      <c r="G3452" s="403" t="s">
        <v>1466</v>
      </c>
      <c r="H3452" s="403" t="s">
        <v>1281</v>
      </c>
      <c r="I3452" s="403">
        <v>1</v>
      </c>
      <c r="J3452" s="403" t="s">
        <v>1289</v>
      </c>
      <c r="K3452" s="403">
        <v>1280</v>
      </c>
      <c r="L3452" s="403">
        <v>720</v>
      </c>
      <c r="M3452" s="403" t="s">
        <v>1279</v>
      </c>
      <c r="N3452" s="403">
        <v>768</v>
      </c>
      <c r="O3452" s="403">
        <v>432</v>
      </c>
      <c r="P3452" t="str">
        <f t="shared" si="425"/>
        <v>60fps 720p full frame rate - SD ROI PTZ</v>
      </c>
      <c r="Q3452">
        <f t="shared" si="426"/>
        <v>19</v>
      </c>
      <c r="R3452" t="str">
        <f t="shared" si="427"/>
        <v/>
      </c>
      <c r="S3452" t="str">
        <f t="shared" si="428"/>
        <v/>
      </c>
      <c r="T3452" s="403" t="str">
        <f t="shared" si="429"/>
        <v>NDE-8502-R</v>
      </c>
      <c r="U3452" s="403">
        <f t="shared" si="430"/>
        <v>1</v>
      </c>
      <c r="V3452" s="403" t="str">
        <f t="shared" si="431"/>
        <v>CPP_7_3</v>
      </c>
    </row>
    <row r="3453" spans="1:22">
      <c r="A3453" t="str">
        <f t="shared" si="424"/>
        <v>NDE-8502-R</v>
      </c>
      <c r="B3453" s="403" t="s">
        <v>1410</v>
      </c>
      <c r="C3453" s="403" t="s">
        <v>582</v>
      </c>
      <c r="D3453" s="403" t="s">
        <v>1411</v>
      </c>
      <c r="E3453" s="403" t="s">
        <v>1413</v>
      </c>
      <c r="F3453" s="403" t="s">
        <v>1288</v>
      </c>
      <c r="G3453" s="403" t="s">
        <v>1466</v>
      </c>
      <c r="H3453" s="403" t="s">
        <v>1281</v>
      </c>
      <c r="I3453" s="403">
        <v>1</v>
      </c>
      <c r="J3453" s="403" t="s">
        <v>1289</v>
      </c>
      <c r="K3453" s="403">
        <v>1280</v>
      </c>
      <c r="L3453" s="403">
        <v>720</v>
      </c>
      <c r="M3453" s="403" t="s">
        <v>1283</v>
      </c>
      <c r="N3453" s="403">
        <v>720</v>
      </c>
      <c r="O3453" s="403">
        <v>480</v>
      </c>
      <c r="P3453" t="str">
        <f t="shared" si="425"/>
        <v>60fps 720p full frame rate - SD 4CIF resolution 4:3 format (cropped)</v>
      </c>
      <c r="Q3453">
        <f t="shared" si="426"/>
        <v>19</v>
      </c>
      <c r="R3453" t="str">
        <f t="shared" si="427"/>
        <v/>
      </c>
      <c r="S3453" t="str">
        <f t="shared" si="428"/>
        <v/>
      </c>
      <c r="T3453" s="403" t="str">
        <f t="shared" si="429"/>
        <v>NDE-8502-R</v>
      </c>
      <c r="U3453" s="403">
        <f t="shared" si="430"/>
        <v>1</v>
      </c>
      <c r="V3453" s="403" t="str">
        <f t="shared" si="431"/>
        <v>CPP_7_3</v>
      </c>
    </row>
    <row r="3454" spans="1:22">
      <c r="A3454" t="str">
        <f t="shared" si="424"/>
        <v>NDE-8502-R</v>
      </c>
      <c r="B3454" s="403" t="s">
        <v>1410</v>
      </c>
      <c r="C3454" s="403" t="s">
        <v>582</v>
      </c>
      <c r="D3454" s="403" t="s">
        <v>1411</v>
      </c>
      <c r="E3454" s="403" t="s">
        <v>1413</v>
      </c>
      <c r="F3454" s="403" t="s">
        <v>1288</v>
      </c>
      <c r="G3454" s="403" t="s">
        <v>1466</v>
      </c>
      <c r="H3454" s="403" t="s">
        <v>1281</v>
      </c>
      <c r="I3454" s="403">
        <v>1</v>
      </c>
      <c r="J3454" s="403" t="s">
        <v>1289</v>
      </c>
      <c r="K3454" s="403">
        <v>1280</v>
      </c>
      <c r="L3454" s="403">
        <v>720</v>
      </c>
      <c r="M3454" s="403" t="s">
        <v>1284</v>
      </c>
      <c r="N3454" s="403">
        <v>640</v>
      </c>
      <c r="O3454" s="403">
        <v>480</v>
      </c>
      <c r="P3454" t="str">
        <f t="shared" si="425"/>
        <v>60fps 720p full frame rate - SD VGA (cropped)</v>
      </c>
      <c r="Q3454">
        <f t="shared" si="426"/>
        <v>19</v>
      </c>
      <c r="R3454" t="str">
        <f t="shared" si="427"/>
        <v/>
      </c>
      <c r="S3454" t="str">
        <f t="shared" si="428"/>
        <v/>
      </c>
      <c r="T3454" s="403" t="str">
        <f t="shared" si="429"/>
        <v>NDE-8502-R</v>
      </c>
      <c r="U3454" s="403">
        <f t="shared" si="430"/>
        <v>1</v>
      </c>
      <c r="V3454" s="403" t="str">
        <f t="shared" si="431"/>
        <v>CPP_7_3</v>
      </c>
    </row>
    <row r="3455" spans="1:22">
      <c r="A3455" t="str">
        <f t="shared" si="424"/>
        <v>NDE-8502-R</v>
      </c>
      <c r="B3455" s="403" t="s">
        <v>1410</v>
      </c>
      <c r="C3455" s="403" t="s">
        <v>582</v>
      </c>
      <c r="D3455" s="403" t="s">
        <v>1411</v>
      </c>
      <c r="E3455" s="403" t="s">
        <v>1413</v>
      </c>
      <c r="F3455" s="403" t="s">
        <v>1288</v>
      </c>
      <c r="G3455" s="403" t="s">
        <v>1466</v>
      </c>
      <c r="H3455" s="403" t="s">
        <v>1282</v>
      </c>
      <c r="I3455" s="403">
        <v>1</v>
      </c>
      <c r="J3455" s="403" t="s">
        <v>110</v>
      </c>
      <c r="K3455" s="403">
        <v>1920</v>
      </c>
      <c r="L3455" s="403">
        <v>1080</v>
      </c>
      <c r="M3455" s="403" t="s">
        <v>111</v>
      </c>
      <c r="N3455" s="403">
        <v>768</v>
      </c>
      <c r="O3455" s="403">
        <v>432</v>
      </c>
      <c r="P3455" t="str">
        <f t="shared" si="425"/>
        <v>60fps 1080p - SD</v>
      </c>
      <c r="Q3455">
        <f t="shared" si="426"/>
        <v>19</v>
      </c>
      <c r="R3455" t="str">
        <f t="shared" si="427"/>
        <v/>
      </c>
      <c r="S3455" t="str">
        <f t="shared" si="428"/>
        <v/>
      </c>
      <c r="T3455" s="403" t="str">
        <f t="shared" si="429"/>
        <v>NDE-8502-R</v>
      </c>
      <c r="U3455" s="403">
        <f t="shared" si="430"/>
        <v>1</v>
      </c>
      <c r="V3455" s="403" t="str">
        <f t="shared" si="431"/>
        <v>CPP_7_3</v>
      </c>
    </row>
    <row r="3456" spans="1:22">
      <c r="A3456" t="str">
        <f t="shared" si="424"/>
        <v>NDE-8502-R</v>
      </c>
      <c r="B3456" s="403" t="s">
        <v>1410</v>
      </c>
      <c r="C3456" s="403" t="s">
        <v>582</v>
      </c>
      <c r="D3456" s="403" t="s">
        <v>1411</v>
      </c>
      <c r="E3456" s="403" t="s">
        <v>1413</v>
      </c>
      <c r="F3456" s="403" t="s">
        <v>1288</v>
      </c>
      <c r="G3456" s="403" t="s">
        <v>1466</v>
      </c>
      <c r="H3456" s="403" t="s">
        <v>1282</v>
      </c>
      <c r="I3456" s="403">
        <v>1</v>
      </c>
      <c r="J3456" s="403" t="s">
        <v>110</v>
      </c>
      <c r="K3456" s="403">
        <v>1920</v>
      </c>
      <c r="L3456" s="403">
        <v>1080</v>
      </c>
      <c r="M3456" s="403" t="s">
        <v>1289</v>
      </c>
      <c r="N3456" s="403">
        <v>1280</v>
      </c>
      <c r="O3456" s="403">
        <v>720</v>
      </c>
      <c r="P3456" t="str">
        <f t="shared" si="425"/>
        <v>60fps 1080p - 720p full frame rate</v>
      </c>
      <c r="Q3456">
        <f t="shared" si="426"/>
        <v>19</v>
      </c>
      <c r="R3456" t="str">
        <f t="shared" si="427"/>
        <v/>
      </c>
      <c r="S3456" t="str">
        <f t="shared" si="428"/>
        <v/>
      </c>
      <c r="T3456" s="403" t="str">
        <f t="shared" si="429"/>
        <v>NDE-8502-R</v>
      </c>
      <c r="U3456" s="403">
        <f t="shared" si="430"/>
        <v>1</v>
      </c>
      <c r="V3456" s="403" t="str">
        <f t="shared" si="431"/>
        <v>CPP_7_3</v>
      </c>
    </row>
    <row r="3457" spans="1:22">
      <c r="A3457" t="str">
        <f t="shared" si="424"/>
        <v>NDE-8502-R</v>
      </c>
      <c r="B3457" s="403" t="s">
        <v>1410</v>
      </c>
      <c r="C3457" s="403" t="s">
        <v>582</v>
      </c>
      <c r="D3457" s="403" t="s">
        <v>1411</v>
      </c>
      <c r="E3457" s="403" t="s">
        <v>1413</v>
      </c>
      <c r="F3457" s="403" t="s">
        <v>1288</v>
      </c>
      <c r="G3457" s="403" t="s">
        <v>1466</v>
      </c>
      <c r="H3457" s="403" t="s">
        <v>1282</v>
      </c>
      <c r="I3457" s="403">
        <v>1</v>
      </c>
      <c r="J3457" s="403" t="s">
        <v>110</v>
      </c>
      <c r="K3457" s="403">
        <v>1920</v>
      </c>
      <c r="L3457" s="403">
        <v>1080</v>
      </c>
      <c r="M3457" s="403" t="s">
        <v>1285</v>
      </c>
      <c r="N3457" s="403">
        <v>1280</v>
      </c>
      <c r="O3457" s="403">
        <v>1024</v>
      </c>
      <c r="P3457" t="str">
        <f t="shared" si="425"/>
        <v>60fps 1080p - 1280x1024 5:4 (cropped)</v>
      </c>
      <c r="Q3457">
        <f t="shared" si="426"/>
        <v>19</v>
      </c>
      <c r="R3457" t="str">
        <f t="shared" si="427"/>
        <v/>
      </c>
      <c r="S3457" t="str">
        <f t="shared" si="428"/>
        <v/>
      </c>
      <c r="T3457" s="403" t="str">
        <f t="shared" si="429"/>
        <v>NDE-8502-R</v>
      </c>
      <c r="U3457" s="403">
        <f t="shared" si="430"/>
        <v>1</v>
      </c>
      <c r="V3457" s="403" t="str">
        <f t="shared" si="431"/>
        <v>CPP_7_3</v>
      </c>
    </row>
    <row r="3458" spans="1:22">
      <c r="A3458" t="str">
        <f t="shared" ref="A3458:A3521" si="432">IF(AND(G3458&lt;&gt;"rotate 90°"),D3458,"")</f>
        <v>NDE-8502-R</v>
      </c>
      <c r="B3458" s="403" t="s">
        <v>1410</v>
      </c>
      <c r="C3458" s="403" t="s">
        <v>582</v>
      </c>
      <c r="D3458" s="403" t="s">
        <v>1411</v>
      </c>
      <c r="E3458" s="403" t="s">
        <v>1413</v>
      </c>
      <c r="F3458" s="403" t="s">
        <v>1288</v>
      </c>
      <c r="G3458" s="403" t="s">
        <v>1466</v>
      </c>
      <c r="H3458" s="403" t="s">
        <v>1282</v>
      </c>
      <c r="I3458" s="403">
        <v>1</v>
      </c>
      <c r="J3458" s="403" t="s">
        <v>110</v>
      </c>
      <c r="K3458" s="403">
        <v>1920</v>
      </c>
      <c r="L3458" s="403">
        <v>1080</v>
      </c>
      <c r="M3458" s="403" t="s">
        <v>1279</v>
      </c>
      <c r="N3458" s="403">
        <v>768</v>
      </c>
      <c r="O3458" s="403">
        <v>432</v>
      </c>
      <c r="P3458" t="str">
        <f t="shared" ref="P3458:P3521" si="433">LEFT(F3458,5)&amp;" "&amp;J3458&amp;" - "&amp;M3458</f>
        <v>60fps 1080p - SD ROI PTZ</v>
      </c>
      <c r="Q3458">
        <f t="shared" ref="Q3458:Q3521" si="434">IF(A3457=A3458,Q3457,Q3457+1)</f>
        <v>19</v>
      </c>
      <c r="R3458" t="str">
        <f t="shared" ref="R3458:R3521" si="435">IF(Q3457&lt;&gt;Q3458,Q3458,"")</f>
        <v/>
      </c>
      <c r="S3458" t="str">
        <f t="shared" ref="S3458:S3521" si="436">IF(R3458&lt;&gt;"",B3458&amp;" ("&amp;D3458&amp;")","")</f>
        <v/>
      </c>
      <c r="T3458" s="403" t="str">
        <f t="shared" ref="T3458:T3521" si="437">D3458</f>
        <v>NDE-8502-R</v>
      </c>
      <c r="U3458" s="403">
        <f t="shared" ref="U3458:U3521" si="438">I3458</f>
        <v>1</v>
      </c>
      <c r="V3458" s="403" t="str">
        <f t="shared" ref="V3458:V3521" si="439">C3458</f>
        <v>CPP_7_3</v>
      </c>
    </row>
    <row r="3459" spans="1:22">
      <c r="A3459" t="str">
        <f t="shared" si="432"/>
        <v>NDE-8502-R</v>
      </c>
      <c r="B3459" s="403" t="s">
        <v>1410</v>
      </c>
      <c r="C3459" s="403" t="s">
        <v>582</v>
      </c>
      <c r="D3459" s="403" t="s">
        <v>1411</v>
      </c>
      <c r="E3459" s="403" t="s">
        <v>1413</v>
      </c>
      <c r="F3459" s="403" t="s">
        <v>1288</v>
      </c>
      <c r="G3459" s="403" t="s">
        <v>1466</v>
      </c>
      <c r="H3459" s="403" t="s">
        <v>1282</v>
      </c>
      <c r="I3459" s="403">
        <v>1</v>
      </c>
      <c r="J3459" s="403" t="s">
        <v>110</v>
      </c>
      <c r="K3459" s="403">
        <v>1920</v>
      </c>
      <c r="L3459" s="403">
        <v>1080</v>
      </c>
      <c r="M3459" s="403" t="s">
        <v>1283</v>
      </c>
      <c r="N3459" s="403">
        <v>720</v>
      </c>
      <c r="O3459" s="403">
        <v>480</v>
      </c>
      <c r="P3459" t="str">
        <f t="shared" si="433"/>
        <v>60fps 1080p - SD 4CIF resolution 4:3 format (cropped)</v>
      </c>
      <c r="Q3459">
        <f t="shared" si="434"/>
        <v>19</v>
      </c>
      <c r="R3459" t="str">
        <f t="shared" si="435"/>
        <v/>
      </c>
      <c r="S3459" t="str">
        <f t="shared" si="436"/>
        <v/>
      </c>
      <c r="T3459" s="403" t="str">
        <f t="shared" si="437"/>
        <v>NDE-8502-R</v>
      </c>
      <c r="U3459" s="403">
        <f t="shared" si="438"/>
        <v>1</v>
      </c>
      <c r="V3459" s="403" t="str">
        <f t="shared" si="439"/>
        <v>CPP_7_3</v>
      </c>
    </row>
    <row r="3460" spans="1:22">
      <c r="A3460" t="str">
        <f t="shared" si="432"/>
        <v>NDE-8502-R</v>
      </c>
      <c r="B3460" s="403" t="s">
        <v>1410</v>
      </c>
      <c r="C3460" s="403" t="s">
        <v>582</v>
      </c>
      <c r="D3460" s="403" t="s">
        <v>1411</v>
      </c>
      <c r="E3460" s="403" t="s">
        <v>1413</v>
      </c>
      <c r="F3460" s="403" t="s">
        <v>1288</v>
      </c>
      <c r="G3460" s="403" t="s">
        <v>1466</v>
      </c>
      <c r="H3460" s="403" t="s">
        <v>1282</v>
      </c>
      <c r="I3460" s="403">
        <v>1</v>
      </c>
      <c r="J3460" s="403" t="s">
        <v>110</v>
      </c>
      <c r="K3460" s="403">
        <v>1920</v>
      </c>
      <c r="L3460" s="403">
        <v>1080</v>
      </c>
      <c r="M3460" s="403" t="s">
        <v>1284</v>
      </c>
      <c r="N3460" s="403">
        <v>640</v>
      </c>
      <c r="O3460" s="403">
        <v>480</v>
      </c>
      <c r="P3460" t="str">
        <f t="shared" si="433"/>
        <v>60fps 1080p - SD VGA (cropped)</v>
      </c>
      <c r="Q3460">
        <f t="shared" si="434"/>
        <v>19</v>
      </c>
      <c r="R3460" t="str">
        <f t="shared" si="435"/>
        <v/>
      </c>
      <c r="S3460" t="str">
        <f t="shared" si="436"/>
        <v/>
      </c>
      <c r="T3460" s="403" t="str">
        <f t="shared" si="437"/>
        <v>NDE-8502-R</v>
      </c>
      <c r="U3460" s="403">
        <f t="shared" si="438"/>
        <v>1</v>
      </c>
      <c r="V3460" s="403" t="str">
        <f t="shared" si="439"/>
        <v>CPP_7_3</v>
      </c>
    </row>
    <row r="3461" spans="1:22">
      <c r="A3461" t="str">
        <f t="shared" si="432"/>
        <v>NDE-8502-R</v>
      </c>
      <c r="B3461" s="403" t="s">
        <v>1410</v>
      </c>
      <c r="C3461" s="403" t="s">
        <v>582</v>
      </c>
      <c r="D3461" s="403" t="s">
        <v>1411</v>
      </c>
      <c r="E3461" s="403" t="s">
        <v>1413</v>
      </c>
      <c r="F3461" s="403" t="s">
        <v>1288</v>
      </c>
      <c r="G3461" s="403" t="s">
        <v>1466</v>
      </c>
      <c r="H3461" s="403" t="s">
        <v>1282</v>
      </c>
      <c r="I3461" s="403">
        <v>1</v>
      </c>
      <c r="J3461" s="403" t="s">
        <v>1289</v>
      </c>
      <c r="K3461" s="403">
        <v>1280</v>
      </c>
      <c r="L3461" s="403">
        <v>720</v>
      </c>
      <c r="M3461" s="403" t="s">
        <v>1289</v>
      </c>
      <c r="N3461" s="403">
        <v>1280</v>
      </c>
      <c r="O3461" s="403">
        <v>720</v>
      </c>
      <c r="P3461" t="str">
        <f t="shared" si="433"/>
        <v>60fps 720p full frame rate - 720p full frame rate</v>
      </c>
      <c r="Q3461">
        <f t="shared" si="434"/>
        <v>19</v>
      </c>
      <c r="R3461" t="str">
        <f t="shared" si="435"/>
        <v/>
      </c>
      <c r="S3461" t="str">
        <f t="shared" si="436"/>
        <v/>
      </c>
      <c r="T3461" s="403" t="str">
        <f t="shared" si="437"/>
        <v>NDE-8502-R</v>
      </c>
      <c r="U3461" s="403">
        <f t="shared" si="438"/>
        <v>1</v>
      </c>
      <c r="V3461" s="403" t="str">
        <f t="shared" si="439"/>
        <v>CPP_7_3</v>
      </c>
    </row>
    <row r="3462" spans="1:22">
      <c r="A3462" t="str">
        <f t="shared" si="432"/>
        <v>NDE-8502-R</v>
      </c>
      <c r="B3462" s="403" t="s">
        <v>1410</v>
      </c>
      <c r="C3462" s="403" t="s">
        <v>582</v>
      </c>
      <c r="D3462" s="403" t="s">
        <v>1411</v>
      </c>
      <c r="E3462" s="403" t="s">
        <v>1413</v>
      </c>
      <c r="F3462" s="403" t="s">
        <v>1288</v>
      </c>
      <c r="G3462" s="403" t="s">
        <v>1466</v>
      </c>
      <c r="H3462" s="403" t="s">
        <v>1282</v>
      </c>
      <c r="I3462" s="403">
        <v>1</v>
      </c>
      <c r="J3462" s="403" t="s">
        <v>1289</v>
      </c>
      <c r="K3462" s="403">
        <v>1280</v>
      </c>
      <c r="L3462" s="403">
        <v>720</v>
      </c>
      <c r="M3462" s="403" t="s">
        <v>111</v>
      </c>
      <c r="N3462" s="403">
        <v>768</v>
      </c>
      <c r="O3462" s="403">
        <v>432</v>
      </c>
      <c r="P3462" t="str">
        <f t="shared" si="433"/>
        <v>60fps 720p full frame rate - SD</v>
      </c>
      <c r="Q3462">
        <f t="shared" si="434"/>
        <v>19</v>
      </c>
      <c r="R3462" t="str">
        <f t="shared" si="435"/>
        <v/>
      </c>
      <c r="S3462" t="str">
        <f t="shared" si="436"/>
        <v/>
      </c>
      <c r="T3462" s="403" t="str">
        <f t="shared" si="437"/>
        <v>NDE-8502-R</v>
      </c>
      <c r="U3462" s="403">
        <f t="shared" si="438"/>
        <v>1</v>
      </c>
      <c r="V3462" s="403" t="str">
        <f t="shared" si="439"/>
        <v>CPP_7_3</v>
      </c>
    </row>
    <row r="3463" spans="1:22">
      <c r="A3463" t="str">
        <f t="shared" si="432"/>
        <v>NDE-8502-R</v>
      </c>
      <c r="B3463" s="403" t="s">
        <v>1410</v>
      </c>
      <c r="C3463" s="403" t="s">
        <v>582</v>
      </c>
      <c r="D3463" s="403" t="s">
        <v>1411</v>
      </c>
      <c r="E3463" s="403" t="s">
        <v>1413</v>
      </c>
      <c r="F3463" s="403" t="s">
        <v>1288</v>
      </c>
      <c r="G3463" s="403" t="s">
        <v>1466</v>
      </c>
      <c r="H3463" s="403" t="s">
        <v>1282</v>
      </c>
      <c r="I3463" s="403">
        <v>1</v>
      </c>
      <c r="J3463" s="403" t="s">
        <v>1289</v>
      </c>
      <c r="K3463" s="403">
        <v>1280</v>
      </c>
      <c r="L3463" s="403">
        <v>720</v>
      </c>
      <c r="M3463" s="403" t="s">
        <v>1279</v>
      </c>
      <c r="N3463" s="403">
        <v>768</v>
      </c>
      <c r="O3463" s="403">
        <v>432</v>
      </c>
      <c r="P3463" t="str">
        <f t="shared" si="433"/>
        <v>60fps 720p full frame rate - SD ROI PTZ</v>
      </c>
      <c r="Q3463">
        <f t="shared" si="434"/>
        <v>19</v>
      </c>
      <c r="R3463" t="str">
        <f t="shared" si="435"/>
        <v/>
      </c>
      <c r="S3463" t="str">
        <f t="shared" si="436"/>
        <v/>
      </c>
      <c r="T3463" s="403" t="str">
        <f t="shared" si="437"/>
        <v>NDE-8502-R</v>
      </c>
      <c r="U3463" s="403">
        <f t="shared" si="438"/>
        <v>1</v>
      </c>
      <c r="V3463" s="403" t="str">
        <f t="shared" si="439"/>
        <v>CPP_7_3</v>
      </c>
    </row>
    <row r="3464" spans="1:22">
      <c r="A3464" t="str">
        <f t="shared" si="432"/>
        <v>NDE-8502-R</v>
      </c>
      <c r="B3464" s="403" t="s">
        <v>1410</v>
      </c>
      <c r="C3464" s="403" t="s">
        <v>582</v>
      </c>
      <c r="D3464" s="403" t="s">
        <v>1411</v>
      </c>
      <c r="E3464" s="403" t="s">
        <v>1413</v>
      </c>
      <c r="F3464" s="403" t="s">
        <v>1288</v>
      </c>
      <c r="G3464" s="403" t="s">
        <v>1466</v>
      </c>
      <c r="H3464" s="403" t="s">
        <v>1282</v>
      </c>
      <c r="I3464" s="403">
        <v>1</v>
      </c>
      <c r="J3464" s="403" t="s">
        <v>1289</v>
      </c>
      <c r="K3464" s="403">
        <v>1280</v>
      </c>
      <c r="L3464" s="403">
        <v>720</v>
      </c>
      <c r="M3464" s="403" t="s">
        <v>1283</v>
      </c>
      <c r="N3464" s="403">
        <v>720</v>
      </c>
      <c r="O3464" s="403">
        <v>480</v>
      </c>
      <c r="P3464" t="str">
        <f t="shared" si="433"/>
        <v>60fps 720p full frame rate - SD 4CIF resolution 4:3 format (cropped)</v>
      </c>
      <c r="Q3464">
        <f t="shared" si="434"/>
        <v>19</v>
      </c>
      <c r="R3464" t="str">
        <f t="shared" si="435"/>
        <v/>
      </c>
      <c r="S3464" t="str">
        <f t="shared" si="436"/>
        <v/>
      </c>
      <c r="T3464" s="403" t="str">
        <f t="shared" si="437"/>
        <v>NDE-8502-R</v>
      </c>
      <c r="U3464" s="403">
        <f t="shared" si="438"/>
        <v>1</v>
      </c>
      <c r="V3464" s="403" t="str">
        <f t="shared" si="439"/>
        <v>CPP_7_3</v>
      </c>
    </row>
    <row r="3465" spans="1:22">
      <c r="A3465" t="str">
        <f t="shared" si="432"/>
        <v>NDE-8502-R</v>
      </c>
      <c r="B3465" s="403" t="s">
        <v>1410</v>
      </c>
      <c r="C3465" s="403" t="s">
        <v>582</v>
      </c>
      <c r="D3465" s="403" t="s">
        <v>1411</v>
      </c>
      <c r="E3465" s="403" t="s">
        <v>1413</v>
      </c>
      <c r="F3465" s="403" t="s">
        <v>1288</v>
      </c>
      <c r="G3465" s="403" t="s">
        <v>1466</v>
      </c>
      <c r="H3465" s="403" t="s">
        <v>1282</v>
      </c>
      <c r="I3465" s="403">
        <v>1</v>
      </c>
      <c r="J3465" s="403" t="s">
        <v>1289</v>
      </c>
      <c r="K3465" s="403">
        <v>1280</v>
      </c>
      <c r="L3465" s="403">
        <v>720</v>
      </c>
      <c r="M3465" s="403" t="s">
        <v>1284</v>
      </c>
      <c r="N3465" s="403">
        <v>640</v>
      </c>
      <c r="O3465" s="403">
        <v>480</v>
      </c>
      <c r="P3465" t="str">
        <f t="shared" si="433"/>
        <v>60fps 720p full frame rate - SD VGA (cropped)</v>
      </c>
      <c r="Q3465">
        <f t="shared" si="434"/>
        <v>19</v>
      </c>
      <c r="R3465" t="str">
        <f t="shared" si="435"/>
        <v/>
      </c>
      <c r="S3465" t="str">
        <f t="shared" si="436"/>
        <v/>
      </c>
      <c r="T3465" s="403" t="str">
        <f t="shared" si="437"/>
        <v>NDE-8502-R</v>
      </c>
      <c r="U3465" s="403">
        <f t="shared" si="438"/>
        <v>1</v>
      </c>
      <c r="V3465" s="403" t="str">
        <f t="shared" si="439"/>
        <v>CPP_7_3</v>
      </c>
    </row>
    <row r="3466" spans="1:22">
      <c r="A3466" t="str">
        <f t="shared" si="432"/>
        <v>NDE-8502-R</v>
      </c>
      <c r="B3466" s="403" t="s">
        <v>1410</v>
      </c>
      <c r="C3466" s="403" t="s">
        <v>582</v>
      </c>
      <c r="D3466" s="403" t="s">
        <v>1411</v>
      </c>
      <c r="E3466" s="403" t="s">
        <v>1413</v>
      </c>
      <c r="F3466" s="403" t="s">
        <v>1288</v>
      </c>
      <c r="G3466" s="403" t="s">
        <v>1467</v>
      </c>
      <c r="H3466" s="403" t="s">
        <v>1276</v>
      </c>
      <c r="I3466" s="403">
        <v>1</v>
      </c>
      <c r="J3466" s="403" t="s">
        <v>110</v>
      </c>
      <c r="K3466" s="403">
        <v>1080</v>
      </c>
      <c r="L3466" s="403">
        <v>1920</v>
      </c>
      <c r="M3466" s="403" t="s">
        <v>111</v>
      </c>
      <c r="N3466" s="403">
        <v>432</v>
      </c>
      <c r="O3466" s="403">
        <v>768</v>
      </c>
      <c r="P3466" t="str">
        <f t="shared" si="433"/>
        <v>60fps 1080p - SD</v>
      </c>
      <c r="Q3466">
        <f t="shared" si="434"/>
        <v>19</v>
      </c>
      <c r="R3466" t="str">
        <f t="shared" si="435"/>
        <v/>
      </c>
      <c r="S3466" t="str">
        <f t="shared" si="436"/>
        <v/>
      </c>
      <c r="T3466" s="403" t="str">
        <f t="shared" si="437"/>
        <v>NDE-8502-R</v>
      </c>
      <c r="U3466" s="403">
        <f t="shared" si="438"/>
        <v>1</v>
      </c>
      <c r="V3466" s="403" t="str">
        <f t="shared" si="439"/>
        <v>CPP_7_3</v>
      </c>
    </row>
    <row r="3467" spans="1:22">
      <c r="A3467" t="str">
        <f t="shared" si="432"/>
        <v>NDE-8502-R</v>
      </c>
      <c r="B3467" s="403" t="s">
        <v>1410</v>
      </c>
      <c r="C3467" s="403" t="s">
        <v>582</v>
      </c>
      <c r="D3467" s="403" t="s">
        <v>1411</v>
      </c>
      <c r="E3467" s="403" t="s">
        <v>1413</v>
      </c>
      <c r="F3467" s="403" t="s">
        <v>1288</v>
      </c>
      <c r="G3467" s="403" t="s">
        <v>1467</v>
      </c>
      <c r="H3467" s="403" t="s">
        <v>1276</v>
      </c>
      <c r="I3467" s="403">
        <v>1</v>
      </c>
      <c r="J3467" s="403" t="s">
        <v>110</v>
      </c>
      <c r="K3467" s="403">
        <v>1080</v>
      </c>
      <c r="L3467" s="403">
        <v>1920</v>
      </c>
      <c r="M3467" s="403" t="s">
        <v>1289</v>
      </c>
      <c r="N3467" s="403">
        <v>720</v>
      </c>
      <c r="O3467" s="403">
        <v>1280</v>
      </c>
      <c r="P3467" t="str">
        <f t="shared" si="433"/>
        <v>60fps 1080p - 720p full frame rate</v>
      </c>
      <c r="Q3467">
        <f t="shared" si="434"/>
        <v>19</v>
      </c>
      <c r="R3467" t="str">
        <f t="shared" si="435"/>
        <v/>
      </c>
      <c r="S3467" t="str">
        <f t="shared" si="436"/>
        <v/>
      </c>
      <c r="T3467" s="403" t="str">
        <f t="shared" si="437"/>
        <v>NDE-8502-R</v>
      </c>
      <c r="U3467" s="403">
        <f t="shared" si="438"/>
        <v>1</v>
      </c>
      <c r="V3467" s="403" t="str">
        <f t="shared" si="439"/>
        <v>CPP_7_3</v>
      </c>
    </row>
    <row r="3468" spans="1:22">
      <c r="A3468" t="str">
        <f t="shared" si="432"/>
        <v>NDE-8502-R</v>
      </c>
      <c r="B3468" s="403" t="s">
        <v>1410</v>
      </c>
      <c r="C3468" s="403" t="s">
        <v>582</v>
      </c>
      <c r="D3468" s="403" t="s">
        <v>1411</v>
      </c>
      <c r="E3468" s="403" t="s">
        <v>1413</v>
      </c>
      <c r="F3468" s="403" t="s">
        <v>1288</v>
      </c>
      <c r="G3468" s="403" t="s">
        <v>1467</v>
      </c>
      <c r="H3468" s="403" t="s">
        <v>1276</v>
      </c>
      <c r="I3468" s="403">
        <v>1</v>
      </c>
      <c r="J3468" s="403" t="s">
        <v>110</v>
      </c>
      <c r="K3468" s="403">
        <v>1080</v>
      </c>
      <c r="L3468" s="403">
        <v>1920</v>
      </c>
      <c r="M3468" s="403" t="s">
        <v>1285</v>
      </c>
      <c r="N3468" s="403">
        <v>1024</v>
      </c>
      <c r="O3468" s="403">
        <v>1280</v>
      </c>
      <c r="P3468" t="str">
        <f t="shared" si="433"/>
        <v>60fps 1080p - 1280x1024 5:4 (cropped)</v>
      </c>
      <c r="Q3468">
        <f t="shared" si="434"/>
        <v>19</v>
      </c>
      <c r="R3468" t="str">
        <f t="shared" si="435"/>
        <v/>
      </c>
      <c r="S3468" t="str">
        <f t="shared" si="436"/>
        <v/>
      </c>
      <c r="T3468" s="403" t="str">
        <f t="shared" si="437"/>
        <v>NDE-8502-R</v>
      </c>
      <c r="U3468" s="403">
        <f t="shared" si="438"/>
        <v>1</v>
      </c>
      <c r="V3468" s="403" t="str">
        <f t="shared" si="439"/>
        <v>CPP_7_3</v>
      </c>
    </row>
    <row r="3469" spans="1:22">
      <c r="A3469" t="str">
        <f t="shared" si="432"/>
        <v>NDE-8502-R</v>
      </c>
      <c r="B3469" s="403" t="s">
        <v>1410</v>
      </c>
      <c r="C3469" s="403" t="s">
        <v>582</v>
      </c>
      <c r="D3469" s="403" t="s">
        <v>1411</v>
      </c>
      <c r="E3469" s="403" t="s">
        <v>1413</v>
      </c>
      <c r="F3469" s="403" t="s">
        <v>1288</v>
      </c>
      <c r="G3469" s="403" t="s">
        <v>1467</v>
      </c>
      <c r="H3469" s="403" t="s">
        <v>1276</v>
      </c>
      <c r="I3469" s="403">
        <v>1</v>
      </c>
      <c r="J3469" s="403" t="s">
        <v>110</v>
      </c>
      <c r="K3469" s="403">
        <v>1080</v>
      </c>
      <c r="L3469" s="403">
        <v>1920</v>
      </c>
      <c r="M3469" s="403" t="s">
        <v>1279</v>
      </c>
      <c r="N3469" s="403">
        <v>432</v>
      </c>
      <c r="O3469" s="403">
        <v>768</v>
      </c>
      <c r="P3469" t="str">
        <f t="shared" si="433"/>
        <v>60fps 1080p - SD ROI PTZ</v>
      </c>
      <c r="Q3469">
        <f t="shared" si="434"/>
        <v>19</v>
      </c>
      <c r="R3469" t="str">
        <f t="shared" si="435"/>
        <v/>
      </c>
      <c r="S3469" t="str">
        <f t="shared" si="436"/>
        <v/>
      </c>
      <c r="T3469" s="403" t="str">
        <f t="shared" si="437"/>
        <v>NDE-8502-R</v>
      </c>
      <c r="U3469" s="403">
        <f t="shared" si="438"/>
        <v>1</v>
      </c>
      <c r="V3469" s="403" t="str">
        <f t="shared" si="439"/>
        <v>CPP_7_3</v>
      </c>
    </row>
    <row r="3470" spans="1:22">
      <c r="A3470" t="str">
        <f t="shared" si="432"/>
        <v>NDE-8502-R</v>
      </c>
      <c r="B3470" s="403" t="s">
        <v>1410</v>
      </c>
      <c r="C3470" s="403" t="s">
        <v>582</v>
      </c>
      <c r="D3470" s="403" t="s">
        <v>1411</v>
      </c>
      <c r="E3470" s="403" t="s">
        <v>1413</v>
      </c>
      <c r="F3470" s="403" t="s">
        <v>1288</v>
      </c>
      <c r="G3470" s="403" t="s">
        <v>1467</v>
      </c>
      <c r="H3470" s="403" t="s">
        <v>1276</v>
      </c>
      <c r="I3470" s="403">
        <v>1</v>
      </c>
      <c r="J3470" s="403" t="s">
        <v>110</v>
      </c>
      <c r="K3470" s="403">
        <v>1080</v>
      </c>
      <c r="L3470" s="403">
        <v>1920</v>
      </c>
      <c r="M3470" s="403" t="s">
        <v>1283</v>
      </c>
      <c r="N3470" s="403">
        <v>480</v>
      </c>
      <c r="O3470" s="403">
        <v>720</v>
      </c>
      <c r="P3470" t="str">
        <f t="shared" si="433"/>
        <v>60fps 1080p - SD 4CIF resolution 4:3 format (cropped)</v>
      </c>
      <c r="Q3470">
        <f t="shared" si="434"/>
        <v>19</v>
      </c>
      <c r="R3470" t="str">
        <f t="shared" si="435"/>
        <v/>
      </c>
      <c r="S3470" t="str">
        <f t="shared" si="436"/>
        <v/>
      </c>
      <c r="T3470" s="403" t="str">
        <f t="shared" si="437"/>
        <v>NDE-8502-R</v>
      </c>
      <c r="U3470" s="403">
        <f t="shared" si="438"/>
        <v>1</v>
      </c>
      <c r="V3470" s="403" t="str">
        <f t="shared" si="439"/>
        <v>CPP_7_3</v>
      </c>
    </row>
    <row r="3471" spans="1:22">
      <c r="A3471" t="str">
        <f t="shared" si="432"/>
        <v>NDE-8502-R</v>
      </c>
      <c r="B3471" s="403" t="s">
        <v>1410</v>
      </c>
      <c r="C3471" s="403" t="s">
        <v>582</v>
      </c>
      <c r="D3471" s="403" t="s">
        <v>1411</v>
      </c>
      <c r="E3471" s="403" t="s">
        <v>1413</v>
      </c>
      <c r="F3471" s="403" t="s">
        <v>1288</v>
      </c>
      <c r="G3471" s="403" t="s">
        <v>1467</v>
      </c>
      <c r="H3471" s="403" t="s">
        <v>1276</v>
      </c>
      <c r="I3471" s="403">
        <v>1</v>
      </c>
      <c r="J3471" s="403" t="s">
        <v>110</v>
      </c>
      <c r="K3471" s="403">
        <v>1080</v>
      </c>
      <c r="L3471" s="403">
        <v>1920</v>
      </c>
      <c r="M3471" s="403" t="s">
        <v>1284</v>
      </c>
      <c r="N3471" s="403">
        <v>480</v>
      </c>
      <c r="O3471" s="403">
        <v>640</v>
      </c>
      <c r="P3471" t="str">
        <f t="shared" si="433"/>
        <v>60fps 1080p - SD VGA (cropped)</v>
      </c>
      <c r="Q3471">
        <f t="shared" si="434"/>
        <v>19</v>
      </c>
      <c r="R3471" t="str">
        <f t="shared" si="435"/>
        <v/>
      </c>
      <c r="S3471" t="str">
        <f t="shared" si="436"/>
        <v/>
      </c>
      <c r="T3471" s="403" t="str">
        <f t="shared" si="437"/>
        <v>NDE-8502-R</v>
      </c>
      <c r="U3471" s="403">
        <f t="shared" si="438"/>
        <v>1</v>
      </c>
      <c r="V3471" s="403" t="str">
        <f t="shared" si="439"/>
        <v>CPP_7_3</v>
      </c>
    </row>
    <row r="3472" spans="1:22">
      <c r="A3472" t="str">
        <f t="shared" si="432"/>
        <v>NDE-8502-R</v>
      </c>
      <c r="B3472" s="403" t="s">
        <v>1410</v>
      </c>
      <c r="C3472" s="403" t="s">
        <v>582</v>
      </c>
      <c r="D3472" s="403" t="s">
        <v>1411</v>
      </c>
      <c r="E3472" s="403" t="s">
        <v>1413</v>
      </c>
      <c r="F3472" s="403" t="s">
        <v>1288</v>
      </c>
      <c r="G3472" s="403" t="s">
        <v>1467</v>
      </c>
      <c r="H3472" s="403" t="s">
        <v>1276</v>
      </c>
      <c r="I3472" s="403">
        <v>1</v>
      </c>
      <c r="J3472" s="403" t="s">
        <v>1289</v>
      </c>
      <c r="K3472" s="403">
        <v>720</v>
      </c>
      <c r="L3472" s="403">
        <v>1280</v>
      </c>
      <c r="M3472" s="403" t="s">
        <v>1289</v>
      </c>
      <c r="N3472" s="403">
        <v>720</v>
      </c>
      <c r="O3472" s="403">
        <v>1280</v>
      </c>
      <c r="P3472" t="str">
        <f t="shared" si="433"/>
        <v>60fps 720p full frame rate - 720p full frame rate</v>
      </c>
      <c r="Q3472">
        <f t="shared" si="434"/>
        <v>19</v>
      </c>
      <c r="R3472" t="str">
        <f t="shared" si="435"/>
        <v/>
      </c>
      <c r="S3472" t="str">
        <f t="shared" si="436"/>
        <v/>
      </c>
      <c r="T3472" s="403" t="str">
        <f t="shared" si="437"/>
        <v>NDE-8502-R</v>
      </c>
      <c r="U3472" s="403">
        <f t="shared" si="438"/>
        <v>1</v>
      </c>
      <c r="V3472" s="403" t="str">
        <f t="shared" si="439"/>
        <v>CPP_7_3</v>
      </c>
    </row>
    <row r="3473" spans="1:22">
      <c r="A3473" t="str">
        <f t="shared" si="432"/>
        <v>NDE-8502-R</v>
      </c>
      <c r="B3473" s="403" t="s">
        <v>1410</v>
      </c>
      <c r="C3473" s="403" t="s">
        <v>582</v>
      </c>
      <c r="D3473" s="403" t="s">
        <v>1411</v>
      </c>
      <c r="E3473" s="403" t="s">
        <v>1413</v>
      </c>
      <c r="F3473" s="403" t="s">
        <v>1288</v>
      </c>
      <c r="G3473" s="403" t="s">
        <v>1467</v>
      </c>
      <c r="H3473" s="403" t="s">
        <v>1276</v>
      </c>
      <c r="I3473" s="403">
        <v>1</v>
      </c>
      <c r="J3473" s="403" t="s">
        <v>1289</v>
      </c>
      <c r="K3473" s="403">
        <v>720</v>
      </c>
      <c r="L3473" s="403">
        <v>1280</v>
      </c>
      <c r="M3473" s="403" t="s">
        <v>111</v>
      </c>
      <c r="N3473" s="403">
        <v>432</v>
      </c>
      <c r="O3473" s="403">
        <v>768</v>
      </c>
      <c r="P3473" t="str">
        <f t="shared" si="433"/>
        <v>60fps 720p full frame rate - SD</v>
      </c>
      <c r="Q3473">
        <f t="shared" si="434"/>
        <v>19</v>
      </c>
      <c r="R3473" t="str">
        <f t="shared" si="435"/>
        <v/>
      </c>
      <c r="S3473" t="str">
        <f t="shared" si="436"/>
        <v/>
      </c>
      <c r="T3473" s="403" t="str">
        <f t="shared" si="437"/>
        <v>NDE-8502-R</v>
      </c>
      <c r="U3473" s="403">
        <f t="shared" si="438"/>
        <v>1</v>
      </c>
      <c r="V3473" s="403" t="str">
        <f t="shared" si="439"/>
        <v>CPP_7_3</v>
      </c>
    </row>
    <row r="3474" spans="1:22">
      <c r="A3474" t="str">
        <f t="shared" si="432"/>
        <v>NDE-8502-R</v>
      </c>
      <c r="B3474" s="403" t="s">
        <v>1410</v>
      </c>
      <c r="C3474" s="403" t="s">
        <v>582</v>
      </c>
      <c r="D3474" s="403" t="s">
        <v>1411</v>
      </c>
      <c r="E3474" s="403" t="s">
        <v>1413</v>
      </c>
      <c r="F3474" s="403" t="s">
        <v>1288</v>
      </c>
      <c r="G3474" s="403" t="s">
        <v>1467</v>
      </c>
      <c r="H3474" s="403" t="s">
        <v>1276</v>
      </c>
      <c r="I3474" s="403">
        <v>1</v>
      </c>
      <c r="J3474" s="403" t="s">
        <v>1289</v>
      </c>
      <c r="K3474" s="403">
        <v>720</v>
      </c>
      <c r="L3474" s="403">
        <v>1280</v>
      </c>
      <c r="M3474" s="403" t="s">
        <v>1279</v>
      </c>
      <c r="N3474" s="403">
        <v>432</v>
      </c>
      <c r="O3474" s="403">
        <v>768</v>
      </c>
      <c r="P3474" t="str">
        <f t="shared" si="433"/>
        <v>60fps 720p full frame rate - SD ROI PTZ</v>
      </c>
      <c r="Q3474">
        <f t="shared" si="434"/>
        <v>19</v>
      </c>
      <c r="R3474" t="str">
        <f t="shared" si="435"/>
        <v/>
      </c>
      <c r="S3474" t="str">
        <f t="shared" si="436"/>
        <v/>
      </c>
      <c r="T3474" s="403" t="str">
        <f t="shared" si="437"/>
        <v>NDE-8502-R</v>
      </c>
      <c r="U3474" s="403">
        <f t="shared" si="438"/>
        <v>1</v>
      </c>
      <c r="V3474" s="403" t="str">
        <f t="shared" si="439"/>
        <v>CPP_7_3</v>
      </c>
    </row>
    <row r="3475" spans="1:22">
      <c r="A3475" t="str">
        <f t="shared" si="432"/>
        <v>NDE-8502-R</v>
      </c>
      <c r="B3475" s="403" t="s">
        <v>1410</v>
      </c>
      <c r="C3475" s="403" t="s">
        <v>582</v>
      </c>
      <c r="D3475" s="403" t="s">
        <v>1411</v>
      </c>
      <c r="E3475" s="403" t="s">
        <v>1413</v>
      </c>
      <c r="F3475" s="403" t="s">
        <v>1288</v>
      </c>
      <c r="G3475" s="403" t="s">
        <v>1467</v>
      </c>
      <c r="H3475" s="403" t="s">
        <v>1276</v>
      </c>
      <c r="I3475" s="403">
        <v>1</v>
      </c>
      <c r="J3475" s="403" t="s">
        <v>1289</v>
      </c>
      <c r="K3475" s="403">
        <v>720</v>
      </c>
      <c r="L3475" s="403">
        <v>1280</v>
      </c>
      <c r="M3475" s="403" t="s">
        <v>1283</v>
      </c>
      <c r="N3475" s="403">
        <v>480</v>
      </c>
      <c r="O3475" s="403">
        <v>720</v>
      </c>
      <c r="P3475" t="str">
        <f t="shared" si="433"/>
        <v>60fps 720p full frame rate - SD 4CIF resolution 4:3 format (cropped)</v>
      </c>
      <c r="Q3475">
        <f t="shared" si="434"/>
        <v>19</v>
      </c>
      <c r="R3475" t="str">
        <f t="shared" si="435"/>
        <v/>
      </c>
      <c r="S3475" t="str">
        <f t="shared" si="436"/>
        <v/>
      </c>
      <c r="T3475" s="403" t="str">
        <f t="shared" si="437"/>
        <v>NDE-8502-R</v>
      </c>
      <c r="U3475" s="403">
        <f t="shared" si="438"/>
        <v>1</v>
      </c>
      <c r="V3475" s="403" t="str">
        <f t="shared" si="439"/>
        <v>CPP_7_3</v>
      </c>
    </row>
    <row r="3476" spans="1:22">
      <c r="A3476" t="str">
        <f t="shared" si="432"/>
        <v>NDE-8502-R</v>
      </c>
      <c r="B3476" s="403" t="s">
        <v>1410</v>
      </c>
      <c r="C3476" s="403" t="s">
        <v>582</v>
      </c>
      <c r="D3476" s="403" t="s">
        <v>1411</v>
      </c>
      <c r="E3476" s="403" t="s">
        <v>1413</v>
      </c>
      <c r="F3476" s="403" t="s">
        <v>1288</v>
      </c>
      <c r="G3476" s="403" t="s">
        <v>1467</v>
      </c>
      <c r="H3476" s="403" t="s">
        <v>1276</v>
      </c>
      <c r="I3476" s="403">
        <v>1</v>
      </c>
      <c r="J3476" s="403" t="s">
        <v>1289</v>
      </c>
      <c r="K3476" s="403">
        <v>720</v>
      </c>
      <c r="L3476" s="403">
        <v>1280</v>
      </c>
      <c r="M3476" s="403" t="s">
        <v>1284</v>
      </c>
      <c r="N3476" s="403">
        <v>480</v>
      </c>
      <c r="O3476" s="403">
        <v>640</v>
      </c>
      <c r="P3476" t="str">
        <f t="shared" si="433"/>
        <v>60fps 720p full frame rate - SD VGA (cropped)</v>
      </c>
      <c r="Q3476">
        <f t="shared" si="434"/>
        <v>19</v>
      </c>
      <c r="R3476" t="str">
        <f t="shared" si="435"/>
        <v/>
      </c>
      <c r="S3476" t="str">
        <f t="shared" si="436"/>
        <v/>
      </c>
      <c r="T3476" s="403" t="str">
        <f t="shared" si="437"/>
        <v>NDE-8502-R</v>
      </c>
      <c r="U3476" s="403">
        <f t="shared" si="438"/>
        <v>1</v>
      </c>
      <c r="V3476" s="403" t="str">
        <f t="shared" si="439"/>
        <v>CPP_7_3</v>
      </c>
    </row>
    <row r="3477" spans="1:22">
      <c r="A3477" t="str">
        <f t="shared" si="432"/>
        <v>NDE-8502-R</v>
      </c>
      <c r="B3477" s="403" t="s">
        <v>1410</v>
      </c>
      <c r="C3477" s="403" t="s">
        <v>582</v>
      </c>
      <c r="D3477" s="403" t="s">
        <v>1411</v>
      </c>
      <c r="E3477" s="403" t="s">
        <v>1413</v>
      </c>
      <c r="F3477" s="403" t="s">
        <v>1288</v>
      </c>
      <c r="G3477" s="403" t="s">
        <v>1467</v>
      </c>
      <c r="H3477" s="403" t="s">
        <v>1281</v>
      </c>
      <c r="I3477" s="403">
        <v>1</v>
      </c>
      <c r="J3477" s="403" t="s">
        <v>110</v>
      </c>
      <c r="K3477" s="403">
        <v>1080</v>
      </c>
      <c r="L3477" s="403">
        <v>1920</v>
      </c>
      <c r="M3477" s="403" t="s">
        <v>111</v>
      </c>
      <c r="N3477" s="403">
        <v>432</v>
      </c>
      <c r="O3477" s="403">
        <v>768</v>
      </c>
      <c r="P3477" t="str">
        <f t="shared" si="433"/>
        <v>60fps 1080p - SD</v>
      </c>
      <c r="Q3477">
        <f t="shared" si="434"/>
        <v>19</v>
      </c>
      <c r="R3477" t="str">
        <f t="shared" si="435"/>
        <v/>
      </c>
      <c r="S3477" t="str">
        <f t="shared" si="436"/>
        <v/>
      </c>
      <c r="T3477" s="403" t="str">
        <f t="shared" si="437"/>
        <v>NDE-8502-R</v>
      </c>
      <c r="U3477" s="403">
        <f t="shared" si="438"/>
        <v>1</v>
      </c>
      <c r="V3477" s="403" t="str">
        <f t="shared" si="439"/>
        <v>CPP_7_3</v>
      </c>
    </row>
    <row r="3478" spans="1:22">
      <c r="A3478" t="str">
        <f t="shared" si="432"/>
        <v>NDE-8502-R</v>
      </c>
      <c r="B3478" s="403" t="s">
        <v>1410</v>
      </c>
      <c r="C3478" s="403" t="s">
        <v>582</v>
      </c>
      <c r="D3478" s="403" t="s">
        <v>1411</v>
      </c>
      <c r="E3478" s="403" t="s">
        <v>1413</v>
      </c>
      <c r="F3478" s="403" t="s">
        <v>1288</v>
      </c>
      <c r="G3478" s="403" t="s">
        <v>1467</v>
      </c>
      <c r="H3478" s="403" t="s">
        <v>1281</v>
      </c>
      <c r="I3478" s="403">
        <v>1</v>
      </c>
      <c r="J3478" s="403" t="s">
        <v>110</v>
      </c>
      <c r="K3478" s="403">
        <v>1080</v>
      </c>
      <c r="L3478" s="403">
        <v>1920</v>
      </c>
      <c r="M3478" s="403" t="s">
        <v>1279</v>
      </c>
      <c r="N3478" s="403">
        <v>432</v>
      </c>
      <c r="O3478" s="403">
        <v>768</v>
      </c>
      <c r="P3478" t="str">
        <f t="shared" si="433"/>
        <v>60fps 1080p - SD ROI PTZ</v>
      </c>
      <c r="Q3478">
        <f t="shared" si="434"/>
        <v>19</v>
      </c>
      <c r="R3478" t="str">
        <f t="shared" si="435"/>
        <v/>
      </c>
      <c r="S3478" t="str">
        <f t="shared" si="436"/>
        <v/>
      </c>
      <c r="T3478" s="403" t="str">
        <f t="shared" si="437"/>
        <v>NDE-8502-R</v>
      </c>
      <c r="U3478" s="403">
        <f t="shared" si="438"/>
        <v>1</v>
      </c>
      <c r="V3478" s="403" t="str">
        <f t="shared" si="439"/>
        <v>CPP_7_3</v>
      </c>
    </row>
    <row r="3479" spans="1:22">
      <c r="A3479" t="str">
        <f t="shared" si="432"/>
        <v>NDE-8502-R</v>
      </c>
      <c r="B3479" s="403" t="s">
        <v>1410</v>
      </c>
      <c r="C3479" s="403" t="s">
        <v>582</v>
      </c>
      <c r="D3479" s="403" t="s">
        <v>1411</v>
      </c>
      <c r="E3479" s="403" t="s">
        <v>1413</v>
      </c>
      <c r="F3479" s="403" t="s">
        <v>1288</v>
      </c>
      <c r="G3479" s="403" t="s">
        <v>1467</v>
      </c>
      <c r="H3479" s="403" t="s">
        <v>1281</v>
      </c>
      <c r="I3479" s="403">
        <v>1</v>
      </c>
      <c r="J3479" s="403" t="s">
        <v>110</v>
      </c>
      <c r="K3479" s="403">
        <v>1080</v>
      </c>
      <c r="L3479" s="403">
        <v>1920</v>
      </c>
      <c r="M3479" s="403" t="s">
        <v>1283</v>
      </c>
      <c r="N3479" s="403">
        <v>480</v>
      </c>
      <c r="O3479" s="403">
        <v>720</v>
      </c>
      <c r="P3479" t="str">
        <f t="shared" si="433"/>
        <v>60fps 1080p - SD 4CIF resolution 4:3 format (cropped)</v>
      </c>
      <c r="Q3479">
        <f t="shared" si="434"/>
        <v>19</v>
      </c>
      <c r="R3479" t="str">
        <f t="shared" si="435"/>
        <v/>
      </c>
      <c r="S3479" t="str">
        <f t="shared" si="436"/>
        <v/>
      </c>
      <c r="T3479" s="403" t="str">
        <f t="shared" si="437"/>
        <v>NDE-8502-R</v>
      </c>
      <c r="U3479" s="403">
        <f t="shared" si="438"/>
        <v>1</v>
      </c>
      <c r="V3479" s="403" t="str">
        <f t="shared" si="439"/>
        <v>CPP_7_3</v>
      </c>
    </row>
    <row r="3480" spans="1:22">
      <c r="A3480" t="str">
        <f t="shared" si="432"/>
        <v>NDE-8502-R</v>
      </c>
      <c r="B3480" s="403" t="s">
        <v>1410</v>
      </c>
      <c r="C3480" s="403" t="s">
        <v>582</v>
      </c>
      <c r="D3480" s="403" t="s">
        <v>1411</v>
      </c>
      <c r="E3480" s="403" t="s">
        <v>1413</v>
      </c>
      <c r="F3480" s="403" t="s">
        <v>1288</v>
      </c>
      <c r="G3480" s="403" t="s">
        <v>1467</v>
      </c>
      <c r="H3480" s="403" t="s">
        <v>1281</v>
      </c>
      <c r="I3480" s="403">
        <v>1</v>
      </c>
      <c r="J3480" s="403" t="s">
        <v>110</v>
      </c>
      <c r="K3480" s="403">
        <v>1080</v>
      </c>
      <c r="L3480" s="403">
        <v>1920</v>
      </c>
      <c r="M3480" s="403" t="s">
        <v>1284</v>
      </c>
      <c r="N3480" s="403">
        <v>480</v>
      </c>
      <c r="O3480" s="403">
        <v>640</v>
      </c>
      <c r="P3480" t="str">
        <f t="shared" si="433"/>
        <v>60fps 1080p - SD VGA (cropped)</v>
      </c>
      <c r="Q3480">
        <f t="shared" si="434"/>
        <v>19</v>
      </c>
      <c r="R3480" t="str">
        <f t="shared" si="435"/>
        <v/>
      </c>
      <c r="S3480" t="str">
        <f t="shared" si="436"/>
        <v/>
      </c>
      <c r="T3480" s="403" t="str">
        <f t="shared" si="437"/>
        <v>NDE-8502-R</v>
      </c>
      <c r="U3480" s="403">
        <f t="shared" si="438"/>
        <v>1</v>
      </c>
      <c r="V3480" s="403" t="str">
        <f t="shared" si="439"/>
        <v>CPP_7_3</v>
      </c>
    </row>
    <row r="3481" spans="1:22">
      <c r="A3481" t="str">
        <f t="shared" si="432"/>
        <v>NDE-8502-R</v>
      </c>
      <c r="B3481" s="403" t="s">
        <v>1410</v>
      </c>
      <c r="C3481" s="403" t="s">
        <v>582</v>
      </c>
      <c r="D3481" s="403" t="s">
        <v>1411</v>
      </c>
      <c r="E3481" s="403" t="s">
        <v>1413</v>
      </c>
      <c r="F3481" s="403" t="s">
        <v>1288</v>
      </c>
      <c r="G3481" s="403" t="s">
        <v>1467</v>
      </c>
      <c r="H3481" s="403" t="s">
        <v>1281</v>
      </c>
      <c r="I3481" s="403">
        <v>1</v>
      </c>
      <c r="J3481" s="403" t="s">
        <v>1289</v>
      </c>
      <c r="K3481" s="403">
        <v>720</v>
      </c>
      <c r="L3481" s="403">
        <v>1280</v>
      </c>
      <c r="M3481" s="403" t="s">
        <v>1289</v>
      </c>
      <c r="N3481" s="403">
        <v>720</v>
      </c>
      <c r="O3481" s="403">
        <v>1280</v>
      </c>
      <c r="P3481" t="str">
        <f t="shared" si="433"/>
        <v>60fps 720p full frame rate - 720p full frame rate</v>
      </c>
      <c r="Q3481">
        <f t="shared" si="434"/>
        <v>19</v>
      </c>
      <c r="R3481" t="str">
        <f t="shared" si="435"/>
        <v/>
      </c>
      <c r="S3481" t="str">
        <f t="shared" si="436"/>
        <v/>
      </c>
      <c r="T3481" s="403" t="str">
        <f t="shared" si="437"/>
        <v>NDE-8502-R</v>
      </c>
      <c r="U3481" s="403">
        <f t="shared" si="438"/>
        <v>1</v>
      </c>
      <c r="V3481" s="403" t="str">
        <f t="shared" si="439"/>
        <v>CPP_7_3</v>
      </c>
    </row>
    <row r="3482" spans="1:22">
      <c r="A3482" t="str">
        <f t="shared" si="432"/>
        <v>NDE-8502-R</v>
      </c>
      <c r="B3482" s="403" t="s">
        <v>1410</v>
      </c>
      <c r="C3482" s="403" t="s">
        <v>582</v>
      </c>
      <c r="D3482" s="403" t="s">
        <v>1411</v>
      </c>
      <c r="E3482" s="403" t="s">
        <v>1413</v>
      </c>
      <c r="F3482" s="403" t="s">
        <v>1288</v>
      </c>
      <c r="G3482" s="403" t="s">
        <v>1467</v>
      </c>
      <c r="H3482" s="403" t="s">
        <v>1281</v>
      </c>
      <c r="I3482" s="403">
        <v>1</v>
      </c>
      <c r="J3482" s="403" t="s">
        <v>1289</v>
      </c>
      <c r="K3482" s="403">
        <v>720</v>
      </c>
      <c r="L3482" s="403">
        <v>1280</v>
      </c>
      <c r="M3482" s="403" t="s">
        <v>111</v>
      </c>
      <c r="N3482" s="403">
        <v>432</v>
      </c>
      <c r="O3482" s="403">
        <v>768</v>
      </c>
      <c r="P3482" t="str">
        <f t="shared" si="433"/>
        <v>60fps 720p full frame rate - SD</v>
      </c>
      <c r="Q3482">
        <f t="shared" si="434"/>
        <v>19</v>
      </c>
      <c r="R3482" t="str">
        <f t="shared" si="435"/>
        <v/>
      </c>
      <c r="S3482" t="str">
        <f t="shared" si="436"/>
        <v/>
      </c>
      <c r="T3482" s="403" t="str">
        <f t="shared" si="437"/>
        <v>NDE-8502-R</v>
      </c>
      <c r="U3482" s="403">
        <f t="shared" si="438"/>
        <v>1</v>
      </c>
      <c r="V3482" s="403" t="str">
        <f t="shared" si="439"/>
        <v>CPP_7_3</v>
      </c>
    </row>
    <row r="3483" spans="1:22">
      <c r="A3483" t="str">
        <f t="shared" si="432"/>
        <v>NDE-8502-R</v>
      </c>
      <c r="B3483" s="403" t="s">
        <v>1410</v>
      </c>
      <c r="C3483" s="403" t="s">
        <v>582</v>
      </c>
      <c r="D3483" s="403" t="s">
        <v>1411</v>
      </c>
      <c r="E3483" s="403" t="s">
        <v>1413</v>
      </c>
      <c r="F3483" s="403" t="s">
        <v>1288</v>
      </c>
      <c r="G3483" s="403" t="s">
        <v>1467</v>
      </c>
      <c r="H3483" s="403" t="s">
        <v>1281</v>
      </c>
      <c r="I3483" s="403">
        <v>1</v>
      </c>
      <c r="J3483" s="403" t="s">
        <v>1289</v>
      </c>
      <c r="K3483" s="403">
        <v>720</v>
      </c>
      <c r="L3483" s="403">
        <v>1280</v>
      </c>
      <c r="M3483" s="403" t="s">
        <v>1279</v>
      </c>
      <c r="N3483" s="403">
        <v>432</v>
      </c>
      <c r="O3483" s="403">
        <v>768</v>
      </c>
      <c r="P3483" t="str">
        <f t="shared" si="433"/>
        <v>60fps 720p full frame rate - SD ROI PTZ</v>
      </c>
      <c r="Q3483">
        <f t="shared" si="434"/>
        <v>19</v>
      </c>
      <c r="R3483" t="str">
        <f t="shared" si="435"/>
        <v/>
      </c>
      <c r="S3483" t="str">
        <f t="shared" si="436"/>
        <v/>
      </c>
      <c r="T3483" s="403" t="str">
        <f t="shared" si="437"/>
        <v>NDE-8502-R</v>
      </c>
      <c r="U3483" s="403">
        <f t="shared" si="438"/>
        <v>1</v>
      </c>
      <c r="V3483" s="403" t="str">
        <f t="shared" si="439"/>
        <v>CPP_7_3</v>
      </c>
    </row>
    <row r="3484" spans="1:22">
      <c r="A3484" t="str">
        <f t="shared" si="432"/>
        <v>NDE-8502-R</v>
      </c>
      <c r="B3484" s="403" t="s">
        <v>1410</v>
      </c>
      <c r="C3484" s="403" t="s">
        <v>582</v>
      </c>
      <c r="D3484" s="403" t="s">
        <v>1411</v>
      </c>
      <c r="E3484" s="403" t="s">
        <v>1413</v>
      </c>
      <c r="F3484" s="403" t="s">
        <v>1288</v>
      </c>
      <c r="G3484" s="403" t="s">
        <v>1467</v>
      </c>
      <c r="H3484" s="403" t="s">
        <v>1281</v>
      </c>
      <c r="I3484" s="403">
        <v>1</v>
      </c>
      <c r="J3484" s="403" t="s">
        <v>1289</v>
      </c>
      <c r="K3484" s="403">
        <v>720</v>
      </c>
      <c r="L3484" s="403">
        <v>1280</v>
      </c>
      <c r="M3484" s="403" t="s">
        <v>1283</v>
      </c>
      <c r="N3484" s="403">
        <v>480</v>
      </c>
      <c r="O3484" s="403">
        <v>720</v>
      </c>
      <c r="P3484" t="str">
        <f t="shared" si="433"/>
        <v>60fps 720p full frame rate - SD 4CIF resolution 4:3 format (cropped)</v>
      </c>
      <c r="Q3484">
        <f t="shared" si="434"/>
        <v>19</v>
      </c>
      <c r="R3484" t="str">
        <f t="shared" si="435"/>
        <v/>
      </c>
      <c r="S3484" t="str">
        <f t="shared" si="436"/>
        <v/>
      </c>
      <c r="T3484" s="403" t="str">
        <f t="shared" si="437"/>
        <v>NDE-8502-R</v>
      </c>
      <c r="U3484" s="403">
        <f t="shared" si="438"/>
        <v>1</v>
      </c>
      <c r="V3484" s="403" t="str">
        <f t="shared" si="439"/>
        <v>CPP_7_3</v>
      </c>
    </row>
    <row r="3485" spans="1:22">
      <c r="A3485" t="str">
        <f t="shared" si="432"/>
        <v>NDE-8502-R</v>
      </c>
      <c r="B3485" s="403" t="s">
        <v>1410</v>
      </c>
      <c r="C3485" s="403" t="s">
        <v>582</v>
      </c>
      <c r="D3485" s="403" t="s">
        <v>1411</v>
      </c>
      <c r="E3485" s="403" t="s">
        <v>1413</v>
      </c>
      <c r="F3485" s="403" t="s">
        <v>1288</v>
      </c>
      <c r="G3485" s="403" t="s">
        <v>1467</v>
      </c>
      <c r="H3485" s="403" t="s">
        <v>1281</v>
      </c>
      <c r="I3485" s="403">
        <v>1</v>
      </c>
      <c r="J3485" s="403" t="s">
        <v>1289</v>
      </c>
      <c r="K3485" s="403">
        <v>720</v>
      </c>
      <c r="L3485" s="403">
        <v>1280</v>
      </c>
      <c r="M3485" s="403" t="s">
        <v>1284</v>
      </c>
      <c r="N3485" s="403">
        <v>480</v>
      </c>
      <c r="O3485" s="403">
        <v>640</v>
      </c>
      <c r="P3485" t="str">
        <f t="shared" si="433"/>
        <v>60fps 720p full frame rate - SD VGA (cropped)</v>
      </c>
      <c r="Q3485">
        <f t="shared" si="434"/>
        <v>19</v>
      </c>
      <c r="R3485" t="str">
        <f t="shared" si="435"/>
        <v/>
      </c>
      <c r="S3485" t="str">
        <f t="shared" si="436"/>
        <v/>
      </c>
      <c r="T3485" s="403" t="str">
        <f t="shared" si="437"/>
        <v>NDE-8502-R</v>
      </c>
      <c r="U3485" s="403">
        <f t="shared" si="438"/>
        <v>1</v>
      </c>
      <c r="V3485" s="403" t="str">
        <f t="shared" si="439"/>
        <v>CPP_7_3</v>
      </c>
    </row>
    <row r="3486" spans="1:22">
      <c r="A3486" t="str">
        <f t="shared" si="432"/>
        <v>NDE-8502-R</v>
      </c>
      <c r="B3486" s="403" t="s">
        <v>1410</v>
      </c>
      <c r="C3486" s="403" t="s">
        <v>582</v>
      </c>
      <c r="D3486" s="403" t="s">
        <v>1411</v>
      </c>
      <c r="E3486" s="403" t="s">
        <v>1413</v>
      </c>
      <c r="F3486" s="403" t="s">
        <v>1288</v>
      </c>
      <c r="G3486" s="403" t="s">
        <v>1467</v>
      </c>
      <c r="H3486" s="403" t="s">
        <v>1282</v>
      </c>
      <c r="I3486" s="403">
        <v>1</v>
      </c>
      <c r="J3486" s="403" t="s">
        <v>110</v>
      </c>
      <c r="K3486" s="403">
        <v>1080</v>
      </c>
      <c r="L3486" s="403">
        <v>1920</v>
      </c>
      <c r="M3486" s="403" t="s">
        <v>111</v>
      </c>
      <c r="N3486" s="403">
        <v>432</v>
      </c>
      <c r="O3486" s="403">
        <v>768</v>
      </c>
      <c r="P3486" t="str">
        <f t="shared" si="433"/>
        <v>60fps 1080p - SD</v>
      </c>
      <c r="Q3486">
        <f t="shared" si="434"/>
        <v>19</v>
      </c>
      <c r="R3486" t="str">
        <f t="shared" si="435"/>
        <v/>
      </c>
      <c r="S3486" t="str">
        <f t="shared" si="436"/>
        <v/>
      </c>
      <c r="T3486" s="403" t="str">
        <f t="shared" si="437"/>
        <v>NDE-8502-R</v>
      </c>
      <c r="U3486" s="403">
        <f t="shared" si="438"/>
        <v>1</v>
      </c>
      <c r="V3486" s="403" t="str">
        <f t="shared" si="439"/>
        <v>CPP_7_3</v>
      </c>
    </row>
    <row r="3487" spans="1:22">
      <c r="A3487" t="str">
        <f t="shared" si="432"/>
        <v>NDE-8502-R</v>
      </c>
      <c r="B3487" s="403" t="s">
        <v>1410</v>
      </c>
      <c r="C3487" s="403" t="s">
        <v>582</v>
      </c>
      <c r="D3487" s="403" t="s">
        <v>1411</v>
      </c>
      <c r="E3487" s="403" t="s">
        <v>1413</v>
      </c>
      <c r="F3487" s="403" t="s">
        <v>1288</v>
      </c>
      <c r="G3487" s="403" t="s">
        <v>1467</v>
      </c>
      <c r="H3487" s="403" t="s">
        <v>1282</v>
      </c>
      <c r="I3487" s="403">
        <v>1</v>
      </c>
      <c r="J3487" s="403" t="s">
        <v>110</v>
      </c>
      <c r="K3487" s="403">
        <v>1080</v>
      </c>
      <c r="L3487" s="403">
        <v>1920</v>
      </c>
      <c r="M3487" s="403" t="s">
        <v>1289</v>
      </c>
      <c r="N3487" s="403">
        <v>720</v>
      </c>
      <c r="O3487" s="403">
        <v>1280</v>
      </c>
      <c r="P3487" t="str">
        <f t="shared" si="433"/>
        <v>60fps 1080p - 720p full frame rate</v>
      </c>
      <c r="Q3487">
        <f t="shared" si="434"/>
        <v>19</v>
      </c>
      <c r="R3487" t="str">
        <f t="shared" si="435"/>
        <v/>
      </c>
      <c r="S3487" t="str">
        <f t="shared" si="436"/>
        <v/>
      </c>
      <c r="T3487" s="403" t="str">
        <f t="shared" si="437"/>
        <v>NDE-8502-R</v>
      </c>
      <c r="U3487" s="403">
        <f t="shared" si="438"/>
        <v>1</v>
      </c>
      <c r="V3487" s="403" t="str">
        <f t="shared" si="439"/>
        <v>CPP_7_3</v>
      </c>
    </row>
    <row r="3488" spans="1:22">
      <c r="A3488" t="str">
        <f t="shared" si="432"/>
        <v>NDE-8502-R</v>
      </c>
      <c r="B3488" s="403" t="s">
        <v>1410</v>
      </c>
      <c r="C3488" s="403" t="s">
        <v>582</v>
      </c>
      <c r="D3488" s="403" t="s">
        <v>1411</v>
      </c>
      <c r="E3488" s="403" t="s">
        <v>1413</v>
      </c>
      <c r="F3488" s="403" t="s">
        <v>1288</v>
      </c>
      <c r="G3488" s="403" t="s">
        <v>1467</v>
      </c>
      <c r="H3488" s="403" t="s">
        <v>1282</v>
      </c>
      <c r="I3488" s="403">
        <v>1</v>
      </c>
      <c r="J3488" s="403" t="s">
        <v>110</v>
      </c>
      <c r="K3488" s="403">
        <v>1080</v>
      </c>
      <c r="L3488" s="403">
        <v>1920</v>
      </c>
      <c r="M3488" s="403" t="s">
        <v>1285</v>
      </c>
      <c r="N3488" s="403">
        <v>1024</v>
      </c>
      <c r="O3488" s="403">
        <v>1280</v>
      </c>
      <c r="P3488" t="str">
        <f t="shared" si="433"/>
        <v>60fps 1080p - 1280x1024 5:4 (cropped)</v>
      </c>
      <c r="Q3488">
        <f t="shared" si="434"/>
        <v>19</v>
      </c>
      <c r="R3488" t="str">
        <f t="shared" si="435"/>
        <v/>
      </c>
      <c r="S3488" t="str">
        <f t="shared" si="436"/>
        <v/>
      </c>
      <c r="T3488" s="403" t="str">
        <f t="shared" si="437"/>
        <v>NDE-8502-R</v>
      </c>
      <c r="U3488" s="403">
        <f t="shared" si="438"/>
        <v>1</v>
      </c>
      <c r="V3488" s="403" t="str">
        <f t="shared" si="439"/>
        <v>CPP_7_3</v>
      </c>
    </row>
    <row r="3489" spans="1:22">
      <c r="A3489" t="str">
        <f t="shared" si="432"/>
        <v>NDE-8502-R</v>
      </c>
      <c r="B3489" s="403" t="s">
        <v>1410</v>
      </c>
      <c r="C3489" s="403" t="s">
        <v>582</v>
      </c>
      <c r="D3489" s="403" t="s">
        <v>1411</v>
      </c>
      <c r="E3489" s="403" t="s">
        <v>1413</v>
      </c>
      <c r="F3489" s="403" t="s">
        <v>1288</v>
      </c>
      <c r="G3489" s="403" t="s">
        <v>1467</v>
      </c>
      <c r="H3489" s="403" t="s">
        <v>1282</v>
      </c>
      <c r="I3489" s="403">
        <v>1</v>
      </c>
      <c r="J3489" s="403" t="s">
        <v>110</v>
      </c>
      <c r="K3489" s="403">
        <v>1080</v>
      </c>
      <c r="L3489" s="403">
        <v>1920</v>
      </c>
      <c r="M3489" s="403" t="s">
        <v>1279</v>
      </c>
      <c r="N3489" s="403">
        <v>432</v>
      </c>
      <c r="O3489" s="403">
        <v>768</v>
      </c>
      <c r="P3489" t="str">
        <f t="shared" si="433"/>
        <v>60fps 1080p - SD ROI PTZ</v>
      </c>
      <c r="Q3489">
        <f t="shared" si="434"/>
        <v>19</v>
      </c>
      <c r="R3489" t="str">
        <f t="shared" si="435"/>
        <v/>
      </c>
      <c r="S3489" t="str">
        <f t="shared" si="436"/>
        <v/>
      </c>
      <c r="T3489" s="403" t="str">
        <f t="shared" si="437"/>
        <v>NDE-8502-R</v>
      </c>
      <c r="U3489" s="403">
        <f t="shared" si="438"/>
        <v>1</v>
      </c>
      <c r="V3489" s="403" t="str">
        <f t="shared" si="439"/>
        <v>CPP_7_3</v>
      </c>
    </row>
    <row r="3490" spans="1:22">
      <c r="A3490" t="str">
        <f t="shared" si="432"/>
        <v>NDE-8502-R</v>
      </c>
      <c r="B3490" s="403" t="s">
        <v>1410</v>
      </c>
      <c r="C3490" s="403" t="s">
        <v>582</v>
      </c>
      <c r="D3490" s="403" t="s">
        <v>1411</v>
      </c>
      <c r="E3490" s="403" t="s">
        <v>1413</v>
      </c>
      <c r="F3490" s="403" t="s">
        <v>1288</v>
      </c>
      <c r="G3490" s="403" t="s">
        <v>1467</v>
      </c>
      <c r="H3490" s="403" t="s">
        <v>1282</v>
      </c>
      <c r="I3490" s="403">
        <v>1</v>
      </c>
      <c r="J3490" s="403" t="s">
        <v>110</v>
      </c>
      <c r="K3490" s="403">
        <v>1080</v>
      </c>
      <c r="L3490" s="403">
        <v>1920</v>
      </c>
      <c r="M3490" s="403" t="s">
        <v>1283</v>
      </c>
      <c r="N3490" s="403">
        <v>480</v>
      </c>
      <c r="O3490" s="403">
        <v>720</v>
      </c>
      <c r="P3490" t="str">
        <f t="shared" si="433"/>
        <v>60fps 1080p - SD 4CIF resolution 4:3 format (cropped)</v>
      </c>
      <c r="Q3490">
        <f t="shared" si="434"/>
        <v>19</v>
      </c>
      <c r="R3490" t="str">
        <f t="shared" si="435"/>
        <v/>
      </c>
      <c r="S3490" t="str">
        <f t="shared" si="436"/>
        <v/>
      </c>
      <c r="T3490" s="403" t="str">
        <f t="shared" si="437"/>
        <v>NDE-8502-R</v>
      </c>
      <c r="U3490" s="403">
        <f t="shared" si="438"/>
        <v>1</v>
      </c>
      <c r="V3490" s="403" t="str">
        <f t="shared" si="439"/>
        <v>CPP_7_3</v>
      </c>
    </row>
    <row r="3491" spans="1:22">
      <c r="A3491" t="str">
        <f t="shared" si="432"/>
        <v>NDE-8502-R</v>
      </c>
      <c r="B3491" s="403" t="s">
        <v>1410</v>
      </c>
      <c r="C3491" s="403" t="s">
        <v>582</v>
      </c>
      <c r="D3491" s="403" t="s">
        <v>1411</v>
      </c>
      <c r="E3491" s="403" t="s">
        <v>1413</v>
      </c>
      <c r="F3491" s="403" t="s">
        <v>1288</v>
      </c>
      <c r="G3491" s="403" t="s">
        <v>1467</v>
      </c>
      <c r="H3491" s="403" t="s">
        <v>1282</v>
      </c>
      <c r="I3491" s="403">
        <v>1</v>
      </c>
      <c r="J3491" s="403" t="s">
        <v>110</v>
      </c>
      <c r="K3491" s="403">
        <v>1080</v>
      </c>
      <c r="L3491" s="403">
        <v>1920</v>
      </c>
      <c r="M3491" s="403" t="s">
        <v>1284</v>
      </c>
      <c r="N3491" s="403">
        <v>480</v>
      </c>
      <c r="O3491" s="403">
        <v>640</v>
      </c>
      <c r="P3491" t="str">
        <f t="shared" si="433"/>
        <v>60fps 1080p - SD VGA (cropped)</v>
      </c>
      <c r="Q3491">
        <f t="shared" si="434"/>
        <v>19</v>
      </c>
      <c r="R3491" t="str">
        <f t="shared" si="435"/>
        <v/>
      </c>
      <c r="S3491" t="str">
        <f t="shared" si="436"/>
        <v/>
      </c>
      <c r="T3491" s="403" t="str">
        <f t="shared" si="437"/>
        <v>NDE-8502-R</v>
      </c>
      <c r="U3491" s="403">
        <f t="shared" si="438"/>
        <v>1</v>
      </c>
      <c r="V3491" s="403" t="str">
        <f t="shared" si="439"/>
        <v>CPP_7_3</v>
      </c>
    </row>
    <row r="3492" spans="1:22">
      <c r="A3492" t="str">
        <f t="shared" si="432"/>
        <v>NDE-8502-R</v>
      </c>
      <c r="B3492" s="403" t="s">
        <v>1410</v>
      </c>
      <c r="C3492" s="403" t="s">
        <v>582</v>
      </c>
      <c r="D3492" s="403" t="s">
        <v>1411</v>
      </c>
      <c r="E3492" s="403" t="s">
        <v>1413</v>
      </c>
      <c r="F3492" s="403" t="s">
        <v>1288</v>
      </c>
      <c r="G3492" s="403" t="s">
        <v>1467</v>
      </c>
      <c r="H3492" s="403" t="s">
        <v>1282</v>
      </c>
      <c r="I3492" s="403">
        <v>1</v>
      </c>
      <c r="J3492" s="403" t="s">
        <v>1289</v>
      </c>
      <c r="K3492" s="403">
        <v>720</v>
      </c>
      <c r="L3492" s="403">
        <v>1280</v>
      </c>
      <c r="M3492" s="403" t="s">
        <v>1289</v>
      </c>
      <c r="N3492" s="403">
        <v>720</v>
      </c>
      <c r="O3492" s="403">
        <v>1280</v>
      </c>
      <c r="P3492" t="str">
        <f t="shared" si="433"/>
        <v>60fps 720p full frame rate - 720p full frame rate</v>
      </c>
      <c r="Q3492">
        <f t="shared" si="434"/>
        <v>19</v>
      </c>
      <c r="R3492" t="str">
        <f t="shared" si="435"/>
        <v/>
      </c>
      <c r="S3492" t="str">
        <f t="shared" si="436"/>
        <v/>
      </c>
      <c r="T3492" s="403" t="str">
        <f t="shared" si="437"/>
        <v>NDE-8502-R</v>
      </c>
      <c r="U3492" s="403">
        <f t="shared" si="438"/>
        <v>1</v>
      </c>
      <c r="V3492" s="403" t="str">
        <f t="shared" si="439"/>
        <v>CPP_7_3</v>
      </c>
    </row>
    <row r="3493" spans="1:22">
      <c r="A3493" t="str">
        <f t="shared" si="432"/>
        <v>NDE-8502-R</v>
      </c>
      <c r="B3493" s="403" t="s">
        <v>1410</v>
      </c>
      <c r="C3493" s="403" t="s">
        <v>582</v>
      </c>
      <c r="D3493" s="403" t="s">
        <v>1411</v>
      </c>
      <c r="E3493" s="403" t="s">
        <v>1413</v>
      </c>
      <c r="F3493" s="403" t="s">
        <v>1288</v>
      </c>
      <c r="G3493" s="403" t="s">
        <v>1467</v>
      </c>
      <c r="H3493" s="403" t="s">
        <v>1282</v>
      </c>
      <c r="I3493" s="403">
        <v>1</v>
      </c>
      <c r="J3493" s="403" t="s">
        <v>1289</v>
      </c>
      <c r="K3493" s="403">
        <v>720</v>
      </c>
      <c r="L3493" s="403">
        <v>1280</v>
      </c>
      <c r="M3493" s="403" t="s">
        <v>111</v>
      </c>
      <c r="N3493" s="403">
        <v>432</v>
      </c>
      <c r="O3493" s="403">
        <v>768</v>
      </c>
      <c r="P3493" t="str">
        <f t="shared" si="433"/>
        <v>60fps 720p full frame rate - SD</v>
      </c>
      <c r="Q3493">
        <f t="shared" si="434"/>
        <v>19</v>
      </c>
      <c r="R3493" t="str">
        <f t="shared" si="435"/>
        <v/>
      </c>
      <c r="S3493" t="str">
        <f t="shared" si="436"/>
        <v/>
      </c>
      <c r="T3493" s="403" t="str">
        <f t="shared" si="437"/>
        <v>NDE-8502-R</v>
      </c>
      <c r="U3493" s="403">
        <f t="shared" si="438"/>
        <v>1</v>
      </c>
      <c r="V3493" s="403" t="str">
        <f t="shared" si="439"/>
        <v>CPP_7_3</v>
      </c>
    </row>
    <row r="3494" spans="1:22">
      <c r="A3494" t="str">
        <f t="shared" si="432"/>
        <v>NDE-8502-R</v>
      </c>
      <c r="B3494" s="403" t="s">
        <v>1410</v>
      </c>
      <c r="C3494" s="403" t="s">
        <v>582</v>
      </c>
      <c r="D3494" s="403" t="s">
        <v>1411</v>
      </c>
      <c r="E3494" s="403" t="s">
        <v>1413</v>
      </c>
      <c r="F3494" s="403" t="s">
        <v>1288</v>
      </c>
      <c r="G3494" s="403" t="s">
        <v>1467</v>
      </c>
      <c r="H3494" s="403" t="s">
        <v>1282</v>
      </c>
      <c r="I3494" s="403">
        <v>1</v>
      </c>
      <c r="J3494" s="403" t="s">
        <v>1289</v>
      </c>
      <c r="K3494" s="403">
        <v>720</v>
      </c>
      <c r="L3494" s="403">
        <v>1280</v>
      </c>
      <c r="M3494" s="403" t="s">
        <v>1279</v>
      </c>
      <c r="N3494" s="403">
        <v>432</v>
      </c>
      <c r="O3494" s="403">
        <v>768</v>
      </c>
      <c r="P3494" t="str">
        <f t="shared" si="433"/>
        <v>60fps 720p full frame rate - SD ROI PTZ</v>
      </c>
      <c r="Q3494">
        <f t="shared" si="434"/>
        <v>19</v>
      </c>
      <c r="R3494" t="str">
        <f t="shared" si="435"/>
        <v/>
      </c>
      <c r="S3494" t="str">
        <f t="shared" si="436"/>
        <v/>
      </c>
      <c r="T3494" s="403" t="str">
        <f t="shared" si="437"/>
        <v>NDE-8502-R</v>
      </c>
      <c r="U3494" s="403">
        <f t="shared" si="438"/>
        <v>1</v>
      </c>
      <c r="V3494" s="403" t="str">
        <f t="shared" si="439"/>
        <v>CPP_7_3</v>
      </c>
    </row>
    <row r="3495" spans="1:22">
      <c r="A3495" t="str">
        <f t="shared" si="432"/>
        <v>NDE-8502-R</v>
      </c>
      <c r="B3495" s="403" t="s">
        <v>1410</v>
      </c>
      <c r="C3495" s="403" t="s">
        <v>582</v>
      </c>
      <c r="D3495" s="403" t="s">
        <v>1411</v>
      </c>
      <c r="E3495" s="403" t="s">
        <v>1413</v>
      </c>
      <c r="F3495" s="403" t="s">
        <v>1288</v>
      </c>
      <c r="G3495" s="403" t="s">
        <v>1467</v>
      </c>
      <c r="H3495" s="403" t="s">
        <v>1282</v>
      </c>
      <c r="I3495" s="403">
        <v>1</v>
      </c>
      <c r="J3495" s="403" t="s">
        <v>1289</v>
      </c>
      <c r="K3495" s="403">
        <v>720</v>
      </c>
      <c r="L3495" s="403">
        <v>1280</v>
      </c>
      <c r="M3495" s="403" t="s">
        <v>1283</v>
      </c>
      <c r="N3495" s="403">
        <v>480</v>
      </c>
      <c r="O3495" s="403">
        <v>720</v>
      </c>
      <c r="P3495" t="str">
        <f t="shared" si="433"/>
        <v>60fps 720p full frame rate - SD 4CIF resolution 4:3 format (cropped)</v>
      </c>
      <c r="Q3495">
        <f t="shared" si="434"/>
        <v>19</v>
      </c>
      <c r="R3495" t="str">
        <f t="shared" si="435"/>
        <v/>
      </c>
      <c r="S3495" t="str">
        <f t="shared" si="436"/>
        <v/>
      </c>
      <c r="T3495" s="403" t="str">
        <f t="shared" si="437"/>
        <v>NDE-8502-R</v>
      </c>
      <c r="U3495" s="403">
        <f t="shared" si="438"/>
        <v>1</v>
      </c>
      <c r="V3495" s="403" t="str">
        <f t="shared" si="439"/>
        <v>CPP_7_3</v>
      </c>
    </row>
    <row r="3496" spans="1:22">
      <c r="A3496" t="str">
        <f t="shared" si="432"/>
        <v>NDE-8502-R</v>
      </c>
      <c r="B3496" s="403" t="s">
        <v>1410</v>
      </c>
      <c r="C3496" s="403" t="s">
        <v>582</v>
      </c>
      <c r="D3496" s="403" t="s">
        <v>1411</v>
      </c>
      <c r="E3496" s="403" t="s">
        <v>1413</v>
      </c>
      <c r="F3496" s="403" t="s">
        <v>1288</v>
      </c>
      <c r="G3496" s="403" t="s">
        <v>1467</v>
      </c>
      <c r="H3496" s="403" t="s">
        <v>1282</v>
      </c>
      <c r="I3496" s="403">
        <v>1</v>
      </c>
      <c r="J3496" s="403" t="s">
        <v>1289</v>
      </c>
      <c r="K3496" s="403">
        <v>720</v>
      </c>
      <c r="L3496" s="403">
        <v>1280</v>
      </c>
      <c r="M3496" s="403" t="s">
        <v>1284</v>
      </c>
      <c r="N3496" s="403">
        <v>480</v>
      </c>
      <c r="O3496" s="403">
        <v>640</v>
      </c>
      <c r="P3496" t="str">
        <f t="shared" si="433"/>
        <v>60fps 720p full frame rate - SD VGA (cropped)</v>
      </c>
      <c r="Q3496">
        <f t="shared" si="434"/>
        <v>19</v>
      </c>
      <c r="R3496" t="str">
        <f t="shared" si="435"/>
        <v/>
      </c>
      <c r="S3496" t="str">
        <f t="shared" si="436"/>
        <v/>
      </c>
      <c r="T3496" s="403" t="str">
        <f t="shared" si="437"/>
        <v>NDE-8502-R</v>
      </c>
      <c r="U3496" s="403">
        <f t="shared" si="438"/>
        <v>1</v>
      </c>
      <c r="V3496" s="403" t="str">
        <f t="shared" si="439"/>
        <v>CPP_7_3</v>
      </c>
    </row>
    <row r="3497" spans="1:22">
      <c r="A3497" t="str">
        <f t="shared" si="432"/>
        <v>NDE-8502-R</v>
      </c>
      <c r="B3497" s="403" t="s">
        <v>1410</v>
      </c>
      <c r="C3497" s="403" t="s">
        <v>582</v>
      </c>
      <c r="D3497" s="403" t="s">
        <v>1411</v>
      </c>
      <c r="E3497" s="403" t="s">
        <v>1413</v>
      </c>
      <c r="F3497" s="403" t="s">
        <v>1290</v>
      </c>
      <c r="G3497" s="403" t="s">
        <v>1466</v>
      </c>
      <c r="H3497" s="403" t="s">
        <v>1276</v>
      </c>
      <c r="I3497" s="403">
        <v>1</v>
      </c>
      <c r="J3497" s="403" t="s">
        <v>110</v>
      </c>
      <c r="K3497" s="403">
        <v>1920</v>
      </c>
      <c r="L3497" s="403">
        <v>1080</v>
      </c>
      <c r="M3497" s="403" t="s">
        <v>111</v>
      </c>
      <c r="N3497" s="403">
        <v>768</v>
      </c>
      <c r="O3497" s="403">
        <v>432</v>
      </c>
      <c r="P3497" t="str">
        <f t="shared" si="433"/>
        <v>50fps 1080p - SD</v>
      </c>
      <c r="Q3497">
        <f t="shared" si="434"/>
        <v>19</v>
      </c>
      <c r="R3497" t="str">
        <f t="shared" si="435"/>
        <v/>
      </c>
      <c r="S3497" t="str">
        <f t="shared" si="436"/>
        <v/>
      </c>
      <c r="T3497" s="403" t="str">
        <f t="shared" si="437"/>
        <v>NDE-8502-R</v>
      </c>
      <c r="U3497" s="403">
        <f t="shared" si="438"/>
        <v>1</v>
      </c>
      <c r="V3497" s="403" t="str">
        <f t="shared" si="439"/>
        <v>CPP_7_3</v>
      </c>
    </row>
    <row r="3498" spans="1:22">
      <c r="A3498" t="str">
        <f t="shared" si="432"/>
        <v>NDE-8502-R</v>
      </c>
      <c r="B3498" s="403" t="s">
        <v>1410</v>
      </c>
      <c r="C3498" s="403" t="s">
        <v>582</v>
      </c>
      <c r="D3498" s="403" t="s">
        <v>1411</v>
      </c>
      <c r="E3498" s="403" t="s">
        <v>1413</v>
      </c>
      <c r="F3498" s="403" t="s">
        <v>1290</v>
      </c>
      <c r="G3498" s="403" t="s">
        <v>1466</v>
      </c>
      <c r="H3498" s="403" t="s">
        <v>1276</v>
      </c>
      <c r="I3498" s="403">
        <v>1</v>
      </c>
      <c r="J3498" s="403" t="s">
        <v>110</v>
      </c>
      <c r="K3498" s="403">
        <v>1920</v>
      </c>
      <c r="L3498" s="403">
        <v>1080</v>
      </c>
      <c r="M3498" s="403" t="s">
        <v>110</v>
      </c>
      <c r="N3498" s="403">
        <v>1920</v>
      </c>
      <c r="O3498" s="403">
        <v>1080</v>
      </c>
      <c r="P3498" t="str">
        <f t="shared" si="433"/>
        <v>50fps 1080p - 1080p</v>
      </c>
      <c r="Q3498">
        <f t="shared" si="434"/>
        <v>19</v>
      </c>
      <c r="R3498" t="str">
        <f t="shared" si="435"/>
        <v/>
      </c>
      <c r="S3498" t="str">
        <f t="shared" si="436"/>
        <v/>
      </c>
      <c r="T3498" s="403" t="str">
        <f t="shared" si="437"/>
        <v>NDE-8502-R</v>
      </c>
      <c r="U3498" s="403">
        <f t="shared" si="438"/>
        <v>1</v>
      </c>
      <c r="V3498" s="403" t="str">
        <f t="shared" si="439"/>
        <v>CPP_7_3</v>
      </c>
    </row>
    <row r="3499" spans="1:22">
      <c r="A3499" t="str">
        <f t="shared" si="432"/>
        <v>NDE-8502-R</v>
      </c>
      <c r="B3499" s="403" t="s">
        <v>1410</v>
      </c>
      <c r="C3499" s="403" t="s">
        <v>582</v>
      </c>
      <c r="D3499" s="403" t="s">
        <v>1411</v>
      </c>
      <c r="E3499" s="403" t="s">
        <v>1413</v>
      </c>
      <c r="F3499" s="403" t="s">
        <v>1290</v>
      </c>
      <c r="G3499" s="403" t="s">
        <v>1466</v>
      </c>
      <c r="H3499" s="403" t="s">
        <v>1276</v>
      </c>
      <c r="I3499" s="403">
        <v>1</v>
      </c>
      <c r="J3499" s="403" t="s">
        <v>110</v>
      </c>
      <c r="K3499" s="403">
        <v>1920</v>
      </c>
      <c r="L3499" s="403">
        <v>1080</v>
      </c>
      <c r="M3499" s="403" t="s">
        <v>1289</v>
      </c>
      <c r="N3499" s="403">
        <v>1280</v>
      </c>
      <c r="O3499" s="403">
        <v>720</v>
      </c>
      <c r="P3499" t="str">
        <f t="shared" si="433"/>
        <v>50fps 1080p - 720p full frame rate</v>
      </c>
      <c r="Q3499">
        <f t="shared" si="434"/>
        <v>19</v>
      </c>
      <c r="R3499" t="str">
        <f t="shared" si="435"/>
        <v/>
      </c>
      <c r="S3499" t="str">
        <f t="shared" si="436"/>
        <v/>
      </c>
      <c r="T3499" s="403" t="str">
        <f t="shared" si="437"/>
        <v>NDE-8502-R</v>
      </c>
      <c r="U3499" s="403">
        <f t="shared" si="438"/>
        <v>1</v>
      </c>
      <c r="V3499" s="403" t="str">
        <f t="shared" si="439"/>
        <v>CPP_7_3</v>
      </c>
    </row>
    <row r="3500" spans="1:22">
      <c r="A3500" t="str">
        <f t="shared" si="432"/>
        <v>NDE-8502-R</v>
      </c>
      <c r="B3500" s="403" t="s">
        <v>1410</v>
      </c>
      <c r="C3500" s="403" t="s">
        <v>582</v>
      </c>
      <c r="D3500" s="403" t="s">
        <v>1411</v>
      </c>
      <c r="E3500" s="403" t="s">
        <v>1413</v>
      </c>
      <c r="F3500" s="403" t="s">
        <v>1290</v>
      </c>
      <c r="G3500" s="403" t="s">
        <v>1466</v>
      </c>
      <c r="H3500" s="403" t="s">
        <v>1276</v>
      </c>
      <c r="I3500" s="403">
        <v>1</v>
      </c>
      <c r="J3500" s="403" t="s">
        <v>110</v>
      </c>
      <c r="K3500" s="403">
        <v>1920</v>
      </c>
      <c r="L3500" s="403">
        <v>1080</v>
      </c>
      <c r="M3500" s="403" t="s">
        <v>1285</v>
      </c>
      <c r="N3500" s="403">
        <v>1280</v>
      </c>
      <c r="O3500" s="403">
        <v>1024</v>
      </c>
      <c r="P3500" t="str">
        <f t="shared" si="433"/>
        <v>50fps 1080p - 1280x1024 5:4 (cropped)</v>
      </c>
      <c r="Q3500">
        <f t="shared" si="434"/>
        <v>19</v>
      </c>
      <c r="R3500" t="str">
        <f t="shared" si="435"/>
        <v/>
      </c>
      <c r="S3500" t="str">
        <f t="shared" si="436"/>
        <v/>
      </c>
      <c r="T3500" s="403" t="str">
        <f t="shared" si="437"/>
        <v>NDE-8502-R</v>
      </c>
      <c r="U3500" s="403">
        <f t="shared" si="438"/>
        <v>1</v>
      </c>
      <c r="V3500" s="403" t="str">
        <f t="shared" si="439"/>
        <v>CPP_7_3</v>
      </c>
    </row>
    <row r="3501" spans="1:22">
      <c r="A3501" t="str">
        <f t="shared" si="432"/>
        <v>NDE-8502-R</v>
      </c>
      <c r="B3501" s="403" t="s">
        <v>1410</v>
      </c>
      <c r="C3501" s="403" t="s">
        <v>582</v>
      </c>
      <c r="D3501" s="403" t="s">
        <v>1411</v>
      </c>
      <c r="E3501" s="403" t="s">
        <v>1413</v>
      </c>
      <c r="F3501" s="403" t="s">
        <v>1290</v>
      </c>
      <c r="G3501" s="403" t="s">
        <v>1466</v>
      </c>
      <c r="H3501" s="403" t="s">
        <v>1276</v>
      </c>
      <c r="I3501" s="403">
        <v>1</v>
      </c>
      <c r="J3501" s="403" t="s">
        <v>110</v>
      </c>
      <c r="K3501" s="403">
        <v>1920</v>
      </c>
      <c r="L3501" s="403">
        <v>1080</v>
      </c>
      <c r="M3501" s="403" t="s">
        <v>1279</v>
      </c>
      <c r="N3501" s="403">
        <v>768</v>
      </c>
      <c r="O3501" s="403">
        <v>432</v>
      </c>
      <c r="P3501" t="str">
        <f t="shared" si="433"/>
        <v>50fps 1080p - SD ROI PTZ</v>
      </c>
      <c r="Q3501">
        <f t="shared" si="434"/>
        <v>19</v>
      </c>
      <c r="R3501" t="str">
        <f t="shared" si="435"/>
        <v/>
      </c>
      <c r="S3501" t="str">
        <f t="shared" si="436"/>
        <v/>
      </c>
      <c r="T3501" s="403" t="str">
        <f t="shared" si="437"/>
        <v>NDE-8502-R</v>
      </c>
      <c r="U3501" s="403">
        <f t="shared" si="438"/>
        <v>1</v>
      </c>
      <c r="V3501" s="403" t="str">
        <f t="shared" si="439"/>
        <v>CPP_7_3</v>
      </c>
    </row>
    <row r="3502" spans="1:22">
      <c r="A3502" t="str">
        <f t="shared" si="432"/>
        <v>NDE-8502-R</v>
      </c>
      <c r="B3502" s="403" t="s">
        <v>1410</v>
      </c>
      <c r="C3502" s="403" t="s">
        <v>582</v>
      </c>
      <c r="D3502" s="403" t="s">
        <v>1411</v>
      </c>
      <c r="E3502" s="403" t="s">
        <v>1413</v>
      </c>
      <c r="F3502" s="403" t="s">
        <v>1290</v>
      </c>
      <c r="G3502" s="403" t="s">
        <v>1466</v>
      </c>
      <c r="H3502" s="403" t="s">
        <v>1276</v>
      </c>
      <c r="I3502" s="403">
        <v>1</v>
      </c>
      <c r="J3502" s="403" t="s">
        <v>110</v>
      </c>
      <c r="K3502" s="403">
        <v>1920</v>
      </c>
      <c r="L3502" s="403">
        <v>1080</v>
      </c>
      <c r="M3502" s="403" t="s">
        <v>1283</v>
      </c>
      <c r="N3502" s="403">
        <v>720</v>
      </c>
      <c r="O3502" s="403">
        <v>576</v>
      </c>
      <c r="P3502" t="str">
        <f t="shared" si="433"/>
        <v>50fps 1080p - SD 4CIF resolution 4:3 format (cropped)</v>
      </c>
      <c r="Q3502">
        <f t="shared" si="434"/>
        <v>19</v>
      </c>
      <c r="R3502" t="str">
        <f t="shared" si="435"/>
        <v/>
      </c>
      <c r="S3502" t="str">
        <f t="shared" si="436"/>
        <v/>
      </c>
      <c r="T3502" s="403" t="str">
        <f t="shared" si="437"/>
        <v>NDE-8502-R</v>
      </c>
      <c r="U3502" s="403">
        <f t="shared" si="438"/>
        <v>1</v>
      </c>
      <c r="V3502" s="403" t="str">
        <f t="shared" si="439"/>
        <v>CPP_7_3</v>
      </c>
    </row>
    <row r="3503" spans="1:22">
      <c r="A3503" t="str">
        <f t="shared" si="432"/>
        <v>NDE-8502-R</v>
      </c>
      <c r="B3503" s="403" t="s">
        <v>1410</v>
      </c>
      <c r="C3503" s="403" t="s">
        <v>582</v>
      </c>
      <c r="D3503" s="403" t="s">
        <v>1411</v>
      </c>
      <c r="E3503" s="403" t="s">
        <v>1413</v>
      </c>
      <c r="F3503" s="403" t="s">
        <v>1290</v>
      </c>
      <c r="G3503" s="403" t="s">
        <v>1466</v>
      </c>
      <c r="H3503" s="403" t="s">
        <v>1276</v>
      </c>
      <c r="I3503" s="403">
        <v>1</v>
      </c>
      <c r="J3503" s="403" t="s">
        <v>110</v>
      </c>
      <c r="K3503" s="403">
        <v>1920</v>
      </c>
      <c r="L3503" s="403">
        <v>1080</v>
      </c>
      <c r="M3503" s="403" t="s">
        <v>1284</v>
      </c>
      <c r="N3503" s="403">
        <v>640</v>
      </c>
      <c r="O3503" s="403">
        <v>480</v>
      </c>
      <c r="P3503" t="str">
        <f t="shared" si="433"/>
        <v>50fps 1080p - SD VGA (cropped)</v>
      </c>
      <c r="Q3503">
        <f t="shared" si="434"/>
        <v>19</v>
      </c>
      <c r="R3503" t="str">
        <f t="shared" si="435"/>
        <v/>
      </c>
      <c r="S3503" t="str">
        <f t="shared" si="436"/>
        <v/>
      </c>
      <c r="T3503" s="403" t="str">
        <f t="shared" si="437"/>
        <v>NDE-8502-R</v>
      </c>
      <c r="U3503" s="403">
        <f t="shared" si="438"/>
        <v>1</v>
      </c>
      <c r="V3503" s="403" t="str">
        <f t="shared" si="439"/>
        <v>CPP_7_3</v>
      </c>
    </row>
    <row r="3504" spans="1:22">
      <c r="A3504" t="str">
        <f t="shared" si="432"/>
        <v>NDE-8502-R</v>
      </c>
      <c r="B3504" s="403" t="s">
        <v>1410</v>
      </c>
      <c r="C3504" s="403" t="s">
        <v>582</v>
      </c>
      <c r="D3504" s="403" t="s">
        <v>1411</v>
      </c>
      <c r="E3504" s="403" t="s">
        <v>1413</v>
      </c>
      <c r="F3504" s="403" t="s">
        <v>1290</v>
      </c>
      <c r="G3504" s="403" t="s">
        <v>1466</v>
      </c>
      <c r="H3504" s="403" t="s">
        <v>1276</v>
      </c>
      <c r="I3504" s="403">
        <v>1</v>
      </c>
      <c r="J3504" s="403" t="s">
        <v>1289</v>
      </c>
      <c r="K3504" s="403">
        <v>1280</v>
      </c>
      <c r="L3504" s="403">
        <v>720</v>
      </c>
      <c r="M3504" s="403" t="s">
        <v>1289</v>
      </c>
      <c r="N3504" s="403">
        <v>1280</v>
      </c>
      <c r="O3504" s="403">
        <v>720</v>
      </c>
      <c r="P3504" t="str">
        <f t="shared" si="433"/>
        <v>50fps 720p full frame rate - 720p full frame rate</v>
      </c>
      <c r="Q3504">
        <f t="shared" si="434"/>
        <v>19</v>
      </c>
      <c r="R3504" t="str">
        <f t="shared" si="435"/>
        <v/>
      </c>
      <c r="S3504" t="str">
        <f t="shared" si="436"/>
        <v/>
      </c>
      <c r="T3504" s="403" t="str">
        <f t="shared" si="437"/>
        <v>NDE-8502-R</v>
      </c>
      <c r="U3504" s="403">
        <f t="shared" si="438"/>
        <v>1</v>
      </c>
      <c r="V3504" s="403" t="str">
        <f t="shared" si="439"/>
        <v>CPP_7_3</v>
      </c>
    </row>
    <row r="3505" spans="1:22">
      <c r="A3505" t="str">
        <f t="shared" si="432"/>
        <v>NDE-8502-R</v>
      </c>
      <c r="B3505" s="403" t="s">
        <v>1410</v>
      </c>
      <c r="C3505" s="403" t="s">
        <v>582</v>
      </c>
      <c r="D3505" s="403" t="s">
        <v>1411</v>
      </c>
      <c r="E3505" s="403" t="s">
        <v>1413</v>
      </c>
      <c r="F3505" s="403" t="s">
        <v>1290</v>
      </c>
      <c r="G3505" s="403" t="s">
        <v>1466</v>
      </c>
      <c r="H3505" s="403" t="s">
        <v>1276</v>
      </c>
      <c r="I3505" s="403">
        <v>1</v>
      </c>
      <c r="J3505" s="403" t="s">
        <v>1289</v>
      </c>
      <c r="K3505" s="403">
        <v>1280</v>
      </c>
      <c r="L3505" s="403">
        <v>720</v>
      </c>
      <c r="M3505" s="403" t="s">
        <v>111</v>
      </c>
      <c r="N3505" s="403">
        <v>768</v>
      </c>
      <c r="O3505" s="403">
        <v>432</v>
      </c>
      <c r="P3505" t="str">
        <f t="shared" si="433"/>
        <v>50fps 720p full frame rate - SD</v>
      </c>
      <c r="Q3505">
        <f t="shared" si="434"/>
        <v>19</v>
      </c>
      <c r="R3505" t="str">
        <f t="shared" si="435"/>
        <v/>
      </c>
      <c r="S3505" t="str">
        <f t="shared" si="436"/>
        <v/>
      </c>
      <c r="T3505" s="403" t="str">
        <f t="shared" si="437"/>
        <v>NDE-8502-R</v>
      </c>
      <c r="U3505" s="403">
        <f t="shared" si="438"/>
        <v>1</v>
      </c>
      <c r="V3505" s="403" t="str">
        <f t="shared" si="439"/>
        <v>CPP_7_3</v>
      </c>
    </row>
    <row r="3506" spans="1:22">
      <c r="A3506" t="str">
        <f t="shared" si="432"/>
        <v>NDE-8502-R</v>
      </c>
      <c r="B3506" s="403" t="s">
        <v>1410</v>
      </c>
      <c r="C3506" s="403" t="s">
        <v>582</v>
      </c>
      <c r="D3506" s="403" t="s">
        <v>1411</v>
      </c>
      <c r="E3506" s="403" t="s">
        <v>1413</v>
      </c>
      <c r="F3506" s="403" t="s">
        <v>1290</v>
      </c>
      <c r="G3506" s="403" t="s">
        <v>1466</v>
      </c>
      <c r="H3506" s="403" t="s">
        <v>1276</v>
      </c>
      <c r="I3506" s="403">
        <v>1</v>
      </c>
      <c r="J3506" s="403" t="s">
        <v>1289</v>
      </c>
      <c r="K3506" s="403">
        <v>1280</v>
      </c>
      <c r="L3506" s="403">
        <v>720</v>
      </c>
      <c r="M3506" s="403" t="s">
        <v>1279</v>
      </c>
      <c r="N3506" s="403">
        <v>768</v>
      </c>
      <c r="O3506" s="403">
        <v>432</v>
      </c>
      <c r="P3506" t="str">
        <f t="shared" si="433"/>
        <v>50fps 720p full frame rate - SD ROI PTZ</v>
      </c>
      <c r="Q3506">
        <f t="shared" si="434"/>
        <v>19</v>
      </c>
      <c r="R3506" t="str">
        <f t="shared" si="435"/>
        <v/>
      </c>
      <c r="S3506" t="str">
        <f t="shared" si="436"/>
        <v/>
      </c>
      <c r="T3506" s="403" t="str">
        <f t="shared" si="437"/>
        <v>NDE-8502-R</v>
      </c>
      <c r="U3506" s="403">
        <f t="shared" si="438"/>
        <v>1</v>
      </c>
      <c r="V3506" s="403" t="str">
        <f t="shared" si="439"/>
        <v>CPP_7_3</v>
      </c>
    </row>
    <row r="3507" spans="1:22">
      <c r="A3507" t="str">
        <f t="shared" si="432"/>
        <v>NDE-8502-R</v>
      </c>
      <c r="B3507" s="403" t="s">
        <v>1410</v>
      </c>
      <c r="C3507" s="403" t="s">
        <v>582</v>
      </c>
      <c r="D3507" s="403" t="s">
        <v>1411</v>
      </c>
      <c r="E3507" s="403" t="s">
        <v>1413</v>
      </c>
      <c r="F3507" s="403" t="s">
        <v>1290</v>
      </c>
      <c r="G3507" s="403" t="s">
        <v>1466</v>
      </c>
      <c r="H3507" s="403" t="s">
        <v>1276</v>
      </c>
      <c r="I3507" s="403">
        <v>1</v>
      </c>
      <c r="J3507" s="403" t="s">
        <v>1289</v>
      </c>
      <c r="K3507" s="403">
        <v>1280</v>
      </c>
      <c r="L3507" s="403">
        <v>720</v>
      </c>
      <c r="M3507" s="403" t="s">
        <v>1283</v>
      </c>
      <c r="N3507" s="403">
        <v>720</v>
      </c>
      <c r="O3507" s="403">
        <v>576</v>
      </c>
      <c r="P3507" t="str">
        <f t="shared" si="433"/>
        <v>50fps 720p full frame rate - SD 4CIF resolution 4:3 format (cropped)</v>
      </c>
      <c r="Q3507">
        <f t="shared" si="434"/>
        <v>19</v>
      </c>
      <c r="R3507" t="str">
        <f t="shared" si="435"/>
        <v/>
      </c>
      <c r="S3507" t="str">
        <f t="shared" si="436"/>
        <v/>
      </c>
      <c r="T3507" s="403" t="str">
        <f t="shared" si="437"/>
        <v>NDE-8502-R</v>
      </c>
      <c r="U3507" s="403">
        <f t="shared" si="438"/>
        <v>1</v>
      </c>
      <c r="V3507" s="403" t="str">
        <f t="shared" si="439"/>
        <v>CPP_7_3</v>
      </c>
    </row>
    <row r="3508" spans="1:22">
      <c r="A3508" t="str">
        <f t="shared" si="432"/>
        <v>NDE-8502-R</v>
      </c>
      <c r="B3508" s="403" t="s">
        <v>1410</v>
      </c>
      <c r="C3508" s="403" t="s">
        <v>582</v>
      </c>
      <c r="D3508" s="403" t="s">
        <v>1411</v>
      </c>
      <c r="E3508" s="403" t="s">
        <v>1413</v>
      </c>
      <c r="F3508" s="403" t="s">
        <v>1290</v>
      </c>
      <c r="G3508" s="403" t="s">
        <v>1466</v>
      </c>
      <c r="H3508" s="403" t="s">
        <v>1276</v>
      </c>
      <c r="I3508" s="403">
        <v>1</v>
      </c>
      <c r="J3508" s="403" t="s">
        <v>1289</v>
      </c>
      <c r="K3508" s="403">
        <v>1280</v>
      </c>
      <c r="L3508" s="403">
        <v>720</v>
      </c>
      <c r="M3508" s="403" t="s">
        <v>1284</v>
      </c>
      <c r="N3508" s="403">
        <v>640</v>
      </c>
      <c r="O3508" s="403">
        <v>480</v>
      </c>
      <c r="P3508" t="str">
        <f t="shared" si="433"/>
        <v>50fps 720p full frame rate - SD VGA (cropped)</v>
      </c>
      <c r="Q3508">
        <f t="shared" si="434"/>
        <v>19</v>
      </c>
      <c r="R3508" t="str">
        <f t="shared" si="435"/>
        <v/>
      </c>
      <c r="S3508" t="str">
        <f t="shared" si="436"/>
        <v/>
      </c>
      <c r="T3508" s="403" t="str">
        <f t="shared" si="437"/>
        <v>NDE-8502-R</v>
      </c>
      <c r="U3508" s="403">
        <f t="shared" si="438"/>
        <v>1</v>
      </c>
      <c r="V3508" s="403" t="str">
        <f t="shared" si="439"/>
        <v>CPP_7_3</v>
      </c>
    </row>
    <row r="3509" spans="1:22">
      <c r="A3509" t="str">
        <f t="shared" si="432"/>
        <v>NDE-8502-R</v>
      </c>
      <c r="B3509" s="403" t="s">
        <v>1410</v>
      </c>
      <c r="C3509" s="403" t="s">
        <v>582</v>
      </c>
      <c r="D3509" s="403" t="s">
        <v>1411</v>
      </c>
      <c r="E3509" s="403" t="s">
        <v>1413</v>
      </c>
      <c r="F3509" s="403" t="s">
        <v>1290</v>
      </c>
      <c r="G3509" s="403" t="s">
        <v>1466</v>
      </c>
      <c r="H3509" s="403" t="s">
        <v>1281</v>
      </c>
      <c r="I3509" s="403">
        <v>1</v>
      </c>
      <c r="J3509" s="403" t="s">
        <v>110</v>
      </c>
      <c r="K3509" s="403">
        <v>1920</v>
      </c>
      <c r="L3509" s="403">
        <v>1080</v>
      </c>
      <c r="M3509" s="403" t="s">
        <v>111</v>
      </c>
      <c r="N3509" s="403">
        <v>768</v>
      </c>
      <c r="O3509" s="403">
        <v>432</v>
      </c>
      <c r="P3509" t="str">
        <f t="shared" si="433"/>
        <v>50fps 1080p - SD</v>
      </c>
      <c r="Q3509">
        <f t="shared" si="434"/>
        <v>19</v>
      </c>
      <c r="R3509" t="str">
        <f t="shared" si="435"/>
        <v/>
      </c>
      <c r="S3509" t="str">
        <f t="shared" si="436"/>
        <v/>
      </c>
      <c r="T3509" s="403" t="str">
        <f t="shared" si="437"/>
        <v>NDE-8502-R</v>
      </c>
      <c r="U3509" s="403">
        <f t="shared" si="438"/>
        <v>1</v>
      </c>
      <c r="V3509" s="403" t="str">
        <f t="shared" si="439"/>
        <v>CPP_7_3</v>
      </c>
    </row>
    <row r="3510" spans="1:22">
      <c r="A3510" t="str">
        <f t="shared" si="432"/>
        <v>NDE-8502-R</v>
      </c>
      <c r="B3510" s="403" t="s">
        <v>1410</v>
      </c>
      <c r="C3510" s="403" t="s">
        <v>582</v>
      </c>
      <c r="D3510" s="403" t="s">
        <v>1411</v>
      </c>
      <c r="E3510" s="403" t="s">
        <v>1413</v>
      </c>
      <c r="F3510" s="403" t="s">
        <v>1290</v>
      </c>
      <c r="G3510" s="403" t="s">
        <v>1466</v>
      </c>
      <c r="H3510" s="403" t="s">
        <v>1281</v>
      </c>
      <c r="I3510" s="403">
        <v>1</v>
      </c>
      <c r="J3510" s="403" t="s">
        <v>110</v>
      </c>
      <c r="K3510" s="403">
        <v>1920</v>
      </c>
      <c r="L3510" s="403">
        <v>1080</v>
      </c>
      <c r="M3510" s="403" t="s">
        <v>1289</v>
      </c>
      <c r="N3510" s="403">
        <v>1280</v>
      </c>
      <c r="O3510" s="403">
        <v>720</v>
      </c>
      <c r="P3510" t="str">
        <f t="shared" si="433"/>
        <v>50fps 1080p - 720p full frame rate</v>
      </c>
      <c r="Q3510">
        <f t="shared" si="434"/>
        <v>19</v>
      </c>
      <c r="R3510" t="str">
        <f t="shared" si="435"/>
        <v/>
      </c>
      <c r="S3510" t="str">
        <f t="shared" si="436"/>
        <v/>
      </c>
      <c r="T3510" s="403" t="str">
        <f t="shared" si="437"/>
        <v>NDE-8502-R</v>
      </c>
      <c r="U3510" s="403">
        <f t="shared" si="438"/>
        <v>1</v>
      </c>
      <c r="V3510" s="403" t="str">
        <f t="shared" si="439"/>
        <v>CPP_7_3</v>
      </c>
    </row>
    <row r="3511" spans="1:22">
      <c r="A3511" t="str">
        <f t="shared" si="432"/>
        <v>NDE-8502-R</v>
      </c>
      <c r="B3511" s="403" t="s">
        <v>1410</v>
      </c>
      <c r="C3511" s="403" t="s">
        <v>582</v>
      </c>
      <c r="D3511" s="403" t="s">
        <v>1411</v>
      </c>
      <c r="E3511" s="403" t="s">
        <v>1413</v>
      </c>
      <c r="F3511" s="403" t="s">
        <v>1290</v>
      </c>
      <c r="G3511" s="403" t="s">
        <v>1466</v>
      </c>
      <c r="H3511" s="403" t="s">
        <v>1281</v>
      </c>
      <c r="I3511" s="403">
        <v>1</v>
      </c>
      <c r="J3511" s="403" t="s">
        <v>110</v>
      </c>
      <c r="K3511" s="403">
        <v>1920</v>
      </c>
      <c r="L3511" s="403">
        <v>1080</v>
      </c>
      <c r="M3511" s="403" t="s">
        <v>1279</v>
      </c>
      <c r="N3511" s="403">
        <v>768</v>
      </c>
      <c r="O3511" s="403">
        <v>432</v>
      </c>
      <c r="P3511" t="str">
        <f t="shared" si="433"/>
        <v>50fps 1080p - SD ROI PTZ</v>
      </c>
      <c r="Q3511">
        <f t="shared" si="434"/>
        <v>19</v>
      </c>
      <c r="R3511" t="str">
        <f t="shared" si="435"/>
        <v/>
      </c>
      <c r="S3511" t="str">
        <f t="shared" si="436"/>
        <v/>
      </c>
      <c r="T3511" s="403" t="str">
        <f t="shared" si="437"/>
        <v>NDE-8502-R</v>
      </c>
      <c r="U3511" s="403">
        <f t="shared" si="438"/>
        <v>1</v>
      </c>
      <c r="V3511" s="403" t="str">
        <f t="shared" si="439"/>
        <v>CPP_7_3</v>
      </c>
    </row>
    <row r="3512" spans="1:22">
      <c r="A3512" t="str">
        <f t="shared" si="432"/>
        <v>NDE-8502-R</v>
      </c>
      <c r="B3512" s="403" t="s">
        <v>1410</v>
      </c>
      <c r="C3512" s="403" t="s">
        <v>582</v>
      </c>
      <c r="D3512" s="403" t="s">
        <v>1411</v>
      </c>
      <c r="E3512" s="403" t="s">
        <v>1413</v>
      </c>
      <c r="F3512" s="403" t="s">
        <v>1290</v>
      </c>
      <c r="G3512" s="403" t="s">
        <v>1466</v>
      </c>
      <c r="H3512" s="403" t="s">
        <v>1281</v>
      </c>
      <c r="I3512" s="403">
        <v>1</v>
      </c>
      <c r="J3512" s="403" t="s">
        <v>110</v>
      </c>
      <c r="K3512" s="403">
        <v>1920</v>
      </c>
      <c r="L3512" s="403">
        <v>1080</v>
      </c>
      <c r="M3512" s="403" t="s">
        <v>1283</v>
      </c>
      <c r="N3512" s="403">
        <v>720</v>
      </c>
      <c r="O3512" s="403">
        <v>576</v>
      </c>
      <c r="P3512" t="str">
        <f t="shared" si="433"/>
        <v>50fps 1080p - SD 4CIF resolution 4:3 format (cropped)</v>
      </c>
      <c r="Q3512">
        <f t="shared" si="434"/>
        <v>19</v>
      </c>
      <c r="R3512" t="str">
        <f t="shared" si="435"/>
        <v/>
      </c>
      <c r="S3512" t="str">
        <f t="shared" si="436"/>
        <v/>
      </c>
      <c r="T3512" s="403" t="str">
        <f t="shared" si="437"/>
        <v>NDE-8502-R</v>
      </c>
      <c r="U3512" s="403">
        <f t="shared" si="438"/>
        <v>1</v>
      </c>
      <c r="V3512" s="403" t="str">
        <f t="shared" si="439"/>
        <v>CPP_7_3</v>
      </c>
    </row>
    <row r="3513" spans="1:22">
      <c r="A3513" t="str">
        <f t="shared" si="432"/>
        <v>NDE-8502-R</v>
      </c>
      <c r="B3513" s="403" t="s">
        <v>1410</v>
      </c>
      <c r="C3513" s="403" t="s">
        <v>582</v>
      </c>
      <c r="D3513" s="403" t="s">
        <v>1411</v>
      </c>
      <c r="E3513" s="403" t="s">
        <v>1413</v>
      </c>
      <c r="F3513" s="403" t="s">
        <v>1290</v>
      </c>
      <c r="G3513" s="403" t="s">
        <v>1466</v>
      </c>
      <c r="H3513" s="403" t="s">
        <v>1281</v>
      </c>
      <c r="I3513" s="403">
        <v>1</v>
      </c>
      <c r="J3513" s="403" t="s">
        <v>110</v>
      </c>
      <c r="K3513" s="403">
        <v>1920</v>
      </c>
      <c r="L3513" s="403">
        <v>1080</v>
      </c>
      <c r="M3513" s="403" t="s">
        <v>1284</v>
      </c>
      <c r="N3513" s="403">
        <v>640</v>
      </c>
      <c r="O3513" s="403">
        <v>480</v>
      </c>
      <c r="P3513" t="str">
        <f t="shared" si="433"/>
        <v>50fps 1080p - SD VGA (cropped)</v>
      </c>
      <c r="Q3513">
        <f t="shared" si="434"/>
        <v>19</v>
      </c>
      <c r="R3513" t="str">
        <f t="shared" si="435"/>
        <v/>
      </c>
      <c r="S3513" t="str">
        <f t="shared" si="436"/>
        <v/>
      </c>
      <c r="T3513" s="403" t="str">
        <f t="shared" si="437"/>
        <v>NDE-8502-R</v>
      </c>
      <c r="U3513" s="403">
        <f t="shared" si="438"/>
        <v>1</v>
      </c>
      <c r="V3513" s="403" t="str">
        <f t="shared" si="439"/>
        <v>CPP_7_3</v>
      </c>
    </row>
    <row r="3514" spans="1:22">
      <c r="A3514" t="str">
        <f t="shared" si="432"/>
        <v>NDE-8502-R</v>
      </c>
      <c r="B3514" s="403" t="s">
        <v>1410</v>
      </c>
      <c r="C3514" s="403" t="s">
        <v>582</v>
      </c>
      <c r="D3514" s="403" t="s">
        <v>1411</v>
      </c>
      <c r="E3514" s="403" t="s">
        <v>1413</v>
      </c>
      <c r="F3514" s="403" t="s">
        <v>1290</v>
      </c>
      <c r="G3514" s="403" t="s">
        <v>1466</v>
      </c>
      <c r="H3514" s="403" t="s">
        <v>1281</v>
      </c>
      <c r="I3514" s="403">
        <v>1</v>
      </c>
      <c r="J3514" s="403" t="s">
        <v>1289</v>
      </c>
      <c r="K3514" s="403">
        <v>1280</v>
      </c>
      <c r="L3514" s="403">
        <v>720</v>
      </c>
      <c r="M3514" s="403" t="s">
        <v>1289</v>
      </c>
      <c r="N3514" s="403">
        <v>1280</v>
      </c>
      <c r="O3514" s="403">
        <v>720</v>
      </c>
      <c r="P3514" t="str">
        <f t="shared" si="433"/>
        <v>50fps 720p full frame rate - 720p full frame rate</v>
      </c>
      <c r="Q3514">
        <f t="shared" si="434"/>
        <v>19</v>
      </c>
      <c r="R3514" t="str">
        <f t="shared" si="435"/>
        <v/>
      </c>
      <c r="S3514" t="str">
        <f t="shared" si="436"/>
        <v/>
      </c>
      <c r="T3514" s="403" t="str">
        <f t="shared" si="437"/>
        <v>NDE-8502-R</v>
      </c>
      <c r="U3514" s="403">
        <f t="shared" si="438"/>
        <v>1</v>
      </c>
      <c r="V3514" s="403" t="str">
        <f t="shared" si="439"/>
        <v>CPP_7_3</v>
      </c>
    </row>
    <row r="3515" spans="1:22">
      <c r="A3515" t="str">
        <f t="shared" si="432"/>
        <v>NDE-8502-R</v>
      </c>
      <c r="B3515" s="403" t="s">
        <v>1410</v>
      </c>
      <c r="C3515" s="403" t="s">
        <v>582</v>
      </c>
      <c r="D3515" s="403" t="s">
        <v>1411</v>
      </c>
      <c r="E3515" s="403" t="s">
        <v>1413</v>
      </c>
      <c r="F3515" s="403" t="s">
        <v>1290</v>
      </c>
      <c r="G3515" s="403" t="s">
        <v>1466</v>
      </c>
      <c r="H3515" s="403" t="s">
        <v>1281</v>
      </c>
      <c r="I3515" s="403">
        <v>1</v>
      </c>
      <c r="J3515" s="403" t="s">
        <v>1289</v>
      </c>
      <c r="K3515" s="403">
        <v>1280</v>
      </c>
      <c r="L3515" s="403">
        <v>720</v>
      </c>
      <c r="M3515" s="403" t="s">
        <v>111</v>
      </c>
      <c r="N3515" s="403">
        <v>768</v>
      </c>
      <c r="O3515" s="403">
        <v>432</v>
      </c>
      <c r="P3515" t="str">
        <f t="shared" si="433"/>
        <v>50fps 720p full frame rate - SD</v>
      </c>
      <c r="Q3515">
        <f t="shared" si="434"/>
        <v>19</v>
      </c>
      <c r="R3515" t="str">
        <f t="shared" si="435"/>
        <v/>
      </c>
      <c r="S3515" t="str">
        <f t="shared" si="436"/>
        <v/>
      </c>
      <c r="T3515" s="403" t="str">
        <f t="shared" si="437"/>
        <v>NDE-8502-R</v>
      </c>
      <c r="U3515" s="403">
        <f t="shared" si="438"/>
        <v>1</v>
      </c>
      <c r="V3515" s="403" t="str">
        <f t="shared" si="439"/>
        <v>CPP_7_3</v>
      </c>
    </row>
    <row r="3516" spans="1:22">
      <c r="A3516" t="str">
        <f t="shared" si="432"/>
        <v>NDE-8502-R</v>
      </c>
      <c r="B3516" s="403" t="s">
        <v>1410</v>
      </c>
      <c r="C3516" s="403" t="s">
        <v>582</v>
      </c>
      <c r="D3516" s="403" t="s">
        <v>1411</v>
      </c>
      <c r="E3516" s="403" t="s">
        <v>1413</v>
      </c>
      <c r="F3516" s="403" t="s">
        <v>1290</v>
      </c>
      <c r="G3516" s="403" t="s">
        <v>1466</v>
      </c>
      <c r="H3516" s="403" t="s">
        <v>1281</v>
      </c>
      <c r="I3516" s="403">
        <v>1</v>
      </c>
      <c r="J3516" s="403" t="s">
        <v>1289</v>
      </c>
      <c r="K3516" s="403">
        <v>1280</v>
      </c>
      <c r="L3516" s="403">
        <v>720</v>
      </c>
      <c r="M3516" s="403" t="s">
        <v>1279</v>
      </c>
      <c r="N3516" s="403">
        <v>768</v>
      </c>
      <c r="O3516" s="403">
        <v>432</v>
      </c>
      <c r="P3516" t="str">
        <f t="shared" si="433"/>
        <v>50fps 720p full frame rate - SD ROI PTZ</v>
      </c>
      <c r="Q3516">
        <f t="shared" si="434"/>
        <v>19</v>
      </c>
      <c r="R3516" t="str">
        <f t="shared" si="435"/>
        <v/>
      </c>
      <c r="S3516" t="str">
        <f t="shared" si="436"/>
        <v/>
      </c>
      <c r="T3516" s="403" t="str">
        <f t="shared" si="437"/>
        <v>NDE-8502-R</v>
      </c>
      <c r="U3516" s="403">
        <f t="shared" si="438"/>
        <v>1</v>
      </c>
      <c r="V3516" s="403" t="str">
        <f t="shared" si="439"/>
        <v>CPP_7_3</v>
      </c>
    </row>
    <row r="3517" spans="1:22">
      <c r="A3517" t="str">
        <f t="shared" si="432"/>
        <v>NDE-8502-R</v>
      </c>
      <c r="B3517" s="403" t="s">
        <v>1410</v>
      </c>
      <c r="C3517" s="403" t="s">
        <v>582</v>
      </c>
      <c r="D3517" s="403" t="s">
        <v>1411</v>
      </c>
      <c r="E3517" s="403" t="s">
        <v>1413</v>
      </c>
      <c r="F3517" s="403" t="s">
        <v>1290</v>
      </c>
      <c r="G3517" s="403" t="s">
        <v>1466</v>
      </c>
      <c r="H3517" s="403" t="s">
        <v>1281</v>
      </c>
      <c r="I3517" s="403">
        <v>1</v>
      </c>
      <c r="J3517" s="403" t="s">
        <v>1289</v>
      </c>
      <c r="K3517" s="403">
        <v>1280</v>
      </c>
      <c r="L3517" s="403">
        <v>720</v>
      </c>
      <c r="M3517" s="403" t="s">
        <v>1283</v>
      </c>
      <c r="N3517" s="403">
        <v>720</v>
      </c>
      <c r="O3517" s="403">
        <v>576</v>
      </c>
      <c r="P3517" t="str">
        <f t="shared" si="433"/>
        <v>50fps 720p full frame rate - SD 4CIF resolution 4:3 format (cropped)</v>
      </c>
      <c r="Q3517">
        <f t="shared" si="434"/>
        <v>19</v>
      </c>
      <c r="R3517" t="str">
        <f t="shared" si="435"/>
        <v/>
      </c>
      <c r="S3517" t="str">
        <f t="shared" si="436"/>
        <v/>
      </c>
      <c r="T3517" s="403" t="str">
        <f t="shared" si="437"/>
        <v>NDE-8502-R</v>
      </c>
      <c r="U3517" s="403">
        <f t="shared" si="438"/>
        <v>1</v>
      </c>
      <c r="V3517" s="403" t="str">
        <f t="shared" si="439"/>
        <v>CPP_7_3</v>
      </c>
    </row>
    <row r="3518" spans="1:22">
      <c r="A3518" t="str">
        <f t="shared" si="432"/>
        <v>NDE-8502-R</v>
      </c>
      <c r="B3518" s="403" t="s">
        <v>1410</v>
      </c>
      <c r="C3518" s="403" t="s">
        <v>582</v>
      </c>
      <c r="D3518" s="403" t="s">
        <v>1411</v>
      </c>
      <c r="E3518" s="403" t="s">
        <v>1413</v>
      </c>
      <c r="F3518" s="403" t="s">
        <v>1290</v>
      </c>
      <c r="G3518" s="403" t="s">
        <v>1466</v>
      </c>
      <c r="H3518" s="403" t="s">
        <v>1281</v>
      </c>
      <c r="I3518" s="403">
        <v>1</v>
      </c>
      <c r="J3518" s="403" t="s">
        <v>1289</v>
      </c>
      <c r="K3518" s="403">
        <v>1280</v>
      </c>
      <c r="L3518" s="403">
        <v>720</v>
      </c>
      <c r="M3518" s="403" t="s">
        <v>1284</v>
      </c>
      <c r="N3518" s="403">
        <v>640</v>
      </c>
      <c r="O3518" s="403">
        <v>480</v>
      </c>
      <c r="P3518" t="str">
        <f t="shared" si="433"/>
        <v>50fps 720p full frame rate - SD VGA (cropped)</v>
      </c>
      <c r="Q3518">
        <f t="shared" si="434"/>
        <v>19</v>
      </c>
      <c r="R3518" t="str">
        <f t="shared" si="435"/>
        <v/>
      </c>
      <c r="S3518" t="str">
        <f t="shared" si="436"/>
        <v/>
      </c>
      <c r="T3518" s="403" t="str">
        <f t="shared" si="437"/>
        <v>NDE-8502-R</v>
      </c>
      <c r="U3518" s="403">
        <f t="shared" si="438"/>
        <v>1</v>
      </c>
      <c r="V3518" s="403" t="str">
        <f t="shared" si="439"/>
        <v>CPP_7_3</v>
      </c>
    </row>
    <row r="3519" spans="1:22">
      <c r="A3519" t="str">
        <f t="shared" si="432"/>
        <v>NDE-8502-R</v>
      </c>
      <c r="B3519" s="403" t="s">
        <v>1410</v>
      </c>
      <c r="C3519" s="403" t="s">
        <v>582</v>
      </c>
      <c r="D3519" s="403" t="s">
        <v>1411</v>
      </c>
      <c r="E3519" s="403" t="s">
        <v>1413</v>
      </c>
      <c r="F3519" s="403" t="s">
        <v>1290</v>
      </c>
      <c r="G3519" s="403" t="s">
        <v>1466</v>
      </c>
      <c r="H3519" s="403" t="s">
        <v>1282</v>
      </c>
      <c r="I3519" s="403">
        <v>1</v>
      </c>
      <c r="J3519" s="403" t="s">
        <v>110</v>
      </c>
      <c r="K3519" s="403">
        <v>1920</v>
      </c>
      <c r="L3519" s="403">
        <v>1080</v>
      </c>
      <c r="M3519" s="403" t="s">
        <v>111</v>
      </c>
      <c r="N3519" s="403">
        <v>768</v>
      </c>
      <c r="O3519" s="403">
        <v>432</v>
      </c>
      <c r="P3519" t="str">
        <f t="shared" si="433"/>
        <v>50fps 1080p - SD</v>
      </c>
      <c r="Q3519">
        <f t="shared" si="434"/>
        <v>19</v>
      </c>
      <c r="R3519" t="str">
        <f t="shared" si="435"/>
        <v/>
      </c>
      <c r="S3519" t="str">
        <f t="shared" si="436"/>
        <v/>
      </c>
      <c r="T3519" s="403" t="str">
        <f t="shared" si="437"/>
        <v>NDE-8502-R</v>
      </c>
      <c r="U3519" s="403">
        <f t="shared" si="438"/>
        <v>1</v>
      </c>
      <c r="V3519" s="403" t="str">
        <f t="shared" si="439"/>
        <v>CPP_7_3</v>
      </c>
    </row>
    <row r="3520" spans="1:22">
      <c r="A3520" t="str">
        <f t="shared" si="432"/>
        <v>NDE-8502-R</v>
      </c>
      <c r="B3520" s="403" t="s">
        <v>1410</v>
      </c>
      <c r="C3520" s="403" t="s">
        <v>582</v>
      </c>
      <c r="D3520" s="403" t="s">
        <v>1411</v>
      </c>
      <c r="E3520" s="403" t="s">
        <v>1413</v>
      </c>
      <c r="F3520" s="403" t="s">
        <v>1290</v>
      </c>
      <c r="G3520" s="403" t="s">
        <v>1466</v>
      </c>
      <c r="H3520" s="403" t="s">
        <v>1282</v>
      </c>
      <c r="I3520" s="403">
        <v>1</v>
      </c>
      <c r="J3520" s="403" t="s">
        <v>110</v>
      </c>
      <c r="K3520" s="403">
        <v>1920</v>
      </c>
      <c r="L3520" s="403">
        <v>1080</v>
      </c>
      <c r="M3520" s="403" t="s">
        <v>110</v>
      </c>
      <c r="N3520" s="403">
        <v>1920</v>
      </c>
      <c r="O3520" s="403">
        <v>1080</v>
      </c>
      <c r="P3520" t="str">
        <f t="shared" si="433"/>
        <v>50fps 1080p - 1080p</v>
      </c>
      <c r="Q3520">
        <f t="shared" si="434"/>
        <v>19</v>
      </c>
      <c r="R3520" t="str">
        <f t="shared" si="435"/>
        <v/>
      </c>
      <c r="S3520" t="str">
        <f t="shared" si="436"/>
        <v/>
      </c>
      <c r="T3520" s="403" t="str">
        <f t="shared" si="437"/>
        <v>NDE-8502-R</v>
      </c>
      <c r="U3520" s="403">
        <f t="shared" si="438"/>
        <v>1</v>
      </c>
      <c r="V3520" s="403" t="str">
        <f t="shared" si="439"/>
        <v>CPP_7_3</v>
      </c>
    </row>
    <row r="3521" spans="1:22">
      <c r="A3521" t="str">
        <f t="shared" si="432"/>
        <v>NDE-8502-R</v>
      </c>
      <c r="B3521" s="403" t="s">
        <v>1410</v>
      </c>
      <c r="C3521" s="403" t="s">
        <v>582</v>
      </c>
      <c r="D3521" s="403" t="s">
        <v>1411</v>
      </c>
      <c r="E3521" s="403" t="s">
        <v>1413</v>
      </c>
      <c r="F3521" s="403" t="s">
        <v>1290</v>
      </c>
      <c r="G3521" s="403" t="s">
        <v>1466</v>
      </c>
      <c r="H3521" s="403" t="s">
        <v>1282</v>
      </c>
      <c r="I3521" s="403">
        <v>1</v>
      </c>
      <c r="J3521" s="403" t="s">
        <v>110</v>
      </c>
      <c r="K3521" s="403">
        <v>1920</v>
      </c>
      <c r="L3521" s="403">
        <v>1080</v>
      </c>
      <c r="M3521" s="403" t="s">
        <v>1289</v>
      </c>
      <c r="N3521" s="403">
        <v>1280</v>
      </c>
      <c r="O3521" s="403">
        <v>720</v>
      </c>
      <c r="P3521" t="str">
        <f t="shared" si="433"/>
        <v>50fps 1080p - 720p full frame rate</v>
      </c>
      <c r="Q3521">
        <f t="shared" si="434"/>
        <v>19</v>
      </c>
      <c r="R3521" t="str">
        <f t="shared" si="435"/>
        <v/>
      </c>
      <c r="S3521" t="str">
        <f t="shared" si="436"/>
        <v/>
      </c>
      <c r="T3521" s="403" t="str">
        <f t="shared" si="437"/>
        <v>NDE-8502-R</v>
      </c>
      <c r="U3521" s="403">
        <f t="shared" si="438"/>
        <v>1</v>
      </c>
      <c r="V3521" s="403" t="str">
        <f t="shared" si="439"/>
        <v>CPP_7_3</v>
      </c>
    </row>
    <row r="3522" spans="1:22">
      <c r="A3522" t="str">
        <f t="shared" ref="A3522:A3585" si="440">IF(AND(G3522&lt;&gt;"rotate 90°"),D3522,"")</f>
        <v>NDE-8502-R</v>
      </c>
      <c r="B3522" s="403" t="s">
        <v>1410</v>
      </c>
      <c r="C3522" s="403" t="s">
        <v>582</v>
      </c>
      <c r="D3522" s="403" t="s">
        <v>1411</v>
      </c>
      <c r="E3522" s="403" t="s">
        <v>1413</v>
      </c>
      <c r="F3522" s="403" t="s">
        <v>1290</v>
      </c>
      <c r="G3522" s="403" t="s">
        <v>1466</v>
      </c>
      <c r="H3522" s="403" t="s">
        <v>1282</v>
      </c>
      <c r="I3522" s="403">
        <v>1</v>
      </c>
      <c r="J3522" s="403" t="s">
        <v>110</v>
      </c>
      <c r="K3522" s="403">
        <v>1920</v>
      </c>
      <c r="L3522" s="403">
        <v>1080</v>
      </c>
      <c r="M3522" s="403" t="s">
        <v>1285</v>
      </c>
      <c r="N3522" s="403">
        <v>1280</v>
      </c>
      <c r="O3522" s="403">
        <v>1024</v>
      </c>
      <c r="P3522" t="str">
        <f t="shared" ref="P3522:P3585" si="441">LEFT(F3522,5)&amp;" "&amp;J3522&amp;" - "&amp;M3522</f>
        <v>50fps 1080p - 1280x1024 5:4 (cropped)</v>
      </c>
      <c r="Q3522">
        <f t="shared" ref="Q3522:Q3585" si="442">IF(A3521=A3522,Q3521,Q3521+1)</f>
        <v>19</v>
      </c>
      <c r="R3522" t="str">
        <f t="shared" ref="R3522:R3585" si="443">IF(Q3521&lt;&gt;Q3522,Q3522,"")</f>
        <v/>
      </c>
      <c r="S3522" t="str">
        <f t="shared" ref="S3522:S3585" si="444">IF(R3522&lt;&gt;"",B3522&amp;" ("&amp;D3522&amp;")","")</f>
        <v/>
      </c>
      <c r="T3522" s="403" t="str">
        <f t="shared" ref="T3522:T3585" si="445">D3522</f>
        <v>NDE-8502-R</v>
      </c>
      <c r="U3522" s="403">
        <f t="shared" ref="U3522:U3585" si="446">I3522</f>
        <v>1</v>
      </c>
      <c r="V3522" s="403" t="str">
        <f t="shared" ref="V3522:V3585" si="447">C3522</f>
        <v>CPP_7_3</v>
      </c>
    </row>
    <row r="3523" spans="1:22">
      <c r="A3523" t="str">
        <f t="shared" si="440"/>
        <v>NDE-8502-R</v>
      </c>
      <c r="B3523" s="403" t="s">
        <v>1410</v>
      </c>
      <c r="C3523" s="403" t="s">
        <v>582</v>
      </c>
      <c r="D3523" s="403" t="s">
        <v>1411</v>
      </c>
      <c r="E3523" s="403" t="s">
        <v>1413</v>
      </c>
      <c r="F3523" s="403" t="s">
        <v>1290</v>
      </c>
      <c r="G3523" s="403" t="s">
        <v>1466</v>
      </c>
      <c r="H3523" s="403" t="s">
        <v>1282</v>
      </c>
      <c r="I3523" s="403">
        <v>1</v>
      </c>
      <c r="J3523" s="403" t="s">
        <v>110</v>
      </c>
      <c r="K3523" s="403">
        <v>1920</v>
      </c>
      <c r="L3523" s="403">
        <v>1080</v>
      </c>
      <c r="M3523" s="403" t="s">
        <v>1279</v>
      </c>
      <c r="N3523" s="403">
        <v>768</v>
      </c>
      <c r="O3523" s="403">
        <v>432</v>
      </c>
      <c r="P3523" t="str">
        <f t="shared" si="441"/>
        <v>50fps 1080p - SD ROI PTZ</v>
      </c>
      <c r="Q3523">
        <f t="shared" si="442"/>
        <v>19</v>
      </c>
      <c r="R3523" t="str">
        <f t="shared" si="443"/>
        <v/>
      </c>
      <c r="S3523" t="str">
        <f t="shared" si="444"/>
        <v/>
      </c>
      <c r="T3523" s="403" t="str">
        <f t="shared" si="445"/>
        <v>NDE-8502-R</v>
      </c>
      <c r="U3523" s="403">
        <f t="shared" si="446"/>
        <v>1</v>
      </c>
      <c r="V3523" s="403" t="str">
        <f t="shared" si="447"/>
        <v>CPP_7_3</v>
      </c>
    </row>
    <row r="3524" spans="1:22">
      <c r="A3524" t="str">
        <f t="shared" si="440"/>
        <v>NDE-8502-R</v>
      </c>
      <c r="B3524" s="403" t="s">
        <v>1410</v>
      </c>
      <c r="C3524" s="403" t="s">
        <v>582</v>
      </c>
      <c r="D3524" s="403" t="s">
        <v>1411</v>
      </c>
      <c r="E3524" s="403" t="s">
        <v>1413</v>
      </c>
      <c r="F3524" s="403" t="s">
        <v>1290</v>
      </c>
      <c r="G3524" s="403" t="s">
        <v>1466</v>
      </c>
      <c r="H3524" s="403" t="s">
        <v>1282</v>
      </c>
      <c r="I3524" s="403">
        <v>1</v>
      </c>
      <c r="J3524" s="403" t="s">
        <v>110</v>
      </c>
      <c r="K3524" s="403">
        <v>1920</v>
      </c>
      <c r="L3524" s="403">
        <v>1080</v>
      </c>
      <c r="M3524" s="403" t="s">
        <v>1283</v>
      </c>
      <c r="N3524" s="403">
        <v>720</v>
      </c>
      <c r="O3524" s="403">
        <v>576</v>
      </c>
      <c r="P3524" t="str">
        <f t="shared" si="441"/>
        <v>50fps 1080p - SD 4CIF resolution 4:3 format (cropped)</v>
      </c>
      <c r="Q3524">
        <f t="shared" si="442"/>
        <v>19</v>
      </c>
      <c r="R3524" t="str">
        <f t="shared" si="443"/>
        <v/>
      </c>
      <c r="S3524" t="str">
        <f t="shared" si="444"/>
        <v/>
      </c>
      <c r="T3524" s="403" t="str">
        <f t="shared" si="445"/>
        <v>NDE-8502-R</v>
      </c>
      <c r="U3524" s="403">
        <f t="shared" si="446"/>
        <v>1</v>
      </c>
      <c r="V3524" s="403" t="str">
        <f t="shared" si="447"/>
        <v>CPP_7_3</v>
      </c>
    </row>
    <row r="3525" spans="1:22">
      <c r="A3525" t="str">
        <f t="shared" si="440"/>
        <v>NDE-8502-R</v>
      </c>
      <c r="B3525" s="403" t="s">
        <v>1410</v>
      </c>
      <c r="C3525" s="403" t="s">
        <v>582</v>
      </c>
      <c r="D3525" s="403" t="s">
        <v>1411</v>
      </c>
      <c r="E3525" s="403" t="s">
        <v>1413</v>
      </c>
      <c r="F3525" s="403" t="s">
        <v>1290</v>
      </c>
      <c r="G3525" s="403" t="s">
        <v>1466</v>
      </c>
      <c r="H3525" s="403" t="s">
        <v>1282</v>
      </c>
      <c r="I3525" s="403">
        <v>1</v>
      </c>
      <c r="J3525" s="403" t="s">
        <v>110</v>
      </c>
      <c r="K3525" s="403">
        <v>1920</v>
      </c>
      <c r="L3525" s="403">
        <v>1080</v>
      </c>
      <c r="M3525" s="403" t="s">
        <v>1284</v>
      </c>
      <c r="N3525" s="403">
        <v>640</v>
      </c>
      <c r="O3525" s="403">
        <v>480</v>
      </c>
      <c r="P3525" t="str">
        <f t="shared" si="441"/>
        <v>50fps 1080p - SD VGA (cropped)</v>
      </c>
      <c r="Q3525">
        <f t="shared" si="442"/>
        <v>19</v>
      </c>
      <c r="R3525" t="str">
        <f t="shared" si="443"/>
        <v/>
      </c>
      <c r="S3525" t="str">
        <f t="shared" si="444"/>
        <v/>
      </c>
      <c r="T3525" s="403" t="str">
        <f t="shared" si="445"/>
        <v>NDE-8502-R</v>
      </c>
      <c r="U3525" s="403">
        <f t="shared" si="446"/>
        <v>1</v>
      </c>
      <c r="V3525" s="403" t="str">
        <f t="shared" si="447"/>
        <v>CPP_7_3</v>
      </c>
    </row>
    <row r="3526" spans="1:22">
      <c r="A3526" t="str">
        <f t="shared" si="440"/>
        <v>NDE-8502-R</v>
      </c>
      <c r="B3526" s="403" t="s">
        <v>1410</v>
      </c>
      <c r="C3526" s="403" t="s">
        <v>582</v>
      </c>
      <c r="D3526" s="403" t="s">
        <v>1411</v>
      </c>
      <c r="E3526" s="403" t="s">
        <v>1413</v>
      </c>
      <c r="F3526" s="403" t="s">
        <v>1290</v>
      </c>
      <c r="G3526" s="403" t="s">
        <v>1466</v>
      </c>
      <c r="H3526" s="403" t="s">
        <v>1282</v>
      </c>
      <c r="I3526" s="403">
        <v>1</v>
      </c>
      <c r="J3526" s="403" t="s">
        <v>1289</v>
      </c>
      <c r="K3526" s="403">
        <v>1280</v>
      </c>
      <c r="L3526" s="403">
        <v>720</v>
      </c>
      <c r="M3526" s="403" t="s">
        <v>1289</v>
      </c>
      <c r="N3526" s="403">
        <v>1280</v>
      </c>
      <c r="O3526" s="403">
        <v>720</v>
      </c>
      <c r="P3526" t="str">
        <f t="shared" si="441"/>
        <v>50fps 720p full frame rate - 720p full frame rate</v>
      </c>
      <c r="Q3526">
        <f t="shared" si="442"/>
        <v>19</v>
      </c>
      <c r="R3526" t="str">
        <f t="shared" si="443"/>
        <v/>
      </c>
      <c r="S3526" t="str">
        <f t="shared" si="444"/>
        <v/>
      </c>
      <c r="T3526" s="403" t="str">
        <f t="shared" si="445"/>
        <v>NDE-8502-R</v>
      </c>
      <c r="U3526" s="403">
        <f t="shared" si="446"/>
        <v>1</v>
      </c>
      <c r="V3526" s="403" t="str">
        <f t="shared" si="447"/>
        <v>CPP_7_3</v>
      </c>
    </row>
    <row r="3527" spans="1:22">
      <c r="A3527" t="str">
        <f t="shared" si="440"/>
        <v>NDE-8502-R</v>
      </c>
      <c r="B3527" s="403" t="s">
        <v>1410</v>
      </c>
      <c r="C3527" s="403" t="s">
        <v>582</v>
      </c>
      <c r="D3527" s="403" t="s">
        <v>1411</v>
      </c>
      <c r="E3527" s="403" t="s">
        <v>1413</v>
      </c>
      <c r="F3527" s="403" t="s">
        <v>1290</v>
      </c>
      <c r="G3527" s="403" t="s">
        <v>1466</v>
      </c>
      <c r="H3527" s="403" t="s">
        <v>1282</v>
      </c>
      <c r="I3527" s="403">
        <v>1</v>
      </c>
      <c r="J3527" s="403" t="s">
        <v>1289</v>
      </c>
      <c r="K3527" s="403">
        <v>1280</v>
      </c>
      <c r="L3527" s="403">
        <v>720</v>
      </c>
      <c r="M3527" s="403" t="s">
        <v>111</v>
      </c>
      <c r="N3527" s="403">
        <v>768</v>
      </c>
      <c r="O3527" s="403">
        <v>432</v>
      </c>
      <c r="P3527" t="str">
        <f t="shared" si="441"/>
        <v>50fps 720p full frame rate - SD</v>
      </c>
      <c r="Q3527">
        <f t="shared" si="442"/>
        <v>19</v>
      </c>
      <c r="R3527" t="str">
        <f t="shared" si="443"/>
        <v/>
      </c>
      <c r="S3527" t="str">
        <f t="shared" si="444"/>
        <v/>
      </c>
      <c r="T3527" s="403" t="str">
        <f t="shared" si="445"/>
        <v>NDE-8502-R</v>
      </c>
      <c r="U3527" s="403">
        <f t="shared" si="446"/>
        <v>1</v>
      </c>
      <c r="V3527" s="403" t="str">
        <f t="shared" si="447"/>
        <v>CPP_7_3</v>
      </c>
    </row>
    <row r="3528" spans="1:22">
      <c r="A3528" t="str">
        <f t="shared" si="440"/>
        <v>NDE-8502-R</v>
      </c>
      <c r="B3528" s="403" t="s">
        <v>1410</v>
      </c>
      <c r="C3528" s="403" t="s">
        <v>582</v>
      </c>
      <c r="D3528" s="403" t="s">
        <v>1411</v>
      </c>
      <c r="E3528" s="403" t="s">
        <v>1413</v>
      </c>
      <c r="F3528" s="403" t="s">
        <v>1290</v>
      </c>
      <c r="G3528" s="403" t="s">
        <v>1466</v>
      </c>
      <c r="H3528" s="403" t="s">
        <v>1282</v>
      </c>
      <c r="I3528" s="403">
        <v>1</v>
      </c>
      <c r="J3528" s="403" t="s">
        <v>1289</v>
      </c>
      <c r="K3528" s="403">
        <v>1280</v>
      </c>
      <c r="L3528" s="403">
        <v>720</v>
      </c>
      <c r="M3528" s="403" t="s">
        <v>1279</v>
      </c>
      <c r="N3528" s="403">
        <v>768</v>
      </c>
      <c r="O3528" s="403">
        <v>432</v>
      </c>
      <c r="P3528" t="str">
        <f t="shared" si="441"/>
        <v>50fps 720p full frame rate - SD ROI PTZ</v>
      </c>
      <c r="Q3528">
        <f t="shared" si="442"/>
        <v>19</v>
      </c>
      <c r="R3528" t="str">
        <f t="shared" si="443"/>
        <v/>
      </c>
      <c r="S3528" t="str">
        <f t="shared" si="444"/>
        <v/>
      </c>
      <c r="T3528" s="403" t="str">
        <f t="shared" si="445"/>
        <v>NDE-8502-R</v>
      </c>
      <c r="U3528" s="403">
        <f t="shared" si="446"/>
        <v>1</v>
      </c>
      <c r="V3528" s="403" t="str">
        <f t="shared" si="447"/>
        <v>CPP_7_3</v>
      </c>
    </row>
    <row r="3529" spans="1:22">
      <c r="A3529" t="str">
        <f t="shared" si="440"/>
        <v>NDE-8502-R</v>
      </c>
      <c r="B3529" s="403" t="s">
        <v>1410</v>
      </c>
      <c r="C3529" s="403" t="s">
        <v>582</v>
      </c>
      <c r="D3529" s="403" t="s">
        <v>1411</v>
      </c>
      <c r="E3529" s="403" t="s">
        <v>1413</v>
      </c>
      <c r="F3529" s="403" t="s">
        <v>1290</v>
      </c>
      <c r="G3529" s="403" t="s">
        <v>1466</v>
      </c>
      <c r="H3529" s="403" t="s">
        <v>1282</v>
      </c>
      <c r="I3529" s="403">
        <v>1</v>
      </c>
      <c r="J3529" s="403" t="s">
        <v>1289</v>
      </c>
      <c r="K3529" s="403">
        <v>1280</v>
      </c>
      <c r="L3529" s="403">
        <v>720</v>
      </c>
      <c r="M3529" s="403" t="s">
        <v>1283</v>
      </c>
      <c r="N3529" s="403">
        <v>720</v>
      </c>
      <c r="O3529" s="403">
        <v>576</v>
      </c>
      <c r="P3529" t="str">
        <f t="shared" si="441"/>
        <v>50fps 720p full frame rate - SD 4CIF resolution 4:3 format (cropped)</v>
      </c>
      <c r="Q3529">
        <f t="shared" si="442"/>
        <v>19</v>
      </c>
      <c r="R3529" t="str">
        <f t="shared" si="443"/>
        <v/>
      </c>
      <c r="S3529" t="str">
        <f t="shared" si="444"/>
        <v/>
      </c>
      <c r="T3529" s="403" t="str">
        <f t="shared" si="445"/>
        <v>NDE-8502-R</v>
      </c>
      <c r="U3529" s="403">
        <f t="shared" si="446"/>
        <v>1</v>
      </c>
      <c r="V3529" s="403" t="str">
        <f t="shared" si="447"/>
        <v>CPP_7_3</v>
      </c>
    </row>
    <row r="3530" spans="1:22">
      <c r="A3530" t="str">
        <f t="shared" si="440"/>
        <v>NDE-8502-R</v>
      </c>
      <c r="B3530" s="403" t="s">
        <v>1410</v>
      </c>
      <c r="C3530" s="403" t="s">
        <v>582</v>
      </c>
      <c r="D3530" s="403" t="s">
        <v>1411</v>
      </c>
      <c r="E3530" s="403" t="s">
        <v>1413</v>
      </c>
      <c r="F3530" s="403" t="s">
        <v>1290</v>
      </c>
      <c r="G3530" s="403" t="s">
        <v>1466</v>
      </c>
      <c r="H3530" s="403" t="s">
        <v>1282</v>
      </c>
      <c r="I3530" s="403">
        <v>1</v>
      </c>
      <c r="J3530" s="403" t="s">
        <v>1289</v>
      </c>
      <c r="K3530" s="403">
        <v>1280</v>
      </c>
      <c r="L3530" s="403">
        <v>720</v>
      </c>
      <c r="M3530" s="403" t="s">
        <v>1284</v>
      </c>
      <c r="N3530" s="403">
        <v>640</v>
      </c>
      <c r="O3530" s="403">
        <v>480</v>
      </c>
      <c r="P3530" t="str">
        <f t="shared" si="441"/>
        <v>50fps 720p full frame rate - SD VGA (cropped)</v>
      </c>
      <c r="Q3530">
        <f t="shared" si="442"/>
        <v>19</v>
      </c>
      <c r="R3530" t="str">
        <f t="shared" si="443"/>
        <v/>
      </c>
      <c r="S3530" t="str">
        <f t="shared" si="444"/>
        <v/>
      </c>
      <c r="T3530" s="403" t="str">
        <f t="shared" si="445"/>
        <v>NDE-8502-R</v>
      </c>
      <c r="U3530" s="403">
        <f t="shared" si="446"/>
        <v>1</v>
      </c>
      <c r="V3530" s="403" t="str">
        <f t="shared" si="447"/>
        <v>CPP_7_3</v>
      </c>
    </row>
    <row r="3531" spans="1:22">
      <c r="A3531" t="str">
        <f t="shared" si="440"/>
        <v>NDE-8502-R</v>
      </c>
      <c r="B3531" s="403" t="s">
        <v>1410</v>
      </c>
      <c r="C3531" s="403" t="s">
        <v>582</v>
      </c>
      <c r="D3531" s="403" t="s">
        <v>1411</v>
      </c>
      <c r="E3531" s="403" t="s">
        <v>1413</v>
      </c>
      <c r="F3531" s="403" t="s">
        <v>1290</v>
      </c>
      <c r="G3531" s="403" t="s">
        <v>1467</v>
      </c>
      <c r="H3531" s="403" t="s">
        <v>1276</v>
      </c>
      <c r="I3531" s="403">
        <v>1</v>
      </c>
      <c r="J3531" s="403" t="s">
        <v>110</v>
      </c>
      <c r="K3531" s="403">
        <v>1080</v>
      </c>
      <c r="L3531" s="403">
        <v>1920</v>
      </c>
      <c r="M3531" s="403" t="s">
        <v>111</v>
      </c>
      <c r="N3531" s="403">
        <v>432</v>
      </c>
      <c r="O3531" s="403">
        <v>768</v>
      </c>
      <c r="P3531" t="str">
        <f t="shared" si="441"/>
        <v>50fps 1080p - SD</v>
      </c>
      <c r="Q3531">
        <f t="shared" si="442"/>
        <v>19</v>
      </c>
      <c r="R3531" t="str">
        <f t="shared" si="443"/>
        <v/>
      </c>
      <c r="S3531" t="str">
        <f t="shared" si="444"/>
        <v/>
      </c>
      <c r="T3531" s="403" t="str">
        <f t="shared" si="445"/>
        <v>NDE-8502-R</v>
      </c>
      <c r="U3531" s="403">
        <f t="shared" si="446"/>
        <v>1</v>
      </c>
      <c r="V3531" s="403" t="str">
        <f t="shared" si="447"/>
        <v>CPP_7_3</v>
      </c>
    </row>
    <row r="3532" spans="1:22">
      <c r="A3532" t="str">
        <f t="shared" si="440"/>
        <v>NDE-8502-R</v>
      </c>
      <c r="B3532" s="403" t="s">
        <v>1410</v>
      </c>
      <c r="C3532" s="403" t="s">
        <v>582</v>
      </c>
      <c r="D3532" s="403" t="s">
        <v>1411</v>
      </c>
      <c r="E3532" s="403" t="s">
        <v>1413</v>
      </c>
      <c r="F3532" s="403" t="s">
        <v>1290</v>
      </c>
      <c r="G3532" s="403" t="s">
        <v>1467</v>
      </c>
      <c r="H3532" s="403" t="s">
        <v>1276</v>
      </c>
      <c r="I3532" s="403">
        <v>1</v>
      </c>
      <c r="J3532" s="403" t="s">
        <v>110</v>
      </c>
      <c r="K3532" s="403">
        <v>1080</v>
      </c>
      <c r="L3532" s="403">
        <v>1920</v>
      </c>
      <c r="M3532" s="403" t="s">
        <v>110</v>
      </c>
      <c r="N3532" s="403">
        <v>1080</v>
      </c>
      <c r="O3532" s="403">
        <v>1920</v>
      </c>
      <c r="P3532" t="str">
        <f t="shared" si="441"/>
        <v>50fps 1080p - 1080p</v>
      </c>
      <c r="Q3532">
        <f t="shared" si="442"/>
        <v>19</v>
      </c>
      <c r="R3532" t="str">
        <f t="shared" si="443"/>
        <v/>
      </c>
      <c r="S3532" t="str">
        <f t="shared" si="444"/>
        <v/>
      </c>
      <c r="T3532" s="403" t="str">
        <f t="shared" si="445"/>
        <v>NDE-8502-R</v>
      </c>
      <c r="U3532" s="403">
        <f t="shared" si="446"/>
        <v>1</v>
      </c>
      <c r="V3532" s="403" t="str">
        <f t="shared" si="447"/>
        <v>CPP_7_3</v>
      </c>
    </row>
    <row r="3533" spans="1:22">
      <c r="A3533" t="str">
        <f t="shared" si="440"/>
        <v>NDE-8502-R</v>
      </c>
      <c r="B3533" s="403" t="s">
        <v>1410</v>
      </c>
      <c r="C3533" s="403" t="s">
        <v>582</v>
      </c>
      <c r="D3533" s="403" t="s">
        <v>1411</v>
      </c>
      <c r="E3533" s="403" t="s">
        <v>1413</v>
      </c>
      <c r="F3533" s="403" t="s">
        <v>1290</v>
      </c>
      <c r="G3533" s="403" t="s">
        <v>1467</v>
      </c>
      <c r="H3533" s="403" t="s">
        <v>1276</v>
      </c>
      <c r="I3533" s="403">
        <v>1</v>
      </c>
      <c r="J3533" s="403" t="s">
        <v>110</v>
      </c>
      <c r="K3533" s="403">
        <v>1080</v>
      </c>
      <c r="L3533" s="403">
        <v>1920</v>
      </c>
      <c r="M3533" s="403" t="s">
        <v>1289</v>
      </c>
      <c r="N3533" s="403">
        <v>720</v>
      </c>
      <c r="O3533" s="403">
        <v>1280</v>
      </c>
      <c r="P3533" t="str">
        <f t="shared" si="441"/>
        <v>50fps 1080p - 720p full frame rate</v>
      </c>
      <c r="Q3533">
        <f t="shared" si="442"/>
        <v>19</v>
      </c>
      <c r="R3533" t="str">
        <f t="shared" si="443"/>
        <v/>
      </c>
      <c r="S3533" t="str">
        <f t="shared" si="444"/>
        <v/>
      </c>
      <c r="T3533" s="403" t="str">
        <f t="shared" si="445"/>
        <v>NDE-8502-R</v>
      </c>
      <c r="U3533" s="403">
        <f t="shared" si="446"/>
        <v>1</v>
      </c>
      <c r="V3533" s="403" t="str">
        <f t="shared" si="447"/>
        <v>CPP_7_3</v>
      </c>
    </row>
    <row r="3534" spans="1:22">
      <c r="A3534" t="str">
        <f t="shared" si="440"/>
        <v>NDE-8502-R</v>
      </c>
      <c r="B3534" s="403" t="s">
        <v>1410</v>
      </c>
      <c r="C3534" s="403" t="s">
        <v>582</v>
      </c>
      <c r="D3534" s="403" t="s">
        <v>1411</v>
      </c>
      <c r="E3534" s="403" t="s">
        <v>1413</v>
      </c>
      <c r="F3534" s="403" t="s">
        <v>1290</v>
      </c>
      <c r="G3534" s="403" t="s">
        <v>1467</v>
      </c>
      <c r="H3534" s="403" t="s">
        <v>1276</v>
      </c>
      <c r="I3534" s="403">
        <v>1</v>
      </c>
      <c r="J3534" s="403" t="s">
        <v>110</v>
      </c>
      <c r="K3534" s="403">
        <v>1080</v>
      </c>
      <c r="L3534" s="403">
        <v>1920</v>
      </c>
      <c r="M3534" s="403" t="s">
        <v>1285</v>
      </c>
      <c r="N3534" s="403">
        <v>1024</v>
      </c>
      <c r="O3534" s="403">
        <v>1280</v>
      </c>
      <c r="P3534" t="str">
        <f t="shared" si="441"/>
        <v>50fps 1080p - 1280x1024 5:4 (cropped)</v>
      </c>
      <c r="Q3534">
        <f t="shared" si="442"/>
        <v>19</v>
      </c>
      <c r="R3534" t="str">
        <f t="shared" si="443"/>
        <v/>
      </c>
      <c r="S3534" t="str">
        <f t="shared" si="444"/>
        <v/>
      </c>
      <c r="T3534" s="403" t="str">
        <f t="shared" si="445"/>
        <v>NDE-8502-R</v>
      </c>
      <c r="U3534" s="403">
        <f t="shared" si="446"/>
        <v>1</v>
      </c>
      <c r="V3534" s="403" t="str">
        <f t="shared" si="447"/>
        <v>CPP_7_3</v>
      </c>
    </row>
    <row r="3535" spans="1:22">
      <c r="A3535" t="str">
        <f t="shared" si="440"/>
        <v>NDE-8502-R</v>
      </c>
      <c r="B3535" s="403" t="s">
        <v>1410</v>
      </c>
      <c r="C3535" s="403" t="s">
        <v>582</v>
      </c>
      <c r="D3535" s="403" t="s">
        <v>1411</v>
      </c>
      <c r="E3535" s="403" t="s">
        <v>1413</v>
      </c>
      <c r="F3535" s="403" t="s">
        <v>1290</v>
      </c>
      <c r="G3535" s="403" t="s">
        <v>1467</v>
      </c>
      <c r="H3535" s="403" t="s">
        <v>1276</v>
      </c>
      <c r="I3535" s="403">
        <v>1</v>
      </c>
      <c r="J3535" s="403" t="s">
        <v>110</v>
      </c>
      <c r="K3535" s="403">
        <v>1080</v>
      </c>
      <c r="L3535" s="403">
        <v>1920</v>
      </c>
      <c r="M3535" s="403" t="s">
        <v>1279</v>
      </c>
      <c r="N3535" s="403">
        <v>432</v>
      </c>
      <c r="O3535" s="403">
        <v>768</v>
      </c>
      <c r="P3535" t="str">
        <f t="shared" si="441"/>
        <v>50fps 1080p - SD ROI PTZ</v>
      </c>
      <c r="Q3535">
        <f t="shared" si="442"/>
        <v>19</v>
      </c>
      <c r="R3535" t="str">
        <f t="shared" si="443"/>
        <v/>
      </c>
      <c r="S3535" t="str">
        <f t="shared" si="444"/>
        <v/>
      </c>
      <c r="T3535" s="403" t="str">
        <f t="shared" si="445"/>
        <v>NDE-8502-R</v>
      </c>
      <c r="U3535" s="403">
        <f t="shared" si="446"/>
        <v>1</v>
      </c>
      <c r="V3535" s="403" t="str">
        <f t="shared" si="447"/>
        <v>CPP_7_3</v>
      </c>
    </row>
    <row r="3536" spans="1:22">
      <c r="A3536" t="str">
        <f t="shared" si="440"/>
        <v>NDE-8502-R</v>
      </c>
      <c r="B3536" s="403" t="s">
        <v>1410</v>
      </c>
      <c r="C3536" s="403" t="s">
        <v>582</v>
      </c>
      <c r="D3536" s="403" t="s">
        <v>1411</v>
      </c>
      <c r="E3536" s="403" t="s">
        <v>1413</v>
      </c>
      <c r="F3536" s="403" t="s">
        <v>1290</v>
      </c>
      <c r="G3536" s="403" t="s">
        <v>1467</v>
      </c>
      <c r="H3536" s="403" t="s">
        <v>1276</v>
      </c>
      <c r="I3536" s="403">
        <v>1</v>
      </c>
      <c r="J3536" s="403" t="s">
        <v>110</v>
      </c>
      <c r="K3536" s="403">
        <v>1080</v>
      </c>
      <c r="L3536" s="403">
        <v>1920</v>
      </c>
      <c r="M3536" s="403" t="s">
        <v>1283</v>
      </c>
      <c r="N3536" s="403">
        <v>576</v>
      </c>
      <c r="O3536" s="403">
        <v>720</v>
      </c>
      <c r="P3536" t="str">
        <f t="shared" si="441"/>
        <v>50fps 1080p - SD 4CIF resolution 4:3 format (cropped)</v>
      </c>
      <c r="Q3536">
        <f t="shared" si="442"/>
        <v>19</v>
      </c>
      <c r="R3536" t="str">
        <f t="shared" si="443"/>
        <v/>
      </c>
      <c r="S3536" t="str">
        <f t="shared" si="444"/>
        <v/>
      </c>
      <c r="T3536" s="403" t="str">
        <f t="shared" si="445"/>
        <v>NDE-8502-R</v>
      </c>
      <c r="U3536" s="403">
        <f t="shared" si="446"/>
        <v>1</v>
      </c>
      <c r="V3536" s="403" t="str">
        <f t="shared" si="447"/>
        <v>CPP_7_3</v>
      </c>
    </row>
    <row r="3537" spans="1:22">
      <c r="A3537" t="str">
        <f t="shared" si="440"/>
        <v>NDE-8502-R</v>
      </c>
      <c r="B3537" s="403" t="s">
        <v>1410</v>
      </c>
      <c r="C3537" s="403" t="s">
        <v>582</v>
      </c>
      <c r="D3537" s="403" t="s">
        <v>1411</v>
      </c>
      <c r="E3537" s="403" t="s">
        <v>1413</v>
      </c>
      <c r="F3537" s="403" t="s">
        <v>1290</v>
      </c>
      <c r="G3537" s="403" t="s">
        <v>1467</v>
      </c>
      <c r="H3537" s="403" t="s">
        <v>1276</v>
      </c>
      <c r="I3537" s="403">
        <v>1</v>
      </c>
      <c r="J3537" s="403" t="s">
        <v>110</v>
      </c>
      <c r="K3537" s="403">
        <v>1080</v>
      </c>
      <c r="L3537" s="403">
        <v>1920</v>
      </c>
      <c r="M3537" s="403" t="s">
        <v>1284</v>
      </c>
      <c r="N3537" s="403">
        <v>480</v>
      </c>
      <c r="O3537" s="403">
        <v>640</v>
      </c>
      <c r="P3537" t="str">
        <f t="shared" si="441"/>
        <v>50fps 1080p - SD VGA (cropped)</v>
      </c>
      <c r="Q3537">
        <f t="shared" si="442"/>
        <v>19</v>
      </c>
      <c r="R3537" t="str">
        <f t="shared" si="443"/>
        <v/>
      </c>
      <c r="S3537" t="str">
        <f t="shared" si="444"/>
        <v/>
      </c>
      <c r="T3537" s="403" t="str">
        <f t="shared" si="445"/>
        <v>NDE-8502-R</v>
      </c>
      <c r="U3537" s="403">
        <f t="shared" si="446"/>
        <v>1</v>
      </c>
      <c r="V3537" s="403" t="str">
        <f t="shared" si="447"/>
        <v>CPP_7_3</v>
      </c>
    </row>
    <row r="3538" spans="1:22">
      <c r="A3538" t="str">
        <f t="shared" si="440"/>
        <v>NDE-8502-R</v>
      </c>
      <c r="B3538" s="403" t="s">
        <v>1410</v>
      </c>
      <c r="C3538" s="403" t="s">
        <v>582</v>
      </c>
      <c r="D3538" s="403" t="s">
        <v>1411</v>
      </c>
      <c r="E3538" s="403" t="s">
        <v>1413</v>
      </c>
      <c r="F3538" s="403" t="s">
        <v>1290</v>
      </c>
      <c r="G3538" s="403" t="s">
        <v>1467</v>
      </c>
      <c r="H3538" s="403" t="s">
        <v>1276</v>
      </c>
      <c r="I3538" s="403">
        <v>1</v>
      </c>
      <c r="J3538" s="403" t="s">
        <v>1289</v>
      </c>
      <c r="K3538" s="403">
        <v>720</v>
      </c>
      <c r="L3538" s="403">
        <v>1280</v>
      </c>
      <c r="M3538" s="403" t="s">
        <v>1289</v>
      </c>
      <c r="N3538" s="403">
        <v>720</v>
      </c>
      <c r="O3538" s="403">
        <v>1280</v>
      </c>
      <c r="P3538" t="str">
        <f t="shared" si="441"/>
        <v>50fps 720p full frame rate - 720p full frame rate</v>
      </c>
      <c r="Q3538">
        <f t="shared" si="442"/>
        <v>19</v>
      </c>
      <c r="R3538" t="str">
        <f t="shared" si="443"/>
        <v/>
      </c>
      <c r="S3538" t="str">
        <f t="shared" si="444"/>
        <v/>
      </c>
      <c r="T3538" s="403" t="str">
        <f t="shared" si="445"/>
        <v>NDE-8502-R</v>
      </c>
      <c r="U3538" s="403">
        <f t="shared" si="446"/>
        <v>1</v>
      </c>
      <c r="V3538" s="403" t="str">
        <f t="shared" si="447"/>
        <v>CPP_7_3</v>
      </c>
    </row>
    <row r="3539" spans="1:22">
      <c r="A3539" t="str">
        <f t="shared" si="440"/>
        <v>NDE-8502-R</v>
      </c>
      <c r="B3539" s="403" t="s">
        <v>1410</v>
      </c>
      <c r="C3539" s="403" t="s">
        <v>582</v>
      </c>
      <c r="D3539" s="403" t="s">
        <v>1411</v>
      </c>
      <c r="E3539" s="403" t="s">
        <v>1413</v>
      </c>
      <c r="F3539" s="403" t="s">
        <v>1290</v>
      </c>
      <c r="G3539" s="403" t="s">
        <v>1467</v>
      </c>
      <c r="H3539" s="403" t="s">
        <v>1276</v>
      </c>
      <c r="I3539" s="403">
        <v>1</v>
      </c>
      <c r="J3539" s="403" t="s">
        <v>1289</v>
      </c>
      <c r="K3539" s="403">
        <v>720</v>
      </c>
      <c r="L3539" s="403">
        <v>1280</v>
      </c>
      <c r="M3539" s="403" t="s">
        <v>111</v>
      </c>
      <c r="N3539" s="403">
        <v>432</v>
      </c>
      <c r="O3539" s="403">
        <v>768</v>
      </c>
      <c r="P3539" t="str">
        <f t="shared" si="441"/>
        <v>50fps 720p full frame rate - SD</v>
      </c>
      <c r="Q3539">
        <f t="shared" si="442"/>
        <v>19</v>
      </c>
      <c r="R3539" t="str">
        <f t="shared" si="443"/>
        <v/>
      </c>
      <c r="S3539" t="str">
        <f t="shared" si="444"/>
        <v/>
      </c>
      <c r="T3539" s="403" t="str">
        <f t="shared" si="445"/>
        <v>NDE-8502-R</v>
      </c>
      <c r="U3539" s="403">
        <f t="shared" si="446"/>
        <v>1</v>
      </c>
      <c r="V3539" s="403" t="str">
        <f t="shared" si="447"/>
        <v>CPP_7_3</v>
      </c>
    </row>
    <row r="3540" spans="1:22">
      <c r="A3540" t="str">
        <f t="shared" si="440"/>
        <v>NDE-8502-R</v>
      </c>
      <c r="B3540" s="403" t="s">
        <v>1410</v>
      </c>
      <c r="C3540" s="403" t="s">
        <v>582</v>
      </c>
      <c r="D3540" s="403" t="s">
        <v>1411</v>
      </c>
      <c r="E3540" s="403" t="s">
        <v>1413</v>
      </c>
      <c r="F3540" s="403" t="s">
        <v>1290</v>
      </c>
      <c r="G3540" s="403" t="s">
        <v>1467</v>
      </c>
      <c r="H3540" s="403" t="s">
        <v>1276</v>
      </c>
      <c r="I3540" s="403">
        <v>1</v>
      </c>
      <c r="J3540" s="403" t="s">
        <v>1289</v>
      </c>
      <c r="K3540" s="403">
        <v>720</v>
      </c>
      <c r="L3540" s="403">
        <v>1280</v>
      </c>
      <c r="M3540" s="403" t="s">
        <v>1279</v>
      </c>
      <c r="N3540" s="403">
        <v>432</v>
      </c>
      <c r="O3540" s="403">
        <v>768</v>
      </c>
      <c r="P3540" t="str">
        <f t="shared" si="441"/>
        <v>50fps 720p full frame rate - SD ROI PTZ</v>
      </c>
      <c r="Q3540">
        <f t="shared" si="442"/>
        <v>19</v>
      </c>
      <c r="R3540" t="str">
        <f t="shared" si="443"/>
        <v/>
      </c>
      <c r="S3540" t="str">
        <f t="shared" si="444"/>
        <v/>
      </c>
      <c r="T3540" s="403" t="str">
        <f t="shared" si="445"/>
        <v>NDE-8502-R</v>
      </c>
      <c r="U3540" s="403">
        <f t="shared" si="446"/>
        <v>1</v>
      </c>
      <c r="V3540" s="403" t="str">
        <f t="shared" si="447"/>
        <v>CPP_7_3</v>
      </c>
    </row>
    <row r="3541" spans="1:22">
      <c r="A3541" t="str">
        <f t="shared" si="440"/>
        <v>NDE-8502-R</v>
      </c>
      <c r="B3541" s="403" t="s">
        <v>1410</v>
      </c>
      <c r="C3541" s="403" t="s">
        <v>582</v>
      </c>
      <c r="D3541" s="403" t="s">
        <v>1411</v>
      </c>
      <c r="E3541" s="403" t="s">
        <v>1413</v>
      </c>
      <c r="F3541" s="403" t="s">
        <v>1290</v>
      </c>
      <c r="G3541" s="403" t="s">
        <v>1467</v>
      </c>
      <c r="H3541" s="403" t="s">
        <v>1276</v>
      </c>
      <c r="I3541" s="403">
        <v>1</v>
      </c>
      <c r="J3541" s="403" t="s">
        <v>1289</v>
      </c>
      <c r="K3541" s="403">
        <v>720</v>
      </c>
      <c r="L3541" s="403">
        <v>1280</v>
      </c>
      <c r="M3541" s="403" t="s">
        <v>1283</v>
      </c>
      <c r="N3541" s="403">
        <v>576</v>
      </c>
      <c r="O3541" s="403">
        <v>720</v>
      </c>
      <c r="P3541" t="str">
        <f t="shared" si="441"/>
        <v>50fps 720p full frame rate - SD 4CIF resolution 4:3 format (cropped)</v>
      </c>
      <c r="Q3541">
        <f t="shared" si="442"/>
        <v>19</v>
      </c>
      <c r="R3541" t="str">
        <f t="shared" si="443"/>
        <v/>
      </c>
      <c r="S3541" t="str">
        <f t="shared" si="444"/>
        <v/>
      </c>
      <c r="T3541" s="403" t="str">
        <f t="shared" si="445"/>
        <v>NDE-8502-R</v>
      </c>
      <c r="U3541" s="403">
        <f t="shared" si="446"/>
        <v>1</v>
      </c>
      <c r="V3541" s="403" t="str">
        <f t="shared" si="447"/>
        <v>CPP_7_3</v>
      </c>
    </row>
    <row r="3542" spans="1:22">
      <c r="A3542" t="str">
        <f t="shared" si="440"/>
        <v>NDE-8502-R</v>
      </c>
      <c r="B3542" s="403" t="s">
        <v>1410</v>
      </c>
      <c r="C3542" s="403" t="s">
        <v>582</v>
      </c>
      <c r="D3542" s="403" t="s">
        <v>1411</v>
      </c>
      <c r="E3542" s="403" t="s">
        <v>1413</v>
      </c>
      <c r="F3542" s="403" t="s">
        <v>1290</v>
      </c>
      <c r="G3542" s="403" t="s">
        <v>1467</v>
      </c>
      <c r="H3542" s="403" t="s">
        <v>1276</v>
      </c>
      <c r="I3542" s="403">
        <v>1</v>
      </c>
      <c r="J3542" s="403" t="s">
        <v>1289</v>
      </c>
      <c r="K3542" s="403">
        <v>720</v>
      </c>
      <c r="L3542" s="403">
        <v>1280</v>
      </c>
      <c r="M3542" s="403" t="s">
        <v>1284</v>
      </c>
      <c r="N3542" s="403">
        <v>480</v>
      </c>
      <c r="O3542" s="403">
        <v>640</v>
      </c>
      <c r="P3542" t="str">
        <f t="shared" si="441"/>
        <v>50fps 720p full frame rate - SD VGA (cropped)</v>
      </c>
      <c r="Q3542">
        <f t="shared" si="442"/>
        <v>19</v>
      </c>
      <c r="R3542" t="str">
        <f t="shared" si="443"/>
        <v/>
      </c>
      <c r="S3542" t="str">
        <f t="shared" si="444"/>
        <v/>
      </c>
      <c r="T3542" s="403" t="str">
        <f t="shared" si="445"/>
        <v>NDE-8502-R</v>
      </c>
      <c r="U3542" s="403">
        <f t="shared" si="446"/>
        <v>1</v>
      </c>
      <c r="V3542" s="403" t="str">
        <f t="shared" si="447"/>
        <v>CPP_7_3</v>
      </c>
    </row>
    <row r="3543" spans="1:22">
      <c r="A3543" t="str">
        <f t="shared" si="440"/>
        <v>NDE-8502-R</v>
      </c>
      <c r="B3543" s="403" t="s">
        <v>1410</v>
      </c>
      <c r="C3543" s="403" t="s">
        <v>582</v>
      </c>
      <c r="D3543" s="403" t="s">
        <v>1411</v>
      </c>
      <c r="E3543" s="403" t="s">
        <v>1413</v>
      </c>
      <c r="F3543" s="403" t="s">
        <v>1290</v>
      </c>
      <c r="G3543" s="403" t="s">
        <v>1467</v>
      </c>
      <c r="H3543" s="403" t="s">
        <v>1281</v>
      </c>
      <c r="I3543" s="403">
        <v>1</v>
      </c>
      <c r="J3543" s="403" t="s">
        <v>110</v>
      </c>
      <c r="K3543" s="403">
        <v>1080</v>
      </c>
      <c r="L3543" s="403">
        <v>1920</v>
      </c>
      <c r="M3543" s="403" t="s">
        <v>111</v>
      </c>
      <c r="N3543" s="403">
        <v>432</v>
      </c>
      <c r="O3543" s="403">
        <v>768</v>
      </c>
      <c r="P3543" t="str">
        <f t="shared" si="441"/>
        <v>50fps 1080p - SD</v>
      </c>
      <c r="Q3543">
        <f t="shared" si="442"/>
        <v>19</v>
      </c>
      <c r="R3543" t="str">
        <f t="shared" si="443"/>
        <v/>
      </c>
      <c r="S3543" t="str">
        <f t="shared" si="444"/>
        <v/>
      </c>
      <c r="T3543" s="403" t="str">
        <f t="shared" si="445"/>
        <v>NDE-8502-R</v>
      </c>
      <c r="U3543" s="403">
        <f t="shared" si="446"/>
        <v>1</v>
      </c>
      <c r="V3543" s="403" t="str">
        <f t="shared" si="447"/>
        <v>CPP_7_3</v>
      </c>
    </row>
    <row r="3544" spans="1:22">
      <c r="A3544" t="str">
        <f t="shared" si="440"/>
        <v>NDE-8502-R</v>
      </c>
      <c r="B3544" s="403" t="s">
        <v>1410</v>
      </c>
      <c r="C3544" s="403" t="s">
        <v>582</v>
      </c>
      <c r="D3544" s="403" t="s">
        <v>1411</v>
      </c>
      <c r="E3544" s="403" t="s">
        <v>1413</v>
      </c>
      <c r="F3544" s="403" t="s">
        <v>1290</v>
      </c>
      <c r="G3544" s="403" t="s">
        <v>1467</v>
      </c>
      <c r="H3544" s="403" t="s">
        <v>1281</v>
      </c>
      <c r="I3544" s="403">
        <v>1</v>
      </c>
      <c r="J3544" s="403" t="s">
        <v>110</v>
      </c>
      <c r="K3544" s="403">
        <v>1080</v>
      </c>
      <c r="L3544" s="403">
        <v>1920</v>
      </c>
      <c r="M3544" s="403" t="s">
        <v>1289</v>
      </c>
      <c r="N3544" s="403">
        <v>720</v>
      </c>
      <c r="O3544" s="403">
        <v>1280</v>
      </c>
      <c r="P3544" t="str">
        <f t="shared" si="441"/>
        <v>50fps 1080p - 720p full frame rate</v>
      </c>
      <c r="Q3544">
        <f t="shared" si="442"/>
        <v>19</v>
      </c>
      <c r="R3544" t="str">
        <f t="shared" si="443"/>
        <v/>
      </c>
      <c r="S3544" t="str">
        <f t="shared" si="444"/>
        <v/>
      </c>
      <c r="T3544" s="403" t="str">
        <f t="shared" si="445"/>
        <v>NDE-8502-R</v>
      </c>
      <c r="U3544" s="403">
        <f t="shared" si="446"/>
        <v>1</v>
      </c>
      <c r="V3544" s="403" t="str">
        <f t="shared" si="447"/>
        <v>CPP_7_3</v>
      </c>
    </row>
    <row r="3545" spans="1:22">
      <c r="A3545" t="str">
        <f t="shared" si="440"/>
        <v>NDE-8502-R</v>
      </c>
      <c r="B3545" s="403" t="s">
        <v>1410</v>
      </c>
      <c r="C3545" s="403" t="s">
        <v>582</v>
      </c>
      <c r="D3545" s="403" t="s">
        <v>1411</v>
      </c>
      <c r="E3545" s="403" t="s">
        <v>1413</v>
      </c>
      <c r="F3545" s="403" t="s">
        <v>1290</v>
      </c>
      <c r="G3545" s="403" t="s">
        <v>1467</v>
      </c>
      <c r="H3545" s="403" t="s">
        <v>1281</v>
      </c>
      <c r="I3545" s="403">
        <v>1</v>
      </c>
      <c r="J3545" s="403" t="s">
        <v>110</v>
      </c>
      <c r="K3545" s="403">
        <v>1080</v>
      </c>
      <c r="L3545" s="403">
        <v>1920</v>
      </c>
      <c r="M3545" s="403" t="s">
        <v>1279</v>
      </c>
      <c r="N3545" s="403">
        <v>432</v>
      </c>
      <c r="O3545" s="403">
        <v>768</v>
      </c>
      <c r="P3545" t="str">
        <f t="shared" si="441"/>
        <v>50fps 1080p - SD ROI PTZ</v>
      </c>
      <c r="Q3545">
        <f t="shared" si="442"/>
        <v>19</v>
      </c>
      <c r="R3545" t="str">
        <f t="shared" si="443"/>
        <v/>
      </c>
      <c r="S3545" t="str">
        <f t="shared" si="444"/>
        <v/>
      </c>
      <c r="T3545" s="403" t="str">
        <f t="shared" si="445"/>
        <v>NDE-8502-R</v>
      </c>
      <c r="U3545" s="403">
        <f t="shared" si="446"/>
        <v>1</v>
      </c>
      <c r="V3545" s="403" t="str">
        <f t="shared" si="447"/>
        <v>CPP_7_3</v>
      </c>
    </row>
    <row r="3546" spans="1:22">
      <c r="A3546" t="str">
        <f t="shared" si="440"/>
        <v>NDE-8502-R</v>
      </c>
      <c r="B3546" s="403" t="s">
        <v>1410</v>
      </c>
      <c r="C3546" s="403" t="s">
        <v>582</v>
      </c>
      <c r="D3546" s="403" t="s">
        <v>1411</v>
      </c>
      <c r="E3546" s="403" t="s">
        <v>1413</v>
      </c>
      <c r="F3546" s="403" t="s">
        <v>1290</v>
      </c>
      <c r="G3546" s="403" t="s">
        <v>1467</v>
      </c>
      <c r="H3546" s="403" t="s">
        <v>1281</v>
      </c>
      <c r="I3546" s="403">
        <v>1</v>
      </c>
      <c r="J3546" s="403" t="s">
        <v>110</v>
      </c>
      <c r="K3546" s="403">
        <v>1080</v>
      </c>
      <c r="L3546" s="403">
        <v>1920</v>
      </c>
      <c r="M3546" s="403" t="s">
        <v>1283</v>
      </c>
      <c r="N3546" s="403">
        <v>576</v>
      </c>
      <c r="O3546" s="403">
        <v>720</v>
      </c>
      <c r="P3546" t="str">
        <f t="shared" si="441"/>
        <v>50fps 1080p - SD 4CIF resolution 4:3 format (cropped)</v>
      </c>
      <c r="Q3546">
        <f t="shared" si="442"/>
        <v>19</v>
      </c>
      <c r="R3546" t="str">
        <f t="shared" si="443"/>
        <v/>
      </c>
      <c r="S3546" t="str">
        <f t="shared" si="444"/>
        <v/>
      </c>
      <c r="T3546" s="403" t="str">
        <f t="shared" si="445"/>
        <v>NDE-8502-R</v>
      </c>
      <c r="U3546" s="403">
        <f t="shared" si="446"/>
        <v>1</v>
      </c>
      <c r="V3546" s="403" t="str">
        <f t="shared" si="447"/>
        <v>CPP_7_3</v>
      </c>
    </row>
    <row r="3547" spans="1:22">
      <c r="A3547" t="str">
        <f t="shared" si="440"/>
        <v>NDE-8502-R</v>
      </c>
      <c r="B3547" s="403" t="s">
        <v>1410</v>
      </c>
      <c r="C3547" s="403" t="s">
        <v>582</v>
      </c>
      <c r="D3547" s="403" t="s">
        <v>1411</v>
      </c>
      <c r="E3547" s="403" t="s">
        <v>1413</v>
      </c>
      <c r="F3547" s="403" t="s">
        <v>1290</v>
      </c>
      <c r="G3547" s="403" t="s">
        <v>1467</v>
      </c>
      <c r="H3547" s="403" t="s">
        <v>1281</v>
      </c>
      <c r="I3547" s="403">
        <v>1</v>
      </c>
      <c r="J3547" s="403" t="s">
        <v>110</v>
      </c>
      <c r="K3547" s="403">
        <v>1080</v>
      </c>
      <c r="L3547" s="403">
        <v>1920</v>
      </c>
      <c r="M3547" s="403" t="s">
        <v>1284</v>
      </c>
      <c r="N3547" s="403">
        <v>480</v>
      </c>
      <c r="O3547" s="403">
        <v>640</v>
      </c>
      <c r="P3547" t="str">
        <f t="shared" si="441"/>
        <v>50fps 1080p - SD VGA (cropped)</v>
      </c>
      <c r="Q3547">
        <f t="shared" si="442"/>
        <v>19</v>
      </c>
      <c r="R3547" t="str">
        <f t="shared" si="443"/>
        <v/>
      </c>
      <c r="S3547" t="str">
        <f t="shared" si="444"/>
        <v/>
      </c>
      <c r="T3547" s="403" t="str">
        <f t="shared" si="445"/>
        <v>NDE-8502-R</v>
      </c>
      <c r="U3547" s="403">
        <f t="shared" si="446"/>
        <v>1</v>
      </c>
      <c r="V3547" s="403" t="str">
        <f t="shared" si="447"/>
        <v>CPP_7_3</v>
      </c>
    </row>
    <row r="3548" spans="1:22">
      <c r="A3548" t="str">
        <f t="shared" si="440"/>
        <v>NDE-8502-R</v>
      </c>
      <c r="B3548" s="403" t="s">
        <v>1410</v>
      </c>
      <c r="C3548" s="403" t="s">
        <v>582</v>
      </c>
      <c r="D3548" s="403" t="s">
        <v>1411</v>
      </c>
      <c r="E3548" s="403" t="s">
        <v>1413</v>
      </c>
      <c r="F3548" s="403" t="s">
        <v>1290</v>
      </c>
      <c r="G3548" s="403" t="s">
        <v>1467</v>
      </c>
      <c r="H3548" s="403" t="s">
        <v>1281</v>
      </c>
      <c r="I3548" s="403">
        <v>1</v>
      </c>
      <c r="J3548" s="403" t="s">
        <v>1289</v>
      </c>
      <c r="K3548" s="403">
        <v>720</v>
      </c>
      <c r="L3548" s="403">
        <v>1280</v>
      </c>
      <c r="M3548" s="403" t="s">
        <v>1289</v>
      </c>
      <c r="N3548" s="403">
        <v>720</v>
      </c>
      <c r="O3548" s="403">
        <v>1280</v>
      </c>
      <c r="P3548" t="str">
        <f t="shared" si="441"/>
        <v>50fps 720p full frame rate - 720p full frame rate</v>
      </c>
      <c r="Q3548">
        <f t="shared" si="442"/>
        <v>19</v>
      </c>
      <c r="R3548" t="str">
        <f t="shared" si="443"/>
        <v/>
      </c>
      <c r="S3548" t="str">
        <f t="shared" si="444"/>
        <v/>
      </c>
      <c r="T3548" s="403" t="str">
        <f t="shared" si="445"/>
        <v>NDE-8502-R</v>
      </c>
      <c r="U3548" s="403">
        <f t="shared" si="446"/>
        <v>1</v>
      </c>
      <c r="V3548" s="403" t="str">
        <f t="shared" si="447"/>
        <v>CPP_7_3</v>
      </c>
    </row>
    <row r="3549" spans="1:22">
      <c r="A3549" t="str">
        <f t="shared" si="440"/>
        <v>NDE-8502-R</v>
      </c>
      <c r="B3549" s="403" t="s">
        <v>1410</v>
      </c>
      <c r="C3549" s="403" t="s">
        <v>582</v>
      </c>
      <c r="D3549" s="403" t="s">
        <v>1411</v>
      </c>
      <c r="E3549" s="403" t="s">
        <v>1413</v>
      </c>
      <c r="F3549" s="403" t="s">
        <v>1290</v>
      </c>
      <c r="G3549" s="403" t="s">
        <v>1467</v>
      </c>
      <c r="H3549" s="403" t="s">
        <v>1281</v>
      </c>
      <c r="I3549" s="403">
        <v>1</v>
      </c>
      <c r="J3549" s="403" t="s">
        <v>1289</v>
      </c>
      <c r="K3549" s="403">
        <v>720</v>
      </c>
      <c r="L3549" s="403">
        <v>1280</v>
      </c>
      <c r="M3549" s="403" t="s">
        <v>111</v>
      </c>
      <c r="N3549" s="403">
        <v>432</v>
      </c>
      <c r="O3549" s="403">
        <v>768</v>
      </c>
      <c r="P3549" t="str">
        <f t="shared" si="441"/>
        <v>50fps 720p full frame rate - SD</v>
      </c>
      <c r="Q3549">
        <f t="shared" si="442"/>
        <v>19</v>
      </c>
      <c r="R3549" t="str">
        <f t="shared" si="443"/>
        <v/>
      </c>
      <c r="S3549" t="str">
        <f t="shared" si="444"/>
        <v/>
      </c>
      <c r="T3549" s="403" t="str">
        <f t="shared" si="445"/>
        <v>NDE-8502-R</v>
      </c>
      <c r="U3549" s="403">
        <f t="shared" si="446"/>
        <v>1</v>
      </c>
      <c r="V3549" s="403" t="str">
        <f t="shared" si="447"/>
        <v>CPP_7_3</v>
      </c>
    </row>
    <row r="3550" spans="1:22">
      <c r="A3550" t="str">
        <f t="shared" si="440"/>
        <v>NDE-8502-R</v>
      </c>
      <c r="B3550" s="403" t="s">
        <v>1410</v>
      </c>
      <c r="C3550" s="403" t="s">
        <v>582</v>
      </c>
      <c r="D3550" s="403" t="s">
        <v>1411</v>
      </c>
      <c r="E3550" s="403" t="s">
        <v>1413</v>
      </c>
      <c r="F3550" s="403" t="s">
        <v>1290</v>
      </c>
      <c r="G3550" s="403" t="s">
        <v>1467</v>
      </c>
      <c r="H3550" s="403" t="s">
        <v>1281</v>
      </c>
      <c r="I3550" s="403">
        <v>1</v>
      </c>
      <c r="J3550" s="403" t="s">
        <v>1289</v>
      </c>
      <c r="K3550" s="403">
        <v>720</v>
      </c>
      <c r="L3550" s="403">
        <v>1280</v>
      </c>
      <c r="M3550" s="403" t="s">
        <v>1279</v>
      </c>
      <c r="N3550" s="403">
        <v>432</v>
      </c>
      <c r="O3550" s="403">
        <v>768</v>
      </c>
      <c r="P3550" t="str">
        <f t="shared" si="441"/>
        <v>50fps 720p full frame rate - SD ROI PTZ</v>
      </c>
      <c r="Q3550">
        <f t="shared" si="442"/>
        <v>19</v>
      </c>
      <c r="R3550" t="str">
        <f t="shared" si="443"/>
        <v/>
      </c>
      <c r="S3550" t="str">
        <f t="shared" si="444"/>
        <v/>
      </c>
      <c r="T3550" s="403" t="str">
        <f t="shared" si="445"/>
        <v>NDE-8502-R</v>
      </c>
      <c r="U3550" s="403">
        <f t="shared" si="446"/>
        <v>1</v>
      </c>
      <c r="V3550" s="403" t="str">
        <f t="shared" si="447"/>
        <v>CPP_7_3</v>
      </c>
    </row>
    <row r="3551" spans="1:22">
      <c r="A3551" t="str">
        <f t="shared" si="440"/>
        <v>NDE-8502-R</v>
      </c>
      <c r="B3551" s="403" t="s">
        <v>1410</v>
      </c>
      <c r="C3551" s="403" t="s">
        <v>582</v>
      </c>
      <c r="D3551" s="403" t="s">
        <v>1411</v>
      </c>
      <c r="E3551" s="403" t="s">
        <v>1413</v>
      </c>
      <c r="F3551" s="403" t="s">
        <v>1290</v>
      </c>
      <c r="G3551" s="403" t="s">
        <v>1467</v>
      </c>
      <c r="H3551" s="403" t="s">
        <v>1281</v>
      </c>
      <c r="I3551" s="403">
        <v>1</v>
      </c>
      <c r="J3551" s="403" t="s">
        <v>1289</v>
      </c>
      <c r="K3551" s="403">
        <v>720</v>
      </c>
      <c r="L3551" s="403">
        <v>1280</v>
      </c>
      <c r="M3551" s="403" t="s">
        <v>1283</v>
      </c>
      <c r="N3551" s="403">
        <v>576</v>
      </c>
      <c r="O3551" s="403">
        <v>720</v>
      </c>
      <c r="P3551" t="str">
        <f t="shared" si="441"/>
        <v>50fps 720p full frame rate - SD 4CIF resolution 4:3 format (cropped)</v>
      </c>
      <c r="Q3551">
        <f t="shared" si="442"/>
        <v>19</v>
      </c>
      <c r="R3551" t="str">
        <f t="shared" si="443"/>
        <v/>
      </c>
      <c r="S3551" t="str">
        <f t="shared" si="444"/>
        <v/>
      </c>
      <c r="T3551" s="403" t="str">
        <f t="shared" si="445"/>
        <v>NDE-8502-R</v>
      </c>
      <c r="U3551" s="403">
        <f t="shared" si="446"/>
        <v>1</v>
      </c>
      <c r="V3551" s="403" t="str">
        <f t="shared" si="447"/>
        <v>CPP_7_3</v>
      </c>
    </row>
    <row r="3552" spans="1:22">
      <c r="A3552" t="str">
        <f t="shared" si="440"/>
        <v>NDE-8502-R</v>
      </c>
      <c r="B3552" s="403" t="s">
        <v>1410</v>
      </c>
      <c r="C3552" s="403" t="s">
        <v>582</v>
      </c>
      <c r="D3552" s="403" t="s">
        <v>1411</v>
      </c>
      <c r="E3552" s="403" t="s">
        <v>1413</v>
      </c>
      <c r="F3552" s="403" t="s">
        <v>1290</v>
      </c>
      <c r="G3552" s="403" t="s">
        <v>1467</v>
      </c>
      <c r="H3552" s="403" t="s">
        <v>1281</v>
      </c>
      <c r="I3552" s="403">
        <v>1</v>
      </c>
      <c r="J3552" s="403" t="s">
        <v>1289</v>
      </c>
      <c r="K3552" s="403">
        <v>720</v>
      </c>
      <c r="L3552" s="403">
        <v>1280</v>
      </c>
      <c r="M3552" s="403" t="s">
        <v>1284</v>
      </c>
      <c r="N3552" s="403">
        <v>480</v>
      </c>
      <c r="O3552" s="403">
        <v>640</v>
      </c>
      <c r="P3552" t="str">
        <f t="shared" si="441"/>
        <v>50fps 720p full frame rate - SD VGA (cropped)</v>
      </c>
      <c r="Q3552">
        <f t="shared" si="442"/>
        <v>19</v>
      </c>
      <c r="R3552" t="str">
        <f t="shared" si="443"/>
        <v/>
      </c>
      <c r="S3552" t="str">
        <f t="shared" si="444"/>
        <v/>
      </c>
      <c r="T3552" s="403" t="str">
        <f t="shared" si="445"/>
        <v>NDE-8502-R</v>
      </c>
      <c r="U3552" s="403">
        <f t="shared" si="446"/>
        <v>1</v>
      </c>
      <c r="V3552" s="403" t="str">
        <f t="shared" si="447"/>
        <v>CPP_7_3</v>
      </c>
    </row>
    <row r="3553" spans="1:22">
      <c r="A3553" t="str">
        <f t="shared" si="440"/>
        <v>NDE-8502-R</v>
      </c>
      <c r="B3553" s="403" t="s">
        <v>1410</v>
      </c>
      <c r="C3553" s="403" t="s">
        <v>582</v>
      </c>
      <c r="D3553" s="403" t="s">
        <v>1411</v>
      </c>
      <c r="E3553" s="403" t="s">
        <v>1413</v>
      </c>
      <c r="F3553" s="403" t="s">
        <v>1290</v>
      </c>
      <c r="G3553" s="403" t="s">
        <v>1467</v>
      </c>
      <c r="H3553" s="403" t="s">
        <v>1282</v>
      </c>
      <c r="I3553" s="403">
        <v>1</v>
      </c>
      <c r="J3553" s="403" t="s">
        <v>110</v>
      </c>
      <c r="K3553" s="403">
        <v>1080</v>
      </c>
      <c r="L3553" s="403">
        <v>1920</v>
      </c>
      <c r="M3553" s="403" t="s">
        <v>111</v>
      </c>
      <c r="N3553" s="403">
        <v>432</v>
      </c>
      <c r="O3553" s="403">
        <v>768</v>
      </c>
      <c r="P3553" t="str">
        <f t="shared" si="441"/>
        <v>50fps 1080p - SD</v>
      </c>
      <c r="Q3553">
        <f t="shared" si="442"/>
        <v>19</v>
      </c>
      <c r="R3553" t="str">
        <f t="shared" si="443"/>
        <v/>
      </c>
      <c r="S3553" t="str">
        <f t="shared" si="444"/>
        <v/>
      </c>
      <c r="T3553" s="403" t="str">
        <f t="shared" si="445"/>
        <v>NDE-8502-R</v>
      </c>
      <c r="U3553" s="403">
        <f t="shared" si="446"/>
        <v>1</v>
      </c>
      <c r="V3553" s="403" t="str">
        <f t="shared" si="447"/>
        <v>CPP_7_3</v>
      </c>
    </row>
    <row r="3554" spans="1:22">
      <c r="A3554" t="str">
        <f t="shared" si="440"/>
        <v>NDE-8502-R</v>
      </c>
      <c r="B3554" s="403" t="s">
        <v>1410</v>
      </c>
      <c r="C3554" s="403" t="s">
        <v>582</v>
      </c>
      <c r="D3554" s="403" t="s">
        <v>1411</v>
      </c>
      <c r="E3554" s="403" t="s">
        <v>1413</v>
      </c>
      <c r="F3554" s="403" t="s">
        <v>1290</v>
      </c>
      <c r="G3554" s="403" t="s">
        <v>1467</v>
      </c>
      <c r="H3554" s="403" t="s">
        <v>1282</v>
      </c>
      <c r="I3554" s="403">
        <v>1</v>
      </c>
      <c r="J3554" s="403" t="s">
        <v>110</v>
      </c>
      <c r="K3554" s="403">
        <v>1080</v>
      </c>
      <c r="L3554" s="403">
        <v>1920</v>
      </c>
      <c r="M3554" s="403" t="s">
        <v>110</v>
      </c>
      <c r="N3554" s="403">
        <v>1080</v>
      </c>
      <c r="O3554" s="403">
        <v>1920</v>
      </c>
      <c r="P3554" t="str">
        <f t="shared" si="441"/>
        <v>50fps 1080p - 1080p</v>
      </c>
      <c r="Q3554">
        <f t="shared" si="442"/>
        <v>19</v>
      </c>
      <c r="R3554" t="str">
        <f t="shared" si="443"/>
        <v/>
      </c>
      <c r="S3554" t="str">
        <f t="shared" si="444"/>
        <v/>
      </c>
      <c r="T3554" s="403" t="str">
        <f t="shared" si="445"/>
        <v>NDE-8502-R</v>
      </c>
      <c r="U3554" s="403">
        <f t="shared" si="446"/>
        <v>1</v>
      </c>
      <c r="V3554" s="403" t="str">
        <f t="shared" si="447"/>
        <v>CPP_7_3</v>
      </c>
    </row>
    <row r="3555" spans="1:22">
      <c r="A3555" t="str">
        <f t="shared" si="440"/>
        <v>NDE-8502-R</v>
      </c>
      <c r="B3555" s="403" t="s">
        <v>1410</v>
      </c>
      <c r="C3555" s="403" t="s">
        <v>582</v>
      </c>
      <c r="D3555" s="403" t="s">
        <v>1411</v>
      </c>
      <c r="E3555" s="403" t="s">
        <v>1413</v>
      </c>
      <c r="F3555" s="403" t="s">
        <v>1290</v>
      </c>
      <c r="G3555" s="403" t="s">
        <v>1467</v>
      </c>
      <c r="H3555" s="403" t="s">
        <v>1282</v>
      </c>
      <c r="I3555" s="403">
        <v>1</v>
      </c>
      <c r="J3555" s="403" t="s">
        <v>110</v>
      </c>
      <c r="K3555" s="403">
        <v>1080</v>
      </c>
      <c r="L3555" s="403">
        <v>1920</v>
      </c>
      <c r="M3555" s="403" t="s">
        <v>1289</v>
      </c>
      <c r="N3555" s="403">
        <v>720</v>
      </c>
      <c r="O3555" s="403">
        <v>1280</v>
      </c>
      <c r="P3555" t="str">
        <f t="shared" si="441"/>
        <v>50fps 1080p - 720p full frame rate</v>
      </c>
      <c r="Q3555">
        <f t="shared" si="442"/>
        <v>19</v>
      </c>
      <c r="R3555" t="str">
        <f t="shared" si="443"/>
        <v/>
      </c>
      <c r="S3555" t="str">
        <f t="shared" si="444"/>
        <v/>
      </c>
      <c r="T3555" s="403" t="str">
        <f t="shared" si="445"/>
        <v>NDE-8502-R</v>
      </c>
      <c r="U3555" s="403">
        <f t="shared" si="446"/>
        <v>1</v>
      </c>
      <c r="V3555" s="403" t="str">
        <f t="shared" si="447"/>
        <v>CPP_7_3</v>
      </c>
    </row>
    <row r="3556" spans="1:22">
      <c r="A3556" t="str">
        <f t="shared" si="440"/>
        <v>NDE-8502-R</v>
      </c>
      <c r="B3556" s="403" t="s">
        <v>1410</v>
      </c>
      <c r="C3556" s="403" t="s">
        <v>582</v>
      </c>
      <c r="D3556" s="403" t="s">
        <v>1411</v>
      </c>
      <c r="E3556" s="403" t="s">
        <v>1413</v>
      </c>
      <c r="F3556" s="403" t="s">
        <v>1290</v>
      </c>
      <c r="G3556" s="403" t="s">
        <v>1467</v>
      </c>
      <c r="H3556" s="403" t="s">
        <v>1282</v>
      </c>
      <c r="I3556" s="403">
        <v>1</v>
      </c>
      <c r="J3556" s="403" t="s">
        <v>110</v>
      </c>
      <c r="K3556" s="403">
        <v>1080</v>
      </c>
      <c r="L3556" s="403">
        <v>1920</v>
      </c>
      <c r="M3556" s="403" t="s">
        <v>1285</v>
      </c>
      <c r="N3556" s="403">
        <v>1024</v>
      </c>
      <c r="O3556" s="403">
        <v>1280</v>
      </c>
      <c r="P3556" t="str">
        <f t="shared" si="441"/>
        <v>50fps 1080p - 1280x1024 5:4 (cropped)</v>
      </c>
      <c r="Q3556">
        <f t="shared" si="442"/>
        <v>19</v>
      </c>
      <c r="R3556" t="str">
        <f t="shared" si="443"/>
        <v/>
      </c>
      <c r="S3556" t="str">
        <f t="shared" si="444"/>
        <v/>
      </c>
      <c r="T3556" s="403" t="str">
        <f t="shared" si="445"/>
        <v>NDE-8502-R</v>
      </c>
      <c r="U3556" s="403">
        <f t="shared" si="446"/>
        <v>1</v>
      </c>
      <c r="V3556" s="403" t="str">
        <f t="shared" si="447"/>
        <v>CPP_7_3</v>
      </c>
    </row>
    <row r="3557" spans="1:22">
      <c r="A3557" t="str">
        <f t="shared" si="440"/>
        <v>NDE-8502-R</v>
      </c>
      <c r="B3557" s="403" t="s">
        <v>1410</v>
      </c>
      <c r="C3557" s="403" t="s">
        <v>582</v>
      </c>
      <c r="D3557" s="403" t="s">
        <v>1411</v>
      </c>
      <c r="E3557" s="403" t="s">
        <v>1413</v>
      </c>
      <c r="F3557" s="403" t="s">
        <v>1290</v>
      </c>
      <c r="G3557" s="403" t="s">
        <v>1467</v>
      </c>
      <c r="H3557" s="403" t="s">
        <v>1282</v>
      </c>
      <c r="I3557" s="403">
        <v>1</v>
      </c>
      <c r="J3557" s="403" t="s">
        <v>110</v>
      </c>
      <c r="K3557" s="403">
        <v>1080</v>
      </c>
      <c r="L3557" s="403">
        <v>1920</v>
      </c>
      <c r="M3557" s="403" t="s">
        <v>1279</v>
      </c>
      <c r="N3557" s="403">
        <v>432</v>
      </c>
      <c r="O3557" s="403">
        <v>768</v>
      </c>
      <c r="P3557" t="str">
        <f t="shared" si="441"/>
        <v>50fps 1080p - SD ROI PTZ</v>
      </c>
      <c r="Q3557">
        <f t="shared" si="442"/>
        <v>19</v>
      </c>
      <c r="R3557" t="str">
        <f t="shared" si="443"/>
        <v/>
      </c>
      <c r="S3557" t="str">
        <f t="shared" si="444"/>
        <v/>
      </c>
      <c r="T3557" s="403" t="str">
        <f t="shared" si="445"/>
        <v>NDE-8502-R</v>
      </c>
      <c r="U3557" s="403">
        <f t="shared" si="446"/>
        <v>1</v>
      </c>
      <c r="V3557" s="403" t="str">
        <f t="shared" si="447"/>
        <v>CPP_7_3</v>
      </c>
    </row>
    <row r="3558" spans="1:22">
      <c r="A3558" t="str">
        <f t="shared" si="440"/>
        <v>NDE-8502-R</v>
      </c>
      <c r="B3558" s="403" t="s">
        <v>1410</v>
      </c>
      <c r="C3558" s="403" t="s">
        <v>582</v>
      </c>
      <c r="D3558" s="403" t="s">
        <v>1411</v>
      </c>
      <c r="E3558" s="403" t="s">
        <v>1413</v>
      </c>
      <c r="F3558" s="403" t="s">
        <v>1290</v>
      </c>
      <c r="G3558" s="403" t="s">
        <v>1467</v>
      </c>
      <c r="H3558" s="403" t="s">
        <v>1282</v>
      </c>
      <c r="I3558" s="403">
        <v>1</v>
      </c>
      <c r="J3558" s="403" t="s">
        <v>110</v>
      </c>
      <c r="K3558" s="403">
        <v>1080</v>
      </c>
      <c r="L3558" s="403">
        <v>1920</v>
      </c>
      <c r="M3558" s="403" t="s">
        <v>1283</v>
      </c>
      <c r="N3558" s="403">
        <v>576</v>
      </c>
      <c r="O3558" s="403">
        <v>720</v>
      </c>
      <c r="P3558" t="str">
        <f t="shared" si="441"/>
        <v>50fps 1080p - SD 4CIF resolution 4:3 format (cropped)</v>
      </c>
      <c r="Q3558">
        <f t="shared" si="442"/>
        <v>19</v>
      </c>
      <c r="R3558" t="str">
        <f t="shared" si="443"/>
        <v/>
      </c>
      <c r="S3558" t="str">
        <f t="shared" si="444"/>
        <v/>
      </c>
      <c r="T3558" s="403" t="str">
        <f t="shared" si="445"/>
        <v>NDE-8502-R</v>
      </c>
      <c r="U3558" s="403">
        <f t="shared" si="446"/>
        <v>1</v>
      </c>
      <c r="V3558" s="403" t="str">
        <f t="shared" si="447"/>
        <v>CPP_7_3</v>
      </c>
    </row>
    <row r="3559" spans="1:22">
      <c r="A3559" t="str">
        <f t="shared" si="440"/>
        <v>NDE-8502-R</v>
      </c>
      <c r="B3559" s="403" t="s">
        <v>1410</v>
      </c>
      <c r="C3559" s="403" t="s">
        <v>582</v>
      </c>
      <c r="D3559" s="403" t="s">
        <v>1411</v>
      </c>
      <c r="E3559" s="403" t="s">
        <v>1413</v>
      </c>
      <c r="F3559" s="403" t="s">
        <v>1290</v>
      </c>
      <c r="G3559" s="403" t="s">
        <v>1467</v>
      </c>
      <c r="H3559" s="403" t="s">
        <v>1282</v>
      </c>
      <c r="I3559" s="403">
        <v>1</v>
      </c>
      <c r="J3559" s="403" t="s">
        <v>110</v>
      </c>
      <c r="K3559" s="403">
        <v>1080</v>
      </c>
      <c r="L3559" s="403">
        <v>1920</v>
      </c>
      <c r="M3559" s="403" t="s">
        <v>1284</v>
      </c>
      <c r="N3559" s="403">
        <v>480</v>
      </c>
      <c r="O3559" s="403">
        <v>640</v>
      </c>
      <c r="P3559" t="str">
        <f t="shared" si="441"/>
        <v>50fps 1080p - SD VGA (cropped)</v>
      </c>
      <c r="Q3559">
        <f t="shared" si="442"/>
        <v>19</v>
      </c>
      <c r="R3559" t="str">
        <f t="shared" si="443"/>
        <v/>
      </c>
      <c r="S3559" t="str">
        <f t="shared" si="444"/>
        <v/>
      </c>
      <c r="T3559" s="403" t="str">
        <f t="shared" si="445"/>
        <v>NDE-8502-R</v>
      </c>
      <c r="U3559" s="403">
        <f t="shared" si="446"/>
        <v>1</v>
      </c>
      <c r="V3559" s="403" t="str">
        <f t="shared" si="447"/>
        <v>CPP_7_3</v>
      </c>
    </row>
    <row r="3560" spans="1:22">
      <c r="A3560" t="str">
        <f t="shared" si="440"/>
        <v>NDE-8502-R</v>
      </c>
      <c r="B3560" s="403" t="s">
        <v>1410</v>
      </c>
      <c r="C3560" s="403" t="s">
        <v>582</v>
      </c>
      <c r="D3560" s="403" t="s">
        <v>1411</v>
      </c>
      <c r="E3560" s="403" t="s">
        <v>1413</v>
      </c>
      <c r="F3560" s="403" t="s">
        <v>1290</v>
      </c>
      <c r="G3560" s="403" t="s">
        <v>1467</v>
      </c>
      <c r="H3560" s="403" t="s">
        <v>1282</v>
      </c>
      <c r="I3560" s="403">
        <v>1</v>
      </c>
      <c r="J3560" s="403" t="s">
        <v>1289</v>
      </c>
      <c r="K3560" s="403">
        <v>720</v>
      </c>
      <c r="L3560" s="403">
        <v>1280</v>
      </c>
      <c r="M3560" s="403" t="s">
        <v>1289</v>
      </c>
      <c r="N3560" s="403">
        <v>720</v>
      </c>
      <c r="O3560" s="403">
        <v>1280</v>
      </c>
      <c r="P3560" t="str">
        <f t="shared" si="441"/>
        <v>50fps 720p full frame rate - 720p full frame rate</v>
      </c>
      <c r="Q3560">
        <f t="shared" si="442"/>
        <v>19</v>
      </c>
      <c r="R3560" t="str">
        <f t="shared" si="443"/>
        <v/>
      </c>
      <c r="S3560" t="str">
        <f t="shared" si="444"/>
        <v/>
      </c>
      <c r="T3560" s="403" t="str">
        <f t="shared" si="445"/>
        <v>NDE-8502-R</v>
      </c>
      <c r="U3560" s="403">
        <f t="shared" si="446"/>
        <v>1</v>
      </c>
      <c r="V3560" s="403" t="str">
        <f t="shared" si="447"/>
        <v>CPP_7_3</v>
      </c>
    </row>
    <row r="3561" spans="1:22">
      <c r="A3561" t="str">
        <f t="shared" si="440"/>
        <v>NDE-8502-R</v>
      </c>
      <c r="B3561" s="403" t="s">
        <v>1410</v>
      </c>
      <c r="C3561" s="403" t="s">
        <v>582</v>
      </c>
      <c r="D3561" s="403" t="s">
        <v>1411</v>
      </c>
      <c r="E3561" s="403" t="s">
        <v>1413</v>
      </c>
      <c r="F3561" s="403" t="s">
        <v>1290</v>
      </c>
      <c r="G3561" s="403" t="s">
        <v>1467</v>
      </c>
      <c r="H3561" s="403" t="s">
        <v>1282</v>
      </c>
      <c r="I3561" s="403">
        <v>1</v>
      </c>
      <c r="J3561" s="403" t="s">
        <v>1289</v>
      </c>
      <c r="K3561" s="403">
        <v>720</v>
      </c>
      <c r="L3561" s="403">
        <v>1280</v>
      </c>
      <c r="M3561" s="403" t="s">
        <v>111</v>
      </c>
      <c r="N3561" s="403">
        <v>432</v>
      </c>
      <c r="O3561" s="403">
        <v>768</v>
      </c>
      <c r="P3561" t="str">
        <f t="shared" si="441"/>
        <v>50fps 720p full frame rate - SD</v>
      </c>
      <c r="Q3561">
        <f t="shared" si="442"/>
        <v>19</v>
      </c>
      <c r="R3561" t="str">
        <f t="shared" si="443"/>
        <v/>
      </c>
      <c r="S3561" t="str">
        <f t="shared" si="444"/>
        <v/>
      </c>
      <c r="T3561" s="403" t="str">
        <f t="shared" si="445"/>
        <v>NDE-8502-R</v>
      </c>
      <c r="U3561" s="403">
        <f t="shared" si="446"/>
        <v>1</v>
      </c>
      <c r="V3561" s="403" t="str">
        <f t="shared" si="447"/>
        <v>CPP_7_3</v>
      </c>
    </row>
    <row r="3562" spans="1:22">
      <c r="A3562" t="str">
        <f t="shared" si="440"/>
        <v>NDE-8502-R</v>
      </c>
      <c r="B3562" s="403" t="s">
        <v>1410</v>
      </c>
      <c r="C3562" s="403" t="s">
        <v>582</v>
      </c>
      <c r="D3562" s="403" t="s">
        <v>1411</v>
      </c>
      <c r="E3562" s="403" t="s">
        <v>1413</v>
      </c>
      <c r="F3562" s="403" t="s">
        <v>1290</v>
      </c>
      <c r="G3562" s="403" t="s">
        <v>1467</v>
      </c>
      <c r="H3562" s="403" t="s">
        <v>1282</v>
      </c>
      <c r="I3562" s="403">
        <v>1</v>
      </c>
      <c r="J3562" s="403" t="s">
        <v>1289</v>
      </c>
      <c r="K3562" s="403">
        <v>720</v>
      </c>
      <c r="L3562" s="403">
        <v>1280</v>
      </c>
      <c r="M3562" s="403" t="s">
        <v>1279</v>
      </c>
      <c r="N3562" s="403">
        <v>432</v>
      </c>
      <c r="O3562" s="403">
        <v>768</v>
      </c>
      <c r="P3562" t="str">
        <f t="shared" si="441"/>
        <v>50fps 720p full frame rate - SD ROI PTZ</v>
      </c>
      <c r="Q3562">
        <f t="shared" si="442"/>
        <v>19</v>
      </c>
      <c r="R3562" t="str">
        <f t="shared" si="443"/>
        <v/>
      </c>
      <c r="S3562" t="str">
        <f t="shared" si="444"/>
        <v/>
      </c>
      <c r="T3562" s="403" t="str">
        <f t="shared" si="445"/>
        <v>NDE-8502-R</v>
      </c>
      <c r="U3562" s="403">
        <f t="shared" si="446"/>
        <v>1</v>
      </c>
      <c r="V3562" s="403" t="str">
        <f t="shared" si="447"/>
        <v>CPP_7_3</v>
      </c>
    </row>
    <row r="3563" spans="1:22">
      <c r="A3563" t="str">
        <f t="shared" si="440"/>
        <v>NDE-8502-R</v>
      </c>
      <c r="B3563" s="403" t="s">
        <v>1410</v>
      </c>
      <c r="C3563" s="403" t="s">
        <v>582</v>
      </c>
      <c r="D3563" s="403" t="s">
        <v>1411</v>
      </c>
      <c r="E3563" s="403" t="s">
        <v>1413</v>
      </c>
      <c r="F3563" s="403" t="s">
        <v>1290</v>
      </c>
      <c r="G3563" s="403" t="s">
        <v>1467</v>
      </c>
      <c r="H3563" s="403" t="s">
        <v>1282</v>
      </c>
      <c r="I3563" s="403">
        <v>1</v>
      </c>
      <c r="J3563" s="403" t="s">
        <v>1289</v>
      </c>
      <c r="K3563" s="403">
        <v>720</v>
      </c>
      <c r="L3563" s="403">
        <v>1280</v>
      </c>
      <c r="M3563" s="403" t="s">
        <v>1283</v>
      </c>
      <c r="N3563" s="403">
        <v>576</v>
      </c>
      <c r="O3563" s="403">
        <v>720</v>
      </c>
      <c r="P3563" t="str">
        <f t="shared" si="441"/>
        <v>50fps 720p full frame rate - SD 4CIF resolution 4:3 format (cropped)</v>
      </c>
      <c r="Q3563">
        <f t="shared" si="442"/>
        <v>19</v>
      </c>
      <c r="R3563" t="str">
        <f t="shared" si="443"/>
        <v/>
      </c>
      <c r="S3563" t="str">
        <f t="shared" si="444"/>
        <v/>
      </c>
      <c r="T3563" s="403" t="str">
        <f t="shared" si="445"/>
        <v>NDE-8502-R</v>
      </c>
      <c r="U3563" s="403">
        <f t="shared" si="446"/>
        <v>1</v>
      </c>
      <c r="V3563" s="403" t="str">
        <f t="shared" si="447"/>
        <v>CPP_7_3</v>
      </c>
    </row>
    <row r="3564" spans="1:22">
      <c r="A3564" t="str">
        <f t="shared" si="440"/>
        <v>NDE-8502-R</v>
      </c>
      <c r="B3564" s="403" t="s">
        <v>1410</v>
      </c>
      <c r="C3564" s="403" t="s">
        <v>582</v>
      </c>
      <c r="D3564" s="403" t="s">
        <v>1411</v>
      </c>
      <c r="E3564" s="403" t="s">
        <v>1413</v>
      </c>
      <c r="F3564" s="403" t="s">
        <v>1290</v>
      </c>
      <c r="G3564" s="403" t="s">
        <v>1467</v>
      </c>
      <c r="H3564" s="403" t="s">
        <v>1282</v>
      </c>
      <c r="I3564" s="403">
        <v>1</v>
      </c>
      <c r="J3564" s="403" t="s">
        <v>1289</v>
      </c>
      <c r="K3564" s="403">
        <v>720</v>
      </c>
      <c r="L3564" s="403">
        <v>1280</v>
      </c>
      <c r="M3564" s="403" t="s">
        <v>1284</v>
      </c>
      <c r="N3564" s="403">
        <v>480</v>
      </c>
      <c r="O3564" s="403">
        <v>640</v>
      </c>
      <c r="P3564" t="str">
        <f t="shared" si="441"/>
        <v>50fps 720p full frame rate - SD VGA (cropped)</v>
      </c>
      <c r="Q3564">
        <f t="shared" si="442"/>
        <v>19</v>
      </c>
      <c r="R3564" t="str">
        <f t="shared" si="443"/>
        <v/>
      </c>
      <c r="S3564" t="str">
        <f t="shared" si="444"/>
        <v/>
      </c>
      <c r="T3564" s="403" t="str">
        <f t="shared" si="445"/>
        <v>NDE-8502-R</v>
      </c>
      <c r="U3564" s="403">
        <f t="shared" si="446"/>
        <v>1</v>
      </c>
      <c r="V3564" s="403" t="str">
        <f t="shared" si="447"/>
        <v>CPP_7_3</v>
      </c>
    </row>
    <row r="3565" spans="1:22">
      <c r="A3565" t="str">
        <f t="shared" si="440"/>
        <v>NDE-8502-R</v>
      </c>
      <c r="B3565" s="403" t="s">
        <v>1410</v>
      </c>
      <c r="C3565" s="403" t="s">
        <v>582</v>
      </c>
      <c r="D3565" s="403" t="s">
        <v>1411</v>
      </c>
      <c r="E3565" s="403" t="s">
        <v>1413</v>
      </c>
      <c r="F3565" s="403" t="s">
        <v>1292</v>
      </c>
      <c r="G3565" s="403" t="s">
        <v>1466</v>
      </c>
      <c r="H3565" s="403" t="s">
        <v>1276</v>
      </c>
      <c r="I3565" s="403">
        <v>1</v>
      </c>
      <c r="J3565" s="403" t="s">
        <v>110</v>
      </c>
      <c r="K3565" s="403">
        <v>1920</v>
      </c>
      <c r="L3565" s="403">
        <v>1080</v>
      </c>
      <c r="M3565" s="403" t="s">
        <v>111</v>
      </c>
      <c r="N3565" s="403">
        <v>768</v>
      </c>
      <c r="O3565" s="403">
        <v>432</v>
      </c>
      <c r="P3565" t="str">
        <f t="shared" si="441"/>
        <v>30fps 1080p - SD</v>
      </c>
      <c r="Q3565">
        <f t="shared" si="442"/>
        <v>19</v>
      </c>
      <c r="R3565" t="str">
        <f t="shared" si="443"/>
        <v/>
      </c>
      <c r="S3565" t="str">
        <f t="shared" si="444"/>
        <v/>
      </c>
      <c r="T3565" s="403" t="str">
        <f t="shared" si="445"/>
        <v>NDE-8502-R</v>
      </c>
      <c r="U3565" s="403">
        <f t="shared" si="446"/>
        <v>1</v>
      </c>
      <c r="V3565" s="403" t="str">
        <f t="shared" si="447"/>
        <v>CPP_7_3</v>
      </c>
    </row>
    <row r="3566" spans="1:22">
      <c r="A3566" t="str">
        <f t="shared" si="440"/>
        <v>NDE-8502-R</v>
      </c>
      <c r="B3566" s="403" t="s">
        <v>1410</v>
      </c>
      <c r="C3566" s="403" t="s">
        <v>582</v>
      </c>
      <c r="D3566" s="403" t="s">
        <v>1411</v>
      </c>
      <c r="E3566" s="403" t="s">
        <v>1413</v>
      </c>
      <c r="F3566" s="403" t="s">
        <v>1292</v>
      </c>
      <c r="G3566" s="403" t="s">
        <v>1466</v>
      </c>
      <c r="H3566" s="403" t="s">
        <v>1276</v>
      </c>
      <c r="I3566" s="403">
        <v>1</v>
      </c>
      <c r="J3566" s="403" t="s">
        <v>110</v>
      </c>
      <c r="K3566" s="403">
        <v>1920</v>
      </c>
      <c r="L3566" s="403">
        <v>1080</v>
      </c>
      <c r="M3566" s="403" t="s">
        <v>110</v>
      </c>
      <c r="N3566" s="403">
        <v>1920</v>
      </c>
      <c r="O3566" s="403">
        <v>1080</v>
      </c>
      <c r="P3566" t="str">
        <f t="shared" si="441"/>
        <v>30fps 1080p - 1080p</v>
      </c>
      <c r="Q3566">
        <f t="shared" si="442"/>
        <v>19</v>
      </c>
      <c r="R3566" t="str">
        <f t="shared" si="443"/>
        <v/>
      </c>
      <c r="S3566" t="str">
        <f t="shared" si="444"/>
        <v/>
      </c>
      <c r="T3566" s="403" t="str">
        <f t="shared" si="445"/>
        <v>NDE-8502-R</v>
      </c>
      <c r="U3566" s="403">
        <f t="shared" si="446"/>
        <v>1</v>
      </c>
      <c r="V3566" s="403" t="str">
        <f t="shared" si="447"/>
        <v>CPP_7_3</v>
      </c>
    </row>
    <row r="3567" spans="1:22">
      <c r="A3567" t="str">
        <f t="shared" si="440"/>
        <v>NDE-8502-R</v>
      </c>
      <c r="B3567" s="403" t="s">
        <v>1410</v>
      </c>
      <c r="C3567" s="403" t="s">
        <v>582</v>
      </c>
      <c r="D3567" s="403" t="s">
        <v>1411</v>
      </c>
      <c r="E3567" s="403" t="s">
        <v>1413</v>
      </c>
      <c r="F3567" s="403" t="s">
        <v>1292</v>
      </c>
      <c r="G3567" s="403" t="s">
        <v>1466</v>
      </c>
      <c r="H3567" s="403" t="s">
        <v>1276</v>
      </c>
      <c r="I3567" s="403">
        <v>1</v>
      </c>
      <c r="J3567" s="403" t="s">
        <v>110</v>
      </c>
      <c r="K3567" s="403">
        <v>1920</v>
      </c>
      <c r="L3567" s="403">
        <v>1080</v>
      </c>
      <c r="M3567" s="403" t="s">
        <v>109</v>
      </c>
      <c r="N3567" s="403">
        <v>1280</v>
      </c>
      <c r="O3567" s="403">
        <v>720</v>
      </c>
      <c r="P3567" t="str">
        <f t="shared" si="441"/>
        <v>30fps 1080p - 720p</v>
      </c>
      <c r="Q3567">
        <f t="shared" si="442"/>
        <v>19</v>
      </c>
      <c r="R3567" t="str">
        <f t="shared" si="443"/>
        <v/>
      </c>
      <c r="S3567" t="str">
        <f t="shared" si="444"/>
        <v/>
      </c>
      <c r="T3567" s="403" t="str">
        <f t="shared" si="445"/>
        <v>NDE-8502-R</v>
      </c>
      <c r="U3567" s="403">
        <f t="shared" si="446"/>
        <v>1</v>
      </c>
      <c r="V3567" s="403" t="str">
        <f t="shared" si="447"/>
        <v>CPP_7_3</v>
      </c>
    </row>
    <row r="3568" spans="1:22">
      <c r="A3568" t="str">
        <f t="shared" si="440"/>
        <v>NDE-8502-R</v>
      </c>
      <c r="B3568" s="403" t="s">
        <v>1410</v>
      </c>
      <c r="C3568" s="403" t="s">
        <v>582</v>
      </c>
      <c r="D3568" s="403" t="s">
        <v>1411</v>
      </c>
      <c r="E3568" s="403" t="s">
        <v>1413</v>
      </c>
      <c r="F3568" s="403" t="s">
        <v>1292</v>
      </c>
      <c r="G3568" s="403" t="s">
        <v>1466</v>
      </c>
      <c r="H3568" s="403" t="s">
        <v>1276</v>
      </c>
      <c r="I3568" s="403">
        <v>1</v>
      </c>
      <c r="J3568" s="403" t="s">
        <v>110</v>
      </c>
      <c r="K3568" s="403">
        <v>1920</v>
      </c>
      <c r="L3568" s="403">
        <v>1080</v>
      </c>
      <c r="M3568" s="403" t="s">
        <v>1285</v>
      </c>
      <c r="N3568" s="403">
        <v>1280</v>
      </c>
      <c r="O3568" s="403">
        <v>1024</v>
      </c>
      <c r="P3568" t="str">
        <f t="shared" si="441"/>
        <v>30fps 1080p - 1280x1024 5:4 (cropped)</v>
      </c>
      <c r="Q3568">
        <f t="shared" si="442"/>
        <v>19</v>
      </c>
      <c r="R3568" t="str">
        <f t="shared" si="443"/>
        <v/>
      </c>
      <c r="S3568" t="str">
        <f t="shared" si="444"/>
        <v/>
      </c>
      <c r="T3568" s="403" t="str">
        <f t="shared" si="445"/>
        <v>NDE-8502-R</v>
      </c>
      <c r="U3568" s="403">
        <f t="shared" si="446"/>
        <v>1</v>
      </c>
      <c r="V3568" s="403" t="str">
        <f t="shared" si="447"/>
        <v>CPP_7_3</v>
      </c>
    </row>
    <row r="3569" spans="1:22">
      <c r="A3569" t="str">
        <f t="shared" si="440"/>
        <v>NDE-8502-R</v>
      </c>
      <c r="B3569" s="403" t="s">
        <v>1410</v>
      </c>
      <c r="C3569" s="403" t="s">
        <v>582</v>
      </c>
      <c r="D3569" s="403" t="s">
        <v>1411</v>
      </c>
      <c r="E3569" s="403" t="s">
        <v>1413</v>
      </c>
      <c r="F3569" s="403" t="s">
        <v>1292</v>
      </c>
      <c r="G3569" s="403" t="s">
        <v>1466</v>
      </c>
      <c r="H3569" s="403" t="s">
        <v>1276</v>
      </c>
      <c r="I3569" s="403">
        <v>1</v>
      </c>
      <c r="J3569" s="403" t="s">
        <v>110</v>
      </c>
      <c r="K3569" s="403">
        <v>1920</v>
      </c>
      <c r="L3569" s="403">
        <v>1080</v>
      </c>
      <c r="M3569" s="403" t="s">
        <v>1279</v>
      </c>
      <c r="N3569" s="403">
        <v>768</v>
      </c>
      <c r="O3569" s="403">
        <v>432</v>
      </c>
      <c r="P3569" t="str">
        <f t="shared" si="441"/>
        <v>30fps 1080p - SD ROI PTZ</v>
      </c>
      <c r="Q3569">
        <f t="shared" si="442"/>
        <v>19</v>
      </c>
      <c r="R3569" t="str">
        <f t="shared" si="443"/>
        <v/>
      </c>
      <c r="S3569" t="str">
        <f t="shared" si="444"/>
        <v/>
      </c>
      <c r="T3569" s="403" t="str">
        <f t="shared" si="445"/>
        <v>NDE-8502-R</v>
      </c>
      <c r="U3569" s="403">
        <f t="shared" si="446"/>
        <v>1</v>
      </c>
      <c r="V3569" s="403" t="str">
        <f t="shared" si="447"/>
        <v>CPP_7_3</v>
      </c>
    </row>
    <row r="3570" spans="1:22">
      <c r="A3570" t="str">
        <f t="shared" si="440"/>
        <v>NDE-8502-R</v>
      </c>
      <c r="B3570" s="403" t="s">
        <v>1410</v>
      </c>
      <c r="C3570" s="403" t="s">
        <v>582</v>
      </c>
      <c r="D3570" s="403" t="s">
        <v>1411</v>
      </c>
      <c r="E3570" s="403" t="s">
        <v>1413</v>
      </c>
      <c r="F3570" s="403" t="s">
        <v>1292</v>
      </c>
      <c r="G3570" s="403" t="s">
        <v>1466</v>
      </c>
      <c r="H3570" s="403" t="s">
        <v>1276</v>
      </c>
      <c r="I3570" s="403">
        <v>1</v>
      </c>
      <c r="J3570" s="403" t="s">
        <v>110</v>
      </c>
      <c r="K3570" s="403">
        <v>1920</v>
      </c>
      <c r="L3570" s="403">
        <v>1080</v>
      </c>
      <c r="M3570" s="403" t="s">
        <v>1283</v>
      </c>
      <c r="N3570" s="403">
        <v>720</v>
      </c>
      <c r="O3570" s="403">
        <v>480</v>
      </c>
      <c r="P3570" t="str">
        <f t="shared" si="441"/>
        <v>30fps 1080p - SD 4CIF resolution 4:3 format (cropped)</v>
      </c>
      <c r="Q3570">
        <f t="shared" si="442"/>
        <v>19</v>
      </c>
      <c r="R3570" t="str">
        <f t="shared" si="443"/>
        <v/>
      </c>
      <c r="S3570" t="str">
        <f t="shared" si="444"/>
        <v/>
      </c>
      <c r="T3570" s="403" t="str">
        <f t="shared" si="445"/>
        <v>NDE-8502-R</v>
      </c>
      <c r="U3570" s="403">
        <f t="shared" si="446"/>
        <v>1</v>
      </c>
      <c r="V3570" s="403" t="str">
        <f t="shared" si="447"/>
        <v>CPP_7_3</v>
      </c>
    </row>
    <row r="3571" spans="1:22">
      <c r="A3571" t="str">
        <f t="shared" si="440"/>
        <v>NDE-8502-R</v>
      </c>
      <c r="B3571" s="403" t="s">
        <v>1410</v>
      </c>
      <c r="C3571" s="403" t="s">
        <v>582</v>
      </c>
      <c r="D3571" s="403" t="s">
        <v>1411</v>
      </c>
      <c r="E3571" s="403" t="s">
        <v>1413</v>
      </c>
      <c r="F3571" s="403" t="s">
        <v>1292</v>
      </c>
      <c r="G3571" s="403" t="s">
        <v>1466</v>
      </c>
      <c r="H3571" s="403" t="s">
        <v>1276</v>
      </c>
      <c r="I3571" s="403">
        <v>1</v>
      </c>
      <c r="J3571" s="403" t="s">
        <v>110</v>
      </c>
      <c r="K3571" s="403">
        <v>1920</v>
      </c>
      <c r="L3571" s="403">
        <v>1080</v>
      </c>
      <c r="M3571" s="403" t="s">
        <v>1284</v>
      </c>
      <c r="N3571" s="403">
        <v>640</v>
      </c>
      <c r="O3571" s="403">
        <v>480</v>
      </c>
      <c r="P3571" t="str">
        <f t="shared" si="441"/>
        <v>30fps 1080p - SD VGA (cropped)</v>
      </c>
      <c r="Q3571">
        <f t="shared" si="442"/>
        <v>19</v>
      </c>
      <c r="R3571" t="str">
        <f t="shared" si="443"/>
        <v/>
      </c>
      <c r="S3571" t="str">
        <f t="shared" si="444"/>
        <v/>
      </c>
      <c r="T3571" s="403" t="str">
        <f t="shared" si="445"/>
        <v>NDE-8502-R</v>
      </c>
      <c r="U3571" s="403">
        <f t="shared" si="446"/>
        <v>1</v>
      </c>
      <c r="V3571" s="403" t="str">
        <f t="shared" si="447"/>
        <v>CPP_7_3</v>
      </c>
    </row>
    <row r="3572" spans="1:22">
      <c r="A3572" t="str">
        <f t="shared" si="440"/>
        <v>NDE-8502-R</v>
      </c>
      <c r="B3572" s="403" t="s">
        <v>1410</v>
      </c>
      <c r="C3572" s="403" t="s">
        <v>582</v>
      </c>
      <c r="D3572" s="403" t="s">
        <v>1411</v>
      </c>
      <c r="E3572" s="403" t="s">
        <v>1413</v>
      </c>
      <c r="F3572" s="403" t="s">
        <v>1292</v>
      </c>
      <c r="G3572" s="403" t="s">
        <v>1466</v>
      </c>
      <c r="H3572" s="403" t="s">
        <v>1276</v>
      </c>
      <c r="I3572" s="403">
        <v>1</v>
      </c>
      <c r="J3572" s="403" t="s">
        <v>109</v>
      </c>
      <c r="K3572" s="403">
        <v>1280</v>
      </c>
      <c r="L3572" s="403">
        <v>720</v>
      </c>
      <c r="M3572" s="403" t="s">
        <v>109</v>
      </c>
      <c r="N3572" s="403">
        <v>1280</v>
      </c>
      <c r="O3572" s="403">
        <v>720</v>
      </c>
      <c r="P3572" t="str">
        <f t="shared" si="441"/>
        <v>30fps 720p - 720p</v>
      </c>
      <c r="Q3572">
        <f t="shared" si="442"/>
        <v>19</v>
      </c>
      <c r="R3572" t="str">
        <f t="shared" si="443"/>
        <v/>
      </c>
      <c r="S3572" t="str">
        <f t="shared" si="444"/>
        <v/>
      </c>
      <c r="T3572" s="403" t="str">
        <f t="shared" si="445"/>
        <v>NDE-8502-R</v>
      </c>
      <c r="U3572" s="403">
        <f t="shared" si="446"/>
        <v>1</v>
      </c>
      <c r="V3572" s="403" t="str">
        <f t="shared" si="447"/>
        <v>CPP_7_3</v>
      </c>
    </row>
    <row r="3573" spans="1:22">
      <c r="A3573" t="str">
        <f t="shared" si="440"/>
        <v>NDE-8502-R</v>
      </c>
      <c r="B3573" s="403" t="s">
        <v>1410</v>
      </c>
      <c r="C3573" s="403" t="s">
        <v>582</v>
      </c>
      <c r="D3573" s="403" t="s">
        <v>1411</v>
      </c>
      <c r="E3573" s="403" t="s">
        <v>1413</v>
      </c>
      <c r="F3573" s="403" t="s">
        <v>1292</v>
      </c>
      <c r="G3573" s="403" t="s">
        <v>1466</v>
      </c>
      <c r="H3573" s="403" t="s">
        <v>1276</v>
      </c>
      <c r="I3573" s="403">
        <v>1</v>
      </c>
      <c r="J3573" s="403" t="s">
        <v>109</v>
      </c>
      <c r="K3573" s="403">
        <v>1280</v>
      </c>
      <c r="L3573" s="403">
        <v>720</v>
      </c>
      <c r="M3573" s="403" t="s">
        <v>111</v>
      </c>
      <c r="N3573" s="403">
        <v>768</v>
      </c>
      <c r="O3573" s="403">
        <v>432</v>
      </c>
      <c r="P3573" t="str">
        <f t="shared" si="441"/>
        <v>30fps 720p - SD</v>
      </c>
      <c r="Q3573">
        <f t="shared" si="442"/>
        <v>19</v>
      </c>
      <c r="R3573" t="str">
        <f t="shared" si="443"/>
        <v/>
      </c>
      <c r="S3573" t="str">
        <f t="shared" si="444"/>
        <v/>
      </c>
      <c r="T3573" s="403" t="str">
        <f t="shared" si="445"/>
        <v>NDE-8502-R</v>
      </c>
      <c r="U3573" s="403">
        <f t="shared" si="446"/>
        <v>1</v>
      </c>
      <c r="V3573" s="403" t="str">
        <f t="shared" si="447"/>
        <v>CPP_7_3</v>
      </c>
    </row>
    <row r="3574" spans="1:22">
      <c r="A3574" t="str">
        <f t="shared" si="440"/>
        <v>NDE-8502-R</v>
      </c>
      <c r="B3574" s="403" t="s">
        <v>1410</v>
      </c>
      <c r="C3574" s="403" t="s">
        <v>582</v>
      </c>
      <c r="D3574" s="403" t="s">
        <v>1411</v>
      </c>
      <c r="E3574" s="403" t="s">
        <v>1413</v>
      </c>
      <c r="F3574" s="403" t="s">
        <v>1292</v>
      </c>
      <c r="G3574" s="403" t="s">
        <v>1466</v>
      </c>
      <c r="H3574" s="403" t="s">
        <v>1276</v>
      </c>
      <c r="I3574" s="403">
        <v>1</v>
      </c>
      <c r="J3574" s="403" t="s">
        <v>109</v>
      </c>
      <c r="K3574" s="403">
        <v>1280</v>
      </c>
      <c r="L3574" s="403">
        <v>720</v>
      </c>
      <c r="M3574" s="403" t="s">
        <v>1279</v>
      </c>
      <c r="N3574" s="403">
        <v>768</v>
      </c>
      <c r="O3574" s="403">
        <v>432</v>
      </c>
      <c r="P3574" t="str">
        <f t="shared" si="441"/>
        <v>30fps 720p - SD ROI PTZ</v>
      </c>
      <c r="Q3574">
        <f t="shared" si="442"/>
        <v>19</v>
      </c>
      <c r="R3574" t="str">
        <f t="shared" si="443"/>
        <v/>
      </c>
      <c r="S3574" t="str">
        <f t="shared" si="444"/>
        <v/>
      </c>
      <c r="T3574" s="403" t="str">
        <f t="shared" si="445"/>
        <v>NDE-8502-R</v>
      </c>
      <c r="U3574" s="403">
        <f t="shared" si="446"/>
        <v>1</v>
      </c>
      <c r="V3574" s="403" t="str">
        <f t="shared" si="447"/>
        <v>CPP_7_3</v>
      </c>
    </row>
    <row r="3575" spans="1:22">
      <c r="A3575" t="str">
        <f t="shared" si="440"/>
        <v>NDE-8502-R</v>
      </c>
      <c r="B3575" s="403" t="s">
        <v>1410</v>
      </c>
      <c r="C3575" s="403" t="s">
        <v>582</v>
      </c>
      <c r="D3575" s="403" t="s">
        <v>1411</v>
      </c>
      <c r="E3575" s="403" t="s">
        <v>1413</v>
      </c>
      <c r="F3575" s="403" t="s">
        <v>1292</v>
      </c>
      <c r="G3575" s="403" t="s">
        <v>1466</v>
      </c>
      <c r="H3575" s="403" t="s">
        <v>1276</v>
      </c>
      <c r="I3575" s="403">
        <v>1</v>
      </c>
      <c r="J3575" s="403" t="s">
        <v>109</v>
      </c>
      <c r="K3575" s="403">
        <v>1280</v>
      </c>
      <c r="L3575" s="403">
        <v>720</v>
      </c>
      <c r="M3575" s="403" t="s">
        <v>1283</v>
      </c>
      <c r="N3575" s="403">
        <v>720</v>
      </c>
      <c r="O3575" s="403">
        <v>480</v>
      </c>
      <c r="P3575" t="str">
        <f t="shared" si="441"/>
        <v>30fps 720p - SD 4CIF resolution 4:3 format (cropped)</v>
      </c>
      <c r="Q3575">
        <f t="shared" si="442"/>
        <v>19</v>
      </c>
      <c r="R3575" t="str">
        <f t="shared" si="443"/>
        <v/>
      </c>
      <c r="S3575" t="str">
        <f t="shared" si="444"/>
        <v/>
      </c>
      <c r="T3575" s="403" t="str">
        <f t="shared" si="445"/>
        <v>NDE-8502-R</v>
      </c>
      <c r="U3575" s="403">
        <f t="shared" si="446"/>
        <v>1</v>
      </c>
      <c r="V3575" s="403" t="str">
        <f t="shared" si="447"/>
        <v>CPP_7_3</v>
      </c>
    </row>
    <row r="3576" spans="1:22">
      <c r="A3576" t="str">
        <f t="shared" si="440"/>
        <v>NDE-8502-R</v>
      </c>
      <c r="B3576" s="403" t="s">
        <v>1410</v>
      </c>
      <c r="C3576" s="403" t="s">
        <v>582</v>
      </c>
      <c r="D3576" s="403" t="s">
        <v>1411</v>
      </c>
      <c r="E3576" s="403" t="s">
        <v>1413</v>
      </c>
      <c r="F3576" s="403" t="s">
        <v>1292</v>
      </c>
      <c r="G3576" s="403" t="s">
        <v>1466</v>
      </c>
      <c r="H3576" s="403" t="s">
        <v>1276</v>
      </c>
      <c r="I3576" s="403">
        <v>1</v>
      </c>
      <c r="J3576" s="403" t="s">
        <v>109</v>
      </c>
      <c r="K3576" s="403">
        <v>1280</v>
      </c>
      <c r="L3576" s="403">
        <v>720</v>
      </c>
      <c r="M3576" s="403" t="s">
        <v>1284</v>
      </c>
      <c r="N3576" s="403">
        <v>640</v>
      </c>
      <c r="O3576" s="403">
        <v>480</v>
      </c>
      <c r="P3576" t="str">
        <f t="shared" si="441"/>
        <v>30fps 720p - SD VGA (cropped)</v>
      </c>
      <c r="Q3576">
        <f t="shared" si="442"/>
        <v>19</v>
      </c>
      <c r="R3576" t="str">
        <f t="shared" si="443"/>
        <v/>
      </c>
      <c r="S3576" t="str">
        <f t="shared" si="444"/>
        <v/>
      </c>
      <c r="T3576" s="403" t="str">
        <f t="shared" si="445"/>
        <v>NDE-8502-R</v>
      </c>
      <c r="U3576" s="403">
        <f t="shared" si="446"/>
        <v>1</v>
      </c>
      <c r="V3576" s="403" t="str">
        <f t="shared" si="447"/>
        <v>CPP_7_3</v>
      </c>
    </row>
    <row r="3577" spans="1:22">
      <c r="A3577" t="str">
        <f t="shared" si="440"/>
        <v>NDE-8502-R</v>
      </c>
      <c r="B3577" s="403" t="s">
        <v>1410</v>
      </c>
      <c r="C3577" s="403" t="s">
        <v>582</v>
      </c>
      <c r="D3577" s="403" t="s">
        <v>1411</v>
      </c>
      <c r="E3577" s="403" t="s">
        <v>1413</v>
      </c>
      <c r="F3577" s="403" t="s">
        <v>1292</v>
      </c>
      <c r="G3577" s="403" t="s">
        <v>1466</v>
      </c>
      <c r="H3577" s="403" t="s">
        <v>1281</v>
      </c>
      <c r="I3577" s="403">
        <v>1</v>
      </c>
      <c r="J3577" s="403" t="s">
        <v>110</v>
      </c>
      <c r="K3577" s="403">
        <v>1920</v>
      </c>
      <c r="L3577" s="403">
        <v>1080</v>
      </c>
      <c r="M3577" s="403" t="s">
        <v>111</v>
      </c>
      <c r="N3577" s="403">
        <v>768</v>
      </c>
      <c r="O3577" s="403">
        <v>432</v>
      </c>
      <c r="P3577" t="str">
        <f t="shared" si="441"/>
        <v>30fps 1080p - SD</v>
      </c>
      <c r="Q3577">
        <f t="shared" si="442"/>
        <v>19</v>
      </c>
      <c r="R3577" t="str">
        <f t="shared" si="443"/>
        <v/>
      </c>
      <c r="S3577" t="str">
        <f t="shared" si="444"/>
        <v/>
      </c>
      <c r="T3577" s="403" t="str">
        <f t="shared" si="445"/>
        <v>NDE-8502-R</v>
      </c>
      <c r="U3577" s="403">
        <f t="shared" si="446"/>
        <v>1</v>
      </c>
      <c r="V3577" s="403" t="str">
        <f t="shared" si="447"/>
        <v>CPP_7_3</v>
      </c>
    </row>
    <row r="3578" spans="1:22">
      <c r="A3578" t="str">
        <f t="shared" si="440"/>
        <v>NDE-8502-R</v>
      </c>
      <c r="B3578" s="403" t="s">
        <v>1410</v>
      </c>
      <c r="C3578" s="403" t="s">
        <v>582</v>
      </c>
      <c r="D3578" s="403" t="s">
        <v>1411</v>
      </c>
      <c r="E3578" s="403" t="s">
        <v>1413</v>
      </c>
      <c r="F3578" s="403" t="s">
        <v>1292</v>
      </c>
      <c r="G3578" s="403" t="s">
        <v>1466</v>
      </c>
      <c r="H3578" s="403" t="s">
        <v>1281</v>
      </c>
      <c r="I3578" s="403">
        <v>1</v>
      </c>
      <c r="J3578" s="403" t="s">
        <v>110</v>
      </c>
      <c r="K3578" s="403">
        <v>1920</v>
      </c>
      <c r="L3578" s="403">
        <v>1080</v>
      </c>
      <c r="M3578" s="403" t="s">
        <v>110</v>
      </c>
      <c r="N3578" s="403">
        <v>1920</v>
      </c>
      <c r="O3578" s="403">
        <v>1080</v>
      </c>
      <c r="P3578" t="str">
        <f t="shared" si="441"/>
        <v>30fps 1080p - 1080p</v>
      </c>
      <c r="Q3578">
        <f t="shared" si="442"/>
        <v>19</v>
      </c>
      <c r="R3578" t="str">
        <f t="shared" si="443"/>
        <v/>
      </c>
      <c r="S3578" t="str">
        <f t="shared" si="444"/>
        <v/>
      </c>
      <c r="T3578" s="403" t="str">
        <f t="shared" si="445"/>
        <v>NDE-8502-R</v>
      </c>
      <c r="U3578" s="403">
        <f t="shared" si="446"/>
        <v>1</v>
      </c>
      <c r="V3578" s="403" t="str">
        <f t="shared" si="447"/>
        <v>CPP_7_3</v>
      </c>
    </row>
    <row r="3579" spans="1:22">
      <c r="A3579" t="str">
        <f t="shared" si="440"/>
        <v>NDE-8502-R</v>
      </c>
      <c r="B3579" s="403" t="s">
        <v>1410</v>
      </c>
      <c r="C3579" s="403" t="s">
        <v>582</v>
      </c>
      <c r="D3579" s="403" t="s">
        <v>1411</v>
      </c>
      <c r="E3579" s="403" t="s">
        <v>1413</v>
      </c>
      <c r="F3579" s="403" t="s">
        <v>1292</v>
      </c>
      <c r="G3579" s="403" t="s">
        <v>1466</v>
      </c>
      <c r="H3579" s="403" t="s">
        <v>1281</v>
      </c>
      <c r="I3579" s="403">
        <v>1</v>
      </c>
      <c r="J3579" s="403" t="s">
        <v>110</v>
      </c>
      <c r="K3579" s="403">
        <v>1920</v>
      </c>
      <c r="L3579" s="403">
        <v>1080</v>
      </c>
      <c r="M3579" s="403" t="s">
        <v>109</v>
      </c>
      <c r="N3579" s="403">
        <v>1280</v>
      </c>
      <c r="O3579" s="403">
        <v>720</v>
      </c>
      <c r="P3579" t="str">
        <f t="shared" si="441"/>
        <v>30fps 1080p - 720p</v>
      </c>
      <c r="Q3579">
        <f t="shared" si="442"/>
        <v>19</v>
      </c>
      <c r="R3579" t="str">
        <f t="shared" si="443"/>
        <v/>
      </c>
      <c r="S3579" t="str">
        <f t="shared" si="444"/>
        <v/>
      </c>
      <c r="T3579" s="403" t="str">
        <f t="shared" si="445"/>
        <v>NDE-8502-R</v>
      </c>
      <c r="U3579" s="403">
        <f t="shared" si="446"/>
        <v>1</v>
      </c>
      <c r="V3579" s="403" t="str">
        <f t="shared" si="447"/>
        <v>CPP_7_3</v>
      </c>
    </row>
    <row r="3580" spans="1:22">
      <c r="A3580" t="str">
        <f t="shared" si="440"/>
        <v>NDE-8502-R</v>
      </c>
      <c r="B3580" s="403" t="s">
        <v>1410</v>
      </c>
      <c r="C3580" s="403" t="s">
        <v>582</v>
      </c>
      <c r="D3580" s="403" t="s">
        <v>1411</v>
      </c>
      <c r="E3580" s="403" t="s">
        <v>1413</v>
      </c>
      <c r="F3580" s="403" t="s">
        <v>1292</v>
      </c>
      <c r="G3580" s="403" t="s">
        <v>1466</v>
      </c>
      <c r="H3580" s="403" t="s">
        <v>1281</v>
      </c>
      <c r="I3580" s="403">
        <v>1</v>
      </c>
      <c r="J3580" s="403" t="s">
        <v>110</v>
      </c>
      <c r="K3580" s="403">
        <v>1920</v>
      </c>
      <c r="L3580" s="403">
        <v>1080</v>
      </c>
      <c r="M3580" s="403" t="s">
        <v>1285</v>
      </c>
      <c r="N3580" s="403">
        <v>1280</v>
      </c>
      <c r="O3580" s="403">
        <v>1024</v>
      </c>
      <c r="P3580" t="str">
        <f t="shared" si="441"/>
        <v>30fps 1080p - 1280x1024 5:4 (cropped)</v>
      </c>
      <c r="Q3580">
        <f t="shared" si="442"/>
        <v>19</v>
      </c>
      <c r="R3580" t="str">
        <f t="shared" si="443"/>
        <v/>
      </c>
      <c r="S3580" t="str">
        <f t="shared" si="444"/>
        <v/>
      </c>
      <c r="T3580" s="403" t="str">
        <f t="shared" si="445"/>
        <v>NDE-8502-R</v>
      </c>
      <c r="U3580" s="403">
        <f t="shared" si="446"/>
        <v>1</v>
      </c>
      <c r="V3580" s="403" t="str">
        <f t="shared" si="447"/>
        <v>CPP_7_3</v>
      </c>
    </row>
    <row r="3581" spans="1:22">
      <c r="A3581" t="str">
        <f t="shared" si="440"/>
        <v>NDE-8502-R</v>
      </c>
      <c r="B3581" s="403" t="s">
        <v>1410</v>
      </c>
      <c r="C3581" s="403" t="s">
        <v>582</v>
      </c>
      <c r="D3581" s="403" t="s">
        <v>1411</v>
      </c>
      <c r="E3581" s="403" t="s">
        <v>1413</v>
      </c>
      <c r="F3581" s="403" t="s">
        <v>1292</v>
      </c>
      <c r="G3581" s="403" t="s">
        <v>1466</v>
      </c>
      <c r="H3581" s="403" t="s">
        <v>1281</v>
      </c>
      <c r="I3581" s="403">
        <v>1</v>
      </c>
      <c r="J3581" s="403" t="s">
        <v>110</v>
      </c>
      <c r="K3581" s="403">
        <v>1920</v>
      </c>
      <c r="L3581" s="403">
        <v>1080</v>
      </c>
      <c r="M3581" s="403" t="s">
        <v>1279</v>
      </c>
      <c r="N3581" s="403">
        <v>768</v>
      </c>
      <c r="O3581" s="403">
        <v>432</v>
      </c>
      <c r="P3581" t="str">
        <f t="shared" si="441"/>
        <v>30fps 1080p - SD ROI PTZ</v>
      </c>
      <c r="Q3581">
        <f t="shared" si="442"/>
        <v>19</v>
      </c>
      <c r="R3581" t="str">
        <f t="shared" si="443"/>
        <v/>
      </c>
      <c r="S3581" t="str">
        <f t="shared" si="444"/>
        <v/>
      </c>
      <c r="T3581" s="403" t="str">
        <f t="shared" si="445"/>
        <v>NDE-8502-R</v>
      </c>
      <c r="U3581" s="403">
        <f t="shared" si="446"/>
        <v>1</v>
      </c>
      <c r="V3581" s="403" t="str">
        <f t="shared" si="447"/>
        <v>CPP_7_3</v>
      </c>
    </row>
    <row r="3582" spans="1:22">
      <c r="A3582" t="str">
        <f t="shared" si="440"/>
        <v>NDE-8502-R</v>
      </c>
      <c r="B3582" s="403" t="s">
        <v>1410</v>
      </c>
      <c r="C3582" s="403" t="s">
        <v>582</v>
      </c>
      <c r="D3582" s="403" t="s">
        <v>1411</v>
      </c>
      <c r="E3582" s="403" t="s">
        <v>1413</v>
      </c>
      <c r="F3582" s="403" t="s">
        <v>1292</v>
      </c>
      <c r="G3582" s="403" t="s">
        <v>1466</v>
      </c>
      <c r="H3582" s="403" t="s">
        <v>1281</v>
      </c>
      <c r="I3582" s="403">
        <v>1</v>
      </c>
      <c r="J3582" s="403" t="s">
        <v>110</v>
      </c>
      <c r="K3582" s="403">
        <v>1920</v>
      </c>
      <c r="L3582" s="403">
        <v>1080</v>
      </c>
      <c r="M3582" s="403" t="s">
        <v>1283</v>
      </c>
      <c r="N3582" s="403">
        <v>720</v>
      </c>
      <c r="O3582" s="403">
        <v>480</v>
      </c>
      <c r="P3582" t="str">
        <f t="shared" si="441"/>
        <v>30fps 1080p - SD 4CIF resolution 4:3 format (cropped)</v>
      </c>
      <c r="Q3582">
        <f t="shared" si="442"/>
        <v>19</v>
      </c>
      <c r="R3582" t="str">
        <f t="shared" si="443"/>
        <v/>
      </c>
      <c r="S3582" t="str">
        <f t="shared" si="444"/>
        <v/>
      </c>
      <c r="T3582" s="403" t="str">
        <f t="shared" si="445"/>
        <v>NDE-8502-R</v>
      </c>
      <c r="U3582" s="403">
        <f t="shared" si="446"/>
        <v>1</v>
      </c>
      <c r="V3582" s="403" t="str">
        <f t="shared" si="447"/>
        <v>CPP_7_3</v>
      </c>
    </row>
    <row r="3583" spans="1:22">
      <c r="A3583" t="str">
        <f t="shared" si="440"/>
        <v>NDE-8502-R</v>
      </c>
      <c r="B3583" s="403" t="s">
        <v>1410</v>
      </c>
      <c r="C3583" s="403" t="s">
        <v>582</v>
      </c>
      <c r="D3583" s="403" t="s">
        <v>1411</v>
      </c>
      <c r="E3583" s="403" t="s">
        <v>1413</v>
      </c>
      <c r="F3583" s="403" t="s">
        <v>1292</v>
      </c>
      <c r="G3583" s="403" t="s">
        <v>1466</v>
      </c>
      <c r="H3583" s="403" t="s">
        <v>1281</v>
      </c>
      <c r="I3583" s="403">
        <v>1</v>
      </c>
      <c r="J3583" s="403" t="s">
        <v>110</v>
      </c>
      <c r="K3583" s="403">
        <v>1920</v>
      </c>
      <c r="L3583" s="403">
        <v>1080</v>
      </c>
      <c r="M3583" s="403" t="s">
        <v>1284</v>
      </c>
      <c r="N3583" s="403">
        <v>640</v>
      </c>
      <c r="O3583" s="403">
        <v>480</v>
      </c>
      <c r="P3583" t="str">
        <f t="shared" si="441"/>
        <v>30fps 1080p - SD VGA (cropped)</v>
      </c>
      <c r="Q3583">
        <f t="shared" si="442"/>
        <v>19</v>
      </c>
      <c r="R3583" t="str">
        <f t="shared" si="443"/>
        <v/>
      </c>
      <c r="S3583" t="str">
        <f t="shared" si="444"/>
        <v/>
      </c>
      <c r="T3583" s="403" t="str">
        <f t="shared" si="445"/>
        <v>NDE-8502-R</v>
      </c>
      <c r="U3583" s="403">
        <f t="shared" si="446"/>
        <v>1</v>
      </c>
      <c r="V3583" s="403" t="str">
        <f t="shared" si="447"/>
        <v>CPP_7_3</v>
      </c>
    </row>
    <row r="3584" spans="1:22">
      <c r="A3584" t="str">
        <f t="shared" si="440"/>
        <v>NDE-8502-R</v>
      </c>
      <c r="B3584" s="403" t="s">
        <v>1410</v>
      </c>
      <c r="C3584" s="403" t="s">
        <v>582</v>
      </c>
      <c r="D3584" s="403" t="s">
        <v>1411</v>
      </c>
      <c r="E3584" s="403" t="s">
        <v>1413</v>
      </c>
      <c r="F3584" s="403" t="s">
        <v>1292</v>
      </c>
      <c r="G3584" s="403" t="s">
        <v>1466</v>
      </c>
      <c r="H3584" s="403" t="s">
        <v>1281</v>
      </c>
      <c r="I3584" s="403">
        <v>1</v>
      </c>
      <c r="J3584" s="403" t="s">
        <v>109</v>
      </c>
      <c r="K3584" s="403">
        <v>1280</v>
      </c>
      <c r="L3584" s="403">
        <v>720</v>
      </c>
      <c r="M3584" s="403" t="s">
        <v>109</v>
      </c>
      <c r="N3584" s="403">
        <v>1280</v>
      </c>
      <c r="O3584" s="403">
        <v>720</v>
      </c>
      <c r="P3584" t="str">
        <f t="shared" si="441"/>
        <v>30fps 720p - 720p</v>
      </c>
      <c r="Q3584">
        <f t="shared" si="442"/>
        <v>19</v>
      </c>
      <c r="R3584" t="str">
        <f t="shared" si="443"/>
        <v/>
      </c>
      <c r="S3584" t="str">
        <f t="shared" si="444"/>
        <v/>
      </c>
      <c r="T3584" s="403" t="str">
        <f t="shared" si="445"/>
        <v>NDE-8502-R</v>
      </c>
      <c r="U3584" s="403">
        <f t="shared" si="446"/>
        <v>1</v>
      </c>
      <c r="V3584" s="403" t="str">
        <f t="shared" si="447"/>
        <v>CPP_7_3</v>
      </c>
    </row>
    <row r="3585" spans="1:22">
      <c r="A3585" t="str">
        <f t="shared" si="440"/>
        <v>NDE-8502-R</v>
      </c>
      <c r="B3585" s="403" t="s">
        <v>1410</v>
      </c>
      <c r="C3585" s="403" t="s">
        <v>582</v>
      </c>
      <c r="D3585" s="403" t="s">
        <v>1411</v>
      </c>
      <c r="E3585" s="403" t="s">
        <v>1413</v>
      </c>
      <c r="F3585" s="403" t="s">
        <v>1292</v>
      </c>
      <c r="G3585" s="403" t="s">
        <v>1466</v>
      </c>
      <c r="H3585" s="403" t="s">
        <v>1281</v>
      </c>
      <c r="I3585" s="403">
        <v>1</v>
      </c>
      <c r="J3585" s="403" t="s">
        <v>109</v>
      </c>
      <c r="K3585" s="403">
        <v>1280</v>
      </c>
      <c r="L3585" s="403">
        <v>720</v>
      </c>
      <c r="M3585" s="403" t="s">
        <v>111</v>
      </c>
      <c r="N3585" s="403">
        <v>768</v>
      </c>
      <c r="O3585" s="403">
        <v>432</v>
      </c>
      <c r="P3585" t="str">
        <f t="shared" si="441"/>
        <v>30fps 720p - SD</v>
      </c>
      <c r="Q3585">
        <f t="shared" si="442"/>
        <v>19</v>
      </c>
      <c r="R3585" t="str">
        <f t="shared" si="443"/>
        <v/>
      </c>
      <c r="S3585" t="str">
        <f t="shared" si="444"/>
        <v/>
      </c>
      <c r="T3585" s="403" t="str">
        <f t="shared" si="445"/>
        <v>NDE-8502-R</v>
      </c>
      <c r="U3585" s="403">
        <f t="shared" si="446"/>
        <v>1</v>
      </c>
      <c r="V3585" s="403" t="str">
        <f t="shared" si="447"/>
        <v>CPP_7_3</v>
      </c>
    </row>
    <row r="3586" spans="1:22">
      <c r="A3586" t="str">
        <f t="shared" ref="A3586:A3649" si="448">IF(AND(G3586&lt;&gt;"rotate 90°"),D3586,"")</f>
        <v>NDE-8502-R</v>
      </c>
      <c r="B3586" s="403" t="s">
        <v>1410</v>
      </c>
      <c r="C3586" s="403" t="s">
        <v>582</v>
      </c>
      <c r="D3586" s="403" t="s">
        <v>1411</v>
      </c>
      <c r="E3586" s="403" t="s">
        <v>1413</v>
      </c>
      <c r="F3586" s="403" t="s">
        <v>1292</v>
      </c>
      <c r="G3586" s="403" t="s">
        <v>1466</v>
      </c>
      <c r="H3586" s="403" t="s">
        <v>1281</v>
      </c>
      <c r="I3586" s="403">
        <v>1</v>
      </c>
      <c r="J3586" s="403" t="s">
        <v>109</v>
      </c>
      <c r="K3586" s="403">
        <v>1280</v>
      </c>
      <c r="L3586" s="403">
        <v>720</v>
      </c>
      <c r="M3586" s="403" t="s">
        <v>1279</v>
      </c>
      <c r="N3586" s="403">
        <v>768</v>
      </c>
      <c r="O3586" s="403">
        <v>432</v>
      </c>
      <c r="P3586" t="str">
        <f t="shared" ref="P3586:P3649" si="449">LEFT(F3586,5)&amp;" "&amp;J3586&amp;" - "&amp;M3586</f>
        <v>30fps 720p - SD ROI PTZ</v>
      </c>
      <c r="Q3586">
        <f t="shared" ref="Q3586:Q3649" si="450">IF(A3585=A3586,Q3585,Q3585+1)</f>
        <v>19</v>
      </c>
      <c r="R3586" t="str">
        <f t="shared" ref="R3586:R3649" si="451">IF(Q3585&lt;&gt;Q3586,Q3586,"")</f>
        <v/>
      </c>
      <c r="S3586" t="str">
        <f t="shared" ref="S3586:S3649" si="452">IF(R3586&lt;&gt;"",B3586&amp;" ("&amp;D3586&amp;")","")</f>
        <v/>
      </c>
      <c r="T3586" s="403" t="str">
        <f t="shared" ref="T3586:T3649" si="453">D3586</f>
        <v>NDE-8502-R</v>
      </c>
      <c r="U3586" s="403">
        <f t="shared" ref="U3586:U3649" si="454">I3586</f>
        <v>1</v>
      </c>
      <c r="V3586" s="403" t="str">
        <f t="shared" ref="V3586:V3649" si="455">C3586</f>
        <v>CPP_7_3</v>
      </c>
    </row>
    <row r="3587" spans="1:22">
      <c r="A3587" t="str">
        <f t="shared" si="448"/>
        <v>NDE-8502-R</v>
      </c>
      <c r="B3587" s="403" t="s">
        <v>1410</v>
      </c>
      <c r="C3587" s="403" t="s">
        <v>582</v>
      </c>
      <c r="D3587" s="403" t="s">
        <v>1411</v>
      </c>
      <c r="E3587" s="403" t="s">
        <v>1413</v>
      </c>
      <c r="F3587" s="403" t="s">
        <v>1292</v>
      </c>
      <c r="G3587" s="403" t="s">
        <v>1466</v>
      </c>
      <c r="H3587" s="403" t="s">
        <v>1281</v>
      </c>
      <c r="I3587" s="403">
        <v>1</v>
      </c>
      <c r="J3587" s="403" t="s">
        <v>109</v>
      </c>
      <c r="K3587" s="403">
        <v>1280</v>
      </c>
      <c r="L3587" s="403">
        <v>720</v>
      </c>
      <c r="M3587" s="403" t="s">
        <v>1283</v>
      </c>
      <c r="N3587" s="403">
        <v>720</v>
      </c>
      <c r="O3587" s="403">
        <v>480</v>
      </c>
      <c r="P3587" t="str">
        <f t="shared" si="449"/>
        <v>30fps 720p - SD 4CIF resolution 4:3 format (cropped)</v>
      </c>
      <c r="Q3587">
        <f t="shared" si="450"/>
        <v>19</v>
      </c>
      <c r="R3587" t="str">
        <f t="shared" si="451"/>
        <v/>
      </c>
      <c r="S3587" t="str">
        <f t="shared" si="452"/>
        <v/>
      </c>
      <c r="T3587" s="403" t="str">
        <f t="shared" si="453"/>
        <v>NDE-8502-R</v>
      </c>
      <c r="U3587" s="403">
        <f t="shared" si="454"/>
        <v>1</v>
      </c>
      <c r="V3587" s="403" t="str">
        <f t="shared" si="455"/>
        <v>CPP_7_3</v>
      </c>
    </row>
    <row r="3588" spans="1:22">
      <c r="A3588" t="str">
        <f t="shared" si="448"/>
        <v>NDE-8502-R</v>
      </c>
      <c r="B3588" s="403" t="s">
        <v>1410</v>
      </c>
      <c r="C3588" s="403" t="s">
        <v>582</v>
      </c>
      <c r="D3588" s="403" t="s">
        <v>1411</v>
      </c>
      <c r="E3588" s="403" t="s">
        <v>1413</v>
      </c>
      <c r="F3588" s="403" t="s">
        <v>1292</v>
      </c>
      <c r="G3588" s="403" t="s">
        <v>1466</v>
      </c>
      <c r="H3588" s="403" t="s">
        <v>1281</v>
      </c>
      <c r="I3588" s="403">
        <v>1</v>
      </c>
      <c r="J3588" s="403" t="s">
        <v>109</v>
      </c>
      <c r="K3588" s="403">
        <v>1280</v>
      </c>
      <c r="L3588" s="403">
        <v>720</v>
      </c>
      <c r="M3588" s="403" t="s">
        <v>1284</v>
      </c>
      <c r="N3588" s="403">
        <v>640</v>
      </c>
      <c r="O3588" s="403">
        <v>480</v>
      </c>
      <c r="P3588" t="str">
        <f t="shared" si="449"/>
        <v>30fps 720p - SD VGA (cropped)</v>
      </c>
      <c r="Q3588">
        <f t="shared" si="450"/>
        <v>19</v>
      </c>
      <c r="R3588" t="str">
        <f t="shared" si="451"/>
        <v/>
      </c>
      <c r="S3588" t="str">
        <f t="shared" si="452"/>
        <v/>
      </c>
      <c r="T3588" s="403" t="str">
        <f t="shared" si="453"/>
        <v>NDE-8502-R</v>
      </c>
      <c r="U3588" s="403">
        <f t="shared" si="454"/>
        <v>1</v>
      </c>
      <c r="V3588" s="403" t="str">
        <f t="shared" si="455"/>
        <v>CPP_7_3</v>
      </c>
    </row>
    <row r="3589" spans="1:22">
      <c r="A3589" t="str">
        <f t="shared" si="448"/>
        <v>NDE-8502-R</v>
      </c>
      <c r="B3589" s="403" t="s">
        <v>1410</v>
      </c>
      <c r="C3589" s="403" t="s">
        <v>582</v>
      </c>
      <c r="D3589" s="403" t="s">
        <v>1411</v>
      </c>
      <c r="E3589" s="403" t="s">
        <v>1413</v>
      </c>
      <c r="F3589" s="403" t="s">
        <v>1292</v>
      </c>
      <c r="G3589" s="403" t="s">
        <v>1466</v>
      </c>
      <c r="H3589" s="403" t="s">
        <v>1282</v>
      </c>
      <c r="I3589" s="403">
        <v>1</v>
      </c>
      <c r="J3589" s="403" t="s">
        <v>110</v>
      </c>
      <c r="K3589" s="403">
        <v>1920</v>
      </c>
      <c r="L3589" s="403">
        <v>1080</v>
      </c>
      <c r="M3589" s="403" t="s">
        <v>111</v>
      </c>
      <c r="N3589" s="403">
        <v>768</v>
      </c>
      <c r="O3589" s="403">
        <v>432</v>
      </c>
      <c r="P3589" t="str">
        <f t="shared" si="449"/>
        <v>30fps 1080p - SD</v>
      </c>
      <c r="Q3589">
        <f t="shared" si="450"/>
        <v>19</v>
      </c>
      <c r="R3589" t="str">
        <f t="shared" si="451"/>
        <v/>
      </c>
      <c r="S3589" t="str">
        <f t="shared" si="452"/>
        <v/>
      </c>
      <c r="T3589" s="403" t="str">
        <f t="shared" si="453"/>
        <v>NDE-8502-R</v>
      </c>
      <c r="U3589" s="403">
        <f t="shared" si="454"/>
        <v>1</v>
      </c>
      <c r="V3589" s="403" t="str">
        <f t="shared" si="455"/>
        <v>CPP_7_3</v>
      </c>
    </row>
    <row r="3590" spans="1:22">
      <c r="A3590" t="str">
        <f t="shared" si="448"/>
        <v>NDE-8502-R</v>
      </c>
      <c r="B3590" s="403" t="s">
        <v>1410</v>
      </c>
      <c r="C3590" s="403" t="s">
        <v>582</v>
      </c>
      <c r="D3590" s="403" t="s">
        <v>1411</v>
      </c>
      <c r="E3590" s="403" t="s">
        <v>1413</v>
      </c>
      <c r="F3590" s="403" t="s">
        <v>1292</v>
      </c>
      <c r="G3590" s="403" t="s">
        <v>1466</v>
      </c>
      <c r="H3590" s="403" t="s">
        <v>1282</v>
      </c>
      <c r="I3590" s="403">
        <v>1</v>
      </c>
      <c r="J3590" s="403" t="s">
        <v>110</v>
      </c>
      <c r="K3590" s="403">
        <v>1920</v>
      </c>
      <c r="L3590" s="403">
        <v>1080</v>
      </c>
      <c r="M3590" s="403" t="s">
        <v>110</v>
      </c>
      <c r="N3590" s="403">
        <v>1920</v>
      </c>
      <c r="O3590" s="403">
        <v>1080</v>
      </c>
      <c r="P3590" t="str">
        <f t="shared" si="449"/>
        <v>30fps 1080p - 1080p</v>
      </c>
      <c r="Q3590">
        <f t="shared" si="450"/>
        <v>19</v>
      </c>
      <c r="R3590" t="str">
        <f t="shared" si="451"/>
        <v/>
      </c>
      <c r="S3590" t="str">
        <f t="shared" si="452"/>
        <v/>
      </c>
      <c r="T3590" s="403" t="str">
        <f t="shared" si="453"/>
        <v>NDE-8502-R</v>
      </c>
      <c r="U3590" s="403">
        <f t="shared" si="454"/>
        <v>1</v>
      </c>
      <c r="V3590" s="403" t="str">
        <f t="shared" si="455"/>
        <v>CPP_7_3</v>
      </c>
    </row>
    <row r="3591" spans="1:22">
      <c r="A3591" t="str">
        <f t="shared" si="448"/>
        <v>NDE-8502-R</v>
      </c>
      <c r="B3591" s="403" t="s">
        <v>1410</v>
      </c>
      <c r="C3591" s="403" t="s">
        <v>582</v>
      </c>
      <c r="D3591" s="403" t="s">
        <v>1411</v>
      </c>
      <c r="E3591" s="403" t="s">
        <v>1413</v>
      </c>
      <c r="F3591" s="403" t="s">
        <v>1292</v>
      </c>
      <c r="G3591" s="403" t="s">
        <v>1466</v>
      </c>
      <c r="H3591" s="403" t="s">
        <v>1282</v>
      </c>
      <c r="I3591" s="403">
        <v>1</v>
      </c>
      <c r="J3591" s="403" t="s">
        <v>110</v>
      </c>
      <c r="K3591" s="403">
        <v>1920</v>
      </c>
      <c r="L3591" s="403">
        <v>1080</v>
      </c>
      <c r="M3591" s="403" t="s">
        <v>109</v>
      </c>
      <c r="N3591" s="403">
        <v>1280</v>
      </c>
      <c r="O3591" s="403">
        <v>720</v>
      </c>
      <c r="P3591" t="str">
        <f t="shared" si="449"/>
        <v>30fps 1080p - 720p</v>
      </c>
      <c r="Q3591">
        <f t="shared" si="450"/>
        <v>19</v>
      </c>
      <c r="R3591" t="str">
        <f t="shared" si="451"/>
        <v/>
      </c>
      <c r="S3591" t="str">
        <f t="shared" si="452"/>
        <v/>
      </c>
      <c r="T3591" s="403" t="str">
        <f t="shared" si="453"/>
        <v>NDE-8502-R</v>
      </c>
      <c r="U3591" s="403">
        <f t="shared" si="454"/>
        <v>1</v>
      </c>
      <c r="V3591" s="403" t="str">
        <f t="shared" si="455"/>
        <v>CPP_7_3</v>
      </c>
    </row>
    <row r="3592" spans="1:22">
      <c r="A3592" t="str">
        <f t="shared" si="448"/>
        <v>NDE-8502-R</v>
      </c>
      <c r="B3592" s="403" t="s">
        <v>1410</v>
      </c>
      <c r="C3592" s="403" t="s">
        <v>582</v>
      </c>
      <c r="D3592" s="403" t="s">
        <v>1411</v>
      </c>
      <c r="E3592" s="403" t="s">
        <v>1413</v>
      </c>
      <c r="F3592" s="403" t="s">
        <v>1292</v>
      </c>
      <c r="G3592" s="403" t="s">
        <v>1466</v>
      </c>
      <c r="H3592" s="403" t="s">
        <v>1282</v>
      </c>
      <c r="I3592" s="403">
        <v>1</v>
      </c>
      <c r="J3592" s="403" t="s">
        <v>110</v>
      </c>
      <c r="K3592" s="403">
        <v>1920</v>
      </c>
      <c r="L3592" s="403">
        <v>1080</v>
      </c>
      <c r="M3592" s="403" t="s">
        <v>1285</v>
      </c>
      <c r="N3592" s="403">
        <v>1280</v>
      </c>
      <c r="O3592" s="403">
        <v>1024</v>
      </c>
      <c r="P3592" t="str">
        <f t="shared" si="449"/>
        <v>30fps 1080p - 1280x1024 5:4 (cropped)</v>
      </c>
      <c r="Q3592">
        <f t="shared" si="450"/>
        <v>19</v>
      </c>
      <c r="R3592" t="str">
        <f t="shared" si="451"/>
        <v/>
      </c>
      <c r="S3592" t="str">
        <f t="shared" si="452"/>
        <v/>
      </c>
      <c r="T3592" s="403" t="str">
        <f t="shared" si="453"/>
        <v>NDE-8502-R</v>
      </c>
      <c r="U3592" s="403">
        <f t="shared" si="454"/>
        <v>1</v>
      </c>
      <c r="V3592" s="403" t="str">
        <f t="shared" si="455"/>
        <v>CPP_7_3</v>
      </c>
    </row>
    <row r="3593" spans="1:22">
      <c r="A3593" t="str">
        <f t="shared" si="448"/>
        <v>NDE-8502-R</v>
      </c>
      <c r="B3593" s="403" t="s">
        <v>1410</v>
      </c>
      <c r="C3593" s="403" t="s">
        <v>582</v>
      </c>
      <c r="D3593" s="403" t="s">
        <v>1411</v>
      </c>
      <c r="E3593" s="403" t="s">
        <v>1413</v>
      </c>
      <c r="F3593" s="403" t="s">
        <v>1292</v>
      </c>
      <c r="G3593" s="403" t="s">
        <v>1466</v>
      </c>
      <c r="H3593" s="403" t="s">
        <v>1282</v>
      </c>
      <c r="I3593" s="403">
        <v>1</v>
      </c>
      <c r="J3593" s="403" t="s">
        <v>110</v>
      </c>
      <c r="K3593" s="403">
        <v>1920</v>
      </c>
      <c r="L3593" s="403">
        <v>1080</v>
      </c>
      <c r="M3593" s="403" t="s">
        <v>1279</v>
      </c>
      <c r="N3593" s="403">
        <v>768</v>
      </c>
      <c r="O3593" s="403">
        <v>432</v>
      </c>
      <c r="P3593" t="str">
        <f t="shared" si="449"/>
        <v>30fps 1080p - SD ROI PTZ</v>
      </c>
      <c r="Q3593">
        <f t="shared" si="450"/>
        <v>19</v>
      </c>
      <c r="R3593" t="str">
        <f t="shared" si="451"/>
        <v/>
      </c>
      <c r="S3593" t="str">
        <f t="shared" si="452"/>
        <v/>
      </c>
      <c r="T3593" s="403" t="str">
        <f t="shared" si="453"/>
        <v>NDE-8502-R</v>
      </c>
      <c r="U3593" s="403">
        <f t="shared" si="454"/>
        <v>1</v>
      </c>
      <c r="V3593" s="403" t="str">
        <f t="shared" si="455"/>
        <v>CPP_7_3</v>
      </c>
    </row>
    <row r="3594" spans="1:22">
      <c r="A3594" t="str">
        <f t="shared" si="448"/>
        <v>NDE-8502-R</v>
      </c>
      <c r="B3594" s="403" t="s">
        <v>1410</v>
      </c>
      <c r="C3594" s="403" t="s">
        <v>582</v>
      </c>
      <c r="D3594" s="403" t="s">
        <v>1411</v>
      </c>
      <c r="E3594" s="403" t="s">
        <v>1413</v>
      </c>
      <c r="F3594" s="403" t="s">
        <v>1292</v>
      </c>
      <c r="G3594" s="403" t="s">
        <v>1466</v>
      </c>
      <c r="H3594" s="403" t="s">
        <v>1282</v>
      </c>
      <c r="I3594" s="403">
        <v>1</v>
      </c>
      <c r="J3594" s="403" t="s">
        <v>110</v>
      </c>
      <c r="K3594" s="403">
        <v>1920</v>
      </c>
      <c r="L3594" s="403">
        <v>1080</v>
      </c>
      <c r="M3594" s="403" t="s">
        <v>1283</v>
      </c>
      <c r="N3594" s="403">
        <v>720</v>
      </c>
      <c r="O3594" s="403">
        <v>480</v>
      </c>
      <c r="P3594" t="str">
        <f t="shared" si="449"/>
        <v>30fps 1080p - SD 4CIF resolution 4:3 format (cropped)</v>
      </c>
      <c r="Q3594">
        <f t="shared" si="450"/>
        <v>19</v>
      </c>
      <c r="R3594" t="str">
        <f t="shared" si="451"/>
        <v/>
      </c>
      <c r="S3594" t="str">
        <f t="shared" si="452"/>
        <v/>
      </c>
      <c r="T3594" s="403" t="str">
        <f t="shared" si="453"/>
        <v>NDE-8502-R</v>
      </c>
      <c r="U3594" s="403">
        <f t="shared" si="454"/>
        <v>1</v>
      </c>
      <c r="V3594" s="403" t="str">
        <f t="shared" si="455"/>
        <v>CPP_7_3</v>
      </c>
    </row>
    <row r="3595" spans="1:22">
      <c r="A3595" t="str">
        <f t="shared" si="448"/>
        <v>NDE-8502-R</v>
      </c>
      <c r="B3595" s="403" t="s">
        <v>1410</v>
      </c>
      <c r="C3595" s="403" t="s">
        <v>582</v>
      </c>
      <c r="D3595" s="403" t="s">
        <v>1411</v>
      </c>
      <c r="E3595" s="403" t="s">
        <v>1413</v>
      </c>
      <c r="F3595" s="403" t="s">
        <v>1292</v>
      </c>
      <c r="G3595" s="403" t="s">
        <v>1466</v>
      </c>
      <c r="H3595" s="403" t="s">
        <v>1282</v>
      </c>
      <c r="I3595" s="403">
        <v>1</v>
      </c>
      <c r="J3595" s="403" t="s">
        <v>110</v>
      </c>
      <c r="K3595" s="403">
        <v>1920</v>
      </c>
      <c r="L3595" s="403">
        <v>1080</v>
      </c>
      <c r="M3595" s="403" t="s">
        <v>1284</v>
      </c>
      <c r="N3595" s="403">
        <v>640</v>
      </c>
      <c r="O3595" s="403">
        <v>480</v>
      </c>
      <c r="P3595" t="str">
        <f t="shared" si="449"/>
        <v>30fps 1080p - SD VGA (cropped)</v>
      </c>
      <c r="Q3595">
        <f t="shared" si="450"/>
        <v>19</v>
      </c>
      <c r="R3595" t="str">
        <f t="shared" si="451"/>
        <v/>
      </c>
      <c r="S3595" t="str">
        <f t="shared" si="452"/>
        <v/>
      </c>
      <c r="T3595" s="403" t="str">
        <f t="shared" si="453"/>
        <v>NDE-8502-R</v>
      </c>
      <c r="U3595" s="403">
        <f t="shared" si="454"/>
        <v>1</v>
      </c>
      <c r="V3595" s="403" t="str">
        <f t="shared" si="455"/>
        <v>CPP_7_3</v>
      </c>
    </row>
    <row r="3596" spans="1:22">
      <c r="A3596" t="str">
        <f t="shared" si="448"/>
        <v>NDE-8502-R</v>
      </c>
      <c r="B3596" s="403" t="s">
        <v>1410</v>
      </c>
      <c r="C3596" s="403" t="s">
        <v>582</v>
      </c>
      <c r="D3596" s="403" t="s">
        <v>1411</v>
      </c>
      <c r="E3596" s="403" t="s">
        <v>1413</v>
      </c>
      <c r="F3596" s="403" t="s">
        <v>1292</v>
      </c>
      <c r="G3596" s="403" t="s">
        <v>1466</v>
      </c>
      <c r="H3596" s="403" t="s">
        <v>1282</v>
      </c>
      <c r="I3596" s="403">
        <v>1</v>
      </c>
      <c r="J3596" s="403" t="s">
        <v>109</v>
      </c>
      <c r="K3596" s="403">
        <v>1280</v>
      </c>
      <c r="L3596" s="403">
        <v>720</v>
      </c>
      <c r="M3596" s="403" t="s">
        <v>109</v>
      </c>
      <c r="N3596" s="403">
        <v>1280</v>
      </c>
      <c r="O3596" s="403">
        <v>720</v>
      </c>
      <c r="P3596" t="str">
        <f t="shared" si="449"/>
        <v>30fps 720p - 720p</v>
      </c>
      <c r="Q3596">
        <f t="shared" si="450"/>
        <v>19</v>
      </c>
      <c r="R3596" t="str">
        <f t="shared" si="451"/>
        <v/>
      </c>
      <c r="S3596" t="str">
        <f t="shared" si="452"/>
        <v/>
      </c>
      <c r="T3596" s="403" t="str">
        <f t="shared" si="453"/>
        <v>NDE-8502-R</v>
      </c>
      <c r="U3596" s="403">
        <f t="shared" si="454"/>
        <v>1</v>
      </c>
      <c r="V3596" s="403" t="str">
        <f t="shared" si="455"/>
        <v>CPP_7_3</v>
      </c>
    </row>
    <row r="3597" spans="1:22">
      <c r="A3597" t="str">
        <f t="shared" si="448"/>
        <v>NDE-8502-R</v>
      </c>
      <c r="B3597" s="403" t="s">
        <v>1410</v>
      </c>
      <c r="C3597" s="403" t="s">
        <v>582</v>
      </c>
      <c r="D3597" s="403" t="s">
        <v>1411</v>
      </c>
      <c r="E3597" s="403" t="s">
        <v>1413</v>
      </c>
      <c r="F3597" s="403" t="s">
        <v>1292</v>
      </c>
      <c r="G3597" s="403" t="s">
        <v>1466</v>
      </c>
      <c r="H3597" s="403" t="s">
        <v>1282</v>
      </c>
      <c r="I3597" s="403">
        <v>1</v>
      </c>
      <c r="J3597" s="403" t="s">
        <v>109</v>
      </c>
      <c r="K3597" s="403">
        <v>1280</v>
      </c>
      <c r="L3597" s="403">
        <v>720</v>
      </c>
      <c r="M3597" s="403" t="s">
        <v>111</v>
      </c>
      <c r="N3597" s="403">
        <v>768</v>
      </c>
      <c r="O3597" s="403">
        <v>432</v>
      </c>
      <c r="P3597" t="str">
        <f t="shared" si="449"/>
        <v>30fps 720p - SD</v>
      </c>
      <c r="Q3597">
        <f t="shared" si="450"/>
        <v>19</v>
      </c>
      <c r="R3597" t="str">
        <f t="shared" si="451"/>
        <v/>
      </c>
      <c r="S3597" t="str">
        <f t="shared" si="452"/>
        <v/>
      </c>
      <c r="T3597" s="403" t="str">
        <f t="shared" si="453"/>
        <v>NDE-8502-R</v>
      </c>
      <c r="U3597" s="403">
        <f t="shared" si="454"/>
        <v>1</v>
      </c>
      <c r="V3597" s="403" t="str">
        <f t="shared" si="455"/>
        <v>CPP_7_3</v>
      </c>
    </row>
    <row r="3598" spans="1:22">
      <c r="A3598" t="str">
        <f t="shared" si="448"/>
        <v>NDE-8502-R</v>
      </c>
      <c r="B3598" s="403" t="s">
        <v>1410</v>
      </c>
      <c r="C3598" s="403" t="s">
        <v>582</v>
      </c>
      <c r="D3598" s="403" t="s">
        <v>1411</v>
      </c>
      <c r="E3598" s="403" t="s">
        <v>1413</v>
      </c>
      <c r="F3598" s="403" t="s">
        <v>1292</v>
      </c>
      <c r="G3598" s="403" t="s">
        <v>1466</v>
      </c>
      <c r="H3598" s="403" t="s">
        <v>1282</v>
      </c>
      <c r="I3598" s="403">
        <v>1</v>
      </c>
      <c r="J3598" s="403" t="s">
        <v>109</v>
      </c>
      <c r="K3598" s="403">
        <v>1280</v>
      </c>
      <c r="L3598" s="403">
        <v>720</v>
      </c>
      <c r="M3598" s="403" t="s">
        <v>1279</v>
      </c>
      <c r="N3598" s="403">
        <v>768</v>
      </c>
      <c r="O3598" s="403">
        <v>432</v>
      </c>
      <c r="P3598" t="str">
        <f t="shared" si="449"/>
        <v>30fps 720p - SD ROI PTZ</v>
      </c>
      <c r="Q3598">
        <f t="shared" si="450"/>
        <v>19</v>
      </c>
      <c r="R3598" t="str">
        <f t="shared" si="451"/>
        <v/>
      </c>
      <c r="S3598" t="str">
        <f t="shared" si="452"/>
        <v/>
      </c>
      <c r="T3598" s="403" t="str">
        <f t="shared" si="453"/>
        <v>NDE-8502-R</v>
      </c>
      <c r="U3598" s="403">
        <f t="shared" si="454"/>
        <v>1</v>
      </c>
      <c r="V3598" s="403" t="str">
        <f t="shared" si="455"/>
        <v>CPP_7_3</v>
      </c>
    </row>
    <row r="3599" spans="1:22">
      <c r="A3599" t="str">
        <f t="shared" si="448"/>
        <v>NDE-8502-R</v>
      </c>
      <c r="B3599" s="403" t="s">
        <v>1410</v>
      </c>
      <c r="C3599" s="403" t="s">
        <v>582</v>
      </c>
      <c r="D3599" s="403" t="s">
        <v>1411</v>
      </c>
      <c r="E3599" s="403" t="s">
        <v>1413</v>
      </c>
      <c r="F3599" s="403" t="s">
        <v>1292</v>
      </c>
      <c r="G3599" s="403" t="s">
        <v>1466</v>
      </c>
      <c r="H3599" s="403" t="s">
        <v>1282</v>
      </c>
      <c r="I3599" s="403">
        <v>1</v>
      </c>
      <c r="J3599" s="403" t="s">
        <v>109</v>
      </c>
      <c r="K3599" s="403">
        <v>1280</v>
      </c>
      <c r="L3599" s="403">
        <v>720</v>
      </c>
      <c r="M3599" s="403" t="s">
        <v>1283</v>
      </c>
      <c r="N3599" s="403">
        <v>720</v>
      </c>
      <c r="O3599" s="403">
        <v>480</v>
      </c>
      <c r="P3599" t="str">
        <f t="shared" si="449"/>
        <v>30fps 720p - SD 4CIF resolution 4:3 format (cropped)</v>
      </c>
      <c r="Q3599">
        <f t="shared" si="450"/>
        <v>19</v>
      </c>
      <c r="R3599" t="str">
        <f t="shared" si="451"/>
        <v/>
      </c>
      <c r="S3599" t="str">
        <f t="shared" si="452"/>
        <v/>
      </c>
      <c r="T3599" s="403" t="str">
        <f t="shared" si="453"/>
        <v>NDE-8502-R</v>
      </c>
      <c r="U3599" s="403">
        <f t="shared" si="454"/>
        <v>1</v>
      </c>
      <c r="V3599" s="403" t="str">
        <f t="shared" si="455"/>
        <v>CPP_7_3</v>
      </c>
    </row>
    <row r="3600" spans="1:22">
      <c r="A3600" t="str">
        <f t="shared" si="448"/>
        <v>NDE-8502-R</v>
      </c>
      <c r="B3600" s="403" t="s">
        <v>1410</v>
      </c>
      <c r="C3600" s="403" t="s">
        <v>582</v>
      </c>
      <c r="D3600" s="403" t="s">
        <v>1411</v>
      </c>
      <c r="E3600" s="403" t="s">
        <v>1413</v>
      </c>
      <c r="F3600" s="403" t="s">
        <v>1292</v>
      </c>
      <c r="G3600" s="403" t="s">
        <v>1466</v>
      </c>
      <c r="H3600" s="403" t="s">
        <v>1282</v>
      </c>
      <c r="I3600" s="403">
        <v>1</v>
      </c>
      <c r="J3600" s="403" t="s">
        <v>109</v>
      </c>
      <c r="K3600" s="403">
        <v>1280</v>
      </c>
      <c r="L3600" s="403">
        <v>720</v>
      </c>
      <c r="M3600" s="403" t="s">
        <v>1284</v>
      </c>
      <c r="N3600" s="403">
        <v>640</v>
      </c>
      <c r="O3600" s="403">
        <v>480</v>
      </c>
      <c r="P3600" t="str">
        <f t="shared" si="449"/>
        <v>30fps 720p - SD VGA (cropped)</v>
      </c>
      <c r="Q3600">
        <f t="shared" si="450"/>
        <v>19</v>
      </c>
      <c r="R3600" t="str">
        <f t="shared" si="451"/>
        <v/>
      </c>
      <c r="S3600" t="str">
        <f t="shared" si="452"/>
        <v/>
      </c>
      <c r="T3600" s="403" t="str">
        <f t="shared" si="453"/>
        <v>NDE-8502-R</v>
      </c>
      <c r="U3600" s="403">
        <f t="shared" si="454"/>
        <v>1</v>
      </c>
      <c r="V3600" s="403" t="str">
        <f t="shared" si="455"/>
        <v>CPP_7_3</v>
      </c>
    </row>
    <row r="3601" spans="1:22">
      <c r="A3601" t="str">
        <f t="shared" si="448"/>
        <v>NDE-8502-R</v>
      </c>
      <c r="B3601" s="403" t="s">
        <v>1410</v>
      </c>
      <c r="C3601" s="403" t="s">
        <v>582</v>
      </c>
      <c r="D3601" s="403" t="s">
        <v>1411</v>
      </c>
      <c r="E3601" s="403" t="s">
        <v>1413</v>
      </c>
      <c r="F3601" s="403" t="s">
        <v>1292</v>
      </c>
      <c r="G3601" s="403" t="s">
        <v>1467</v>
      </c>
      <c r="H3601" s="403" t="s">
        <v>1276</v>
      </c>
      <c r="I3601" s="403">
        <v>1</v>
      </c>
      <c r="J3601" s="403" t="s">
        <v>110</v>
      </c>
      <c r="K3601" s="403">
        <v>1080</v>
      </c>
      <c r="L3601" s="403">
        <v>1920</v>
      </c>
      <c r="M3601" s="403" t="s">
        <v>111</v>
      </c>
      <c r="N3601" s="403">
        <v>432</v>
      </c>
      <c r="O3601" s="403">
        <v>768</v>
      </c>
      <c r="P3601" t="str">
        <f t="shared" si="449"/>
        <v>30fps 1080p - SD</v>
      </c>
      <c r="Q3601">
        <f t="shared" si="450"/>
        <v>19</v>
      </c>
      <c r="R3601" t="str">
        <f t="shared" si="451"/>
        <v/>
      </c>
      <c r="S3601" t="str">
        <f t="shared" si="452"/>
        <v/>
      </c>
      <c r="T3601" s="403" t="str">
        <f t="shared" si="453"/>
        <v>NDE-8502-R</v>
      </c>
      <c r="U3601" s="403">
        <f t="shared" si="454"/>
        <v>1</v>
      </c>
      <c r="V3601" s="403" t="str">
        <f t="shared" si="455"/>
        <v>CPP_7_3</v>
      </c>
    </row>
    <row r="3602" spans="1:22">
      <c r="A3602" t="str">
        <f t="shared" si="448"/>
        <v>NDE-8502-R</v>
      </c>
      <c r="B3602" s="403" t="s">
        <v>1410</v>
      </c>
      <c r="C3602" s="403" t="s">
        <v>582</v>
      </c>
      <c r="D3602" s="403" t="s">
        <v>1411</v>
      </c>
      <c r="E3602" s="403" t="s">
        <v>1413</v>
      </c>
      <c r="F3602" s="403" t="s">
        <v>1292</v>
      </c>
      <c r="G3602" s="403" t="s">
        <v>1467</v>
      </c>
      <c r="H3602" s="403" t="s">
        <v>1276</v>
      </c>
      <c r="I3602" s="403">
        <v>1</v>
      </c>
      <c r="J3602" s="403" t="s">
        <v>110</v>
      </c>
      <c r="K3602" s="403">
        <v>1080</v>
      </c>
      <c r="L3602" s="403">
        <v>1920</v>
      </c>
      <c r="M3602" s="403" t="s">
        <v>110</v>
      </c>
      <c r="N3602" s="403">
        <v>1080</v>
      </c>
      <c r="O3602" s="403">
        <v>1920</v>
      </c>
      <c r="P3602" t="str">
        <f t="shared" si="449"/>
        <v>30fps 1080p - 1080p</v>
      </c>
      <c r="Q3602">
        <f t="shared" si="450"/>
        <v>19</v>
      </c>
      <c r="R3602" t="str">
        <f t="shared" si="451"/>
        <v/>
      </c>
      <c r="S3602" t="str">
        <f t="shared" si="452"/>
        <v/>
      </c>
      <c r="T3602" s="403" t="str">
        <f t="shared" si="453"/>
        <v>NDE-8502-R</v>
      </c>
      <c r="U3602" s="403">
        <f t="shared" si="454"/>
        <v>1</v>
      </c>
      <c r="V3602" s="403" t="str">
        <f t="shared" si="455"/>
        <v>CPP_7_3</v>
      </c>
    </row>
    <row r="3603" spans="1:22">
      <c r="A3603" t="str">
        <f t="shared" si="448"/>
        <v>NDE-8502-R</v>
      </c>
      <c r="B3603" s="403" t="s">
        <v>1410</v>
      </c>
      <c r="C3603" s="403" t="s">
        <v>582</v>
      </c>
      <c r="D3603" s="403" t="s">
        <v>1411</v>
      </c>
      <c r="E3603" s="403" t="s">
        <v>1413</v>
      </c>
      <c r="F3603" s="403" t="s">
        <v>1292</v>
      </c>
      <c r="G3603" s="403" t="s">
        <v>1467</v>
      </c>
      <c r="H3603" s="403" t="s">
        <v>1276</v>
      </c>
      <c r="I3603" s="403">
        <v>1</v>
      </c>
      <c r="J3603" s="403" t="s">
        <v>110</v>
      </c>
      <c r="K3603" s="403">
        <v>1080</v>
      </c>
      <c r="L3603" s="403">
        <v>1920</v>
      </c>
      <c r="M3603" s="403" t="s">
        <v>109</v>
      </c>
      <c r="N3603" s="403">
        <v>720</v>
      </c>
      <c r="O3603" s="403">
        <v>1280</v>
      </c>
      <c r="P3603" t="str">
        <f t="shared" si="449"/>
        <v>30fps 1080p - 720p</v>
      </c>
      <c r="Q3603">
        <f t="shared" si="450"/>
        <v>19</v>
      </c>
      <c r="R3603" t="str">
        <f t="shared" si="451"/>
        <v/>
      </c>
      <c r="S3603" t="str">
        <f t="shared" si="452"/>
        <v/>
      </c>
      <c r="T3603" s="403" t="str">
        <f t="shared" si="453"/>
        <v>NDE-8502-R</v>
      </c>
      <c r="U3603" s="403">
        <f t="shared" si="454"/>
        <v>1</v>
      </c>
      <c r="V3603" s="403" t="str">
        <f t="shared" si="455"/>
        <v>CPP_7_3</v>
      </c>
    </row>
    <row r="3604" spans="1:22">
      <c r="A3604" t="str">
        <f t="shared" si="448"/>
        <v>NDE-8502-R</v>
      </c>
      <c r="B3604" s="403" t="s">
        <v>1410</v>
      </c>
      <c r="C3604" s="403" t="s">
        <v>582</v>
      </c>
      <c r="D3604" s="403" t="s">
        <v>1411</v>
      </c>
      <c r="E3604" s="403" t="s">
        <v>1413</v>
      </c>
      <c r="F3604" s="403" t="s">
        <v>1292</v>
      </c>
      <c r="G3604" s="403" t="s">
        <v>1467</v>
      </c>
      <c r="H3604" s="403" t="s">
        <v>1276</v>
      </c>
      <c r="I3604" s="403">
        <v>1</v>
      </c>
      <c r="J3604" s="403" t="s">
        <v>110</v>
      </c>
      <c r="K3604" s="403">
        <v>1080</v>
      </c>
      <c r="L3604" s="403">
        <v>1920</v>
      </c>
      <c r="M3604" s="403" t="s">
        <v>1285</v>
      </c>
      <c r="N3604" s="403">
        <v>1024</v>
      </c>
      <c r="O3604" s="403">
        <v>1280</v>
      </c>
      <c r="P3604" t="str">
        <f t="shared" si="449"/>
        <v>30fps 1080p - 1280x1024 5:4 (cropped)</v>
      </c>
      <c r="Q3604">
        <f t="shared" si="450"/>
        <v>19</v>
      </c>
      <c r="R3604" t="str">
        <f t="shared" si="451"/>
        <v/>
      </c>
      <c r="S3604" t="str">
        <f t="shared" si="452"/>
        <v/>
      </c>
      <c r="T3604" s="403" t="str">
        <f t="shared" si="453"/>
        <v>NDE-8502-R</v>
      </c>
      <c r="U3604" s="403">
        <f t="shared" si="454"/>
        <v>1</v>
      </c>
      <c r="V3604" s="403" t="str">
        <f t="shared" si="455"/>
        <v>CPP_7_3</v>
      </c>
    </row>
    <row r="3605" spans="1:22">
      <c r="A3605" t="str">
        <f t="shared" si="448"/>
        <v>NDE-8502-R</v>
      </c>
      <c r="B3605" s="403" t="s">
        <v>1410</v>
      </c>
      <c r="C3605" s="403" t="s">
        <v>582</v>
      </c>
      <c r="D3605" s="403" t="s">
        <v>1411</v>
      </c>
      <c r="E3605" s="403" t="s">
        <v>1413</v>
      </c>
      <c r="F3605" s="403" t="s">
        <v>1292</v>
      </c>
      <c r="G3605" s="403" t="s">
        <v>1467</v>
      </c>
      <c r="H3605" s="403" t="s">
        <v>1276</v>
      </c>
      <c r="I3605" s="403">
        <v>1</v>
      </c>
      <c r="J3605" s="403" t="s">
        <v>110</v>
      </c>
      <c r="K3605" s="403">
        <v>1080</v>
      </c>
      <c r="L3605" s="403">
        <v>1920</v>
      </c>
      <c r="M3605" s="403" t="s">
        <v>1279</v>
      </c>
      <c r="N3605" s="403">
        <v>432</v>
      </c>
      <c r="O3605" s="403">
        <v>768</v>
      </c>
      <c r="P3605" t="str">
        <f t="shared" si="449"/>
        <v>30fps 1080p - SD ROI PTZ</v>
      </c>
      <c r="Q3605">
        <f t="shared" si="450"/>
        <v>19</v>
      </c>
      <c r="R3605" t="str">
        <f t="shared" si="451"/>
        <v/>
      </c>
      <c r="S3605" t="str">
        <f t="shared" si="452"/>
        <v/>
      </c>
      <c r="T3605" s="403" t="str">
        <f t="shared" si="453"/>
        <v>NDE-8502-R</v>
      </c>
      <c r="U3605" s="403">
        <f t="shared" si="454"/>
        <v>1</v>
      </c>
      <c r="V3605" s="403" t="str">
        <f t="shared" si="455"/>
        <v>CPP_7_3</v>
      </c>
    </row>
    <row r="3606" spans="1:22">
      <c r="A3606" t="str">
        <f t="shared" si="448"/>
        <v>NDE-8502-R</v>
      </c>
      <c r="B3606" s="403" t="s">
        <v>1410</v>
      </c>
      <c r="C3606" s="403" t="s">
        <v>582</v>
      </c>
      <c r="D3606" s="403" t="s">
        <v>1411</v>
      </c>
      <c r="E3606" s="403" t="s">
        <v>1413</v>
      </c>
      <c r="F3606" s="403" t="s">
        <v>1292</v>
      </c>
      <c r="G3606" s="403" t="s">
        <v>1467</v>
      </c>
      <c r="H3606" s="403" t="s">
        <v>1276</v>
      </c>
      <c r="I3606" s="403">
        <v>1</v>
      </c>
      <c r="J3606" s="403" t="s">
        <v>110</v>
      </c>
      <c r="K3606" s="403">
        <v>1080</v>
      </c>
      <c r="L3606" s="403">
        <v>1920</v>
      </c>
      <c r="M3606" s="403" t="s">
        <v>1283</v>
      </c>
      <c r="N3606" s="403">
        <v>480</v>
      </c>
      <c r="O3606" s="403">
        <v>720</v>
      </c>
      <c r="P3606" t="str">
        <f t="shared" si="449"/>
        <v>30fps 1080p - SD 4CIF resolution 4:3 format (cropped)</v>
      </c>
      <c r="Q3606">
        <f t="shared" si="450"/>
        <v>19</v>
      </c>
      <c r="R3606" t="str">
        <f t="shared" si="451"/>
        <v/>
      </c>
      <c r="S3606" t="str">
        <f t="shared" si="452"/>
        <v/>
      </c>
      <c r="T3606" s="403" t="str">
        <f t="shared" si="453"/>
        <v>NDE-8502-R</v>
      </c>
      <c r="U3606" s="403">
        <f t="shared" si="454"/>
        <v>1</v>
      </c>
      <c r="V3606" s="403" t="str">
        <f t="shared" si="455"/>
        <v>CPP_7_3</v>
      </c>
    </row>
    <row r="3607" spans="1:22">
      <c r="A3607" t="str">
        <f t="shared" si="448"/>
        <v>NDE-8502-R</v>
      </c>
      <c r="B3607" s="403" t="s">
        <v>1410</v>
      </c>
      <c r="C3607" s="403" t="s">
        <v>582</v>
      </c>
      <c r="D3607" s="403" t="s">
        <v>1411</v>
      </c>
      <c r="E3607" s="403" t="s">
        <v>1413</v>
      </c>
      <c r="F3607" s="403" t="s">
        <v>1292</v>
      </c>
      <c r="G3607" s="403" t="s">
        <v>1467</v>
      </c>
      <c r="H3607" s="403" t="s">
        <v>1276</v>
      </c>
      <c r="I3607" s="403">
        <v>1</v>
      </c>
      <c r="J3607" s="403" t="s">
        <v>110</v>
      </c>
      <c r="K3607" s="403">
        <v>1080</v>
      </c>
      <c r="L3607" s="403">
        <v>1920</v>
      </c>
      <c r="M3607" s="403" t="s">
        <v>1284</v>
      </c>
      <c r="N3607" s="403">
        <v>480</v>
      </c>
      <c r="O3607" s="403">
        <v>640</v>
      </c>
      <c r="P3607" t="str">
        <f t="shared" si="449"/>
        <v>30fps 1080p - SD VGA (cropped)</v>
      </c>
      <c r="Q3607">
        <f t="shared" si="450"/>
        <v>19</v>
      </c>
      <c r="R3607" t="str">
        <f t="shared" si="451"/>
        <v/>
      </c>
      <c r="S3607" t="str">
        <f t="shared" si="452"/>
        <v/>
      </c>
      <c r="T3607" s="403" t="str">
        <f t="shared" si="453"/>
        <v>NDE-8502-R</v>
      </c>
      <c r="U3607" s="403">
        <f t="shared" si="454"/>
        <v>1</v>
      </c>
      <c r="V3607" s="403" t="str">
        <f t="shared" si="455"/>
        <v>CPP_7_3</v>
      </c>
    </row>
    <row r="3608" spans="1:22">
      <c r="A3608" t="str">
        <f t="shared" si="448"/>
        <v>NDE-8502-R</v>
      </c>
      <c r="B3608" s="403" t="s">
        <v>1410</v>
      </c>
      <c r="C3608" s="403" t="s">
        <v>582</v>
      </c>
      <c r="D3608" s="403" t="s">
        <v>1411</v>
      </c>
      <c r="E3608" s="403" t="s">
        <v>1413</v>
      </c>
      <c r="F3608" s="403" t="s">
        <v>1292</v>
      </c>
      <c r="G3608" s="403" t="s">
        <v>1467</v>
      </c>
      <c r="H3608" s="403" t="s">
        <v>1276</v>
      </c>
      <c r="I3608" s="403">
        <v>1</v>
      </c>
      <c r="J3608" s="403" t="s">
        <v>109</v>
      </c>
      <c r="K3608" s="403">
        <v>720</v>
      </c>
      <c r="L3608" s="403">
        <v>1280</v>
      </c>
      <c r="M3608" s="403" t="s">
        <v>109</v>
      </c>
      <c r="N3608" s="403">
        <v>720</v>
      </c>
      <c r="O3608" s="403">
        <v>1280</v>
      </c>
      <c r="P3608" t="str">
        <f t="shared" si="449"/>
        <v>30fps 720p - 720p</v>
      </c>
      <c r="Q3608">
        <f t="shared" si="450"/>
        <v>19</v>
      </c>
      <c r="R3608" t="str">
        <f t="shared" si="451"/>
        <v/>
      </c>
      <c r="S3608" t="str">
        <f t="shared" si="452"/>
        <v/>
      </c>
      <c r="T3608" s="403" t="str">
        <f t="shared" si="453"/>
        <v>NDE-8502-R</v>
      </c>
      <c r="U3608" s="403">
        <f t="shared" si="454"/>
        <v>1</v>
      </c>
      <c r="V3608" s="403" t="str">
        <f t="shared" si="455"/>
        <v>CPP_7_3</v>
      </c>
    </row>
    <row r="3609" spans="1:22">
      <c r="A3609" t="str">
        <f t="shared" si="448"/>
        <v>NDE-8502-R</v>
      </c>
      <c r="B3609" s="403" t="s">
        <v>1410</v>
      </c>
      <c r="C3609" s="403" t="s">
        <v>582</v>
      </c>
      <c r="D3609" s="403" t="s">
        <v>1411</v>
      </c>
      <c r="E3609" s="403" t="s">
        <v>1413</v>
      </c>
      <c r="F3609" s="403" t="s">
        <v>1292</v>
      </c>
      <c r="G3609" s="403" t="s">
        <v>1467</v>
      </c>
      <c r="H3609" s="403" t="s">
        <v>1276</v>
      </c>
      <c r="I3609" s="403">
        <v>1</v>
      </c>
      <c r="J3609" s="403" t="s">
        <v>109</v>
      </c>
      <c r="K3609" s="403">
        <v>720</v>
      </c>
      <c r="L3609" s="403">
        <v>1280</v>
      </c>
      <c r="M3609" s="403" t="s">
        <v>111</v>
      </c>
      <c r="N3609" s="403">
        <v>432</v>
      </c>
      <c r="O3609" s="403">
        <v>768</v>
      </c>
      <c r="P3609" t="str">
        <f t="shared" si="449"/>
        <v>30fps 720p - SD</v>
      </c>
      <c r="Q3609">
        <f t="shared" si="450"/>
        <v>19</v>
      </c>
      <c r="R3609" t="str">
        <f t="shared" si="451"/>
        <v/>
      </c>
      <c r="S3609" t="str">
        <f t="shared" si="452"/>
        <v/>
      </c>
      <c r="T3609" s="403" t="str">
        <f t="shared" si="453"/>
        <v>NDE-8502-R</v>
      </c>
      <c r="U3609" s="403">
        <f t="shared" si="454"/>
        <v>1</v>
      </c>
      <c r="V3609" s="403" t="str">
        <f t="shared" si="455"/>
        <v>CPP_7_3</v>
      </c>
    </row>
    <row r="3610" spans="1:22">
      <c r="A3610" t="str">
        <f t="shared" si="448"/>
        <v>NDE-8502-R</v>
      </c>
      <c r="B3610" s="403" t="s">
        <v>1410</v>
      </c>
      <c r="C3610" s="403" t="s">
        <v>582</v>
      </c>
      <c r="D3610" s="403" t="s">
        <v>1411</v>
      </c>
      <c r="E3610" s="403" t="s">
        <v>1413</v>
      </c>
      <c r="F3610" s="403" t="s">
        <v>1292</v>
      </c>
      <c r="G3610" s="403" t="s">
        <v>1467</v>
      </c>
      <c r="H3610" s="403" t="s">
        <v>1276</v>
      </c>
      <c r="I3610" s="403">
        <v>1</v>
      </c>
      <c r="J3610" s="403" t="s">
        <v>109</v>
      </c>
      <c r="K3610" s="403">
        <v>720</v>
      </c>
      <c r="L3610" s="403">
        <v>1280</v>
      </c>
      <c r="M3610" s="403" t="s">
        <v>1279</v>
      </c>
      <c r="N3610" s="403">
        <v>432</v>
      </c>
      <c r="O3610" s="403">
        <v>768</v>
      </c>
      <c r="P3610" t="str">
        <f t="shared" si="449"/>
        <v>30fps 720p - SD ROI PTZ</v>
      </c>
      <c r="Q3610">
        <f t="shared" si="450"/>
        <v>19</v>
      </c>
      <c r="R3610" t="str">
        <f t="shared" si="451"/>
        <v/>
      </c>
      <c r="S3610" t="str">
        <f t="shared" si="452"/>
        <v/>
      </c>
      <c r="T3610" s="403" t="str">
        <f t="shared" si="453"/>
        <v>NDE-8502-R</v>
      </c>
      <c r="U3610" s="403">
        <f t="shared" si="454"/>
        <v>1</v>
      </c>
      <c r="V3610" s="403" t="str">
        <f t="shared" si="455"/>
        <v>CPP_7_3</v>
      </c>
    </row>
    <row r="3611" spans="1:22">
      <c r="A3611" t="str">
        <f t="shared" si="448"/>
        <v>NDE-8502-R</v>
      </c>
      <c r="B3611" s="403" t="s">
        <v>1410</v>
      </c>
      <c r="C3611" s="403" t="s">
        <v>582</v>
      </c>
      <c r="D3611" s="403" t="s">
        <v>1411</v>
      </c>
      <c r="E3611" s="403" t="s">
        <v>1413</v>
      </c>
      <c r="F3611" s="403" t="s">
        <v>1292</v>
      </c>
      <c r="G3611" s="403" t="s">
        <v>1467</v>
      </c>
      <c r="H3611" s="403" t="s">
        <v>1276</v>
      </c>
      <c r="I3611" s="403">
        <v>1</v>
      </c>
      <c r="J3611" s="403" t="s">
        <v>109</v>
      </c>
      <c r="K3611" s="403">
        <v>720</v>
      </c>
      <c r="L3611" s="403">
        <v>1280</v>
      </c>
      <c r="M3611" s="403" t="s">
        <v>1283</v>
      </c>
      <c r="N3611" s="403">
        <v>480</v>
      </c>
      <c r="O3611" s="403">
        <v>720</v>
      </c>
      <c r="P3611" t="str">
        <f t="shared" si="449"/>
        <v>30fps 720p - SD 4CIF resolution 4:3 format (cropped)</v>
      </c>
      <c r="Q3611">
        <f t="shared" si="450"/>
        <v>19</v>
      </c>
      <c r="R3611" t="str">
        <f t="shared" si="451"/>
        <v/>
      </c>
      <c r="S3611" t="str">
        <f t="shared" si="452"/>
        <v/>
      </c>
      <c r="T3611" s="403" t="str">
        <f t="shared" si="453"/>
        <v>NDE-8502-R</v>
      </c>
      <c r="U3611" s="403">
        <f t="shared" si="454"/>
        <v>1</v>
      </c>
      <c r="V3611" s="403" t="str">
        <f t="shared" si="455"/>
        <v>CPP_7_3</v>
      </c>
    </row>
    <row r="3612" spans="1:22">
      <c r="A3612" t="str">
        <f t="shared" si="448"/>
        <v>NDE-8502-R</v>
      </c>
      <c r="B3612" s="403" t="s">
        <v>1410</v>
      </c>
      <c r="C3612" s="403" t="s">
        <v>582</v>
      </c>
      <c r="D3612" s="403" t="s">
        <v>1411</v>
      </c>
      <c r="E3612" s="403" t="s">
        <v>1413</v>
      </c>
      <c r="F3612" s="403" t="s">
        <v>1292</v>
      </c>
      <c r="G3612" s="403" t="s">
        <v>1467</v>
      </c>
      <c r="H3612" s="403" t="s">
        <v>1276</v>
      </c>
      <c r="I3612" s="403">
        <v>1</v>
      </c>
      <c r="J3612" s="403" t="s">
        <v>109</v>
      </c>
      <c r="K3612" s="403">
        <v>720</v>
      </c>
      <c r="L3612" s="403">
        <v>1280</v>
      </c>
      <c r="M3612" s="403" t="s">
        <v>1284</v>
      </c>
      <c r="N3612" s="403">
        <v>480</v>
      </c>
      <c r="O3612" s="403">
        <v>640</v>
      </c>
      <c r="P3612" t="str">
        <f t="shared" si="449"/>
        <v>30fps 720p - SD VGA (cropped)</v>
      </c>
      <c r="Q3612">
        <f t="shared" si="450"/>
        <v>19</v>
      </c>
      <c r="R3612" t="str">
        <f t="shared" si="451"/>
        <v/>
      </c>
      <c r="S3612" t="str">
        <f t="shared" si="452"/>
        <v/>
      </c>
      <c r="T3612" s="403" t="str">
        <f t="shared" si="453"/>
        <v>NDE-8502-R</v>
      </c>
      <c r="U3612" s="403">
        <f t="shared" si="454"/>
        <v>1</v>
      </c>
      <c r="V3612" s="403" t="str">
        <f t="shared" si="455"/>
        <v>CPP_7_3</v>
      </c>
    </row>
    <row r="3613" spans="1:22">
      <c r="A3613" t="str">
        <f t="shared" si="448"/>
        <v>NDE-8502-R</v>
      </c>
      <c r="B3613" s="403" t="s">
        <v>1410</v>
      </c>
      <c r="C3613" s="403" t="s">
        <v>582</v>
      </c>
      <c r="D3613" s="403" t="s">
        <v>1411</v>
      </c>
      <c r="E3613" s="403" t="s">
        <v>1413</v>
      </c>
      <c r="F3613" s="403" t="s">
        <v>1292</v>
      </c>
      <c r="G3613" s="403" t="s">
        <v>1467</v>
      </c>
      <c r="H3613" s="403" t="s">
        <v>1281</v>
      </c>
      <c r="I3613" s="403">
        <v>1</v>
      </c>
      <c r="J3613" s="403" t="s">
        <v>110</v>
      </c>
      <c r="K3613" s="403">
        <v>1080</v>
      </c>
      <c r="L3613" s="403">
        <v>1920</v>
      </c>
      <c r="M3613" s="403" t="s">
        <v>111</v>
      </c>
      <c r="N3613" s="403">
        <v>432</v>
      </c>
      <c r="O3613" s="403">
        <v>768</v>
      </c>
      <c r="P3613" t="str">
        <f t="shared" si="449"/>
        <v>30fps 1080p - SD</v>
      </c>
      <c r="Q3613">
        <f t="shared" si="450"/>
        <v>19</v>
      </c>
      <c r="R3613" t="str">
        <f t="shared" si="451"/>
        <v/>
      </c>
      <c r="S3613" t="str">
        <f t="shared" si="452"/>
        <v/>
      </c>
      <c r="T3613" s="403" t="str">
        <f t="shared" si="453"/>
        <v>NDE-8502-R</v>
      </c>
      <c r="U3613" s="403">
        <f t="shared" si="454"/>
        <v>1</v>
      </c>
      <c r="V3613" s="403" t="str">
        <f t="shared" si="455"/>
        <v>CPP_7_3</v>
      </c>
    </row>
    <row r="3614" spans="1:22">
      <c r="A3614" t="str">
        <f t="shared" si="448"/>
        <v>NDE-8502-R</v>
      </c>
      <c r="B3614" s="403" t="s">
        <v>1410</v>
      </c>
      <c r="C3614" s="403" t="s">
        <v>582</v>
      </c>
      <c r="D3614" s="403" t="s">
        <v>1411</v>
      </c>
      <c r="E3614" s="403" t="s">
        <v>1413</v>
      </c>
      <c r="F3614" s="403" t="s">
        <v>1292</v>
      </c>
      <c r="G3614" s="403" t="s">
        <v>1467</v>
      </c>
      <c r="H3614" s="403" t="s">
        <v>1281</v>
      </c>
      <c r="I3614" s="403">
        <v>1</v>
      </c>
      <c r="J3614" s="403" t="s">
        <v>110</v>
      </c>
      <c r="K3614" s="403">
        <v>1080</v>
      </c>
      <c r="L3614" s="403">
        <v>1920</v>
      </c>
      <c r="M3614" s="403" t="s">
        <v>110</v>
      </c>
      <c r="N3614" s="403">
        <v>1080</v>
      </c>
      <c r="O3614" s="403">
        <v>1920</v>
      </c>
      <c r="P3614" t="str">
        <f t="shared" si="449"/>
        <v>30fps 1080p - 1080p</v>
      </c>
      <c r="Q3614">
        <f t="shared" si="450"/>
        <v>19</v>
      </c>
      <c r="R3614" t="str">
        <f t="shared" si="451"/>
        <v/>
      </c>
      <c r="S3614" t="str">
        <f t="shared" si="452"/>
        <v/>
      </c>
      <c r="T3614" s="403" t="str">
        <f t="shared" si="453"/>
        <v>NDE-8502-R</v>
      </c>
      <c r="U3614" s="403">
        <f t="shared" si="454"/>
        <v>1</v>
      </c>
      <c r="V3614" s="403" t="str">
        <f t="shared" si="455"/>
        <v>CPP_7_3</v>
      </c>
    </row>
    <row r="3615" spans="1:22">
      <c r="A3615" t="str">
        <f t="shared" si="448"/>
        <v>NDE-8502-R</v>
      </c>
      <c r="B3615" s="403" t="s">
        <v>1410</v>
      </c>
      <c r="C3615" s="403" t="s">
        <v>582</v>
      </c>
      <c r="D3615" s="403" t="s">
        <v>1411</v>
      </c>
      <c r="E3615" s="403" t="s">
        <v>1413</v>
      </c>
      <c r="F3615" s="403" t="s">
        <v>1292</v>
      </c>
      <c r="G3615" s="403" t="s">
        <v>1467</v>
      </c>
      <c r="H3615" s="403" t="s">
        <v>1281</v>
      </c>
      <c r="I3615" s="403">
        <v>1</v>
      </c>
      <c r="J3615" s="403" t="s">
        <v>110</v>
      </c>
      <c r="K3615" s="403">
        <v>1080</v>
      </c>
      <c r="L3615" s="403">
        <v>1920</v>
      </c>
      <c r="M3615" s="403" t="s">
        <v>109</v>
      </c>
      <c r="N3615" s="403">
        <v>720</v>
      </c>
      <c r="O3615" s="403">
        <v>1280</v>
      </c>
      <c r="P3615" t="str">
        <f t="shared" si="449"/>
        <v>30fps 1080p - 720p</v>
      </c>
      <c r="Q3615">
        <f t="shared" si="450"/>
        <v>19</v>
      </c>
      <c r="R3615" t="str">
        <f t="shared" si="451"/>
        <v/>
      </c>
      <c r="S3615" t="str">
        <f t="shared" si="452"/>
        <v/>
      </c>
      <c r="T3615" s="403" t="str">
        <f t="shared" si="453"/>
        <v>NDE-8502-R</v>
      </c>
      <c r="U3615" s="403">
        <f t="shared" si="454"/>
        <v>1</v>
      </c>
      <c r="V3615" s="403" t="str">
        <f t="shared" si="455"/>
        <v>CPP_7_3</v>
      </c>
    </row>
    <row r="3616" spans="1:22">
      <c r="A3616" t="str">
        <f t="shared" si="448"/>
        <v>NDE-8502-R</v>
      </c>
      <c r="B3616" s="403" t="s">
        <v>1410</v>
      </c>
      <c r="C3616" s="403" t="s">
        <v>582</v>
      </c>
      <c r="D3616" s="403" t="s">
        <v>1411</v>
      </c>
      <c r="E3616" s="403" t="s">
        <v>1413</v>
      </c>
      <c r="F3616" s="403" t="s">
        <v>1292</v>
      </c>
      <c r="G3616" s="403" t="s">
        <v>1467</v>
      </c>
      <c r="H3616" s="403" t="s">
        <v>1281</v>
      </c>
      <c r="I3616" s="403">
        <v>1</v>
      </c>
      <c r="J3616" s="403" t="s">
        <v>110</v>
      </c>
      <c r="K3616" s="403">
        <v>1080</v>
      </c>
      <c r="L3616" s="403">
        <v>1920</v>
      </c>
      <c r="M3616" s="403" t="s">
        <v>1285</v>
      </c>
      <c r="N3616" s="403">
        <v>1024</v>
      </c>
      <c r="O3616" s="403">
        <v>1280</v>
      </c>
      <c r="P3616" t="str">
        <f t="shared" si="449"/>
        <v>30fps 1080p - 1280x1024 5:4 (cropped)</v>
      </c>
      <c r="Q3616">
        <f t="shared" si="450"/>
        <v>19</v>
      </c>
      <c r="R3616" t="str">
        <f t="shared" si="451"/>
        <v/>
      </c>
      <c r="S3616" t="str">
        <f t="shared" si="452"/>
        <v/>
      </c>
      <c r="T3616" s="403" t="str">
        <f t="shared" si="453"/>
        <v>NDE-8502-R</v>
      </c>
      <c r="U3616" s="403">
        <f t="shared" si="454"/>
        <v>1</v>
      </c>
      <c r="V3616" s="403" t="str">
        <f t="shared" si="455"/>
        <v>CPP_7_3</v>
      </c>
    </row>
    <row r="3617" spans="1:22">
      <c r="A3617" t="str">
        <f t="shared" si="448"/>
        <v>NDE-8502-R</v>
      </c>
      <c r="B3617" s="403" t="s">
        <v>1410</v>
      </c>
      <c r="C3617" s="403" t="s">
        <v>582</v>
      </c>
      <c r="D3617" s="403" t="s">
        <v>1411</v>
      </c>
      <c r="E3617" s="403" t="s">
        <v>1413</v>
      </c>
      <c r="F3617" s="403" t="s">
        <v>1292</v>
      </c>
      <c r="G3617" s="403" t="s">
        <v>1467</v>
      </c>
      <c r="H3617" s="403" t="s">
        <v>1281</v>
      </c>
      <c r="I3617" s="403">
        <v>1</v>
      </c>
      <c r="J3617" s="403" t="s">
        <v>110</v>
      </c>
      <c r="K3617" s="403">
        <v>1080</v>
      </c>
      <c r="L3617" s="403">
        <v>1920</v>
      </c>
      <c r="M3617" s="403" t="s">
        <v>1279</v>
      </c>
      <c r="N3617" s="403">
        <v>432</v>
      </c>
      <c r="O3617" s="403">
        <v>768</v>
      </c>
      <c r="P3617" t="str">
        <f t="shared" si="449"/>
        <v>30fps 1080p - SD ROI PTZ</v>
      </c>
      <c r="Q3617">
        <f t="shared" si="450"/>
        <v>19</v>
      </c>
      <c r="R3617" t="str">
        <f t="shared" si="451"/>
        <v/>
      </c>
      <c r="S3617" t="str">
        <f t="shared" si="452"/>
        <v/>
      </c>
      <c r="T3617" s="403" t="str">
        <f t="shared" si="453"/>
        <v>NDE-8502-R</v>
      </c>
      <c r="U3617" s="403">
        <f t="shared" si="454"/>
        <v>1</v>
      </c>
      <c r="V3617" s="403" t="str">
        <f t="shared" si="455"/>
        <v>CPP_7_3</v>
      </c>
    </row>
    <row r="3618" spans="1:22">
      <c r="A3618" t="str">
        <f t="shared" si="448"/>
        <v>NDE-8502-R</v>
      </c>
      <c r="B3618" s="403" t="s">
        <v>1410</v>
      </c>
      <c r="C3618" s="403" t="s">
        <v>582</v>
      </c>
      <c r="D3618" s="403" t="s">
        <v>1411</v>
      </c>
      <c r="E3618" s="403" t="s">
        <v>1413</v>
      </c>
      <c r="F3618" s="403" t="s">
        <v>1292</v>
      </c>
      <c r="G3618" s="403" t="s">
        <v>1467</v>
      </c>
      <c r="H3618" s="403" t="s">
        <v>1281</v>
      </c>
      <c r="I3618" s="403">
        <v>1</v>
      </c>
      <c r="J3618" s="403" t="s">
        <v>110</v>
      </c>
      <c r="K3618" s="403">
        <v>1080</v>
      </c>
      <c r="L3618" s="403">
        <v>1920</v>
      </c>
      <c r="M3618" s="403" t="s">
        <v>1283</v>
      </c>
      <c r="N3618" s="403">
        <v>480</v>
      </c>
      <c r="O3618" s="403">
        <v>720</v>
      </c>
      <c r="P3618" t="str">
        <f t="shared" si="449"/>
        <v>30fps 1080p - SD 4CIF resolution 4:3 format (cropped)</v>
      </c>
      <c r="Q3618">
        <f t="shared" si="450"/>
        <v>19</v>
      </c>
      <c r="R3618" t="str">
        <f t="shared" si="451"/>
        <v/>
      </c>
      <c r="S3618" t="str">
        <f t="shared" si="452"/>
        <v/>
      </c>
      <c r="T3618" s="403" t="str">
        <f t="shared" si="453"/>
        <v>NDE-8502-R</v>
      </c>
      <c r="U3618" s="403">
        <f t="shared" si="454"/>
        <v>1</v>
      </c>
      <c r="V3618" s="403" t="str">
        <f t="shared" si="455"/>
        <v>CPP_7_3</v>
      </c>
    </row>
    <row r="3619" spans="1:22">
      <c r="A3619" t="str">
        <f t="shared" si="448"/>
        <v>NDE-8502-R</v>
      </c>
      <c r="B3619" s="403" t="s">
        <v>1410</v>
      </c>
      <c r="C3619" s="403" t="s">
        <v>582</v>
      </c>
      <c r="D3619" s="403" t="s">
        <v>1411</v>
      </c>
      <c r="E3619" s="403" t="s">
        <v>1413</v>
      </c>
      <c r="F3619" s="403" t="s">
        <v>1292</v>
      </c>
      <c r="G3619" s="403" t="s">
        <v>1467</v>
      </c>
      <c r="H3619" s="403" t="s">
        <v>1281</v>
      </c>
      <c r="I3619" s="403">
        <v>1</v>
      </c>
      <c r="J3619" s="403" t="s">
        <v>110</v>
      </c>
      <c r="K3619" s="403">
        <v>1080</v>
      </c>
      <c r="L3619" s="403">
        <v>1920</v>
      </c>
      <c r="M3619" s="403" t="s">
        <v>1284</v>
      </c>
      <c r="N3619" s="403">
        <v>480</v>
      </c>
      <c r="O3619" s="403">
        <v>640</v>
      </c>
      <c r="P3619" t="str">
        <f t="shared" si="449"/>
        <v>30fps 1080p - SD VGA (cropped)</v>
      </c>
      <c r="Q3619">
        <f t="shared" si="450"/>
        <v>19</v>
      </c>
      <c r="R3619" t="str">
        <f t="shared" si="451"/>
        <v/>
      </c>
      <c r="S3619" t="str">
        <f t="shared" si="452"/>
        <v/>
      </c>
      <c r="T3619" s="403" t="str">
        <f t="shared" si="453"/>
        <v>NDE-8502-R</v>
      </c>
      <c r="U3619" s="403">
        <f t="shared" si="454"/>
        <v>1</v>
      </c>
      <c r="V3619" s="403" t="str">
        <f t="shared" si="455"/>
        <v>CPP_7_3</v>
      </c>
    </row>
    <row r="3620" spans="1:22">
      <c r="A3620" t="str">
        <f t="shared" si="448"/>
        <v>NDE-8502-R</v>
      </c>
      <c r="B3620" s="403" t="s">
        <v>1410</v>
      </c>
      <c r="C3620" s="403" t="s">
        <v>582</v>
      </c>
      <c r="D3620" s="403" t="s">
        <v>1411</v>
      </c>
      <c r="E3620" s="403" t="s">
        <v>1413</v>
      </c>
      <c r="F3620" s="403" t="s">
        <v>1292</v>
      </c>
      <c r="G3620" s="403" t="s">
        <v>1467</v>
      </c>
      <c r="H3620" s="403" t="s">
        <v>1281</v>
      </c>
      <c r="I3620" s="403">
        <v>1</v>
      </c>
      <c r="J3620" s="403" t="s">
        <v>109</v>
      </c>
      <c r="K3620" s="403">
        <v>720</v>
      </c>
      <c r="L3620" s="403">
        <v>1280</v>
      </c>
      <c r="M3620" s="403" t="s">
        <v>109</v>
      </c>
      <c r="N3620" s="403">
        <v>720</v>
      </c>
      <c r="O3620" s="403">
        <v>1280</v>
      </c>
      <c r="P3620" t="str">
        <f t="shared" si="449"/>
        <v>30fps 720p - 720p</v>
      </c>
      <c r="Q3620">
        <f t="shared" si="450"/>
        <v>19</v>
      </c>
      <c r="R3620" t="str">
        <f t="shared" si="451"/>
        <v/>
      </c>
      <c r="S3620" t="str">
        <f t="shared" si="452"/>
        <v/>
      </c>
      <c r="T3620" s="403" t="str">
        <f t="shared" si="453"/>
        <v>NDE-8502-R</v>
      </c>
      <c r="U3620" s="403">
        <f t="shared" si="454"/>
        <v>1</v>
      </c>
      <c r="V3620" s="403" t="str">
        <f t="shared" si="455"/>
        <v>CPP_7_3</v>
      </c>
    </row>
    <row r="3621" spans="1:22">
      <c r="A3621" t="str">
        <f t="shared" si="448"/>
        <v>NDE-8502-R</v>
      </c>
      <c r="B3621" s="403" t="s">
        <v>1410</v>
      </c>
      <c r="C3621" s="403" t="s">
        <v>582</v>
      </c>
      <c r="D3621" s="403" t="s">
        <v>1411</v>
      </c>
      <c r="E3621" s="403" t="s">
        <v>1413</v>
      </c>
      <c r="F3621" s="403" t="s">
        <v>1292</v>
      </c>
      <c r="G3621" s="403" t="s">
        <v>1467</v>
      </c>
      <c r="H3621" s="403" t="s">
        <v>1281</v>
      </c>
      <c r="I3621" s="403">
        <v>1</v>
      </c>
      <c r="J3621" s="403" t="s">
        <v>109</v>
      </c>
      <c r="K3621" s="403">
        <v>720</v>
      </c>
      <c r="L3621" s="403">
        <v>1280</v>
      </c>
      <c r="M3621" s="403" t="s">
        <v>111</v>
      </c>
      <c r="N3621" s="403">
        <v>432</v>
      </c>
      <c r="O3621" s="403">
        <v>768</v>
      </c>
      <c r="P3621" t="str">
        <f t="shared" si="449"/>
        <v>30fps 720p - SD</v>
      </c>
      <c r="Q3621">
        <f t="shared" si="450"/>
        <v>19</v>
      </c>
      <c r="R3621" t="str">
        <f t="shared" si="451"/>
        <v/>
      </c>
      <c r="S3621" t="str">
        <f t="shared" si="452"/>
        <v/>
      </c>
      <c r="T3621" s="403" t="str">
        <f t="shared" si="453"/>
        <v>NDE-8502-R</v>
      </c>
      <c r="U3621" s="403">
        <f t="shared" si="454"/>
        <v>1</v>
      </c>
      <c r="V3621" s="403" t="str">
        <f t="shared" si="455"/>
        <v>CPP_7_3</v>
      </c>
    </row>
    <row r="3622" spans="1:22">
      <c r="A3622" t="str">
        <f t="shared" si="448"/>
        <v>NDE-8502-R</v>
      </c>
      <c r="B3622" s="403" t="s">
        <v>1410</v>
      </c>
      <c r="C3622" s="403" t="s">
        <v>582</v>
      </c>
      <c r="D3622" s="403" t="s">
        <v>1411</v>
      </c>
      <c r="E3622" s="403" t="s">
        <v>1413</v>
      </c>
      <c r="F3622" s="403" t="s">
        <v>1292</v>
      </c>
      <c r="G3622" s="403" t="s">
        <v>1467</v>
      </c>
      <c r="H3622" s="403" t="s">
        <v>1281</v>
      </c>
      <c r="I3622" s="403">
        <v>1</v>
      </c>
      <c r="J3622" s="403" t="s">
        <v>109</v>
      </c>
      <c r="K3622" s="403">
        <v>720</v>
      </c>
      <c r="L3622" s="403">
        <v>1280</v>
      </c>
      <c r="M3622" s="403" t="s">
        <v>1279</v>
      </c>
      <c r="N3622" s="403">
        <v>432</v>
      </c>
      <c r="O3622" s="403">
        <v>768</v>
      </c>
      <c r="P3622" t="str">
        <f t="shared" si="449"/>
        <v>30fps 720p - SD ROI PTZ</v>
      </c>
      <c r="Q3622">
        <f t="shared" si="450"/>
        <v>19</v>
      </c>
      <c r="R3622" t="str">
        <f t="shared" si="451"/>
        <v/>
      </c>
      <c r="S3622" t="str">
        <f t="shared" si="452"/>
        <v/>
      </c>
      <c r="T3622" s="403" t="str">
        <f t="shared" si="453"/>
        <v>NDE-8502-R</v>
      </c>
      <c r="U3622" s="403">
        <f t="shared" si="454"/>
        <v>1</v>
      </c>
      <c r="V3622" s="403" t="str">
        <f t="shared" si="455"/>
        <v>CPP_7_3</v>
      </c>
    </row>
    <row r="3623" spans="1:22">
      <c r="A3623" t="str">
        <f t="shared" si="448"/>
        <v>NDE-8502-R</v>
      </c>
      <c r="B3623" s="403" t="s">
        <v>1410</v>
      </c>
      <c r="C3623" s="403" t="s">
        <v>582</v>
      </c>
      <c r="D3623" s="403" t="s">
        <v>1411</v>
      </c>
      <c r="E3623" s="403" t="s">
        <v>1413</v>
      </c>
      <c r="F3623" s="403" t="s">
        <v>1292</v>
      </c>
      <c r="G3623" s="403" t="s">
        <v>1467</v>
      </c>
      <c r="H3623" s="403" t="s">
        <v>1281</v>
      </c>
      <c r="I3623" s="403">
        <v>1</v>
      </c>
      <c r="J3623" s="403" t="s">
        <v>109</v>
      </c>
      <c r="K3623" s="403">
        <v>720</v>
      </c>
      <c r="L3623" s="403">
        <v>1280</v>
      </c>
      <c r="M3623" s="403" t="s">
        <v>1283</v>
      </c>
      <c r="N3623" s="403">
        <v>480</v>
      </c>
      <c r="O3623" s="403">
        <v>720</v>
      </c>
      <c r="P3623" t="str">
        <f t="shared" si="449"/>
        <v>30fps 720p - SD 4CIF resolution 4:3 format (cropped)</v>
      </c>
      <c r="Q3623">
        <f t="shared" si="450"/>
        <v>19</v>
      </c>
      <c r="R3623" t="str">
        <f t="shared" si="451"/>
        <v/>
      </c>
      <c r="S3623" t="str">
        <f t="shared" si="452"/>
        <v/>
      </c>
      <c r="T3623" s="403" t="str">
        <f t="shared" si="453"/>
        <v>NDE-8502-R</v>
      </c>
      <c r="U3623" s="403">
        <f t="shared" si="454"/>
        <v>1</v>
      </c>
      <c r="V3623" s="403" t="str">
        <f t="shared" si="455"/>
        <v>CPP_7_3</v>
      </c>
    </row>
    <row r="3624" spans="1:22">
      <c r="A3624" t="str">
        <f t="shared" si="448"/>
        <v>NDE-8502-R</v>
      </c>
      <c r="B3624" s="403" t="s">
        <v>1410</v>
      </c>
      <c r="C3624" s="403" t="s">
        <v>582</v>
      </c>
      <c r="D3624" s="403" t="s">
        <v>1411</v>
      </c>
      <c r="E3624" s="403" t="s">
        <v>1413</v>
      </c>
      <c r="F3624" s="403" t="s">
        <v>1292</v>
      </c>
      <c r="G3624" s="403" t="s">
        <v>1467</v>
      </c>
      <c r="H3624" s="403" t="s">
        <v>1281</v>
      </c>
      <c r="I3624" s="403">
        <v>1</v>
      </c>
      <c r="J3624" s="403" t="s">
        <v>109</v>
      </c>
      <c r="K3624" s="403">
        <v>720</v>
      </c>
      <c r="L3624" s="403">
        <v>1280</v>
      </c>
      <c r="M3624" s="403" t="s">
        <v>1284</v>
      </c>
      <c r="N3624" s="403">
        <v>480</v>
      </c>
      <c r="O3624" s="403">
        <v>640</v>
      </c>
      <c r="P3624" t="str">
        <f t="shared" si="449"/>
        <v>30fps 720p - SD VGA (cropped)</v>
      </c>
      <c r="Q3624">
        <f t="shared" si="450"/>
        <v>19</v>
      </c>
      <c r="R3624" t="str">
        <f t="shared" si="451"/>
        <v/>
      </c>
      <c r="S3624" t="str">
        <f t="shared" si="452"/>
        <v/>
      </c>
      <c r="T3624" s="403" t="str">
        <f t="shared" si="453"/>
        <v>NDE-8502-R</v>
      </c>
      <c r="U3624" s="403">
        <f t="shared" si="454"/>
        <v>1</v>
      </c>
      <c r="V3624" s="403" t="str">
        <f t="shared" si="455"/>
        <v>CPP_7_3</v>
      </c>
    </row>
    <row r="3625" spans="1:22">
      <c r="A3625" t="str">
        <f t="shared" si="448"/>
        <v>NDE-8502-R</v>
      </c>
      <c r="B3625" s="403" t="s">
        <v>1410</v>
      </c>
      <c r="C3625" s="403" t="s">
        <v>582</v>
      </c>
      <c r="D3625" s="403" t="s">
        <v>1411</v>
      </c>
      <c r="E3625" s="403" t="s">
        <v>1413</v>
      </c>
      <c r="F3625" s="403" t="s">
        <v>1292</v>
      </c>
      <c r="G3625" s="403" t="s">
        <v>1467</v>
      </c>
      <c r="H3625" s="403" t="s">
        <v>1282</v>
      </c>
      <c r="I3625" s="403">
        <v>1</v>
      </c>
      <c r="J3625" s="403" t="s">
        <v>110</v>
      </c>
      <c r="K3625" s="403">
        <v>1080</v>
      </c>
      <c r="L3625" s="403">
        <v>1920</v>
      </c>
      <c r="M3625" s="403" t="s">
        <v>111</v>
      </c>
      <c r="N3625" s="403">
        <v>432</v>
      </c>
      <c r="O3625" s="403">
        <v>768</v>
      </c>
      <c r="P3625" t="str">
        <f t="shared" si="449"/>
        <v>30fps 1080p - SD</v>
      </c>
      <c r="Q3625">
        <f t="shared" si="450"/>
        <v>19</v>
      </c>
      <c r="R3625" t="str">
        <f t="shared" si="451"/>
        <v/>
      </c>
      <c r="S3625" t="str">
        <f t="shared" si="452"/>
        <v/>
      </c>
      <c r="T3625" s="403" t="str">
        <f t="shared" si="453"/>
        <v>NDE-8502-R</v>
      </c>
      <c r="U3625" s="403">
        <f t="shared" si="454"/>
        <v>1</v>
      </c>
      <c r="V3625" s="403" t="str">
        <f t="shared" si="455"/>
        <v>CPP_7_3</v>
      </c>
    </row>
    <row r="3626" spans="1:22">
      <c r="A3626" t="str">
        <f t="shared" si="448"/>
        <v>NDE-8502-R</v>
      </c>
      <c r="B3626" s="403" t="s">
        <v>1410</v>
      </c>
      <c r="C3626" s="403" t="s">
        <v>582</v>
      </c>
      <c r="D3626" s="403" t="s">
        <v>1411</v>
      </c>
      <c r="E3626" s="403" t="s">
        <v>1413</v>
      </c>
      <c r="F3626" s="403" t="s">
        <v>1292</v>
      </c>
      <c r="G3626" s="403" t="s">
        <v>1467</v>
      </c>
      <c r="H3626" s="403" t="s">
        <v>1282</v>
      </c>
      <c r="I3626" s="403">
        <v>1</v>
      </c>
      <c r="J3626" s="403" t="s">
        <v>110</v>
      </c>
      <c r="K3626" s="403">
        <v>1080</v>
      </c>
      <c r="L3626" s="403">
        <v>1920</v>
      </c>
      <c r="M3626" s="403" t="s">
        <v>110</v>
      </c>
      <c r="N3626" s="403">
        <v>1080</v>
      </c>
      <c r="O3626" s="403">
        <v>1920</v>
      </c>
      <c r="P3626" t="str">
        <f t="shared" si="449"/>
        <v>30fps 1080p - 1080p</v>
      </c>
      <c r="Q3626">
        <f t="shared" si="450"/>
        <v>19</v>
      </c>
      <c r="R3626" t="str">
        <f t="shared" si="451"/>
        <v/>
      </c>
      <c r="S3626" t="str">
        <f t="shared" si="452"/>
        <v/>
      </c>
      <c r="T3626" s="403" t="str">
        <f t="shared" si="453"/>
        <v>NDE-8502-R</v>
      </c>
      <c r="U3626" s="403">
        <f t="shared" si="454"/>
        <v>1</v>
      </c>
      <c r="V3626" s="403" t="str">
        <f t="shared" si="455"/>
        <v>CPP_7_3</v>
      </c>
    </row>
    <row r="3627" spans="1:22">
      <c r="A3627" t="str">
        <f t="shared" si="448"/>
        <v>NDE-8502-R</v>
      </c>
      <c r="B3627" s="403" t="s">
        <v>1410</v>
      </c>
      <c r="C3627" s="403" t="s">
        <v>582</v>
      </c>
      <c r="D3627" s="403" t="s">
        <v>1411</v>
      </c>
      <c r="E3627" s="403" t="s">
        <v>1413</v>
      </c>
      <c r="F3627" s="403" t="s">
        <v>1292</v>
      </c>
      <c r="G3627" s="403" t="s">
        <v>1467</v>
      </c>
      <c r="H3627" s="403" t="s">
        <v>1282</v>
      </c>
      <c r="I3627" s="403">
        <v>1</v>
      </c>
      <c r="J3627" s="403" t="s">
        <v>110</v>
      </c>
      <c r="K3627" s="403">
        <v>1080</v>
      </c>
      <c r="L3627" s="403">
        <v>1920</v>
      </c>
      <c r="M3627" s="403" t="s">
        <v>109</v>
      </c>
      <c r="N3627" s="403">
        <v>720</v>
      </c>
      <c r="O3627" s="403">
        <v>1280</v>
      </c>
      <c r="P3627" t="str">
        <f t="shared" si="449"/>
        <v>30fps 1080p - 720p</v>
      </c>
      <c r="Q3627">
        <f t="shared" si="450"/>
        <v>19</v>
      </c>
      <c r="R3627" t="str">
        <f t="shared" si="451"/>
        <v/>
      </c>
      <c r="S3627" t="str">
        <f t="shared" si="452"/>
        <v/>
      </c>
      <c r="T3627" s="403" t="str">
        <f t="shared" si="453"/>
        <v>NDE-8502-R</v>
      </c>
      <c r="U3627" s="403">
        <f t="shared" si="454"/>
        <v>1</v>
      </c>
      <c r="V3627" s="403" t="str">
        <f t="shared" si="455"/>
        <v>CPP_7_3</v>
      </c>
    </row>
    <row r="3628" spans="1:22">
      <c r="A3628" t="str">
        <f t="shared" si="448"/>
        <v>NDE-8502-R</v>
      </c>
      <c r="B3628" s="403" t="s">
        <v>1410</v>
      </c>
      <c r="C3628" s="403" t="s">
        <v>582</v>
      </c>
      <c r="D3628" s="403" t="s">
        <v>1411</v>
      </c>
      <c r="E3628" s="403" t="s">
        <v>1413</v>
      </c>
      <c r="F3628" s="403" t="s">
        <v>1292</v>
      </c>
      <c r="G3628" s="403" t="s">
        <v>1467</v>
      </c>
      <c r="H3628" s="403" t="s">
        <v>1282</v>
      </c>
      <c r="I3628" s="403">
        <v>1</v>
      </c>
      <c r="J3628" s="403" t="s">
        <v>110</v>
      </c>
      <c r="K3628" s="403">
        <v>1080</v>
      </c>
      <c r="L3628" s="403">
        <v>1920</v>
      </c>
      <c r="M3628" s="403" t="s">
        <v>1285</v>
      </c>
      <c r="N3628" s="403">
        <v>1024</v>
      </c>
      <c r="O3628" s="403">
        <v>1280</v>
      </c>
      <c r="P3628" t="str">
        <f t="shared" si="449"/>
        <v>30fps 1080p - 1280x1024 5:4 (cropped)</v>
      </c>
      <c r="Q3628">
        <f t="shared" si="450"/>
        <v>19</v>
      </c>
      <c r="R3628" t="str">
        <f t="shared" si="451"/>
        <v/>
      </c>
      <c r="S3628" t="str">
        <f t="shared" si="452"/>
        <v/>
      </c>
      <c r="T3628" s="403" t="str">
        <f t="shared" si="453"/>
        <v>NDE-8502-R</v>
      </c>
      <c r="U3628" s="403">
        <f t="shared" si="454"/>
        <v>1</v>
      </c>
      <c r="V3628" s="403" t="str">
        <f t="shared" si="455"/>
        <v>CPP_7_3</v>
      </c>
    </row>
    <row r="3629" spans="1:22">
      <c r="A3629" t="str">
        <f t="shared" si="448"/>
        <v>NDE-8502-R</v>
      </c>
      <c r="B3629" s="403" t="s">
        <v>1410</v>
      </c>
      <c r="C3629" s="403" t="s">
        <v>582</v>
      </c>
      <c r="D3629" s="403" t="s">
        <v>1411</v>
      </c>
      <c r="E3629" s="403" t="s">
        <v>1413</v>
      </c>
      <c r="F3629" s="403" t="s">
        <v>1292</v>
      </c>
      <c r="G3629" s="403" t="s">
        <v>1467</v>
      </c>
      <c r="H3629" s="403" t="s">
        <v>1282</v>
      </c>
      <c r="I3629" s="403">
        <v>1</v>
      </c>
      <c r="J3629" s="403" t="s">
        <v>110</v>
      </c>
      <c r="K3629" s="403">
        <v>1080</v>
      </c>
      <c r="L3629" s="403">
        <v>1920</v>
      </c>
      <c r="M3629" s="403" t="s">
        <v>1279</v>
      </c>
      <c r="N3629" s="403">
        <v>432</v>
      </c>
      <c r="O3629" s="403">
        <v>768</v>
      </c>
      <c r="P3629" t="str">
        <f t="shared" si="449"/>
        <v>30fps 1080p - SD ROI PTZ</v>
      </c>
      <c r="Q3629">
        <f t="shared" si="450"/>
        <v>19</v>
      </c>
      <c r="R3629" t="str">
        <f t="shared" si="451"/>
        <v/>
      </c>
      <c r="S3629" t="str">
        <f t="shared" si="452"/>
        <v/>
      </c>
      <c r="T3629" s="403" t="str">
        <f t="shared" si="453"/>
        <v>NDE-8502-R</v>
      </c>
      <c r="U3629" s="403">
        <f t="shared" si="454"/>
        <v>1</v>
      </c>
      <c r="V3629" s="403" t="str">
        <f t="shared" si="455"/>
        <v>CPP_7_3</v>
      </c>
    </row>
    <row r="3630" spans="1:22">
      <c r="A3630" t="str">
        <f t="shared" si="448"/>
        <v>NDE-8502-R</v>
      </c>
      <c r="B3630" s="403" t="s">
        <v>1410</v>
      </c>
      <c r="C3630" s="403" t="s">
        <v>582</v>
      </c>
      <c r="D3630" s="403" t="s">
        <v>1411</v>
      </c>
      <c r="E3630" s="403" t="s">
        <v>1413</v>
      </c>
      <c r="F3630" s="403" t="s">
        <v>1292</v>
      </c>
      <c r="G3630" s="403" t="s">
        <v>1467</v>
      </c>
      <c r="H3630" s="403" t="s">
        <v>1282</v>
      </c>
      <c r="I3630" s="403">
        <v>1</v>
      </c>
      <c r="J3630" s="403" t="s">
        <v>110</v>
      </c>
      <c r="K3630" s="403">
        <v>1080</v>
      </c>
      <c r="L3630" s="403">
        <v>1920</v>
      </c>
      <c r="M3630" s="403" t="s">
        <v>1283</v>
      </c>
      <c r="N3630" s="403">
        <v>480</v>
      </c>
      <c r="O3630" s="403">
        <v>720</v>
      </c>
      <c r="P3630" t="str">
        <f t="shared" si="449"/>
        <v>30fps 1080p - SD 4CIF resolution 4:3 format (cropped)</v>
      </c>
      <c r="Q3630">
        <f t="shared" si="450"/>
        <v>19</v>
      </c>
      <c r="R3630" t="str">
        <f t="shared" si="451"/>
        <v/>
      </c>
      <c r="S3630" t="str">
        <f t="shared" si="452"/>
        <v/>
      </c>
      <c r="T3630" s="403" t="str">
        <f t="shared" si="453"/>
        <v>NDE-8502-R</v>
      </c>
      <c r="U3630" s="403">
        <f t="shared" si="454"/>
        <v>1</v>
      </c>
      <c r="V3630" s="403" t="str">
        <f t="shared" si="455"/>
        <v>CPP_7_3</v>
      </c>
    </row>
    <row r="3631" spans="1:22">
      <c r="A3631" t="str">
        <f t="shared" si="448"/>
        <v>NDE-8502-R</v>
      </c>
      <c r="B3631" s="403" t="s">
        <v>1410</v>
      </c>
      <c r="C3631" s="403" t="s">
        <v>582</v>
      </c>
      <c r="D3631" s="403" t="s">
        <v>1411</v>
      </c>
      <c r="E3631" s="403" t="s">
        <v>1413</v>
      </c>
      <c r="F3631" s="403" t="s">
        <v>1292</v>
      </c>
      <c r="G3631" s="403" t="s">
        <v>1467</v>
      </c>
      <c r="H3631" s="403" t="s">
        <v>1282</v>
      </c>
      <c r="I3631" s="403">
        <v>1</v>
      </c>
      <c r="J3631" s="403" t="s">
        <v>110</v>
      </c>
      <c r="K3631" s="403">
        <v>1080</v>
      </c>
      <c r="L3631" s="403">
        <v>1920</v>
      </c>
      <c r="M3631" s="403" t="s">
        <v>1284</v>
      </c>
      <c r="N3631" s="403">
        <v>480</v>
      </c>
      <c r="O3631" s="403">
        <v>640</v>
      </c>
      <c r="P3631" t="str">
        <f t="shared" si="449"/>
        <v>30fps 1080p - SD VGA (cropped)</v>
      </c>
      <c r="Q3631">
        <f t="shared" si="450"/>
        <v>19</v>
      </c>
      <c r="R3631" t="str">
        <f t="shared" si="451"/>
        <v/>
      </c>
      <c r="S3631" t="str">
        <f t="shared" si="452"/>
        <v/>
      </c>
      <c r="T3631" s="403" t="str">
        <f t="shared" si="453"/>
        <v>NDE-8502-R</v>
      </c>
      <c r="U3631" s="403">
        <f t="shared" si="454"/>
        <v>1</v>
      </c>
      <c r="V3631" s="403" t="str">
        <f t="shared" si="455"/>
        <v>CPP_7_3</v>
      </c>
    </row>
    <row r="3632" spans="1:22">
      <c r="A3632" t="str">
        <f t="shared" si="448"/>
        <v>NDE-8502-R</v>
      </c>
      <c r="B3632" s="403" t="s">
        <v>1410</v>
      </c>
      <c r="C3632" s="403" t="s">
        <v>582</v>
      </c>
      <c r="D3632" s="403" t="s">
        <v>1411</v>
      </c>
      <c r="E3632" s="403" t="s">
        <v>1413</v>
      </c>
      <c r="F3632" s="403" t="s">
        <v>1292</v>
      </c>
      <c r="G3632" s="403" t="s">
        <v>1467</v>
      </c>
      <c r="H3632" s="403" t="s">
        <v>1282</v>
      </c>
      <c r="I3632" s="403">
        <v>1</v>
      </c>
      <c r="J3632" s="403" t="s">
        <v>109</v>
      </c>
      <c r="K3632" s="403">
        <v>720</v>
      </c>
      <c r="L3632" s="403">
        <v>1280</v>
      </c>
      <c r="M3632" s="403" t="s">
        <v>109</v>
      </c>
      <c r="N3632" s="403">
        <v>720</v>
      </c>
      <c r="O3632" s="403">
        <v>1280</v>
      </c>
      <c r="P3632" t="str">
        <f t="shared" si="449"/>
        <v>30fps 720p - 720p</v>
      </c>
      <c r="Q3632">
        <f t="shared" si="450"/>
        <v>19</v>
      </c>
      <c r="R3632" t="str">
        <f t="shared" si="451"/>
        <v/>
      </c>
      <c r="S3632" t="str">
        <f t="shared" si="452"/>
        <v/>
      </c>
      <c r="T3632" s="403" t="str">
        <f t="shared" si="453"/>
        <v>NDE-8502-R</v>
      </c>
      <c r="U3632" s="403">
        <f t="shared" si="454"/>
        <v>1</v>
      </c>
      <c r="V3632" s="403" t="str">
        <f t="shared" si="455"/>
        <v>CPP_7_3</v>
      </c>
    </row>
    <row r="3633" spans="1:22">
      <c r="A3633" t="str">
        <f t="shared" si="448"/>
        <v>NDE-8502-R</v>
      </c>
      <c r="B3633" s="403" t="s">
        <v>1410</v>
      </c>
      <c r="C3633" s="403" t="s">
        <v>582</v>
      </c>
      <c r="D3633" s="403" t="s">
        <v>1411</v>
      </c>
      <c r="E3633" s="403" t="s">
        <v>1413</v>
      </c>
      <c r="F3633" s="403" t="s">
        <v>1292</v>
      </c>
      <c r="G3633" s="403" t="s">
        <v>1467</v>
      </c>
      <c r="H3633" s="403" t="s">
        <v>1282</v>
      </c>
      <c r="I3633" s="403">
        <v>1</v>
      </c>
      <c r="J3633" s="403" t="s">
        <v>109</v>
      </c>
      <c r="K3633" s="403">
        <v>720</v>
      </c>
      <c r="L3633" s="403">
        <v>1280</v>
      </c>
      <c r="M3633" s="403" t="s">
        <v>111</v>
      </c>
      <c r="N3633" s="403">
        <v>432</v>
      </c>
      <c r="O3633" s="403">
        <v>768</v>
      </c>
      <c r="P3633" t="str">
        <f t="shared" si="449"/>
        <v>30fps 720p - SD</v>
      </c>
      <c r="Q3633">
        <f t="shared" si="450"/>
        <v>19</v>
      </c>
      <c r="R3633" t="str">
        <f t="shared" si="451"/>
        <v/>
      </c>
      <c r="S3633" t="str">
        <f t="shared" si="452"/>
        <v/>
      </c>
      <c r="T3633" s="403" t="str">
        <f t="shared" si="453"/>
        <v>NDE-8502-R</v>
      </c>
      <c r="U3633" s="403">
        <f t="shared" si="454"/>
        <v>1</v>
      </c>
      <c r="V3633" s="403" t="str">
        <f t="shared" si="455"/>
        <v>CPP_7_3</v>
      </c>
    </row>
    <row r="3634" spans="1:22">
      <c r="A3634" t="str">
        <f t="shared" si="448"/>
        <v>NDE-8502-R</v>
      </c>
      <c r="B3634" s="403" t="s">
        <v>1410</v>
      </c>
      <c r="C3634" s="403" t="s">
        <v>582</v>
      </c>
      <c r="D3634" s="403" t="s">
        <v>1411</v>
      </c>
      <c r="E3634" s="403" t="s">
        <v>1413</v>
      </c>
      <c r="F3634" s="403" t="s">
        <v>1292</v>
      </c>
      <c r="G3634" s="403" t="s">
        <v>1467</v>
      </c>
      <c r="H3634" s="403" t="s">
        <v>1282</v>
      </c>
      <c r="I3634" s="403">
        <v>1</v>
      </c>
      <c r="J3634" s="403" t="s">
        <v>109</v>
      </c>
      <c r="K3634" s="403">
        <v>720</v>
      </c>
      <c r="L3634" s="403">
        <v>1280</v>
      </c>
      <c r="M3634" s="403" t="s">
        <v>1279</v>
      </c>
      <c r="N3634" s="403">
        <v>432</v>
      </c>
      <c r="O3634" s="403">
        <v>768</v>
      </c>
      <c r="P3634" t="str">
        <f t="shared" si="449"/>
        <v>30fps 720p - SD ROI PTZ</v>
      </c>
      <c r="Q3634">
        <f t="shared" si="450"/>
        <v>19</v>
      </c>
      <c r="R3634" t="str">
        <f t="shared" si="451"/>
        <v/>
      </c>
      <c r="S3634" t="str">
        <f t="shared" si="452"/>
        <v/>
      </c>
      <c r="T3634" s="403" t="str">
        <f t="shared" si="453"/>
        <v>NDE-8502-R</v>
      </c>
      <c r="U3634" s="403">
        <f t="shared" si="454"/>
        <v>1</v>
      </c>
      <c r="V3634" s="403" t="str">
        <f t="shared" si="455"/>
        <v>CPP_7_3</v>
      </c>
    </row>
    <row r="3635" spans="1:22">
      <c r="A3635" t="str">
        <f t="shared" si="448"/>
        <v>NDE-8502-R</v>
      </c>
      <c r="B3635" s="403" t="s">
        <v>1410</v>
      </c>
      <c r="C3635" s="403" t="s">
        <v>582</v>
      </c>
      <c r="D3635" s="403" t="s">
        <v>1411</v>
      </c>
      <c r="E3635" s="403" t="s">
        <v>1413</v>
      </c>
      <c r="F3635" s="403" t="s">
        <v>1292</v>
      </c>
      <c r="G3635" s="403" t="s">
        <v>1467</v>
      </c>
      <c r="H3635" s="403" t="s">
        <v>1282</v>
      </c>
      <c r="I3635" s="403">
        <v>1</v>
      </c>
      <c r="J3635" s="403" t="s">
        <v>109</v>
      </c>
      <c r="K3635" s="403">
        <v>720</v>
      </c>
      <c r="L3635" s="403">
        <v>1280</v>
      </c>
      <c r="M3635" s="403" t="s">
        <v>1283</v>
      </c>
      <c r="N3635" s="403">
        <v>480</v>
      </c>
      <c r="O3635" s="403">
        <v>720</v>
      </c>
      <c r="P3635" t="str">
        <f t="shared" si="449"/>
        <v>30fps 720p - SD 4CIF resolution 4:3 format (cropped)</v>
      </c>
      <c r="Q3635">
        <f t="shared" si="450"/>
        <v>19</v>
      </c>
      <c r="R3635" t="str">
        <f t="shared" si="451"/>
        <v/>
      </c>
      <c r="S3635" t="str">
        <f t="shared" si="452"/>
        <v/>
      </c>
      <c r="T3635" s="403" t="str">
        <f t="shared" si="453"/>
        <v>NDE-8502-R</v>
      </c>
      <c r="U3635" s="403">
        <f t="shared" si="454"/>
        <v>1</v>
      </c>
      <c r="V3635" s="403" t="str">
        <f t="shared" si="455"/>
        <v>CPP_7_3</v>
      </c>
    </row>
    <row r="3636" spans="1:22">
      <c r="A3636" t="str">
        <f t="shared" si="448"/>
        <v>NDE-8502-R</v>
      </c>
      <c r="B3636" s="403" t="s">
        <v>1410</v>
      </c>
      <c r="C3636" s="403" t="s">
        <v>582</v>
      </c>
      <c r="D3636" s="403" t="s">
        <v>1411</v>
      </c>
      <c r="E3636" s="403" t="s">
        <v>1413</v>
      </c>
      <c r="F3636" s="403" t="s">
        <v>1292</v>
      </c>
      <c r="G3636" s="403" t="s">
        <v>1467</v>
      </c>
      <c r="H3636" s="403" t="s">
        <v>1282</v>
      </c>
      <c r="I3636" s="403">
        <v>1</v>
      </c>
      <c r="J3636" s="403" t="s">
        <v>109</v>
      </c>
      <c r="K3636" s="403">
        <v>720</v>
      </c>
      <c r="L3636" s="403">
        <v>1280</v>
      </c>
      <c r="M3636" s="403" t="s">
        <v>1284</v>
      </c>
      <c r="N3636" s="403">
        <v>480</v>
      </c>
      <c r="O3636" s="403">
        <v>640</v>
      </c>
      <c r="P3636" t="str">
        <f t="shared" si="449"/>
        <v>30fps 720p - SD VGA (cropped)</v>
      </c>
      <c r="Q3636">
        <f t="shared" si="450"/>
        <v>19</v>
      </c>
      <c r="R3636" t="str">
        <f t="shared" si="451"/>
        <v/>
      </c>
      <c r="S3636" t="str">
        <f t="shared" si="452"/>
        <v/>
      </c>
      <c r="T3636" s="403" t="str">
        <f t="shared" si="453"/>
        <v>NDE-8502-R</v>
      </c>
      <c r="U3636" s="403">
        <f t="shared" si="454"/>
        <v>1</v>
      </c>
      <c r="V3636" s="403" t="str">
        <f t="shared" si="455"/>
        <v>CPP_7_3</v>
      </c>
    </row>
    <row r="3637" spans="1:22">
      <c r="A3637" t="str">
        <f t="shared" si="448"/>
        <v>NDE-8502-R</v>
      </c>
      <c r="B3637" s="403" t="s">
        <v>1410</v>
      </c>
      <c r="C3637" s="403" t="s">
        <v>582</v>
      </c>
      <c r="D3637" s="403" t="s">
        <v>1411</v>
      </c>
      <c r="E3637" s="403" t="s">
        <v>1413</v>
      </c>
      <c r="F3637" s="403" t="s">
        <v>1293</v>
      </c>
      <c r="G3637" s="403" t="s">
        <v>1466</v>
      </c>
      <c r="H3637" s="403" t="s">
        <v>1276</v>
      </c>
      <c r="I3637" s="403">
        <v>1</v>
      </c>
      <c r="J3637" s="403" t="s">
        <v>110</v>
      </c>
      <c r="K3637" s="403">
        <v>1920</v>
      </c>
      <c r="L3637" s="403">
        <v>1080</v>
      </c>
      <c r="M3637" s="403" t="s">
        <v>111</v>
      </c>
      <c r="N3637" s="403">
        <v>768</v>
      </c>
      <c r="O3637" s="403">
        <v>432</v>
      </c>
      <c r="P3637" t="str">
        <f t="shared" si="449"/>
        <v>25fps 1080p - SD</v>
      </c>
      <c r="Q3637">
        <f t="shared" si="450"/>
        <v>19</v>
      </c>
      <c r="R3637" t="str">
        <f t="shared" si="451"/>
        <v/>
      </c>
      <c r="S3637" t="str">
        <f t="shared" si="452"/>
        <v/>
      </c>
      <c r="T3637" s="403" t="str">
        <f t="shared" si="453"/>
        <v>NDE-8502-R</v>
      </c>
      <c r="U3637" s="403">
        <f t="shared" si="454"/>
        <v>1</v>
      </c>
      <c r="V3637" s="403" t="str">
        <f t="shared" si="455"/>
        <v>CPP_7_3</v>
      </c>
    </row>
    <row r="3638" spans="1:22">
      <c r="A3638" t="str">
        <f t="shared" si="448"/>
        <v>NDE-8502-R</v>
      </c>
      <c r="B3638" s="403" t="s">
        <v>1410</v>
      </c>
      <c r="C3638" s="403" t="s">
        <v>582</v>
      </c>
      <c r="D3638" s="403" t="s">
        <v>1411</v>
      </c>
      <c r="E3638" s="403" t="s">
        <v>1413</v>
      </c>
      <c r="F3638" s="403" t="s">
        <v>1293</v>
      </c>
      <c r="G3638" s="403" t="s">
        <v>1466</v>
      </c>
      <c r="H3638" s="403" t="s">
        <v>1276</v>
      </c>
      <c r="I3638" s="403">
        <v>1</v>
      </c>
      <c r="J3638" s="403" t="s">
        <v>110</v>
      </c>
      <c r="K3638" s="403">
        <v>1920</v>
      </c>
      <c r="L3638" s="403">
        <v>1080</v>
      </c>
      <c r="M3638" s="403" t="s">
        <v>110</v>
      </c>
      <c r="N3638" s="403">
        <v>1920</v>
      </c>
      <c r="O3638" s="403">
        <v>1080</v>
      </c>
      <c r="P3638" t="str">
        <f t="shared" si="449"/>
        <v>25fps 1080p - 1080p</v>
      </c>
      <c r="Q3638">
        <f t="shared" si="450"/>
        <v>19</v>
      </c>
      <c r="R3638" t="str">
        <f t="shared" si="451"/>
        <v/>
      </c>
      <c r="S3638" t="str">
        <f t="shared" si="452"/>
        <v/>
      </c>
      <c r="T3638" s="403" t="str">
        <f t="shared" si="453"/>
        <v>NDE-8502-R</v>
      </c>
      <c r="U3638" s="403">
        <f t="shared" si="454"/>
        <v>1</v>
      </c>
      <c r="V3638" s="403" t="str">
        <f t="shared" si="455"/>
        <v>CPP_7_3</v>
      </c>
    </row>
    <row r="3639" spans="1:22">
      <c r="A3639" t="str">
        <f t="shared" si="448"/>
        <v>NDE-8502-R</v>
      </c>
      <c r="B3639" s="403" t="s">
        <v>1410</v>
      </c>
      <c r="C3639" s="403" t="s">
        <v>582</v>
      </c>
      <c r="D3639" s="403" t="s">
        <v>1411</v>
      </c>
      <c r="E3639" s="403" t="s">
        <v>1413</v>
      </c>
      <c r="F3639" s="403" t="s">
        <v>1293</v>
      </c>
      <c r="G3639" s="403" t="s">
        <v>1466</v>
      </c>
      <c r="H3639" s="403" t="s">
        <v>1276</v>
      </c>
      <c r="I3639" s="403">
        <v>1</v>
      </c>
      <c r="J3639" s="403" t="s">
        <v>110</v>
      </c>
      <c r="K3639" s="403">
        <v>1920</v>
      </c>
      <c r="L3639" s="403">
        <v>1080</v>
      </c>
      <c r="M3639" s="403" t="s">
        <v>109</v>
      </c>
      <c r="N3639" s="403">
        <v>1280</v>
      </c>
      <c r="O3639" s="403">
        <v>720</v>
      </c>
      <c r="P3639" t="str">
        <f t="shared" si="449"/>
        <v>25fps 1080p - 720p</v>
      </c>
      <c r="Q3639">
        <f t="shared" si="450"/>
        <v>19</v>
      </c>
      <c r="R3639" t="str">
        <f t="shared" si="451"/>
        <v/>
      </c>
      <c r="S3639" t="str">
        <f t="shared" si="452"/>
        <v/>
      </c>
      <c r="T3639" s="403" t="str">
        <f t="shared" si="453"/>
        <v>NDE-8502-R</v>
      </c>
      <c r="U3639" s="403">
        <f t="shared" si="454"/>
        <v>1</v>
      </c>
      <c r="V3639" s="403" t="str">
        <f t="shared" si="455"/>
        <v>CPP_7_3</v>
      </c>
    </row>
    <row r="3640" spans="1:22">
      <c r="A3640" t="str">
        <f t="shared" si="448"/>
        <v>NDE-8502-R</v>
      </c>
      <c r="B3640" s="403" t="s">
        <v>1410</v>
      </c>
      <c r="C3640" s="403" t="s">
        <v>582</v>
      </c>
      <c r="D3640" s="403" t="s">
        <v>1411</v>
      </c>
      <c r="E3640" s="403" t="s">
        <v>1413</v>
      </c>
      <c r="F3640" s="403" t="s">
        <v>1293</v>
      </c>
      <c r="G3640" s="403" t="s">
        <v>1466</v>
      </c>
      <c r="H3640" s="403" t="s">
        <v>1276</v>
      </c>
      <c r="I3640" s="403">
        <v>1</v>
      </c>
      <c r="J3640" s="403" t="s">
        <v>110</v>
      </c>
      <c r="K3640" s="403">
        <v>1920</v>
      </c>
      <c r="L3640" s="403">
        <v>1080</v>
      </c>
      <c r="M3640" s="403" t="s">
        <v>1285</v>
      </c>
      <c r="N3640" s="403">
        <v>1280</v>
      </c>
      <c r="O3640" s="403">
        <v>1024</v>
      </c>
      <c r="P3640" t="str">
        <f t="shared" si="449"/>
        <v>25fps 1080p - 1280x1024 5:4 (cropped)</v>
      </c>
      <c r="Q3640">
        <f t="shared" si="450"/>
        <v>19</v>
      </c>
      <c r="R3640" t="str">
        <f t="shared" si="451"/>
        <v/>
      </c>
      <c r="S3640" t="str">
        <f t="shared" si="452"/>
        <v/>
      </c>
      <c r="T3640" s="403" t="str">
        <f t="shared" si="453"/>
        <v>NDE-8502-R</v>
      </c>
      <c r="U3640" s="403">
        <f t="shared" si="454"/>
        <v>1</v>
      </c>
      <c r="V3640" s="403" t="str">
        <f t="shared" si="455"/>
        <v>CPP_7_3</v>
      </c>
    </row>
    <row r="3641" spans="1:22">
      <c r="A3641" t="str">
        <f t="shared" si="448"/>
        <v>NDE-8502-R</v>
      </c>
      <c r="B3641" s="403" t="s">
        <v>1410</v>
      </c>
      <c r="C3641" s="403" t="s">
        <v>582</v>
      </c>
      <c r="D3641" s="403" t="s">
        <v>1411</v>
      </c>
      <c r="E3641" s="403" t="s">
        <v>1413</v>
      </c>
      <c r="F3641" s="403" t="s">
        <v>1293</v>
      </c>
      <c r="G3641" s="403" t="s">
        <v>1466</v>
      </c>
      <c r="H3641" s="403" t="s">
        <v>1276</v>
      </c>
      <c r="I3641" s="403">
        <v>1</v>
      </c>
      <c r="J3641" s="403" t="s">
        <v>110</v>
      </c>
      <c r="K3641" s="403">
        <v>1920</v>
      </c>
      <c r="L3641" s="403">
        <v>1080</v>
      </c>
      <c r="M3641" s="403" t="s">
        <v>1279</v>
      </c>
      <c r="N3641" s="403">
        <v>768</v>
      </c>
      <c r="O3641" s="403">
        <v>432</v>
      </c>
      <c r="P3641" t="str">
        <f t="shared" si="449"/>
        <v>25fps 1080p - SD ROI PTZ</v>
      </c>
      <c r="Q3641">
        <f t="shared" si="450"/>
        <v>19</v>
      </c>
      <c r="R3641" t="str">
        <f t="shared" si="451"/>
        <v/>
      </c>
      <c r="S3641" t="str">
        <f t="shared" si="452"/>
        <v/>
      </c>
      <c r="T3641" s="403" t="str">
        <f t="shared" si="453"/>
        <v>NDE-8502-R</v>
      </c>
      <c r="U3641" s="403">
        <f t="shared" si="454"/>
        <v>1</v>
      </c>
      <c r="V3641" s="403" t="str">
        <f t="shared" si="455"/>
        <v>CPP_7_3</v>
      </c>
    </row>
    <row r="3642" spans="1:22">
      <c r="A3642" t="str">
        <f t="shared" si="448"/>
        <v>NDE-8502-R</v>
      </c>
      <c r="B3642" s="403" t="s">
        <v>1410</v>
      </c>
      <c r="C3642" s="403" t="s">
        <v>582</v>
      </c>
      <c r="D3642" s="403" t="s">
        <v>1411</v>
      </c>
      <c r="E3642" s="403" t="s">
        <v>1413</v>
      </c>
      <c r="F3642" s="403" t="s">
        <v>1293</v>
      </c>
      <c r="G3642" s="403" t="s">
        <v>1466</v>
      </c>
      <c r="H3642" s="403" t="s">
        <v>1276</v>
      </c>
      <c r="I3642" s="403">
        <v>1</v>
      </c>
      <c r="J3642" s="403" t="s">
        <v>110</v>
      </c>
      <c r="K3642" s="403">
        <v>1920</v>
      </c>
      <c r="L3642" s="403">
        <v>1080</v>
      </c>
      <c r="M3642" s="403" t="s">
        <v>1283</v>
      </c>
      <c r="N3642" s="403">
        <v>720</v>
      </c>
      <c r="O3642" s="403">
        <v>576</v>
      </c>
      <c r="P3642" t="str">
        <f t="shared" si="449"/>
        <v>25fps 1080p - SD 4CIF resolution 4:3 format (cropped)</v>
      </c>
      <c r="Q3642">
        <f t="shared" si="450"/>
        <v>19</v>
      </c>
      <c r="R3642" t="str">
        <f t="shared" si="451"/>
        <v/>
      </c>
      <c r="S3642" t="str">
        <f t="shared" si="452"/>
        <v/>
      </c>
      <c r="T3642" s="403" t="str">
        <f t="shared" si="453"/>
        <v>NDE-8502-R</v>
      </c>
      <c r="U3642" s="403">
        <f t="shared" si="454"/>
        <v>1</v>
      </c>
      <c r="V3642" s="403" t="str">
        <f t="shared" si="455"/>
        <v>CPP_7_3</v>
      </c>
    </row>
    <row r="3643" spans="1:22">
      <c r="A3643" t="str">
        <f t="shared" si="448"/>
        <v>NDE-8502-R</v>
      </c>
      <c r="B3643" s="403" t="s">
        <v>1410</v>
      </c>
      <c r="C3643" s="403" t="s">
        <v>582</v>
      </c>
      <c r="D3643" s="403" t="s">
        <v>1411</v>
      </c>
      <c r="E3643" s="403" t="s">
        <v>1413</v>
      </c>
      <c r="F3643" s="403" t="s">
        <v>1293</v>
      </c>
      <c r="G3643" s="403" t="s">
        <v>1466</v>
      </c>
      <c r="H3643" s="403" t="s">
        <v>1276</v>
      </c>
      <c r="I3643" s="403">
        <v>1</v>
      </c>
      <c r="J3643" s="403" t="s">
        <v>110</v>
      </c>
      <c r="K3643" s="403">
        <v>1920</v>
      </c>
      <c r="L3643" s="403">
        <v>1080</v>
      </c>
      <c r="M3643" s="403" t="s">
        <v>1284</v>
      </c>
      <c r="N3643" s="403">
        <v>640</v>
      </c>
      <c r="O3643" s="403">
        <v>480</v>
      </c>
      <c r="P3643" t="str">
        <f t="shared" si="449"/>
        <v>25fps 1080p - SD VGA (cropped)</v>
      </c>
      <c r="Q3643">
        <f t="shared" si="450"/>
        <v>19</v>
      </c>
      <c r="R3643" t="str">
        <f t="shared" si="451"/>
        <v/>
      </c>
      <c r="S3643" t="str">
        <f t="shared" si="452"/>
        <v/>
      </c>
      <c r="T3643" s="403" t="str">
        <f t="shared" si="453"/>
        <v>NDE-8502-R</v>
      </c>
      <c r="U3643" s="403">
        <f t="shared" si="454"/>
        <v>1</v>
      </c>
      <c r="V3643" s="403" t="str">
        <f t="shared" si="455"/>
        <v>CPP_7_3</v>
      </c>
    </row>
    <row r="3644" spans="1:22">
      <c r="A3644" t="str">
        <f t="shared" si="448"/>
        <v>NDE-8502-R</v>
      </c>
      <c r="B3644" s="403" t="s">
        <v>1410</v>
      </c>
      <c r="C3644" s="403" t="s">
        <v>582</v>
      </c>
      <c r="D3644" s="403" t="s">
        <v>1411</v>
      </c>
      <c r="E3644" s="403" t="s">
        <v>1413</v>
      </c>
      <c r="F3644" s="403" t="s">
        <v>1293</v>
      </c>
      <c r="G3644" s="403" t="s">
        <v>1466</v>
      </c>
      <c r="H3644" s="403" t="s">
        <v>1276</v>
      </c>
      <c r="I3644" s="403">
        <v>1</v>
      </c>
      <c r="J3644" s="403" t="s">
        <v>109</v>
      </c>
      <c r="K3644" s="403">
        <v>1280</v>
      </c>
      <c r="L3644" s="403">
        <v>720</v>
      </c>
      <c r="M3644" s="403" t="s">
        <v>109</v>
      </c>
      <c r="N3644" s="403">
        <v>1280</v>
      </c>
      <c r="O3644" s="403">
        <v>720</v>
      </c>
      <c r="P3644" t="str">
        <f t="shared" si="449"/>
        <v>25fps 720p - 720p</v>
      </c>
      <c r="Q3644">
        <f t="shared" si="450"/>
        <v>19</v>
      </c>
      <c r="R3644" t="str">
        <f t="shared" si="451"/>
        <v/>
      </c>
      <c r="S3644" t="str">
        <f t="shared" si="452"/>
        <v/>
      </c>
      <c r="T3644" s="403" t="str">
        <f t="shared" si="453"/>
        <v>NDE-8502-R</v>
      </c>
      <c r="U3644" s="403">
        <f t="shared" si="454"/>
        <v>1</v>
      </c>
      <c r="V3644" s="403" t="str">
        <f t="shared" si="455"/>
        <v>CPP_7_3</v>
      </c>
    </row>
    <row r="3645" spans="1:22">
      <c r="A3645" t="str">
        <f t="shared" si="448"/>
        <v>NDE-8502-R</v>
      </c>
      <c r="B3645" s="403" t="s">
        <v>1410</v>
      </c>
      <c r="C3645" s="403" t="s">
        <v>582</v>
      </c>
      <c r="D3645" s="403" t="s">
        <v>1411</v>
      </c>
      <c r="E3645" s="403" t="s">
        <v>1413</v>
      </c>
      <c r="F3645" s="403" t="s">
        <v>1293</v>
      </c>
      <c r="G3645" s="403" t="s">
        <v>1466</v>
      </c>
      <c r="H3645" s="403" t="s">
        <v>1276</v>
      </c>
      <c r="I3645" s="403">
        <v>1</v>
      </c>
      <c r="J3645" s="403" t="s">
        <v>109</v>
      </c>
      <c r="K3645" s="403">
        <v>1280</v>
      </c>
      <c r="L3645" s="403">
        <v>720</v>
      </c>
      <c r="M3645" s="403" t="s">
        <v>111</v>
      </c>
      <c r="N3645" s="403">
        <v>768</v>
      </c>
      <c r="O3645" s="403">
        <v>432</v>
      </c>
      <c r="P3645" t="str">
        <f t="shared" si="449"/>
        <v>25fps 720p - SD</v>
      </c>
      <c r="Q3645">
        <f t="shared" si="450"/>
        <v>19</v>
      </c>
      <c r="R3645" t="str">
        <f t="shared" si="451"/>
        <v/>
      </c>
      <c r="S3645" t="str">
        <f t="shared" si="452"/>
        <v/>
      </c>
      <c r="T3645" s="403" t="str">
        <f t="shared" si="453"/>
        <v>NDE-8502-R</v>
      </c>
      <c r="U3645" s="403">
        <f t="shared" si="454"/>
        <v>1</v>
      </c>
      <c r="V3645" s="403" t="str">
        <f t="shared" si="455"/>
        <v>CPP_7_3</v>
      </c>
    </row>
    <row r="3646" spans="1:22">
      <c r="A3646" t="str">
        <f t="shared" si="448"/>
        <v>NDE-8502-R</v>
      </c>
      <c r="B3646" s="403" t="s">
        <v>1410</v>
      </c>
      <c r="C3646" s="403" t="s">
        <v>582</v>
      </c>
      <c r="D3646" s="403" t="s">
        <v>1411</v>
      </c>
      <c r="E3646" s="403" t="s">
        <v>1413</v>
      </c>
      <c r="F3646" s="403" t="s">
        <v>1293</v>
      </c>
      <c r="G3646" s="403" t="s">
        <v>1466</v>
      </c>
      <c r="H3646" s="403" t="s">
        <v>1276</v>
      </c>
      <c r="I3646" s="403">
        <v>1</v>
      </c>
      <c r="J3646" s="403" t="s">
        <v>109</v>
      </c>
      <c r="K3646" s="403">
        <v>1280</v>
      </c>
      <c r="L3646" s="403">
        <v>720</v>
      </c>
      <c r="M3646" s="403" t="s">
        <v>1279</v>
      </c>
      <c r="N3646" s="403">
        <v>768</v>
      </c>
      <c r="O3646" s="403">
        <v>432</v>
      </c>
      <c r="P3646" t="str">
        <f t="shared" si="449"/>
        <v>25fps 720p - SD ROI PTZ</v>
      </c>
      <c r="Q3646">
        <f t="shared" si="450"/>
        <v>19</v>
      </c>
      <c r="R3646" t="str">
        <f t="shared" si="451"/>
        <v/>
      </c>
      <c r="S3646" t="str">
        <f t="shared" si="452"/>
        <v/>
      </c>
      <c r="T3646" s="403" t="str">
        <f t="shared" si="453"/>
        <v>NDE-8502-R</v>
      </c>
      <c r="U3646" s="403">
        <f t="shared" si="454"/>
        <v>1</v>
      </c>
      <c r="V3646" s="403" t="str">
        <f t="shared" si="455"/>
        <v>CPP_7_3</v>
      </c>
    </row>
    <row r="3647" spans="1:22">
      <c r="A3647" t="str">
        <f t="shared" si="448"/>
        <v>NDE-8502-R</v>
      </c>
      <c r="B3647" s="403" t="s">
        <v>1410</v>
      </c>
      <c r="C3647" s="403" t="s">
        <v>582</v>
      </c>
      <c r="D3647" s="403" t="s">
        <v>1411</v>
      </c>
      <c r="E3647" s="403" t="s">
        <v>1413</v>
      </c>
      <c r="F3647" s="403" t="s">
        <v>1293</v>
      </c>
      <c r="G3647" s="403" t="s">
        <v>1466</v>
      </c>
      <c r="H3647" s="403" t="s">
        <v>1276</v>
      </c>
      <c r="I3647" s="403">
        <v>1</v>
      </c>
      <c r="J3647" s="403" t="s">
        <v>109</v>
      </c>
      <c r="K3647" s="403">
        <v>1280</v>
      </c>
      <c r="L3647" s="403">
        <v>720</v>
      </c>
      <c r="M3647" s="403" t="s">
        <v>1283</v>
      </c>
      <c r="N3647" s="403">
        <v>720</v>
      </c>
      <c r="O3647" s="403">
        <v>576</v>
      </c>
      <c r="P3647" t="str">
        <f t="shared" si="449"/>
        <v>25fps 720p - SD 4CIF resolution 4:3 format (cropped)</v>
      </c>
      <c r="Q3647">
        <f t="shared" si="450"/>
        <v>19</v>
      </c>
      <c r="R3647" t="str">
        <f t="shared" si="451"/>
        <v/>
      </c>
      <c r="S3647" t="str">
        <f t="shared" si="452"/>
        <v/>
      </c>
      <c r="T3647" s="403" t="str">
        <f t="shared" si="453"/>
        <v>NDE-8502-R</v>
      </c>
      <c r="U3647" s="403">
        <f t="shared" si="454"/>
        <v>1</v>
      </c>
      <c r="V3647" s="403" t="str">
        <f t="shared" si="455"/>
        <v>CPP_7_3</v>
      </c>
    </row>
    <row r="3648" spans="1:22">
      <c r="A3648" t="str">
        <f t="shared" si="448"/>
        <v>NDE-8502-R</v>
      </c>
      <c r="B3648" s="403" t="s">
        <v>1410</v>
      </c>
      <c r="C3648" s="403" t="s">
        <v>582</v>
      </c>
      <c r="D3648" s="403" t="s">
        <v>1411</v>
      </c>
      <c r="E3648" s="403" t="s">
        <v>1413</v>
      </c>
      <c r="F3648" s="403" t="s">
        <v>1293</v>
      </c>
      <c r="G3648" s="403" t="s">
        <v>1466</v>
      </c>
      <c r="H3648" s="403" t="s">
        <v>1276</v>
      </c>
      <c r="I3648" s="403">
        <v>1</v>
      </c>
      <c r="J3648" s="403" t="s">
        <v>109</v>
      </c>
      <c r="K3648" s="403">
        <v>1280</v>
      </c>
      <c r="L3648" s="403">
        <v>720</v>
      </c>
      <c r="M3648" s="403" t="s">
        <v>1284</v>
      </c>
      <c r="N3648" s="403">
        <v>640</v>
      </c>
      <c r="O3648" s="403">
        <v>480</v>
      </c>
      <c r="P3648" t="str">
        <f t="shared" si="449"/>
        <v>25fps 720p - SD VGA (cropped)</v>
      </c>
      <c r="Q3648">
        <f t="shared" si="450"/>
        <v>19</v>
      </c>
      <c r="R3648" t="str">
        <f t="shared" si="451"/>
        <v/>
      </c>
      <c r="S3648" t="str">
        <f t="shared" si="452"/>
        <v/>
      </c>
      <c r="T3648" s="403" t="str">
        <f t="shared" si="453"/>
        <v>NDE-8502-R</v>
      </c>
      <c r="U3648" s="403">
        <f t="shared" si="454"/>
        <v>1</v>
      </c>
      <c r="V3648" s="403" t="str">
        <f t="shared" si="455"/>
        <v>CPP_7_3</v>
      </c>
    </row>
    <row r="3649" spans="1:22">
      <c r="A3649" t="str">
        <f t="shared" si="448"/>
        <v>NDE-8502-R</v>
      </c>
      <c r="B3649" s="403" t="s">
        <v>1410</v>
      </c>
      <c r="C3649" s="403" t="s">
        <v>582</v>
      </c>
      <c r="D3649" s="403" t="s">
        <v>1411</v>
      </c>
      <c r="E3649" s="403" t="s">
        <v>1413</v>
      </c>
      <c r="F3649" s="403" t="s">
        <v>1293</v>
      </c>
      <c r="G3649" s="403" t="s">
        <v>1466</v>
      </c>
      <c r="H3649" s="403" t="s">
        <v>1281</v>
      </c>
      <c r="I3649" s="403">
        <v>1</v>
      </c>
      <c r="J3649" s="403" t="s">
        <v>110</v>
      </c>
      <c r="K3649" s="403">
        <v>1920</v>
      </c>
      <c r="L3649" s="403">
        <v>1080</v>
      </c>
      <c r="M3649" s="403" t="s">
        <v>111</v>
      </c>
      <c r="N3649" s="403">
        <v>768</v>
      </c>
      <c r="O3649" s="403">
        <v>432</v>
      </c>
      <c r="P3649" t="str">
        <f t="shared" si="449"/>
        <v>25fps 1080p - SD</v>
      </c>
      <c r="Q3649">
        <f t="shared" si="450"/>
        <v>19</v>
      </c>
      <c r="R3649" t="str">
        <f t="shared" si="451"/>
        <v/>
      </c>
      <c r="S3649" t="str">
        <f t="shared" si="452"/>
        <v/>
      </c>
      <c r="T3649" s="403" t="str">
        <f t="shared" si="453"/>
        <v>NDE-8502-R</v>
      </c>
      <c r="U3649" s="403">
        <f t="shared" si="454"/>
        <v>1</v>
      </c>
      <c r="V3649" s="403" t="str">
        <f t="shared" si="455"/>
        <v>CPP_7_3</v>
      </c>
    </row>
    <row r="3650" spans="1:22">
      <c r="A3650" t="str">
        <f t="shared" ref="A3650:A3713" si="456">IF(AND(G3650&lt;&gt;"rotate 90°"),D3650,"")</f>
        <v>NDE-8502-R</v>
      </c>
      <c r="B3650" s="403" t="s">
        <v>1410</v>
      </c>
      <c r="C3650" s="403" t="s">
        <v>582</v>
      </c>
      <c r="D3650" s="403" t="s">
        <v>1411</v>
      </c>
      <c r="E3650" s="403" t="s">
        <v>1413</v>
      </c>
      <c r="F3650" s="403" t="s">
        <v>1293</v>
      </c>
      <c r="G3650" s="403" t="s">
        <v>1466</v>
      </c>
      <c r="H3650" s="403" t="s">
        <v>1281</v>
      </c>
      <c r="I3650" s="403">
        <v>1</v>
      </c>
      <c r="J3650" s="403" t="s">
        <v>110</v>
      </c>
      <c r="K3650" s="403">
        <v>1920</v>
      </c>
      <c r="L3650" s="403">
        <v>1080</v>
      </c>
      <c r="M3650" s="403" t="s">
        <v>110</v>
      </c>
      <c r="N3650" s="403">
        <v>1920</v>
      </c>
      <c r="O3650" s="403">
        <v>1080</v>
      </c>
      <c r="P3650" t="str">
        <f t="shared" ref="P3650:P3713" si="457">LEFT(F3650,5)&amp;" "&amp;J3650&amp;" - "&amp;M3650</f>
        <v>25fps 1080p - 1080p</v>
      </c>
      <c r="Q3650">
        <f t="shared" ref="Q3650:Q3713" si="458">IF(A3649=A3650,Q3649,Q3649+1)</f>
        <v>19</v>
      </c>
      <c r="R3650" t="str">
        <f t="shared" ref="R3650:R3713" si="459">IF(Q3649&lt;&gt;Q3650,Q3650,"")</f>
        <v/>
      </c>
      <c r="S3650" t="str">
        <f t="shared" ref="S3650:S3713" si="460">IF(R3650&lt;&gt;"",B3650&amp;" ("&amp;D3650&amp;")","")</f>
        <v/>
      </c>
      <c r="T3650" s="403" t="str">
        <f t="shared" ref="T3650:T3713" si="461">D3650</f>
        <v>NDE-8502-R</v>
      </c>
      <c r="U3650" s="403">
        <f t="shared" ref="U3650:U3713" si="462">I3650</f>
        <v>1</v>
      </c>
      <c r="V3650" s="403" t="str">
        <f t="shared" ref="V3650:V3713" si="463">C3650</f>
        <v>CPP_7_3</v>
      </c>
    </row>
    <row r="3651" spans="1:22">
      <c r="A3651" t="str">
        <f t="shared" si="456"/>
        <v>NDE-8502-R</v>
      </c>
      <c r="B3651" s="403" t="s">
        <v>1410</v>
      </c>
      <c r="C3651" s="403" t="s">
        <v>582</v>
      </c>
      <c r="D3651" s="403" t="s">
        <v>1411</v>
      </c>
      <c r="E3651" s="403" t="s">
        <v>1413</v>
      </c>
      <c r="F3651" s="403" t="s">
        <v>1293</v>
      </c>
      <c r="G3651" s="403" t="s">
        <v>1466</v>
      </c>
      <c r="H3651" s="403" t="s">
        <v>1281</v>
      </c>
      <c r="I3651" s="403">
        <v>1</v>
      </c>
      <c r="J3651" s="403" t="s">
        <v>110</v>
      </c>
      <c r="K3651" s="403">
        <v>1920</v>
      </c>
      <c r="L3651" s="403">
        <v>1080</v>
      </c>
      <c r="M3651" s="403" t="s">
        <v>109</v>
      </c>
      <c r="N3651" s="403">
        <v>1280</v>
      </c>
      <c r="O3651" s="403">
        <v>720</v>
      </c>
      <c r="P3651" t="str">
        <f t="shared" si="457"/>
        <v>25fps 1080p - 720p</v>
      </c>
      <c r="Q3651">
        <f t="shared" si="458"/>
        <v>19</v>
      </c>
      <c r="R3651" t="str">
        <f t="shared" si="459"/>
        <v/>
      </c>
      <c r="S3651" t="str">
        <f t="shared" si="460"/>
        <v/>
      </c>
      <c r="T3651" s="403" t="str">
        <f t="shared" si="461"/>
        <v>NDE-8502-R</v>
      </c>
      <c r="U3651" s="403">
        <f t="shared" si="462"/>
        <v>1</v>
      </c>
      <c r="V3651" s="403" t="str">
        <f t="shared" si="463"/>
        <v>CPP_7_3</v>
      </c>
    </row>
    <row r="3652" spans="1:22">
      <c r="A3652" t="str">
        <f t="shared" si="456"/>
        <v>NDE-8502-R</v>
      </c>
      <c r="B3652" s="403" t="s">
        <v>1410</v>
      </c>
      <c r="C3652" s="403" t="s">
        <v>582</v>
      </c>
      <c r="D3652" s="403" t="s">
        <v>1411</v>
      </c>
      <c r="E3652" s="403" t="s">
        <v>1413</v>
      </c>
      <c r="F3652" s="403" t="s">
        <v>1293</v>
      </c>
      <c r="G3652" s="403" t="s">
        <v>1466</v>
      </c>
      <c r="H3652" s="403" t="s">
        <v>1281</v>
      </c>
      <c r="I3652" s="403">
        <v>1</v>
      </c>
      <c r="J3652" s="403" t="s">
        <v>110</v>
      </c>
      <c r="K3652" s="403">
        <v>1920</v>
      </c>
      <c r="L3652" s="403">
        <v>1080</v>
      </c>
      <c r="M3652" s="403" t="s">
        <v>1285</v>
      </c>
      <c r="N3652" s="403">
        <v>1280</v>
      </c>
      <c r="O3652" s="403">
        <v>1024</v>
      </c>
      <c r="P3652" t="str">
        <f t="shared" si="457"/>
        <v>25fps 1080p - 1280x1024 5:4 (cropped)</v>
      </c>
      <c r="Q3652">
        <f t="shared" si="458"/>
        <v>19</v>
      </c>
      <c r="R3652" t="str">
        <f t="shared" si="459"/>
        <v/>
      </c>
      <c r="S3652" t="str">
        <f t="shared" si="460"/>
        <v/>
      </c>
      <c r="T3652" s="403" t="str">
        <f t="shared" si="461"/>
        <v>NDE-8502-R</v>
      </c>
      <c r="U3652" s="403">
        <f t="shared" si="462"/>
        <v>1</v>
      </c>
      <c r="V3652" s="403" t="str">
        <f t="shared" si="463"/>
        <v>CPP_7_3</v>
      </c>
    </row>
    <row r="3653" spans="1:22">
      <c r="A3653" t="str">
        <f t="shared" si="456"/>
        <v>NDE-8502-R</v>
      </c>
      <c r="B3653" s="403" t="s">
        <v>1410</v>
      </c>
      <c r="C3653" s="403" t="s">
        <v>582</v>
      </c>
      <c r="D3653" s="403" t="s">
        <v>1411</v>
      </c>
      <c r="E3653" s="403" t="s">
        <v>1413</v>
      </c>
      <c r="F3653" s="403" t="s">
        <v>1293</v>
      </c>
      <c r="G3653" s="403" t="s">
        <v>1466</v>
      </c>
      <c r="H3653" s="403" t="s">
        <v>1281</v>
      </c>
      <c r="I3653" s="403">
        <v>1</v>
      </c>
      <c r="J3653" s="403" t="s">
        <v>110</v>
      </c>
      <c r="K3653" s="403">
        <v>1920</v>
      </c>
      <c r="L3653" s="403">
        <v>1080</v>
      </c>
      <c r="M3653" s="403" t="s">
        <v>1279</v>
      </c>
      <c r="N3653" s="403">
        <v>768</v>
      </c>
      <c r="O3653" s="403">
        <v>432</v>
      </c>
      <c r="P3653" t="str">
        <f t="shared" si="457"/>
        <v>25fps 1080p - SD ROI PTZ</v>
      </c>
      <c r="Q3653">
        <f t="shared" si="458"/>
        <v>19</v>
      </c>
      <c r="R3653" t="str">
        <f t="shared" si="459"/>
        <v/>
      </c>
      <c r="S3653" t="str">
        <f t="shared" si="460"/>
        <v/>
      </c>
      <c r="T3653" s="403" t="str">
        <f t="shared" si="461"/>
        <v>NDE-8502-R</v>
      </c>
      <c r="U3653" s="403">
        <f t="shared" si="462"/>
        <v>1</v>
      </c>
      <c r="V3653" s="403" t="str">
        <f t="shared" si="463"/>
        <v>CPP_7_3</v>
      </c>
    </row>
    <row r="3654" spans="1:22">
      <c r="A3654" t="str">
        <f t="shared" si="456"/>
        <v>NDE-8502-R</v>
      </c>
      <c r="B3654" s="403" t="s">
        <v>1410</v>
      </c>
      <c r="C3654" s="403" t="s">
        <v>582</v>
      </c>
      <c r="D3654" s="403" t="s">
        <v>1411</v>
      </c>
      <c r="E3654" s="403" t="s">
        <v>1413</v>
      </c>
      <c r="F3654" s="403" t="s">
        <v>1293</v>
      </c>
      <c r="G3654" s="403" t="s">
        <v>1466</v>
      </c>
      <c r="H3654" s="403" t="s">
        <v>1281</v>
      </c>
      <c r="I3654" s="403">
        <v>1</v>
      </c>
      <c r="J3654" s="403" t="s">
        <v>110</v>
      </c>
      <c r="K3654" s="403">
        <v>1920</v>
      </c>
      <c r="L3654" s="403">
        <v>1080</v>
      </c>
      <c r="M3654" s="403" t="s">
        <v>1283</v>
      </c>
      <c r="N3654" s="403">
        <v>720</v>
      </c>
      <c r="O3654" s="403">
        <v>576</v>
      </c>
      <c r="P3654" t="str">
        <f t="shared" si="457"/>
        <v>25fps 1080p - SD 4CIF resolution 4:3 format (cropped)</v>
      </c>
      <c r="Q3654">
        <f t="shared" si="458"/>
        <v>19</v>
      </c>
      <c r="R3654" t="str">
        <f t="shared" si="459"/>
        <v/>
      </c>
      <c r="S3654" t="str">
        <f t="shared" si="460"/>
        <v/>
      </c>
      <c r="T3654" s="403" t="str">
        <f t="shared" si="461"/>
        <v>NDE-8502-R</v>
      </c>
      <c r="U3654" s="403">
        <f t="shared" si="462"/>
        <v>1</v>
      </c>
      <c r="V3654" s="403" t="str">
        <f t="shared" si="463"/>
        <v>CPP_7_3</v>
      </c>
    </row>
    <row r="3655" spans="1:22">
      <c r="A3655" t="str">
        <f t="shared" si="456"/>
        <v>NDE-8502-R</v>
      </c>
      <c r="B3655" s="403" t="s">
        <v>1410</v>
      </c>
      <c r="C3655" s="403" t="s">
        <v>582</v>
      </c>
      <c r="D3655" s="403" t="s">
        <v>1411</v>
      </c>
      <c r="E3655" s="403" t="s">
        <v>1413</v>
      </c>
      <c r="F3655" s="403" t="s">
        <v>1293</v>
      </c>
      <c r="G3655" s="403" t="s">
        <v>1466</v>
      </c>
      <c r="H3655" s="403" t="s">
        <v>1281</v>
      </c>
      <c r="I3655" s="403">
        <v>1</v>
      </c>
      <c r="J3655" s="403" t="s">
        <v>110</v>
      </c>
      <c r="K3655" s="403">
        <v>1920</v>
      </c>
      <c r="L3655" s="403">
        <v>1080</v>
      </c>
      <c r="M3655" s="403" t="s">
        <v>1284</v>
      </c>
      <c r="N3655" s="403">
        <v>640</v>
      </c>
      <c r="O3655" s="403">
        <v>480</v>
      </c>
      <c r="P3655" t="str">
        <f t="shared" si="457"/>
        <v>25fps 1080p - SD VGA (cropped)</v>
      </c>
      <c r="Q3655">
        <f t="shared" si="458"/>
        <v>19</v>
      </c>
      <c r="R3655" t="str">
        <f t="shared" si="459"/>
        <v/>
      </c>
      <c r="S3655" t="str">
        <f t="shared" si="460"/>
        <v/>
      </c>
      <c r="T3655" s="403" t="str">
        <f t="shared" si="461"/>
        <v>NDE-8502-R</v>
      </c>
      <c r="U3655" s="403">
        <f t="shared" si="462"/>
        <v>1</v>
      </c>
      <c r="V3655" s="403" t="str">
        <f t="shared" si="463"/>
        <v>CPP_7_3</v>
      </c>
    </row>
    <row r="3656" spans="1:22">
      <c r="A3656" t="str">
        <f t="shared" si="456"/>
        <v>NDE-8502-R</v>
      </c>
      <c r="B3656" s="403" t="s">
        <v>1410</v>
      </c>
      <c r="C3656" s="403" t="s">
        <v>582</v>
      </c>
      <c r="D3656" s="403" t="s">
        <v>1411</v>
      </c>
      <c r="E3656" s="403" t="s">
        <v>1413</v>
      </c>
      <c r="F3656" s="403" t="s">
        <v>1293</v>
      </c>
      <c r="G3656" s="403" t="s">
        <v>1466</v>
      </c>
      <c r="H3656" s="403" t="s">
        <v>1281</v>
      </c>
      <c r="I3656" s="403">
        <v>1</v>
      </c>
      <c r="J3656" s="403" t="s">
        <v>109</v>
      </c>
      <c r="K3656" s="403">
        <v>1280</v>
      </c>
      <c r="L3656" s="403">
        <v>720</v>
      </c>
      <c r="M3656" s="403" t="s">
        <v>109</v>
      </c>
      <c r="N3656" s="403">
        <v>1280</v>
      </c>
      <c r="O3656" s="403">
        <v>720</v>
      </c>
      <c r="P3656" t="str">
        <f t="shared" si="457"/>
        <v>25fps 720p - 720p</v>
      </c>
      <c r="Q3656">
        <f t="shared" si="458"/>
        <v>19</v>
      </c>
      <c r="R3656" t="str">
        <f t="shared" si="459"/>
        <v/>
      </c>
      <c r="S3656" t="str">
        <f t="shared" si="460"/>
        <v/>
      </c>
      <c r="T3656" s="403" t="str">
        <f t="shared" si="461"/>
        <v>NDE-8502-R</v>
      </c>
      <c r="U3656" s="403">
        <f t="shared" si="462"/>
        <v>1</v>
      </c>
      <c r="V3656" s="403" t="str">
        <f t="shared" si="463"/>
        <v>CPP_7_3</v>
      </c>
    </row>
    <row r="3657" spans="1:22">
      <c r="A3657" t="str">
        <f t="shared" si="456"/>
        <v>NDE-8502-R</v>
      </c>
      <c r="B3657" s="403" t="s">
        <v>1410</v>
      </c>
      <c r="C3657" s="403" t="s">
        <v>582</v>
      </c>
      <c r="D3657" s="403" t="s">
        <v>1411</v>
      </c>
      <c r="E3657" s="403" t="s">
        <v>1413</v>
      </c>
      <c r="F3657" s="403" t="s">
        <v>1293</v>
      </c>
      <c r="G3657" s="403" t="s">
        <v>1466</v>
      </c>
      <c r="H3657" s="403" t="s">
        <v>1281</v>
      </c>
      <c r="I3657" s="403">
        <v>1</v>
      </c>
      <c r="J3657" s="403" t="s">
        <v>109</v>
      </c>
      <c r="K3657" s="403">
        <v>0</v>
      </c>
      <c r="L3657" s="403">
        <v>0</v>
      </c>
      <c r="M3657" s="403" t="s">
        <v>111</v>
      </c>
      <c r="N3657" s="403">
        <v>768</v>
      </c>
      <c r="O3657" s="403">
        <v>432</v>
      </c>
      <c r="P3657" t="str">
        <f t="shared" si="457"/>
        <v>25fps 720p - SD</v>
      </c>
      <c r="Q3657">
        <f t="shared" si="458"/>
        <v>19</v>
      </c>
      <c r="R3657" t="str">
        <f t="shared" si="459"/>
        <v/>
      </c>
      <c r="S3657" t="str">
        <f t="shared" si="460"/>
        <v/>
      </c>
      <c r="T3657" s="403" t="str">
        <f t="shared" si="461"/>
        <v>NDE-8502-R</v>
      </c>
      <c r="U3657" s="403">
        <f t="shared" si="462"/>
        <v>1</v>
      </c>
      <c r="V3657" s="403" t="str">
        <f t="shared" si="463"/>
        <v>CPP_7_3</v>
      </c>
    </row>
    <row r="3658" spans="1:22">
      <c r="A3658" t="str">
        <f t="shared" si="456"/>
        <v>NDE-8502-R</v>
      </c>
      <c r="B3658" s="403" t="s">
        <v>1410</v>
      </c>
      <c r="C3658" s="403" t="s">
        <v>582</v>
      </c>
      <c r="D3658" s="403" t="s">
        <v>1411</v>
      </c>
      <c r="E3658" s="403" t="s">
        <v>1413</v>
      </c>
      <c r="F3658" s="403" t="s">
        <v>1293</v>
      </c>
      <c r="G3658" s="403" t="s">
        <v>1466</v>
      </c>
      <c r="H3658" s="403" t="s">
        <v>1281</v>
      </c>
      <c r="I3658" s="403">
        <v>1</v>
      </c>
      <c r="J3658" s="403" t="s">
        <v>109</v>
      </c>
      <c r="K3658" s="403">
        <v>1280</v>
      </c>
      <c r="L3658" s="403">
        <v>720</v>
      </c>
      <c r="M3658" s="403" t="s">
        <v>1279</v>
      </c>
      <c r="N3658" s="403">
        <v>768</v>
      </c>
      <c r="O3658" s="403">
        <v>432</v>
      </c>
      <c r="P3658" t="str">
        <f t="shared" si="457"/>
        <v>25fps 720p - SD ROI PTZ</v>
      </c>
      <c r="Q3658">
        <f t="shared" si="458"/>
        <v>19</v>
      </c>
      <c r="R3658" t="str">
        <f t="shared" si="459"/>
        <v/>
      </c>
      <c r="S3658" t="str">
        <f t="shared" si="460"/>
        <v/>
      </c>
      <c r="T3658" s="403" t="str">
        <f t="shared" si="461"/>
        <v>NDE-8502-R</v>
      </c>
      <c r="U3658" s="403">
        <f t="shared" si="462"/>
        <v>1</v>
      </c>
      <c r="V3658" s="403" t="str">
        <f t="shared" si="463"/>
        <v>CPP_7_3</v>
      </c>
    </row>
    <row r="3659" spans="1:22">
      <c r="A3659" t="str">
        <f t="shared" si="456"/>
        <v>NDE-8502-R</v>
      </c>
      <c r="B3659" s="403" t="s">
        <v>1410</v>
      </c>
      <c r="C3659" s="403" t="s">
        <v>582</v>
      </c>
      <c r="D3659" s="403" t="s">
        <v>1411</v>
      </c>
      <c r="E3659" s="403" t="s">
        <v>1413</v>
      </c>
      <c r="F3659" s="403" t="s">
        <v>1293</v>
      </c>
      <c r="G3659" s="403" t="s">
        <v>1466</v>
      </c>
      <c r="H3659" s="403" t="s">
        <v>1281</v>
      </c>
      <c r="I3659" s="403">
        <v>1</v>
      </c>
      <c r="J3659" s="403" t="s">
        <v>109</v>
      </c>
      <c r="K3659" s="403">
        <v>1280</v>
      </c>
      <c r="L3659" s="403">
        <v>720</v>
      </c>
      <c r="M3659" s="403" t="s">
        <v>1283</v>
      </c>
      <c r="N3659" s="403">
        <v>720</v>
      </c>
      <c r="O3659" s="403">
        <v>576</v>
      </c>
      <c r="P3659" t="str">
        <f t="shared" si="457"/>
        <v>25fps 720p - SD 4CIF resolution 4:3 format (cropped)</v>
      </c>
      <c r="Q3659">
        <f t="shared" si="458"/>
        <v>19</v>
      </c>
      <c r="R3659" t="str">
        <f t="shared" si="459"/>
        <v/>
      </c>
      <c r="S3659" t="str">
        <f t="shared" si="460"/>
        <v/>
      </c>
      <c r="T3659" s="403" t="str">
        <f t="shared" si="461"/>
        <v>NDE-8502-R</v>
      </c>
      <c r="U3659" s="403">
        <f t="shared" si="462"/>
        <v>1</v>
      </c>
      <c r="V3659" s="403" t="str">
        <f t="shared" si="463"/>
        <v>CPP_7_3</v>
      </c>
    </row>
    <row r="3660" spans="1:22">
      <c r="A3660" t="str">
        <f t="shared" si="456"/>
        <v>NDE-8502-R</v>
      </c>
      <c r="B3660" s="403" t="s">
        <v>1410</v>
      </c>
      <c r="C3660" s="403" t="s">
        <v>582</v>
      </c>
      <c r="D3660" s="403" t="s">
        <v>1411</v>
      </c>
      <c r="E3660" s="403" t="s">
        <v>1413</v>
      </c>
      <c r="F3660" s="403" t="s">
        <v>1293</v>
      </c>
      <c r="G3660" s="403" t="s">
        <v>1466</v>
      </c>
      <c r="H3660" s="403" t="s">
        <v>1281</v>
      </c>
      <c r="I3660" s="403">
        <v>1</v>
      </c>
      <c r="J3660" s="403" t="s">
        <v>109</v>
      </c>
      <c r="K3660" s="403">
        <v>1280</v>
      </c>
      <c r="L3660" s="403">
        <v>720</v>
      </c>
      <c r="M3660" s="403" t="s">
        <v>1284</v>
      </c>
      <c r="N3660" s="403">
        <v>640</v>
      </c>
      <c r="O3660" s="403">
        <v>480</v>
      </c>
      <c r="P3660" t="str">
        <f t="shared" si="457"/>
        <v>25fps 720p - SD VGA (cropped)</v>
      </c>
      <c r="Q3660">
        <f t="shared" si="458"/>
        <v>19</v>
      </c>
      <c r="R3660" t="str">
        <f t="shared" si="459"/>
        <v/>
      </c>
      <c r="S3660" t="str">
        <f t="shared" si="460"/>
        <v/>
      </c>
      <c r="T3660" s="403" t="str">
        <f t="shared" si="461"/>
        <v>NDE-8502-R</v>
      </c>
      <c r="U3660" s="403">
        <f t="shared" si="462"/>
        <v>1</v>
      </c>
      <c r="V3660" s="403" t="str">
        <f t="shared" si="463"/>
        <v>CPP_7_3</v>
      </c>
    </row>
    <row r="3661" spans="1:22">
      <c r="A3661" t="str">
        <f t="shared" si="456"/>
        <v>NDE-8502-R</v>
      </c>
      <c r="B3661" s="403" t="s">
        <v>1410</v>
      </c>
      <c r="C3661" s="403" t="s">
        <v>582</v>
      </c>
      <c r="D3661" s="403" t="s">
        <v>1411</v>
      </c>
      <c r="E3661" s="403" t="s">
        <v>1413</v>
      </c>
      <c r="F3661" s="403" t="s">
        <v>1293</v>
      </c>
      <c r="G3661" s="403" t="s">
        <v>1466</v>
      </c>
      <c r="H3661" s="403" t="s">
        <v>1282</v>
      </c>
      <c r="I3661" s="403">
        <v>1</v>
      </c>
      <c r="J3661" s="403" t="s">
        <v>110</v>
      </c>
      <c r="K3661" s="403">
        <v>1920</v>
      </c>
      <c r="L3661" s="403">
        <v>1080</v>
      </c>
      <c r="M3661" s="403" t="s">
        <v>111</v>
      </c>
      <c r="N3661" s="403">
        <v>768</v>
      </c>
      <c r="O3661" s="403">
        <v>432</v>
      </c>
      <c r="P3661" t="str">
        <f t="shared" si="457"/>
        <v>25fps 1080p - SD</v>
      </c>
      <c r="Q3661">
        <f t="shared" si="458"/>
        <v>19</v>
      </c>
      <c r="R3661" t="str">
        <f t="shared" si="459"/>
        <v/>
      </c>
      <c r="S3661" t="str">
        <f t="shared" si="460"/>
        <v/>
      </c>
      <c r="T3661" s="403" t="str">
        <f t="shared" si="461"/>
        <v>NDE-8502-R</v>
      </c>
      <c r="U3661" s="403">
        <f t="shared" si="462"/>
        <v>1</v>
      </c>
      <c r="V3661" s="403" t="str">
        <f t="shared" si="463"/>
        <v>CPP_7_3</v>
      </c>
    </row>
    <row r="3662" spans="1:22">
      <c r="A3662" t="str">
        <f t="shared" si="456"/>
        <v>NDE-8502-R</v>
      </c>
      <c r="B3662" s="403" t="s">
        <v>1410</v>
      </c>
      <c r="C3662" s="403" t="s">
        <v>582</v>
      </c>
      <c r="D3662" s="403" t="s">
        <v>1411</v>
      </c>
      <c r="E3662" s="403" t="s">
        <v>1413</v>
      </c>
      <c r="F3662" s="403" t="s">
        <v>1293</v>
      </c>
      <c r="G3662" s="403" t="s">
        <v>1466</v>
      </c>
      <c r="H3662" s="403" t="s">
        <v>1282</v>
      </c>
      <c r="I3662" s="403">
        <v>1</v>
      </c>
      <c r="J3662" s="403" t="s">
        <v>110</v>
      </c>
      <c r="K3662" s="403">
        <v>1920</v>
      </c>
      <c r="L3662" s="403">
        <v>1080</v>
      </c>
      <c r="M3662" s="403" t="s">
        <v>110</v>
      </c>
      <c r="N3662" s="403">
        <v>1920</v>
      </c>
      <c r="O3662" s="403">
        <v>1080</v>
      </c>
      <c r="P3662" t="str">
        <f t="shared" si="457"/>
        <v>25fps 1080p - 1080p</v>
      </c>
      <c r="Q3662">
        <f t="shared" si="458"/>
        <v>19</v>
      </c>
      <c r="R3662" t="str">
        <f t="shared" si="459"/>
        <v/>
      </c>
      <c r="S3662" t="str">
        <f t="shared" si="460"/>
        <v/>
      </c>
      <c r="T3662" s="403" t="str">
        <f t="shared" si="461"/>
        <v>NDE-8502-R</v>
      </c>
      <c r="U3662" s="403">
        <f t="shared" si="462"/>
        <v>1</v>
      </c>
      <c r="V3662" s="403" t="str">
        <f t="shared" si="463"/>
        <v>CPP_7_3</v>
      </c>
    </row>
    <row r="3663" spans="1:22">
      <c r="A3663" t="str">
        <f t="shared" si="456"/>
        <v>NDE-8502-R</v>
      </c>
      <c r="B3663" s="403" t="s">
        <v>1410</v>
      </c>
      <c r="C3663" s="403" t="s">
        <v>582</v>
      </c>
      <c r="D3663" s="403" t="s">
        <v>1411</v>
      </c>
      <c r="E3663" s="403" t="s">
        <v>1413</v>
      </c>
      <c r="F3663" s="403" t="s">
        <v>1293</v>
      </c>
      <c r="G3663" s="403" t="s">
        <v>1466</v>
      </c>
      <c r="H3663" s="403" t="s">
        <v>1282</v>
      </c>
      <c r="I3663" s="403">
        <v>1</v>
      </c>
      <c r="J3663" s="403" t="s">
        <v>110</v>
      </c>
      <c r="K3663" s="403">
        <v>1920</v>
      </c>
      <c r="L3663" s="403">
        <v>1080</v>
      </c>
      <c r="M3663" s="403" t="s">
        <v>109</v>
      </c>
      <c r="N3663" s="403">
        <v>1280</v>
      </c>
      <c r="O3663" s="403">
        <v>720</v>
      </c>
      <c r="P3663" t="str">
        <f t="shared" si="457"/>
        <v>25fps 1080p - 720p</v>
      </c>
      <c r="Q3663">
        <f t="shared" si="458"/>
        <v>19</v>
      </c>
      <c r="R3663" t="str">
        <f t="shared" si="459"/>
        <v/>
      </c>
      <c r="S3663" t="str">
        <f t="shared" si="460"/>
        <v/>
      </c>
      <c r="T3663" s="403" t="str">
        <f t="shared" si="461"/>
        <v>NDE-8502-R</v>
      </c>
      <c r="U3663" s="403">
        <f t="shared" si="462"/>
        <v>1</v>
      </c>
      <c r="V3663" s="403" t="str">
        <f t="shared" si="463"/>
        <v>CPP_7_3</v>
      </c>
    </row>
    <row r="3664" spans="1:22">
      <c r="A3664" t="str">
        <f t="shared" si="456"/>
        <v>NDE-8502-R</v>
      </c>
      <c r="B3664" s="403" t="s">
        <v>1410</v>
      </c>
      <c r="C3664" s="403" t="s">
        <v>582</v>
      </c>
      <c r="D3664" s="403" t="s">
        <v>1411</v>
      </c>
      <c r="E3664" s="403" t="s">
        <v>1413</v>
      </c>
      <c r="F3664" s="403" t="s">
        <v>1293</v>
      </c>
      <c r="G3664" s="403" t="s">
        <v>1466</v>
      </c>
      <c r="H3664" s="403" t="s">
        <v>1282</v>
      </c>
      <c r="I3664" s="403">
        <v>1</v>
      </c>
      <c r="J3664" s="403" t="s">
        <v>110</v>
      </c>
      <c r="K3664" s="403">
        <v>1920</v>
      </c>
      <c r="L3664" s="403">
        <v>1080</v>
      </c>
      <c r="M3664" s="403" t="s">
        <v>1285</v>
      </c>
      <c r="N3664" s="403">
        <v>1280</v>
      </c>
      <c r="O3664" s="403">
        <v>1024</v>
      </c>
      <c r="P3664" t="str">
        <f t="shared" si="457"/>
        <v>25fps 1080p - 1280x1024 5:4 (cropped)</v>
      </c>
      <c r="Q3664">
        <f t="shared" si="458"/>
        <v>19</v>
      </c>
      <c r="R3664" t="str">
        <f t="shared" si="459"/>
        <v/>
      </c>
      <c r="S3664" t="str">
        <f t="shared" si="460"/>
        <v/>
      </c>
      <c r="T3664" s="403" t="str">
        <f t="shared" si="461"/>
        <v>NDE-8502-R</v>
      </c>
      <c r="U3664" s="403">
        <f t="shared" si="462"/>
        <v>1</v>
      </c>
      <c r="V3664" s="403" t="str">
        <f t="shared" si="463"/>
        <v>CPP_7_3</v>
      </c>
    </row>
    <row r="3665" spans="1:22">
      <c r="A3665" t="str">
        <f t="shared" si="456"/>
        <v>NDE-8502-R</v>
      </c>
      <c r="B3665" s="403" t="s">
        <v>1410</v>
      </c>
      <c r="C3665" s="403" t="s">
        <v>582</v>
      </c>
      <c r="D3665" s="403" t="s">
        <v>1411</v>
      </c>
      <c r="E3665" s="403" t="s">
        <v>1413</v>
      </c>
      <c r="F3665" s="403" t="s">
        <v>1293</v>
      </c>
      <c r="G3665" s="403" t="s">
        <v>1466</v>
      </c>
      <c r="H3665" s="403" t="s">
        <v>1282</v>
      </c>
      <c r="I3665" s="403">
        <v>1</v>
      </c>
      <c r="J3665" s="403" t="s">
        <v>110</v>
      </c>
      <c r="K3665" s="403">
        <v>1920</v>
      </c>
      <c r="L3665" s="403">
        <v>1080</v>
      </c>
      <c r="M3665" s="403" t="s">
        <v>1279</v>
      </c>
      <c r="N3665" s="403">
        <v>768</v>
      </c>
      <c r="O3665" s="403">
        <v>432</v>
      </c>
      <c r="P3665" t="str">
        <f t="shared" si="457"/>
        <v>25fps 1080p - SD ROI PTZ</v>
      </c>
      <c r="Q3665">
        <f t="shared" si="458"/>
        <v>19</v>
      </c>
      <c r="R3665" t="str">
        <f t="shared" si="459"/>
        <v/>
      </c>
      <c r="S3665" t="str">
        <f t="shared" si="460"/>
        <v/>
      </c>
      <c r="T3665" s="403" t="str">
        <f t="shared" si="461"/>
        <v>NDE-8502-R</v>
      </c>
      <c r="U3665" s="403">
        <f t="shared" si="462"/>
        <v>1</v>
      </c>
      <c r="V3665" s="403" t="str">
        <f t="shared" si="463"/>
        <v>CPP_7_3</v>
      </c>
    </row>
    <row r="3666" spans="1:22">
      <c r="A3666" t="str">
        <f t="shared" si="456"/>
        <v>NDE-8502-R</v>
      </c>
      <c r="B3666" s="403" t="s">
        <v>1410</v>
      </c>
      <c r="C3666" s="403" t="s">
        <v>582</v>
      </c>
      <c r="D3666" s="403" t="s">
        <v>1411</v>
      </c>
      <c r="E3666" s="403" t="s">
        <v>1413</v>
      </c>
      <c r="F3666" s="403" t="s">
        <v>1293</v>
      </c>
      <c r="G3666" s="403" t="s">
        <v>1466</v>
      </c>
      <c r="H3666" s="403" t="s">
        <v>1282</v>
      </c>
      <c r="I3666" s="403">
        <v>1</v>
      </c>
      <c r="J3666" s="403" t="s">
        <v>110</v>
      </c>
      <c r="K3666" s="403">
        <v>1920</v>
      </c>
      <c r="L3666" s="403">
        <v>1080</v>
      </c>
      <c r="M3666" s="403" t="s">
        <v>1283</v>
      </c>
      <c r="N3666" s="403">
        <v>720</v>
      </c>
      <c r="O3666" s="403">
        <v>576</v>
      </c>
      <c r="P3666" t="str">
        <f t="shared" si="457"/>
        <v>25fps 1080p - SD 4CIF resolution 4:3 format (cropped)</v>
      </c>
      <c r="Q3666">
        <f t="shared" si="458"/>
        <v>19</v>
      </c>
      <c r="R3666" t="str">
        <f t="shared" si="459"/>
        <v/>
      </c>
      <c r="S3666" t="str">
        <f t="shared" si="460"/>
        <v/>
      </c>
      <c r="T3666" s="403" t="str">
        <f t="shared" si="461"/>
        <v>NDE-8502-R</v>
      </c>
      <c r="U3666" s="403">
        <f t="shared" si="462"/>
        <v>1</v>
      </c>
      <c r="V3666" s="403" t="str">
        <f t="shared" si="463"/>
        <v>CPP_7_3</v>
      </c>
    </row>
    <row r="3667" spans="1:22">
      <c r="A3667" t="str">
        <f t="shared" si="456"/>
        <v>NDE-8502-R</v>
      </c>
      <c r="B3667" s="403" t="s">
        <v>1410</v>
      </c>
      <c r="C3667" s="403" t="s">
        <v>582</v>
      </c>
      <c r="D3667" s="403" t="s">
        <v>1411</v>
      </c>
      <c r="E3667" s="403" t="s">
        <v>1413</v>
      </c>
      <c r="F3667" s="403" t="s">
        <v>1293</v>
      </c>
      <c r="G3667" s="403" t="s">
        <v>1466</v>
      </c>
      <c r="H3667" s="403" t="s">
        <v>1282</v>
      </c>
      <c r="I3667" s="403">
        <v>1</v>
      </c>
      <c r="J3667" s="403" t="s">
        <v>110</v>
      </c>
      <c r="K3667" s="403">
        <v>1920</v>
      </c>
      <c r="L3667" s="403">
        <v>1080</v>
      </c>
      <c r="M3667" s="403" t="s">
        <v>1284</v>
      </c>
      <c r="N3667" s="403">
        <v>640</v>
      </c>
      <c r="O3667" s="403">
        <v>480</v>
      </c>
      <c r="P3667" t="str">
        <f t="shared" si="457"/>
        <v>25fps 1080p - SD VGA (cropped)</v>
      </c>
      <c r="Q3667">
        <f t="shared" si="458"/>
        <v>19</v>
      </c>
      <c r="R3667" t="str">
        <f t="shared" si="459"/>
        <v/>
      </c>
      <c r="S3667" t="str">
        <f t="shared" si="460"/>
        <v/>
      </c>
      <c r="T3667" s="403" t="str">
        <f t="shared" si="461"/>
        <v>NDE-8502-R</v>
      </c>
      <c r="U3667" s="403">
        <f t="shared" si="462"/>
        <v>1</v>
      </c>
      <c r="V3667" s="403" t="str">
        <f t="shared" si="463"/>
        <v>CPP_7_3</v>
      </c>
    </row>
    <row r="3668" spans="1:22">
      <c r="A3668" t="str">
        <f t="shared" si="456"/>
        <v>NDE-8502-R</v>
      </c>
      <c r="B3668" s="403" t="s">
        <v>1410</v>
      </c>
      <c r="C3668" s="403" t="s">
        <v>582</v>
      </c>
      <c r="D3668" s="403" t="s">
        <v>1411</v>
      </c>
      <c r="E3668" s="403" t="s">
        <v>1413</v>
      </c>
      <c r="F3668" s="403" t="s">
        <v>1293</v>
      </c>
      <c r="G3668" s="403" t="s">
        <v>1466</v>
      </c>
      <c r="H3668" s="403" t="s">
        <v>1282</v>
      </c>
      <c r="I3668" s="403">
        <v>1</v>
      </c>
      <c r="J3668" s="403" t="s">
        <v>109</v>
      </c>
      <c r="K3668" s="403">
        <v>1280</v>
      </c>
      <c r="L3668" s="403">
        <v>720</v>
      </c>
      <c r="M3668" s="403" t="s">
        <v>109</v>
      </c>
      <c r="N3668" s="403">
        <v>1280</v>
      </c>
      <c r="O3668" s="403">
        <v>720</v>
      </c>
      <c r="P3668" t="str">
        <f t="shared" si="457"/>
        <v>25fps 720p - 720p</v>
      </c>
      <c r="Q3668">
        <f t="shared" si="458"/>
        <v>19</v>
      </c>
      <c r="R3668" t="str">
        <f t="shared" si="459"/>
        <v/>
      </c>
      <c r="S3668" t="str">
        <f t="shared" si="460"/>
        <v/>
      </c>
      <c r="T3668" s="403" t="str">
        <f t="shared" si="461"/>
        <v>NDE-8502-R</v>
      </c>
      <c r="U3668" s="403">
        <f t="shared" si="462"/>
        <v>1</v>
      </c>
      <c r="V3668" s="403" t="str">
        <f t="shared" si="463"/>
        <v>CPP_7_3</v>
      </c>
    </row>
    <row r="3669" spans="1:22">
      <c r="A3669" t="str">
        <f t="shared" si="456"/>
        <v>NDE-8502-R</v>
      </c>
      <c r="B3669" s="403" t="s">
        <v>1410</v>
      </c>
      <c r="C3669" s="403" t="s">
        <v>582</v>
      </c>
      <c r="D3669" s="403" t="s">
        <v>1411</v>
      </c>
      <c r="E3669" s="403" t="s">
        <v>1413</v>
      </c>
      <c r="F3669" s="403" t="s">
        <v>1293</v>
      </c>
      <c r="G3669" s="403" t="s">
        <v>1466</v>
      </c>
      <c r="H3669" s="403" t="s">
        <v>1282</v>
      </c>
      <c r="I3669" s="403">
        <v>1</v>
      </c>
      <c r="J3669" s="403" t="s">
        <v>109</v>
      </c>
      <c r="K3669" s="403">
        <v>1280</v>
      </c>
      <c r="L3669" s="403">
        <v>720</v>
      </c>
      <c r="M3669" s="403" t="s">
        <v>111</v>
      </c>
      <c r="N3669" s="403">
        <v>768</v>
      </c>
      <c r="O3669" s="403">
        <v>432</v>
      </c>
      <c r="P3669" t="str">
        <f t="shared" si="457"/>
        <v>25fps 720p - SD</v>
      </c>
      <c r="Q3669">
        <f t="shared" si="458"/>
        <v>19</v>
      </c>
      <c r="R3669" t="str">
        <f t="shared" si="459"/>
        <v/>
      </c>
      <c r="S3669" t="str">
        <f t="shared" si="460"/>
        <v/>
      </c>
      <c r="T3669" s="403" t="str">
        <f t="shared" si="461"/>
        <v>NDE-8502-R</v>
      </c>
      <c r="U3669" s="403">
        <f t="shared" si="462"/>
        <v>1</v>
      </c>
      <c r="V3669" s="403" t="str">
        <f t="shared" si="463"/>
        <v>CPP_7_3</v>
      </c>
    </row>
    <row r="3670" spans="1:22">
      <c r="A3670" t="str">
        <f t="shared" si="456"/>
        <v>NDE-8502-R</v>
      </c>
      <c r="B3670" s="403" t="s">
        <v>1410</v>
      </c>
      <c r="C3670" s="403" t="s">
        <v>582</v>
      </c>
      <c r="D3670" s="403" t="s">
        <v>1411</v>
      </c>
      <c r="E3670" s="403" t="s">
        <v>1413</v>
      </c>
      <c r="F3670" s="403" t="s">
        <v>1293</v>
      </c>
      <c r="G3670" s="403" t="s">
        <v>1466</v>
      </c>
      <c r="H3670" s="403" t="s">
        <v>1282</v>
      </c>
      <c r="I3670" s="403">
        <v>1</v>
      </c>
      <c r="J3670" s="403" t="s">
        <v>109</v>
      </c>
      <c r="K3670" s="403">
        <v>1280</v>
      </c>
      <c r="L3670" s="403">
        <v>720</v>
      </c>
      <c r="M3670" s="403" t="s">
        <v>1279</v>
      </c>
      <c r="N3670" s="403">
        <v>768</v>
      </c>
      <c r="O3670" s="403">
        <v>432</v>
      </c>
      <c r="P3670" t="str">
        <f t="shared" si="457"/>
        <v>25fps 720p - SD ROI PTZ</v>
      </c>
      <c r="Q3670">
        <f t="shared" si="458"/>
        <v>19</v>
      </c>
      <c r="R3670" t="str">
        <f t="shared" si="459"/>
        <v/>
      </c>
      <c r="S3670" t="str">
        <f t="shared" si="460"/>
        <v/>
      </c>
      <c r="T3670" s="403" t="str">
        <f t="shared" si="461"/>
        <v>NDE-8502-R</v>
      </c>
      <c r="U3670" s="403">
        <f t="shared" si="462"/>
        <v>1</v>
      </c>
      <c r="V3670" s="403" t="str">
        <f t="shared" si="463"/>
        <v>CPP_7_3</v>
      </c>
    </row>
    <row r="3671" spans="1:22">
      <c r="A3671" t="str">
        <f t="shared" si="456"/>
        <v>NDE-8502-R</v>
      </c>
      <c r="B3671" s="403" t="s">
        <v>1410</v>
      </c>
      <c r="C3671" s="403" t="s">
        <v>582</v>
      </c>
      <c r="D3671" s="403" t="s">
        <v>1411</v>
      </c>
      <c r="E3671" s="403" t="s">
        <v>1413</v>
      </c>
      <c r="F3671" s="403" t="s">
        <v>1293</v>
      </c>
      <c r="G3671" s="403" t="s">
        <v>1466</v>
      </c>
      <c r="H3671" s="403" t="s">
        <v>1282</v>
      </c>
      <c r="I3671" s="403">
        <v>1</v>
      </c>
      <c r="J3671" s="403" t="s">
        <v>109</v>
      </c>
      <c r="K3671" s="403">
        <v>1280</v>
      </c>
      <c r="L3671" s="403">
        <v>720</v>
      </c>
      <c r="M3671" s="403" t="s">
        <v>1283</v>
      </c>
      <c r="N3671" s="403">
        <v>720</v>
      </c>
      <c r="O3671" s="403">
        <v>576</v>
      </c>
      <c r="P3671" t="str">
        <f t="shared" si="457"/>
        <v>25fps 720p - SD 4CIF resolution 4:3 format (cropped)</v>
      </c>
      <c r="Q3671">
        <f t="shared" si="458"/>
        <v>19</v>
      </c>
      <c r="R3671" t="str">
        <f t="shared" si="459"/>
        <v/>
      </c>
      <c r="S3671" t="str">
        <f t="shared" si="460"/>
        <v/>
      </c>
      <c r="T3671" s="403" t="str">
        <f t="shared" si="461"/>
        <v>NDE-8502-R</v>
      </c>
      <c r="U3671" s="403">
        <f t="shared" si="462"/>
        <v>1</v>
      </c>
      <c r="V3671" s="403" t="str">
        <f t="shared" si="463"/>
        <v>CPP_7_3</v>
      </c>
    </row>
    <row r="3672" spans="1:22">
      <c r="A3672" t="str">
        <f t="shared" si="456"/>
        <v>NDE-8502-R</v>
      </c>
      <c r="B3672" s="403" t="s">
        <v>1410</v>
      </c>
      <c r="C3672" s="403" t="s">
        <v>582</v>
      </c>
      <c r="D3672" s="403" t="s">
        <v>1411</v>
      </c>
      <c r="E3672" s="403" t="s">
        <v>1413</v>
      </c>
      <c r="F3672" s="403" t="s">
        <v>1293</v>
      </c>
      <c r="G3672" s="403" t="s">
        <v>1466</v>
      </c>
      <c r="H3672" s="403" t="s">
        <v>1282</v>
      </c>
      <c r="I3672" s="403">
        <v>1</v>
      </c>
      <c r="J3672" s="403" t="s">
        <v>109</v>
      </c>
      <c r="K3672" s="403">
        <v>1280</v>
      </c>
      <c r="L3672" s="403">
        <v>720</v>
      </c>
      <c r="M3672" s="403" t="s">
        <v>1284</v>
      </c>
      <c r="N3672" s="403">
        <v>640</v>
      </c>
      <c r="O3672" s="403">
        <v>480</v>
      </c>
      <c r="P3672" t="str">
        <f t="shared" si="457"/>
        <v>25fps 720p - SD VGA (cropped)</v>
      </c>
      <c r="Q3672">
        <f t="shared" si="458"/>
        <v>19</v>
      </c>
      <c r="R3672" t="str">
        <f t="shared" si="459"/>
        <v/>
      </c>
      <c r="S3672" t="str">
        <f t="shared" si="460"/>
        <v/>
      </c>
      <c r="T3672" s="403" t="str">
        <f t="shared" si="461"/>
        <v>NDE-8502-R</v>
      </c>
      <c r="U3672" s="403">
        <f t="shared" si="462"/>
        <v>1</v>
      </c>
      <c r="V3672" s="403" t="str">
        <f t="shared" si="463"/>
        <v>CPP_7_3</v>
      </c>
    </row>
    <row r="3673" spans="1:22">
      <c r="A3673" t="str">
        <f t="shared" si="456"/>
        <v>NDE-8502-R</v>
      </c>
      <c r="B3673" s="403" t="s">
        <v>1410</v>
      </c>
      <c r="C3673" s="403" t="s">
        <v>582</v>
      </c>
      <c r="D3673" s="403" t="s">
        <v>1411</v>
      </c>
      <c r="E3673" s="403" t="s">
        <v>1413</v>
      </c>
      <c r="F3673" s="403" t="s">
        <v>1293</v>
      </c>
      <c r="G3673" s="403" t="s">
        <v>1467</v>
      </c>
      <c r="H3673" s="403" t="s">
        <v>1276</v>
      </c>
      <c r="I3673" s="403">
        <v>1</v>
      </c>
      <c r="J3673" s="403" t="s">
        <v>110</v>
      </c>
      <c r="K3673" s="403">
        <v>1080</v>
      </c>
      <c r="L3673" s="403">
        <v>1920</v>
      </c>
      <c r="M3673" s="403" t="s">
        <v>111</v>
      </c>
      <c r="N3673" s="403">
        <v>432</v>
      </c>
      <c r="O3673" s="403">
        <v>768</v>
      </c>
      <c r="P3673" t="str">
        <f t="shared" si="457"/>
        <v>25fps 1080p - SD</v>
      </c>
      <c r="Q3673">
        <f t="shared" si="458"/>
        <v>19</v>
      </c>
      <c r="R3673" t="str">
        <f t="shared" si="459"/>
        <v/>
      </c>
      <c r="S3673" t="str">
        <f t="shared" si="460"/>
        <v/>
      </c>
      <c r="T3673" s="403" t="str">
        <f t="shared" si="461"/>
        <v>NDE-8502-R</v>
      </c>
      <c r="U3673" s="403">
        <f t="shared" si="462"/>
        <v>1</v>
      </c>
      <c r="V3673" s="403" t="str">
        <f t="shared" si="463"/>
        <v>CPP_7_3</v>
      </c>
    </row>
    <row r="3674" spans="1:22">
      <c r="A3674" t="str">
        <f t="shared" si="456"/>
        <v>NDE-8502-R</v>
      </c>
      <c r="B3674" s="403" t="s">
        <v>1410</v>
      </c>
      <c r="C3674" s="403" t="s">
        <v>582</v>
      </c>
      <c r="D3674" s="403" t="s">
        <v>1411</v>
      </c>
      <c r="E3674" s="403" t="s">
        <v>1413</v>
      </c>
      <c r="F3674" s="403" t="s">
        <v>1293</v>
      </c>
      <c r="G3674" s="403" t="s">
        <v>1467</v>
      </c>
      <c r="H3674" s="403" t="s">
        <v>1276</v>
      </c>
      <c r="I3674" s="403">
        <v>1</v>
      </c>
      <c r="J3674" s="403" t="s">
        <v>110</v>
      </c>
      <c r="K3674" s="403">
        <v>1080</v>
      </c>
      <c r="L3674" s="403">
        <v>1920</v>
      </c>
      <c r="M3674" s="403" t="s">
        <v>110</v>
      </c>
      <c r="N3674" s="403">
        <v>1080</v>
      </c>
      <c r="O3674" s="403">
        <v>1920</v>
      </c>
      <c r="P3674" t="str">
        <f t="shared" si="457"/>
        <v>25fps 1080p - 1080p</v>
      </c>
      <c r="Q3674">
        <f t="shared" si="458"/>
        <v>19</v>
      </c>
      <c r="R3674" t="str">
        <f t="shared" si="459"/>
        <v/>
      </c>
      <c r="S3674" t="str">
        <f t="shared" si="460"/>
        <v/>
      </c>
      <c r="T3674" s="403" t="str">
        <f t="shared" si="461"/>
        <v>NDE-8502-R</v>
      </c>
      <c r="U3674" s="403">
        <f t="shared" si="462"/>
        <v>1</v>
      </c>
      <c r="V3674" s="403" t="str">
        <f t="shared" si="463"/>
        <v>CPP_7_3</v>
      </c>
    </row>
    <row r="3675" spans="1:22">
      <c r="A3675" t="str">
        <f t="shared" si="456"/>
        <v>NDE-8502-R</v>
      </c>
      <c r="B3675" s="403" t="s">
        <v>1410</v>
      </c>
      <c r="C3675" s="403" t="s">
        <v>582</v>
      </c>
      <c r="D3675" s="403" t="s">
        <v>1411</v>
      </c>
      <c r="E3675" s="403" t="s">
        <v>1413</v>
      </c>
      <c r="F3675" s="403" t="s">
        <v>1293</v>
      </c>
      <c r="G3675" s="403" t="s">
        <v>1467</v>
      </c>
      <c r="H3675" s="403" t="s">
        <v>1276</v>
      </c>
      <c r="I3675" s="403">
        <v>1</v>
      </c>
      <c r="J3675" s="403" t="s">
        <v>110</v>
      </c>
      <c r="K3675" s="403">
        <v>1080</v>
      </c>
      <c r="L3675" s="403">
        <v>1920</v>
      </c>
      <c r="M3675" s="403" t="s">
        <v>109</v>
      </c>
      <c r="N3675" s="403">
        <v>720</v>
      </c>
      <c r="O3675" s="403">
        <v>1280</v>
      </c>
      <c r="P3675" t="str">
        <f t="shared" si="457"/>
        <v>25fps 1080p - 720p</v>
      </c>
      <c r="Q3675">
        <f t="shared" si="458"/>
        <v>19</v>
      </c>
      <c r="R3675" t="str">
        <f t="shared" si="459"/>
        <v/>
      </c>
      <c r="S3675" t="str">
        <f t="shared" si="460"/>
        <v/>
      </c>
      <c r="T3675" s="403" t="str">
        <f t="shared" si="461"/>
        <v>NDE-8502-R</v>
      </c>
      <c r="U3675" s="403">
        <f t="shared" si="462"/>
        <v>1</v>
      </c>
      <c r="V3675" s="403" t="str">
        <f t="shared" si="463"/>
        <v>CPP_7_3</v>
      </c>
    </row>
    <row r="3676" spans="1:22">
      <c r="A3676" t="str">
        <f t="shared" si="456"/>
        <v>NDE-8502-R</v>
      </c>
      <c r="B3676" s="403" t="s">
        <v>1410</v>
      </c>
      <c r="C3676" s="403" t="s">
        <v>582</v>
      </c>
      <c r="D3676" s="403" t="s">
        <v>1411</v>
      </c>
      <c r="E3676" s="403" t="s">
        <v>1413</v>
      </c>
      <c r="F3676" s="403" t="s">
        <v>1293</v>
      </c>
      <c r="G3676" s="403" t="s">
        <v>1467</v>
      </c>
      <c r="H3676" s="403" t="s">
        <v>1276</v>
      </c>
      <c r="I3676" s="403">
        <v>1</v>
      </c>
      <c r="J3676" s="403" t="s">
        <v>110</v>
      </c>
      <c r="K3676" s="403">
        <v>1080</v>
      </c>
      <c r="L3676" s="403">
        <v>1920</v>
      </c>
      <c r="M3676" s="403" t="s">
        <v>1285</v>
      </c>
      <c r="N3676" s="403">
        <v>1024</v>
      </c>
      <c r="O3676" s="403">
        <v>1280</v>
      </c>
      <c r="P3676" t="str">
        <f t="shared" si="457"/>
        <v>25fps 1080p - 1280x1024 5:4 (cropped)</v>
      </c>
      <c r="Q3676">
        <f t="shared" si="458"/>
        <v>19</v>
      </c>
      <c r="R3676" t="str">
        <f t="shared" si="459"/>
        <v/>
      </c>
      <c r="S3676" t="str">
        <f t="shared" si="460"/>
        <v/>
      </c>
      <c r="T3676" s="403" t="str">
        <f t="shared" si="461"/>
        <v>NDE-8502-R</v>
      </c>
      <c r="U3676" s="403">
        <f t="shared" si="462"/>
        <v>1</v>
      </c>
      <c r="V3676" s="403" t="str">
        <f t="shared" si="463"/>
        <v>CPP_7_3</v>
      </c>
    </row>
    <row r="3677" spans="1:22">
      <c r="A3677" t="str">
        <f t="shared" si="456"/>
        <v>NDE-8502-R</v>
      </c>
      <c r="B3677" s="403" t="s">
        <v>1410</v>
      </c>
      <c r="C3677" s="403" t="s">
        <v>582</v>
      </c>
      <c r="D3677" s="403" t="s">
        <v>1411</v>
      </c>
      <c r="E3677" s="403" t="s">
        <v>1413</v>
      </c>
      <c r="F3677" s="403" t="s">
        <v>1293</v>
      </c>
      <c r="G3677" s="403" t="s">
        <v>1467</v>
      </c>
      <c r="H3677" s="403" t="s">
        <v>1276</v>
      </c>
      <c r="I3677" s="403">
        <v>1</v>
      </c>
      <c r="J3677" s="403" t="s">
        <v>110</v>
      </c>
      <c r="K3677" s="403">
        <v>1080</v>
      </c>
      <c r="L3677" s="403">
        <v>1920</v>
      </c>
      <c r="M3677" s="403" t="s">
        <v>1279</v>
      </c>
      <c r="N3677" s="403">
        <v>432</v>
      </c>
      <c r="O3677" s="403">
        <v>768</v>
      </c>
      <c r="P3677" t="str">
        <f t="shared" si="457"/>
        <v>25fps 1080p - SD ROI PTZ</v>
      </c>
      <c r="Q3677">
        <f t="shared" si="458"/>
        <v>19</v>
      </c>
      <c r="R3677" t="str">
        <f t="shared" si="459"/>
        <v/>
      </c>
      <c r="S3677" t="str">
        <f t="shared" si="460"/>
        <v/>
      </c>
      <c r="T3677" s="403" t="str">
        <f t="shared" si="461"/>
        <v>NDE-8502-R</v>
      </c>
      <c r="U3677" s="403">
        <f t="shared" si="462"/>
        <v>1</v>
      </c>
      <c r="V3677" s="403" t="str">
        <f t="shared" si="463"/>
        <v>CPP_7_3</v>
      </c>
    </row>
    <row r="3678" spans="1:22">
      <c r="A3678" t="str">
        <f t="shared" si="456"/>
        <v>NDE-8502-R</v>
      </c>
      <c r="B3678" s="403" t="s">
        <v>1410</v>
      </c>
      <c r="C3678" s="403" t="s">
        <v>582</v>
      </c>
      <c r="D3678" s="403" t="s">
        <v>1411</v>
      </c>
      <c r="E3678" s="403" t="s">
        <v>1413</v>
      </c>
      <c r="F3678" s="403" t="s">
        <v>1293</v>
      </c>
      <c r="G3678" s="403" t="s">
        <v>1467</v>
      </c>
      <c r="H3678" s="403" t="s">
        <v>1276</v>
      </c>
      <c r="I3678" s="403">
        <v>1</v>
      </c>
      <c r="J3678" s="403" t="s">
        <v>110</v>
      </c>
      <c r="K3678" s="403">
        <v>1080</v>
      </c>
      <c r="L3678" s="403">
        <v>1920</v>
      </c>
      <c r="M3678" s="403" t="s">
        <v>1283</v>
      </c>
      <c r="N3678" s="403">
        <v>576</v>
      </c>
      <c r="O3678" s="403">
        <v>720</v>
      </c>
      <c r="P3678" t="str">
        <f t="shared" si="457"/>
        <v>25fps 1080p - SD 4CIF resolution 4:3 format (cropped)</v>
      </c>
      <c r="Q3678">
        <f t="shared" si="458"/>
        <v>19</v>
      </c>
      <c r="R3678" t="str">
        <f t="shared" si="459"/>
        <v/>
      </c>
      <c r="S3678" t="str">
        <f t="shared" si="460"/>
        <v/>
      </c>
      <c r="T3678" s="403" t="str">
        <f t="shared" si="461"/>
        <v>NDE-8502-R</v>
      </c>
      <c r="U3678" s="403">
        <f t="shared" si="462"/>
        <v>1</v>
      </c>
      <c r="V3678" s="403" t="str">
        <f t="shared" si="463"/>
        <v>CPP_7_3</v>
      </c>
    </row>
    <row r="3679" spans="1:22">
      <c r="A3679" t="str">
        <f t="shared" si="456"/>
        <v>NDE-8502-R</v>
      </c>
      <c r="B3679" s="403" t="s">
        <v>1410</v>
      </c>
      <c r="C3679" s="403" t="s">
        <v>582</v>
      </c>
      <c r="D3679" s="403" t="s">
        <v>1411</v>
      </c>
      <c r="E3679" s="403" t="s">
        <v>1413</v>
      </c>
      <c r="F3679" s="403" t="s">
        <v>1293</v>
      </c>
      <c r="G3679" s="403" t="s">
        <v>1467</v>
      </c>
      <c r="H3679" s="403" t="s">
        <v>1276</v>
      </c>
      <c r="I3679" s="403">
        <v>1</v>
      </c>
      <c r="J3679" s="403" t="s">
        <v>110</v>
      </c>
      <c r="K3679" s="403">
        <v>1080</v>
      </c>
      <c r="L3679" s="403">
        <v>1920</v>
      </c>
      <c r="M3679" s="403" t="s">
        <v>1284</v>
      </c>
      <c r="N3679" s="403">
        <v>480</v>
      </c>
      <c r="O3679" s="403">
        <v>640</v>
      </c>
      <c r="P3679" t="str">
        <f t="shared" si="457"/>
        <v>25fps 1080p - SD VGA (cropped)</v>
      </c>
      <c r="Q3679">
        <f t="shared" si="458"/>
        <v>19</v>
      </c>
      <c r="R3679" t="str">
        <f t="shared" si="459"/>
        <v/>
      </c>
      <c r="S3679" t="str">
        <f t="shared" si="460"/>
        <v/>
      </c>
      <c r="T3679" s="403" t="str">
        <f t="shared" si="461"/>
        <v>NDE-8502-R</v>
      </c>
      <c r="U3679" s="403">
        <f t="shared" si="462"/>
        <v>1</v>
      </c>
      <c r="V3679" s="403" t="str">
        <f t="shared" si="463"/>
        <v>CPP_7_3</v>
      </c>
    </row>
    <row r="3680" spans="1:22">
      <c r="A3680" t="str">
        <f t="shared" si="456"/>
        <v>NDE-8502-R</v>
      </c>
      <c r="B3680" s="403" t="s">
        <v>1410</v>
      </c>
      <c r="C3680" s="403" t="s">
        <v>582</v>
      </c>
      <c r="D3680" s="403" t="s">
        <v>1411</v>
      </c>
      <c r="E3680" s="403" t="s">
        <v>1413</v>
      </c>
      <c r="F3680" s="403" t="s">
        <v>1293</v>
      </c>
      <c r="G3680" s="403" t="s">
        <v>1467</v>
      </c>
      <c r="H3680" s="403" t="s">
        <v>1276</v>
      </c>
      <c r="I3680" s="403">
        <v>1</v>
      </c>
      <c r="J3680" s="403" t="s">
        <v>109</v>
      </c>
      <c r="K3680" s="403">
        <v>720</v>
      </c>
      <c r="L3680" s="403">
        <v>1280</v>
      </c>
      <c r="M3680" s="403" t="s">
        <v>109</v>
      </c>
      <c r="N3680" s="403">
        <v>720</v>
      </c>
      <c r="O3680" s="403">
        <v>1280</v>
      </c>
      <c r="P3680" t="str">
        <f t="shared" si="457"/>
        <v>25fps 720p - 720p</v>
      </c>
      <c r="Q3680">
        <f t="shared" si="458"/>
        <v>19</v>
      </c>
      <c r="R3680" t="str">
        <f t="shared" si="459"/>
        <v/>
      </c>
      <c r="S3680" t="str">
        <f t="shared" si="460"/>
        <v/>
      </c>
      <c r="T3680" s="403" t="str">
        <f t="shared" si="461"/>
        <v>NDE-8502-R</v>
      </c>
      <c r="U3680" s="403">
        <f t="shared" si="462"/>
        <v>1</v>
      </c>
      <c r="V3680" s="403" t="str">
        <f t="shared" si="463"/>
        <v>CPP_7_3</v>
      </c>
    </row>
    <row r="3681" spans="1:22">
      <c r="A3681" t="str">
        <f t="shared" si="456"/>
        <v>NDE-8502-R</v>
      </c>
      <c r="B3681" s="403" t="s">
        <v>1410</v>
      </c>
      <c r="C3681" s="403" t="s">
        <v>582</v>
      </c>
      <c r="D3681" s="403" t="s">
        <v>1411</v>
      </c>
      <c r="E3681" s="403" t="s">
        <v>1413</v>
      </c>
      <c r="F3681" s="403" t="s">
        <v>1293</v>
      </c>
      <c r="G3681" s="403" t="s">
        <v>1467</v>
      </c>
      <c r="H3681" s="403" t="s">
        <v>1276</v>
      </c>
      <c r="I3681" s="403">
        <v>1</v>
      </c>
      <c r="J3681" s="403" t="s">
        <v>109</v>
      </c>
      <c r="K3681" s="403">
        <v>720</v>
      </c>
      <c r="L3681" s="403">
        <v>1280</v>
      </c>
      <c r="M3681" s="403" t="s">
        <v>111</v>
      </c>
      <c r="N3681" s="403">
        <v>432</v>
      </c>
      <c r="O3681" s="403">
        <v>768</v>
      </c>
      <c r="P3681" t="str">
        <f t="shared" si="457"/>
        <v>25fps 720p - SD</v>
      </c>
      <c r="Q3681">
        <f t="shared" si="458"/>
        <v>19</v>
      </c>
      <c r="R3681" t="str">
        <f t="shared" si="459"/>
        <v/>
      </c>
      <c r="S3681" t="str">
        <f t="shared" si="460"/>
        <v/>
      </c>
      <c r="T3681" s="403" t="str">
        <f t="shared" si="461"/>
        <v>NDE-8502-R</v>
      </c>
      <c r="U3681" s="403">
        <f t="shared" si="462"/>
        <v>1</v>
      </c>
      <c r="V3681" s="403" t="str">
        <f t="shared" si="463"/>
        <v>CPP_7_3</v>
      </c>
    </row>
    <row r="3682" spans="1:22">
      <c r="A3682" t="str">
        <f t="shared" si="456"/>
        <v>NDE-8502-R</v>
      </c>
      <c r="B3682" s="403" t="s">
        <v>1410</v>
      </c>
      <c r="C3682" s="403" t="s">
        <v>582</v>
      </c>
      <c r="D3682" s="403" t="s">
        <v>1411</v>
      </c>
      <c r="E3682" s="403" t="s">
        <v>1413</v>
      </c>
      <c r="F3682" s="403" t="s">
        <v>1293</v>
      </c>
      <c r="G3682" s="403" t="s">
        <v>1467</v>
      </c>
      <c r="H3682" s="403" t="s">
        <v>1276</v>
      </c>
      <c r="I3682" s="403">
        <v>1</v>
      </c>
      <c r="J3682" s="403" t="s">
        <v>109</v>
      </c>
      <c r="K3682" s="403">
        <v>720</v>
      </c>
      <c r="L3682" s="403">
        <v>1280</v>
      </c>
      <c r="M3682" s="403" t="s">
        <v>1279</v>
      </c>
      <c r="N3682" s="403">
        <v>432</v>
      </c>
      <c r="O3682" s="403">
        <v>768</v>
      </c>
      <c r="P3682" t="str">
        <f t="shared" si="457"/>
        <v>25fps 720p - SD ROI PTZ</v>
      </c>
      <c r="Q3682">
        <f t="shared" si="458"/>
        <v>19</v>
      </c>
      <c r="R3682" t="str">
        <f t="shared" si="459"/>
        <v/>
      </c>
      <c r="S3682" t="str">
        <f t="shared" si="460"/>
        <v/>
      </c>
      <c r="T3682" s="403" t="str">
        <f t="shared" si="461"/>
        <v>NDE-8502-R</v>
      </c>
      <c r="U3682" s="403">
        <f t="shared" si="462"/>
        <v>1</v>
      </c>
      <c r="V3682" s="403" t="str">
        <f t="shared" si="463"/>
        <v>CPP_7_3</v>
      </c>
    </row>
    <row r="3683" spans="1:22">
      <c r="A3683" t="str">
        <f t="shared" si="456"/>
        <v>NDE-8502-R</v>
      </c>
      <c r="B3683" s="403" t="s">
        <v>1410</v>
      </c>
      <c r="C3683" s="403" t="s">
        <v>582</v>
      </c>
      <c r="D3683" s="403" t="s">
        <v>1411</v>
      </c>
      <c r="E3683" s="403" t="s">
        <v>1413</v>
      </c>
      <c r="F3683" s="403" t="s">
        <v>1293</v>
      </c>
      <c r="G3683" s="403" t="s">
        <v>1467</v>
      </c>
      <c r="H3683" s="403" t="s">
        <v>1276</v>
      </c>
      <c r="I3683" s="403">
        <v>1</v>
      </c>
      <c r="J3683" s="403" t="s">
        <v>109</v>
      </c>
      <c r="K3683" s="403">
        <v>720</v>
      </c>
      <c r="L3683" s="403">
        <v>1280</v>
      </c>
      <c r="M3683" s="403" t="s">
        <v>1283</v>
      </c>
      <c r="N3683" s="403">
        <v>576</v>
      </c>
      <c r="O3683" s="403">
        <v>720</v>
      </c>
      <c r="P3683" t="str">
        <f t="shared" si="457"/>
        <v>25fps 720p - SD 4CIF resolution 4:3 format (cropped)</v>
      </c>
      <c r="Q3683">
        <f t="shared" si="458"/>
        <v>19</v>
      </c>
      <c r="R3683" t="str">
        <f t="shared" si="459"/>
        <v/>
      </c>
      <c r="S3683" t="str">
        <f t="shared" si="460"/>
        <v/>
      </c>
      <c r="T3683" s="403" t="str">
        <f t="shared" si="461"/>
        <v>NDE-8502-R</v>
      </c>
      <c r="U3683" s="403">
        <f t="shared" si="462"/>
        <v>1</v>
      </c>
      <c r="V3683" s="403" t="str">
        <f t="shared" si="463"/>
        <v>CPP_7_3</v>
      </c>
    </row>
    <row r="3684" spans="1:22">
      <c r="A3684" t="str">
        <f t="shared" si="456"/>
        <v>NDE-8502-R</v>
      </c>
      <c r="B3684" s="403" t="s">
        <v>1410</v>
      </c>
      <c r="C3684" s="403" t="s">
        <v>582</v>
      </c>
      <c r="D3684" s="403" t="s">
        <v>1411</v>
      </c>
      <c r="E3684" s="403" t="s">
        <v>1413</v>
      </c>
      <c r="F3684" s="403" t="s">
        <v>1293</v>
      </c>
      <c r="G3684" s="403" t="s">
        <v>1467</v>
      </c>
      <c r="H3684" s="403" t="s">
        <v>1276</v>
      </c>
      <c r="I3684" s="403">
        <v>1</v>
      </c>
      <c r="J3684" s="403" t="s">
        <v>109</v>
      </c>
      <c r="K3684" s="403">
        <v>720</v>
      </c>
      <c r="L3684" s="403">
        <v>1280</v>
      </c>
      <c r="M3684" s="403" t="s">
        <v>1284</v>
      </c>
      <c r="N3684" s="403">
        <v>480</v>
      </c>
      <c r="O3684" s="403">
        <v>640</v>
      </c>
      <c r="P3684" t="str">
        <f t="shared" si="457"/>
        <v>25fps 720p - SD VGA (cropped)</v>
      </c>
      <c r="Q3684">
        <f t="shared" si="458"/>
        <v>19</v>
      </c>
      <c r="R3684" t="str">
        <f t="shared" si="459"/>
        <v/>
      </c>
      <c r="S3684" t="str">
        <f t="shared" si="460"/>
        <v/>
      </c>
      <c r="T3684" s="403" t="str">
        <f t="shared" si="461"/>
        <v>NDE-8502-R</v>
      </c>
      <c r="U3684" s="403">
        <f t="shared" si="462"/>
        <v>1</v>
      </c>
      <c r="V3684" s="403" t="str">
        <f t="shared" si="463"/>
        <v>CPP_7_3</v>
      </c>
    </row>
    <row r="3685" spans="1:22">
      <c r="A3685" t="str">
        <f t="shared" si="456"/>
        <v>NDE-8502-R</v>
      </c>
      <c r="B3685" s="403" t="s">
        <v>1410</v>
      </c>
      <c r="C3685" s="403" t="s">
        <v>582</v>
      </c>
      <c r="D3685" s="403" t="s">
        <v>1411</v>
      </c>
      <c r="E3685" s="403" t="s">
        <v>1413</v>
      </c>
      <c r="F3685" s="403" t="s">
        <v>1293</v>
      </c>
      <c r="G3685" s="403" t="s">
        <v>1467</v>
      </c>
      <c r="H3685" s="403" t="s">
        <v>1281</v>
      </c>
      <c r="I3685" s="403">
        <v>1</v>
      </c>
      <c r="J3685" s="403" t="s">
        <v>110</v>
      </c>
      <c r="K3685" s="403">
        <v>1080</v>
      </c>
      <c r="L3685" s="403">
        <v>1920</v>
      </c>
      <c r="M3685" s="403" t="s">
        <v>111</v>
      </c>
      <c r="N3685" s="403">
        <v>432</v>
      </c>
      <c r="O3685" s="403">
        <v>768</v>
      </c>
      <c r="P3685" t="str">
        <f t="shared" si="457"/>
        <v>25fps 1080p - SD</v>
      </c>
      <c r="Q3685">
        <f t="shared" si="458"/>
        <v>19</v>
      </c>
      <c r="R3685" t="str">
        <f t="shared" si="459"/>
        <v/>
      </c>
      <c r="S3685" t="str">
        <f t="shared" si="460"/>
        <v/>
      </c>
      <c r="T3685" s="403" t="str">
        <f t="shared" si="461"/>
        <v>NDE-8502-R</v>
      </c>
      <c r="U3685" s="403">
        <f t="shared" si="462"/>
        <v>1</v>
      </c>
      <c r="V3685" s="403" t="str">
        <f t="shared" si="463"/>
        <v>CPP_7_3</v>
      </c>
    </row>
    <row r="3686" spans="1:22">
      <c r="A3686" t="str">
        <f t="shared" si="456"/>
        <v>NDE-8502-R</v>
      </c>
      <c r="B3686" s="403" t="s">
        <v>1410</v>
      </c>
      <c r="C3686" s="403" t="s">
        <v>582</v>
      </c>
      <c r="D3686" s="403" t="s">
        <v>1411</v>
      </c>
      <c r="E3686" s="403" t="s">
        <v>1413</v>
      </c>
      <c r="F3686" s="403" t="s">
        <v>1293</v>
      </c>
      <c r="G3686" s="403" t="s">
        <v>1467</v>
      </c>
      <c r="H3686" s="403" t="s">
        <v>1281</v>
      </c>
      <c r="I3686" s="403">
        <v>1</v>
      </c>
      <c r="J3686" s="403" t="s">
        <v>110</v>
      </c>
      <c r="K3686" s="403">
        <v>1080</v>
      </c>
      <c r="L3686" s="403">
        <v>1920</v>
      </c>
      <c r="M3686" s="403" t="s">
        <v>110</v>
      </c>
      <c r="N3686" s="403">
        <v>1080</v>
      </c>
      <c r="O3686" s="403">
        <v>1920</v>
      </c>
      <c r="P3686" t="str">
        <f t="shared" si="457"/>
        <v>25fps 1080p - 1080p</v>
      </c>
      <c r="Q3686">
        <f t="shared" si="458"/>
        <v>19</v>
      </c>
      <c r="R3686" t="str">
        <f t="shared" si="459"/>
        <v/>
      </c>
      <c r="S3686" t="str">
        <f t="shared" si="460"/>
        <v/>
      </c>
      <c r="T3686" s="403" t="str">
        <f t="shared" si="461"/>
        <v>NDE-8502-R</v>
      </c>
      <c r="U3686" s="403">
        <f t="shared" si="462"/>
        <v>1</v>
      </c>
      <c r="V3686" s="403" t="str">
        <f t="shared" si="463"/>
        <v>CPP_7_3</v>
      </c>
    </row>
    <row r="3687" spans="1:22">
      <c r="A3687" t="str">
        <f t="shared" si="456"/>
        <v>NDE-8502-R</v>
      </c>
      <c r="B3687" s="403" t="s">
        <v>1410</v>
      </c>
      <c r="C3687" s="403" t="s">
        <v>582</v>
      </c>
      <c r="D3687" s="403" t="s">
        <v>1411</v>
      </c>
      <c r="E3687" s="403" t="s">
        <v>1413</v>
      </c>
      <c r="F3687" s="403" t="s">
        <v>1293</v>
      </c>
      <c r="G3687" s="403" t="s">
        <v>1467</v>
      </c>
      <c r="H3687" s="403" t="s">
        <v>1281</v>
      </c>
      <c r="I3687" s="403">
        <v>1</v>
      </c>
      <c r="J3687" s="403" t="s">
        <v>110</v>
      </c>
      <c r="K3687" s="403">
        <v>1080</v>
      </c>
      <c r="L3687" s="403">
        <v>1920</v>
      </c>
      <c r="M3687" s="403" t="s">
        <v>109</v>
      </c>
      <c r="N3687" s="403">
        <v>720</v>
      </c>
      <c r="O3687" s="403">
        <v>1280</v>
      </c>
      <c r="P3687" t="str">
        <f t="shared" si="457"/>
        <v>25fps 1080p - 720p</v>
      </c>
      <c r="Q3687">
        <f t="shared" si="458"/>
        <v>19</v>
      </c>
      <c r="R3687" t="str">
        <f t="shared" si="459"/>
        <v/>
      </c>
      <c r="S3687" t="str">
        <f t="shared" si="460"/>
        <v/>
      </c>
      <c r="T3687" s="403" t="str">
        <f t="shared" si="461"/>
        <v>NDE-8502-R</v>
      </c>
      <c r="U3687" s="403">
        <f t="shared" si="462"/>
        <v>1</v>
      </c>
      <c r="V3687" s="403" t="str">
        <f t="shared" si="463"/>
        <v>CPP_7_3</v>
      </c>
    </row>
    <row r="3688" spans="1:22">
      <c r="A3688" t="str">
        <f t="shared" si="456"/>
        <v>NDE-8502-R</v>
      </c>
      <c r="B3688" s="403" t="s">
        <v>1410</v>
      </c>
      <c r="C3688" s="403" t="s">
        <v>582</v>
      </c>
      <c r="D3688" s="403" t="s">
        <v>1411</v>
      </c>
      <c r="E3688" s="403" t="s">
        <v>1413</v>
      </c>
      <c r="F3688" s="403" t="s">
        <v>1293</v>
      </c>
      <c r="G3688" s="403" t="s">
        <v>1467</v>
      </c>
      <c r="H3688" s="403" t="s">
        <v>1281</v>
      </c>
      <c r="I3688" s="403">
        <v>1</v>
      </c>
      <c r="J3688" s="403" t="s">
        <v>110</v>
      </c>
      <c r="K3688" s="403">
        <v>1080</v>
      </c>
      <c r="L3688" s="403">
        <v>1920</v>
      </c>
      <c r="M3688" s="403" t="s">
        <v>1285</v>
      </c>
      <c r="N3688" s="403">
        <v>1024</v>
      </c>
      <c r="O3688" s="403">
        <v>1280</v>
      </c>
      <c r="P3688" t="str">
        <f t="shared" si="457"/>
        <v>25fps 1080p - 1280x1024 5:4 (cropped)</v>
      </c>
      <c r="Q3688">
        <f t="shared" si="458"/>
        <v>19</v>
      </c>
      <c r="R3688" t="str">
        <f t="shared" si="459"/>
        <v/>
      </c>
      <c r="S3688" t="str">
        <f t="shared" si="460"/>
        <v/>
      </c>
      <c r="T3688" s="403" t="str">
        <f t="shared" si="461"/>
        <v>NDE-8502-R</v>
      </c>
      <c r="U3688" s="403">
        <f t="shared" si="462"/>
        <v>1</v>
      </c>
      <c r="V3688" s="403" t="str">
        <f t="shared" si="463"/>
        <v>CPP_7_3</v>
      </c>
    </row>
    <row r="3689" spans="1:22">
      <c r="A3689" t="str">
        <f t="shared" si="456"/>
        <v>NDE-8502-R</v>
      </c>
      <c r="B3689" s="403" t="s">
        <v>1410</v>
      </c>
      <c r="C3689" s="403" t="s">
        <v>582</v>
      </c>
      <c r="D3689" s="403" t="s">
        <v>1411</v>
      </c>
      <c r="E3689" s="403" t="s">
        <v>1413</v>
      </c>
      <c r="F3689" s="403" t="s">
        <v>1293</v>
      </c>
      <c r="G3689" s="403" t="s">
        <v>1467</v>
      </c>
      <c r="H3689" s="403" t="s">
        <v>1281</v>
      </c>
      <c r="I3689" s="403">
        <v>1</v>
      </c>
      <c r="J3689" s="403" t="s">
        <v>110</v>
      </c>
      <c r="K3689" s="403">
        <v>1080</v>
      </c>
      <c r="L3689" s="403">
        <v>1920</v>
      </c>
      <c r="M3689" s="403" t="s">
        <v>1279</v>
      </c>
      <c r="N3689" s="403">
        <v>432</v>
      </c>
      <c r="O3689" s="403">
        <v>768</v>
      </c>
      <c r="P3689" t="str">
        <f t="shared" si="457"/>
        <v>25fps 1080p - SD ROI PTZ</v>
      </c>
      <c r="Q3689">
        <f t="shared" si="458"/>
        <v>19</v>
      </c>
      <c r="R3689" t="str">
        <f t="shared" si="459"/>
        <v/>
      </c>
      <c r="S3689" t="str">
        <f t="shared" si="460"/>
        <v/>
      </c>
      <c r="T3689" s="403" t="str">
        <f t="shared" si="461"/>
        <v>NDE-8502-R</v>
      </c>
      <c r="U3689" s="403">
        <f t="shared" si="462"/>
        <v>1</v>
      </c>
      <c r="V3689" s="403" t="str">
        <f t="shared" si="463"/>
        <v>CPP_7_3</v>
      </c>
    </row>
    <row r="3690" spans="1:22">
      <c r="A3690" t="str">
        <f t="shared" si="456"/>
        <v>NDE-8502-R</v>
      </c>
      <c r="B3690" s="403" t="s">
        <v>1410</v>
      </c>
      <c r="C3690" s="403" t="s">
        <v>582</v>
      </c>
      <c r="D3690" s="403" t="s">
        <v>1411</v>
      </c>
      <c r="E3690" s="403" t="s">
        <v>1413</v>
      </c>
      <c r="F3690" s="403" t="s">
        <v>1293</v>
      </c>
      <c r="G3690" s="403" t="s">
        <v>1467</v>
      </c>
      <c r="H3690" s="403" t="s">
        <v>1281</v>
      </c>
      <c r="I3690" s="403">
        <v>1</v>
      </c>
      <c r="J3690" s="403" t="s">
        <v>110</v>
      </c>
      <c r="K3690" s="403">
        <v>1080</v>
      </c>
      <c r="L3690" s="403">
        <v>1920</v>
      </c>
      <c r="M3690" s="403" t="s">
        <v>1283</v>
      </c>
      <c r="N3690" s="403">
        <v>576</v>
      </c>
      <c r="O3690" s="403">
        <v>720</v>
      </c>
      <c r="P3690" t="str">
        <f t="shared" si="457"/>
        <v>25fps 1080p - SD 4CIF resolution 4:3 format (cropped)</v>
      </c>
      <c r="Q3690">
        <f t="shared" si="458"/>
        <v>19</v>
      </c>
      <c r="R3690" t="str">
        <f t="shared" si="459"/>
        <v/>
      </c>
      <c r="S3690" t="str">
        <f t="shared" si="460"/>
        <v/>
      </c>
      <c r="T3690" s="403" t="str">
        <f t="shared" si="461"/>
        <v>NDE-8502-R</v>
      </c>
      <c r="U3690" s="403">
        <f t="shared" si="462"/>
        <v>1</v>
      </c>
      <c r="V3690" s="403" t="str">
        <f t="shared" si="463"/>
        <v>CPP_7_3</v>
      </c>
    </row>
    <row r="3691" spans="1:22">
      <c r="A3691" t="str">
        <f t="shared" si="456"/>
        <v>NDE-8502-R</v>
      </c>
      <c r="B3691" s="403" t="s">
        <v>1410</v>
      </c>
      <c r="C3691" s="403" t="s">
        <v>582</v>
      </c>
      <c r="D3691" s="403" t="s">
        <v>1411</v>
      </c>
      <c r="E3691" s="403" t="s">
        <v>1413</v>
      </c>
      <c r="F3691" s="403" t="s">
        <v>1293</v>
      </c>
      <c r="G3691" s="403" t="s">
        <v>1467</v>
      </c>
      <c r="H3691" s="403" t="s">
        <v>1281</v>
      </c>
      <c r="I3691" s="403">
        <v>1</v>
      </c>
      <c r="J3691" s="403" t="s">
        <v>110</v>
      </c>
      <c r="K3691" s="403">
        <v>1080</v>
      </c>
      <c r="L3691" s="403">
        <v>1920</v>
      </c>
      <c r="M3691" s="403" t="s">
        <v>1284</v>
      </c>
      <c r="N3691" s="403">
        <v>480</v>
      </c>
      <c r="O3691" s="403">
        <v>640</v>
      </c>
      <c r="P3691" t="str">
        <f t="shared" si="457"/>
        <v>25fps 1080p - SD VGA (cropped)</v>
      </c>
      <c r="Q3691">
        <f t="shared" si="458"/>
        <v>19</v>
      </c>
      <c r="R3691" t="str">
        <f t="shared" si="459"/>
        <v/>
      </c>
      <c r="S3691" t="str">
        <f t="shared" si="460"/>
        <v/>
      </c>
      <c r="T3691" s="403" t="str">
        <f t="shared" si="461"/>
        <v>NDE-8502-R</v>
      </c>
      <c r="U3691" s="403">
        <f t="shared" si="462"/>
        <v>1</v>
      </c>
      <c r="V3691" s="403" t="str">
        <f t="shared" si="463"/>
        <v>CPP_7_3</v>
      </c>
    </row>
    <row r="3692" spans="1:22">
      <c r="A3692" t="str">
        <f t="shared" si="456"/>
        <v>NDE-8502-R</v>
      </c>
      <c r="B3692" s="403" t="s">
        <v>1410</v>
      </c>
      <c r="C3692" s="403" t="s">
        <v>582</v>
      </c>
      <c r="D3692" s="403" t="s">
        <v>1411</v>
      </c>
      <c r="E3692" s="403" t="s">
        <v>1413</v>
      </c>
      <c r="F3692" s="403" t="s">
        <v>1293</v>
      </c>
      <c r="G3692" s="403" t="s">
        <v>1467</v>
      </c>
      <c r="H3692" s="403" t="s">
        <v>1281</v>
      </c>
      <c r="I3692" s="403">
        <v>1</v>
      </c>
      <c r="J3692" s="403" t="s">
        <v>109</v>
      </c>
      <c r="K3692" s="403">
        <v>720</v>
      </c>
      <c r="L3692" s="403">
        <v>1280</v>
      </c>
      <c r="M3692" s="403" t="s">
        <v>109</v>
      </c>
      <c r="N3692" s="403">
        <v>720</v>
      </c>
      <c r="O3692" s="403">
        <v>1280</v>
      </c>
      <c r="P3692" t="str">
        <f t="shared" si="457"/>
        <v>25fps 720p - 720p</v>
      </c>
      <c r="Q3692">
        <f t="shared" si="458"/>
        <v>19</v>
      </c>
      <c r="R3692" t="str">
        <f t="shared" si="459"/>
        <v/>
      </c>
      <c r="S3692" t="str">
        <f t="shared" si="460"/>
        <v/>
      </c>
      <c r="T3692" s="403" t="str">
        <f t="shared" si="461"/>
        <v>NDE-8502-R</v>
      </c>
      <c r="U3692" s="403">
        <f t="shared" si="462"/>
        <v>1</v>
      </c>
      <c r="V3692" s="403" t="str">
        <f t="shared" si="463"/>
        <v>CPP_7_3</v>
      </c>
    </row>
    <row r="3693" spans="1:22">
      <c r="A3693" t="str">
        <f t="shared" si="456"/>
        <v>NDE-8502-R</v>
      </c>
      <c r="B3693" s="403" t="s">
        <v>1410</v>
      </c>
      <c r="C3693" s="403" t="s">
        <v>582</v>
      </c>
      <c r="D3693" s="403" t="s">
        <v>1411</v>
      </c>
      <c r="E3693" s="403" t="s">
        <v>1413</v>
      </c>
      <c r="F3693" s="403" t="s">
        <v>1293</v>
      </c>
      <c r="G3693" s="403" t="s">
        <v>1467</v>
      </c>
      <c r="H3693" s="403" t="s">
        <v>1281</v>
      </c>
      <c r="I3693" s="403">
        <v>1</v>
      </c>
      <c r="J3693" s="403" t="s">
        <v>109</v>
      </c>
      <c r="K3693" s="403">
        <v>720</v>
      </c>
      <c r="L3693" s="403">
        <v>1280</v>
      </c>
      <c r="M3693" s="403" t="s">
        <v>111</v>
      </c>
      <c r="N3693" s="403">
        <v>432</v>
      </c>
      <c r="O3693" s="403">
        <v>768</v>
      </c>
      <c r="P3693" t="str">
        <f t="shared" si="457"/>
        <v>25fps 720p - SD</v>
      </c>
      <c r="Q3693">
        <f t="shared" si="458"/>
        <v>19</v>
      </c>
      <c r="R3693" t="str">
        <f t="shared" si="459"/>
        <v/>
      </c>
      <c r="S3693" t="str">
        <f t="shared" si="460"/>
        <v/>
      </c>
      <c r="T3693" s="403" t="str">
        <f t="shared" si="461"/>
        <v>NDE-8502-R</v>
      </c>
      <c r="U3693" s="403">
        <f t="shared" si="462"/>
        <v>1</v>
      </c>
      <c r="V3693" s="403" t="str">
        <f t="shared" si="463"/>
        <v>CPP_7_3</v>
      </c>
    </row>
    <row r="3694" spans="1:22">
      <c r="A3694" t="str">
        <f t="shared" si="456"/>
        <v>NDE-8502-R</v>
      </c>
      <c r="B3694" s="403" t="s">
        <v>1410</v>
      </c>
      <c r="C3694" s="403" t="s">
        <v>582</v>
      </c>
      <c r="D3694" s="403" t="s">
        <v>1411</v>
      </c>
      <c r="E3694" s="403" t="s">
        <v>1413</v>
      </c>
      <c r="F3694" s="403" t="s">
        <v>1293</v>
      </c>
      <c r="G3694" s="403" t="s">
        <v>1467</v>
      </c>
      <c r="H3694" s="403" t="s">
        <v>1281</v>
      </c>
      <c r="I3694" s="403">
        <v>1</v>
      </c>
      <c r="J3694" s="403" t="s">
        <v>109</v>
      </c>
      <c r="K3694" s="403">
        <v>720</v>
      </c>
      <c r="L3694" s="403">
        <v>1280</v>
      </c>
      <c r="M3694" s="403" t="s">
        <v>1279</v>
      </c>
      <c r="N3694" s="403">
        <v>432</v>
      </c>
      <c r="O3694" s="403">
        <v>768</v>
      </c>
      <c r="P3694" t="str">
        <f t="shared" si="457"/>
        <v>25fps 720p - SD ROI PTZ</v>
      </c>
      <c r="Q3694">
        <f t="shared" si="458"/>
        <v>19</v>
      </c>
      <c r="R3694" t="str">
        <f t="shared" si="459"/>
        <v/>
      </c>
      <c r="S3694" t="str">
        <f t="shared" si="460"/>
        <v/>
      </c>
      <c r="T3694" s="403" t="str">
        <f t="shared" si="461"/>
        <v>NDE-8502-R</v>
      </c>
      <c r="U3694" s="403">
        <f t="shared" si="462"/>
        <v>1</v>
      </c>
      <c r="V3694" s="403" t="str">
        <f t="shared" si="463"/>
        <v>CPP_7_3</v>
      </c>
    </row>
    <row r="3695" spans="1:22">
      <c r="A3695" t="str">
        <f t="shared" si="456"/>
        <v>NDE-8502-R</v>
      </c>
      <c r="B3695" s="403" t="s">
        <v>1410</v>
      </c>
      <c r="C3695" s="403" t="s">
        <v>582</v>
      </c>
      <c r="D3695" s="403" t="s">
        <v>1411</v>
      </c>
      <c r="E3695" s="403" t="s">
        <v>1413</v>
      </c>
      <c r="F3695" s="403" t="s">
        <v>1293</v>
      </c>
      <c r="G3695" s="403" t="s">
        <v>1467</v>
      </c>
      <c r="H3695" s="403" t="s">
        <v>1281</v>
      </c>
      <c r="I3695" s="403">
        <v>1</v>
      </c>
      <c r="J3695" s="403" t="s">
        <v>109</v>
      </c>
      <c r="K3695" s="403">
        <v>720</v>
      </c>
      <c r="L3695" s="403">
        <v>1280</v>
      </c>
      <c r="M3695" s="403" t="s">
        <v>1283</v>
      </c>
      <c r="N3695" s="403">
        <v>576</v>
      </c>
      <c r="O3695" s="403">
        <v>720</v>
      </c>
      <c r="P3695" t="str">
        <f t="shared" si="457"/>
        <v>25fps 720p - SD 4CIF resolution 4:3 format (cropped)</v>
      </c>
      <c r="Q3695">
        <f t="shared" si="458"/>
        <v>19</v>
      </c>
      <c r="R3695" t="str">
        <f t="shared" si="459"/>
        <v/>
      </c>
      <c r="S3695" t="str">
        <f t="shared" si="460"/>
        <v/>
      </c>
      <c r="T3695" s="403" t="str">
        <f t="shared" si="461"/>
        <v>NDE-8502-R</v>
      </c>
      <c r="U3695" s="403">
        <f t="shared" si="462"/>
        <v>1</v>
      </c>
      <c r="V3695" s="403" t="str">
        <f t="shared" si="463"/>
        <v>CPP_7_3</v>
      </c>
    </row>
    <row r="3696" spans="1:22">
      <c r="A3696" t="str">
        <f t="shared" si="456"/>
        <v>NDE-8502-R</v>
      </c>
      <c r="B3696" s="403" t="s">
        <v>1410</v>
      </c>
      <c r="C3696" s="403" t="s">
        <v>582</v>
      </c>
      <c r="D3696" s="403" t="s">
        <v>1411</v>
      </c>
      <c r="E3696" s="403" t="s">
        <v>1413</v>
      </c>
      <c r="F3696" s="403" t="s">
        <v>1293</v>
      </c>
      <c r="G3696" s="403" t="s">
        <v>1467</v>
      </c>
      <c r="H3696" s="403" t="s">
        <v>1281</v>
      </c>
      <c r="I3696" s="403">
        <v>1</v>
      </c>
      <c r="J3696" s="403" t="s">
        <v>109</v>
      </c>
      <c r="K3696" s="403">
        <v>720</v>
      </c>
      <c r="L3696" s="403">
        <v>1280</v>
      </c>
      <c r="M3696" s="403" t="s">
        <v>1284</v>
      </c>
      <c r="N3696" s="403">
        <v>480</v>
      </c>
      <c r="O3696" s="403">
        <v>640</v>
      </c>
      <c r="P3696" t="str">
        <f t="shared" si="457"/>
        <v>25fps 720p - SD VGA (cropped)</v>
      </c>
      <c r="Q3696">
        <f t="shared" si="458"/>
        <v>19</v>
      </c>
      <c r="R3696" t="str">
        <f t="shared" si="459"/>
        <v/>
      </c>
      <c r="S3696" t="str">
        <f t="shared" si="460"/>
        <v/>
      </c>
      <c r="T3696" s="403" t="str">
        <f t="shared" si="461"/>
        <v>NDE-8502-R</v>
      </c>
      <c r="U3696" s="403">
        <f t="shared" si="462"/>
        <v>1</v>
      </c>
      <c r="V3696" s="403" t="str">
        <f t="shared" si="463"/>
        <v>CPP_7_3</v>
      </c>
    </row>
    <row r="3697" spans="1:22">
      <c r="A3697" t="str">
        <f t="shared" si="456"/>
        <v>NDE-8502-R</v>
      </c>
      <c r="B3697" s="403" t="s">
        <v>1410</v>
      </c>
      <c r="C3697" s="403" t="s">
        <v>582</v>
      </c>
      <c r="D3697" s="403" t="s">
        <v>1411</v>
      </c>
      <c r="E3697" s="403" t="s">
        <v>1413</v>
      </c>
      <c r="F3697" s="403" t="s">
        <v>1293</v>
      </c>
      <c r="G3697" s="403" t="s">
        <v>1467</v>
      </c>
      <c r="H3697" s="403" t="s">
        <v>1282</v>
      </c>
      <c r="I3697" s="403">
        <v>1</v>
      </c>
      <c r="J3697" s="403" t="s">
        <v>110</v>
      </c>
      <c r="K3697" s="403">
        <v>1080</v>
      </c>
      <c r="L3697" s="403">
        <v>1920</v>
      </c>
      <c r="M3697" s="403" t="s">
        <v>111</v>
      </c>
      <c r="N3697" s="403">
        <v>432</v>
      </c>
      <c r="O3697" s="403">
        <v>768</v>
      </c>
      <c r="P3697" t="str">
        <f t="shared" si="457"/>
        <v>25fps 1080p - SD</v>
      </c>
      <c r="Q3697">
        <f t="shared" si="458"/>
        <v>19</v>
      </c>
      <c r="R3697" t="str">
        <f t="shared" si="459"/>
        <v/>
      </c>
      <c r="S3697" t="str">
        <f t="shared" si="460"/>
        <v/>
      </c>
      <c r="T3697" s="403" t="str">
        <f t="shared" si="461"/>
        <v>NDE-8502-R</v>
      </c>
      <c r="U3697" s="403">
        <f t="shared" si="462"/>
        <v>1</v>
      </c>
      <c r="V3697" s="403" t="str">
        <f t="shared" si="463"/>
        <v>CPP_7_3</v>
      </c>
    </row>
    <row r="3698" spans="1:22">
      <c r="A3698" t="str">
        <f t="shared" si="456"/>
        <v>NDE-8502-R</v>
      </c>
      <c r="B3698" s="403" t="s">
        <v>1410</v>
      </c>
      <c r="C3698" s="403" t="s">
        <v>582</v>
      </c>
      <c r="D3698" s="403" t="s">
        <v>1411</v>
      </c>
      <c r="E3698" s="403" t="s">
        <v>1413</v>
      </c>
      <c r="F3698" s="403" t="s">
        <v>1293</v>
      </c>
      <c r="G3698" s="403" t="s">
        <v>1467</v>
      </c>
      <c r="H3698" s="403" t="s">
        <v>1282</v>
      </c>
      <c r="I3698" s="403">
        <v>1</v>
      </c>
      <c r="J3698" s="403" t="s">
        <v>110</v>
      </c>
      <c r="K3698" s="403">
        <v>1080</v>
      </c>
      <c r="L3698" s="403">
        <v>1920</v>
      </c>
      <c r="M3698" s="403" t="s">
        <v>110</v>
      </c>
      <c r="N3698" s="403">
        <v>1080</v>
      </c>
      <c r="O3698" s="403">
        <v>1920</v>
      </c>
      <c r="P3698" t="str">
        <f t="shared" si="457"/>
        <v>25fps 1080p - 1080p</v>
      </c>
      <c r="Q3698">
        <f t="shared" si="458"/>
        <v>19</v>
      </c>
      <c r="R3698" t="str">
        <f t="shared" si="459"/>
        <v/>
      </c>
      <c r="S3698" t="str">
        <f t="shared" si="460"/>
        <v/>
      </c>
      <c r="T3698" s="403" t="str">
        <f t="shared" si="461"/>
        <v>NDE-8502-R</v>
      </c>
      <c r="U3698" s="403">
        <f t="shared" si="462"/>
        <v>1</v>
      </c>
      <c r="V3698" s="403" t="str">
        <f t="shared" si="463"/>
        <v>CPP_7_3</v>
      </c>
    </row>
    <row r="3699" spans="1:22">
      <c r="A3699" t="str">
        <f t="shared" si="456"/>
        <v>NDE-8502-R</v>
      </c>
      <c r="B3699" s="403" t="s">
        <v>1410</v>
      </c>
      <c r="C3699" s="403" t="s">
        <v>582</v>
      </c>
      <c r="D3699" s="403" t="s">
        <v>1411</v>
      </c>
      <c r="E3699" s="403" t="s">
        <v>1413</v>
      </c>
      <c r="F3699" s="403" t="s">
        <v>1293</v>
      </c>
      <c r="G3699" s="403" t="s">
        <v>1467</v>
      </c>
      <c r="H3699" s="403" t="s">
        <v>1282</v>
      </c>
      <c r="I3699" s="403">
        <v>1</v>
      </c>
      <c r="J3699" s="403" t="s">
        <v>110</v>
      </c>
      <c r="K3699" s="403">
        <v>1080</v>
      </c>
      <c r="L3699" s="403">
        <v>1920</v>
      </c>
      <c r="M3699" s="403" t="s">
        <v>109</v>
      </c>
      <c r="N3699" s="403">
        <v>720</v>
      </c>
      <c r="O3699" s="403">
        <v>1280</v>
      </c>
      <c r="P3699" t="str">
        <f t="shared" si="457"/>
        <v>25fps 1080p - 720p</v>
      </c>
      <c r="Q3699">
        <f t="shared" si="458"/>
        <v>19</v>
      </c>
      <c r="R3699" t="str">
        <f t="shared" si="459"/>
        <v/>
      </c>
      <c r="S3699" t="str">
        <f t="shared" si="460"/>
        <v/>
      </c>
      <c r="T3699" s="403" t="str">
        <f t="shared" si="461"/>
        <v>NDE-8502-R</v>
      </c>
      <c r="U3699" s="403">
        <f t="shared" si="462"/>
        <v>1</v>
      </c>
      <c r="V3699" s="403" t="str">
        <f t="shared" si="463"/>
        <v>CPP_7_3</v>
      </c>
    </row>
    <row r="3700" spans="1:22">
      <c r="A3700" t="str">
        <f t="shared" si="456"/>
        <v>NDE-8502-R</v>
      </c>
      <c r="B3700" s="403" t="s">
        <v>1410</v>
      </c>
      <c r="C3700" s="403" t="s">
        <v>582</v>
      </c>
      <c r="D3700" s="403" t="s">
        <v>1411</v>
      </c>
      <c r="E3700" s="403" t="s">
        <v>1413</v>
      </c>
      <c r="F3700" s="403" t="s">
        <v>1293</v>
      </c>
      <c r="G3700" s="403" t="s">
        <v>1467</v>
      </c>
      <c r="H3700" s="403" t="s">
        <v>1282</v>
      </c>
      <c r="I3700" s="403">
        <v>1</v>
      </c>
      <c r="J3700" s="403" t="s">
        <v>110</v>
      </c>
      <c r="K3700" s="403">
        <v>1080</v>
      </c>
      <c r="L3700" s="403">
        <v>1920</v>
      </c>
      <c r="M3700" s="403" t="s">
        <v>1285</v>
      </c>
      <c r="N3700" s="403">
        <v>1024</v>
      </c>
      <c r="O3700" s="403">
        <v>1280</v>
      </c>
      <c r="P3700" t="str">
        <f t="shared" si="457"/>
        <v>25fps 1080p - 1280x1024 5:4 (cropped)</v>
      </c>
      <c r="Q3700">
        <f t="shared" si="458"/>
        <v>19</v>
      </c>
      <c r="R3700" t="str">
        <f t="shared" si="459"/>
        <v/>
      </c>
      <c r="S3700" t="str">
        <f t="shared" si="460"/>
        <v/>
      </c>
      <c r="T3700" s="403" t="str">
        <f t="shared" si="461"/>
        <v>NDE-8502-R</v>
      </c>
      <c r="U3700" s="403">
        <f t="shared" si="462"/>
        <v>1</v>
      </c>
      <c r="V3700" s="403" t="str">
        <f t="shared" si="463"/>
        <v>CPP_7_3</v>
      </c>
    </row>
    <row r="3701" spans="1:22">
      <c r="A3701" t="str">
        <f t="shared" si="456"/>
        <v>NDE-8502-R</v>
      </c>
      <c r="B3701" s="403" t="s">
        <v>1410</v>
      </c>
      <c r="C3701" s="403" t="s">
        <v>582</v>
      </c>
      <c r="D3701" s="403" t="s">
        <v>1411</v>
      </c>
      <c r="E3701" s="403" t="s">
        <v>1413</v>
      </c>
      <c r="F3701" s="403" t="s">
        <v>1293</v>
      </c>
      <c r="G3701" s="403" t="s">
        <v>1467</v>
      </c>
      <c r="H3701" s="403" t="s">
        <v>1282</v>
      </c>
      <c r="I3701" s="403">
        <v>1</v>
      </c>
      <c r="J3701" s="403" t="s">
        <v>110</v>
      </c>
      <c r="K3701" s="403">
        <v>1080</v>
      </c>
      <c r="L3701" s="403">
        <v>1920</v>
      </c>
      <c r="M3701" s="403" t="s">
        <v>1279</v>
      </c>
      <c r="N3701" s="403">
        <v>432</v>
      </c>
      <c r="O3701" s="403">
        <v>768</v>
      </c>
      <c r="P3701" t="str">
        <f t="shared" si="457"/>
        <v>25fps 1080p - SD ROI PTZ</v>
      </c>
      <c r="Q3701">
        <f t="shared" si="458"/>
        <v>19</v>
      </c>
      <c r="R3701" t="str">
        <f t="shared" si="459"/>
        <v/>
      </c>
      <c r="S3701" t="str">
        <f t="shared" si="460"/>
        <v/>
      </c>
      <c r="T3701" s="403" t="str">
        <f t="shared" si="461"/>
        <v>NDE-8502-R</v>
      </c>
      <c r="U3701" s="403">
        <f t="shared" si="462"/>
        <v>1</v>
      </c>
      <c r="V3701" s="403" t="str">
        <f t="shared" si="463"/>
        <v>CPP_7_3</v>
      </c>
    </row>
    <row r="3702" spans="1:22">
      <c r="A3702" t="str">
        <f t="shared" si="456"/>
        <v>NDE-8502-R</v>
      </c>
      <c r="B3702" s="403" t="s">
        <v>1410</v>
      </c>
      <c r="C3702" s="403" t="s">
        <v>582</v>
      </c>
      <c r="D3702" s="403" t="s">
        <v>1411</v>
      </c>
      <c r="E3702" s="403" t="s">
        <v>1413</v>
      </c>
      <c r="F3702" s="403" t="s">
        <v>1293</v>
      </c>
      <c r="G3702" s="403" t="s">
        <v>1467</v>
      </c>
      <c r="H3702" s="403" t="s">
        <v>1282</v>
      </c>
      <c r="I3702" s="403">
        <v>1</v>
      </c>
      <c r="J3702" s="403" t="s">
        <v>110</v>
      </c>
      <c r="K3702" s="403">
        <v>1080</v>
      </c>
      <c r="L3702" s="403">
        <v>1920</v>
      </c>
      <c r="M3702" s="403" t="s">
        <v>1283</v>
      </c>
      <c r="N3702" s="403">
        <v>576</v>
      </c>
      <c r="O3702" s="403">
        <v>720</v>
      </c>
      <c r="P3702" t="str">
        <f t="shared" si="457"/>
        <v>25fps 1080p - SD 4CIF resolution 4:3 format (cropped)</v>
      </c>
      <c r="Q3702">
        <f t="shared" si="458"/>
        <v>19</v>
      </c>
      <c r="R3702" t="str">
        <f t="shared" si="459"/>
        <v/>
      </c>
      <c r="S3702" t="str">
        <f t="shared" si="460"/>
        <v/>
      </c>
      <c r="T3702" s="403" t="str">
        <f t="shared" si="461"/>
        <v>NDE-8502-R</v>
      </c>
      <c r="U3702" s="403">
        <f t="shared" si="462"/>
        <v>1</v>
      </c>
      <c r="V3702" s="403" t="str">
        <f t="shared" si="463"/>
        <v>CPP_7_3</v>
      </c>
    </row>
    <row r="3703" spans="1:22">
      <c r="A3703" t="str">
        <f t="shared" si="456"/>
        <v>NDE-8502-R</v>
      </c>
      <c r="B3703" s="403" t="s">
        <v>1410</v>
      </c>
      <c r="C3703" s="403" t="s">
        <v>582</v>
      </c>
      <c r="D3703" s="403" t="s">
        <v>1411</v>
      </c>
      <c r="E3703" s="403" t="s">
        <v>1413</v>
      </c>
      <c r="F3703" s="403" t="s">
        <v>1293</v>
      </c>
      <c r="G3703" s="403" t="s">
        <v>1467</v>
      </c>
      <c r="H3703" s="403" t="s">
        <v>1282</v>
      </c>
      <c r="I3703" s="403">
        <v>1</v>
      </c>
      <c r="J3703" s="403" t="s">
        <v>110</v>
      </c>
      <c r="K3703" s="403">
        <v>1080</v>
      </c>
      <c r="L3703" s="403">
        <v>1920</v>
      </c>
      <c r="M3703" s="403" t="s">
        <v>1284</v>
      </c>
      <c r="N3703" s="403">
        <v>480</v>
      </c>
      <c r="O3703" s="403">
        <v>640</v>
      </c>
      <c r="P3703" t="str">
        <f t="shared" si="457"/>
        <v>25fps 1080p - SD VGA (cropped)</v>
      </c>
      <c r="Q3703">
        <f t="shared" si="458"/>
        <v>19</v>
      </c>
      <c r="R3703" t="str">
        <f t="shared" si="459"/>
        <v/>
      </c>
      <c r="S3703" t="str">
        <f t="shared" si="460"/>
        <v/>
      </c>
      <c r="T3703" s="403" t="str">
        <f t="shared" si="461"/>
        <v>NDE-8502-R</v>
      </c>
      <c r="U3703" s="403">
        <f t="shared" si="462"/>
        <v>1</v>
      </c>
      <c r="V3703" s="403" t="str">
        <f t="shared" si="463"/>
        <v>CPP_7_3</v>
      </c>
    </row>
    <row r="3704" spans="1:22">
      <c r="A3704" t="str">
        <f t="shared" si="456"/>
        <v>NDE-8502-R</v>
      </c>
      <c r="B3704" s="403" t="s">
        <v>1410</v>
      </c>
      <c r="C3704" s="403" t="s">
        <v>582</v>
      </c>
      <c r="D3704" s="403" t="s">
        <v>1411</v>
      </c>
      <c r="E3704" s="403" t="s">
        <v>1413</v>
      </c>
      <c r="F3704" s="403" t="s">
        <v>1293</v>
      </c>
      <c r="G3704" s="403" t="s">
        <v>1467</v>
      </c>
      <c r="H3704" s="403" t="s">
        <v>1282</v>
      </c>
      <c r="I3704" s="403">
        <v>1</v>
      </c>
      <c r="J3704" s="403" t="s">
        <v>109</v>
      </c>
      <c r="K3704" s="403">
        <v>720</v>
      </c>
      <c r="L3704" s="403">
        <v>1280</v>
      </c>
      <c r="M3704" s="403" t="s">
        <v>109</v>
      </c>
      <c r="N3704" s="403">
        <v>720</v>
      </c>
      <c r="O3704" s="403">
        <v>1280</v>
      </c>
      <c r="P3704" t="str">
        <f t="shared" si="457"/>
        <v>25fps 720p - 720p</v>
      </c>
      <c r="Q3704">
        <f t="shared" si="458"/>
        <v>19</v>
      </c>
      <c r="R3704" t="str">
        <f t="shared" si="459"/>
        <v/>
      </c>
      <c r="S3704" t="str">
        <f t="shared" si="460"/>
        <v/>
      </c>
      <c r="T3704" s="403" t="str">
        <f t="shared" si="461"/>
        <v>NDE-8502-R</v>
      </c>
      <c r="U3704" s="403">
        <f t="shared" si="462"/>
        <v>1</v>
      </c>
      <c r="V3704" s="403" t="str">
        <f t="shared" si="463"/>
        <v>CPP_7_3</v>
      </c>
    </row>
    <row r="3705" spans="1:22">
      <c r="A3705" t="str">
        <f t="shared" si="456"/>
        <v>NDE-8502-R</v>
      </c>
      <c r="B3705" s="403" t="s">
        <v>1410</v>
      </c>
      <c r="C3705" s="403" t="s">
        <v>582</v>
      </c>
      <c r="D3705" s="403" t="s">
        <v>1411</v>
      </c>
      <c r="E3705" s="403" t="s">
        <v>1413</v>
      </c>
      <c r="F3705" s="403" t="s">
        <v>1293</v>
      </c>
      <c r="G3705" s="403" t="s">
        <v>1467</v>
      </c>
      <c r="H3705" s="403" t="s">
        <v>1282</v>
      </c>
      <c r="I3705" s="403">
        <v>1</v>
      </c>
      <c r="J3705" s="403" t="s">
        <v>109</v>
      </c>
      <c r="K3705" s="403">
        <v>720</v>
      </c>
      <c r="L3705" s="403">
        <v>1280</v>
      </c>
      <c r="M3705" s="403" t="s">
        <v>111</v>
      </c>
      <c r="N3705" s="403">
        <v>432</v>
      </c>
      <c r="O3705" s="403">
        <v>768</v>
      </c>
      <c r="P3705" t="str">
        <f t="shared" si="457"/>
        <v>25fps 720p - SD</v>
      </c>
      <c r="Q3705">
        <f t="shared" si="458"/>
        <v>19</v>
      </c>
      <c r="R3705" t="str">
        <f t="shared" si="459"/>
        <v/>
      </c>
      <c r="S3705" t="str">
        <f t="shared" si="460"/>
        <v/>
      </c>
      <c r="T3705" s="403" t="str">
        <f t="shared" si="461"/>
        <v>NDE-8502-R</v>
      </c>
      <c r="U3705" s="403">
        <f t="shared" si="462"/>
        <v>1</v>
      </c>
      <c r="V3705" s="403" t="str">
        <f t="shared" si="463"/>
        <v>CPP_7_3</v>
      </c>
    </row>
    <row r="3706" spans="1:22">
      <c r="A3706" t="str">
        <f t="shared" si="456"/>
        <v>NDE-8502-R</v>
      </c>
      <c r="B3706" s="403" t="s">
        <v>1410</v>
      </c>
      <c r="C3706" s="403" t="s">
        <v>582</v>
      </c>
      <c r="D3706" s="403" t="s">
        <v>1411</v>
      </c>
      <c r="E3706" s="403" t="s">
        <v>1413</v>
      </c>
      <c r="F3706" s="403" t="s">
        <v>1293</v>
      </c>
      <c r="G3706" s="403" t="s">
        <v>1467</v>
      </c>
      <c r="H3706" s="403" t="s">
        <v>1282</v>
      </c>
      <c r="I3706" s="403">
        <v>1</v>
      </c>
      <c r="J3706" s="403" t="s">
        <v>109</v>
      </c>
      <c r="K3706" s="403">
        <v>720</v>
      </c>
      <c r="L3706" s="403">
        <v>1280</v>
      </c>
      <c r="M3706" s="403" t="s">
        <v>1279</v>
      </c>
      <c r="N3706" s="403">
        <v>432</v>
      </c>
      <c r="O3706" s="403">
        <v>768</v>
      </c>
      <c r="P3706" t="str">
        <f t="shared" si="457"/>
        <v>25fps 720p - SD ROI PTZ</v>
      </c>
      <c r="Q3706">
        <f t="shared" si="458"/>
        <v>19</v>
      </c>
      <c r="R3706" t="str">
        <f t="shared" si="459"/>
        <v/>
      </c>
      <c r="S3706" t="str">
        <f t="shared" si="460"/>
        <v/>
      </c>
      <c r="T3706" s="403" t="str">
        <f t="shared" si="461"/>
        <v>NDE-8502-R</v>
      </c>
      <c r="U3706" s="403">
        <f t="shared" si="462"/>
        <v>1</v>
      </c>
      <c r="V3706" s="403" t="str">
        <f t="shared" si="463"/>
        <v>CPP_7_3</v>
      </c>
    </row>
    <row r="3707" spans="1:22">
      <c r="A3707" t="str">
        <f t="shared" si="456"/>
        <v>NDE-8502-R</v>
      </c>
      <c r="B3707" s="403" t="s">
        <v>1410</v>
      </c>
      <c r="C3707" s="403" t="s">
        <v>582</v>
      </c>
      <c r="D3707" s="403" t="s">
        <v>1411</v>
      </c>
      <c r="E3707" s="403" t="s">
        <v>1413</v>
      </c>
      <c r="F3707" s="403" t="s">
        <v>1293</v>
      </c>
      <c r="G3707" s="403" t="s">
        <v>1467</v>
      </c>
      <c r="H3707" s="403" t="s">
        <v>1282</v>
      </c>
      <c r="I3707" s="403">
        <v>1</v>
      </c>
      <c r="J3707" s="403" t="s">
        <v>109</v>
      </c>
      <c r="K3707" s="403">
        <v>720</v>
      </c>
      <c r="L3707" s="403">
        <v>1280</v>
      </c>
      <c r="M3707" s="403" t="s">
        <v>1283</v>
      </c>
      <c r="N3707" s="403">
        <v>576</v>
      </c>
      <c r="O3707" s="403">
        <v>720</v>
      </c>
      <c r="P3707" t="str">
        <f t="shared" si="457"/>
        <v>25fps 720p - SD 4CIF resolution 4:3 format (cropped)</v>
      </c>
      <c r="Q3707">
        <f t="shared" si="458"/>
        <v>19</v>
      </c>
      <c r="R3707" t="str">
        <f t="shared" si="459"/>
        <v/>
      </c>
      <c r="S3707" t="str">
        <f t="shared" si="460"/>
        <v/>
      </c>
      <c r="T3707" s="403" t="str">
        <f t="shared" si="461"/>
        <v>NDE-8502-R</v>
      </c>
      <c r="U3707" s="403">
        <f t="shared" si="462"/>
        <v>1</v>
      </c>
      <c r="V3707" s="403" t="str">
        <f t="shared" si="463"/>
        <v>CPP_7_3</v>
      </c>
    </row>
    <row r="3708" spans="1:22">
      <c r="A3708" t="str">
        <f t="shared" si="456"/>
        <v>NDE-8502-R</v>
      </c>
      <c r="B3708" s="403" t="s">
        <v>1410</v>
      </c>
      <c r="C3708" s="403" t="s">
        <v>582</v>
      </c>
      <c r="D3708" s="403" t="s">
        <v>1411</v>
      </c>
      <c r="E3708" s="403" t="s">
        <v>1413</v>
      </c>
      <c r="F3708" s="403" t="s">
        <v>1293</v>
      </c>
      <c r="G3708" s="403" t="s">
        <v>1467</v>
      </c>
      <c r="H3708" s="403" t="s">
        <v>1282</v>
      </c>
      <c r="I3708" s="403">
        <v>1</v>
      </c>
      <c r="J3708" s="403" t="s">
        <v>109</v>
      </c>
      <c r="K3708" s="403">
        <v>720</v>
      </c>
      <c r="L3708" s="403">
        <v>1280</v>
      </c>
      <c r="M3708" s="403" t="s">
        <v>1284</v>
      </c>
      <c r="N3708" s="403">
        <v>480</v>
      </c>
      <c r="O3708" s="403">
        <v>640</v>
      </c>
      <c r="P3708" t="str">
        <f t="shared" si="457"/>
        <v>25fps 720p - SD VGA (cropped)</v>
      </c>
      <c r="Q3708">
        <f t="shared" si="458"/>
        <v>19</v>
      </c>
      <c r="R3708" t="str">
        <f t="shared" si="459"/>
        <v/>
      </c>
      <c r="S3708" t="str">
        <f t="shared" si="460"/>
        <v/>
      </c>
      <c r="T3708" s="403" t="str">
        <f t="shared" si="461"/>
        <v>NDE-8502-R</v>
      </c>
      <c r="U3708" s="403">
        <f t="shared" si="462"/>
        <v>1</v>
      </c>
      <c r="V3708" s="403" t="str">
        <f t="shared" si="463"/>
        <v>CPP_7_3</v>
      </c>
    </row>
    <row r="3709" spans="1:22">
      <c r="A3709" t="str">
        <f t="shared" si="456"/>
        <v>NDE-8503-RT</v>
      </c>
      <c r="B3709" s="403" t="s">
        <v>1410</v>
      </c>
      <c r="C3709" s="403" t="s">
        <v>582</v>
      </c>
      <c r="D3709" s="403" t="s">
        <v>1414</v>
      </c>
      <c r="E3709" s="403" t="s">
        <v>1412</v>
      </c>
      <c r="F3709" s="403" t="s">
        <v>1415</v>
      </c>
      <c r="G3709" s="403" t="s">
        <v>1466</v>
      </c>
      <c r="H3709" s="403" t="s">
        <v>1276</v>
      </c>
      <c r="I3709" s="403">
        <v>1</v>
      </c>
      <c r="J3709" s="403" t="s">
        <v>1416</v>
      </c>
      <c r="K3709" s="403">
        <v>3264</v>
      </c>
      <c r="L3709" s="403">
        <v>1840</v>
      </c>
      <c r="M3709" s="403" t="s">
        <v>111</v>
      </c>
      <c r="N3709" s="403">
        <v>768</v>
      </c>
      <c r="O3709" s="403">
        <v>432</v>
      </c>
      <c r="P3709" t="str">
        <f t="shared" si="457"/>
        <v>30fps 3264x1840 - SD</v>
      </c>
      <c r="Q3709">
        <f t="shared" si="458"/>
        <v>20</v>
      </c>
      <c r="R3709">
        <f t="shared" si="459"/>
        <v>20</v>
      </c>
      <c r="S3709" t="str">
        <f t="shared" si="460"/>
        <v>FLEXIDOME IP starlight 8000i (NDE-8503-RT)</v>
      </c>
      <c r="T3709" s="403" t="str">
        <f t="shared" si="461"/>
        <v>NDE-8503-RT</v>
      </c>
      <c r="U3709" s="403">
        <f t="shared" si="462"/>
        <v>1</v>
      </c>
      <c r="V3709" s="403" t="str">
        <f t="shared" si="463"/>
        <v>CPP_7_3</v>
      </c>
    </row>
    <row r="3710" spans="1:22">
      <c r="A3710" t="str">
        <f t="shared" si="456"/>
        <v>NDE-8503-RT</v>
      </c>
      <c r="B3710" s="403" t="s">
        <v>1410</v>
      </c>
      <c r="C3710" s="403" t="s">
        <v>582</v>
      </c>
      <c r="D3710" s="403" t="s">
        <v>1414</v>
      </c>
      <c r="E3710" s="403" t="s">
        <v>1412</v>
      </c>
      <c r="F3710" s="403" t="s">
        <v>1415</v>
      </c>
      <c r="G3710" s="403" t="s">
        <v>1466</v>
      </c>
      <c r="H3710" s="403" t="s">
        <v>1276</v>
      </c>
      <c r="I3710" s="403">
        <v>1</v>
      </c>
      <c r="J3710" s="403" t="s">
        <v>1416</v>
      </c>
      <c r="K3710" s="403">
        <v>3264</v>
      </c>
      <c r="L3710" s="403">
        <v>1840</v>
      </c>
      <c r="M3710" s="403" t="s">
        <v>1601</v>
      </c>
      <c r="N3710" s="403">
        <v>3264</v>
      </c>
      <c r="O3710" s="403">
        <v>1840</v>
      </c>
      <c r="P3710" t="str">
        <f t="shared" si="457"/>
        <v>30fps 3264x1840 - 3264x1840 @ SKIP3</v>
      </c>
      <c r="Q3710">
        <f t="shared" si="458"/>
        <v>20</v>
      </c>
      <c r="R3710" t="str">
        <f t="shared" si="459"/>
        <v/>
      </c>
      <c r="S3710" t="str">
        <f t="shared" si="460"/>
        <v/>
      </c>
      <c r="T3710" s="403" t="str">
        <f t="shared" si="461"/>
        <v>NDE-8503-RT</v>
      </c>
      <c r="U3710" s="403">
        <f t="shared" si="462"/>
        <v>1</v>
      </c>
      <c r="V3710" s="403" t="str">
        <f t="shared" si="463"/>
        <v>CPP_7_3</v>
      </c>
    </row>
    <row r="3711" spans="1:22">
      <c r="A3711" t="str">
        <f t="shared" si="456"/>
        <v>NDE-8503-RT</v>
      </c>
      <c r="B3711" s="403" t="s">
        <v>1410</v>
      </c>
      <c r="C3711" s="403" t="s">
        <v>582</v>
      </c>
      <c r="D3711" s="403" t="s">
        <v>1414</v>
      </c>
      <c r="E3711" s="403" t="s">
        <v>1412</v>
      </c>
      <c r="F3711" s="403" t="s">
        <v>1415</v>
      </c>
      <c r="G3711" s="403" t="s">
        <v>1466</v>
      </c>
      <c r="H3711" s="403" t="s">
        <v>1276</v>
      </c>
      <c r="I3711" s="403">
        <v>1</v>
      </c>
      <c r="J3711" s="403" t="s">
        <v>1416</v>
      </c>
      <c r="K3711" s="403">
        <v>3264</v>
      </c>
      <c r="L3711" s="403">
        <v>1840</v>
      </c>
      <c r="M3711" s="403" t="s">
        <v>1280</v>
      </c>
      <c r="N3711" s="403">
        <v>3264</v>
      </c>
      <c r="O3711" s="403">
        <v>1840</v>
      </c>
      <c r="P3711" t="str">
        <f t="shared" si="457"/>
        <v>30fps 3264x1840 - copy other stream</v>
      </c>
      <c r="Q3711">
        <f t="shared" si="458"/>
        <v>20</v>
      </c>
      <c r="R3711" t="str">
        <f t="shared" si="459"/>
        <v/>
      </c>
      <c r="S3711" t="str">
        <f t="shared" si="460"/>
        <v/>
      </c>
      <c r="T3711" s="403" t="str">
        <f t="shared" si="461"/>
        <v>NDE-8503-RT</v>
      </c>
      <c r="U3711" s="403">
        <f t="shared" si="462"/>
        <v>1</v>
      </c>
      <c r="V3711" s="403" t="str">
        <f t="shared" si="463"/>
        <v>CPP_7_3</v>
      </c>
    </row>
    <row r="3712" spans="1:22">
      <c r="A3712" t="str">
        <f t="shared" si="456"/>
        <v>NDE-8503-RT</v>
      </c>
      <c r="B3712" s="403" t="s">
        <v>1410</v>
      </c>
      <c r="C3712" s="403" t="s">
        <v>582</v>
      </c>
      <c r="D3712" s="403" t="s">
        <v>1414</v>
      </c>
      <c r="E3712" s="403" t="s">
        <v>1412</v>
      </c>
      <c r="F3712" s="403" t="s">
        <v>1415</v>
      </c>
      <c r="G3712" s="403" t="s">
        <v>1466</v>
      </c>
      <c r="H3712" s="403" t="s">
        <v>1276</v>
      </c>
      <c r="I3712" s="403">
        <v>1</v>
      </c>
      <c r="J3712" s="403" t="s">
        <v>1416</v>
      </c>
      <c r="K3712" s="403">
        <v>3264</v>
      </c>
      <c r="L3712" s="403">
        <v>1840</v>
      </c>
      <c r="M3712" s="403" t="s">
        <v>110</v>
      </c>
      <c r="N3712" s="403">
        <v>1920</v>
      </c>
      <c r="O3712" s="403">
        <v>1080</v>
      </c>
      <c r="P3712" t="str">
        <f t="shared" si="457"/>
        <v>30fps 3264x1840 - 1080p</v>
      </c>
      <c r="Q3712">
        <f t="shared" si="458"/>
        <v>20</v>
      </c>
      <c r="R3712" t="str">
        <f t="shared" si="459"/>
        <v/>
      </c>
      <c r="S3712" t="str">
        <f t="shared" si="460"/>
        <v/>
      </c>
      <c r="T3712" s="403" t="str">
        <f t="shared" si="461"/>
        <v>NDE-8503-RT</v>
      </c>
      <c r="U3712" s="403">
        <f t="shared" si="462"/>
        <v>1</v>
      </c>
      <c r="V3712" s="403" t="str">
        <f t="shared" si="463"/>
        <v>CPP_7_3</v>
      </c>
    </row>
    <row r="3713" spans="1:22">
      <c r="A3713" t="str">
        <f t="shared" si="456"/>
        <v>NDE-8503-RT</v>
      </c>
      <c r="B3713" s="403" t="s">
        <v>1410</v>
      </c>
      <c r="C3713" s="403" t="s">
        <v>582</v>
      </c>
      <c r="D3713" s="403" t="s">
        <v>1414</v>
      </c>
      <c r="E3713" s="403" t="s">
        <v>1412</v>
      </c>
      <c r="F3713" s="403" t="s">
        <v>1415</v>
      </c>
      <c r="G3713" s="403" t="s">
        <v>1466</v>
      </c>
      <c r="H3713" s="403" t="s">
        <v>1276</v>
      </c>
      <c r="I3713" s="403">
        <v>1</v>
      </c>
      <c r="J3713" s="403" t="s">
        <v>1416</v>
      </c>
      <c r="K3713" s="403">
        <v>3264</v>
      </c>
      <c r="L3713" s="403">
        <v>1840</v>
      </c>
      <c r="M3713" s="403" t="s">
        <v>109</v>
      </c>
      <c r="N3713" s="403">
        <v>1280</v>
      </c>
      <c r="O3713" s="403">
        <v>720</v>
      </c>
      <c r="P3713" t="str">
        <f t="shared" si="457"/>
        <v>30fps 3264x1840 - 720p</v>
      </c>
      <c r="Q3713">
        <f t="shared" si="458"/>
        <v>20</v>
      </c>
      <c r="R3713" t="str">
        <f t="shared" si="459"/>
        <v/>
      </c>
      <c r="S3713" t="str">
        <f t="shared" si="460"/>
        <v/>
      </c>
      <c r="T3713" s="403" t="str">
        <f t="shared" si="461"/>
        <v>NDE-8503-RT</v>
      </c>
      <c r="U3713" s="403">
        <f t="shared" si="462"/>
        <v>1</v>
      </c>
      <c r="V3713" s="403" t="str">
        <f t="shared" si="463"/>
        <v>CPP_7_3</v>
      </c>
    </row>
    <row r="3714" spans="1:22">
      <c r="A3714" t="str">
        <f t="shared" ref="A3714:A3777" si="464">IF(AND(G3714&lt;&gt;"rotate 90°"),D3714,"")</f>
        <v>NDE-8503-RT</v>
      </c>
      <c r="B3714" s="403" t="s">
        <v>1410</v>
      </c>
      <c r="C3714" s="403" t="s">
        <v>582</v>
      </c>
      <c r="D3714" s="403" t="s">
        <v>1414</v>
      </c>
      <c r="E3714" s="403" t="s">
        <v>1412</v>
      </c>
      <c r="F3714" s="403" t="s">
        <v>1415</v>
      </c>
      <c r="G3714" s="403" t="s">
        <v>1466</v>
      </c>
      <c r="H3714" s="403" t="s">
        <v>1276</v>
      </c>
      <c r="I3714" s="403">
        <v>1</v>
      </c>
      <c r="J3714" s="403" t="s">
        <v>1416</v>
      </c>
      <c r="K3714" s="403">
        <v>3264</v>
      </c>
      <c r="L3714" s="403">
        <v>1840</v>
      </c>
      <c r="M3714" s="403" t="s">
        <v>1283</v>
      </c>
      <c r="N3714" s="403">
        <v>720</v>
      </c>
      <c r="O3714" s="403">
        <v>480</v>
      </c>
      <c r="P3714" t="str">
        <f t="shared" ref="P3714:P3777" si="465">LEFT(F3714,5)&amp;" "&amp;J3714&amp;" - "&amp;M3714</f>
        <v>30fps 3264x1840 - SD 4CIF resolution 4:3 format (cropped)</v>
      </c>
      <c r="Q3714">
        <f t="shared" ref="Q3714:Q3777" si="466">IF(A3713=A3714,Q3713,Q3713+1)</f>
        <v>20</v>
      </c>
      <c r="R3714" t="str">
        <f t="shared" ref="R3714:R3777" si="467">IF(Q3713&lt;&gt;Q3714,Q3714,"")</f>
        <v/>
      </c>
      <c r="S3714" t="str">
        <f t="shared" ref="S3714:S3777" si="468">IF(R3714&lt;&gt;"",B3714&amp;" ("&amp;D3714&amp;")","")</f>
        <v/>
      </c>
      <c r="T3714" s="403" t="str">
        <f t="shared" ref="T3714:T3777" si="469">D3714</f>
        <v>NDE-8503-RT</v>
      </c>
      <c r="U3714" s="403">
        <f t="shared" ref="U3714:U3777" si="470">I3714</f>
        <v>1</v>
      </c>
      <c r="V3714" s="403" t="str">
        <f t="shared" ref="V3714:V3777" si="471">C3714</f>
        <v>CPP_7_3</v>
      </c>
    </row>
    <row r="3715" spans="1:22">
      <c r="A3715" t="str">
        <f t="shared" si="464"/>
        <v>NDE-8503-RT</v>
      </c>
      <c r="B3715" s="403" t="s">
        <v>1410</v>
      </c>
      <c r="C3715" s="403" t="s">
        <v>582</v>
      </c>
      <c r="D3715" s="403" t="s">
        <v>1414</v>
      </c>
      <c r="E3715" s="403" t="s">
        <v>1412</v>
      </c>
      <c r="F3715" s="403" t="s">
        <v>1415</v>
      </c>
      <c r="G3715" s="403" t="s">
        <v>1466</v>
      </c>
      <c r="H3715" s="403" t="s">
        <v>1276</v>
      </c>
      <c r="I3715" s="403">
        <v>1</v>
      </c>
      <c r="J3715" s="403" t="s">
        <v>1416</v>
      </c>
      <c r="K3715" s="403">
        <v>3264</v>
      </c>
      <c r="L3715" s="403">
        <v>1840</v>
      </c>
      <c r="M3715" s="403" t="s">
        <v>1279</v>
      </c>
      <c r="N3715" s="403">
        <v>768</v>
      </c>
      <c r="O3715" s="403">
        <v>432</v>
      </c>
      <c r="P3715" t="str">
        <f t="shared" si="465"/>
        <v>30fps 3264x1840 - SD ROI PTZ</v>
      </c>
      <c r="Q3715">
        <f t="shared" si="466"/>
        <v>20</v>
      </c>
      <c r="R3715" t="str">
        <f t="shared" si="467"/>
        <v/>
      </c>
      <c r="S3715" t="str">
        <f t="shared" si="468"/>
        <v/>
      </c>
      <c r="T3715" s="403" t="str">
        <f t="shared" si="469"/>
        <v>NDE-8503-RT</v>
      </c>
      <c r="U3715" s="403">
        <f t="shared" si="470"/>
        <v>1</v>
      </c>
      <c r="V3715" s="403" t="str">
        <f t="shared" si="471"/>
        <v>CPP_7_3</v>
      </c>
    </row>
    <row r="3716" spans="1:22">
      <c r="A3716" t="str">
        <f t="shared" si="464"/>
        <v>NDE-8503-RT</v>
      </c>
      <c r="B3716" s="403" t="s">
        <v>1410</v>
      </c>
      <c r="C3716" s="403" t="s">
        <v>582</v>
      </c>
      <c r="D3716" s="403" t="s">
        <v>1414</v>
      </c>
      <c r="E3716" s="403" t="s">
        <v>1412</v>
      </c>
      <c r="F3716" s="403" t="s">
        <v>1415</v>
      </c>
      <c r="G3716" s="403" t="s">
        <v>1466</v>
      </c>
      <c r="H3716" s="403" t="s">
        <v>1276</v>
      </c>
      <c r="I3716" s="403">
        <v>1</v>
      </c>
      <c r="J3716" s="403" t="s">
        <v>1416</v>
      </c>
      <c r="K3716" s="403">
        <v>3264</v>
      </c>
      <c r="L3716" s="403">
        <v>1840</v>
      </c>
      <c r="M3716" s="403" t="s">
        <v>1284</v>
      </c>
      <c r="N3716" s="403">
        <v>640</v>
      </c>
      <c r="O3716" s="403">
        <v>480</v>
      </c>
      <c r="P3716" t="str">
        <f t="shared" si="465"/>
        <v>30fps 3264x1840 - SD VGA (cropped)</v>
      </c>
      <c r="Q3716">
        <f t="shared" si="466"/>
        <v>20</v>
      </c>
      <c r="R3716" t="str">
        <f t="shared" si="467"/>
        <v/>
      </c>
      <c r="S3716" t="str">
        <f t="shared" si="468"/>
        <v/>
      </c>
      <c r="T3716" s="403" t="str">
        <f t="shared" si="469"/>
        <v>NDE-8503-RT</v>
      </c>
      <c r="U3716" s="403">
        <f t="shared" si="470"/>
        <v>1</v>
      </c>
      <c r="V3716" s="403" t="str">
        <f t="shared" si="471"/>
        <v>CPP_7_3</v>
      </c>
    </row>
    <row r="3717" spans="1:22">
      <c r="A3717" t="str">
        <f t="shared" si="464"/>
        <v>NDE-8503-RT</v>
      </c>
      <c r="B3717" s="403" t="s">
        <v>1410</v>
      </c>
      <c r="C3717" s="403" t="s">
        <v>582</v>
      </c>
      <c r="D3717" s="403" t="s">
        <v>1414</v>
      </c>
      <c r="E3717" s="403" t="s">
        <v>1412</v>
      </c>
      <c r="F3717" s="403" t="s">
        <v>1415</v>
      </c>
      <c r="G3717" s="403" t="s">
        <v>1466</v>
      </c>
      <c r="H3717" s="403" t="s">
        <v>1276</v>
      </c>
      <c r="I3717" s="403">
        <v>1</v>
      </c>
      <c r="J3717" s="403" t="s">
        <v>1416</v>
      </c>
      <c r="K3717" s="403">
        <v>3264</v>
      </c>
      <c r="L3717" s="403">
        <v>1840</v>
      </c>
      <c r="M3717" s="403" t="s">
        <v>1285</v>
      </c>
      <c r="N3717" s="403">
        <v>1280</v>
      </c>
      <c r="O3717" s="403">
        <v>1024</v>
      </c>
      <c r="P3717" t="str">
        <f t="shared" si="465"/>
        <v>30fps 3264x1840 - 1280x1024 5:4 (cropped)</v>
      </c>
      <c r="Q3717">
        <f t="shared" si="466"/>
        <v>20</v>
      </c>
      <c r="R3717" t="str">
        <f t="shared" si="467"/>
        <v/>
      </c>
      <c r="S3717" t="str">
        <f t="shared" si="468"/>
        <v/>
      </c>
      <c r="T3717" s="403" t="str">
        <f t="shared" si="469"/>
        <v>NDE-8503-RT</v>
      </c>
      <c r="U3717" s="403">
        <f t="shared" si="470"/>
        <v>1</v>
      </c>
      <c r="V3717" s="403" t="str">
        <f t="shared" si="471"/>
        <v>CPP_7_3</v>
      </c>
    </row>
    <row r="3718" spans="1:22">
      <c r="A3718" t="str">
        <f t="shared" si="464"/>
        <v>NDE-8503-RT</v>
      </c>
      <c r="B3718" s="403" t="s">
        <v>1410</v>
      </c>
      <c r="C3718" s="403" t="s">
        <v>582</v>
      </c>
      <c r="D3718" s="403" t="s">
        <v>1414</v>
      </c>
      <c r="E3718" s="403" t="s">
        <v>1412</v>
      </c>
      <c r="F3718" s="403" t="s">
        <v>1415</v>
      </c>
      <c r="G3718" s="403" t="s">
        <v>1466</v>
      </c>
      <c r="H3718" s="403" t="s">
        <v>1281</v>
      </c>
      <c r="I3718" s="403">
        <v>1</v>
      </c>
      <c r="J3718" s="403" t="s">
        <v>1416</v>
      </c>
      <c r="K3718" s="403">
        <v>3264</v>
      </c>
      <c r="L3718" s="403">
        <v>1840</v>
      </c>
      <c r="M3718" s="403" t="s">
        <v>111</v>
      </c>
      <c r="N3718" s="403">
        <v>768</v>
      </c>
      <c r="O3718" s="403">
        <v>432</v>
      </c>
      <c r="P3718" t="str">
        <f t="shared" si="465"/>
        <v>30fps 3264x1840 - SD</v>
      </c>
      <c r="Q3718">
        <f t="shared" si="466"/>
        <v>20</v>
      </c>
      <c r="R3718" t="str">
        <f t="shared" si="467"/>
        <v/>
      </c>
      <c r="S3718" t="str">
        <f t="shared" si="468"/>
        <v/>
      </c>
      <c r="T3718" s="403" t="str">
        <f t="shared" si="469"/>
        <v>NDE-8503-RT</v>
      </c>
      <c r="U3718" s="403">
        <f t="shared" si="470"/>
        <v>1</v>
      </c>
      <c r="V3718" s="403" t="str">
        <f t="shared" si="471"/>
        <v>CPP_7_3</v>
      </c>
    </row>
    <row r="3719" spans="1:22">
      <c r="A3719" t="str">
        <f t="shared" si="464"/>
        <v>NDE-8503-RT</v>
      </c>
      <c r="B3719" s="403" t="s">
        <v>1410</v>
      </c>
      <c r="C3719" s="403" t="s">
        <v>582</v>
      </c>
      <c r="D3719" s="403" t="s">
        <v>1414</v>
      </c>
      <c r="E3719" s="403" t="s">
        <v>1412</v>
      </c>
      <c r="F3719" s="403" t="s">
        <v>1415</v>
      </c>
      <c r="G3719" s="403" t="s">
        <v>1466</v>
      </c>
      <c r="H3719" s="403" t="s">
        <v>1281</v>
      </c>
      <c r="I3719" s="403">
        <v>1</v>
      </c>
      <c r="J3719" s="403" t="s">
        <v>1416</v>
      </c>
      <c r="K3719" s="403">
        <v>3264</v>
      </c>
      <c r="L3719" s="403">
        <v>1840</v>
      </c>
      <c r="M3719" s="403" t="s">
        <v>1280</v>
      </c>
      <c r="N3719" s="403">
        <v>3264</v>
      </c>
      <c r="O3719" s="403">
        <v>1840</v>
      </c>
      <c r="P3719" t="str">
        <f t="shared" si="465"/>
        <v>30fps 3264x1840 - copy other stream</v>
      </c>
      <c r="Q3719">
        <f t="shared" si="466"/>
        <v>20</v>
      </c>
      <c r="R3719" t="str">
        <f t="shared" si="467"/>
        <v/>
      </c>
      <c r="S3719" t="str">
        <f t="shared" si="468"/>
        <v/>
      </c>
      <c r="T3719" s="403" t="str">
        <f t="shared" si="469"/>
        <v>NDE-8503-RT</v>
      </c>
      <c r="U3719" s="403">
        <f t="shared" si="470"/>
        <v>1</v>
      </c>
      <c r="V3719" s="403" t="str">
        <f t="shared" si="471"/>
        <v>CPP_7_3</v>
      </c>
    </row>
    <row r="3720" spans="1:22">
      <c r="A3720" t="str">
        <f t="shared" si="464"/>
        <v>NDE-8503-RT</v>
      </c>
      <c r="B3720" s="403" t="s">
        <v>1410</v>
      </c>
      <c r="C3720" s="403" t="s">
        <v>582</v>
      </c>
      <c r="D3720" s="403" t="s">
        <v>1414</v>
      </c>
      <c r="E3720" s="403" t="s">
        <v>1412</v>
      </c>
      <c r="F3720" s="403" t="s">
        <v>1415</v>
      </c>
      <c r="G3720" s="403" t="s">
        <v>1466</v>
      </c>
      <c r="H3720" s="403" t="s">
        <v>1281</v>
      </c>
      <c r="I3720" s="403">
        <v>1</v>
      </c>
      <c r="J3720" s="403" t="s">
        <v>1416</v>
      </c>
      <c r="K3720" s="403">
        <v>3264</v>
      </c>
      <c r="L3720" s="403">
        <v>1840</v>
      </c>
      <c r="M3720" s="403" t="s">
        <v>109</v>
      </c>
      <c r="N3720" s="403">
        <v>1280</v>
      </c>
      <c r="O3720" s="403">
        <v>720</v>
      </c>
      <c r="P3720" t="str">
        <f t="shared" si="465"/>
        <v>30fps 3264x1840 - 720p</v>
      </c>
      <c r="Q3720">
        <f t="shared" si="466"/>
        <v>20</v>
      </c>
      <c r="R3720" t="str">
        <f t="shared" si="467"/>
        <v/>
      </c>
      <c r="S3720" t="str">
        <f t="shared" si="468"/>
        <v/>
      </c>
      <c r="T3720" s="403" t="str">
        <f t="shared" si="469"/>
        <v>NDE-8503-RT</v>
      </c>
      <c r="U3720" s="403">
        <f t="shared" si="470"/>
        <v>1</v>
      </c>
      <c r="V3720" s="403" t="str">
        <f t="shared" si="471"/>
        <v>CPP_7_3</v>
      </c>
    </row>
    <row r="3721" spans="1:22">
      <c r="A3721" t="str">
        <f t="shared" si="464"/>
        <v>NDE-8503-RT</v>
      </c>
      <c r="B3721" s="403" t="s">
        <v>1410</v>
      </c>
      <c r="C3721" s="403" t="s">
        <v>582</v>
      </c>
      <c r="D3721" s="403" t="s">
        <v>1414</v>
      </c>
      <c r="E3721" s="403" t="s">
        <v>1412</v>
      </c>
      <c r="F3721" s="403" t="s">
        <v>1415</v>
      </c>
      <c r="G3721" s="403" t="s">
        <v>1466</v>
      </c>
      <c r="H3721" s="403" t="s">
        <v>1281</v>
      </c>
      <c r="I3721" s="403">
        <v>1</v>
      </c>
      <c r="J3721" s="403" t="s">
        <v>1416</v>
      </c>
      <c r="K3721" s="403">
        <v>3264</v>
      </c>
      <c r="L3721" s="403">
        <v>1840</v>
      </c>
      <c r="M3721" s="403" t="s">
        <v>1283</v>
      </c>
      <c r="N3721" s="403">
        <v>720</v>
      </c>
      <c r="O3721" s="403">
        <v>480</v>
      </c>
      <c r="P3721" t="str">
        <f t="shared" si="465"/>
        <v>30fps 3264x1840 - SD 4CIF resolution 4:3 format (cropped)</v>
      </c>
      <c r="Q3721">
        <f t="shared" si="466"/>
        <v>20</v>
      </c>
      <c r="R3721" t="str">
        <f t="shared" si="467"/>
        <v/>
      </c>
      <c r="S3721" t="str">
        <f t="shared" si="468"/>
        <v/>
      </c>
      <c r="T3721" s="403" t="str">
        <f t="shared" si="469"/>
        <v>NDE-8503-RT</v>
      </c>
      <c r="U3721" s="403">
        <f t="shared" si="470"/>
        <v>1</v>
      </c>
      <c r="V3721" s="403" t="str">
        <f t="shared" si="471"/>
        <v>CPP_7_3</v>
      </c>
    </row>
    <row r="3722" spans="1:22">
      <c r="A3722" t="str">
        <f t="shared" si="464"/>
        <v>NDE-8503-RT</v>
      </c>
      <c r="B3722" s="403" t="s">
        <v>1410</v>
      </c>
      <c r="C3722" s="403" t="s">
        <v>582</v>
      </c>
      <c r="D3722" s="403" t="s">
        <v>1414</v>
      </c>
      <c r="E3722" s="403" t="s">
        <v>1412</v>
      </c>
      <c r="F3722" s="403" t="s">
        <v>1415</v>
      </c>
      <c r="G3722" s="403" t="s">
        <v>1466</v>
      </c>
      <c r="H3722" s="403" t="s">
        <v>1281</v>
      </c>
      <c r="I3722" s="403">
        <v>1</v>
      </c>
      <c r="J3722" s="403" t="s">
        <v>1416</v>
      </c>
      <c r="K3722" s="403">
        <v>3264</v>
      </c>
      <c r="L3722" s="403">
        <v>1840</v>
      </c>
      <c r="M3722" s="403" t="s">
        <v>1279</v>
      </c>
      <c r="N3722" s="403">
        <v>768</v>
      </c>
      <c r="O3722" s="403">
        <v>432</v>
      </c>
      <c r="P3722" t="str">
        <f t="shared" si="465"/>
        <v>30fps 3264x1840 - SD ROI PTZ</v>
      </c>
      <c r="Q3722">
        <f t="shared" si="466"/>
        <v>20</v>
      </c>
      <c r="R3722" t="str">
        <f t="shared" si="467"/>
        <v/>
      </c>
      <c r="S3722" t="str">
        <f t="shared" si="468"/>
        <v/>
      </c>
      <c r="T3722" s="403" t="str">
        <f t="shared" si="469"/>
        <v>NDE-8503-RT</v>
      </c>
      <c r="U3722" s="403">
        <f t="shared" si="470"/>
        <v>1</v>
      </c>
      <c r="V3722" s="403" t="str">
        <f t="shared" si="471"/>
        <v>CPP_7_3</v>
      </c>
    </row>
    <row r="3723" spans="1:22">
      <c r="A3723" t="str">
        <f t="shared" si="464"/>
        <v>NDE-8503-RT</v>
      </c>
      <c r="B3723" s="403" t="s">
        <v>1410</v>
      </c>
      <c r="C3723" s="403" t="s">
        <v>582</v>
      </c>
      <c r="D3723" s="403" t="s">
        <v>1414</v>
      </c>
      <c r="E3723" s="403" t="s">
        <v>1412</v>
      </c>
      <c r="F3723" s="403" t="s">
        <v>1415</v>
      </c>
      <c r="G3723" s="403" t="s">
        <v>1466</v>
      </c>
      <c r="H3723" s="403" t="s">
        <v>1281</v>
      </c>
      <c r="I3723" s="403">
        <v>1</v>
      </c>
      <c r="J3723" s="403" t="s">
        <v>1416</v>
      </c>
      <c r="K3723" s="403">
        <v>3264</v>
      </c>
      <c r="L3723" s="403">
        <v>1840</v>
      </c>
      <c r="M3723" s="403" t="s">
        <v>1284</v>
      </c>
      <c r="N3723" s="403">
        <v>640</v>
      </c>
      <c r="O3723" s="403">
        <v>480</v>
      </c>
      <c r="P3723" t="str">
        <f t="shared" si="465"/>
        <v>30fps 3264x1840 - SD VGA (cropped)</v>
      </c>
      <c r="Q3723">
        <f t="shared" si="466"/>
        <v>20</v>
      </c>
      <c r="R3723" t="str">
        <f t="shared" si="467"/>
        <v/>
      </c>
      <c r="S3723" t="str">
        <f t="shared" si="468"/>
        <v/>
      </c>
      <c r="T3723" s="403" t="str">
        <f t="shared" si="469"/>
        <v>NDE-8503-RT</v>
      </c>
      <c r="U3723" s="403">
        <f t="shared" si="470"/>
        <v>1</v>
      </c>
      <c r="V3723" s="403" t="str">
        <f t="shared" si="471"/>
        <v>CPP_7_3</v>
      </c>
    </row>
    <row r="3724" spans="1:22">
      <c r="A3724" t="str">
        <f t="shared" si="464"/>
        <v>NDE-8503-RT</v>
      </c>
      <c r="B3724" s="403" t="s">
        <v>1410</v>
      </c>
      <c r="C3724" s="403" t="s">
        <v>582</v>
      </c>
      <c r="D3724" s="403" t="s">
        <v>1414</v>
      </c>
      <c r="E3724" s="403" t="s">
        <v>1412</v>
      </c>
      <c r="F3724" s="403" t="s">
        <v>1415</v>
      </c>
      <c r="G3724" s="403" t="s">
        <v>1466</v>
      </c>
      <c r="H3724" s="403" t="s">
        <v>1281</v>
      </c>
      <c r="I3724" s="403">
        <v>1</v>
      </c>
      <c r="J3724" s="403" t="s">
        <v>1416</v>
      </c>
      <c r="K3724" s="403">
        <v>3264</v>
      </c>
      <c r="L3724" s="403">
        <v>1840</v>
      </c>
      <c r="M3724" s="403" t="s">
        <v>1285</v>
      </c>
      <c r="N3724" s="403">
        <v>1280</v>
      </c>
      <c r="O3724" s="403">
        <v>1024</v>
      </c>
      <c r="P3724" t="str">
        <f t="shared" si="465"/>
        <v>30fps 3264x1840 - 1280x1024 5:4 (cropped)</v>
      </c>
      <c r="Q3724">
        <f t="shared" si="466"/>
        <v>20</v>
      </c>
      <c r="R3724" t="str">
        <f t="shared" si="467"/>
        <v/>
      </c>
      <c r="S3724" t="str">
        <f t="shared" si="468"/>
        <v/>
      </c>
      <c r="T3724" s="403" t="str">
        <f t="shared" si="469"/>
        <v>NDE-8503-RT</v>
      </c>
      <c r="U3724" s="403">
        <f t="shared" si="470"/>
        <v>1</v>
      </c>
      <c r="V3724" s="403" t="str">
        <f t="shared" si="471"/>
        <v>CPP_7_3</v>
      </c>
    </row>
    <row r="3725" spans="1:22">
      <c r="A3725" t="str">
        <f t="shared" si="464"/>
        <v>NDE-8503-RT</v>
      </c>
      <c r="B3725" s="403" t="s">
        <v>1410</v>
      </c>
      <c r="C3725" s="403" t="s">
        <v>582</v>
      </c>
      <c r="D3725" s="403" t="s">
        <v>1414</v>
      </c>
      <c r="E3725" s="403" t="s">
        <v>1412</v>
      </c>
      <c r="F3725" s="403" t="s">
        <v>1417</v>
      </c>
      <c r="G3725" s="403" t="s">
        <v>1466</v>
      </c>
      <c r="H3725" s="403" t="s">
        <v>1276</v>
      </c>
      <c r="I3725" s="403">
        <v>1</v>
      </c>
      <c r="J3725" s="403" t="s">
        <v>1416</v>
      </c>
      <c r="K3725" s="403">
        <v>3264</v>
      </c>
      <c r="L3725" s="403">
        <v>1840</v>
      </c>
      <c r="M3725" s="403" t="s">
        <v>111</v>
      </c>
      <c r="N3725" s="403">
        <v>768</v>
      </c>
      <c r="O3725" s="403">
        <v>432</v>
      </c>
      <c r="P3725" t="str">
        <f t="shared" si="465"/>
        <v>25fps 3264x1840 - SD</v>
      </c>
      <c r="Q3725">
        <f t="shared" si="466"/>
        <v>20</v>
      </c>
      <c r="R3725" t="str">
        <f t="shared" si="467"/>
        <v/>
      </c>
      <c r="S3725" t="str">
        <f t="shared" si="468"/>
        <v/>
      </c>
      <c r="T3725" s="403" t="str">
        <f t="shared" si="469"/>
        <v>NDE-8503-RT</v>
      </c>
      <c r="U3725" s="403">
        <f t="shared" si="470"/>
        <v>1</v>
      </c>
      <c r="V3725" s="403" t="str">
        <f t="shared" si="471"/>
        <v>CPP_7_3</v>
      </c>
    </row>
    <row r="3726" spans="1:22">
      <c r="A3726" t="str">
        <f t="shared" si="464"/>
        <v>NDE-8503-RT</v>
      </c>
      <c r="B3726" s="403" t="s">
        <v>1410</v>
      </c>
      <c r="C3726" s="403" t="s">
        <v>582</v>
      </c>
      <c r="D3726" s="403" t="s">
        <v>1414</v>
      </c>
      <c r="E3726" s="403" t="s">
        <v>1412</v>
      </c>
      <c r="F3726" s="403" t="s">
        <v>1417</v>
      </c>
      <c r="G3726" s="403" t="s">
        <v>1466</v>
      </c>
      <c r="H3726" s="403" t="s">
        <v>1276</v>
      </c>
      <c r="I3726" s="403">
        <v>1</v>
      </c>
      <c r="J3726" s="403" t="s">
        <v>1416</v>
      </c>
      <c r="K3726" s="403">
        <v>3264</v>
      </c>
      <c r="L3726" s="403">
        <v>1840</v>
      </c>
      <c r="M3726" s="403" t="s">
        <v>1601</v>
      </c>
      <c r="N3726" s="403">
        <v>3264</v>
      </c>
      <c r="O3726" s="403">
        <v>1840</v>
      </c>
      <c r="P3726" t="str">
        <f t="shared" si="465"/>
        <v>25fps 3264x1840 - 3264x1840 @ SKIP3</v>
      </c>
      <c r="Q3726">
        <f t="shared" si="466"/>
        <v>20</v>
      </c>
      <c r="R3726" t="str">
        <f t="shared" si="467"/>
        <v/>
      </c>
      <c r="S3726" t="str">
        <f t="shared" si="468"/>
        <v/>
      </c>
      <c r="T3726" s="403" t="str">
        <f t="shared" si="469"/>
        <v>NDE-8503-RT</v>
      </c>
      <c r="U3726" s="403">
        <f t="shared" si="470"/>
        <v>1</v>
      </c>
      <c r="V3726" s="403" t="str">
        <f t="shared" si="471"/>
        <v>CPP_7_3</v>
      </c>
    </row>
    <row r="3727" spans="1:22">
      <c r="A3727" t="str">
        <f t="shared" si="464"/>
        <v>NDE-8503-RT</v>
      </c>
      <c r="B3727" s="403" t="s">
        <v>1410</v>
      </c>
      <c r="C3727" s="403" t="s">
        <v>582</v>
      </c>
      <c r="D3727" s="403" t="s">
        <v>1414</v>
      </c>
      <c r="E3727" s="403" t="s">
        <v>1412</v>
      </c>
      <c r="F3727" s="403" t="s">
        <v>1417</v>
      </c>
      <c r="G3727" s="403" t="s">
        <v>1466</v>
      </c>
      <c r="H3727" s="403" t="s">
        <v>1276</v>
      </c>
      <c r="I3727" s="403">
        <v>1</v>
      </c>
      <c r="J3727" s="403" t="s">
        <v>1416</v>
      </c>
      <c r="K3727" s="403">
        <v>3264</v>
      </c>
      <c r="L3727" s="403">
        <v>1840</v>
      </c>
      <c r="M3727" s="403" t="s">
        <v>1280</v>
      </c>
      <c r="N3727" s="403">
        <v>3264</v>
      </c>
      <c r="O3727" s="403">
        <v>1840</v>
      </c>
      <c r="P3727" t="str">
        <f t="shared" si="465"/>
        <v>25fps 3264x1840 - copy other stream</v>
      </c>
      <c r="Q3727">
        <f t="shared" si="466"/>
        <v>20</v>
      </c>
      <c r="R3727" t="str">
        <f t="shared" si="467"/>
        <v/>
      </c>
      <c r="S3727" t="str">
        <f t="shared" si="468"/>
        <v/>
      </c>
      <c r="T3727" s="403" t="str">
        <f t="shared" si="469"/>
        <v>NDE-8503-RT</v>
      </c>
      <c r="U3727" s="403">
        <f t="shared" si="470"/>
        <v>1</v>
      </c>
      <c r="V3727" s="403" t="str">
        <f t="shared" si="471"/>
        <v>CPP_7_3</v>
      </c>
    </row>
    <row r="3728" spans="1:22">
      <c r="A3728" t="str">
        <f t="shared" si="464"/>
        <v>NDE-8503-RT</v>
      </c>
      <c r="B3728" s="403" t="s">
        <v>1410</v>
      </c>
      <c r="C3728" s="403" t="s">
        <v>582</v>
      </c>
      <c r="D3728" s="403" t="s">
        <v>1414</v>
      </c>
      <c r="E3728" s="403" t="s">
        <v>1412</v>
      </c>
      <c r="F3728" s="403" t="s">
        <v>1417</v>
      </c>
      <c r="G3728" s="403" t="s">
        <v>1466</v>
      </c>
      <c r="H3728" s="403" t="s">
        <v>1276</v>
      </c>
      <c r="I3728" s="403">
        <v>1</v>
      </c>
      <c r="J3728" s="403" t="s">
        <v>1416</v>
      </c>
      <c r="K3728" s="403">
        <v>3264</v>
      </c>
      <c r="L3728" s="403">
        <v>1840</v>
      </c>
      <c r="M3728" s="403" t="s">
        <v>110</v>
      </c>
      <c r="N3728" s="403">
        <v>1920</v>
      </c>
      <c r="O3728" s="403">
        <v>1080</v>
      </c>
      <c r="P3728" t="str">
        <f t="shared" si="465"/>
        <v>25fps 3264x1840 - 1080p</v>
      </c>
      <c r="Q3728">
        <f t="shared" si="466"/>
        <v>20</v>
      </c>
      <c r="R3728" t="str">
        <f t="shared" si="467"/>
        <v/>
      </c>
      <c r="S3728" t="str">
        <f t="shared" si="468"/>
        <v/>
      </c>
      <c r="T3728" s="403" t="str">
        <f t="shared" si="469"/>
        <v>NDE-8503-RT</v>
      </c>
      <c r="U3728" s="403">
        <f t="shared" si="470"/>
        <v>1</v>
      </c>
      <c r="V3728" s="403" t="str">
        <f t="shared" si="471"/>
        <v>CPP_7_3</v>
      </c>
    </row>
    <row r="3729" spans="1:22">
      <c r="A3729" t="str">
        <f t="shared" si="464"/>
        <v>NDE-8503-RT</v>
      </c>
      <c r="B3729" s="403" t="s">
        <v>1410</v>
      </c>
      <c r="C3729" s="403" t="s">
        <v>582</v>
      </c>
      <c r="D3729" s="403" t="s">
        <v>1414</v>
      </c>
      <c r="E3729" s="403" t="s">
        <v>1412</v>
      </c>
      <c r="F3729" s="403" t="s">
        <v>1417</v>
      </c>
      <c r="G3729" s="403" t="s">
        <v>1466</v>
      </c>
      <c r="H3729" s="403" t="s">
        <v>1276</v>
      </c>
      <c r="I3729" s="403">
        <v>1</v>
      </c>
      <c r="J3729" s="403" t="s">
        <v>1416</v>
      </c>
      <c r="K3729" s="403">
        <v>3264</v>
      </c>
      <c r="L3729" s="403">
        <v>1840</v>
      </c>
      <c r="M3729" s="403" t="s">
        <v>109</v>
      </c>
      <c r="N3729" s="403">
        <v>1280</v>
      </c>
      <c r="O3729" s="403">
        <v>720</v>
      </c>
      <c r="P3729" t="str">
        <f t="shared" si="465"/>
        <v>25fps 3264x1840 - 720p</v>
      </c>
      <c r="Q3729">
        <f t="shared" si="466"/>
        <v>20</v>
      </c>
      <c r="R3729" t="str">
        <f t="shared" si="467"/>
        <v/>
      </c>
      <c r="S3729" t="str">
        <f t="shared" si="468"/>
        <v/>
      </c>
      <c r="T3729" s="403" t="str">
        <f t="shared" si="469"/>
        <v>NDE-8503-RT</v>
      </c>
      <c r="U3729" s="403">
        <f t="shared" si="470"/>
        <v>1</v>
      </c>
      <c r="V3729" s="403" t="str">
        <f t="shared" si="471"/>
        <v>CPP_7_3</v>
      </c>
    </row>
    <row r="3730" spans="1:22">
      <c r="A3730" t="str">
        <f t="shared" si="464"/>
        <v>NDE-8503-RT</v>
      </c>
      <c r="B3730" s="403" t="s">
        <v>1410</v>
      </c>
      <c r="C3730" s="403" t="s">
        <v>582</v>
      </c>
      <c r="D3730" s="403" t="s">
        <v>1414</v>
      </c>
      <c r="E3730" s="403" t="s">
        <v>1412</v>
      </c>
      <c r="F3730" s="403" t="s">
        <v>1417</v>
      </c>
      <c r="G3730" s="403" t="s">
        <v>1466</v>
      </c>
      <c r="H3730" s="403" t="s">
        <v>1276</v>
      </c>
      <c r="I3730" s="403">
        <v>1</v>
      </c>
      <c r="J3730" s="403" t="s">
        <v>1416</v>
      </c>
      <c r="K3730" s="403">
        <v>3264</v>
      </c>
      <c r="L3730" s="403">
        <v>1840</v>
      </c>
      <c r="M3730" s="403" t="s">
        <v>1283</v>
      </c>
      <c r="N3730" s="403">
        <v>720</v>
      </c>
      <c r="O3730" s="403">
        <v>576</v>
      </c>
      <c r="P3730" t="str">
        <f t="shared" si="465"/>
        <v>25fps 3264x1840 - SD 4CIF resolution 4:3 format (cropped)</v>
      </c>
      <c r="Q3730">
        <f t="shared" si="466"/>
        <v>20</v>
      </c>
      <c r="R3730" t="str">
        <f t="shared" si="467"/>
        <v/>
      </c>
      <c r="S3730" t="str">
        <f t="shared" si="468"/>
        <v/>
      </c>
      <c r="T3730" s="403" t="str">
        <f t="shared" si="469"/>
        <v>NDE-8503-RT</v>
      </c>
      <c r="U3730" s="403">
        <f t="shared" si="470"/>
        <v>1</v>
      </c>
      <c r="V3730" s="403" t="str">
        <f t="shared" si="471"/>
        <v>CPP_7_3</v>
      </c>
    </row>
    <row r="3731" spans="1:22">
      <c r="A3731" t="str">
        <f t="shared" si="464"/>
        <v>NDE-8503-RT</v>
      </c>
      <c r="B3731" s="403" t="s">
        <v>1410</v>
      </c>
      <c r="C3731" s="403" t="s">
        <v>582</v>
      </c>
      <c r="D3731" s="403" t="s">
        <v>1414</v>
      </c>
      <c r="E3731" s="403" t="s">
        <v>1412</v>
      </c>
      <c r="F3731" s="403" t="s">
        <v>1417</v>
      </c>
      <c r="G3731" s="403" t="s">
        <v>1466</v>
      </c>
      <c r="H3731" s="403" t="s">
        <v>1276</v>
      </c>
      <c r="I3731" s="403">
        <v>1</v>
      </c>
      <c r="J3731" s="403" t="s">
        <v>1416</v>
      </c>
      <c r="K3731" s="403">
        <v>3264</v>
      </c>
      <c r="L3731" s="403">
        <v>1840</v>
      </c>
      <c r="M3731" s="403" t="s">
        <v>1279</v>
      </c>
      <c r="N3731" s="403">
        <v>768</v>
      </c>
      <c r="O3731" s="403">
        <v>432</v>
      </c>
      <c r="P3731" t="str">
        <f t="shared" si="465"/>
        <v>25fps 3264x1840 - SD ROI PTZ</v>
      </c>
      <c r="Q3731">
        <f t="shared" si="466"/>
        <v>20</v>
      </c>
      <c r="R3731" t="str">
        <f t="shared" si="467"/>
        <v/>
      </c>
      <c r="S3731" t="str">
        <f t="shared" si="468"/>
        <v/>
      </c>
      <c r="T3731" s="403" t="str">
        <f t="shared" si="469"/>
        <v>NDE-8503-RT</v>
      </c>
      <c r="U3731" s="403">
        <f t="shared" si="470"/>
        <v>1</v>
      </c>
      <c r="V3731" s="403" t="str">
        <f t="shared" si="471"/>
        <v>CPP_7_3</v>
      </c>
    </row>
    <row r="3732" spans="1:22">
      <c r="A3732" t="str">
        <f t="shared" si="464"/>
        <v>NDE-8503-RT</v>
      </c>
      <c r="B3732" s="403" t="s">
        <v>1410</v>
      </c>
      <c r="C3732" s="403" t="s">
        <v>582</v>
      </c>
      <c r="D3732" s="403" t="s">
        <v>1414</v>
      </c>
      <c r="E3732" s="403" t="s">
        <v>1412</v>
      </c>
      <c r="F3732" s="403" t="s">
        <v>1417</v>
      </c>
      <c r="G3732" s="403" t="s">
        <v>1466</v>
      </c>
      <c r="H3732" s="403" t="s">
        <v>1276</v>
      </c>
      <c r="I3732" s="403">
        <v>1</v>
      </c>
      <c r="J3732" s="403" t="s">
        <v>1416</v>
      </c>
      <c r="K3732" s="403">
        <v>3264</v>
      </c>
      <c r="L3732" s="403">
        <v>1840</v>
      </c>
      <c r="M3732" s="403" t="s">
        <v>1284</v>
      </c>
      <c r="N3732" s="403">
        <v>640</v>
      </c>
      <c r="O3732" s="403">
        <v>480</v>
      </c>
      <c r="P3732" t="str">
        <f t="shared" si="465"/>
        <v>25fps 3264x1840 - SD VGA (cropped)</v>
      </c>
      <c r="Q3732">
        <f t="shared" si="466"/>
        <v>20</v>
      </c>
      <c r="R3732" t="str">
        <f t="shared" si="467"/>
        <v/>
      </c>
      <c r="S3732" t="str">
        <f t="shared" si="468"/>
        <v/>
      </c>
      <c r="T3732" s="403" t="str">
        <f t="shared" si="469"/>
        <v>NDE-8503-RT</v>
      </c>
      <c r="U3732" s="403">
        <f t="shared" si="470"/>
        <v>1</v>
      </c>
      <c r="V3732" s="403" t="str">
        <f t="shared" si="471"/>
        <v>CPP_7_3</v>
      </c>
    </row>
    <row r="3733" spans="1:22">
      <c r="A3733" t="str">
        <f t="shared" si="464"/>
        <v>NDE-8503-RT</v>
      </c>
      <c r="B3733" s="403" t="s">
        <v>1410</v>
      </c>
      <c r="C3733" s="403" t="s">
        <v>582</v>
      </c>
      <c r="D3733" s="403" t="s">
        <v>1414</v>
      </c>
      <c r="E3733" s="403" t="s">
        <v>1412</v>
      </c>
      <c r="F3733" s="403" t="s">
        <v>1417</v>
      </c>
      <c r="G3733" s="403" t="s">
        <v>1466</v>
      </c>
      <c r="H3733" s="403" t="s">
        <v>1276</v>
      </c>
      <c r="I3733" s="403">
        <v>1</v>
      </c>
      <c r="J3733" s="403" t="s">
        <v>1416</v>
      </c>
      <c r="K3733" s="403">
        <v>3264</v>
      </c>
      <c r="L3733" s="403">
        <v>1840</v>
      </c>
      <c r="M3733" s="403" t="s">
        <v>1285</v>
      </c>
      <c r="N3733" s="403">
        <v>1280</v>
      </c>
      <c r="O3733" s="403">
        <v>1024</v>
      </c>
      <c r="P3733" t="str">
        <f t="shared" si="465"/>
        <v>25fps 3264x1840 - 1280x1024 5:4 (cropped)</v>
      </c>
      <c r="Q3733">
        <f t="shared" si="466"/>
        <v>20</v>
      </c>
      <c r="R3733" t="str">
        <f t="shared" si="467"/>
        <v/>
      </c>
      <c r="S3733" t="str">
        <f t="shared" si="468"/>
        <v/>
      </c>
      <c r="T3733" s="403" t="str">
        <f t="shared" si="469"/>
        <v>NDE-8503-RT</v>
      </c>
      <c r="U3733" s="403">
        <f t="shared" si="470"/>
        <v>1</v>
      </c>
      <c r="V3733" s="403" t="str">
        <f t="shared" si="471"/>
        <v>CPP_7_3</v>
      </c>
    </row>
    <row r="3734" spans="1:22">
      <c r="A3734" t="str">
        <f t="shared" si="464"/>
        <v>NDE-8503-RT</v>
      </c>
      <c r="B3734" s="403" t="s">
        <v>1410</v>
      </c>
      <c r="C3734" s="403" t="s">
        <v>582</v>
      </c>
      <c r="D3734" s="403" t="s">
        <v>1414</v>
      </c>
      <c r="E3734" s="403" t="s">
        <v>1412</v>
      </c>
      <c r="F3734" s="403" t="s">
        <v>1417</v>
      </c>
      <c r="G3734" s="403" t="s">
        <v>1466</v>
      </c>
      <c r="H3734" s="403" t="s">
        <v>1276</v>
      </c>
      <c r="I3734" s="403">
        <v>1</v>
      </c>
      <c r="J3734" s="403" t="s">
        <v>1416</v>
      </c>
      <c r="K3734" s="403">
        <v>3264</v>
      </c>
      <c r="L3734" s="403">
        <v>1840</v>
      </c>
      <c r="M3734" s="403" t="s">
        <v>1383</v>
      </c>
      <c r="N3734" s="403">
        <v>1920</v>
      </c>
      <c r="O3734" s="403">
        <v>1440</v>
      </c>
      <c r="P3734" t="str">
        <f t="shared" si="465"/>
        <v>25fps 3264x1840 - 1920x1440_CROP</v>
      </c>
      <c r="Q3734">
        <f t="shared" si="466"/>
        <v>20</v>
      </c>
      <c r="R3734" t="str">
        <f t="shared" si="467"/>
        <v/>
      </c>
      <c r="S3734" t="str">
        <f t="shared" si="468"/>
        <v/>
      </c>
      <c r="T3734" s="403" t="str">
        <f t="shared" si="469"/>
        <v>NDE-8503-RT</v>
      </c>
      <c r="U3734" s="403">
        <f t="shared" si="470"/>
        <v>1</v>
      </c>
      <c r="V3734" s="403" t="str">
        <f t="shared" si="471"/>
        <v>CPP_7_3</v>
      </c>
    </row>
    <row r="3735" spans="1:22">
      <c r="A3735" t="str">
        <f t="shared" si="464"/>
        <v>NDE-8503-RT</v>
      </c>
      <c r="B3735" s="403" t="s">
        <v>1410</v>
      </c>
      <c r="C3735" s="403" t="s">
        <v>582</v>
      </c>
      <c r="D3735" s="403" t="s">
        <v>1414</v>
      </c>
      <c r="E3735" s="403" t="s">
        <v>1412</v>
      </c>
      <c r="F3735" s="403" t="s">
        <v>1417</v>
      </c>
      <c r="G3735" s="403" t="s">
        <v>1466</v>
      </c>
      <c r="H3735" s="403" t="s">
        <v>1281</v>
      </c>
      <c r="I3735" s="403">
        <v>1</v>
      </c>
      <c r="J3735" s="403" t="s">
        <v>1416</v>
      </c>
      <c r="K3735" s="403">
        <v>3264</v>
      </c>
      <c r="L3735" s="403">
        <v>1840</v>
      </c>
      <c r="M3735" s="403" t="s">
        <v>111</v>
      </c>
      <c r="N3735" s="403">
        <v>768</v>
      </c>
      <c r="O3735" s="403">
        <v>432</v>
      </c>
      <c r="P3735" t="str">
        <f t="shared" si="465"/>
        <v>25fps 3264x1840 - SD</v>
      </c>
      <c r="Q3735">
        <f t="shared" si="466"/>
        <v>20</v>
      </c>
      <c r="R3735" t="str">
        <f t="shared" si="467"/>
        <v/>
      </c>
      <c r="S3735" t="str">
        <f t="shared" si="468"/>
        <v/>
      </c>
      <c r="T3735" s="403" t="str">
        <f t="shared" si="469"/>
        <v>NDE-8503-RT</v>
      </c>
      <c r="U3735" s="403">
        <f t="shared" si="470"/>
        <v>1</v>
      </c>
      <c r="V3735" s="403" t="str">
        <f t="shared" si="471"/>
        <v>CPP_7_3</v>
      </c>
    </row>
    <row r="3736" spans="1:22">
      <c r="A3736" t="str">
        <f t="shared" si="464"/>
        <v>NDE-8503-RT</v>
      </c>
      <c r="B3736" s="403" t="s">
        <v>1410</v>
      </c>
      <c r="C3736" s="403" t="s">
        <v>582</v>
      </c>
      <c r="D3736" s="403" t="s">
        <v>1414</v>
      </c>
      <c r="E3736" s="403" t="s">
        <v>1412</v>
      </c>
      <c r="F3736" s="403" t="s">
        <v>1417</v>
      </c>
      <c r="G3736" s="403" t="s">
        <v>1466</v>
      </c>
      <c r="H3736" s="403" t="s">
        <v>1281</v>
      </c>
      <c r="I3736" s="403">
        <v>1</v>
      </c>
      <c r="J3736" s="403" t="s">
        <v>1416</v>
      </c>
      <c r="K3736" s="403">
        <v>3264</v>
      </c>
      <c r="L3736" s="403">
        <v>1840</v>
      </c>
      <c r="M3736" s="403" t="s">
        <v>1601</v>
      </c>
      <c r="N3736" s="403">
        <v>3264</v>
      </c>
      <c r="O3736" s="403">
        <v>1840</v>
      </c>
      <c r="P3736" t="str">
        <f t="shared" si="465"/>
        <v>25fps 3264x1840 - 3264x1840 @ SKIP3</v>
      </c>
      <c r="Q3736">
        <f t="shared" si="466"/>
        <v>20</v>
      </c>
      <c r="R3736" t="str">
        <f t="shared" si="467"/>
        <v/>
      </c>
      <c r="S3736" t="str">
        <f t="shared" si="468"/>
        <v/>
      </c>
      <c r="T3736" s="403" t="str">
        <f t="shared" si="469"/>
        <v>NDE-8503-RT</v>
      </c>
      <c r="U3736" s="403">
        <f t="shared" si="470"/>
        <v>1</v>
      </c>
      <c r="V3736" s="403" t="str">
        <f t="shared" si="471"/>
        <v>CPP_7_3</v>
      </c>
    </row>
    <row r="3737" spans="1:22">
      <c r="A3737" t="str">
        <f t="shared" si="464"/>
        <v>NDE-8503-RT</v>
      </c>
      <c r="B3737" s="403" t="s">
        <v>1410</v>
      </c>
      <c r="C3737" s="403" t="s">
        <v>582</v>
      </c>
      <c r="D3737" s="403" t="s">
        <v>1414</v>
      </c>
      <c r="E3737" s="403" t="s">
        <v>1412</v>
      </c>
      <c r="F3737" s="403" t="s">
        <v>1417</v>
      </c>
      <c r="G3737" s="403" t="s">
        <v>1466</v>
      </c>
      <c r="H3737" s="403" t="s">
        <v>1281</v>
      </c>
      <c r="I3737" s="403">
        <v>1</v>
      </c>
      <c r="J3737" s="403" t="s">
        <v>1416</v>
      </c>
      <c r="K3737" s="403">
        <v>3264</v>
      </c>
      <c r="L3737" s="403">
        <v>1840</v>
      </c>
      <c r="M3737" s="403" t="s">
        <v>1280</v>
      </c>
      <c r="N3737" s="403">
        <v>3264</v>
      </c>
      <c r="O3737" s="403">
        <v>1840</v>
      </c>
      <c r="P3737" t="str">
        <f t="shared" si="465"/>
        <v>25fps 3264x1840 - copy other stream</v>
      </c>
      <c r="Q3737">
        <f t="shared" si="466"/>
        <v>20</v>
      </c>
      <c r="R3737" t="str">
        <f t="shared" si="467"/>
        <v/>
      </c>
      <c r="S3737" t="str">
        <f t="shared" si="468"/>
        <v/>
      </c>
      <c r="T3737" s="403" t="str">
        <f t="shared" si="469"/>
        <v>NDE-8503-RT</v>
      </c>
      <c r="U3737" s="403">
        <f t="shared" si="470"/>
        <v>1</v>
      </c>
      <c r="V3737" s="403" t="str">
        <f t="shared" si="471"/>
        <v>CPP_7_3</v>
      </c>
    </row>
    <row r="3738" spans="1:22">
      <c r="A3738" t="str">
        <f t="shared" si="464"/>
        <v>NDE-8503-RT</v>
      </c>
      <c r="B3738" s="403" t="s">
        <v>1410</v>
      </c>
      <c r="C3738" s="403" t="s">
        <v>582</v>
      </c>
      <c r="D3738" s="403" t="s">
        <v>1414</v>
      </c>
      <c r="E3738" s="403" t="s">
        <v>1412</v>
      </c>
      <c r="F3738" s="403" t="s">
        <v>1417</v>
      </c>
      <c r="G3738" s="403" t="s">
        <v>1466</v>
      </c>
      <c r="H3738" s="403" t="s">
        <v>1281</v>
      </c>
      <c r="I3738" s="403">
        <v>1</v>
      </c>
      <c r="J3738" s="403" t="s">
        <v>1416</v>
      </c>
      <c r="K3738" s="403">
        <v>3264</v>
      </c>
      <c r="L3738" s="403">
        <v>1840</v>
      </c>
      <c r="M3738" s="403" t="s">
        <v>110</v>
      </c>
      <c r="N3738" s="403">
        <v>1920</v>
      </c>
      <c r="O3738" s="403">
        <v>1080</v>
      </c>
      <c r="P3738" t="str">
        <f t="shared" si="465"/>
        <v>25fps 3264x1840 - 1080p</v>
      </c>
      <c r="Q3738">
        <f t="shared" si="466"/>
        <v>20</v>
      </c>
      <c r="R3738" t="str">
        <f t="shared" si="467"/>
        <v/>
      </c>
      <c r="S3738" t="str">
        <f t="shared" si="468"/>
        <v/>
      </c>
      <c r="T3738" s="403" t="str">
        <f t="shared" si="469"/>
        <v>NDE-8503-RT</v>
      </c>
      <c r="U3738" s="403">
        <f t="shared" si="470"/>
        <v>1</v>
      </c>
      <c r="V3738" s="403" t="str">
        <f t="shared" si="471"/>
        <v>CPP_7_3</v>
      </c>
    </row>
    <row r="3739" spans="1:22">
      <c r="A3739" t="str">
        <f t="shared" si="464"/>
        <v>NDE-8503-RT</v>
      </c>
      <c r="B3739" s="403" t="s">
        <v>1410</v>
      </c>
      <c r="C3739" s="403" t="s">
        <v>582</v>
      </c>
      <c r="D3739" s="403" t="s">
        <v>1414</v>
      </c>
      <c r="E3739" s="403" t="s">
        <v>1412</v>
      </c>
      <c r="F3739" s="403" t="s">
        <v>1417</v>
      </c>
      <c r="G3739" s="403" t="s">
        <v>1466</v>
      </c>
      <c r="H3739" s="403" t="s">
        <v>1281</v>
      </c>
      <c r="I3739" s="403">
        <v>1</v>
      </c>
      <c r="J3739" s="403" t="s">
        <v>1416</v>
      </c>
      <c r="K3739" s="403">
        <v>3264</v>
      </c>
      <c r="L3739" s="403">
        <v>1840</v>
      </c>
      <c r="M3739" s="403" t="s">
        <v>109</v>
      </c>
      <c r="N3739" s="403">
        <v>1280</v>
      </c>
      <c r="O3739" s="403">
        <v>720</v>
      </c>
      <c r="P3739" t="str">
        <f t="shared" si="465"/>
        <v>25fps 3264x1840 - 720p</v>
      </c>
      <c r="Q3739">
        <f t="shared" si="466"/>
        <v>20</v>
      </c>
      <c r="R3739" t="str">
        <f t="shared" si="467"/>
        <v/>
      </c>
      <c r="S3739" t="str">
        <f t="shared" si="468"/>
        <v/>
      </c>
      <c r="T3739" s="403" t="str">
        <f t="shared" si="469"/>
        <v>NDE-8503-RT</v>
      </c>
      <c r="U3739" s="403">
        <f t="shared" si="470"/>
        <v>1</v>
      </c>
      <c r="V3739" s="403" t="str">
        <f t="shared" si="471"/>
        <v>CPP_7_3</v>
      </c>
    </row>
    <row r="3740" spans="1:22">
      <c r="A3740" t="str">
        <f t="shared" si="464"/>
        <v>NDE-8503-RT</v>
      </c>
      <c r="B3740" s="403" t="s">
        <v>1410</v>
      </c>
      <c r="C3740" s="403" t="s">
        <v>582</v>
      </c>
      <c r="D3740" s="403" t="s">
        <v>1414</v>
      </c>
      <c r="E3740" s="403" t="s">
        <v>1412</v>
      </c>
      <c r="F3740" s="403" t="s">
        <v>1417</v>
      </c>
      <c r="G3740" s="403" t="s">
        <v>1466</v>
      </c>
      <c r="H3740" s="403" t="s">
        <v>1281</v>
      </c>
      <c r="I3740" s="403">
        <v>1</v>
      </c>
      <c r="J3740" s="403" t="s">
        <v>1416</v>
      </c>
      <c r="K3740" s="403">
        <v>3264</v>
      </c>
      <c r="L3740" s="403">
        <v>1840</v>
      </c>
      <c r="M3740" s="403" t="s">
        <v>1283</v>
      </c>
      <c r="N3740" s="403">
        <v>720</v>
      </c>
      <c r="O3740" s="403">
        <v>576</v>
      </c>
      <c r="P3740" t="str">
        <f t="shared" si="465"/>
        <v>25fps 3264x1840 - SD 4CIF resolution 4:3 format (cropped)</v>
      </c>
      <c r="Q3740">
        <f t="shared" si="466"/>
        <v>20</v>
      </c>
      <c r="R3740" t="str">
        <f t="shared" si="467"/>
        <v/>
      </c>
      <c r="S3740" t="str">
        <f t="shared" si="468"/>
        <v/>
      </c>
      <c r="T3740" s="403" t="str">
        <f t="shared" si="469"/>
        <v>NDE-8503-RT</v>
      </c>
      <c r="U3740" s="403">
        <f t="shared" si="470"/>
        <v>1</v>
      </c>
      <c r="V3740" s="403" t="str">
        <f t="shared" si="471"/>
        <v>CPP_7_3</v>
      </c>
    </row>
    <row r="3741" spans="1:22">
      <c r="A3741" t="str">
        <f t="shared" si="464"/>
        <v>NDE-8503-RT</v>
      </c>
      <c r="B3741" s="403" t="s">
        <v>1410</v>
      </c>
      <c r="C3741" s="403" t="s">
        <v>582</v>
      </c>
      <c r="D3741" s="403" t="s">
        <v>1414</v>
      </c>
      <c r="E3741" s="403" t="s">
        <v>1412</v>
      </c>
      <c r="F3741" s="403" t="s">
        <v>1417</v>
      </c>
      <c r="G3741" s="403" t="s">
        <v>1466</v>
      </c>
      <c r="H3741" s="403" t="s">
        <v>1281</v>
      </c>
      <c r="I3741" s="403">
        <v>1</v>
      </c>
      <c r="J3741" s="403" t="s">
        <v>1416</v>
      </c>
      <c r="K3741" s="403">
        <v>3264</v>
      </c>
      <c r="L3741" s="403">
        <v>1840</v>
      </c>
      <c r="M3741" s="403" t="s">
        <v>1279</v>
      </c>
      <c r="N3741" s="403">
        <v>768</v>
      </c>
      <c r="O3741" s="403">
        <v>432</v>
      </c>
      <c r="P3741" t="str">
        <f t="shared" si="465"/>
        <v>25fps 3264x1840 - SD ROI PTZ</v>
      </c>
      <c r="Q3741">
        <f t="shared" si="466"/>
        <v>20</v>
      </c>
      <c r="R3741" t="str">
        <f t="shared" si="467"/>
        <v/>
      </c>
      <c r="S3741" t="str">
        <f t="shared" si="468"/>
        <v/>
      </c>
      <c r="T3741" s="403" t="str">
        <f t="shared" si="469"/>
        <v>NDE-8503-RT</v>
      </c>
      <c r="U3741" s="403">
        <f t="shared" si="470"/>
        <v>1</v>
      </c>
      <c r="V3741" s="403" t="str">
        <f t="shared" si="471"/>
        <v>CPP_7_3</v>
      </c>
    </row>
    <row r="3742" spans="1:22">
      <c r="A3742" t="str">
        <f t="shared" si="464"/>
        <v>NDE-8503-RT</v>
      </c>
      <c r="B3742" s="403" t="s">
        <v>1410</v>
      </c>
      <c r="C3742" s="403" t="s">
        <v>582</v>
      </c>
      <c r="D3742" s="403" t="s">
        <v>1414</v>
      </c>
      <c r="E3742" s="403" t="s">
        <v>1412</v>
      </c>
      <c r="F3742" s="403" t="s">
        <v>1417</v>
      </c>
      <c r="G3742" s="403" t="s">
        <v>1466</v>
      </c>
      <c r="H3742" s="403" t="s">
        <v>1281</v>
      </c>
      <c r="I3742" s="403">
        <v>1</v>
      </c>
      <c r="J3742" s="403" t="s">
        <v>1416</v>
      </c>
      <c r="K3742" s="403">
        <v>3264</v>
      </c>
      <c r="L3742" s="403">
        <v>1840</v>
      </c>
      <c r="M3742" s="403" t="s">
        <v>1284</v>
      </c>
      <c r="N3742" s="403">
        <v>640</v>
      </c>
      <c r="O3742" s="403">
        <v>480</v>
      </c>
      <c r="P3742" t="str">
        <f t="shared" si="465"/>
        <v>25fps 3264x1840 - SD VGA (cropped)</v>
      </c>
      <c r="Q3742">
        <f t="shared" si="466"/>
        <v>20</v>
      </c>
      <c r="R3742" t="str">
        <f t="shared" si="467"/>
        <v/>
      </c>
      <c r="S3742" t="str">
        <f t="shared" si="468"/>
        <v/>
      </c>
      <c r="T3742" s="403" t="str">
        <f t="shared" si="469"/>
        <v>NDE-8503-RT</v>
      </c>
      <c r="U3742" s="403">
        <f t="shared" si="470"/>
        <v>1</v>
      </c>
      <c r="V3742" s="403" t="str">
        <f t="shared" si="471"/>
        <v>CPP_7_3</v>
      </c>
    </row>
    <row r="3743" spans="1:22">
      <c r="A3743" t="str">
        <f t="shared" si="464"/>
        <v>NDE-8503-RT</v>
      </c>
      <c r="B3743" s="403" t="s">
        <v>1410</v>
      </c>
      <c r="C3743" s="403" t="s">
        <v>582</v>
      </c>
      <c r="D3743" s="403" t="s">
        <v>1414</v>
      </c>
      <c r="E3743" s="403" t="s">
        <v>1412</v>
      </c>
      <c r="F3743" s="403" t="s">
        <v>1417</v>
      </c>
      <c r="G3743" s="403" t="s">
        <v>1466</v>
      </c>
      <c r="H3743" s="403" t="s">
        <v>1281</v>
      </c>
      <c r="I3743" s="403">
        <v>1</v>
      </c>
      <c r="J3743" s="403" t="s">
        <v>1416</v>
      </c>
      <c r="K3743" s="403">
        <v>3264</v>
      </c>
      <c r="L3743" s="403">
        <v>1840</v>
      </c>
      <c r="M3743" s="403" t="s">
        <v>1285</v>
      </c>
      <c r="N3743" s="403">
        <v>1280</v>
      </c>
      <c r="O3743" s="403">
        <v>1024</v>
      </c>
      <c r="P3743" t="str">
        <f t="shared" si="465"/>
        <v>25fps 3264x1840 - 1280x1024 5:4 (cropped)</v>
      </c>
      <c r="Q3743">
        <f t="shared" si="466"/>
        <v>20</v>
      </c>
      <c r="R3743" t="str">
        <f t="shared" si="467"/>
        <v/>
      </c>
      <c r="S3743" t="str">
        <f t="shared" si="468"/>
        <v/>
      </c>
      <c r="T3743" s="403" t="str">
        <f t="shared" si="469"/>
        <v>NDE-8503-RT</v>
      </c>
      <c r="U3743" s="403">
        <f t="shared" si="470"/>
        <v>1</v>
      </c>
      <c r="V3743" s="403" t="str">
        <f t="shared" si="471"/>
        <v>CPP_7_3</v>
      </c>
    </row>
    <row r="3744" spans="1:22">
      <c r="A3744" t="str">
        <f t="shared" si="464"/>
        <v>NDE-8503-RT</v>
      </c>
      <c r="B3744" s="403" t="s">
        <v>1410</v>
      </c>
      <c r="C3744" s="403" t="s">
        <v>582</v>
      </c>
      <c r="D3744" s="403" t="s">
        <v>1414</v>
      </c>
      <c r="E3744" s="403" t="s">
        <v>1412</v>
      </c>
      <c r="F3744" s="403" t="s">
        <v>1417</v>
      </c>
      <c r="G3744" s="403" t="s">
        <v>1466</v>
      </c>
      <c r="H3744" s="403" t="s">
        <v>1281</v>
      </c>
      <c r="I3744" s="403">
        <v>1</v>
      </c>
      <c r="J3744" s="403" t="s">
        <v>1416</v>
      </c>
      <c r="K3744" s="403">
        <v>3264</v>
      </c>
      <c r="L3744" s="403">
        <v>1840</v>
      </c>
      <c r="M3744" s="403" t="s">
        <v>1383</v>
      </c>
      <c r="N3744" s="403">
        <v>1920</v>
      </c>
      <c r="O3744" s="403">
        <v>1440</v>
      </c>
      <c r="P3744" t="str">
        <f t="shared" si="465"/>
        <v>25fps 3264x1840 - 1920x1440_CROP</v>
      </c>
      <c r="Q3744">
        <f t="shared" si="466"/>
        <v>20</v>
      </c>
      <c r="R3744" t="str">
        <f t="shared" si="467"/>
        <v/>
      </c>
      <c r="S3744" t="str">
        <f t="shared" si="468"/>
        <v/>
      </c>
      <c r="T3744" s="403" t="str">
        <f t="shared" si="469"/>
        <v>NDE-8503-RT</v>
      </c>
      <c r="U3744" s="403">
        <f t="shared" si="470"/>
        <v>1</v>
      </c>
      <c r="V3744" s="403" t="str">
        <f t="shared" si="471"/>
        <v>CPP_7_3</v>
      </c>
    </row>
    <row r="3745" spans="1:22">
      <c r="A3745" t="str">
        <f t="shared" si="464"/>
        <v>NDE-8503-RT</v>
      </c>
      <c r="B3745" s="403" t="s">
        <v>1410</v>
      </c>
      <c r="C3745" s="403" t="s">
        <v>582</v>
      </c>
      <c r="D3745" s="403" t="s">
        <v>1414</v>
      </c>
      <c r="E3745" s="403" t="s">
        <v>1412</v>
      </c>
      <c r="F3745" s="403" t="s">
        <v>1417</v>
      </c>
      <c r="G3745" s="403" t="s">
        <v>1467</v>
      </c>
      <c r="H3745" s="403" t="s">
        <v>1276</v>
      </c>
      <c r="I3745" s="403">
        <v>1</v>
      </c>
      <c r="J3745" s="403" t="s">
        <v>1416</v>
      </c>
      <c r="K3745" s="403">
        <v>1840</v>
      </c>
      <c r="L3745" s="403">
        <v>3264</v>
      </c>
      <c r="M3745" s="403" t="s">
        <v>111</v>
      </c>
      <c r="N3745" s="403">
        <v>432</v>
      </c>
      <c r="O3745" s="403">
        <v>768</v>
      </c>
      <c r="P3745" t="str">
        <f t="shared" si="465"/>
        <v>25fps 3264x1840 - SD</v>
      </c>
      <c r="Q3745">
        <f t="shared" si="466"/>
        <v>20</v>
      </c>
      <c r="R3745" t="str">
        <f t="shared" si="467"/>
        <v/>
      </c>
      <c r="S3745" t="str">
        <f t="shared" si="468"/>
        <v/>
      </c>
      <c r="T3745" s="403" t="str">
        <f t="shared" si="469"/>
        <v>NDE-8503-RT</v>
      </c>
      <c r="U3745" s="403">
        <f t="shared" si="470"/>
        <v>1</v>
      </c>
      <c r="V3745" s="403" t="str">
        <f t="shared" si="471"/>
        <v>CPP_7_3</v>
      </c>
    </row>
    <row r="3746" spans="1:22">
      <c r="A3746" t="str">
        <f t="shared" si="464"/>
        <v>NDE-8503-RT</v>
      </c>
      <c r="B3746" s="403" t="s">
        <v>1410</v>
      </c>
      <c r="C3746" s="403" t="s">
        <v>582</v>
      </c>
      <c r="D3746" s="403" t="s">
        <v>1414</v>
      </c>
      <c r="E3746" s="403" t="s">
        <v>1412</v>
      </c>
      <c r="F3746" s="403" t="s">
        <v>1417</v>
      </c>
      <c r="G3746" s="403" t="s">
        <v>1467</v>
      </c>
      <c r="H3746" s="403" t="s">
        <v>1276</v>
      </c>
      <c r="I3746" s="403">
        <v>1</v>
      </c>
      <c r="J3746" s="403" t="s">
        <v>1416</v>
      </c>
      <c r="K3746" s="403">
        <v>1840</v>
      </c>
      <c r="L3746" s="403">
        <v>3264</v>
      </c>
      <c r="M3746" s="403" t="s">
        <v>1601</v>
      </c>
      <c r="N3746" s="403">
        <v>1840</v>
      </c>
      <c r="O3746" s="403">
        <v>3264</v>
      </c>
      <c r="P3746" t="str">
        <f t="shared" si="465"/>
        <v>25fps 3264x1840 - 3264x1840 @ SKIP3</v>
      </c>
      <c r="Q3746">
        <f t="shared" si="466"/>
        <v>20</v>
      </c>
      <c r="R3746" t="str">
        <f t="shared" si="467"/>
        <v/>
      </c>
      <c r="S3746" t="str">
        <f t="shared" si="468"/>
        <v/>
      </c>
      <c r="T3746" s="403" t="str">
        <f t="shared" si="469"/>
        <v>NDE-8503-RT</v>
      </c>
      <c r="U3746" s="403">
        <f t="shared" si="470"/>
        <v>1</v>
      </c>
      <c r="V3746" s="403" t="str">
        <f t="shared" si="471"/>
        <v>CPP_7_3</v>
      </c>
    </row>
    <row r="3747" spans="1:22">
      <c r="A3747" t="str">
        <f t="shared" si="464"/>
        <v>NDE-8503-RT</v>
      </c>
      <c r="B3747" s="403" t="s">
        <v>1410</v>
      </c>
      <c r="C3747" s="403" t="s">
        <v>582</v>
      </c>
      <c r="D3747" s="403" t="s">
        <v>1414</v>
      </c>
      <c r="E3747" s="403" t="s">
        <v>1412</v>
      </c>
      <c r="F3747" s="403" t="s">
        <v>1417</v>
      </c>
      <c r="G3747" s="403" t="s">
        <v>1467</v>
      </c>
      <c r="H3747" s="403" t="s">
        <v>1276</v>
      </c>
      <c r="I3747" s="403">
        <v>1</v>
      </c>
      <c r="J3747" s="403" t="s">
        <v>1416</v>
      </c>
      <c r="K3747" s="403">
        <v>1840</v>
      </c>
      <c r="L3747" s="403">
        <v>3264</v>
      </c>
      <c r="M3747" s="403" t="s">
        <v>1280</v>
      </c>
      <c r="N3747" s="403">
        <v>1840</v>
      </c>
      <c r="O3747" s="403">
        <v>3264</v>
      </c>
      <c r="P3747" t="str">
        <f t="shared" si="465"/>
        <v>25fps 3264x1840 - copy other stream</v>
      </c>
      <c r="Q3747">
        <f t="shared" si="466"/>
        <v>20</v>
      </c>
      <c r="R3747" t="str">
        <f t="shared" si="467"/>
        <v/>
      </c>
      <c r="S3747" t="str">
        <f t="shared" si="468"/>
        <v/>
      </c>
      <c r="T3747" s="403" t="str">
        <f t="shared" si="469"/>
        <v>NDE-8503-RT</v>
      </c>
      <c r="U3747" s="403">
        <f t="shared" si="470"/>
        <v>1</v>
      </c>
      <c r="V3747" s="403" t="str">
        <f t="shared" si="471"/>
        <v>CPP_7_3</v>
      </c>
    </row>
    <row r="3748" spans="1:22">
      <c r="A3748" t="str">
        <f t="shared" si="464"/>
        <v>NDE-8503-RT</v>
      </c>
      <c r="B3748" s="403" t="s">
        <v>1410</v>
      </c>
      <c r="C3748" s="403" t="s">
        <v>582</v>
      </c>
      <c r="D3748" s="403" t="s">
        <v>1414</v>
      </c>
      <c r="E3748" s="403" t="s">
        <v>1412</v>
      </c>
      <c r="F3748" s="403" t="s">
        <v>1417</v>
      </c>
      <c r="G3748" s="403" t="s">
        <v>1467</v>
      </c>
      <c r="H3748" s="403" t="s">
        <v>1276</v>
      </c>
      <c r="I3748" s="403">
        <v>1</v>
      </c>
      <c r="J3748" s="403" t="s">
        <v>1416</v>
      </c>
      <c r="K3748" s="403">
        <v>1840</v>
      </c>
      <c r="L3748" s="403">
        <v>3264</v>
      </c>
      <c r="M3748" s="403" t="s">
        <v>110</v>
      </c>
      <c r="N3748" s="403">
        <v>1080</v>
      </c>
      <c r="O3748" s="403">
        <v>1920</v>
      </c>
      <c r="P3748" t="str">
        <f t="shared" si="465"/>
        <v>25fps 3264x1840 - 1080p</v>
      </c>
      <c r="Q3748">
        <f t="shared" si="466"/>
        <v>20</v>
      </c>
      <c r="R3748" t="str">
        <f t="shared" si="467"/>
        <v/>
      </c>
      <c r="S3748" t="str">
        <f t="shared" si="468"/>
        <v/>
      </c>
      <c r="T3748" s="403" t="str">
        <f t="shared" si="469"/>
        <v>NDE-8503-RT</v>
      </c>
      <c r="U3748" s="403">
        <f t="shared" si="470"/>
        <v>1</v>
      </c>
      <c r="V3748" s="403" t="str">
        <f t="shared" si="471"/>
        <v>CPP_7_3</v>
      </c>
    </row>
    <row r="3749" spans="1:22">
      <c r="A3749" t="str">
        <f t="shared" si="464"/>
        <v>NDE-8503-RT</v>
      </c>
      <c r="B3749" s="403" t="s">
        <v>1410</v>
      </c>
      <c r="C3749" s="403" t="s">
        <v>582</v>
      </c>
      <c r="D3749" s="403" t="s">
        <v>1414</v>
      </c>
      <c r="E3749" s="403" t="s">
        <v>1412</v>
      </c>
      <c r="F3749" s="403" t="s">
        <v>1417</v>
      </c>
      <c r="G3749" s="403" t="s">
        <v>1467</v>
      </c>
      <c r="H3749" s="403" t="s">
        <v>1276</v>
      </c>
      <c r="I3749" s="403">
        <v>1</v>
      </c>
      <c r="J3749" s="403" t="s">
        <v>1416</v>
      </c>
      <c r="K3749" s="403">
        <v>1840</v>
      </c>
      <c r="L3749" s="403">
        <v>3264</v>
      </c>
      <c r="M3749" s="403" t="s">
        <v>109</v>
      </c>
      <c r="N3749" s="403">
        <v>720</v>
      </c>
      <c r="O3749" s="403">
        <v>1280</v>
      </c>
      <c r="P3749" t="str">
        <f t="shared" si="465"/>
        <v>25fps 3264x1840 - 720p</v>
      </c>
      <c r="Q3749">
        <f t="shared" si="466"/>
        <v>20</v>
      </c>
      <c r="R3749" t="str">
        <f t="shared" si="467"/>
        <v/>
      </c>
      <c r="S3749" t="str">
        <f t="shared" si="468"/>
        <v/>
      </c>
      <c r="T3749" s="403" t="str">
        <f t="shared" si="469"/>
        <v>NDE-8503-RT</v>
      </c>
      <c r="U3749" s="403">
        <f t="shared" si="470"/>
        <v>1</v>
      </c>
      <c r="V3749" s="403" t="str">
        <f t="shared" si="471"/>
        <v>CPP_7_3</v>
      </c>
    </row>
    <row r="3750" spans="1:22">
      <c r="A3750" t="str">
        <f t="shared" si="464"/>
        <v>NDE-8503-RT</v>
      </c>
      <c r="B3750" s="403" t="s">
        <v>1410</v>
      </c>
      <c r="C3750" s="403" t="s">
        <v>582</v>
      </c>
      <c r="D3750" s="403" t="s">
        <v>1414</v>
      </c>
      <c r="E3750" s="403" t="s">
        <v>1412</v>
      </c>
      <c r="F3750" s="403" t="s">
        <v>1417</v>
      </c>
      <c r="G3750" s="403" t="s">
        <v>1467</v>
      </c>
      <c r="H3750" s="403" t="s">
        <v>1276</v>
      </c>
      <c r="I3750" s="403">
        <v>1</v>
      </c>
      <c r="J3750" s="403" t="s">
        <v>1416</v>
      </c>
      <c r="K3750" s="403">
        <v>1840</v>
      </c>
      <c r="L3750" s="403">
        <v>3264</v>
      </c>
      <c r="M3750" s="403" t="s">
        <v>1283</v>
      </c>
      <c r="N3750" s="403">
        <v>576</v>
      </c>
      <c r="O3750" s="403">
        <v>720</v>
      </c>
      <c r="P3750" t="str">
        <f t="shared" si="465"/>
        <v>25fps 3264x1840 - SD 4CIF resolution 4:3 format (cropped)</v>
      </c>
      <c r="Q3750">
        <f t="shared" si="466"/>
        <v>20</v>
      </c>
      <c r="R3750" t="str">
        <f t="shared" si="467"/>
        <v/>
      </c>
      <c r="S3750" t="str">
        <f t="shared" si="468"/>
        <v/>
      </c>
      <c r="T3750" s="403" t="str">
        <f t="shared" si="469"/>
        <v>NDE-8503-RT</v>
      </c>
      <c r="U3750" s="403">
        <f t="shared" si="470"/>
        <v>1</v>
      </c>
      <c r="V3750" s="403" t="str">
        <f t="shared" si="471"/>
        <v>CPP_7_3</v>
      </c>
    </row>
    <row r="3751" spans="1:22">
      <c r="A3751" t="str">
        <f t="shared" si="464"/>
        <v>NDE-8503-RT</v>
      </c>
      <c r="B3751" s="403" t="s">
        <v>1410</v>
      </c>
      <c r="C3751" s="403" t="s">
        <v>582</v>
      </c>
      <c r="D3751" s="403" t="s">
        <v>1414</v>
      </c>
      <c r="E3751" s="403" t="s">
        <v>1412</v>
      </c>
      <c r="F3751" s="403" t="s">
        <v>1417</v>
      </c>
      <c r="G3751" s="403" t="s">
        <v>1467</v>
      </c>
      <c r="H3751" s="403" t="s">
        <v>1276</v>
      </c>
      <c r="I3751" s="403">
        <v>1</v>
      </c>
      <c r="J3751" s="403" t="s">
        <v>1416</v>
      </c>
      <c r="K3751" s="403">
        <v>1840</v>
      </c>
      <c r="L3751" s="403">
        <v>3264</v>
      </c>
      <c r="M3751" s="403" t="s">
        <v>1279</v>
      </c>
      <c r="N3751" s="403">
        <v>432</v>
      </c>
      <c r="O3751" s="403">
        <v>768</v>
      </c>
      <c r="P3751" t="str">
        <f t="shared" si="465"/>
        <v>25fps 3264x1840 - SD ROI PTZ</v>
      </c>
      <c r="Q3751">
        <f t="shared" si="466"/>
        <v>20</v>
      </c>
      <c r="R3751" t="str">
        <f t="shared" si="467"/>
        <v/>
      </c>
      <c r="S3751" t="str">
        <f t="shared" si="468"/>
        <v/>
      </c>
      <c r="T3751" s="403" t="str">
        <f t="shared" si="469"/>
        <v>NDE-8503-RT</v>
      </c>
      <c r="U3751" s="403">
        <f t="shared" si="470"/>
        <v>1</v>
      </c>
      <c r="V3751" s="403" t="str">
        <f t="shared" si="471"/>
        <v>CPP_7_3</v>
      </c>
    </row>
    <row r="3752" spans="1:22">
      <c r="A3752" t="str">
        <f t="shared" si="464"/>
        <v>NDE-8503-RT</v>
      </c>
      <c r="B3752" s="403" t="s">
        <v>1410</v>
      </c>
      <c r="C3752" s="403" t="s">
        <v>582</v>
      </c>
      <c r="D3752" s="403" t="s">
        <v>1414</v>
      </c>
      <c r="E3752" s="403" t="s">
        <v>1412</v>
      </c>
      <c r="F3752" s="403" t="s">
        <v>1417</v>
      </c>
      <c r="G3752" s="403" t="s">
        <v>1467</v>
      </c>
      <c r="H3752" s="403" t="s">
        <v>1276</v>
      </c>
      <c r="I3752" s="403">
        <v>1</v>
      </c>
      <c r="J3752" s="403" t="s">
        <v>1416</v>
      </c>
      <c r="K3752" s="403">
        <v>1840</v>
      </c>
      <c r="L3752" s="403">
        <v>3264</v>
      </c>
      <c r="M3752" s="403" t="s">
        <v>1284</v>
      </c>
      <c r="N3752" s="403">
        <v>480</v>
      </c>
      <c r="O3752" s="403">
        <v>640</v>
      </c>
      <c r="P3752" t="str">
        <f t="shared" si="465"/>
        <v>25fps 3264x1840 - SD VGA (cropped)</v>
      </c>
      <c r="Q3752">
        <f t="shared" si="466"/>
        <v>20</v>
      </c>
      <c r="R3752" t="str">
        <f t="shared" si="467"/>
        <v/>
      </c>
      <c r="S3752" t="str">
        <f t="shared" si="468"/>
        <v/>
      </c>
      <c r="T3752" s="403" t="str">
        <f t="shared" si="469"/>
        <v>NDE-8503-RT</v>
      </c>
      <c r="U3752" s="403">
        <f t="shared" si="470"/>
        <v>1</v>
      </c>
      <c r="V3752" s="403" t="str">
        <f t="shared" si="471"/>
        <v>CPP_7_3</v>
      </c>
    </row>
    <row r="3753" spans="1:22">
      <c r="A3753" t="str">
        <f t="shared" si="464"/>
        <v>NDE-8503-RT</v>
      </c>
      <c r="B3753" s="403" t="s">
        <v>1410</v>
      </c>
      <c r="C3753" s="403" t="s">
        <v>582</v>
      </c>
      <c r="D3753" s="403" t="s">
        <v>1414</v>
      </c>
      <c r="E3753" s="403" t="s">
        <v>1412</v>
      </c>
      <c r="F3753" s="403" t="s">
        <v>1417</v>
      </c>
      <c r="G3753" s="403" t="s">
        <v>1467</v>
      </c>
      <c r="H3753" s="403" t="s">
        <v>1276</v>
      </c>
      <c r="I3753" s="403">
        <v>1</v>
      </c>
      <c r="J3753" s="403" t="s">
        <v>1416</v>
      </c>
      <c r="K3753" s="403">
        <v>1840</v>
      </c>
      <c r="L3753" s="403">
        <v>3264</v>
      </c>
      <c r="M3753" s="403" t="s">
        <v>1285</v>
      </c>
      <c r="N3753" s="403">
        <v>1024</v>
      </c>
      <c r="O3753" s="403">
        <v>1280</v>
      </c>
      <c r="P3753" t="str">
        <f t="shared" si="465"/>
        <v>25fps 3264x1840 - 1280x1024 5:4 (cropped)</v>
      </c>
      <c r="Q3753">
        <f t="shared" si="466"/>
        <v>20</v>
      </c>
      <c r="R3753" t="str">
        <f t="shared" si="467"/>
        <v/>
      </c>
      <c r="S3753" t="str">
        <f t="shared" si="468"/>
        <v/>
      </c>
      <c r="T3753" s="403" t="str">
        <f t="shared" si="469"/>
        <v>NDE-8503-RT</v>
      </c>
      <c r="U3753" s="403">
        <f t="shared" si="470"/>
        <v>1</v>
      </c>
      <c r="V3753" s="403" t="str">
        <f t="shared" si="471"/>
        <v>CPP_7_3</v>
      </c>
    </row>
    <row r="3754" spans="1:22">
      <c r="A3754" t="str">
        <f t="shared" si="464"/>
        <v>NDE-8503-RT</v>
      </c>
      <c r="B3754" s="403" t="s">
        <v>1410</v>
      </c>
      <c r="C3754" s="403" t="s">
        <v>582</v>
      </c>
      <c r="D3754" s="403" t="s">
        <v>1414</v>
      </c>
      <c r="E3754" s="403" t="s">
        <v>1412</v>
      </c>
      <c r="F3754" s="403" t="s">
        <v>1417</v>
      </c>
      <c r="G3754" s="403" t="s">
        <v>1467</v>
      </c>
      <c r="H3754" s="403" t="s">
        <v>1276</v>
      </c>
      <c r="I3754" s="403">
        <v>1</v>
      </c>
      <c r="J3754" s="403" t="s">
        <v>1416</v>
      </c>
      <c r="K3754" s="403">
        <v>1840</v>
      </c>
      <c r="L3754" s="403">
        <v>3264</v>
      </c>
      <c r="M3754" s="403" t="s">
        <v>1383</v>
      </c>
      <c r="N3754" s="403">
        <v>1440</v>
      </c>
      <c r="O3754" s="403">
        <v>1920</v>
      </c>
      <c r="P3754" t="str">
        <f t="shared" si="465"/>
        <v>25fps 3264x1840 - 1920x1440_CROP</v>
      </c>
      <c r="Q3754">
        <f t="shared" si="466"/>
        <v>20</v>
      </c>
      <c r="R3754" t="str">
        <f t="shared" si="467"/>
        <v/>
      </c>
      <c r="S3754" t="str">
        <f t="shared" si="468"/>
        <v/>
      </c>
      <c r="T3754" s="403" t="str">
        <f t="shared" si="469"/>
        <v>NDE-8503-RT</v>
      </c>
      <c r="U3754" s="403">
        <f t="shared" si="470"/>
        <v>1</v>
      </c>
      <c r="V3754" s="403" t="str">
        <f t="shared" si="471"/>
        <v>CPP_7_3</v>
      </c>
    </row>
    <row r="3755" spans="1:22">
      <c r="A3755" t="str">
        <f t="shared" si="464"/>
        <v>NDE-8503-RT</v>
      </c>
      <c r="B3755" s="403" t="s">
        <v>1410</v>
      </c>
      <c r="C3755" s="403" t="s">
        <v>582</v>
      </c>
      <c r="D3755" s="403" t="s">
        <v>1414</v>
      </c>
      <c r="E3755" s="403" t="s">
        <v>1412</v>
      </c>
      <c r="F3755" s="403" t="s">
        <v>1417</v>
      </c>
      <c r="G3755" s="403" t="s">
        <v>1467</v>
      </c>
      <c r="H3755" s="403" t="s">
        <v>1281</v>
      </c>
      <c r="I3755" s="403">
        <v>1</v>
      </c>
      <c r="J3755" s="403" t="s">
        <v>1416</v>
      </c>
      <c r="K3755" s="403">
        <v>1840</v>
      </c>
      <c r="L3755" s="403">
        <v>3264</v>
      </c>
      <c r="M3755" s="403" t="s">
        <v>111</v>
      </c>
      <c r="N3755" s="403">
        <v>432</v>
      </c>
      <c r="O3755" s="403">
        <v>768</v>
      </c>
      <c r="P3755" t="str">
        <f t="shared" si="465"/>
        <v>25fps 3264x1840 - SD</v>
      </c>
      <c r="Q3755">
        <f t="shared" si="466"/>
        <v>20</v>
      </c>
      <c r="R3755" t="str">
        <f t="shared" si="467"/>
        <v/>
      </c>
      <c r="S3755" t="str">
        <f t="shared" si="468"/>
        <v/>
      </c>
      <c r="T3755" s="403" t="str">
        <f t="shared" si="469"/>
        <v>NDE-8503-RT</v>
      </c>
      <c r="U3755" s="403">
        <f t="shared" si="470"/>
        <v>1</v>
      </c>
      <c r="V3755" s="403" t="str">
        <f t="shared" si="471"/>
        <v>CPP_7_3</v>
      </c>
    </row>
    <row r="3756" spans="1:22">
      <c r="A3756" t="str">
        <f t="shared" si="464"/>
        <v>NDE-8503-RT</v>
      </c>
      <c r="B3756" s="403" t="s">
        <v>1410</v>
      </c>
      <c r="C3756" s="403" t="s">
        <v>582</v>
      </c>
      <c r="D3756" s="403" t="s">
        <v>1414</v>
      </c>
      <c r="E3756" s="403" t="s">
        <v>1412</v>
      </c>
      <c r="F3756" s="403" t="s">
        <v>1417</v>
      </c>
      <c r="G3756" s="403" t="s">
        <v>1467</v>
      </c>
      <c r="H3756" s="403" t="s">
        <v>1281</v>
      </c>
      <c r="I3756" s="403">
        <v>1</v>
      </c>
      <c r="J3756" s="403" t="s">
        <v>1416</v>
      </c>
      <c r="K3756" s="403">
        <v>1840</v>
      </c>
      <c r="L3756" s="403">
        <v>3264</v>
      </c>
      <c r="M3756" s="403" t="s">
        <v>1601</v>
      </c>
      <c r="N3756" s="403">
        <v>1840</v>
      </c>
      <c r="O3756" s="403">
        <v>3264</v>
      </c>
      <c r="P3756" t="str">
        <f t="shared" si="465"/>
        <v>25fps 3264x1840 - 3264x1840 @ SKIP3</v>
      </c>
      <c r="Q3756">
        <f t="shared" si="466"/>
        <v>20</v>
      </c>
      <c r="R3756" t="str">
        <f t="shared" si="467"/>
        <v/>
      </c>
      <c r="S3756" t="str">
        <f t="shared" si="468"/>
        <v/>
      </c>
      <c r="T3756" s="403" t="str">
        <f t="shared" si="469"/>
        <v>NDE-8503-RT</v>
      </c>
      <c r="U3756" s="403">
        <f t="shared" si="470"/>
        <v>1</v>
      </c>
      <c r="V3756" s="403" t="str">
        <f t="shared" si="471"/>
        <v>CPP_7_3</v>
      </c>
    </row>
    <row r="3757" spans="1:22">
      <c r="A3757" t="str">
        <f t="shared" si="464"/>
        <v>NDE-8503-RT</v>
      </c>
      <c r="B3757" s="403" t="s">
        <v>1410</v>
      </c>
      <c r="C3757" s="403" t="s">
        <v>582</v>
      </c>
      <c r="D3757" s="403" t="s">
        <v>1414</v>
      </c>
      <c r="E3757" s="403" t="s">
        <v>1412</v>
      </c>
      <c r="F3757" s="403" t="s">
        <v>1417</v>
      </c>
      <c r="G3757" s="403" t="s">
        <v>1467</v>
      </c>
      <c r="H3757" s="403" t="s">
        <v>1281</v>
      </c>
      <c r="I3757" s="403">
        <v>1</v>
      </c>
      <c r="J3757" s="403" t="s">
        <v>1416</v>
      </c>
      <c r="K3757" s="403">
        <v>1840</v>
      </c>
      <c r="L3757" s="403">
        <v>3264</v>
      </c>
      <c r="M3757" s="403" t="s">
        <v>1280</v>
      </c>
      <c r="N3757" s="403">
        <v>1840</v>
      </c>
      <c r="O3757" s="403">
        <v>3264</v>
      </c>
      <c r="P3757" t="str">
        <f t="shared" si="465"/>
        <v>25fps 3264x1840 - copy other stream</v>
      </c>
      <c r="Q3757">
        <f t="shared" si="466"/>
        <v>20</v>
      </c>
      <c r="R3757" t="str">
        <f t="shared" si="467"/>
        <v/>
      </c>
      <c r="S3757" t="str">
        <f t="shared" si="468"/>
        <v/>
      </c>
      <c r="T3757" s="403" t="str">
        <f t="shared" si="469"/>
        <v>NDE-8503-RT</v>
      </c>
      <c r="U3757" s="403">
        <f t="shared" si="470"/>
        <v>1</v>
      </c>
      <c r="V3757" s="403" t="str">
        <f t="shared" si="471"/>
        <v>CPP_7_3</v>
      </c>
    </row>
    <row r="3758" spans="1:22">
      <c r="A3758" t="str">
        <f t="shared" si="464"/>
        <v>NDE-8503-RT</v>
      </c>
      <c r="B3758" s="403" t="s">
        <v>1410</v>
      </c>
      <c r="C3758" s="403" t="s">
        <v>582</v>
      </c>
      <c r="D3758" s="403" t="s">
        <v>1414</v>
      </c>
      <c r="E3758" s="403" t="s">
        <v>1412</v>
      </c>
      <c r="F3758" s="403" t="s">
        <v>1417</v>
      </c>
      <c r="G3758" s="403" t="s">
        <v>1467</v>
      </c>
      <c r="H3758" s="403" t="s">
        <v>1281</v>
      </c>
      <c r="I3758" s="403">
        <v>1</v>
      </c>
      <c r="J3758" s="403" t="s">
        <v>1416</v>
      </c>
      <c r="K3758" s="403">
        <v>1840</v>
      </c>
      <c r="L3758" s="403">
        <v>3264</v>
      </c>
      <c r="M3758" s="403" t="s">
        <v>110</v>
      </c>
      <c r="N3758" s="403">
        <v>1080</v>
      </c>
      <c r="O3758" s="403">
        <v>1920</v>
      </c>
      <c r="P3758" t="str">
        <f t="shared" si="465"/>
        <v>25fps 3264x1840 - 1080p</v>
      </c>
      <c r="Q3758">
        <f t="shared" si="466"/>
        <v>20</v>
      </c>
      <c r="R3758" t="str">
        <f t="shared" si="467"/>
        <v/>
      </c>
      <c r="S3758" t="str">
        <f t="shared" si="468"/>
        <v/>
      </c>
      <c r="T3758" s="403" t="str">
        <f t="shared" si="469"/>
        <v>NDE-8503-RT</v>
      </c>
      <c r="U3758" s="403">
        <f t="shared" si="470"/>
        <v>1</v>
      </c>
      <c r="V3758" s="403" t="str">
        <f t="shared" si="471"/>
        <v>CPP_7_3</v>
      </c>
    </row>
    <row r="3759" spans="1:22">
      <c r="A3759" t="str">
        <f t="shared" si="464"/>
        <v>NDE-8503-RT</v>
      </c>
      <c r="B3759" s="403" t="s">
        <v>1410</v>
      </c>
      <c r="C3759" s="403" t="s">
        <v>582</v>
      </c>
      <c r="D3759" s="403" t="s">
        <v>1414</v>
      </c>
      <c r="E3759" s="403" t="s">
        <v>1412</v>
      </c>
      <c r="F3759" s="403" t="s">
        <v>1417</v>
      </c>
      <c r="G3759" s="403" t="s">
        <v>1467</v>
      </c>
      <c r="H3759" s="403" t="s">
        <v>1281</v>
      </c>
      <c r="I3759" s="403">
        <v>1</v>
      </c>
      <c r="J3759" s="403" t="s">
        <v>1416</v>
      </c>
      <c r="K3759" s="403">
        <v>1840</v>
      </c>
      <c r="L3759" s="403">
        <v>3264</v>
      </c>
      <c r="M3759" s="403" t="s">
        <v>109</v>
      </c>
      <c r="N3759" s="403">
        <v>720</v>
      </c>
      <c r="O3759" s="403">
        <v>1280</v>
      </c>
      <c r="P3759" t="str">
        <f t="shared" si="465"/>
        <v>25fps 3264x1840 - 720p</v>
      </c>
      <c r="Q3759">
        <f t="shared" si="466"/>
        <v>20</v>
      </c>
      <c r="R3759" t="str">
        <f t="shared" si="467"/>
        <v/>
      </c>
      <c r="S3759" t="str">
        <f t="shared" si="468"/>
        <v/>
      </c>
      <c r="T3759" s="403" t="str">
        <f t="shared" si="469"/>
        <v>NDE-8503-RT</v>
      </c>
      <c r="U3759" s="403">
        <f t="shared" si="470"/>
        <v>1</v>
      </c>
      <c r="V3759" s="403" t="str">
        <f t="shared" si="471"/>
        <v>CPP_7_3</v>
      </c>
    </row>
    <row r="3760" spans="1:22">
      <c r="A3760" t="str">
        <f t="shared" si="464"/>
        <v>NDE-8503-RT</v>
      </c>
      <c r="B3760" s="403" t="s">
        <v>1410</v>
      </c>
      <c r="C3760" s="403" t="s">
        <v>582</v>
      </c>
      <c r="D3760" s="403" t="s">
        <v>1414</v>
      </c>
      <c r="E3760" s="403" t="s">
        <v>1412</v>
      </c>
      <c r="F3760" s="403" t="s">
        <v>1417</v>
      </c>
      <c r="G3760" s="403" t="s">
        <v>1467</v>
      </c>
      <c r="H3760" s="403" t="s">
        <v>1281</v>
      </c>
      <c r="I3760" s="403">
        <v>1</v>
      </c>
      <c r="J3760" s="403" t="s">
        <v>1416</v>
      </c>
      <c r="K3760" s="403">
        <v>1840</v>
      </c>
      <c r="L3760" s="403">
        <v>3264</v>
      </c>
      <c r="M3760" s="403" t="s">
        <v>1283</v>
      </c>
      <c r="N3760" s="403">
        <v>576</v>
      </c>
      <c r="O3760" s="403">
        <v>720</v>
      </c>
      <c r="P3760" t="str">
        <f t="shared" si="465"/>
        <v>25fps 3264x1840 - SD 4CIF resolution 4:3 format (cropped)</v>
      </c>
      <c r="Q3760">
        <f t="shared" si="466"/>
        <v>20</v>
      </c>
      <c r="R3760" t="str">
        <f t="shared" si="467"/>
        <v/>
      </c>
      <c r="S3760" t="str">
        <f t="shared" si="468"/>
        <v/>
      </c>
      <c r="T3760" s="403" t="str">
        <f t="shared" si="469"/>
        <v>NDE-8503-RT</v>
      </c>
      <c r="U3760" s="403">
        <f t="shared" si="470"/>
        <v>1</v>
      </c>
      <c r="V3760" s="403" t="str">
        <f t="shared" si="471"/>
        <v>CPP_7_3</v>
      </c>
    </row>
    <row r="3761" spans="1:22">
      <c r="A3761" t="str">
        <f t="shared" si="464"/>
        <v>NDE-8503-RT</v>
      </c>
      <c r="B3761" s="403" t="s">
        <v>1410</v>
      </c>
      <c r="C3761" s="403" t="s">
        <v>582</v>
      </c>
      <c r="D3761" s="403" t="s">
        <v>1414</v>
      </c>
      <c r="E3761" s="403" t="s">
        <v>1412</v>
      </c>
      <c r="F3761" s="403" t="s">
        <v>1417</v>
      </c>
      <c r="G3761" s="403" t="s">
        <v>1467</v>
      </c>
      <c r="H3761" s="403" t="s">
        <v>1281</v>
      </c>
      <c r="I3761" s="403">
        <v>1</v>
      </c>
      <c r="J3761" s="403" t="s">
        <v>1416</v>
      </c>
      <c r="K3761" s="403">
        <v>1840</v>
      </c>
      <c r="L3761" s="403">
        <v>3264</v>
      </c>
      <c r="M3761" s="403" t="s">
        <v>1279</v>
      </c>
      <c r="N3761" s="403">
        <v>432</v>
      </c>
      <c r="O3761" s="403">
        <v>768</v>
      </c>
      <c r="P3761" t="str">
        <f t="shared" si="465"/>
        <v>25fps 3264x1840 - SD ROI PTZ</v>
      </c>
      <c r="Q3761">
        <f t="shared" si="466"/>
        <v>20</v>
      </c>
      <c r="R3761" t="str">
        <f t="shared" si="467"/>
        <v/>
      </c>
      <c r="S3761" t="str">
        <f t="shared" si="468"/>
        <v/>
      </c>
      <c r="T3761" s="403" t="str">
        <f t="shared" si="469"/>
        <v>NDE-8503-RT</v>
      </c>
      <c r="U3761" s="403">
        <f t="shared" si="470"/>
        <v>1</v>
      </c>
      <c r="V3761" s="403" t="str">
        <f t="shared" si="471"/>
        <v>CPP_7_3</v>
      </c>
    </row>
    <row r="3762" spans="1:22">
      <c r="A3762" t="str">
        <f t="shared" si="464"/>
        <v>NDE-8503-RT</v>
      </c>
      <c r="B3762" s="403" t="s">
        <v>1410</v>
      </c>
      <c r="C3762" s="403" t="s">
        <v>582</v>
      </c>
      <c r="D3762" s="403" t="s">
        <v>1414</v>
      </c>
      <c r="E3762" s="403" t="s">
        <v>1412</v>
      </c>
      <c r="F3762" s="403" t="s">
        <v>1417</v>
      </c>
      <c r="G3762" s="403" t="s">
        <v>1467</v>
      </c>
      <c r="H3762" s="403" t="s">
        <v>1281</v>
      </c>
      <c r="I3762" s="403">
        <v>1</v>
      </c>
      <c r="J3762" s="403" t="s">
        <v>1416</v>
      </c>
      <c r="K3762" s="403">
        <v>1840</v>
      </c>
      <c r="L3762" s="403">
        <v>3264</v>
      </c>
      <c r="M3762" s="403" t="s">
        <v>1284</v>
      </c>
      <c r="N3762" s="403">
        <v>480</v>
      </c>
      <c r="O3762" s="403">
        <v>640</v>
      </c>
      <c r="P3762" t="str">
        <f t="shared" si="465"/>
        <v>25fps 3264x1840 - SD VGA (cropped)</v>
      </c>
      <c r="Q3762">
        <f t="shared" si="466"/>
        <v>20</v>
      </c>
      <c r="R3762" t="str">
        <f t="shared" si="467"/>
        <v/>
      </c>
      <c r="S3762" t="str">
        <f t="shared" si="468"/>
        <v/>
      </c>
      <c r="T3762" s="403" t="str">
        <f t="shared" si="469"/>
        <v>NDE-8503-RT</v>
      </c>
      <c r="U3762" s="403">
        <f t="shared" si="470"/>
        <v>1</v>
      </c>
      <c r="V3762" s="403" t="str">
        <f t="shared" si="471"/>
        <v>CPP_7_3</v>
      </c>
    </row>
    <row r="3763" spans="1:22">
      <c r="A3763" t="str">
        <f t="shared" si="464"/>
        <v>NDE-8503-RT</v>
      </c>
      <c r="B3763" s="403" t="s">
        <v>1410</v>
      </c>
      <c r="C3763" s="403" t="s">
        <v>582</v>
      </c>
      <c r="D3763" s="403" t="s">
        <v>1414</v>
      </c>
      <c r="E3763" s="403" t="s">
        <v>1412</v>
      </c>
      <c r="F3763" s="403" t="s">
        <v>1417</v>
      </c>
      <c r="G3763" s="403" t="s">
        <v>1467</v>
      </c>
      <c r="H3763" s="403" t="s">
        <v>1281</v>
      </c>
      <c r="I3763" s="403">
        <v>1</v>
      </c>
      <c r="J3763" s="403" t="s">
        <v>1416</v>
      </c>
      <c r="K3763" s="403">
        <v>1840</v>
      </c>
      <c r="L3763" s="403">
        <v>3264</v>
      </c>
      <c r="M3763" s="403" t="s">
        <v>1285</v>
      </c>
      <c r="N3763" s="403">
        <v>1024</v>
      </c>
      <c r="O3763" s="403">
        <v>1280</v>
      </c>
      <c r="P3763" t="str">
        <f t="shared" si="465"/>
        <v>25fps 3264x1840 - 1280x1024 5:4 (cropped)</v>
      </c>
      <c r="Q3763">
        <f t="shared" si="466"/>
        <v>20</v>
      </c>
      <c r="R3763" t="str">
        <f t="shared" si="467"/>
        <v/>
      </c>
      <c r="S3763" t="str">
        <f t="shared" si="468"/>
        <v/>
      </c>
      <c r="T3763" s="403" t="str">
        <f t="shared" si="469"/>
        <v>NDE-8503-RT</v>
      </c>
      <c r="U3763" s="403">
        <f t="shared" si="470"/>
        <v>1</v>
      </c>
      <c r="V3763" s="403" t="str">
        <f t="shared" si="471"/>
        <v>CPP_7_3</v>
      </c>
    </row>
    <row r="3764" spans="1:22">
      <c r="A3764" t="str">
        <f t="shared" si="464"/>
        <v>NDE-8503-RT</v>
      </c>
      <c r="B3764" s="403" t="s">
        <v>1410</v>
      </c>
      <c r="C3764" s="403" t="s">
        <v>582</v>
      </c>
      <c r="D3764" s="403" t="s">
        <v>1414</v>
      </c>
      <c r="E3764" s="403" t="s">
        <v>1412</v>
      </c>
      <c r="F3764" s="403" t="s">
        <v>1417</v>
      </c>
      <c r="G3764" s="403" t="s">
        <v>1467</v>
      </c>
      <c r="H3764" s="403" t="s">
        <v>1281</v>
      </c>
      <c r="I3764" s="403">
        <v>1</v>
      </c>
      <c r="J3764" s="403" t="s">
        <v>1416</v>
      </c>
      <c r="K3764" s="403">
        <v>1840</v>
      </c>
      <c r="L3764" s="403">
        <v>3264</v>
      </c>
      <c r="M3764" s="403" t="s">
        <v>1383</v>
      </c>
      <c r="N3764" s="403">
        <v>1440</v>
      </c>
      <c r="O3764" s="403">
        <v>1920</v>
      </c>
      <c r="P3764" t="str">
        <f t="shared" si="465"/>
        <v>25fps 3264x1840 - 1920x1440_CROP</v>
      </c>
      <c r="Q3764">
        <f t="shared" si="466"/>
        <v>20</v>
      </c>
      <c r="R3764" t="str">
        <f t="shared" si="467"/>
        <v/>
      </c>
      <c r="S3764" t="str">
        <f t="shared" si="468"/>
        <v/>
      </c>
      <c r="T3764" s="403" t="str">
        <f t="shared" si="469"/>
        <v>NDE-8503-RT</v>
      </c>
      <c r="U3764" s="403">
        <f t="shared" si="470"/>
        <v>1</v>
      </c>
      <c r="V3764" s="403" t="str">
        <f t="shared" si="471"/>
        <v>CPP_7_3</v>
      </c>
    </row>
    <row r="3765" spans="1:22">
      <c r="A3765" t="str">
        <f t="shared" si="464"/>
        <v>NDE-8503-RT</v>
      </c>
      <c r="B3765" s="403" t="s">
        <v>1410</v>
      </c>
      <c r="C3765" s="403" t="s">
        <v>582</v>
      </c>
      <c r="D3765" s="403" t="s">
        <v>1414</v>
      </c>
      <c r="E3765" s="403" t="s">
        <v>1412</v>
      </c>
      <c r="F3765" s="403" t="s">
        <v>1382</v>
      </c>
      <c r="G3765" s="403" t="s">
        <v>1466</v>
      </c>
      <c r="H3765" s="403" t="s">
        <v>1276</v>
      </c>
      <c r="I3765" s="403">
        <v>1</v>
      </c>
      <c r="J3765" s="403" t="s">
        <v>1376</v>
      </c>
      <c r="K3765" s="403">
        <v>3072</v>
      </c>
      <c r="L3765" s="403">
        <v>1728</v>
      </c>
      <c r="M3765" s="403" t="s">
        <v>111</v>
      </c>
      <c r="N3765" s="403">
        <v>768</v>
      </c>
      <c r="O3765" s="403">
        <v>432</v>
      </c>
      <c r="P3765" t="str">
        <f t="shared" si="465"/>
        <v>30fps 3072x1728 - SD</v>
      </c>
      <c r="Q3765">
        <f t="shared" si="466"/>
        <v>20</v>
      </c>
      <c r="R3765" t="str">
        <f t="shared" si="467"/>
        <v/>
      </c>
      <c r="S3765" t="str">
        <f t="shared" si="468"/>
        <v/>
      </c>
      <c r="T3765" s="403" t="str">
        <f t="shared" si="469"/>
        <v>NDE-8503-RT</v>
      </c>
      <c r="U3765" s="403">
        <f t="shared" si="470"/>
        <v>1</v>
      </c>
      <c r="V3765" s="403" t="str">
        <f t="shared" si="471"/>
        <v>CPP_7_3</v>
      </c>
    </row>
    <row r="3766" spans="1:22">
      <c r="A3766" t="str">
        <f t="shared" si="464"/>
        <v>NDE-8503-RT</v>
      </c>
      <c r="B3766" s="403" t="s">
        <v>1410</v>
      </c>
      <c r="C3766" s="403" t="s">
        <v>582</v>
      </c>
      <c r="D3766" s="403" t="s">
        <v>1414</v>
      </c>
      <c r="E3766" s="403" t="s">
        <v>1412</v>
      </c>
      <c r="F3766" s="403" t="s">
        <v>1382</v>
      </c>
      <c r="G3766" s="403" t="s">
        <v>1466</v>
      </c>
      <c r="H3766" s="403" t="s">
        <v>1276</v>
      </c>
      <c r="I3766" s="403">
        <v>1</v>
      </c>
      <c r="J3766" s="403" t="s">
        <v>1376</v>
      </c>
      <c r="K3766" s="403">
        <v>3072</v>
      </c>
      <c r="L3766" s="403">
        <v>1728</v>
      </c>
      <c r="M3766" s="403" t="s">
        <v>1600</v>
      </c>
      <c r="N3766" s="403">
        <v>3072</v>
      </c>
      <c r="O3766" s="403">
        <v>1728</v>
      </c>
      <c r="P3766" t="str">
        <f t="shared" si="465"/>
        <v>30fps 3072x1728 - 3072x1728 @ SKIP2</v>
      </c>
      <c r="Q3766">
        <f t="shared" si="466"/>
        <v>20</v>
      </c>
      <c r="R3766" t="str">
        <f t="shared" si="467"/>
        <v/>
      </c>
      <c r="S3766" t="str">
        <f t="shared" si="468"/>
        <v/>
      </c>
      <c r="T3766" s="403" t="str">
        <f t="shared" si="469"/>
        <v>NDE-8503-RT</v>
      </c>
      <c r="U3766" s="403">
        <f t="shared" si="470"/>
        <v>1</v>
      </c>
      <c r="V3766" s="403" t="str">
        <f t="shared" si="471"/>
        <v>CPP_7_3</v>
      </c>
    </row>
    <row r="3767" spans="1:22">
      <c r="A3767" t="str">
        <f t="shared" si="464"/>
        <v>NDE-8503-RT</v>
      </c>
      <c r="B3767" s="403" t="s">
        <v>1410</v>
      </c>
      <c r="C3767" s="403" t="s">
        <v>582</v>
      </c>
      <c r="D3767" s="403" t="s">
        <v>1414</v>
      </c>
      <c r="E3767" s="403" t="s">
        <v>1412</v>
      </c>
      <c r="F3767" s="403" t="s">
        <v>1382</v>
      </c>
      <c r="G3767" s="403" t="s">
        <v>1466</v>
      </c>
      <c r="H3767" s="403" t="s">
        <v>1276</v>
      </c>
      <c r="I3767" s="403">
        <v>1</v>
      </c>
      <c r="J3767" s="403" t="s">
        <v>1376</v>
      </c>
      <c r="K3767" s="403">
        <v>3072</v>
      </c>
      <c r="L3767" s="403">
        <v>1728</v>
      </c>
      <c r="M3767" s="403" t="s">
        <v>1280</v>
      </c>
      <c r="N3767" s="403">
        <v>3072</v>
      </c>
      <c r="O3767" s="403">
        <v>1728</v>
      </c>
      <c r="P3767" t="str">
        <f t="shared" si="465"/>
        <v>30fps 3072x1728 - copy other stream</v>
      </c>
      <c r="Q3767">
        <f t="shared" si="466"/>
        <v>20</v>
      </c>
      <c r="R3767" t="str">
        <f t="shared" si="467"/>
        <v/>
      </c>
      <c r="S3767" t="str">
        <f t="shared" si="468"/>
        <v/>
      </c>
      <c r="T3767" s="403" t="str">
        <f t="shared" si="469"/>
        <v>NDE-8503-RT</v>
      </c>
      <c r="U3767" s="403">
        <f t="shared" si="470"/>
        <v>1</v>
      </c>
      <c r="V3767" s="403" t="str">
        <f t="shared" si="471"/>
        <v>CPP_7_3</v>
      </c>
    </row>
    <row r="3768" spans="1:22">
      <c r="A3768" t="str">
        <f t="shared" si="464"/>
        <v>NDE-8503-RT</v>
      </c>
      <c r="B3768" s="403" t="s">
        <v>1410</v>
      </c>
      <c r="C3768" s="403" t="s">
        <v>582</v>
      </c>
      <c r="D3768" s="403" t="s">
        <v>1414</v>
      </c>
      <c r="E3768" s="403" t="s">
        <v>1412</v>
      </c>
      <c r="F3768" s="403" t="s">
        <v>1382</v>
      </c>
      <c r="G3768" s="403" t="s">
        <v>1466</v>
      </c>
      <c r="H3768" s="403" t="s">
        <v>1276</v>
      </c>
      <c r="I3768" s="403">
        <v>1</v>
      </c>
      <c r="J3768" s="403" t="s">
        <v>1376</v>
      </c>
      <c r="K3768" s="403">
        <v>3072</v>
      </c>
      <c r="L3768" s="403">
        <v>1728</v>
      </c>
      <c r="M3768" s="403" t="s">
        <v>110</v>
      </c>
      <c r="N3768" s="403">
        <v>1920</v>
      </c>
      <c r="O3768" s="403">
        <v>1080</v>
      </c>
      <c r="P3768" t="str">
        <f t="shared" si="465"/>
        <v>30fps 3072x1728 - 1080p</v>
      </c>
      <c r="Q3768">
        <f t="shared" si="466"/>
        <v>20</v>
      </c>
      <c r="R3768" t="str">
        <f t="shared" si="467"/>
        <v/>
      </c>
      <c r="S3768" t="str">
        <f t="shared" si="468"/>
        <v/>
      </c>
      <c r="T3768" s="403" t="str">
        <f t="shared" si="469"/>
        <v>NDE-8503-RT</v>
      </c>
      <c r="U3768" s="403">
        <f t="shared" si="470"/>
        <v>1</v>
      </c>
      <c r="V3768" s="403" t="str">
        <f t="shared" si="471"/>
        <v>CPP_7_3</v>
      </c>
    </row>
    <row r="3769" spans="1:22">
      <c r="A3769" t="str">
        <f t="shared" si="464"/>
        <v>NDE-8503-RT</v>
      </c>
      <c r="B3769" s="403" t="s">
        <v>1410</v>
      </c>
      <c r="C3769" s="403" t="s">
        <v>582</v>
      </c>
      <c r="D3769" s="403" t="s">
        <v>1414</v>
      </c>
      <c r="E3769" s="403" t="s">
        <v>1412</v>
      </c>
      <c r="F3769" s="403" t="s">
        <v>1382</v>
      </c>
      <c r="G3769" s="403" t="s">
        <v>1466</v>
      </c>
      <c r="H3769" s="403" t="s">
        <v>1276</v>
      </c>
      <c r="I3769" s="403">
        <v>1</v>
      </c>
      <c r="J3769" s="403" t="s">
        <v>1376</v>
      </c>
      <c r="K3769" s="403">
        <v>3072</v>
      </c>
      <c r="L3769" s="403">
        <v>1728</v>
      </c>
      <c r="M3769" s="403" t="s">
        <v>109</v>
      </c>
      <c r="N3769" s="403">
        <v>1280</v>
      </c>
      <c r="O3769" s="403">
        <v>720</v>
      </c>
      <c r="P3769" t="str">
        <f t="shared" si="465"/>
        <v>30fps 3072x1728 - 720p</v>
      </c>
      <c r="Q3769">
        <f t="shared" si="466"/>
        <v>20</v>
      </c>
      <c r="R3769" t="str">
        <f t="shared" si="467"/>
        <v/>
      </c>
      <c r="S3769" t="str">
        <f t="shared" si="468"/>
        <v/>
      </c>
      <c r="T3769" s="403" t="str">
        <f t="shared" si="469"/>
        <v>NDE-8503-RT</v>
      </c>
      <c r="U3769" s="403">
        <f t="shared" si="470"/>
        <v>1</v>
      </c>
      <c r="V3769" s="403" t="str">
        <f t="shared" si="471"/>
        <v>CPP_7_3</v>
      </c>
    </row>
    <row r="3770" spans="1:22">
      <c r="A3770" t="str">
        <f t="shared" si="464"/>
        <v>NDE-8503-RT</v>
      </c>
      <c r="B3770" s="403" t="s">
        <v>1410</v>
      </c>
      <c r="C3770" s="403" t="s">
        <v>582</v>
      </c>
      <c r="D3770" s="403" t="s">
        <v>1414</v>
      </c>
      <c r="E3770" s="403" t="s">
        <v>1412</v>
      </c>
      <c r="F3770" s="403" t="s">
        <v>1382</v>
      </c>
      <c r="G3770" s="403" t="s">
        <v>1466</v>
      </c>
      <c r="H3770" s="403" t="s">
        <v>1276</v>
      </c>
      <c r="I3770" s="403">
        <v>1</v>
      </c>
      <c r="J3770" s="403" t="s">
        <v>1376</v>
      </c>
      <c r="K3770" s="403">
        <v>3072</v>
      </c>
      <c r="L3770" s="403">
        <v>1728</v>
      </c>
      <c r="M3770" s="403" t="s">
        <v>1283</v>
      </c>
      <c r="N3770" s="403">
        <v>720</v>
      </c>
      <c r="O3770" s="403">
        <v>480</v>
      </c>
      <c r="P3770" t="str">
        <f t="shared" si="465"/>
        <v>30fps 3072x1728 - SD 4CIF resolution 4:3 format (cropped)</v>
      </c>
      <c r="Q3770">
        <f t="shared" si="466"/>
        <v>20</v>
      </c>
      <c r="R3770" t="str">
        <f t="shared" si="467"/>
        <v/>
      </c>
      <c r="S3770" t="str">
        <f t="shared" si="468"/>
        <v/>
      </c>
      <c r="T3770" s="403" t="str">
        <f t="shared" si="469"/>
        <v>NDE-8503-RT</v>
      </c>
      <c r="U3770" s="403">
        <f t="shared" si="470"/>
        <v>1</v>
      </c>
      <c r="V3770" s="403" t="str">
        <f t="shared" si="471"/>
        <v>CPP_7_3</v>
      </c>
    </row>
    <row r="3771" spans="1:22">
      <c r="A3771" t="str">
        <f t="shared" si="464"/>
        <v>NDE-8503-RT</v>
      </c>
      <c r="B3771" s="403" t="s">
        <v>1410</v>
      </c>
      <c r="C3771" s="403" t="s">
        <v>582</v>
      </c>
      <c r="D3771" s="403" t="s">
        <v>1414</v>
      </c>
      <c r="E3771" s="403" t="s">
        <v>1412</v>
      </c>
      <c r="F3771" s="403" t="s">
        <v>1382</v>
      </c>
      <c r="G3771" s="403" t="s">
        <v>1466</v>
      </c>
      <c r="H3771" s="403" t="s">
        <v>1276</v>
      </c>
      <c r="I3771" s="403">
        <v>1</v>
      </c>
      <c r="J3771" s="403" t="s">
        <v>1376</v>
      </c>
      <c r="K3771" s="403">
        <v>3072</v>
      </c>
      <c r="L3771" s="403">
        <v>1728</v>
      </c>
      <c r="M3771" s="403" t="s">
        <v>1279</v>
      </c>
      <c r="N3771" s="403">
        <v>768</v>
      </c>
      <c r="O3771" s="403">
        <v>432</v>
      </c>
      <c r="P3771" t="str">
        <f t="shared" si="465"/>
        <v>30fps 3072x1728 - SD ROI PTZ</v>
      </c>
      <c r="Q3771">
        <f t="shared" si="466"/>
        <v>20</v>
      </c>
      <c r="R3771" t="str">
        <f t="shared" si="467"/>
        <v/>
      </c>
      <c r="S3771" t="str">
        <f t="shared" si="468"/>
        <v/>
      </c>
      <c r="T3771" s="403" t="str">
        <f t="shared" si="469"/>
        <v>NDE-8503-RT</v>
      </c>
      <c r="U3771" s="403">
        <f t="shared" si="470"/>
        <v>1</v>
      </c>
      <c r="V3771" s="403" t="str">
        <f t="shared" si="471"/>
        <v>CPP_7_3</v>
      </c>
    </row>
    <row r="3772" spans="1:22">
      <c r="A3772" t="str">
        <f t="shared" si="464"/>
        <v>NDE-8503-RT</v>
      </c>
      <c r="B3772" s="403" t="s">
        <v>1410</v>
      </c>
      <c r="C3772" s="403" t="s">
        <v>582</v>
      </c>
      <c r="D3772" s="403" t="s">
        <v>1414</v>
      </c>
      <c r="E3772" s="403" t="s">
        <v>1412</v>
      </c>
      <c r="F3772" s="403" t="s">
        <v>1382</v>
      </c>
      <c r="G3772" s="403" t="s">
        <v>1466</v>
      </c>
      <c r="H3772" s="403" t="s">
        <v>1276</v>
      </c>
      <c r="I3772" s="403">
        <v>1</v>
      </c>
      <c r="J3772" s="403" t="s">
        <v>1376</v>
      </c>
      <c r="K3772" s="403">
        <v>3072</v>
      </c>
      <c r="L3772" s="403">
        <v>1728</v>
      </c>
      <c r="M3772" s="403" t="s">
        <v>1284</v>
      </c>
      <c r="N3772" s="403">
        <v>640</v>
      </c>
      <c r="O3772" s="403">
        <v>480</v>
      </c>
      <c r="P3772" t="str">
        <f t="shared" si="465"/>
        <v>30fps 3072x1728 - SD VGA (cropped)</v>
      </c>
      <c r="Q3772">
        <f t="shared" si="466"/>
        <v>20</v>
      </c>
      <c r="R3772" t="str">
        <f t="shared" si="467"/>
        <v/>
      </c>
      <c r="S3772" t="str">
        <f t="shared" si="468"/>
        <v/>
      </c>
      <c r="T3772" s="403" t="str">
        <f t="shared" si="469"/>
        <v>NDE-8503-RT</v>
      </c>
      <c r="U3772" s="403">
        <f t="shared" si="470"/>
        <v>1</v>
      </c>
      <c r="V3772" s="403" t="str">
        <f t="shared" si="471"/>
        <v>CPP_7_3</v>
      </c>
    </row>
    <row r="3773" spans="1:22">
      <c r="A3773" t="str">
        <f t="shared" si="464"/>
        <v>NDE-8503-RT</v>
      </c>
      <c r="B3773" s="403" t="s">
        <v>1410</v>
      </c>
      <c r="C3773" s="403" t="s">
        <v>582</v>
      </c>
      <c r="D3773" s="403" t="s">
        <v>1414</v>
      </c>
      <c r="E3773" s="403" t="s">
        <v>1412</v>
      </c>
      <c r="F3773" s="403" t="s">
        <v>1382</v>
      </c>
      <c r="G3773" s="403" t="s">
        <v>1466</v>
      </c>
      <c r="H3773" s="403" t="s">
        <v>1276</v>
      </c>
      <c r="I3773" s="403">
        <v>1</v>
      </c>
      <c r="J3773" s="403" t="s">
        <v>1376</v>
      </c>
      <c r="K3773" s="403">
        <v>3072</v>
      </c>
      <c r="L3773" s="403">
        <v>1728</v>
      </c>
      <c r="M3773" s="403" t="s">
        <v>1285</v>
      </c>
      <c r="N3773" s="403">
        <v>1280</v>
      </c>
      <c r="O3773" s="403">
        <v>1024</v>
      </c>
      <c r="P3773" t="str">
        <f t="shared" si="465"/>
        <v>30fps 3072x1728 - 1280x1024 5:4 (cropped)</v>
      </c>
      <c r="Q3773">
        <f t="shared" si="466"/>
        <v>20</v>
      </c>
      <c r="R3773" t="str">
        <f t="shared" si="467"/>
        <v/>
      </c>
      <c r="S3773" t="str">
        <f t="shared" si="468"/>
        <v/>
      </c>
      <c r="T3773" s="403" t="str">
        <f t="shared" si="469"/>
        <v>NDE-8503-RT</v>
      </c>
      <c r="U3773" s="403">
        <f t="shared" si="470"/>
        <v>1</v>
      </c>
      <c r="V3773" s="403" t="str">
        <f t="shared" si="471"/>
        <v>CPP_7_3</v>
      </c>
    </row>
    <row r="3774" spans="1:22">
      <c r="A3774" t="str">
        <f t="shared" si="464"/>
        <v>NDE-8503-RT</v>
      </c>
      <c r="B3774" s="403" t="s">
        <v>1410</v>
      </c>
      <c r="C3774" s="403" t="s">
        <v>582</v>
      </c>
      <c r="D3774" s="403" t="s">
        <v>1414</v>
      </c>
      <c r="E3774" s="403" t="s">
        <v>1412</v>
      </c>
      <c r="F3774" s="403" t="s">
        <v>1382</v>
      </c>
      <c r="G3774" s="403" t="s">
        <v>1466</v>
      </c>
      <c r="H3774" s="403" t="s">
        <v>1276</v>
      </c>
      <c r="I3774" s="403">
        <v>1</v>
      </c>
      <c r="J3774" s="403" t="s">
        <v>1376</v>
      </c>
      <c r="K3774" s="403">
        <v>3072</v>
      </c>
      <c r="L3774" s="403">
        <v>1728</v>
      </c>
      <c r="M3774" s="403" t="s">
        <v>1383</v>
      </c>
      <c r="N3774" s="403">
        <v>1920</v>
      </c>
      <c r="O3774" s="403">
        <v>1440</v>
      </c>
      <c r="P3774" t="str">
        <f t="shared" si="465"/>
        <v>30fps 3072x1728 - 1920x1440_CROP</v>
      </c>
      <c r="Q3774">
        <f t="shared" si="466"/>
        <v>20</v>
      </c>
      <c r="R3774" t="str">
        <f t="shared" si="467"/>
        <v/>
      </c>
      <c r="S3774" t="str">
        <f t="shared" si="468"/>
        <v/>
      </c>
      <c r="T3774" s="403" t="str">
        <f t="shared" si="469"/>
        <v>NDE-8503-RT</v>
      </c>
      <c r="U3774" s="403">
        <f t="shared" si="470"/>
        <v>1</v>
      </c>
      <c r="V3774" s="403" t="str">
        <f t="shared" si="471"/>
        <v>CPP_7_3</v>
      </c>
    </row>
    <row r="3775" spans="1:22">
      <c r="A3775" t="str">
        <f t="shared" si="464"/>
        <v>NDE-8503-RT</v>
      </c>
      <c r="B3775" s="403" t="s">
        <v>1410</v>
      </c>
      <c r="C3775" s="403" t="s">
        <v>582</v>
      </c>
      <c r="D3775" s="403" t="s">
        <v>1414</v>
      </c>
      <c r="E3775" s="403" t="s">
        <v>1412</v>
      </c>
      <c r="F3775" s="403" t="s">
        <v>1382</v>
      </c>
      <c r="G3775" s="403" t="s">
        <v>1466</v>
      </c>
      <c r="H3775" s="403" t="s">
        <v>1276</v>
      </c>
      <c r="I3775" s="403">
        <v>1</v>
      </c>
      <c r="J3775" s="403" t="s">
        <v>1373</v>
      </c>
      <c r="K3775" s="403">
        <v>2688</v>
      </c>
      <c r="L3775" s="403">
        <v>1512</v>
      </c>
      <c r="M3775" s="403" t="s">
        <v>110</v>
      </c>
      <c r="N3775" s="403">
        <v>1920</v>
      </c>
      <c r="O3775" s="403">
        <v>1080</v>
      </c>
      <c r="P3775" t="str">
        <f t="shared" si="465"/>
        <v>30fps 2688x1512 - 1080p</v>
      </c>
      <c r="Q3775">
        <f t="shared" si="466"/>
        <v>20</v>
      </c>
      <c r="R3775" t="str">
        <f t="shared" si="467"/>
        <v/>
      </c>
      <c r="S3775" t="str">
        <f t="shared" si="468"/>
        <v/>
      </c>
      <c r="T3775" s="403" t="str">
        <f t="shared" si="469"/>
        <v>NDE-8503-RT</v>
      </c>
      <c r="U3775" s="403">
        <f t="shared" si="470"/>
        <v>1</v>
      </c>
      <c r="V3775" s="403" t="str">
        <f t="shared" si="471"/>
        <v>CPP_7_3</v>
      </c>
    </row>
    <row r="3776" spans="1:22">
      <c r="A3776" t="str">
        <f t="shared" si="464"/>
        <v>NDE-8503-RT</v>
      </c>
      <c r="B3776" s="403" t="s">
        <v>1410</v>
      </c>
      <c r="C3776" s="403" t="s">
        <v>582</v>
      </c>
      <c r="D3776" s="403" t="s">
        <v>1414</v>
      </c>
      <c r="E3776" s="403" t="s">
        <v>1412</v>
      </c>
      <c r="F3776" s="403" t="s">
        <v>1382</v>
      </c>
      <c r="G3776" s="403" t="s">
        <v>1466</v>
      </c>
      <c r="H3776" s="403" t="s">
        <v>1276</v>
      </c>
      <c r="I3776" s="403">
        <v>1</v>
      </c>
      <c r="J3776" s="403" t="s">
        <v>1373</v>
      </c>
      <c r="K3776" s="403">
        <v>2688</v>
      </c>
      <c r="L3776" s="403">
        <v>1512</v>
      </c>
      <c r="M3776" s="403" t="s">
        <v>1384</v>
      </c>
      <c r="N3776" s="403">
        <v>2688</v>
      </c>
      <c r="O3776" s="403">
        <v>1512</v>
      </c>
      <c r="P3776" t="str">
        <f t="shared" si="465"/>
        <v>30fps 2688x1512 - 2688x1512 @ SKIP 2</v>
      </c>
      <c r="Q3776">
        <f t="shared" si="466"/>
        <v>20</v>
      </c>
      <c r="R3776" t="str">
        <f t="shared" si="467"/>
        <v/>
      </c>
      <c r="S3776" t="str">
        <f t="shared" si="468"/>
        <v/>
      </c>
      <c r="T3776" s="403" t="str">
        <f t="shared" si="469"/>
        <v>NDE-8503-RT</v>
      </c>
      <c r="U3776" s="403">
        <f t="shared" si="470"/>
        <v>1</v>
      </c>
      <c r="V3776" s="403" t="str">
        <f t="shared" si="471"/>
        <v>CPP_7_3</v>
      </c>
    </row>
    <row r="3777" spans="1:22">
      <c r="A3777" t="str">
        <f t="shared" si="464"/>
        <v>NDE-8503-RT</v>
      </c>
      <c r="B3777" s="403" t="s">
        <v>1410</v>
      </c>
      <c r="C3777" s="403" t="s">
        <v>582</v>
      </c>
      <c r="D3777" s="403" t="s">
        <v>1414</v>
      </c>
      <c r="E3777" s="403" t="s">
        <v>1412</v>
      </c>
      <c r="F3777" s="403" t="s">
        <v>1382</v>
      </c>
      <c r="G3777" s="403" t="s">
        <v>1466</v>
      </c>
      <c r="H3777" s="403" t="s">
        <v>1276</v>
      </c>
      <c r="I3777" s="403">
        <v>1</v>
      </c>
      <c r="J3777" s="403" t="s">
        <v>1373</v>
      </c>
      <c r="K3777" s="403">
        <v>2688</v>
      </c>
      <c r="L3777" s="403">
        <v>1512</v>
      </c>
      <c r="M3777" s="403" t="s">
        <v>109</v>
      </c>
      <c r="N3777" s="403">
        <v>1280</v>
      </c>
      <c r="O3777" s="403">
        <v>720</v>
      </c>
      <c r="P3777" t="str">
        <f t="shared" si="465"/>
        <v>30fps 2688x1512 - 720p</v>
      </c>
      <c r="Q3777">
        <f t="shared" si="466"/>
        <v>20</v>
      </c>
      <c r="R3777" t="str">
        <f t="shared" si="467"/>
        <v/>
      </c>
      <c r="S3777" t="str">
        <f t="shared" si="468"/>
        <v/>
      </c>
      <c r="T3777" s="403" t="str">
        <f t="shared" si="469"/>
        <v>NDE-8503-RT</v>
      </c>
      <c r="U3777" s="403">
        <f t="shared" si="470"/>
        <v>1</v>
      </c>
      <c r="V3777" s="403" t="str">
        <f t="shared" si="471"/>
        <v>CPP_7_3</v>
      </c>
    </row>
    <row r="3778" spans="1:22">
      <c r="A3778" t="str">
        <f t="shared" ref="A3778:A3841" si="472">IF(AND(G3778&lt;&gt;"rotate 90°"),D3778,"")</f>
        <v>NDE-8503-RT</v>
      </c>
      <c r="B3778" s="403" t="s">
        <v>1410</v>
      </c>
      <c r="C3778" s="403" t="s">
        <v>582</v>
      </c>
      <c r="D3778" s="403" t="s">
        <v>1414</v>
      </c>
      <c r="E3778" s="403" t="s">
        <v>1412</v>
      </c>
      <c r="F3778" s="403" t="s">
        <v>1382</v>
      </c>
      <c r="G3778" s="403" t="s">
        <v>1466</v>
      </c>
      <c r="H3778" s="403" t="s">
        <v>1276</v>
      </c>
      <c r="I3778" s="403">
        <v>1</v>
      </c>
      <c r="J3778" s="403" t="s">
        <v>1373</v>
      </c>
      <c r="K3778" s="403">
        <v>2688</v>
      </c>
      <c r="L3778" s="403">
        <v>1512</v>
      </c>
      <c r="M3778" s="403" t="s">
        <v>111</v>
      </c>
      <c r="N3778" s="403">
        <v>768</v>
      </c>
      <c r="O3778" s="403">
        <v>432</v>
      </c>
      <c r="P3778" t="str">
        <f t="shared" ref="P3778:P3841" si="473">LEFT(F3778,5)&amp;" "&amp;J3778&amp;" - "&amp;M3778</f>
        <v>30fps 2688x1512 - SD</v>
      </c>
      <c r="Q3778">
        <f t="shared" ref="Q3778:Q3841" si="474">IF(A3777=A3778,Q3777,Q3777+1)</f>
        <v>20</v>
      </c>
      <c r="R3778" t="str">
        <f t="shared" ref="R3778:R3841" si="475">IF(Q3777&lt;&gt;Q3778,Q3778,"")</f>
        <v/>
      </c>
      <c r="S3778" t="str">
        <f t="shared" ref="S3778:S3841" si="476">IF(R3778&lt;&gt;"",B3778&amp;" ("&amp;D3778&amp;")","")</f>
        <v/>
      </c>
      <c r="T3778" s="403" t="str">
        <f t="shared" ref="T3778:T3841" si="477">D3778</f>
        <v>NDE-8503-RT</v>
      </c>
      <c r="U3778" s="403">
        <f t="shared" ref="U3778:U3841" si="478">I3778</f>
        <v>1</v>
      </c>
      <c r="V3778" s="403" t="str">
        <f t="shared" ref="V3778:V3841" si="479">C3778</f>
        <v>CPP_7_3</v>
      </c>
    </row>
    <row r="3779" spans="1:22">
      <c r="A3779" t="str">
        <f t="shared" si="472"/>
        <v>NDE-8503-RT</v>
      </c>
      <c r="B3779" s="403" t="s">
        <v>1410</v>
      </c>
      <c r="C3779" s="403" t="s">
        <v>582</v>
      </c>
      <c r="D3779" s="403" t="s">
        <v>1414</v>
      </c>
      <c r="E3779" s="403" t="s">
        <v>1412</v>
      </c>
      <c r="F3779" s="403" t="s">
        <v>1382</v>
      </c>
      <c r="G3779" s="403" t="s">
        <v>1466</v>
      </c>
      <c r="H3779" s="403" t="s">
        <v>1276</v>
      </c>
      <c r="I3779" s="403">
        <v>1</v>
      </c>
      <c r="J3779" s="403" t="s">
        <v>1373</v>
      </c>
      <c r="K3779" s="403">
        <v>2688</v>
      </c>
      <c r="L3779" s="403">
        <v>1512</v>
      </c>
      <c r="M3779" s="403" t="s">
        <v>1279</v>
      </c>
      <c r="N3779" s="403">
        <v>768</v>
      </c>
      <c r="O3779" s="403">
        <v>432</v>
      </c>
      <c r="P3779" t="str">
        <f t="shared" si="473"/>
        <v>30fps 2688x1512 - SD ROI PTZ</v>
      </c>
      <c r="Q3779">
        <f t="shared" si="474"/>
        <v>20</v>
      </c>
      <c r="R3779" t="str">
        <f t="shared" si="475"/>
        <v/>
      </c>
      <c r="S3779" t="str">
        <f t="shared" si="476"/>
        <v/>
      </c>
      <c r="T3779" s="403" t="str">
        <f t="shared" si="477"/>
        <v>NDE-8503-RT</v>
      </c>
      <c r="U3779" s="403">
        <f t="shared" si="478"/>
        <v>1</v>
      </c>
      <c r="V3779" s="403" t="str">
        <f t="shared" si="479"/>
        <v>CPP_7_3</v>
      </c>
    </row>
    <row r="3780" spans="1:22">
      <c r="A3780" t="str">
        <f t="shared" si="472"/>
        <v>NDE-8503-RT</v>
      </c>
      <c r="B3780" s="403" t="s">
        <v>1410</v>
      </c>
      <c r="C3780" s="403" t="s">
        <v>582</v>
      </c>
      <c r="D3780" s="403" t="s">
        <v>1414</v>
      </c>
      <c r="E3780" s="403" t="s">
        <v>1412</v>
      </c>
      <c r="F3780" s="403" t="s">
        <v>1382</v>
      </c>
      <c r="G3780" s="403" t="s">
        <v>1466</v>
      </c>
      <c r="H3780" s="403" t="s">
        <v>1276</v>
      </c>
      <c r="I3780" s="403">
        <v>1</v>
      </c>
      <c r="J3780" s="403" t="s">
        <v>1373</v>
      </c>
      <c r="K3780" s="403">
        <v>2688</v>
      </c>
      <c r="L3780" s="403">
        <v>1512</v>
      </c>
      <c r="M3780" s="403" t="s">
        <v>1285</v>
      </c>
      <c r="N3780" s="403">
        <v>1280</v>
      </c>
      <c r="O3780" s="403">
        <v>1024</v>
      </c>
      <c r="P3780" t="str">
        <f t="shared" si="473"/>
        <v>30fps 2688x1512 - 1280x1024 5:4 (cropped)</v>
      </c>
      <c r="Q3780">
        <f t="shared" si="474"/>
        <v>20</v>
      </c>
      <c r="R3780" t="str">
        <f t="shared" si="475"/>
        <v/>
      </c>
      <c r="S3780" t="str">
        <f t="shared" si="476"/>
        <v/>
      </c>
      <c r="T3780" s="403" t="str">
        <f t="shared" si="477"/>
        <v>NDE-8503-RT</v>
      </c>
      <c r="U3780" s="403">
        <f t="shared" si="478"/>
        <v>1</v>
      </c>
      <c r="V3780" s="403" t="str">
        <f t="shared" si="479"/>
        <v>CPP_7_3</v>
      </c>
    </row>
    <row r="3781" spans="1:22">
      <c r="A3781" t="str">
        <f t="shared" si="472"/>
        <v>NDE-8503-RT</v>
      </c>
      <c r="B3781" s="403" t="s">
        <v>1410</v>
      </c>
      <c r="C3781" s="403" t="s">
        <v>582</v>
      </c>
      <c r="D3781" s="403" t="s">
        <v>1414</v>
      </c>
      <c r="E3781" s="403" t="s">
        <v>1412</v>
      </c>
      <c r="F3781" s="403" t="s">
        <v>1382</v>
      </c>
      <c r="G3781" s="403" t="s">
        <v>1466</v>
      </c>
      <c r="H3781" s="403" t="s">
        <v>1276</v>
      </c>
      <c r="I3781" s="403">
        <v>1</v>
      </c>
      <c r="J3781" s="403" t="s">
        <v>1373</v>
      </c>
      <c r="K3781" s="403">
        <v>2688</v>
      </c>
      <c r="L3781" s="403">
        <v>1512</v>
      </c>
      <c r="M3781" s="403" t="s">
        <v>1283</v>
      </c>
      <c r="N3781" s="403">
        <v>720</v>
      </c>
      <c r="O3781" s="403">
        <v>480</v>
      </c>
      <c r="P3781" t="str">
        <f t="shared" si="473"/>
        <v>30fps 2688x1512 - SD 4CIF resolution 4:3 format (cropped)</v>
      </c>
      <c r="Q3781">
        <f t="shared" si="474"/>
        <v>20</v>
      </c>
      <c r="R3781" t="str">
        <f t="shared" si="475"/>
        <v/>
      </c>
      <c r="S3781" t="str">
        <f t="shared" si="476"/>
        <v/>
      </c>
      <c r="T3781" s="403" t="str">
        <f t="shared" si="477"/>
        <v>NDE-8503-RT</v>
      </c>
      <c r="U3781" s="403">
        <f t="shared" si="478"/>
        <v>1</v>
      </c>
      <c r="V3781" s="403" t="str">
        <f t="shared" si="479"/>
        <v>CPP_7_3</v>
      </c>
    </row>
    <row r="3782" spans="1:22">
      <c r="A3782" t="str">
        <f t="shared" si="472"/>
        <v>NDE-8503-RT</v>
      </c>
      <c r="B3782" s="403" t="s">
        <v>1410</v>
      </c>
      <c r="C3782" s="403" t="s">
        <v>582</v>
      </c>
      <c r="D3782" s="403" t="s">
        <v>1414</v>
      </c>
      <c r="E3782" s="403" t="s">
        <v>1412</v>
      </c>
      <c r="F3782" s="403" t="s">
        <v>1382</v>
      </c>
      <c r="G3782" s="403" t="s">
        <v>1466</v>
      </c>
      <c r="H3782" s="403" t="s">
        <v>1276</v>
      </c>
      <c r="I3782" s="403">
        <v>1</v>
      </c>
      <c r="J3782" s="403" t="s">
        <v>1373</v>
      </c>
      <c r="K3782" s="403">
        <v>2688</v>
      </c>
      <c r="L3782" s="403">
        <v>1512</v>
      </c>
      <c r="M3782" s="403" t="s">
        <v>1284</v>
      </c>
      <c r="N3782" s="403">
        <v>640</v>
      </c>
      <c r="O3782" s="403">
        <v>480</v>
      </c>
      <c r="P3782" t="str">
        <f t="shared" si="473"/>
        <v>30fps 2688x1512 - SD VGA (cropped)</v>
      </c>
      <c r="Q3782">
        <f t="shared" si="474"/>
        <v>20</v>
      </c>
      <c r="R3782" t="str">
        <f t="shared" si="475"/>
        <v/>
      </c>
      <c r="S3782" t="str">
        <f t="shared" si="476"/>
        <v/>
      </c>
      <c r="T3782" s="403" t="str">
        <f t="shared" si="477"/>
        <v>NDE-8503-RT</v>
      </c>
      <c r="U3782" s="403">
        <f t="shared" si="478"/>
        <v>1</v>
      </c>
      <c r="V3782" s="403" t="str">
        <f t="shared" si="479"/>
        <v>CPP_7_3</v>
      </c>
    </row>
    <row r="3783" spans="1:22">
      <c r="A3783" t="str">
        <f t="shared" si="472"/>
        <v>NDE-8503-RT</v>
      </c>
      <c r="B3783" s="403" t="s">
        <v>1410</v>
      </c>
      <c r="C3783" s="403" t="s">
        <v>582</v>
      </c>
      <c r="D3783" s="403" t="s">
        <v>1414</v>
      </c>
      <c r="E3783" s="403" t="s">
        <v>1412</v>
      </c>
      <c r="F3783" s="403" t="s">
        <v>1382</v>
      </c>
      <c r="G3783" s="403" t="s">
        <v>1466</v>
      </c>
      <c r="H3783" s="403" t="s">
        <v>1276</v>
      </c>
      <c r="I3783" s="403">
        <v>1</v>
      </c>
      <c r="J3783" s="403" t="s">
        <v>1373</v>
      </c>
      <c r="K3783" s="403">
        <v>2688</v>
      </c>
      <c r="L3783" s="403">
        <v>1512</v>
      </c>
      <c r="M3783" s="403" t="s">
        <v>1280</v>
      </c>
      <c r="N3783" s="403">
        <v>2688</v>
      </c>
      <c r="O3783" s="403">
        <v>1512</v>
      </c>
      <c r="P3783" t="str">
        <f t="shared" si="473"/>
        <v>30fps 2688x1512 - copy other stream</v>
      </c>
      <c r="Q3783">
        <f t="shared" si="474"/>
        <v>20</v>
      </c>
      <c r="R3783" t="str">
        <f t="shared" si="475"/>
        <v/>
      </c>
      <c r="S3783" t="str">
        <f t="shared" si="476"/>
        <v/>
      </c>
      <c r="T3783" s="403" t="str">
        <f t="shared" si="477"/>
        <v>NDE-8503-RT</v>
      </c>
      <c r="U3783" s="403">
        <f t="shared" si="478"/>
        <v>1</v>
      </c>
      <c r="V3783" s="403" t="str">
        <f t="shared" si="479"/>
        <v>CPP_7_3</v>
      </c>
    </row>
    <row r="3784" spans="1:22">
      <c r="A3784" t="str">
        <f t="shared" si="472"/>
        <v>NDE-8503-RT</v>
      </c>
      <c r="B3784" s="403" t="s">
        <v>1410</v>
      </c>
      <c r="C3784" s="403" t="s">
        <v>582</v>
      </c>
      <c r="D3784" s="403" t="s">
        <v>1414</v>
      </c>
      <c r="E3784" s="403" t="s">
        <v>1412</v>
      </c>
      <c r="F3784" s="403" t="s">
        <v>1382</v>
      </c>
      <c r="G3784" s="403" t="s">
        <v>1466</v>
      </c>
      <c r="H3784" s="403" t="s">
        <v>1276</v>
      </c>
      <c r="I3784" s="403">
        <v>1</v>
      </c>
      <c r="J3784" s="403" t="s">
        <v>1374</v>
      </c>
      <c r="K3784" s="403">
        <v>2304</v>
      </c>
      <c r="L3784" s="403">
        <v>1296</v>
      </c>
      <c r="M3784" s="403" t="s">
        <v>110</v>
      </c>
      <c r="N3784" s="403">
        <v>1920</v>
      </c>
      <c r="O3784" s="403">
        <v>1080</v>
      </c>
      <c r="P3784" t="str">
        <f t="shared" si="473"/>
        <v>30fps 2304x1296 - 1080p</v>
      </c>
      <c r="Q3784">
        <f t="shared" si="474"/>
        <v>20</v>
      </c>
      <c r="R3784" t="str">
        <f t="shared" si="475"/>
        <v/>
      </c>
      <c r="S3784" t="str">
        <f t="shared" si="476"/>
        <v/>
      </c>
      <c r="T3784" s="403" t="str">
        <f t="shared" si="477"/>
        <v>NDE-8503-RT</v>
      </c>
      <c r="U3784" s="403">
        <f t="shared" si="478"/>
        <v>1</v>
      </c>
      <c r="V3784" s="403" t="str">
        <f t="shared" si="479"/>
        <v>CPP_7_3</v>
      </c>
    </row>
    <row r="3785" spans="1:22">
      <c r="A3785" t="str">
        <f t="shared" si="472"/>
        <v>NDE-8503-RT</v>
      </c>
      <c r="B3785" s="403" t="s">
        <v>1410</v>
      </c>
      <c r="C3785" s="403" t="s">
        <v>582</v>
      </c>
      <c r="D3785" s="403" t="s">
        <v>1414</v>
      </c>
      <c r="E3785" s="403" t="s">
        <v>1412</v>
      </c>
      <c r="F3785" s="403" t="s">
        <v>1382</v>
      </c>
      <c r="G3785" s="403" t="s">
        <v>1466</v>
      </c>
      <c r="H3785" s="403" t="s">
        <v>1276</v>
      </c>
      <c r="I3785" s="403">
        <v>1</v>
      </c>
      <c r="J3785" s="403" t="s">
        <v>1374</v>
      </c>
      <c r="K3785" s="403">
        <v>2304</v>
      </c>
      <c r="L3785" s="403">
        <v>1296</v>
      </c>
      <c r="M3785" s="403" t="s">
        <v>1374</v>
      </c>
      <c r="N3785" s="403">
        <v>2304</v>
      </c>
      <c r="O3785" s="403">
        <v>1296</v>
      </c>
      <c r="P3785" t="str">
        <f t="shared" si="473"/>
        <v>30fps 2304x1296 - 2304x1296</v>
      </c>
      <c r="Q3785">
        <f t="shared" si="474"/>
        <v>20</v>
      </c>
      <c r="R3785" t="str">
        <f t="shared" si="475"/>
        <v/>
      </c>
      <c r="S3785" t="str">
        <f t="shared" si="476"/>
        <v/>
      </c>
      <c r="T3785" s="403" t="str">
        <f t="shared" si="477"/>
        <v>NDE-8503-RT</v>
      </c>
      <c r="U3785" s="403">
        <f t="shared" si="478"/>
        <v>1</v>
      </c>
      <c r="V3785" s="403" t="str">
        <f t="shared" si="479"/>
        <v>CPP_7_3</v>
      </c>
    </row>
    <row r="3786" spans="1:22">
      <c r="A3786" t="str">
        <f t="shared" si="472"/>
        <v>NDE-8503-RT</v>
      </c>
      <c r="B3786" s="403" t="s">
        <v>1410</v>
      </c>
      <c r="C3786" s="403" t="s">
        <v>582</v>
      </c>
      <c r="D3786" s="403" t="s">
        <v>1414</v>
      </c>
      <c r="E3786" s="403" t="s">
        <v>1412</v>
      </c>
      <c r="F3786" s="403" t="s">
        <v>1382</v>
      </c>
      <c r="G3786" s="403" t="s">
        <v>1466</v>
      </c>
      <c r="H3786" s="403" t="s">
        <v>1276</v>
      </c>
      <c r="I3786" s="403">
        <v>1</v>
      </c>
      <c r="J3786" s="403" t="s">
        <v>1374</v>
      </c>
      <c r="K3786" s="403">
        <v>2304</v>
      </c>
      <c r="L3786" s="403">
        <v>1296</v>
      </c>
      <c r="M3786" s="403" t="s">
        <v>109</v>
      </c>
      <c r="N3786" s="403">
        <v>1280</v>
      </c>
      <c r="O3786" s="403">
        <v>720</v>
      </c>
      <c r="P3786" t="str">
        <f t="shared" si="473"/>
        <v>30fps 2304x1296 - 720p</v>
      </c>
      <c r="Q3786">
        <f t="shared" si="474"/>
        <v>20</v>
      </c>
      <c r="R3786" t="str">
        <f t="shared" si="475"/>
        <v/>
      </c>
      <c r="S3786" t="str">
        <f t="shared" si="476"/>
        <v/>
      </c>
      <c r="T3786" s="403" t="str">
        <f t="shared" si="477"/>
        <v>NDE-8503-RT</v>
      </c>
      <c r="U3786" s="403">
        <f t="shared" si="478"/>
        <v>1</v>
      </c>
      <c r="V3786" s="403" t="str">
        <f t="shared" si="479"/>
        <v>CPP_7_3</v>
      </c>
    </row>
    <row r="3787" spans="1:22">
      <c r="A3787" t="str">
        <f t="shared" si="472"/>
        <v>NDE-8503-RT</v>
      </c>
      <c r="B3787" s="403" t="s">
        <v>1410</v>
      </c>
      <c r="C3787" s="403" t="s">
        <v>582</v>
      </c>
      <c r="D3787" s="403" t="s">
        <v>1414</v>
      </c>
      <c r="E3787" s="403" t="s">
        <v>1412</v>
      </c>
      <c r="F3787" s="403" t="s">
        <v>1382</v>
      </c>
      <c r="G3787" s="403" t="s">
        <v>1466</v>
      </c>
      <c r="H3787" s="403" t="s">
        <v>1276</v>
      </c>
      <c r="I3787" s="403">
        <v>1</v>
      </c>
      <c r="J3787" s="403" t="s">
        <v>1374</v>
      </c>
      <c r="K3787" s="403">
        <v>2304</v>
      </c>
      <c r="L3787" s="403">
        <v>1296</v>
      </c>
      <c r="M3787" s="403" t="s">
        <v>111</v>
      </c>
      <c r="N3787" s="403">
        <v>768</v>
      </c>
      <c r="O3787" s="403">
        <v>432</v>
      </c>
      <c r="P3787" t="str">
        <f t="shared" si="473"/>
        <v>30fps 2304x1296 - SD</v>
      </c>
      <c r="Q3787">
        <f t="shared" si="474"/>
        <v>20</v>
      </c>
      <c r="R3787" t="str">
        <f t="shared" si="475"/>
        <v/>
      </c>
      <c r="S3787" t="str">
        <f t="shared" si="476"/>
        <v/>
      </c>
      <c r="T3787" s="403" t="str">
        <f t="shared" si="477"/>
        <v>NDE-8503-RT</v>
      </c>
      <c r="U3787" s="403">
        <f t="shared" si="478"/>
        <v>1</v>
      </c>
      <c r="V3787" s="403" t="str">
        <f t="shared" si="479"/>
        <v>CPP_7_3</v>
      </c>
    </row>
    <row r="3788" spans="1:22">
      <c r="A3788" t="str">
        <f t="shared" si="472"/>
        <v>NDE-8503-RT</v>
      </c>
      <c r="B3788" s="403" t="s">
        <v>1410</v>
      </c>
      <c r="C3788" s="403" t="s">
        <v>582</v>
      </c>
      <c r="D3788" s="403" t="s">
        <v>1414</v>
      </c>
      <c r="E3788" s="403" t="s">
        <v>1412</v>
      </c>
      <c r="F3788" s="403" t="s">
        <v>1382</v>
      </c>
      <c r="G3788" s="403" t="s">
        <v>1466</v>
      </c>
      <c r="H3788" s="403" t="s">
        <v>1276</v>
      </c>
      <c r="I3788" s="403">
        <v>1</v>
      </c>
      <c r="J3788" s="403" t="s">
        <v>1374</v>
      </c>
      <c r="K3788" s="403">
        <v>2304</v>
      </c>
      <c r="L3788" s="403">
        <v>1296</v>
      </c>
      <c r="M3788" s="403" t="s">
        <v>1279</v>
      </c>
      <c r="N3788" s="403">
        <v>768</v>
      </c>
      <c r="O3788" s="403">
        <v>432</v>
      </c>
      <c r="P3788" t="str">
        <f t="shared" si="473"/>
        <v>30fps 2304x1296 - SD ROI PTZ</v>
      </c>
      <c r="Q3788">
        <f t="shared" si="474"/>
        <v>20</v>
      </c>
      <c r="R3788" t="str">
        <f t="shared" si="475"/>
        <v/>
      </c>
      <c r="S3788" t="str">
        <f t="shared" si="476"/>
        <v/>
      </c>
      <c r="T3788" s="403" t="str">
        <f t="shared" si="477"/>
        <v>NDE-8503-RT</v>
      </c>
      <c r="U3788" s="403">
        <f t="shared" si="478"/>
        <v>1</v>
      </c>
      <c r="V3788" s="403" t="str">
        <f t="shared" si="479"/>
        <v>CPP_7_3</v>
      </c>
    </row>
    <row r="3789" spans="1:22">
      <c r="A3789" t="str">
        <f t="shared" si="472"/>
        <v>NDE-8503-RT</v>
      </c>
      <c r="B3789" s="403" t="s">
        <v>1410</v>
      </c>
      <c r="C3789" s="403" t="s">
        <v>582</v>
      </c>
      <c r="D3789" s="403" t="s">
        <v>1414</v>
      </c>
      <c r="E3789" s="403" t="s">
        <v>1412</v>
      </c>
      <c r="F3789" s="403" t="s">
        <v>1382</v>
      </c>
      <c r="G3789" s="403" t="s">
        <v>1466</v>
      </c>
      <c r="H3789" s="403" t="s">
        <v>1276</v>
      </c>
      <c r="I3789" s="403">
        <v>1</v>
      </c>
      <c r="J3789" s="403" t="s">
        <v>1374</v>
      </c>
      <c r="K3789" s="403">
        <v>2304</v>
      </c>
      <c r="L3789" s="403">
        <v>1296</v>
      </c>
      <c r="M3789" s="403" t="s">
        <v>1285</v>
      </c>
      <c r="N3789" s="403">
        <v>1280</v>
      </c>
      <c r="O3789" s="403">
        <v>1024</v>
      </c>
      <c r="P3789" t="str">
        <f t="shared" si="473"/>
        <v>30fps 2304x1296 - 1280x1024 5:4 (cropped)</v>
      </c>
      <c r="Q3789">
        <f t="shared" si="474"/>
        <v>20</v>
      </c>
      <c r="R3789" t="str">
        <f t="shared" si="475"/>
        <v/>
      </c>
      <c r="S3789" t="str">
        <f t="shared" si="476"/>
        <v/>
      </c>
      <c r="T3789" s="403" t="str">
        <f t="shared" si="477"/>
        <v>NDE-8503-RT</v>
      </c>
      <c r="U3789" s="403">
        <f t="shared" si="478"/>
        <v>1</v>
      </c>
      <c r="V3789" s="403" t="str">
        <f t="shared" si="479"/>
        <v>CPP_7_3</v>
      </c>
    </row>
    <row r="3790" spans="1:22">
      <c r="A3790" t="str">
        <f t="shared" si="472"/>
        <v>NDE-8503-RT</v>
      </c>
      <c r="B3790" s="403" t="s">
        <v>1410</v>
      </c>
      <c r="C3790" s="403" t="s">
        <v>582</v>
      </c>
      <c r="D3790" s="403" t="s">
        <v>1414</v>
      </c>
      <c r="E3790" s="403" t="s">
        <v>1412</v>
      </c>
      <c r="F3790" s="403" t="s">
        <v>1382</v>
      </c>
      <c r="G3790" s="403" t="s">
        <v>1466</v>
      </c>
      <c r="H3790" s="403" t="s">
        <v>1276</v>
      </c>
      <c r="I3790" s="403">
        <v>1</v>
      </c>
      <c r="J3790" s="403" t="s">
        <v>1374</v>
      </c>
      <c r="K3790" s="403">
        <v>2304</v>
      </c>
      <c r="L3790" s="403">
        <v>1296</v>
      </c>
      <c r="M3790" s="403" t="s">
        <v>1283</v>
      </c>
      <c r="N3790" s="403">
        <v>720</v>
      </c>
      <c r="O3790" s="403">
        <v>480</v>
      </c>
      <c r="P3790" t="str">
        <f t="shared" si="473"/>
        <v>30fps 2304x1296 - SD 4CIF resolution 4:3 format (cropped)</v>
      </c>
      <c r="Q3790">
        <f t="shared" si="474"/>
        <v>20</v>
      </c>
      <c r="R3790" t="str">
        <f t="shared" si="475"/>
        <v/>
      </c>
      <c r="S3790" t="str">
        <f t="shared" si="476"/>
        <v/>
      </c>
      <c r="T3790" s="403" t="str">
        <f t="shared" si="477"/>
        <v>NDE-8503-RT</v>
      </c>
      <c r="U3790" s="403">
        <f t="shared" si="478"/>
        <v>1</v>
      </c>
      <c r="V3790" s="403" t="str">
        <f t="shared" si="479"/>
        <v>CPP_7_3</v>
      </c>
    </row>
    <row r="3791" spans="1:22">
      <c r="A3791" t="str">
        <f t="shared" si="472"/>
        <v>NDE-8503-RT</v>
      </c>
      <c r="B3791" s="403" t="s">
        <v>1410</v>
      </c>
      <c r="C3791" s="403" t="s">
        <v>582</v>
      </c>
      <c r="D3791" s="403" t="s">
        <v>1414</v>
      </c>
      <c r="E3791" s="403" t="s">
        <v>1412</v>
      </c>
      <c r="F3791" s="403" t="s">
        <v>1382</v>
      </c>
      <c r="G3791" s="403" t="s">
        <v>1466</v>
      </c>
      <c r="H3791" s="403" t="s">
        <v>1276</v>
      </c>
      <c r="I3791" s="403">
        <v>1</v>
      </c>
      <c r="J3791" s="403" t="s">
        <v>1374</v>
      </c>
      <c r="K3791" s="403">
        <v>2304</v>
      </c>
      <c r="L3791" s="403">
        <v>1296</v>
      </c>
      <c r="M3791" s="403" t="s">
        <v>1284</v>
      </c>
      <c r="N3791" s="403">
        <v>640</v>
      </c>
      <c r="O3791" s="403">
        <v>480</v>
      </c>
      <c r="P3791" t="str">
        <f t="shared" si="473"/>
        <v>30fps 2304x1296 - SD VGA (cropped)</v>
      </c>
      <c r="Q3791">
        <f t="shared" si="474"/>
        <v>20</v>
      </c>
      <c r="R3791" t="str">
        <f t="shared" si="475"/>
        <v/>
      </c>
      <c r="S3791" t="str">
        <f t="shared" si="476"/>
        <v/>
      </c>
      <c r="T3791" s="403" t="str">
        <f t="shared" si="477"/>
        <v>NDE-8503-RT</v>
      </c>
      <c r="U3791" s="403">
        <f t="shared" si="478"/>
        <v>1</v>
      </c>
      <c r="V3791" s="403" t="str">
        <f t="shared" si="479"/>
        <v>CPP_7_3</v>
      </c>
    </row>
    <row r="3792" spans="1:22">
      <c r="A3792" t="str">
        <f t="shared" si="472"/>
        <v>NDE-8503-RT</v>
      </c>
      <c r="B3792" s="403" t="s">
        <v>1410</v>
      </c>
      <c r="C3792" s="403" t="s">
        <v>582</v>
      </c>
      <c r="D3792" s="403" t="s">
        <v>1414</v>
      </c>
      <c r="E3792" s="403" t="s">
        <v>1412</v>
      </c>
      <c r="F3792" s="403" t="s">
        <v>1382</v>
      </c>
      <c r="G3792" s="403" t="s">
        <v>1466</v>
      </c>
      <c r="H3792" s="403" t="s">
        <v>1276</v>
      </c>
      <c r="I3792" s="403">
        <v>1</v>
      </c>
      <c r="J3792" s="403" t="s">
        <v>1374</v>
      </c>
      <c r="K3792" s="403">
        <v>2304</v>
      </c>
      <c r="L3792" s="403">
        <v>1296</v>
      </c>
      <c r="M3792" s="403" t="s">
        <v>1280</v>
      </c>
      <c r="N3792" s="403">
        <v>2304</v>
      </c>
      <c r="O3792" s="403">
        <v>1296</v>
      </c>
      <c r="P3792" t="str">
        <f t="shared" si="473"/>
        <v>30fps 2304x1296 - copy other stream</v>
      </c>
      <c r="Q3792">
        <f t="shared" si="474"/>
        <v>20</v>
      </c>
      <c r="R3792" t="str">
        <f t="shared" si="475"/>
        <v/>
      </c>
      <c r="S3792" t="str">
        <f t="shared" si="476"/>
        <v/>
      </c>
      <c r="T3792" s="403" t="str">
        <f t="shared" si="477"/>
        <v>NDE-8503-RT</v>
      </c>
      <c r="U3792" s="403">
        <f t="shared" si="478"/>
        <v>1</v>
      </c>
      <c r="V3792" s="403" t="str">
        <f t="shared" si="479"/>
        <v>CPP_7_3</v>
      </c>
    </row>
    <row r="3793" spans="1:22">
      <c r="A3793" t="str">
        <f t="shared" si="472"/>
        <v>NDE-8503-RT</v>
      </c>
      <c r="B3793" s="403" t="s">
        <v>1410</v>
      </c>
      <c r="C3793" s="403" t="s">
        <v>582</v>
      </c>
      <c r="D3793" s="403" t="s">
        <v>1414</v>
      </c>
      <c r="E3793" s="403" t="s">
        <v>1412</v>
      </c>
      <c r="F3793" s="403" t="s">
        <v>1382</v>
      </c>
      <c r="G3793" s="403" t="s">
        <v>1466</v>
      </c>
      <c r="H3793" s="403" t="s">
        <v>1276</v>
      </c>
      <c r="I3793" s="403">
        <v>1</v>
      </c>
      <c r="J3793" s="403" t="s">
        <v>110</v>
      </c>
      <c r="K3793" s="403">
        <v>1920</v>
      </c>
      <c r="L3793" s="403">
        <v>1080</v>
      </c>
      <c r="M3793" s="403" t="s">
        <v>111</v>
      </c>
      <c r="N3793" s="403">
        <v>768</v>
      </c>
      <c r="O3793" s="403">
        <v>432</v>
      </c>
      <c r="P3793" t="str">
        <f t="shared" si="473"/>
        <v>30fps 1080p - SD</v>
      </c>
      <c r="Q3793">
        <f t="shared" si="474"/>
        <v>20</v>
      </c>
      <c r="R3793" t="str">
        <f t="shared" si="475"/>
        <v/>
      </c>
      <c r="S3793" t="str">
        <f t="shared" si="476"/>
        <v/>
      </c>
      <c r="T3793" s="403" t="str">
        <f t="shared" si="477"/>
        <v>NDE-8503-RT</v>
      </c>
      <c r="U3793" s="403">
        <f t="shared" si="478"/>
        <v>1</v>
      </c>
      <c r="V3793" s="403" t="str">
        <f t="shared" si="479"/>
        <v>CPP_7_3</v>
      </c>
    </row>
    <row r="3794" spans="1:22">
      <c r="A3794" t="str">
        <f t="shared" si="472"/>
        <v>NDE-8503-RT</v>
      </c>
      <c r="B3794" s="403" t="s">
        <v>1410</v>
      </c>
      <c r="C3794" s="403" t="s">
        <v>582</v>
      </c>
      <c r="D3794" s="403" t="s">
        <v>1414</v>
      </c>
      <c r="E3794" s="403" t="s">
        <v>1412</v>
      </c>
      <c r="F3794" s="403" t="s">
        <v>1382</v>
      </c>
      <c r="G3794" s="403" t="s">
        <v>1466</v>
      </c>
      <c r="H3794" s="403" t="s">
        <v>1276</v>
      </c>
      <c r="I3794" s="403">
        <v>1</v>
      </c>
      <c r="J3794" s="403" t="s">
        <v>110</v>
      </c>
      <c r="K3794" s="403">
        <v>1920</v>
      </c>
      <c r="L3794" s="403">
        <v>1080</v>
      </c>
      <c r="M3794" s="403" t="s">
        <v>110</v>
      </c>
      <c r="N3794" s="403">
        <v>1920</v>
      </c>
      <c r="O3794" s="403">
        <v>1080</v>
      </c>
      <c r="P3794" t="str">
        <f t="shared" si="473"/>
        <v>30fps 1080p - 1080p</v>
      </c>
      <c r="Q3794">
        <f t="shared" si="474"/>
        <v>20</v>
      </c>
      <c r="R3794" t="str">
        <f t="shared" si="475"/>
        <v/>
      </c>
      <c r="S3794" t="str">
        <f t="shared" si="476"/>
        <v/>
      </c>
      <c r="T3794" s="403" t="str">
        <f t="shared" si="477"/>
        <v>NDE-8503-RT</v>
      </c>
      <c r="U3794" s="403">
        <f t="shared" si="478"/>
        <v>1</v>
      </c>
      <c r="V3794" s="403" t="str">
        <f t="shared" si="479"/>
        <v>CPP_7_3</v>
      </c>
    </row>
    <row r="3795" spans="1:22">
      <c r="A3795" t="str">
        <f t="shared" si="472"/>
        <v>NDE-8503-RT</v>
      </c>
      <c r="B3795" s="403" t="s">
        <v>1410</v>
      </c>
      <c r="C3795" s="403" t="s">
        <v>582</v>
      </c>
      <c r="D3795" s="403" t="s">
        <v>1414</v>
      </c>
      <c r="E3795" s="403" t="s">
        <v>1412</v>
      </c>
      <c r="F3795" s="403" t="s">
        <v>1382</v>
      </c>
      <c r="G3795" s="403" t="s">
        <v>1466</v>
      </c>
      <c r="H3795" s="403" t="s">
        <v>1276</v>
      </c>
      <c r="I3795" s="403">
        <v>1</v>
      </c>
      <c r="J3795" s="403" t="s">
        <v>110</v>
      </c>
      <c r="K3795" s="403">
        <v>1920</v>
      </c>
      <c r="L3795" s="403">
        <v>1080</v>
      </c>
      <c r="M3795" s="403" t="s">
        <v>109</v>
      </c>
      <c r="N3795" s="403">
        <v>1280</v>
      </c>
      <c r="O3795" s="403">
        <v>720</v>
      </c>
      <c r="P3795" t="str">
        <f t="shared" si="473"/>
        <v>30fps 1080p - 720p</v>
      </c>
      <c r="Q3795">
        <f t="shared" si="474"/>
        <v>20</v>
      </c>
      <c r="R3795" t="str">
        <f t="shared" si="475"/>
        <v/>
      </c>
      <c r="S3795" t="str">
        <f t="shared" si="476"/>
        <v/>
      </c>
      <c r="T3795" s="403" t="str">
        <f t="shared" si="477"/>
        <v>NDE-8503-RT</v>
      </c>
      <c r="U3795" s="403">
        <f t="shared" si="478"/>
        <v>1</v>
      </c>
      <c r="V3795" s="403" t="str">
        <f t="shared" si="479"/>
        <v>CPP_7_3</v>
      </c>
    </row>
    <row r="3796" spans="1:22">
      <c r="A3796" t="str">
        <f t="shared" si="472"/>
        <v>NDE-8503-RT</v>
      </c>
      <c r="B3796" s="403" t="s">
        <v>1410</v>
      </c>
      <c r="C3796" s="403" t="s">
        <v>582</v>
      </c>
      <c r="D3796" s="403" t="s">
        <v>1414</v>
      </c>
      <c r="E3796" s="403" t="s">
        <v>1412</v>
      </c>
      <c r="F3796" s="403" t="s">
        <v>1382</v>
      </c>
      <c r="G3796" s="403" t="s">
        <v>1466</v>
      </c>
      <c r="H3796" s="403" t="s">
        <v>1276</v>
      </c>
      <c r="I3796" s="403">
        <v>1</v>
      </c>
      <c r="J3796" s="403" t="s">
        <v>110</v>
      </c>
      <c r="K3796" s="403">
        <v>1920</v>
      </c>
      <c r="L3796" s="403">
        <v>1080</v>
      </c>
      <c r="M3796" s="403" t="s">
        <v>1285</v>
      </c>
      <c r="N3796" s="403">
        <v>1280</v>
      </c>
      <c r="O3796" s="403">
        <v>1024</v>
      </c>
      <c r="P3796" t="str">
        <f t="shared" si="473"/>
        <v>30fps 1080p - 1280x1024 5:4 (cropped)</v>
      </c>
      <c r="Q3796">
        <f t="shared" si="474"/>
        <v>20</v>
      </c>
      <c r="R3796" t="str">
        <f t="shared" si="475"/>
        <v/>
      </c>
      <c r="S3796" t="str">
        <f t="shared" si="476"/>
        <v/>
      </c>
      <c r="T3796" s="403" t="str">
        <f t="shared" si="477"/>
        <v>NDE-8503-RT</v>
      </c>
      <c r="U3796" s="403">
        <f t="shared" si="478"/>
        <v>1</v>
      </c>
      <c r="V3796" s="403" t="str">
        <f t="shared" si="479"/>
        <v>CPP_7_3</v>
      </c>
    </row>
    <row r="3797" spans="1:22">
      <c r="A3797" t="str">
        <f t="shared" si="472"/>
        <v>NDE-8503-RT</v>
      </c>
      <c r="B3797" s="403" t="s">
        <v>1410</v>
      </c>
      <c r="C3797" s="403" t="s">
        <v>582</v>
      </c>
      <c r="D3797" s="403" t="s">
        <v>1414</v>
      </c>
      <c r="E3797" s="403" t="s">
        <v>1412</v>
      </c>
      <c r="F3797" s="403" t="s">
        <v>1382</v>
      </c>
      <c r="G3797" s="403" t="s">
        <v>1466</v>
      </c>
      <c r="H3797" s="403" t="s">
        <v>1276</v>
      </c>
      <c r="I3797" s="403">
        <v>1</v>
      </c>
      <c r="J3797" s="403" t="s">
        <v>110</v>
      </c>
      <c r="K3797" s="403">
        <v>1920</v>
      </c>
      <c r="L3797" s="403">
        <v>1080</v>
      </c>
      <c r="M3797" s="403" t="s">
        <v>1279</v>
      </c>
      <c r="N3797" s="403">
        <v>768</v>
      </c>
      <c r="O3797" s="403">
        <v>432</v>
      </c>
      <c r="P3797" t="str">
        <f t="shared" si="473"/>
        <v>30fps 1080p - SD ROI PTZ</v>
      </c>
      <c r="Q3797">
        <f t="shared" si="474"/>
        <v>20</v>
      </c>
      <c r="R3797" t="str">
        <f t="shared" si="475"/>
        <v/>
      </c>
      <c r="S3797" t="str">
        <f t="shared" si="476"/>
        <v/>
      </c>
      <c r="T3797" s="403" t="str">
        <f t="shared" si="477"/>
        <v>NDE-8503-RT</v>
      </c>
      <c r="U3797" s="403">
        <f t="shared" si="478"/>
        <v>1</v>
      </c>
      <c r="V3797" s="403" t="str">
        <f t="shared" si="479"/>
        <v>CPP_7_3</v>
      </c>
    </row>
    <row r="3798" spans="1:22">
      <c r="A3798" t="str">
        <f t="shared" si="472"/>
        <v>NDE-8503-RT</v>
      </c>
      <c r="B3798" s="403" t="s">
        <v>1410</v>
      </c>
      <c r="C3798" s="403" t="s">
        <v>582</v>
      </c>
      <c r="D3798" s="403" t="s">
        <v>1414</v>
      </c>
      <c r="E3798" s="403" t="s">
        <v>1412</v>
      </c>
      <c r="F3798" s="403" t="s">
        <v>1382</v>
      </c>
      <c r="G3798" s="403" t="s">
        <v>1466</v>
      </c>
      <c r="H3798" s="403" t="s">
        <v>1276</v>
      </c>
      <c r="I3798" s="403">
        <v>1</v>
      </c>
      <c r="J3798" s="403" t="s">
        <v>110</v>
      </c>
      <c r="K3798" s="403">
        <v>1920</v>
      </c>
      <c r="L3798" s="403">
        <v>1080</v>
      </c>
      <c r="M3798" s="403" t="s">
        <v>1283</v>
      </c>
      <c r="N3798" s="403">
        <v>720</v>
      </c>
      <c r="O3798" s="403">
        <v>480</v>
      </c>
      <c r="P3798" t="str">
        <f t="shared" si="473"/>
        <v>30fps 1080p - SD 4CIF resolution 4:3 format (cropped)</v>
      </c>
      <c r="Q3798">
        <f t="shared" si="474"/>
        <v>20</v>
      </c>
      <c r="R3798" t="str">
        <f t="shared" si="475"/>
        <v/>
      </c>
      <c r="S3798" t="str">
        <f t="shared" si="476"/>
        <v/>
      </c>
      <c r="T3798" s="403" t="str">
        <f t="shared" si="477"/>
        <v>NDE-8503-RT</v>
      </c>
      <c r="U3798" s="403">
        <f t="shared" si="478"/>
        <v>1</v>
      </c>
      <c r="V3798" s="403" t="str">
        <f t="shared" si="479"/>
        <v>CPP_7_3</v>
      </c>
    </row>
    <row r="3799" spans="1:22">
      <c r="A3799" t="str">
        <f t="shared" si="472"/>
        <v>NDE-8503-RT</v>
      </c>
      <c r="B3799" s="403" t="s">
        <v>1410</v>
      </c>
      <c r="C3799" s="403" t="s">
        <v>582</v>
      </c>
      <c r="D3799" s="403" t="s">
        <v>1414</v>
      </c>
      <c r="E3799" s="403" t="s">
        <v>1412</v>
      </c>
      <c r="F3799" s="403" t="s">
        <v>1382</v>
      </c>
      <c r="G3799" s="403" t="s">
        <v>1466</v>
      </c>
      <c r="H3799" s="403" t="s">
        <v>1276</v>
      </c>
      <c r="I3799" s="403">
        <v>1</v>
      </c>
      <c r="J3799" s="403" t="s">
        <v>110</v>
      </c>
      <c r="K3799" s="403">
        <v>1920</v>
      </c>
      <c r="L3799" s="403">
        <v>1080</v>
      </c>
      <c r="M3799" s="403" t="s">
        <v>1284</v>
      </c>
      <c r="N3799" s="403">
        <v>640</v>
      </c>
      <c r="O3799" s="403">
        <v>480</v>
      </c>
      <c r="P3799" t="str">
        <f t="shared" si="473"/>
        <v>30fps 1080p - SD VGA (cropped)</v>
      </c>
      <c r="Q3799">
        <f t="shared" si="474"/>
        <v>20</v>
      </c>
      <c r="R3799" t="str">
        <f t="shared" si="475"/>
        <v/>
      </c>
      <c r="S3799" t="str">
        <f t="shared" si="476"/>
        <v/>
      </c>
      <c r="T3799" s="403" t="str">
        <f t="shared" si="477"/>
        <v>NDE-8503-RT</v>
      </c>
      <c r="U3799" s="403">
        <f t="shared" si="478"/>
        <v>1</v>
      </c>
      <c r="V3799" s="403" t="str">
        <f t="shared" si="479"/>
        <v>CPP_7_3</v>
      </c>
    </row>
    <row r="3800" spans="1:22">
      <c r="A3800" t="str">
        <f t="shared" si="472"/>
        <v>NDE-8503-RT</v>
      </c>
      <c r="B3800" s="403" t="s">
        <v>1410</v>
      </c>
      <c r="C3800" s="403" t="s">
        <v>582</v>
      </c>
      <c r="D3800" s="403" t="s">
        <v>1414</v>
      </c>
      <c r="E3800" s="403" t="s">
        <v>1412</v>
      </c>
      <c r="F3800" s="403" t="s">
        <v>1382</v>
      </c>
      <c r="G3800" s="403" t="s">
        <v>1466</v>
      </c>
      <c r="H3800" s="403" t="s">
        <v>1276</v>
      </c>
      <c r="I3800" s="403">
        <v>1</v>
      </c>
      <c r="J3800" s="403" t="s">
        <v>109</v>
      </c>
      <c r="K3800" s="403">
        <v>1280</v>
      </c>
      <c r="L3800" s="403">
        <v>720</v>
      </c>
      <c r="M3800" s="403" t="s">
        <v>109</v>
      </c>
      <c r="N3800" s="403">
        <v>1280</v>
      </c>
      <c r="O3800" s="403">
        <v>720</v>
      </c>
      <c r="P3800" t="str">
        <f t="shared" si="473"/>
        <v>30fps 720p - 720p</v>
      </c>
      <c r="Q3800">
        <f t="shared" si="474"/>
        <v>20</v>
      </c>
      <c r="R3800" t="str">
        <f t="shared" si="475"/>
        <v/>
      </c>
      <c r="S3800" t="str">
        <f t="shared" si="476"/>
        <v/>
      </c>
      <c r="T3800" s="403" t="str">
        <f t="shared" si="477"/>
        <v>NDE-8503-RT</v>
      </c>
      <c r="U3800" s="403">
        <f t="shared" si="478"/>
        <v>1</v>
      </c>
      <c r="V3800" s="403" t="str">
        <f t="shared" si="479"/>
        <v>CPP_7_3</v>
      </c>
    </row>
    <row r="3801" spans="1:22">
      <c r="A3801" t="str">
        <f t="shared" si="472"/>
        <v>NDE-8503-RT</v>
      </c>
      <c r="B3801" s="403" t="s">
        <v>1410</v>
      </c>
      <c r="C3801" s="403" t="s">
        <v>582</v>
      </c>
      <c r="D3801" s="403" t="s">
        <v>1414</v>
      </c>
      <c r="E3801" s="403" t="s">
        <v>1412</v>
      </c>
      <c r="F3801" s="403" t="s">
        <v>1382</v>
      </c>
      <c r="G3801" s="403" t="s">
        <v>1466</v>
      </c>
      <c r="H3801" s="403" t="s">
        <v>1276</v>
      </c>
      <c r="I3801" s="403">
        <v>1</v>
      </c>
      <c r="J3801" s="403" t="s">
        <v>109</v>
      </c>
      <c r="K3801" s="403">
        <v>1280</v>
      </c>
      <c r="L3801" s="403">
        <v>720</v>
      </c>
      <c r="M3801" s="403" t="s">
        <v>111</v>
      </c>
      <c r="N3801" s="403">
        <v>768</v>
      </c>
      <c r="O3801" s="403">
        <v>432</v>
      </c>
      <c r="P3801" t="str">
        <f t="shared" si="473"/>
        <v>30fps 720p - SD</v>
      </c>
      <c r="Q3801">
        <f t="shared" si="474"/>
        <v>20</v>
      </c>
      <c r="R3801" t="str">
        <f t="shared" si="475"/>
        <v/>
      </c>
      <c r="S3801" t="str">
        <f t="shared" si="476"/>
        <v/>
      </c>
      <c r="T3801" s="403" t="str">
        <f t="shared" si="477"/>
        <v>NDE-8503-RT</v>
      </c>
      <c r="U3801" s="403">
        <f t="shared" si="478"/>
        <v>1</v>
      </c>
      <c r="V3801" s="403" t="str">
        <f t="shared" si="479"/>
        <v>CPP_7_3</v>
      </c>
    </row>
    <row r="3802" spans="1:22">
      <c r="A3802" t="str">
        <f t="shared" si="472"/>
        <v>NDE-8503-RT</v>
      </c>
      <c r="B3802" s="403" t="s">
        <v>1410</v>
      </c>
      <c r="C3802" s="403" t="s">
        <v>582</v>
      </c>
      <c r="D3802" s="403" t="s">
        <v>1414</v>
      </c>
      <c r="E3802" s="403" t="s">
        <v>1412</v>
      </c>
      <c r="F3802" s="403" t="s">
        <v>1382</v>
      </c>
      <c r="G3802" s="403" t="s">
        <v>1466</v>
      </c>
      <c r="H3802" s="403" t="s">
        <v>1276</v>
      </c>
      <c r="I3802" s="403">
        <v>1</v>
      </c>
      <c r="J3802" s="403" t="s">
        <v>109</v>
      </c>
      <c r="K3802" s="403">
        <v>1280</v>
      </c>
      <c r="L3802" s="403">
        <v>720</v>
      </c>
      <c r="M3802" s="403" t="s">
        <v>1279</v>
      </c>
      <c r="N3802" s="403">
        <v>768</v>
      </c>
      <c r="O3802" s="403">
        <v>432</v>
      </c>
      <c r="P3802" t="str">
        <f t="shared" si="473"/>
        <v>30fps 720p - SD ROI PTZ</v>
      </c>
      <c r="Q3802">
        <f t="shared" si="474"/>
        <v>20</v>
      </c>
      <c r="R3802" t="str">
        <f t="shared" si="475"/>
        <v/>
      </c>
      <c r="S3802" t="str">
        <f t="shared" si="476"/>
        <v/>
      </c>
      <c r="T3802" s="403" t="str">
        <f t="shared" si="477"/>
        <v>NDE-8503-RT</v>
      </c>
      <c r="U3802" s="403">
        <f t="shared" si="478"/>
        <v>1</v>
      </c>
      <c r="V3802" s="403" t="str">
        <f t="shared" si="479"/>
        <v>CPP_7_3</v>
      </c>
    </row>
    <row r="3803" spans="1:22">
      <c r="A3803" t="str">
        <f t="shared" si="472"/>
        <v>NDE-8503-RT</v>
      </c>
      <c r="B3803" s="403" t="s">
        <v>1410</v>
      </c>
      <c r="C3803" s="403" t="s">
        <v>582</v>
      </c>
      <c r="D3803" s="403" t="s">
        <v>1414</v>
      </c>
      <c r="E3803" s="403" t="s">
        <v>1412</v>
      </c>
      <c r="F3803" s="403" t="s">
        <v>1382</v>
      </c>
      <c r="G3803" s="403" t="s">
        <v>1466</v>
      </c>
      <c r="H3803" s="403" t="s">
        <v>1276</v>
      </c>
      <c r="I3803" s="403">
        <v>1</v>
      </c>
      <c r="J3803" s="403" t="s">
        <v>109</v>
      </c>
      <c r="K3803" s="403">
        <v>1280</v>
      </c>
      <c r="L3803" s="403">
        <v>720</v>
      </c>
      <c r="M3803" s="403" t="s">
        <v>1283</v>
      </c>
      <c r="N3803" s="403">
        <v>720</v>
      </c>
      <c r="O3803" s="403">
        <v>480</v>
      </c>
      <c r="P3803" t="str">
        <f t="shared" si="473"/>
        <v>30fps 720p - SD 4CIF resolution 4:3 format (cropped)</v>
      </c>
      <c r="Q3803">
        <f t="shared" si="474"/>
        <v>20</v>
      </c>
      <c r="R3803" t="str">
        <f t="shared" si="475"/>
        <v/>
      </c>
      <c r="S3803" t="str">
        <f t="shared" si="476"/>
        <v/>
      </c>
      <c r="T3803" s="403" t="str">
        <f t="shared" si="477"/>
        <v>NDE-8503-RT</v>
      </c>
      <c r="U3803" s="403">
        <f t="shared" si="478"/>
        <v>1</v>
      </c>
      <c r="V3803" s="403" t="str">
        <f t="shared" si="479"/>
        <v>CPP_7_3</v>
      </c>
    </row>
    <row r="3804" spans="1:22">
      <c r="A3804" t="str">
        <f t="shared" si="472"/>
        <v>NDE-8503-RT</v>
      </c>
      <c r="B3804" s="403" t="s">
        <v>1410</v>
      </c>
      <c r="C3804" s="403" t="s">
        <v>582</v>
      </c>
      <c r="D3804" s="403" t="s">
        <v>1414</v>
      </c>
      <c r="E3804" s="403" t="s">
        <v>1412</v>
      </c>
      <c r="F3804" s="403" t="s">
        <v>1382</v>
      </c>
      <c r="G3804" s="403" t="s">
        <v>1466</v>
      </c>
      <c r="H3804" s="403" t="s">
        <v>1276</v>
      </c>
      <c r="I3804" s="403">
        <v>1</v>
      </c>
      <c r="J3804" s="403" t="s">
        <v>109</v>
      </c>
      <c r="K3804" s="403">
        <v>1280</v>
      </c>
      <c r="L3804" s="403">
        <v>720</v>
      </c>
      <c r="M3804" s="403" t="s">
        <v>1284</v>
      </c>
      <c r="N3804" s="403">
        <v>640</v>
      </c>
      <c r="O3804" s="403">
        <v>480</v>
      </c>
      <c r="P3804" t="str">
        <f t="shared" si="473"/>
        <v>30fps 720p - SD VGA (cropped)</v>
      </c>
      <c r="Q3804">
        <f t="shared" si="474"/>
        <v>20</v>
      </c>
      <c r="R3804" t="str">
        <f t="shared" si="475"/>
        <v/>
      </c>
      <c r="S3804" t="str">
        <f t="shared" si="476"/>
        <v/>
      </c>
      <c r="T3804" s="403" t="str">
        <f t="shared" si="477"/>
        <v>NDE-8503-RT</v>
      </c>
      <c r="U3804" s="403">
        <f t="shared" si="478"/>
        <v>1</v>
      </c>
      <c r="V3804" s="403" t="str">
        <f t="shared" si="479"/>
        <v>CPP_7_3</v>
      </c>
    </row>
    <row r="3805" spans="1:22">
      <c r="A3805" t="str">
        <f t="shared" si="472"/>
        <v>NDE-8503-RT</v>
      </c>
      <c r="B3805" s="403" t="s">
        <v>1410</v>
      </c>
      <c r="C3805" s="403" t="s">
        <v>582</v>
      </c>
      <c r="D3805" s="403" t="s">
        <v>1414</v>
      </c>
      <c r="E3805" s="403" t="s">
        <v>1412</v>
      </c>
      <c r="F3805" s="403" t="s">
        <v>1382</v>
      </c>
      <c r="G3805" s="403" t="s">
        <v>1466</v>
      </c>
      <c r="H3805" s="403" t="s">
        <v>1281</v>
      </c>
      <c r="I3805" s="403">
        <v>1</v>
      </c>
      <c r="J3805" s="403" t="s">
        <v>1376</v>
      </c>
      <c r="K3805" s="403">
        <v>3072</v>
      </c>
      <c r="L3805" s="403">
        <v>1728</v>
      </c>
      <c r="M3805" s="403" t="s">
        <v>111</v>
      </c>
      <c r="N3805" s="403">
        <v>768</v>
      </c>
      <c r="O3805" s="403">
        <v>432</v>
      </c>
      <c r="P3805" t="str">
        <f t="shared" si="473"/>
        <v>30fps 3072x1728 - SD</v>
      </c>
      <c r="Q3805">
        <f t="shared" si="474"/>
        <v>20</v>
      </c>
      <c r="R3805" t="str">
        <f t="shared" si="475"/>
        <v/>
      </c>
      <c r="S3805" t="str">
        <f t="shared" si="476"/>
        <v/>
      </c>
      <c r="T3805" s="403" t="str">
        <f t="shared" si="477"/>
        <v>NDE-8503-RT</v>
      </c>
      <c r="U3805" s="403">
        <f t="shared" si="478"/>
        <v>1</v>
      </c>
      <c r="V3805" s="403" t="str">
        <f t="shared" si="479"/>
        <v>CPP_7_3</v>
      </c>
    </row>
    <row r="3806" spans="1:22">
      <c r="A3806" t="str">
        <f t="shared" si="472"/>
        <v>NDE-8503-RT</v>
      </c>
      <c r="B3806" s="403" t="s">
        <v>1410</v>
      </c>
      <c r="C3806" s="403" t="s">
        <v>582</v>
      </c>
      <c r="D3806" s="403" t="s">
        <v>1414</v>
      </c>
      <c r="E3806" s="403" t="s">
        <v>1412</v>
      </c>
      <c r="F3806" s="403" t="s">
        <v>1382</v>
      </c>
      <c r="G3806" s="403" t="s">
        <v>1466</v>
      </c>
      <c r="H3806" s="403" t="s">
        <v>1281</v>
      </c>
      <c r="I3806" s="403">
        <v>1</v>
      </c>
      <c r="J3806" s="403" t="s">
        <v>1376</v>
      </c>
      <c r="K3806" s="403">
        <v>3072</v>
      </c>
      <c r="L3806" s="403">
        <v>1728</v>
      </c>
      <c r="M3806" s="403" t="s">
        <v>1280</v>
      </c>
      <c r="N3806" s="403">
        <v>3072</v>
      </c>
      <c r="O3806" s="403">
        <v>1728</v>
      </c>
      <c r="P3806" t="str">
        <f t="shared" si="473"/>
        <v>30fps 3072x1728 - copy other stream</v>
      </c>
      <c r="Q3806">
        <f t="shared" si="474"/>
        <v>20</v>
      </c>
      <c r="R3806" t="str">
        <f t="shared" si="475"/>
        <v/>
      </c>
      <c r="S3806" t="str">
        <f t="shared" si="476"/>
        <v/>
      </c>
      <c r="T3806" s="403" t="str">
        <f t="shared" si="477"/>
        <v>NDE-8503-RT</v>
      </c>
      <c r="U3806" s="403">
        <f t="shared" si="478"/>
        <v>1</v>
      </c>
      <c r="V3806" s="403" t="str">
        <f t="shared" si="479"/>
        <v>CPP_7_3</v>
      </c>
    </row>
    <row r="3807" spans="1:22">
      <c r="A3807" t="str">
        <f t="shared" si="472"/>
        <v>NDE-8503-RT</v>
      </c>
      <c r="B3807" s="403" t="s">
        <v>1410</v>
      </c>
      <c r="C3807" s="403" t="s">
        <v>582</v>
      </c>
      <c r="D3807" s="403" t="s">
        <v>1414</v>
      </c>
      <c r="E3807" s="403" t="s">
        <v>1412</v>
      </c>
      <c r="F3807" s="403" t="s">
        <v>1382</v>
      </c>
      <c r="G3807" s="403" t="s">
        <v>1466</v>
      </c>
      <c r="H3807" s="403" t="s">
        <v>1281</v>
      </c>
      <c r="I3807" s="403">
        <v>1</v>
      </c>
      <c r="J3807" s="403" t="s">
        <v>1376</v>
      </c>
      <c r="K3807" s="403">
        <v>3072</v>
      </c>
      <c r="L3807" s="403">
        <v>1728</v>
      </c>
      <c r="M3807" s="403" t="s">
        <v>110</v>
      </c>
      <c r="N3807" s="403">
        <v>1920</v>
      </c>
      <c r="O3807" s="403">
        <v>1080</v>
      </c>
      <c r="P3807" t="str">
        <f t="shared" si="473"/>
        <v>30fps 3072x1728 - 1080p</v>
      </c>
      <c r="Q3807">
        <f t="shared" si="474"/>
        <v>20</v>
      </c>
      <c r="R3807" t="str">
        <f t="shared" si="475"/>
        <v/>
      </c>
      <c r="S3807" t="str">
        <f t="shared" si="476"/>
        <v/>
      </c>
      <c r="T3807" s="403" t="str">
        <f t="shared" si="477"/>
        <v>NDE-8503-RT</v>
      </c>
      <c r="U3807" s="403">
        <f t="shared" si="478"/>
        <v>1</v>
      </c>
      <c r="V3807" s="403" t="str">
        <f t="shared" si="479"/>
        <v>CPP_7_3</v>
      </c>
    </row>
    <row r="3808" spans="1:22">
      <c r="A3808" t="str">
        <f t="shared" si="472"/>
        <v>NDE-8503-RT</v>
      </c>
      <c r="B3808" s="403" t="s">
        <v>1410</v>
      </c>
      <c r="C3808" s="403" t="s">
        <v>582</v>
      </c>
      <c r="D3808" s="403" t="s">
        <v>1414</v>
      </c>
      <c r="E3808" s="403" t="s">
        <v>1412</v>
      </c>
      <c r="F3808" s="403" t="s">
        <v>1382</v>
      </c>
      <c r="G3808" s="403" t="s">
        <v>1466</v>
      </c>
      <c r="H3808" s="403" t="s">
        <v>1281</v>
      </c>
      <c r="I3808" s="403">
        <v>1</v>
      </c>
      <c r="J3808" s="403" t="s">
        <v>1376</v>
      </c>
      <c r="K3808" s="403">
        <v>3072</v>
      </c>
      <c r="L3808" s="403">
        <v>1728</v>
      </c>
      <c r="M3808" s="403" t="s">
        <v>109</v>
      </c>
      <c r="N3808" s="403">
        <v>1280</v>
      </c>
      <c r="O3808" s="403">
        <v>720</v>
      </c>
      <c r="P3808" t="str">
        <f t="shared" si="473"/>
        <v>30fps 3072x1728 - 720p</v>
      </c>
      <c r="Q3808">
        <f t="shared" si="474"/>
        <v>20</v>
      </c>
      <c r="R3808" t="str">
        <f t="shared" si="475"/>
        <v/>
      </c>
      <c r="S3808" t="str">
        <f t="shared" si="476"/>
        <v/>
      </c>
      <c r="T3808" s="403" t="str">
        <f t="shared" si="477"/>
        <v>NDE-8503-RT</v>
      </c>
      <c r="U3808" s="403">
        <f t="shared" si="478"/>
        <v>1</v>
      </c>
      <c r="V3808" s="403" t="str">
        <f t="shared" si="479"/>
        <v>CPP_7_3</v>
      </c>
    </row>
    <row r="3809" spans="1:22">
      <c r="A3809" t="str">
        <f t="shared" si="472"/>
        <v>NDE-8503-RT</v>
      </c>
      <c r="B3809" s="403" t="s">
        <v>1410</v>
      </c>
      <c r="C3809" s="403" t="s">
        <v>582</v>
      </c>
      <c r="D3809" s="403" t="s">
        <v>1414</v>
      </c>
      <c r="E3809" s="403" t="s">
        <v>1412</v>
      </c>
      <c r="F3809" s="403" t="s">
        <v>1382</v>
      </c>
      <c r="G3809" s="403" t="s">
        <v>1466</v>
      </c>
      <c r="H3809" s="403" t="s">
        <v>1281</v>
      </c>
      <c r="I3809" s="403">
        <v>1</v>
      </c>
      <c r="J3809" s="403" t="s">
        <v>1376</v>
      </c>
      <c r="K3809" s="403">
        <v>3072</v>
      </c>
      <c r="L3809" s="403">
        <v>1728</v>
      </c>
      <c r="M3809" s="403" t="s">
        <v>1283</v>
      </c>
      <c r="N3809" s="403">
        <v>720</v>
      </c>
      <c r="O3809" s="403">
        <v>480</v>
      </c>
      <c r="P3809" t="str">
        <f t="shared" si="473"/>
        <v>30fps 3072x1728 - SD 4CIF resolution 4:3 format (cropped)</v>
      </c>
      <c r="Q3809">
        <f t="shared" si="474"/>
        <v>20</v>
      </c>
      <c r="R3809" t="str">
        <f t="shared" si="475"/>
        <v/>
      </c>
      <c r="S3809" t="str">
        <f t="shared" si="476"/>
        <v/>
      </c>
      <c r="T3809" s="403" t="str">
        <f t="shared" si="477"/>
        <v>NDE-8503-RT</v>
      </c>
      <c r="U3809" s="403">
        <f t="shared" si="478"/>
        <v>1</v>
      </c>
      <c r="V3809" s="403" t="str">
        <f t="shared" si="479"/>
        <v>CPP_7_3</v>
      </c>
    </row>
    <row r="3810" spans="1:22">
      <c r="A3810" t="str">
        <f t="shared" si="472"/>
        <v>NDE-8503-RT</v>
      </c>
      <c r="B3810" s="403" t="s">
        <v>1410</v>
      </c>
      <c r="C3810" s="403" t="s">
        <v>582</v>
      </c>
      <c r="D3810" s="403" t="s">
        <v>1414</v>
      </c>
      <c r="E3810" s="403" t="s">
        <v>1412</v>
      </c>
      <c r="F3810" s="403" t="s">
        <v>1382</v>
      </c>
      <c r="G3810" s="403" t="s">
        <v>1466</v>
      </c>
      <c r="H3810" s="403" t="s">
        <v>1281</v>
      </c>
      <c r="I3810" s="403">
        <v>1</v>
      </c>
      <c r="J3810" s="403" t="s">
        <v>1376</v>
      </c>
      <c r="K3810" s="403">
        <v>3072</v>
      </c>
      <c r="L3810" s="403">
        <v>1728</v>
      </c>
      <c r="M3810" s="403" t="s">
        <v>1279</v>
      </c>
      <c r="N3810" s="403">
        <v>768</v>
      </c>
      <c r="O3810" s="403">
        <v>432</v>
      </c>
      <c r="P3810" t="str">
        <f t="shared" si="473"/>
        <v>30fps 3072x1728 - SD ROI PTZ</v>
      </c>
      <c r="Q3810">
        <f t="shared" si="474"/>
        <v>20</v>
      </c>
      <c r="R3810" t="str">
        <f t="shared" si="475"/>
        <v/>
      </c>
      <c r="S3810" t="str">
        <f t="shared" si="476"/>
        <v/>
      </c>
      <c r="T3810" s="403" t="str">
        <f t="shared" si="477"/>
        <v>NDE-8503-RT</v>
      </c>
      <c r="U3810" s="403">
        <f t="shared" si="478"/>
        <v>1</v>
      </c>
      <c r="V3810" s="403" t="str">
        <f t="shared" si="479"/>
        <v>CPP_7_3</v>
      </c>
    </row>
    <row r="3811" spans="1:22">
      <c r="A3811" t="str">
        <f t="shared" si="472"/>
        <v>NDE-8503-RT</v>
      </c>
      <c r="B3811" s="403" t="s">
        <v>1410</v>
      </c>
      <c r="C3811" s="403" t="s">
        <v>582</v>
      </c>
      <c r="D3811" s="403" t="s">
        <v>1414</v>
      </c>
      <c r="E3811" s="403" t="s">
        <v>1412</v>
      </c>
      <c r="F3811" s="403" t="s">
        <v>1382</v>
      </c>
      <c r="G3811" s="403" t="s">
        <v>1466</v>
      </c>
      <c r="H3811" s="403" t="s">
        <v>1281</v>
      </c>
      <c r="I3811" s="403">
        <v>1</v>
      </c>
      <c r="J3811" s="403" t="s">
        <v>1376</v>
      </c>
      <c r="K3811" s="403">
        <v>3072</v>
      </c>
      <c r="L3811" s="403">
        <v>1728</v>
      </c>
      <c r="M3811" s="403" t="s">
        <v>1284</v>
      </c>
      <c r="N3811" s="403">
        <v>640</v>
      </c>
      <c r="O3811" s="403">
        <v>480</v>
      </c>
      <c r="P3811" t="str">
        <f t="shared" si="473"/>
        <v>30fps 3072x1728 - SD VGA (cropped)</v>
      </c>
      <c r="Q3811">
        <f t="shared" si="474"/>
        <v>20</v>
      </c>
      <c r="R3811" t="str">
        <f t="shared" si="475"/>
        <v/>
      </c>
      <c r="S3811" t="str">
        <f t="shared" si="476"/>
        <v/>
      </c>
      <c r="T3811" s="403" t="str">
        <f t="shared" si="477"/>
        <v>NDE-8503-RT</v>
      </c>
      <c r="U3811" s="403">
        <f t="shared" si="478"/>
        <v>1</v>
      </c>
      <c r="V3811" s="403" t="str">
        <f t="shared" si="479"/>
        <v>CPP_7_3</v>
      </c>
    </row>
    <row r="3812" spans="1:22">
      <c r="A3812" t="str">
        <f t="shared" si="472"/>
        <v>NDE-8503-RT</v>
      </c>
      <c r="B3812" s="403" t="s">
        <v>1410</v>
      </c>
      <c r="C3812" s="403" t="s">
        <v>582</v>
      </c>
      <c r="D3812" s="403" t="s">
        <v>1414</v>
      </c>
      <c r="E3812" s="403" t="s">
        <v>1412</v>
      </c>
      <c r="F3812" s="403" t="s">
        <v>1382</v>
      </c>
      <c r="G3812" s="403" t="s">
        <v>1466</v>
      </c>
      <c r="H3812" s="403" t="s">
        <v>1281</v>
      </c>
      <c r="I3812" s="403">
        <v>1</v>
      </c>
      <c r="J3812" s="403" t="s">
        <v>1376</v>
      </c>
      <c r="K3812" s="403">
        <v>3072</v>
      </c>
      <c r="L3812" s="403">
        <v>1728</v>
      </c>
      <c r="M3812" s="403" t="s">
        <v>1285</v>
      </c>
      <c r="N3812" s="403">
        <v>1280</v>
      </c>
      <c r="O3812" s="403">
        <v>1024</v>
      </c>
      <c r="P3812" t="str">
        <f t="shared" si="473"/>
        <v>30fps 3072x1728 - 1280x1024 5:4 (cropped)</v>
      </c>
      <c r="Q3812">
        <f t="shared" si="474"/>
        <v>20</v>
      </c>
      <c r="R3812" t="str">
        <f t="shared" si="475"/>
        <v/>
      </c>
      <c r="S3812" t="str">
        <f t="shared" si="476"/>
        <v/>
      </c>
      <c r="T3812" s="403" t="str">
        <f t="shared" si="477"/>
        <v>NDE-8503-RT</v>
      </c>
      <c r="U3812" s="403">
        <f t="shared" si="478"/>
        <v>1</v>
      </c>
      <c r="V3812" s="403" t="str">
        <f t="shared" si="479"/>
        <v>CPP_7_3</v>
      </c>
    </row>
    <row r="3813" spans="1:22">
      <c r="A3813" t="str">
        <f t="shared" si="472"/>
        <v>NDE-8503-RT</v>
      </c>
      <c r="B3813" s="403" t="s">
        <v>1410</v>
      </c>
      <c r="C3813" s="403" t="s">
        <v>582</v>
      </c>
      <c r="D3813" s="403" t="s">
        <v>1414</v>
      </c>
      <c r="E3813" s="403" t="s">
        <v>1412</v>
      </c>
      <c r="F3813" s="403" t="s">
        <v>1382</v>
      </c>
      <c r="G3813" s="403" t="s">
        <v>1466</v>
      </c>
      <c r="H3813" s="403" t="s">
        <v>1281</v>
      </c>
      <c r="I3813" s="403">
        <v>1</v>
      </c>
      <c r="J3813" s="403" t="s">
        <v>1373</v>
      </c>
      <c r="K3813" s="403">
        <v>2688</v>
      </c>
      <c r="L3813" s="403">
        <v>1512</v>
      </c>
      <c r="M3813" s="403" t="s">
        <v>110</v>
      </c>
      <c r="N3813" s="403">
        <v>1920</v>
      </c>
      <c r="O3813" s="403">
        <v>1080</v>
      </c>
      <c r="P3813" t="str">
        <f t="shared" si="473"/>
        <v>30fps 2688x1512 - 1080p</v>
      </c>
      <c r="Q3813">
        <f t="shared" si="474"/>
        <v>20</v>
      </c>
      <c r="R3813" t="str">
        <f t="shared" si="475"/>
        <v/>
      </c>
      <c r="S3813" t="str">
        <f t="shared" si="476"/>
        <v/>
      </c>
      <c r="T3813" s="403" t="str">
        <f t="shared" si="477"/>
        <v>NDE-8503-RT</v>
      </c>
      <c r="U3813" s="403">
        <f t="shared" si="478"/>
        <v>1</v>
      </c>
      <c r="V3813" s="403" t="str">
        <f t="shared" si="479"/>
        <v>CPP_7_3</v>
      </c>
    </row>
    <row r="3814" spans="1:22">
      <c r="A3814" t="str">
        <f t="shared" si="472"/>
        <v>NDE-8503-RT</v>
      </c>
      <c r="B3814" s="403" t="s">
        <v>1410</v>
      </c>
      <c r="C3814" s="403" t="s">
        <v>582</v>
      </c>
      <c r="D3814" s="403" t="s">
        <v>1414</v>
      </c>
      <c r="E3814" s="403" t="s">
        <v>1412</v>
      </c>
      <c r="F3814" s="403" t="s">
        <v>1382</v>
      </c>
      <c r="G3814" s="403" t="s">
        <v>1466</v>
      </c>
      <c r="H3814" s="403" t="s">
        <v>1281</v>
      </c>
      <c r="I3814" s="403">
        <v>1</v>
      </c>
      <c r="J3814" s="403" t="s">
        <v>1373</v>
      </c>
      <c r="K3814" s="403">
        <v>2688</v>
      </c>
      <c r="L3814" s="403">
        <v>1512</v>
      </c>
      <c r="M3814" s="403" t="s">
        <v>1384</v>
      </c>
      <c r="N3814" s="403">
        <v>2688</v>
      </c>
      <c r="O3814" s="403">
        <v>1512</v>
      </c>
      <c r="P3814" t="str">
        <f t="shared" si="473"/>
        <v>30fps 2688x1512 - 2688x1512 @ SKIP 2</v>
      </c>
      <c r="Q3814">
        <f t="shared" si="474"/>
        <v>20</v>
      </c>
      <c r="R3814" t="str">
        <f t="shared" si="475"/>
        <v/>
      </c>
      <c r="S3814" t="str">
        <f t="shared" si="476"/>
        <v/>
      </c>
      <c r="T3814" s="403" t="str">
        <f t="shared" si="477"/>
        <v>NDE-8503-RT</v>
      </c>
      <c r="U3814" s="403">
        <f t="shared" si="478"/>
        <v>1</v>
      </c>
      <c r="V3814" s="403" t="str">
        <f t="shared" si="479"/>
        <v>CPP_7_3</v>
      </c>
    </row>
    <row r="3815" spans="1:22">
      <c r="A3815" t="str">
        <f t="shared" si="472"/>
        <v>NDE-8503-RT</v>
      </c>
      <c r="B3815" s="403" t="s">
        <v>1410</v>
      </c>
      <c r="C3815" s="403" t="s">
        <v>582</v>
      </c>
      <c r="D3815" s="403" t="s">
        <v>1414</v>
      </c>
      <c r="E3815" s="403" t="s">
        <v>1412</v>
      </c>
      <c r="F3815" s="403" t="s">
        <v>1382</v>
      </c>
      <c r="G3815" s="403" t="s">
        <v>1466</v>
      </c>
      <c r="H3815" s="403" t="s">
        <v>1281</v>
      </c>
      <c r="I3815" s="403">
        <v>1</v>
      </c>
      <c r="J3815" s="403" t="s">
        <v>1373</v>
      </c>
      <c r="K3815" s="403">
        <v>2688</v>
      </c>
      <c r="L3815" s="403">
        <v>1512</v>
      </c>
      <c r="M3815" s="403" t="s">
        <v>109</v>
      </c>
      <c r="N3815" s="403">
        <v>1280</v>
      </c>
      <c r="O3815" s="403">
        <v>720</v>
      </c>
      <c r="P3815" t="str">
        <f t="shared" si="473"/>
        <v>30fps 2688x1512 - 720p</v>
      </c>
      <c r="Q3815">
        <f t="shared" si="474"/>
        <v>20</v>
      </c>
      <c r="R3815" t="str">
        <f t="shared" si="475"/>
        <v/>
      </c>
      <c r="S3815" t="str">
        <f t="shared" si="476"/>
        <v/>
      </c>
      <c r="T3815" s="403" t="str">
        <f t="shared" si="477"/>
        <v>NDE-8503-RT</v>
      </c>
      <c r="U3815" s="403">
        <f t="shared" si="478"/>
        <v>1</v>
      </c>
      <c r="V3815" s="403" t="str">
        <f t="shared" si="479"/>
        <v>CPP_7_3</v>
      </c>
    </row>
    <row r="3816" spans="1:22">
      <c r="A3816" t="str">
        <f t="shared" si="472"/>
        <v>NDE-8503-RT</v>
      </c>
      <c r="B3816" s="403" t="s">
        <v>1410</v>
      </c>
      <c r="C3816" s="403" t="s">
        <v>582</v>
      </c>
      <c r="D3816" s="403" t="s">
        <v>1414</v>
      </c>
      <c r="E3816" s="403" t="s">
        <v>1412</v>
      </c>
      <c r="F3816" s="403" t="s">
        <v>1382</v>
      </c>
      <c r="G3816" s="403" t="s">
        <v>1466</v>
      </c>
      <c r="H3816" s="403" t="s">
        <v>1281</v>
      </c>
      <c r="I3816" s="403">
        <v>1</v>
      </c>
      <c r="J3816" s="403" t="s">
        <v>1373</v>
      </c>
      <c r="K3816" s="403">
        <v>2688</v>
      </c>
      <c r="L3816" s="403">
        <v>1512</v>
      </c>
      <c r="M3816" s="403" t="s">
        <v>111</v>
      </c>
      <c r="N3816" s="403">
        <v>768</v>
      </c>
      <c r="O3816" s="403">
        <v>432</v>
      </c>
      <c r="P3816" t="str">
        <f t="shared" si="473"/>
        <v>30fps 2688x1512 - SD</v>
      </c>
      <c r="Q3816">
        <f t="shared" si="474"/>
        <v>20</v>
      </c>
      <c r="R3816" t="str">
        <f t="shared" si="475"/>
        <v/>
      </c>
      <c r="S3816" t="str">
        <f t="shared" si="476"/>
        <v/>
      </c>
      <c r="T3816" s="403" t="str">
        <f t="shared" si="477"/>
        <v>NDE-8503-RT</v>
      </c>
      <c r="U3816" s="403">
        <f t="shared" si="478"/>
        <v>1</v>
      </c>
      <c r="V3816" s="403" t="str">
        <f t="shared" si="479"/>
        <v>CPP_7_3</v>
      </c>
    </row>
    <row r="3817" spans="1:22">
      <c r="A3817" t="str">
        <f t="shared" si="472"/>
        <v>NDE-8503-RT</v>
      </c>
      <c r="B3817" s="403" t="s">
        <v>1410</v>
      </c>
      <c r="C3817" s="403" t="s">
        <v>582</v>
      </c>
      <c r="D3817" s="403" t="s">
        <v>1414</v>
      </c>
      <c r="E3817" s="403" t="s">
        <v>1412</v>
      </c>
      <c r="F3817" s="403" t="s">
        <v>1382</v>
      </c>
      <c r="G3817" s="403" t="s">
        <v>1466</v>
      </c>
      <c r="H3817" s="403" t="s">
        <v>1281</v>
      </c>
      <c r="I3817" s="403">
        <v>1</v>
      </c>
      <c r="J3817" s="403" t="s">
        <v>1373</v>
      </c>
      <c r="K3817" s="403">
        <v>2688</v>
      </c>
      <c r="L3817" s="403">
        <v>1512</v>
      </c>
      <c r="M3817" s="403" t="s">
        <v>1279</v>
      </c>
      <c r="N3817" s="403">
        <v>768</v>
      </c>
      <c r="O3817" s="403">
        <v>432</v>
      </c>
      <c r="P3817" t="str">
        <f t="shared" si="473"/>
        <v>30fps 2688x1512 - SD ROI PTZ</v>
      </c>
      <c r="Q3817">
        <f t="shared" si="474"/>
        <v>20</v>
      </c>
      <c r="R3817" t="str">
        <f t="shared" si="475"/>
        <v/>
      </c>
      <c r="S3817" t="str">
        <f t="shared" si="476"/>
        <v/>
      </c>
      <c r="T3817" s="403" t="str">
        <f t="shared" si="477"/>
        <v>NDE-8503-RT</v>
      </c>
      <c r="U3817" s="403">
        <f t="shared" si="478"/>
        <v>1</v>
      </c>
      <c r="V3817" s="403" t="str">
        <f t="shared" si="479"/>
        <v>CPP_7_3</v>
      </c>
    </row>
    <row r="3818" spans="1:22">
      <c r="A3818" t="str">
        <f t="shared" si="472"/>
        <v>NDE-8503-RT</v>
      </c>
      <c r="B3818" s="403" t="s">
        <v>1410</v>
      </c>
      <c r="C3818" s="403" t="s">
        <v>582</v>
      </c>
      <c r="D3818" s="403" t="s">
        <v>1414</v>
      </c>
      <c r="E3818" s="403" t="s">
        <v>1412</v>
      </c>
      <c r="F3818" s="403" t="s">
        <v>1382</v>
      </c>
      <c r="G3818" s="403" t="s">
        <v>1466</v>
      </c>
      <c r="H3818" s="403" t="s">
        <v>1281</v>
      </c>
      <c r="I3818" s="403">
        <v>1</v>
      </c>
      <c r="J3818" s="403" t="s">
        <v>1373</v>
      </c>
      <c r="K3818" s="403">
        <v>2688</v>
      </c>
      <c r="L3818" s="403">
        <v>1512</v>
      </c>
      <c r="M3818" s="403" t="s">
        <v>1285</v>
      </c>
      <c r="N3818" s="403">
        <v>1280</v>
      </c>
      <c r="O3818" s="403">
        <v>1024</v>
      </c>
      <c r="P3818" t="str">
        <f t="shared" si="473"/>
        <v>30fps 2688x1512 - 1280x1024 5:4 (cropped)</v>
      </c>
      <c r="Q3818">
        <f t="shared" si="474"/>
        <v>20</v>
      </c>
      <c r="R3818" t="str">
        <f t="shared" si="475"/>
        <v/>
      </c>
      <c r="S3818" t="str">
        <f t="shared" si="476"/>
        <v/>
      </c>
      <c r="T3818" s="403" t="str">
        <f t="shared" si="477"/>
        <v>NDE-8503-RT</v>
      </c>
      <c r="U3818" s="403">
        <f t="shared" si="478"/>
        <v>1</v>
      </c>
      <c r="V3818" s="403" t="str">
        <f t="shared" si="479"/>
        <v>CPP_7_3</v>
      </c>
    </row>
    <row r="3819" spans="1:22">
      <c r="A3819" t="str">
        <f t="shared" si="472"/>
        <v>NDE-8503-RT</v>
      </c>
      <c r="B3819" s="403" t="s">
        <v>1410</v>
      </c>
      <c r="C3819" s="403" t="s">
        <v>582</v>
      </c>
      <c r="D3819" s="403" t="s">
        <v>1414</v>
      </c>
      <c r="E3819" s="403" t="s">
        <v>1412</v>
      </c>
      <c r="F3819" s="403" t="s">
        <v>1382</v>
      </c>
      <c r="G3819" s="403" t="s">
        <v>1466</v>
      </c>
      <c r="H3819" s="403" t="s">
        <v>1281</v>
      </c>
      <c r="I3819" s="403">
        <v>1</v>
      </c>
      <c r="J3819" s="403" t="s">
        <v>1373</v>
      </c>
      <c r="K3819" s="403">
        <v>2688</v>
      </c>
      <c r="L3819" s="403">
        <v>1512</v>
      </c>
      <c r="M3819" s="403" t="s">
        <v>1283</v>
      </c>
      <c r="N3819" s="403">
        <v>720</v>
      </c>
      <c r="O3819" s="403">
        <v>480</v>
      </c>
      <c r="P3819" t="str">
        <f t="shared" si="473"/>
        <v>30fps 2688x1512 - SD 4CIF resolution 4:3 format (cropped)</v>
      </c>
      <c r="Q3819">
        <f t="shared" si="474"/>
        <v>20</v>
      </c>
      <c r="R3819" t="str">
        <f t="shared" si="475"/>
        <v/>
      </c>
      <c r="S3819" t="str">
        <f t="shared" si="476"/>
        <v/>
      </c>
      <c r="T3819" s="403" t="str">
        <f t="shared" si="477"/>
        <v>NDE-8503-RT</v>
      </c>
      <c r="U3819" s="403">
        <f t="shared" si="478"/>
        <v>1</v>
      </c>
      <c r="V3819" s="403" t="str">
        <f t="shared" si="479"/>
        <v>CPP_7_3</v>
      </c>
    </row>
    <row r="3820" spans="1:22">
      <c r="A3820" t="str">
        <f t="shared" si="472"/>
        <v>NDE-8503-RT</v>
      </c>
      <c r="B3820" s="403" t="s">
        <v>1410</v>
      </c>
      <c r="C3820" s="403" t="s">
        <v>582</v>
      </c>
      <c r="D3820" s="403" t="s">
        <v>1414</v>
      </c>
      <c r="E3820" s="403" t="s">
        <v>1412</v>
      </c>
      <c r="F3820" s="403" t="s">
        <v>1382</v>
      </c>
      <c r="G3820" s="403" t="s">
        <v>1466</v>
      </c>
      <c r="H3820" s="403" t="s">
        <v>1281</v>
      </c>
      <c r="I3820" s="403">
        <v>1</v>
      </c>
      <c r="J3820" s="403" t="s">
        <v>1373</v>
      </c>
      <c r="K3820" s="403">
        <v>2688</v>
      </c>
      <c r="L3820" s="403">
        <v>1512</v>
      </c>
      <c r="M3820" s="403" t="s">
        <v>1284</v>
      </c>
      <c r="N3820" s="403">
        <v>640</v>
      </c>
      <c r="O3820" s="403">
        <v>480</v>
      </c>
      <c r="P3820" t="str">
        <f t="shared" si="473"/>
        <v>30fps 2688x1512 - SD VGA (cropped)</v>
      </c>
      <c r="Q3820">
        <f t="shared" si="474"/>
        <v>20</v>
      </c>
      <c r="R3820" t="str">
        <f t="shared" si="475"/>
        <v/>
      </c>
      <c r="S3820" t="str">
        <f t="shared" si="476"/>
        <v/>
      </c>
      <c r="T3820" s="403" t="str">
        <f t="shared" si="477"/>
        <v>NDE-8503-RT</v>
      </c>
      <c r="U3820" s="403">
        <f t="shared" si="478"/>
        <v>1</v>
      </c>
      <c r="V3820" s="403" t="str">
        <f t="shared" si="479"/>
        <v>CPP_7_3</v>
      </c>
    </row>
    <row r="3821" spans="1:22">
      <c r="A3821" t="str">
        <f t="shared" si="472"/>
        <v>NDE-8503-RT</v>
      </c>
      <c r="B3821" s="403" t="s">
        <v>1410</v>
      </c>
      <c r="C3821" s="403" t="s">
        <v>582</v>
      </c>
      <c r="D3821" s="403" t="s">
        <v>1414</v>
      </c>
      <c r="E3821" s="403" t="s">
        <v>1412</v>
      </c>
      <c r="F3821" s="403" t="s">
        <v>1382</v>
      </c>
      <c r="G3821" s="403" t="s">
        <v>1466</v>
      </c>
      <c r="H3821" s="403" t="s">
        <v>1281</v>
      </c>
      <c r="I3821" s="403">
        <v>1</v>
      </c>
      <c r="J3821" s="403" t="s">
        <v>1373</v>
      </c>
      <c r="K3821" s="403">
        <v>2688</v>
      </c>
      <c r="L3821" s="403">
        <v>1512</v>
      </c>
      <c r="M3821" s="403" t="s">
        <v>1280</v>
      </c>
      <c r="N3821" s="403">
        <v>2688</v>
      </c>
      <c r="O3821" s="403">
        <v>1512</v>
      </c>
      <c r="P3821" t="str">
        <f t="shared" si="473"/>
        <v>30fps 2688x1512 - copy other stream</v>
      </c>
      <c r="Q3821">
        <f t="shared" si="474"/>
        <v>20</v>
      </c>
      <c r="R3821" t="str">
        <f t="shared" si="475"/>
        <v/>
      </c>
      <c r="S3821" t="str">
        <f t="shared" si="476"/>
        <v/>
      </c>
      <c r="T3821" s="403" t="str">
        <f t="shared" si="477"/>
        <v>NDE-8503-RT</v>
      </c>
      <c r="U3821" s="403">
        <f t="shared" si="478"/>
        <v>1</v>
      </c>
      <c r="V3821" s="403" t="str">
        <f t="shared" si="479"/>
        <v>CPP_7_3</v>
      </c>
    </row>
    <row r="3822" spans="1:22">
      <c r="A3822" t="str">
        <f t="shared" si="472"/>
        <v>NDE-8503-RT</v>
      </c>
      <c r="B3822" s="403" t="s">
        <v>1410</v>
      </c>
      <c r="C3822" s="403" t="s">
        <v>582</v>
      </c>
      <c r="D3822" s="403" t="s">
        <v>1414</v>
      </c>
      <c r="E3822" s="403" t="s">
        <v>1412</v>
      </c>
      <c r="F3822" s="403" t="s">
        <v>1382</v>
      </c>
      <c r="G3822" s="403" t="s">
        <v>1466</v>
      </c>
      <c r="H3822" s="403" t="s">
        <v>1281</v>
      </c>
      <c r="I3822" s="403">
        <v>1</v>
      </c>
      <c r="J3822" s="403" t="s">
        <v>1374</v>
      </c>
      <c r="K3822" s="403">
        <v>2304</v>
      </c>
      <c r="L3822" s="403">
        <v>1296</v>
      </c>
      <c r="M3822" s="403" t="s">
        <v>110</v>
      </c>
      <c r="N3822" s="403">
        <v>1920</v>
      </c>
      <c r="O3822" s="403">
        <v>1080</v>
      </c>
      <c r="P3822" t="str">
        <f t="shared" si="473"/>
        <v>30fps 2304x1296 - 1080p</v>
      </c>
      <c r="Q3822">
        <f t="shared" si="474"/>
        <v>20</v>
      </c>
      <c r="R3822" t="str">
        <f t="shared" si="475"/>
        <v/>
      </c>
      <c r="S3822" t="str">
        <f t="shared" si="476"/>
        <v/>
      </c>
      <c r="T3822" s="403" t="str">
        <f t="shared" si="477"/>
        <v>NDE-8503-RT</v>
      </c>
      <c r="U3822" s="403">
        <f t="shared" si="478"/>
        <v>1</v>
      </c>
      <c r="V3822" s="403" t="str">
        <f t="shared" si="479"/>
        <v>CPP_7_3</v>
      </c>
    </row>
    <row r="3823" spans="1:22">
      <c r="A3823" t="str">
        <f t="shared" si="472"/>
        <v>NDE-8503-RT</v>
      </c>
      <c r="B3823" s="403" t="s">
        <v>1410</v>
      </c>
      <c r="C3823" s="403" t="s">
        <v>582</v>
      </c>
      <c r="D3823" s="403" t="s">
        <v>1414</v>
      </c>
      <c r="E3823" s="403" t="s">
        <v>1412</v>
      </c>
      <c r="F3823" s="403" t="s">
        <v>1382</v>
      </c>
      <c r="G3823" s="403" t="s">
        <v>1466</v>
      </c>
      <c r="H3823" s="403" t="s">
        <v>1281</v>
      </c>
      <c r="I3823" s="403">
        <v>1</v>
      </c>
      <c r="J3823" s="403" t="s">
        <v>1374</v>
      </c>
      <c r="K3823" s="403">
        <v>2304</v>
      </c>
      <c r="L3823" s="403">
        <v>1296</v>
      </c>
      <c r="M3823" s="403" t="s">
        <v>1374</v>
      </c>
      <c r="N3823" s="403">
        <v>2304</v>
      </c>
      <c r="O3823" s="403">
        <v>1296</v>
      </c>
      <c r="P3823" t="str">
        <f t="shared" si="473"/>
        <v>30fps 2304x1296 - 2304x1296</v>
      </c>
      <c r="Q3823">
        <f t="shared" si="474"/>
        <v>20</v>
      </c>
      <c r="R3823" t="str">
        <f t="shared" si="475"/>
        <v/>
      </c>
      <c r="S3823" t="str">
        <f t="shared" si="476"/>
        <v/>
      </c>
      <c r="T3823" s="403" t="str">
        <f t="shared" si="477"/>
        <v>NDE-8503-RT</v>
      </c>
      <c r="U3823" s="403">
        <f t="shared" si="478"/>
        <v>1</v>
      </c>
      <c r="V3823" s="403" t="str">
        <f t="shared" si="479"/>
        <v>CPP_7_3</v>
      </c>
    </row>
    <row r="3824" spans="1:22">
      <c r="A3824" t="str">
        <f t="shared" si="472"/>
        <v>NDE-8503-RT</v>
      </c>
      <c r="B3824" s="403" t="s">
        <v>1410</v>
      </c>
      <c r="C3824" s="403" t="s">
        <v>582</v>
      </c>
      <c r="D3824" s="403" t="s">
        <v>1414</v>
      </c>
      <c r="E3824" s="403" t="s">
        <v>1412</v>
      </c>
      <c r="F3824" s="403" t="s">
        <v>1382</v>
      </c>
      <c r="G3824" s="403" t="s">
        <v>1466</v>
      </c>
      <c r="H3824" s="403" t="s">
        <v>1281</v>
      </c>
      <c r="I3824" s="403">
        <v>1</v>
      </c>
      <c r="J3824" s="403" t="s">
        <v>1374</v>
      </c>
      <c r="K3824" s="403">
        <v>2304</v>
      </c>
      <c r="L3824" s="403">
        <v>1296</v>
      </c>
      <c r="M3824" s="403" t="s">
        <v>109</v>
      </c>
      <c r="N3824" s="403">
        <v>1280</v>
      </c>
      <c r="O3824" s="403">
        <v>720</v>
      </c>
      <c r="P3824" t="str">
        <f t="shared" si="473"/>
        <v>30fps 2304x1296 - 720p</v>
      </c>
      <c r="Q3824">
        <f t="shared" si="474"/>
        <v>20</v>
      </c>
      <c r="R3824" t="str">
        <f t="shared" si="475"/>
        <v/>
      </c>
      <c r="S3824" t="str">
        <f t="shared" si="476"/>
        <v/>
      </c>
      <c r="T3824" s="403" t="str">
        <f t="shared" si="477"/>
        <v>NDE-8503-RT</v>
      </c>
      <c r="U3824" s="403">
        <f t="shared" si="478"/>
        <v>1</v>
      </c>
      <c r="V3824" s="403" t="str">
        <f t="shared" si="479"/>
        <v>CPP_7_3</v>
      </c>
    </row>
    <row r="3825" spans="1:22">
      <c r="A3825" t="str">
        <f t="shared" si="472"/>
        <v>NDE-8503-RT</v>
      </c>
      <c r="B3825" s="403" t="s">
        <v>1410</v>
      </c>
      <c r="C3825" s="403" t="s">
        <v>582</v>
      </c>
      <c r="D3825" s="403" t="s">
        <v>1414</v>
      </c>
      <c r="E3825" s="403" t="s">
        <v>1412</v>
      </c>
      <c r="F3825" s="403" t="s">
        <v>1382</v>
      </c>
      <c r="G3825" s="403" t="s">
        <v>1466</v>
      </c>
      <c r="H3825" s="403" t="s">
        <v>1281</v>
      </c>
      <c r="I3825" s="403">
        <v>1</v>
      </c>
      <c r="J3825" s="403" t="s">
        <v>1374</v>
      </c>
      <c r="K3825" s="403">
        <v>2304</v>
      </c>
      <c r="L3825" s="403">
        <v>1296</v>
      </c>
      <c r="M3825" s="403" t="s">
        <v>111</v>
      </c>
      <c r="N3825" s="403">
        <v>768</v>
      </c>
      <c r="O3825" s="403">
        <v>432</v>
      </c>
      <c r="P3825" t="str">
        <f t="shared" si="473"/>
        <v>30fps 2304x1296 - SD</v>
      </c>
      <c r="Q3825">
        <f t="shared" si="474"/>
        <v>20</v>
      </c>
      <c r="R3825" t="str">
        <f t="shared" si="475"/>
        <v/>
      </c>
      <c r="S3825" t="str">
        <f t="shared" si="476"/>
        <v/>
      </c>
      <c r="T3825" s="403" t="str">
        <f t="shared" si="477"/>
        <v>NDE-8503-RT</v>
      </c>
      <c r="U3825" s="403">
        <f t="shared" si="478"/>
        <v>1</v>
      </c>
      <c r="V3825" s="403" t="str">
        <f t="shared" si="479"/>
        <v>CPP_7_3</v>
      </c>
    </row>
    <row r="3826" spans="1:22">
      <c r="A3826" t="str">
        <f t="shared" si="472"/>
        <v>NDE-8503-RT</v>
      </c>
      <c r="B3826" s="403" t="s">
        <v>1410</v>
      </c>
      <c r="C3826" s="403" t="s">
        <v>582</v>
      </c>
      <c r="D3826" s="403" t="s">
        <v>1414</v>
      </c>
      <c r="E3826" s="403" t="s">
        <v>1412</v>
      </c>
      <c r="F3826" s="403" t="s">
        <v>1382</v>
      </c>
      <c r="G3826" s="403" t="s">
        <v>1466</v>
      </c>
      <c r="H3826" s="403" t="s">
        <v>1281</v>
      </c>
      <c r="I3826" s="403">
        <v>1</v>
      </c>
      <c r="J3826" s="403" t="s">
        <v>1374</v>
      </c>
      <c r="K3826" s="403">
        <v>2304</v>
      </c>
      <c r="L3826" s="403">
        <v>1296</v>
      </c>
      <c r="M3826" s="403" t="s">
        <v>1279</v>
      </c>
      <c r="N3826" s="403">
        <v>768</v>
      </c>
      <c r="O3826" s="403">
        <v>432</v>
      </c>
      <c r="P3826" t="str">
        <f t="shared" si="473"/>
        <v>30fps 2304x1296 - SD ROI PTZ</v>
      </c>
      <c r="Q3826">
        <f t="shared" si="474"/>
        <v>20</v>
      </c>
      <c r="R3826" t="str">
        <f t="shared" si="475"/>
        <v/>
      </c>
      <c r="S3826" t="str">
        <f t="shared" si="476"/>
        <v/>
      </c>
      <c r="T3826" s="403" t="str">
        <f t="shared" si="477"/>
        <v>NDE-8503-RT</v>
      </c>
      <c r="U3826" s="403">
        <f t="shared" si="478"/>
        <v>1</v>
      </c>
      <c r="V3826" s="403" t="str">
        <f t="shared" si="479"/>
        <v>CPP_7_3</v>
      </c>
    </row>
    <row r="3827" spans="1:22">
      <c r="A3827" t="str">
        <f t="shared" si="472"/>
        <v>NDE-8503-RT</v>
      </c>
      <c r="B3827" s="403" t="s">
        <v>1410</v>
      </c>
      <c r="C3827" s="403" t="s">
        <v>582</v>
      </c>
      <c r="D3827" s="403" t="s">
        <v>1414</v>
      </c>
      <c r="E3827" s="403" t="s">
        <v>1412</v>
      </c>
      <c r="F3827" s="403" t="s">
        <v>1382</v>
      </c>
      <c r="G3827" s="403" t="s">
        <v>1466</v>
      </c>
      <c r="H3827" s="403" t="s">
        <v>1281</v>
      </c>
      <c r="I3827" s="403">
        <v>1</v>
      </c>
      <c r="J3827" s="403" t="s">
        <v>1374</v>
      </c>
      <c r="K3827" s="403">
        <v>2304</v>
      </c>
      <c r="L3827" s="403">
        <v>1296</v>
      </c>
      <c r="M3827" s="403" t="s">
        <v>1285</v>
      </c>
      <c r="N3827" s="403">
        <v>1280</v>
      </c>
      <c r="O3827" s="403">
        <v>1024</v>
      </c>
      <c r="P3827" t="str">
        <f t="shared" si="473"/>
        <v>30fps 2304x1296 - 1280x1024 5:4 (cropped)</v>
      </c>
      <c r="Q3827">
        <f t="shared" si="474"/>
        <v>20</v>
      </c>
      <c r="R3827" t="str">
        <f t="shared" si="475"/>
        <v/>
      </c>
      <c r="S3827" t="str">
        <f t="shared" si="476"/>
        <v/>
      </c>
      <c r="T3827" s="403" t="str">
        <f t="shared" si="477"/>
        <v>NDE-8503-RT</v>
      </c>
      <c r="U3827" s="403">
        <f t="shared" si="478"/>
        <v>1</v>
      </c>
      <c r="V3827" s="403" t="str">
        <f t="shared" si="479"/>
        <v>CPP_7_3</v>
      </c>
    </row>
    <row r="3828" spans="1:22">
      <c r="A3828" t="str">
        <f t="shared" si="472"/>
        <v>NDE-8503-RT</v>
      </c>
      <c r="B3828" s="403" t="s">
        <v>1410</v>
      </c>
      <c r="C3828" s="403" t="s">
        <v>582</v>
      </c>
      <c r="D3828" s="403" t="s">
        <v>1414</v>
      </c>
      <c r="E3828" s="403" t="s">
        <v>1412</v>
      </c>
      <c r="F3828" s="403" t="s">
        <v>1382</v>
      </c>
      <c r="G3828" s="403" t="s">
        <v>1466</v>
      </c>
      <c r="H3828" s="403" t="s">
        <v>1281</v>
      </c>
      <c r="I3828" s="403">
        <v>1</v>
      </c>
      <c r="J3828" s="403" t="s">
        <v>1374</v>
      </c>
      <c r="K3828" s="403">
        <v>2304</v>
      </c>
      <c r="L3828" s="403">
        <v>1296</v>
      </c>
      <c r="M3828" s="403" t="s">
        <v>1283</v>
      </c>
      <c r="N3828" s="403">
        <v>720</v>
      </c>
      <c r="O3828" s="403">
        <v>480</v>
      </c>
      <c r="P3828" t="str">
        <f t="shared" si="473"/>
        <v>30fps 2304x1296 - SD 4CIF resolution 4:3 format (cropped)</v>
      </c>
      <c r="Q3828">
        <f t="shared" si="474"/>
        <v>20</v>
      </c>
      <c r="R3828" t="str">
        <f t="shared" si="475"/>
        <v/>
      </c>
      <c r="S3828" t="str">
        <f t="shared" si="476"/>
        <v/>
      </c>
      <c r="T3828" s="403" t="str">
        <f t="shared" si="477"/>
        <v>NDE-8503-RT</v>
      </c>
      <c r="U3828" s="403">
        <f t="shared" si="478"/>
        <v>1</v>
      </c>
      <c r="V3828" s="403" t="str">
        <f t="shared" si="479"/>
        <v>CPP_7_3</v>
      </c>
    </row>
    <row r="3829" spans="1:22">
      <c r="A3829" t="str">
        <f t="shared" si="472"/>
        <v>NDE-8503-RT</v>
      </c>
      <c r="B3829" s="403" t="s">
        <v>1410</v>
      </c>
      <c r="C3829" s="403" t="s">
        <v>582</v>
      </c>
      <c r="D3829" s="403" t="s">
        <v>1414</v>
      </c>
      <c r="E3829" s="403" t="s">
        <v>1412</v>
      </c>
      <c r="F3829" s="403" t="s">
        <v>1382</v>
      </c>
      <c r="G3829" s="403" t="s">
        <v>1466</v>
      </c>
      <c r="H3829" s="403" t="s">
        <v>1281</v>
      </c>
      <c r="I3829" s="403">
        <v>1</v>
      </c>
      <c r="J3829" s="403" t="s">
        <v>1374</v>
      </c>
      <c r="K3829" s="403">
        <v>2304</v>
      </c>
      <c r="L3829" s="403">
        <v>1296</v>
      </c>
      <c r="M3829" s="403" t="s">
        <v>1284</v>
      </c>
      <c r="N3829" s="403">
        <v>640</v>
      </c>
      <c r="O3829" s="403">
        <v>480</v>
      </c>
      <c r="P3829" t="str">
        <f t="shared" si="473"/>
        <v>30fps 2304x1296 - SD VGA (cropped)</v>
      </c>
      <c r="Q3829">
        <f t="shared" si="474"/>
        <v>20</v>
      </c>
      <c r="R3829" t="str">
        <f t="shared" si="475"/>
        <v/>
      </c>
      <c r="S3829" t="str">
        <f t="shared" si="476"/>
        <v/>
      </c>
      <c r="T3829" s="403" t="str">
        <f t="shared" si="477"/>
        <v>NDE-8503-RT</v>
      </c>
      <c r="U3829" s="403">
        <f t="shared" si="478"/>
        <v>1</v>
      </c>
      <c r="V3829" s="403" t="str">
        <f t="shared" si="479"/>
        <v>CPP_7_3</v>
      </c>
    </row>
    <row r="3830" spans="1:22">
      <c r="A3830" t="str">
        <f t="shared" si="472"/>
        <v>NDE-8503-RT</v>
      </c>
      <c r="B3830" s="403" t="s">
        <v>1410</v>
      </c>
      <c r="C3830" s="403" t="s">
        <v>582</v>
      </c>
      <c r="D3830" s="403" t="s">
        <v>1414</v>
      </c>
      <c r="E3830" s="403" t="s">
        <v>1412</v>
      </c>
      <c r="F3830" s="403" t="s">
        <v>1382</v>
      </c>
      <c r="G3830" s="403" t="s">
        <v>1466</v>
      </c>
      <c r="H3830" s="403" t="s">
        <v>1281</v>
      </c>
      <c r="I3830" s="403">
        <v>1</v>
      </c>
      <c r="J3830" s="403" t="s">
        <v>1374</v>
      </c>
      <c r="K3830" s="403">
        <v>2304</v>
      </c>
      <c r="L3830" s="403">
        <v>1296</v>
      </c>
      <c r="M3830" s="403" t="s">
        <v>1280</v>
      </c>
      <c r="N3830" s="403">
        <v>2304</v>
      </c>
      <c r="O3830" s="403">
        <v>1296</v>
      </c>
      <c r="P3830" t="str">
        <f t="shared" si="473"/>
        <v>30fps 2304x1296 - copy other stream</v>
      </c>
      <c r="Q3830">
        <f t="shared" si="474"/>
        <v>20</v>
      </c>
      <c r="R3830" t="str">
        <f t="shared" si="475"/>
        <v/>
      </c>
      <c r="S3830" t="str">
        <f t="shared" si="476"/>
        <v/>
      </c>
      <c r="T3830" s="403" t="str">
        <f t="shared" si="477"/>
        <v>NDE-8503-RT</v>
      </c>
      <c r="U3830" s="403">
        <f t="shared" si="478"/>
        <v>1</v>
      </c>
      <c r="V3830" s="403" t="str">
        <f t="shared" si="479"/>
        <v>CPP_7_3</v>
      </c>
    </row>
    <row r="3831" spans="1:22">
      <c r="A3831" t="str">
        <f t="shared" si="472"/>
        <v>NDE-8503-RT</v>
      </c>
      <c r="B3831" s="403" t="s">
        <v>1410</v>
      </c>
      <c r="C3831" s="403" t="s">
        <v>582</v>
      </c>
      <c r="D3831" s="403" t="s">
        <v>1414</v>
      </c>
      <c r="E3831" s="403" t="s">
        <v>1412</v>
      </c>
      <c r="F3831" s="403" t="s">
        <v>1382</v>
      </c>
      <c r="G3831" s="403" t="s">
        <v>1466</v>
      </c>
      <c r="H3831" s="403" t="s">
        <v>1281</v>
      </c>
      <c r="I3831" s="403">
        <v>1</v>
      </c>
      <c r="J3831" s="403" t="s">
        <v>110</v>
      </c>
      <c r="K3831" s="403">
        <v>1920</v>
      </c>
      <c r="L3831" s="403">
        <v>1080</v>
      </c>
      <c r="M3831" s="403" t="s">
        <v>111</v>
      </c>
      <c r="N3831" s="403">
        <v>768</v>
      </c>
      <c r="O3831" s="403">
        <v>432</v>
      </c>
      <c r="P3831" t="str">
        <f t="shared" si="473"/>
        <v>30fps 1080p - SD</v>
      </c>
      <c r="Q3831">
        <f t="shared" si="474"/>
        <v>20</v>
      </c>
      <c r="R3831" t="str">
        <f t="shared" si="475"/>
        <v/>
      </c>
      <c r="S3831" t="str">
        <f t="shared" si="476"/>
        <v/>
      </c>
      <c r="T3831" s="403" t="str">
        <f t="shared" si="477"/>
        <v>NDE-8503-RT</v>
      </c>
      <c r="U3831" s="403">
        <f t="shared" si="478"/>
        <v>1</v>
      </c>
      <c r="V3831" s="403" t="str">
        <f t="shared" si="479"/>
        <v>CPP_7_3</v>
      </c>
    </row>
    <row r="3832" spans="1:22">
      <c r="A3832" t="str">
        <f t="shared" si="472"/>
        <v>NDE-8503-RT</v>
      </c>
      <c r="B3832" s="403" t="s">
        <v>1410</v>
      </c>
      <c r="C3832" s="403" t="s">
        <v>582</v>
      </c>
      <c r="D3832" s="403" t="s">
        <v>1414</v>
      </c>
      <c r="E3832" s="403" t="s">
        <v>1412</v>
      </c>
      <c r="F3832" s="403" t="s">
        <v>1382</v>
      </c>
      <c r="G3832" s="403" t="s">
        <v>1466</v>
      </c>
      <c r="H3832" s="403" t="s">
        <v>1281</v>
      </c>
      <c r="I3832" s="403">
        <v>1</v>
      </c>
      <c r="J3832" s="403" t="s">
        <v>110</v>
      </c>
      <c r="K3832" s="403">
        <v>1920</v>
      </c>
      <c r="L3832" s="403">
        <v>1080</v>
      </c>
      <c r="M3832" s="403" t="s">
        <v>110</v>
      </c>
      <c r="N3832" s="403">
        <v>1920</v>
      </c>
      <c r="O3832" s="403">
        <v>1080</v>
      </c>
      <c r="P3832" t="str">
        <f t="shared" si="473"/>
        <v>30fps 1080p - 1080p</v>
      </c>
      <c r="Q3832">
        <f t="shared" si="474"/>
        <v>20</v>
      </c>
      <c r="R3832" t="str">
        <f t="shared" si="475"/>
        <v/>
      </c>
      <c r="S3832" t="str">
        <f t="shared" si="476"/>
        <v/>
      </c>
      <c r="T3832" s="403" t="str">
        <f t="shared" si="477"/>
        <v>NDE-8503-RT</v>
      </c>
      <c r="U3832" s="403">
        <f t="shared" si="478"/>
        <v>1</v>
      </c>
      <c r="V3832" s="403" t="str">
        <f t="shared" si="479"/>
        <v>CPP_7_3</v>
      </c>
    </row>
    <row r="3833" spans="1:22">
      <c r="A3833" t="str">
        <f t="shared" si="472"/>
        <v>NDE-8503-RT</v>
      </c>
      <c r="B3833" s="403" t="s">
        <v>1410</v>
      </c>
      <c r="C3833" s="403" t="s">
        <v>582</v>
      </c>
      <c r="D3833" s="403" t="s">
        <v>1414</v>
      </c>
      <c r="E3833" s="403" t="s">
        <v>1412</v>
      </c>
      <c r="F3833" s="403" t="s">
        <v>1382</v>
      </c>
      <c r="G3833" s="403" t="s">
        <v>1466</v>
      </c>
      <c r="H3833" s="403" t="s">
        <v>1281</v>
      </c>
      <c r="I3833" s="403">
        <v>1</v>
      </c>
      <c r="J3833" s="403" t="s">
        <v>110</v>
      </c>
      <c r="K3833" s="403">
        <v>1920</v>
      </c>
      <c r="L3833" s="403">
        <v>1080</v>
      </c>
      <c r="M3833" s="403" t="s">
        <v>109</v>
      </c>
      <c r="N3833" s="403">
        <v>1280</v>
      </c>
      <c r="O3833" s="403">
        <v>720</v>
      </c>
      <c r="P3833" t="str">
        <f t="shared" si="473"/>
        <v>30fps 1080p - 720p</v>
      </c>
      <c r="Q3833">
        <f t="shared" si="474"/>
        <v>20</v>
      </c>
      <c r="R3833" t="str">
        <f t="shared" si="475"/>
        <v/>
      </c>
      <c r="S3833" t="str">
        <f t="shared" si="476"/>
        <v/>
      </c>
      <c r="T3833" s="403" t="str">
        <f t="shared" si="477"/>
        <v>NDE-8503-RT</v>
      </c>
      <c r="U3833" s="403">
        <f t="shared" si="478"/>
        <v>1</v>
      </c>
      <c r="V3833" s="403" t="str">
        <f t="shared" si="479"/>
        <v>CPP_7_3</v>
      </c>
    </row>
    <row r="3834" spans="1:22">
      <c r="A3834" t="str">
        <f t="shared" si="472"/>
        <v>NDE-8503-RT</v>
      </c>
      <c r="B3834" s="403" t="s">
        <v>1410</v>
      </c>
      <c r="C3834" s="403" t="s">
        <v>582</v>
      </c>
      <c r="D3834" s="403" t="s">
        <v>1414</v>
      </c>
      <c r="E3834" s="403" t="s">
        <v>1412</v>
      </c>
      <c r="F3834" s="403" t="s">
        <v>1382</v>
      </c>
      <c r="G3834" s="403" t="s">
        <v>1466</v>
      </c>
      <c r="H3834" s="403" t="s">
        <v>1281</v>
      </c>
      <c r="I3834" s="403">
        <v>1</v>
      </c>
      <c r="J3834" s="403" t="s">
        <v>110</v>
      </c>
      <c r="K3834" s="403">
        <v>1920</v>
      </c>
      <c r="L3834" s="403">
        <v>1080</v>
      </c>
      <c r="M3834" s="403" t="s">
        <v>1285</v>
      </c>
      <c r="N3834" s="403">
        <v>1280</v>
      </c>
      <c r="O3834" s="403">
        <v>1024</v>
      </c>
      <c r="P3834" t="str">
        <f t="shared" si="473"/>
        <v>30fps 1080p - 1280x1024 5:4 (cropped)</v>
      </c>
      <c r="Q3834">
        <f t="shared" si="474"/>
        <v>20</v>
      </c>
      <c r="R3834" t="str">
        <f t="shared" si="475"/>
        <v/>
      </c>
      <c r="S3834" t="str">
        <f t="shared" si="476"/>
        <v/>
      </c>
      <c r="T3834" s="403" t="str">
        <f t="shared" si="477"/>
        <v>NDE-8503-RT</v>
      </c>
      <c r="U3834" s="403">
        <f t="shared" si="478"/>
        <v>1</v>
      </c>
      <c r="V3834" s="403" t="str">
        <f t="shared" si="479"/>
        <v>CPP_7_3</v>
      </c>
    </row>
    <row r="3835" spans="1:22">
      <c r="A3835" t="str">
        <f t="shared" si="472"/>
        <v>NDE-8503-RT</v>
      </c>
      <c r="B3835" s="403" t="s">
        <v>1410</v>
      </c>
      <c r="C3835" s="403" t="s">
        <v>582</v>
      </c>
      <c r="D3835" s="403" t="s">
        <v>1414</v>
      </c>
      <c r="E3835" s="403" t="s">
        <v>1412</v>
      </c>
      <c r="F3835" s="403" t="s">
        <v>1382</v>
      </c>
      <c r="G3835" s="403" t="s">
        <v>1466</v>
      </c>
      <c r="H3835" s="403" t="s">
        <v>1281</v>
      </c>
      <c r="I3835" s="403">
        <v>1</v>
      </c>
      <c r="J3835" s="403" t="s">
        <v>110</v>
      </c>
      <c r="K3835" s="403">
        <v>1920</v>
      </c>
      <c r="L3835" s="403">
        <v>1080</v>
      </c>
      <c r="M3835" s="403" t="s">
        <v>1279</v>
      </c>
      <c r="N3835" s="403">
        <v>768</v>
      </c>
      <c r="O3835" s="403">
        <v>432</v>
      </c>
      <c r="P3835" t="str">
        <f t="shared" si="473"/>
        <v>30fps 1080p - SD ROI PTZ</v>
      </c>
      <c r="Q3835">
        <f t="shared" si="474"/>
        <v>20</v>
      </c>
      <c r="R3835" t="str">
        <f t="shared" si="475"/>
        <v/>
      </c>
      <c r="S3835" t="str">
        <f t="shared" si="476"/>
        <v/>
      </c>
      <c r="T3835" s="403" t="str">
        <f t="shared" si="477"/>
        <v>NDE-8503-RT</v>
      </c>
      <c r="U3835" s="403">
        <f t="shared" si="478"/>
        <v>1</v>
      </c>
      <c r="V3835" s="403" t="str">
        <f t="shared" si="479"/>
        <v>CPP_7_3</v>
      </c>
    </row>
    <row r="3836" spans="1:22">
      <c r="A3836" t="str">
        <f t="shared" si="472"/>
        <v>NDE-8503-RT</v>
      </c>
      <c r="B3836" s="403" t="s">
        <v>1410</v>
      </c>
      <c r="C3836" s="403" t="s">
        <v>582</v>
      </c>
      <c r="D3836" s="403" t="s">
        <v>1414</v>
      </c>
      <c r="E3836" s="403" t="s">
        <v>1412</v>
      </c>
      <c r="F3836" s="403" t="s">
        <v>1382</v>
      </c>
      <c r="G3836" s="403" t="s">
        <v>1466</v>
      </c>
      <c r="H3836" s="403" t="s">
        <v>1281</v>
      </c>
      <c r="I3836" s="403">
        <v>1</v>
      </c>
      <c r="J3836" s="403" t="s">
        <v>110</v>
      </c>
      <c r="K3836" s="403">
        <v>1920</v>
      </c>
      <c r="L3836" s="403">
        <v>1080</v>
      </c>
      <c r="M3836" s="403" t="s">
        <v>1283</v>
      </c>
      <c r="N3836" s="403">
        <v>720</v>
      </c>
      <c r="O3836" s="403">
        <v>480</v>
      </c>
      <c r="P3836" t="str">
        <f t="shared" si="473"/>
        <v>30fps 1080p - SD 4CIF resolution 4:3 format (cropped)</v>
      </c>
      <c r="Q3836">
        <f t="shared" si="474"/>
        <v>20</v>
      </c>
      <c r="R3836" t="str">
        <f t="shared" si="475"/>
        <v/>
      </c>
      <c r="S3836" t="str">
        <f t="shared" si="476"/>
        <v/>
      </c>
      <c r="T3836" s="403" t="str">
        <f t="shared" si="477"/>
        <v>NDE-8503-RT</v>
      </c>
      <c r="U3836" s="403">
        <f t="shared" si="478"/>
        <v>1</v>
      </c>
      <c r="V3836" s="403" t="str">
        <f t="shared" si="479"/>
        <v>CPP_7_3</v>
      </c>
    </row>
    <row r="3837" spans="1:22">
      <c r="A3837" t="str">
        <f t="shared" si="472"/>
        <v>NDE-8503-RT</v>
      </c>
      <c r="B3837" s="403" t="s">
        <v>1410</v>
      </c>
      <c r="C3837" s="403" t="s">
        <v>582</v>
      </c>
      <c r="D3837" s="403" t="s">
        <v>1414</v>
      </c>
      <c r="E3837" s="403" t="s">
        <v>1412</v>
      </c>
      <c r="F3837" s="403" t="s">
        <v>1382</v>
      </c>
      <c r="G3837" s="403" t="s">
        <v>1466</v>
      </c>
      <c r="H3837" s="403" t="s">
        <v>1281</v>
      </c>
      <c r="I3837" s="403">
        <v>1</v>
      </c>
      <c r="J3837" s="403" t="s">
        <v>110</v>
      </c>
      <c r="K3837" s="403">
        <v>1920</v>
      </c>
      <c r="L3837" s="403">
        <v>1080</v>
      </c>
      <c r="M3837" s="403" t="s">
        <v>1284</v>
      </c>
      <c r="N3837" s="403">
        <v>640</v>
      </c>
      <c r="O3837" s="403">
        <v>480</v>
      </c>
      <c r="P3837" t="str">
        <f t="shared" si="473"/>
        <v>30fps 1080p - SD VGA (cropped)</v>
      </c>
      <c r="Q3837">
        <f t="shared" si="474"/>
        <v>20</v>
      </c>
      <c r="R3837" t="str">
        <f t="shared" si="475"/>
        <v/>
      </c>
      <c r="S3837" t="str">
        <f t="shared" si="476"/>
        <v/>
      </c>
      <c r="T3837" s="403" t="str">
        <f t="shared" si="477"/>
        <v>NDE-8503-RT</v>
      </c>
      <c r="U3837" s="403">
        <f t="shared" si="478"/>
        <v>1</v>
      </c>
      <c r="V3837" s="403" t="str">
        <f t="shared" si="479"/>
        <v>CPP_7_3</v>
      </c>
    </row>
    <row r="3838" spans="1:22">
      <c r="A3838" t="str">
        <f t="shared" si="472"/>
        <v>NDE-8503-RT</v>
      </c>
      <c r="B3838" s="403" t="s">
        <v>1410</v>
      </c>
      <c r="C3838" s="403" t="s">
        <v>582</v>
      </c>
      <c r="D3838" s="403" t="s">
        <v>1414</v>
      </c>
      <c r="E3838" s="403" t="s">
        <v>1412</v>
      </c>
      <c r="F3838" s="403" t="s">
        <v>1382</v>
      </c>
      <c r="G3838" s="403" t="s">
        <v>1466</v>
      </c>
      <c r="H3838" s="403" t="s">
        <v>1281</v>
      </c>
      <c r="I3838" s="403">
        <v>1</v>
      </c>
      <c r="J3838" s="403" t="s">
        <v>109</v>
      </c>
      <c r="K3838" s="403">
        <v>1280</v>
      </c>
      <c r="L3838" s="403">
        <v>720</v>
      </c>
      <c r="M3838" s="403" t="s">
        <v>109</v>
      </c>
      <c r="N3838" s="403">
        <v>1280</v>
      </c>
      <c r="O3838" s="403">
        <v>720</v>
      </c>
      <c r="P3838" t="str">
        <f t="shared" si="473"/>
        <v>30fps 720p - 720p</v>
      </c>
      <c r="Q3838">
        <f t="shared" si="474"/>
        <v>20</v>
      </c>
      <c r="R3838" t="str">
        <f t="shared" si="475"/>
        <v/>
      </c>
      <c r="S3838" t="str">
        <f t="shared" si="476"/>
        <v/>
      </c>
      <c r="T3838" s="403" t="str">
        <f t="shared" si="477"/>
        <v>NDE-8503-RT</v>
      </c>
      <c r="U3838" s="403">
        <f t="shared" si="478"/>
        <v>1</v>
      </c>
      <c r="V3838" s="403" t="str">
        <f t="shared" si="479"/>
        <v>CPP_7_3</v>
      </c>
    </row>
    <row r="3839" spans="1:22">
      <c r="A3839" t="str">
        <f t="shared" si="472"/>
        <v>NDE-8503-RT</v>
      </c>
      <c r="B3839" s="403" t="s">
        <v>1410</v>
      </c>
      <c r="C3839" s="403" t="s">
        <v>582</v>
      </c>
      <c r="D3839" s="403" t="s">
        <v>1414</v>
      </c>
      <c r="E3839" s="403" t="s">
        <v>1412</v>
      </c>
      <c r="F3839" s="403" t="s">
        <v>1382</v>
      </c>
      <c r="G3839" s="403" t="s">
        <v>1466</v>
      </c>
      <c r="H3839" s="403" t="s">
        <v>1281</v>
      </c>
      <c r="I3839" s="403">
        <v>1</v>
      </c>
      <c r="J3839" s="403" t="s">
        <v>109</v>
      </c>
      <c r="K3839" s="403">
        <v>1280</v>
      </c>
      <c r="L3839" s="403">
        <v>720</v>
      </c>
      <c r="M3839" s="403" t="s">
        <v>111</v>
      </c>
      <c r="N3839" s="403">
        <v>768</v>
      </c>
      <c r="O3839" s="403">
        <v>432</v>
      </c>
      <c r="P3839" t="str">
        <f t="shared" si="473"/>
        <v>30fps 720p - SD</v>
      </c>
      <c r="Q3839">
        <f t="shared" si="474"/>
        <v>20</v>
      </c>
      <c r="R3839" t="str">
        <f t="shared" si="475"/>
        <v/>
      </c>
      <c r="S3839" t="str">
        <f t="shared" si="476"/>
        <v/>
      </c>
      <c r="T3839" s="403" t="str">
        <f t="shared" si="477"/>
        <v>NDE-8503-RT</v>
      </c>
      <c r="U3839" s="403">
        <f t="shared" si="478"/>
        <v>1</v>
      </c>
      <c r="V3839" s="403" t="str">
        <f t="shared" si="479"/>
        <v>CPP_7_3</v>
      </c>
    </row>
    <row r="3840" spans="1:22">
      <c r="A3840" t="str">
        <f t="shared" si="472"/>
        <v>NDE-8503-RT</v>
      </c>
      <c r="B3840" s="403" t="s">
        <v>1410</v>
      </c>
      <c r="C3840" s="403" t="s">
        <v>582</v>
      </c>
      <c r="D3840" s="403" t="s">
        <v>1414</v>
      </c>
      <c r="E3840" s="403" t="s">
        <v>1412</v>
      </c>
      <c r="F3840" s="403" t="s">
        <v>1382</v>
      </c>
      <c r="G3840" s="403" t="s">
        <v>1466</v>
      </c>
      <c r="H3840" s="403" t="s">
        <v>1281</v>
      </c>
      <c r="I3840" s="403">
        <v>1</v>
      </c>
      <c r="J3840" s="403" t="s">
        <v>109</v>
      </c>
      <c r="K3840" s="403">
        <v>1280</v>
      </c>
      <c r="L3840" s="403">
        <v>720</v>
      </c>
      <c r="M3840" s="403" t="s">
        <v>1279</v>
      </c>
      <c r="N3840" s="403">
        <v>768</v>
      </c>
      <c r="O3840" s="403">
        <v>432</v>
      </c>
      <c r="P3840" t="str">
        <f t="shared" si="473"/>
        <v>30fps 720p - SD ROI PTZ</v>
      </c>
      <c r="Q3840">
        <f t="shared" si="474"/>
        <v>20</v>
      </c>
      <c r="R3840" t="str">
        <f t="shared" si="475"/>
        <v/>
      </c>
      <c r="S3840" t="str">
        <f t="shared" si="476"/>
        <v/>
      </c>
      <c r="T3840" s="403" t="str">
        <f t="shared" si="477"/>
        <v>NDE-8503-RT</v>
      </c>
      <c r="U3840" s="403">
        <f t="shared" si="478"/>
        <v>1</v>
      </c>
      <c r="V3840" s="403" t="str">
        <f t="shared" si="479"/>
        <v>CPP_7_3</v>
      </c>
    </row>
    <row r="3841" spans="1:22">
      <c r="A3841" t="str">
        <f t="shared" si="472"/>
        <v>NDE-8503-RT</v>
      </c>
      <c r="B3841" s="403" t="s">
        <v>1410</v>
      </c>
      <c r="C3841" s="403" t="s">
        <v>582</v>
      </c>
      <c r="D3841" s="403" t="s">
        <v>1414</v>
      </c>
      <c r="E3841" s="403" t="s">
        <v>1412</v>
      </c>
      <c r="F3841" s="403" t="s">
        <v>1382</v>
      </c>
      <c r="G3841" s="403" t="s">
        <v>1466</v>
      </c>
      <c r="H3841" s="403" t="s">
        <v>1281</v>
      </c>
      <c r="I3841" s="403">
        <v>1</v>
      </c>
      <c r="J3841" s="403" t="s">
        <v>109</v>
      </c>
      <c r="K3841" s="403">
        <v>1280</v>
      </c>
      <c r="L3841" s="403">
        <v>720</v>
      </c>
      <c r="M3841" s="403" t="s">
        <v>1283</v>
      </c>
      <c r="N3841" s="403">
        <v>720</v>
      </c>
      <c r="O3841" s="403">
        <v>480</v>
      </c>
      <c r="P3841" t="str">
        <f t="shared" si="473"/>
        <v>30fps 720p - SD 4CIF resolution 4:3 format (cropped)</v>
      </c>
      <c r="Q3841">
        <f t="shared" si="474"/>
        <v>20</v>
      </c>
      <c r="R3841" t="str">
        <f t="shared" si="475"/>
        <v/>
      </c>
      <c r="S3841" t="str">
        <f t="shared" si="476"/>
        <v/>
      </c>
      <c r="T3841" s="403" t="str">
        <f t="shared" si="477"/>
        <v>NDE-8503-RT</v>
      </c>
      <c r="U3841" s="403">
        <f t="shared" si="478"/>
        <v>1</v>
      </c>
      <c r="V3841" s="403" t="str">
        <f t="shared" si="479"/>
        <v>CPP_7_3</v>
      </c>
    </row>
    <row r="3842" spans="1:22">
      <c r="A3842" t="str">
        <f t="shared" ref="A3842:A3905" si="480">IF(AND(G3842&lt;&gt;"rotate 90°"),D3842,"")</f>
        <v>NDE-8503-RT</v>
      </c>
      <c r="B3842" s="403" t="s">
        <v>1410</v>
      </c>
      <c r="C3842" s="403" t="s">
        <v>582</v>
      </c>
      <c r="D3842" s="403" t="s">
        <v>1414</v>
      </c>
      <c r="E3842" s="403" t="s">
        <v>1412</v>
      </c>
      <c r="F3842" s="403" t="s">
        <v>1382</v>
      </c>
      <c r="G3842" s="403" t="s">
        <v>1466</v>
      </c>
      <c r="H3842" s="403" t="s">
        <v>1281</v>
      </c>
      <c r="I3842" s="403">
        <v>1</v>
      </c>
      <c r="J3842" s="403" t="s">
        <v>109</v>
      </c>
      <c r="K3842" s="403">
        <v>1280</v>
      </c>
      <c r="L3842" s="403">
        <v>720</v>
      </c>
      <c r="M3842" s="403" t="s">
        <v>1284</v>
      </c>
      <c r="N3842" s="403">
        <v>640</v>
      </c>
      <c r="O3842" s="403">
        <v>480</v>
      </c>
      <c r="P3842" t="str">
        <f t="shared" ref="P3842:P3905" si="481">LEFT(F3842,5)&amp;" "&amp;J3842&amp;" - "&amp;M3842</f>
        <v>30fps 720p - SD VGA (cropped)</v>
      </c>
      <c r="Q3842">
        <f t="shared" ref="Q3842:Q3905" si="482">IF(A3841=A3842,Q3841,Q3841+1)</f>
        <v>20</v>
      </c>
      <c r="R3842" t="str">
        <f t="shared" ref="R3842:R3905" si="483">IF(Q3841&lt;&gt;Q3842,Q3842,"")</f>
        <v/>
      </c>
      <c r="S3842" t="str">
        <f t="shared" ref="S3842:S3905" si="484">IF(R3842&lt;&gt;"",B3842&amp;" ("&amp;D3842&amp;")","")</f>
        <v/>
      </c>
      <c r="T3842" s="403" t="str">
        <f t="shared" ref="T3842:T3905" si="485">D3842</f>
        <v>NDE-8503-RT</v>
      </c>
      <c r="U3842" s="403">
        <f t="shared" ref="U3842:U3905" si="486">I3842</f>
        <v>1</v>
      </c>
      <c r="V3842" s="403" t="str">
        <f t="shared" ref="V3842:V3905" si="487">C3842</f>
        <v>CPP_7_3</v>
      </c>
    </row>
    <row r="3843" spans="1:22">
      <c r="A3843" t="str">
        <f t="shared" si="480"/>
        <v>NDE-8503-RT</v>
      </c>
      <c r="B3843" s="403" t="s">
        <v>1410</v>
      </c>
      <c r="C3843" s="403" t="s">
        <v>582</v>
      </c>
      <c r="D3843" s="403" t="s">
        <v>1414</v>
      </c>
      <c r="E3843" s="403" t="s">
        <v>1412</v>
      </c>
      <c r="F3843" s="403" t="s">
        <v>1385</v>
      </c>
      <c r="G3843" s="403" t="s">
        <v>1466</v>
      </c>
      <c r="H3843" s="403" t="s">
        <v>1276</v>
      </c>
      <c r="I3843" s="403">
        <v>1</v>
      </c>
      <c r="J3843" s="403" t="s">
        <v>1376</v>
      </c>
      <c r="K3843" s="403">
        <v>3072</v>
      </c>
      <c r="L3843" s="403">
        <v>1728</v>
      </c>
      <c r="M3843" s="403" t="s">
        <v>111</v>
      </c>
      <c r="N3843" s="403">
        <v>768</v>
      </c>
      <c r="O3843" s="403">
        <v>432</v>
      </c>
      <c r="P3843" t="str">
        <f t="shared" si="481"/>
        <v>25fps 3072x1728 - SD</v>
      </c>
      <c r="Q3843">
        <f t="shared" si="482"/>
        <v>20</v>
      </c>
      <c r="R3843" t="str">
        <f t="shared" si="483"/>
        <v/>
      </c>
      <c r="S3843" t="str">
        <f t="shared" si="484"/>
        <v/>
      </c>
      <c r="T3843" s="403" t="str">
        <f t="shared" si="485"/>
        <v>NDE-8503-RT</v>
      </c>
      <c r="U3843" s="403">
        <f t="shared" si="486"/>
        <v>1</v>
      </c>
      <c r="V3843" s="403" t="str">
        <f t="shared" si="487"/>
        <v>CPP_7_3</v>
      </c>
    </row>
    <row r="3844" spans="1:22">
      <c r="A3844" t="str">
        <f t="shared" si="480"/>
        <v>NDE-8503-RT</v>
      </c>
      <c r="B3844" s="403" t="s">
        <v>1410</v>
      </c>
      <c r="C3844" s="403" t="s">
        <v>582</v>
      </c>
      <c r="D3844" s="403" t="s">
        <v>1414</v>
      </c>
      <c r="E3844" s="403" t="s">
        <v>1412</v>
      </c>
      <c r="F3844" s="403" t="s">
        <v>1385</v>
      </c>
      <c r="G3844" s="403" t="s">
        <v>1466</v>
      </c>
      <c r="H3844" s="403" t="s">
        <v>1276</v>
      </c>
      <c r="I3844" s="403">
        <v>1</v>
      </c>
      <c r="J3844" s="403" t="s">
        <v>1376</v>
      </c>
      <c r="K3844" s="403">
        <v>3072</v>
      </c>
      <c r="L3844" s="403">
        <v>1728</v>
      </c>
      <c r="M3844" s="403" t="s">
        <v>1600</v>
      </c>
      <c r="N3844" s="403">
        <v>3072</v>
      </c>
      <c r="O3844" s="403">
        <v>1728</v>
      </c>
      <c r="P3844" t="str">
        <f t="shared" si="481"/>
        <v>25fps 3072x1728 - 3072x1728 @ SKIP2</v>
      </c>
      <c r="Q3844">
        <f t="shared" si="482"/>
        <v>20</v>
      </c>
      <c r="R3844" t="str">
        <f t="shared" si="483"/>
        <v/>
      </c>
      <c r="S3844" t="str">
        <f t="shared" si="484"/>
        <v/>
      </c>
      <c r="T3844" s="403" t="str">
        <f t="shared" si="485"/>
        <v>NDE-8503-RT</v>
      </c>
      <c r="U3844" s="403">
        <f t="shared" si="486"/>
        <v>1</v>
      </c>
      <c r="V3844" s="403" t="str">
        <f t="shared" si="487"/>
        <v>CPP_7_3</v>
      </c>
    </row>
    <row r="3845" spans="1:22">
      <c r="A3845" t="str">
        <f t="shared" si="480"/>
        <v>NDE-8503-RT</v>
      </c>
      <c r="B3845" s="403" t="s">
        <v>1410</v>
      </c>
      <c r="C3845" s="403" t="s">
        <v>582</v>
      </c>
      <c r="D3845" s="403" t="s">
        <v>1414</v>
      </c>
      <c r="E3845" s="403" t="s">
        <v>1412</v>
      </c>
      <c r="F3845" s="403" t="s">
        <v>1385</v>
      </c>
      <c r="G3845" s="403" t="s">
        <v>1466</v>
      </c>
      <c r="H3845" s="403" t="s">
        <v>1276</v>
      </c>
      <c r="I3845" s="403">
        <v>1</v>
      </c>
      <c r="J3845" s="403" t="s">
        <v>1376</v>
      </c>
      <c r="K3845" s="403">
        <v>3072</v>
      </c>
      <c r="L3845" s="403">
        <v>1728</v>
      </c>
      <c r="M3845" s="403" t="s">
        <v>1280</v>
      </c>
      <c r="N3845" s="403">
        <v>3072</v>
      </c>
      <c r="O3845" s="403">
        <v>1728</v>
      </c>
      <c r="P3845" t="str">
        <f t="shared" si="481"/>
        <v>25fps 3072x1728 - copy other stream</v>
      </c>
      <c r="Q3845">
        <f t="shared" si="482"/>
        <v>20</v>
      </c>
      <c r="R3845" t="str">
        <f t="shared" si="483"/>
        <v/>
      </c>
      <c r="S3845" t="str">
        <f t="shared" si="484"/>
        <v/>
      </c>
      <c r="T3845" s="403" t="str">
        <f t="shared" si="485"/>
        <v>NDE-8503-RT</v>
      </c>
      <c r="U3845" s="403">
        <f t="shared" si="486"/>
        <v>1</v>
      </c>
      <c r="V3845" s="403" t="str">
        <f t="shared" si="487"/>
        <v>CPP_7_3</v>
      </c>
    </row>
    <row r="3846" spans="1:22">
      <c r="A3846" t="str">
        <f t="shared" si="480"/>
        <v>NDE-8503-RT</v>
      </c>
      <c r="B3846" s="403" t="s">
        <v>1410</v>
      </c>
      <c r="C3846" s="403" t="s">
        <v>582</v>
      </c>
      <c r="D3846" s="403" t="s">
        <v>1414</v>
      </c>
      <c r="E3846" s="403" t="s">
        <v>1412</v>
      </c>
      <c r="F3846" s="403" t="s">
        <v>1385</v>
      </c>
      <c r="G3846" s="403" t="s">
        <v>1466</v>
      </c>
      <c r="H3846" s="403" t="s">
        <v>1276</v>
      </c>
      <c r="I3846" s="403">
        <v>1</v>
      </c>
      <c r="J3846" s="403" t="s">
        <v>1376</v>
      </c>
      <c r="K3846" s="403">
        <v>3072</v>
      </c>
      <c r="L3846" s="403">
        <v>1728</v>
      </c>
      <c r="M3846" s="403" t="s">
        <v>110</v>
      </c>
      <c r="N3846" s="403">
        <v>1920</v>
      </c>
      <c r="O3846" s="403">
        <v>1080</v>
      </c>
      <c r="P3846" t="str">
        <f t="shared" si="481"/>
        <v>25fps 3072x1728 - 1080p</v>
      </c>
      <c r="Q3846">
        <f t="shared" si="482"/>
        <v>20</v>
      </c>
      <c r="R3846" t="str">
        <f t="shared" si="483"/>
        <v/>
      </c>
      <c r="S3846" t="str">
        <f t="shared" si="484"/>
        <v/>
      </c>
      <c r="T3846" s="403" t="str">
        <f t="shared" si="485"/>
        <v>NDE-8503-RT</v>
      </c>
      <c r="U3846" s="403">
        <f t="shared" si="486"/>
        <v>1</v>
      </c>
      <c r="V3846" s="403" t="str">
        <f t="shared" si="487"/>
        <v>CPP_7_3</v>
      </c>
    </row>
    <row r="3847" spans="1:22">
      <c r="A3847" t="str">
        <f t="shared" si="480"/>
        <v>NDE-8503-RT</v>
      </c>
      <c r="B3847" s="403" t="s">
        <v>1410</v>
      </c>
      <c r="C3847" s="403" t="s">
        <v>582</v>
      </c>
      <c r="D3847" s="403" t="s">
        <v>1414</v>
      </c>
      <c r="E3847" s="403" t="s">
        <v>1412</v>
      </c>
      <c r="F3847" s="403" t="s">
        <v>1385</v>
      </c>
      <c r="G3847" s="403" t="s">
        <v>1466</v>
      </c>
      <c r="H3847" s="403" t="s">
        <v>1276</v>
      </c>
      <c r="I3847" s="403">
        <v>1</v>
      </c>
      <c r="J3847" s="403" t="s">
        <v>1376</v>
      </c>
      <c r="K3847" s="403">
        <v>3072</v>
      </c>
      <c r="L3847" s="403">
        <v>1728</v>
      </c>
      <c r="M3847" s="403" t="s">
        <v>109</v>
      </c>
      <c r="N3847" s="403">
        <v>1280</v>
      </c>
      <c r="O3847" s="403">
        <v>720</v>
      </c>
      <c r="P3847" t="str">
        <f t="shared" si="481"/>
        <v>25fps 3072x1728 - 720p</v>
      </c>
      <c r="Q3847">
        <f t="shared" si="482"/>
        <v>20</v>
      </c>
      <c r="R3847" t="str">
        <f t="shared" si="483"/>
        <v/>
      </c>
      <c r="S3847" t="str">
        <f t="shared" si="484"/>
        <v/>
      </c>
      <c r="T3847" s="403" t="str">
        <f t="shared" si="485"/>
        <v>NDE-8503-RT</v>
      </c>
      <c r="U3847" s="403">
        <f t="shared" si="486"/>
        <v>1</v>
      </c>
      <c r="V3847" s="403" t="str">
        <f t="shared" si="487"/>
        <v>CPP_7_3</v>
      </c>
    </row>
    <row r="3848" spans="1:22">
      <c r="A3848" t="str">
        <f t="shared" si="480"/>
        <v>NDE-8503-RT</v>
      </c>
      <c r="B3848" s="403" t="s">
        <v>1410</v>
      </c>
      <c r="C3848" s="403" t="s">
        <v>582</v>
      </c>
      <c r="D3848" s="403" t="s">
        <v>1414</v>
      </c>
      <c r="E3848" s="403" t="s">
        <v>1412</v>
      </c>
      <c r="F3848" s="403" t="s">
        <v>1385</v>
      </c>
      <c r="G3848" s="403" t="s">
        <v>1466</v>
      </c>
      <c r="H3848" s="403" t="s">
        <v>1276</v>
      </c>
      <c r="I3848" s="403">
        <v>1</v>
      </c>
      <c r="J3848" s="403" t="s">
        <v>1376</v>
      </c>
      <c r="K3848" s="403">
        <v>3072</v>
      </c>
      <c r="L3848" s="403">
        <v>1728</v>
      </c>
      <c r="M3848" s="403" t="s">
        <v>1283</v>
      </c>
      <c r="N3848" s="403">
        <v>720</v>
      </c>
      <c r="O3848" s="403">
        <v>576</v>
      </c>
      <c r="P3848" t="str">
        <f t="shared" si="481"/>
        <v>25fps 3072x1728 - SD 4CIF resolution 4:3 format (cropped)</v>
      </c>
      <c r="Q3848">
        <f t="shared" si="482"/>
        <v>20</v>
      </c>
      <c r="R3848" t="str">
        <f t="shared" si="483"/>
        <v/>
      </c>
      <c r="S3848" t="str">
        <f t="shared" si="484"/>
        <v/>
      </c>
      <c r="T3848" s="403" t="str">
        <f t="shared" si="485"/>
        <v>NDE-8503-RT</v>
      </c>
      <c r="U3848" s="403">
        <f t="shared" si="486"/>
        <v>1</v>
      </c>
      <c r="V3848" s="403" t="str">
        <f t="shared" si="487"/>
        <v>CPP_7_3</v>
      </c>
    </row>
    <row r="3849" spans="1:22">
      <c r="A3849" t="str">
        <f t="shared" si="480"/>
        <v>NDE-8503-RT</v>
      </c>
      <c r="B3849" s="403" t="s">
        <v>1410</v>
      </c>
      <c r="C3849" s="403" t="s">
        <v>582</v>
      </c>
      <c r="D3849" s="403" t="s">
        <v>1414</v>
      </c>
      <c r="E3849" s="403" t="s">
        <v>1412</v>
      </c>
      <c r="F3849" s="403" t="s">
        <v>1385</v>
      </c>
      <c r="G3849" s="403" t="s">
        <v>1466</v>
      </c>
      <c r="H3849" s="403" t="s">
        <v>1276</v>
      </c>
      <c r="I3849" s="403">
        <v>1</v>
      </c>
      <c r="J3849" s="403" t="s">
        <v>1376</v>
      </c>
      <c r="K3849" s="403">
        <v>3072</v>
      </c>
      <c r="L3849" s="403">
        <v>1728</v>
      </c>
      <c r="M3849" s="403" t="s">
        <v>1279</v>
      </c>
      <c r="N3849" s="403">
        <v>768</v>
      </c>
      <c r="O3849" s="403">
        <v>432</v>
      </c>
      <c r="P3849" t="str">
        <f t="shared" si="481"/>
        <v>25fps 3072x1728 - SD ROI PTZ</v>
      </c>
      <c r="Q3849">
        <f t="shared" si="482"/>
        <v>20</v>
      </c>
      <c r="R3849" t="str">
        <f t="shared" si="483"/>
        <v/>
      </c>
      <c r="S3849" t="str">
        <f t="shared" si="484"/>
        <v/>
      </c>
      <c r="T3849" s="403" t="str">
        <f t="shared" si="485"/>
        <v>NDE-8503-RT</v>
      </c>
      <c r="U3849" s="403">
        <f t="shared" si="486"/>
        <v>1</v>
      </c>
      <c r="V3849" s="403" t="str">
        <f t="shared" si="487"/>
        <v>CPP_7_3</v>
      </c>
    </row>
    <row r="3850" spans="1:22">
      <c r="A3850" t="str">
        <f t="shared" si="480"/>
        <v>NDE-8503-RT</v>
      </c>
      <c r="B3850" s="403" t="s">
        <v>1410</v>
      </c>
      <c r="C3850" s="403" t="s">
        <v>582</v>
      </c>
      <c r="D3850" s="403" t="s">
        <v>1414</v>
      </c>
      <c r="E3850" s="403" t="s">
        <v>1412</v>
      </c>
      <c r="F3850" s="403" t="s">
        <v>1385</v>
      </c>
      <c r="G3850" s="403" t="s">
        <v>1466</v>
      </c>
      <c r="H3850" s="403" t="s">
        <v>1276</v>
      </c>
      <c r="I3850" s="403">
        <v>1</v>
      </c>
      <c r="J3850" s="403" t="s">
        <v>1376</v>
      </c>
      <c r="K3850" s="403">
        <v>3072</v>
      </c>
      <c r="L3850" s="403">
        <v>1728</v>
      </c>
      <c r="M3850" s="403" t="s">
        <v>1284</v>
      </c>
      <c r="N3850" s="403">
        <v>640</v>
      </c>
      <c r="O3850" s="403">
        <v>480</v>
      </c>
      <c r="P3850" t="str">
        <f t="shared" si="481"/>
        <v>25fps 3072x1728 - SD VGA (cropped)</v>
      </c>
      <c r="Q3850">
        <f t="shared" si="482"/>
        <v>20</v>
      </c>
      <c r="R3850" t="str">
        <f t="shared" si="483"/>
        <v/>
      </c>
      <c r="S3850" t="str">
        <f t="shared" si="484"/>
        <v/>
      </c>
      <c r="T3850" s="403" t="str">
        <f t="shared" si="485"/>
        <v>NDE-8503-RT</v>
      </c>
      <c r="U3850" s="403">
        <f t="shared" si="486"/>
        <v>1</v>
      </c>
      <c r="V3850" s="403" t="str">
        <f t="shared" si="487"/>
        <v>CPP_7_3</v>
      </c>
    </row>
    <row r="3851" spans="1:22">
      <c r="A3851" t="str">
        <f t="shared" si="480"/>
        <v>NDE-8503-RT</v>
      </c>
      <c r="B3851" s="403" t="s">
        <v>1410</v>
      </c>
      <c r="C3851" s="403" t="s">
        <v>582</v>
      </c>
      <c r="D3851" s="403" t="s">
        <v>1414</v>
      </c>
      <c r="E3851" s="403" t="s">
        <v>1412</v>
      </c>
      <c r="F3851" s="403" t="s">
        <v>1385</v>
      </c>
      <c r="G3851" s="403" t="s">
        <v>1466</v>
      </c>
      <c r="H3851" s="403" t="s">
        <v>1276</v>
      </c>
      <c r="I3851" s="403">
        <v>1</v>
      </c>
      <c r="J3851" s="403" t="s">
        <v>1376</v>
      </c>
      <c r="K3851" s="403">
        <v>3072</v>
      </c>
      <c r="L3851" s="403">
        <v>1728</v>
      </c>
      <c r="M3851" s="403" t="s">
        <v>1285</v>
      </c>
      <c r="N3851" s="403">
        <v>1280</v>
      </c>
      <c r="O3851" s="403">
        <v>1024</v>
      </c>
      <c r="P3851" t="str">
        <f t="shared" si="481"/>
        <v>25fps 3072x1728 - 1280x1024 5:4 (cropped)</v>
      </c>
      <c r="Q3851">
        <f t="shared" si="482"/>
        <v>20</v>
      </c>
      <c r="R3851" t="str">
        <f t="shared" si="483"/>
        <v/>
      </c>
      <c r="S3851" t="str">
        <f t="shared" si="484"/>
        <v/>
      </c>
      <c r="T3851" s="403" t="str">
        <f t="shared" si="485"/>
        <v>NDE-8503-RT</v>
      </c>
      <c r="U3851" s="403">
        <f t="shared" si="486"/>
        <v>1</v>
      </c>
      <c r="V3851" s="403" t="str">
        <f t="shared" si="487"/>
        <v>CPP_7_3</v>
      </c>
    </row>
    <row r="3852" spans="1:22">
      <c r="A3852" t="str">
        <f t="shared" si="480"/>
        <v>NDE-8503-RT</v>
      </c>
      <c r="B3852" s="403" t="s">
        <v>1410</v>
      </c>
      <c r="C3852" s="403" t="s">
        <v>582</v>
      </c>
      <c r="D3852" s="403" t="s">
        <v>1414</v>
      </c>
      <c r="E3852" s="403" t="s">
        <v>1412</v>
      </c>
      <c r="F3852" s="403" t="s">
        <v>1385</v>
      </c>
      <c r="G3852" s="403" t="s">
        <v>1466</v>
      </c>
      <c r="H3852" s="403" t="s">
        <v>1276</v>
      </c>
      <c r="I3852" s="403">
        <v>1</v>
      </c>
      <c r="J3852" s="403" t="s">
        <v>1376</v>
      </c>
      <c r="K3852" s="403">
        <v>3072</v>
      </c>
      <c r="L3852" s="403">
        <v>1728</v>
      </c>
      <c r="M3852" s="403" t="s">
        <v>1383</v>
      </c>
      <c r="N3852" s="403">
        <v>1920</v>
      </c>
      <c r="O3852" s="403">
        <v>1440</v>
      </c>
      <c r="P3852" t="str">
        <f t="shared" si="481"/>
        <v>25fps 3072x1728 - 1920x1440_CROP</v>
      </c>
      <c r="Q3852">
        <f t="shared" si="482"/>
        <v>20</v>
      </c>
      <c r="R3852" t="str">
        <f t="shared" si="483"/>
        <v/>
      </c>
      <c r="S3852" t="str">
        <f t="shared" si="484"/>
        <v/>
      </c>
      <c r="T3852" s="403" t="str">
        <f t="shared" si="485"/>
        <v>NDE-8503-RT</v>
      </c>
      <c r="U3852" s="403">
        <f t="shared" si="486"/>
        <v>1</v>
      </c>
      <c r="V3852" s="403" t="str">
        <f t="shared" si="487"/>
        <v>CPP_7_3</v>
      </c>
    </row>
    <row r="3853" spans="1:22">
      <c r="A3853" t="str">
        <f t="shared" si="480"/>
        <v>NDE-8503-RT</v>
      </c>
      <c r="B3853" s="403" t="s">
        <v>1410</v>
      </c>
      <c r="C3853" s="403" t="s">
        <v>582</v>
      </c>
      <c r="D3853" s="403" t="s">
        <v>1414</v>
      </c>
      <c r="E3853" s="403" t="s">
        <v>1412</v>
      </c>
      <c r="F3853" s="403" t="s">
        <v>1385</v>
      </c>
      <c r="G3853" s="403" t="s">
        <v>1466</v>
      </c>
      <c r="H3853" s="403" t="s">
        <v>1276</v>
      </c>
      <c r="I3853" s="403">
        <v>1</v>
      </c>
      <c r="J3853" s="403" t="s">
        <v>1373</v>
      </c>
      <c r="K3853" s="403">
        <v>2688</v>
      </c>
      <c r="L3853" s="403">
        <v>1512</v>
      </c>
      <c r="M3853" s="403" t="s">
        <v>110</v>
      </c>
      <c r="N3853" s="403">
        <v>1920</v>
      </c>
      <c r="O3853" s="403">
        <v>1080</v>
      </c>
      <c r="P3853" t="str">
        <f t="shared" si="481"/>
        <v>25fps 2688x1512 - 1080p</v>
      </c>
      <c r="Q3853">
        <f t="shared" si="482"/>
        <v>20</v>
      </c>
      <c r="R3853" t="str">
        <f t="shared" si="483"/>
        <v/>
      </c>
      <c r="S3853" t="str">
        <f t="shared" si="484"/>
        <v/>
      </c>
      <c r="T3853" s="403" t="str">
        <f t="shared" si="485"/>
        <v>NDE-8503-RT</v>
      </c>
      <c r="U3853" s="403">
        <f t="shared" si="486"/>
        <v>1</v>
      </c>
      <c r="V3853" s="403" t="str">
        <f t="shared" si="487"/>
        <v>CPP_7_3</v>
      </c>
    </row>
    <row r="3854" spans="1:22">
      <c r="A3854" t="str">
        <f t="shared" si="480"/>
        <v>NDE-8503-RT</v>
      </c>
      <c r="B3854" s="403" t="s">
        <v>1410</v>
      </c>
      <c r="C3854" s="403" t="s">
        <v>582</v>
      </c>
      <c r="D3854" s="403" t="s">
        <v>1414</v>
      </c>
      <c r="E3854" s="403" t="s">
        <v>1412</v>
      </c>
      <c r="F3854" s="403" t="s">
        <v>1385</v>
      </c>
      <c r="G3854" s="403" t="s">
        <v>1466</v>
      </c>
      <c r="H3854" s="403" t="s">
        <v>1276</v>
      </c>
      <c r="I3854" s="403">
        <v>1</v>
      </c>
      <c r="J3854" s="403" t="s">
        <v>1373</v>
      </c>
      <c r="K3854" s="403">
        <v>2688</v>
      </c>
      <c r="L3854" s="403">
        <v>1512</v>
      </c>
      <c r="M3854" s="403" t="s">
        <v>1384</v>
      </c>
      <c r="N3854" s="403">
        <v>2688</v>
      </c>
      <c r="O3854" s="403">
        <v>1512</v>
      </c>
      <c r="P3854" t="str">
        <f t="shared" si="481"/>
        <v>25fps 2688x1512 - 2688x1512 @ SKIP 2</v>
      </c>
      <c r="Q3854">
        <f t="shared" si="482"/>
        <v>20</v>
      </c>
      <c r="R3854" t="str">
        <f t="shared" si="483"/>
        <v/>
      </c>
      <c r="S3854" t="str">
        <f t="shared" si="484"/>
        <v/>
      </c>
      <c r="T3854" s="403" t="str">
        <f t="shared" si="485"/>
        <v>NDE-8503-RT</v>
      </c>
      <c r="U3854" s="403">
        <f t="shared" si="486"/>
        <v>1</v>
      </c>
      <c r="V3854" s="403" t="str">
        <f t="shared" si="487"/>
        <v>CPP_7_3</v>
      </c>
    </row>
    <row r="3855" spans="1:22">
      <c r="A3855" t="str">
        <f t="shared" si="480"/>
        <v>NDE-8503-RT</v>
      </c>
      <c r="B3855" s="403" t="s">
        <v>1410</v>
      </c>
      <c r="C3855" s="403" t="s">
        <v>582</v>
      </c>
      <c r="D3855" s="403" t="s">
        <v>1414</v>
      </c>
      <c r="E3855" s="403" t="s">
        <v>1412</v>
      </c>
      <c r="F3855" s="403" t="s">
        <v>1385</v>
      </c>
      <c r="G3855" s="403" t="s">
        <v>1466</v>
      </c>
      <c r="H3855" s="403" t="s">
        <v>1276</v>
      </c>
      <c r="I3855" s="403">
        <v>1</v>
      </c>
      <c r="J3855" s="403" t="s">
        <v>1373</v>
      </c>
      <c r="K3855" s="403">
        <v>2688</v>
      </c>
      <c r="L3855" s="403">
        <v>1512</v>
      </c>
      <c r="M3855" s="403" t="s">
        <v>109</v>
      </c>
      <c r="N3855" s="403">
        <v>1280</v>
      </c>
      <c r="O3855" s="403">
        <v>720</v>
      </c>
      <c r="P3855" t="str">
        <f t="shared" si="481"/>
        <v>25fps 2688x1512 - 720p</v>
      </c>
      <c r="Q3855">
        <f t="shared" si="482"/>
        <v>20</v>
      </c>
      <c r="R3855" t="str">
        <f t="shared" si="483"/>
        <v/>
      </c>
      <c r="S3855" t="str">
        <f t="shared" si="484"/>
        <v/>
      </c>
      <c r="T3855" s="403" t="str">
        <f t="shared" si="485"/>
        <v>NDE-8503-RT</v>
      </c>
      <c r="U3855" s="403">
        <f t="shared" si="486"/>
        <v>1</v>
      </c>
      <c r="V3855" s="403" t="str">
        <f t="shared" si="487"/>
        <v>CPP_7_3</v>
      </c>
    </row>
    <row r="3856" spans="1:22">
      <c r="A3856" t="str">
        <f t="shared" si="480"/>
        <v>NDE-8503-RT</v>
      </c>
      <c r="B3856" s="403" t="s">
        <v>1410</v>
      </c>
      <c r="C3856" s="403" t="s">
        <v>582</v>
      </c>
      <c r="D3856" s="403" t="s">
        <v>1414</v>
      </c>
      <c r="E3856" s="403" t="s">
        <v>1412</v>
      </c>
      <c r="F3856" s="403" t="s">
        <v>1385</v>
      </c>
      <c r="G3856" s="403" t="s">
        <v>1466</v>
      </c>
      <c r="H3856" s="403" t="s">
        <v>1276</v>
      </c>
      <c r="I3856" s="403">
        <v>1</v>
      </c>
      <c r="J3856" s="403" t="s">
        <v>1373</v>
      </c>
      <c r="K3856" s="403">
        <v>2688</v>
      </c>
      <c r="L3856" s="403">
        <v>1512</v>
      </c>
      <c r="M3856" s="403" t="s">
        <v>111</v>
      </c>
      <c r="N3856" s="403">
        <v>768</v>
      </c>
      <c r="O3856" s="403">
        <v>432</v>
      </c>
      <c r="P3856" t="str">
        <f t="shared" si="481"/>
        <v>25fps 2688x1512 - SD</v>
      </c>
      <c r="Q3856">
        <f t="shared" si="482"/>
        <v>20</v>
      </c>
      <c r="R3856" t="str">
        <f t="shared" si="483"/>
        <v/>
      </c>
      <c r="S3856" t="str">
        <f t="shared" si="484"/>
        <v/>
      </c>
      <c r="T3856" s="403" t="str">
        <f t="shared" si="485"/>
        <v>NDE-8503-RT</v>
      </c>
      <c r="U3856" s="403">
        <f t="shared" si="486"/>
        <v>1</v>
      </c>
      <c r="V3856" s="403" t="str">
        <f t="shared" si="487"/>
        <v>CPP_7_3</v>
      </c>
    </row>
    <row r="3857" spans="1:22">
      <c r="A3857" t="str">
        <f t="shared" si="480"/>
        <v>NDE-8503-RT</v>
      </c>
      <c r="B3857" s="403" t="s">
        <v>1410</v>
      </c>
      <c r="C3857" s="403" t="s">
        <v>582</v>
      </c>
      <c r="D3857" s="403" t="s">
        <v>1414</v>
      </c>
      <c r="E3857" s="403" t="s">
        <v>1412</v>
      </c>
      <c r="F3857" s="403" t="s">
        <v>1385</v>
      </c>
      <c r="G3857" s="403" t="s">
        <v>1466</v>
      </c>
      <c r="H3857" s="403" t="s">
        <v>1276</v>
      </c>
      <c r="I3857" s="403">
        <v>1</v>
      </c>
      <c r="J3857" s="403" t="s">
        <v>1373</v>
      </c>
      <c r="K3857" s="403">
        <v>2688</v>
      </c>
      <c r="L3857" s="403">
        <v>1512</v>
      </c>
      <c r="M3857" s="403" t="s">
        <v>1279</v>
      </c>
      <c r="N3857" s="403">
        <v>768</v>
      </c>
      <c r="O3857" s="403">
        <v>432</v>
      </c>
      <c r="P3857" t="str">
        <f t="shared" si="481"/>
        <v>25fps 2688x1512 - SD ROI PTZ</v>
      </c>
      <c r="Q3857">
        <f t="shared" si="482"/>
        <v>20</v>
      </c>
      <c r="R3857" t="str">
        <f t="shared" si="483"/>
        <v/>
      </c>
      <c r="S3857" t="str">
        <f t="shared" si="484"/>
        <v/>
      </c>
      <c r="T3857" s="403" t="str">
        <f t="shared" si="485"/>
        <v>NDE-8503-RT</v>
      </c>
      <c r="U3857" s="403">
        <f t="shared" si="486"/>
        <v>1</v>
      </c>
      <c r="V3857" s="403" t="str">
        <f t="shared" si="487"/>
        <v>CPP_7_3</v>
      </c>
    </row>
    <row r="3858" spans="1:22">
      <c r="A3858" t="str">
        <f t="shared" si="480"/>
        <v>NDE-8503-RT</v>
      </c>
      <c r="B3858" s="403" t="s">
        <v>1410</v>
      </c>
      <c r="C3858" s="403" t="s">
        <v>582</v>
      </c>
      <c r="D3858" s="403" t="s">
        <v>1414</v>
      </c>
      <c r="E3858" s="403" t="s">
        <v>1412</v>
      </c>
      <c r="F3858" s="403" t="s">
        <v>1385</v>
      </c>
      <c r="G3858" s="403" t="s">
        <v>1466</v>
      </c>
      <c r="H3858" s="403" t="s">
        <v>1276</v>
      </c>
      <c r="I3858" s="403">
        <v>1</v>
      </c>
      <c r="J3858" s="403" t="s">
        <v>1373</v>
      </c>
      <c r="K3858" s="403">
        <v>2688</v>
      </c>
      <c r="L3858" s="403">
        <v>1512</v>
      </c>
      <c r="M3858" s="403" t="s">
        <v>1285</v>
      </c>
      <c r="N3858" s="403">
        <v>1280</v>
      </c>
      <c r="O3858" s="403">
        <v>1024</v>
      </c>
      <c r="P3858" t="str">
        <f t="shared" si="481"/>
        <v>25fps 2688x1512 - 1280x1024 5:4 (cropped)</v>
      </c>
      <c r="Q3858">
        <f t="shared" si="482"/>
        <v>20</v>
      </c>
      <c r="R3858" t="str">
        <f t="shared" si="483"/>
        <v/>
      </c>
      <c r="S3858" t="str">
        <f t="shared" si="484"/>
        <v/>
      </c>
      <c r="T3858" s="403" t="str">
        <f t="shared" si="485"/>
        <v>NDE-8503-RT</v>
      </c>
      <c r="U3858" s="403">
        <f t="shared" si="486"/>
        <v>1</v>
      </c>
      <c r="V3858" s="403" t="str">
        <f t="shared" si="487"/>
        <v>CPP_7_3</v>
      </c>
    </row>
    <row r="3859" spans="1:22">
      <c r="A3859" t="str">
        <f t="shared" si="480"/>
        <v>NDE-8503-RT</v>
      </c>
      <c r="B3859" s="403" t="s">
        <v>1410</v>
      </c>
      <c r="C3859" s="403" t="s">
        <v>582</v>
      </c>
      <c r="D3859" s="403" t="s">
        <v>1414</v>
      </c>
      <c r="E3859" s="403" t="s">
        <v>1412</v>
      </c>
      <c r="F3859" s="403" t="s">
        <v>1385</v>
      </c>
      <c r="G3859" s="403" t="s">
        <v>1466</v>
      </c>
      <c r="H3859" s="403" t="s">
        <v>1276</v>
      </c>
      <c r="I3859" s="403">
        <v>1</v>
      </c>
      <c r="J3859" s="403" t="s">
        <v>1373</v>
      </c>
      <c r="K3859" s="403">
        <v>2688</v>
      </c>
      <c r="L3859" s="403">
        <v>1512</v>
      </c>
      <c r="M3859" s="403" t="s">
        <v>1283</v>
      </c>
      <c r="N3859" s="403">
        <v>720</v>
      </c>
      <c r="O3859" s="403">
        <v>576</v>
      </c>
      <c r="P3859" t="str">
        <f t="shared" si="481"/>
        <v>25fps 2688x1512 - SD 4CIF resolution 4:3 format (cropped)</v>
      </c>
      <c r="Q3859">
        <f t="shared" si="482"/>
        <v>20</v>
      </c>
      <c r="R3859" t="str">
        <f t="shared" si="483"/>
        <v/>
      </c>
      <c r="S3859" t="str">
        <f t="shared" si="484"/>
        <v/>
      </c>
      <c r="T3859" s="403" t="str">
        <f t="shared" si="485"/>
        <v>NDE-8503-RT</v>
      </c>
      <c r="U3859" s="403">
        <f t="shared" si="486"/>
        <v>1</v>
      </c>
      <c r="V3859" s="403" t="str">
        <f t="shared" si="487"/>
        <v>CPP_7_3</v>
      </c>
    </row>
    <row r="3860" spans="1:22">
      <c r="A3860" t="str">
        <f t="shared" si="480"/>
        <v>NDE-8503-RT</v>
      </c>
      <c r="B3860" s="403" t="s">
        <v>1410</v>
      </c>
      <c r="C3860" s="403" t="s">
        <v>582</v>
      </c>
      <c r="D3860" s="403" t="s">
        <v>1414</v>
      </c>
      <c r="E3860" s="403" t="s">
        <v>1412</v>
      </c>
      <c r="F3860" s="403" t="s">
        <v>1385</v>
      </c>
      <c r="G3860" s="403" t="s">
        <v>1466</v>
      </c>
      <c r="H3860" s="403" t="s">
        <v>1276</v>
      </c>
      <c r="I3860" s="403">
        <v>1</v>
      </c>
      <c r="J3860" s="403" t="s">
        <v>1373</v>
      </c>
      <c r="K3860" s="403">
        <v>2688</v>
      </c>
      <c r="L3860" s="403">
        <v>1512</v>
      </c>
      <c r="M3860" s="403" t="s">
        <v>1284</v>
      </c>
      <c r="N3860" s="403">
        <v>640</v>
      </c>
      <c r="O3860" s="403">
        <v>480</v>
      </c>
      <c r="P3860" t="str">
        <f t="shared" si="481"/>
        <v>25fps 2688x1512 - SD VGA (cropped)</v>
      </c>
      <c r="Q3860">
        <f t="shared" si="482"/>
        <v>20</v>
      </c>
      <c r="R3860" t="str">
        <f t="shared" si="483"/>
        <v/>
      </c>
      <c r="S3860" t="str">
        <f t="shared" si="484"/>
        <v/>
      </c>
      <c r="T3860" s="403" t="str">
        <f t="shared" si="485"/>
        <v>NDE-8503-RT</v>
      </c>
      <c r="U3860" s="403">
        <f t="shared" si="486"/>
        <v>1</v>
      </c>
      <c r="V3860" s="403" t="str">
        <f t="shared" si="487"/>
        <v>CPP_7_3</v>
      </c>
    </row>
    <row r="3861" spans="1:22">
      <c r="A3861" t="str">
        <f t="shared" si="480"/>
        <v>NDE-8503-RT</v>
      </c>
      <c r="B3861" s="403" t="s">
        <v>1410</v>
      </c>
      <c r="C3861" s="403" t="s">
        <v>582</v>
      </c>
      <c r="D3861" s="403" t="s">
        <v>1414</v>
      </c>
      <c r="E3861" s="403" t="s">
        <v>1412</v>
      </c>
      <c r="F3861" s="403" t="s">
        <v>1385</v>
      </c>
      <c r="G3861" s="403" t="s">
        <v>1466</v>
      </c>
      <c r="H3861" s="403" t="s">
        <v>1276</v>
      </c>
      <c r="I3861" s="403">
        <v>1</v>
      </c>
      <c r="J3861" s="403" t="s">
        <v>1373</v>
      </c>
      <c r="K3861" s="403">
        <v>2688</v>
      </c>
      <c r="L3861" s="403">
        <v>1512</v>
      </c>
      <c r="M3861" s="403" t="s">
        <v>1280</v>
      </c>
      <c r="N3861" s="403">
        <v>2688</v>
      </c>
      <c r="O3861" s="403">
        <v>1512</v>
      </c>
      <c r="P3861" t="str">
        <f t="shared" si="481"/>
        <v>25fps 2688x1512 - copy other stream</v>
      </c>
      <c r="Q3861">
        <f t="shared" si="482"/>
        <v>20</v>
      </c>
      <c r="R3861" t="str">
        <f t="shared" si="483"/>
        <v/>
      </c>
      <c r="S3861" t="str">
        <f t="shared" si="484"/>
        <v/>
      </c>
      <c r="T3861" s="403" t="str">
        <f t="shared" si="485"/>
        <v>NDE-8503-RT</v>
      </c>
      <c r="U3861" s="403">
        <f t="shared" si="486"/>
        <v>1</v>
      </c>
      <c r="V3861" s="403" t="str">
        <f t="shared" si="487"/>
        <v>CPP_7_3</v>
      </c>
    </row>
    <row r="3862" spans="1:22">
      <c r="A3862" t="str">
        <f t="shared" si="480"/>
        <v>NDE-8503-RT</v>
      </c>
      <c r="B3862" s="403" t="s">
        <v>1410</v>
      </c>
      <c r="C3862" s="403" t="s">
        <v>582</v>
      </c>
      <c r="D3862" s="403" t="s">
        <v>1414</v>
      </c>
      <c r="E3862" s="403" t="s">
        <v>1412</v>
      </c>
      <c r="F3862" s="403" t="s">
        <v>1385</v>
      </c>
      <c r="G3862" s="403" t="s">
        <v>1466</v>
      </c>
      <c r="H3862" s="403" t="s">
        <v>1276</v>
      </c>
      <c r="I3862" s="403">
        <v>1</v>
      </c>
      <c r="J3862" s="403" t="s">
        <v>1374</v>
      </c>
      <c r="K3862" s="403">
        <v>2304</v>
      </c>
      <c r="L3862" s="403">
        <v>1296</v>
      </c>
      <c r="M3862" s="403" t="s">
        <v>110</v>
      </c>
      <c r="N3862" s="403">
        <v>1920</v>
      </c>
      <c r="O3862" s="403">
        <v>1080</v>
      </c>
      <c r="P3862" t="str">
        <f t="shared" si="481"/>
        <v>25fps 2304x1296 - 1080p</v>
      </c>
      <c r="Q3862">
        <f t="shared" si="482"/>
        <v>20</v>
      </c>
      <c r="R3862" t="str">
        <f t="shared" si="483"/>
        <v/>
      </c>
      <c r="S3862" t="str">
        <f t="shared" si="484"/>
        <v/>
      </c>
      <c r="T3862" s="403" t="str">
        <f t="shared" si="485"/>
        <v>NDE-8503-RT</v>
      </c>
      <c r="U3862" s="403">
        <f t="shared" si="486"/>
        <v>1</v>
      </c>
      <c r="V3862" s="403" t="str">
        <f t="shared" si="487"/>
        <v>CPP_7_3</v>
      </c>
    </row>
    <row r="3863" spans="1:22">
      <c r="A3863" t="str">
        <f t="shared" si="480"/>
        <v>NDE-8503-RT</v>
      </c>
      <c r="B3863" s="403" t="s">
        <v>1410</v>
      </c>
      <c r="C3863" s="403" t="s">
        <v>582</v>
      </c>
      <c r="D3863" s="403" t="s">
        <v>1414</v>
      </c>
      <c r="E3863" s="403" t="s">
        <v>1412</v>
      </c>
      <c r="F3863" s="403" t="s">
        <v>1385</v>
      </c>
      <c r="G3863" s="403" t="s">
        <v>1466</v>
      </c>
      <c r="H3863" s="403" t="s">
        <v>1276</v>
      </c>
      <c r="I3863" s="403">
        <v>1</v>
      </c>
      <c r="J3863" s="403" t="s">
        <v>1374</v>
      </c>
      <c r="K3863" s="403">
        <v>2304</v>
      </c>
      <c r="L3863" s="403">
        <v>1296</v>
      </c>
      <c r="M3863" s="403" t="s">
        <v>1374</v>
      </c>
      <c r="N3863" s="403">
        <v>2304</v>
      </c>
      <c r="O3863" s="403">
        <v>1296</v>
      </c>
      <c r="P3863" t="str">
        <f t="shared" si="481"/>
        <v>25fps 2304x1296 - 2304x1296</v>
      </c>
      <c r="Q3863">
        <f t="shared" si="482"/>
        <v>20</v>
      </c>
      <c r="R3863" t="str">
        <f t="shared" si="483"/>
        <v/>
      </c>
      <c r="S3863" t="str">
        <f t="shared" si="484"/>
        <v/>
      </c>
      <c r="T3863" s="403" t="str">
        <f t="shared" si="485"/>
        <v>NDE-8503-RT</v>
      </c>
      <c r="U3863" s="403">
        <f t="shared" si="486"/>
        <v>1</v>
      </c>
      <c r="V3863" s="403" t="str">
        <f t="shared" si="487"/>
        <v>CPP_7_3</v>
      </c>
    </row>
    <row r="3864" spans="1:22">
      <c r="A3864" t="str">
        <f t="shared" si="480"/>
        <v>NDE-8503-RT</v>
      </c>
      <c r="B3864" s="403" t="s">
        <v>1410</v>
      </c>
      <c r="C3864" s="403" t="s">
        <v>582</v>
      </c>
      <c r="D3864" s="403" t="s">
        <v>1414</v>
      </c>
      <c r="E3864" s="403" t="s">
        <v>1412</v>
      </c>
      <c r="F3864" s="403" t="s">
        <v>1385</v>
      </c>
      <c r="G3864" s="403" t="s">
        <v>1466</v>
      </c>
      <c r="H3864" s="403" t="s">
        <v>1276</v>
      </c>
      <c r="I3864" s="403">
        <v>1</v>
      </c>
      <c r="J3864" s="403" t="s">
        <v>1374</v>
      </c>
      <c r="K3864" s="403">
        <v>2304</v>
      </c>
      <c r="L3864" s="403">
        <v>1296</v>
      </c>
      <c r="M3864" s="403" t="s">
        <v>109</v>
      </c>
      <c r="N3864" s="403">
        <v>1280</v>
      </c>
      <c r="O3864" s="403">
        <v>720</v>
      </c>
      <c r="P3864" t="str">
        <f t="shared" si="481"/>
        <v>25fps 2304x1296 - 720p</v>
      </c>
      <c r="Q3864">
        <f t="shared" si="482"/>
        <v>20</v>
      </c>
      <c r="R3864" t="str">
        <f t="shared" si="483"/>
        <v/>
      </c>
      <c r="S3864" t="str">
        <f t="shared" si="484"/>
        <v/>
      </c>
      <c r="T3864" s="403" t="str">
        <f t="shared" si="485"/>
        <v>NDE-8503-RT</v>
      </c>
      <c r="U3864" s="403">
        <f t="shared" si="486"/>
        <v>1</v>
      </c>
      <c r="V3864" s="403" t="str">
        <f t="shared" si="487"/>
        <v>CPP_7_3</v>
      </c>
    </row>
    <row r="3865" spans="1:22">
      <c r="A3865" t="str">
        <f t="shared" si="480"/>
        <v>NDE-8503-RT</v>
      </c>
      <c r="B3865" s="403" t="s">
        <v>1410</v>
      </c>
      <c r="C3865" s="403" t="s">
        <v>582</v>
      </c>
      <c r="D3865" s="403" t="s">
        <v>1414</v>
      </c>
      <c r="E3865" s="403" t="s">
        <v>1412</v>
      </c>
      <c r="F3865" s="403" t="s">
        <v>1385</v>
      </c>
      <c r="G3865" s="403" t="s">
        <v>1466</v>
      </c>
      <c r="H3865" s="403" t="s">
        <v>1276</v>
      </c>
      <c r="I3865" s="403">
        <v>1</v>
      </c>
      <c r="J3865" s="403" t="s">
        <v>1374</v>
      </c>
      <c r="K3865" s="403">
        <v>2304</v>
      </c>
      <c r="L3865" s="403">
        <v>1296</v>
      </c>
      <c r="M3865" s="403" t="s">
        <v>111</v>
      </c>
      <c r="N3865" s="403">
        <v>768</v>
      </c>
      <c r="O3865" s="403">
        <v>432</v>
      </c>
      <c r="P3865" t="str">
        <f t="shared" si="481"/>
        <v>25fps 2304x1296 - SD</v>
      </c>
      <c r="Q3865">
        <f t="shared" si="482"/>
        <v>20</v>
      </c>
      <c r="R3865" t="str">
        <f t="shared" si="483"/>
        <v/>
      </c>
      <c r="S3865" t="str">
        <f t="shared" si="484"/>
        <v/>
      </c>
      <c r="T3865" s="403" t="str">
        <f t="shared" si="485"/>
        <v>NDE-8503-RT</v>
      </c>
      <c r="U3865" s="403">
        <f t="shared" si="486"/>
        <v>1</v>
      </c>
      <c r="V3865" s="403" t="str">
        <f t="shared" si="487"/>
        <v>CPP_7_3</v>
      </c>
    </row>
    <row r="3866" spans="1:22">
      <c r="A3866" t="str">
        <f t="shared" si="480"/>
        <v>NDE-8503-RT</v>
      </c>
      <c r="B3866" s="403" t="s">
        <v>1410</v>
      </c>
      <c r="C3866" s="403" t="s">
        <v>582</v>
      </c>
      <c r="D3866" s="403" t="s">
        <v>1414</v>
      </c>
      <c r="E3866" s="403" t="s">
        <v>1412</v>
      </c>
      <c r="F3866" s="403" t="s">
        <v>1385</v>
      </c>
      <c r="G3866" s="403" t="s">
        <v>1466</v>
      </c>
      <c r="H3866" s="403" t="s">
        <v>1276</v>
      </c>
      <c r="I3866" s="403">
        <v>1</v>
      </c>
      <c r="J3866" s="403" t="s">
        <v>1374</v>
      </c>
      <c r="K3866" s="403">
        <v>2304</v>
      </c>
      <c r="L3866" s="403">
        <v>1296</v>
      </c>
      <c r="M3866" s="403" t="s">
        <v>1279</v>
      </c>
      <c r="N3866" s="403">
        <v>768</v>
      </c>
      <c r="O3866" s="403">
        <v>432</v>
      </c>
      <c r="P3866" t="str">
        <f t="shared" si="481"/>
        <v>25fps 2304x1296 - SD ROI PTZ</v>
      </c>
      <c r="Q3866">
        <f t="shared" si="482"/>
        <v>20</v>
      </c>
      <c r="R3866" t="str">
        <f t="shared" si="483"/>
        <v/>
      </c>
      <c r="S3866" t="str">
        <f t="shared" si="484"/>
        <v/>
      </c>
      <c r="T3866" s="403" t="str">
        <f t="shared" si="485"/>
        <v>NDE-8503-RT</v>
      </c>
      <c r="U3866" s="403">
        <f t="shared" si="486"/>
        <v>1</v>
      </c>
      <c r="V3866" s="403" t="str">
        <f t="shared" si="487"/>
        <v>CPP_7_3</v>
      </c>
    </row>
    <row r="3867" spans="1:22">
      <c r="A3867" t="str">
        <f t="shared" si="480"/>
        <v>NDE-8503-RT</v>
      </c>
      <c r="B3867" s="403" t="s">
        <v>1410</v>
      </c>
      <c r="C3867" s="403" t="s">
        <v>582</v>
      </c>
      <c r="D3867" s="403" t="s">
        <v>1414</v>
      </c>
      <c r="E3867" s="403" t="s">
        <v>1412</v>
      </c>
      <c r="F3867" s="403" t="s">
        <v>1385</v>
      </c>
      <c r="G3867" s="403" t="s">
        <v>1466</v>
      </c>
      <c r="H3867" s="403" t="s">
        <v>1276</v>
      </c>
      <c r="I3867" s="403">
        <v>1</v>
      </c>
      <c r="J3867" s="403" t="s">
        <v>1374</v>
      </c>
      <c r="K3867" s="403">
        <v>2304</v>
      </c>
      <c r="L3867" s="403">
        <v>1296</v>
      </c>
      <c r="M3867" s="403" t="s">
        <v>1285</v>
      </c>
      <c r="N3867" s="403">
        <v>1280</v>
      </c>
      <c r="O3867" s="403">
        <v>1024</v>
      </c>
      <c r="P3867" t="str">
        <f t="shared" si="481"/>
        <v>25fps 2304x1296 - 1280x1024 5:4 (cropped)</v>
      </c>
      <c r="Q3867">
        <f t="shared" si="482"/>
        <v>20</v>
      </c>
      <c r="R3867" t="str">
        <f t="shared" si="483"/>
        <v/>
      </c>
      <c r="S3867" t="str">
        <f t="shared" si="484"/>
        <v/>
      </c>
      <c r="T3867" s="403" t="str">
        <f t="shared" si="485"/>
        <v>NDE-8503-RT</v>
      </c>
      <c r="U3867" s="403">
        <f t="shared" si="486"/>
        <v>1</v>
      </c>
      <c r="V3867" s="403" t="str">
        <f t="shared" si="487"/>
        <v>CPP_7_3</v>
      </c>
    </row>
    <row r="3868" spans="1:22">
      <c r="A3868" t="str">
        <f t="shared" si="480"/>
        <v>NDE-8503-RT</v>
      </c>
      <c r="B3868" s="403" t="s">
        <v>1410</v>
      </c>
      <c r="C3868" s="403" t="s">
        <v>582</v>
      </c>
      <c r="D3868" s="403" t="s">
        <v>1414</v>
      </c>
      <c r="E3868" s="403" t="s">
        <v>1412</v>
      </c>
      <c r="F3868" s="403" t="s">
        <v>1385</v>
      </c>
      <c r="G3868" s="403" t="s">
        <v>1466</v>
      </c>
      <c r="H3868" s="403" t="s">
        <v>1276</v>
      </c>
      <c r="I3868" s="403">
        <v>1</v>
      </c>
      <c r="J3868" s="403" t="s">
        <v>1374</v>
      </c>
      <c r="K3868" s="403">
        <v>2304</v>
      </c>
      <c r="L3868" s="403">
        <v>1296</v>
      </c>
      <c r="M3868" s="403" t="s">
        <v>1283</v>
      </c>
      <c r="N3868" s="403">
        <v>720</v>
      </c>
      <c r="O3868" s="403">
        <v>576</v>
      </c>
      <c r="P3868" t="str">
        <f t="shared" si="481"/>
        <v>25fps 2304x1296 - SD 4CIF resolution 4:3 format (cropped)</v>
      </c>
      <c r="Q3868">
        <f t="shared" si="482"/>
        <v>20</v>
      </c>
      <c r="R3868" t="str">
        <f t="shared" si="483"/>
        <v/>
      </c>
      <c r="S3868" t="str">
        <f t="shared" si="484"/>
        <v/>
      </c>
      <c r="T3868" s="403" t="str">
        <f t="shared" si="485"/>
        <v>NDE-8503-RT</v>
      </c>
      <c r="U3868" s="403">
        <f t="shared" si="486"/>
        <v>1</v>
      </c>
      <c r="V3868" s="403" t="str">
        <f t="shared" si="487"/>
        <v>CPP_7_3</v>
      </c>
    </row>
    <row r="3869" spans="1:22">
      <c r="A3869" t="str">
        <f t="shared" si="480"/>
        <v>NDE-8503-RT</v>
      </c>
      <c r="B3869" s="403" t="s">
        <v>1410</v>
      </c>
      <c r="C3869" s="403" t="s">
        <v>582</v>
      </c>
      <c r="D3869" s="403" t="s">
        <v>1414</v>
      </c>
      <c r="E3869" s="403" t="s">
        <v>1412</v>
      </c>
      <c r="F3869" s="403" t="s">
        <v>1385</v>
      </c>
      <c r="G3869" s="403" t="s">
        <v>1466</v>
      </c>
      <c r="H3869" s="403" t="s">
        <v>1276</v>
      </c>
      <c r="I3869" s="403">
        <v>1</v>
      </c>
      <c r="J3869" s="403" t="s">
        <v>1374</v>
      </c>
      <c r="K3869" s="403">
        <v>2304</v>
      </c>
      <c r="L3869" s="403">
        <v>1296</v>
      </c>
      <c r="M3869" s="403" t="s">
        <v>1284</v>
      </c>
      <c r="N3869" s="403">
        <v>640</v>
      </c>
      <c r="O3869" s="403">
        <v>480</v>
      </c>
      <c r="P3869" t="str">
        <f t="shared" si="481"/>
        <v>25fps 2304x1296 - SD VGA (cropped)</v>
      </c>
      <c r="Q3869">
        <f t="shared" si="482"/>
        <v>20</v>
      </c>
      <c r="R3869" t="str">
        <f t="shared" si="483"/>
        <v/>
      </c>
      <c r="S3869" t="str">
        <f t="shared" si="484"/>
        <v/>
      </c>
      <c r="T3869" s="403" t="str">
        <f t="shared" si="485"/>
        <v>NDE-8503-RT</v>
      </c>
      <c r="U3869" s="403">
        <f t="shared" si="486"/>
        <v>1</v>
      </c>
      <c r="V3869" s="403" t="str">
        <f t="shared" si="487"/>
        <v>CPP_7_3</v>
      </c>
    </row>
    <row r="3870" spans="1:22">
      <c r="A3870" t="str">
        <f t="shared" si="480"/>
        <v>NDE-8503-RT</v>
      </c>
      <c r="B3870" s="403" t="s">
        <v>1410</v>
      </c>
      <c r="C3870" s="403" t="s">
        <v>582</v>
      </c>
      <c r="D3870" s="403" t="s">
        <v>1414</v>
      </c>
      <c r="E3870" s="403" t="s">
        <v>1412</v>
      </c>
      <c r="F3870" s="403" t="s">
        <v>1385</v>
      </c>
      <c r="G3870" s="403" t="s">
        <v>1466</v>
      </c>
      <c r="H3870" s="403" t="s">
        <v>1276</v>
      </c>
      <c r="I3870" s="403">
        <v>1</v>
      </c>
      <c r="J3870" s="403" t="s">
        <v>1374</v>
      </c>
      <c r="K3870" s="403">
        <v>2304</v>
      </c>
      <c r="L3870" s="403">
        <v>1296</v>
      </c>
      <c r="M3870" s="403" t="s">
        <v>1280</v>
      </c>
      <c r="N3870" s="403">
        <v>2304</v>
      </c>
      <c r="O3870" s="403">
        <v>1296</v>
      </c>
      <c r="P3870" t="str">
        <f t="shared" si="481"/>
        <v>25fps 2304x1296 - copy other stream</v>
      </c>
      <c r="Q3870">
        <f t="shared" si="482"/>
        <v>20</v>
      </c>
      <c r="R3870" t="str">
        <f t="shared" si="483"/>
        <v/>
      </c>
      <c r="S3870" t="str">
        <f t="shared" si="484"/>
        <v/>
      </c>
      <c r="T3870" s="403" t="str">
        <f t="shared" si="485"/>
        <v>NDE-8503-RT</v>
      </c>
      <c r="U3870" s="403">
        <f t="shared" si="486"/>
        <v>1</v>
      </c>
      <c r="V3870" s="403" t="str">
        <f t="shared" si="487"/>
        <v>CPP_7_3</v>
      </c>
    </row>
    <row r="3871" spans="1:22">
      <c r="A3871" t="str">
        <f t="shared" si="480"/>
        <v>NDE-8503-RT</v>
      </c>
      <c r="B3871" s="403" t="s">
        <v>1410</v>
      </c>
      <c r="C3871" s="403" t="s">
        <v>582</v>
      </c>
      <c r="D3871" s="403" t="s">
        <v>1414</v>
      </c>
      <c r="E3871" s="403" t="s">
        <v>1412</v>
      </c>
      <c r="F3871" s="403" t="s">
        <v>1385</v>
      </c>
      <c r="G3871" s="403" t="s">
        <v>1466</v>
      </c>
      <c r="H3871" s="403" t="s">
        <v>1276</v>
      </c>
      <c r="I3871" s="403">
        <v>1</v>
      </c>
      <c r="J3871" s="403" t="s">
        <v>110</v>
      </c>
      <c r="K3871" s="403">
        <v>1920</v>
      </c>
      <c r="L3871" s="403">
        <v>1080</v>
      </c>
      <c r="M3871" s="403" t="s">
        <v>111</v>
      </c>
      <c r="N3871" s="403">
        <v>768</v>
      </c>
      <c r="O3871" s="403">
        <v>432</v>
      </c>
      <c r="P3871" t="str">
        <f t="shared" si="481"/>
        <v>25fps 1080p - SD</v>
      </c>
      <c r="Q3871">
        <f t="shared" si="482"/>
        <v>20</v>
      </c>
      <c r="R3871" t="str">
        <f t="shared" si="483"/>
        <v/>
      </c>
      <c r="S3871" t="str">
        <f t="shared" si="484"/>
        <v/>
      </c>
      <c r="T3871" s="403" t="str">
        <f t="shared" si="485"/>
        <v>NDE-8503-RT</v>
      </c>
      <c r="U3871" s="403">
        <f t="shared" si="486"/>
        <v>1</v>
      </c>
      <c r="V3871" s="403" t="str">
        <f t="shared" si="487"/>
        <v>CPP_7_3</v>
      </c>
    </row>
    <row r="3872" spans="1:22">
      <c r="A3872" t="str">
        <f t="shared" si="480"/>
        <v>NDE-8503-RT</v>
      </c>
      <c r="B3872" s="403" t="s">
        <v>1410</v>
      </c>
      <c r="C3872" s="403" t="s">
        <v>582</v>
      </c>
      <c r="D3872" s="403" t="s">
        <v>1414</v>
      </c>
      <c r="E3872" s="403" t="s">
        <v>1412</v>
      </c>
      <c r="F3872" s="403" t="s">
        <v>1385</v>
      </c>
      <c r="G3872" s="403" t="s">
        <v>1466</v>
      </c>
      <c r="H3872" s="403" t="s">
        <v>1276</v>
      </c>
      <c r="I3872" s="403">
        <v>1</v>
      </c>
      <c r="J3872" s="403" t="s">
        <v>110</v>
      </c>
      <c r="K3872" s="403">
        <v>1920</v>
      </c>
      <c r="L3872" s="403">
        <v>1080</v>
      </c>
      <c r="M3872" s="403" t="s">
        <v>110</v>
      </c>
      <c r="N3872" s="403">
        <v>1920</v>
      </c>
      <c r="O3872" s="403">
        <v>1080</v>
      </c>
      <c r="P3872" t="str">
        <f t="shared" si="481"/>
        <v>25fps 1080p - 1080p</v>
      </c>
      <c r="Q3872">
        <f t="shared" si="482"/>
        <v>20</v>
      </c>
      <c r="R3872" t="str">
        <f t="shared" si="483"/>
        <v/>
      </c>
      <c r="S3872" t="str">
        <f t="shared" si="484"/>
        <v/>
      </c>
      <c r="T3872" s="403" t="str">
        <f t="shared" si="485"/>
        <v>NDE-8503-RT</v>
      </c>
      <c r="U3872" s="403">
        <f t="shared" si="486"/>
        <v>1</v>
      </c>
      <c r="V3872" s="403" t="str">
        <f t="shared" si="487"/>
        <v>CPP_7_3</v>
      </c>
    </row>
    <row r="3873" spans="1:22">
      <c r="A3873" t="str">
        <f t="shared" si="480"/>
        <v>NDE-8503-RT</v>
      </c>
      <c r="B3873" s="403" t="s">
        <v>1410</v>
      </c>
      <c r="C3873" s="403" t="s">
        <v>582</v>
      </c>
      <c r="D3873" s="403" t="s">
        <v>1414</v>
      </c>
      <c r="E3873" s="403" t="s">
        <v>1412</v>
      </c>
      <c r="F3873" s="403" t="s">
        <v>1385</v>
      </c>
      <c r="G3873" s="403" t="s">
        <v>1466</v>
      </c>
      <c r="H3873" s="403" t="s">
        <v>1276</v>
      </c>
      <c r="I3873" s="403">
        <v>1</v>
      </c>
      <c r="J3873" s="403" t="s">
        <v>110</v>
      </c>
      <c r="K3873" s="403">
        <v>1920</v>
      </c>
      <c r="L3873" s="403">
        <v>1080</v>
      </c>
      <c r="M3873" s="403" t="s">
        <v>109</v>
      </c>
      <c r="N3873" s="403">
        <v>1280</v>
      </c>
      <c r="O3873" s="403">
        <v>720</v>
      </c>
      <c r="P3873" t="str">
        <f t="shared" si="481"/>
        <v>25fps 1080p - 720p</v>
      </c>
      <c r="Q3873">
        <f t="shared" si="482"/>
        <v>20</v>
      </c>
      <c r="R3873" t="str">
        <f t="shared" si="483"/>
        <v/>
      </c>
      <c r="S3873" t="str">
        <f t="shared" si="484"/>
        <v/>
      </c>
      <c r="T3873" s="403" t="str">
        <f t="shared" si="485"/>
        <v>NDE-8503-RT</v>
      </c>
      <c r="U3873" s="403">
        <f t="shared" si="486"/>
        <v>1</v>
      </c>
      <c r="V3873" s="403" t="str">
        <f t="shared" si="487"/>
        <v>CPP_7_3</v>
      </c>
    </row>
    <row r="3874" spans="1:22">
      <c r="A3874" t="str">
        <f t="shared" si="480"/>
        <v>NDE-8503-RT</v>
      </c>
      <c r="B3874" s="403" t="s">
        <v>1410</v>
      </c>
      <c r="C3874" s="403" t="s">
        <v>582</v>
      </c>
      <c r="D3874" s="403" t="s">
        <v>1414</v>
      </c>
      <c r="E3874" s="403" t="s">
        <v>1412</v>
      </c>
      <c r="F3874" s="403" t="s">
        <v>1385</v>
      </c>
      <c r="G3874" s="403" t="s">
        <v>1466</v>
      </c>
      <c r="H3874" s="403" t="s">
        <v>1276</v>
      </c>
      <c r="I3874" s="403">
        <v>1</v>
      </c>
      <c r="J3874" s="403" t="s">
        <v>110</v>
      </c>
      <c r="K3874" s="403">
        <v>1920</v>
      </c>
      <c r="L3874" s="403">
        <v>1080</v>
      </c>
      <c r="M3874" s="403" t="s">
        <v>1285</v>
      </c>
      <c r="N3874" s="403">
        <v>1280</v>
      </c>
      <c r="O3874" s="403">
        <v>1024</v>
      </c>
      <c r="P3874" t="str">
        <f t="shared" si="481"/>
        <v>25fps 1080p - 1280x1024 5:4 (cropped)</v>
      </c>
      <c r="Q3874">
        <f t="shared" si="482"/>
        <v>20</v>
      </c>
      <c r="R3874" t="str">
        <f t="shared" si="483"/>
        <v/>
      </c>
      <c r="S3874" t="str">
        <f t="shared" si="484"/>
        <v/>
      </c>
      <c r="T3874" s="403" t="str">
        <f t="shared" si="485"/>
        <v>NDE-8503-RT</v>
      </c>
      <c r="U3874" s="403">
        <f t="shared" si="486"/>
        <v>1</v>
      </c>
      <c r="V3874" s="403" t="str">
        <f t="shared" si="487"/>
        <v>CPP_7_3</v>
      </c>
    </row>
    <row r="3875" spans="1:22">
      <c r="A3875" t="str">
        <f t="shared" si="480"/>
        <v>NDE-8503-RT</v>
      </c>
      <c r="B3875" s="403" t="s">
        <v>1410</v>
      </c>
      <c r="C3875" s="403" t="s">
        <v>582</v>
      </c>
      <c r="D3875" s="403" t="s">
        <v>1414</v>
      </c>
      <c r="E3875" s="403" t="s">
        <v>1412</v>
      </c>
      <c r="F3875" s="403" t="s">
        <v>1385</v>
      </c>
      <c r="G3875" s="403" t="s">
        <v>1466</v>
      </c>
      <c r="H3875" s="403" t="s">
        <v>1276</v>
      </c>
      <c r="I3875" s="403">
        <v>1</v>
      </c>
      <c r="J3875" s="403" t="s">
        <v>110</v>
      </c>
      <c r="K3875" s="403">
        <v>1920</v>
      </c>
      <c r="L3875" s="403">
        <v>1080</v>
      </c>
      <c r="M3875" s="403" t="s">
        <v>1279</v>
      </c>
      <c r="N3875" s="403">
        <v>768</v>
      </c>
      <c r="O3875" s="403">
        <v>432</v>
      </c>
      <c r="P3875" t="str">
        <f t="shared" si="481"/>
        <v>25fps 1080p - SD ROI PTZ</v>
      </c>
      <c r="Q3875">
        <f t="shared" si="482"/>
        <v>20</v>
      </c>
      <c r="R3875" t="str">
        <f t="shared" si="483"/>
        <v/>
      </c>
      <c r="S3875" t="str">
        <f t="shared" si="484"/>
        <v/>
      </c>
      <c r="T3875" s="403" t="str">
        <f t="shared" si="485"/>
        <v>NDE-8503-RT</v>
      </c>
      <c r="U3875" s="403">
        <f t="shared" si="486"/>
        <v>1</v>
      </c>
      <c r="V3875" s="403" t="str">
        <f t="shared" si="487"/>
        <v>CPP_7_3</v>
      </c>
    </row>
    <row r="3876" spans="1:22">
      <c r="A3876" t="str">
        <f t="shared" si="480"/>
        <v>NDE-8503-RT</v>
      </c>
      <c r="B3876" s="403" t="s">
        <v>1410</v>
      </c>
      <c r="C3876" s="403" t="s">
        <v>582</v>
      </c>
      <c r="D3876" s="403" t="s">
        <v>1414</v>
      </c>
      <c r="E3876" s="403" t="s">
        <v>1412</v>
      </c>
      <c r="F3876" s="403" t="s">
        <v>1385</v>
      </c>
      <c r="G3876" s="403" t="s">
        <v>1466</v>
      </c>
      <c r="H3876" s="403" t="s">
        <v>1276</v>
      </c>
      <c r="I3876" s="403">
        <v>1</v>
      </c>
      <c r="J3876" s="403" t="s">
        <v>110</v>
      </c>
      <c r="K3876" s="403">
        <v>1920</v>
      </c>
      <c r="L3876" s="403">
        <v>1080</v>
      </c>
      <c r="M3876" s="403" t="s">
        <v>1283</v>
      </c>
      <c r="N3876" s="403">
        <v>720</v>
      </c>
      <c r="O3876" s="403">
        <v>576</v>
      </c>
      <c r="P3876" t="str">
        <f t="shared" si="481"/>
        <v>25fps 1080p - SD 4CIF resolution 4:3 format (cropped)</v>
      </c>
      <c r="Q3876">
        <f t="shared" si="482"/>
        <v>20</v>
      </c>
      <c r="R3876" t="str">
        <f t="shared" si="483"/>
        <v/>
      </c>
      <c r="S3876" t="str">
        <f t="shared" si="484"/>
        <v/>
      </c>
      <c r="T3876" s="403" t="str">
        <f t="shared" si="485"/>
        <v>NDE-8503-RT</v>
      </c>
      <c r="U3876" s="403">
        <f t="shared" si="486"/>
        <v>1</v>
      </c>
      <c r="V3876" s="403" t="str">
        <f t="shared" si="487"/>
        <v>CPP_7_3</v>
      </c>
    </row>
    <row r="3877" spans="1:22">
      <c r="A3877" t="str">
        <f t="shared" si="480"/>
        <v>NDE-8503-RT</v>
      </c>
      <c r="B3877" s="403" t="s">
        <v>1410</v>
      </c>
      <c r="C3877" s="403" t="s">
        <v>582</v>
      </c>
      <c r="D3877" s="403" t="s">
        <v>1414</v>
      </c>
      <c r="E3877" s="403" t="s">
        <v>1412</v>
      </c>
      <c r="F3877" s="403" t="s">
        <v>1385</v>
      </c>
      <c r="G3877" s="403" t="s">
        <v>1466</v>
      </c>
      <c r="H3877" s="403" t="s">
        <v>1276</v>
      </c>
      <c r="I3877" s="403">
        <v>1</v>
      </c>
      <c r="J3877" s="403" t="s">
        <v>110</v>
      </c>
      <c r="K3877" s="403">
        <v>1920</v>
      </c>
      <c r="L3877" s="403">
        <v>1080</v>
      </c>
      <c r="M3877" s="403" t="s">
        <v>1284</v>
      </c>
      <c r="N3877" s="403">
        <v>640</v>
      </c>
      <c r="O3877" s="403">
        <v>480</v>
      </c>
      <c r="P3877" t="str">
        <f t="shared" si="481"/>
        <v>25fps 1080p - SD VGA (cropped)</v>
      </c>
      <c r="Q3877">
        <f t="shared" si="482"/>
        <v>20</v>
      </c>
      <c r="R3877" t="str">
        <f t="shared" si="483"/>
        <v/>
      </c>
      <c r="S3877" t="str">
        <f t="shared" si="484"/>
        <v/>
      </c>
      <c r="T3877" s="403" t="str">
        <f t="shared" si="485"/>
        <v>NDE-8503-RT</v>
      </c>
      <c r="U3877" s="403">
        <f t="shared" si="486"/>
        <v>1</v>
      </c>
      <c r="V3877" s="403" t="str">
        <f t="shared" si="487"/>
        <v>CPP_7_3</v>
      </c>
    </row>
    <row r="3878" spans="1:22">
      <c r="A3878" t="str">
        <f t="shared" si="480"/>
        <v>NDE-8503-RT</v>
      </c>
      <c r="B3878" s="403" t="s">
        <v>1410</v>
      </c>
      <c r="C3878" s="403" t="s">
        <v>582</v>
      </c>
      <c r="D3878" s="403" t="s">
        <v>1414</v>
      </c>
      <c r="E3878" s="403" t="s">
        <v>1412</v>
      </c>
      <c r="F3878" s="403" t="s">
        <v>1385</v>
      </c>
      <c r="G3878" s="403" t="s">
        <v>1466</v>
      </c>
      <c r="H3878" s="403" t="s">
        <v>1276</v>
      </c>
      <c r="I3878" s="403">
        <v>1</v>
      </c>
      <c r="J3878" s="403" t="s">
        <v>109</v>
      </c>
      <c r="K3878" s="403">
        <v>1280</v>
      </c>
      <c r="L3878" s="403">
        <v>720</v>
      </c>
      <c r="M3878" s="403" t="s">
        <v>109</v>
      </c>
      <c r="N3878" s="403">
        <v>1280</v>
      </c>
      <c r="O3878" s="403">
        <v>720</v>
      </c>
      <c r="P3878" t="str">
        <f t="shared" si="481"/>
        <v>25fps 720p - 720p</v>
      </c>
      <c r="Q3878">
        <f t="shared" si="482"/>
        <v>20</v>
      </c>
      <c r="R3878" t="str">
        <f t="shared" si="483"/>
        <v/>
      </c>
      <c r="S3878" t="str">
        <f t="shared" si="484"/>
        <v/>
      </c>
      <c r="T3878" s="403" t="str">
        <f t="shared" si="485"/>
        <v>NDE-8503-RT</v>
      </c>
      <c r="U3878" s="403">
        <f t="shared" si="486"/>
        <v>1</v>
      </c>
      <c r="V3878" s="403" t="str">
        <f t="shared" si="487"/>
        <v>CPP_7_3</v>
      </c>
    </row>
    <row r="3879" spans="1:22">
      <c r="A3879" t="str">
        <f t="shared" si="480"/>
        <v>NDE-8503-RT</v>
      </c>
      <c r="B3879" s="403" t="s">
        <v>1410</v>
      </c>
      <c r="C3879" s="403" t="s">
        <v>582</v>
      </c>
      <c r="D3879" s="403" t="s">
        <v>1414</v>
      </c>
      <c r="E3879" s="403" t="s">
        <v>1412</v>
      </c>
      <c r="F3879" s="403" t="s">
        <v>1385</v>
      </c>
      <c r="G3879" s="403" t="s">
        <v>1466</v>
      </c>
      <c r="H3879" s="403" t="s">
        <v>1276</v>
      </c>
      <c r="I3879" s="403">
        <v>1</v>
      </c>
      <c r="J3879" s="403" t="s">
        <v>109</v>
      </c>
      <c r="K3879" s="403">
        <v>1280</v>
      </c>
      <c r="L3879" s="403">
        <v>720</v>
      </c>
      <c r="M3879" s="403" t="s">
        <v>111</v>
      </c>
      <c r="N3879" s="403">
        <v>768</v>
      </c>
      <c r="O3879" s="403">
        <v>432</v>
      </c>
      <c r="P3879" t="str">
        <f t="shared" si="481"/>
        <v>25fps 720p - SD</v>
      </c>
      <c r="Q3879">
        <f t="shared" si="482"/>
        <v>20</v>
      </c>
      <c r="R3879" t="str">
        <f t="shared" si="483"/>
        <v/>
      </c>
      <c r="S3879" t="str">
        <f t="shared" si="484"/>
        <v/>
      </c>
      <c r="T3879" s="403" t="str">
        <f t="shared" si="485"/>
        <v>NDE-8503-RT</v>
      </c>
      <c r="U3879" s="403">
        <f t="shared" si="486"/>
        <v>1</v>
      </c>
      <c r="V3879" s="403" t="str">
        <f t="shared" si="487"/>
        <v>CPP_7_3</v>
      </c>
    </row>
    <row r="3880" spans="1:22">
      <c r="A3880" t="str">
        <f t="shared" si="480"/>
        <v>NDE-8503-RT</v>
      </c>
      <c r="B3880" s="403" t="s">
        <v>1410</v>
      </c>
      <c r="C3880" s="403" t="s">
        <v>582</v>
      </c>
      <c r="D3880" s="403" t="s">
        <v>1414</v>
      </c>
      <c r="E3880" s="403" t="s">
        <v>1412</v>
      </c>
      <c r="F3880" s="403" t="s">
        <v>1385</v>
      </c>
      <c r="G3880" s="403" t="s">
        <v>1466</v>
      </c>
      <c r="H3880" s="403" t="s">
        <v>1276</v>
      </c>
      <c r="I3880" s="403">
        <v>1</v>
      </c>
      <c r="J3880" s="403" t="s">
        <v>109</v>
      </c>
      <c r="K3880" s="403">
        <v>1280</v>
      </c>
      <c r="L3880" s="403">
        <v>720</v>
      </c>
      <c r="M3880" s="403" t="s">
        <v>1279</v>
      </c>
      <c r="N3880" s="403">
        <v>768</v>
      </c>
      <c r="O3880" s="403">
        <v>432</v>
      </c>
      <c r="P3880" t="str">
        <f t="shared" si="481"/>
        <v>25fps 720p - SD ROI PTZ</v>
      </c>
      <c r="Q3880">
        <f t="shared" si="482"/>
        <v>20</v>
      </c>
      <c r="R3880" t="str">
        <f t="shared" si="483"/>
        <v/>
      </c>
      <c r="S3880" t="str">
        <f t="shared" si="484"/>
        <v/>
      </c>
      <c r="T3880" s="403" t="str">
        <f t="shared" si="485"/>
        <v>NDE-8503-RT</v>
      </c>
      <c r="U3880" s="403">
        <f t="shared" si="486"/>
        <v>1</v>
      </c>
      <c r="V3880" s="403" t="str">
        <f t="shared" si="487"/>
        <v>CPP_7_3</v>
      </c>
    </row>
    <row r="3881" spans="1:22">
      <c r="A3881" t="str">
        <f t="shared" si="480"/>
        <v>NDE-8503-RT</v>
      </c>
      <c r="B3881" s="403" t="s">
        <v>1410</v>
      </c>
      <c r="C3881" s="403" t="s">
        <v>582</v>
      </c>
      <c r="D3881" s="403" t="s">
        <v>1414</v>
      </c>
      <c r="E3881" s="403" t="s">
        <v>1412</v>
      </c>
      <c r="F3881" s="403" t="s">
        <v>1385</v>
      </c>
      <c r="G3881" s="403" t="s">
        <v>1466</v>
      </c>
      <c r="H3881" s="403" t="s">
        <v>1276</v>
      </c>
      <c r="I3881" s="403">
        <v>1</v>
      </c>
      <c r="J3881" s="403" t="s">
        <v>109</v>
      </c>
      <c r="K3881" s="403">
        <v>1280</v>
      </c>
      <c r="L3881" s="403">
        <v>720</v>
      </c>
      <c r="M3881" s="403" t="s">
        <v>1283</v>
      </c>
      <c r="N3881" s="403">
        <v>720</v>
      </c>
      <c r="O3881" s="403">
        <v>576</v>
      </c>
      <c r="P3881" t="str">
        <f t="shared" si="481"/>
        <v>25fps 720p - SD 4CIF resolution 4:3 format (cropped)</v>
      </c>
      <c r="Q3881">
        <f t="shared" si="482"/>
        <v>20</v>
      </c>
      <c r="R3881" t="str">
        <f t="shared" si="483"/>
        <v/>
      </c>
      <c r="S3881" t="str">
        <f t="shared" si="484"/>
        <v/>
      </c>
      <c r="T3881" s="403" t="str">
        <f t="shared" si="485"/>
        <v>NDE-8503-RT</v>
      </c>
      <c r="U3881" s="403">
        <f t="shared" si="486"/>
        <v>1</v>
      </c>
      <c r="V3881" s="403" t="str">
        <f t="shared" si="487"/>
        <v>CPP_7_3</v>
      </c>
    </row>
    <row r="3882" spans="1:22">
      <c r="A3882" t="str">
        <f t="shared" si="480"/>
        <v>NDE-8503-RT</v>
      </c>
      <c r="B3882" s="403" t="s">
        <v>1410</v>
      </c>
      <c r="C3882" s="403" t="s">
        <v>582</v>
      </c>
      <c r="D3882" s="403" t="s">
        <v>1414</v>
      </c>
      <c r="E3882" s="403" t="s">
        <v>1412</v>
      </c>
      <c r="F3882" s="403" t="s">
        <v>1385</v>
      </c>
      <c r="G3882" s="403" t="s">
        <v>1466</v>
      </c>
      <c r="H3882" s="403" t="s">
        <v>1276</v>
      </c>
      <c r="I3882" s="403">
        <v>1</v>
      </c>
      <c r="J3882" s="403" t="s">
        <v>109</v>
      </c>
      <c r="K3882" s="403">
        <v>1280</v>
      </c>
      <c r="L3882" s="403">
        <v>720</v>
      </c>
      <c r="M3882" s="403" t="s">
        <v>1284</v>
      </c>
      <c r="N3882" s="403">
        <v>640</v>
      </c>
      <c r="O3882" s="403">
        <v>480</v>
      </c>
      <c r="P3882" t="str">
        <f t="shared" si="481"/>
        <v>25fps 720p - SD VGA (cropped)</v>
      </c>
      <c r="Q3882">
        <f t="shared" si="482"/>
        <v>20</v>
      </c>
      <c r="R3882" t="str">
        <f t="shared" si="483"/>
        <v/>
      </c>
      <c r="S3882" t="str">
        <f t="shared" si="484"/>
        <v/>
      </c>
      <c r="T3882" s="403" t="str">
        <f t="shared" si="485"/>
        <v>NDE-8503-RT</v>
      </c>
      <c r="U3882" s="403">
        <f t="shared" si="486"/>
        <v>1</v>
      </c>
      <c r="V3882" s="403" t="str">
        <f t="shared" si="487"/>
        <v>CPP_7_3</v>
      </c>
    </row>
    <row r="3883" spans="1:22">
      <c r="A3883" t="str">
        <f t="shared" si="480"/>
        <v>NDE-8503-RT</v>
      </c>
      <c r="B3883" s="403" t="s">
        <v>1410</v>
      </c>
      <c r="C3883" s="403" t="s">
        <v>582</v>
      </c>
      <c r="D3883" s="403" t="s">
        <v>1414</v>
      </c>
      <c r="E3883" s="403" t="s">
        <v>1412</v>
      </c>
      <c r="F3883" s="403" t="s">
        <v>1385</v>
      </c>
      <c r="G3883" s="403" t="s">
        <v>1466</v>
      </c>
      <c r="H3883" s="403" t="s">
        <v>1281</v>
      </c>
      <c r="I3883" s="403">
        <v>1</v>
      </c>
      <c r="J3883" s="403" t="s">
        <v>1376</v>
      </c>
      <c r="K3883" s="403">
        <v>3072</v>
      </c>
      <c r="L3883" s="403">
        <v>1728</v>
      </c>
      <c r="M3883" s="403" t="s">
        <v>111</v>
      </c>
      <c r="N3883" s="403">
        <v>768</v>
      </c>
      <c r="O3883" s="403">
        <v>432</v>
      </c>
      <c r="P3883" t="str">
        <f t="shared" si="481"/>
        <v>25fps 3072x1728 - SD</v>
      </c>
      <c r="Q3883">
        <f t="shared" si="482"/>
        <v>20</v>
      </c>
      <c r="R3883" t="str">
        <f t="shared" si="483"/>
        <v/>
      </c>
      <c r="S3883" t="str">
        <f t="shared" si="484"/>
        <v/>
      </c>
      <c r="T3883" s="403" t="str">
        <f t="shared" si="485"/>
        <v>NDE-8503-RT</v>
      </c>
      <c r="U3883" s="403">
        <f t="shared" si="486"/>
        <v>1</v>
      </c>
      <c r="V3883" s="403" t="str">
        <f t="shared" si="487"/>
        <v>CPP_7_3</v>
      </c>
    </row>
    <row r="3884" spans="1:22">
      <c r="A3884" t="str">
        <f t="shared" si="480"/>
        <v>NDE-8503-RT</v>
      </c>
      <c r="B3884" s="403" t="s">
        <v>1410</v>
      </c>
      <c r="C3884" s="403" t="s">
        <v>582</v>
      </c>
      <c r="D3884" s="403" t="s">
        <v>1414</v>
      </c>
      <c r="E3884" s="403" t="s">
        <v>1412</v>
      </c>
      <c r="F3884" s="403" t="s">
        <v>1385</v>
      </c>
      <c r="G3884" s="403" t="s">
        <v>1466</v>
      </c>
      <c r="H3884" s="403" t="s">
        <v>1281</v>
      </c>
      <c r="I3884" s="403">
        <v>1</v>
      </c>
      <c r="J3884" s="403" t="s">
        <v>1376</v>
      </c>
      <c r="K3884" s="403">
        <v>3072</v>
      </c>
      <c r="L3884" s="403">
        <v>1728</v>
      </c>
      <c r="M3884" s="403" t="s">
        <v>1600</v>
      </c>
      <c r="N3884" s="403">
        <v>3072</v>
      </c>
      <c r="O3884" s="403">
        <v>1728</v>
      </c>
      <c r="P3884" t="str">
        <f t="shared" si="481"/>
        <v>25fps 3072x1728 - 3072x1728 @ SKIP2</v>
      </c>
      <c r="Q3884">
        <f t="shared" si="482"/>
        <v>20</v>
      </c>
      <c r="R3884" t="str">
        <f t="shared" si="483"/>
        <v/>
      </c>
      <c r="S3884" t="str">
        <f t="shared" si="484"/>
        <v/>
      </c>
      <c r="T3884" s="403" t="str">
        <f t="shared" si="485"/>
        <v>NDE-8503-RT</v>
      </c>
      <c r="U3884" s="403">
        <f t="shared" si="486"/>
        <v>1</v>
      </c>
      <c r="V3884" s="403" t="str">
        <f t="shared" si="487"/>
        <v>CPP_7_3</v>
      </c>
    </row>
    <row r="3885" spans="1:22">
      <c r="A3885" t="str">
        <f t="shared" si="480"/>
        <v>NDE-8503-RT</v>
      </c>
      <c r="B3885" s="403" t="s">
        <v>1410</v>
      </c>
      <c r="C3885" s="403" t="s">
        <v>582</v>
      </c>
      <c r="D3885" s="403" t="s">
        <v>1414</v>
      </c>
      <c r="E3885" s="403" t="s">
        <v>1412</v>
      </c>
      <c r="F3885" s="403" t="s">
        <v>1385</v>
      </c>
      <c r="G3885" s="403" t="s">
        <v>1466</v>
      </c>
      <c r="H3885" s="403" t="s">
        <v>1281</v>
      </c>
      <c r="I3885" s="403">
        <v>1</v>
      </c>
      <c r="J3885" s="403" t="s">
        <v>1376</v>
      </c>
      <c r="K3885" s="403">
        <v>3072</v>
      </c>
      <c r="L3885" s="403">
        <v>1728</v>
      </c>
      <c r="M3885" s="403" t="s">
        <v>1280</v>
      </c>
      <c r="N3885" s="403">
        <v>3072</v>
      </c>
      <c r="O3885" s="403">
        <v>1728</v>
      </c>
      <c r="P3885" t="str">
        <f t="shared" si="481"/>
        <v>25fps 3072x1728 - copy other stream</v>
      </c>
      <c r="Q3885">
        <f t="shared" si="482"/>
        <v>20</v>
      </c>
      <c r="R3885" t="str">
        <f t="shared" si="483"/>
        <v/>
      </c>
      <c r="S3885" t="str">
        <f t="shared" si="484"/>
        <v/>
      </c>
      <c r="T3885" s="403" t="str">
        <f t="shared" si="485"/>
        <v>NDE-8503-RT</v>
      </c>
      <c r="U3885" s="403">
        <f t="shared" si="486"/>
        <v>1</v>
      </c>
      <c r="V3885" s="403" t="str">
        <f t="shared" si="487"/>
        <v>CPP_7_3</v>
      </c>
    </row>
    <row r="3886" spans="1:22">
      <c r="A3886" t="str">
        <f t="shared" si="480"/>
        <v>NDE-8503-RT</v>
      </c>
      <c r="B3886" s="403" t="s">
        <v>1410</v>
      </c>
      <c r="C3886" s="403" t="s">
        <v>582</v>
      </c>
      <c r="D3886" s="403" t="s">
        <v>1414</v>
      </c>
      <c r="E3886" s="403" t="s">
        <v>1412</v>
      </c>
      <c r="F3886" s="403" t="s">
        <v>1385</v>
      </c>
      <c r="G3886" s="403" t="s">
        <v>1466</v>
      </c>
      <c r="H3886" s="403" t="s">
        <v>1281</v>
      </c>
      <c r="I3886" s="403">
        <v>1</v>
      </c>
      <c r="J3886" s="403" t="s">
        <v>1376</v>
      </c>
      <c r="K3886" s="403">
        <v>3072</v>
      </c>
      <c r="L3886" s="403">
        <v>1728</v>
      </c>
      <c r="M3886" s="403" t="s">
        <v>110</v>
      </c>
      <c r="N3886" s="403">
        <v>1920</v>
      </c>
      <c r="O3886" s="403">
        <v>1080</v>
      </c>
      <c r="P3886" t="str">
        <f t="shared" si="481"/>
        <v>25fps 3072x1728 - 1080p</v>
      </c>
      <c r="Q3886">
        <f t="shared" si="482"/>
        <v>20</v>
      </c>
      <c r="R3886" t="str">
        <f t="shared" si="483"/>
        <v/>
      </c>
      <c r="S3886" t="str">
        <f t="shared" si="484"/>
        <v/>
      </c>
      <c r="T3886" s="403" t="str">
        <f t="shared" si="485"/>
        <v>NDE-8503-RT</v>
      </c>
      <c r="U3886" s="403">
        <f t="shared" si="486"/>
        <v>1</v>
      </c>
      <c r="V3886" s="403" t="str">
        <f t="shared" si="487"/>
        <v>CPP_7_3</v>
      </c>
    </row>
    <row r="3887" spans="1:22">
      <c r="A3887" t="str">
        <f t="shared" si="480"/>
        <v>NDE-8503-RT</v>
      </c>
      <c r="B3887" s="403" t="s">
        <v>1410</v>
      </c>
      <c r="C3887" s="403" t="s">
        <v>582</v>
      </c>
      <c r="D3887" s="403" t="s">
        <v>1414</v>
      </c>
      <c r="E3887" s="403" t="s">
        <v>1412</v>
      </c>
      <c r="F3887" s="403" t="s">
        <v>1385</v>
      </c>
      <c r="G3887" s="403" t="s">
        <v>1466</v>
      </c>
      <c r="H3887" s="403" t="s">
        <v>1281</v>
      </c>
      <c r="I3887" s="403">
        <v>1</v>
      </c>
      <c r="J3887" s="403" t="s">
        <v>1376</v>
      </c>
      <c r="K3887" s="403">
        <v>3072</v>
      </c>
      <c r="L3887" s="403">
        <v>1728</v>
      </c>
      <c r="M3887" s="403" t="s">
        <v>109</v>
      </c>
      <c r="N3887" s="403">
        <v>1280</v>
      </c>
      <c r="O3887" s="403">
        <v>720</v>
      </c>
      <c r="P3887" t="str">
        <f t="shared" si="481"/>
        <v>25fps 3072x1728 - 720p</v>
      </c>
      <c r="Q3887">
        <f t="shared" si="482"/>
        <v>20</v>
      </c>
      <c r="R3887" t="str">
        <f t="shared" si="483"/>
        <v/>
      </c>
      <c r="S3887" t="str">
        <f t="shared" si="484"/>
        <v/>
      </c>
      <c r="T3887" s="403" t="str">
        <f t="shared" si="485"/>
        <v>NDE-8503-RT</v>
      </c>
      <c r="U3887" s="403">
        <f t="shared" si="486"/>
        <v>1</v>
      </c>
      <c r="V3887" s="403" t="str">
        <f t="shared" si="487"/>
        <v>CPP_7_3</v>
      </c>
    </row>
    <row r="3888" spans="1:22">
      <c r="A3888" t="str">
        <f t="shared" si="480"/>
        <v>NDE-8503-RT</v>
      </c>
      <c r="B3888" s="403" t="s">
        <v>1410</v>
      </c>
      <c r="C3888" s="403" t="s">
        <v>582</v>
      </c>
      <c r="D3888" s="403" t="s">
        <v>1414</v>
      </c>
      <c r="E3888" s="403" t="s">
        <v>1412</v>
      </c>
      <c r="F3888" s="403" t="s">
        <v>1385</v>
      </c>
      <c r="G3888" s="403" t="s">
        <v>1466</v>
      </c>
      <c r="H3888" s="403" t="s">
        <v>1281</v>
      </c>
      <c r="I3888" s="403">
        <v>1</v>
      </c>
      <c r="J3888" s="403" t="s">
        <v>1376</v>
      </c>
      <c r="K3888" s="403">
        <v>3072</v>
      </c>
      <c r="L3888" s="403">
        <v>1728</v>
      </c>
      <c r="M3888" s="403" t="s">
        <v>1283</v>
      </c>
      <c r="N3888" s="403">
        <v>720</v>
      </c>
      <c r="O3888" s="403">
        <v>576</v>
      </c>
      <c r="P3888" t="str">
        <f t="shared" si="481"/>
        <v>25fps 3072x1728 - SD 4CIF resolution 4:3 format (cropped)</v>
      </c>
      <c r="Q3888">
        <f t="shared" si="482"/>
        <v>20</v>
      </c>
      <c r="R3888" t="str">
        <f t="shared" si="483"/>
        <v/>
      </c>
      <c r="S3888" t="str">
        <f t="shared" si="484"/>
        <v/>
      </c>
      <c r="T3888" s="403" t="str">
        <f t="shared" si="485"/>
        <v>NDE-8503-RT</v>
      </c>
      <c r="U3888" s="403">
        <f t="shared" si="486"/>
        <v>1</v>
      </c>
      <c r="V3888" s="403" t="str">
        <f t="shared" si="487"/>
        <v>CPP_7_3</v>
      </c>
    </row>
    <row r="3889" spans="1:22">
      <c r="A3889" t="str">
        <f t="shared" si="480"/>
        <v>NDE-8503-RT</v>
      </c>
      <c r="B3889" s="403" t="s">
        <v>1410</v>
      </c>
      <c r="C3889" s="403" t="s">
        <v>582</v>
      </c>
      <c r="D3889" s="403" t="s">
        <v>1414</v>
      </c>
      <c r="E3889" s="403" t="s">
        <v>1412</v>
      </c>
      <c r="F3889" s="403" t="s">
        <v>1385</v>
      </c>
      <c r="G3889" s="403" t="s">
        <v>1466</v>
      </c>
      <c r="H3889" s="403" t="s">
        <v>1281</v>
      </c>
      <c r="I3889" s="403">
        <v>1</v>
      </c>
      <c r="J3889" s="403" t="s">
        <v>1376</v>
      </c>
      <c r="K3889" s="403">
        <v>3072</v>
      </c>
      <c r="L3889" s="403">
        <v>1728</v>
      </c>
      <c r="M3889" s="403" t="s">
        <v>1279</v>
      </c>
      <c r="N3889" s="403">
        <v>768</v>
      </c>
      <c r="O3889" s="403">
        <v>432</v>
      </c>
      <c r="P3889" t="str">
        <f t="shared" si="481"/>
        <v>25fps 3072x1728 - SD ROI PTZ</v>
      </c>
      <c r="Q3889">
        <f t="shared" si="482"/>
        <v>20</v>
      </c>
      <c r="R3889" t="str">
        <f t="shared" si="483"/>
        <v/>
      </c>
      <c r="S3889" t="str">
        <f t="shared" si="484"/>
        <v/>
      </c>
      <c r="T3889" s="403" t="str">
        <f t="shared" si="485"/>
        <v>NDE-8503-RT</v>
      </c>
      <c r="U3889" s="403">
        <f t="shared" si="486"/>
        <v>1</v>
      </c>
      <c r="V3889" s="403" t="str">
        <f t="shared" si="487"/>
        <v>CPP_7_3</v>
      </c>
    </row>
    <row r="3890" spans="1:22">
      <c r="A3890" t="str">
        <f t="shared" si="480"/>
        <v>NDE-8503-RT</v>
      </c>
      <c r="B3890" s="403" t="s">
        <v>1410</v>
      </c>
      <c r="C3890" s="403" t="s">
        <v>582</v>
      </c>
      <c r="D3890" s="403" t="s">
        <v>1414</v>
      </c>
      <c r="E3890" s="403" t="s">
        <v>1412</v>
      </c>
      <c r="F3890" s="403" t="s">
        <v>1385</v>
      </c>
      <c r="G3890" s="403" t="s">
        <v>1466</v>
      </c>
      <c r="H3890" s="403" t="s">
        <v>1281</v>
      </c>
      <c r="I3890" s="403">
        <v>1</v>
      </c>
      <c r="J3890" s="403" t="s">
        <v>1376</v>
      </c>
      <c r="K3890" s="403">
        <v>3072</v>
      </c>
      <c r="L3890" s="403">
        <v>1728</v>
      </c>
      <c r="M3890" s="403" t="s">
        <v>1284</v>
      </c>
      <c r="N3890" s="403">
        <v>640</v>
      </c>
      <c r="O3890" s="403">
        <v>480</v>
      </c>
      <c r="P3890" t="str">
        <f t="shared" si="481"/>
        <v>25fps 3072x1728 - SD VGA (cropped)</v>
      </c>
      <c r="Q3890">
        <f t="shared" si="482"/>
        <v>20</v>
      </c>
      <c r="R3890" t="str">
        <f t="shared" si="483"/>
        <v/>
      </c>
      <c r="S3890" t="str">
        <f t="shared" si="484"/>
        <v/>
      </c>
      <c r="T3890" s="403" t="str">
        <f t="shared" si="485"/>
        <v>NDE-8503-RT</v>
      </c>
      <c r="U3890" s="403">
        <f t="shared" si="486"/>
        <v>1</v>
      </c>
      <c r="V3890" s="403" t="str">
        <f t="shared" si="487"/>
        <v>CPP_7_3</v>
      </c>
    </row>
    <row r="3891" spans="1:22">
      <c r="A3891" t="str">
        <f t="shared" si="480"/>
        <v>NDE-8503-RT</v>
      </c>
      <c r="B3891" s="403" t="s">
        <v>1410</v>
      </c>
      <c r="C3891" s="403" t="s">
        <v>582</v>
      </c>
      <c r="D3891" s="403" t="s">
        <v>1414</v>
      </c>
      <c r="E3891" s="403" t="s">
        <v>1412</v>
      </c>
      <c r="F3891" s="403" t="s">
        <v>1385</v>
      </c>
      <c r="G3891" s="403" t="s">
        <v>1466</v>
      </c>
      <c r="H3891" s="403" t="s">
        <v>1281</v>
      </c>
      <c r="I3891" s="403">
        <v>1</v>
      </c>
      <c r="J3891" s="403" t="s">
        <v>1376</v>
      </c>
      <c r="K3891" s="403">
        <v>3072</v>
      </c>
      <c r="L3891" s="403">
        <v>1728</v>
      </c>
      <c r="M3891" s="403" t="s">
        <v>1285</v>
      </c>
      <c r="N3891" s="403">
        <v>1280</v>
      </c>
      <c r="O3891" s="403">
        <v>1024</v>
      </c>
      <c r="P3891" t="str">
        <f t="shared" si="481"/>
        <v>25fps 3072x1728 - 1280x1024 5:4 (cropped)</v>
      </c>
      <c r="Q3891">
        <f t="shared" si="482"/>
        <v>20</v>
      </c>
      <c r="R3891" t="str">
        <f t="shared" si="483"/>
        <v/>
      </c>
      <c r="S3891" t="str">
        <f t="shared" si="484"/>
        <v/>
      </c>
      <c r="T3891" s="403" t="str">
        <f t="shared" si="485"/>
        <v>NDE-8503-RT</v>
      </c>
      <c r="U3891" s="403">
        <f t="shared" si="486"/>
        <v>1</v>
      </c>
      <c r="V3891" s="403" t="str">
        <f t="shared" si="487"/>
        <v>CPP_7_3</v>
      </c>
    </row>
    <row r="3892" spans="1:22">
      <c r="A3892" t="str">
        <f t="shared" si="480"/>
        <v>NDE-8503-RT</v>
      </c>
      <c r="B3892" s="403" t="s">
        <v>1410</v>
      </c>
      <c r="C3892" s="403" t="s">
        <v>582</v>
      </c>
      <c r="D3892" s="403" t="s">
        <v>1414</v>
      </c>
      <c r="E3892" s="403" t="s">
        <v>1412</v>
      </c>
      <c r="F3892" s="403" t="s">
        <v>1385</v>
      </c>
      <c r="G3892" s="403" t="s">
        <v>1466</v>
      </c>
      <c r="H3892" s="403" t="s">
        <v>1281</v>
      </c>
      <c r="I3892" s="403">
        <v>1</v>
      </c>
      <c r="J3892" s="403" t="s">
        <v>1376</v>
      </c>
      <c r="K3892" s="403">
        <v>3072</v>
      </c>
      <c r="L3892" s="403">
        <v>1728</v>
      </c>
      <c r="M3892" s="403" t="s">
        <v>1383</v>
      </c>
      <c r="N3892" s="403">
        <v>1920</v>
      </c>
      <c r="O3892" s="403">
        <v>1440</v>
      </c>
      <c r="P3892" t="str">
        <f t="shared" si="481"/>
        <v>25fps 3072x1728 - 1920x1440_CROP</v>
      </c>
      <c r="Q3892">
        <f t="shared" si="482"/>
        <v>20</v>
      </c>
      <c r="R3892" t="str">
        <f t="shared" si="483"/>
        <v/>
      </c>
      <c r="S3892" t="str">
        <f t="shared" si="484"/>
        <v/>
      </c>
      <c r="T3892" s="403" t="str">
        <f t="shared" si="485"/>
        <v>NDE-8503-RT</v>
      </c>
      <c r="U3892" s="403">
        <f t="shared" si="486"/>
        <v>1</v>
      </c>
      <c r="V3892" s="403" t="str">
        <f t="shared" si="487"/>
        <v>CPP_7_3</v>
      </c>
    </row>
    <row r="3893" spans="1:22">
      <c r="A3893" t="str">
        <f t="shared" si="480"/>
        <v>NDE-8503-RT</v>
      </c>
      <c r="B3893" s="403" t="s">
        <v>1410</v>
      </c>
      <c r="C3893" s="403" t="s">
        <v>582</v>
      </c>
      <c r="D3893" s="403" t="s">
        <v>1414</v>
      </c>
      <c r="E3893" s="403" t="s">
        <v>1412</v>
      </c>
      <c r="F3893" s="403" t="s">
        <v>1385</v>
      </c>
      <c r="G3893" s="403" t="s">
        <v>1466</v>
      </c>
      <c r="H3893" s="403" t="s">
        <v>1281</v>
      </c>
      <c r="I3893" s="403">
        <v>1</v>
      </c>
      <c r="J3893" s="403" t="s">
        <v>1373</v>
      </c>
      <c r="K3893" s="403">
        <v>2688</v>
      </c>
      <c r="L3893" s="403">
        <v>1512</v>
      </c>
      <c r="M3893" s="403" t="s">
        <v>110</v>
      </c>
      <c r="N3893" s="403">
        <v>1920</v>
      </c>
      <c r="O3893" s="403">
        <v>1080</v>
      </c>
      <c r="P3893" t="str">
        <f t="shared" si="481"/>
        <v>25fps 2688x1512 - 1080p</v>
      </c>
      <c r="Q3893">
        <f t="shared" si="482"/>
        <v>20</v>
      </c>
      <c r="R3893" t="str">
        <f t="shared" si="483"/>
        <v/>
      </c>
      <c r="S3893" t="str">
        <f t="shared" si="484"/>
        <v/>
      </c>
      <c r="T3893" s="403" t="str">
        <f t="shared" si="485"/>
        <v>NDE-8503-RT</v>
      </c>
      <c r="U3893" s="403">
        <f t="shared" si="486"/>
        <v>1</v>
      </c>
      <c r="V3893" s="403" t="str">
        <f t="shared" si="487"/>
        <v>CPP_7_3</v>
      </c>
    </row>
    <row r="3894" spans="1:22">
      <c r="A3894" t="str">
        <f t="shared" si="480"/>
        <v>NDE-8503-RT</v>
      </c>
      <c r="B3894" s="403" t="s">
        <v>1410</v>
      </c>
      <c r="C3894" s="403" t="s">
        <v>582</v>
      </c>
      <c r="D3894" s="403" t="s">
        <v>1414</v>
      </c>
      <c r="E3894" s="403" t="s">
        <v>1412</v>
      </c>
      <c r="F3894" s="403" t="s">
        <v>1385</v>
      </c>
      <c r="G3894" s="403" t="s">
        <v>1466</v>
      </c>
      <c r="H3894" s="403" t="s">
        <v>1281</v>
      </c>
      <c r="I3894" s="403">
        <v>1</v>
      </c>
      <c r="J3894" s="403" t="s">
        <v>1373</v>
      </c>
      <c r="K3894" s="403">
        <v>2688</v>
      </c>
      <c r="L3894" s="403">
        <v>1512</v>
      </c>
      <c r="M3894" s="403" t="s">
        <v>1384</v>
      </c>
      <c r="N3894" s="403">
        <v>2688</v>
      </c>
      <c r="O3894" s="403">
        <v>1512</v>
      </c>
      <c r="P3894" t="str">
        <f t="shared" si="481"/>
        <v>25fps 2688x1512 - 2688x1512 @ SKIP 2</v>
      </c>
      <c r="Q3894">
        <f t="shared" si="482"/>
        <v>20</v>
      </c>
      <c r="R3894" t="str">
        <f t="shared" si="483"/>
        <v/>
      </c>
      <c r="S3894" t="str">
        <f t="shared" si="484"/>
        <v/>
      </c>
      <c r="T3894" s="403" t="str">
        <f t="shared" si="485"/>
        <v>NDE-8503-RT</v>
      </c>
      <c r="U3894" s="403">
        <f t="shared" si="486"/>
        <v>1</v>
      </c>
      <c r="V3894" s="403" t="str">
        <f t="shared" si="487"/>
        <v>CPP_7_3</v>
      </c>
    </row>
    <row r="3895" spans="1:22">
      <c r="A3895" t="str">
        <f t="shared" si="480"/>
        <v>NDE-8503-RT</v>
      </c>
      <c r="B3895" s="403" t="s">
        <v>1410</v>
      </c>
      <c r="C3895" s="403" t="s">
        <v>582</v>
      </c>
      <c r="D3895" s="403" t="s">
        <v>1414</v>
      </c>
      <c r="E3895" s="403" t="s">
        <v>1412</v>
      </c>
      <c r="F3895" s="403" t="s">
        <v>1385</v>
      </c>
      <c r="G3895" s="403" t="s">
        <v>1466</v>
      </c>
      <c r="H3895" s="403" t="s">
        <v>1281</v>
      </c>
      <c r="I3895" s="403">
        <v>1</v>
      </c>
      <c r="J3895" s="403" t="s">
        <v>1373</v>
      </c>
      <c r="K3895" s="403">
        <v>2688</v>
      </c>
      <c r="L3895" s="403">
        <v>1512</v>
      </c>
      <c r="M3895" s="403" t="s">
        <v>109</v>
      </c>
      <c r="N3895" s="403">
        <v>1280</v>
      </c>
      <c r="O3895" s="403">
        <v>720</v>
      </c>
      <c r="P3895" t="str">
        <f t="shared" si="481"/>
        <v>25fps 2688x1512 - 720p</v>
      </c>
      <c r="Q3895">
        <f t="shared" si="482"/>
        <v>20</v>
      </c>
      <c r="R3895" t="str">
        <f t="shared" si="483"/>
        <v/>
      </c>
      <c r="S3895" t="str">
        <f t="shared" si="484"/>
        <v/>
      </c>
      <c r="T3895" s="403" t="str">
        <f t="shared" si="485"/>
        <v>NDE-8503-RT</v>
      </c>
      <c r="U3895" s="403">
        <f t="shared" si="486"/>
        <v>1</v>
      </c>
      <c r="V3895" s="403" t="str">
        <f t="shared" si="487"/>
        <v>CPP_7_3</v>
      </c>
    </row>
    <row r="3896" spans="1:22">
      <c r="A3896" t="str">
        <f t="shared" si="480"/>
        <v>NDE-8503-RT</v>
      </c>
      <c r="B3896" s="403" t="s">
        <v>1410</v>
      </c>
      <c r="C3896" s="403" t="s">
        <v>582</v>
      </c>
      <c r="D3896" s="403" t="s">
        <v>1414</v>
      </c>
      <c r="E3896" s="403" t="s">
        <v>1412</v>
      </c>
      <c r="F3896" s="403" t="s">
        <v>1385</v>
      </c>
      <c r="G3896" s="403" t="s">
        <v>1466</v>
      </c>
      <c r="H3896" s="403" t="s">
        <v>1281</v>
      </c>
      <c r="I3896" s="403">
        <v>1</v>
      </c>
      <c r="J3896" s="403" t="s">
        <v>1373</v>
      </c>
      <c r="K3896" s="403">
        <v>2688</v>
      </c>
      <c r="L3896" s="403">
        <v>1512</v>
      </c>
      <c r="M3896" s="403" t="s">
        <v>111</v>
      </c>
      <c r="N3896" s="403">
        <v>768</v>
      </c>
      <c r="O3896" s="403">
        <v>432</v>
      </c>
      <c r="P3896" t="str">
        <f t="shared" si="481"/>
        <v>25fps 2688x1512 - SD</v>
      </c>
      <c r="Q3896">
        <f t="shared" si="482"/>
        <v>20</v>
      </c>
      <c r="R3896" t="str">
        <f t="shared" si="483"/>
        <v/>
      </c>
      <c r="S3896" t="str">
        <f t="shared" si="484"/>
        <v/>
      </c>
      <c r="T3896" s="403" t="str">
        <f t="shared" si="485"/>
        <v>NDE-8503-RT</v>
      </c>
      <c r="U3896" s="403">
        <f t="shared" si="486"/>
        <v>1</v>
      </c>
      <c r="V3896" s="403" t="str">
        <f t="shared" si="487"/>
        <v>CPP_7_3</v>
      </c>
    </row>
    <row r="3897" spans="1:22">
      <c r="A3897" t="str">
        <f t="shared" si="480"/>
        <v>NDE-8503-RT</v>
      </c>
      <c r="B3897" s="403" t="s">
        <v>1410</v>
      </c>
      <c r="C3897" s="403" t="s">
        <v>582</v>
      </c>
      <c r="D3897" s="403" t="s">
        <v>1414</v>
      </c>
      <c r="E3897" s="403" t="s">
        <v>1412</v>
      </c>
      <c r="F3897" s="403" t="s">
        <v>1385</v>
      </c>
      <c r="G3897" s="403" t="s">
        <v>1466</v>
      </c>
      <c r="H3897" s="403" t="s">
        <v>1281</v>
      </c>
      <c r="I3897" s="403">
        <v>1</v>
      </c>
      <c r="J3897" s="403" t="s">
        <v>1373</v>
      </c>
      <c r="K3897" s="403">
        <v>2688</v>
      </c>
      <c r="L3897" s="403">
        <v>1512</v>
      </c>
      <c r="M3897" s="403" t="s">
        <v>1279</v>
      </c>
      <c r="N3897" s="403">
        <v>768</v>
      </c>
      <c r="O3897" s="403">
        <v>432</v>
      </c>
      <c r="P3897" t="str">
        <f t="shared" si="481"/>
        <v>25fps 2688x1512 - SD ROI PTZ</v>
      </c>
      <c r="Q3897">
        <f t="shared" si="482"/>
        <v>20</v>
      </c>
      <c r="R3897" t="str">
        <f t="shared" si="483"/>
        <v/>
      </c>
      <c r="S3897" t="str">
        <f t="shared" si="484"/>
        <v/>
      </c>
      <c r="T3897" s="403" t="str">
        <f t="shared" si="485"/>
        <v>NDE-8503-RT</v>
      </c>
      <c r="U3897" s="403">
        <f t="shared" si="486"/>
        <v>1</v>
      </c>
      <c r="V3897" s="403" t="str">
        <f t="shared" si="487"/>
        <v>CPP_7_3</v>
      </c>
    </row>
    <row r="3898" spans="1:22">
      <c r="A3898" t="str">
        <f t="shared" si="480"/>
        <v>NDE-8503-RT</v>
      </c>
      <c r="B3898" s="403" t="s">
        <v>1410</v>
      </c>
      <c r="C3898" s="403" t="s">
        <v>582</v>
      </c>
      <c r="D3898" s="403" t="s">
        <v>1414</v>
      </c>
      <c r="E3898" s="403" t="s">
        <v>1412</v>
      </c>
      <c r="F3898" s="403" t="s">
        <v>1385</v>
      </c>
      <c r="G3898" s="403" t="s">
        <v>1466</v>
      </c>
      <c r="H3898" s="403" t="s">
        <v>1281</v>
      </c>
      <c r="I3898" s="403">
        <v>1</v>
      </c>
      <c r="J3898" s="403" t="s">
        <v>1373</v>
      </c>
      <c r="K3898" s="403">
        <v>2688</v>
      </c>
      <c r="L3898" s="403">
        <v>1512</v>
      </c>
      <c r="M3898" s="403" t="s">
        <v>1285</v>
      </c>
      <c r="N3898" s="403">
        <v>1280</v>
      </c>
      <c r="O3898" s="403">
        <v>1024</v>
      </c>
      <c r="P3898" t="str">
        <f t="shared" si="481"/>
        <v>25fps 2688x1512 - 1280x1024 5:4 (cropped)</v>
      </c>
      <c r="Q3898">
        <f t="shared" si="482"/>
        <v>20</v>
      </c>
      <c r="R3898" t="str">
        <f t="shared" si="483"/>
        <v/>
      </c>
      <c r="S3898" t="str">
        <f t="shared" si="484"/>
        <v/>
      </c>
      <c r="T3898" s="403" t="str">
        <f t="shared" si="485"/>
        <v>NDE-8503-RT</v>
      </c>
      <c r="U3898" s="403">
        <f t="shared" si="486"/>
        <v>1</v>
      </c>
      <c r="V3898" s="403" t="str">
        <f t="shared" si="487"/>
        <v>CPP_7_3</v>
      </c>
    </row>
    <row r="3899" spans="1:22">
      <c r="A3899" t="str">
        <f t="shared" si="480"/>
        <v>NDE-8503-RT</v>
      </c>
      <c r="B3899" s="403" t="s">
        <v>1410</v>
      </c>
      <c r="C3899" s="403" t="s">
        <v>582</v>
      </c>
      <c r="D3899" s="403" t="s">
        <v>1414</v>
      </c>
      <c r="E3899" s="403" t="s">
        <v>1412</v>
      </c>
      <c r="F3899" s="403" t="s">
        <v>1385</v>
      </c>
      <c r="G3899" s="403" t="s">
        <v>1466</v>
      </c>
      <c r="H3899" s="403" t="s">
        <v>1281</v>
      </c>
      <c r="I3899" s="403">
        <v>1</v>
      </c>
      <c r="J3899" s="403" t="s">
        <v>1373</v>
      </c>
      <c r="K3899" s="403">
        <v>2688</v>
      </c>
      <c r="L3899" s="403">
        <v>1512</v>
      </c>
      <c r="M3899" s="403" t="s">
        <v>1283</v>
      </c>
      <c r="N3899" s="403">
        <v>720</v>
      </c>
      <c r="O3899" s="403">
        <v>576</v>
      </c>
      <c r="P3899" t="str">
        <f t="shared" si="481"/>
        <v>25fps 2688x1512 - SD 4CIF resolution 4:3 format (cropped)</v>
      </c>
      <c r="Q3899">
        <f t="shared" si="482"/>
        <v>20</v>
      </c>
      <c r="R3899" t="str">
        <f t="shared" si="483"/>
        <v/>
      </c>
      <c r="S3899" t="str">
        <f t="shared" si="484"/>
        <v/>
      </c>
      <c r="T3899" s="403" t="str">
        <f t="shared" si="485"/>
        <v>NDE-8503-RT</v>
      </c>
      <c r="U3899" s="403">
        <f t="shared" si="486"/>
        <v>1</v>
      </c>
      <c r="V3899" s="403" t="str">
        <f t="shared" si="487"/>
        <v>CPP_7_3</v>
      </c>
    </row>
    <row r="3900" spans="1:22">
      <c r="A3900" t="str">
        <f t="shared" si="480"/>
        <v>NDE-8503-RT</v>
      </c>
      <c r="B3900" s="403" t="s">
        <v>1410</v>
      </c>
      <c r="C3900" s="403" t="s">
        <v>582</v>
      </c>
      <c r="D3900" s="403" t="s">
        <v>1414</v>
      </c>
      <c r="E3900" s="403" t="s">
        <v>1412</v>
      </c>
      <c r="F3900" s="403" t="s">
        <v>1385</v>
      </c>
      <c r="G3900" s="403" t="s">
        <v>1466</v>
      </c>
      <c r="H3900" s="403" t="s">
        <v>1281</v>
      </c>
      <c r="I3900" s="403">
        <v>1</v>
      </c>
      <c r="J3900" s="403" t="s">
        <v>1373</v>
      </c>
      <c r="K3900" s="403">
        <v>2688</v>
      </c>
      <c r="L3900" s="403">
        <v>1512</v>
      </c>
      <c r="M3900" s="403" t="s">
        <v>1284</v>
      </c>
      <c r="N3900" s="403">
        <v>640</v>
      </c>
      <c r="O3900" s="403">
        <v>480</v>
      </c>
      <c r="P3900" t="str">
        <f t="shared" si="481"/>
        <v>25fps 2688x1512 - SD VGA (cropped)</v>
      </c>
      <c r="Q3900">
        <f t="shared" si="482"/>
        <v>20</v>
      </c>
      <c r="R3900" t="str">
        <f t="shared" si="483"/>
        <v/>
      </c>
      <c r="S3900" t="str">
        <f t="shared" si="484"/>
        <v/>
      </c>
      <c r="T3900" s="403" t="str">
        <f t="shared" si="485"/>
        <v>NDE-8503-RT</v>
      </c>
      <c r="U3900" s="403">
        <f t="shared" si="486"/>
        <v>1</v>
      </c>
      <c r="V3900" s="403" t="str">
        <f t="shared" si="487"/>
        <v>CPP_7_3</v>
      </c>
    </row>
    <row r="3901" spans="1:22">
      <c r="A3901" t="str">
        <f t="shared" si="480"/>
        <v>NDE-8503-RT</v>
      </c>
      <c r="B3901" s="403" t="s">
        <v>1410</v>
      </c>
      <c r="C3901" s="403" t="s">
        <v>582</v>
      </c>
      <c r="D3901" s="403" t="s">
        <v>1414</v>
      </c>
      <c r="E3901" s="403" t="s">
        <v>1412</v>
      </c>
      <c r="F3901" s="403" t="s">
        <v>1385</v>
      </c>
      <c r="G3901" s="403" t="s">
        <v>1466</v>
      </c>
      <c r="H3901" s="403" t="s">
        <v>1281</v>
      </c>
      <c r="I3901" s="403">
        <v>1</v>
      </c>
      <c r="J3901" s="403" t="s">
        <v>1373</v>
      </c>
      <c r="K3901" s="403">
        <v>2688</v>
      </c>
      <c r="L3901" s="403">
        <v>1512</v>
      </c>
      <c r="M3901" s="403" t="s">
        <v>1280</v>
      </c>
      <c r="N3901" s="403">
        <v>2688</v>
      </c>
      <c r="O3901" s="403">
        <v>1512</v>
      </c>
      <c r="P3901" t="str">
        <f t="shared" si="481"/>
        <v>25fps 2688x1512 - copy other stream</v>
      </c>
      <c r="Q3901">
        <f t="shared" si="482"/>
        <v>20</v>
      </c>
      <c r="R3901" t="str">
        <f t="shared" si="483"/>
        <v/>
      </c>
      <c r="S3901" t="str">
        <f t="shared" si="484"/>
        <v/>
      </c>
      <c r="T3901" s="403" t="str">
        <f t="shared" si="485"/>
        <v>NDE-8503-RT</v>
      </c>
      <c r="U3901" s="403">
        <f t="shared" si="486"/>
        <v>1</v>
      </c>
      <c r="V3901" s="403" t="str">
        <f t="shared" si="487"/>
        <v>CPP_7_3</v>
      </c>
    </row>
    <row r="3902" spans="1:22">
      <c r="A3902" t="str">
        <f t="shared" si="480"/>
        <v>NDE-8503-RT</v>
      </c>
      <c r="B3902" s="403" t="s">
        <v>1410</v>
      </c>
      <c r="C3902" s="403" t="s">
        <v>582</v>
      </c>
      <c r="D3902" s="403" t="s">
        <v>1414</v>
      </c>
      <c r="E3902" s="403" t="s">
        <v>1412</v>
      </c>
      <c r="F3902" s="403" t="s">
        <v>1385</v>
      </c>
      <c r="G3902" s="403" t="s">
        <v>1466</v>
      </c>
      <c r="H3902" s="403" t="s">
        <v>1281</v>
      </c>
      <c r="I3902" s="403">
        <v>1</v>
      </c>
      <c r="J3902" s="403" t="s">
        <v>1374</v>
      </c>
      <c r="K3902" s="403">
        <v>2304</v>
      </c>
      <c r="L3902" s="403">
        <v>1296</v>
      </c>
      <c r="M3902" s="403" t="s">
        <v>110</v>
      </c>
      <c r="N3902" s="403">
        <v>1920</v>
      </c>
      <c r="O3902" s="403">
        <v>1080</v>
      </c>
      <c r="P3902" t="str">
        <f t="shared" si="481"/>
        <v>25fps 2304x1296 - 1080p</v>
      </c>
      <c r="Q3902">
        <f t="shared" si="482"/>
        <v>20</v>
      </c>
      <c r="R3902" t="str">
        <f t="shared" si="483"/>
        <v/>
      </c>
      <c r="S3902" t="str">
        <f t="shared" si="484"/>
        <v/>
      </c>
      <c r="T3902" s="403" t="str">
        <f t="shared" si="485"/>
        <v>NDE-8503-RT</v>
      </c>
      <c r="U3902" s="403">
        <f t="shared" si="486"/>
        <v>1</v>
      </c>
      <c r="V3902" s="403" t="str">
        <f t="shared" si="487"/>
        <v>CPP_7_3</v>
      </c>
    </row>
    <row r="3903" spans="1:22">
      <c r="A3903" t="str">
        <f t="shared" si="480"/>
        <v>NDE-8503-RT</v>
      </c>
      <c r="B3903" s="403" t="s">
        <v>1410</v>
      </c>
      <c r="C3903" s="403" t="s">
        <v>582</v>
      </c>
      <c r="D3903" s="403" t="s">
        <v>1414</v>
      </c>
      <c r="E3903" s="403" t="s">
        <v>1412</v>
      </c>
      <c r="F3903" s="403" t="s">
        <v>1385</v>
      </c>
      <c r="G3903" s="403" t="s">
        <v>1466</v>
      </c>
      <c r="H3903" s="403" t="s">
        <v>1281</v>
      </c>
      <c r="I3903" s="403">
        <v>1</v>
      </c>
      <c r="J3903" s="403" t="s">
        <v>1374</v>
      </c>
      <c r="K3903" s="403">
        <v>2304</v>
      </c>
      <c r="L3903" s="403">
        <v>1296</v>
      </c>
      <c r="M3903" s="403" t="s">
        <v>1374</v>
      </c>
      <c r="N3903" s="403">
        <v>2304</v>
      </c>
      <c r="O3903" s="403">
        <v>1296</v>
      </c>
      <c r="P3903" t="str">
        <f t="shared" si="481"/>
        <v>25fps 2304x1296 - 2304x1296</v>
      </c>
      <c r="Q3903">
        <f t="shared" si="482"/>
        <v>20</v>
      </c>
      <c r="R3903" t="str">
        <f t="shared" si="483"/>
        <v/>
      </c>
      <c r="S3903" t="str">
        <f t="shared" si="484"/>
        <v/>
      </c>
      <c r="T3903" s="403" t="str">
        <f t="shared" si="485"/>
        <v>NDE-8503-RT</v>
      </c>
      <c r="U3903" s="403">
        <f t="shared" si="486"/>
        <v>1</v>
      </c>
      <c r="V3903" s="403" t="str">
        <f t="shared" si="487"/>
        <v>CPP_7_3</v>
      </c>
    </row>
    <row r="3904" spans="1:22">
      <c r="A3904" t="str">
        <f t="shared" si="480"/>
        <v>NDE-8503-RT</v>
      </c>
      <c r="B3904" s="403" t="s">
        <v>1410</v>
      </c>
      <c r="C3904" s="403" t="s">
        <v>582</v>
      </c>
      <c r="D3904" s="403" t="s">
        <v>1414</v>
      </c>
      <c r="E3904" s="403" t="s">
        <v>1412</v>
      </c>
      <c r="F3904" s="403" t="s">
        <v>1385</v>
      </c>
      <c r="G3904" s="403" t="s">
        <v>1466</v>
      </c>
      <c r="H3904" s="403" t="s">
        <v>1281</v>
      </c>
      <c r="I3904" s="403">
        <v>1</v>
      </c>
      <c r="J3904" s="403" t="s">
        <v>1374</v>
      </c>
      <c r="K3904" s="403">
        <v>2304</v>
      </c>
      <c r="L3904" s="403">
        <v>1296</v>
      </c>
      <c r="M3904" s="403" t="s">
        <v>109</v>
      </c>
      <c r="N3904" s="403">
        <v>1280</v>
      </c>
      <c r="O3904" s="403">
        <v>720</v>
      </c>
      <c r="P3904" t="str">
        <f t="shared" si="481"/>
        <v>25fps 2304x1296 - 720p</v>
      </c>
      <c r="Q3904">
        <f t="shared" si="482"/>
        <v>20</v>
      </c>
      <c r="R3904" t="str">
        <f t="shared" si="483"/>
        <v/>
      </c>
      <c r="S3904" t="str">
        <f t="shared" si="484"/>
        <v/>
      </c>
      <c r="T3904" s="403" t="str">
        <f t="shared" si="485"/>
        <v>NDE-8503-RT</v>
      </c>
      <c r="U3904" s="403">
        <f t="shared" si="486"/>
        <v>1</v>
      </c>
      <c r="V3904" s="403" t="str">
        <f t="shared" si="487"/>
        <v>CPP_7_3</v>
      </c>
    </row>
    <row r="3905" spans="1:22">
      <c r="A3905" t="str">
        <f t="shared" si="480"/>
        <v>NDE-8503-RT</v>
      </c>
      <c r="B3905" s="403" t="s">
        <v>1410</v>
      </c>
      <c r="C3905" s="403" t="s">
        <v>582</v>
      </c>
      <c r="D3905" s="403" t="s">
        <v>1414</v>
      </c>
      <c r="E3905" s="403" t="s">
        <v>1412</v>
      </c>
      <c r="F3905" s="403" t="s">
        <v>1385</v>
      </c>
      <c r="G3905" s="403" t="s">
        <v>1466</v>
      </c>
      <c r="H3905" s="403" t="s">
        <v>1281</v>
      </c>
      <c r="I3905" s="403">
        <v>1</v>
      </c>
      <c r="J3905" s="403" t="s">
        <v>1374</v>
      </c>
      <c r="K3905" s="403">
        <v>2304</v>
      </c>
      <c r="L3905" s="403">
        <v>1296</v>
      </c>
      <c r="M3905" s="403" t="s">
        <v>111</v>
      </c>
      <c r="N3905" s="403">
        <v>768</v>
      </c>
      <c r="O3905" s="403">
        <v>432</v>
      </c>
      <c r="P3905" t="str">
        <f t="shared" si="481"/>
        <v>25fps 2304x1296 - SD</v>
      </c>
      <c r="Q3905">
        <f t="shared" si="482"/>
        <v>20</v>
      </c>
      <c r="R3905" t="str">
        <f t="shared" si="483"/>
        <v/>
      </c>
      <c r="S3905" t="str">
        <f t="shared" si="484"/>
        <v/>
      </c>
      <c r="T3905" s="403" t="str">
        <f t="shared" si="485"/>
        <v>NDE-8503-RT</v>
      </c>
      <c r="U3905" s="403">
        <f t="shared" si="486"/>
        <v>1</v>
      </c>
      <c r="V3905" s="403" t="str">
        <f t="shared" si="487"/>
        <v>CPP_7_3</v>
      </c>
    </row>
    <row r="3906" spans="1:22">
      <c r="A3906" t="str">
        <f t="shared" ref="A3906:A3969" si="488">IF(AND(G3906&lt;&gt;"rotate 90°"),D3906,"")</f>
        <v>NDE-8503-RT</v>
      </c>
      <c r="B3906" s="403" t="s">
        <v>1410</v>
      </c>
      <c r="C3906" s="403" t="s">
        <v>582</v>
      </c>
      <c r="D3906" s="403" t="s">
        <v>1414</v>
      </c>
      <c r="E3906" s="403" t="s">
        <v>1412</v>
      </c>
      <c r="F3906" s="403" t="s">
        <v>1385</v>
      </c>
      <c r="G3906" s="403" t="s">
        <v>1466</v>
      </c>
      <c r="H3906" s="403" t="s">
        <v>1281</v>
      </c>
      <c r="I3906" s="403">
        <v>1</v>
      </c>
      <c r="J3906" s="403" t="s">
        <v>1374</v>
      </c>
      <c r="K3906" s="403">
        <v>2304</v>
      </c>
      <c r="L3906" s="403">
        <v>1296</v>
      </c>
      <c r="M3906" s="403" t="s">
        <v>1279</v>
      </c>
      <c r="N3906" s="403">
        <v>768</v>
      </c>
      <c r="O3906" s="403">
        <v>432</v>
      </c>
      <c r="P3906" t="str">
        <f t="shared" ref="P3906:P3969" si="489">LEFT(F3906,5)&amp;" "&amp;J3906&amp;" - "&amp;M3906</f>
        <v>25fps 2304x1296 - SD ROI PTZ</v>
      </c>
      <c r="Q3906">
        <f t="shared" ref="Q3906:Q3969" si="490">IF(A3905=A3906,Q3905,Q3905+1)</f>
        <v>20</v>
      </c>
      <c r="R3906" t="str">
        <f t="shared" ref="R3906:R3969" si="491">IF(Q3905&lt;&gt;Q3906,Q3906,"")</f>
        <v/>
      </c>
      <c r="S3906" t="str">
        <f t="shared" ref="S3906:S3969" si="492">IF(R3906&lt;&gt;"",B3906&amp;" ("&amp;D3906&amp;")","")</f>
        <v/>
      </c>
      <c r="T3906" s="403" t="str">
        <f t="shared" ref="T3906:T3969" si="493">D3906</f>
        <v>NDE-8503-RT</v>
      </c>
      <c r="U3906" s="403">
        <f t="shared" ref="U3906:U3969" si="494">I3906</f>
        <v>1</v>
      </c>
      <c r="V3906" s="403" t="str">
        <f t="shared" ref="V3906:V3969" si="495">C3906</f>
        <v>CPP_7_3</v>
      </c>
    </row>
    <row r="3907" spans="1:22">
      <c r="A3907" t="str">
        <f t="shared" si="488"/>
        <v>NDE-8503-RT</v>
      </c>
      <c r="B3907" s="403" t="s">
        <v>1410</v>
      </c>
      <c r="C3907" s="403" t="s">
        <v>582</v>
      </c>
      <c r="D3907" s="403" t="s">
        <v>1414</v>
      </c>
      <c r="E3907" s="403" t="s">
        <v>1412</v>
      </c>
      <c r="F3907" s="403" t="s">
        <v>1385</v>
      </c>
      <c r="G3907" s="403" t="s">
        <v>1466</v>
      </c>
      <c r="H3907" s="403" t="s">
        <v>1281</v>
      </c>
      <c r="I3907" s="403">
        <v>1</v>
      </c>
      <c r="J3907" s="403" t="s">
        <v>1374</v>
      </c>
      <c r="K3907" s="403">
        <v>2304</v>
      </c>
      <c r="L3907" s="403">
        <v>1296</v>
      </c>
      <c r="M3907" s="403" t="s">
        <v>1285</v>
      </c>
      <c r="N3907" s="403">
        <v>1280</v>
      </c>
      <c r="O3907" s="403">
        <v>1024</v>
      </c>
      <c r="P3907" t="str">
        <f t="shared" si="489"/>
        <v>25fps 2304x1296 - 1280x1024 5:4 (cropped)</v>
      </c>
      <c r="Q3907">
        <f t="shared" si="490"/>
        <v>20</v>
      </c>
      <c r="R3907" t="str">
        <f t="shared" si="491"/>
        <v/>
      </c>
      <c r="S3907" t="str">
        <f t="shared" si="492"/>
        <v/>
      </c>
      <c r="T3907" s="403" t="str">
        <f t="shared" si="493"/>
        <v>NDE-8503-RT</v>
      </c>
      <c r="U3907" s="403">
        <f t="shared" si="494"/>
        <v>1</v>
      </c>
      <c r="V3907" s="403" t="str">
        <f t="shared" si="495"/>
        <v>CPP_7_3</v>
      </c>
    </row>
    <row r="3908" spans="1:22">
      <c r="A3908" t="str">
        <f t="shared" si="488"/>
        <v>NDE-8503-RT</v>
      </c>
      <c r="B3908" s="403" t="s">
        <v>1410</v>
      </c>
      <c r="C3908" s="403" t="s">
        <v>582</v>
      </c>
      <c r="D3908" s="403" t="s">
        <v>1414</v>
      </c>
      <c r="E3908" s="403" t="s">
        <v>1412</v>
      </c>
      <c r="F3908" s="403" t="s">
        <v>1385</v>
      </c>
      <c r="G3908" s="403" t="s">
        <v>1466</v>
      </c>
      <c r="H3908" s="403" t="s">
        <v>1281</v>
      </c>
      <c r="I3908" s="403">
        <v>1</v>
      </c>
      <c r="J3908" s="403" t="s">
        <v>1374</v>
      </c>
      <c r="K3908" s="403">
        <v>2304</v>
      </c>
      <c r="L3908" s="403">
        <v>1296</v>
      </c>
      <c r="M3908" s="403" t="s">
        <v>1283</v>
      </c>
      <c r="N3908" s="403">
        <v>720</v>
      </c>
      <c r="O3908" s="403">
        <v>576</v>
      </c>
      <c r="P3908" t="str">
        <f t="shared" si="489"/>
        <v>25fps 2304x1296 - SD 4CIF resolution 4:3 format (cropped)</v>
      </c>
      <c r="Q3908">
        <f t="shared" si="490"/>
        <v>20</v>
      </c>
      <c r="R3908" t="str">
        <f t="shared" si="491"/>
        <v/>
      </c>
      <c r="S3908" t="str">
        <f t="shared" si="492"/>
        <v/>
      </c>
      <c r="T3908" s="403" t="str">
        <f t="shared" si="493"/>
        <v>NDE-8503-RT</v>
      </c>
      <c r="U3908" s="403">
        <f t="shared" si="494"/>
        <v>1</v>
      </c>
      <c r="V3908" s="403" t="str">
        <f t="shared" si="495"/>
        <v>CPP_7_3</v>
      </c>
    </row>
    <row r="3909" spans="1:22">
      <c r="A3909" t="str">
        <f t="shared" si="488"/>
        <v>NDE-8503-RT</v>
      </c>
      <c r="B3909" s="403" t="s">
        <v>1410</v>
      </c>
      <c r="C3909" s="403" t="s">
        <v>582</v>
      </c>
      <c r="D3909" s="403" t="s">
        <v>1414</v>
      </c>
      <c r="E3909" s="403" t="s">
        <v>1412</v>
      </c>
      <c r="F3909" s="403" t="s">
        <v>1385</v>
      </c>
      <c r="G3909" s="403" t="s">
        <v>1466</v>
      </c>
      <c r="H3909" s="403" t="s">
        <v>1281</v>
      </c>
      <c r="I3909" s="403">
        <v>1</v>
      </c>
      <c r="J3909" s="403" t="s">
        <v>1374</v>
      </c>
      <c r="K3909" s="403">
        <v>2304</v>
      </c>
      <c r="L3909" s="403">
        <v>1296</v>
      </c>
      <c r="M3909" s="403" t="s">
        <v>1284</v>
      </c>
      <c r="N3909" s="403">
        <v>640</v>
      </c>
      <c r="O3909" s="403">
        <v>480</v>
      </c>
      <c r="P3909" t="str">
        <f t="shared" si="489"/>
        <v>25fps 2304x1296 - SD VGA (cropped)</v>
      </c>
      <c r="Q3909">
        <f t="shared" si="490"/>
        <v>20</v>
      </c>
      <c r="R3909" t="str">
        <f t="shared" si="491"/>
        <v/>
      </c>
      <c r="S3909" t="str">
        <f t="shared" si="492"/>
        <v/>
      </c>
      <c r="T3909" s="403" t="str">
        <f t="shared" si="493"/>
        <v>NDE-8503-RT</v>
      </c>
      <c r="U3909" s="403">
        <f t="shared" si="494"/>
        <v>1</v>
      </c>
      <c r="V3909" s="403" t="str">
        <f t="shared" si="495"/>
        <v>CPP_7_3</v>
      </c>
    </row>
    <row r="3910" spans="1:22">
      <c r="A3910" t="str">
        <f t="shared" si="488"/>
        <v>NDE-8503-RT</v>
      </c>
      <c r="B3910" s="403" t="s">
        <v>1410</v>
      </c>
      <c r="C3910" s="403" t="s">
        <v>582</v>
      </c>
      <c r="D3910" s="403" t="s">
        <v>1414</v>
      </c>
      <c r="E3910" s="403" t="s">
        <v>1412</v>
      </c>
      <c r="F3910" s="403" t="s">
        <v>1385</v>
      </c>
      <c r="G3910" s="403" t="s">
        <v>1466</v>
      </c>
      <c r="H3910" s="403" t="s">
        <v>1281</v>
      </c>
      <c r="I3910" s="403">
        <v>1</v>
      </c>
      <c r="J3910" s="403" t="s">
        <v>1374</v>
      </c>
      <c r="K3910" s="403">
        <v>2304</v>
      </c>
      <c r="L3910" s="403">
        <v>1296</v>
      </c>
      <c r="M3910" s="403" t="s">
        <v>1280</v>
      </c>
      <c r="N3910" s="403">
        <v>2304</v>
      </c>
      <c r="O3910" s="403">
        <v>1296</v>
      </c>
      <c r="P3910" t="str">
        <f t="shared" si="489"/>
        <v>25fps 2304x1296 - copy other stream</v>
      </c>
      <c r="Q3910">
        <f t="shared" si="490"/>
        <v>20</v>
      </c>
      <c r="R3910" t="str">
        <f t="shared" si="491"/>
        <v/>
      </c>
      <c r="S3910" t="str">
        <f t="shared" si="492"/>
        <v/>
      </c>
      <c r="T3910" s="403" t="str">
        <f t="shared" si="493"/>
        <v>NDE-8503-RT</v>
      </c>
      <c r="U3910" s="403">
        <f t="shared" si="494"/>
        <v>1</v>
      </c>
      <c r="V3910" s="403" t="str">
        <f t="shared" si="495"/>
        <v>CPP_7_3</v>
      </c>
    </row>
    <row r="3911" spans="1:22">
      <c r="A3911" t="str">
        <f t="shared" si="488"/>
        <v>NDE-8503-RT</v>
      </c>
      <c r="B3911" s="403" t="s">
        <v>1410</v>
      </c>
      <c r="C3911" s="403" t="s">
        <v>582</v>
      </c>
      <c r="D3911" s="403" t="s">
        <v>1414</v>
      </c>
      <c r="E3911" s="403" t="s">
        <v>1412</v>
      </c>
      <c r="F3911" s="403" t="s">
        <v>1385</v>
      </c>
      <c r="G3911" s="403" t="s">
        <v>1466</v>
      </c>
      <c r="H3911" s="403" t="s">
        <v>1281</v>
      </c>
      <c r="I3911" s="403">
        <v>1</v>
      </c>
      <c r="J3911" s="403" t="s">
        <v>110</v>
      </c>
      <c r="K3911" s="403">
        <v>1920</v>
      </c>
      <c r="L3911" s="403">
        <v>1080</v>
      </c>
      <c r="M3911" s="403" t="s">
        <v>111</v>
      </c>
      <c r="N3911" s="403">
        <v>768</v>
      </c>
      <c r="O3911" s="403">
        <v>432</v>
      </c>
      <c r="P3911" t="str">
        <f t="shared" si="489"/>
        <v>25fps 1080p - SD</v>
      </c>
      <c r="Q3911">
        <f t="shared" si="490"/>
        <v>20</v>
      </c>
      <c r="R3911" t="str">
        <f t="shared" si="491"/>
        <v/>
      </c>
      <c r="S3911" t="str">
        <f t="shared" si="492"/>
        <v/>
      </c>
      <c r="T3911" s="403" t="str">
        <f t="shared" si="493"/>
        <v>NDE-8503-RT</v>
      </c>
      <c r="U3911" s="403">
        <f t="shared" si="494"/>
        <v>1</v>
      </c>
      <c r="V3911" s="403" t="str">
        <f t="shared" si="495"/>
        <v>CPP_7_3</v>
      </c>
    </row>
    <row r="3912" spans="1:22">
      <c r="A3912" t="str">
        <f t="shared" si="488"/>
        <v>NDE-8503-RT</v>
      </c>
      <c r="B3912" s="403" t="s">
        <v>1410</v>
      </c>
      <c r="C3912" s="403" t="s">
        <v>582</v>
      </c>
      <c r="D3912" s="403" t="s">
        <v>1414</v>
      </c>
      <c r="E3912" s="403" t="s">
        <v>1412</v>
      </c>
      <c r="F3912" s="403" t="s">
        <v>1385</v>
      </c>
      <c r="G3912" s="403" t="s">
        <v>1466</v>
      </c>
      <c r="H3912" s="403" t="s">
        <v>1281</v>
      </c>
      <c r="I3912" s="403">
        <v>1</v>
      </c>
      <c r="J3912" s="403" t="s">
        <v>110</v>
      </c>
      <c r="K3912" s="403">
        <v>1920</v>
      </c>
      <c r="L3912" s="403">
        <v>1080</v>
      </c>
      <c r="M3912" s="403" t="s">
        <v>110</v>
      </c>
      <c r="N3912" s="403">
        <v>1920</v>
      </c>
      <c r="O3912" s="403">
        <v>1080</v>
      </c>
      <c r="P3912" t="str">
        <f t="shared" si="489"/>
        <v>25fps 1080p - 1080p</v>
      </c>
      <c r="Q3912">
        <f t="shared" si="490"/>
        <v>20</v>
      </c>
      <c r="R3912" t="str">
        <f t="shared" si="491"/>
        <v/>
      </c>
      <c r="S3912" t="str">
        <f t="shared" si="492"/>
        <v/>
      </c>
      <c r="T3912" s="403" t="str">
        <f t="shared" si="493"/>
        <v>NDE-8503-RT</v>
      </c>
      <c r="U3912" s="403">
        <f t="shared" si="494"/>
        <v>1</v>
      </c>
      <c r="V3912" s="403" t="str">
        <f t="shared" si="495"/>
        <v>CPP_7_3</v>
      </c>
    </row>
    <row r="3913" spans="1:22">
      <c r="A3913" t="str">
        <f t="shared" si="488"/>
        <v>NDE-8503-RT</v>
      </c>
      <c r="B3913" s="403" t="s">
        <v>1410</v>
      </c>
      <c r="C3913" s="403" t="s">
        <v>582</v>
      </c>
      <c r="D3913" s="403" t="s">
        <v>1414</v>
      </c>
      <c r="E3913" s="403" t="s">
        <v>1412</v>
      </c>
      <c r="F3913" s="403" t="s">
        <v>1385</v>
      </c>
      <c r="G3913" s="403" t="s">
        <v>1466</v>
      </c>
      <c r="H3913" s="403" t="s">
        <v>1281</v>
      </c>
      <c r="I3913" s="403">
        <v>1</v>
      </c>
      <c r="J3913" s="403" t="s">
        <v>110</v>
      </c>
      <c r="K3913" s="403">
        <v>1920</v>
      </c>
      <c r="L3913" s="403">
        <v>1080</v>
      </c>
      <c r="M3913" s="403" t="s">
        <v>109</v>
      </c>
      <c r="N3913" s="403">
        <v>1280</v>
      </c>
      <c r="O3913" s="403">
        <v>720</v>
      </c>
      <c r="P3913" t="str">
        <f t="shared" si="489"/>
        <v>25fps 1080p - 720p</v>
      </c>
      <c r="Q3913">
        <f t="shared" si="490"/>
        <v>20</v>
      </c>
      <c r="R3913" t="str">
        <f t="shared" si="491"/>
        <v/>
      </c>
      <c r="S3913" t="str">
        <f t="shared" si="492"/>
        <v/>
      </c>
      <c r="T3913" s="403" t="str">
        <f t="shared" si="493"/>
        <v>NDE-8503-RT</v>
      </c>
      <c r="U3913" s="403">
        <f t="shared" si="494"/>
        <v>1</v>
      </c>
      <c r="V3913" s="403" t="str">
        <f t="shared" si="495"/>
        <v>CPP_7_3</v>
      </c>
    </row>
    <row r="3914" spans="1:22">
      <c r="A3914" t="str">
        <f t="shared" si="488"/>
        <v>NDE-8503-RT</v>
      </c>
      <c r="B3914" s="403" t="s">
        <v>1410</v>
      </c>
      <c r="C3914" s="403" t="s">
        <v>582</v>
      </c>
      <c r="D3914" s="403" t="s">
        <v>1414</v>
      </c>
      <c r="E3914" s="403" t="s">
        <v>1412</v>
      </c>
      <c r="F3914" s="403" t="s">
        <v>1385</v>
      </c>
      <c r="G3914" s="403" t="s">
        <v>1466</v>
      </c>
      <c r="H3914" s="403" t="s">
        <v>1281</v>
      </c>
      <c r="I3914" s="403">
        <v>1</v>
      </c>
      <c r="J3914" s="403" t="s">
        <v>110</v>
      </c>
      <c r="K3914" s="403">
        <v>1920</v>
      </c>
      <c r="L3914" s="403">
        <v>1080</v>
      </c>
      <c r="M3914" s="403" t="s">
        <v>1285</v>
      </c>
      <c r="N3914" s="403">
        <v>1280</v>
      </c>
      <c r="O3914" s="403">
        <v>1024</v>
      </c>
      <c r="P3914" t="str">
        <f t="shared" si="489"/>
        <v>25fps 1080p - 1280x1024 5:4 (cropped)</v>
      </c>
      <c r="Q3914">
        <f t="shared" si="490"/>
        <v>20</v>
      </c>
      <c r="R3914" t="str">
        <f t="shared" si="491"/>
        <v/>
      </c>
      <c r="S3914" t="str">
        <f t="shared" si="492"/>
        <v/>
      </c>
      <c r="T3914" s="403" t="str">
        <f t="shared" si="493"/>
        <v>NDE-8503-RT</v>
      </c>
      <c r="U3914" s="403">
        <f t="shared" si="494"/>
        <v>1</v>
      </c>
      <c r="V3914" s="403" t="str">
        <f t="shared" si="495"/>
        <v>CPP_7_3</v>
      </c>
    </row>
    <row r="3915" spans="1:22">
      <c r="A3915" t="str">
        <f t="shared" si="488"/>
        <v>NDE-8503-RT</v>
      </c>
      <c r="B3915" s="403" t="s">
        <v>1410</v>
      </c>
      <c r="C3915" s="403" t="s">
        <v>582</v>
      </c>
      <c r="D3915" s="403" t="s">
        <v>1414</v>
      </c>
      <c r="E3915" s="403" t="s">
        <v>1412</v>
      </c>
      <c r="F3915" s="403" t="s">
        <v>1385</v>
      </c>
      <c r="G3915" s="403" t="s">
        <v>1466</v>
      </c>
      <c r="H3915" s="403" t="s">
        <v>1281</v>
      </c>
      <c r="I3915" s="403">
        <v>1</v>
      </c>
      <c r="J3915" s="403" t="s">
        <v>110</v>
      </c>
      <c r="K3915" s="403">
        <v>1920</v>
      </c>
      <c r="L3915" s="403">
        <v>1080</v>
      </c>
      <c r="M3915" s="403" t="s">
        <v>1279</v>
      </c>
      <c r="N3915" s="403">
        <v>768</v>
      </c>
      <c r="O3915" s="403">
        <v>432</v>
      </c>
      <c r="P3915" t="str">
        <f t="shared" si="489"/>
        <v>25fps 1080p - SD ROI PTZ</v>
      </c>
      <c r="Q3915">
        <f t="shared" si="490"/>
        <v>20</v>
      </c>
      <c r="R3915" t="str">
        <f t="shared" si="491"/>
        <v/>
      </c>
      <c r="S3915" t="str">
        <f t="shared" si="492"/>
        <v/>
      </c>
      <c r="T3915" s="403" t="str">
        <f t="shared" si="493"/>
        <v>NDE-8503-RT</v>
      </c>
      <c r="U3915" s="403">
        <f t="shared" si="494"/>
        <v>1</v>
      </c>
      <c r="V3915" s="403" t="str">
        <f t="shared" si="495"/>
        <v>CPP_7_3</v>
      </c>
    </row>
    <row r="3916" spans="1:22">
      <c r="A3916" t="str">
        <f t="shared" si="488"/>
        <v>NDE-8503-RT</v>
      </c>
      <c r="B3916" s="403" t="s">
        <v>1410</v>
      </c>
      <c r="C3916" s="403" t="s">
        <v>582</v>
      </c>
      <c r="D3916" s="403" t="s">
        <v>1414</v>
      </c>
      <c r="E3916" s="403" t="s">
        <v>1412</v>
      </c>
      <c r="F3916" s="403" t="s">
        <v>1385</v>
      </c>
      <c r="G3916" s="403" t="s">
        <v>1466</v>
      </c>
      <c r="H3916" s="403" t="s">
        <v>1281</v>
      </c>
      <c r="I3916" s="403">
        <v>1</v>
      </c>
      <c r="J3916" s="403" t="s">
        <v>110</v>
      </c>
      <c r="K3916" s="403">
        <v>1920</v>
      </c>
      <c r="L3916" s="403">
        <v>1080</v>
      </c>
      <c r="M3916" s="403" t="s">
        <v>1283</v>
      </c>
      <c r="N3916" s="403">
        <v>720</v>
      </c>
      <c r="O3916" s="403">
        <v>576</v>
      </c>
      <c r="P3916" t="str">
        <f t="shared" si="489"/>
        <v>25fps 1080p - SD 4CIF resolution 4:3 format (cropped)</v>
      </c>
      <c r="Q3916">
        <f t="shared" si="490"/>
        <v>20</v>
      </c>
      <c r="R3916" t="str">
        <f t="shared" si="491"/>
        <v/>
      </c>
      <c r="S3916" t="str">
        <f t="shared" si="492"/>
        <v/>
      </c>
      <c r="T3916" s="403" t="str">
        <f t="shared" si="493"/>
        <v>NDE-8503-RT</v>
      </c>
      <c r="U3916" s="403">
        <f t="shared" si="494"/>
        <v>1</v>
      </c>
      <c r="V3916" s="403" t="str">
        <f t="shared" si="495"/>
        <v>CPP_7_3</v>
      </c>
    </row>
    <row r="3917" spans="1:22">
      <c r="A3917" t="str">
        <f t="shared" si="488"/>
        <v>NDE-8503-RT</v>
      </c>
      <c r="B3917" s="403" t="s">
        <v>1410</v>
      </c>
      <c r="C3917" s="403" t="s">
        <v>582</v>
      </c>
      <c r="D3917" s="403" t="s">
        <v>1414</v>
      </c>
      <c r="E3917" s="403" t="s">
        <v>1412</v>
      </c>
      <c r="F3917" s="403" t="s">
        <v>1385</v>
      </c>
      <c r="G3917" s="403" t="s">
        <v>1466</v>
      </c>
      <c r="H3917" s="403" t="s">
        <v>1281</v>
      </c>
      <c r="I3917" s="403">
        <v>1</v>
      </c>
      <c r="J3917" s="403" t="s">
        <v>110</v>
      </c>
      <c r="K3917" s="403">
        <v>1920</v>
      </c>
      <c r="L3917" s="403">
        <v>1080</v>
      </c>
      <c r="M3917" s="403" t="s">
        <v>1284</v>
      </c>
      <c r="N3917" s="403">
        <v>640</v>
      </c>
      <c r="O3917" s="403">
        <v>480</v>
      </c>
      <c r="P3917" t="str">
        <f t="shared" si="489"/>
        <v>25fps 1080p - SD VGA (cropped)</v>
      </c>
      <c r="Q3917">
        <f t="shared" si="490"/>
        <v>20</v>
      </c>
      <c r="R3917" t="str">
        <f t="shared" si="491"/>
        <v/>
      </c>
      <c r="S3917" t="str">
        <f t="shared" si="492"/>
        <v/>
      </c>
      <c r="T3917" s="403" t="str">
        <f t="shared" si="493"/>
        <v>NDE-8503-RT</v>
      </c>
      <c r="U3917" s="403">
        <f t="shared" si="494"/>
        <v>1</v>
      </c>
      <c r="V3917" s="403" t="str">
        <f t="shared" si="495"/>
        <v>CPP_7_3</v>
      </c>
    </row>
    <row r="3918" spans="1:22">
      <c r="A3918" t="str">
        <f t="shared" si="488"/>
        <v>NDE-8503-RT</v>
      </c>
      <c r="B3918" s="403" t="s">
        <v>1410</v>
      </c>
      <c r="C3918" s="403" t="s">
        <v>582</v>
      </c>
      <c r="D3918" s="403" t="s">
        <v>1414</v>
      </c>
      <c r="E3918" s="403" t="s">
        <v>1412</v>
      </c>
      <c r="F3918" s="403" t="s">
        <v>1385</v>
      </c>
      <c r="G3918" s="403" t="s">
        <v>1466</v>
      </c>
      <c r="H3918" s="403" t="s">
        <v>1281</v>
      </c>
      <c r="I3918" s="403">
        <v>1</v>
      </c>
      <c r="J3918" s="403" t="s">
        <v>109</v>
      </c>
      <c r="K3918" s="403">
        <v>1280</v>
      </c>
      <c r="L3918" s="403">
        <v>720</v>
      </c>
      <c r="M3918" s="403" t="s">
        <v>109</v>
      </c>
      <c r="N3918" s="403">
        <v>1280</v>
      </c>
      <c r="O3918" s="403">
        <v>720</v>
      </c>
      <c r="P3918" t="str">
        <f t="shared" si="489"/>
        <v>25fps 720p - 720p</v>
      </c>
      <c r="Q3918">
        <f t="shared" si="490"/>
        <v>20</v>
      </c>
      <c r="R3918" t="str">
        <f t="shared" si="491"/>
        <v/>
      </c>
      <c r="S3918" t="str">
        <f t="shared" si="492"/>
        <v/>
      </c>
      <c r="T3918" s="403" t="str">
        <f t="shared" si="493"/>
        <v>NDE-8503-RT</v>
      </c>
      <c r="U3918" s="403">
        <f t="shared" si="494"/>
        <v>1</v>
      </c>
      <c r="V3918" s="403" t="str">
        <f t="shared" si="495"/>
        <v>CPP_7_3</v>
      </c>
    </row>
    <row r="3919" spans="1:22">
      <c r="A3919" t="str">
        <f t="shared" si="488"/>
        <v>NDE-8503-RT</v>
      </c>
      <c r="B3919" s="403" t="s">
        <v>1410</v>
      </c>
      <c r="C3919" s="403" t="s">
        <v>582</v>
      </c>
      <c r="D3919" s="403" t="s">
        <v>1414</v>
      </c>
      <c r="E3919" s="403" t="s">
        <v>1412</v>
      </c>
      <c r="F3919" s="403" t="s">
        <v>1385</v>
      </c>
      <c r="G3919" s="403" t="s">
        <v>1466</v>
      </c>
      <c r="H3919" s="403" t="s">
        <v>1281</v>
      </c>
      <c r="I3919" s="403">
        <v>1</v>
      </c>
      <c r="J3919" s="403" t="s">
        <v>109</v>
      </c>
      <c r="K3919" s="403">
        <v>1280</v>
      </c>
      <c r="L3919" s="403">
        <v>720</v>
      </c>
      <c r="M3919" s="403" t="s">
        <v>111</v>
      </c>
      <c r="N3919" s="403">
        <v>768</v>
      </c>
      <c r="O3919" s="403">
        <v>432</v>
      </c>
      <c r="P3919" t="str">
        <f t="shared" si="489"/>
        <v>25fps 720p - SD</v>
      </c>
      <c r="Q3919">
        <f t="shared" si="490"/>
        <v>20</v>
      </c>
      <c r="R3919" t="str">
        <f t="shared" si="491"/>
        <v/>
      </c>
      <c r="S3919" t="str">
        <f t="shared" si="492"/>
        <v/>
      </c>
      <c r="T3919" s="403" t="str">
        <f t="shared" si="493"/>
        <v>NDE-8503-RT</v>
      </c>
      <c r="U3919" s="403">
        <f t="shared" si="494"/>
        <v>1</v>
      </c>
      <c r="V3919" s="403" t="str">
        <f t="shared" si="495"/>
        <v>CPP_7_3</v>
      </c>
    </row>
    <row r="3920" spans="1:22">
      <c r="A3920" t="str">
        <f t="shared" si="488"/>
        <v>NDE-8503-RT</v>
      </c>
      <c r="B3920" s="403" t="s">
        <v>1410</v>
      </c>
      <c r="C3920" s="403" t="s">
        <v>582</v>
      </c>
      <c r="D3920" s="403" t="s">
        <v>1414</v>
      </c>
      <c r="E3920" s="403" t="s">
        <v>1412</v>
      </c>
      <c r="F3920" s="403" t="s">
        <v>1385</v>
      </c>
      <c r="G3920" s="403" t="s">
        <v>1466</v>
      </c>
      <c r="H3920" s="403" t="s">
        <v>1281</v>
      </c>
      <c r="I3920" s="403">
        <v>1</v>
      </c>
      <c r="J3920" s="403" t="s">
        <v>109</v>
      </c>
      <c r="K3920" s="403">
        <v>1280</v>
      </c>
      <c r="L3920" s="403">
        <v>720</v>
      </c>
      <c r="M3920" s="403" t="s">
        <v>1279</v>
      </c>
      <c r="N3920" s="403">
        <v>768</v>
      </c>
      <c r="O3920" s="403">
        <v>432</v>
      </c>
      <c r="P3920" t="str">
        <f t="shared" si="489"/>
        <v>25fps 720p - SD ROI PTZ</v>
      </c>
      <c r="Q3920">
        <f t="shared" si="490"/>
        <v>20</v>
      </c>
      <c r="R3920" t="str">
        <f t="shared" si="491"/>
        <v/>
      </c>
      <c r="S3920" t="str">
        <f t="shared" si="492"/>
        <v/>
      </c>
      <c r="T3920" s="403" t="str">
        <f t="shared" si="493"/>
        <v>NDE-8503-RT</v>
      </c>
      <c r="U3920" s="403">
        <f t="shared" si="494"/>
        <v>1</v>
      </c>
      <c r="V3920" s="403" t="str">
        <f t="shared" si="495"/>
        <v>CPP_7_3</v>
      </c>
    </row>
    <row r="3921" spans="1:22">
      <c r="A3921" t="str">
        <f t="shared" si="488"/>
        <v>NDE-8503-RT</v>
      </c>
      <c r="B3921" s="403" t="s">
        <v>1410</v>
      </c>
      <c r="C3921" s="403" t="s">
        <v>582</v>
      </c>
      <c r="D3921" s="403" t="s">
        <v>1414</v>
      </c>
      <c r="E3921" s="403" t="s">
        <v>1412</v>
      </c>
      <c r="F3921" s="403" t="s">
        <v>1385</v>
      </c>
      <c r="G3921" s="403" t="s">
        <v>1466</v>
      </c>
      <c r="H3921" s="403" t="s">
        <v>1281</v>
      </c>
      <c r="I3921" s="403">
        <v>1</v>
      </c>
      <c r="J3921" s="403" t="s">
        <v>109</v>
      </c>
      <c r="K3921" s="403">
        <v>1280</v>
      </c>
      <c r="L3921" s="403">
        <v>720</v>
      </c>
      <c r="M3921" s="403" t="s">
        <v>1283</v>
      </c>
      <c r="N3921" s="403">
        <v>720</v>
      </c>
      <c r="O3921" s="403">
        <v>576</v>
      </c>
      <c r="P3921" t="str">
        <f t="shared" si="489"/>
        <v>25fps 720p - SD 4CIF resolution 4:3 format (cropped)</v>
      </c>
      <c r="Q3921">
        <f t="shared" si="490"/>
        <v>20</v>
      </c>
      <c r="R3921" t="str">
        <f t="shared" si="491"/>
        <v/>
      </c>
      <c r="S3921" t="str">
        <f t="shared" si="492"/>
        <v/>
      </c>
      <c r="T3921" s="403" t="str">
        <f t="shared" si="493"/>
        <v>NDE-8503-RT</v>
      </c>
      <c r="U3921" s="403">
        <f t="shared" si="494"/>
        <v>1</v>
      </c>
      <c r="V3921" s="403" t="str">
        <f t="shared" si="495"/>
        <v>CPP_7_3</v>
      </c>
    </row>
    <row r="3922" spans="1:22">
      <c r="A3922" t="str">
        <f t="shared" si="488"/>
        <v>NDE-8503-RT</v>
      </c>
      <c r="B3922" s="403" t="s">
        <v>1410</v>
      </c>
      <c r="C3922" s="403" t="s">
        <v>582</v>
      </c>
      <c r="D3922" s="403" t="s">
        <v>1414</v>
      </c>
      <c r="E3922" s="403" t="s">
        <v>1412</v>
      </c>
      <c r="F3922" s="403" t="s">
        <v>1385</v>
      </c>
      <c r="G3922" s="403" t="s">
        <v>1466</v>
      </c>
      <c r="H3922" s="403" t="s">
        <v>1281</v>
      </c>
      <c r="I3922" s="403">
        <v>1</v>
      </c>
      <c r="J3922" s="403" t="s">
        <v>109</v>
      </c>
      <c r="K3922" s="403">
        <v>1280</v>
      </c>
      <c r="L3922" s="403">
        <v>720</v>
      </c>
      <c r="M3922" s="403" t="s">
        <v>1284</v>
      </c>
      <c r="N3922" s="403">
        <v>640</v>
      </c>
      <c r="O3922" s="403">
        <v>480</v>
      </c>
      <c r="P3922" t="str">
        <f t="shared" si="489"/>
        <v>25fps 720p - SD VGA (cropped)</v>
      </c>
      <c r="Q3922">
        <f t="shared" si="490"/>
        <v>20</v>
      </c>
      <c r="R3922" t="str">
        <f t="shared" si="491"/>
        <v/>
      </c>
      <c r="S3922" t="str">
        <f t="shared" si="492"/>
        <v/>
      </c>
      <c r="T3922" s="403" t="str">
        <f t="shared" si="493"/>
        <v>NDE-8503-RT</v>
      </c>
      <c r="U3922" s="403">
        <f t="shared" si="494"/>
        <v>1</v>
      </c>
      <c r="V3922" s="403" t="str">
        <f t="shared" si="495"/>
        <v>CPP_7_3</v>
      </c>
    </row>
    <row r="3923" spans="1:22">
      <c r="A3923" t="str">
        <f t="shared" si="488"/>
        <v>NDE-8503-RT</v>
      </c>
      <c r="B3923" s="403" t="s">
        <v>1410</v>
      </c>
      <c r="C3923" s="403" t="s">
        <v>582</v>
      </c>
      <c r="D3923" s="403" t="s">
        <v>1414</v>
      </c>
      <c r="E3923" s="403" t="s">
        <v>1412</v>
      </c>
      <c r="F3923" s="403" t="s">
        <v>1385</v>
      </c>
      <c r="G3923" s="403" t="s">
        <v>1467</v>
      </c>
      <c r="H3923" s="403" t="s">
        <v>1276</v>
      </c>
      <c r="I3923" s="403">
        <v>1</v>
      </c>
      <c r="J3923" s="403" t="s">
        <v>1376</v>
      </c>
      <c r="K3923" s="403">
        <v>1728</v>
      </c>
      <c r="L3923" s="403">
        <v>3072</v>
      </c>
      <c r="M3923" s="403" t="s">
        <v>111</v>
      </c>
      <c r="N3923" s="403">
        <v>432</v>
      </c>
      <c r="O3923" s="403">
        <v>768</v>
      </c>
      <c r="P3923" t="str">
        <f t="shared" si="489"/>
        <v>25fps 3072x1728 - SD</v>
      </c>
      <c r="Q3923">
        <f t="shared" si="490"/>
        <v>20</v>
      </c>
      <c r="R3923" t="str">
        <f t="shared" si="491"/>
        <v/>
      </c>
      <c r="S3923" t="str">
        <f t="shared" si="492"/>
        <v/>
      </c>
      <c r="T3923" s="403" t="str">
        <f t="shared" si="493"/>
        <v>NDE-8503-RT</v>
      </c>
      <c r="U3923" s="403">
        <f t="shared" si="494"/>
        <v>1</v>
      </c>
      <c r="V3923" s="403" t="str">
        <f t="shared" si="495"/>
        <v>CPP_7_3</v>
      </c>
    </row>
    <row r="3924" spans="1:22">
      <c r="A3924" t="str">
        <f t="shared" si="488"/>
        <v>NDE-8503-RT</v>
      </c>
      <c r="B3924" s="403" t="s">
        <v>1410</v>
      </c>
      <c r="C3924" s="403" t="s">
        <v>582</v>
      </c>
      <c r="D3924" s="403" t="s">
        <v>1414</v>
      </c>
      <c r="E3924" s="403" t="s">
        <v>1412</v>
      </c>
      <c r="F3924" s="403" t="s">
        <v>1385</v>
      </c>
      <c r="G3924" s="403" t="s">
        <v>1467</v>
      </c>
      <c r="H3924" s="403" t="s">
        <v>1276</v>
      </c>
      <c r="I3924" s="403">
        <v>1</v>
      </c>
      <c r="J3924" s="403" t="s">
        <v>1376</v>
      </c>
      <c r="K3924" s="403">
        <v>1728</v>
      </c>
      <c r="L3924" s="403">
        <v>3072</v>
      </c>
      <c r="M3924" s="403" t="s">
        <v>1600</v>
      </c>
      <c r="N3924" s="403">
        <v>1728</v>
      </c>
      <c r="O3924" s="403">
        <v>3072</v>
      </c>
      <c r="P3924" t="str">
        <f t="shared" si="489"/>
        <v>25fps 3072x1728 - 3072x1728 @ SKIP2</v>
      </c>
      <c r="Q3924">
        <f t="shared" si="490"/>
        <v>20</v>
      </c>
      <c r="R3924" t="str">
        <f t="shared" si="491"/>
        <v/>
      </c>
      <c r="S3924" t="str">
        <f t="shared" si="492"/>
        <v/>
      </c>
      <c r="T3924" s="403" t="str">
        <f t="shared" si="493"/>
        <v>NDE-8503-RT</v>
      </c>
      <c r="U3924" s="403">
        <f t="shared" si="494"/>
        <v>1</v>
      </c>
      <c r="V3924" s="403" t="str">
        <f t="shared" si="495"/>
        <v>CPP_7_3</v>
      </c>
    </row>
    <row r="3925" spans="1:22">
      <c r="A3925" t="str">
        <f t="shared" si="488"/>
        <v>NDE-8503-RT</v>
      </c>
      <c r="B3925" s="403" t="s">
        <v>1410</v>
      </c>
      <c r="C3925" s="403" t="s">
        <v>582</v>
      </c>
      <c r="D3925" s="403" t="s">
        <v>1414</v>
      </c>
      <c r="E3925" s="403" t="s">
        <v>1412</v>
      </c>
      <c r="F3925" s="403" t="s">
        <v>1385</v>
      </c>
      <c r="G3925" s="403" t="s">
        <v>1467</v>
      </c>
      <c r="H3925" s="403" t="s">
        <v>1276</v>
      </c>
      <c r="I3925" s="403">
        <v>1</v>
      </c>
      <c r="J3925" s="403" t="s">
        <v>1376</v>
      </c>
      <c r="K3925" s="403">
        <v>1728</v>
      </c>
      <c r="L3925" s="403">
        <v>3072</v>
      </c>
      <c r="M3925" s="403" t="s">
        <v>1280</v>
      </c>
      <c r="N3925" s="403">
        <v>1728</v>
      </c>
      <c r="O3925" s="403">
        <v>3072</v>
      </c>
      <c r="P3925" t="str">
        <f t="shared" si="489"/>
        <v>25fps 3072x1728 - copy other stream</v>
      </c>
      <c r="Q3925">
        <f t="shared" si="490"/>
        <v>20</v>
      </c>
      <c r="R3925" t="str">
        <f t="shared" si="491"/>
        <v/>
      </c>
      <c r="S3925" t="str">
        <f t="shared" si="492"/>
        <v/>
      </c>
      <c r="T3925" s="403" t="str">
        <f t="shared" si="493"/>
        <v>NDE-8503-RT</v>
      </c>
      <c r="U3925" s="403">
        <f t="shared" si="494"/>
        <v>1</v>
      </c>
      <c r="V3925" s="403" t="str">
        <f t="shared" si="495"/>
        <v>CPP_7_3</v>
      </c>
    </row>
    <row r="3926" spans="1:22">
      <c r="A3926" t="str">
        <f t="shared" si="488"/>
        <v>NDE-8503-RT</v>
      </c>
      <c r="B3926" s="403" t="s">
        <v>1410</v>
      </c>
      <c r="C3926" s="403" t="s">
        <v>582</v>
      </c>
      <c r="D3926" s="403" t="s">
        <v>1414</v>
      </c>
      <c r="E3926" s="403" t="s">
        <v>1412</v>
      </c>
      <c r="F3926" s="403" t="s">
        <v>1385</v>
      </c>
      <c r="G3926" s="403" t="s">
        <v>1467</v>
      </c>
      <c r="H3926" s="403" t="s">
        <v>1276</v>
      </c>
      <c r="I3926" s="403">
        <v>1</v>
      </c>
      <c r="J3926" s="403" t="s">
        <v>1376</v>
      </c>
      <c r="K3926" s="403">
        <v>1728</v>
      </c>
      <c r="L3926" s="403">
        <v>3072</v>
      </c>
      <c r="M3926" s="403" t="s">
        <v>110</v>
      </c>
      <c r="N3926" s="403">
        <v>1080</v>
      </c>
      <c r="O3926" s="403">
        <v>1920</v>
      </c>
      <c r="P3926" t="str">
        <f t="shared" si="489"/>
        <v>25fps 3072x1728 - 1080p</v>
      </c>
      <c r="Q3926">
        <f t="shared" si="490"/>
        <v>20</v>
      </c>
      <c r="R3926" t="str">
        <f t="shared" si="491"/>
        <v/>
      </c>
      <c r="S3926" t="str">
        <f t="shared" si="492"/>
        <v/>
      </c>
      <c r="T3926" s="403" t="str">
        <f t="shared" si="493"/>
        <v>NDE-8503-RT</v>
      </c>
      <c r="U3926" s="403">
        <f t="shared" si="494"/>
        <v>1</v>
      </c>
      <c r="V3926" s="403" t="str">
        <f t="shared" si="495"/>
        <v>CPP_7_3</v>
      </c>
    </row>
    <row r="3927" spans="1:22">
      <c r="A3927" t="str">
        <f t="shared" si="488"/>
        <v>NDE-8503-RT</v>
      </c>
      <c r="B3927" s="403" t="s">
        <v>1410</v>
      </c>
      <c r="C3927" s="403" t="s">
        <v>582</v>
      </c>
      <c r="D3927" s="403" t="s">
        <v>1414</v>
      </c>
      <c r="E3927" s="403" t="s">
        <v>1412</v>
      </c>
      <c r="F3927" s="403" t="s">
        <v>1385</v>
      </c>
      <c r="G3927" s="403" t="s">
        <v>1467</v>
      </c>
      <c r="H3927" s="403" t="s">
        <v>1276</v>
      </c>
      <c r="I3927" s="403">
        <v>1</v>
      </c>
      <c r="J3927" s="403" t="s">
        <v>1376</v>
      </c>
      <c r="K3927" s="403">
        <v>1728</v>
      </c>
      <c r="L3927" s="403">
        <v>3072</v>
      </c>
      <c r="M3927" s="403" t="s">
        <v>109</v>
      </c>
      <c r="N3927" s="403">
        <v>720</v>
      </c>
      <c r="O3927" s="403">
        <v>1280</v>
      </c>
      <c r="P3927" t="str">
        <f t="shared" si="489"/>
        <v>25fps 3072x1728 - 720p</v>
      </c>
      <c r="Q3927">
        <f t="shared" si="490"/>
        <v>20</v>
      </c>
      <c r="R3927" t="str">
        <f t="shared" si="491"/>
        <v/>
      </c>
      <c r="S3927" t="str">
        <f t="shared" si="492"/>
        <v/>
      </c>
      <c r="T3927" s="403" t="str">
        <f t="shared" si="493"/>
        <v>NDE-8503-RT</v>
      </c>
      <c r="U3927" s="403">
        <f t="shared" si="494"/>
        <v>1</v>
      </c>
      <c r="V3927" s="403" t="str">
        <f t="shared" si="495"/>
        <v>CPP_7_3</v>
      </c>
    </row>
    <row r="3928" spans="1:22">
      <c r="A3928" t="str">
        <f t="shared" si="488"/>
        <v>NDE-8503-RT</v>
      </c>
      <c r="B3928" s="403" t="s">
        <v>1410</v>
      </c>
      <c r="C3928" s="403" t="s">
        <v>582</v>
      </c>
      <c r="D3928" s="403" t="s">
        <v>1414</v>
      </c>
      <c r="E3928" s="403" t="s">
        <v>1412</v>
      </c>
      <c r="F3928" s="403" t="s">
        <v>1385</v>
      </c>
      <c r="G3928" s="403" t="s">
        <v>1467</v>
      </c>
      <c r="H3928" s="403" t="s">
        <v>1276</v>
      </c>
      <c r="I3928" s="403">
        <v>1</v>
      </c>
      <c r="J3928" s="403" t="s">
        <v>1376</v>
      </c>
      <c r="K3928" s="403">
        <v>1728</v>
      </c>
      <c r="L3928" s="403">
        <v>3072</v>
      </c>
      <c r="M3928" s="403" t="s">
        <v>1283</v>
      </c>
      <c r="N3928" s="403">
        <v>576</v>
      </c>
      <c r="O3928" s="403">
        <v>720</v>
      </c>
      <c r="P3928" t="str">
        <f t="shared" si="489"/>
        <v>25fps 3072x1728 - SD 4CIF resolution 4:3 format (cropped)</v>
      </c>
      <c r="Q3928">
        <f t="shared" si="490"/>
        <v>20</v>
      </c>
      <c r="R3928" t="str">
        <f t="shared" si="491"/>
        <v/>
      </c>
      <c r="S3928" t="str">
        <f t="shared" si="492"/>
        <v/>
      </c>
      <c r="T3928" s="403" t="str">
        <f t="shared" si="493"/>
        <v>NDE-8503-RT</v>
      </c>
      <c r="U3928" s="403">
        <f t="shared" si="494"/>
        <v>1</v>
      </c>
      <c r="V3928" s="403" t="str">
        <f t="shared" si="495"/>
        <v>CPP_7_3</v>
      </c>
    </row>
    <row r="3929" spans="1:22">
      <c r="A3929" t="str">
        <f t="shared" si="488"/>
        <v>NDE-8503-RT</v>
      </c>
      <c r="B3929" s="403" t="s">
        <v>1410</v>
      </c>
      <c r="C3929" s="403" t="s">
        <v>582</v>
      </c>
      <c r="D3929" s="403" t="s">
        <v>1414</v>
      </c>
      <c r="E3929" s="403" t="s">
        <v>1412</v>
      </c>
      <c r="F3929" s="403" t="s">
        <v>1385</v>
      </c>
      <c r="G3929" s="403" t="s">
        <v>1467</v>
      </c>
      <c r="H3929" s="403" t="s">
        <v>1276</v>
      </c>
      <c r="I3929" s="403">
        <v>1</v>
      </c>
      <c r="J3929" s="403" t="s">
        <v>1376</v>
      </c>
      <c r="K3929" s="403">
        <v>1728</v>
      </c>
      <c r="L3929" s="403">
        <v>3072</v>
      </c>
      <c r="M3929" s="403" t="s">
        <v>1279</v>
      </c>
      <c r="N3929" s="403">
        <v>432</v>
      </c>
      <c r="O3929" s="403">
        <v>768</v>
      </c>
      <c r="P3929" t="str">
        <f t="shared" si="489"/>
        <v>25fps 3072x1728 - SD ROI PTZ</v>
      </c>
      <c r="Q3929">
        <f t="shared" si="490"/>
        <v>20</v>
      </c>
      <c r="R3929" t="str">
        <f t="shared" si="491"/>
        <v/>
      </c>
      <c r="S3929" t="str">
        <f t="shared" si="492"/>
        <v/>
      </c>
      <c r="T3929" s="403" t="str">
        <f t="shared" si="493"/>
        <v>NDE-8503-RT</v>
      </c>
      <c r="U3929" s="403">
        <f t="shared" si="494"/>
        <v>1</v>
      </c>
      <c r="V3929" s="403" t="str">
        <f t="shared" si="495"/>
        <v>CPP_7_3</v>
      </c>
    </row>
    <row r="3930" spans="1:22">
      <c r="A3930" t="str">
        <f t="shared" si="488"/>
        <v>NDE-8503-RT</v>
      </c>
      <c r="B3930" s="403" t="s">
        <v>1410</v>
      </c>
      <c r="C3930" s="403" t="s">
        <v>582</v>
      </c>
      <c r="D3930" s="403" t="s">
        <v>1414</v>
      </c>
      <c r="E3930" s="403" t="s">
        <v>1412</v>
      </c>
      <c r="F3930" s="403" t="s">
        <v>1385</v>
      </c>
      <c r="G3930" s="403" t="s">
        <v>1467</v>
      </c>
      <c r="H3930" s="403" t="s">
        <v>1276</v>
      </c>
      <c r="I3930" s="403">
        <v>1</v>
      </c>
      <c r="J3930" s="403" t="s">
        <v>1376</v>
      </c>
      <c r="K3930" s="403">
        <v>1728</v>
      </c>
      <c r="L3930" s="403">
        <v>3072</v>
      </c>
      <c r="M3930" s="403" t="s">
        <v>1284</v>
      </c>
      <c r="N3930" s="403">
        <v>480</v>
      </c>
      <c r="O3930" s="403">
        <v>640</v>
      </c>
      <c r="P3930" t="str">
        <f t="shared" si="489"/>
        <v>25fps 3072x1728 - SD VGA (cropped)</v>
      </c>
      <c r="Q3930">
        <f t="shared" si="490"/>
        <v>20</v>
      </c>
      <c r="R3930" t="str">
        <f t="shared" si="491"/>
        <v/>
      </c>
      <c r="S3930" t="str">
        <f t="shared" si="492"/>
        <v/>
      </c>
      <c r="T3930" s="403" t="str">
        <f t="shared" si="493"/>
        <v>NDE-8503-RT</v>
      </c>
      <c r="U3930" s="403">
        <f t="shared" si="494"/>
        <v>1</v>
      </c>
      <c r="V3930" s="403" t="str">
        <f t="shared" si="495"/>
        <v>CPP_7_3</v>
      </c>
    </row>
    <row r="3931" spans="1:22">
      <c r="A3931" t="str">
        <f t="shared" si="488"/>
        <v>NDE-8503-RT</v>
      </c>
      <c r="B3931" s="403" t="s">
        <v>1410</v>
      </c>
      <c r="C3931" s="403" t="s">
        <v>582</v>
      </c>
      <c r="D3931" s="403" t="s">
        <v>1414</v>
      </c>
      <c r="E3931" s="403" t="s">
        <v>1412</v>
      </c>
      <c r="F3931" s="403" t="s">
        <v>1385</v>
      </c>
      <c r="G3931" s="403" t="s">
        <v>1467</v>
      </c>
      <c r="H3931" s="403" t="s">
        <v>1276</v>
      </c>
      <c r="I3931" s="403">
        <v>1</v>
      </c>
      <c r="J3931" s="403" t="s">
        <v>1376</v>
      </c>
      <c r="K3931" s="403">
        <v>1728</v>
      </c>
      <c r="L3931" s="403">
        <v>3072</v>
      </c>
      <c r="M3931" s="403" t="s">
        <v>1285</v>
      </c>
      <c r="N3931" s="403">
        <v>1024</v>
      </c>
      <c r="O3931" s="403">
        <v>1280</v>
      </c>
      <c r="P3931" t="str">
        <f t="shared" si="489"/>
        <v>25fps 3072x1728 - 1280x1024 5:4 (cropped)</v>
      </c>
      <c r="Q3931">
        <f t="shared" si="490"/>
        <v>20</v>
      </c>
      <c r="R3931" t="str">
        <f t="shared" si="491"/>
        <v/>
      </c>
      <c r="S3931" t="str">
        <f t="shared" si="492"/>
        <v/>
      </c>
      <c r="T3931" s="403" t="str">
        <f t="shared" si="493"/>
        <v>NDE-8503-RT</v>
      </c>
      <c r="U3931" s="403">
        <f t="shared" si="494"/>
        <v>1</v>
      </c>
      <c r="V3931" s="403" t="str">
        <f t="shared" si="495"/>
        <v>CPP_7_3</v>
      </c>
    </row>
    <row r="3932" spans="1:22">
      <c r="A3932" t="str">
        <f t="shared" si="488"/>
        <v>NDE-8503-RT</v>
      </c>
      <c r="B3932" s="403" t="s">
        <v>1410</v>
      </c>
      <c r="C3932" s="403" t="s">
        <v>582</v>
      </c>
      <c r="D3932" s="403" t="s">
        <v>1414</v>
      </c>
      <c r="E3932" s="403" t="s">
        <v>1412</v>
      </c>
      <c r="F3932" s="403" t="s">
        <v>1385</v>
      </c>
      <c r="G3932" s="403" t="s">
        <v>1467</v>
      </c>
      <c r="H3932" s="403" t="s">
        <v>1276</v>
      </c>
      <c r="I3932" s="403">
        <v>1</v>
      </c>
      <c r="J3932" s="403" t="s">
        <v>1376</v>
      </c>
      <c r="K3932" s="403">
        <v>1728</v>
      </c>
      <c r="L3932" s="403">
        <v>3072</v>
      </c>
      <c r="M3932" s="403" t="s">
        <v>1383</v>
      </c>
      <c r="N3932" s="403">
        <v>1440</v>
      </c>
      <c r="O3932" s="403">
        <v>1920</v>
      </c>
      <c r="P3932" t="str">
        <f t="shared" si="489"/>
        <v>25fps 3072x1728 - 1920x1440_CROP</v>
      </c>
      <c r="Q3932">
        <f t="shared" si="490"/>
        <v>20</v>
      </c>
      <c r="R3932" t="str">
        <f t="shared" si="491"/>
        <v/>
      </c>
      <c r="S3932" t="str">
        <f t="shared" si="492"/>
        <v/>
      </c>
      <c r="T3932" s="403" t="str">
        <f t="shared" si="493"/>
        <v>NDE-8503-RT</v>
      </c>
      <c r="U3932" s="403">
        <f t="shared" si="494"/>
        <v>1</v>
      </c>
      <c r="V3932" s="403" t="str">
        <f t="shared" si="495"/>
        <v>CPP_7_3</v>
      </c>
    </row>
    <row r="3933" spans="1:22">
      <c r="A3933" t="str">
        <f t="shared" si="488"/>
        <v>NDE-8503-RT</v>
      </c>
      <c r="B3933" s="403" t="s">
        <v>1410</v>
      </c>
      <c r="C3933" s="403" t="s">
        <v>582</v>
      </c>
      <c r="D3933" s="403" t="s">
        <v>1414</v>
      </c>
      <c r="E3933" s="403" t="s">
        <v>1412</v>
      </c>
      <c r="F3933" s="403" t="s">
        <v>1385</v>
      </c>
      <c r="G3933" s="403" t="s">
        <v>1467</v>
      </c>
      <c r="H3933" s="403" t="s">
        <v>1276</v>
      </c>
      <c r="I3933" s="403">
        <v>1</v>
      </c>
      <c r="J3933" s="403" t="s">
        <v>1373</v>
      </c>
      <c r="K3933" s="403">
        <v>1512</v>
      </c>
      <c r="L3933" s="403">
        <v>2688</v>
      </c>
      <c r="M3933" s="403" t="s">
        <v>110</v>
      </c>
      <c r="N3933" s="403">
        <v>1080</v>
      </c>
      <c r="O3933" s="403">
        <v>1920</v>
      </c>
      <c r="P3933" t="str">
        <f t="shared" si="489"/>
        <v>25fps 2688x1512 - 1080p</v>
      </c>
      <c r="Q3933">
        <f t="shared" si="490"/>
        <v>20</v>
      </c>
      <c r="R3933" t="str">
        <f t="shared" si="491"/>
        <v/>
      </c>
      <c r="S3933" t="str">
        <f t="shared" si="492"/>
        <v/>
      </c>
      <c r="T3933" s="403" t="str">
        <f t="shared" si="493"/>
        <v>NDE-8503-RT</v>
      </c>
      <c r="U3933" s="403">
        <f t="shared" si="494"/>
        <v>1</v>
      </c>
      <c r="V3933" s="403" t="str">
        <f t="shared" si="495"/>
        <v>CPP_7_3</v>
      </c>
    </row>
    <row r="3934" spans="1:22">
      <c r="A3934" t="str">
        <f t="shared" si="488"/>
        <v>NDE-8503-RT</v>
      </c>
      <c r="B3934" s="403" t="s">
        <v>1410</v>
      </c>
      <c r="C3934" s="403" t="s">
        <v>582</v>
      </c>
      <c r="D3934" s="403" t="s">
        <v>1414</v>
      </c>
      <c r="E3934" s="403" t="s">
        <v>1412</v>
      </c>
      <c r="F3934" s="403" t="s">
        <v>1385</v>
      </c>
      <c r="G3934" s="403" t="s">
        <v>1467</v>
      </c>
      <c r="H3934" s="403" t="s">
        <v>1276</v>
      </c>
      <c r="I3934" s="403">
        <v>1</v>
      </c>
      <c r="J3934" s="403" t="s">
        <v>1373</v>
      </c>
      <c r="K3934" s="403">
        <v>1512</v>
      </c>
      <c r="L3934" s="403">
        <v>2688</v>
      </c>
      <c r="M3934" s="403" t="s">
        <v>1384</v>
      </c>
      <c r="N3934" s="403">
        <v>1512</v>
      </c>
      <c r="O3934" s="403">
        <v>2688</v>
      </c>
      <c r="P3934" t="str">
        <f t="shared" si="489"/>
        <v>25fps 2688x1512 - 2688x1512 @ SKIP 2</v>
      </c>
      <c r="Q3934">
        <f t="shared" si="490"/>
        <v>20</v>
      </c>
      <c r="R3934" t="str">
        <f t="shared" si="491"/>
        <v/>
      </c>
      <c r="S3934" t="str">
        <f t="shared" si="492"/>
        <v/>
      </c>
      <c r="T3934" s="403" t="str">
        <f t="shared" si="493"/>
        <v>NDE-8503-RT</v>
      </c>
      <c r="U3934" s="403">
        <f t="shared" si="494"/>
        <v>1</v>
      </c>
      <c r="V3934" s="403" t="str">
        <f t="shared" si="495"/>
        <v>CPP_7_3</v>
      </c>
    </row>
    <row r="3935" spans="1:22">
      <c r="A3935" t="str">
        <f t="shared" si="488"/>
        <v>NDE-8503-RT</v>
      </c>
      <c r="B3935" s="403" t="s">
        <v>1410</v>
      </c>
      <c r="C3935" s="403" t="s">
        <v>582</v>
      </c>
      <c r="D3935" s="403" t="s">
        <v>1414</v>
      </c>
      <c r="E3935" s="403" t="s">
        <v>1412</v>
      </c>
      <c r="F3935" s="403" t="s">
        <v>1385</v>
      </c>
      <c r="G3935" s="403" t="s">
        <v>1467</v>
      </c>
      <c r="H3935" s="403" t="s">
        <v>1276</v>
      </c>
      <c r="I3935" s="403">
        <v>1</v>
      </c>
      <c r="J3935" s="403" t="s">
        <v>1373</v>
      </c>
      <c r="K3935" s="403">
        <v>1512</v>
      </c>
      <c r="L3935" s="403">
        <v>2688</v>
      </c>
      <c r="M3935" s="403" t="s">
        <v>109</v>
      </c>
      <c r="N3935" s="403">
        <v>720</v>
      </c>
      <c r="O3935" s="403">
        <v>1280</v>
      </c>
      <c r="P3935" t="str">
        <f t="shared" si="489"/>
        <v>25fps 2688x1512 - 720p</v>
      </c>
      <c r="Q3935">
        <f t="shared" si="490"/>
        <v>20</v>
      </c>
      <c r="R3935" t="str">
        <f t="shared" si="491"/>
        <v/>
      </c>
      <c r="S3935" t="str">
        <f t="shared" si="492"/>
        <v/>
      </c>
      <c r="T3935" s="403" t="str">
        <f t="shared" si="493"/>
        <v>NDE-8503-RT</v>
      </c>
      <c r="U3935" s="403">
        <f t="shared" si="494"/>
        <v>1</v>
      </c>
      <c r="V3935" s="403" t="str">
        <f t="shared" si="495"/>
        <v>CPP_7_3</v>
      </c>
    </row>
    <row r="3936" spans="1:22">
      <c r="A3936" t="str">
        <f t="shared" si="488"/>
        <v>NDE-8503-RT</v>
      </c>
      <c r="B3936" s="403" t="s">
        <v>1410</v>
      </c>
      <c r="C3936" s="403" t="s">
        <v>582</v>
      </c>
      <c r="D3936" s="403" t="s">
        <v>1414</v>
      </c>
      <c r="E3936" s="403" t="s">
        <v>1412</v>
      </c>
      <c r="F3936" s="403" t="s">
        <v>1385</v>
      </c>
      <c r="G3936" s="403" t="s">
        <v>1467</v>
      </c>
      <c r="H3936" s="403" t="s">
        <v>1276</v>
      </c>
      <c r="I3936" s="403">
        <v>1</v>
      </c>
      <c r="J3936" s="403" t="s">
        <v>1373</v>
      </c>
      <c r="K3936" s="403">
        <v>1512</v>
      </c>
      <c r="L3936" s="403">
        <v>2688</v>
      </c>
      <c r="M3936" s="403" t="s">
        <v>111</v>
      </c>
      <c r="N3936" s="403">
        <v>432</v>
      </c>
      <c r="O3936" s="403">
        <v>768</v>
      </c>
      <c r="P3936" t="str">
        <f t="shared" si="489"/>
        <v>25fps 2688x1512 - SD</v>
      </c>
      <c r="Q3936">
        <f t="shared" si="490"/>
        <v>20</v>
      </c>
      <c r="R3936" t="str">
        <f t="shared" si="491"/>
        <v/>
      </c>
      <c r="S3936" t="str">
        <f t="shared" si="492"/>
        <v/>
      </c>
      <c r="T3936" s="403" t="str">
        <f t="shared" si="493"/>
        <v>NDE-8503-RT</v>
      </c>
      <c r="U3936" s="403">
        <f t="shared" si="494"/>
        <v>1</v>
      </c>
      <c r="V3936" s="403" t="str">
        <f t="shared" si="495"/>
        <v>CPP_7_3</v>
      </c>
    </row>
    <row r="3937" spans="1:22">
      <c r="A3937" t="str">
        <f t="shared" si="488"/>
        <v>NDE-8503-RT</v>
      </c>
      <c r="B3937" s="403" t="s">
        <v>1410</v>
      </c>
      <c r="C3937" s="403" t="s">
        <v>582</v>
      </c>
      <c r="D3937" s="403" t="s">
        <v>1414</v>
      </c>
      <c r="E3937" s="403" t="s">
        <v>1412</v>
      </c>
      <c r="F3937" s="403" t="s">
        <v>1385</v>
      </c>
      <c r="G3937" s="403" t="s">
        <v>1467</v>
      </c>
      <c r="H3937" s="403" t="s">
        <v>1276</v>
      </c>
      <c r="I3937" s="403">
        <v>1</v>
      </c>
      <c r="J3937" s="403" t="s">
        <v>1373</v>
      </c>
      <c r="K3937" s="403">
        <v>1512</v>
      </c>
      <c r="L3937" s="403">
        <v>2688</v>
      </c>
      <c r="M3937" s="403" t="s">
        <v>1279</v>
      </c>
      <c r="N3937" s="403">
        <v>432</v>
      </c>
      <c r="O3937" s="403">
        <v>768</v>
      </c>
      <c r="P3937" t="str">
        <f t="shared" si="489"/>
        <v>25fps 2688x1512 - SD ROI PTZ</v>
      </c>
      <c r="Q3937">
        <f t="shared" si="490"/>
        <v>20</v>
      </c>
      <c r="R3937" t="str">
        <f t="shared" si="491"/>
        <v/>
      </c>
      <c r="S3937" t="str">
        <f t="shared" si="492"/>
        <v/>
      </c>
      <c r="T3937" s="403" t="str">
        <f t="shared" si="493"/>
        <v>NDE-8503-RT</v>
      </c>
      <c r="U3937" s="403">
        <f t="shared" si="494"/>
        <v>1</v>
      </c>
      <c r="V3937" s="403" t="str">
        <f t="shared" si="495"/>
        <v>CPP_7_3</v>
      </c>
    </row>
    <row r="3938" spans="1:22">
      <c r="A3938" t="str">
        <f t="shared" si="488"/>
        <v>NDE-8503-RT</v>
      </c>
      <c r="B3938" s="403" t="s">
        <v>1410</v>
      </c>
      <c r="C3938" s="403" t="s">
        <v>582</v>
      </c>
      <c r="D3938" s="403" t="s">
        <v>1414</v>
      </c>
      <c r="E3938" s="403" t="s">
        <v>1412</v>
      </c>
      <c r="F3938" s="403" t="s">
        <v>1385</v>
      </c>
      <c r="G3938" s="403" t="s">
        <v>1467</v>
      </c>
      <c r="H3938" s="403" t="s">
        <v>1276</v>
      </c>
      <c r="I3938" s="403">
        <v>1</v>
      </c>
      <c r="J3938" s="403" t="s">
        <v>1373</v>
      </c>
      <c r="K3938" s="403">
        <v>1512</v>
      </c>
      <c r="L3938" s="403">
        <v>2688</v>
      </c>
      <c r="M3938" s="403" t="s">
        <v>1285</v>
      </c>
      <c r="N3938" s="403">
        <v>1024</v>
      </c>
      <c r="O3938" s="403">
        <v>1280</v>
      </c>
      <c r="P3938" t="str">
        <f t="shared" si="489"/>
        <v>25fps 2688x1512 - 1280x1024 5:4 (cropped)</v>
      </c>
      <c r="Q3938">
        <f t="shared" si="490"/>
        <v>20</v>
      </c>
      <c r="R3938" t="str">
        <f t="shared" si="491"/>
        <v/>
      </c>
      <c r="S3938" t="str">
        <f t="shared" si="492"/>
        <v/>
      </c>
      <c r="T3938" s="403" t="str">
        <f t="shared" si="493"/>
        <v>NDE-8503-RT</v>
      </c>
      <c r="U3938" s="403">
        <f t="shared" si="494"/>
        <v>1</v>
      </c>
      <c r="V3938" s="403" t="str">
        <f t="shared" si="495"/>
        <v>CPP_7_3</v>
      </c>
    </row>
    <row r="3939" spans="1:22">
      <c r="A3939" t="str">
        <f t="shared" si="488"/>
        <v>NDE-8503-RT</v>
      </c>
      <c r="B3939" s="403" t="s">
        <v>1410</v>
      </c>
      <c r="C3939" s="403" t="s">
        <v>582</v>
      </c>
      <c r="D3939" s="403" t="s">
        <v>1414</v>
      </c>
      <c r="E3939" s="403" t="s">
        <v>1412</v>
      </c>
      <c r="F3939" s="403" t="s">
        <v>1385</v>
      </c>
      <c r="G3939" s="403" t="s">
        <v>1467</v>
      </c>
      <c r="H3939" s="403" t="s">
        <v>1276</v>
      </c>
      <c r="I3939" s="403">
        <v>1</v>
      </c>
      <c r="J3939" s="403" t="s">
        <v>1373</v>
      </c>
      <c r="K3939" s="403">
        <v>1512</v>
      </c>
      <c r="L3939" s="403">
        <v>2688</v>
      </c>
      <c r="M3939" s="403" t="s">
        <v>1283</v>
      </c>
      <c r="N3939" s="403">
        <v>576</v>
      </c>
      <c r="O3939" s="403">
        <v>720</v>
      </c>
      <c r="P3939" t="str">
        <f t="shared" si="489"/>
        <v>25fps 2688x1512 - SD 4CIF resolution 4:3 format (cropped)</v>
      </c>
      <c r="Q3939">
        <f t="shared" si="490"/>
        <v>20</v>
      </c>
      <c r="R3939" t="str">
        <f t="shared" si="491"/>
        <v/>
      </c>
      <c r="S3939" t="str">
        <f t="shared" si="492"/>
        <v/>
      </c>
      <c r="T3939" s="403" t="str">
        <f t="shared" si="493"/>
        <v>NDE-8503-RT</v>
      </c>
      <c r="U3939" s="403">
        <f t="shared" si="494"/>
        <v>1</v>
      </c>
      <c r="V3939" s="403" t="str">
        <f t="shared" si="495"/>
        <v>CPP_7_3</v>
      </c>
    </row>
    <row r="3940" spans="1:22">
      <c r="A3940" t="str">
        <f t="shared" si="488"/>
        <v>NDE-8503-RT</v>
      </c>
      <c r="B3940" s="403" t="s">
        <v>1410</v>
      </c>
      <c r="C3940" s="403" t="s">
        <v>582</v>
      </c>
      <c r="D3940" s="403" t="s">
        <v>1414</v>
      </c>
      <c r="E3940" s="403" t="s">
        <v>1412</v>
      </c>
      <c r="F3940" s="403" t="s">
        <v>1385</v>
      </c>
      <c r="G3940" s="403" t="s">
        <v>1467</v>
      </c>
      <c r="H3940" s="403" t="s">
        <v>1276</v>
      </c>
      <c r="I3940" s="403">
        <v>1</v>
      </c>
      <c r="J3940" s="403" t="s">
        <v>1373</v>
      </c>
      <c r="K3940" s="403">
        <v>1512</v>
      </c>
      <c r="L3940" s="403">
        <v>2688</v>
      </c>
      <c r="M3940" s="403" t="s">
        <v>1284</v>
      </c>
      <c r="N3940" s="403">
        <v>480</v>
      </c>
      <c r="O3940" s="403">
        <v>640</v>
      </c>
      <c r="P3940" t="str">
        <f t="shared" si="489"/>
        <v>25fps 2688x1512 - SD VGA (cropped)</v>
      </c>
      <c r="Q3940">
        <f t="shared" si="490"/>
        <v>20</v>
      </c>
      <c r="R3940" t="str">
        <f t="shared" si="491"/>
        <v/>
      </c>
      <c r="S3940" t="str">
        <f t="shared" si="492"/>
        <v/>
      </c>
      <c r="T3940" s="403" t="str">
        <f t="shared" si="493"/>
        <v>NDE-8503-RT</v>
      </c>
      <c r="U3940" s="403">
        <f t="shared" si="494"/>
        <v>1</v>
      </c>
      <c r="V3940" s="403" t="str">
        <f t="shared" si="495"/>
        <v>CPP_7_3</v>
      </c>
    </row>
    <row r="3941" spans="1:22">
      <c r="A3941" t="str">
        <f t="shared" si="488"/>
        <v>NDE-8503-RT</v>
      </c>
      <c r="B3941" s="403" t="s">
        <v>1410</v>
      </c>
      <c r="C3941" s="403" t="s">
        <v>582</v>
      </c>
      <c r="D3941" s="403" t="s">
        <v>1414</v>
      </c>
      <c r="E3941" s="403" t="s">
        <v>1412</v>
      </c>
      <c r="F3941" s="403" t="s">
        <v>1385</v>
      </c>
      <c r="G3941" s="403" t="s">
        <v>1467</v>
      </c>
      <c r="H3941" s="403" t="s">
        <v>1276</v>
      </c>
      <c r="I3941" s="403">
        <v>1</v>
      </c>
      <c r="J3941" s="403" t="s">
        <v>1373</v>
      </c>
      <c r="K3941" s="403">
        <v>1512</v>
      </c>
      <c r="L3941" s="403">
        <v>2688</v>
      </c>
      <c r="M3941" s="403" t="s">
        <v>1280</v>
      </c>
      <c r="N3941" s="403">
        <v>1512</v>
      </c>
      <c r="O3941" s="403">
        <v>2688</v>
      </c>
      <c r="P3941" t="str">
        <f t="shared" si="489"/>
        <v>25fps 2688x1512 - copy other stream</v>
      </c>
      <c r="Q3941">
        <f t="shared" si="490"/>
        <v>20</v>
      </c>
      <c r="R3941" t="str">
        <f t="shared" si="491"/>
        <v/>
      </c>
      <c r="S3941" t="str">
        <f t="shared" si="492"/>
        <v/>
      </c>
      <c r="T3941" s="403" t="str">
        <f t="shared" si="493"/>
        <v>NDE-8503-RT</v>
      </c>
      <c r="U3941" s="403">
        <f t="shared" si="494"/>
        <v>1</v>
      </c>
      <c r="V3941" s="403" t="str">
        <f t="shared" si="495"/>
        <v>CPP_7_3</v>
      </c>
    </row>
    <row r="3942" spans="1:22">
      <c r="A3942" t="str">
        <f t="shared" si="488"/>
        <v>NDE-8503-RT</v>
      </c>
      <c r="B3942" s="403" t="s">
        <v>1410</v>
      </c>
      <c r="C3942" s="403" t="s">
        <v>582</v>
      </c>
      <c r="D3942" s="403" t="s">
        <v>1414</v>
      </c>
      <c r="E3942" s="403" t="s">
        <v>1412</v>
      </c>
      <c r="F3942" s="403" t="s">
        <v>1385</v>
      </c>
      <c r="G3942" s="403" t="s">
        <v>1467</v>
      </c>
      <c r="H3942" s="403" t="s">
        <v>1276</v>
      </c>
      <c r="I3942" s="403">
        <v>1</v>
      </c>
      <c r="J3942" s="403" t="s">
        <v>1374</v>
      </c>
      <c r="K3942" s="403">
        <v>1296</v>
      </c>
      <c r="L3942" s="403">
        <v>2304</v>
      </c>
      <c r="M3942" s="403" t="s">
        <v>110</v>
      </c>
      <c r="N3942" s="403">
        <v>1080</v>
      </c>
      <c r="O3942" s="403">
        <v>1920</v>
      </c>
      <c r="P3942" t="str">
        <f t="shared" si="489"/>
        <v>25fps 2304x1296 - 1080p</v>
      </c>
      <c r="Q3942">
        <f t="shared" si="490"/>
        <v>20</v>
      </c>
      <c r="R3942" t="str">
        <f t="shared" si="491"/>
        <v/>
      </c>
      <c r="S3942" t="str">
        <f t="shared" si="492"/>
        <v/>
      </c>
      <c r="T3942" s="403" t="str">
        <f t="shared" si="493"/>
        <v>NDE-8503-RT</v>
      </c>
      <c r="U3942" s="403">
        <f t="shared" si="494"/>
        <v>1</v>
      </c>
      <c r="V3942" s="403" t="str">
        <f t="shared" si="495"/>
        <v>CPP_7_3</v>
      </c>
    </row>
    <row r="3943" spans="1:22">
      <c r="A3943" t="str">
        <f t="shared" si="488"/>
        <v>NDE-8503-RT</v>
      </c>
      <c r="B3943" s="403" t="s">
        <v>1410</v>
      </c>
      <c r="C3943" s="403" t="s">
        <v>582</v>
      </c>
      <c r="D3943" s="403" t="s">
        <v>1414</v>
      </c>
      <c r="E3943" s="403" t="s">
        <v>1412</v>
      </c>
      <c r="F3943" s="403" t="s">
        <v>1385</v>
      </c>
      <c r="G3943" s="403" t="s">
        <v>1467</v>
      </c>
      <c r="H3943" s="403" t="s">
        <v>1276</v>
      </c>
      <c r="I3943" s="403">
        <v>1</v>
      </c>
      <c r="J3943" s="403" t="s">
        <v>1374</v>
      </c>
      <c r="K3943" s="403">
        <v>1296</v>
      </c>
      <c r="L3943" s="403">
        <v>2304</v>
      </c>
      <c r="M3943" s="403" t="s">
        <v>1374</v>
      </c>
      <c r="N3943" s="403">
        <v>1296</v>
      </c>
      <c r="O3943" s="403">
        <v>2304</v>
      </c>
      <c r="P3943" t="str">
        <f t="shared" si="489"/>
        <v>25fps 2304x1296 - 2304x1296</v>
      </c>
      <c r="Q3943">
        <f t="shared" si="490"/>
        <v>20</v>
      </c>
      <c r="R3943" t="str">
        <f t="shared" si="491"/>
        <v/>
      </c>
      <c r="S3943" t="str">
        <f t="shared" si="492"/>
        <v/>
      </c>
      <c r="T3943" s="403" t="str">
        <f t="shared" si="493"/>
        <v>NDE-8503-RT</v>
      </c>
      <c r="U3943" s="403">
        <f t="shared" si="494"/>
        <v>1</v>
      </c>
      <c r="V3943" s="403" t="str">
        <f t="shared" si="495"/>
        <v>CPP_7_3</v>
      </c>
    </row>
    <row r="3944" spans="1:22">
      <c r="A3944" t="str">
        <f t="shared" si="488"/>
        <v>NDE-8503-RT</v>
      </c>
      <c r="B3944" s="403" t="s">
        <v>1410</v>
      </c>
      <c r="C3944" s="403" t="s">
        <v>582</v>
      </c>
      <c r="D3944" s="403" t="s">
        <v>1414</v>
      </c>
      <c r="E3944" s="403" t="s">
        <v>1412</v>
      </c>
      <c r="F3944" s="403" t="s">
        <v>1385</v>
      </c>
      <c r="G3944" s="403" t="s">
        <v>1467</v>
      </c>
      <c r="H3944" s="403" t="s">
        <v>1276</v>
      </c>
      <c r="I3944" s="403">
        <v>1</v>
      </c>
      <c r="J3944" s="403" t="s">
        <v>1374</v>
      </c>
      <c r="K3944" s="403">
        <v>1296</v>
      </c>
      <c r="L3944" s="403">
        <v>2304</v>
      </c>
      <c r="M3944" s="403" t="s">
        <v>109</v>
      </c>
      <c r="N3944" s="403">
        <v>720</v>
      </c>
      <c r="O3944" s="403">
        <v>1280</v>
      </c>
      <c r="P3944" t="str">
        <f t="shared" si="489"/>
        <v>25fps 2304x1296 - 720p</v>
      </c>
      <c r="Q3944">
        <f t="shared" si="490"/>
        <v>20</v>
      </c>
      <c r="R3944" t="str">
        <f t="shared" si="491"/>
        <v/>
      </c>
      <c r="S3944" t="str">
        <f t="shared" si="492"/>
        <v/>
      </c>
      <c r="T3944" s="403" t="str">
        <f t="shared" si="493"/>
        <v>NDE-8503-RT</v>
      </c>
      <c r="U3944" s="403">
        <f t="shared" si="494"/>
        <v>1</v>
      </c>
      <c r="V3944" s="403" t="str">
        <f t="shared" si="495"/>
        <v>CPP_7_3</v>
      </c>
    </row>
    <row r="3945" spans="1:22">
      <c r="A3945" t="str">
        <f t="shared" si="488"/>
        <v>NDE-8503-RT</v>
      </c>
      <c r="B3945" s="403" t="s">
        <v>1410</v>
      </c>
      <c r="C3945" s="403" t="s">
        <v>582</v>
      </c>
      <c r="D3945" s="403" t="s">
        <v>1414</v>
      </c>
      <c r="E3945" s="403" t="s">
        <v>1412</v>
      </c>
      <c r="F3945" s="403" t="s">
        <v>1385</v>
      </c>
      <c r="G3945" s="403" t="s">
        <v>1467</v>
      </c>
      <c r="H3945" s="403" t="s">
        <v>1276</v>
      </c>
      <c r="I3945" s="403">
        <v>1</v>
      </c>
      <c r="J3945" s="403" t="s">
        <v>1374</v>
      </c>
      <c r="K3945" s="403">
        <v>1296</v>
      </c>
      <c r="L3945" s="403">
        <v>2304</v>
      </c>
      <c r="M3945" s="403" t="s">
        <v>111</v>
      </c>
      <c r="N3945" s="403">
        <v>432</v>
      </c>
      <c r="O3945" s="403">
        <v>768</v>
      </c>
      <c r="P3945" t="str">
        <f t="shared" si="489"/>
        <v>25fps 2304x1296 - SD</v>
      </c>
      <c r="Q3945">
        <f t="shared" si="490"/>
        <v>20</v>
      </c>
      <c r="R3945" t="str">
        <f t="shared" si="491"/>
        <v/>
      </c>
      <c r="S3945" t="str">
        <f t="shared" si="492"/>
        <v/>
      </c>
      <c r="T3945" s="403" t="str">
        <f t="shared" si="493"/>
        <v>NDE-8503-RT</v>
      </c>
      <c r="U3945" s="403">
        <f t="shared" si="494"/>
        <v>1</v>
      </c>
      <c r="V3945" s="403" t="str">
        <f t="shared" si="495"/>
        <v>CPP_7_3</v>
      </c>
    </row>
    <row r="3946" spans="1:22">
      <c r="A3946" t="str">
        <f t="shared" si="488"/>
        <v>NDE-8503-RT</v>
      </c>
      <c r="B3946" s="403" t="s">
        <v>1410</v>
      </c>
      <c r="C3946" s="403" t="s">
        <v>582</v>
      </c>
      <c r="D3946" s="403" t="s">
        <v>1414</v>
      </c>
      <c r="E3946" s="403" t="s">
        <v>1412</v>
      </c>
      <c r="F3946" s="403" t="s">
        <v>1385</v>
      </c>
      <c r="G3946" s="403" t="s">
        <v>1467</v>
      </c>
      <c r="H3946" s="403" t="s">
        <v>1276</v>
      </c>
      <c r="I3946" s="403">
        <v>1</v>
      </c>
      <c r="J3946" s="403" t="s">
        <v>1374</v>
      </c>
      <c r="K3946" s="403">
        <v>1296</v>
      </c>
      <c r="L3946" s="403">
        <v>2304</v>
      </c>
      <c r="M3946" s="403" t="s">
        <v>1279</v>
      </c>
      <c r="N3946" s="403">
        <v>432</v>
      </c>
      <c r="O3946" s="403">
        <v>768</v>
      </c>
      <c r="P3946" t="str">
        <f t="shared" si="489"/>
        <v>25fps 2304x1296 - SD ROI PTZ</v>
      </c>
      <c r="Q3946">
        <f t="shared" si="490"/>
        <v>20</v>
      </c>
      <c r="R3946" t="str">
        <f t="shared" si="491"/>
        <v/>
      </c>
      <c r="S3946" t="str">
        <f t="shared" si="492"/>
        <v/>
      </c>
      <c r="T3946" s="403" t="str">
        <f t="shared" si="493"/>
        <v>NDE-8503-RT</v>
      </c>
      <c r="U3946" s="403">
        <f t="shared" si="494"/>
        <v>1</v>
      </c>
      <c r="V3946" s="403" t="str">
        <f t="shared" si="495"/>
        <v>CPP_7_3</v>
      </c>
    </row>
    <row r="3947" spans="1:22">
      <c r="A3947" t="str">
        <f t="shared" si="488"/>
        <v>NDE-8503-RT</v>
      </c>
      <c r="B3947" s="403" t="s">
        <v>1410</v>
      </c>
      <c r="C3947" s="403" t="s">
        <v>582</v>
      </c>
      <c r="D3947" s="403" t="s">
        <v>1414</v>
      </c>
      <c r="E3947" s="403" t="s">
        <v>1412</v>
      </c>
      <c r="F3947" s="403" t="s">
        <v>1385</v>
      </c>
      <c r="G3947" s="403" t="s">
        <v>1467</v>
      </c>
      <c r="H3947" s="403" t="s">
        <v>1276</v>
      </c>
      <c r="I3947" s="403">
        <v>1</v>
      </c>
      <c r="J3947" s="403" t="s">
        <v>1374</v>
      </c>
      <c r="K3947" s="403">
        <v>1296</v>
      </c>
      <c r="L3947" s="403">
        <v>2304</v>
      </c>
      <c r="M3947" s="403" t="s">
        <v>1285</v>
      </c>
      <c r="N3947" s="403">
        <v>1024</v>
      </c>
      <c r="O3947" s="403">
        <v>1280</v>
      </c>
      <c r="P3947" t="str">
        <f t="shared" si="489"/>
        <v>25fps 2304x1296 - 1280x1024 5:4 (cropped)</v>
      </c>
      <c r="Q3947">
        <f t="shared" si="490"/>
        <v>20</v>
      </c>
      <c r="R3947" t="str">
        <f t="shared" si="491"/>
        <v/>
      </c>
      <c r="S3947" t="str">
        <f t="shared" si="492"/>
        <v/>
      </c>
      <c r="T3947" s="403" t="str">
        <f t="shared" si="493"/>
        <v>NDE-8503-RT</v>
      </c>
      <c r="U3947" s="403">
        <f t="shared" si="494"/>
        <v>1</v>
      </c>
      <c r="V3947" s="403" t="str">
        <f t="shared" si="495"/>
        <v>CPP_7_3</v>
      </c>
    </row>
    <row r="3948" spans="1:22">
      <c r="A3948" t="str">
        <f t="shared" si="488"/>
        <v>NDE-8503-RT</v>
      </c>
      <c r="B3948" s="403" t="s">
        <v>1410</v>
      </c>
      <c r="C3948" s="403" t="s">
        <v>582</v>
      </c>
      <c r="D3948" s="403" t="s">
        <v>1414</v>
      </c>
      <c r="E3948" s="403" t="s">
        <v>1412</v>
      </c>
      <c r="F3948" s="403" t="s">
        <v>1385</v>
      </c>
      <c r="G3948" s="403" t="s">
        <v>1467</v>
      </c>
      <c r="H3948" s="403" t="s">
        <v>1276</v>
      </c>
      <c r="I3948" s="403">
        <v>1</v>
      </c>
      <c r="J3948" s="403" t="s">
        <v>1374</v>
      </c>
      <c r="K3948" s="403">
        <v>1296</v>
      </c>
      <c r="L3948" s="403">
        <v>2304</v>
      </c>
      <c r="M3948" s="403" t="s">
        <v>1283</v>
      </c>
      <c r="N3948" s="403">
        <v>576</v>
      </c>
      <c r="O3948" s="403">
        <v>720</v>
      </c>
      <c r="P3948" t="str">
        <f t="shared" si="489"/>
        <v>25fps 2304x1296 - SD 4CIF resolution 4:3 format (cropped)</v>
      </c>
      <c r="Q3948">
        <f t="shared" si="490"/>
        <v>20</v>
      </c>
      <c r="R3948" t="str">
        <f t="shared" si="491"/>
        <v/>
      </c>
      <c r="S3948" t="str">
        <f t="shared" si="492"/>
        <v/>
      </c>
      <c r="T3948" s="403" t="str">
        <f t="shared" si="493"/>
        <v>NDE-8503-RT</v>
      </c>
      <c r="U3948" s="403">
        <f t="shared" si="494"/>
        <v>1</v>
      </c>
      <c r="V3948" s="403" t="str">
        <f t="shared" si="495"/>
        <v>CPP_7_3</v>
      </c>
    </row>
    <row r="3949" spans="1:22">
      <c r="A3949" t="str">
        <f t="shared" si="488"/>
        <v>NDE-8503-RT</v>
      </c>
      <c r="B3949" s="403" t="s">
        <v>1410</v>
      </c>
      <c r="C3949" s="403" t="s">
        <v>582</v>
      </c>
      <c r="D3949" s="403" t="s">
        <v>1414</v>
      </c>
      <c r="E3949" s="403" t="s">
        <v>1412</v>
      </c>
      <c r="F3949" s="403" t="s">
        <v>1385</v>
      </c>
      <c r="G3949" s="403" t="s">
        <v>1467</v>
      </c>
      <c r="H3949" s="403" t="s">
        <v>1276</v>
      </c>
      <c r="I3949" s="403">
        <v>1</v>
      </c>
      <c r="J3949" s="403" t="s">
        <v>1374</v>
      </c>
      <c r="K3949" s="403">
        <v>1296</v>
      </c>
      <c r="L3949" s="403">
        <v>2304</v>
      </c>
      <c r="M3949" s="403" t="s">
        <v>1284</v>
      </c>
      <c r="N3949" s="403">
        <v>480</v>
      </c>
      <c r="O3949" s="403">
        <v>640</v>
      </c>
      <c r="P3949" t="str">
        <f t="shared" si="489"/>
        <v>25fps 2304x1296 - SD VGA (cropped)</v>
      </c>
      <c r="Q3949">
        <f t="shared" si="490"/>
        <v>20</v>
      </c>
      <c r="R3949" t="str">
        <f t="shared" si="491"/>
        <v/>
      </c>
      <c r="S3949" t="str">
        <f t="shared" si="492"/>
        <v/>
      </c>
      <c r="T3949" s="403" t="str">
        <f t="shared" si="493"/>
        <v>NDE-8503-RT</v>
      </c>
      <c r="U3949" s="403">
        <f t="shared" si="494"/>
        <v>1</v>
      </c>
      <c r="V3949" s="403" t="str">
        <f t="shared" si="495"/>
        <v>CPP_7_3</v>
      </c>
    </row>
    <row r="3950" spans="1:22">
      <c r="A3950" t="str">
        <f t="shared" si="488"/>
        <v>NDE-8503-RT</v>
      </c>
      <c r="B3950" s="403" t="s">
        <v>1410</v>
      </c>
      <c r="C3950" s="403" t="s">
        <v>582</v>
      </c>
      <c r="D3950" s="403" t="s">
        <v>1414</v>
      </c>
      <c r="E3950" s="403" t="s">
        <v>1412</v>
      </c>
      <c r="F3950" s="403" t="s">
        <v>1385</v>
      </c>
      <c r="G3950" s="403" t="s">
        <v>1467</v>
      </c>
      <c r="H3950" s="403" t="s">
        <v>1276</v>
      </c>
      <c r="I3950" s="403">
        <v>1</v>
      </c>
      <c r="J3950" s="403" t="s">
        <v>1374</v>
      </c>
      <c r="K3950" s="403">
        <v>1296</v>
      </c>
      <c r="L3950" s="403">
        <v>2304</v>
      </c>
      <c r="M3950" s="403" t="s">
        <v>1280</v>
      </c>
      <c r="N3950" s="403">
        <v>1296</v>
      </c>
      <c r="O3950" s="403">
        <v>2304</v>
      </c>
      <c r="P3950" t="str">
        <f t="shared" si="489"/>
        <v>25fps 2304x1296 - copy other stream</v>
      </c>
      <c r="Q3950">
        <f t="shared" si="490"/>
        <v>20</v>
      </c>
      <c r="R3950" t="str">
        <f t="shared" si="491"/>
        <v/>
      </c>
      <c r="S3950" t="str">
        <f t="shared" si="492"/>
        <v/>
      </c>
      <c r="T3950" s="403" t="str">
        <f t="shared" si="493"/>
        <v>NDE-8503-RT</v>
      </c>
      <c r="U3950" s="403">
        <f t="shared" si="494"/>
        <v>1</v>
      </c>
      <c r="V3950" s="403" t="str">
        <f t="shared" si="495"/>
        <v>CPP_7_3</v>
      </c>
    </row>
    <row r="3951" spans="1:22">
      <c r="A3951" t="str">
        <f t="shared" si="488"/>
        <v>NDE-8503-RT</v>
      </c>
      <c r="B3951" s="403" t="s">
        <v>1410</v>
      </c>
      <c r="C3951" s="403" t="s">
        <v>582</v>
      </c>
      <c r="D3951" s="403" t="s">
        <v>1414</v>
      </c>
      <c r="E3951" s="403" t="s">
        <v>1412</v>
      </c>
      <c r="F3951" s="403" t="s">
        <v>1385</v>
      </c>
      <c r="G3951" s="403" t="s">
        <v>1467</v>
      </c>
      <c r="H3951" s="403" t="s">
        <v>1276</v>
      </c>
      <c r="I3951" s="403">
        <v>1</v>
      </c>
      <c r="J3951" s="403" t="s">
        <v>110</v>
      </c>
      <c r="K3951" s="403">
        <v>1080</v>
      </c>
      <c r="L3951" s="403">
        <v>1920</v>
      </c>
      <c r="M3951" s="403" t="s">
        <v>111</v>
      </c>
      <c r="N3951" s="403">
        <v>432</v>
      </c>
      <c r="O3951" s="403">
        <v>768</v>
      </c>
      <c r="P3951" t="str">
        <f t="shared" si="489"/>
        <v>25fps 1080p - SD</v>
      </c>
      <c r="Q3951">
        <f t="shared" si="490"/>
        <v>20</v>
      </c>
      <c r="R3951" t="str">
        <f t="shared" si="491"/>
        <v/>
      </c>
      <c r="S3951" t="str">
        <f t="shared" si="492"/>
        <v/>
      </c>
      <c r="T3951" s="403" t="str">
        <f t="shared" si="493"/>
        <v>NDE-8503-RT</v>
      </c>
      <c r="U3951" s="403">
        <f t="shared" si="494"/>
        <v>1</v>
      </c>
      <c r="V3951" s="403" t="str">
        <f t="shared" si="495"/>
        <v>CPP_7_3</v>
      </c>
    </row>
    <row r="3952" spans="1:22">
      <c r="A3952" t="str">
        <f t="shared" si="488"/>
        <v>NDE-8503-RT</v>
      </c>
      <c r="B3952" s="403" t="s">
        <v>1410</v>
      </c>
      <c r="C3952" s="403" t="s">
        <v>582</v>
      </c>
      <c r="D3952" s="403" t="s">
        <v>1414</v>
      </c>
      <c r="E3952" s="403" t="s">
        <v>1412</v>
      </c>
      <c r="F3952" s="403" t="s">
        <v>1385</v>
      </c>
      <c r="G3952" s="403" t="s">
        <v>1467</v>
      </c>
      <c r="H3952" s="403" t="s">
        <v>1276</v>
      </c>
      <c r="I3952" s="403">
        <v>1</v>
      </c>
      <c r="J3952" s="403" t="s">
        <v>110</v>
      </c>
      <c r="K3952" s="403">
        <v>1080</v>
      </c>
      <c r="L3952" s="403">
        <v>1920</v>
      </c>
      <c r="M3952" s="403" t="s">
        <v>110</v>
      </c>
      <c r="N3952" s="403">
        <v>1080</v>
      </c>
      <c r="O3952" s="403">
        <v>1920</v>
      </c>
      <c r="P3952" t="str">
        <f t="shared" si="489"/>
        <v>25fps 1080p - 1080p</v>
      </c>
      <c r="Q3952">
        <f t="shared" si="490"/>
        <v>20</v>
      </c>
      <c r="R3952" t="str">
        <f t="shared" si="491"/>
        <v/>
      </c>
      <c r="S3952" t="str">
        <f t="shared" si="492"/>
        <v/>
      </c>
      <c r="T3952" s="403" t="str">
        <f t="shared" si="493"/>
        <v>NDE-8503-RT</v>
      </c>
      <c r="U3952" s="403">
        <f t="shared" si="494"/>
        <v>1</v>
      </c>
      <c r="V3952" s="403" t="str">
        <f t="shared" si="495"/>
        <v>CPP_7_3</v>
      </c>
    </row>
    <row r="3953" spans="1:22">
      <c r="A3953" t="str">
        <f t="shared" si="488"/>
        <v>NDE-8503-RT</v>
      </c>
      <c r="B3953" s="403" t="s">
        <v>1410</v>
      </c>
      <c r="C3953" s="403" t="s">
        <v>582</v>
      </c>
      <c r="D3953" s="403" t="s">
        <v>1414</v>
      </c>
      <c r="E3953" s="403" t="s">
        <v>1412</v>
      </c>
      <c r="F3953" s="403" t="s">
        <v>1385</v>
      </c>
      <c r="G3953" s="403" t="s">
        <v>1467</v>
      </c>
      <c r="H3953" s="403" t="s">
        <v>1276</v>
      </c>
      <c r="I3953" s="403">
        <v>1</v>
      </c>
      <c r="J3953" s="403" t="s">
        <v>110</v>
      </c>
      <c r="K3953" s="403">
        <v>1080</v>
      </c>
      <c r="L3953" s="403">
        <v>1920</v>
      </c>
      <c r="M3953" s="403" t="s">
        <v>109</v>
      </c>
      <c r="N3953" s="403">
        <v>720</v>
      </c>
      <c r="O3953" s="403">
        <v>1280</v>
      </c>
      <c r="P3953" t="str">
        <f t="shared" si="489"/>
        <v>25fps 1080p - 720p</v>
      </c>
      <c r="Q3953">
        <f t="shared" si="490"/>
        <v>20</v>
      </c>
      <c r="R3953" t="str">
        <f t="shared" si="491"/>
        <v/>
      </c>
      <c r="S3953" t="str">
        <f t="shared" si="492"/>
        <v/>
      </c>
      <c r="T3953" s="403" t="str">
        <f t="shared" si="493"/>
        <v>NDE-8503-RT</v>
      </c>
      <c r="U3953" s="403">
        <f t="shared" si="494"/>
        <v>1</v>
      </c>
      <c r="V3953" s="403" t="str">
        <f t="shared" si="495"/>
        <v>CPP_7_3</v>
      </c>
    </row>
    <row r="3954" spans="1:22">
      <c r="A3954" t="str">
        <f t="shared" si="488"/>
        <v>NDE-8503-RT</v>
      </c>
      <c r="B3954" s="403" t="s">
        <v>1410</v>
      </c>
      <c r="C3954" s="403" t="s">
        <v>582</v>
      </c>
      <c r="D3954" s="403" t="s">
        <v>1414</v>
      </c>
      <c r="E3954" s="403" t="s">
        <v>1412</v>
      </c>
      <c r="F3954" s="403" t="s">
        <v>1385</v>
      </c>
      <c r="G3954" s="403" t="s">
        <v>1467</v>
      </c>
      <c r="H3954" s="403" t="s">
        <v>1276</v>
      </c>
      <c r="I3954" s="403">
        <v>1</v>
      </c>
      <c r="J3954" s="403" t="s">
        <v>110</v>
      </c>
      <c r="K3954" s="403">
        <v>1080</v>
      </c>
      <c r="L3954" s="403">
        <v>1920</v>
      </c>
      <c r="M3954" s="403" t="s">
        <v>1285</v>
      </c>
      <c r="N3954" s="403">
        <v>1024</v>
      </c>
      <c r="O3954" s="403">
        <v>1280</v>
      </c>
      <c r="P3954" t="str">
        <f t="shared" si="489"/>
        <v>25fps 1080p - 1280x1024 5:4 (cropped)</v>
      </c>
      <c r="Q3954">
        <f t="shared" si="490"/>
        <v>20</v>
      </c>
      <c r="R3954" t="str">
        <f t="shared" si="491"/>
        <v/>
      </c>
      <c r="S3954" t="str">
        <f t="shared" si="492"/>
        <v/>
      </c>
      <c r="T3954" s="403" t="str">
        <f t="shared" si="493"/>
        <v>NDE-8503-RT</v>
      </c>
      <c r="U3954" s="403">
        <f t="shared" si="494"/>
        <v>1</v>
      </c>
      <c r="V3954" s="403" t="str">
        <f t="shared" si="495"/>
        <v>CPP_7_3</v>
      </c>
    </row>
    <row r="3955" spans="1:22">
      <c r="A3955" t="str">
        <f t="shared" si="488"/>
        <v>NDE-8503-RT</v>
      </c>
      <c r="B3955" s="403" t="s">
        <v>1410</v>
      </c>
      <c r="C3955" s="403" t="s">
        <v>582</v>
      </c>
      <c r="D3955" s="403" t="s">
        <v>1414</v>
      </c>
      <c r="E3955" s="403" t="s">
        <v>1412</v>
      </c>
      <c r="F3955" s="403" t="s">
        <v>1385</v>
      </c>
      <c r="G3955" s="403" t="s">
        <v>1467</v>
      </c>
      <c r="H3955" s="403" t="s">
        <v>1276</v>
      </c>
      <c r="I3955" s="403">
        <v>1</v>
      </c>
      <c r="J3955" s="403" t="s">
        <v>110</v>
      </c>
      <c r="K3955" s="403">
        <v>1080</v>
      </c>
      <c r="L3955" s="403">
        <v>1920</v>
      </c>
      <c r="M3955" s="403" t="s">
        <v>1279</v>
      </c>
      <c r="N3955" s="403">
        <v>432</v>
      </c>
      <c r="O3955" s="403">
        <v>768</v>
      </c>
      <c r="P3955" t="str">
        <f t="shared" si="489"/>
        <v>25fps 1080p - SD ROI PTZ</v>
      </c>
      <c r="Q3955">
        <f t="shared" si="490"/>
        <v>20</v>
      </c>
      <c r="R3955" t="str">
        <f t="shared" si="491"/>
        <v/>
      </c>
      <c r="S3955" t="str">
        <f t="shared" si="492"/>
        <v/>
      </c>
      <c r="T3955" s="403" t="str">
        <f t="shared" si="493"/>
        <v>NDE-8503-RT</v>
      </c>
      <c r="U3955" s="403">
        <f t="shared" si="494"/>
        <v>1</v>
      </c>
      <c r="V3955" s="403" t="str">
        <f t="shared" si="495"/>
        <v>CPP_7_3</v>
      </c>
    </row>
    <row r="3956" spans="1:22">
      <c r="A3956" t="str">
        <f t="shared" si="488"/>
        <v>NDE-8503-RT</v>
      </c>
      <c r="B3956" s="403" t="s">
        <v>1410</v>
      </c>
      <c r="C3956" s="403" t="s">
        <v>582</v>
      </c>
      <c r="D3956" s="403" t="s">
        <v>1414</v>
      </c>
      <c r="E3956" s="403" t="s">
        <v>1412</v>
      </c>
      <c r="F3956" s="403" t="s">
        <v>1385</v>
      </c>
      <c r="G3956" s="403" t="s">
        <v>1467</v>
      </c>
      <c r="H3956" s="403" t="s">
        <v>1276</v>
      </c>
      <c r="I3956" s="403">
        <v>1</v>
      </c>
      <c r="J3956" s="403" t="s">
        <v>110</v>
      </c>
      <c r="K3956" s="403">
        <v>1080</v>
      </c>
      <c r="L3956" s="403">
        <v>1920</v>
      </c>
      <c r="M3956" s="403" t="s">
        <v>1283</v>
      </c>
      <c r="N3956" s="403">
        <v>576</v>
      </c>
      <c r="O3956" s="403">
        <v>720</v>
      </c>
      <c r="P3956" t="str">
        <f t="shared" si="489"/>
        <v>25fps 1080p - SD 4CIF resolution 4:3 format (cropped)</v>
      </c>
      <c r="Q3956">
        <f t="shared" si="490"/>
        <v>20</v>
      </c>
      <c r="R3956" t="str">
        <f t="shared" si="491"/>
        <v/>
      </c>
      <c r="S3956" t="str">
        <f t="shared" si="492"/>
        <v/>
      </c>
      <c r="T3956" s="403" t="str">
        <f t="shared" si="493"/>
        <v>NDE-8503-RT</v>
      </c>
      <c r="U3956" s="403">
        <f t="shared" si="494"/>
        <v>1</v>
      </c>
      <c r="V3956" s="403" t="str">
        <f t="shared" si="495"/>
        <v>CPP_7_3</v>
      </c>
    </row>
    <row r="3957" spans="1:22">
      <c r="A3957" t="str">
        <f t="shared" si="488"/>
        <v>NDE-8503-RT</v>
      </c>
      <c r="B3957" s="403" t="s">
        <v>1410</v>
      </c>
      <c r="C3957" s="403" t="s">
        <v>582</v>
      </c>
      <c r="D3957" s="403" t="s">
        <v>1414</v>
      </c>
      <c r="E3957" s="403" t="s">
        <v>1412</v>
      </c>
      <c r="F3957" s="403" t="s">
        <v>1385</v>
      </c>
      <c r="G3957" s="403" t="s">
        <v>1467</v>
      </c>
      <c r="H3957" s="403" t="s">
        <v>1276</v>
      </c>
      <c r="I3957" s="403">
        <v>1</v>
      </c>
      <c r="J3957" s="403" t="s">
        <v>110</v>
      </c>
      <c r="K3957" s="403">
        <v>1080</v>
      </c>
      <c r="L3957" s="403">
        <v>1920</v>
      </c>
      <c r="M3957" s="403" t="s">
        <v>1284</v>
      </c>
      <c r="N3957" s="403">
        <v>480</v>
      </c>
      <c r="O3957" s="403">
        <v>640</v>
      </c>
      <c r="P3957" t="str">
        <f t="shared" si="489"/>
        <v>25fps 1080p - SD VGA (cropped)</v>
      </c>
      <c r="Q3957">
        <f t="shared" si="490"/>
        <v>20</v>
      </c>
      <c r="R3957" t="str">
        <f t="shared" si="491"/>
        <v/>
      </c>
      <c r="S3957" t="str">
        <f t="shared" si="492"/>
        <v/>
      </c>
      <c r="T3957" s="403" t="str">
        <f t="shared" si="493"/>
        <v>NDE-8503-RT</v>
      </c>
      <c r="U3957" s="403">
        <f t="shared" si="494"/>
        <v>1</v>
      </c>
      <c r="V3957" s="403" t="str">
        <f t="shared" si="495"/>
        <v>CPP_7_3</v>
      </c>
    </row>
    <row r="3958" spans="1:22">
      <c r="A3958" t="str">
        <f t="shared" si="488"/>
        <v>NDE-8503-RT</v>
      </c>
      <c r="B3958" s="403" t="s">
        <v>1410</v>
      </c>
      <c r="C3958" s="403" t="s">
        <v>582</v>
      </c>
      <c r="D3958" s="403" t="s">
        <v>1414</v>
      </c>
      <c r="E3958" s="403" t="s">
        <v>1412</v>
      </c>
      <c r="F3958" s="403" t="s">
        <v>1385</v>
      </c>
      <c r="G3958" s="403" t="s">
        <v>1467</v>
      </c>
      <c r="H3958" s="403" t="s">
        <v>1276</v>
      </c>
      <c r="I3958" s="403">
        <v>1</v>
      </c>
      <c r="J3958" s="403" t="s">
        <v>109</v>
      </c>
      <c r="K3958" s="403">
        <v>720</v>
      </c>
      <c r="L3958" s="403">
        <v>1280</v>
      </c>
      <c r="M3958" s="403" t="s">
        <v>109</v>
      </c>
      <c r="N3958" s="403">
        <v>720</v>
      </c>
      <c r="O3958" s="403">
        <v>1280</v>
      </c>
      <c r="P3958" t="str">
        <f t="shared" si="489"/>
        <v>25fps 720p - 720p</v>
      </c>
      <c r="Q3958">
        <f t="shared" si="490"/>
        <v>20</v>
      </c>
      <c r="R3958" t="str">
        <f t="shared" si="491"/>
        <v/>
      </c>
      <c r="S3958" t="str">
        <f t="shared" si="492"/>
        <v/>
      </c>
      <c r="T3958" s="403" t="str">
        <f t="shared" si="493"/>
        <v>NDE-8503-RT</v>
      </c>
      <c r="U3958" s="403">
        <f t="shared" si="494"/>
        <v>1</v>
      </c>
      <c r="V3958" s="403" t="str">
        <f t="shared" si="495"/>
        <v>CPP_7_3</v>
      </c>
    </row>
    <row r="3959" spans="1:22">
      <c r="A3959" t="str">
        <f t="shared" si="488"/>
        <v>NDE-8503-RT</v>
      </c>
      <c r="B3959" s="403" t="s">
        <v>1410</v>
      </c>
      <c r="C3959" s="403" t="s">
        <v>582</v>
      </c>
      <c r="D3959" s="403" t="s">
        <v>1414</v>
      </c>
      <c r="E3959" s="403" t="s">
        <v>1412</v>
      </c>
      <c r="F3959" s="403" t="s">
        <v>1385</v>
      </c>
      <c r="G3959" s="403" t="s">
        <v>1467</v>
      </c>
      <c r="H3959" s="403" t="s">
        <v>1276</v>
      </c>
      <c r="I3959" s="403">
        <v>1</v>
      </c>
      <c r="J3959" s="403" t="s">
        <v>109</v>
      </c>
      <c r="K3959" s="403">
        <v>720</v>
      </c>
      <c r="L3959" s="403">
        <v>1280</v>
      </c>
      <c r="M3959" s="403" t="s">
        <v>111</v>
      </c>
      <c r="N3959" s="403">
        <v>432</v>
      </c>
      <c r="O3959" s="403">
        <v>768</v>
      </c>
      <c r="P3959" t="str">
        <f t="shared" si="489"/>
        <v>25fps 720p - SD</v>
      </c>
      <c r="Q3959">
        <f t="shared" si="490"/>
        <v>20</v>
      </c>
      <c r="R3959" t="str">
        <f t="shared" si="491"/>
        <v/>
      </c>
      <c r="S3959" t="str">
        <f t="shared" si="492"/>
        <v/>
      </c>
      <c r="T3959" s="403" t="str">
        <f t="shared" si="493"/>
        <v>NDE-8503-RT</v>
      </c>
      <c r="U3959" s="403">
        <f t="shared" si="494"/>
        <v>1</v>
      </c>
      <c r="V3959" s="403" t="str">
        <f t="shared" si="495"/>
        <v>CPP_7_3</v>
      </c>
    </row>
    <row r="3960" spans="1:22">
      <c r="A3960" t="str">
        <f t="shared" si="488"/>
        <v>NDE-8503-RT</v>
      </c>
      <c r="B3960" s="403" t="s">
        <v>1410</v>
      </c>
      <c r="C3960" s="403" t="s">
        <v>582</v>
      </c>
      <c r="D3960" s="403" t="s">
        <v>1414</v>
      </c>
      <c r="E3960" s="403" t="s">
        <v>1412</v>
      </c>
      <c r="F3960" s="403" t="s">
        <v>1385</v>
      </c>
      <c r="G3960" s="403" t="s">
        <v>1467</v>
      </c>
      <c r="H3960" s="403" t="s">
        <v>1276</v>
      </c>
      <c r="I3960" s="403">
        <v>1</v>
      </c>
      <c r="J3960" s="403" t="s">
        <v>109</v>
      </c>
      <c r="K3960" s="403">
        <v>720</v>
      </c>
      <c r="L3960" s="403">
        <v>1280</v>
      </c>
      <c r="M3960" s="403" t="s">
        <v>1279</v>
      </c>
      <c r="N3960" s="403">
        <v>432</v>
      </c>
      <c r="O3960" s="403">
        <v>768</v>
      </c>
      <c r="P3960" t="str">
        <f t="shared" si="489"/>
        <v>25fps 720p - SD ROI PTZ</v>
      </c>
      <c r="Q3960">
        <f t="shared" si="490"/>
        <v>20</v>
      </c>
      <c r="R3960" t="str">
        <f t="shared" si="491"/>
        <v/>
      </c>
      <c r="S3960" t="str">
        <f t="shared" si="492"/>
        <v/>
      </c>
      <c r="T3960" s="403" t="str">
        <f t="shared" si="493"/>
        <v>NDE-8503-RT</v>
      </c>
      <c r="U3960" s="403">
        <f t="shared" si="494"/>
        <v>1</v>
      </c>
      <c r="V3960" s="403" t="str">
        <f t="shared" si="495"/>
        <v>CPP_7_3</v>
      </c>
    </row>
    <row r="3961" spans="1:22">
      <c r="A3961" t="str">
        <f t="shared" si="488"/>
        <v>NDE-8503-RT</v>
      </c>
      <c r="B3961" s="403" t="s">
        <v>1410</v>
      </c>
      <c r="C3961" s="403" t="s">
        <v>582</v>
      </c>
      <c r="D3961" s="403" t="s">
        <v>1414</v>
      </c>
      <c r="E3961" s="403" t="s">
        <v>1412</v>
      </c>
      <c r="F3961" s="403" t="s">
        <v>1385</v>
      </c>
      <c r="G3961" s="403" t="s">
        <v>1467</v>
      </c>
      <c r="H3961" s="403" t="s">
        <v>1276</v>
      </c>
      <c r="I3961" s="403">
        <v>1</v>
      </c>
      <c r="J3961" s="403" t="s">
        <v>109</v>
      </c>
      <c r="K3961" s="403">
        <v>720</v>
      </c>
      <c r="L3961" s="403">
        <v>1280</v>
      </c>
      <c r="M3961" s="403" t="s">
        <v>1283</v>
      </c>
      <c r="N3961" s="403">
        <v>576</v>
      </c>
      <c r="O3961" s="403">
        <v>720</v>
      </c>
      <c r="P3961" t="str">
        <f t="shared" si="489"/>
        <v>25fps 720p - SD 4CIF resolution 4:3 format (cropped)</v>
      </c>
      <c r="Q3961">
        <f t="shared" si="490"/>
        <v>20</v>
      </c>
      <c r="R3961" t="str">
        <f t="shared" si="491"/>
        <v/>
      </c>
      <c r="S3961" t="str">
        <f t="shared" si="492"/>
        <v/>
      </c>
      <c r="T3961" s="403" t="str">
        <f t="shared" si="493"/>
        <v>NDE-8503-RT</v>
      </c>
      <c r="U3961" s="403">
        <f t="shared" si="494"/>
        <v>1</v>
      </c>
      <c r="V3961" s="403" t="str">
        <f t="shared" si="495"/>
        <v>CPP_7_3</v>
      </c>
    </row>
    <row r="3962" spans="1:22">
      <c r="A3962" t="str">
        <f t="shared" si="488"/>
        <v>NDE-8503-RT</v>
      </c>
      <c r="B3962" s="403" t="s">
        <v>1410</v>
      </c>
      <c r="C3962" s="403" t="s">
        <v>582</v>
      </c>
      <c r="D3962" s="403" t="s">
        <v>1414</v>
      </c>
      <c r="E3962" s="403" t="s">
        <v>1412</v>
      </c>
      <c r="F3962" s="403" t="s">
        <v>1385</v>
      </c>
      <c r="G3962" s="403" t="s">
        <v>1467</v>
      </c>
      <c r="H3962" s="403" t="s">
        <v>1276</v>
      </c>
      <c r="I3962" s="403">
        <v>1</v>
      </c>
      <c r="J3962" s="403" t="s">
        <v>109</v>
      </c>
      <c r="K3962" s="403">
        <v>720</v>
      </c>
      <c r="L3962" s="403">
        <v>1280</v>
      </c>
      <c r="M3962" s="403" t="s">
        <v>1284</v>
      </c>
      <c r="N3962" s="403">
        <v>480</v>
      </c>
      <c r="O3962" s="403">
        <v>640</v>
      </c>
      <c r="P3962" t="str">
        <f t="shared" si="489"/>
        <v>25fps 720p - SD VGA (cropped)</v>
      </c>
      <c r="Q3962">
        <f t="shared" si="490"/>
        <v>20</v>
      </c>
      <c r="R3962" t="str">
        <f t="shared" si="491"/>
        <v/>
      </c>
      <c r="S3962" t="str">
        <f t="shared" si="492"/>
        <v/>
      </c>
      <c r="T3962" s="403" t="str">
        <f t="shared" si="493"/>
        <v>NDE-8503-RT</v>
      </c>
      <c r="U3962" s="403">
        <f t="shared" si="494"/>
        <v>1</v>
      </c>
      <c r="V3962" s="403" t="str">
        <f t="shared" si="495"/>
        <v>CPP_7_3</v>
      </c>
    </row>
    <row r="3963" spans="1:22">
      <c r="A3963" t="str">
        <f t="shared" si="488"/>
        <v>NDE-8503-RT</v>
      </c>
      <c r="B3963" s="403" t="s">
        <v>1410</v>
      </c>
      <c r="C3963" s="403" t="s">
        <v>582</v>
      </c>
      <c r="D3963" s="403" t="s">
        <v>1414</v>
      </c>
      <c r="E3963" s="403" t="s">
        <v>1412</v>
      </c>
      <c r="F3963" s="403" t="s">
        <v>1385</v>
      </c>
      <c r="G3963" s="403" t="s">
        <v>1467</v>
      </c>
      <c r="H3963" s="403" t="s">
        <v>1281</v>
      </c>
      <c r="I3963" s="403">
        <v>1</v>
      </c>
      <c r="J3963" s="403" t="s">
        <v>1376</v>
      </c>
      <c r="K3963" s="403">
        <v>1728</v>
      </c>
      <c r="L3963" s="403">
        <v>3072</v>
      </c>
      <c r="M3963" s="403" t="s">
        <v>111</v>
      </c>
      <c r="N3963" s="403">
        <v>432</v>
      </c>
      <c r="O3963" s="403">
        <v>768</v>
      </c>
      <c r="P3963" t="str">
        <f t="shared" si="489"/>
        <v>25fps 3072x1728 - SD</v>
      </c>
      <c r="Q3963">
        <f t="shared" si="490"/>
        <v>20</v>
      </c>
      <c r="R3963" t="str">
        <f t="shared" si="491"/>
        <v/>
      </c>
      <c r="S3963" t="str">
        <f t="shared" si="492"/>
        <v/>
      </c>
      <c r="T3963" s="403" t="str">
        <f t="shared" si="493"/>
        <v>NDE-8503-RT</v>
      </c>
      <c r="U3963" s="403">
        <f t="shared" si="494"/>
        <v>1</v>
      </c>
      <c r="V3963" s="403" t="str">
        <f t="shared" si="495"/>
        <v>CPP_7_3</v>
      </c>
    </row>
    <row r="3964" spans="1:22">
      <c r="A3964" t="str">
        <f t="shared" si="488"/>
        <v>NDE-8503-RT</v>
      </c>
      <c r="B3964" s="403" t="s">
        <v>1410</v>
      </c>
      <c r="C3964" s="403" t="s">
        <v>582</v>
      </c>
      <c r="D3964" s="403" t="s">
        <v>1414</v>
      </c>
      <c r="E3964" s="403" t="s">
        <v>1412</v>
      </c>
      <c r="F3964" s="403" t="s">
        <v>1385</v>
      </c>
      <c r="G3964" s="403" t="s">
        <v>1467</v>
      </c>
      <c r="H3964" s="403" t="s">
        <v>1281</v>
      </c>
      <c r="I3964" s="403">
        <v>1</v>
      </c>
      <c r="J3964" s="403" t="s">
        <v>1376</v>
      </c>
      <c r="K3964" s="403">
        <v>1728</v>
      </c>
      <c r="L3964" s="403">
        <v>3072</v>
      </c>
      <c r="M3964" s="403" t="s">
        <v>1600</v>
      </c>
      <c r="N3964" s="403">
        <v>1728</v>
      </c>
      <c r="O3964" s="403">
        <v>3072</v>
      </c>
      <c r="P3964" t="str">
        <f t="shared" si="489"/>
        <v>25fps 3072x1728 - 3072x1728 @ SKIP2</v>
      </c>
      <c r="Q3964">
        <f t="shared" si="490"/>
        <v>20</v>
      </c>
      <c r="R3964" t="str">
        <f t="shared" si="491"/>
        <v/>
      </c>
      <c r="S3964" t="str">
        <f t="shared" si="492"/>
        <v/>
      </c>
      <c r="T3964" s="403" t="str">
        <f t="shared" si="493"/>
        <v>NDE-8503-RT</v>
      </c>
      <c r="U3964" s="403">
        <f t="shared" si="494"/>
        <v>1</v>
      </c>
      <c r="V3964" s="403" t="str">
        <f t="shared" si="495"/>
        <v>CPP_7_3</v>
      </c>
    </row>
    <row r="3965" spans="1:22">
      <c r="A3965" t="str">
        <f t="shared" si="488"/>
        <v>NDE-8503-RT</v>
      </c>
      <c r="B3965" s="403" t="s">
        <v>1410</v>
      </c>
      <c r="C3965" s="403" t="s">
        <v>582</v>
      </c>
      <c r="D3965" s="403" t="s">
        <v>1414</v>
      </c>
      <c r="E3965" s="403" t="s">
        <v>1412</v>
      </c>
      <c r="F3965" s="403" t="s">
        <v>1385</v>
      </c>
      <c r="G3965" s="403" t="s">
        <v>1467</v>
      </c>
      <c r="H3965" s="403" t="s">
        <v>1281</v>
      </c>
      <c r="I3965" s="403">
        <v>1</v>
      </c>
      <c r="J3965" s="403" t="s">
        <v>1376</v>
      </c>
      <c r="K3965" s="403">
        <v>1728</v>
      </c>
      <c r="L3965" s="403">
        <v>3072</v>
      </c>
      <c r="M3965" s="403" t="s">
        <v>1280</v>
      </c>
      <c r="N3965" s="403">
        <v>1728</v>
      </c>
      <c r="O3965" s="403">
        <v>3072</v>
      </c>
      <c r="P3965" t="str">
        <f t="shared" si="489"/>
        <v>25fps 3072x1728 - copy other stream</v>
      </c>
      <c r="Q3965">
        <f t="shared" si="490"/>
        <v>20</v>
      </c>
      <c r="R3965" t="str">
        <f t="shared" si="491"/>
        <v/>
      </c>
      <c r="S3965" t="str">
        <f t="shared" si="492"/>
        <v/>
      </c>
      <c r="T3965" s="403" t="str">
        <f t="shared" si="493"/>
        <v>NDE-8503-RT</v>
      </c>
      <c r="U3965" s="403">
        <f t="shared" si="494"/>
        <v>1</v>
      </c>
      <c r="V3965" s="403" t="str">
        <f t="shared" si="495"/>
        <v>CPP_7_3</v>
      </c>
    </row>
    <row r="3966" spans="1:22">
      <c r="A3966" t="str">
        <f t="shared" si="488"/>
        <v>NDE-8503-RT</v>
      </c>
      <c r="B3966" s="403" t="s">
        <v>1410</v>
      </c>
      <c r="C3966" s="403" t="s">
        <v>582</v>
      </c>
      <c r="D3966" s="403" t="s">
        <v>1414</v>
      </c>
      <c r="E3966" s="403" t="s">
        <v>1412</v>
      </c>
      <c r="F3966" s="403" t="s">
        <v>1385</v>
      </c>
      <c r="G3966" s="403" t="s">
        <v>1467</v>
      </c>
      <c r="H3966" s="403" t="s">
        <v>1281</v>
      </c>
      <c r="I3966" s="403">
        <v>1</v>
      </c>
      <c r="J3966" s="403" t="s">
        <v>1376</v>
      </c>
      <c r="K3966" s="403">
        <v>1728</v>
      </c>
      <c r="L3966" s="403">
        <v>3072</v>
      </c>
      <c r="M3966" s="403" t="s">
        <v>110</v>
      </c>
      <c r="N3966" s="403">
        <v>1080</v>
      </c>
      <c r="O3966" s="403">
        <v>1920</v>
      </c>
      <c r="P3966" t="str">
        <f t="shared" si="489"/>
        <v>25fps 3072x1728 - 1080p</v>
      </c>
      <c r="Q3966">
        <f t="shared" si="490"/>
        <v>20</v>
      </c>
      <c r="R3966" t="str">
        <f t="shared" si="491"/>
        <v/>
      </c>
      <c r="S3966" t="str">
        <f t="shared" si="492"/>
        <v/>
      </c>
      <c r="T3966" s="403" t="str">
        <f t="shared" si="493"/>
        <v>NDE-8503-RT</v>
      </c>
      <c r="U3966" s="403">
        <f t="shared" si="494"/>
        <v>1</v>
      </c>
      <c r="V3966" s="403" t="str">
        <f t="shared" si="495"/>
        <v>CPP_7_3</v>
      </c>
    </row>
    <row r="3967" spans="1:22">
      <c r="A3967" t="str">
        <f t="shared" si="488"/>
        <v>NDE-8503-RT</v>
      </c>
      <c r="B3967" s="403" t="s">
        <v>1410</v>
      </c>
      <c r="C3967" s="403" t="s">
        <v>582</v>
      </c>
      <c r="D3967" s="403" t="s">
        <v>1414</v>
      </c>
      <c r="E3967" s="403" t="s">
        <v>1412</v>
      </c>
      <c r="F3967" s="403" t="s">
        <v>1385</v>
      </c>
      <c r="G3967" s="403" t="s">
        <v>1467</v>
      </c>
      <c r="H3967" s="403" t="s">
        <v>1281</v>
      </c>
      <c r="I3967" s="403">
        <v>1</v>
      </c>
      <c r="J3967" s="403" t="s">
        <v>1376</v>
      </c>
      <c r="K3967" s="403">
        <v>1728</v>
      </c>
      <c r="L3967" s="403">
        <v>3072</v>
      </c>
      <c r="M3967" s="403" t="s">
        <v>109</v>
      </c>
      <c r="N3967" s="403">
        <v>720</v>
      </c>
      <c r="O3967" s="403">
        <v>1280</v>
      </c>
      <c r="P3967" t="str">
        <f t="shared" si="489"/>
        <v>25fps 3072x1728 - 720p</v>
      </c>
      <c r="Q3967">
        <f t="shared" si="490"/>
        <v>20</v>
      </c>
      <c r="R3967" t="str">
        <f t="shared" si="491"/>
        <v/>
      </c>
      <c r="S3967" t="str">
        <f t="shared" si="492"/>
        <v/>
      </c>
      <c r="T3967" s="403" t="str">
        <f t="shared" si="493"/>
        <v>NDE-8503-RT</v>
      </c>
      <c r="U3967" s="403">
        <f t="shared" si="494"/>
        <v>1</v>
      </c>
      <c r="V3967" s="403" t="str">
        <f t="shared" si="495"/>
        <v>CPP_7_3</v>
      </c>
    </row>
    <row r="3968" spans="1:22">
      <c r="A3968" t="str">
        <f t="shared" si="488"/>
        <v>NDE-8503-RT</v>
      </c>
      <c r="B3968" s="403" t="s">
        <v>1410</v>
      </c>
      <c r="C3968" s="403" t="s">
        <v>582</v>
      </c>
      <c r="D3968" s="403" t="s">
        <v>1414</v>
      </c>
      <c r="E3968" s="403" t="s">
        <v>1412</v>
      </c>
      <c r="F3968" s="403" t="s">
        <v>1385</v>
      </c>
      <c r="G3968" s="403" t="s">
        <v>1467</v>
      </c>
      <c r="H3968" s="403" t="s">
        <v>1281</v>
      </c>
      <c r="I3968" s="403">
        <v>1</v>
      </c>
      <c r="J3968" s="403" t="s">
        <v>1376</v>
      </c>
      <c r="K3968" s="403">
        <v>1728</v>
      </c>
      <c r="L3968" s="403">
        <v>3072</v>
      </c>
      <c r="M3968" s="403" t="s">
        <v>1283</v>
      </c>
      <c r="N3968" s="403">
        <v>576</v>
      </c>
      <c r="O3968" s="403">
        <v>720</v>
      </c>
      <c r="P3968" t="str">
        <f t="shared" si="489"/>
        <v>25fps 3072x1728 - SD 4CIF resolution 4:3 format (cropped)</v>
      </c>
      <c r="Q3968">
        <f t="shared" si="490"/>
        <v>20</v>
      </c>
      <c r="R3968" t="str">
        <f t="shared" si="491"/>
        <v/>
      </c>
      <c r="S3968" t="str">
        <f t="shared" si="492"/>
        <v/>
      </c>
      <c r="T3968" s="403" t="str">
        <f t="shared" si="493"/>
        <v>NDE-8503-RT</v>
      </c>
      <c r="U3968" s="403">
        <f t="shared" si="494"/>
        <v>1</v>
      </c>
      <c r="V3968" s="403" t="str">
        <f t="shared" si="495"/>
        <v>CPP_7_3</v>
      </c>
    </row>
    <row r="3969" spans="1:22">
      <c r="A3969" t="str">
        <f t="shared" si="488"/>
        <v>NDE-8503-RT</v>
      </c>
      <c r="B3969" s="403" t="s">
        <v>1410</v>
      </c>
      <c r="C3969" s="403" t="s">
        <v>582</v>
      </c>
      <c r="D3969" s="403" t="s">
        <v>1414</v>
      </c>
      <c r="E3969" s="403" t="s">
        <v>1412</v>
      </c>
      <c r="F3969" s="403" t="s">
        <v>1385</v>
      </c>
      <c r="G3969" s="403" t="s">
        <v>1467</v>
      </c>
      <c r="H3969" s="403" t="s">
        <v>1281</v>
      </c>
      <c r="I3969" s="403">
        <v>1</v>
      </c>
      <c r="J3969" s="403" t="s">
        <v>1376</v>
      </c>
      <c r="K3969" s="403">
        <v>1728</v>
      </c>
      <c r="L3969" s="403">
        <v>3072</v>
      </c>
      <c r="M3969" s="403" t="s">
        <v>1279</v>
      </c>
      <c r="N3969" s="403">
        <v>432</v>
      </c>
      <c r="O3969" s="403">
        <v>768</v>
      </c>
      <c r="P3969" t="str">
        <f t="shared" si="489"/>
        <v>25fps 3072x1728 - SD ROI PTZ</v>
      </c>
      <c r="Q3969">
        <f t="shared" si="490"/>
        <v>20</v>
      </c>
      <c r="R3969" t="str">
        <f t="shared" si="491"/>
        <v/>
      </c>
      <c r="S3969" t="str">
        <f t="shared" si="492"/>
        <v/>
      </c>
      <c r="T3969" s="403" t="str">
        <f t="shared" si="493"/>
        <v>NDE-8503-RT</v>
      </c>
      <c r="U3969" s="403">
        <f t="shared" si="494"/>
        <v>1</v>
      </c>
      <c r="V3969" s="403" t="str">
        <f t="shared" si="495"/>
        <v>CPP_7_3</v>
      </c>
    </row>
    <row r="3970" spans="1:22">
      <c r="A3970" t="str">
        <f t="shared" ref="A3970:A4033" si="496">IF(AND(G3970&lt;&gt;"rotate 90°"),D3970,"")</f>
        <v>NDE-8503-RT</v>
      </c>
      <c r="B3970" s="403" t="s">
        <v>1410</v>
      </c>
      <c r="C3970" s="403" t="s">
        <v>582</v>
      </c>
      <c r="D3970" s="403" t="s">
        <v>1414</v>
      </c>
      <c r="E3970" s="403" t="s">
        <v>1412</v>
      </c>
      <c r="F3970" s="403" t="s">
        <v>1385</v>
      </c>
      <c r="G3970" s="403" t="s">
        <v>1467</v>
      </c>
      <c r="H3970" s="403" t="s">
        <v>1281</v>
      </c>
      <c r="I3970" s="403">
        <v>1</v>
      </c>
      <c r="J3970" s="403" t="s">
        <v>1376</v>
      </c>
      <c r="K3970" s="403">
        <v>1728</v>
      </c>
      <c r="L3970" s="403">
        <v>3072</v>
      </c>
      <c r="M3970" s="403" t="s">
        <v>1284</v>
      </c>
      <c r="N3970" s="403">
        <v>480</v>
      </c>
      <c r="O3970" s="403">
        <v>640</v>
      </c>
      <c r="P3970" t="str">
        <f t="shared" ref="P3970:P4033" si="497">LEFT(F3970,5)&amp;" "&amp;J3970&amp;" - "&amp;M3970</f>
        <v>25fps 3072x1728 - SD VGA (cropped)</v>
      </c>
      <c r="Q3970">
        <f t="shared" ref="Q3970:Q4033" si="498">IF(A3969=A3970,Q3969,Q3969+1)</f>
        <v>20</v>
      </c>
      <c r="R3970" t="str">
        <f t="shared" ref="R3970:R4033" si="499">IF(Q3969&lt;&gt;Q3970,Q3970,"")</f>
        <v/>
      </c>
      <c r="S3970" t="str">
        <f t="shared" ref="S3970:S4033" si="500">IF(R3970&lt;&gt;"",B3970&amp;" ("&amp;D3970&amp;")","")</f>
        <v/>
      </c>
      <c r="T3970" s="403" t="str">
        <f t="shared" ref="T3970:T4033" si="501">D3970</f>
        <v>NDE-8503-RT</v>
      </c>
      <c r="U3970" s="403">
        <f t="shared" ref="U3970:U4033" si="502">I3970</f>
        <v>1</v>
      </c>
      <c r="V3970" s="403" t="str">
        <f t="shared" ref="V3970:V4033" si="503">C3970</f>
        <v>CPP_7_3</v>
      </c>
    </row>
    <row r="3971" spans="1:22">
      <c r="A3971" t="str">
        <f t="shared" si="496"/>
        <v>NDE-8503-RT</v>
      </c>
      <c r="B3971" s="403" t="s">
        <v>1410</v>
      </c>
      <c r="C3971" s="403" t="s">
        <v>582</v>
      </c>
      <c r="D3971" s="403" t="s">
        <v>1414</v>
      </c>
      <c r="E3971" s="403" t="s">
        <v>1412</v>
      </c>
      <c r="F3971" s="403" t="s">
        <v>1385</v>
      </c>
      <c r="G3971" s="403" t="s">
        <v>1467</v>
      </c>
      <c r="H3971" s="403" t="s">
        <v>1281</v>
      </c>
      <c r="I3971" s="403">
        <v>1</v>
      </c>
      <c r="J3971" s="403" t="s">
        <v>1376</v>
      </c>
      <c r="K3971" s="403">
        <v>1728</v>
      </c>
      <c r="L3971" s="403">
        <v>3072</v>
      </c>
      <c r="M3971" s="403" t="s">
        <v>1285</v>
      </c>
      <c r="N3971" s="403">
        <v>1024</v>
      </c>
      <c r="O3971" s="403">
        <v>1280</v>
      </c>
      <c r="P3971" t="str">
        <f t="shared" si="497"/>
        <v>25fps 3072x1728 - 1280x1024 5:4 (cropped)</v>
      </c>
      <c r="Q3971">
        <f t="shared" si="498"/>
        <v>20</v>
      </c>
      <c r="R3971" t="str">
        <f t="shared" si="499"/>
        <v/>
      </c>
      <c r="S3971" t="str">
        <f t="shared" si="500"/>
        <v/>
      </c>
      <c r="T3971" s="403" t="str">
        <f t="shared" si="501"/>
        <v>NDE-8503-RT</v>
      </c>
      <c r="U3971" s="403">
        <f t="shared" si="502"/>
        <v>1</v>
      </c>
      <c r="V3971" s="403" t="str">
        <f t="shared" si="503"/>
        <v>CPP_7_3</v>
      </c>
    </row>
    <row r="3972" spans="1:22">
      <c r="A3972" t="str">
        <f t="shared" si="496"/>
        <v>NDE-8503-RT</v>
      </c>
      <c r="B3972" s="403" t="s">
        <v>1410</v>
      </c>
      <c r="C3972" s="403" t="s">
        <v>582</v>
      </c>
      <c r="D3972" s="403" t="s">
        <v>1414</v>
      </c>
      <c r="E3972" s="403" t="s">
        <v>1412</v>
      </c>
      <c r="F3972" s="403" t="s">
        <v>1385</v>
      </c>
      <c r="G3972" s="403" t="s">
        <v>1467</v>
      </c>
      <c r="H3972" s="403" t="s">
        <v>1281</v>
      </c>
      <c r="I3972" s="403">
        <v>1</v>
      </c>
      <c r="J3972" s="403" t="s">
        <v>1376</v>
      </c>
      <c r="K3972" s="403">
        <v>1728</v>
      </c>
      <c r="L3972" s="403">
        <v>3072</v>
      </c>
      <c r="M3972" s="403" t="s">
        <v>1383</v>
      </c>
      <c r="N3972" s="403">
        <v>1440</v>
      </c>
      <c r="O3972" s="403">
        <v>1920</v>
      </c>
      <c r="P3972" t="str">
        <f t="shared" si="497"/>
        <v>25fps 3072x1728 - 1920x1440_CROP</v>
      </c>
      <c r="Q3972">
        <f t="shared" si="498"/>
        <v>20</v>
      </c>
      <c r="R3972" t="str">
        <f t="shared" si="499"/>
        <v/>
      </c>
      <c r="S3972" t="str">
        <f t="shared" si="500"/>
        <v/>
      </c>
      <c r="T3972" s="403" t="str">
        <f t="shared" si="501"/>
        <v>NDE-8503-RT</v>
      </c>
      <c r="U3972" s="403">
        <f t="shared" si="502"/>
        <v>1</v>
      </c>
      <c r="V3972" s="403" t="str">
        <f t="shared" si="503"/>
        <v>CPP_7_3</v>
      </c>
    </row>
    <row r="3973" spans="1:22">
      <c r="A3973" t="str">
        <f t="shared" si="496"/>
        <v>NDE-8503-RT</v>
      </c>
      <c r="B3973" s="403" t="s">
        <v>1410</v>
      </c>
      <c r="C3973" s="403" t="s">
        <v>582</v>
      </c>
      <c r="D3973" s="403" t="s">
        <v>1414</v>
      </c>
      <c r="E3973" s="403" t="s">
        <v>1412</v>
      </c>
      <c r="F3973" s="403" t="s">
        <v>1385</v>
      </c>
      <c r="G3973" s="403" t="s">
        <v>1467</v>
      </c>
      <c r="H3973" s="403" t="s">
        <v>1281</v>
      </c>
      <c r="I3973" s="403">
        <v>1</v>
      </c>
      <c r="J3973" s="403" t="s">
        <v>1373</v>
      </c>
      <c r="K3973" s="403">
        <v>1512</v>
      </c>
      <c r="L3973" s="403">
        <v>2688</v>
      </c>
      <c r="M3973" s="403" t="s">
        <v>110</v>
      </c>
      <c r="N3973" s="403">
        <v>1080</v>
      </c>
      <c r="O3973" s="403">
        <v>1920</v>
      </c>
      <c r="P3973" t="str">
        <f t="shared" si="497"/>
        <v>25fps 2688x1512 - 1080p</v>
      </c>
      <c r="Q3973">
        <f t="shared" si="498"/>
        <v>20</v>
      </c>
      <c r="R3973" t="str">
        <f t="shared" si="499"/>
        <v/>
      </c>
      <c r="S3973" t="str">
        <f t="shared" si="500"/>
        <v/>
      </c>
      <c r="T3973" s="403" t="str">
        <f t="shared" si="501"/>
        <v>NDE-8503-RT</v>
      </c>
      <c r="U3973" s="403">
        <f t="shared" si="502"/>
        <v>1</v>
      </c>
      <c r="V3973" s="403" t="str">
        <f t="shared" si="503"/>
        <v>CPP_7_3</v>
      </c>
    </row>
    <row r="3974" spans="1:22">
      <c r="A3974" t="str">
        <f t="shared" si="496"/>
        <v>NDE-8503-RT</v>
      </c>
      <c r="B3974" s="403" t="s">
        <v>1410</v>
      </c>
      <c r="C3974" s="403" t="s">
        <v>582</v>
      </c>
      <c r="D3974" s="403" t="s">
        <v>1414</v>
      </c>
      <c r="E3974" s="403" t="s">
        <v>1412</v>
      </c>
      <c r="F3974" s="403" t="s">
        <v>1385</v>
      </c>
      <c r="G3974" s="403" t="s">
        <v>1467</v>
      </c>
      <c r="H3974" s="403" t="s">
        <v>1281</v>
      </c>
      <c r="I3974" s="403">
        <v>1</v>
      </c>
      <c r="J3974" s="403" t="s">
        <v>1373</v>
      </c>
      <c r="K3974" s="403">
        <v>1512</v>
      </c>
      <c r="L3974" s="403">
        <v>2688</v>
      </c>
      <c r="M3974" s="403" t="s">
        <v>1384</v>
      </c>
      <c r="N3974" s="403">
        <v>1512</v>
      </c>
      <c r="O3974" s="403">
        <v>2688</v>
      </c>
      <c r="P3974" t="str">
        <f t="shared" si="497"/>
        <v>25fps 2688x1512 - 2688x1512 @ SKIP 2</v>
      </c>
      <c r="Q3974">
        <f t="shared" si="498"/>
        <v>20</v>
      </c>
      <c r="R3974" t="str">
        <f t="shared" si="499"/>
        <v/>
      </c>
      <c r="S3974" t="str">
        <f t="shared" si="500"/>
        <v/>
      </c>
      <c r="T3974" s="403" t="str">
        <f t="shared" si="501"/>
        <v>NDE-8503-RT</v>
      </c>
      <c r="U3974" s="403">
        <f t="shared" si="502"/>
        <v>1</v>
      </c>
      <c r="V3974" s="403" t="str">
        <f t="shared" si="503"/>
        <v>CPP_7_3</v>
      </c>
    </row>
    <row r="3975" spans="1:22">
      <c r="A3975" t="str">
        <f t="shared" si="496"/>
        <v>NDE-8503-RT</v>
      </c>
      <c r="B3975" s="403" t="s">
        <v>1410</v>
      </c>
      <c r="C3975" s="403" t="s">
        <v>582</v>
      </c>
      <c r="D3975" s="403" t="s">
        <v>1414</v>
      </c>
      <c r="E3975" s="403" t="s">
        <v>1412</v>
      </c>
      <c r="F3975" s="403" t="s">
        <v>1385</v>
      </c>
      <c r="G3975" s="403" t="s">
        <v>1467</v>
      </c>
      <c r="H3975" s="403" t="s">
        <v>1281</v>
      </c>
      <c r="I3975" s="403">
        <v>1</v>
      </c>
      <c r="J3975" s="403" t="s">
        <v>1373</v>
      </c>
      <c r="K3975" s="403">
        <v>1512</v>
      </c>
      <c r="L3975" s="403">
        <v>2688</v>
      </c>
      <c r="M3975" s="403" t="s">
        <v>109</v>
      </c>
      <c r="N3975" s="403">
        <v>720</v>
      </c>
      <c r="O3975" s="403">
        <v>1280</v>
      </c>
      <c r="P3975" t="str">
        <f t="shared" si="497"/>
        <v>25fps 2688x1512 - 720p</v>
      </c>
      <c r="Q3975">
        <f t="shared" si="498"/>
        <v>20</v>
      </c>
      <c r="R3975" t="str">
        <f t="shared" si="499"/>
        <v/>
      </c>
      <c r="S3975" t="str">
        <f t="shared" si="500"/>
        <v/>
      </c>
      <c r="T3975" s="403" t="str">
        <f t="shared" si="501"/>
        <v>NDE-8503-RT</v>
      </c>
      <c r="U3975" s="403">
        <f t="shared" si="502"/>
        <v>1</v>
      </c>
      <c r="V3975" s="403" t="str">
        <f t="shared" si="503"/>
        <v>CPP_7_3</v>
      </c>
    </row>
    <row r="3976" spans="1:22">
      <c r="A3976" t="str">
        <f t="shared" si="496"/>
        <v>NDE-8503-RT</v>
      </c>
      <c r="B3976" s="403" t="s">
        <v>1410</v>
      </c>
      <c r="C3976" s="403" t="s">
        <v>582</v>
      </c>
      <c r="D3976" s="403" t="s">
        <v>1414</v>
      </c>
      <c r="E3976" s="403" t="s">
        <v>1412</v>
      </c>
      <c r="F3976" s="403" t="s">
        <v>1385</v>
      </c>
      <c r="G3976" s="403" t="s">
        <v>1467</v>
      </c>
      <c r="H3976" s="403" t="s">
        <v>1281</v>
      </c>
      <c r="I3976" s="403">
        <v>1</v>
      </c>
      <c r="J3976" s="403" t="s">
        <v>1373</v>
      </c>
      <c r="K3976" s="403">
        <v>1512</v>
      </c>
      <c r="L3976" s="403">
        <v>2688</v>
      </c>
      <c r="M3976" s="403" t="s">
        <v>111</v>
      </c>
      <c r="N3976" s="403">
        <v>432</v>
      </c>
      <c r="O3976" s="403">
        <v>768</v>
      </c>
      <c r="P3976" t="str">
        <f t="shared" si="497"/>
        <v>25fps 2688x1512 - SD</v>
      </c>
      <c r="Q3976">
        <f t="shared" si="498"/>
        <v>20</v>
      </c>
      <c r="R3976" t="str">
        <f t="shared" si="499"/>
        <v/>
      </c>
      <c r="S3976" t="str">
        <f t="shared" si="500"/>
        <v/>
      </c>
      <c r="T3976" s="403" t="str">
        <f t="shared" si="501"/>
        <v>NDE-8503-RT</v>
      </c>
      <c r="U3976" s="403">
        <f t="shared" si="502"/>
        <v>1</v>
      </c>
      <c r="V3976" s="403" t="str">
        <f t="shared" si="503"/>
        <v>CPP_7_3</v>
      </c>
    </row>
    <row r="3977" spans="1:22">
      <c r="A3977" t="str">
        <f t="shared" si="496"/>
        <v>NDE-8503-RT</v>
      </c>
      <c r="B3977" s="403" t="s">
        <v>1410</v>
      </c>
      <c r="C3977" s="403" t="s">
        <v>582</v>
      </c>
      <c r="D3977" s="403" t="s">
        <v>1414</v>
      </c>
      <c r="E3977" s="403" t="s">
        <v>1412</v>
      </c>
      <c r="F3977" s="403" t="s">
        <v>1385</v>
      </c>
      <c r="G3977" s="403" t="s">
        <v>1467</v>
      </c>
      <c r="H3977" s="403" t="s">
        <v>1281</v>
      </c>
      <c r="I3977" s="403">
        <v>1</v>
      </c>
      <c r="J3977" s="403" t="s">
        <v>1373</v>
      </c>
      <c r="K3977" s="403">
        <v>1512</v>
      </c>
      <c r="L3977" s="403">
        <v>2688</v>
      </c>
      <c r="M3977" s="403" t="s">
        <v>1279</v>
      </c>
      <c r="N3977" s="403">
        <v>432</v>
      </c>
      <c r="O3977" s="403">
        <v>768</v>
      </c>
      <c r="P3977" t="str">
        <f t="shared" si="497"/>
        <v>25fps 2688x1512 - SD ROI PTZ</v>
      </c>
      <c r="Q3977">
        <f t="shared" si="498"/>
        <v>20</v>
      </c>
      <c r="R3977" t="str">
        <f t="shared" si="499"/>
        <v/>
      </c>
      <c r="S3977" t="str">
        <f t="shared" si="500"/>
        <v/>
      </c>
      <c r="T3977" s="403" t="str">
        <f t="shared" si="501"/>
        <v>NDE-8503-RT</v>
      </c>
      <c r="U3977" s="403">
        <f t="shared" si="502"/>
        <v>1</v>
      </c>
      <c r="V3977" s="403" t="str">
        <f t="shared" si="503"/>
        <v>CPP_7_3</v>
      </c>
    </row>
    <row r="3978" spans="1:22">
      <c r="A3978" t="str">
        <f t="shared" si="496"/>
        <v>NDE-8503-RT</v>
      </c>
      <c r="B3978" s="403" t="s">
        <v>1410</v>
      </c>
      <c r="C3978" s="403" t="s">
        <v>582</v>
      </c>
      <c r="D3978" s="403" t="s">
        <v>1414</v>
      </c>
      <c r="E3978" s="403" t="s">
        <v>1412</v>
      </c>
      <c r="F3978" s="403" t="s">
        <v>1385</v>
      </c>
      <c r="G3978" s="403" t="s">
        <v>1467</v>
      </c>
      <c r="H3978" s="403" t="s">
        <v>1281</v>
      </c>
      <c r="I3978" s="403">
        <v>1</v>
      </c>
      <c r="J3978" s="403" t="s">
        <v>1373</v>
      </c>
      <c r="K3978" s="403">
        <v>1512</v>
      </c>
      <c r="L3978" s="403">
        <v>2688</v>
      </c>
      <c r="M3978" s="403" t="s">
        <v>1285</v>
      </c>
      <c r="N3978" s="403">
        <v>1024</v>
      </c>
      <c r="O3978" s="403">
        <v>1280</v>
      </c>
      <c r="P3978" t="str">
        <f t="shared" si="497"/>
        <v>25fps 2688x1512 - 1280x1024 5:4 (cropped)</v>
      </c>
      <c r="Q3978">
        <f t="shared" si="498"/>
        <v>20</v>
      </c>
      <c r="R3978" t="str">
        <f t="shared" si="499"/>
        <v/>
      </c>
      <c r="S3978" t="str">
        <f t="shared" si="500"/>
        <v/>
      </c>
      <c r="T3978" s="403" t="str">
        <f t="shared" si="501"/>
        <v>NDE-8503-RT</v>
      </c>
      <c r="U3978" s="403">
        <f t="shared" si="502"/>
        <v>1</v>
      </c>
      <c r="V3978" s="403" t="str">
        <f t="shared" si="503"/>
        <v>CPP_7_3</v>
      </c>
    </row>
    <row r="3979" spans="1:22">
      <c r="A3979" t="str">
        <f t="shared" si="496"/>
        <v>NDE-8503-RT</v>
      </c>
      <c r="B3979" s="403" t="s">
        <v>1410</v>
      </c>
      <c r="C3979" s="403" t="s">
        <v>582</v>
      </c>
      <c r="D3979" s="403" t="s">
        <v>1414</v>
      </c>
      <c r="E3979" s="403" t="s">
        <v>1412</v>
      </c>
      <c r="F3979" s="403" t="s">
        <v>1385</v>
      </c>
      <c r="G3979" s="403" t="s">
        <v>1467</v>
      </c>
      <c r="H3979" s="403" t="s">
        <v>1281</v>
      </c>
      <c r="I3979" s="403">
        <v>1</v>
      </c>
      <c r="J3979" s="403" t="s">
        <v>1373</v>
      </c>
      <c r="K3979" s="403">
        <v>1512</v>
      </c>
      <c r="L3979" s="403">
        <v>2688</v>
      </c>
      <c r="M3979" s="403" t="s">
        <v>1283</v>
      </c>
      <c r="N3979" s="403">
        <v>576</v>
      </c>
      <c r="O3979" s="403">
        <v>720</v>
      </c>
      <c r="P3979" t="str">
        <f t="shared" si="497"/>
        <v>25fps 2688x1512 - SD 4CIF resolution 4:3 format (cropped)</v>
      </c>
      <c r="Q3979">
        <f t="shared" si="498"/>
        <v>20</v>
      </c>
      <c r="R3979" t="str">
        <f t="shared" si="499"/>
        <v/>
      </c>
      <c r="S3979" t="str">
        <f t="shared" si="500"/>
        <v/>
      </c>
      <c r="T3979" s="403" t="str">
        <f t="shared" si="501"/>
        <v>NDE-8503-RT</v>
      </c>
      <c r="U3979" s="403">
        <f t="shared" si="502"/>
        <v>1</v>
      </c>
      <c r="V3979" s="403" t="str">
        <f t="shared" si="503"/>
        <v>CPP_7_3</v>
      </c>
    </row>
    <row r="3980" spans="1:22">
      <c r="A3980" t="str">
        <f t="shared" si="496"/>
        <v>NDE-8503-RT</v>
      </c>
      <c r="B3980" s="403" t="s">
        <v>1410</v>
      </c>
      <c r="C3980" s="403" t="s">
        <v>582</v>
      </c>
      <c r="D3980" s="403" t="s">
        <v>1414</v>
      </c>
      <c r="E3980" s="403" t="s">
        <v>1412</v>
      </c>
      <c r="F3980" s="403" t="s">
        <v>1385</v>
      </c>
      <c r="G3980" s="403" t="s">
        <v>1467</v>
      </c>
      <c r="H3980" s="403" t="s">
        <v>1281</v>
      </c>
      <c r="I3980" s="403">
        <v>1</v>
      </c>
      <c r="J3980" s="403" t="s">
        <v>1373</v>
      </c>
      <c r="K3980" s="403">
        <v>1512</v>
      </c>
      <c r="L3980" s="403">
        <v>2688</v>
      </c>
      <c r="M3980" s="403" t="s">
        <v>1284</v>
      </c>
      <c r="N3980" s="403">
        <v>480</v>
      </c>
      <c r="O3980" s="403">
        <v>640</v>
      </c>
      <c r="P3980" t="str">
        <f t="shared" si="497"/>
        <v>25fps 2688x1512 - SD VGA (cropped)</v>
      </c>
      <c r="Q3980">
        <f t="shared" si="498"/>
        <v>20</v>
      </c>
      <c r="R3980" t="str">
        <f t="shared" si="499"/>
        <v/>
      </c>
      <c r="S3980" t="str">
        <f t="shared" si="500"/>
        <v/>
      </c>
      <c r="T3980" s="403" t="str">
        <f t="shared" si="501"/>
        <v>NDE-8503-RT</v>
      </c>
      <c r="U3980" s="403">
        <f t="shared" si="502"/>
        <v>1</v>
      </c>
      <c r="V3980" s="403" t="str">
        <f t="shared" si="503"/>
        <v>CPP_7_3</v>
      </c>
    </row>
    <row r="3981" spans="1:22">
      <c r="A3981" t="str">
        <f t="shared" si="496"/>
        <v>NDE-8503-RT</v>
      </c>
      <c r="B3981" s="403" t="s">
        <v>1410</v>
      </c>
      <c r="C3981" s="403" t="s">
        <v>582</v>
      </c>
      <c r="D3981" s="403" t="s">
        <v>1414</v>
      </c>
      <c r="E3981" s="403" t="s">
        <v>1412</v>
      </c>
      <c r="F3981" s="403" t="s">
        <v>1385</v>
      </c>
      <c r="G3981" s="403" t="s">
        <v>1467</v>
      </c>
      <c r="H3981" s="403" t="s">
        <v>1281</v>
      </c>
      <c r="I3981" s="403">
        <v>1</v>
      </c>
      <c r="J3981" s="403" t="s">
        <v>1373</v>
      </c>
      <c r="K3981" s="403">
        <v>1512</v>
      </c>
      <c r="L3981" s="403">
        <v>2688</v>
      </c>
      <c r="M3981" s="403" t="s">
        <v>1280</v>
      </c>
      <c r="N3981" s="403">
        <v>1512</v>
      </c>
      <c r="O3981" s="403">
        <v>2688</v>
      </c>
      <c r="P3981" t="str">
        <f t="shared" si="497"/>
        <v>25fps 2688x1512 - copy other stream</v>
      </c>
      <c r="Q3981">
        <f t="shared" si="498"/>
        <v>20</v>
      </c>
      <c r="R3981" t="str">
        <f t="shared" si="499"/>
        <v/>
      </c>
      <c r="S3981" t="str">
        <f t="shared" si="500"/>
        <v/>
      </c>
      <c r="T3981" s="403" t="str">
        <f t="shared" si="501"/>
        <v>NDE-8503-RT</v>
      </c>
      <c r="U3981" s="403">
        <f t="shared" si="502"/>
        <v>1</v>
      </c>
      <c r="V3981" s="403" t="str">
        <f t="shared" si="503"/>
        <v>CPP_7_3</v>
      </c>
    </row>
    <row r="3982" spans="1:22">
      <c r="A3982" t="str">
        <f t="shared" si="496"/>
        <v>NDE-8503-RT</v>
      </c>
      <c r="B3982" s="403" t="s">
        <v>1410</v>
      </c>
      <c r="C3982" s="403" t="s">
        <v>582</v>
      </c>
      <c r="D3982" s="403" t="s">
        <v>1414</v>
      </c>
      <c r="E3982" s="403" t="s">
        <v>1412</v>
      </c>
      <c r="F3982" s="403" t="s">
        <v>1385</v>
      </c>
      <c r="G3982" s="403" t="s">
        <v>1467</v>
      </c>
      <c r="H3982" s="403" t="s">
        <v>1281</v>
      </c>
      <c r="I3982" s="403">
        <v>1</v>
      </c>
      <c r="J3982" s="403" t="s">
        <v>1374</v>
      </c>
      <c r="K3982" s="403">
        <v>1296</v>
      </c>
      <c r="L3982" s="403">
        <v>2304</v>
      </c>
      <c r="M3982" s="403" t="s">
        <v>110</v>
      </c>
      <c r="N3982" s="403">
        <v>1080</v>
      </c>
      <c r="O3982" s="403">
        <v>1920</v>
      </c>
      <c r="P3982" t="str">
        <f t="shared" si="497"/>
        <v>25fps 2304x1296 - 1080p</v>
      </c>
      <c r="Q3982">
        <f t="shared" si="498"/>
        <v>20</v>
      </c>
      <c r="R3982" t="str">
        <f t="shared" si="499"/>
        <v/>
      </c>
      <c r="S3982" t="str">
        <f t="shared" si="500"/>
        <v/>
      </c>
      <c r="T3982" s="403" t="str">
        <f t="shared" si="501"/>
        <v>NDE-8503-RT</v>
      </c>
      <c r="U3982" s="403">
        <f t="shared" si="502"/>
        <v>1</v>
      </c>
      <c r="V3982" s="403" t="str">
        <f t="shared" si="503"/>
        <v>CPP_7_3</v>
      </c>
    </row>
    <row r="3983" spans="1:22">
      <c r="A3983" t="str">
        <f t="shared" si="496"/>
        <v>NDE-8503-RT</v>
      </c>
      <c r="B3983" s="403" t="s">
        <v>1410</v>
      </c>
      <c r="C3983" s="403" t="s">
        <v>582</v>
      </c>
      <c r="D3983" s="403" t="s">
        <v>1414</v>
      </c>
      <c r="E3983" s="403" t="s">
        <v>1412</v>
      </c>
      <c r="F3983" s="403" t="s">
        <v>1385</v>
      </c>
      <c r="G3983" s="403" t="s">
        <v>1467</v>
      </c>
      <c r="H3983" s="403" t="s">
        <v>1281</v>
      </c>
      <c r="I3983" s="403">
        <v>1</v>
      </c>
      <c r="J3983" s="403" t="s">
        <v>1374</v>
      </c>
      <c r="K3983" s="403">
        <v>1296</v>
      </c>
      <c r="L3983" s="403">
        <v>2304</v>
      </c>
      <c r="M3983" s="403" t="s">
        <v>1374</v>
      </c>
      <c r="N3983" s="403">
        <v>1296</v>
      </c>
      <c r="O3983" s="403">
        <v>2304</v>
      </c>
      <c r="P3983" t="str">
        <f t="shared" si="497"/>
        <v>25fps 2304x1296 - 2304x1296</v>
      </c>
      <c r="Q3983">
        <f t="shared" si="498"/>
        <v>20</v>
      </c>
      <c r="R3983" t="str">
        <f t="shared" si="499"/>
        <v/>
      </c>
      <c r="S3983" t="str">
        <f t="shared" si="500"/>
        <v/>
      </c>
      <c r="T3983" s="403" t="str">
        <f t="shared" si="501"/>
        <v>NDE-8503-RT</v>
      </c>
      <c r="U3983" s="403">
        <f t="shared" si="502"/>
        <v>1</v>
      </c>
      <c r="V3983" s="403" t="str">
        <f t="shared" si="503"/>
        <v>CPP_7_3</v>
      </c>
    </row>
    <row r="3984" spans="1:22">
      <c r="A3984" t="str">
        <f t="shared" si="496"/>
        <v>NDE-8503-RT</v>
      </c>
      <c r="B3984" s="403" t="s">
        <v>1410</v>
      </c>
      <c r="C3984" s="403" t="s">
        <v>582</v>
      </c>
      <c r="D3984" s="403" t="s">
        <v>1414</v>
      </c>
      <c r="E3984" s="403" t="s">
        <v>1412</v>
      </c>
      <c r="F3984" s="403" t="s">
        <v>1385</v>
      </c>
      <c r="G3984" s="403" t="s">
        <v>1467</v>
      </c>
      <c r="H3984" s="403" t="s">
        <v>1281</v>
      </c>
      <c r="I3984" s="403">
        <v>1</v>
      </c>
      <c r="J3984" s="403" t="s">
        <v>1374</v>
      </c>
      <c r="K3984" s="403">
        <v>1296</v>
      </c>
      <c r="L3984" s="403">
        <v>2304</v>
      </c>
      <c r="M3984" s="403" t="s">
        <v>109</v>
      </c>
      <c r="N3984" s="403">
        <v>720</v>
      </c>
      <c r="O3984" s="403">
        <v>1280</v>
      </c>
      <c r="P3984" t="str">
        <f t="shared" si="497"/>
        <v>25fps 2304x1296 - 720p</v>
      </c>
      <c r="Q3984">
        <f t="shared" si="498"/>
        <v>20</v>
      </c>
      <c r="R3984" t="str">
        <f t="shared" si="499"/>
        <v/>
      </c>
      <c r="S3984" t="str">
        <f t="shared" si="500"/>
        <v/>
      </c>
      <c r="T3984" s="403" t="str">
        <f t="shared" si="501"/>
        <v>NDE-8503-RT</v>
      </c>
      <c r="U3984" s="403">
        <f t="shared" si="502"/>
        <v>1</v>
      </c>
      <c r="V3984" s="403" t="str">
        <f t="shared" si="503"/>
        <v>CPP_7_3</v>
      </c>
    </row>
    <row r="3985" spans="1:22">
      <c r="A3985" t="str">
        <f t="shared" si="496"/>
        <v>NDE-8503-RT</v>
      </c>
      <c r="B3985" s="403" t="s">
        <v>1410</v>
      </c>
      <c r="C3985" s="403" t="s">
        <v>582</v>
      </c>
      <c r="D3985" s="403" t="s">
        <v>1414</v>
      </c>
      <c r="E3985" s="403" t="s">
        <v>1412</v>
      </c>
      <c r="F3985" s="403" t="s">
        <v>1385</v>
      </c>
      <c r="G3985" s="403" t="s">
        <v>1467</v>
      </c>
      <c r="H3985" s="403" t="s">
        <v>1281</v>
      </c>
      <c r="I3985" s="403">
        <v>1</v>
      </c>
      <c r="J3985" s="403" t="s">
        <v>1374</v>
      </c>
      <c r="K3985" s="403">
        <v>1296</v>
      </c>
      <c r="L3985" s="403">
        <v>2304</v>
      </c>
      <c r="M3985" s="403" t="s">
        <v>111</v>
      </c>
      <c r="N3985" s="403">
        <v>432</v>
      </c>
      <c r="O3985" s="403">
        <v>768</v>
      </c>
      <c r="P3985" t="str">
        <f t="shared" si="497"/>
        <v>25fps 2304x1296 - SD</v>
      </c>
      <c r="Q3985">
        <f t="shared" si="498"/>
        <v>20</v>
      </c>
      <c r="R3985" t="str">
        <f t="shared" si="499"/>
        <v/>
      </c>
      <c r="S3985" t="str">
        <f t="shared" si="500"/>
        <v/>
      </c>
      <c r="T3985" s="403" t="str">
        <f t="shared" si="501"/>
        <v>NDE-8503-RT</v>
      </c>
      <c r="U3985" s="403">
        <f t="shared" si="502"/>
        <v>1</v>
      </c>
      <c r="V3985" s="403" t="str">
        <f t="shared" si="503"/>
        <v>CPP_7_3</v>
      </c>
    </row>
    <row r="3986" spans="1:22">
      <c r="A3986" t="str">
        <f t="shared" si="496"/>
        <v>NDE-8503-RT</v>
      </c>
      <c r="B3986" s="403" t="s">
        <v>1410</v>
      </c>
      <c r="C3986" s="403" t="s">
        <v>582</v>
      </c>
      <c r="D3986" s="403" t="s">
        <v>1414</v>
      </c>
      <c r="E3986" s="403" t="s">
        <v>1412</v>
      </c>
      <c r="F3986" s="403" t="s">
        <v>1385</v>
      </c>
      <c r="G3986" s="403" t="s">
        <v>1467</v>
      </c>
      <c r="H3986" s="403" t="s">
        <v>1281</v>
      </c>
      <c r="I3986" s="403">
        <v>1</v>
      </c>
      <c r="J3986" s="403" t="s">
        <v>1374</v>
      </c>
      <c r="K3986" s="403">
        <v>1296</v>
      </c>
      <c r="L3986" s="403">
        <v>2304</v>
      </c>
      <c r="M3986" s="403" t="s">
        <v>1279</v>
      </c>
      <c r="N3986" s="403">
        <v>432</v>
      </c>
      <c r="O3986" s="403">
        <v>768</v>
      </c>
      <c r="P3986" t="str">
        <f t="shared" si="497"/>
        <v>25fps 2304x1296 - SD ROI PTZ</v>
      </c>
      <c r="Q3986">
        <f t="shared" si="498"/>
        <v>20</v>
      </c>
      <c r="R3986" t="str">
        <f t="shared" si="499"/>
        <v/>
      </c>
      <c r="S3986" t="str">
        <f t="shared" si="500"/>
        <v/>
      </c>
      <c r="T3986" s="403" t="str">
        <f t="shared" si="501"/>
        <v>NDE-8503-RT</v>
      </c>
      <c r="U3986" s="403">
        <f t="shared" si="502"/>
        <v>1</v>
      </c>
      <c r="V3986" s="403" t="str">
        <f t="shared" si="503"/>
        <v>CPP_7_3</v>
      </c>
    </row>
    <row r="3987" spans="1:22">
      <c r="A3987" t="str">
        <f t="shared" si="496"/>
        <v>NDE-8503-RT</v>
      </c>
      <c r="B3987" s="403" t="s">
        <v>1410</v>
      </c>
      <c r="C3987" s="403" t="s">
        <v>582</v>
      </c>
      <c r="D3987" s="403" t="s">
        <v>1414</v>
      </c>
      <c r="E3987" s="403" t="s">
        <v>1412</v>
      </c>
      <c r="F3987" s="403" t="s">
        <v>1385</v>
      </c>
      <c r="G3987" s="403" t="s">
        <v>1467</v>
      </c>
      <c r="H3987" s="403" t="s">
        <v>1281</v>
      </c>
      <c r="I3987" s="403">
        <v>1</v>
      </c>
      <c r="J3987" s="403" t="s">
        <v>1374</v>
      </c>
      <c r="K3987" s="403">
        <v>1296</v>
      </c>
      <c r="L3987" s="403">
        <v>2304</v>
      </c>
      <c r="M3987" s="403" t="s">
        <v>1285</v>
      </c>
      <c r="N3987" s="403">
        <v>1024</v>
      </c>
      <c r="O3987" s="403">
        <v>1280</v>
      </c>
      <c r="P3987" t="str">
        <f t="shared" si="497"/>
        <v>25fps 2304x1296 - 1280x1024 5:4 (cropped)</v>
      </c>
      <c r="Q3987">
        <f t="shared" si="498"/>
        <v>20</v>
      </c>
      <c r="R3987" t="str">
        <f t="shared" si="499"/>
        <v/>
      </c>
      <c r="S3987" t="str">
        <f t="shared" si="500"/>
        <v/>
      </c>
      <c r="T3987" s="403" t="str">
        <f t="shared" si="501"/>
        <v>NDE-8503-RT</v>
      </c>
      <c r="U3987" s="403">
        <f t="shared" si="502"/>
        <v>1</v>
      </c>
      <c r="V3987" s="403" t="str">
        <f t="shared" si="503"/>
        <v>CPP_7_3</v>
      </c>
    </row>
    <row r="3988" spans="1:22">
      <c r="A3988" t="str">
        <f t="shared" si="496"/>
        <v>NDE-8503-RT</v>
      </c>
      <c r="B3988" s="403" t="s">
        <v>1410</v>
      </c>
      <c r="C3988" s="403" t="s">
        <v>582</v>
      </c>
      <c r="D3988" s="403" t="s">
        <v>1414</v>
      </c>
      <c r="E3988" s="403" t="s">
        <v>1412</v>
      </c>
      <c r="F3988" s="403" t="s">
        <v>1385</v>
      </c>
      <c r="G3988" s="403" t="s">
        <v>1467</v>
      </c>
      <c r="H3988" s="403" t="s">
        <v>1281</v>
      </c>
      <c r="I3988" s="403">
        <v>1</v>
      </c>
      <c r="J3988" s="403" t="s">
        <v>1374</v>
      </c>
      <c r="K3988" s="403">
        <v>1296</v>
      </c>
      <c r="L3988" s="403">
        <v>2304</v>
      </c>
      <c r="M3988" s="403" t="s">
        <v>1283</v>
      </c>
      <c r="N3988" s="403">
        <v>576</v>
      </c>
      <c r="O3988" s="403">
        <v>720</v>
      </c>
      <c r="P3988" t="str">
        <f t="shared" si="497"/>
        <v>25fps 2304x1296 - SD 4CIF resolution 4:3 format (cropped)</v>
      </c>
      <c r="Q3988">
        <f t="shared" si="498"/>
        <v>20</v>
      </c>
      <c r="R3988" t="str">
        <f t="shared" si="499"/>
        <v/>
      </c>
      <c r="S3988" t="str">
        <f t="shared" si="500"/>
        <v/>
      </c>
      <c r="T3988" s="403" t="str">
        <f t="shared" si="501"/>
        <v>NDE-8503-RT</v>
      </c>
      <c r="U3988" s="403">
        <f t="shared" si="502"/>
        <v>1</v>
      </c>
      <c r="V3988" s="403" t="str">
        <f t="shared" si="503"/>
        <v>CPP_7_3</v>
      </c>
    </row>
    <row r="3989" spans="1:22">
      <c r="A3989" t="str">
        <f t="shared" si="496"/>
        <v>NDE-8503-RT</v>
      </c>
      <c r="B3989" s="403" t="s">
        <v>1410</v>
      </c>
      <c r="C3989" s="403" t="s">
        <v>582</v>
      </c>
      <c r="D3989" s="403" t="s">
        <v>1414</v>
      </c>
      <c r="E3989" s="403" t="s">
        <v>1412</v>
      </c>
      <c r="F3989" s="403" t="s">
        <v>1385</v>
      </c>
      <c r="G3989" s="403" t="s">
        <v>1467</v>
      </c>
      <c r="H3989" s="403" t="s">
        <v>1281</v>
      </c>
      <c r="I3989" s="403">
        <v>1</v>
      </c>
      <c r="J3989" s="403" t="s">
        <v>1374</v>
      </c>
      <c r="K3989" s="403">
        <v>1296</v>
      </c>
      <c r="L3989" s="403">
        <v>2304</v>
      </c>
      <c r="M3989" s="403" t="s">
        <v>1284</v>
      </c>
      <c r="N3989" s="403">
        <v>480</v>
      </c>
      <c r="O3989" s="403">
        <v>640</v>
      </c>
      <c r="P3989" t="str">
        <f t="shared" si="497"/>
        <v>25fps 2304x1296 - SD VGA (cropped)</v>
      </c>
      <c r="Q3989">
        <f t="shared" si="498"/>
        <v>20</v>
      </c>
      <c r="R3989" t="str">
        <f t="shared" si="499"/>
        <v/>
      </c>
      <c r="S3989" t="str">
        <f t="shared" si="500"/>
        <v/>
      </c>
      <c r="T3989" s="403" t="str">
        <f t="shared" si="501"/>
        <v>NDE-8503-RT</v>
      </c>
      <c r="U3989" s="403">
        <f t="shared" si="502"/>
        <v>1</v>
      </c>
      <c r="V3989" s="403" t="str">
        <f t="shared" si="503"/>
        <v>CPP_7_3</v>
      </c>
    </row>
    <row r="3990" spans="1:22">
      <c r="A3990" t="str">
        <f t="shared" si="496"/>
        <v>NDE-8503-RT</v>
      </c>
      <c r="B3990" s="403" t="s">
        <v>1410</v>
      </c>
      <c r="C3990" s="403" t="s">
        <v>582</v>
      </c>
      <c r="D3990" s="403" t="s">
        <v>1414</v>
      </c>
      <c r="E3990" s="403" t="s">
        <v>1412</v>
      </c>
      <c r="F3990" s="403" t="s">
        <v>1385</v>
      </c>
      <c r="G3990" s="403" t="s">
        <v>1467</v>
      </c>
      <c r="H3990" s="403" t="s">
        <v>1281</v>
      </c>
      <c r="I3990" s="403">
        <v>1</v>
      </c>
      <c r="J3990" s="403" t="s">
        <v>1374</v>
      </c>
      <c r="K3990" s="403">
        <v>1296</v>
      </c>
      <c r="L3990" s="403">
        <v>2304</v>
      </c>
      <c r="M3990" s="403" t="s">
        <v>1280</v>
      </c>
      <c r="N3990" s="403">
        <v>1296</v>
      </c>
      <c r="O3990" s="403">
        <v>2304</v>
      </c>
      <c r="P3990" t="str">
        <f t="shared" si="497"/>
        <v>25fps 2304x1296 - copy other stream</v>
      </c>
      <c r="Q3990">
        <f t="shared" si="498"/>
        <v>20</v>
      </c>
      <c r="R3990" t="str">
        <f t="shared" si="499"/>
        <v/>
      </c>
      <c r="S3990" t="str">
        <f t="shared" si="500"/>
        <v/>
      </c>
      <c r="T3990" s="403" t="str">
        <f t="shared" si="501"/>
        <v>NDE-8503-RT</v>
      </c>
      <c r="U3990" s="403">
        <f t="shared" si="502"/>
        <v>1</v>
      </c>
      <c r="V3990" s="403" t="str">
        <f t="shared" si="503"/>
        <v>CPP_7_3</v>
      </c>
    </row>
    <row r="3991" spans="1:22">
      <c r="A3991" t="str">
        <f t="shared" si="496"/>
        <v>NDE-8503-RT</v>
      </c>
      <c r="B3991" s="403" t="s">
        <v>1410</v>
      </c>
      <c r="C3991" s="403" t="s">
        <v>582</v>
      </c>
      <c r="D3991" s="403" t="s">
        <v>1414</v>
      </c>
      <c r="E3991" s="403" t="s">
        <v>1412</v>
      </c>
      <c r="F3991" s="403" t="s">
        <v>1385</v>
      </c>
      <c r="G3991" s="403" t="s">
        <v>1467</v>
      </c>
      <c r="H3991" s="403" t="s">
        <v>1281</v>
      </c>
      <c r="I3991" s="403">
        <v>1</v>
      </c>
      <c r="J3991" s="403" t="s">
        <v>110</v>
      </c>
      <c r="K3991" s="403">
        <v>1080</v>
      </c>
      <c r="L3991" s="403">
        <v>1920</v>
      </c>
      <c r="M3991" s="403" t="s">
        <v>111</v>
      </c>
      <c r="N3991" s="403">
        <v>432</v>
      </c>
      <c r="O3991" s="403">
        <v>768</v>
      </c>
      <c r="P3991" t="str">
        <f t="shared" si="497"/>
        <v>25fps 1080p - SD</v>
      </c>
      <c r="Q3991">
        <f t="shared" si="498"/>
        <v>20</v>
      </c>
      <c r="R3991" t="str">
        <f t="shared" si="499"/>
        <v/>
      </c>
      <c r="S3991" t="str">
        <f t="shared" si="500"/>
        <v/>
      </c>
      <c r="T3991" s="403" t="str">
        <f t="shared" si="501"/>
        <v>NDE-8503-RT</v>
      </c>
      <c r="U3991" s="403">
        <f t="shared" si="502"/>
        <v>1</v>
      </c>
      <c r="V3991" s="403" t="str">
        <f t="shared" si="503"/>
        <v>CPP_7_3</v>
      </c>
    </row>
    <row r="3992" spans="1:22">
      <c r="A3992" t="str">
        <f t="shared" si="496"/>
        <v>NDE-8503-RT</v>
      </c>
      <c r="B3992" s="403" t="s">
        <v>1410</v>
      </c>
      <c r="C3992" s="403" t="s">
        <v>582</v>
      </c>
      <c r="D3992" s="403" t="s">
        <v>1414</v>
      </c>
      <c r="E3992" s="403" t="s">
        <v>1412</v>
      </c>
      <c r="F3992" s="403" t="s">
        <v>1385</v>
      </c>
      <c r="G3992" s="403" t="s">
        <v>1467</v>
      </c>
      <c r="H3992" s="403" t="s">
        <v>1281</v>
      </c>
      <c r="I3992" s="403">
        <v>1</v>
      </c>
      <c r="J3992" s="403" t="s">
        <v>110</v>
      </c>
      <c r="K3992" s="403">
        <v>1080</v>
      </c>
      <c r="L3992" s="403">
        <v>1920</v>
      </c>
      <c r="M3992" s="403" t="s">
        <v>110</v>
      </c>
      <c r="N3992" s="403">
        <v>1080</v>
      </c>
      <c r="O3992" s="403">
        <v>1920</v>
      </c>
      <c r="P3992" t="str">
        <f t="shared" si="497"/>
        <v>25fps 1080p - 1080p</v>
      </c>
      <c r="Q3992">
        <f t="shared" si="498"/>
        <v>20</v>
      </c>
      <c r="R3992" t="str">
        <f t="shared" si="499"/>
        <v/>
      </c>
      <c r="S3992" t="str">
        <f t="shared" si="500"/>
        <v/>
      </c>
      <c r="T3992" s="403" t="str">
        <f t="shared" si="501"/>
        <v>NDE-8503-RT</v>
      </c>
      <c r="U3992" s="403">
        <f t="shared" si="502"/>
        <v>1</v>
      </c>
      <c r="V3992" s="403" t="str">
        <f t="shared" si="503"/>
        <v>CPP_7_3</v>
      </c>
    </row>
    <row r="3993" spans="1:22">
      <c r="A3993" t="str">
        <f t="shared" si="496"/>
        <v>NDE-8503-RT</v>
      </c>
      <c r="B3993" s="403" t="s">
        <v>1410</v>
      </c>
      <c r="C3993" s="403" t="s">
        <v>582</v>
      </c>
      <c r="D3993" s="403" t="s">
        <v>1414</v>
      </c>
      <c r="E3993" s="403" t="s">
        <v>1412</v>
      </c>
      <c r="F3993" s="403" t="s">
        <v>1385</v>
      </c>
      <c r="G3993" s="403" t="s">
        <v>1467</v>
      </c>
      <c r="H3993" s="403" t="s">
        <v>1281</v>
      </c>
      <c r="I3993" s="403">
        <v>1</v>
      </c>
      <c r="J3993" s="403" t="s">
        <v>110</v>
      </c>
      <c r="K3993" s="403">
        <v>1080</v>
      </c>
      <c r="L3993" s="403">
        <v>1920</v>
      </c>
      <c r="M3993" s="403" t="s">
        <v>109</v>
      </c>
      <c r="N3993" s="403">
        <v>720</v>
      </c>
      <c r="O3993" s="403">
        <v>1280</v>
      </c>
      <c r="P3993" t="str">
        <f t="shared" si="497"/>
        <v>25fps 1080p - 720p</v>
      </c>
      <c r="Q3993">
        <f t="shared" si="498"/>
        <v>20</v>
      </c>
      <c r="R3993" t="str">
        <f t="shared" si="499"/>
        <v/>
      </c>
      <c r="S3993" t="str">
        <f t="shared" si="500"/>
        <v/>
      </c>
      <c r="T3993" s="403" t="str">
        <f t="shared" si="501"/>
        <v>NDE-8503-RT</v>
      </c>
      <c r="U3993" s="403">
        <f t="shared" si="502"/>
        <v>1</v>
      </c>
      <c r="V3993" s="403" t="str">
        <f t="shared" si="503"/>
        <v>CPP_7_3</v>
      </c>
    </row>
    <row r="3994" spans="1:22">
      <c r="A3994" t="str">
        <f t="shared" si="496"/>
        <v>NDE-8503-RT</v>
      </c>
      <c r="B3994" s="403" t="s">
        <v>1410</v>
      </c>
      <c r="C3994" s="403" t="s">
        <v>582</v>
      </c>
      <c r="D3994" s="403" t="s">
        <v>1414</v>
      </c>
      <c r="E3994" s="403" t="s">
        <v>1412</v>
      </c>
      <c r="F3994" s="403" t="s">
        <v>1385</v>
      </c>
      <c r="G3994" s="403" t="s">
        <v>1467</v>
      </c>
      <c r="H3994" s="403" t="s">
        <v>1281</v>
      </c>
      <c r="I3994" s="403">
        <v>1</v>
      </c>
      <c r="J3994" s="403" t="s">
        <v>110</v>
      </c>
      <c r="K3994" s="403">
        <v>1080</v>
      </c>
      <c r="L3994" s="403">
        <v>1920</v>
      </c>
      <c r="M3994" s="403" t="s">
        <v>1285</v>
      </c>
      <c r="N3994" s="403">
        <v>1024</v>
      </c>
      <c r="O3994" s="403">
        <v>1280</v>
      </c>
      <c r="P3994" t="str">
        <f t="shared" si="497"/>
        <v>25fps 1080p - 1280x1024 5:4 (cropped)</v>
      </c>
      <c r="Q3994">
        <f t="shared" si="498"/>
        <v>20</v>
      </c>
      <c r="R3994" t="str">
        <f t="shared" si="499"/>
        <v/>
      </c>
      <c r="S3994" t="str">
        <f t="shared" si="500"/>
        <v/>
      </c>
      <c r="T3994" s="403" t="str">
        <f t="shared" si="501"/>
        <v>NDE-8503-RT</v>
      </c>
      <c r="U3994" s="403">
        <f t="shared" si="502"/>
        <v>1</v>
      </c>
      <c r="V3994" s="403" t="str">
        <f t="shared" si="503"/>
        <v>CPP_7_3</v>
      </c>
    </row>
    <row r="3995" spans="1:22">
      <c r="A3995" t="str">
        <f t="shared" si="496"/>
        <v>NDE-8503-RT</v>
      </c>
      <c r="B3995" s="403" t="s">
        <v>1410</v>
      </c>
      <c r="C3995" s="403" t="s">
        <v>582</v>
      </c>
      <c r="D3995" s="403" t="s">
        <v>1414</v>
      </c>
      <c r="E3995" s="403" t="s">
        <v>1412</v>
      </c>
      <c r="F3995" s="403" t="s">
        <v>1385</v>
      </c>
      <c r="G3995" s="403" t="s">
        <v>1467</v>
      </c>
      <c r="H3995" s="403" t="s">
        <v>1281</v>
      </c>
      <c r="I3995" s="403">
        <v>1</v>
      </c>
      <c r="J3995" s="403" t="s">
        <v>110</v>
      </c>
      <c r="K3995" s="403">
        <v>1080</v>
      </c>
      <c r="L3995" s="403">
        <v>1920</v>
      </c>
      <c r="M3995" s="403" t="s">
        <v>1279</v>
      </c>
      <c r="N3995" s="403">
        <v>432</v>
      </c>
      <c r="O3995" s="403">
        <v>768</v>
      </c>
      <c r="P3995" t="str">
        <f t="shared" si="497"/>
        <v>25fps 1080p - SD ROI PTZ</v>
      </c>
      <c r="Q3995">
        <f t="shared" si="498"/>
        <v>20</v>
      </c>
      <c r="R3995" t="str">
        <f t="shared" si="499"/>
        <v/>
      </c>
      <c r="S3995" t="str">
        <f t="shared" si="500"/>
        <v/>
      </c>
      <c r="T3995" s="403" t="str">
        <f t="shared" si="501"/>
        <v>NDE-8503-RT</v>
      </c>
      <c r="U3995" s="403">
        <f t="shared" si="502"/>
        <v>1</v>
      </c>
      <c r="V3995" s="403" t="str">
        <f t="shared" si="503"/>
        <v>CPP_7_3</v>
      </c>
    </row>
    <row r="3996" spans="1:22">
      <c r="A3996" t="str">
        <f t="shared" si="496"/>
        <v>NDE-8503-RT</v>
      </c>
      <c r="B3996" s="403" t="s">
        <v>1410</v>
      </c>
      <c r="C3996" s="403" t="s">
        <v>582</v>
      </c>
      <c r="D3996" s="403" t="s">
        <v>1414</v>
      </c>
      <c r="E3996" s="403" t="s">
        <v>1412</v>
      </c>
      <c r="F3996" s="403" t="s">
        <v>1385</v>
      </c>
      <c r="G3996" s="403" t="s">
        <v>1467</v>
      </c>
      <c r="H3996" s="403" t="s">
        <v>1281</v>
      </c>
      <c r="I3996" s="403">
        <v>1</v>
      </c>
      <c r="J3996" s="403" t="s">
        <v>110</v>
      </c>
      <c r="K3996" s="403">
        <v>1080</v>
      </c>
      <c r="L3996" s="403">
        <v>1920</v>
      </c>
      <c r="M3996" s="403" t="s">
        <v>1283</v>
      </c>
      <c r="N3996" s="403">
        <v>576</v>
      </c>
      <c r="O3996" s="403">
        <v>720</v>
      </c>
      <c r="P3996" t="str">
        <f t="shared" si="497"/>
        <v>25fps 1080p - SD 4CIF resolution 4:3 format (cropped)</v>
      </c>
      <c r="Q3996">
        <f t="shared" si="498"/>
        <v>20</v>
      </c>
      <c r="R3996" t="str">
        <f t="shared" si="499"/>
        <v/>
      </c>
      <c r="S3996" t="str">
        <f t="shared" si="500"/>
        <v/>
      </c>
      <c r="T3996" s="403" t="str">
        <f t="shared" si="501"/>
        <v>NDE-8503-RT</v>
      </c>
      <c r="U3996" s="403">
        <f t="shared" si="502"/>
        <v>1</v>
      </c>
      <c r="V3996" s="403" t="str">
        <f t="shared" si="503"/>
        <v>CPP_7_3</v>
      </c>
    </row>
    <row r="3997" spans="1:22">
      <c r="A3997" t="str">
        <f t="shared" si="496"/>
        <v>NDE-8503-RT</v>
      </c>
      <c r="B3997" s="403" t="s">
        <v>1410</v>
      </c>
      <c r="C3997" s="403" t="s">
        <v>582</v>
      </c>
      <c r="D3997" s="403" t="s">
        <v>1414</v>
      </c>
      <c r="E3997" s="403" t="s">
        <v>1412</v>
      </c>
      <c r="F3997" s="403" t="s">
        <v>1385</v>
      </c>
      <c r="G3997" s="403" t="s">
        <v>1467</v>
      </c>
      <c r="H3997" s="403" t="s">
        <v>1281</v>
      </c>
      <c r="I3997" s="403">
        <v>1</v>
      </c>
      <c r="J3997" s="403" t="s">
        <v>110</v>
      </c>
      <c r="K3997" s="403">
        <v>1080</v>
      </c>
      <c r="L3997" s="403">
        <v>1920</v>
      </c>
      <c r="M3997" s="403" t="s">
        <v>1284</v>
      </c>
      <c r="N3997" s="403">
        <v>480</v>
      </c>
      <c r="O3997" s="403">
        <v>640</v>
      </c>
      <c r="P3997" t="str">
        <f t="shared" si="497"/>
        <v>25fps 1080p - SD VGA (cropped)</v>
      </c>
      <c r="Q3997">
        <f t="shared" si="498"/>
        <v>20</v>
      </c>
      <c r="R3997" t="str">
        <f t="shared" si="499"/>
        <v/>
      </c>
      <c r="S3997" t="str">
        <f t="shared" si="500"/>
        <v/>
      </c>
      <c r="T3997" s="403" t="str">
        <f t="shared" si="501"/>
        <v>NDE-8503-RT</v>
      </c>
      <c r="U3997" s="403">
        <f t="shared" si="502"/>
        <v>1</v>
      </c>
      <c r="V3997" s="403" t="str">
        <f t="shared" si="503"/>
        <v>CPP_7_3</v>
      </c>
    </row>
    <row r="3998" spans="1:22">
      <c r="A3998" t="str">
        <f t="shared" si="496"/>
        <v>NDE-8503-RT</v>
      </c>
      <c r="B3998" s="403" t="s">
        <v>1410</v>
      </c>
      <c r="C3998" s="403" t="s">
        <v>582</v>
      </c>
      <c r="D3998" s="403" t="s">
        <v>1414</v>
      </c>
      <c r="E3998" s="403" t="s">
        <v>1412</v>
      </c>
      <c r="F3998" s="403" t="s">
        <v>1385</v>
      </c>
      <c r="G3998" s="403" t="s">
        <v>1467</v>
      </c>
      <c r="H3998" s="403" t="s">
        <v>1281</v>
      </c>
      <c r="I3998" s="403">
        <v>1</v>
      </c>
      <c r="J3998" s="403" t="s">
        <v>109</v>
      </c>
      <c r="K3998" s="403">
        <v>720</v>
      </c>
      <c r="L3998" s="403">
        <v>1280</v>
      </c>
      <c r="M3998" s="403" t="s">
        <v>109</v>
      </c>
      <c r="N3998" s="403">
        <v>720</v>
      </c>
      <c r="O3998" s="403">
        <v>1280</v>
      </c>
      <c r="P3998" t="str">
        <f t="shared" si="497"/>
        <v>25fps 720p - 720p</v>
      </c>
      <c r="Q3998">
        <f t="shared" si="498"/>
        <v>20</v>
      </c>
      <c r="R3998" t="str">
        <f t="shared" si="499"/>
        <v/>
      </c>
      <c r="S3998" t="str">
        <f t="shared" si="500"/>
        <v/>
      </c>
      <c r="T3998" s="403" t="str">
        <f t="shared" si="501"/>
        <v>NDE-8503-RT</v>
      </c>
      <c r="U3998" s="403">
        <f t="shared" si="502"/>
        <v>1</v>
      </c>
      <c r="V3998" s="403" t="str">
        <f t="shared" si="503"/>
        <v>CPP_7_3</v>
      </c>
    </row>
    <row r="3999" spans="1:22">
      <c r="A3999" t="str">
        <f t="shared" si="496"/>
        <v>NDE-8503-RT</v>
      </c>
      <c r="B3999" s="403" t="s">
        <v>1410</v>
      </c>
      <c r="C3999" s="403" t="s">
        <v>582</v>
      </c>
      <c r="D3999" s="403" t="s">
        <v>1414</v>
      </c>
      <c r="E3999" s="403" t="s">
        <v>1412</v>
      </c>
      <c r="F3999" s="403" t="s">
        <v>1385</v>
      </c>
      <c r="G3999" s="403" t="s">
        <v>1467</v>
      </c>
      <c r="H3999" s="403" t="s">
        <v>1281</v>
      </c>
      <c r="I3999" s="403">
        <v>1</v>
      </c>
      <c r="J3999" s="403" t="s">
        <v>109</v>
      </c>
      <c r="K3999" s="403">
        <v>720</v>
      </c>
      <c r="L3999" s="403">
        <v>1280</v>
      </c>
      <c r="M3999" s="403" t="s">
        <v>111</v>
      </c>
      <c r="N3999" s="403">
        <v>432</v>
      </c>
      <c r="O3999" s="403">
        <v>768</v>
      </c>
      <c r="P3999" t="str">
        <f t="shared" si="497"/>
        <v>25fps 720p - SD</v>
      </c>
      <c r="Q3999">
        <f t="shared" si="498"/>
        <v>20</v>
      </c>
      <c r="R3999" t="str">
        <f t="shared" si="499"/>
        <v/>
      </c>
      <c r="S3999" t="str">
        <f t="shared" si="500"/>
        <v/>
      </c>
      <c r="T3999" s="403" t="str">
        <f t="shared" si="501"/>
        <v>NDE-8503-RT</v>
      </c>
      <c r="U3999" s="403">
        <f t="shared" si="502"/>
        <v>1</v>
      </c>
      <c r="V3999" s="403" t="str">
        <f t="shared" si="503"/>
        <v>CPP_7_3</v>
      </c>
    </row>
    <row r="4000" spans="1:22">
      <c r="A4000" t="str">
        <f t="shared" si="496"/>
        <v>NDE-8503-RT</v>
      </c>
      <c r="B4000" s="403" t="s">
        <v>1410</v>
      </c>
      <c r="C4000" s="403" t="s">
        <v>582</v>
      </c>
      <c r="D4000" s="403" t="s">
        <v>1414</v>
      </c>
      <c r="E4000" s="403" t="s">
        <v>1412</v>
      </c>
      <c r="F4000" s="403" t="s">
        <v>1385</v>
      </c>
      <c r="G4000" s="403" t="s">
        <v>1467</v>
      </c>
      <c r="H4000" s="403" t="s">
        <v>1281</v>
      </c>
      <c r="I4000" s="403">
        <v>1</v>
      </c>
      <c r="J4000" s="403" t="s">
        <v>109</v>
      </c>
      <c r="K4000" s="403">
        <v>720</v>
      </c>
      <c r="L4000" s="403">
        <v>1280</v>
      </c>
      <c r="M4000" s="403" t="s">
        <v>1279</v>
      </c>
      <c r="N4000" s="403">
        <v>432</v>
      </c>
      <c r="O4000" s="403">
        <v>768</v>
      </c>
      <c r="P4000" t="str">
        <f t="shared" si="497"/>
        <v>25fps 720p - SD ROI PTZ</v>
      </c>
      <c r="Q4000">
        <f t="shared" si="498"/>
        <v>20</v>
      </c>
      <c r="R4000" t="str">
        <f t="shared" si="499"/>
        <v/>
      </c>
      <c r="S4000" t="str">
        <f t="shared" si="500"/>
        <v/>
      </c>
      <c r="T4000" s="403" t="str">
        <f t="shared" si="501"/>
        <v>NDE-8503-RT</v>
      </c>
      <c r="U4000" s="403">
        <f t="shared" si="502"/>
        <v>1</v>
      </c>
      <c r="V4000" s="403" t="str">
        <f t="shared" si="503"/>
        <v>CPP_7_3</v>
      </c>
    </row>
    <row r="4001" spans="1:22">
      <c r="A4001" t="str">
        <f t="shared" si="496"/>
        <v>NDE-8503-RT</v>
      </c>
      <c r="B4001" s="403" t="s">
        <v>1410</v>
      </c>
      <c r="C4001" s="403" t="s">
        <v>582</v>
      </c>
      <c r="D4001" s="403" t="s">
        <v>1414</v>
      </c>
      <c r="E4001" s="403" t="s">
        <v>1412</v>
      </c>
      <c r="F4001" s="403" t="s">
        <v>1385</v>
      </c>
      <c r="G4001" s="403" t="s">
        <v>1467</v>
      </c>
      <c r="H4001" s="403" t="s">
        <v>1281</v>
      </c>
      <c r="I4001" s="403">
        <v>1</v>
      </c>
      <c r="J4001" s="403" t="s">
        <v>109</v>
      </c>
      <c r="K4001" s="403">
        <v>720</v>
      </c>
      <c r="L4001" s="403">
        <v>1280</v>
      </c>
      <c r="M4001" s="403" t="s">
        <v>1283</v>
      </c>
      <c r="N4001" s="403">
        <v>576</v>
      </c>
      <c r="O4001" s="403">
        <v>720</v>
      </c>
      <c r="P4001" t="str">
        <f t="shared" si="497"/>
        <v>25fps 720p - SD 4CIF resolution 4:3 format (cropped)</v>
      </c>
      <c r="Q4001">
        <f t="shared" si="498"/>
        <v>20</v>
      </c>
      <c r="R4001" t="str">
        <f t="shared" si="499"/>
        <v/>
      </c>
      <c r="S4001" t="str">
        <f t="shared" si="500"/>
        <v/>
      </c>
      <c r="T4001" s="403" t="str">
        <f t="shared" si="501"/>
        <v>NDE-8503-RT</v>
      </c>
      <c r="U4001" s="403">
        <f t="shared" si="502"/>
        <v>1</v>
      </c>
      <c r="V4001" s="403" t="str">
        <f t="shared" si="503"/>
        <v>CPP_7_3</v>
      </c>
    </row>
    <row r="4002" spans="1:22">
      <c r="A4002" t="str">
        <f t="shared" si="496"/>
        <v>NDE-8503-RT</v>
      </c>
      <c r="B4002" s="403" t="s">
        <v>1410</v>
      </c>
      <c r="C4002" s="403" t="s">
        <v>582</v>
      </c>
      <c r="D4002" s="403" t="s">
        <v>1414</v>
      </c>
      <c r="E4002" s="403" t="s">
        <v>1412</v>
      </c>
      <c r="F4002" s="403" t="s">
        <v>1385</v>
      </c>
      <c r="G4002" s="403" t="s">
        <v>1467</v>
      </c>
      <c r="H4002" s="403" t="s">
        <v>1281</v>
      </c>
      <c r="I4002" s="403">
        <v>1</v>
      </c>
      <c r="J4002" s="403" t="s">
        <v>109</v>
      </c>
      <c r="K4002" s="403">
        <v>720</v>
      </c>
      <c r="L4002" s="403">
        <v>1280</v>
      </c>
      <c r="M4002" s="403" t="s">
        <v>1284</v>
      </c>
      <c r="N4002" s="403">
        <v>480</v>
      </c>
      <c r="O4002" s="403">
        <v>640</v>
      </c>
      <c r="P4002" t="str">
        <f t="shared" si="497"/>
        <v>25fps 720p - SD VGA (cropped)</v>
      </c>
      <c r="Q4002">
        <f t="shared" si="498"/>
        <v>20</v>
      </c>
      <c r="R4002" t="str">
        <f t="shared" si="499"/>
        <v/>
      </c>
      <c r="S4002" t="str">
        <f t="shared" si="500"/>
        <v/>
      </c>
      <c r="T4002" s="403" t="str">
        <f t="shared" si="501"/>
        <v>NDE-8503-RT</v>
      </c>
      <c r="U4002" s="403">
        <f t="shared" si="502"/>
        <v>1</v>
      </c>
      <c r="V4002" s="403" t="str">
        <f t="shared" si="503"/>
        <v>CPP_7_3</v>
      </c>
    </row>
    <row r="4003" spans="1:22">
      <c r="A4003" t="str">
        <f t="shared" si="496"/>
        <v>NDE-8503-RT</v>
      </c>
      <c r="B4003" s="403" t="s">
        <v>1410</v>
      </c>
      <c r="C4003" s="403" t="s">
        <v>582</v>
      </c>
      <c r="D4003" s="403" t="s">
        <v>1414</v>
      </c>
      <c r="E4003" s="403" t="s">
        <v>1413</v>
      </c>
      <c r="F4003" s="403" t="s">
        <v>1415</v>
      </c>
      <c r="G4003" s="403" t="s">
        <v>1466</v>
      </c>
      <c r="H4003" s="403" t="s">
        <v>1276</v>
      </c>
      <c r="I4003" s="403">
        <v>1</v>
      </c>
      <c r="J4003" s="403" t="s">
        <v>1416</v>
      </c>
      <c r="K4003" s="403">
        <v>3264</v>
      </c>
      <c r="L4003" s="403">
        <v>1840</v>
      </c>
      <c r="M4003" s="403" t="s">
        <v>111</v>
      </c>
      <c r="N4003" s="403">
        <v>768</v>
      </c>
      <c r="O4003" s="403">
        <v>432</v>
      </c>
      <c r="P4003" t="str">
        <f t="shared" si="497"/>
        <v>30fps 3264x1840 - SD</v>
      </c>
      <c r="Q4003">
        <f t="shared" si="498"/>
        <v>20</v>
      </c>
      <c r="R4003" t="str">
        <f t="shared" si="499"/>
        <v/>
      </c>
      <c r="S4003" t="str">
        <f t="shared" si="500"/>
        <v/>
      </c>
      <c r="T4003" s="403" t="str">
        <f t="shared" si="501"/>
        <v>NDE-8503-RT</v>
      </c>
      <c r="U4003" s="403">
        <f t="shared" si="502"/>
        <v>1</v>
      </c>
      <c r="V4003" s="403" t="str">
        <f t="shared" si="503"/>
        <v>CPP_7_3</v>
      </c>
    </row>
    <row r="4004" spans="1:22">
      <c r="A4004" t="str">
        <f t="shared" si="496"/>
        <v>NDE-8503-RT</v>
      </c>
      <c r="B4004" s="403" t="s">
        <v>1410</v>
      </c>
      <c r="C4004" s="403" t="s">
        <v>582</v>
      </c>
      <c r="D4004" s="403" t="s">
        <v>1414</v>
      </c>
      <c r="E4004" s="403" t="s">
        <v>1413</v>
      </c>
      <c r="F4004" s="403" t="s">
        <v>1415</v>
      </c>
      <c r="G4004" s="403" t="s">
        <v>1466</v>
      </c>
      <c r="H4004" s="403" t="s">
        <v>1276</v>
      </c>
      <c r="I4004" s="403">
        <v>1</v>
      </c>
      <c r="J4004" s="403" t="s">
        <v>1416</v>
      </c>
      <c r="K4004" s="403">
        <v>3264</v>
      </c>
      <c r="L4004" s="403">
        <v>1840</v>
      </c>
      <c r="M4004" s="403" t="s">
        <v>1601</v>
      </c>
      <c r="N4004" s="403">
        <v>3264</v>
      </c>
      <c r="O4004" s="403">
        <v>1840</v>
      </c>
      <c r="P4004" t="str">
        <f t="shared" si="497"/>
        <v>30fps 3264x1840 - 3264x1840 @ SKIP3</v>
      </c>
      <c r="Q4004">
        <f t="shared" si="498"/>
        <v>20</v>
      </c>
      <c r="R4004" t="str">
        <f t="shared" si="499"/>
        <v/>
      </c>
      <c r="S4004" t="str">
        <f t="shared" si="500"/>
        <v/>
      </c>
      <c r="T4004" s="403" t="str">
        <f t="shared" si="501"/>
        <v>NDE-8503-RT</v>
      </c>
      <c r="U4004" s="403">
        <f t="shared" si="502"/>
        <v>1</v>
      </c>
      <c r="V4004" s="403" t="str">
        <f t="shared" si="503"/>
        <v>CPP_7_3</v>
      </c>
    </row>
    <row r="4005" spans="1:22">
      <c r="A4005" t="str">
        <f t="shared" si="496"/>
        <v>NDE-8503-RT</v>
      </c>
      <c r="B4005" s="403" t="s">
        <v>1410</v>
      </c>
      <c r="C4005" s="403" t="s">
        <v>582</v>
      </c>
      <c r="D4005" s="403" t="s">
        <v>1414</v>
      </c>
      <c r="E4005" s="403" t="s">
        <v>1413</v>
      </c>
      <c r="F4005" s="403" t="s">
        <v>1415</v>
      </c>
      <c r="G4005" s="403" t="s">
        <v>1466</v>
      </c>
      <c r="H4005" s="403" t="s">
        <v>1276</v>
      </c>
      <c r="I4005" s="403">
        <v>1</v>
      </c>
      <c r="J4005" s="403" t="s">
        <v>1416</v>
      </c>
      <c r="K4005" s="403">
        <v>3264</v>
      </c>
      <c r="L4005" s="403">
        <v>1840</v>
      </c>
      <c r="M4005" s="403" t="s">
        <v>1280</v>
      </c>
      <c r="N4005" s="403">
        <v>3264</v>
      </c>
      <c r="O4005" s="403">
        <v>1840</v>
      </c>
      <c r="P4005" t="str">
        <f t="shared" si="497"/>
        <v>30fps 3264x1840 - copy other stream</v>
      </c>
      <c r="Q4005">
        <f t="shared" si="498"/>
        <v>20</v>
      </c>
      <c r="R4005" t="str">
        <f t="shared" si="499"/>
        <v/>
      </c>
      <c r="S4005" t="str">
        <f t="shared" si="500"/>
        <v/>
      </c>
      <c r="T4005" s="403" t="str">
        <f t="shared" si="501"/>
        <v>NDE-8503-RT</v>
      </c>
      <c r="U4005" s="403">
        <f t="shared" si="502"/>
        <v>1</v>
      </c>
      <c r="V4005" s="403" t="str">
        <f t="shared" si="503"/>
        <v>CPP_7_3</v>
      </c>
    </row>
    <row r="4006" spans="1:22">
      <c r="A4006" t="str">
        <f t="shared" si="496"/>
        <v>NDE-8503-RT</v>
      </c>
      <c r="B4006" s="403" t="s">
        <v>1410</v>
      </c>
      <c r="C4006" s="403" t="s">
        <v>582</v>
      </c>
      <c r="D4006" s="403" t="s">
        <v>1414</v>
      </c>
      <c r="E4006" s="403" t="s">
        <v>1413</v>
      </c>
      <c r="F4006" s="403" t="s">
        <v>1415</v>
      </c>
      <c r="G4006" s="403" t="s">
        <v>1466</v>
      </c>
      <c r="H4006" s="403" t="s">
        <v>1276</v>
      </c>
      <c r="I4006" s="403">
        <v>1</v>
      </c>
      <c r="J4006" s="403" t="s">
        <v>1416</v>
      </c>
      <c r="K4006" s="403">
        <v>3264</v>
      </c>
      <c r="L4006" s="403">
        <v>1840</v>
      </c>
      <c r="M4006" s="403" t="s">
        <v>110</v>
      </c>
      <c r="N4006" s="403">
        <v>1920</v>
      </c>
      <c r="O4006" s="403">
        <v>1080</v>
      </c>
      <c r="P4006" t="str">
        <f t="shared" si="497"/>
        <v>30fps 3264x1840 - 1080p</v>
      </c>
      <c r="Q4006">
        <f t="shared" si="498"/>
        <v>20</v>
      </c>
      <c r="R4006" t="str">
        <f t="shared" si="499"/>
        <v/>
      </c>
      <c r="S4006" t="str">
        <f t="shared" si="500"/>
        <v/>
      </c>
      <c r="T4006" s="403" t="str">
        <f t="shared" si="501"/>
        <v>NDE-8503-RT</v>
      </c>
      <c r="U4006" s="403">
        <f t="shared" si="502"/>
        <v>1</v>
      </c>
      <c r="V4006" s="403" t="str">
        <f t="shared" si="503"/>
        <v>CPP_7_3</v>
      </c>
    </row>
    <row r="4007" spans="1:22">
      <c r="A4007" t="str">
        <f t="shared" si="496"/>
        <v>NDE-8503-RT</v>
      </c>
      <c r="B4007" s="403" t="s">
        <v>1410</v>
      </c>
      <c r="C4007" s="403" t="s">
        <v>582</v>
      </c>
      <c r="D4007" s="403" t="s">
        <v>1414</v>
      </c>
      <c r="E4007" s="403" t="s">
        <v>1413</v>
      </c>
      <c r="F4007" s="403" t="s">
        <v>1415</v>
      </c>
      <c r="G4007" s="403" t="s">
        <v>1466</v>
      </c>
      <c r="H4007" s="403" t="s">
        <v>1276</v>
      </c>
      <c r="I4007" s="403">
        <v>1</v>
      </c>
      <c r="J4007" s="403" t="s">
        <v>1416</v>
      </c>
      <c r="K4007" s="403">
        <v>3264</v>
      </c>
      <c r="L4007" s="403">
        <v>1840</v>
      </c>
      <c r="M4007" s="403" t="s">
        <v>109</v>
      </c>
      <c r="N4007" s="403">
        <v>1280</v>
      </c>
      <c r="O4007" s="403">
        <v>720</v>
      </c>
      <c r="P4007" t="str">
        <f t="shared" si="497"/>
        <v>30fps 3264x1840 - 720p</v>
      </c>
      <c r="Q4007">
        <f t="shared" si="498"/>
        <v>20</v>
      </c>
      <c r="R4007" t="str">
        <f t="shared" si="499"/>
        <v/>
      </c>
      <c r="S4007" t="str">
        <f t="shared" si="500"/>
        <v/>
      </c>
      <c r="T4007" s="403" t="str">
        <f t="shared" si="501"/>
        <v>NDE-8503-RT</v>
      </c>
      <c r="U4007" s="403">
        <f t="shared" si="502"/>
        <v>1</v>
      </c>
      <c r="V4007" s="403" t="str">
        <f t="shared" si="503"/>
        <v>CPP_7_3</v>
      </c>
    </row>
    <row r="4008" spans="1:22">
      <c r="A4008" t="str">
        <f t="shared" si="496"/>
        <v>NDE-8503-RT</v>
      </c>
      <c r="B4008" s="403" t="s">
        <v>1410</v>
      </c>
      <c r="C4008" s="403" t="s">
        <v>582</v>
      </c>
      <c r="D4008" s="403" t="s">
        <v>1414</v>
      </c>
      <c r="E4008" s="403" t="s">
        <v>1413</v>
      </c>
      <c r="F4008" s="403" t="s">
        <v>1415</v>
      </c>
      <c r="G4008" s="403" t="s">
        <v>1466</v>
      </c>
      <c r="H4008" s="403" t="s">
        <v>1276</v>
      </c>
      <c r="I4008" s="403">
        <v>1</v>
      </c>
      <c r="J4008" s="403" t="s">
        <v>1416</v>
      </c>
      <c r="K4008" s="403">
        <v>3264</v>
      </c>
      <c r="L4008" s="403">
        <v>1840</v>
      </c>
      <c r="M4008" s="403" t="s">
        <v>1283</v>
      </c>
      <c r="N4008" s="403">
        <v>720</v>
      </c>
      <c r="O4008" s="403">
        <v>480</v>
      </c>
      <c r="P4008" t="str">
        <f t="shared" si="497"/>
        <v>30fps 3264x1840 - SD 4CIF resolution 4:3 format (cropped)</v>
      </c>
      <c r="Q4008">
        <f t="shared" si="498"/>
        <v>20</v>
      </c>
      <c r="R4008" t="str">
        <f t="shared" si="499"/>
        <v/>
      </c>
      <c r="S4008" t="str">
        <f t="shared" si="500"/>
        <v/>
      </c>
      <c r="T4008" s="403" t="str">
        <f t="shared" si="501"/>
        <v>NDE-8503-RT</v>
      </c>
      <c r="U4008" s="403">
        <f t="shared" si="502"/>
        <v>1</v>
      </c>
      <c r="V4008" s="403" t="str">
        <f t="shared" si="503"/>
        <v>CPP_7_3</v>
      </c>
    </row>
    <row r="4009" spans="1:22">
      <c r="A4009" t="str">
        <f t="shared" si="496"/>
        <v>NDE-8503-RT</v>
      </c>
      <c r="B4009" s="403" t="s">
        <v>1410</v>
      </c>
      <c r="C4009" s="403" t="s">
        <v>582</v>
      </c>
      <c r="D4009" s="403" t="s">
        <v>1414</v>
      </c>
      <c r="E4009" s="403" t="s">
        <v>1413</v>
      </c>
      <c r="F4009" s="403" t="s">
        <v>1415</v>
      </c>
      <c r="G4009" s="403" t="s">
        <v>1466</v>
      </c>
      <c r="H4009" s="403" t="s">
        <v>1276</v>
      </c>
      <c r="I4009" s="403">
        <v>1</v>
      </c>
      <c r="J4009" s="403" t="s">
        <v>1416</v>
      </c>
      <c r="K4009" s="403">
        <v>3264</v>
      </c>
      <c r="L4009" s="403">
        <v>1840</v>
      </c>
      <c r="M4009" s="403" t="s">
        <v>1279</v>
      </c>
      <c r="N4009" s="403">
        <v>768</v>
      </c>
      <c r="O4009" s="403">
        <v>432</v>
      </c>
      <c r="P4009" t="str">
        <f t="shared" si="497"/>
        <v>30fps 3264x1840 - SD ROI PTZ</v>
      </c>
      <c r="Q4009">
        <f t="shared" si="498"/>
        <v>20</v>
      </c>
      <c r="R4009" t="str">
        <f t="shared" si="499"/>
        <v/>
      </c>
      <c r="S4009" t="str">
        <f t="shared" si="500"/>
        <v/>
      </c>
      <c r="T4009" s="403" t="str">
        <f t="shared" si="501"/>
        <v>NDE-8503-RT</v>
      </c>
      <c r="U4009" s="403">
        <f t="shared" si="502"/>
        <v>1</v>
      </c>
      <c r="V4009" s="403" t="str">
        <f t="shared" si="503"/>
        <v>CPP_7_3</v>
      </c>
    </row>
    <row r="4010" spans="1:22">
      <c r="A4010" t="str">
        <f t="shared" si="496"/>
        <v>NDE-8503-RT</v>
      </c>
      <c r="B4010" s="403" t="s">
        <v>1410</v>
      </c>
      <c r="C4010" s="403" t="s">
        <v>582</v>
      </c>
      <c r="D4010" s="403" t="s">
        <v>1414</v>
      </c>
      <c r="E4010" s="403" t="s">
        <v>1413</v>
      </c>
      <c r="F4010" s="403" t="s">
        <v>1415</v>
      </c>
      <c r="G4010" s="403" t="s">
        <v>1466</v>
      </c>
      <c r="H4010" s="403" t="s">
        <v>1276</v>
      </c>
      <c r="I4010" s="403">
        <v>1</v>
      </c>
      <c r="J4010" s="403" t="s">
        <v>1416</v>
      </c>
      <c r="K4010" s="403">
        <v>3264</v>
      </c>
      <c r="L4010" s="403">
        <v>1840</v>
      </c>
      <c r="M4010" s="403" t="s">
        <v>1284</v>
      </c>
      <c r="N4010" s="403">
        <v>640</v>
      </c>
      <c r="O4010" s="403">
        <v>480</v>
      </c>
      <c r="P4010" t="str">
        <f t="shared" si="497"/>
        <v>30fps 3264x1840 - SD VGA (cropped)</v>
      </c>
      <c r="Q4010">
        <f t="shared" si="498"/>
        <v>20</v>
      </c>
      <c r="R4010" t="str">
        <f t="shared" si="499"/>
        <v/>
      </c>
      <c r="S4010" t="str">
        <f t="shared" si="500"/>
        <v/>
      </c>
      <c r="T4010" s="403" t="str">
        <f t="shared" si="501"/>
        <v>NDE-8503-RT</v>
      </c>
      <c r="U4010" s="403">
        <f t="shared" si="502"/>
        <v>1</v>
      </c>
      <c r="V4010" s="403" t="str">
        <f t="shared" si="503"/>
        <v>CPP_7_3</v>
      </c>
    </row>
    <row r="4011" spans="1:22">
      <c r="A4011" t="str">
        <f t="shared" si="496"/>
        <v>NDE-8503-RT</v>
      </c>
      <c r="B4011" s="403" t="s">
        <v>1410</v>
      </c>
      <c r="C4011" s="403" t="s">
        <v>582</v>
      </c>
      <c r="D4011" s="403" t="s">
        <v>1414</v>
      </c>
      <c r="E4011" s="403" t="s">
        <v>1413</v>
      </c>
      <c r="F4011" s="403" t="s">
        <v>1415</v>
      </c>
      <c r="G4011" s="403" t="s">
        <v>1466</v>
      </c>
      <c r="H4011" s="403" t="s">
        <v>1276</v>
      </c>
      <c r="I4011" s="403">
        <v>1</v>
      </c>
      <c r="J4011" s="403" t="s">
        <v>1416</v>
      </c>
      <c r="K4011" s="403">
        <v>3264</v>
      </c>
      <c r="L4011" s="403">
        <v>1840</v>
      </c>
      <c r="M4011" s="403" t="s">
        <v>1285</v>
      </c>
      <c r="N4011" s="403">
        <v>1280</v>
      </c>
      <c r="O4011" s="403">
        <v>1024</v>
      </c>
      <c r="P4011" t="str">
        <f t="shared" si="497"/>
        <v>30fps 3264x1840 - 1280x1024 5:4 (cropped)</v>
      </c>
      <c r="Q4011">
        <f t="shared" si="498"/>
        <v>20</v>
      </c>
      <c r="R4011" t="str">
        <f t="shared" si="499"/>
        <v/>
      </c>
      <c r="S4011" t="str">
        <f t="shared" si="500"/>
        <v/>
      </c>
      <c r="T4011" s="403" t="str">
        <f t="shared" si="501"/>
        <v>NDE-8503-RT</v>
      </c>
      <c r="U4011" s="403">
        <f t="shared" si="502"/>
        <v>1</v>
      </c>
      <c r="V4011" s="403" t="str">
        <f t="shared" si="503"/>
        <v>CPP_7_3</v>
      </c>
    </row>
    <row r="4012" spans="1:22">
      <c r="A4012" t="str">
        <f t="shared" si="496"/>
        <v>NDE-8503-RT</v>
      </c>
      <c r="B4012" s="403" t="s">
        <v>1410</v>
      </c>
      <c r="C4012" s="403" t="s">
        <v>582</v>
      </c>
      <c r="D4012" s="403" t="s">
        <v>1414</v>
      </c>
      <c r="E4012" s="403" t="s">
        <v>1413</v>
      </c>
      <c r="F4012" s="403" t="s">
        <v>1415</v>
      </c>
      <c r="G4012" s="403" t="s">
        <v>1466</v>
      </c>
      <c r="H4012" s="403" t="s">
        <v>1281</v>
      </c>
      <c r="I4012" s="403">
        <v>1</v>
      </c>
      <c r="J4012" s="403" t="s">
        <v>1416</v>
      </c>
      <c r="K4012" s="403">
        <v>3264</v>
      </c>
      <c r="L4012" s="403">
        <v>1840</v>
      </c>
      <c r="M4012" s="403" t="s">
        <v>111</v>
      </c>
      <c r="N4012" s="403">
        <v>768</v>
      </c>
      <c r="O4012" s="403">
        <v>432</v>
      </c>
      <c r="P4012" t="str">
        <f t="shared" si="497"/>
        <v>30fps 3264x1840 - SD</v>
      </c>
      <c r="Q4012">
        <f t="shared" si="498"/>
        <v>20</v>
      </c>
      <c r="R4012" t="str">
        <f t="shared" si="499"/>
        <v/>
      </c>
      <c r="S4012" t="str">
        <f t="shared" si="500"/>
        <v/>
      </c>
      <c r="T4012" s="403" t="str">
        <f t="shared" si="501"/>
        <v>NDE-8503-RT</v>
      </c>
      <c r="U4012" s="403">
        <f t="shared" si="502"/>
        <v>1</v>
      </c>
      <c r="V4012" s="403" t="str">
        <f t="shared" si="503"/>
        <v>CPP_7_3</v>
      </c>
    </row>
    <row r="4013" spans="1:22">
      <c r="A4013" t="str">
        <f t="shared" si="496"/>
        <v>NDE-8503-RT</v>
      </c>
      <c r="B4013" s="403" t="s">
        <v>1410</v>
      </c>
      <c r="C4013" s="403" t="s">
        <v>582</v>
      </c>
      <c r="D4013" s="403" t="s">
        <v>1414</v>
      </c>
      <c r="E4013" s="403" t="s">
        <v>1413</v>
      </c>
      <c r="F4013" s="403" t="s">
        <v>1415</v>
      </c>
      <c r="G4013" s="403" t="s">
        <v>1466</v>
      </c>
      <c r="H4013" s="403" t="s">
        <v>1281</v>
      </c>
      <c r="I4013" s="403">
        <v>1</v>
      </c>
      <c r="J4013" s="403" t="s">
        <v>1416</v>
      </c>
      <c r="K4013" s="403">
        <v>3264</v>
      </c>
      <c r="L4013" s="403">
        <v>1840</v>
      </c>
      <c r="M4013" s="403" t="s">
        <v>1280</v>
      </c>
      <c r="N4013" s="403">
        <v>3264</v>
      </c>
      <c r="O4013" s="403">
        <v>1840</v>
      </c>
      <c r="P4013" t="str">
        <f t="shared" si="497"/>
        <v>30fps 3264x1840 - copy other stream</v>
      </c>
      <c r="Q4013">
        <f t="shared" si="498"/>
        <v>20</v>
      </c>
      <c r="R4013" t="str">
        <f t="shared" si="499"/>
        <v/>
      </c>
      <c r="S4013" t="str">
        <f t="shared" si="500"/>
        <v/>
      </c>
      <c r="T4013" s="403" t="str">
        <f t="shared" si="501"/>
        <v>NDE-8503-RT</v>
      </c>
      <c r="U4013" s="403">
        <f t="shared" si="502"/>
        <v>1</v>
      </c>
      <c r="V4013" s="403" t="str">
        <f t="shared" si="503"/>
        <v>CPP_7_3</v>
      </c>
    </row>
    <row r="4014" spans="1:22">
      <c r="A4014" t="str">
        <f t="shared" si="496"/>
        <v>NDE-8503-RT</v>
      </c>
      <c r="B4014" s="403" t="s">
        <v>1410</v>
      </c>
      <c r="C4014" s="403" t="s">
        <v>582</v>
      </c>
      <c r="D4014" s="403" t="s">
        <v>1414</v>
      </c>
      <c r="E4014" s="403" t="s">
        <v>1413</v>
      </c>
      <c r="F4014" s="403" t="s">
        <v>1415</v>
      </c>
      <c r="G4014" s="403" t="s">
        <v>1466</v>
      </c>
      <c r="H4014" s="403" t="s">
        <v>1281</v>
      </c>
      <c r="I4014" s="403">
        <v>1</v>
      </c>
      <c r="J4014" s="403" t="s">
        <v>1416</v>
      </c>
      <c r="K4014" s="403">
        <v>3264</v>
      </c>
      <c r="L4014" s="403">
        <v>1840</v>
      </c>
      <c r="M4014" s="403" t="s">
        <v>109</v>
      </c>
      <c r="N4014" s="403">
        <v>1280</v>
      </c>
      <c r="O4014" s="403">
        <v>720</v>
      </c>
      <c r="P4014" t="str">
        <f t="shared" si="497"/>
        <v>30fps 3264x1840 - 720p</v>
      </c>
      <c r="Q4014">
        <f t="shared" si="498"/>
        <v>20</v>
      </c>
      <c r="R4014" t="str">
        <f t="shared" si="499"/>
        <v/>
      </c>
      <c r="S4014" t="str">
        <f t="shared" si="500"/>
        <v/>
      </c>
      <c r="T4014" s="403" t="str">
        <f t="shared" si="501"/>
        <v>NDE-8503-RT</v>
      </c>
      <c r="U4014" s="403">
        <f t="shared" si="502"/>
        <v>1</v>
      </c>
      <c r="V4014" s="403" t="str">
        <f t="shared" si="503"/>
        <v>CPP_7_3</v>
      </c>
    </row>
    <row r="4015" spans="1:22">
      <c r="A4015" t="str">
        <f t="shared" si="496"/>
        <v>NDE-8503-RT</v>
      </c>
      <c r="B4015" s="403" t="s">
        <v>1410</v>
      </c>
      <c r="C4015" s="403" t="s">
        <v>582</v>
      </c>
      <c r="D4015" s="403" t="s">
        <v>1414</v>
      </c>
      <c r="E4015" s="403" t="s">
        <v>1413</v>
      </c>
      <c r="F4015" s="403" t="s">
        <v>1415</v>
      </c>
      <c r="G4015" s="403" t="s">
        <v>1466</v>
      </c>
      <c r="H4015" s="403" t="s">
        <v>1281</v>
      </c>
      <c r="I4015" s="403">
        <v>1</v>
      </c>
      <c r="J4015" s="403" t="s">
        <v>1416</v>
      </c>
      <c r="K4015" s="403">
        <v>3264</v>
      </c>
      <c r="L4015" s="403">
        <v>1840</v>
      </c>
      <c r="M4015" s="403" t="s">
        <v>1283</v>
      </c>
      <c r="N4015" s="403">
        <v>720</v>
      </c>
      <c r="O4015" s="403">
        <v>480</v>
      </c>
      <c r="P4015" t="str">
        <f t="shared" si="497"/>
        <v>30fps 3264x1840 - SD 4CIF resolution 4:3 format (cropped)</v>
      </c>
      <c r="Q4015">
        <f t="shared" si="498"/>
        <v>20</v>
      </c>
      <c r="R4015" t="str">
        <f t="shared" si="499"/>
        <v/>
      </c>
      <c r="S4015" t="str">
        <f t="shared" si="500"/>
        <v/>
      </c>
      <c r="T4015" s="403" t="str">
        <f t="shared" si="501"/>
        <v>NDE-8503-RT</v>
      </c>
      <c r="U4015" s="403">
        <f t="shared" si="502"/>
        <v>1</v>
      </c>
      <c r="V4015" s="403" t="str">
        <f t="shared" si="503"/>
        <v>CPP_7_3</v>
      </c>
    </row>
    <row r="4016" spans="1:22">
      <c r="A4016" t="str">
        <f t="shared" si="496"/>
        <v>NDE-8503-RT</v>
      </c>
      <c r="B4016" s="403" t="s">
        <v>1410</v>
      </c>
      <c r="C4016" s="403" t="s">
        <v>582</v>
      </c>
      <c r="D4016" s="403" t="s">
        <v>1414</v>
      </c>
      <c r="E4016" s="403" t="s">
        <v>1413</v>
      </c>
      <c r="F4016" s="403" t="s">
        <v>1415</v>
      </c>
      <c r="G4016" s="403" t="s">
        <v>1466</v>
      </c>
      <c r="H4016" s="403" t="s">
        <v>1281</v>
      </c>
      <c r="I4016" s="403">
        <v>1</v>
      </c>
      <c r="J4016" s="403" t="s">
        <v>1416</v>
      </c>
      <c r="K4016" s="403">
        <v>3264</v>
      </c>
      <c r="L4016" s="403">
        <v>1840</v>
      </c>
      <c r="M4016" s="403" t="s">
        <v>1279</v>
      </c>
      <c r="N4016" s="403">
        <v>768</v>
      </c>
      <c r="O4016" s="403">
        <v>432</v>
      </c>
      <c r="P4016" t="str">
        <f t="shared" si="497"/>
        <v>30fps 3264x1840 - SD ROI PTZ</v>
      </c>
      <c r="Q4016">
        <f t="shared" si="498"/>
        <v>20</v>
      </c>
      <c r="R4016" t="str">
        <f t="shared" si="499"/>
        <v/>
      </c>
      <c r="S4016" t="str">
        <f t="shared" si="500"/>
        <v/>
      </c>
      <c r="T4016" s="403" t="str">
        <f t="shared" si="501"/>
        <v>NDE-8503-RT</v>
      </c>
      <c r="U4016" s="403">
        <f t="shared" si="502"/>
        <v>1</v>
      </c>
      <c r="V4016" s="403" t="str">
        <f t="shared" si="503"/>
        <v>CPP_7_3</v>
      </c>
    </row>
    <row r="4017" spans="1:22">
      <c r="A4017" t="str">
        <f t="shared" si="496"/>
        <v>NDE-8503-RT</v>
      </c>
      <c r="B4017" s="403" t="s">
        <v>1410</v>
      </c>
      <c r="C4017" s="403" t="s">
        <v>582</v>
      </c>
      <c r="D4017" s="403" t="s">
        <v>1414</v>
      </c>
      <c r="E4017" s="403" t="s">
        <v>1413</v>
      </c>
      <c r="F4017" s="403" t="s">
        <v>1415</v>
      </c>
      <c r="G4017" s="403" t="s">
        <v>1466</v>
      </c>
      <c r="H4017" s="403" t="s">
        <v>1281</v>
      </c>
      <c r="I4017" s="403">
        <v>1</v>
      </c>
      <c r="J4017" s="403" t="s">
        <v>1416</v>
      </c>
      <c r="K4017" s="403">
        <v>3264</v>
      </c>
      <c r="L4017" s="403">
        <v>1840</v>
      </c>
      <c r="M4017" s="403" t="s">
        <v>1284</v>
      </c>
      <c r="N4017" s="403">
        <v>640</v>
      </c>
      <c r="O4017" s="403">
        <v>480</v>
      </c>
      <c r="P4017" t="str">
        <f t="shared" si="497"/>
        <v>30fps 3264x1840 - SD VGA (cropped)</v>
      </c>
      <c r="Q4017">
        <f t="shared" si="498"/>
        <v>20</v>
      </c>
      <c r="R4017" t="str">
        <f t="shared" si="499"/>
        <v/>
      </c>
      <c r="S4017" t="str">
        <f t="shared" si="500"/>
        <v/>
      </c>
      <c r="T4017" s="403" t="str">
        <f t="shared" si="501"/>
        <v>NDE-8503-RT</v>
      </c>
      <c r="U4017" s="403">
        <f t="shared" si="502"/>
        <v>1</v>
      </c>
      <c r="V4017" s="403" t="str">
        <f t="shared" si="503"/>
        <v>CPP_7_3</v>
      </c>
    </row>
    <row r="4018" spans="1:22">
      <c r="A4018" t="str">
        <f t="shared" si="496"/>
        <v>NDE-8503-RT</v>
      </c>
      <c r="B4018" s="403" t="s">
        <v>1410</v>
      </c>
      <c r="C4018" s="403" t="s">
        <v>582</v>
      </c>
      <c r="D4018" s="403" t="s">
        <v>1414</v>
      </c>
      <c r="E4018" s="403" t="s">
        <v>1413</v>
      </c>
      <c r="F4018" s="403" t="s">
        <v>1415</v>
      </c>
      <c r="G4018" s="403" t="s">
        <v>1466</v>
      </c>
      <c r="H4018" s="403" t="s">
        <v>1281</v>
      </c>
      <c r="I4018" s="403">
        <v>1</v>
      </c>
      <c r="J4018" s="403" t="s">
        <v>1416</v>
      </c>
      <c r="K4018" s="403">
        <v>3264</v>
      </c>
      <c r="L4018" s="403">
        <v>1840</v>
      </c>
      <c r="M4018" s="403" t="s">
        <v>1285</v>
      </c>
      <c r="N4018" s="403">
        <v>1280</v>
      </c>
      <c r="O4018" s="403">
        <v>1024</v>
      </c>
      <c r="P4018" t="str">
        <f t="shared" si="497"/>
        <v>30fps 3264x1840 - 1280x1024 5:4 (cropped)</v>
      </c>
      <c r="Q4018">
        <f t="shared" si="498"/>
        <v>20</v>
      </c>
      <c r="R4018" t="str">
        <f t="shared" si="499"/>
        <v/>
      </c>
      <c r="S4018" t="str">
        <f t="shared" si="500"/>
        <v/>
      </c>
      <c r="T4018" s="403" t="str">
        <f t="shared" si="501"/>
        <v>NDE-8503-RT</v>
      </c>
      <c r="U4018" s="403">
        <f t="shared" si="502"/>
        <v>1</v>
      </c>
      <c r="V4018" s="403" t="str">
        <f t="shared" si="503"/>
        <v>CPP_7_3</v>
      </c>
    </row>
    <row r="4019" spans="1:22">
      <c r="A4019" t="str">
        <f t="shared" si="496"/>
        <v>NDE-8503-RT</v>
      </c>
      <c r="B4019" s="403" t="s">
        <v>1410</v>
      </c>
      <c r="C4019" s="403" t="s">
        <v>582</v>
      </c>
      <c r="D4019" s="403" t="s">
        <v>1414</v>
      </c>
      <c r="E4019" s="403" t="s">
        <v>1413</v>
      </c>
      <c r="F4019" s="403" t="s">
        <v>1417</v>
      </c>
      <c r="G4019" s="403" t="s">
        <v>1466</v>
      </c>
      <c r="H4019" s="403" t="s">
        <v>1276</v>
      </c>
      <c r="I4019" s="403">
        <v>1</v>
      </c>
      <c r="J4019" s="403" t="s">
        <v>1416</v>
      </c>
      <c r="K4019" s="403">
        <v>3264</v>
      </c>
      <c r="L4019" s="403">
        <v>1840</v>
      </c>
      <c r="M4019" s="403" t="s">
        <v>111</v>
      </c>
      <c r="N4019" s="403">
        <v>768</v>
      </c>
      <c r="O4019" s="403">
        <v>432</v>
      </c>
      <c r="P4019" t="str">
        <f t="shared" si="497"/>
        <v>25fps 3264x1840 - SD</v>
      </c>
      <c r="Q4019">
        <f t="shared" si="498"/>
        <v>20</v>
      </c>
      <c r="R4019" t="str">
        <f t="shared" si="499"/>
        <v/>
      </c>
      <c r="S4019" t="str">
        <f t="shared" si="500"/>
        <v/>
      </c>
      <c r="T4019" s="403" t="str">
        <f t="shared" si="501"/>
        <v>NDE-8503-RT</v>
      </c>
      <c r="U4019" s="403">
        <f t="shared" si="502"/>
        <v>1</v>
      </c>
      <c r="V4019" s="403" t="str">
        <f t="shared" si="503"/>
        <v>CPP_7_3</v>
      </c>
    </row>
    <row r="4020" spans="1:22">
      <c r="A4020" t="str">
        <f t="shared" si="496"/>
        <v>NDE-8503-RT</v>
      </c>
      <c r="B4020" s="403" t="s">
        <v>1410</v>
      </c>
      <c r="C4020" s="403" t="s">
        <v>582</v>
      </c>
      <c r="D4020" s="403" t="s">
        <v>1414</v>
      </c>
      <c r="E4020" s="403" t="s">
        <v>1413</v>
      </c>
      <c r="F4020" s="403" t="s">
        <v>1417</v>
      </c>
      <c r="G4020" s="403" t="s">
        <v>1466</v>
      </c>
      <c r="H4020" s="403" t="s">
        <v>1276</v>
      </c>
      <c r="I4020" s="403">
        <v>1</v>
      </c>
      <c r="J4020" s="403" t="s">
        <v>1416</v>
      </c>
      <c r="K4020" s="403">
        <v>3264</v>
      </c>
      <c r="L4020" s="403">
        <v>1840</v>
      </c>
      <c r="M4020" s="403" t="s">
        <v>1601</v>
      </c>
      <c r="N4020" s="403">
        <v>3264</v>
      </c>
      <c r="O4020" s="403">
        <v>1840</v>
      </c>
      <c r="P4020" t="str">
        <f t="shared" si="497"/>
        <v>25fps 3264x1840 - 3264x1840 @ SKIP3</v>
      </c>
      <c r="Q4020">
        <f t="shared" si="498"/>
        <v>20</v>
      </c>
      <c r="R4020" t="str">
        <f t="shared" si="499"/>
        <v/>
      </c>
      <c r="S4020" t="str">
        <f t="shared" si="500"/>
        <v/>
      </c>
      <c r="T4020" s="403" t="str">
        <f t="shared" si="501"/>
        <v>NDE-8503-RT</v>
      </c>
      <c r="U4020" s="403">
        <f t="shared" si="502"/>
        <v>1</v>
      </c>
      <c r="V4020" s="403" t="str">
        <f t="shared" si="503"/>
        <v>CPP_7_3</v>
      </c>
    </row>
    <row r="4021" spans="1:22">
      <c r="A4021" t="str">
        <f t="shared" si="496"/>
        <v>NDE-8503-RT</v>
      </c>
      <c r="B4021" s="403" t="s">
        <v>1410</v>
      </c>
      <c r="C4021" s="403" t="s">
        <v>582</v>
      </c>
      <c r="D4021" s="403" t="s">
        <v>1414</v>
      </c>
      <c r="E4021" s="403" t="s">
        <v>1413</v>
      </c>
      <c r="F4021" s="403" t="s">
        <v>1417</v>
      </c>
      <c r="G4021" s="403" t="s">
        <v>1466</v>
      </c>
      <c r="H4021" s="403" t="s">
        <v>1276</v>
      </c>
      <c r="I4021" s="403">
        <v>1</v>
      </c>
      <c r="J4021" s="403" t="s">
        <v>1416</v>
      </c>
      <c r="K4021" s="403">
        <v>3264</v>
      </c>
      <c r="L4021" s="403">
        <v>1840</v>
      </c>
      <c r="M4021" s="403" t="s">
        <v>1280</v>
      </c>
      <c r="N4021" s="403">
        <v>3264</v>
      </c>
      <c r="O4021" s="403">
        <v>1840</v>
      </c>
      <c r="P4021" t="str">
        <f t="shared" si="497"/>
        <v>25fps 3264x1840 - copy other stream</v>
      </c>
      <c r="Q4021">
        <f t="shared" si="498"/>
        <v>20</v>
      </c>
      <c r="R4021" t="str">
        <f t="shared" si="499"/>
        <v/>
      </c>
      <c r="S4021" t="str">
        <f t="shared" si="500"/>
        <v/>
      </c>
      <c r="T4021" s="403" t="str">
        <f t="shared" si="501"/>
        <v>NDE-8503-RT</v>
      </c>
      <c r="U4021" s="403">
        <f t="shared" si="502"/>
        <v>1</v>
      </c>
      <c r="V4021" s="403" t="str">
        <f t="shared" si="503"/>
        <v>CPP_7_3</v>
      </c>
    </row>
    <row r="4022" spans="1:22">
      <c r="A4022" t="str">
        <f t="shared" si="496"/>
        <v>NDE-8503-RT</v>
      </c>
      <c r="B4022" s="403" t="s">
        <v>1410</v>
      </c>
      <c r="C4022" s="403" t="s">
        <v>582</v>
      </c>
      <c r="D4022" s="403" t="s">
        <v>1414</v>
      </c>
      <c r="E4022" s="403" t="s">
        <v>1413</v>
      </c>
      <c r="F4022" s="403" t="s">
        <v>1417</v>
      </c>
      <c r="G4022" s="403" t="s">
        <v>1466</v>
      </c>
      <c r="H4022" s="403" t="s">
        <v>1276</v>
      </c>
      <c r="I4022" s="403">
        <v>1</v>
      </c>
      <c r="J4022" s="403" t="s">
        <v>1416</v>
      </c>
      <c r="K4022" s="403">
        <v>3264</v>
      </c>
      <c r="L4022" s="403">
        <v>1840</v>
      </c>
      <c r="M4022" s="403" t="s">
        <v>110</v>
      </c>
      <c r="N4022" s="403">
        <v>1920</v>
      </c>
      <c r="O4022" s="403">
        <v>1080</v>
      </c>
      <c r="P4022" t="str">
        <f t="shared" si="497"/>
        <v>25fps 3264x1840 - 1080p</v>
      </c>
      <c r="Q4022">
        <f t="shared" si="498"/>
        <v>20</v>
      </c>
      <c r="R4022" t="str">
        <f t="shared" si="499"/>
        <v/>
      </c>
      <c r="S4022" t="str">
        <f t="shared" si="500"/>
        <v/>
      </c>
      <c r="T4022" s="403" t="str">
        <f t="shared" si="501"/>
        <v>NDE-8503-RT</v>
      </c>
      <c r="U4022" s="403">
        <f t="shared" si="502"/>
        <v>1</v>
      </c>
      <c r="V4022" s="403" t="str">
        <f t="shared" si="503"/>
        <v>CPP_7_3</v>
      </c>
    </row>
    <row r="4023" spans="1:22">
      <c r="A4023" t="str">
        <f t="shared" si="496"/>
        <v>NDE-8503-RT</v>
      </c>
      <c r="B4023" s="403" t="s">
        <v>1410</v>
      </c>
      <c r="C4023" s="403" t="s">
        <v>582</v>
      </c>
      <c r="D4023" s="403" t="s">
        <v>1414</v>
      </c>
      <c r="E4023" s="403" t="s">
        <v>1413</v>
      </c>
      <c r="F4023" s="403" t="s">
        <v>1417</v>
      </c>
      <c r="G4023" s="403" t="s">
        <v>1466</v>
      </c>
      <c r="H4023" s="403" t="s">
        <v>1276</v>
      </c>
      <c r="I4023" s="403">
        <v>1</v>
      </c>
      <c r="J4023" s="403" t="s">
        <v>1416</v>
      </c>
      <c r="K4023" s="403">
        <v>3264</v>
      </c>
      <c r="L4023" s="403">
        <v>1840</v>
      </c>
      <c r="M4023" s="403" t="s">
        <v>109</v>
      </c>
      <c r="N4023" s="403">
        <v>1280</v>
      </c>
      <c r="O4023" s="403">
        <v>720</v>
      </c>
      <c r="P4023" t="str">
        <f t="shared" si="497"/>
        <v>25fps 3264x1840 - 720p</v>
      </c>
      <c r="Q4023">
        <f t="shared" si="498"/>
        <v>20</v>
      </c>
      <c r="R4023" t="str">
        <f t="shared" si="499"/>
        <v/>
      </c>
      <c r="S4023" t="str">
        <f t="shared" si="500"/>
        <v/>
      </c>
      <c r="T4023" s="403" t="str">
        <f t="shared" si="501"/>
        <v>NDE-8503-RT</v>
      </c>
      <c r="U4023" s="403">
        <f t="shared" si="502"/>
        <v>1</v>
      </c>
      <c r="V4023" s="403" t="str">
        <f t="shared" si="503"/>
        <v>CPP_7_3</v>
      </c>
    </row>
    <row r="4024" spans="1:22">
      <c r="A4024" t="str">
        <f t="shared" si="496"/>
        <v>NDE-8503-RT</v>
      </c>
      <c r="B4024" s="403" t="s">
        <v>1410</v>
      </c>
      <c r="C4024" s="403" t="s">
        <v>582</v>
      </c>
      <c r="D4024" s="403" t="s">
        <v>1414</v>
      </c>
      <c r="E4024" s="403" t="s">
        <v>1413</v>
      </c>
      <c r="F4024" s="403" t="s">
        <v>1417</v>
      </c>
      <c r="G4024" s="403" t="s">
        <v>1466</v>
      </c>
      <c r="H4024" s="403" t="s">
        <v>1276</v>
      </c>
      <c r="I4024" s="403">
        <v>1</v>
      </c>
      <c r="J4024" s="403" t="s">
        <v>1416</v>
      </c>
      <c r="K4024" s="403">
        <v>3264</v>
      </c>
      <c r="L4024" s="403">
        <v>1840</v>
      </c>
      <c r="M4024" s="403" t="s">
        <v>1283</v>
      </c>
      <c r="N4024" s="403">
        <v>720</v>
      </c>
      <c r="O4024" s="403">
        <v>576</v>
      </c>
      <c r="P4024" t="str">
        <f t="shared" si="497"/>
        <v>25fps 3264x1840 - SD 4CIF resolution 4:3 format (cropped)</v>
      </c>
      <c r="Q4024">
        <f t="shared" si="498"/>
        <v>20</v>
      </c>
      <c r="R4024" t="str">
        <f t="shared" si="499"/>
        <v/>
      </c>
      <c r="S4024" t="str">
        <f t="shared" si="500"/>
        <v/>
      </c>
      <c r="T4024" s="403" t="str">
        <f t="shared" si="501"/>
        <v>NDE-8503-RT</v>
      </c>
      <c r="U4024" s="403">
        <f t="shared" si="502"/>
        <v>1</v>
      </c>
      <c r="V4024" s="403" t="str">
        <f t="shared" si="503"/>
        <v>CPP_7_3</v>
      </c>
    </row>
    <row r="4025" spans="1:22">
      <c r="A4025" t="str">
        <f t="shared" si="496"/>
        <v>NDE-8503-RT</v>
      </c>
      <c r="B4025" s="403" t="s">
        <v>1410</v>
      </c>
      <c r="C4025" s="403" t="s">
        <v>582</v>
      </c>
      <c r="D4025" s="403" t="s">
        <v>1414</v>
      </c>
      <c r="E4025" s="403" t="s">
        <v>1413</v>
      </c>
      <c r="F4025" s="403" t="s">
        <v>1417</v>
      </c>
      <c r="G4025" s="403" t="s">
        <v>1466</v>
      </c>
      <c r="H4025" s="403" t="s">
        <v>1276</v>
      </c>
      <c r="I4025" s="403">
        <v>1</v>
      </c>
      <c r="J4025" s="403" t="s">
        <v>1416</v>
      </c>
      <c r="K4025" s="403">
        <v>3264</v>
      </c>
      <c r="L4025" s="403">
        <v>1840</v>
      </c>
      <c r="M4025" s="403" t="s">
        <v>1279</v>
      </c>
      <c r="N4025" s="403">
        <v>768</v>
      </c>
      <c r="O4025" s="403">
        <v>432</v>
      </c>
      <c r="P4025" t="str">
        <f t="shared" si="497"/>
        <v>25fps 3264x1840 - SD ROI PTZ</v>
      </c>
      <c r="Q4025">
        <f t="shared" si="498"/>
        <v>20</v>
      </c>
      <c r="R4025" t="str">
        <f t="shared" si="499"/>
        <v/>
      </c>
      <c r="S4025" t="str">
        <f t="shared" si="500"/>
        <v/>
      </c>
      <c r="T4025" s="403" t="str">
        <f t="shared" si="501"/>
        <v>NDE-8503-RT</v>
      </c>
      <c r="U4025" s="403">
        <f t="shared" si="502"/>
        <v>1</v>
      </c>
      <c r="V4025" s="403" t="str">
        <f t="shared" si="503"/>
        <v>CPP_7_3</v>
      </c>
    </row>
    <row r="4026" spans="1:22">
      <c r="A4026" t="str">
        <f t="shared" si="496"/>
        <v>NDE-8503-RT</v>
      </c>
      <c r="B4026" s="403" t="s">
        <v>1410</v>
      </c>
      <c r="C4026" s="403" t="s">
        <v>582</v>
      </c>
      <c r="D4026" s="403" t="s">
        <v>1414</v>
      </c>
      <c r="E4026" s="403" t="s">
        <v>1413</v>
      </c>
      <c r="F4026" s="403" t="s">
        <v>1417</v>
      </c>
      <c r="G4026" s="403" t="s">
        <v>1466</v>
      </c>
      <c r="H4026" s="403" t="s">
        <v>1276</v>
      </c>
      <c r="I4026" s="403">
        <v>1</v>
      </c>
      <c r="J4026" s="403" t="s">
        <v>1416</v>
      </c>
      <c r="K4026" s="403">
        <v>3264</v>
      </c>
      <c r="L4026" s="403">
        <v>1840</v>
      </c>
      <c r="M4026" s="403" t="s">
        <v>1284</v>
      </c>
      <c r="N4026" s="403">
        <v>640</v>
      </c>
      <c r="O4026" s="403">
        <v>480</v>
      </c>
      <c r="P4026" t="str">
        <f t="shared" si="497"/>
        <v>25fps 3264x1840 - SD VGA (cropped)</v>
      </c>
      <c r="Q4026">
        <f t="shared" si="498"/>
        <v>20</v>
      </c>
      <c r="R4026" t="str">
        <f t="shared" si="499"/>
        <v/>
      </c>
      <c r="S4026" t="str">
        <f t="shared" si="500"/>
        <v/>
      </c>
      <c r="T4026" s="403" t="str">
        <f t="shared" si="501"/>
        <v>NDE-8503-RT</v>
      </c>
      <c r="U4026" s="403">
        <f t="shared" si="502"/>
        <v>1</v>
      </c>
      <c r="V4026" s="403" t="str">
        <f t="shared" si="503"/>
        <v>CPP_7_3</v>
      </c>
    </row>
    <row r="4027" spans="1:22">
      <c r="A4027" t="str">
        <f t="shared" si="496"/>
        <v>NDE-8503-RT</v>
      </c>
      <c r="B4027" s="403" t="s">
        <v>1410</v>
      </c>
      <c r="C4027" s="403" t="s">
        <v>582</v>
      </c>
      <c r="D4027" s="403" t="s">
        <v>1414</v>
      </c>
      <c r="E4027" s="403" t="s">
        <v>1413</v>
      </c>
      <c r="F4027" s="403" t="s">
        <v>1417</v>
      </c>
      <c r="G4027" s="403" t="s">
        <v>1466</v>
      </c>
      <c r="H4027" s="403" t="s">
        <v>1276</v>
      </c>
      <c r="I4027" s="403">
        <v>1</v>
      </c>
      <c r="J4027" s="403" t="s">
        <v>1416</v>
      </c>
      <c r="K4027" s="403">
        <v>3264</v>
      </c>
      <c r="L4027" s="403">
        <v>1840</v>
      </c>
      <c r="M4027" s="403" t="s">
        <v>1285</v>
      </c>
      <c r="N4027" s="403">
        <v>1280</v>
      </c>
      <c r="O4027" s="403">
        <v>1024</v>
      </c>
      <c r="P4027" t="str">
        <f t="shared" si="497"/>
        <v>25fps 3264x1840 - 1280x1024 5:4 (cropped)</v>
      </c>
      <c r="Q4027">
        <f t="shared" si="498"/>
        <v>20</v>
      </c>
      <c r="R4027" t="str">
        <f t="shared" si="499"/>
        <v/>
      </c>
      <c r="S4027" t="str">
        <f t="shared" si="500"/>
        <v/>
      </c>
      <c r="T4027" s="403" t="str">
        <f t="shared" si="501"/>
        <v>NDE-8503-RT</v>
      </c>
      <c r="U4027" s="403">
        <f t="shared" si="502"/>
        <v>1</v>
      </c>
      <c r="V4027" s="403" t="str">
        <f t="shared" si="503"/>
        <v>CPP_7_3</v>
      </c>
    </row>
    <row r="4028" spans="1:22">
      <c r="A4028" t="str">
        <f t="shared" si="496"/>
        <v>NDE-8503-RT</v>
      </c>
      <c r="B4028" s="403" t="s">
        <v>1410</v>
      </c>
      <c r="C4028" s="403" t="s">
        <v>582</v>
      </c>
      <c r="D4028" s="403" t="s">
        <v>1414</v>
      </c>
      <c r="E4028" s="403" t="s">
        <v>1413</v>
      </c>
      <c r="F4028" s="403" t="s">
        <v>1417</v>
      </c>
      <c r="G4028" s="403" t="s">
        <v>1466</v>
      </c>
      <c r="H4028" s="403" t="s">
        <v>1276</v>
      </c>
      <c r="I4028" s="403">
        <v>1</v>
      </c>
      <c r="J4028" s="403" t="s">
        <v>1416</v>
      </c>
      <c r="K4028" s="403">
        <v>3264</v>
      </c>
      <c r="L4028" s="403">
        <v>1840</v>
      </c>
      <c r="M4028" s="403" t="s">
        <v>1383</v>
      </c>
      <c r="N4028" s="403">
        <v>1920</v>
      </c>
      <c r="O4028" s="403">
        <v>1440</v>
      </c>
      <c r="P4028" t="str">
        <f t="shared" si="497"/>
        <v>25fps 3264x1840 - 1920x1440_CROP</v>
      </c>
      <c r="Q4028">
        <f t="shared" si="498"/>
        <v>20</v>
      </c>
      <c r="R4028" t="str">
        <f t="shared" si="499"/>
        <v/>
      </c>
      <c r="S4028" t="str">
        <f t="shared" si="500"/>
        <v/>
      </c>
      <c r="T4028" s="403" t="str">
        <f t="shared" si="501"/>
        <v>NDE-8503-RT</v>
      </c>
      <c r="U4028" s="403">
        <f t="shared" si="502"/>
        <v>1</v>
      </c>
      <c r="V4028" s="403" t="str">
        <f t="shared" si="503"/>
        <v>CPP_7_3</v>
      </c>
    </row>
    <row r="4029" spans="1:22">
      <c r="A4029" t="str">
        <f t="shared" si="496"/>
        <v>NDE-8503-RT</v>
      </c>
      <c r="B4029" s="403" t="s">
        <v>1410</v>
      </c>
      <c r="C4029" s="403" t="s">
        <v>582</v>
      </c>
      <c r="D4029" s="403" t="s">
        <v>1414</v>
      </c>
      <c r="E4029" s="403" t="s">
        <v>1413</v>
      </c>
      <c r="F4029" s="403" t="s">
        <v>1417</v>
      </c>
      <c r="G4029" s="403" t="s">
        <v>1466</v>
      </c>
      <c r="H4029" s="403" t="s">
        <v>1281</v>
      </c>
      <c r="I4029" s="403">
        <v>1</v>
      </c>
      <c r="J4029" s="403" t="s">
        <v>1416</v>
      </c>
      <c r="K4029" s="403">
        <v>3264</v>
      </c>
      <c r="L4029" s="403">
        <v>1840</v>
      </c>
      <c r="M4029" s="403" t="s">
        <v>111</v>
      </c>
      <c r="N4029" s="403">
        <v>768</v>
      </c>
      <c r="O4029" s="403">
        <v>432</v>
      </c>
      <c r="P4029" t="str">
        <f t="shared" si="497"/>
        <v>25fps 3264x1840 - SD</v>
      </c>
      <c r="Q4029">
        <f t="shared" si="498"/>
        <v>20</v>
      </c>
      <c r="R4029" t="str">
        <f t="shared" si="499"/>
        <v/>
      </c>
      <c r="S4029" t="str">
        <f t="shared" si="500"/>
        <v/>
      </c>
      <c r="T4029" s="403" t="str">
        <f t="shared" si="501"/>
        <v>NDE-8503-RT</v>
      </c>
      <c r="U4029" s="403">
        <f t="shared" si="502"/>
        <v>1</v>
      </c>
      <c r="V4029" s="403" t="str">
        <f t="shared" si="503"/>
        <v>CPP_7_3</v>
      </c>
    </row>
    <row r="4030" spans="1:22">
      <c r="A4030" t="str">
        <f t="shared" si="496"/>
        <v>NDE-8503-RT</v>
      </c>
      <c r="B4030" s="403" t="s">
        <v>1410</v>
      </c>
      <c r="C4030" s="403" t="s">
        <v>582</v>
      </c>
      <c r="D4030" s="403" t="s">
        <v>1414</v>
      </c>
      <c r="E4030" s="403" t="s">
        <v>1413</v>
      </c>
      <c r="F4030" s="403" t="s">
        <v>1417</v>
      </c>
      <c r="G4030" s="403" t="s">
        <v>1466</v>
      </c>
      <c r="H4030" s="403" t="s">
        <v>1281</v>
      </c>
      <c r="I4030" s="403">
        <v>1</v>
      </c>
      <c r="J4030" s="403" t="s">
        <v>1416</v>
      </c>
      <c r="K4030" s="403">
        <v>3264</v>
      </c>
      <c r="L4030" s="403">
        <v>1840</v>
      </c>
      <c r="M4030" s="403" t="s">
        <v>1601</v>
      </c>
      <c r="N4030" s="403">
        <v>3264</v>
      </c>
      <c r="O4030" s="403">
        <v>1840</v>
      </c>
      <c r="P4030" t="str">
        <f t="shared" si="497"/>
        <v>25fps 3264x1840 - 3264x1840 @ SKIP3</v>
      </c>
      <c r="Q4030">
        <f t="shared" si="498"/>
        <v>20</v>
      </c>
      <c r="R4030" t="str">
        <f t="shared" si="499"/>
        <v/>
      </c>
      <c r="S4030" t="str">
        <f t="shared" si="500"/>
        <v/>
      </c>
      <c r="T4030" s="403" t="str">
        <f t="shared" si="501"/>
        <v>NDE-8503-RT</v>
      </c>
      <c r="U4030" s="403">
        <f t="shared" si="502"/>
        <v>1</v>
      </c>
      <c r="V4030" s="403" t="str">
        <f t="shared" si="503"/>
        <v>CPP_7_3</v>
      </c>
    </row>
    <row r="4031" spans="1:22">
      <c r="A4031" t="str">
        <f t="shared" si="496"/>
        <v>NDE-8503-RT</v>
      </c>
      <c r="B4031" s="403" t="s">
        <v>1410</v>
      </c>
      <c r="C4031" s="403" t="s">
        <v>582</v>
      </c>
      <c r="D4031" s="403" t="s">
        <v>1414</v>
      </c>
      <c r="E4031" s="403" t="s">
        <v>1413</v>
      </c>
      <c r="F4031" s="403" t="s">
        <v>1417</v>
      </c>
      <c r="G4031" s="403" t="s">
        <v>1466</v>
      </c>
      <c r="H4031" s="403" t="s">
        <v>1281</v>
      </c>
      <c r="I4031" s="403">
        <v>1</v>
      </c>
      <c r="J4031" s="403" t="s">
        <v>1416</v>
      </c>
      <c r="K4031" s="403">
        <v>3264</v>
      </c>
      <c r="L4031" s="403">
        <v>1840</v>
      </c>
      <c r="M4031" s="403" t="s">
        <v>1280</v>
      </c>
      <c r="N4031" s="403">
        <v>3264</v>
      </c>
      <c r="O4031" s="403">
        <v>1840</v>
      </c>
      <c r="P4031" t="str">
        <f t="shared" si="497"/>
        <v>25fps 3264x1840 - copy other stream</v>
      </c>
      <c r="Q4031">
        <f t="shared" si="498"/>
        <v>20</v>
      </c>
      <c r="R4031" t="str">
        <f t="shared" si="499"/>
        <v/>
      </c>
      <c r="S4031" t="str">
        <f t="shared" si="500"/>
        <v/>
      </c>
      <c r="T4031" s="403" t="str">
        <f t="shared" si="501"/>
        <v>NDE-8503-RT</v>
      </c>
      <c r="U4031" s="403">
        <f t="shared" si="502"/>
        <v>1</v>
      </c>
      <c r="V4031" s="403" t="str">
        <f t="shared" si="503"/>
        <v>CPP_7_3</v>
      </c>
    </row>
    <row r="4032" spans="1:22">
      <c r="A4032" t="str">
        <f t="shared" si="496"/>
        <v>NDE-8503-RT</v>
      </c>
      <c r="B4032" s="403" t="s">
        <v>1410</v>
      </c>
      <c r="C4032" s="403" t="s">
        <v>582</v>
      </c>
      <c r="D4032" s="403" t="s">
        <v>1414</v>
      </c>
      <c r="E4032" s="403" t="s">
        <v>1413</v>
      </c>
      <c r="F4032" s="403" t="s">
        <v>1417</v>
      </c>
      <c r="G4032" s="403" t="s">
        <v>1466</v>
      </c>
      <c r="H4032" s="403" t="s">
        <v>1281</v>
      </c>
      <c r="I4032" s="403">
        <v>1</v>
      </c>
      <c r="J4032" s="403" t="s">
        <v>1416</v>
      </c>
      <c r="K4032" s="403">
        <v>3264</v>
      </c>
      <c r="L4032" s="403">
        <v>1840</v>
      </c>
      <c r="M4032" s="403" t="s">
        <v>110</v>
      </c>
      <c r="N4032" s="403">
        <v>1920</v>
      </c>
      <c r="O4032" s="403">
        <v>1080</v>
      </c>
      <c r="P4032" t="str">
        <f t="shared" si="497"/>
        <v>25fps 3264x1840 - 1080p</v>
      </c>
      <c r="Q4032">
        <f t="shared" si="498"/>
        <v>20</v>
      </c>
      <c r="R4032" t="str">
        <f t="shared" si="499"/>
        <v/>
      </c>
      <c r="S4032" t="str">
        <f t="shared" si="500"/>
        <v/>
      </c>
      <c r="T4032" s="403" t="str">
        <f t="shared" si="501"/>
        <v>NDE-8503-RT</v>
      </c>
      <c r="U4032" s="403">
        <f t="shared" si="502"/>
        <v>1</v>
      </c>
      <c r="V4032" s="403" t="str">
        <f t="shared" si="503"/>
        <v>CPP_7_3</v>
      </c>
    </row>
    <row r="4033" spans="1:22">
      <c r="A4033" t="str">
        <f t="shared" si="496"/>
        <v>NDE-8503-RT</v>
      </c>
      <c r="B4033" s="403" t="s">
        <v>1410</v>
      </c>
      <c r="C4033" s="403" t="s">
        <v>582</v>
      </c>
      <c r="D4033" s="403" t="s">
        <v>1414</v>
      </c>
      <c r="E4033" s="403" t="s">
        <v>1413</v>
      </c>
      <c r="F4033" s="403" t="s">
        <v>1417</v>
      </c>
      <c r="G4033" s="403" t="s">
        <v>1466</v>
      </c>
      <c r="H4033" s="403" t="s">
        <v>1281</v>
      </c>
      <c r="I4033" s="403">
        <v>1</v>
      </c>
      <c r="J4033" s="403" t="s">
        <v>1416</v>
      </c>
      <c r="K4033" s="403">
        <v>3264</v>
      </c>
      <c r="L4033" s="403">
        <v>1840</v>
      </c>
      <c r="M4033" s="403" t="s">
        <v>109</v>
      </c>
      <c r="N4033" s="403">
        <v>1280</v>
      </c>
      <c r="O4033" s="403">
        <v>720</v>
      </c>
      <c r="P4033" t="str">
        <f t="shared" si="497"/>
        <v>25fps 3264x1840 - 720p</v>
      </c>
      <c r="Q4033">
        <f t="shared" si="498"/>
        <v>20</v>
      </c>
      <c r="R4033" t="str">
        <f t="shared" si="499"/>
        <v/>
      </c>
      <c r="S4033" t="str">
        <f t="shared" si="500"/>
        <v/>
      </c>
      <c r="T4033" s="403" t="str">
        <f t="shared" si="501"/>
        <v>NDE-8503-RT</v>
      </c>
      <c r="U4033" s="403">
        <f t="shared" si="502"/>
        <v>1</v>
      </c>
      <c r="V4033" s="403" t="str">
        <f t="shared" si="503"/>
        <v>CPP_7_3</v>
      </c>
    </row>
    <row r="4034" spans="1:22">
      <c r="A4034" t="str">
        <f t="shared" ref="A4034:A4097" si="504">IF(AND(G4034&lt;&gt;"rotate 90°"),D4034,"")</f>
        <v>NDE-8503-RT</v>
      </c>
      <c r="B4034" s="403" t="s">
        <v>1410</v>
      </c>
      <c r="C4034" s="403" t="s">
        <v>582</v>
      </c>
      <c r="D4034" s="403" t="s">
        <v>1414</v>
      </c>
      <c r="E4034" s="403" t="s">
        <v>1413</v>
      </c>
      <c r="F4034" s="403" t="s">
        <v>1417</v>
      </c>
      <c r="G4034" s="403" t="s">
        <v>1466</v>
      </c>
      <c r="H4034" s="403" t="s">
        <v>1281</v>
      </c>
      <c r="I4034" s="403">
        <v>1</v>
      </c>
      <c r="J4034" s="403" t="s">
        <v>1416</v>
      </c>
      <c r="K4034" s="403">
        <v>3264</v>
      </c>
      <c r="L4034" s="403">
        <v>1840</v>
      </c>
      <c r="M4034" s="403" t="s">
        <v>1283</v>
      </c>
      <c r="N4034" s="403">
        <v>720</v>
      </c>
      <c r="O4034" s="403">
        <v>576</v>
      </c>
      <c r="P4034" t="str">
        <f t="shared" ref="P4034:P4097" si="505">LEFT(F4034,5)&amp;" "&amp;J4034&amp;" - "&amp;M4034</f>
        <v>25fps 3264x1840 - SD 4CIF resolution 4:3 format (cropped)</v>
      </c>
      <c r="Q4034">
        <f t="shared" ref="Q4034:Q4097" si="506">IF(A4033=A4034,Q4033,Q4033+1)</f>
        <v>20</v>
      </c>
      <c r="R4034" t="str">
        <f t="shared" ref="R4034:R4097" si="507">IF(Q4033&lt;&gt;Q4034,Q4034,"")</f>
        <v/>
      </c>
      <c r="S4034" t="str">
        <f t="shared" ref="S4034:S4097" si="508">IF(R4034&lt;&gt;"",B4034&amp;" ("&amp;D4034&amp;")","")</f>
        <v/>
      </c>
      <c r="T4034" s="403" t="str">
        <f t="shared" ref="T4034:T4097" si="509">D4034</f>
        <v>NDE-8503-RT</v>
      </c>
      <c r="U4034" s="403">
        <f t="shared" ref="U4034:U4097" si="510">I4034</f>
        <v>1</v>
      </c>
      <c r="V4034" s="403" t="str">
        <f t="shared" ref="V4034:V4097" si="511">C4034</f>
        <v>CPP_7_3</v>
      </c>
    </row>
    <row r="4035" spans="1:22">
      <c r="A4035" t="str">
        <f t="shared" si="504"/>
        <v>NDE-8503-RT</v>
      </c>
      <c r="B4035" s="403" t="s">
        <v>1410</v>
      </c>
      <c r="C4035" s="403" t="s">
        <v>582</v>
      </c>
      <c r="D4035" s="403" t="s">
        <v>1414</v>
      </c>
      <c r="E4035" s="403" t="s">
        <v>1413</v>
      </c>
      <c r="F4035" s="403" t="s">
        <v>1417</v>
      </c>
      <c r="G4035" s="403" t="s">
        <v>1466</v>
      </c>
      <c r="H4035" s="403" t="s">
        <v>1281</v>
      </c>
      <c r="I4035" s="403">
        <v>1</v>
      </c>
      <c r="J4035" s="403" t="s">
        <v>1416</v>
      </c>
      <c r="K4035" s="403">
        <v>3264</v>
      </c>
      <c r="L4035" s="403">
        <v>1840</v>
      </c>
      <c r="M4035" s="403" t="s">
        <v>1279</v>
      </c>
      <c r="N4035" s="403">
        <v>768</v>
      </c>
      <c r="O4035" s="403">
        <v>432</v>
      </c>
      <c r="P4035" t="str">
        <f t="shared" si="505"/>
        <v>25fps 3264x1840 - SD ROI PTZ</v>
      </c>
      <c r="Q4035">
        <f t="shared" si="506"/>
        <v>20</v>
      </c>
      <c r="R4035" t="str">
        <f t="shared" si="507"/>
        <v/>
      </c>
      <c r="S4035" t="str">
        <f t="shared" si="508"/>
        <v/>
      </c>
      <c r="T4035" s="403" t="str">
        <f t="shared" si="509"/>
        <v>NDE-8503-RT</v>
      </c>
      <c r="U4035" s="403">
        <f t="shared" si="510"/>
        <v>1</v>
      </c>
      <c r="V4035" s="403" t="str">
        <f t="shared" si="511"/>
        <v>CPP_7_3</v>
      </c>
    </row>
    <row r="4036" spans="1:22">
      <c r="A4036" t="str">
        <f t="shared" si="504"/>
        <v>NDE-8503-RT</v>
      </c>
      <c r="B4036" s="403" t="s">
        <v>1410</v>
      </c>
      <c r="C4036" s="403" t="s">
        <v>582</v>
      </c>
      <c r="D4036" s="403" t="s">
        <v>1414</v>
      </c>
      <c r="E4036" s="403" t="s">
        <v>1413</v>
      </c>
      <c r="F4036" s="403" t="s">
        <v>1417</v>
      </c>
      <c r="G4036" s="403" t="s">
        <v>1466</v>
      </c>
      <c r="H4036" s="403" t="s">
        <v>1281</v>
      </c>
      <c r="I4036" s="403">
        <v>1</v>
      </c>
      <c r="J4036" s="403" t="s">
        <v>1416</v>
      </c>
      <c r="K4036" s="403">
        <v>3264</v>
      </c>
      <c r="L4036" s="403">
        <v>1840</v>
      </c>
      <c r="M4036" s="403" t="s">
        <v>1284</v>
      </c>
      <c r="N4036" s="403">
        <v>640</v>
      </c>
      <c r="O4036" s="403">
        <v>480</v>
      </c>
      <c r="P4036" t="str">
        <f t="shared" si="505"/>
        <v>25fps 3264x1840 - SD VGA (cropped)</v>
      </c>
      <c r="Q4036">
        <f t="shared" si="506"/>
        <v>20</v>
      </c>
      <c r="R4036" t="str">
        <f t="shared" si="507"/>
        <v/>
      </c>
      <c r="S4036" t="str">
        <f t="shared" si="508"/>
        <v/>
      </c>
      <c r="T4036" s="403" t="str">
        <f t="shared" si="509"/>
        <v>NDE-8503-RT</v>
      </c>
      <c r="U4036" s="403">
        <f t="shared" si="510"/>
        <v>1</v>
      </c>
      <c r="V4036" s="403" t="str">
        <f t="shared" si="511"/>
        <v>CPP_7_3</v>
      </c>
    </row>
    <row r="4037" spans="1:22">
      <c r="A4037" t="str">
        <f t="shared" si="504"/>
        <v>NDE-8503-RT</v>
      </c>
      <c r="B4037" s="403" t="s">
        <v>1410</v>
      </c>
      <c r="C4037" s="403" t="s">
        <v>582</v>
      </c>
      <c r="D4037" s="403" t="s">
        <v>1414</v>
      </c>
      <c r="E4037" s="403" t="s">
        <v>1413</v>
      </c>
      <c r="F4037" s="403" t="s">
        <v>1417</v>
      </c>
      <c r="G4037" s="403" t="s">
        <v>1466</v>
      </c>
      <c r="H4037" s="403" t="s">
        <v>1281</v>
      </c>
      <c r="I4037" s="403">
        <v>1</v>
      </c>
      <c r="J4037" s="403" t="s">
        <v>1416</v>
      </c>
      <c r="K4037" s="403">
        <v>3264</v>
      </c>
      <c r="L4037" s="403">
        <v>1840</v>
      </c>
      <c r="M4037" s="403" t="s">
        <v>1285</v>
      </c>
      <c r="N4037" s="403">
        <v>1280</v>
      </c>
      <c r="O4037" s="403">
        <v>1024</v>
      </c>
      <c r="P4037" t="str">
        <f t="shared" si="505"/>
        <v>25fps 3264x1840 - 1280x1024 5:4 (cropped)</v>
      </c>
      <c r="Q4037">
        <f t="shared" si="506"/>
        <v>20</v>
      </c>
      <c r="R4037" t="str">
        <f t="shared" si="507"/>
        <v/>
      </c>
      <c r="S4037" t="str">
        <f t="shared" si="508"/>
        <v/>
      </c>
      <c r="T4037" s="403" t="str">
        <f t="shared" si="509"/>
        <v>NDE-8503-RT</v>
      </c>
      <c r="U4037" s="403">
        <f t="shared" si="510"/>
        <v>1</v>
      </c>
      <c r="V4037" s="403" t="str">
        <f t="shared" si="511"/>
        <v>CPP_7_3</v>
      </c>
    </row>
    <row r="4038" spans="1:22">
      <c r="A4038" t="str">
        <f t="shared" si="504"/>
        <v>NDE-8503-RT</v>
      </c>
      <c r="B4038" s="403" t="s">
        <v>1410</v>
      </c>
      <c r="C4038" s="403" t="s">
        <v>582</v>
      </c>
      <c r="D4038" s="403" t="s">
        <v>1414</v>
      </c>
      <c r="E4038" s="403" t="s">
        <v>1413</v>
      </c>
      <c r="F4038" s="403" t="s">
        <v>1417</v>
      </c>
      <c r="G4038" s="403" t="s">
        <v>1466</v>
      </c>
      <c r="H4038" s="403" t="s">
        <v>1281</v>
      </c>
      <c r="I4038" s="403">
        <v>1</v>
      </c>
      <c r="J4038" s="403" t="s">
        <v>1416</v>
      </c>
      <c r="K4038" s="403">
        <v>3264</v>
      </c>
      <c r="L4038" s="403">
        <v>1840</v>
      </c>
      <c r="M4038" s="403" t="s">
        <v>1383</v>
      </c>
      <c r="N4038" s="403">
        <v>1920</v>
      </c>
      <c r="O4038" s="403">
        <v>1440</v>
      </c>
      <c r="P4038" t="str">
        <f t="shared" si="505"/>
        <v>25fps 3264x1840 - 1920x1440_CROP</v>
      </c>
      <c r="Q4038">
        <f t="shared" si="506"/>
        <v>20</v>
      </c>
      <c r="R4038" t="str">
        <f t="shared" si="507"/>
        <v/>
      </c>
      <c r="S4038" t="str">
        <f t="shared" si="508"/>
        <v/>
      </c>
      <c r="T4038" s="403" t="str">
        <f t="shared" si="509"/>
        <v>NDE-8503-RT</v>
      </c>
      <c r="U4038" s="403">
        <f t="shared" si="510"/>
        <v>1</v>
      </c>
      <c r="V4038" s="403" t="str">
        <f t="shared" si="511"/>
        <v>CPP_7_3</v>
      </c>
    </row>
    <row r="4039" spans="1:22">
      <c r="A4039" t="str">
        <f t="shared" si="504"/>
        <v>NDE-8503-RT</v>
      </c>
      <c r="B4039" s="403" t="s">
        <v>1410</v>
      </c>
      <c r="C4039" s="403" t="s">
        <v>582</v>
      </c>
      <c r="D4039" s="403" t="s">
        <v>1414</v>
      </c>
      <c r="E4039" s="403" t="s">
        <v>1413</v>
      </c>
      <c r="F4039" s="403" t="s">
        <v>1417</v>
      </c>
      <c r="G4039" s="403" t="s">
        <v>1467</v>
      </c>
      <c r="H4039" s="403" t="s">
        <v>1276</v>
      </c>
      <c r="I4039" s="403">
        <v>1</v>
      </c>
      <c r="J4039" s="403" t="s">
        <v>1416</v>
      </c>
      <c r="K4039" s="403">
        <v>1840</v>
      </c>
      <c r="L4039" s="403">
        <v>3264</v>
      </c>
      <c r="M4039" s="403" t="s">
        <v>111</v>
      </c>
      <c r="N4039" s="403">
        <v>432</v>
      </c>
      <c r="O4039" s="403">
        <v>768</v>
      </c>
      <c r="P4039" t="str">
        <f t="shared" si="505"/>
        <v>25fps 3264x1840 - SD</v>
      </c>
      <c r="Q4039">
        <f t="shared" si="506"/>
        <v>20</v>
      </c>
      <c r="R4039" t="str">
        <f t="shared" si="507"/>
        <v/>
      </c>
      <c r="S4039" t="str">
        <f t="shared" si="508"/>
        <v/>
      </c>
      <c r="T4039" s="403" t="str">
        <f t="shared" si="509"/>
        <v>NDE-8503-RT</v>
      </c>
      <c r="U4039" s="403">
        <f t="shared" si="510"/>
        <v>1</v>
      </c>
      <c r="V4039" s="403" t="str">
        <f t="shared" si="511"/>
        <v>CPP_7_3</v>
      </c>
    </row>
    <row r="4040" spans="1:22">
      <c r="A4040" t="str">
        <f t="shared" si="504"/>
        <v>NDE-8503-RT</v>
      </c>
      <c r="B4040" s="403" t="s">
        <v>1410</v>
      </c>
      <c r="C4040" s="403" t="s">
        <v>582</v>
      </c>
      <c r="D4040" s="403" t="s">
        <v>1414</v>
      </c>
      <c r="E4040" s="403" t="s">
        <v>1413</v>
      </c>
      <c r="F4040" s="403" t="s">
        <v>1417</v>
      </c>
      <c r="G4040" s="403" t="s">
        <v>1467</v>
      </c>
      <c r="H4040" s="403" t="s">
        <v>1276</v>
      </c>
      <c r="I4040" s="403">
        <v>1</v>
      </c>
      <c r="J4040" s="403" t="s">
        <v>1416</v>
      </c>
      <c r="K4040" s="403">
        <v>1840</v>
      </c>
      <c r="L4040" s="403">
        <v>3264</v>
      </c>
      <c r="M4040" s="403" t="s">
        <v>1601</v>
      </c>
      <c r="N4040" s="403">
        <v>1840</v>
      </c>
      <c r="O4040" s="403">
        <v>3264</v>
      </c>
      <c r="P4040" t="str">
        <f t="shared" si="505"/>
        <v>25fps 3264x1840 - 3264x1840 @ SKIP3</v>
      </c>
      <c r="Q4040">
        <f t="shared" si="506"/>
        <v>20</v>
      </c>
      <c r="R4040" t="str">
        <f t="shared" si="507"/>
        <v/>
      </c>
      <c r="S4040" t="str">
        <f t="shared" si="508"/>
        <v/>
      </c>
      <c r="T4040" s="403" t="str">
        <f t="shared" si="509"/>
        <v>NDE-8503-RT</v>
      </c>
      <c r="U4040" s="403">
        <f t="shared" si="510"/>
        <v>1</v>
      </c>
      <c r="V4040" s="403" t="str">
        <f t="shared" si="511"/>
        <v>CPP_7_3</v>
      </c>
    </row>
    <row r="4041" spans="1:22">
      <c r="A4041" t="str">
        <f t="shared" si="504"/>
        <v>NDE-8503-RT</v>
      </c>
      <c r="B4041" s="403" t="s">
        <v>1410</v>
      </c>
      <c r="C4041" s="403" t="s">
        <v>582</v>
      </c>
      <c r="D4041" s="403" t="s">
        <v>1414</v>
      </c>
      <c r="E4041" s="403" t="s">
        <v>1413</v>
      </c>
      <c r="F4041" s="403" t="s">
        <v>1417</v>
      </c>
      <c r="G4041" s="403" t="s">
        <v>1467</v>
      </c>
      <c r="H4041" s="403" t="s">
        <v>1276</v>
      </c>
      <c r="I4041" s="403">
        <v>1</v>
      </c>
      <c r="J4041" s="403" t="s">
        <v>1416</v>
      </c>
      <c r="K4041" s="403">
        <v>1840</v>
      </c>
      <c r="L4041" s="403">
        <v>3264</v>
      </c>
      <c r="M4041" s="403" t="s">
        <v>1280</v>
      </c>
      <c r="N4041" s="403">
        <v>1840</v>
      </c>
      <c r="O4041" s="403">
        <v>3264</v>
      </c>
      <c r="P4041" t="str">
        <f t="shared" si="505"/>
        <v>25fps 3264x1840 - copy other stream</v>
      </c>
      <c r="Q4041">
        <f t="shared" si="506"/>
        <v>20</v>
      </c>
      <c r="R4041" t="str">
        <f t="shared" si="507"/>
        <v/>
      </c>
      <c r="S4041" t="str">
        <f t="shared" si="508"/>
        <v/>
      </c>
      <c r="T4041" s="403" t="str">
        <f t="shared" si="509"/>
        <v>NDE-8503-RT</v>
      </c>
      <c r="U4041" s="403">
        <f t="shared" si="510"/>
        <v>1</v>
      </c>
      <c r="V4041" s="403" t="str">
        <f t="shared" si="511"/>
        <v>CPP_7_3</v>
      </c>
    </row>
    <row r="4042" spans="1:22">
      <c r="A4042" t="str">
        <f t="shared" si="504"/>
        <v>NDE-8503-RT</v>
      </c>
      <c r="B4042" s="403" t="s">
        <v>1410</v>
      </c>
      <c r="C4042" s="403" t="s">
        <v>582</v>
      </c>
      <c r="D4042" s="403" t="s">
        <v>1414</v>
      </c>
      <c r="E4042" s="403" t="s">
        <v>1413</v>
      </c>
      <c r="F4042" s="403" t="s">
        <v>1417</v>
      </c>
      <c r="G4042" s="403" t="s">
        <v>1467</v>
      </c>
      <c r="H4042" s="403" t="s">
        <v>1276</v>
      </c>
      <c r="I4042" s="403">
        <v>1</v>
      </c>
      <c r="J4042" s="403" t="s">
        <v>1416</v>
      </c>
      <c r="K4042" s="403">
        <v>1840</v>
      </c>
      <c r="L4042" s="403">
        <v>3264</v>
      </c>
      <c r="M4042" s="403" t="s">
        <v>110</v>
      </c>
      <c r="N4042" s="403">
        <v>1080</v>
      </c>
      <c r="O4042" s="403">
        <v>1920</v>
      </c>
      <c r="P4042" t="str">
        <f t="shared" si="505"/>
        <v>25fps 3264x1840 - 1080p</v>
      </c>
      <c r="Q4042">
        <f t="shared" si="506"/>
        <v>20</v>
      </c>
      <c r="R4042" t="str">
        <f t="shared" si="507"/>
        <v/>
      </c>
      <c r="S4042" t="str">
        <f t="shared" si="508"/>
        <v/>
      </c>
      <c r="T4042" s="403" t="str">
        <f t="shared" si="509"/>
        <v>NDE-8503-RT</v>
      </c>
      <c r="U4042" s="403">
        <f t="shared" si="510"/>
        <v>1</v>
      </c>
      <c r="V4042" s="403" t="str">
        <f t="shared" si="511"/>
        <v>CPP_7_3</v>
      </c>
    </row>
    <row r="4043" spans="1:22">
      <c r="A4043" t="str">
        <f t="shared" si="504"/>
        <v>NDE-8503-RT</v>
      </c>
      <c r="B4043" s="403" t="s">
        <v>1410</v>
      </c>
      <c r="C4043" s="403" t="s">
        <v>582</v>
      </c>
      <c r="D4043" s="403" t="s">
        <v>1414</v>
      </c>
      <c r="E4043" s="403" t="s">
        <v>1413</v>
      </c>
      <c r="F4043" s="403" t="s">
        <v>1417</v>
      </c>
      <c r="G4043" s="403" t="s">
        <v>1467</v>
      </c>
      <c r="H4043" s="403" t="s">
        <v>1276</v>
      </c>
      <c r="I4043" s="403">
        <v>1</v>
      </c>
      <c r="J4043" s="403" t="s">
        <v>1416</v>
      </c>
      <c r="K4043" s="403">
        <v>1840</v>
      </c>
      <c r="L4043" s="403">
        <v>3264</v>
      </c>
      <c r="M4043" s="403" t="s">
        <v>109</v>
      </c>
      <c r="N4043" s="403">
        <v>720</v>
      </c>
      <c r="O4043" s="403">
        <v>1280</v>
      </c>
      <c r="P4043" t="str">
        <f t="shared" si="505"/>
        <v>25fps 3264x1840 - 720p</v>
      </c>
      <c r="Q4043">
        <f t="shared" si="506"/>
        <v>20</v>
      </c>
      <c r="R4043" t="str">
        <f t="shared" si="507"/>
        <v/>
      </c>
      <c r="S4043" t="str">
        <f t="shared" si="508"/>
        <v/>
      </c>
      <c r="T4043" s="403" t="str">
        <f t="shared" si="509"/>
        <v>NDE-8503-RT</v>
      </c>
      <c r="U4043" s="403">
        <f t="shared" si="510"/>
        <v>1</v>
      </c>
      <c r="V4043" s="403" t="str">
        <f t="shared" si="511"/>
        <v>CPP_7_3</v>
      </c>
    </row>
    <row r="4044" spans="1:22">
      <c r="A4044" t="str">
        <f t="shared" si="504"/>
        <v>NDE-8503-RT</v>
      </c>
      <c r="B4044" s="403" t="s">
        <v>1410</v>
      </c>
      <c r="C4044" s="403" t="s">
        <v>582</v>
      </c>
      <c r="D4044" s="403" t="s">
        <v>1414</v>
      </c>
      <c r="E4044" s="403" t="s">
        <v>1413</v>
      </c>
      <c r="F4044" s="403" t="s">
        <v>1417</v>
      </c>
      <c r="G4044" s="403" t="s">
        <v>1467</v>
      </c>
      <c r="H4044" s="403" t="s">
        <v>1276</v>
      </c>
      <c r="I4044" s="403">
        <v>1</v>
      </c>
      <c r="J4044" s="403" t="s">
        <v>1416</v>
      </c>
      <c r="K4044" s="403">
        <v>1840</v>
      </c>
      <c r="L4044" s="403">
        <v>3264</v>
      </c>
      <c r="M4044" s="403" t="s">
        <v>1283</v>
      </c>
      <c r="N4044" s="403">
        <v>576</v>
      </c>
      <c r="O4044" s="403">
        <v>720</v>
      </c>
      <c r="P4044" t="str">
        <f t="shared" si="505"/>
        <v>25fps 3264x1840 - SD 4CIF resolution 4:3 format (cropped)</v>
      </c>
      <c r="Q4044">
        <f t="shared" si="506"/>
        <v>20</v>
      </c>
      <c r="R4044" t="str">
        <f t="shared" si="507"/>
        <v/>
      </c>
      <c r="S4044" t="str">
        <f t="shared" si="508"/>
        <v/>
      </c>
      <c r="T4044" s="403" t="str">
        <f t="shared" si="509"/>
        <v>NDE-8503-RT</v>
      </c>
      <c r="U4044" s="403">
        <f t="shared" si="510"/>
        <v>1</v>
      </c>
      <c r="V4044" s="403" t="str">
        <f t="shared" si="511"/>
        <v>CPP_7_3</v>
      </c>
    </row>
    <row r="4045" spans="1:22">
      <c r="A4045" t="str">
        <f t="shared" si="504"/>
        <v>NDE-8503-RT</v>
      </c>
      <c r="B4045" s="403" t="s">
        <v>1410</v>
      </c>
      <c r="C4045" s="403" t="s">
        <v>582</v>
      </c>
      <c r="D4045" s="403" t="s">
        <v>1414</v>
      </c>
      <c r="E4045" s="403" t="s">
        <v>1413</v>
      </c>
      <c r="F4045" s="403" t="s">
        <v>1417</v>
      </c>
      <c r="G4045" s="403" t="s">
        <v>1467</v>
      </c>
      <c r="H4045" s="403" t="s">
        <v>1276</v>
      </c>
      <c r="I4045" s="403">
        <v>1</v>
      </c>
      <c r="J4045" s="403" t="s">
        <v>1416</v>
      </c>
      <c r="K4045" s="403">
        <v>1840</v>
      </c>
      <c r="L4045" s="403">
        <v>3264</v>
      </c>
      <c r="M4045" s="403" t="s">
        <v>1279</v>
      </c>
      <c r="N4045" s="403">
        <v>432</v>
      </c>
      <c r="O4045" s="403">
        <v>768</v>
      </c>
      <c r="P4045" t="str">
        <f t="shared" si="505"/>
        <v>25fps 3264x1840 - SD ROI PTZ</v>
      </c>
      <c r="Q4045">
        <f t="shared" si="506"/>
        <v>20</v>
      </c>
      <c r="R4045" t="str">
        <f t="shared" si="507"/>
        <v/>
      </c>
      <c r="S4045" t="str">
        <f t="shared" si="508"/>
        <v/>
      </c>
      <c r="T4045" s="403" t="str">
        <f t="shared" si="509"/>
        <v>NDE-8503-RT</v>
      </c>
      <c r="U4045" s="403">
        <f t="shared" si="510"/>
        <v>1</v>
      </c>
      <c r="V4045" s="403" t="str">
        <f t="shared" si="511"/>
        <v>CPP_7_3</v>
      </c>
    </row>
    <row r="4046" spans="1:22">
      <c r="A4046" t="str">
        <f t="shared" si="504"/>
        <v>NDE-8503-RT</v>
      </c>
      <c r="B4046" s="403" t="s">
        <v>1410</v>
      </c>
      <c r="C4046" s="403" t="s">
        <v>582</v>
      </c>
      <c r="D4046" s="403" t="s">
        <v>1414</v>
      </c>
      <c r="E4046" s="403" t="s">
        <v>1413</v>
      </c>
      <c r="F4046" s="403" t="s">
        <v>1417</v>
      </c>
      <c r="G4046" s="403" t="s">
        <v>1467</v>
      </c>
      <c r="H4046" s="403" t="s">
        <v>1276</v>
      </c>
      <c r="I4046" s="403">
        <v>1</v>
      </c>
      <c r="J4046" s="403" t="s">
        <v>1416</v>
      </c>
      <c r="K4046" s="403">
        <v>1840</v>
      </c>
      <c r="L4046" s="403">
        <v>3264</v>
      </c>
      <c r="M4046" s="403" t="s">
        <v>1284</v>
      </c>
      <c r="N4046" s="403">
        <v>480</v>
      </c>
      <c r="O4046" s="403">
        <v>640</v>
      </c>
      <c r="P4046" t="str">
        <f t="shared" si="505"/>
        <v>25fps 3264x1840 - SD VGA (cropped)</v>
      </c>
      <c r="Q4046">
        <f t="shared" si="506"/>
        <v>20</v>
      </c>
      <c r="R4046" t="str">
        <f t="shared" si="507"/>
        <v/>
      </c>
      <c r="S4046" t="str">
        <f t="shared" si="508"/>
        <v/>
      </c>
      <c r="T4046" s="403" t="str">
        <f t="shared" si="509"/>
        <v>NDE-8503-RT</v>
      </c>
      <c r="U4046" s="403">
        <f t="shared" si="510"/>
        <v>1</v>
      </c>
      <c r="V4046" s="403" t="str">
        <f t="shared" si="511"/>
        <v>CPP_7_3</v>
      </c>
    </row>
    <row r="4047" spans="1:22">
      <c r="A4047" t="str">
        <f t="shared" si="504"/>
        <v>NDE-8503-RT</v>
      </c>
      <c r="B4047" s="403" t="s">
        <v>1410</v>
      </c>
      <c r="C4047" s="403" t="s">
        <v>582</v>
      </c>
      <c r="D4047" s="403" t="s">
        <v>1414</v>
      </c>
      <c r="E4047" s="403" t="s">
        <v>1413</v>
      </c>
      <c r="F4047" s="403" t="s">
        <v>1417</v>
      </c>
      <c r="G4047" s="403" t="s">
        <v>1467</v>
      </c>
      <c r="H4047" s="403" t="s">
        <v>1276</v>
      </c>
      <c r="I4047" s="403">
        <v>1</v>
      </c>
      <c r="J4047" s="403" t="s">
        <v>1416</v>
      </c>
      <c r="K4047" s="403">
        <v>1840</v>
      </c>
      <c r="L4047" s="403">
        <v>3264</v>
      </c>
      <c r="M4047" s="403" t="s">
        <v>1285</v>
      </c>
      <c r="N4047" s="403">
        <v>1024</v>
      </c>
      <c r="O4047" s="403">
        <v>1280</v>
      </c>
      <c r="P4047" t="str">
        <f t="shared" si="505"/>
        <v>25fps 3264x1840 - 1280x1024 5:4 (cropped)</v>
      </c>
      <c r="Q4047">
        <f t="shared" si="506"/>
        <v>20</v>
      </c>
      <c r="R4047" t="str">
        <f t="shared" si="507"/>
        <v/>
      </c>
      <c r="S4047" t="str">
        <f t="shared" si="508"/>
        <v/>
      </c>
      <c r="T4047" s="403" t="str">
        <f t="shared" si="509"/>
        <v>NDE-8503-RT</v>
      </c>
      <c r="U4047" s="403">
        <f t="shared" si="510"/>
        <v>1</v>
      </c>
      <c r="V4047" s="403" t="str">
        <f t="shared" si="511"/>
        <v>CPP_7_3</v>
      </c>
    </row>
    <row r="4048" spans="1:22">
      <c r="A4048" t="str">
        <f t="shared" si="504"/>
        <v>NDE-8503-RT</v>
      </c>
      <c r="B4048" s="403" t="s">
        <v>1410</v>
      </c>
      <c r="C4048" s="403" t="s">
        <v>582</v>
      </c>
      <c r="D4048" s="403" t="s">
        <v>1414</v>
      </c>
      <c r="E4048" s="403" t="s">
        <v>1413</v>
      </c>
      <c r="F4048" s="403" t="s">
        <v>1417</v>
      </c>
      <c r="G4048" s="403" t="s">
        <v>1467</v>
      </c>
      <c r="H4048" s="403" t="s">
        <v>1276</v>
      </c>
      <c r="I4048" s="403">
        <v>1</v>
      </c>
      <c r="J4048" s="403" t="s">
        <v>1416</v>
      </c>
      <c r="K4048" s="403">
        <v>1840</v>
      </c>
      <c r="L4048" s="403">
        <v>3264</v>
      </c>
      <c r="M4048" s="403" t="s">
        <v>1383</v>
      </c>
      <c r="N4048" s="403">
        <v>1440</v>
      </c>
      <c r="O4048" s="403">
        <v>1920</v>
      </c>
      <c r="P4048" t="str">
        <f t="shared" si="505"/>
        <v>25fps 3264x1840 - 1920x1440_CROP</v>
      </c>
      <c r="Q4048">
        <f t="shared" si="506"/>
        <v>20</v>
      </c>
      <c r="R4048" t="str">
        <f t="shared" si="507"/>
        <v/>
      </c>
      <c r="S4048" t="str">
        <f t="shared" si="508"/>
        <v/>
      </c>
      <c r="T4048" s="403" t="str">
        <f t="shared" si="509"/>
        <v>NDE-8503-RT</v>
      </c>
      <c r="U4048" s="403">
        <f t="shared" si="510"/>
        <v>1</v>
      </c>
      <c r="V4048" s="403" t="str">
        <f t="shared" si="511"/>
        <v>CPP_7_3</v>
      </c>
    </row>
    <row r="4049" spans="1:22">
      <c r="A4049" t="str">
        <f t="shared" si="504"/>
        <v>NDE-8503-RT</v>
      </c>
      <c r="B4049" s="403" t="s">
        <v>1410</v>
      </c>
      <c r="C4049" s="403" t="s">
        <v>582</v>
      </c>
      <c r="D4049" s="403" t="s">
        <v>1414</v>
      </c>
      <c r="E4049" s="403" t="s">
        <v>1413</v>
      </c>
      <c r="F4049" s="403" t="s">
        <v>1417</v>
      </c>
      <c r="G4049" s="403" t="s">
        <v>1467</v>
      </c>
      <c r="H4049" s="403" t="s">
        <v>1281</v>
      </c>
      <c r="I4049" s="403">
        <v>1</v>
      </c>
      <c r="J4049" s="403" t="s">
        <v>1416</v>
      </c>
      <c r="K4049" s="403">
        <v>1840</v>
      </c>
      <c r="L4049" s="403">
        <v>3264</v>
      </c>
      <c r="M4049" s="403" t="s">
        <v>111</v>
      </c>
      <c r="N4049" s="403">
        <v>432</v>
      </c>
      <c r="O4049" s="403">
        <v>768</v>
      </c>
      <c r="P4049" t="str">
        <f t="shared" si="505"/>
        <v>25fps 3264x1840 - SD</v>
      </c>
      <c r="Q4049">
        <f t="shared" si="506"/>
        <v>20</v>
      </c>
      <c r="R4049" t="str">
        <f t="shared" si="507"/>
        <v/>
      </c>
      <c r="S4049" t="str">
        <f t="shared" si="508"/>
        <v/>
      </c>
      <c r="T4049" s="403" t="str">
        <f t="shared" si="509"/>
        <v>NDE-8503-RT</v>
      </c>
      <c r="U4049" s="403">
        <f t="shared" si="510"/>
        <v>1</v>
      </c>
      <c r="V4049" s="403" t="str">
        <f t="shared" si="511"/>
        <v>CPP_7_3</v>
      </c>
    </row>
    <row r="4050" spans="1:22">
      <c r="A4050" t="str">
        <f t="shared" si="504"/>
        <v>NDE-8503-RT</v>
      </c>
      <c r="B4050" s="403" t="s">
        <v>1410</v>
      </c>
      <c r="C4050" s="403" t="s">
        <v>582</v>
      </c>
      <c r="D4050" s="403" t="s">
        <v>1414</v>
      </c>
      <c r="E4050" s="403" t="s">
        <v>1413</v>
      </c>
      <c r="F4050" s="403" t="s">
        <v>1417</v>
      </c>
      <c r="G4050" s="403" t="s">
        <v>1467</v>
      </c>
      <c r="H4050" s="403" t="s">
        <v>1281</v>
      </c>
      <c r="I4050" s="403">
        <v>1</v>
      </c>
      <c r="J4050" s="403" t="s">
        <v>1416</v>
      </c>
      <c r="K4050" s="403">
        <v>1840</v>
      </c>
      <c r="L4050" s="403">
        <v>3264</v>
      </c>
      <c r="M4050" s="403" t="s">
        <v>1601</v>
      </c>
      <c r="N4050" s="403">
        <v>1840</v>
      </c>
      <c r="O4050" s="403">
        <v>3264</v>
      </c>
      <c r="P4050" t="str">
        <f t="shared" si="505"/>
        <v>25fps 3264x1840 - 3264x1840 @ SKIP3</v>
      </c>
      <c r="Q4050">
        <f t="shared" si="506"/>
        <v>20</v>
      </c>
      <c r="R4050" t="str">
        <f t="shared" si="507"/>
        <v/>
      </c>
      <c r="S4050" t="str">
        <f t="shared" si="508"/>
        <v/>
      </c>
      <c r="T4050" s="403" t="str">
        <f t="shared" si="509"/>
        <v>NDE-8503-RT</v>
      </c>
      <c r="U4050" s="403">
        <f t="shared" si="510"/>
        <v>1</v>
      </c>
      <c r="V4050" s="403" t="str">
        <f t="shared" si="511"/>
        <v>CPP_7_3</v>
      </c>
    </row>
    <row r="4051" spans="1:22">
      <c r="A4051" t="str">
        <f t="shared" si="504"/>
        <v>NDE-8503-RT</v>
      </c>
      <c r="B4051" s="403" t="s">
        <v>1410</v>
      </c>
      <c r="C4051" s="403" t="s">
        <v>582</v>
      </c>
      <c r="D4051" s="403" t="s">
        <v>1414</v>
      </c>
      <c r="E4051" s="403" t="s">
        <v>1413</v>
      </c>
      <c r="F4051" s="403" t="s">
        <v>1417</v>
      </c>
      <c r="G4051" s="403" t="s">
        <v>1467</v>
      </c>
      <c r="H4051" s="403" t="s">
        <v>1281</v>
      </c>
      <c r="I4051" s="403">
        <v>1</v>
      </c>
      <c r="J4051" s="403" t="s">
        <v>1416</v>
      </c>
      <c r="K4051" s="403">
        <v>1840</v>
      </c>
      <c r="L4051" s="403">
        <v>3264</v>
      </c>
      <c r="M4051" s="403" t="s">
        <v>1280</v>
      </c>
      <c r="N4051" s="403">
        <v>1840</v>
      </c>
      <c r="O4051" s="403">
        <v>3264</v>
      </c>
      <c r="P4051" t="str">
        <f t="shared" si="505"/>
        <v>25fps 3264x1840 - copy other stream</v>
      </c>
      <c r="Q4051">
        <f t="shared" si="506"/>
        <v>20</v>
      </c>
      <c r="R4051" t="str">
        <f t="shared" si="507"/>
        <v/>
      </c>
      <c r="S4051" t="str">
        <f t="shared" si="508"/>
        <v/>
      </c>
      <c r="T4051" s="403" t="str">
        <f t="shared" si="509"/>
        <v>NDE-8503-RT</v>
      </c>
      <c r="U4051" s="403">
        <f t="shared" si="510"/>
        <v>1</v>
      </c>
      <c r="V4051" s="403" t="str">
        <f t="shared" si="511"/>
        <v>CPP_7_3</v>
      </c>
    </row>
    <row r="4052" spans="1:22">
      <c r="A4052" t="str">
        <f t="shared" si="504"/>
        <v>NDE-8503-RT</v>
      </c>
      <c r="B4052" s="403" t="s">
        <v>1410</v>
      </c>
      <c r="C4052" s="403" t="s">
        <v>582</v>
      </c>
      <c r="D4052" s="403" t="s">
        <v>1414</v>
      </c>
      <c r="E4052" s="403" t="s">
        <v>1413</v>
      </c>
      <c r="F4052" s="403" t="s">
        <v>1417</v>
      </c>
      <c r="G4052" s="403" t="s">
        <v>1467</v>
      </c>
      <c r="H4052" s="403" t="s">
        <v>1281</v>
      </c>
      <c r="I4052" s="403">
        <v>1</v>
      </c>
      <c r="J4052" s="403" t="s">
        <v>1416</v>
      </c>
      <c r="K4052" s="403">
        <v>1840</v>
      </c>
      <c r="L4052" s="403">
        <v>3264</v>
      </c>
      <c r="M4052" s="403" t="s">
        <v>110</v>
      </c>
      <c r="N4052" s="403">
        <v>1080</v>
      </c>
      <c r="O4052" s="403">
        <v>1920</v>
      </c>
      <c r="P4052" t="str">
        <f t="shared" si="505"/>
        <v>25fps 3264x1840 - 1080p</v>
      </c>
      <c r="Q4052">
        <f t="shared" si="506"/>
        <v>20</v>
      </c>
      <c r="R4052" t="str">
        <f t="shared" si="507"/>
        <v/>
      </c>
      <c r="S4052" t="str">
        <f t="shared" si="508"/>
        <v/>
      </c>
      <c r="T4052" s="403" t="str">
        <f t="shared" si="509"/>
        <v>NDE-8503-RT</v>
      </c>
      <c r="U4052" s="403">
        <f t="shared" si="510"/>
        <v>1</v>
      </c>
      <c r="V4052" s="403" t="str">
        <f t="shared" si="511"/>
        <v>CPP_7_3</v>
      </c>
    </row>
    <row r="4053" spans="1:22">
      <c r="A4053" t="str">
        <f t="shared" si="504"/>
        <v>NDE-8503-RT</v>
      </c>
      <c r="B4053" s="403" t="s">
        <v>1410</v>
      </c>
      <c r="C4053" s="403" t="s">
        <v>582</v>
      </c>
      <c r="D4053" s="403" t="s">
        <v>1414</v>
      </c>
      <c r="E4053" s="403" t="s">
        <v>1413</v>
      </c>
      <c r="F4053" s="403" t="s">
        <v>1417</v>
      </c>
      <c r="G4053" s="403" t="s">
        <v>1467</v>
      </c>
      <c r="H4053" s="403" t="s">
        <v>1281</v>
      </c>
      <c r="I4053" s="403">
        <v>1</v>
      </c>
      <c r="J4053" s="403" t="s">
        <v>1416</v>
      </c>
      <c r="K4053" s="403">
        <v>1840</v>
      </c>
      <c r="L4053" s="403">
        <v>3264</v>
      </c>
      <c r="M4053" s="403" t="s">
        <v>109</v>
      </c>
      <c r="N4053" s="403">
        <v>720</v>
      </c>
      <c r="O4053" s="403">
        <v>1280</v>
      </c>
      <c r="P4053" t="str">
        <f t="shared" si="505"/>
        <v>25fps 3264x1840 - 720p</v>
      </c>
      <c r="Q4053">
        <f t="shared" si="506"/>
        <v>20</v>
      </c>
      <c r="R4053" t="str">
        <f t="shared" si="507"/>
        <v/>
      </c>
      <c r="S4053" t="str">
        <f t="shared" si="508"/>
        <v/>
      </c>
      <c r="T4053" s="403" t="str">
        <f t="shared" si="509"/>
        <v>NDE-8503-RT</v>
      </c>
      <c r="U4053" s="403">
        <f t="shared" si="510"/>
        <v>1</v>
      </c>
      <c r="V4053" s="403" t="str">
        <f t="shared" si="511"/>
        <v>CPP_7_3</v>
      </c>
    </row>
    <row r="4054" spans="1:22">
      <c r="A4054" t="str">
        <f t="shared" si="504"/>
        <v>NDE-8503-RT</v>
      </c>
      <c r="B4054" s="403" t="s">
        <v>1410</v>
      </c>
      <c r="C4054" s="403" t="s">
        <v>582</v>
      </c>
      <c r="D4054" s="403" t="s">
        <v>1414</v>
      </c>
      <c r="E4054" s="403" t="s">
        <v>1413</v>
      </c>
      <c r="F4054" s="403" t="s">
        <v>1417</v>
      </c>
      <c r="G4054" s="403" t="s">
        <v>1467</v>
      </c>
      <c r="H4054" s="403" t="s">
        <v>1281</v>
      </c>
      <c r="I4054" s="403">
        <v>1</v>
      </c>
      <c r="J4054" s="403" t="s">
        <v>1416</v>
      </c>
      <c r="K4054" s="403">
        <v>1840</v>
      </c>
      <c r="L4054" s="403">
        <v>3264</v>
      </c>
      <c r="M4054" s="403" t="s">
        <v>1283</v>
      </c>
      <c r="N4054" s="403">
        <v>576</v>
      </c>
      <c r="O4054" s="403">
        <v>720</v>
      </c>
      <c r="P4054" t="str">
        <f t="shared" si="505"/>
        <v>25fps 3264x1840 - SD 4CIF resolution 4:3 format (cropped)</v>
      </c>
      <c r="Q4054">
        <f t="shared" si="506"/>
        <v>20</v>
      </c>
      <c r="R4054" t="str">
        <f t="shared" si="507"/>
        <v/>
      </c>
      <c r="S4054" t="str">
        <f t="shared" si="508"/>
        <v/>
      </c>
      <c r="T4054" s="403" t="str">
        <f t="shared" si="509"/>
        <v>NDE-8503-RT</v>
      </c>
      <c r="U4054" s="403">
        <f t="shared" si="510"/>
        <v>1</v>
      </c>
      <c r="V4054" s="403" t="str">
        <f t="shared" si="511"/>
        <v>CPP_7_3</v>
      </c>
    </row>
    <row r="4055" spans="1:22">
      <c r="A4055" t="str">
        <f t="shared" si="504"/>
        <v>NDE-8503-RT</v>
      </c>
      <c r="B4055" s="403" t="s">
        <v>1410</v>
      </c>
      <c r="C4055" s="403" t="s">
        <v>582</v>
      </c>
      <c r="D4055" s="403" t="s">
        <v>1414</v>
      </c>
      <c r="E4055" s="403" t="s">
        <v>1413</v>
      </c>
      <c r="F4055" s="403" t="s">
        <v>1417</v>
      </c>
      <c r="G4055" s="403" t="s">
        <v>1467</v>
      </c>
      <c r="H4055" s="403" t="s">
        <v>1281</v>
      </c>
      <c r="I4055" s="403">
        <v>1</v>
      </c>
      <c r="J4055" s="403" t="s">
        <v>1416</v>
      </c>
      <c r="K4055" s="403">
        <v>1840</v>
      </c>
      <c r="L4055" s="403">
        <v>3264</v>
      </c>
      <c r="M4055" s="403" t="s">
        <v>1279</v>
      </c>
      <c r="N4055" s="403">
        <v>432</v>
      </c>
      <c r="O4055" s="403">
        <v>768</v>
      </c>
      <c r="P4055" t="str">
        <f t="shared" si="505"/>
        <v>25fps 3264x1840 - SD ROI PTZ</v>
      </c>
      <c r="Q4055">
        <f t="shared" si="506"/>
        <v>20</v>
      </c>
      <c r="R4055" t="str">
        <f t="shared" si="507"/>
        <v/>
      </c>
      <c r="S4055" t="str">
        <f t="shared" si="508"/>
        <v/>
      </c>
      <c r="T4055" s="403" t="str">
        <f t="shared" si="509"/>
        <v>NDE-8503-RT</v>
      </c>
      <c r="U4055" s="403">
        <f t="shared" si="510"/>
        <v>1</v>
      </c>
      <c r="V4055" s="403" t="str">
        <f t="shared" si="511"/>
        <v>CPP_7_3</v>
      </c>
    </row>
    <row r="4056" spans="1:22">
      <c r="A4056" t="str">
        <f t="shared" si="504"/>
        <v>NDE-8503-RT</v>
      </c>
      <c r="B4056" s="403" t="s">
        <v>1410</v>
      </c>
      <c r="C4056" s="403" t="s">
        <v>582</v>
      </c>
      <c r="D4056" s="403" t="s">
        <v>1414</v>
      </c>
      <c r="E4056" s="403" t="s">
        <v>1413</v>
      </c>
      <c r="F4056" s="403" t="s">
        <v>1417</v>
      </c>
      <c r="G4056" s="403" t="s">
        <v>1467</v>
      </c>
      <c r="H4056" s="403" t="s">
        <v>1281</v>
      </c>
      <c r="I4056" s="403">
        <v>1</v>
      </c>
      <c r="J4056" s="403" t="s">
        <v>1416</v>
      </c>
      <c r="K4056" s="403">
        <v>1840</v>
      </c>
      <c r="L4056" s="403">
        <v>3264</v>
      </c>
      <c r="M4056" s="403" t="s">
        <v>1284</v>
      </c>
      <c r="N4056" s="403">
        <v>480</v>
      </c>
      <c r="O4056" s="403">
        <v>640</v>
      </c>
      <c r="P4056" t="str">
        <f t="shared" si="505"/>
        <v>25fps 3264x1840 - SD VGA (cropped)</v>
      </c>
      <c r="Q4056">
        <f t="shared" si="506"/>
        <v>20</v>
      </c>
      <c r="R4056" t="str">
        <f t="shared" si="507"/>
        <v/>
      </c>
      <c r="S4056" t="str">
        <f t="shared" si="508"/>
        <v/>
      </c>
      <c r="T4056" s="403" t="str">
        <f t="shared" si="509"/>
        <v>NDE-8503-RT</v>
      </c>
      <c r="U4056" s="403">
        <f t="shared" si="510"/>
        <v>1</v>
      </c>
      <c r="V4056" s="403" t="str">
        <f t="shared" si="511"/>
        <v>CPP_7_3</v>
      </c>
    </row>
    <row r="4057" spans="1:22">
      <c r="A4057" t="str">
        <f t="shared" si="504"/>
        <v>NDE-8503-RT</v>
      </c>
      <c r="B4057" s="403" t="s">
        <v>1410</v>
      </c>
      <c r="C4057" s="403" t="s">
        <v>582</v>
      </c>
      <c r="D4057" s="403" t="s">
        <v>1414</v>
      </c>
      <c r="E4057" s="403" t="s">
        <v>1413</v>
      </c>
      <c r="F4057" s="403" t="s">
        <v>1417</v>
      </c>
      <c r="G4057" s="403" t="s">
        <v>1467</v>
      </c>
      <c r="H4057" s="403" t="s">
        <v>1281</v>
      </c>
      <c r="I4057" s="403">
        <v>1</v>
      </c>
      <c r="J4057" s="403" t="s">
        <v>1416</v>
      </c>
      <c r="K4057" s="403">
        <v>1840</v>
      </c>
      <c r="L4057" s="403">
        <v>3264</v>
      </c>
      <c r="M4057" s="403" t="s">
        <v>1285</v>
      </c>
      <c r="N4057" s="403">
        <v>1024</v>
      </c>
      <c r="O4057" s="403">
        <v>1280</v>
      </c>
      <c r="P4057" t="str">
        <f t="shared" si="505"/>
        <v>25fps 3264x1840 - 1280x1024 5:4 (cropped)</v>
      </c>
      <c r="Q4057">
        <f t="shared" si="506"/>
        <v>20</v>
      </c>
      <c r="R4057" t="str">
        <f t="shared" si="507"/>
        <v/>
      </c>
      <c r="S4057" t="str">
        <f t="shared" si="508"/>
        <v/>
      </c>
      <c r="T4057" s="403" t="str">
        <f t="shared" si="509"/>
        <v>NDE-8503-RT</v>
      </c>
      <c r="U4057" s="403">
        <f t="shared" si="510"/>
        <v>1</v>
      </c>
      <c r="V4057" s="403" t="str">
        <f t="shared" si="511"/>
        <v>CPP_7_3</v>
      </c>
    </row>
    <row r="4058" spans="1:22">
      <c r="A4058" t="str">
        <f t="shared" si="504"/>
        <v>NDE-8503-RT</v>
      </c>
      <c r="B4058" s="403" t="s">
        <v>1410</v>
      </c>
      <c r="C4058" s="403" t="s">
        <v>582</v>
      </c>
      <c r="D4058" s="403" t="s">
        <v>1414</v>
      </c>
      <c r="E4058" s="403" t="s">
        <v>1413</v>
      </c>
      <c r="F4058" s="403" t="s">
        <v>1417</v>
      </c>
      <c r="G4058" s="403" t="s">
        <v>1467</v>
      </c>
      <c r="H4058" s="403" t="s">
        <v>1281</v>
      </c>
      <c r="I4058" s="403">
        <v>1</v>
      </c>
      <c r="J4058" s="403" t="s">
        <v>1416</v>
      </c>
      <c r="K4058" s="403">
        <v>1840</v>
      </c>
      <c r="L4058" s="403">
        <v>3264</v>
      </c>
      <c r="M4058" s="403" t="s">
        <v>1383</v>
      </c>
      <c r="N4058" s="403">
        <v>1440</v>
      </c>
      <c r="O4058" s="403">
        <v>1920</v>
      </c>
      <c r="P4058" t="str">
        <f t="shared" si="505"/>
        <v>25fps 3264x1840 - 1920x1440_CROP</v>
      </c>
      <c r="Q4058">
        <f t="shared" si="506"/>
        <v>20</v>
      </c>
      <c r="R4058" t="str">
        <f t="shared" si="507"/>
        <v/>
      </c>
      <c r="S4058" t="str">
        <f t="shared" si="508"/>
        <v/>
      </c>
      <c r="T4058" s="403" t="str">
        <f t="shared" si="509"/>
        <v>NDE-8503-RT</v>
      </c>
      <c r="U4058" s="403">
        <f t="shared" si="510"/>
        <v>1</v>
      </c>
      <c r="V4058" s="403" t="str">
        <f t="shared" si="511"/>
        <v>CPP_7_3</v>
      </c>
    </row>
    <row r="4059" spans="1:22">
      <c r="A4059" t="str">
        <f t="shared" si="504"/>
        <v>NDE-8503-RT</v>
      </c>
      <c r="B4059" s="403" t="s">
        <v>1410</v>
      </c>
      <c r="C4059" s="403" t="s">
        <v>582</v>
      </c>
      <c r="D4059" s="403" t="s">
        <v>1414</v>
      </c>
      <c r="E4059" s="403" t="s">
        <v>1413</v>
      </c>
      <c r="F4059" s="403" t="s">
        <v>1382</v>
      </c>
      <c r="G4059" s="403" t="s">
        <v>1466</v>
      </c>
      <c r="H4059" s="403" t="s">
        <v>1276</v>
      </c>
      <c r="I4059" s="403">
        <v>1</v>
      </c>
      <c r="J4059" s="403" t="s">
        <v>1376</v>
      </c>
      <c r="K4059" s="403">
        <v>3072</v>
      </c>
      <c r="L4059" s="403">
        <v>1728</v>
      </c>
      <c r="M4059" s="403" t="s">
        <v>111</v>
      </c>
      <c r="N4059" s="403">
        <v>768</v>
      </c>
      <c r="O4059" s="403">
        <v>432</v>
      </c>
      <c r="P4059" t="str">
        <f t="shared" si="505"/>
        <v>30fps 3072x1728 - SD</v>
      </c>
      <c r="Q4059">
        <f t="shared" si="506"/>
        <v>20</v>
      </c>
      <c r="R4059" t="str">
        <f t="shared" si="507"/>
        <v/>
      </c>
      <c r="S4059" t="str">
        <f t="shared" si="508"/>
        <v/>
      </c>
      <c r="T4059" s="403" t="str">
        <f t="shared" si="509"/>
        <v>NDE-8503-RT</v>
      </c>
      <c r="U4059" s="403">
        <f t="shared" si="510"/>
        <v>1</v>
      </c>
      <c r="V4059" s="403" t="str">
        <f t="shared" si="511"/>
        <v>CPP_7_3</v>
      </c>
    </row>
    <row r="4060" spans="1:22">
      <c r="A4060" t="str">
        <f t="shared" si="504"/>
        <v>NDE-8503-RT</v>
      </c>
      <c r="B4060" s="403" t="s">
        <v>1410</v>
      </c>
      <c r="C4060" s="403" t="s">
        <v>582</v>
      </c>
      <c r="D4060" s="403" t="s">
        <v>1414</v>
      </c>
      <c r="E4060" s="403" t="s">
        <v>1413</v>
      </c>
      <c r="F4060" s="403" t="s">
        <v>1382</v>
      </c>
      <c r="G4060" s="403" t="s">
        <v>1466</v>
      </c>
      <c r="H4060" s="403" t="s">
        <v>1276</v>
      </c>
      <c r="I4060" s="403">
        <v>1</v>
      </c>
      <c r="J4060" s="403" t="s">
        <v>1376</v>
      </c>
      <c r="K4060" s="403">
        <v>3072</v>
      </c>
      <c r="L4060" s="403">
        <v>1728</v>
      </c>
      <c r="M4060" s="403" t="s">
        <v>1600</v>
      </c>
      <c r="N4060" s="403">
        <v>3072</v>
      </c>
      <c r="O4060" s="403">
        <v>1728</v>
      </c>
      <c r="P4060" t="str">
        <f t="shared" si="505"/>
        <v>30fps 3072x1728 - 3072x1728 @ SKIP2</v>
      </c>
      <c r="Q4060">
        <f t="shared" si="506"/>
        <v>20</v>
      </c>
      <c r="R4060" t="str">
        <f t="shared" si="507"/>
        <v/>
      </c>
      <c r="S4060" t="str">
        <f t="shared" si="508"/>
        <v/>
      </c>
      <c r="T4060" s="403" t="str">
        <f t="shared" si="509"/>
        <v>NDE-8503-RT</v>
      </c>
      <c r="U4060" s="403">
        <f t="shared" si="510"/>
        <v>1</v>
      </c>
      <c r="V4060" s="403" t="str">
        <f t="shared" si="511"/>
        <v>CPP_7_3</v>
      </c>
    </row>
    <row r="4061" spans="1:22">
      <c r="A4061" t="str">
        <f t="shared" si="504"/>
        <v>NDE-8503-RT</v>
      </c>
      <c r="B4061" s="403" t="s">
        <v>1410</v>
      </c>
      <c r="C4061" s="403" t="s">
        <v>582</v>
      </c>
      <c r="D4061" s="403" t="s">
        <v>1414</v>
      </c>
      <c r="E4061" s="403" t="s">
        <v>1413</v>
      </c>
      <c r="F4061" s="403" t="s">
        <v>1382</v>
      </c>
      <c r="G4061" s="403" t="s">
        <v>1466</v>
      </c>
      <c r="H4061" s="403" t="s">
        <v>1276</v>
      </c>
      <c r="I4061" s="403">
        <v>1</v>
      </c>
      <c r="J4061" s="403" t="s">
        <v>1376</v>
      </c>
      <c r="K4061" s="403">
        <v>3072</v>
      </c>
      <c r="L4061" s="403">
        <v>1728</v>
      </c>
      <c r="M4061" s="403" t="s">
        <v>1280</v>
      </c>
      <c r="N4061" s="403">
        <v>3072</v>
      </c>
      <c r="O4061" s="403">
        <v>1728</v>
      </c>
      <c r="P4061" t="str">
        <f t="shared" si="505"/>
        <v>30fps 3072x1728 - copy other stream</v>
      </c>
      <c r="Q4061">
        <f t="shared" si="506"/>
        <v>20</v>
      </c>
      <c r="R4061" t="str">
        <f t="shared" si="507"/>
        <v/>
      </c>
      <c r="S4061" t="str">
        <f t="shared" si="508"/>
        <v/>
      </c>
      <c r="T4061" s="403" t="str">
        <f t="shared" si="509"/>
        <v>NDE-8503-RT</v>
      </c>
      <c r="U4061" s="403">
        <f t="shared" si="510"/>
        <v>1</v>
      </c>
      <c r="V4061" s="403" t="str">
        <f t="shared" si="511"/>
        <v>CPP_7_3</v>
      </c>
    </row>
    <row r="4062" spans="1:22">
      <c r="A4062" t="str">
        <f t="shared" si="504"/>
        <v>NDE-8503-RT</v>
      </c>
      <c r="B4062" s="403" t="s">
        <v>1410</v>
      </c>
      <c r="C4062" s="403" t="s">
        <v>582</v>
      </c>
      <c r="D4062" s="403" t="s">
        <v>1414</v>
      </c>
      <c r="E4062" s="403" t="s">
        <v>1413</v>
      </c>
      <c r="F4062" s="403" t="s">
        <v>1382</v>
      </c>
      <c r="G4062" s="403" t="s">
        <v>1466</v>
      </c>
      <c r="H4062" s="403" t="s">
        <v>1276</v>
      </c>
      <c r="I4062" s="403">
        <v>1</v>
      </c>
      <c r="J4062" s="403" t="s">
        <v>1376</v>
      </c>
      <c r="K4062" s="403">
        <v>3072</v>
      </c>
      <c r="L4062" s="403">
        <v>1728</v>
      </c>
      <c r="M4062" s="403" t="s">
        <v>110</v>
      </c>
      <c r="N4062" s="403">
        <v>1920</v>
      </c>
      <c r="O4062" s="403">
        <v>1080</v>
      </c>
      <c r="P4062" t="str">
        <f t="shared" si="505"/>
        <v>30fps 3072x1728 - 1080p</v>
      </c>
      <c r="Q4062">
        <f t="shared" si="506"/>
        <v>20</v>
      </c>
      <c r="R4062" t="str">
        <f t="shared" si="507"/>
        <v/>
      </c>
      <c r="S4062" t="str">
        <f t="shared" si="508"/>
        <v/>
      </c>
      <c r="T4062" s="403" t="str">
        <f t="shared" si="509"/>
        <v>NDE-8503-RT</v>
      </c>
      <c r="U4062" s="403">
        <f t="shared" si="510"/>
        <v>1</v>
      </c>
      <c r="V4062" s="403" t="str">
        <f t="shared" si="511"/>
        <v>CPP_7_3</v>
      </c>
    </row>
    <row r="4063" spans="1:22">
      <c r="A4063" t="str">
        <f t="shared" si="504"/>
        <v>NDE-8503-RT</v>
      </c>
      <c r="B4063" s="403" t="s">
        <v>1410</v>
      </c>
      <c r="C4063" s="403" t="s">
        <v>582</v>
      </c>
      <c r="D4063" s="403" t="s">
        <v>1414</v>
      </c>
      <c r="E4063" s="403" t="s">
        <v>1413</v>
      </c>
      <c r="F4063" s="403" t="s">
        <v>1382</v>
      </c>
      <c r="G4063" s="403" t="s">
        <v>1466</v>
      </c>
      <c r="H4063" s="403" t="s">
        <v>1276</v>
      </c>
      <c r="I4063" s="403">
        <v>1</v>
      </c>
      <c r="J4063" s="403" t="s">
        <v>1376</v>
      </c>
      <c r="K4063" s="403">
        <v>3072</v>
      </c>
      <c r="L4063" s="403">
        <v>1728</v>
      </c>
      <c r="M4063" s="403" t="s">
        <v>109</v>
      </c>
      <c r="N4063" s="403">
        <v>1280</v>
      </c>
      <c r="O4063" s="403">
        <v>720</v>
      </c>
      <c r="P4063" t="str">
        <f t="shared" si="505"/>
        <v>30fps 3072x1728 - 720p</v>
      </c>
      <c r="Q4063">
        <f t="shared" si="506"/>
        <v>20</v>
      </c>
      <c r="R4063" t="str">
        <f t="shared" si="507"/>
        <v/>
      </c>
      <c r="S4063" t="str">
        <f t="shared" si="508"/>
        <v/>
      </c>
      <c r="T4063" s="403" t="str">
        <f t="shared" si="509"/>
        <v>NDE-8503-RT</v>
      </c>
      <c r="U4063" s="403">
        <f t="shared" si="510"/>
        <v>1</v>
      </c>
      <c r="V4063" s="403" t="str">
        <f t="shared" si="511"/>
        <v>CPP_7_3</v>
      </c>
    </row>
    <row r="4064" spans="1:22">
      <c r="A4064" t="str">
        <f t="shared" si="504"/>
        <v>NDE-8503-RT</v>
      </c>
      <c r="B4064" s="403" t="s">
        <v>1410</v>
      </c>
      <c r="C4064" s="403" t="s">
        <v>582</v>
      </c>
      <c r="D4064" s="403" t="s">
        <v>1414</v>
      </c>
      <c r="E4064" s="403" t="s">
        <v>1413</v>
      </c>
      <c r="F4064" s="403" t="s">
        <v>1382</v>
      </c>
      <c r="G4064" s="403" t="s">
        <v>1466</v>
      </c>
      <c r="H4064" s="403" t="s">
        <v>1276</v>
      </c>
      <c r="I4064" s="403">
        <v>1</v>
      </c>
      <c r="J4064" s="403" t="s">
        <v>1376</v>
      </c>
      <c r="K4064" s="403">
        <v>3072</v>
      </c>
      <c r="L4064" s="403">
        <v>1728</v>
      </c>
      <c r="M4064" s="403" t="s">
        <v>1283</v>
      </c>
      <c r="N4064" s="403">
        <v>720</v>
      </c>
      <c r="O4064" s="403">
        <v>480</v>
      </c>
      <c r="P4064" t="str">
        <f t="shared" si="505"/>
        <v>30fps 3072x1728 - SD 4CIF resolution 4:3 format (cropped)</v>
      </c>
      <c r="Q4064">
        <f t="shared" si="506"/>
        <v>20</v>
      </c>
      <c r="R4064" t="str">
        <f t="shared" si="507"/>
        <v/>
      </c>
      <c r="S4064" t="str">
        <f t="shared" si="508"/>
        <v/>
      </c>
      <c r="T4064" s="403" t="str">
        <f t="shared" si="509"/>
        <v>NDE-8503-RT</v>
      </c>
      <c r="U4064" s="403">
        <f t="shared" si="510"/>
        <v>1</v>
      </c>
      <c r="V4064" s="403" t="str">
        <f t="shared" si="511"/>
        <v>CPP_7_3</v>
      </c>
    </row>
    <row r="4065" spans="1:22">
      <c r="A4065" t="str">
        <f t="shared" si="504"/>
        <v>NDE-8503-RT</v>
      </c>
      <c r="B4065" s="403" t="s">
        <v>1410</v>
      </c>
      <c r="C4065" s="403" t="s">
        <v>582</v>
      </c>
      <c r="D4065" s="403" t="s">
        <v>1414</v>
      </c>
      <c r="E4065" s="403" t="s">
        <v>1413</v>
      </c>
      <c r="F4065" s="403" t="s">
        <v>1382</v>
      </c>
      <c r="G4065" s="403" t="s">
        <v>1466</v>
      </c>
      <c r="H4065" s="403" t="s">
        <v>1276</v>
      </c>
      <c r="I4065" s="403">
        <v>1</v>
      </c>
      <c r="J4065" s="403" t="s">
        <v>1376</v>
      </c>
      <c r="K4065" s="403">
        <v>3072</v>
      </c>
      <c r="L4065" s="403">
        <v>1728</v>
      </c>
      <c r="M4065" s="403" t="s">
        <v>1279</v>
      </c>
      <c r="N4065" s="403">
        <v>768</v>
      </c>
      <c r="O4065" s="403">
        <v>432</v>
      </c>
      <c r="P4065" t="str">
        <f t="shared" si="505"/>
        <v>30fps 3072x1728 - SD ROI PTZ</v>
      </c>
      <c r="Q4065">
        <f t="shared" si="506"/>
        <v>20</v>
      </c>
      <c r="R4065" t="str">
        <f t="shared" si="507"/>
        <v/>
      </c>
      <c r="S4065" t="str">
        <f t="shared" si="508"/>
        <v/>
      </c>
      <c r="T4065" s="403" t="str">
        <f t="shared" si="509"/>
        <v>NDE-8503-RT</v>
      </c>
      <c r="U4065" s="403">
        <f t="shared" si="510"/>
        <v>1</v>
      </c>
      <c r="V4065" s="403" t="str">
        <f t="shared" si="511"/>
        <v>CPP_7_3</v>
      </c>
    </row>
    <row r="4066" spans="1:22">
      <c r="A4066" t="str">
        <f t="shared" si="504"/>
        <v>NDE-8503-RT</v>
      </c>
      <c r="B4066" s="403" t="s">
        <v>1410</v>
      </c>
      <c r="C4066" s="403" t="s">
        <v>582</v>
      </c>
      <c r="D4066" s="403" t="s">
        <v>1414</v>
      </c>
      <c r="E4066" s="403" t="s">
        <v>1413</v>
      </c>
      <c r="F4066" s="403" t="s">
        <v>1382</v>
      </c>
      <c r="G4066" s="403" t="s">
        <v>1466</v>
      </c>
      <c r="H4066" s="403" t="s">
        <v>1276</v>
      </c>
      <c r="I4066" s="403">
        <v>1</v>
      </c>
      <c r="J4066" s="403" t="s">
        <v>1376</v>
      </c>
      <c r="K4066" s="403">
        <v>3072</v>
      </c>
      <c r="L4066" s="403">
        <v>1728</v>
      </c>
      <c r="M4066" s="403" t="s">
        <v>1284</v>
      </c>
      <c r="N4066" s="403">
        <v>640</v>
      </c>
      <c r="O4066" s="403">
        <v>480</v>
      </c>
      <c r="P4066" t="str">
        <f t="shared" si="505"/>
        <v>30fps 3072x1728 - SD VGA (cropped)</v>
      </c>
      <c r="Q4066">
        <f t="shared" si="506"/>
        <v>20</v>
      </c>
      <c r="R4066" t="str">
        <f t="shared" si="507"/>
        <v/>
      </c>
      <c r="S4066" t="str">
        <f t="shared" si="508"/>
        <v/>
      </c>
      <c r="T4066" s="403" t="str">
        <f t="shared" si="509"/>
        <v>NDE-8503-RT</v>
      </c>
      <c r="U4066" s="403">
        <f t="shared" si="510"/>
        <v>1</v>
      </c>
      <c r="V4066" s="403" t="str">
        <f t="shared" si="511"/>
        <v>CPP_7_3</v>
      </c>
    </row>
    <row r="4067" spans="1:22">
      <c r="A4067" t="str">
        <f t="shared" si="504"/>
        <v>NDE-8503-RT</v>
      </c>
      <c r="B4067" s="403" t="s">
        <v>1410</v>
      </c>
      <c r="C4067" s="403" t="s">
        <v>582</v>
      </c>
      <c r="D4067" s="403" t="s">
        <v>1414</v>
      </c>
      <c r="E4067" s="403" t="s">
        <v>1413</v>
      </c>
      <c r="F4067" s="403" t="s">
        <v>1382</v>
      </c>
      <c r="G4067" s="403" t="s">
        <v>1466</v>
      </c>
      <c r="H4067" s="403" t="s">
        <v>1276</v>
      </c>
      <c r="I4067" s="403">
        <v>1</v>
      </c>
      <c r="J4067" s="403" t="s">
        <v>1376</v>
      </c>
      <c r="K4067" s="403">
        <v>3072</v>
      </c>
      <c r="L4067" s="403">
        <v>1728</v>
      </c>
      <c r="M4067" s="403" t="s">
        <v>1285</v>
      </c>
      <c r="N4067" s="403">
        <v>1280</v>
      </c>
      <c r="O4067" s="403">
        <v>1024</v>
      </c>
      <c r="P4067" t="str">
        <f t="shared" si="505"/>
        <v>30fps 3072x1728 - 1280x1024 5:4 (cropped)</v>
      </c>
      <c r="Q4067">
        <f t="shared" si="506"/>
        <v>20</v>
      </c>
      <c r="R4067" t="str">
        <f t="shared" si="507"/>
        <v/>
      </c>
      <c r="S4067" t="str">
        <f t="shared" si="508"/>
        <v/>
      </c>
      <c r="T4067" s="403" t="str">
        <f t="shared" si="509"/>
        <v>NDE-8503-RT</v>
      </c>
      <c r="U4067" s="403">
        <f t="shared" si="510"/>
        <v>1</v>
      </c>
      <c r="V4067" s="403" t="str">
        <f t="shared" si="511"/>
        <v>CPP_7_3</v>
      </c>
    </row>
    <row r="4068" spans="1:22">
      <c r="A4068" t="str">
        <f t="shared" si="504"/>
        <v>NDE-8503-RT</v>
      </c>
      <c r="B4068" s="403" t="s">
        <v>1410</v>
      </c>
      <c r="C4068" s="403" t="s">
        <v>582</v>
      </c>
      <c r="D4068" s="403" t="s">
        <v>1414</v>
      </c>
      <c r="E4068" s="403" t="s">
        <v>1413</v>
      </c>
      <c r="F4068" s="403" t="s">
        <v>1382</v>
      </c>
      <c r="G4068" s="403" t="s">
        <v>1466</v>
      </c>
      <c r="H4068" s="403" t="s">
        <v>1276</v>
      </c>
      <c r="I4068" s="403">
        <v>1</v>
      </c>
      <c r="J4068" s="403" t="s">
        <v>1376</v>
      </c>
      <c r="K4068" s="403">
        <v>3072</v>
      </c>
      <c r="L4068" s="403">
        <v>1728</v>
      </c>
      <c r="M4068" s="403" t="s">
        <v>1383</v>
      </c>
      <c r="N4068" s="403">
        <v>1920</v>
      </c>
      <c r="O4068" s="403">
        <v>1440</v>
      </c>
      <c r="P4068" t="str">
        <f t="shared" si="505"/>
        <v>30fps 3072x1728 - 1920x1440_CROP</v>
      </c>
      <c r="Q4068">
        <f t="shared" si="506"/>
        <v>20</v>
      </c>
      <c r="R4068" t="str">
        <f t="shared" si="507"/>
        <v/>
      </c>
      <c r="S4068" t="str">
        <f t="shared" si="508"/>
        <v/>
      </c>
      <c r="T4068" s="403" t="str">
        <f t="shared" si="509"/>
        <v>NDE-8503-RT</v>
      </c>
      <c r="U4068" s="403">
        <f t="shared" si="510"/>
        <v>1</v>
      </c>
      <c r="V4068" s="403" t="str">
        <f t="shared" si="511"/>
        <v>CPP_7_3</v>
      </c>
    </row>
    <row r="4069" spans="1:22">
      <c r="A4069" t="str">
        <f t="shared" si="504"/>
        <v>NDE-8503-RT</v>
      </c>
      <c r="B4069" s="403" t="s">
        <v>1410</v>
      </c>
      <c r="C4069" s="403" t="s">
        <v>582</v>
      </c>
      <c r="D4069" s="403" t="s">
        <v>1414</v>
      </c>
      <c r="E4069" s="403" t="s">
        <v>1413</v>
      </c>
      <c r="F4069" s="403" t="s">
        <v>1382</v>
      </c>
      <c r="G4069" s="403" t="s">
        <v>1466</v>
      </c>
      <c r="H4069" s="403" t="s">
        <v>1276</v>
      </c>
      <c r="I4069" s="403">
        <v>1</v>
      </c>
      <c r="J4069" s="403" t="s">
        <v>1373</v>
      </c>
      <c r="K4069" s="403">
        <v>2688</v>
      </c>
      <c r="L4069" s="403">
        <v>1512</v>
      </c>
      <c r="M4069" s="403" t="s">
        <v>110</v>
      </c>
      <c r="N4069" s="403">
        <v>1920</v>
      </c>
      <c r="O4069" s="403">
        <v>1080</v>
      </c>
      <c r="P4069" t="str">
        <f t="shared" si="505"/>
        <v>30fps 2688x1512 - 1080p</v>
      </c>
      <c r="Q4069">
        <f t="shared" si="506"/>
        <v>20</v>
      </c>
      <c r="R4069" t="str">
        <f t="shared" si="507"/>
        <v/>
      </c>
      <c r="S4069" t="str">
        <f t="shared" si="508"/>
        <v/>
      </c>
      <c r="T4069" s="403" t="str">
        <f t="shared" si="509"/>
        <v>NDE-8503-RT</v>
      </c>
      <c r="U4069" s="403">
        <f t="shared" si="510"/>
        <v>1</v>
      </c>
      <c r="V4069" s="403" t="str">
        <f t="shared" si="511"/>
        <v>CPP_7_3</v>
      </c>
    </row>
    <row r="4070" spans="1:22">
      <c r="A4070" t="str">
        <f t="shared" si="504"/>
        <v>NDE-8503-RT</v>
      </c>
      <c r="B4070" s="403" t="s">
        <v>1410</v>
      </c>
      <c r="C4070" s="403" t="s">
        <v>582</v>
      </c>
      <c r="D4070" s="403" t="s">
        <v>1414</v>
      </c>
      <c r="E4070" s="403" t="s">
        <v>1413</v>
      </c>
      <c r="F4070" s="403" t="s">
        <v>1382</v>
      </c>
      <c r="G4070" s="403" t="s">
        <v>1466</v>
      </c>
      <c r="H4070" s="403" t="s">
        <v>1276</v>
      </c>
      <c r="I4070" s="403">
        <v>1</v>
      </c>
      <c r="J4070" s="403" t="s">
        <v>1373</v>
      </c>
      <c r="K4070" s="403">
        <v>2688</v>
      </c>
      <c r="L4070" s="403">
        <v>1512</v>
      </c>
      <c r="M4070" s="403" t="s">
        <v>1384</v>
      </c>
      <c r="N4070" s="403">
        <v>2688</v>
      </c>
      <c r="O4070" s="403">
        <v>1512</v>
      </c>
      <c r="P4070" t="str">
        <f t="shared" si="505"/>
        <v>30fps 2688x1512 - 2688x1512 @ SKIP 2</v>
      </c>
      <c r="Q4070">
        <f t="shared" si="506"/>
        <v>20</v>
      </c>
      <c r="R4070" t="str">
        <f t="shared" si="507"/>
        <v/>
      </c>
      <c r="S4070" t="str">
        <f t="shared" si="508"/>
        <v/>
      </c>
      <c r="T4070" s="403" t="str">
        <f t="shared" si="509"/>
        <v>NDE-8503-RT</v>
      </c>
      <c r="U4070" s="403">
        <f t="shared" si="510"/>
        <v>1</v>
      </c>
      <c r="V4070" s="403" t="str">
        <f t="shared" si="511"/>
        <v>CPP_7_3</v>
      </c>
    </row>
    <row r="4071" spans="1:22">
      <c r="A4071" t="str">
        <f t="shared" si="504"/>
        <v>NDE-8503-RT</v>
      </c>
      <c r="B4071" s="403" t="s">
        <v>1410</v>
      </c>
      <c r="C4071" s="403" t="s">
        <v>582</v>
      </c>
      <c r="D4071" s="403" t="s">
        <v>1414</v>
      </c>
      <c r="E4071" s="403" t="s">
        <v>1413</v>
      </c>
      <c r="F4071" s="403" t="s">
        <v>1382</v>
      </c>
      <c r="G4071" s="403" t="s">
        <v>1466</v>
      </c>
      <c r="H4071" s="403" t="s">
        <v>1276</v>
      </c>
      <c r="I4071" s="403">
        <v>1</v>
      </c>
      <c r="J4071" s="403" t="s">
        <v>1373</v>
      </c>
      <c r="K4071" s="403">
        <v>2688</v>
      </c>
      <c r="L4071" s="403">
        <v>1512</v>
      </c>
      <c r="M4071" s="403" t="s">
        <v>109</v>
      </c>
      <c r="N4071" s="403">
        <v>1280</v>
      </c>
      <c r="O4071" s="403">
        <v>720</v>
      </c>
      <c r="P4071" t="str">
        <f t="shared" si="505"/>
        <v>30fps 2688x1512 - 720p</v>
      </c>
      <c r="Q4071">
        <f t="shared" si="506"/>
        <v>20</v>
      </c>
      <c r="R4071" t="str">
        <f t="shared" si="507"/>
        <v/>
      </c>
      <c r="S4071" t="str">
        <f t="shared" si="508"/>
        <v/>
      </c>
      <c r="T4071" s="403" t="str">
        <f t="shared" si="509"/>
        <v>NDE-8503-RT</v>
      </c>
      <c r="U4071" s="403">
        <f t="shared" si="510"/>
        <v>1</v>
      </c>
      <c r="V4071" s="403" t="str">
        <f t="shared" si="511"/>
        <v>CPP_7_3</v>
      </c>
    </row>
    <row r="4072" spans="1:22">
      <c r="A4072" t="str">
        <f t="shared" si="504"/>
        <v>NDE-8503-RT</v>
      </c>
      <c r="B4072" s="403" t="s">
        <v>1410</v>
      </c>
      <c r="C4072" s="403" t="s">
        <v>582</v>
      </c>
      <c r="D4072" s="403" t="s">
        <v>1414</v>
      </c>
      <c r="E4072" s="403" t="s">
        <v>1413</v>
      </c>
      <c r="F4072" s="403" t="s">
        <v>1382</v>
      </c>
      <c r="G4072" s="403" t="s">
        <v>1466</v>
      </c>
      <c r="H4072" s="403" t="s">
        <v>1276</v>
      </c>
      <c r="I4072" s="403">
        <v>1</v>
      </c>
      <c r="J4072" s="403" t="s">
        <v>1373</v>
      </c>
      <c r="K4072" s="403">
        <v>2688</v>
      </c>
      <c r="L4072" s="403">
        <v>1512</v>
      </c>
      <c r="M4072" s="403" t="s">
        <v>111</v>
      </c>
      <c r="N4072" s="403">
        <v>768</v>
      </c>
      <c r="O4072" s="403">
        <v>432</v>
      </c>
      <c r="P4072" t="str">
        <f t="shared" si="505"/>
        <v>30fps 2688x1512 - SD</v>
      </c>
      <c r="Q4072">
        <f t="shared" si="506"/>
        <v>20</v>
      </c>
      <c r="R4072" t="str">
        <f t="shared" si="507"/>
        <v/>
      </c>
      <c r="S4072" t="str">
        <f t="shared" si="508"/>
        <v/>
      </c>
      <c r="T4072" s="403" t="str">
        <f t="shared" si="509"/>
        <v>NDE-8503-RT</v>
      </c>
      <c r="U4072" s="403">
        <f t="shared" si="510"/>
        <v>1</v>
      </c>
      <c r="V4072" s="403" t="str">
        <f t="shared" si="511"/>
        <v>CPP_7_3</v>
      </c>
    </row>
    <row r="4073" spans="1:22">
      <c r="A4073" t="str">
        <f t="shared" si="504"/>
        <v>NDE-8503-RT</v>
      </c>
      <c r="B4073" s="403" t="s">
        <v>1410</v>
      </c>
      <c r="C4073" s="403" t="s">
        <v>582</v>
      </c>
      <c r="D4073" s="403" t="s">
        <v>1414</v>
      </c>
      <c r="E4073" s="403" t="s">
        <v>1413</v>
      </c>
      <c r="F4073" s="403" t="s">
        <v>1382</v>
      </c>
      <c r="G4073" s="403" t="s">
        <v>1466</v>
      </c>
      <c r="H4073" s="403" t="s">
        <v>1276</v>
      </c>
      <c r="I4073" s="403">
        <v>1</v>
      </c>
      <c r="J4073" s="403" t="s">
        <v>1373</v>
      </c>
      <c r="K4073" s="403">
        <v>2688</v>
      </c>
      <c r="L4073" s="403">
        <v>1512</v>
      </c>
      <c r="M4073" s="403" t="s">
        <v>1279</v>
      </c>
      <c r="N4073" s="403">
        <v>768</v>
      </c>
      <c r="O4073" s="403">
        <v>432</v>
      </c>
      <c r="P4073" t="str">
        <f t="shared" si="505"/>
        <v>30fps 2688x1512 - SD ROI PTZ</v>
      </c>
      <c r="Q4073">
        <f t="shared" si="506"/>
        <v>20</v>
      </c>
      <c r="R4073" t="str">
        <f t="shared" si="507"/>
        <v/>
      </c>
      <c r="S4073" t="str">
        <f t="shared" si="508"/>
        <v/>
      </c>
      <c r="T4073" s="403" t="str">
        <f t="shared" si="509"/>
        <v>NDE-8503-RT</v>
      </c>
      <c r="U4073" s="403">
        <f t="shared" si="510"/>
        <v>1</v>
      </c>
      <c r="V4073" s="403" t="str">
        <f t="shared" si="511"/>
        <v>CPP_7_3</v>
      </c>
    </row>
    <row r="4074" spans="1:22">
      <c r="A4074" t="str">
        <f t="shared" si="504"/>
        <v>NDE-8503-RT</v>
      </c>
      <c r="B4074" s="403" t="s">
        <v>1410</v>
      </c>
      <c r="C4074" s="403" t="s">
        <v>582</v>
      </c>
      <c r="D4074" s="403" t="s">
        <v>1414</v>
      </c>
      <c r="E4074" s="403" t="s">
        <v>1413</v>
      </c>
      <c r="F4074" s="403" t="s">
        <v>1382</v>
      </c>
      <c r="G4074" s="403" t="s">
        <v>1466</v>
      </c>
      <c r="H4074" s="403" t="s">
        <v>1276</v>
      </c>
      <c r="I4074" s="403">
        <v>1</v>
      </c>
      <c r="J4074" s="403" t="s">
        <v>1373</v>
      </c>
      <c r="K4074" s="403">
        <v>2688</v>
      </c>
      <c r="L4074" s="403">
        <v>1512</v>
      </c>
      <c r="M4074" s="403" t="s">
        <v>1285</v>
      </c>
      <c r="N4074" s="403">
        <v>1280</v>
      </c>
      <c r="O4074" s="403">
        <v>1024</v>
      </c>
      <c r="P4074" t="str">
        <f t="shared" si="505"/>
        <v>30fps 2688x1512 - 1280x1024 5:4 (cropped)</v>
      </c>
      <c r="Q4074">
        <f t="shared" si="506"/>
        <v>20</v>
      </c>
      <c r="R4074" t="str">
        <f t="shared" si="507"/>
        <v/>
      </c>
      <c r="S4074" t="str">
        <f t="shared" si="508"/>
        <v/>
      </c>
      <c r="T4074" s="403" t="str">
        <f t="shared" si="509"/>
        <v>NDE-8503-RT</v>
      </c>
      <c r="U4074" s="403">
        <f t="shared" si="510"/>
        <v>1</v>
      </c>
      <c r="V4074" s="403" t="str">
        <f t="shared" si="511"/>
        <v>CPP_7_3</v>
      </c>
    </row>
    <row r="4075" spans="1:22">
      <c r="A4075" t="str">
        <f t="shared" si="504"/>
        <v>NDE-8503-RT</v>
      </c>
      <c r="B4075" s="403" t="s">
        <v>1410</v>
      </c>
      <c r="C4075" s="403" t="s">
        <v>582</v>
      </c>
      <c r="D4075" s="403" t="s">
        <v>1414</v>
      </c>
      <c r="E4075" s="403" t="s">
        <v>1413</v>
      </c>
      <c r="F4075" s="403" t="s">
        <v>1382</v>
      </c>
      <c r="G4075" s="403" t="s">
        <v>1466</v>
      </c>
      <c r="H4075" s="403" t="s">
        <v>1276</v>
      </c>
      <c r="I4075" s="403">
        <v>1</v>
      </c>
      <c r="J4075" s="403" t="s">
        <v>1373</v>
      </c>
      <c r="K4075" s="403">
        <v>2688</v>
      </c>
      <c r="L4075" s="403">
        <v>1512</v>
      </c>
      <c r="M4075" s="403" t="s">
        <v>1283</v>
      </c>
      <c r="N4075" s="403">
        <v>720</v>
      </c>
      <c r="O4075" s="403">
        <v>480</v>
      </c>
      <c r="P4075" t="str">
        <f t="shared" si="505"/>
        <v>30fps 2688x1512 - SD 4CIF resolution 4:3 format (cropped)</v>
      </c>
      <c r="Q4075">
        <f t="shared" si="506"/>
        <v>20</v>
      </c>
      <c r="R4075" t="str">
        <f t="shared" si="507"/>
        <v/>
      </c>
      <c r="S4075" t="str">
        <f t="shared" si="508"/>
        <v/>
      </c>
      <c r="T4075" s="403" t="str">
        <f t="shared" si="509"/>
        <v>NDE-8503-RT</v>
      </c>
      <c r="U4075" s="403">
        <f t="shared" si="510"/>
        <v>1</v>
      </c>
      <c r="V4075" s="403" t="str">
        <f t="shared" si="511"/>
        <v>CPP_7_3</v>
      </c>
    </row>
    <row r="4076" spans="1:22">
      <c r="A4076" t="str">
        <f t="shared" si="504"/>
        <v>NDE-8503-RT</v>
      </c>
      <c r="B4076" s="403" t="s">
        <v>1410</v>
      </c>
      <c r="C4076" s="403" t="s">
        <v>582</v>
      </c>
      <c r="D4076" s="403" t="s">
        <v>1414</v>
      </c>
      <c r="E4076" s="403" t="s">
        <v>1413</v>
      </c>
      <c r="F4076" s="403" t="s">
        <v>1382</v>
      </c>
      <c r="G4076" s="403" t="s">
        <v>1466</v>
      </c>
      <c r="H4076" s="403" t="s">
        <v>1276</v>
      </c>
      <c r="I4076" s="403">
        <v>1</v>
      </c>
      <c r="J4076" s="403" t="s">
        <v>1373</v>
      </c>
      <c r="K4076" s="403">
        <v>2688</v>
      </c>
      <c r="L4076" s="403">
        <v>1512</v>
      </c>
      <c r="M4076" s="403" t="s">
        <v>1284</v>
      </c>
      <c r="N4076" s="403">
        <v>640</v>
      </c>
      <c r="O4076" s="403">
        <v>480</v>
      </c>
      <c r="P4076" t="str">
        <f t="shared" si="505"/>
        <v>30fps 2688x1512 - SD VGA (cropped)</v>
      </c>
      <c r="Q4076">
        <f t="shared" si="506"/>
        <v>20</v>
      </c>
      <c r="R4076" t="str">
        <f t="shared" si="507"/>
        <v/>
      </c>
      <c r="S4076" t="str">
        <f t="shared" si="508"/>
        <v/>
      </c>
      <c r="T4076" s="403" t="str">
        <f t="shared" si="509"/>
        <v>NDE-8503-RT</v>
      </c>
      <c r="U4076" s="403">
        <f t="shared" si="510"/>
        <v>1</v>
      </c>
      <c r="V4076" s="403" t="str">
        <f t="shared" si="511"/>
        <v>CPP_7_3</v>
      </c>
    </row>
    <row r="4077" spans="1:22">
      <c r="A4077" t="str">
        <f t="shared" si="504"/>
        <v>NDE-8503-RT</v>
      </c>
      <c r="B4077" s="403" t="s">
        <v>1410</v>
      </c>
      <c r="C4077" s="403" t="s">
        <v>582</v>
      </c>
      <c r="D4077" s="403" t="s">
        <v>1414</v>
      </c>
      <c r="E4077" s="403" t="s">
        <v>1413</v>
      </c>
      <c r="F4077" s="403" t="s">
        <v>1382</v>
      </c>
      <c r="G4077" s="403" t="s">
        <v>1466</v>
      </c>
      <c r="H4077" s="403" t="s">
        <v>1276</v>
      </c>
      <c r="I4077" s="403">
        <v>1</v>
      </c>
      <c r="J4077" s="403" t="s">
        <v>1373</v>
      </c>
      <c r="K4077" s="403">
        <v>2688</v>
      </c>
      <c r="L4077" s="403">
        <v>1512</v>
      </c>
      <c r="M4077" s="403" t="s">
        <v>1280</v>
      </c>
      <c r="N4077" s="403">
        <v>2688</v>
      </c>
      <c r="O4077" s="403">
        <v>1512</v>
      </c>
      <c r="P4077" t="str">
        <f t="shared" si="505"/>
        <v>30fps 2688x1512 - copy other stream</v>
      </c>
      <c r="Q4077">
        <f t="shared" si="506"/>
        <v>20</v>
      </c>
      <c r="R4077" t="str">
        <f t="shared" si="507"/>
        <v/>
      </c>
      <c r="S4077" t="str">
        <f t="shared" si="508"/>
        <v/>
      </c>
      <c r="T4077" s="403" t="str">
        <f t="shared" si="509"/>
        <v>NDE-8503-RT</v>
      </c>
      <c r="U4077" s="403">
        <f t="shared" si="510"/>
        <v>1</v>
      </c>
      <c r="V4077" s="403" t="str">
        <f t="shared" si="511"/>
        <v>CPP_7_3</v>
      </c>
    </row>
    <row r="4078" spans="1:22">
      <c r="A4078" t="str">
        <f t="shared" si="504"/>
        <v>NDE-8503-RT</v>
      </c>
      <c r="B4078" s="403" t="s">
        <v>1410</v>
      </c>
      <c r="C4078" s="403" t="s">
        <v>582</v>
      </c>
      <c r="D4078" s="403" t="s">
        <v>1414</v>
      </c>
      <c r="E4078" s="403" t="s">
        <v>1413</v>
      </c>
      <c r="F4078" s="403" t="s">
        <v>1382</v>
      </c>
      <c r="G4078" s="403" t="s">
        <v>1466</v>
      </c>
      <c r="H4078" s="403" t="s">
        <v>1276</v>
      </c>
      <c r="I4078" s="403">
        <v>1</v>
      </c>
      <c r="J4078" s="403" t="s">
        <v>1374</v>
      </c>
      <c r="K4078" s="403">
        <v>2304</v>
      </c>
      <c r="L4078" s="403">
        <v>1296</v>
      </c>
      <c r="M4078" s="403" t="s">
        <v>110</v>
      </c>
      <c r="N4078" s="403">
        <v>1920</v>
      </c>
      <c r="O4078" s="403">
        <v>1080</v>
      </c>
      <c r="P4078" t="str">
        <f t="shared" si="505"/>
        <v>30fps 2304x1296 - 1080p</v>
      </c>
      <c r="Q4078">
        <f t="shared" si="506"/>
        <v>20</v>
      </c>
      <c r="R4078" t="str">
        <f t="shared" si="507"/>
        <v/>
      </c>
      <c r="S4078" t="str">
        <f t="shared" si="508"/>
        <v/>
      </c>
      <c r="T4078" s="403" t="str">
        <f t="shared" si="509"/>
        <v>NDE-8503-RT</v>
      </c>
      <c r="U4078" s="403">
        <f t="shared" si="510"/>
        <v>1</v>
      </c>
      <c r="V4078" s="403" t="str">
        <f t="shared" si="511"/>
        <v>CPP_7_3</v>
      </c>
    </row>
    <row r="4079" spans="1:22">
      <c r="A4079" t="str">
        <f t="shared" si="504"/>
        <v>NDE-8503-RT</v>
      </c>
      <c r="B4079" s="403" t="s">
        <v>1410</v>
      </c>
      <c r="C4079" s="403" t="s">
        <v>582</v>
      </c>
      <c r="D4079" s="403" t="s">
        <v>1414</v>
      </c>
      <c r="E4079" s="403" t="s">
        <v>1413</v>
      </c>
      <c r="F4079" s="403" t="s">
        <v>1382</v>
      </c>
      <c r="G4079" s="403" t="s">
        <v>1466</v>
      </c>
      <c r="H4079" s="403" t="s">
        <v>1276</v>
      </c>
      <c r="I4079" s="403">
        <v>1</v>
      </c>
      <c r="J4079" s="403" t="s">
        <v>1374</v>
      </c>
      <c r="K4079" s="403">
        <v>2304</v>
      </c>
      <c r="L4079" s="403">
        <v>1296</v>
      </c>
      <c r="M4079" s="403" t="s">
        <v>1374</v>
      </c>
      <c r="N4079" s="403">
        <v>2304</v>
      </c>
      <c r="O4079" s="403">
        <v>1296</v>
      </c>
      <c r="P4079" t="str">
        <f t="shared" si="505"/>
        <v>30fps 2304x1296 - 2304x1296</v>
      </c>
      <c r="Q4079">
        <f t="shared" si="506"/>
        <v>20</v>
      </c>
      <c r="R4079" t="str">
        <f t="shared" si="507"/>
        <v/>
      </c>
      <c r="S4079" t="str">
        <f t="shared" si="508"/>
        <v/>
      </c>
      <c r="T4079" s="403" t="str">
        <f t="shared" si="509"/>
        <v>NDE-8503-RT</v>
      </c>
      <c r="U4079" s="403">
        <f t="shared" si="510"/>
        <v>1</v>
      </c>
      <c r="V4079" s="403" t="str">
        <f t="shared" si="511"/>
        <v>CPP_7_3</v>
      </c>
    </row>
    <row r="4080" spans="1:22">
      <c r="A4080" t="str">
        <f t="shared" si="504"/>
        <v>NDE-8503-RT</v>
      </c>
      <c r="B4080" s="403" t="s">
        <v>1410</v>
      </c>
      <c r="C4080" s="403" t="s">
        <v>582</v>
      </c>
      <c r="D4080" s="403" t="s">
        <v>1414</v>
      </c>
      <c r="E4080" s="403" t="s">
        <v>1413</v>
      </c>
      <c r="F4080" s="403" t="s">
        <v>1382</v>
      </c>
      <c r="G4080" s="403" t="s">
        <v>1466</v>
      </c>
      <c r="H4080" s="403" t="s">
        <v>1276</v>
      </c>
      <c r="I4080" s="403">
        <v>1</v>
      </c>
      <c r="J4080" s="403" t="s">
        <v>1374</v>
      </c>
      <c r="K4080" s="403">
        <v>2304</v>
      </c>
      <c r="L4080" s="403">
        <v>1296</v>
      </c>
      <c r="M4080" s="403" t="s">
        <v>109</v>
      </c>
      <c r="N4080" s="403">
        <v>1280</v>
      </c>
      <c r="O4080" s="403">
        <v>720</v>
      </c>
      <c r="P4080" t="str">
        <f t="shared" si="505"/>
        <v>30fps 2304x1296 - 720p</v>
      </c>
      <c r="Q4080">
        <f t="shared" si="506"/>
        <v>20</v>
      </c>
      <c r="R4080" t="str">
        <f t="shared" si="507"/>
        <v/>
      </c>
      <c r="S4080" t="str">
        <f t="shared" si="508"/>
        <v/>
      </c>
      <c r="T4080" s="403" t="str">
        <f t="shared" si="509"/>
        <v>NDE-8503-RT</v>
      </c>
      <c r="U4080" s="403">
        <f t="shared" si="510"/>
        <v>1</v>
      </c>
      <c r="V4080" s="403" t="str">
        <f t="shared" si="511"/>
        <v>CPP_7_3</v>
      </c>
    </row>
    <row r="4081" spans="1:22">
      <c r="A4081" t="str">
        <f t="shared" si="504"/>
        <v>NDE-8503-RT</v>
      </c>
      <c r="B4081" s="403" t="s">
        <v>1410</v>
      </c>
      <c r="C4081" s="403" t="s">
        <v>582</v>
      </c>
      <c r="D4081" s="403" t="s">
        <v>1414</v>
      </c>
      <c r="E4081" s="403" t="s">
        <v>1413</v>
      </c>
      <c r="F4081" s="403" t="s">
        <v>1382</v>
      </c>
      <c r="G4081" s="403" t="s">
        <v>1466</v>
      </c>
      <c r="H4081" s="403" t="s">
        <v>1276</v>
      </c>
      <c r="I4081" s="403">
        <v>1</v>
      </c>
      <c r="J4081" s="403" t="s">
        <v>1374</v>
      </c>
      <c r="K4081" s="403">
        <v>2304</v>
      </c>
      <c r="L4081" s="403">
        <v>1296</v>
      </c>
      <c r="M4081" s="403" t="s">
        <v>111</v>
      </c>
      <c r="N4081" s="403">
        <v>768</v>
      </c>
      <c r="O4081" s="403">
        <v>432</v>
      </c>
      <c r="P4081" t="str">
        <f t="shared" si="505"/>
        <v>30fps 2304x1296 - SD</v>
      </c>
      <c r="Q4081">
        <f t="shared" si="506"/>
        <v>20</v>
      </c>
      <c r="R4081" t="str">
        <f t="shared" si="507"/>
        <v/>
      </c>
      <c r="S4081" t="str">
        <f t="shared" si="508"/>
        <v/>
      </c>
      <c r="T4081" s="403" t="str">
        <f t="shared" si="509"/>
        <v>NDE-8503-RT</v>
      </c>
      <c r="U4081" s="403">
        <f t="shared" si="510"/>
        <v>1</v>
      </c>
      <c r="V4081" s="403" t="str">
        <f t="shared" si="511"/>
        <v>CPP_7_3</v>
      </c>
    </row>
    <row r="4082" spans="1:22">
      <c r="A4082" t="str">
        <f t="shared" si="504"/>
        <v>NDE-8503-RT</v>
      </c>
      <c r="B4082" s="403" t="s">
        <v>1410</v>
      </c>
      <c r="C4082" s="403" t="s">
        <v>582</v>
      </c>
      <c r="D4082" s="403" t="s">
        <v>1414</v>
      </c>
      <c r="E4082" s="403" t="s">
        <v>1413</v>
      </c>
      <c r="F4082" s="403" t="s">
        <v>1382</v>
      </c>
      <c r="G4082" s="403" t="s">
        <v>1466</v>
      </c>
      <c r="H4082" s="403" t="s">
        <v>1276</v>
      </c>
      <c r="I4082" s="403">
        <v>1</v>
      </c>
      <c r="J4082" s="403" t="s">
        <v>1374</v>
      </c>
      <c r="K4082" s="403">
        <v>2304</v>
      </c>
      <c r="L4082" s="403">
        <v>1296</v>
      </c>
      <c r="M4082" s="403" t="s">
        <v>1279</v>
      </c>
      <c r="N4082" s="403">
        <v>768</v>
      </c>
      <c r="O4082" s="403">
        <v>432</v>
      </c>
      <c r="P4082" t="str">
        <f t="shared" si="505"/>
        <v>30fps 2304x1296 - SD ROI PTZ</v>
      </c>
      <c r="Q4082">
        <f t="shared" si="506"/>
        <v>20</v>
      </c>
      <c r="R4082" t="str">
        <f t="shared" si="507"/>
        <v/>
      </c>
      <c r="S4082" t="str">
        <f t="shared" si="508"/>
        <v/>
      </c>
      <c r="T4082" s="403" t="str">
        <f t="shared" si="509"/>
        <v>NDE-8503-RT</v>
      </c>
      <c r="U4082" s="403">
        <f t="shared" si="510"/>
        <v>1</v>
      </c>
      <c r="V4082" s="403" t="str">
        <f t="shared" si="511"/>
        <v>CPP_7_3</v>
      </c>
    </row>
    <row r="4083" spans="1:22">
      <c r="A4083" t="str">
        <f t="shared" si="504"/>
        <v>NDE-8503-RT</v>
      </c>
      <c r="B4083" s="403" t="s">
        <v>1410</v>
      </c>
      <c r="C4083" s="403" t="s">
        <v>582</v>
      </c>
      <c r="D4083" s="403" t="s">
        <v>1414</v>
      </c>
      <c r="E4083" s="403" t="s">
        <v>1413</v>
      </c>
      <c r="F4083" s="403" t="s">
        <v>1382</v>
      </c>
      <c r="G4083" s="403" t="s">
        <v>1466</v>
      </c>
      <c r="H4083" s="403" t="s">
        <v>1276</v>
      </c>
      <c r="I4083" s="403">
        <v>1</v>
      </c>
      <c r="J4083" s="403" t="s">
        <v>1374</v>
      </c>
      <c r="K4083" s="403">
        <v>2304</v>
      </c>
      <c r="L4083" s="403">
        <v>1296</v>
      </c>
      <c r="M4083" s="403" t="s">
        <v>1285</v>
      </c>
      <c r="N4083" s="403">
        <v>1280</v>
      </c>
      <c r="O4083" s="403">
        <v>1024</v>
      </c>
      <c r="P4083" t="str">
        <f t="shared" si="505"/>
        <v>30fps 2304x1296 - 1280x1024 5:4 (cropped)</v>
      </c>
      <c r="Q4083">
        <f t="shared" si="506"/>
        <v>20</v>
      </c>
      <c r="R4083" t="str">
        <f t="shared" si="507"/>
        <v/>
      </c>
      <c r="S4083" t="str">
        <f t="shared" si="508"/>
        <v/>
      </c>
      <c r="T4083" s="403" t="str">
        <f t="shared" si="509"/>
        <v>NDE-8503-RT</v>
      </c>
      <c r="U4083" s="403">
        <f t="shared" si="510"/>
        <v>1</v>
      </c>
      <c r="V4083" s="403" t="str">
        <f t="shared" si="511"/>
        <v>CPP_7_3</v>
      </c>
    </row>
    <row r="4084" spans="1:22">
      <c r="A4084" t="str">
        <f t="shared" si="504"/>
        <v>NDE-8503-RT</v>
      </c>
      <c r="B4084" s="403" t="s">
        <v>1410</v>
      </c>
      <c r="C4084" s="403" t="s">
        <v>582</v>
      </c>
      <c r="D4084" s="403" t="s">
        <v>1414</v>
      </c>
      <c r="E4084" s="403" t="s">
        <v>1413</v>
      </c>
      <c r="F4084" s="403" t="s">
        <v>1382</v>
      </c>
      <c r="G4084" s="403" t="s">
        <v>1466</v>
      </c>
      <c r="H4084" s="403" t="s">
        <v>1276</v>
      </c>
      <c r="I4084" s="403">
        <v>1</v>
      </c>
      <c r="J4084" s="403" t="s">
        <v>1374</v>
      </c>
      <c r="K4084" s="403">
        <v>2304</v>
      </c>
      <c r="L4084" s="403">
        <v>1296</v>
      </c>
      <c r="M4084" s="403" t="s">
        <v>1283</v>
      </c>
      <c r="N4084" s="403">
        <v>720</v>
      </c>
      <c r="O4084" s="403">
        <v>480</v>
      </c>
      <c r="P4084" t="str">
        <f t="shared" si="505"/>
        <v>30fps 2304x1296 - SD 4CIF resolution 4:3 format (cropped)</v>
      </c>
      <c r="Q4084">
        <f t="shared" si="506"/>
        <v>20</v>
      </c>
      <c r="R4084" t="str">
        <f t="shared" si="507"/>
        <v/>
      </c>
      <c r="S4084" t="str">
        <f t="shared" si="508"/>
        <v/>
      </c>
      <c r="T4084" s="403" t="str">
        <f t="shared" si="509"/>
        <v>NDE-8503-RT</v>
      </c>
      <c r="U4084" s="403">
        <f t="shared" si="510"/>
        <v>1</v>
      </c>
      <c r="V4084" s="403" t="str">
        <f t="shared" si="511"/>
        <v>CPP_7_3</v>
      </c>
    </row>
    <row r="4085" spans="1:22">
      <c r="A4085" t="str">
        <f t="shared" si="504"/>
        <v>NDE-8503-RT</v>
      </c>
      <c r="B4085" s="403" t="s">
        <v>1410</v>
      </c>
      <c r="C4085" s="403" t="s">
        <v>582</v>
      </c>
      <c r="D4085" s="403" t="s">
        <v>1414</v>
      </c>
      <c r="E4085" s="403" t="s">
        <v>1413</v>
      </c>
      <c r="F4085" s="403" t="s">
        <v>1382</v>
      </c>
      <c r="G4085" s="403" t="s">
        <v>1466</v>
      </c>
      <c r="H4085" s="403" t="s">
        <v>1276</v>
      </c>
      <c r="I4085" s="403">
        <v>1</v>
      </c>
      <c r="J4085" s="403" t="s">
        <v>1374</v>
      </c>
      <c r="K4085" s="403">
        <v>2304</v>
      </c>
      <c r="L4085" s="403">
        <v>1296</v>
      </c>
      <c r="M4085" s="403" t="s">
        <v>1284</v>
      </c>
      <c r="N4085" s="403">
        <v>640</v>
      </c>
      <c r="O4085" s="403">
        <v>480</v>
      </c>
      <c r="P4085" t="str">
        <f t="shared" si="505"/>
        <v>30fps 2304x1296 - SD VGA (cropped)</v>
      </c>
      <c r="Q4085">
        <f t="shared" si="506"/>
        <v>20</v>
      </c>
      <c r="R4085" t="str">
        <f t="shared" si="507"/>
        <v/>
      </c>
      <c r="S4085" t="str">
        <f t="shared" si="508"/>
        <v/>
      </c>
      <c r="T4085" s="403" t="str">
        <f t="shared" si="509"/>
        <v>NDE-8503-RT</v>
      </c>
      <c r="U4085" s="403">
        <f t="shared" si="510"/>
        <v>1</v>
      </c>
      <c r="V4085" s="403" t="str">
        <f t="shared" si="511"/>
        <v>CPP_7_3</v>
      </c>
    </row>
    <row r="4086" spans="1:22">
      <c r="A4086" t="str">
        <f t="shared" si="504"/>
        <v>NDE-8503-RT</v>
      </c>
      <c r="B4086" s="403" t="s">
        <v>1410</v>
      </c>
      <c r="C4086" s="403" t="s">
        <v>582</v>
      </c>
      <c r="D4086" s="403" t="s">
        <v>1414</v>
      </c>
      <c r="E4086" s="403" t="s">
        <v>1413</v>
      </c>
      <c r="F4086" s="403" t="s">
        <v>1382</v>
      </c>
      <c r="G4086" s="403" t="s">
        <v>1466</v>
      </c>
      <c r="H4086" s="403" t="s">
        <v>1276</v>
      </c>
      <c r="I4086" s="403">
        <v>1</v>
      </c>
      <c r="J4086" s="403" t="s">
        <v>1374</v>
      </c>
      <c r="K4086" s="403">
        <v>2304</v>
      </c>
      <c r="L4086" s="403">
        <v>1296</v>
      </c>
      <c r="M4086" s="403" t="s">
        <v>1280</v>
      </c>
      <c r="N4086" s="403">
        <v>2304</v>
      </c>
      <c r="O4086" s="403">
        <v>1296</v>
      </c>
      <c r="P4086" t="str">
        <f t="shared" si="505"/>
        <v>30fps 2304x1296 - copy other stream</v>
      </c>
      <c r="Q4086">
        <f t="shared" si="506"/>
        <v>20</v>
      </c>
      <c r="R4086" t="str">
        <f t="shared" si="507"/>
        <v/>
      </c>
      <c r="S4086" t="str">
        <f t="shared" si="508"/>
        <v/>
      </c>
      <c r="T4086" s="403" t="str">
        <f t="shared" si="509"/>
        <v>NDE-8503-RT</v>
      </c>
      <c r="U4086" s="403">
        <f t="shared" si="510"/>
        <v>1</v>
      </c>
      <c r="V4086" s="403" t="str">
        <f t="shared" si="511"/>
        <v>CPP_7_3</v>
      </c>
    </row>
    <row r="4087" spans="1:22">
      <c r="A4087" t="str">
        <f t="shared" si="504"/>
        <v>NDE-8503-RT</v>
      </c>
      <c r="B4087" s="403" t="s">
        <v>1410</v>
      </c>
      <c r="C4087" s="403" t="s">
        <v>582</v>
      </c>
      <c r="D4087" s="403" t="s">
        <v>1414</v>
      </c>
      <c r="E4087" s="403" t="s">
        <v>1413</v>
      </c>
      <c r="F4087" s="403" t="s">
        <v>1382</v>
      </c>
      <c r="G4087" s="403" t="s">
        <v>1466</v>
      </c>
      <c r="H4087" s="403" t="s">
        <v>1276</v>
      </c>
      <c r="I4087" s="403">
        <v>1</v>
      </c>
      <c r="J4087" s="403" t="s">
        <v>110</v>
      </c>
      <c r="K4087" s="403">
        <v>1920</v>
      </c>
      <c r="L4087" s="403">
        <v>1080</v>
      </c>
      <c r="M4087" s="403" t="s">
        <v>111</v>
      </c>
      <c r="N4087" s="403">
        <v>768</v>
      </c>
      <c r="O4087" s="403">
        <v>432</v>
      </c>
      <c r="P4087" t="str">
        <f t="shared" si="505"/>
        <v>30fps 1080p - SD</v>
      </c>
      <c r="Q4087">
        <f t="shared" si="506"/>
        <v>20</v>
      </c>
      <c r="R4087" t="str">
        <f t="shared" si="507"/>
        <v/>
      </c>
      <c r="S4087" t="str">
        <f t="shared" si="508"/>
        <v/>
      </c>
      <c r="T4087" s="403" t="str">
        <f t="shared" si="509"/>
        <v>NDE-8503-RT</v>
      </c>
      <c r="U4087" s="403">
        <f t="shared" si="510"/>
        <v>1</v>
      </c>
      <c r="V4087" s="403" t="str">
        <f t="shared" si="511"/>
        <v>CPP_7_3</v>
      </c>
    </row>
    <row r="4088" spans="1:22">
      <c r="A4088" t="str">
        <f t="shared" si="504"/>
        <v>NDE-8503-RT</v>
      </c>
      <c r="B4088" s="403" t="s">
        <v>1410</v>
      </c>
      <c r="C4088" s="403" t="s">
        <v>582</v>
      </c>
      <c r="D4088" s="403" t="s">
        <v>1414</v>
      </c>
      <c r="E4088" s="403" t="s">
        <v>1413</v>
      </c>
      <c r="F4088" s="403" t="s">
        <v>1382</v>
      </c>
      <c r="G4088" s="403" t="s">
        <v>1466</v>
      </c>
      <c r="H4088" s="403" t="s">
        <v>1276</v>
      </c>
      <c r="I4088" s="403">
        <v>1</v>
      </c>
      <c r="J4088" s="403" t="s">
        <v>110</v>
      </c>
      <c r="K4088" s="403">
        <v>1920</v>
      </c>
      <c r="L4088" s="403">
        <v>1080</v>
      </c>
      <c r="M4088" s="403" t="s">
        <v>110</v>
      </c>
      <c r="N4088" s="403">
        <v>1920</v>
      </c>
      <c r="O4088" s="403">
        <v>1080</v>
      </c>
      <c r="P4088" t="str">
        <f t="shared" si="505"/>
        <v>30fps 1080p - 1080p</v>
      </c>
      <c r="Q4088">
        <f t="shared" si="506"/>
        <v>20</v>
      </c>
      <c r="R4088" t="str">
        <f t="shared" si="507"/>
        <v/>
      </c>
      <c r="S4088" t="str">
        <f t="shared" si="508"/>
        <v/>
      </c>
      <c r="T4088" s="403" t="str">
        <f t="shared" si="509"/>
        <v>NDE-8503-RT</v>
      </c>
      <c r="U4088" s="403">
        <f t="shared" si="510"/>
        <v>1</v>
      </c>
      <c r="V4088" s="403" t="str">
        <f t="shared" si="511"/>
        <v>CPP_7_3</v>
      </c>
    </row>
    <row r="4089" spans="1:22">
      <c r="A4089" t="str">
        <f t="shared" si="504"/>
        <v>NDE-8503-RT</v>
      </c>
      <c r="B4089" s="403" t="s">
        <v>1410</v>
      </c>
      <c r="C4089" s="403" t="s">
        <v>582</v>
      </c>
      <c r="D4089" s="403" t="s">
        <v>1414</v>
      </c>
      <c r="E4089" s="403" t="s">
        <v>1413</v>
      </c>
      <c r="F4089" s="403" t="s">
        <v>1382</v>
      </c>
      <c r="G4089" s="403" t="s">
        <v>1466</v>
      </c>
      <c r="H4089" s="403" t="s">
        <v>1276</v>
      </c>
      <c r="I4089" s="403">
        <v>1</v>
      </c>
      <c r="J4089" s="403" t="s">
        <v>110</v>
      </c>
      <c r="K4089" s="403">
        <v>1920</v>
      </c>
      <c r="L4089" s="403">
        <v>1080</v>
      </c>
      <c r="M4089" s="403" t="s">
        <v>109</v>
      </c>
      <c r="N4089" s="403">
        <v>1280</v>
      </c>
      <c r="O4089" s="403">
        <v>720</v>
      </c>
      <c r="P4089" t="str">
        <f t="shared" si="505"/>
        <v>30fps 1080p - 720p</v>
      </c>
      <c r="Q4089">
        <f t="shared" si="506"/>
        <v>20</v>
      </c>
      <c r="R4089" t="str">
        <f t="shared" si="507"/>
        <v/>
      </c>
      <c r="S4089" t="str">
        <f t="shared" si="508"/>
        <v/>
      </c>
      <c r="T4089" s="403" t="str">
        <f t="shared" si="509"/>
        <v>NDE-8503-RT</v>
      </c>
      <c r="U4089" s="403">
        <f t="shared" si="510"/>
        <v>1</v>
      </c>
      <c r="V4089" s="403" t="str">
        <f t="shared" si="511"/>
        <v>CPP_7_3</v>
      </c>
    </row>
    <row r="4090" spans="1:22">
      <c r="A4090" t="str">
        <f t="shared" si="504"/>
        <v>NDE-8503-RT</v>
      </c>
      <c r="B4090" s="403" t="s">
        <v>1410</v>
      </c>
      <c r="C4090" s="403" t="s">
        <v>582</v>
      </c>
      <c r="D4090" s="403" t="s">
        <v>1414</v>
      </c>
      <c r="E4090" s="403" t="s">
        <v>1413</v>
      </c>
      <c r="F4090" s="403" t="s">
        <v>1382</v>
      </c>
      <c r="G4090" s="403" t="s">
        <v>1466</v>
      </c>
      <c r="H4090" s="403" t="s">
        <v>1276</v>
      </c>
      <c r="I4090" s="403">
        <v>1</v>
      </c>
      <c r="J4090" s="403" t="s">
        <v>110</v>
      </c>
      <c r="K4090" s="403">
        <v>1920</v>
      </c>
      <c r="L4090" s="403">
        <v>1080</v>
      </c>
      <c r="M4090" s="403" t="s">
        <v>1285</v>
      </c>
      <c r="N4090" s="403">
        <v>1280</v>
      </c>
      <c r="O4090" s="403">
        <v>1024</v>
      </c>
      <c r="P4090" t="str">
        <f t="shared" si="505"/>
        <v>30fps 1080p - 1280x1024 5:4 (cropped)</v>
      </c>
      <c r="Q4090">
        <f t="shared" si="506"/>
        <v>20</v>
      </c>
      <c r="R4090" t="str">
        <f t="shared" si="507"/>
        <v/>
      </c>
      <c r="S4090" t="str">
        <f t="shared" si="508"/>
        <v/>
      </c>
      <c r="T4090" s="403" t="str">
        <f t="shared" si="509"/>
        <v>NDE-8503-RT</v>
      </c>
      <c r="U4090" s="403">
        <f t="shared" si="510"/>
        <v>1</v>
      </c>
      <c r="V4090" s="403" t="str">
        <f t="shared" si="511"/>
        <v>CPP_7_3</v>
      </c>
    </row>
    <row r="4091" spans="1:22">
      <c r="A4091" t="str">
        <f t="shared" si="504"/>
        <v>NDE-8503-RT</v>
      </c>
      <c r="B4091" s="403" t="s">
        <v>1410</v>
      </c>
      <c r="C4091" s="403" t="s">
        <v>582</v>
      </c>
      <c r="D4091" s="403" t="s">
        <v>1414</v>
      </c>
      <c r="E4091" s="403" t="s">
        <v>1413</v>
      </c>
      <c r="F4091" s="403" t="s">
        <v>1382</v>
      </c>
      <c r="G4091" s="403" t="s">
        <v>1466</v>
      </c>
      <c r="H4091" s="403" t="s">
        <v>1276</v>
      </c>
      <c r="I4091" s="403">
        <v>1</v>
      </c>
      <c r="J4091" s="403" t="s">
        <v>110</v>
      </c>
      <c r="K4091" s="403">
        <v>1920</v>
      </c>
      <c r="L4091" s="403">
        <v>1080</v>
      </c>
      <c r="M4091" s="403" t="s">
        <v>1279</v>
      </c>
      <c r="N4091" s="403">
        <v>768</v>
      </c>
      <c r="O4091" s="403">
        <v>432</v>
      </c>
      <c r="P4091" t="str">
        <f t="shared" si="505"/>
        <v>30fps 1080p - SD ROI PTZ</v>
      </c>
      <c r="Q4091">
        <f t="shared" si="506"/>
        <v>20</v>
      </c>
      <c r="R4091" t="str">
        <f t="shared" si="507"/>
        <v/>
      </c>
      <c r="S4091" t="str">
        <f t="shared" si="508"/>
        <v/>
      </c>
      <c r="T4091" s="403" t="str">
        <f t="shared" si="509"/>
        <v>NDE-8503-RT</v>
      </c>
      <c r="U4091" s="403">
        <f t="shared" si="510"/>
        <v>1</v>
      </c>
      <c r="V4091" s="403" t="str">
        <f t="shared" si="511"/>
        <v>CPP_7_3</v>
      </c>
    </row>
    <row r="4092" spans="1:22">
      <c r="A4092" t="str">
        <f t="shared" si="504"/>
        <v>NDE-8503-RT</v>
      </c>
      <c r="B4092" s="403" t="s">
        <v>1410</v>
      </c>
      <c r="C4092" s="403" t="s">
        <v>582</v>
      </c>
      <c r="D4092" s="403" t="s">
        <v>1414</v>
      </c>
      <c r="E4092" s="403" t="s">
        <v>1413</v>
      </c>
      <c r="F4092" s="403" t="s">
        <v>1382</v>
      </c>
      <c r="G4092" s="403" t="s">
        <v>1466</v>
      </c>
      <c r="H4092" s="403" t="s">
        <v>1276</v>
      </c>
      <c r="I4092" s="403">
        <v>1</v>
      </c>
      <c r="J4092" s="403" t="s">
        <v>110</v>
      </c>
      <c r="K4092" s="403">
        <v>1920</v>
      </c>
      <c r="L4092" s="403">
        <v>1080</v>
      </c>
      <c r="M4092" s="403" t="s">
        <v>1283</v>
      </c>
      <c r="N4092" s="403">
        <v>720</v>
      </c>
      <c r="O4092" s="403">
        <v>480</v>
      </c>
      <c r="P4092" t="str">
        <f t="shared" si="505"/>
        <v>30fps 1080p - SD 4CIF resolution 4:3 format (cropped)</v>
      </c>
      <c r="Q4092">
        <f t="shared" si="506"/>
        <v>20</v>
      </c>
      <c r="R4092" t="str">
        <f t="shared" si="507"/>
        <v/>
      </c>
      <c r="S4092" t="str">
        <f t="shared" si="508"/>
        <v/>
      </c>
      <c r="T4092" s="403" t="str">
        <f t="shared" si="509"/>
        <v>NDE-8503-RT</v>
      </c>
      <c r="U4092" s="403">
        <f t="shared" si="510"/>
        <v>1</v>
      </c>
      <c r="V4092" s="403" t="str">
        <f t="shared" si="511"/>
        <v>CPP_7_3</v>
      </c>
    </row>
    <row r="4093" spans="1:22">
      <c r="A4093" t="str">
        <f t="shared" si="504"/>
        <v>NDE-8503-RT</v>
      </c>
      <c r="B4093" s="403" t="s">
        <v>1410</v>
      </c>
      <c r="C4093" s="403" t="s">
        <v>582</v>
      </c>
      <c r="D4093" s="403" t="s">
        <v>1414</v>
      </c>
      <c r="E4093" s="403" t="s">
        <v>1413</v>
      </c>
      <c r="F4093" s="403" t="s">
        <v>1382</v>
      </c>
      <c r="G4093" s="403" t="s">
        <v>1466</v>
      </c>
      <c r="H4093" s="403" t="s">
        <v>1276</v>
      </c>
      <c r="I4093" s="403">
        <v>1</v>
      </c>
      <c r="J4093" s="403" t="s">
        <v>110</v>
      </c>
      <c r="K4093" s="403">
        <v>1920</v>
      </c>
      <c r="L4093" s="403">
        <v>1080</v>
      </c>
      <c r="M4093" s="403" t="s">
        <v>1284</v>
      </c>
      <c r="N4093" s="403">
        <v>640</v>
      </c>
      <c r="O4093" s="403">
        <v>480</v>
      </c>
      <c r="P4093" t="str">
        <f t="shared" si="505"/>
        <v>30fps 1080p - SD VGA (cropped)</v>
      </c>
      <c r="Q4093">
        <f t="shared" si="506"/>
        <v>20</v>
      </c>
      <c r="R4093" t="str">
        <f t="shared" si="507"/>
        <v/>
      </c>
      <c r="S4093" t="str">
        <f t="shared" si="508"/>
        <v/>
      </c>
      <c r="T4093" s="403" t="str">
        <f t="shared" si="509"/>
        <v>NDE-8503-RT</v>
      </c>
      <c r="U4093" s="403">
        <f t="shared" si="510"/>
        <v>1</v>
      </c>
      <c r="V4093" s="403" t="str">
        <f t="shared" si="511"/>
        <v>CPP_7_3</v>
      </c>
    </row>
    <row r="4094" spans="1:22">
      <c r="A4094" t="str">
        <f t="shared" si="504"/>
        <v>NDE-8503-RT</v>
      </c>
      <c r="B4094" s="403" t="s">
        <v>1410</v>
      </c>
      <c r="C4094" s="403" t="s">
        <v>582</v>
      </c>
      <c r="D4094" s="403" t="s">
        <v>1414</v>
      </c>
      <c r="E4094" s="403" t="s">
        <v>1413</v>
      </c>
      <c r="F4094" s="403" t="s">
        <v>1382</v>
      </c>
      <c r="G4094" s="403" t="s">
        <v>1466</v>
      </c>
      <c r="H4094" s="403" t="s">
        <v>1276</v>
      </c>
      <c r="I4094" s="403">
        <v>1</v>
      </c>
      <c r="J4094" s="403" t="s">
        <v>109</v>
      </c>
      <c r="K4094" s="403">
        <v>1280</v>
      </c>
      <c r="L4094" s="403">
        <v>720</v>
      </c>
      <c r="M4094" s="403" t="s">
        <v>109</v>
      </c>
      <c r="N4094" s="403">
        <v>1280</v>
      </c>
      <c r="O4094" s="403">
        <v>720</v>
      </c>
      <c r="P4094" t="str">
        <f t="shared" si="505"/>
        <v>30fps 720p - 720p</v>
      </c>
      <c r="Q4094">
        <f t="shared" si="506"/>
        <v>20</v>
      </c>
      <c r="R4094" t="str">
        <f t="shared" si="507"/>
        <v/>
      </c>
      <c r="S4094" t="str">
        <f t="shared" si="508"/>
        <v/>
      </c>
      <c r="T4094" s="403" t="str">
        <f t="shared" si="509"/>
        <v>NDE-8503-RT</v>
      </c>
      <c r="U4094" s="403">
        <f t="shared" si="510"/>
        <v>1</v>
      </c>
      <c r="V4094" s="403" t="str">
        <f t="shared" si="511"/>
        <v>CPP_7_3</v>
      </c>
    </row>
    <row r="4095" spans="1:22">
      <c r="A4095" t="str">
        <f t="shared" si="504"/>
        <v>NDE-8503-RT</v>
      </c>
      <c r="B4095" s="403" t="s">
        <v>1410</v>
      </c>
      <c r="C4095" s="403" t="s">
        <v>582</v>
      </c>
      <c r="D4095" s="403" t="s">
        <v>1414</v>
      </c>
      <c r="E4095" s="403" t="s">
        <v>1413</v>
      </c>
      <c r="F4095" s="403" t="s">
        <v>1382</v>
      </c>
      <c r="G4095" s="403" t="s">
        <v>1466</v>
      </c>
      <c r="H4095" s="403" t="s">
        <v>1276</v>
      </c>
      <c r="I4095" s="403">
        <v>1</v>
      </c>
      <c r="J4095" s="403" t="s">
        <v>109</v>
      </c>
      <c r="K4095" s="403">
        <v>1280</v>
      </c>
      <c r="L4095" s="403">
        <v>720</v>
      </c>
      <c r="M4095" s="403" t="s">
        <v>111</v>
      </c>
      <c r="N4095" s="403">
        <v>768</v>
      </c>
      <c r="O4095" s="403">
        <v>432</v>
      </c>
      <c r="P4095" t="str">
        <f t="shared" si="505"/>
        <v>30fps 720p - SD</v>
      </c>
      <c r="Q4095">
        <f t="shared" si="506"/>
        <v>20</v>
      </c>
      <c r="R4095" t="str">
        <f t="shared" si="507"/>
        <v/>
      </c>
      <c r="S4095" t="str">
        <f t="shared" si="508"/>
        <v/>
      </c>
      <c r="T4095" s="403" t="str">
        <f t="shared" si="509"/>
        <v>NDE-8503-RT</v>
      </c>
      <c r="U4095" s="403">
        <f t="shared" si="510"/>
        <v>1</v>
      </c>
      <c r="V4095" s="403" t="str">
        <f t="shared" si="511"/>
        <v>CPP_7_3</v>
      </c>
    </row>
    <row r="4096" spans="1:22">
      <c r="A4096" t="str">
        <f t="shared" si="504"/>
        <v>NDE-8503-RT</v>
      </c>
      <c r="B4096" s="403" t="s">
        <v>1410</v>
      </c>
      <c r="C4096" s="403" t="s">
        <v>582</v>
      </c>
      <c r="D4096" s="403" t="s">
        <v>1414</v>
      </c>
      <c r="E4096" s="403" t="s">
        <v>1413</v>
      </c>
      <c r="F4096" s="403" t="s">
        <v>1382</v>
      </c>
      <c r="G4096" s="403" t="s">
        <v>1466</v>
      </c>
      <c r="H4096" s="403" t="s">
        <v>1276</v>
      </c>
      <c r="I4096" s="403">
        <v>1</v>
      </c>
      <c r="J4096" s="403" t="s">
        <v>109</v>
      </c>
      <c r="K4096" s="403">
        <v>1280</v>
      </c>
      <c r="L4096" s="403">
        <v>720</v>
      </c>
      <c r="M4096" s="403" t="s">
        <v>1279</v>
      </c>
      <c r="N4096" s="403">
        <v>768</v>
      </c>
      <c r="O4096" s="403">
        <v>432</v>
      </c>
      <c r="P4096" t="str">
        <f t="shared" si="505"/>
        <v>30fps 720p - SD ROI PTZ</v>
      </c>
      <c r="Q4096">
        <f t="shared" si="506"/>
        <v>20</v>
      </c>
      <c r="R4096" t="str">
        <f t="shared" si="507"/>
        <v/>
      </c>
      <c r="S4096" t="str">
        <f t="shared" si="508"/>
        <v/>
      </c>
      <c r="T4096" s="403" t="str">
        <f t="shared" si="509"/>
        <v>NDE-8503-RT</v>
      </c>
      <c r="U4096" s="403">
        <f t="shared" si="510"/>
        <v>1</v>
      </c>
      <c r="V4096" s="403" t="str">
        <f t="shared" si="511"/>
        <v>CPP_7_3</v>
      </c>
    </row>
    <row r="4097" spans="1:22">
      <c r="A4097" t="str">
        <f t="shared" si="504"/>
        <v>NDE-8503-RT</v>
      </c>
      <c r="B4097" s="403" t="s">
        <v>1410</v>
      </c>
      <c r="C4097" s="403" t="s">
        <v>582</v>
      </c>
      <c r="D4097" s="403" t="s">
        <v>1414</v>
      </c>
      <c r="E4097" s="403" t="s">
        <v>1413</v>
      </c>
      <c r="F4097" s="403" t="s">
        <v>1382</v>
      </c>
      <c r="G4097" s="403" t="s">
        <v>1466</v>
      </c>
      <c r="H4097" s="403" t="s">
        <v>1276</v>
      </c>
      <c r="I4097" s="403">
        <v>1</v>
      </c>
      <c r="J4097" s="403" t="s">
        <v>109</v>
      </c>
      <c r="K4097" s="403">
        <v>1280</v>
      </c>
      <c r="L4097" s="403">
        <v>720</v>
      </c>
      <c r="M4097" s="403" t="s">
        <v>1283</v>
      </c>
      <c r="N4097" s="403">
        <v>720</v>
      </c>
      <c r="O4097" s="403">
        <v>480</v>
      </c>
      <c r="P4097" t="str">
        <f t="shared" si="505"/>
        <v>30fps 720p - SD 4CIF resolution 4:3 format (cropped)</v>
      </c>
      <c r="Q4097">
        <f t="shared" si="506"/>
        <v>20</v>
      </c>
      <c r="R4097" t="str">
        <f t="shared" si="507"/>
        <v/>
      </c>
      <c r="S4097" t="str">
        <f t="shared" si="508"/>
        <v/>
      </c>
      <c r="T4097" s="403" t="str">
        <f t="shared" si="509"/>
        <v>NDE-8503-RT</v>
      </c>
      <c r="U4097" s="403">
        <f t="shared" si="510"/>
        <v>1</v>
      </c>
      <c r="V4097" s="403" t="str">
        <f t="shared" si="511"/>
        <v>CPP_7_3</v>
      </c>
    </row>
    <row r="4098" spans="1:22">
      <c r="A4098" t="str">
        <f t="shared" ref="A4098:A4161" si="512">IF(AND(G4098&lt;&gt;"rotate 90°"),D4098,"")</f>
        <v>NDE-8503-RT</v>
      </c>
      <c r="B4098" s="403" t="s">
        <v>1410</v>
      </c>
      <c r="C4098" s="403" t="s">
        <v>582</v>
      </c>
      <c r="D4098" s="403" t="s">
        <v>1414</v>
      </c>
      <c r="E4098" s="403" t="s">
        <v>1413</v>
      </c>
      <c r="F4098" s="403" t="s">
        <v>1382</v>
      </c>
      <c r="G4098" s="403" t="s">
        <v>1466</v>
      </c>
      <c r="H4098" s="403" t="s">
        <v>1276</v>
      </c>
      <c r="I4098" s="403">
        <v>1</v>
      </c>
      <c r="J4098" s="403" t="s">
        <v>109</v>
      </c>
      <c r="K4098" s="403">
        <v>1280</v>
      </c>
      <c r="L4098" s="403">
        <v>720</v>
      </c>
      <c r="M4098" s="403" t="s">
        <v>1284</v>
      </c>
      <c r="N4098" s="403">
        <v>640</v>
      </c>
      <c r="O4098" s="403">
        <v>480</v>
      </c>
      <c r="P4098" t="str">
        <f t="shared" ref="P4098:P4161" si="513">LEFT(F4098,5)&amp;" "&amp;J4098&amp;" - "&amp;M4098</f>
        <v>30fps 720p - SD VGA (cropped)</v>
      </c>
      <c r="Q4098">
        <f t="shared" ref="Q4098:Q4161" si="514">IF(A4097=A4098,Q4097,Q4097+1)</f>
        <v>20</v>
      </c>
      <c r="R4098" t="str">
        <f t="shared" ref="R4098:R4161" si="515">IF(Q4097&lt;&gt;Q4098,Q4098,"")</f>
        <v/>
      </c>
      <c r="S4098" t="str">
        <f t="shared" ref="S4098:S4161" si="516">IF(R4098&lt;&gt;"",B4098&amp;" ("&amp;D4098&amp;")","")</f>
        <v/>
      </c>
      <c r="T4098" s="403" t="str">
        <f t="shared" ref="T4098:T4161" si="517">D4098</f>
        <v>NDE-8503-RT</v>
      </c>
      <c r="U4098" s="403">
        <f t="shared" ref="U4098:U4161" si="518">I4098</f>
        <v>1</v>
      </c>
      <c r="V4098" s="403" t="str">
        <f t="shared" ref="V4098:V4161" si="519">C4098</f>
        <v>CPP_7_3</v>
      </c>
    </row>
    <row r="4099" spans="1:22">
      <c r="A4099" t="str">
        <f t="shared" si="512"/>
        <v>NDE-8503-RT</v>
      </c>
      <c r="B4099" s="403" t="s">
        <v>1410</v>
      </c>
      <c r="C4099" s="403" t="s">
        <v>582</v>
      </c>
      <c r="D4099" s="403" t="s">
        <v>1414</v>
      </c>
      <c r="E4099" s="403" t="s">
        <v>1413</v>
      </c>
      <c r="F4099" s="403" t="s">
        <v>1382</v>
      </c>
      <c r="G4099" s="403" t="s">
        <v>1466</v>
      </c>
      <c r="H4099" s="403" t="s">
        <v>1281</v>
      </c>
      <c r="I4099" s="403">
        <v>1</v>
      </c>
      <c r="J4099" s="403" t="s">
        <v>1376</v>
      </c>
      <c r="K4099" s="403">
        <v>3072</v>
      </c>
      <c r="L4099" s="403">
        <v>1728</v>
      </c>
      <c r="M4099" s="403" t="s">
        <v>111</v>
      </c>
      <c r="N4099" s="403">
        <v>768</v>
      </c>
      <c r="O4099" s="403">
        <v>432</v>
      </c>
      <c r="P4099" t="str">
        <f t="shared" si="513"/>
        <v>30fps 3072x1728 - SD</v>
      </c>
      <c r="Q4099">
        <f t="shared" si="514"/>
        <v>20</v>
      </c>
      <c r="R4099" t="str">
        <f t="shared" si="515"/>
        <v/>
      </c>
      <c r="S4099" t="str">
        <f t="shared" si="516"/>
        <v/>
      </c>
      <c r="T4099" s="403" t="str">
        <f t="shared" si="517"/>
        <v>NDE-8503-RT</v>
      </c>
      <c r="U4099" s="403">
        <f t="shared" si="518"/>
        <v>1</v>
      </c>
      <c r="V4099" s="403" t="str">
        <f t="shared" si="519"/>
        <v>CPP_7_3</v>
      </c>
    </row>
    <row r="4100" spans="1:22">
      <c r="A4100" t="str">
        <f t="shared" si="512"/>
        <v>NDE-8503-RT</v>
      </c>
      <c r="B4100" s="403" t="s">
        <v>1410</v>
      </c>
      <c r="C4100" s="403" t="s">
        <v>582</v>
      </c>
      <c r="D4100" s="403" t="s">
        <v>1414</v>
      </c>
      <c r="E4100" s="403" t="s">
        <v>1413</v>
      </c>
      <c r="F4100" s="403" t="s">
        <v>1382</v>
      </c>
      <c r="G4100" s="403" t="s">
        <v>1466</v>
      </c>
      <c r="H4100" s="403" t="s">
        <v>1281</v>
      </c>
      <c r="I4100" s="403">
        <v>1</v>
      </c>
      <c r="J4100" s="403" t="s">
        <v>1376</v>
      </c>
      <c r="K4100" s="403">
        <v>3072</v>
      </c>
      <c r="L4100" s="403">
        <v>1728</v>
      </c>
      <c r="M4100" s="403" t="s">
        <v>1280</v>
      </c>
      <c r="N4100" s="403">
        <v>3072</v>
      </c>
      <c r="O4100" s="403">
        <v>1728</v>
      </c>
      <c r="P4100" t="str">
        <f t="shared" si="513"/>
        <v>30fps 3072x1728 - copy other stream</v>
      </c>
      <c r="Q4100">
        <f t="shared" si="514"/>
        <v>20</v>
      </c>
      <c r="R4100" t="str">
        <f t="shared" si="515"/>
        <v/>
      </c>
      <c r="S4100" t="str">
        <f t="shared" si="516"/>
        <v/>
      </c>
      <c r="T4100" s="403" t="str">
        <f t="shared" si="517"/>
        <v>NDE-8503-RT</v>
      </c>
      <c r="U4100" s="403">
        <f t="shared" si="518"/>
        <v>1</v>
      </c>
      <c r="V4100" s="403" t="str">
        <f t="shared" si="519"/>
        <v>CPP_7_3</v>
      </c>
    </row>
    <row r="4101" spans="1:22">
      <c r="A4101" t="str">
        <f t="shared" si="512"/>
        <v>NDE-8503-RT</v>
      </c>
      <c r="B4101" s="403" t="s">
        <v>1410</v>
      </c>
      <c r="C4101" s="403" t="s">
        <v>582</v>
      </c>
      <c r="D4101" s="403" t="s">
        <v>1414</v>
      </c>
      <c r="E4101" s="403" t="s">
        <v>1413</v>
      </c>
      <c r="F4101" s="403" t="s">
        <v>1382</v>
      </c>
      <c r="G4101" s="403" t="s">
        <v>1466</v>
      </c>
      <c r="H4101" s="403" t="s">
        <v>1281</v>
      </c>
      <c r="I4101" s="403">
        <v>1</v>
      </c>
      <c r="J4101" s="403" t="s">
        <v>1376</v>
      </c>
      <c r="K4101" s="403">
        <v>3072</v>
      </c>
      <c r="L4101" s="403">
        <v>1728</v>
      </c>
      <c r="M4101" s="403" t="s">
        <v>110</v>
      </c>
      <c r="N4101" s="403">
        <v>1920</v>
      </c>
      <c r="O4101" s="403">
        <v>1080</v>
      </c>
      <c r="P4101" t="str">
        <f t="shared" si="513"/>
        <v>30fps 3072x1728 - 1080p</v>
      </c>
      <c r="Q4101">
        <f t="shared" si="514"/>
        <v>20</v>
      </c>
      <c r="R4101" t="str">
        <f t="shared" si="515"/>
        <v/>
      </c>
      <c r="S4101" t="str">
        <f t="shared" si="516"/>
        <v/>
      </c>
      <c r="T4101" s="403" t="str">
        <f t="shared" si="517"/>
        <v>NDE-8503-RT</v>
      </c>
      <c r="U4101" s="403">
        <f t="shared" si="518"/>
        <v>1</v>
      </c>
      <c r="V4101" s="403" t="str">
        <f t="shared" si="519"/>
        <v>CPP_7_3</v>
      </c>
    </row>
    <row r="4102" spans="1:22">
      <c r="A4102" t="str">
        <f t="shared" si="512"/>
        <v>NDE-8503-RT</v>
      </c>
      <c r="B4102" s="403" t="s">
        <v>1410</v>
      </c>
      <c r="C4102" s="403" t="s">
        <v>582</v>
      </c>
      <c r="D4102" s="403" t="s">
        <v>1414</v>
      </c>
      <c r="E4102" s="403" t="s">
        <v>1413</v>
      </c>
      <c r="F4102" s="403" t="s">
        <v>1382</v>
      </c>
      <c r="G4102" s="403" t="s">
        <v>1466</v>
      </c>
      <c r="H4102" s="403" t="s">
        <v>1281</v>
      </c>
      <c r="I4102" s="403">
        <v>1</v>
      </c>
      <c r="J4102" s="403" t="s">
        <v>1376</v>
      </c>
      <c r="K4102" s="403">
        <v>3072</v>
      </c>
      <c r="L4102" s="403">
        <v>1728</v>
      </c>
      <c r="M4102" s="403" t="s">
        <v>109</v>
      </c>
      <c r="N4102" s="403">
        <v>1280</v>
      </c>
      <c r="O4102" s="403">
        <v>720</v>
      </c>
      <c r="P4102" t="str">
        <f t="shared" si="513"/>
        <v>30fps 3072x1728 - 720p</v>
      </c>
      <c r="Q4102">
        <f t="shared" si="514"/>
        <v>20</v>
      </c>
      <c r="R4102" t="str">
        <f t="shared" si="515"/>
        <v/>
      </c>
      <c r="S4102" t="str">
        <f t="shared" si="516"/>
        <v/>
      </c>
      <c r="T4102" s="403" t="str">
        <f t="shared" si="517"/>
        <v>NDE-8503-RT</v>
      </c>
      <c r="U4102" s="403">
        <f t="shared" si="518"/>
        <v>1</v>
      </c>
      <c r="V4102" s="403" t="str">
        <f t="shared" si="519"/>
        <v>CPP_7_3</v>
      </c>
    </row>
    <row r="4103" spans="1:22">
      <c r="A4103" t="str">
        <f t="shared" si="512"/>
        <v>NDE-8503-RT</v>
      </c>
      <c r="B4103" s="403" t="s">
        <v>1410</v>
      </c>
      <c r="C4103" s="403" t="s">
        <v>582</v>
      </c>
      <c r="D4103" s="403" t="s">
        <v>1414</v>
      </c>
      <c r="E4103" s="403" t="s">
        <v>1413</v>
      </c>
      <c r="F4103" s="403" t="s">
        <v>1382</v>
      </c>
      <c r="G4103" s="403" t="s">
        <v>1466</v>
      </c>
      <c r="H4103" s="403" t="s">
        <v>1281</v>
      </c>
      <c r="I4103" s="403">
        <v>1</v>
      </c>
      <c r="J4103" s="403" t="s">
        <v>1376</v>
      </c>
      <c r="K4103" s="403">
        <v>3072</v>
      </c>
      <c r="L4103" s="403">
        <v>1728</v>
      </c>
      <c r="M4103" s="403" t="s">
        <v>1283</v>
      </c>
      <c r="N4103" s="403">
        <v>720</v>
      </c>
      <c r="O4103" s="403">
        <v>480</v>
      </c>
      <c r="P4103" t="str">
        <f t="shared" si="513"/>
        <v>30fps 3072x1728 - SD 4CIF resolution 4:3 format (cropped)</v>
      </c>
      <c r="Q4103">
        <f t="shared" si="514"/>
        <v>20</v>
      </c>
      <c r="R4103" t="str">
        <f t="shared" si="515"/>
        <v/>
      </c>
      <c r="S4103" t="str">
        <f t="shared" si="516"/>
        <v/>
      </c>
      <c r="T4103" s="403" t="str">
        <f t="shared" si="517"/>
        <v>NDE-8503-RT</v>
      </c>
      <c r="U4103" s="403">
        <f t="shared" si="518"/>
        <v>1</v>
      </c>
      <c r="V4103" s="403" t="str">
        <f t="shared" si="519"/>
        <v>CPP_7_3</v>
      </c>
    </row>
    <row r="4104" spans="1:22">
      <c r="A4104" t="str">
        <f t="shared" si="512"/>
        <v>NDE-8503-RT</v>
      </c>
      <c r="B4104" s="403" t="s">
        <v>1410</v>
      </c>
      <c r="C4104" s="403" t="s">
        <v>582</v>
      </c>
      <c r="D4104" s="403" t="s">
        <v>1414</v>
      </c>
      <c r="E4104" s="403" t="s">
        <v>1413</v>
      </c>
      <c r="F4104" s="403" t="s">
        <v>1382</v>
      </c>
      <c r="G4104" s="403" t="s">
        <v>1466</v>
      </c>
      <c r="H4104" s="403" t="s">
        <v>1281</v>
      </c>
      <c r="I4104" s="403">
        <v>1</v>
      </c>
      <c r="J4104" s="403" t="s">
        <v>1376</v>
      </c>
      <c r="K4104" s="403">
        <v>3072</v>
      </c>
      <c r="L4104" s="403">
        <v>1728</v>
      </c>
      <c r="M4104" s="403" t="s">
        <v>1279</v>
      </c>
      <c r="N4104" s="403">
        <v>768</v>
      </c>
      <c r="O4104" s="403">
        <v>432</v>
      </c>
      <c r="P4104" t="str">
        <f t="shared" si="513"/>
        <v>30fps 3072x1728 - SD ROI PTZ</v>
      </c>
      <c r="Q4104">
        <f t="shared" si="514"/>
        <v>20</v>
      </c>
      <c r="R4104" t="str">
        <f t="shared" si="515"/>
        <v/>
      </c>
      <c r="S4104" t="str">
        <f t="shared" si="516"/>
        <v/>
      </c>
      <c r="T4104" s="403" t="str">
        <f t="shared" si="517"/>
        <v>NDE-8503-RT</v>
      </c>
      <c r="U4104" s="403">
        <f t="shared" si="518"/>
        <v>1</v>
      </c>
      <c r="V4104" s="403" t="str">
        <f t="shared" si="519"/>
        <v>CPP_7_3</v>
      </c>
    </row>
    <row r="4105" spans="1:22">
      <c r="A4105" t="str">
        <f t="shared" si="512"/>
        <v>NDE-8503-RT</v>
      </c>
      <c r="B4105" s="403" t="s">
        <v>1410</v>
      </c>
      <c r="C4105" s="403" t="s">
        <v>582</v>
      </c>
      <c r="D4105" s="403" t="s">
        <v>1414</v>
      </c>
      <c r="E4105" s="403" t="s">
        <v>1413</v>
      </c>
      <c r="F4105" s="403" t="s">
        <v>1382</v>
      </c>
      <c r="G4105" s="403" t="s">
        <v>1466</v>
      </c>
      <c r="H4105" s="403" t="s">
        <v>1281</v>
      </c>
      <c r="I4105" s="403">
        <v>1</v>
      </c>
      <c r="J4105" s="403" t="s">
        <v>1376</v>
      </c>
      <c r="K4105" s="403">
        <v>3072</v>
      </c>
      <c r="L4105" s="403">
        <v>1728</v>
      </c>
      <c r="M4105" s="403" t="s">
        <v>1284</v>
      </c>
      <c r="N4105" s="403">
        <v>640</v>
      </c>
      <c r="O4105" s="403">
        <v>480</v>
      </c>
      <c r="P4105" t="str">
        <f t="shared" si="513"/>
        <v>30fps 3072x1728 - SD VGA (cropped)</v>
      </c>
      <c r="Q4105">
        <f t="shared" si="514"/>
        <v>20</v>
      </c>
      <c r="R4105" t="str">
        <f t="shared" si="515"/>
        <v/>
      </c>
      <c r="S4105" t="str">
        <f t="shared" si="516"/>
        <v/>
      </c>
      <c r="T4105" s="403" t="str">
        <f t="shared" si="517"/>
        <v>NDE-8503-RT</v>
      </c>
      <c r="U4105" s="403">
        <f t="shared" si="518"/>
        <v>1</v>
      </c>
      <c r="V4105" s="403" t="str">
        <f t="shared" si="519"/>
        <v>CPP_7_3</v>
      </c>
    </row>
    <row r="4106" spans="1:22">
      <c r="A4106" t="str">
        <f t="shared" si="512"/>
        <v>NDE-8503-RT</v>
      </c>
      <c r="B4106" s="403" t="s">
        <v>1410</v>
      </c>
      <c r="C4106" s="403" t="s">
        <v>582</v>
      </c>
      <c r="D4106" s="403" t="s">
        <v>1414</v>
      </c>
      <c r="E4106" s="403" t="s">
        <v>1413</v>
      </c>
      <c r="F4106" s="403" t="s">
        <v>1382</v>
      </c>
      <c r="G4106" s="403" t="s">
        <v>1466</v>
      </c>
      <c r="H4106" s="403" t="s">
        <v>1281</v>
      </c>
      <c r="I4106" s="403">
        <v>1</v>
      </c>
      <c r="J4106" s="403" t="s">
        <v>1376</v>
      </c>
      <c r="K4106" s="403">
        <v>3072</v>
      </c>
      <c r="L4106" s="403">
        <v>1728</v>
      </c>
      <c r="M4106" s="403" t="s">
        <v>1285</v>
      </c>
      <c r="N4106" s="403">
        <v>1280</v>
      </c>
      <c r="O4106" s="403">
        <v>1024</v>
      </c>
      <c r="P4106" t="str">
        <f t="shared" si="513"/>
        <v>30fps 3072x1728 - 1280x1024 5:4 (cropped)</v>
      </c>
      <c r="Q4106">
        <f t="shared" si="514"/>
        <v>20</v>
      </c>
      <c r="R4106" t="str">
        <f t="shared" si="515"/>
        <v/>
      </c>
      <c r="S4106" t="str">
        <f t="shared" si="516"/>
        <v/>
      </c>
      <c r="T4106" s="403" t="str">
        <f t="shared" si="517"/>
        <v>NDE-8503-RT</v>
      </c>
      <c r="U4106" s="403">
        <f t="shared" si="518"/>
        <v>1</v>
      </c>
      <c r="V4106" s="403" t="str">
        <f t="shared" si="519"/>
        <v>CPP_7_3</v>
      </c>
    </row>
    <row r="4107" spans="1:22">
      <c r="A4107" t="str">
        <f t="shared" si="512"/>
        <v>NDE-8503-RT</v>
      </c>
      <c r="B4107" s="403" t="s">
        <v>1410</v>
      </c>
      <c r="C4107" s="403" t="s">
        <v>582</v>
      </c>
      <c r="D4107" s="403" t="s">
        <v>1414</v>
      </c>
      <c r="E4107" s="403" t="s">
        <v>1413</v>
      </c>
      <c r="F4107" s="403" t="s">
        <v>1382</v>
      </c>
      <c r="G4107" s="403" t="s">
        <v>1466</v>
      </c>
      <c r="H4107" s="403" t="s">
        <v>1281</v>
      </c>
      <c r="I4107" s="403">
        <v>1</v>
      </c>
      <c r="J4107" s="403" t="s">
        <v>1373</v>
      </c>
      <c r="K4107" s="403">
        <v>2688</v>
      </c>
      <c r="L4107" s="403">
        <v>1512</v>
      </c>
      <c r="M4107" s="403" t="s">
        <v>110</v>
      </c>
      <c r="N4107" s="403">
        <v>1920</v>
      </c>
      <c r="O4107" s="403">
        <v>1080</v>
      </c>
      <c r="P4107" t="str">
        <f t="shared" si="513"/>
        <v>30fps 2688x1512 - 1080p</v>
      </c>
      <c r="Q4107">
        <f t="shared" si="514"/>
        <v>20</v>
      </c>
      <c r="R4107" t="str">
        <f t="shared" si="515"/>
        <v/>
      </c>
      <c r="S4107" t="str">
        <f t="shared" si="516"/>
        <v/>
      </c>
      <c r="T4107" s="403" t="str">
        <f t="shared" si="517"/>
        <v>NDE-8503-RT</v>
      </c>
      <c r="U4107" s="403">
        <f t="shared" si="518"/>
        <v>1</v>
      </c>
      <c r="V4107" s="403" t="str">
        <f t="shared" si="519"/>
        <v>CPP_7_3</v>
      </c>
    </row>
    <row r="4108" spans="1:22">
      <c r="A4108" t="str">
        <f t="shared" si="512"/>
        <v>NDE-8503-RT</v>
      </c>
      <c r="B4108" s="403" t="s">
        <v>1410</v>
      </c>
      <c r="C4108" s="403" t="s">
        <v>582</v>
      </c>
      <c r="D4108" s="403" t="s">
        <v>1414</v>
      </c>
      <c r="E4108" s="403" t="s">
        <v>1413</v>
      </c>
      <c r="F4108" s="403" t="s">
        <v>1382</v>
      </c>
      <c r="G4108" s="403" t="s">
        <v>1466</v>
      </c>
      <c r="H4108" s="403" t="s">
        <v>1281</v>
      </c>
      <c r="I4108" s="403">
        <v>1</v>
      </c>
      <c r="J4108" s="403" t="s">
        <v>1373</v>
      </c>
      <c r="K4108" s="403">
        <v>2688</v>
      </c>
      <c r="L4108" s="403">
        <v>1512</v>
      </c>
      <c r="M4108" s="403" t="s">
        <v>1384</v>
      </c>
      <c r="N4108" s="403">
        <v>2688</v>
      </c>
      <c r="O4108" s="403">
        <v>1512</v>
      </c>
      <c r="P4108" t="str">
        <f t="shared" si="513"/>
        <v>30fps 2688x1512 - 2688x1512 @ SKIP 2</v>
      </c>
      <c r="Q4108">
        <f t="shared" si="514"/>
        <v>20</v>
      </c>
      <c r="R4108" t="str">
        <f t="shared" si="515"/>
        <v/>
      </c>
      <c r="S4108" t="str">
        <f t="shared" si="516"/>
        <v/>
      </c>
      <c r="T4108" s="403" t="str">
        <f t="shared" si="517"/>
        <v>NDE-8503-RT</v>
      </c>
      <c r="U4108" s="403">
        <f t="shared" si="518"/>
        <v>1</v>
      </c>
      <c r="V4108" s="403" t="str">
        <f t="shared" si="519"/>
        <v>CPP_7_3</v>
      </c>
    </row>
    <row r="4109" spans="1:22">
      <c r="A4109" t="str">
        <f t="shared" si="512"/>
        <v>NDE-8503-RT</v>
      </c>
      <c r="B4109" s="403" t="s">
        <v>1410</v>
      </c>
      <c r="C4109" s="403" t="s">
        <v>582</v>
      </c>
      <c r="D4109" s="403" t="s">
        <v>1414</v>
      </c>
      <c r="E4109" s="403" t="s">
        <v>1413</v>
      </c>
      <c r="F4109" s="403" t="s">
        <v>1382</v>
      </c>
      <c r="G4109" s="403" t="s">
        <v>1466</v>
      </c>
      <c r="H4109" s="403" t="s">
        <v>1281</v>
      </c>
      <c r="I4109" s="403">
        <v>1</v>
      </c>
      <c r="J4109" s="403" t="s">
        <v>1373</v>
      </c>
      <c r="K4109" s="403">
        <v>2688</v>
      </c>
      <c r="L4109" s="403">
        <v>1512</v>
      </c>
      <c r="M4109" s="403" t="s">
        <v>109</v>
      </c>
      <c r="N4109" s="403">
        <v>1280</v>
      </c>
      <c r="O4109" s="403">
        <v>720</v>
      </c>
      <c r="P4109" t="str">
        <f t="shared" si="513"/>
        <v>30fps 2688x1512 - 720p</v>
      </c>
      <c r="Q4109">
        <f t="shared" si="514"/>
        <v>20</v>
      </c>
      <c r="R4109" t="str">
        <f t="shared" si="515"/>
        <v/>
      </c>
      <c r="S4109" t="str">
        <f t="shared" si="516"/>
        <v/>
      </c>
      <c r="T4109" s="403" t="str">
        <f t="shared" si="517"/>
        <v>NDE-8503-RT</v>
      </c>
      <c r="U4109" s="403">
        <f t="shared" si="518"/>
        <v>1</v>
      </c>
      <c r="V4109" s="403" t="str">
        <f t="shared" si="519"/>
        <v>CPP_7_3</v>
      </c>
    </row>
    <row r="4110" spans="1:22">
      <c r="A4110" t="str">
        <f t="shared" si="512"/>
        <v>NDE-8503-RT</v>
      </c>
      <c r="B4110" s="403" t="s">
        <v>1410</v>
      </c>
      <c r="C4110" s="403" t="s">
        <v>582</v>
      </c>
      <c r="D4110" s="403" t="s">
        <v>1414</v>
      </c>
      <c r="E4110" s="403" t="s">
        <v>1413</v>
      </c>
      <c r="F4110" s="403" t="s">
        <v>1382</v>
      </c>
      <c r="G4110" s="403" t="s">
        <v>1466</v>
      </c>
      <c r="H4110" s="403" t="s">
        <v>1281</v>
      </c>
      <c r="I4110" s="403">
        <v>1</v>
      </c>
      <c r="J4110" s="403" t="s">
        <v>1373</v>
      </c>
      <c r="K4110" s="403">
        <v>2688</v>
      </c>
      <c r="L4110" s="403">
        <v>1512</v>
      </c>
      <c r="M4110" s="403" t="s">
        <v>111</v>
      </c>
      <c r="N4110" s="403">
        <v>768</v>
      </c>
      <c r="O4110" s="403">
        <v>432</v>
      </c>
      <c r="P4110" t="str">
        <f t="shared" si="513"/>
        <v>30fps 2688x1512 - SD</v>
      </c>
      <c r="Q4110">
        <f t="shared" si="514"/>
        <v>20</v>
      </c>
      <c r="R4110" t="str">
        <f t="shared" si="515"/>
        <v/>
      </c>
      <c r="S4110" t="str">
        <f t="shared" si="516"/>
        <v/>
      </c>
      <c r="T4110" s="403" t="str">
        <f t="shared" si="517"/>
        <v>NDE-8503-RT</v>
      </c>
      <c r="U4110" s="403">
        <f t="shared" si="518"/>
        <v>1</v>
      </c>
      <c r="V4110" s="403" t="str">
        <f t="shared" si="519"/>
        <v>CPP_7_3</v>
      </c>
    </row>
    <row r="4111" spans="1:22">
      <c r="A4111" t="str">
        <f t="shared" si="512"/>
        <v>NDE-8503-RT</v>
      </c>
      <c r="B4111" s="403" t="s">
        <v>1410</v>
      </c>
      <c r="C4111" s="403" t="s">
        <v>582</v>
      </c>
      <c r="D4111" s="403" t="s">
        <v>1414</v>
      </c>
      <c r="E4111" s="403" t="s">
        <v>1413</v>
      </c>
      <c r="F4111" s="403" t="s">
        <v>1382</v>
      </c>
      <c r="G4111" s="403" t="s">
        <v>1466</v>
      </c>
      <c r="H4111" s="403" t="s">
        <v>1281</v>
      </c>
      <c r="I4111" s="403">
        <v>1</v>
      </c>
      <c r="J4111" s="403" t="s">
        <v>1373</v>
      </c>
      <c r="K4111" s="403">
        <v>2688</v>
      </c>
      <c r="L4111" s="403">
        <v>1512</v>
      </c>
      <c r="M4111" s="403" t="s">
        <v>1279</v>
      </c>
      <c r="N4111" s="403">
        <v>768</v>
      </c>
      <c r="O4111" s="403">
        <v>432</v>
      </c>
      <c r="P4111" t="str">
        <f t="shared" si="513"/>
        <v>30fps 2688x1512 - SD ROI PTZ</v>
      </c>
      <c r="Q4111">
        <f t="shared" si="514"/>
        <v>20</v>
      </c>
      <c r="R4111" t="str">
        <f t="shared" si="515"/>
        <v/>
      </c>
      <c r="S4111" t="str">
        <f t="shared" si="516"/>
        <v/>
      </c>
      <c r="T4111" s="403" t="str">
        <f t="shared" si="517"/>
        <v>NDE-8503-RT</v>
      </c>
      <c r="U4111" s="403">
        <f t="shared" si="518"/>
        <v>1</v>
      </c>
      <c r="V4111" s="403" t="str">
        <f t="shared" si="519"/>
        <v>CPP_7_3</v>
      </c>
    </row>
    <row r="4112" spans="1:22">
      <c r="A4112" t="str">
        <f t="shared" si="512"/>
        <v>NDE-8503-RT</v>
      </c>
      <c r="B4112" s="403" t="s">
        <v>1410</v>
      </c>
      <c r="C4112" s="403" t="s">
        <v>582</v>
      </c>
      <c r="D4112" s="403" t="s">
        <v>1414</v>
      </c>
      <c r="E4112" s="403" t="s">
        <v>1413</v>
      </c>
      <c r="F4112" s="403" t="s">
        <v>1382</v>
      </c>
      <c r="G4112" s="403" t="s">
        <v>1466</v>
      </c>
      <c r="H4112" s="403" t="s">
        <v>1281</v>
      </c>
      <c r="I4112" s="403">
        <v>1</v>
      </c>
      <c r="J4112" s="403" t="s">
        <v>1373</v>
      </c>
      <c r="K4112" s="403">
        <v>2688</v>
      </c>
      <c r="L4112" s="403">
        <v>1512</v>
      </c>
      <c r="M4112" s="403" t="s">
        <v>1285</v>
      </c>
      <c r="N4112" s="403">
        <v>1280</v>
      </c>
      <c r="O4112" s="403">
        <v>1024</v>
      </c>
      <c r="P4112" t="str">
        <f t="shared" si="513"/>
        <v>30fps 2688x1512 - 1280x1024 5:4 (cropped)</v>
      </c>
      <c r="Q4112">
        <f t="shared" si="514"/>
        <v>20</v>
      </c>
      <c r="R4112" t="str">
        <f t="shared" si="515"/>
        <v/>
      </c>
      <c r="S4112" t="str">
        <f t="shared" si="516"/>
        <v/>
      </c>
      <c r="T4112" s="403" t="str">
        <f t="shared" si="517"/>
        <v>NDE-8503-RT</v>
      </c>
      <c r="U4112" s="403">
        <f t="shared" si="518"/>
        <v>1</v>
      </c>
      <c r="V4112" s="403" t="str">
        <f t="shared" si="519"/>
        <v>CPP_7_3</v>
      </c>
    </row>
    <row r="4113" spans="1:22">
      <c r="A4113" t="str">
        <f t="shared" si="512"/>
        <v>NDE-8503-RT</v>
      </c>
      <c r="B4113" s="403" t="s">
        <v>1410</v>
      </c>
      <c r="C4113" s="403" t="s">
        <v>582</v>
      </c>
      <c r="D4113" s="403" t="s">
        <v>1414</v>
      </c>
      <c r="E4113" s="403" t="s">
        <v>1413</v>
      </c>
      <c r="F4113" s="403" t="s">
        <v>1382</v>
      </c>
      <c r="G4113" s="403" t="s">
        <v>1466</v>
      </c>
      <c r="H4113" s="403" t="s">
        <v>1281</v>
      </c>
      <c r="I4113" s="403">
        <v>1</v>
      </c>
      <c r="J4113" s="403" t="s">
        <v>1373</v>
      </c>
      <c r="K4113" s="403">
        <v>2688</v>
      </c>
      <c r="L4113" s="403">
        <v>1512</v>
      </c>
      <c r="M4113" s="403" t="s">
        <v>1283</v>
      </c>
      <c r="N4113" s="403">
        <v>720</v>
      </c>
      <c r="O4113" s="403">
        <v>480</v>
      </c>
      <c r="P4113" t="str">
        <f t="shared" si="513"/>
        <v>30fps 2688x1512 - SD 4CIF resolution 4:3 format (cropped)</v>
      </c>
      <c r="Q4113">
        <f t="shared" si="514"/>
        <v>20</v>
      </c>
      <c r="R4113" t="str">
        <f t="shared" si="515"/>
        <v/>
      </c>
      <c r="S4113" t="str">
        <f t="shared" si="516"/>
        <v/>
      </c>
      <c r="T4113" s="403" t="str">
        <f t="shared" si="517"/>
        <v>NDE-8503-RT</v>
      </c>
      <c r="U4113" s="403">
        <f t="shared" si="518"/>
        <v>1</v>
      </c>
      <c r="V4113" s="403" t="str">
        <f t="shared" si="519"/>
        <v>CPP_7_3</v>
      </c>
    </row>
    <row r="4114" spans="1:22">
      <c r="A4114" t="str">
        <f t="shared" si="512"/>
        <v>NDE-8503-RT</v>
      </c>
      <c r="B4114" s="403" t="s">
        <v>1410</v>
      </c>
      <c r="C4114" s="403" t="s">
        <v>582</v>
      </c>
      <c r="D4114" s="403" t="s">
        <v>1414</v>
      </c>
      <c r="E4114" s="403" t="s">
        <v>1413</v>
      </c>
      <c r="F4114" s="403" t="s">
        <v>1382</v>
      </c>
      <c r="G4114" s="403" t="s">
        <v>1466</v>
      </c>
      <c r="H4114" s="403" t="s">
        <v>1281</v>
      </c>
      <c r="I4114" s="403">
        <v>1</v>
      </c>
      <c r="J4114" s="403" t="s">
        <v>1373</v>
      </c>
      <c r="K4114" s="403">
        <v>2688</v>
      </c>
      <c r="L4114" s="403">
        <v>1512</v>
      </c>
      <c r="M4114" s="403" t="s">
        <v>1284</v>
      </c>
      <c r="N4114" s="403">
        <v>640</v>
      </c>
      <c r="O4114" s="403">
        <v>480</v>
      </c>
      <c r="P4114" t="str">
        <f t="shared" si="513"/>
        <v>30fps 2688x1512 - SD VGA (cropped)</v>
      </c>
      <c r="Q4114">
        <f t="shared" si="514"/>
        <v>20</v>
      </c>
      <c r="R4114" t="str">
        <f t="shared" si="515"/>
        <v/>
      </c>
      <c r="S4114" t="str">
        <f t="shared" si="516"/>
        <v/>
      </c>
      <c r="T4114" s="403" t="str">
        <f t="shared" si="517"/>
        <v>NDE-8503-RT</v>
      </c>
      <c r="U4114" s="403">
        <f t="shared" si="518"/>
        <v>1</v>
      </c>
      <c r="V4114" s="403" t="str">
        <f t="shared" si="519"/>
        <v>CPP_7_3</v>
      </c>
    </row>
    <row r="4115" spans="1:22">
      <c r="A4115" t="str">
        <f t="shared" si="512"/>
        <v>NDE-8503-RT</v>
      </c>
      <c r="B4115" s="403" t="s">
        <v>1410</v>
      </c>
      <c r="C4115" s="403" t="s">
        <v>582</v>
      </c>
      <c r="D4115" s="403" t="s">
        <v>1414</v>
      </c>
      <c r="E4115" s="403" t="s">
        <v>1413</v>
      </c>
      <c r="F4115" s="403" t="s">
        <v>1382</v>
      </c>
      <c r="G4115" s="403" t="s">
        <v>1466</v>
      </c>
      <c r="H4115" s="403" t="s">
        <v>1281</v>
      </c>
      <c r="I4115" s="403">
        <v>1</v>
      </c>
      <c r="J4115" s="403" t="s">
        <v>1373</v>
      </c>
      <c r="K4115" s="403">
        <v>2688</v>
      </c>
      <c r="L4115" s="403">
        <v>1512</v>
      </c>
      <c r="M4115" s="403" t="s">
        <v>1280</v>
      </c>
      <c r="N4115" s="403">
        <v>2688</v>
      </c>
      <c r="O4115" s="403">
        <v>1512</v>
      </c>
      <c r="P4115" t="str">
        <f t="shared" si="513"/>
        <v>30fps 2688x1512 - copy other stream</v>
      </c>
      <c r="Q4115">
        <f t="shared" si="514"/>
        <v>20</v>
      </c>
      <c r="R4115" t="str">
        <f t="shared" si="515"/>
        <v/>
      </c>
      <c r="S4115" t="str">
        <f t="shared" si="516"/>
        <v/>
      </c>
      <c r="T4115" s="403" t="str">
        <f t="shared" si="517"/>
        <v>NDE-8503-RT</v>
      </c>
      <c r="U4115" s="403">
        <f t="shared" si="518"/>
        <v>1</v>
      </c>
      <c r="V4115" s="403" t="str">
        <f t="shared" si="519"/>
        <v>CPP_7_3</v>
      </c>
    </row>
    <row r="4116" spans="1:22">
      <c r="A4116" t="str">
        <f t="shared" si="512"/>
        <v>NDE-8503-RT</v>
      </c>
      <c r="B4116" s="403" t="s">
        <v>1410</v>
      </c>
      <c r="C4116" s="403" t="s">
        <v>582</v>
      </c>
      <c r="D4116" s="403" t="s">
        <v>1414</v>
      </c>
      <c r="E4116" s="403" t="s">
        <v>1413</v>
      </c>
      <c r="F4116" s="403" t="s">
        <v>1382</v>
      </c>
      <c r="G4116" s="403" t="s">
        <v>1466</v>
      </c>
      <c r="H4116" s="403" t="s">
        <v>1281</v>
      </c>
      <c r="I4116" s="403">
        <v>1</v>
      </c>
      <c r="J4116" s="403" t="s">
        <v>1374</v>
      </c>
      <c r="K4116" s="403">
        <v>2304</v>
      </c>
      <c r="L4116" s="403">
        <v>1296</v>
      </c>
      <c r="M4116" s="403" t="s">
        <v>110</v>
      </c>
      <c r="N4116" s="403">
        <v>1920</v>
      </c>
      <c r="O4116" s="403">
        <v>1080</v>
      </c>
      <c r="P4116" t="str">
        <f t="shared" si="513"/>
        <v>30fps 2304x1296 - 1080p</v>
      </c>
      <c r="Q4116">
        <f t="shared" si="514"/>
        <v>20</v>
      </c>
      <c r="R4116" t="str">
        <f t="shared" si="515"/>
        <v/>
      </c>
      <c r="S4116" t="str">
        <f t="shared" si="516"/>
        <v/>
      </c>
      <c r="T4116" s="403" t="str">
        <f t="shared" si="517"/>
        <v>NDE-8503-RT</v>
      </c>
      <c r="U4116" s="403">
        <f t="shared" si="518"/>
        <v>1</v>
      </c>
      <c r="V4116" s="403" t="str">
        <f t="shared" si="519"/>
        <v>CPP_7_3</v>
      </c>
    </row>
    <row r="4117" spans="1:22">
      <c r="A4117" t="str">
        <f t="shared" si="512"/>
        <v>NDE-8503-RT</v>
      </c>
      <c r="B4117" s="403" t="s">
        <v>1410</v>
      </c>
      <c r="C4117" s="403" t="s">
        <v>582</v>
      </c>
      <c r="D4117" s="403" t="s">
        <v>1414</v>
      </c>
      <c r="E4117" s="403" t="s">
        <v>1413</v>
      </c>
      <c r="F4117" s="403" t="s">
        <v>1382</v>
      </c>
      <c r="G4117" s="403" t="s">
        <v>1466</v>
      </c>
      <c r="H4117" s="403" t="s">
        <v>1281</v>
      </c>
      <c r="I4117" s="403">
        <v>1</v>
      </c>
      <c r="J4117" s="403" t="s">
        <v>1374</v>
      </c>
      <c r="K4117" s="403">
        <v>2304</v>
      </c>
      <c r="L4117" s="403">
        <v>1296</v>
      </c>
      <c r="M4117" s="403" t="s">
        <v>1374</v>
      </c>
      <c r="N4117" s="403">
        <v>2304</v>
      </c>
      <c r="O4117" s="403">
        <v>1296</v>
      </c>
      <c r="P4117" t="str">
        <f t="shared" si="513"/>
        <v>30fps 2304x1296 - 2304x1296</v>
      </c>
      <c r="Q4117">
        <f t="shared" si="514"/>
        <v>20</v>
      </c>
      <c r="R4117" t="str">
        <f t="shared" si="515"/>
        <v/>
      </c>
      <c r="S4117" t="str">
        <f t="shared" si="516"/>
        <v/>
      </c>
      <c r="T4117" s="403" t="str">
        <f t="shared" si="517"/>
        <v>NDE-8503-RT</v>
      </c>
      <c r="U4117" s="403">
        <f t="shared" si="518"/>
        <v>1</v>
      </c>
      <c r="V4117" s="403" t="str">
        <f t="shared" si="519"/>
        <v>CPP_7_3</v>
      </c>
    </row>
    <row r="4118" spans="1:22">
      <c r="A4118" t="str">
        <f t="shared" si="512"/>
        <v>NDE-8503-RT</v>
      </c>
      <c r="B4118" s="403" t="s">
        <v>1410</v>
      </c>
      <c r="C4118" s="403" t="s">
        <v>582</v>
      </c>
      <c r="D4118" s="403" t="s">
        <v>1414</v>
      </c>
      <c r="E4118" s="403" t="s">
        <v>1413</v>
      </c>
      <c r="F4118" s="403" t="s">
        <v>1382</v>
      </c>
      <c r="G4118" s="403" t="s">
        <v>1466</v>
      </c>
      <c r="H4118" s="403" t="s">
        <v>1281</v>
      </c>
      <c r="I4118" s="403">
        <v>1</v>
      </c>
      <c r="J4118" s="403" t="s">
        <v>1374</v>
      </c>
      <c r="K4118" s="403">
        <v>2304</v>
      </c>
      <c r="L4118" s="403">
        <v>1296</v>
      </c>
      <c r="M4118" s="403" t="s">
        <v>109</v>
      </c>
      <c r="N4118" s="403">
        <v>1280</v>
      </c>
      <c r="O4118" s="403">
        <v>720</v>
      </c>
      <c r="P4118" t="str">
        <f t="shared" si="513"/>
        <v>30fps 2304x1296 - 720p</v>
      </c>
      <c r="Q4118">
        <f t="shared" si="514"/>
        <v>20</v>
      </c>
      <c r="R4118" t="str">
        <f t="shared" si="515"/>
        <v/>
      </c>
      <c r="S4118" t="str">
        <f t="shared" si="516"/>
        <v/>
      </c>
      <c r="T4118" s="403" t="str">
        <f t="shared" si="517"/>
        <v>NDE-8503-RT</v>
      </c>
      <c r="U4118" s="403">
        <f t="shared" si="518"/>
        <v>1</v>
      </c>
      <c r="V4118" s="403" t="str">
        <f t="shared" si="519"/>
        <v>CPP_7_3</v>
      </c>
    </row>
    <row r="4119" spans="1:22">
      <c r="A4119" t="str">
        <f t="shared" si="512"/>
        <v>NDE-8503-RT</v>
      </c>
      <c r="B4119" s="403" t="s">
        <v>1410</v>
      </c>
      <c r="C4119" s="403" t="s">
        <v>582</v>
      </c>
      <c r="D4119" s="403" t="s">
        <v>1414</v>
      </c>
      <c r="E4119" s="403" t="s">
        <v>1413</v>
      </c>
      <c r="F4119" s="403" t="s">
        <v>1382</v>
      </c>
      <c r="G4119" s="403" t="s">
        <v>1466</v>
      </c>
      <c r="H4119" s="403" t="s">
        <v>1281</v>
      </c>
      <c r="I4119" s="403">
        <v>1</v>
      </c>
      <c r="J4119" s="403" t="s">
        <v>1374</v>
      </c>
      <c r="K4119" s="403">
        <v>2304</v>
      </c>
      <c r="L4119" s="403">
        <v>1296</v>
      </c>
      <c r="M4119" s="403" t="s">
        <v>111</v>
      </c>
      <c r="N4119" s="403">
        <v>768</v>
      </c>
      <c r="O4119" s="403">
        <v>432</v>
      </c>
      <c r="P4119" t="str">
        <f t="shared" si="513"/>
        <v>30fps 2304x1296 - SD</v>
      </c>
      <c r="Q4119">
        <f t="shared" si="514"/>
        <v>20</v>
      </c>
      <c r="R4119" t="str">
        <f t="shared" si="515"/>
        <v/>
      </c>
      <c r="S4119" t="str">
        <f t="shared" si="516"/>
        <v/>
      </c>
      <c r="T4119" s="403" t="str">
        <f t="shared" si="517"/>
        <v>NDE-8503-RT</v>
      </c>
      <c r="U4119" s="403">
        <f t="shared" si="518"/>
        <v>1</v>
      </c>
      <c r="V4119" s="403" t="str">
        <f t="shared" si="519"/>
        <v>CPP_7_3</v>
      </c>
    </row>
    <row r="4120" spans="1:22">
      <c r="A4120" t="str">
        <f t="shared" si="512"/>
        <v>NDE-8503-RT</v>
      </c>
      <c r="B4120" s="403" t="s">
        <v>1410</v>
      </c>
      <c r="C4120" s="403" t="s">
        <v>582</v>
      </c>
      <c r="D4120" s="403" t="s">
        <v>1414</v>
      </c>
      <c r="E4120" s="403" t="s">
        <v>1413</v>
      </c>
      <c r="F4120" s="403" t="s">
        <v>1382</v>
      </c>
      <c r="G4120" s="403" t="s">
        <v>1466</v>
      </c>
      <c r="H4120" s="403" t="s">
        <v>1281</v>
      </c>
      <c r="I4120" s="403">
        <v>1</v>
      </c>
      <c r="J4120" s="403" t="s">
        <v>1374</v>
      </c>
      <c r="K4120" s="403">
        <v>2304</v>
      </c>
      <c r="L4120" s="403">
        <v>1296</v>
      </c>
      <c r="M4120" s="403" t="s">
        <v>1279</v>
      </c>
      <c r="N4120" s="403">
        <v>768</v>
      </c>
      <c r="O4120" s="403">
        <v>432</v>
      </c>
      <c r="P4120" t="str">
        <f t="shared" si="513"/>
        <v>30fps 2304x1296 - SD ROI PTZ</v>
      </c>
      <c r="Q4120">
        <f t="shared" si="514"/>
        <v>20</v>
      </c>
      <c r="R4120" t="str">
        <f t="shared" si="515"/>
        <v/>
      </c>
      <c r="S4120" t="str">
        <f t="shared" si="516"/>
        <v/>
      </c>
      <c r="T4120" s="403" t="str">
        <f t="shared" si="517"/>
        <v>NDE-8503-RT</v>
      </c>
      <c r="U4120" s="403">
        <f t="shared" si="518"/>
        <v>1</v>
      </c>
      <c r="V4120" s="403" t="str">
        <f t="shared" si="519"/>
        <v>CPP_7_3</v>
      </c>
    </row>
    <row r="4121" spans="1:22">
      <c r="A4121" t="str">
        <f t="shared" si="512"/>
        <v>NDE-8503-RT</v>
      </c>
      <c r="B4121" s="403" t="s">
        <v>1410</v>
      </c>
      <c r="C4121" s="403" t="s">
        <v>582</v>
      </c>
      <c r="D4121" s="403" t="s">
        <v>1414</v>
      </c>
      <c r="E4121" s="403" t="s">
        <v>1413</v>
      </c>
      <c r="F4121" s="403" t="s">
        <v>1382</v>
      </c>
      <c r="G4121" s="403" t="s">
        <v>1466</v>
      </c>
      <c r="H4121" s="403" t="s">
        <v>1281</v>
      </c>
      <c r="I4121" s="403">
        <v>1</v>
      </c>
      <c r="J4121" s="403" t="s">
        <v>1374</v>
      </c>
      <c r="K4121" s="403">
        <v>2304</v>
      </c>
      <c r="L4121" s="403">
        <v>1296</v>
      </c>
      <c r="M4121" s="403" t="s">
        <v>1285</v>
      </c>
      <c r="N4121" s="403">
        <v>1280</v>
      </c>
      <c r="O4121" s="403">
        <v>1024</v>
      </c>
      <c r="P4121" t="str">
        <f t="shared" si="513"/>
        <v>30fps 2304x1296 - 1280x1024 5:4 (cropped)</v>
      </c>
      <c r="Q4121">
        <f t="shared" si="514"/>
        <v>20</v>
      </c>
      <c r="R4121" t="str">
        <f t="shared" si="515"/>
        <v/>
      </c>
      <c r="S4121" t="str">
        <f t="shared" si="516"/>
        <v/>
      </c>
      <c r="T4121" s="403" t="str">
        <f t="shared" si="517"/>
        <v>NDE-8503-RT</v>
      </c>
      <c r="U4121" s="403">
        <f t="shared" si="518"/>
        <v>1</v>
      </c>
      <c r="V4121" s="403" t="str">
        <f t="shared" si="519"/>
        <v>CPP_7_3</v>
      </c>
    </row>
    <row r="4122" spans="1:22">
      <c r="A4122" t="str">
        <f t="shared" si="512"/>
        <v>NDE-8503-RT</v>
      </c>
      <c r="B4122" s="403" t="s">
        <v>1410</v>
      </c>
      <c r="C4122" s="403" t="s">
        <v>582</v>
      </c>
      <c r="D4122" s="403" t="s">
        <v>1414</v>
      </c>
      <c r="E4122" s="403" t="s">
        <v>1413</v>
      </c>
      <c r="F4122" s="403" t="s">
        <v>1382</v>
      </c>
      <c r="G4122" s="403" t="s">
        <v>1466</v>
      </c>
      <c r="H4122" s="403" t="s">
        <v>1281</v>
      </c>
      <c r="I4122" s="403">
        <v>1</v>
      </c>
      <c r="J4122" s="403" t="s">
        <v>1374</v>
      </c>
      <c r="K4122" s="403">
        <v>2304</v>
      </c>
      <c r="L4122" s="403">
        <v>1296</v>
      </c>
      <c r="M4122" s="403" t="s">
        <v>1283</v>
      </c>
      <c r="N4122" s="403">
        <v>720</v>
      </c>
      <c r="O4122" s="403">
        <v>480</v>
      </c>
      <c r="P4122" t="str">
        <f t="shared" si="513"/>
        <v>30fps 2304x1296 - SD 4CIF resolution 4:3 format (cropped)</v>
      </c>
      <c r="Q4122">
        <f t="shared" si="514"/>
        <v>20</v>
      </c>
      <c r="R4122" t="str">
        <f t="shared" si="515"/>
        <v/>
      </c>
      <c r="S4122" t="str">
        <f t="shared" si="516"/>
        <v/>
      </c>
      <c r="T4122" s="403" t="str">
        <f t="shared" si="517"/>
        <v>NDE-8503-RT</v>
      </c>
      <c r="U4122" s="403">
        <f t="shared" si="518"/>
        <v>1</v>
      </c>
      <c r="V4122" s="403" t="str">
        <f t="shared" si="519"/>
        <v>CPP_7_3</v>
      </c>
    </row>
    <row r="4123" spans="1:22">
      <c r="A4123" t="str">
        <f t="shared" si="512"/>
        <v>NDE-8503-RT</v>
      </c>
      <c r="B4123" s="403" t="s">
        <v>1410</v>
      </c>
      <c r="C4123" s="403" t="s">
        <v>582</v>
      </c>
      <c r="D4123" s="403" t="s">
        <v>1414</v>
      </c>
      <c r="E4123" s="403" t="s">
        <v>1413</v>
      </c>
      <c r="F4123" s="403" t="s">
        <v>1382</v>
      </c>
      <c r="G4123" s="403" t="s">
        <v>1466</v>
      </c>
      <c r="H4123" s="403" t="s">
        <v>1281</v>
      </c>
      <c r="I4123" s="403">
        <v>1</v>
      </c>
      <c r="J4123" s="403" t="s">
        <v>1374</v>
      </c>
      <c r="K4123" s="403">
        <v>2304</v>
      </c>
      <c r="L4123" s="403">
        <v>1296</v>
      </c>
      <c r="M4123" s="403" t="s">
        <v>1284</v>
      </c>
      <c r="N4123" s="403">
        <v>640</v>
      </c>
      <c r="O4123" s="403">
        <v>480</v>
      </c>
      <c r="P4123" t="str">
        <f t="shared" si="513"/>
        <v>30fps 2304x1296 - SD VGA (cropped)</v>
      </c>
      <c r="Q4123">
        <f t="shared" si="514"/>
        <v>20</v>
      </c>
      <c r="R4123" t="str">
        <f t="shared" si="515"/>
        <v/>
      </c>
      <c r="S4123" t="str">
        <f t="shared" si="516"/>
        <v/>
      </c>
      <c r="T4123" s="403" t="str">
        <f t="shared" si="517"/>
        <v>NDE-8503-RT</v>
      </c>
      <c r="U4123" s="403">
        <f t="shared" si="518"/>
        <v>1</v>
      </c>
      <c r="V4123" s="403" t="str">
        <f t="shared" si="519"/>
        <v>CPP_7_3</v>
      </c>
    </row>
    <row r="4124" spans="1:22">
      <c r="A4124" t="str">
        <f t="shared" si="512"/>
        <v>NDE-8503-RT</v>
      </c>
      <c r="B4124" s="403" t="s">
        <v>1410</v>
      </c>
      <c r="C4124" s="403" t="s">
        <v>582</v>
      </c>
      <c r="D4124" s="403" t="s">
        <v>1414</v>
      </c>
      <c r="E4124" s="403" t="s">
        <v>1413</v>
      </c>
      <c r="F4124" s="403" t="s">
        <v>1382</v>
      </c>
      <c r="G4124" s="403" t="s">
        <v>1466</v>
      </c>
      <c r="H4124" s="403" t="s">
        <v>1281</v>
      </c>
      <c r="I4124" s="403">
        <v>1</v>
      </c>
      <c r="J4124" s="403" t="s">
        <v>1374</v>
      </c>
      <c r="K4124" s="403">
        <v>2304</v>
      </c>
      <c r="L4124" s="403">
        <v>1296</v>
      </c>
      <c r="M4124" s="403" t="s">
        <v>1280</v>
      </c>
      <c r="N4124" s="403">
        <v>2304</v>
      </c>
      <c r="O4124" s="403">
        <v>1296</v>
      </c>
      <c r="P4124" t="str">
        <f t="shared" si="513"/>
        <v>30fps 2304x1296 - copy other stream</v>
      </c>
      <c r="Q4124">
        <f t="shared" si="514"/>
        <v>20</v>
      </c>
      <c r="R4124" t="str">
        <f t="shared" si="515"/>
        <v/>
      </c>
      <c r="S4124" t="str">
        <f t="shared" si="516"/>
        <v/>
      </c>
      <c r="T4124" s="403" t="str">
        <f t="shared" si="517"/>
        <v>NDE-8503-RT</v>
      </c>
      <c r="U4124" s="403">
        <f t="shared" si="518"/>
        <v>1</v>
      </c>
      <c r="V4124" s="403" t="str">
        <f t="shared" si="519"/>
        <v>CPP_7_3</v>
      </c>
    </row>
    <row r="4125" spans="1:22">
      <c r="A4125" t="str">
        <f t="shared" si="512"/>
        <v>NDE-8503-RT</v>
      </c>
      <c r="B4125" s="403" t="s">
        <v>1410</v>
      </c>
      <c r="C4125" s="403" t="s">
        <v>582</v>
      </c>
      <c r="D4125" s="403" t="s">
        <v>1414</v>
      </c>
      <c r="E4125" s="403" t="s">
        <v>1413</v>
      </c>
      <c r="F4125" s="403" t="s">
        <v>1382</v>
      </c>
      <c r="G4125" s="403" t="s">
        <v>1466</v>
      </c>
      <c r="H4125" s="403" t="s">
        <v>1281</v>
      </c>
      <c r="I4125" s="403">
        <v>1</v>
      </c>
      <c r="J4125" s="403" t="s">
        <v>110</v>
      </c>
      <c r="K4125" s="403">
        <v>1920</v>
      </c>
      <c r="L4125" s="403">
        <v>1080</v>
      </c>
      <c r="M4125" s="403" t="s">
        <v>111</v>
      </c>
      <c r="N4125" s="403">
        <v>768</v>
      </c>
      <c r="O4125" s="403">
        <v>432</v>
      </c>
      <c r="P4125" t="str">
        <f t="shared" si="513"/>
        <v>30fps 1080p - SD</v>
      </c>
      <c r="Q4125">
        <f t="shared" si="514"/>
        <v>20</v>
      </c>
      <c r="R4125" t="str">
        <f t="shared" si="515"/>
        <v/>
      </c>
      <c r="S4125" t="str">
        <f t="shared" si="516"/>
        <v/>
      </c>
      <c r="T4125" s="403" t="str">
        <f t="shared" si="517"/>
        <v>NDE-8503-RT</v>
      </c>
      <c r="U4125" s="403">
        <f t="shared" si="518"/>
        <v>1</v>
      </c>
      <c r="V4125" s="403" t="str">
        <f t="shared" si="519"/>
        <v>CPP_7_3</v>
      </c>
    </row>
    <row r="4126" spans="1:22">
      <c r="A4126" t="str">
        <f t="shared" si="512"/>
        <v>NDE-8503-RT</v>
      </c>
      <c r="B4126" s="403" t="s">
        <v>1410</v>
      </c>
      <c r="C4126" s="403" t="s">
        <v>582</v>
      </c>
      <c r="D4126" s="403" t="s">
        <v>1414</v>
      </c>
      <c r="E4126" s="403" t="s">
        <v>1413</v>
      </c>
      <c r="F4126" s="403" t="s">
        <v>1382</v>
      </c>
      <c r="G4126" s="403" t="s">
        <v>1466</v>
      </c>
      <c r="H4126" s="403" t="s">
        <v>1281</v>
      </c>
      <c r="I4126" s="403">
        <v>1</v>
      </c>
      <c r="J4126" s="403" t="s">
        <v>110</v>
      </c>
      <c r="K4126" s="403">
        <v>1920</v>
      </c>
      <c r="L4126" s="403">
        <v>1080</v>
      </c>
      <c r="M4126" s="403" t="s">
        <v>110</v>
      </c>
      <c r="N4126" s="403">
        <v>1920</v>
      </c>
      <c r="O4126" s="403">
        <v>1080</v>
      </c>
      <c r="P4126" t="str">
        <f t="shared" si="513"/>
        <v>30fps 1080p - 1080p</v>
      </c>
      <c r="Q4126">
        <f t="shared" si="514"/>
        <v>20</v>
      </c>
      <c r="R4126" t="str">
        <f t="shared" si="515"/>
        <v/>
      </c>
      <c r="S4126" t="str">
        <f t="shared" si="516"/>
        <v/>
      </c>
      <c r="T4126" s="403" t="str">
        <f t="shared" si="517"/>
        <v>NDE-8503-RT</v>
      </c>
      <c r="U4126" s="403">
        <f t="shared" si="518"/>
        <v>1</v>
      </c>
      <c r="V4126" s="403" t="str">
        <f t="shared" si="519"/>
        <v>CPP_7_3</v>
      </c>
    </row>
    <row r="4127" spans="1:22">
      <c r="A4127" t="str">
        <f t="shared" si="512"/>
        <v>NDE-8503-RT</v>
      </c>
      <c r="B4127" s="403" t="s">
        <v>1410</v>
      </c>
      <c r="C4127" s="403" t="s">
        <v>582</v>
      </c>
      <c r="D4127" s="403" t="s">
        <v>1414</v>
      </c>
      <c r="E4127" s="403" t="s">
        <v>1413</v>
      </c>
      <c r="F4127" s="403" t="s">
        <v>1382</v>
      </c>
      <c r="G4127" s="403" t="s">
        <v>1466</v>
      </c>
      <c r="H4127" s="403" t="s">
        <v>1281</v>
      </c>
      <c r="I4127" s="403">
        <v>1</v>
      </c>
      <c r="J4127" s="403" t="s">
        <v>110</v>
      </c>
      <c r="K4127" s="403">
        <v>1920</v>
      </c>
      <c r="L4127" s="403">
        <v>1080</v>
      </c>
      <c r="M4127" s="403" t="s">
        <v>109</v>
      </c>
      <c r="N4127" s="403">
        <v>1280</v>
      </c>
      <c r="O4127" s="403">
        <v>720</v>
      </c>
      <c r="P4127" t="str">
        <f t="shared" si="513"/>
        <v>30fps 1080p - 720p</v>
      </c>
      <c r="Q4127">
        <f t="shared" si="514"/>
        <v>20</v>
      </c>
      <c r="R4127" t="str">
        <f t="shared" si="515"/>
        <v/>
      </c>
      <c r="S4127" t="str">
        <f t="shared" si="516"/>
        <v/>
      </c>
      <c r="T4127" s="403" t="str">
        <f t="shared" si="517"/>
        <v>NDE-8503-RT</v>
      </c>
      <c r="U4127" s="403">
        <f t="shared" si="518"/>
        <v>1</v>
      </c>
      <c r="V4127" s="403" t="str">
        <f t="shared" si="519"/>
        <v>CPP_7_3</v>
      </c>
    </row>
    <row r="4128" spans="1:22">
      <c r="A4128" t="str">
        <f t="shared" si="512"/>
        <v>NDE-8503-RT</v>
      </c>
      <c r="B4128" s="403" t="s">
        <v>1410</v>
      </c>
      <c r="C4128" s="403" t="s">
        <v>582</v>
      </c>
      <c r="D4128" s="403" t="s">
        <v>1414</v>
      </c>
      <c r="E4128" s="403" t="s">
        <v>1413</v>
      </c>
      <c r="F4128" s="403" t="s">
        <v>1382</v>
      </c>
      <c r="G4128" s="403" t="s">
        <v>1466</v>
      </c>
      <c r="H4128" s="403" t="s">
        <v>1281</v>
      </c>
      <c r="I4128" s="403">
        <v>1</v>
      </c>
      <c r="J4128" s="403" t="s">
        <v>110</v>
      </c>
      <c r="K4128" s="403">
        <v>1920</v>
      </c>
      <c r="L4128" s="403">
        <v>1080</v>
      </c>
      <c r="M4128" s="403" t="s">
        <v>1285</v>
      </c>
      <c r="N4128" s="403">
        <v>1280</v>
      </c>
      <c r="O4128" s="403">
        <v>1024</v>
      </c>
      <c r="P4128" t="str">
        <f t="shared" si="513"/>
        <v>30fps 1080p - 1280x1024 5:4 (cropped)</v>
      </c>
      <c r="Q4128">
        <f t="shared" si="514"/>
        <v>20</v>
      </c>
      <c r="R4128" t="str">
        <f t="shared" si="515"/>
        <v/>
      </c>
      <c r="S4128" t="str">
        <f t="shared" si="516"/>
        <v/>
      </c>
      <c r="T4128" s="403" t="str">
        <f t="shared" si="517"/>
        <v>NDE-8503-RT</v>
      </c>
      <c r="U4128" s="403">
        <f t="shared" si="518"/>
        <v>1</v>
      </c>
      <c r="V4128" s="403" t="str">
        <f t="shared" si="519"/>
        <v>CPP_7_3</v>
      </c>
    </row>
    <row r="4129" spans="1:22">
      <c r="A4129" t="str">
        <f t="shared" si="512"/>
        <v>NDE-8503-RT</v>
      </c>
      <c r="B4129" s="403" t="s">
        <v>1410</v>
      </c>
      <c r="C4129" s="403" t="s">
        <v>582</v>
      </c>
      <c r="D4129" s="403" t="s">
        <v>1414</v>
      </c>
      <c r="E4129" s="403" t="s">
        <v>1413</v>
      </c>
      <c r="F4129" s="403" t="s">
        <v>1382</v>
      </c>
      <c r="G4129" s="403" t="s">
        <v>1466</v>
      </c>
      <c r="H4129" s="403" t="s">
        <v>1281</v>
      </c>
      <c r="I4129" s="403">
        <v>1</v>
      </c>
      <c r="J4129" s="403" t="s">
        <v>110</v>
      </c>
      <c r="K4129" s="403">
        <v>1920</v>
      </c>
      <c r="L4129" s="403">
        <v>1080</v>
      </c>
      <c r="M4129" s="403" t="s">
        <v>1279</v>
      </c>
      <c r="N4129" s="403">
        <v>768</v>
      </c>
      <c r="O4129" s="403">
        <v>432</v>
      </c>
      <c r="P4129" t="str">
        <f t="shared" si="513"/>
        <v>30fps 1080p - SD ROI PTZ</v>
      </c>
      <c r="Q4129">
        <f t="shared" si="514"/>
        <v>20</v>
      </c>
      <c r="R4129" t="str">
        <f t="shared" si="515"/>
        <v/>
      </c>
      <c r="S4129" t="str">
        <f t="shared" si="516"/>
        <v/>
      </c>
      <c r="T4129" s="403" t="str">
        <f t="shared" si="517"/>
        <v>NDE-8503-RT</v>
      </c>
      <c r="U4129" s="403">
        <f t="shared" si="518"/>
        <v>1</v>
      </c>
      <c r="V4129" s="403" t="str">
        <f t="shared" si="519"/>
        <v>CPP_7_3</v>
      </c>
    </row>
    <row r="4130" spans="1:22">
      <c r="A4130" t="str">
        <f t="shared" si="512"/>
        <v>NDE-8503-RT</v>
      </c>
      <c r="B4130" s="403" t="s">
        <v>1410</v>
      </c>
      <c r="C4130" s="403" t="s">
        <v>582</v>
      </c>
      <c r="D4130" s="403" t="s">
        <v>1414</v>
      </c>
      <c r="E4130" s="403" t="s">
        <v>1413</v>
      </c>
      <c r="F4130" s="403" t="s">
        <v>1382</v>
      </c>
      <c r="G4130" s="403" t="s">
        <v>1466</v>
      </c>
      <c r="H4130" s="403" t="s">
        <v>1281</v>
      </c>
      <c r="I4130" s="403">
        <v>1</v>
      </c>
      <c r="J4130" s="403" t="s">
        <v>110</v>
      </c>
      <c r="K4130" s="403">
        <v>1920</v>
      </c>
      <c r="L4130" s="403">
        <v>1080</v>
      </c>
      <c r="M4130" s="403" t="s">
        <v>1283</v>
      </c>
      <c r="N4130" s="403">
        <v>720</v>
      </c>
      <c r="O4130" s="403">
        <v>480</v>
      </c>
      <c r="P4130" t="str">
        <f t="shared" si="513"/>
        <v>30fps 1080p - SD 4CIF resolution 4:3 format (cropped)</v>
      </c>
      <c r="Q4130">
        <f t="shared" si="514"/>
        <v>20</v>
      </c>
      <c r="R4130" t="str">
        <f t="shared" si="515"/>
        <v/>
      </c>
      <c r="S4130" t="str">
        <f t="shared" si="516"/>
        <v/>
      </c>
      <c r="T4130" s="403" t="str">
        <f t="shared" si="517"/>
        <v>NDE-8503-RT</v>
      </c>
      <c r="U4130" s="403">
        <f t="shared" si="518"/>
        <v>1</v>
      </c>
      <c r="V4130" s="403" t="str">
        <f t="shared" si="519"/>
        <v>CPP_7_3</v>
      </c>
    </row>
    <row r="4131" spans="1:22">
      <c r="A4131" t="str">
        <f t="shared" si="512"/>
        <v>NDE-8503-RT</v>
      </c>
      <c r="B4131" s="403" t="s">
        <v>1410</v>
      </c>
      <c r="C4131" s="403" t="s">
        <v>582</v>
      </c>
      <c r="D4131" s="403" t="s">
        <v>1414</v>
      </c>
      <c r="E4131" s="403" t="s">
        <v>1413</v>
      </c>
      <c r="F4131" s="403" t="s">
        <v>1382</v>
      </c>
      <c r="G4131" s="403" t="s">
        <v>1466</v>
      </c>
      <c r="H4131" s="403" t="s">
        <v>1281</v>
      </c>
      <c r="I4131" s="403">
        <v>1</v>
      </c>
      <c r="J4131" s="403" t="s">
        <v>110</v>
      </c>
      <c r="K4131" s="403">
        <v>1920</v>
      </c>
      <c r="L4131" s="403">
        <v>1080</v>
      </c>
      <c r="M4131" s="403" t="s">
        <v>1284</v>
      </c>
      <c r="N4131" s="403">
        <v>640</v>
      </c>
      <c r="O4131" s="403">
        <v>480</v>
      </c>
      <c r="P4131" t="str">
        <f t="shared" si="513"/>
        <v>30fps 1080p - SD VGA (cropped)</v>
      </c>
      <c r="Q4131">
        <f t="shared" si="514"/>
        <v>20</v>
      </c>
      <c r="R4131" t="str">
        <f t="shared" si="515"/>
        <v/>
      </c>
      <c r="S4131" t="str">
        <f t="shared" si="516"/>
        <v/>
      </c>
      <c r="T4131" s="403" t="str">
        <f t="shared" si="517"/>
        <v>NDE-8503-RT</v>
      </c>
      <c r="U4131" s="403">
        <f t="shared" si="518"/>
        <v>1</v>
      </c>
      <c r="V4131" s="403" t="str">
        <f t="shared" si="519"/>
        <v>CPP_7_3</v>
      </c>
    </row>
    <row r="4132" spans="1:22">
      <c r="A4132" t="str">
        <f t="shared" si="512"/>
        <v>NDE-8503-RT</v>
      </c>
      <c r="B4132" s="403" t="s">
        <v>1410</v>
      </c>
      <c r="C4132" s="403" t="s">
        <v>582</v>
      </c>
      <c r="D4132" s="403" t="s">
        <v>1414</v>
      </c>
      <c r="E4132" s="403" t="s">
        <v>1413</v>
      </c>
      <c r="F4132" s="403" t="s">
        <v>1382</v>
      </c>
      <c r="G4132" s="403" t="s">
        <v>1466</v>
      </c>
      <c r="H4132" s="403" t="s">
        <v>1281</v>
      </c>
      <c r="I4132" s="403">
        <v>1</v>
      </c>
      <c r="J4132" s="403" t="s">
        <v>109</v>
      </c>
      <c r="K4132" s="403">
        <v>1280</v>
      </c>
      <c r="L4132" s="403">
        <v>720</v>
      </c>
      <c r="M4132" s="403" t="s">
        <v>109</v>
      </c>
      <c r="N4132" s="403">
        <v>1280</v>
      </c>
      <c r="O4132" s="403">
        <v>720</v>
      </c>
      <c r="P4132" t="str">
        <f t="shared" si="513"/>
        <v>30fps 720p - 720p</v>
      </c>
      <c r="Q4132">
        <f t="shared" si="514"/>
        <v>20</v>
      </c>
      <c r="R4132" t="str">
        <f t="shared" si="515"/>
        <v/>
      </c>
      <c r="S4132" t="str">
        <f t="shared" si="516"/>
        <v/>
      </c>
      <c r="T4132" s="403" t="str">
        <f t="shared" si="517"/>
        <v>NDE-8503-RT</v>
      </c>
      <c r="U4132" s="403">
        <f t="shared" si="518"/>
        <v>1</v>
      </c>
      <c r="V4132" s="403" t="str">
        <f t="shared" si="519"/>
        <v>CPP_7_3</v>
      </c>
    </row>
    <row r="4133" spans="1:22">
      <c r="A4133" t="str">
        <f t="shared" si="512"/>
        <v>NDE-8503-RT</v>
      </c>
      <c r="B4133" s="403" t="s">
        <v>1410</v>
      </c>
      <c r="C4133" s="403" t="s">
        <v>582</v>
      </c>
      <c r="D4133" s="403" t="s">
        <v>1414</v>
      </c>
      <c r="E4133" s="403" t="s">
        <v>1413</v>
      </c>
      <c r="F4133" s="403" t="s">
        <v>1382</v>
      </c>
      <c r="G4133" s="403" t="s">
        <v>1466</v>
      </c>
      <c r="H4133" s="403" t="s">
        <v>1281</v>
      </c>
      <c r="I4133" s="403">
        <v>1</v>
      </c>
      <c r="J4133" s="403" t="s">
        <v>109</v>
      </c>
      <c r="K4133" s="403">
        <v>1280</v>
      </c>
      <c r="L4133" s="403">
        <v>720</v>
      </c>
      <c r="M4133" s="403" t="s">
        <v>111</v>
      </c>
      <c r="N4133" s="403">
        <v>768</v>
      </c>
      <c r="O4133" s="403">
        <v>432</v>
      </c>
      <c r="P4133" t="str">
        <f t="shared" si="513"/>
        <v>30fps 720p - SD</v>
      </c>
      <c r="Q4133">
        <f t="shared" si="514"/>
        <v>20</v>
      </c>
      <c r="R4133" t="str">
        <f t="shared" si="515"/>
        <v/>
      </c>
      <c r="S4133" t="str">
        <f t="shared" si="516"/>
        <v/>
      </c>
      <c r="T4133" s="403" t="str">
        <f t="shared" si="517"/>
        <v>NDE-8503-RT</v>
      </c>
      <c r="U4133" s="403">
        <f t="shared" si="518"/>
        <v>1</v>
      </c>
      <c r="V4133" s="403" t="str">
        <f t="shared" si="519"/>
        <v>CPP_7_3</v>
      </c>
    </row>
    <row r="4134" spans="1:22">
      <c r="A4134" t="str">
        <f t="shared" si="512"/>
        <v>NDE-8503-RT</v>
      </c>
      <c r="B4134" s="403" t="s">
        <v>1410</v>
      </c>
      <c r="C4134" s="403" t="s">
        <v>582</v>
      </c>
      <c r="D4134" s="403" t="s">
        <v>1414</v>
      </c>
      <c r="E4134" s="403" t="s">
        <v>1413</v>
      </c>
      <c r="F4134" s="403" t="s">
        <v>1382</v>
      </c>
      <c r="G4134" s="403" t="s">
        <v>1466</v>
      </c>
      <c r="H4134" s="403" t="s">
        <v>1281</v>
      </c>
      <c r="I4134" s="403">
        <v>1</v>
      </c>
      <c r="J4134" s="403" t="s">
        <v>109</v>
      </c>
      <c r="K4134" s="403">
        <v>1280</v>
      </c>
      <c r="L4134" s="403">
        <v>720</v>
      </c>
      <c r="M4134" s="403" t="s">
        <v>1279</v>
      </c>
      <c r="N4134" s="403">
        <v>768</v>
      </c>
      <c r="O4134" s="403">
        <v>432</v>
      </c>
      <c r="P4134" t="str">
        <f t="shared" si="513"/>
        <v>30fps 720p - SD ROI PTZ</v>
      </c>
      <c r="Q4134">
        <f t="shared" si="514"/>
        <v>20</v>
      </c>
      <c r="R4134" t="str">
        <f t="shared" si="515"/>
        <v/>
      </c>
      <c r="S4134" t="str">
        <f t="shared" si="516"/>
        <v/>
      </c>
      <c r="T4134" s="403" t="str">
        <f t="shared" si="517"/>
        <v>NDE-8503-RT</v>
      </c>
      <c r="U4134" s="403">
        <f t="shared" si="518"/>
        <v>1</v>
      </c>
      <c r="V4134" s="403" t="str">
        <f t="shared" si="519"/>
        <v>CPP_7_3</v>
      </c>
    </row>
    <row r="4135" spans="1:22">
      <c r="A4135" t="str">
        <f t="shared" si="512"/>
        <v>NDE-8503-RT</v>
      </c>
      <c r="B4135" s="403" t="s">
        <v>1410</v>
      </c>
      <c r="C4135" s="403" t="s">
        <v>582</v>
      </c>
      <c r="D4135" s="403" t="s">
        <v>1414</v>
      </c>
      <c r="E4135" s="403" t="s">
        <v>1413</v>
      </c>
      <c r="F4135" s="403" t="s">
        <v>1382</v>
      </c>
      <c r="G4135" s="403" t="s">
        <v>1466</v>
      </c>
      <c r="H4135" s="403" t="s">
        <v>1281</v>
      </c>
      <c r="I4135" s="403">
        <v>1</v>
      </c>
      <c r="J4135" s="403" t="s">
        <v>109</v>
      </c>
      <c r="K4135" s="403">
        <v>1280</v>
      </c>
      <c r="L4135" s="403">
        <v>720</v>
      </c>
      <c r="M4135" s="403" t="s">
        <v>1283</v>
      </c>
      <c r="N4135" s="403">
        <v>720</v>
      </c>
      <c r="O4135" s="403">
        <v>480</v>
      </c>
      <c r="P4135" t="str">
        <f t="shared" si="513"/>
        <v>30fps 720p - SD 4CIF resolution 4:3 format (cropped)</v>
      </c>
      <c r="Q4135">
        <f t="shared" si="514"/>
        <v>20</v>
      </c>
      <c r="R4135" t="str">
        <f t="shared" si="515"/>
        <v/>
      </c>
      <c r="S4135" t="str">
        <f t="shared" si="516"/>
        <v/>
      </c>
      <c r="T4135" s="403" t="str">
        <f t="shared" si="517"/>
        <v>NDE-8503-RT</v>
      </c>
      <c r="U4135" s="403">
        <f t="shared" si="518"/>
        <v>1</v>
      </c>
      <c r="V4135" s="403" t="str">
        <f t="shared" si="519"/>
        <v>CPP_7_3</v>
      </c>
    </row>
    <row r="4136" spans="1:22">
      <c r="A4136" t="str">
        <f t="shared" si="512"/>
        <v>NDE-8503-RT</v>
      </c>
      <c r="B4136" s="403" t="s">
        <v>1410</v>
      </c>
      <c r="C4136" s="403" t="s">
        <v>582</v>
      </c>
      <c r="D4136" s="403" t="s">
        <v>1414</v>
      </c>
      <c r="E4136" s="403" t="s">
        <v>1413</v>
      </c>
      <c r="F4136" s="403" t="s">
        <v>1382</v>
      </c>
      <c r="G4136" s="403" t="s">
        <v>1466</v>
      </c>
      <c r="H4136" s="403" t="s">
        <v>1281</v>
      </c>
      <c r="I4136" s="403">
        <v>1</v>
      </c>
      <c r="J4136" s="403" t="s">
        <v>109</v>
      </c>
      <c r="K4136" s="403">
        <v>1280</v>
      </c>
      <c r="L4136" s="403">
        <v>720</v>
      </c>
      <c r="M4136" s="403" t="s">
        <v>1284</v>
      </c>
      <c r="N4136" s="403">
        <v>640</v>
      </c>
      <c r="O4136" s="403">
        <v>480</v>
      </c>
      <c r="P4136" t="str">
        <f t="shared" si="513"/>
        <v>30fps 720p - SD VGA (cropped)</v>
      </c>
      <c r="Q4136">
        <f t="shared" si="514"/>
        <v>20</v>
      </c>
      <c r="R4136" t="str">
        <f t="shared" si="515"/>
        <v/>
      </c>
      <c r="S4136" t="str">
        <f t="shared" si="516"/>
        <v/>
      </c>
      <c r="T4136" s="403" t="str">
        <f t="shared" si="517"/>
        <v>NDE-8503-RT</v>
      </c>
      <c r="U4136" s="403">
        <f t="shared" si="518"/>
        <v>1</v>
      </c>
      <c r="V4136" s="403" t="str">
        <f t="shared" si="519"/>
        <v>CPP_7_3</v>
      </c>
    </row>
    <row r="4137" spans="1:22">
      <c r="A4137" t="str">
        <f t="shared" si="512"/>
        <v>NDE-8503-RT</v>
      </c>
      <c r="B4137" s="403" t="s">
        <v>1410</v>
      </c>
      <c r="C4137" s="403" t="s">
        <v>582</v>
      </c>
      <c r="D4137" s="403" t="s">
        <v>1414</v>
      </c>
      <c r="E4137" s="403" t="s">
        <v>1413</v>
      </c>
      <c r="F4137" s="403" t="s">
        <v>1385</v>
      </c>
      <c r="G4137" s="403" t="s">
        <v>1466</v>
      </c>
      <c r="H4137" s="403" t="s">
        <v>1276</v>
      </c>
      <c r="I4137" s="403">
        <v>1</v>
      </c>
      <c r="J4137" s="403" t="s">
        <v>1376</v>
      </c>
      <c r="K4137" s="403">
        <v>3072</v>
      </c>
      <c r="L4137" s="403">
        <v>1728</v>
      </c>
      <c r="M4137" s="403" t="s">
        <v>111</v>
      </c>
      <c r="N4137" s="403">
        <v>768</v>
      </c>
      <c r="O4137" s="403">
        <v>432</v>
      </c>
      <c r="P4137" t="str">
        <f t="shared" si="513"/>
        <v>25fps 3072x1728 - SD</v>
      </c>
      <c r="Q4137">
        <f t="shared" si="514"/>
        <v>20</v>
      </c>
      <c r="R4137" t="str">
        <f t="shared" si="515"/>
        <v/>
      </c>
      <c r="S4137" t="str">
        <f t="shared" si="516"/>
        <v/>
      </c>
      <c r="T4137" s="403" t="str">
        <f t="shared" si="517"/>
        <v>NDE-8503-RT</v>
      </c>
      <c r="U4137" s="403">
        <f t="shared" si="518"/>
        <v>1</v>
      </c>
      <c r="V4137" s="403" t="str">
        <f t="shared" si="519"/>
        <v>CPP_7_3</v>
      </c>
    </row>
    <row r="4138" spans="1:22">
      <c r="A4138" t="str">
        <f t="shared" si="512"/>
        <v>NDE-8503-RT</v>
      </c>
      <c r="B4138" s="403" t="s">
        <v>1410</v>
      </c>
      <c r="C4138" s="403" t="s">
        <v>582</v>
      </c>
      <c r="D4138" s="403" t="s">
        <v>1414</v>
      </c>
      <c r="E4138" s="403" t="s">
        <v>1413</v>
      </c>
      <c r="F4138" s="403" t="s">
        <v>1385</v>
      </c>
      <c r="G4138" s="403" t="s">
        <v>1466</v>
      </c>
      <c r="H4138" s="403" t="s">
        <v>1276</v>
      </c>
      <c r="I4138" s="403">
        <v>1</v>
      </c>
      <c r="J4138" s="403" t="s">
        <v>1376</v>
      </c>
      <c r="K4138" s="403">
        <v>3072</v>
      </c>
      <c r="L4138" s="403">
        <v>1728</v>
      </c>
      <c r="M4138" s="403" t="s">
        <v>1600</v>
      </c>
      <c r="N4138" s="403">
        <v>3072</v>
      </c>
      <c r="O4138" s="403">
        <v>1728</v>
      </c>
      <c r="P4138" t="str">
        <f t="shared" si="513"/>
        <v>25fps 3072x1728 - 3072x1728 @ SKIP2</v>
      </c>
      <c r="Q4138">
        <f t="shared" si="514"/>
        <v>20</v>
      </c>
      <c r="R4138" t="str">
        <f t="shared" si="515"/>
        <v/>
      </c>
      <c r="S4138" t="str">
        <f t="shared" si="516"/>
        <v/>
      </c>
      <c r="T4138" s="403" t="str">
        <f t="shared" si="517"/>
        <v>NDE-8503-RT</v>
      </c>
      <c r="U4138" s="403">
        <f t="shared" si="518"/>
        <v>1</v>
      </c>
      <c r="V4138" s="403" t="str">
        <f t="shared" si="519"/>
        <v>CPP_7_3</v>
      </c>
    </row>
    <row r="4139" spans="1:22">
      <c r="A4139" t="str">
        <f t="shared" si="512"/>
        <v>NDE-8503-RT</v>
      </c>
      <c r="B4139" s="403" t="s">
        <v>1410</v>
      </c>
      <c r="C4139" s="403" t="s">
        <v>582</v>
      </c>
      <c r="D4139" s="403" t="s">
        <v>1414</v>
      </c>
      <c r="E4139" s="403" t="s">
        <v>1413</v>
      </c>
      <c r="F4139" s="403" t="s">
        <v>1385</v>
      </c>
      <c r="G4139" s="403" t="s">
        <v>1466</v>
      </c>
      <c r="H4139" s="403" t="s">
        <v>1276</v>
      </c>
      <c r="I4139" s="403">
        <v>1</v>
      </c>
      <c r="J4139" s="403" t="s">
        <v>1376</v>
      </c>
      <c r="K4139" s="403">
        <v>3072</v>
      </c>
      <c r="L4139" s="403">
        <v>1728</v>
      </c>
      <c r="M4139" s="403" t="s">
        <v>1280</v>
      </c>
      <c r="N4139" s="403">
        <v>3072</v>
      </c>
      <c r="O4139" s="403">
        <v>1728</v>
      </c>
      <c r="P4139" t="str">
        <f t="shared" si="513"/>
        <v>25fps 3072x1728 - copy other stream</v>
      </c>
      <c r="Q4139">
        <f t="shared" si="514"/>
        <v>20</v>
      </c>
      <c r="R4139" t="str">
        <f t="shared" si="515"/>
        <v/>
      </c>
      <c r="S4139" t="str">
        <f t="shared" si="516"/>
        <v/>
      </c>
      <c r="T4139" s="403" t="str">
        <f t="shared" si="517"/>
        <v>NDE-8503-RT</v>
      </c>
      <c r="U4139" s="403">
        <f t="shared" si="518"/>
        <v>1</v>
      </c>
      <c r="V4139" s="403" t="str">
        <f t="shared" si="519"/>
        <v>CPP_7_3</v>
      </c>
    </row>
    <row r="4140" spans="1:22">
      <c r="A4140" t="str">
        <f t="shared" si="512"/>
        <v>NDE-8503-RT</v>
      </c>
      <c r="B4140" s="403" t="s">
        <v>1410</v>
      </c>
      <c r="C4140" s="403" t="s">
        <v>582</v>
      </c>
      <c r="D4140" s="403" t="s">
        <v>1414</v>
      </c>
      <c r="E4140" s="403" t="s">
        <v>1413</v>
      </c>
      <c r="F4140" s="403" t="s">
        <v>1385</v>
      </c>
      <c r="G4140" s="403" t="s">
        <v>1466</v>
      </c>
      <c r="H4140" s="403" t="s">
        <v>1276</v>
      </c>
      <c r="I4140" s="403">
        <v>1</v>
      </c>
      <c r="J4140" s="403" t="s">
        <v>1376</v>
      </c>
      <c r="K4140" s="403">
        <v>3072</v>
      </c>
      <c r="L4140" s="403">
        <v>1728</v>
      </c>
      <c r="M4140" s="403" t="s">
        <v>110</v>
      </c>
      <c r="N4140" s="403">
        <v>1920</v>
      </c>
      <c r="O4140" s="403">
        <v>1080</v>
      </c>
      <c r="P4140" t="str">
        <f t="shared" si="513"/>
        <v>25fps 3072x1728 - 1080p</v>
      </c>
      <c r="Q4140">
        <f t="shared" si="514"/>
        <v>20</v>
      </c>
      <c r="R4140" t="str">
        <f t="shared" si="515"/>
        <v/>
      </c>
      <c r="S4140" t="str">
        <f t="shared" si="516"/>
        <v/>
      </c>
      <c r="T4140" s="403" t="str">
        <f t="shared" si="517"/>
        <v>NDE-8503-RT</v>
      </c>
      <c r="U4140" s="403">
        <f t="shared" si="518"/>
        <v>1</v>
      </c>
      <c r="V4140" s="403" t="str">
        <f t="shared" si="519"/>
        <v>CPP_7_3</v>
      </c>
    </row>
    <row r="4141" spans="1:22">
      <c r="A4141" t="str">
        <f t="shared" si="512"/>
        <v>NDE-8503-RT</v>
      </c>
      <c r="B4141" s="403" t="s">
        <v>1410</v>
      </c>
      <c r="C4141" s="403" t="s">
        <v>582</v>
      </c>
      <c r="D4141" s="403" t="s">
        <v>1414</v>
      </c>
      <c r="E4141" s="403" t="s">
        <v>1413</v>
      </c>
      <c r="F4141" s="403" t="s">
        <v>1385</v>
      </c>
      <c r="G4141" s="403" t="s">
        <v>1466</v>
      </c>
      <c r="H4141" s="403" t="s">
        <v>1276</v>
      </c>
      <c r="I4141" s="403">
        <v>1</v>
      </c>
      <c r="J4141" s="403" t="s">
        <v>1376</v>
      </c>
      <c r="K4141" s="403">
        <v>3072</v>
      </c>
      <c r="L4141" s="403">
        <v>1728</v>
      </c>
      <c r="M4141" s="403" t="s">
        <v>109</v>
      </c>
      <c r="N4141" s="403">
        <v>1280</v>
      </c>
      <c r="O4141" s="403">
        <v>720</v>
      </c>
      <c r="P4141" t="str">
        <f t="shared" si="513"/>
        <v>25fps 3072x1728 - 720p</v>
      </c>
      <c r="Q4141">
        <f t="shared" si="514"/>
        <v>20</v>
      </c>
      <c r="R4141" t="str">
        <f t="shared" si="515"/>
        <v/>
      </c>
      <c r="S4141" t="str">
        <f t="shared" si="516"/>
        <v/>
      </c>
      <c r="T4141" s="403" t="str">
        <f t="shared" si="517"/>
        <v>NDE-8503-RT</v>
      </c>
      <c r="U4141" s="403">
        <f t="shared" si="518"/>
        <v>1</v>
      </c>
      <c r="V4141" s="403" t="str">
        <f t="shared" si="519"/>
        <v>CPP_7_3</v>
      </c>
    </row>
    <row r="4142" spans="1:22">
      <c r="A4142" t="str">
        <f t="shared" si="512"/>
        <v>NDE-8503-RT</v>
      </c>
      <c r="B4142" s="403" t="s">
        <v>1410</v>
      </c>
      <c r="C4142" s="403" t="s">
        <v>582</v>
      </c>
      <c r="D4142" s="403" t="s">
        <v>1414</v>
      </c>
      <c r="E4142" s="403" t="s">
        <v>1413</v>
      </c>
      <c r="F4142" s="403" t="s">
        <v>1385</v>
      </c>
      <c r="G4142" s="403" t="s">
        <v>1466</v>
      </c>
      <c r="H4142" s="403" t="s">
        <v>1276</v>
      </c>
      <c r="I4142" s="403">
        <v>1</v>
      </c>
      <c r="J4142" s="403" t="s">
        <v>1376</v>
      </c>
      <c r="K4142" s="403">
        <v>3072</v>
      </c>
      <c r="L4142" s="403">
        <v>1728</v>
      </c>
      <c r="M4142" s="403" t="s">
        <v>1283</v>
      </c>
      <c r="N4142" s="403">
        <v>720</v>
      </c>
      <c r="O4142" s="403">
        <v>576</v>
      </c>
      <c r="P4142" t="str">
        <f t="shared" si="513"/>
        <v>25fps 3072x1728 - SD 4CIF resolution 4:3 format (cropped)</v>
      </c>
      <c r="Q4142">
        <f t="shared" si="514"/>
        <v>20</v>
      </c>
      <c r="R4142" t="str">
        <f t="shared" si="515"/>
        <v/>
      </c>
      <c r="S4142" t="str">
        <f t="shared" si="516"/>
        <v/>
      </c>
      <c r="T4142" s="403" t="str">
        <f t="shared" si="517"/>
        <v>NDE-8503-RT</v>
      </c>
      <c r="U4142" s="403">
        <f t="shared" si="518"/>
        <v>1</v>
      </c>
      <c r="V4142" s="403" t="str">
        <f t="shared" si="519"/>
        <v>CPP_7_3</v>
      </c>
    </row>
    <row r="4143" spans="1:22">
      <c r="A4143" t="str">
        <f t="shared" si="512"/>
        <v>NDE-8503-RT</v>
      </c>
      <c r="B4143" s="403" t="s">
        <v>1410</v>
      </c>
      <c r="C4143" s="403" t="s">
        <v>582</v>
      </c>
      <c r="D4143" s="403" t="s">
        <v>1414</v>
      </c>
      <c r="E4143" s="403" t="s">
        <v>1413</v>
      </c>
      <c r="F4143" s="403" t="s">
        <v>1385</v>
      </c>
      <c r="G4143" s="403" t="s">
        <v>1466</v>
      </c>
      <c r="H4143" s="403" t="s">
        <v>1276</v>
      </c>
      <c r="I4143" s="403">
        <v>1</v>
      </c>
      <c r="J4143" s="403" t="s">
        <v>1376</v>
      </c>
      <c r="K4143" s="403">
        <v>3072</v>
      </c>
      <c r="L4143" s="403">
        <v>1728</v>
      </c>
      <c r="M4143" s="403" t="s">
        <v>1279</v>
      </c>
      <c r="N4143" s="403">
        <v>768</v>
      </c>
      <c r="O4143" s="403">
        <v>432</v>
      </c>
      <c r="P4143" t="str">
        <f t="shared" si="513"/>
        <v>25fps 3072x1728 - SD ROI PTZ</v>
      </c>
      <c r="Q4143">
        <f t="shared" si="514"/>
        <v>20</v>
      </c>
      <c r="R4143" t="str">
        <f t="shared" si="515"/>
        <v/>
      </c>
      <c r="S4143" t="str">
        <f t="shared" si="516"/>
        <v/>
      </c>
      <c r="T4143" s="403" t="str">
        <f t="shared" si="517"/>
        <v>NDE-8503-RT</v>
      </c>
      <c r="U4143" s="403">
        <f t="shared" si="518"/>
        <v>1</v>
      </c>
      <c r="V4143" s="403" t="str">
        <f t="shared" si="519"/>
        <v>CPP_7_3</v>
      </c>
    </row>
    <row r="4144" spans="1:22">
      <c r="A4144" t="str">
        <f t="shared" si="512"/>
        <v>NDE-8503-RT</v>
      </c>
      <c r="B4144" s="403" t="s">
        <v>1410</v>
      </c>
      <c r="C4144" s="403" t="s">
        <v>582</v>
      </c>
      <c r="D4144" s="403" t="s">
        <v>1414</v>
      </c>
      <c r="E4144" s="403" t="s">
        <v>1413</v>
      </c>
      <c r="F4144" s="403" t="s">
        <v>1385</v>
      </c>
      <c r="G4144" s="403" t="s">
        <v>1466</v>
      </c>
      <c r="H4144" s="403" t="s">
        <v>1276</v>
      </c>
      <c r="I4144" s="403">
        <v>1</v>
      </c>
      <c r="J4144" s="403" t="s">
        <v>1376</v>
      </c>
      <c r="K4144" s="403">
        <v>3072</v>
      </c>
      <c r="L4144" s="403">
        <v>1728</v>
      </c>
      <c r="M4144" s="403" t="s">
        <v>1284</v>
      </c>
      <c r="N4144" s="403">
        <v>640</v>
      </c>
      <c r="O4144" s="403">
        <v>480</v>
      </c>
      <c r="P4144" t="str">
        <f t="shared" si="513"/>
        <v>25fps 3072x1728 - SD VGA (cropped)</v>
      </c>
      <c r="Q4144">
        <f t="shared" si="514"/>
        <v>20</v>
      </c>
      <c r="R4144" t="str">
        <f t="shared" si="515"/>
        <v/>
      </c>
      <c r="S4144" t="str">
        <f t="shared" si="516"/>
        <v/>
      </c>
      <c r="T4144" s="403" t="str">
        <f t="shared" si="517"/>
        <v>NDE-8503-RT</v>
      </c>
      <c r="U4144" s="403">
        <f t="shared" si="518"/>
        <v>1</v>
      </c>
      <c r="V4144" s="403" t="str">
        <f t="shared" si="519"/>
        <v>CPP_7_3</v>
      </c>
    </row>
    <row r="4145" spans="1:22">
      <c r="A4145" t="str">
        <f t="shared" si="512"/>
        <v>NDE-8503-RT</v>
      </c>
      <c r="B4145" s="403" t="s">
        <v>1410</v>
      </c>
      <c r="C4145" s="403" t="s">
        <v>582</v>
      </c>
      <c r="D4145" s="403" t="s">
        <v>1414</v>
      </c>
      <c r="E4145" s="403" t="s">
        <v>1413</v>
      </c>
      <c r="F4145" s="403" t="s">
        <v>1385</v>
      </c>
      <c r="G4145" s="403" t="s">
        <v>1466</v>
      </c>
      <c r="H4145" s="403" t="s">
        <v>1276</v>
      </c>
      <c r="I4145" s="403">
        <v>1</v>
      </c>
      <c r="J4145" s="403" t="s">
        <v>1376</v>
      </c>
      <c r="K4145" s="403">
        <v>3072</v>
      </c>
      <c r="L4145" s="403">
        <v>1728</v>
      </c>
      <c r="M4145" s="403" t="s">
        <v>1285</v>
      </c>
      <c r="N4145" s="403">
        <v>1280</v>
      </c>
      <c r="O4145" s="403">
        <v>1024</v>
      </c>
      <c r="P4145" t="str">
        <f t="shared" si="513"/>
        <v>25fps 3072x1728 - 1280x1024 5:4 (cropped)</v>
      </c>
      <c r="Q4145">
        <f t="shared" si="514"/>
        <v>20</v>
      </c>
      <c r="R4145" t="str">
        <f t="shared" si="515"/>
        <v/>
      </c>
      <c r="S4145" t="str">
        <f t="shared" si="516"/>
        <v/>
      </c>
      <c r="T4145" s="403" t="str">
        <f t="shared" si="517"/>
        <v>NDE-8503-RT</v>
      </c>
      <c r="U4145" s="403">
        <f t="shared" si="518"/>
        <v>1</v>
      </c>
      <c r="V4145" s="403" t="str">
        <f t="shared" si="519"/>
        <v>CPP_7_3</v>
      </c>
    </row>
    <row r="4146" spans="1:22">
      <c r="A4146" t="str">
        <f t="shared" si="512"/>
        <v>NDE-8503-RT</v>
      </c>
      <c r="B4146" s="403" t="s">
        <v>1410</v>
      </c>
      <c r="C4146" s="403" t="s">
        <v>582</v>
      </c>
      <c r="D4146" s="403" t="s">
        <v>1414</v>
      </c>
      <c r="E4146" s="403" t="s">
        <v>1413</v>
      </c>
      <c r="F4146" s="403" t="s">
        <v>1385</v>
      </c>
      <c r="G4146" s="403" t="s">
        <v>1466</v>
      </c>
      <c r="H4146" s="403" t="s">
        <v>1276</v>
      </c>
      <c r="I4146" s="403">
        <v>1</v>
      </c>
      <c r="J4146" s="403" t="s">
        <v>1376</v>
      </c>
      <c r="K4146" s="403">
        <v>3072</v>
      </c>
      <c r="L4146" s="403">
        <v>1728</v>
      </c>
      <c r="M4146" s="403" t="s">
        <v>1383</v>
      </c>
      <c r="N4146" s="403">
        <v>1920</v>
      </c>
      <c r="O4146" s="403">
        <v>1440</v>
      </c>
      <c r="P4146" t="str">
        <f t="shared" si="513"/>
        <v>25fps 3072x1728 - 1920x1440_CROP</v>
      </c>
      <c r="Q4146">
        <f t="shared" si="514"/>
        <v>20</v>
      </c>
      <c r="R4146" t="str">
        <f t="shared" si="515"/>
        <v/>
      </c>
      <c r="S4146" t="str">
        <f t="shared" si="516"/>
        <v/>
      </c>
      <c r="T4146" s="403" t="str">
        <f t="shared" si="517"/>
        <v>NDE-8503-RT</v>
      </c>
      <c r="U4146" s="403">
        <f t="shared" si="518"/>
        <v>1</v>
      </c>
      <c r="V4146" s="403" t="str">
        <f t="shared" si="519"/>
        <v>CPP_7_3</v>
      </c>
    </row>
    <row r="4147" spans="1:22">
      <c r="A4147" t="str">
        <f t="shared" si="512"/>
        <v>NDE-8503-RT</v>
      </c>
      <c r="B4147" s="403" t="s">
        <v>1410</v>
      </c>
      <c r="C4147" s="403" t="s">
        <v>582</v>
      </c>
      <c r="D4147" s="403" t="s">
        <v>1414</v>
      </c>
      <c r="E4147" s="403" t="s">
        <v>1413</v>
      </c>
      <c r="F4147" s="403" t="s">
        <v>1385</v>
      </c>
      <c r="G4147" s="403" t="s">
        <v>1466</v>
      </c>
      <c r="H4147" s="403" t="s">
        <v>1276</v>
      </c>
      <c r="I4147" s="403">
        <v>1</v>
      </c>
      <c r="J4147" s="403" t="s">
        <v>1373</v>
      </c>
      <c r="K4147" s="403">
        <v>2688</v>
      </c>
      <c r="L4147" s="403">
        <v>1512</v>
      </c>
      <c r="M4147" s="403" t="s">
        <v>110</v>
      </c>
      <c r="N4147" s="403">
        <v>1920</v>
      </c>
      <c r="O4147" s="403">
        <v>1080</v>
      </c>
      <c r="P4147" t="str">
        <f t="shared" si="513"/>
        <v>25fps 2688x1512 - 1080p</v>
      </c>
      <c r="Q4147">
        <f t="shared" si="514"/>
        <v>20</v>
      </c>
      <c r="R4147" t="str">
        <f t="shared" si="515"/>
        <v/>
      </c>
      <c r="S4147" t="str">
        <f t="shared" si="516"/>
        <v/>
      </c>
      <c r="T4147" s="403" t="str">
        <f t="shared" si="517"/>
        <v>NDE-8503-RT</v>
      </c>
      <c r="U4147" s="403">
        <f t="shared" si="518"/>
        <v>1</v>
      </c>
      <c r="V4147" s="403" t="str">
        <f t="shared" si="519"/>
        <v>CPP_7_3</v>
      </c>
    </row>
    <row r="4148" spans="1:22">
      <c r="A4148" t="str">
        <f t="shared" si="512"/>
        <v>NDE-8503-RT</v>
      </c>
      <c r="B4148" s="403" t="s">
        <v>1410</v>
      </c>
      <c r="C4148" s="403" t="s">
        <v>582</v>
      </c>
      <c r="D4148" s="403" t="s">
        <v>1414</v>
      </c>
      <c r="E4148" s="403" t="s">
        <v>1413</v>
      </c>
      <c r="F4148" s="403" t="s">
        <v>1385</v>
      </c>
      <c r="G4148" s="403" t="s">
        <v>1466</v>
      </c>
      <c r="H4148" s="403" t="s">
        <v>1276</v>
      </c>
      <c r="I4148" s="403">
        <v>1</v>
      </c>
      <c r="J4148" s="403" t="s">
        <v>1373</v>
      </c>
      <c r="K4148" s="403">
        <v>2688</v>
      </c>
      <c r="L4148" s="403">
        <v>1512</v>
      </c>
      <c r="M4148" s="403" t="s">
        <v>1384</v>
      </c>
      <c r="N4148" s="403">
        <v>2688</v>
      </c>
      <c r="O4148" s="403">
        <v>1512</v>
      </c>
      <c r="P4148" t="str">
        <f t="shared" si="513"/>
        <v>25fps 2688x1512 - 2688x1512 @ SKIP 2</v>
      </c>
      <c r="Q4148">
        <f t="shared" si="514"/>
        <v>20</v>
      </c>
      <c r="R4148" t="str">
        <f t="shared" si="515"/>
        <v/>
      </c>
      <c r="S4148" t="str">
        <f t="shared" si="516"/>
        <v/>
      </c>
      <c r="T4148" s="403" t="str">
        <f t="shared" si="517"/>
        <v>NDE-8503-RT</v>
      </c>
      <c r="U4148" s="403">
        <f t="shared" si="518"/>
        <v>1</v>
      </c>
      <c r="V4148" s="403" t="str">
        <f t="shared" si="519"/>
        <v>CPP_7_3</v>
      </c>
    </row>
    <row r="4149" spans="1:22">
      <c r="A4149" t="str">
        <f t="shared" si="512"/>
        <v>NDE-8503-RT</v>
      </c>
      <c r="B4149" s="403" t="s">
        <v>1410</v>
      </c>
      <c r="C4149" s="403" t="s">
        <v>582</v>
      </c>
      <c r="D4149" s="403" t="s">
        <v>1414</v>
      </c>
      <c r="E4149" s="403" t="s">
        <v>1413</v>
      </c>
      <c r="F4149" s="403" t="s">
        <v>1385</v>
      </c>
      <c r="G4149" s="403" t="s">
        <v>1466</v>
      </c>
      <c r="H4149" s="403" t="s">
        <v>1276</v>
      </c>
      <c r="I4149" s="403">
        <v>1</v>
      </c>
      <c r="J4149" s="403" t="s">
        <v>1373</v>
      </c>
      <c r="K4149" s="403">
        <v>2688</v>
      </c>
      <c r="L4149" s="403">
        <v>1512</v>
      </c>
      <c r="M4149" s="403" t="s">
        <v>109</v>
      </c>
      <c r="N4149" s="403">
        <v>1280</v>
      </c>
      <c r="O4149" s="403">
        <v>720</v>
      </c>
      <c r="P4149" t="str">
        <f t="shared" si="513"/>
        <v>25fps 2688x1512 - 720p</v>
      </c>
      <c r="Q4149">
        <f t="shared" si="514"/>
        <v>20</v>
      </c>
      <c r="R4149" t="str">
        <f t="shared" si="515"/>
        <v/>
      </c>
      <c r="S4149" t="str">
        <f t="shared" si="516"/>
        <v/>
      </c>
      <c r="T4149" s="403" t="str">
        <f t="shared" si="517"/>
        <v>NDE-8503-RT</v>
      </c>
      <c r="U4149" s="403">
        <f t="shared" si="518"/>
        <v>1</v>
      </c>
      <c r="V4149" s="403" t="str">
        <f t="shared" si="519"/>
        <v>CPP_7_3</v>
      </c>
    </row>
    <row r="4150" spans="1:22">
      <c r="A4150" t="str">
        <f t="shared" si="512"/>
        <v>NDE-8503-RT</v>
      </c>
      <c r="B4150" s="403" t="s">
        <v>1410</v>
      </c>
      <c r="C4150" s="403" t="s">
        <v>582</v>
      </c>
      <c r="D4150" s="403" t="s">
        <v>1414</v>
      </c>
      <c r="E4150" s="403" t="s">
        <v>1413</v>
      </c>
      <c r="F4150" s="403" t="s">
        <v>1385</v>
      </c>
      <c r="G4150" s="403" t="s">
        <v>1466</v>
      </c>
      <c r="H4150" s="403" t="s">
        <v>1276</v>
      </c>
      <c r="I4150" s="403">
        <v>1</v>
      </c>
      <c r="J4150" s="403" t="s">
        <v>1373</v>
      </c>
      <c r="K4150" s="403">
        <v>2688</v>
      </c>
      <c r="L4150" s="403">
        <v>1512</v>
      </c>
      <c r="M4150" s="403" t="s">
        <v>111</v>
      </c>
      <c r="N4150" s="403">
        <v>768</v>
      </c>
      <c r="O4150" s="403">
        <v>432</v>
      </c>
      <c r="P4150" t="str">
        <f t="shared" si="513"/>
        <v>25fps 2688x1512 - SD</v>
      </c>
      <c r="Q4150">
        <f t="shared" si="514"/>
        <v>20</v>
      </c>
      <c r="R4150" t="str">
        <f t="shared" si="515"/>
        <v/>
      </c>
      <c r="S4150" t="str">
        <f t="shared" si="516"/>
        <v/>
      </c>
      <c r="T4150" s="403" t="str">
        <f t="shared" si="517"/>
        <v>NDE-8503-RT</v>
      </c>
      <c r="U4150" s="403">
        <f t="shared" si="518"/>
        <v>1</v>
      </c>
      <c r="V4150" s="403" t="str">
        <f t="shared" si="519"/>
        <v>CPP_7_3</v>
      </c>
    </row>
    <row r="4151" spans="1:22">
      <c r="A4151" t="str">
        <f t="shared" si="512"/>
        <v>NDE-8503-RT</v>
      </c>
      <c r="B4151" s="403" t="s">
        <v>1410</v>
      </c>
      <c r="C4151" s="403" t="s">
        <v>582</v>
      </c>
      <c r="D4151" s="403" t="s">
        <v>1414</v>
      </c>
      <c r="E4151" s="403" t="s">
        <v>1413</v>
      </c>
      <c r="F4151" s="403" t="s">
        <v>1385</v>
      </c>
      <c r="G4151" s="403" t="s">
        <v>1466</v>
      </c>
      <c r="H4151" s="403" t="s">
        <v>1276</v>
      </c>
      <c r="I4151" s="403">
        <v>1</v>
      </c>
      <c r="J4151" s="403" t="s">
        <v>1373</v>
      </c>
      <c r="K4151" s="403">
        <v>2688</v>
      </c>
      <c r="L4151" s="403">
        <v>1512</v>
      </c>
      <c r="M4151" s="403" t="s">
        <v>1279</v>
      </c>
      <c r="N4151" s="403">
        <v>768</v>
      </c>
      <c r="O4151" s="403">
        <v>432</v>
      </c>
      <c r="P4151" t="str">
        <f t="shared" si="513"/>
        <v>25fps 2688x1512 - SD ROI PTZ</v>
      </c>
      <c r="Q4151">
        <f t="shared" si="514"/>
        <v>20</v>
      </c>
      <c r="R4151" t="str">
        <f t="shared" si="515"/>
        <v/>
      </c>
      <c r="S4151" t="str">
        <f t="shared" si="516"/>
        <v/>
      </c>
      <c r="T4151" s="403" t="str">
        <f t="shared" si="517"/>
        <v>NDE-8503-RT</v>
      </c>
      <c r="U4151" s="403">
        <f t="shared" si="518"/>
        <v>1</v>
      </c>
      <c r="V4151" s="403" t="str">
        <f t="shared" si="519"/>
        <v>CPP_7_3</v>
      </c>
    </row>
    <row r="4152" spans="1:22">
      <c r="A4152" t="str">
        <f t="shared" si="512"/>
        <v>NDE-8503-RT</v>
      </c>
      <c r="B4152" s="403" t="s">
        <v>1410</v>
      </c>
      <c r="C4152" s="403" t="s">
        <v>582</v>
      </c>
      <c r="D4152" s="403" t="s">
        <v>1414</v>
      </c>
      <c r="E4152" s="403" t="s">
        <v>1413</v>
      </c>
      <c r="F4152" s="403" t="s">
        <v>1385</v>
      </c>
      <c r="G4152" s="403" t="s">
        <v>1466</v>
      </c>
      <c r="H4152" s="403" t="s">
        <v>1276</v>
      </c>
      <c r="I4152" s="403">
        <v>1</v>
      </c>
      <c r="J4152" s="403" t="s">
        <v>1373</v>
      </c>
      <c r="K4152" s="403">
        <v>2688</v>
      </c>
      <c r="L4152" s="403">
        <v>1512</v>
      </c>
      <c r="M4152" s="403" t="s">
        <v>1285</v>
      </c>
      <c r="N4152" s="403">
        <v>1280</v>
      </c>
      <c r="O4152" s="403">
        <v>1024</v>
      </c>
      <c r="P4152" t="str">
        <f t="shared" si="513"/>
        <v>25fps 2688x1512 - 1280x1024 5:4 (cropped)</v>
      </c>
      <c r="Q4152">
        <f t="shared" si="514"/>
        <v>20</v>
      </c>
      <c r="R4152" t="str">
        <f t="shared" si="515"/>
        <v/>
      </c>
      <c r="S4152" t="str">
        <f t="shared" si="516"/>
        <v/>
      </c>
      <c r="T4152" s="403" t="str">
        <f t="shared" si="517"/>
        <v>NDE-8503-RT</v>
      </c>
      <c r="U4152" s="403">
        <f t="shared" si="518"/>
        <v>1</v>
      </c>
      <c r="V4152" s="403" t="str">
        <f t="shared" si="519"/>
        <v>CPP_7_3</v>
      </c>
    </row>
    <row r="4153" spans="1:22">
      <c r="A4153" t="str">
        <f t="shared" si="512"/>
        <v>NDE-8503-RT</v>
      </c>
      <c r="B4153" s="403" t="s">
        <v>1410</v>
      </c>
      <c r="C4153" s="403" t="s">
        <v>582</v>
      </c>
      <c r="D4153" s="403" t="s">
        <v>1414</v>
      </c>
      <c r="E4153" s="403" t="s">
        <v>1413</v>
      </c>
      <c r="F4153" s="403" t="s">
        <v>1385</v>
      </c>
      <c r="G4153" s="403" t="s">
        <v>1466</v>
      </c>
      <c r="H4153" s="403" t="s">
        <v>1276</v>
      </c>
      <c r="I4153" s="403">
        <v>1</v>
      </c>
      <c r="J4153" s="403" t="s">
        <v>1373</v>
      </c>
      <c r="K4153" s="403">
        <v>2688</v>
      </c>
      <c r="L4153" s="403">
        <v>1512</v>
      </c>
      <c r="M4153" s="403" t="s">
        <v>1283</v>
      </c>
      <c r="N4153" s="403">
        <v>720</v>
      </c>
      <c r="O4153" s="403">
        <v>576</v>
      </c>
      <c r="P4153" t="str">
        <f t="shared" si="513"/>
        <v>25fps 2688x1512 - SD 4CIF resolution 4:3 format (cropped)</v>
      </c>
      <c r="Q4153">
        <f t="shared" si="514"/>
        <v>20</v>
      </c>
      <c r="R4153" t="str">
        <f t="shared" si="515"/>
        <v/>
      </c>
      <c r="S4153" t="str">
        <f t="shared" si="516"/>
        <v/>
      </c>
      <c r="T4153" s="403" t="str">
        <f t="shared" si="517"/>
        <v>NDE-8503-RT</v>
      </c>
      <c r="U4153" s="403">
        <f t="shared" si="518"/>
        <v>1</v>
      </c>
      <c r="V4153" s="403" t="str">
        <f t="shared" si="519"/>
        <v>CPP_7_3</v>
      </c>
    </row>
    <row r="4154" spans="1:22">
      <c r="A4154" t="str">
        <f t="shared" si="512"/>
        <v>NDE-8503-RT</v>
      </c>
      <c r="B4154" s="403" t="s">
        <v>1410</v>
      </c>
      <c r="C4154" s="403" t="s">
        <v>582</v>
      </c>
      <c r="D4154" s="403" t="s">
        <v>1414</v>
      </c>
      <c r="E4154" s="403" t="s">
        <v>1413</v>
      </c>
      <c r="F4154" s="403" t="s">
        <v>1385</v>
      </c>
      <c r="G4154" s="403" t="s">
        <v>1466</v>
      </c>
      <c r="H4154" s="403" t="s">
        <v>1276</v>
      </c>
      <c r="I4154" s="403">
        <v>1</v>
      </c>
      <c r="J4154" s="403" t="s">
        <v>1373</v>
      </c>
      <c r="K4154" s="403">
        <v>2688</v>
      </c>
      <c r="L4154" s="403">
        <v>1512</v>
      </c>
      <c r="M4154" s="403" t="s">
        <v>1284</v>
      </c>
      <c r="N4154" s="403">
        <v>640</v>
      </c>
      <c r="O4154" s="403">
        <v>480</v>
      </c>
      <c r="P4154" t="str">
        <f t="shared" si="513"/>
        <v>25fps 2688x1512 - SD VGA (cropped)</v>
      </c>
      <c r="Q4154">
        <f t="shared" si="514"/>
        <v>20</v>
      </c>
      <c r="R4154" t="str">
        <f t="shared" si="515"/>
        <v/>
      </c>
      <c r="S4154" t="str">
        <f t="shared" si="516"/>
        <v/>
      </c>
      <c r="T4154" s="403" t="str">
        <f t="shared" si="517"/>
        <v>NDE-8503-RT</v>
      </c>
      <c r="U4154" s="403">
        <f t="shared" si="518"/>
        <v>1</v>
      </c>
      <c r="V4154" s="403" t="str">
        <f t="shared" si="519"/>
        <v>CPP_7_3</v>
      </c>
    </row>
    <row r="4155" spans="1:22">
      <c r="A4155" t="str">
        <f t="shared" si="512"/>
        <v>NDE-8503-RT</v>
      </c>
      <c r="B4155" s="403" t="s">
        <v>1410</v>
      </c>
      <c r="C4155" s="403" t="s">
        <v>582</v>
      </c>
      <c r="D4155" s="403" t="s">
        <v>1414</v>
      </c>
      <c r="E4155" s="403" t="s">
        <v>1413</v>
      </c>
      <c r="F4155" s="403" t="s">
        <v>1385</v>
      </c>
      <c r="G4155" s="403" t="s">
        <v>1466</v>
      </c>
      <c r="H4155" s="403" t="s">
        <v>1276</v>
      </c>
      <c r="I4155" s="403">
        <v>1</v>
      </c>
      <c r="J4155" s="403" t="s">
        <v>1373</v>
      </c>
      <c r="K4155" s="403">
        <v>2688</v>
      </c>
      <c r="L4155" s="403">
        <v>1512</v>
      </c>
      <c r="M4155" s="403" t="s">
        <v>1280</v>
      </c>
      <c r="N4155" s="403">
        <v>2688</v>
      </c>
      <c r="O4155" s="403">
        <v>1512</v>
      </c>
      <c r="P4155" t="str">
        <f t="shared" si="513"/>
        <v>25fps 2688x1512 - copy other stream</v>
      </c>
      <c r="Q4155">
        <f t="shared" si="514"/>
        <v>20</v>
      </c>
      <c r="R4155" t="str">
        <f t="shared" si="515"/>
        <v/>
      </c>
      <c r="S4155" t="str">
        <f t="shared" si="516"/>
        <v/>
      </c>
      <c r="T4155" s="403" t="str">
        <f t="shared" si="517"/>
        <v>NDE-8503-RT</v>
      </c>
      <c r="U4155" s="403">
        <f t="shared" si="518"/>
        <v>1</v>
      </c>
      <c r="V4155" s="403" t="str">
        <f t="shared" si="519"/>
        <v>CPP_7_3</v>
      </c>
    </row>
    <row r="4156" spans="1:22">
      <c r="A4156" t="str">
        <f t="shared" si="512"/>
        <v>NDE-8503-RT</v>
      </c>
      <c r="B4156" s="403" t="s">
        <v>1410</v>
      </c>
      <c r="C4156" s="403" t="s">
        <v>582</v>
      </c>
      <c r="D4156" s="403" t="s">
        <v>1414</v>
      </c>
      <c r="E4156" s="403" t="s">
        <v>1413</v>
      </c>
      <c r="F4156" s="403" t="s">
        <v>1385</v>
      </c>
      <c r="G4156" s="403" t="s">
        <v>1466</v>
      </c>
      <c r="H4156" s="403" t="s">
        <v>1276</v>
      </c>
      <c r="I4156" s="403">
        <v>1</v>
      </c>
      <c r="J4156" s="403" t="s">
        <v>1374</v>
      </c>
      <c r="K4156" s="403">
        <v>2304</v>
      </c>
      <c r="L4156" s="403">
        <v>1296</v>
      </c>
      <c r="M4156" s="403" t="s">
        <v>110</v>
      </c>
      <c r="N4156" s="403">
        <v>1920</v>
      </c>
      <c r="O4156" s="403">
        <v>1080</v>
      </c>
      <c r="P4156" t="str">
        <f t="shared" si="513"/>
        <v>25fps 2304x1296 - 1080p</v>
      </c>
      <c r="Q4156">
        <f t="shared" si="514"/>
        <v>20</v>
      </c>
      <c r="R4156" t="str">
        <f t="shared" si="515"/>
        <v/>
      </c>
      <c r="S4156" t="str">
        <f t="shared" si="516"/>
        <v/>
      </c>
      <c r="T4156" s="403" t="str">
        <f t="shared" si="517"/>
        <v>NDE-8503-RT</v>
      </c>
      <c r="U4156" s="403">
        <f t="shared" si="518"/>
        <v>1</v>
      </c>
      <c r="V4156" s="403" t="str">
        <f t="shared" si="519"/>
        <v>CPP_7_3</v>
      </c>
    </row>
    <row r="4157" spans="1:22">
      <c r="A4157" t="str">
        <f t="shared" si="512"/>
        <v>NDE-8503-RT</v>
      </c>
      <c r="B4157" s="403" t="s">
        <v>1410</v>
      </c>
      <c r="C4157" s="403" t="s">
        <v>582</v>
      </c>
      <c r="D4157" s="403" t="s">
        <v>1414</v>
      </c>
      <c r="E4157" s="403" t="s">
        <v>1413</v>
      </c>
      <c r="F4157" s="403" t="s">
        <v>1385</v>
      </c>
      <c r="G4157" s="403" t="s">
        <v>1466</v>
      </c>
      <c r="H4157" s="403" t="s">
        <v>1276</v>
      </c>
      <c r="I4157" s="403">
        <v>1</v>
      </c>
      <c r="J4157" s="403" t="s">
        <v>1374</v>
      </c>
      <c r="K4157" s="403">
        <v>2304</v>
      </c>
      <c r="L4157" s="403">
        <v>1296</v>
      </c>
      <c r="M4157" s="403" t="s">
        <v>1374</v>
      </c>
      <c r="N4157" s="403">
        <v>2304</v>
      </c>
      <c r="O4157" s="403">
        <v>1296</v>
      </c>
      <c r="P4157" t="str">
        <f t="shared" si="513"/>
        <v>25fps 2304x1296 - 2304x1296</v>
      </c>
      <c r="Q4157">
        <f t="shared" si="514"/>
        <v>20</v>
      </c>
      <c r="R4157" t="str">
        <f t="shared" si="515"/>
        <v/>
      </c>
      <c r="S4157" t="str">
        <f t="shared" si="516"/>
        <v/>
      </c>
      <c r="T4157" s="403" t="str">
        <f t="shared" si="517"/>
        <v>NDE-8503-RT</v>
      </c>
      <c r="U4157" s="403">
        <f t="shared" si="518"/>
        <v>1</v>
      </c>
      <c r="V4157" s="403" t="str">
        <f t="shared" si="519"/>
        <v>CPP_7_3</v>
      </c>
    </row>
    <row r="4158" spans="1:22">
      <c r="A4158" t="str">
        <f t="shared" si="512"/>
        <v>NDE-8503-RT</v>
      </c>
      <c r="B4158" s="403" t="s">
        <v>1410</v>
      </c>
      <c r="C4158" s="403" t="s">
        <v>582</v>
      </c>
      <c r="D4158" s="403" t="s">
        <v>1414</v>
      </c>
      <c r="E4158" s="403" t="s">
        <v>1413</v>
      </c>
      <c r="F4158" s="403" t="s">
        <v>1385</v>
      </c>
      <c r="G4158" s="403" t="s">
        <v>1466</v>
      </c>
      <c r="H4158" s="403" t="s">
        <v>1276</v>
      </c>
      <c r="I4158" s="403">
        <v>1</v>
      </c>
      <c r="J4158" s="403" t="s">
        <v>1374</v>
      </c>
      <c r="K4158" s="403">
        <v>2304</v>
      </c>
      <c r="L4158" s="403">
        <v>1296</v>
      </c>
      <c r="M4158" s="403" t="s">
        <v>109</v>
      </c>
      <c r="N4158" s="403">
        <v>1280</v>
      </c>
      <c r="O4158" s="403">
        <v>720</v>
      </c>
      <c r="P4158" t="str">
        <f t="shared" si="513"/>
        <v>25fps 2304x1296 - 720p</v>
      </c>
      <c r="Q4158">
        <f t="shared" si="514"/>
        <v>20</v>
      </c>
      <c r="R4158" t="str">
        <f t="shared" si="515"/>
        <v/>
      </c>
      <c r="S4158" t="str">
        <f t="shared" si="516"/>
        <v/>
      </c>
      <c r="T4158" s="403" t="str">
        <f t="shared" si="517"/>
        <v>NDE-8503-RT</v>
      </c>
      <c r="U4158" s="403">
        <f t="shared" si="518"/>
        <v>1</v>
      </c>
      <c r="V4158" s="403" t="str">
        <f t="shared" si="519"/>
        <v>CPP_7_3</v>
      </c>
    </row>
    <row r="4159" spans="1:22">
      <c r="A4159" t="str">
        <f t="shared" si="512"/>
        <v>NDE-8503-RT</v>
      </c>
      <c r="B4159" s="403" t="s">
        <v>1410</v>
      </c>
      <c r="C4159" s="403" t="s">
        <v>582</v>
      </c>
      <c r="D4159" s="403" t="s">
        <v>1414</v>
      </c>
      <c r="E4159" s="403" t="s">
        <v>1413</v>
      </c>
      <c r="F4159" s="403" t="s">
        <v>1385</v>
      </c>
      <c r="G4159" s="403" t="s">
        <v>1466</v>
      </c>
      <c r="H4159" s="403" t="s">
        <v>1276</v>
      </c>
      <c r="I4159" s="403">
        <v>1</v>
      </c>
      <c r="J4159" s="403" t="s">
        <v>1374</v>
      </c>
      <c r="K4159" s="403">
        <v>2304</v>
      </c>
      <c r="L4159" s="403">
        <v>1296</v>
      </c>
      <c r="M4159" s="403" t="s">
        <v>111</v>
      </c>
      <c r="N4159" s="403">
        <v>768</v>
      </c>
      <c r="O4159" s="403">
        <v>432</v>
      </c>
      <c r="P4159" t="str">
        <f t="shared" si="513"/>
        <v>25fps 2304x1296 - SD</v>
      </c>
      <c r="Q4159">
        <f t="shared" si="514"/>
        <v>20</v>
      </c>
      <c r="R4159" t="str">
        <f t="shared" si="515"/>
        <v/>
      </c>
      <c r="S4159" t="str">
        <f t="shared" si="516"/>
        <v/>
      </c>
      <c r="T4159" s="403" t="str">
        <f t="shared" si="517"/>
        <v>NDE-8503-RT</v>
      </c>
      <c r="U4159" s="403">
        <f t="shared" si="518"/>
        <v>1</v>
      </c>
      <c r="V4159" s="403" t="str">
        <f t="shared" si="519"/>
        <v>CPP_7_3</v>
      </c>
    </row>
    <row r="4160" spans="1:22">
      <c r="A4160" t="str">
        <f t="shared" si="512"/>
        <v>NDE-8503-RT</v>
      </c>
      <c r="B4160" s="403" t="s">
        <v>1410</v>
      </c>
      <c r="C4160" s="403" t="s">
        <v>582</v>
      </c>
      <c r="D4160" s="403" t="s">
        <v>1414</v>
      </c>
      <c r="E4160" s="403" t="s">
        <v>1413</v>
      </c>
      <c r="F4160" s="403" t="s">
        <v>1385</v>
      </c>
      <c r="G4160" s="403" t="s">
        <v>1466</v>
      </c>
      <c r="H4160" s="403" t="s">
        <v>1276</v>
      </c>
      <c r="I4160" s="403">
        <v>1</v>
      </c>
      <c r="J4160" s="403" t="s">
        <v>1374</v>
      </c>
      <c r="K4160" s="403">
        <v>2304</v>
      </c>
      <c r="L4160" s="403">
        <v>1296</v>
      </c>
      <c r="M4160" s="403" t="s">
        <v>1279</v>
      </c>
      <c r="N4160" s="403">
        <v>768</v>
      </c>
      <c r="O4160" s="403">
        <v>432</v>
      </c>
      <c r="P4160" t="str">
        <f t="shared" si="513"/>
        <v>25fps 2304x1296 - SD ROI PTZ</v>
      </c>
      <c r="Q4160">
        <f t="shared" si="514"/>
        <v>20</v>
      </c>
      <c r="R4160" t="str">
        <f t="shared" si="515"/>
        <v/>
      </c>
      <c r="S4160" t="str">
        <f t="shared" si="516"/>
        <v/>
      </c>
      <c r="T4160" s="403" t="str">
        <f t="shared" si="517"/>
        <v>NDE-8503-RT</v>
      </c>
      <c r="U4160" s="403">
        <f t="shared" si="518"/>
        <v>1</v>
      </c>
      <c r="V4160" s="403" t="str">
        <f t="shared" si="519"/>
        <v>CPP_7_3</v>
      </c>
    </row>
    <row r="4161" spans="1:22">
      <c r="A4161" t="str">
        <f t="shared" si="512"/>
        <v>NDE-8503-RT</v>
      </c>
      <c r="B4161" s="403" t="s">
        <v>1410</v>
      </c>
      <c r="C4161" s="403" t="s">
        <v>582</v>
      </c>
      <c r="D4161" s="403" t="s">
        <v>1414</v>
      </c>
      <c r="E4161" s="403" t="s">
        <v>1413</v>
      </c>
      <c r="F4161" s="403" t="s">
        <v>1385</v>
      </c>
      <c r="G4161" s="403" t="s">
        <v>1466</v>
      </c>
      <c r="H4161" s="403" t="s">
        <v>1276</v>
      </c>
      <c r="I4161" s="403">
        <v>1</v>
      </c>
      <c r="J4161" s="403" t="s">
        <v>1374</v>
      </c>
      <c r="K4161" s="403">
        <v>2304</v>
      </c>
      <c r="L4161" s="403">
        <v>1296</v>
      </c>
      <c r="M4161" s="403" t="s">
        <v>1285</v>
      </c>
      <c r="N4161" s="403">
        <v>1280</v>
      </c>
      <c r="O4161" s="403">
        <v>1024</v>
      </c>
      <c r="P4161" t="str">
        <f t="shared" si="513"/>
        <v>25fps 2304x1296 - 1280x1024 5:4 (cropped)</v>
      </c>
      <c r="Q4161">
        <f t="shared" si="514"/>
        <v>20</v>
      </c>
      <c r="R4161" t="str">
        <f t="shared" si="515"/>
        <v/>
      </c>
      <c r="S4161" t="str">
        <f t="shared" si="516"/>
        <v/>
      </c>
      <c r="T4161" s="403" t="str">
        <f t="shared" si="517"/>
        <v>NDE-8503-RT</v>
      </c>
      <c r="U4161" s="403">
        <f t="shared" si="518"/>
        <v>1</v>
      </c>
      <c r="V4161" s="403" t="str">
        <f t="shared" si="519"/>
        <v>CPP_7_3</v>
      </c>
    </row>
    <row r="4162" spans="1:22">
      <c r="A4162" t="str">
        <f t="shared" ref="A4162:A4225" si="520">IF(AND(G4162&lt;&gt;"rotate 90°"),D4162,"")</f>
        <v>NDE-8503-RT</v>
      </c>
      <c r="B4162" s="403" t="s">
        <v>1410</v>
      </c>
      <c r="C4162" s="403" t="s">
        <v>582</v>
      </c>
      <c r="D4162" s="403" t="s">
        <v>1414</v>
      </c>
      <c r="E4162" s="403" t="s">
        <v>1413</v>
      </c>
      <c r="F4162" s="403" t="s">
        <v>1385</v>
      </c>
      <c r="G4162" s="403" t="s">
        <v>1466</v>
      </c>
      <c r="H4162" s="403" t="s">
        <v>1276</v>
      </c>
      <c r="I4162" s="403">
        <v>1</v>
      </c>
      <c r="J4162" s="403" t="s">
        <v>1374</v>
      </c>
      <c r="K4162" s="403">
        <v>2304</v>
      </c>
      <c r="L4162" s="403">
        <v>1296</v>
      </c>
      <c r="M4162" s="403" t="s">
        <v>1283</v>
      </c>
      <c r="N4162" s="403">
        <v>720</v>
      </c>
      <c r="O4162" s="403">
        <v>576</v>
      </c>
      <c r="P4162" t="str">
        <f t="shared" ref="P4162:P4225" si="521">LEFT(F4162,5)&amp;" "&amp;J4162&amp;" - "&amp;M4162</f>
        <v>25fps 2304x1296 - SD 4CIF resolution 4:3 format (cropped)</v>
      </c>
      <c r="Q4162">
        <f t="shared" ref="Q4162:Q4225" si="522">IF(A4161=A4162,Q4161,Q4161+1)</f>
        <v>20</v>
      </c>
      <c r="R4162" t="str">
        <f t="shared" ref="R4162:R4225" si="523">IF(Q4161&lt;&gt;Q4162,Q4162,"")</f>
        <v/>
      </c>
      <c r="S4162" t="str">
        <f t="shared" ref="S4162:S4225" si="524">IF(R4162&lt;&gt;"",B4162&amp;" ("&amp;D4162&amp;")","")</f>
        <v/>
      </c>
      <c r="T4162" s="403" t="str">
        <f t="shared" ref="T4162:T4225" si="525">D4162</f>
        <v>NDE-8503-RT</v>
      </c>
      <c r="U4162" s="403">
        <f t="shared" ref="U4162:U4225" si="526">I4162</f>
        <v>1</v>
      </c>
      <c r="V4162" s="403" t="str">
        <f t="shared" ref="V4162:V4225" si="527">C4162</f>
        <v>CPP_7_3</v>
      </c>
    </row>
    <row r="4163" spans="1:22">
      <c r="A4163" t="str">
        <f t="shared" si="520"/>
        <v>NDE-8503-RT</v>
      </c>
      <c r="B4163" s="403" t="s">
        <v>1410</v>
      </c>
      <c r="C4163" s="403" t="s">
        <v>582</v>
      </c>
      <c r="D4163" s="403" t="s">
        <v>1414</v>
      </c>
      <c r="E4163" s="403" t="s">
        <v>1413</v>
      </c>
      <c r="F4163" s="403" t="s">
        <v>1385</v>
      </c>
      <c r="G4163" s="403" t="s">
        <v>1466</v>
      </c>
      <c r="H4163" s="403" t="s">
        <v>1276</v>
      </c>
      <c r="I4163" s="403">
        <v>1</v>
      </c>
      <c r="J4163" s="403" t="s">
        <v>1374</v>
      </c>
      <c r="K4163" s="403">
        <v>2304</v>
      </c>
      <c r="L4163" s="403">
        <v>1296</v>
      </c>
      <c r="M4163" s="403" t="s">
        <v>1284</v>
      </c>
      <c r="N4163" s="403">
        <v>640</v>
      </c>
      <c r="O4163" s="403">
        <v>480</v>
      </c>
      <c r="P4163" t="str">
        <f t="shared" si="521"/>
        <v>25fps 2304x1296 - SD VGA (cropped)</v>
      </c>
      <c r="Q4163">
        <f t="shared" si="522"/>
        <v>20</v>
      </c>
      <c r="R4163" t="str">
        <f t="shared" si="523"/>
        <v/>
      </c>
      <c r="S4163" t="str">
        <f t="shared" si="524"/>
        <v/>
      </c>
      <c r="T4163" s="403" t="str">
        <f t="shared" si="525"/>
        <v>NDE-8503-RT</v>
      </c>
      <c r="U4163" s="403">
        <f t="shared" si="526"/>
        <v>1</v>
      </c>
      <c r="V4163" s="403" t="str">
        <f t="shared" si="527"/>
        <v>CPP_7_3</v>
      </c>
    </row>
    <row r="4164" spans="1:22">
      <c r="A4164" t="str">
        <f t="shared" si="520"/>
        <v>NDE-8503-RT</v>
      </c>
      <c r="B4164" s="403" t="s">
        <v>1410</v>
      </c>
      <c r="C4164" s="403" t="s">
        <v>582</v>
      </c>
      <c r="D4164" s="403" t="s">
        <v>1414</v>
      </c>
      <c r="E4164" s="403" t="s">
        <v>1413</v>
      </c>
      <c r="F4164" s="403" t="s">
        <v>1385</v>
      </c>
      <c r="G4164" s="403" t="s">
        <v>1466</v>
      </c>
      <c r="H4164" s="403" t="s">
        <v>1276</v>
      </c>
      <c r="I4164" s="403">
        <v>1</v>
      </c>
      <c r="J4164" s="403" t="s">
        <v>1374</v>
      </c>
      <c r="K4164" s="403">
        <v>2304</v>
      </c>
      <c r="L4164" s="403">
        <v>1296</v>
      </c>
      <c r="M4164" s="403" t="s">
        <v>1280</v>
      </c>
      <c r="N4164" s="403">
        <v>2304</v>
      </c>
      <c r="O4164" s="403">
        <v>1296</v>
      </c>
      <c r="P4164" t="str">
        <f t="shared" si="521"/>
        <v>25fps 2304x1296 - copy other stream</v>
      </c>
      <c r="Q4164">
        <f t="shared" si="522"/>
        <v>20</v>
      </c>
      <c r="R4164" t="str">
        <f t="shared" si="523"/>
        <v/>
      </c>
      <c r="S4164" t="str">
        <f t="shared" si="524"/>
        <v/>
      </c>
      <c r="T4164" s="403" t="str">
        <f t="shared" si="525"/>
        <v>NDE-8503-RT</v>
      </c>
      <c r="U4164" s="403">
        <f t="shared" si="526"/>
        <v>1</v>
      </c>
      <c r="V4164" s="403" t="str">
        <f t="shared" si="527"/>
        <v>CPP_7_3</v>
      </c>
    </row>
    <row r="4165" spans="1:22">
      <c r="A4165" t="str">
        <f t="shared" si="520"/>
        <v>NDE-8503-RT</v>
      </c>
      <c r="B4165" s="403" t="s">
        <v>1410</v>
      </c>
      <c r="C4165" s="403" t="s">
        <v>582</v>
      </c>
      <c r="D4165" s="403" t="s">
        <v>1414</v>
      </c>
      <c r="E4165" s="403" t="s">
        <v>1413</v>
      </c>
      <c r="F4165" s="403" t="s">
        <v>1385</v>
      </c>
      <c r="G4165" s="403" t="s">
        <v>1466</v>
      </c>
      <c r="H4165" s="403" t="s">
        <v>1276</v>
      </c>
      <c r="I4165" s="403">
        <v>1</v>
      </c>
      <c r="J4165" s="403" t="s">
        <v>110</v>
      </c>
      <c r="K4165" s="403">
        <v>1920</v>
      </c>
      <c r="L4165" s="403">
        <v>1080</v>
      </c>
      <c r="M4165" s="403" t="s">
        <v>111</v>
      </c>
      <c r="N4165" s="403">
        <v>768</v>
      </c>
      <c r="O4165" s="403">
        <v>432</v>
      </c>
      <c r="P4165" t="str">
        <f t="shared" si="521"/>
        <v>25fps 1080p - SD</v>
      </c>
      <c r="Q4165">
        <f t="shared" si="522"/>
        <v>20</v>
      </c>
      <c r="R4165" t="str">
        <f t="shared" si="523"/>
        <v/>
      </c>
      <c r="S4165" t="str">
        <f t="shared" si="524"/>
        <v/>
      </c>
      <c r="T4165" s="403" t="str">
        <f t="shared" si="525"/>
        <v>NDE-8503-RT</v>
      </c>
      <c r="U4165" s="403">
        <f t="shared" si="526"/>
        <v>1</v>
      </c>
      <c r="V4165" s="403" t="str">
        <f t="shared" si="527"/>
        <v>CPP_7_3</v>
      </c>
    </row>
    <row r="4166" spans="1:22">
      <c r="A4166" t="str">
        <f t="shared" si="520"/>
        <v>NDE-8503-RT</v>
      </c>
      <c r="B4166" s="403" t="s">
        <v>1410</v>
      </c>
      <c r="C4166" s="403" t="s">
        <v>582</v>
      </c>
      <c r="D4166" s="403" t="s">
        <v>1414</v>
      </c>
      <c r="E4166" s="403" t="s">
        <v>1413</v>
      </c>
      <c r="F4166" s="403" t="s">
        <v>1385</v>
      </c>
      <c r="G4166" s="403" t="s">
        <v>1466</v>
      </c>
      <c r="H4166" s="403" t="s">
        <v>1276</v>
      </c>
      <c r="I4166" s="403">
        <v>1</v>
      </c>
      <c r="J4166" s="403" t="s">
        <v>110</v>
      </c>
      <c r="K4166" s="403">
        <v>1920</v>
      </c>
      <c r="L4166" s="403">
        <v>1080</v>
      </c>
      <c r="M4166" s="403" t="s">
        <v>110</v>
      </c>
      <c r="N4166" s="403">
        <v>1920</v>
      </c>
      <c r="O4166" s="403">
        <v>1080</v>
      </c>
      <c r="P4166" t="str">
        <f t="shared" si="521"/>
        <v>25fps 1080p - 1080p</v>
      </c>
      <c r="Q4166">
        <f t="shared" si="522"/>
        <v>20</v>
      </c>
      <c r="R4166" t="str">
        <f t="shared" si="523"/>
        <v/>
      </c>
      <c r="S4166" t="str">
        <f t="shared" si="524"/>
        <v/>
      </c>
      <c r="T4166" s="403" t="str">
        <f t="shared" si="525"/>
        <v>NDE-8503-RT</v>
      </c>
      <c r="U4166" s="403">
        <f t="shared" si="526"/>
        <v>1</v>
      </c>
      <c r="V4166" s="403" t="str">
        <f t="shared" si="527"/>
        <v>CPP_7_3</v>
      </c>
    </row>
    <row r="4167" spans="1:22">
      <c r="A4167" t="str">
        <f t="shared" si="520"/>
        <v>NDE-8503-RT</v>
      </c>
      <c r="B4167" s="403" t="s">
        <v>1410</v>
      </c>
      <c r="C4167" s="403" t="s">
        <v>582</v>
      </c>
      <c r="D4167" s="403" t="s">
        <v>1414</v>
      </c>
      <c r="E4167" s="403" t="s">
        <v>1413</v>
      </c>
      <c r="F4167" s="403" t="s">
        <v>1385</v>
      </c>
      <c r="G4167" s="403" t="s">
        <v>1466</v>
      </c>
      <c r="H4167" s="403" t="s">
        <v>1276</v>
      </c>
      <c r="I4167" s="403">
        <v>1</v>
      </c>
      <c r="J4167" s="403" t="s">
        <v>110</v>
      </c>
      <c r="K4167" s="403">
        <v>1920</v>
      </c>
      <c r="L4167" s="403">
        <v>1080</v>
      </c>
      <c r="M4167" s="403" t="s">
        <v>109</v>
      </c>
      <c r="N4167" s="403">
        <v>1280</v>
      </c>
      <c r="O4167" s="403">
        <v>720</v>
      </c>
      <c r="P4167" t="str">
        <f t="shared" si="521"/>
        <v>25fps 1080p - 720p</v>
      </c>
      <c r="Q4167">
        <f t="shared" si="522"/>
        <v>20</v>
      </c>
      <c r="R4167" t="str">
        <f t="shared" si="523"/>
        <v/>
      </c>
      <c r="S4167" t="str">
        <f t="shared" si="524"/>
        <v/>
      </c>
      <c r="T4167" s="403" t="str">
        <f t="shared" si="525"/>
        <v>NDE-8503-RT</v>
      </c>
      <c r="U4167" s="403">
        <f t="shared" si="526"/>
        <v>1</v>
      </c>
      <c r="V4167" s="403" t="str">
        <f t="shared" si="527"/>
        <v>CPP_7_3</v>
      </c>
    </row>
    <row r="4168" spans="1:22">
      <c r="A4168" t="str">
        <f t="shared" si="520"/>
        <v>NDE-8503-RT</v>
      </c>
      <c r="B4168" s="403" t="s">
        <v>1410</v>
      </c>
      <c r="C4168" s="403" t="s">
        <v>582</v>
      </c>
      <c r="D4168" s="403" t="s">
        <v>1414</v>
      </c>
      <c r="E4168" s="403" t="s">
        <v>1413</v>
      </c>
      <c r="F4168" s="403" t="s">
        <v>1385</v>
      </c>
      <c r="G4168" s="403" t="s">
        <v>1466</v>
      </c>
      <c r="H4168" s="403" t="s">
        <v>1276</v>
      </c>
      <c r="I4168" s="403">
        <v>1</v>
      </c>
      <c r="J4168" s="403" t="s">
        <v>110</v>
      </c>
      <c r="K4168" s="403">
        <v>1920</v>
      </c>
      <c r="L4168" s="403">
        <v>1080</v>
      </c>
      <c r="M4168" s="403" t="s">
        <v>1285</v>
      </c>
      <c r="N4168" s="403">
        <v>1280</v>
      </c>
      <c r="O4168" s="403">
        <v>1024</v>
      </c>
      <c r="P4168" t="str">
        <f t="shared" si="521"/>
        <v>25fps 1080p - 1280x1024 5:4 (cropped)</v>
      </c>
      <c r="Q4168">
        <f t="shared" si="522"/>
        <v>20</v>
      </c>
      <c r="R4168" t="str">
        <f t="shared" si="523"/>
        <v/>
      </c>
      <c r="S4168" t="str">
        <f t="shared" si="524"/>
        <v/>
      </c>
      <c r="T4168" s="403" t="str">
        <f t="shared" si="525"/>
        <v>NDE-8503-RT</v>
      </c>
      <c r="U4168" s="403">
        <f t="shared" si="526"/>
        <v>1</v>
      </c>
      <c r="V4168" s="403" t="str">
        <f t="shared" si="527"/>
        <v>CPP_7_3</v>
      </c>
    </row>
    <row r="4169" spans="1:22">
      <c r="A4169" t="str">
        <f t="shared" si="520"/>
        <v>NDE-8503-RT</v>
      </c>
      <c r="B4169" s="403" t="s">
        <v>1410</v>
      </c>
      <c r="C4169" s="403" t="s">
        <v>582</v>
      </c>
      <c r="D4169" s="403" t="s">
        <v>1414</v>
      </c>
      <c r="E4169" s="403" t="s">
        <v>1413</v>
      </c>
      <c r="F4169" s="403" t="s">
        <v>1385</v>
      </c>
      <c r="G4169" s="403" t="s">
        <v>1466</v>
      </c>
      <c r="H4169" s="403" t="s">
        <v>1276</v>
      </c>
      <c r="I4169" s="403">
        <v>1</v>
      </c>
      <c r="J4169" s="403" t="s">
        <v>110</v>
      </c>
      <c r="K4169" s="403">
        <v>1920</v>
      </c>
      <c r="L4169" s="403">
        <v>1080</v>
      </c>
      <c r="M4169" s="403" t="s">
        <v>1279</v>
      </c>
      <c r="N4169" s="403">
        <v>768</v>
      </c>
      <c r="O4169" s="403">
        <v>432</v>
      </c>
      <c r="P4169" t="str">
        <f t="shared" si="521"/>
        <v>25fps 1080p - SD ROI PTZ</v>
      </c>
      <c r="Q4169">
        <f t="shared" si="522"/>
        <v>20</v>
      </c>
      <c r="R4169" t="str">
        <f t="shared" si="523"/>
        <v/>
      </c>
      <c r="S4169" t="str">
        <f t="shared" si="524"/>
        <v/>
      </c>
      <c r="T4169" s="403" t="str">
        <f t="shared" si="525"/>
        <v>NDE-8503-RT</v>
      </c>
      <c r="U4169" s="403">
        <f t="shared" si="526"/>
        <v>1</v>
      </c>
      <c r="V4169" s="403" t="str">
        <f t="shared" si="527"/>
        <v>CPP_7_3</v>
      </c>
    </row>
    <row r="4170" spans="1:22">
      <c r="A4170" t="str">
        <f t="shared" si="520"/>
        <v>NDE-8503-RT</v>
      </c>
      <c r="B4170" s="403" t="s">
        <v>1410</v>
      </c>
      <c r="C4170" s="403" t="s">
        <v>582</v>
      </c>
      <c r="D4170" s="403" t="s">
        <v>1414</v>
      </c>
      <c r="E4170" s="403" t="s">
        <v>1413</v>
      </c>
      <c r="F4170" s="403" t="s">
        <v>1385</v>
      </c>
      <c r="G4170" s="403" t="s">
        <v>1466</v>
      </c>
      <c r="H4170" s="403" t="s">
        <v>1276</v>
      </c>
      <c r="I4170" s="403">
        <v>1</v>
      </c>
      <c r="J4170" s="403" t="s">
        <v>110</v>
      </c>
      <c r="K4170" s="403">
        <v>1920</v>
      </c>
      <c r="L4170" s="403">
        <v>1080</v>
      </c>
      <c r="M4170" s="403" t="s">
        <v>1283</v>
      </c>
      <c r="N4170" s="403">
        <v>720</v>
      </c>
      <c r="O4170" s="403">
        <v>576</v>
      </c>
      <c r="P4170" t="str">
        <f t="shared" si="521"/>
        <v>25fps 1080p - SD 4CIF resolution 4:3 format (cropped)</v>
      </c>
      <c r="Q4170">
        <f t="shared" si="522"/>
        <v>20</v>
      </c>
      <c r="R4170" t="str">
        <f t="shared" si="523"/>
        <v/>
      </c>
      <c r="S4170" t="str">
        <f t="shared" si="524"/>
        <v/>
      </c>
      <c r="T4170" s="403" t="str">
        <f t="shared" si="525"/>
        <v>NDE-8503-RT</v>
      </c>
      <c r="U4170" s="403">
        <f t="shared" si="526"/>
        <v>1</v>
      </c>
      <c r="V4170" s="403" t="str">
        <f t="shared" si="527"/>
        <v>CPP_7_3</v>
      </c>
    </row>
    <row r="4171" spans="1:22">
      <c r="A4171" t="str">
        <f t="shared" si="520"/>
        <v>NDE-8503-RT</v>
      </c>
      <c r="B4171" s="403" t="s">
        <v>1410</v>
      </c>
      <c r="C4171" s="403" t="s">
        <v>582</v>
      </c>
      <c r="D4171" s="403" t="s">
        <v>1414</v>
      </c>
      <c r="E4171" s="403" t="s">
        <v>1413</v>
      </c>
      <c r="F4171" s="403" t="s">
        <v>1385</v>
      </c>
      <c r="G4171" s="403" t="s">
        <v>1466</v>
      </c>
      <c r="H4171" s="403" t="s">
        <v>1276</v>
      </c>
      <c r="I4171" s="403">
        <v>1</v>
      </c>
      <c r="J4171" s="403" t="s">
        <v>110</v>
      </c>
      <c r="K4171" s="403">
        <v>1920</v>
      </c>
      <c r="L4171" s="403">
        <v>1080</v>
      </c>
      <c r="M4171" s="403" t="s">
        <v>1284</v>
      </c>
      <c r="N4171" s="403">
        <v>640</v>
      </c>
      <c r="O4171" s="403">
        <v>480</v>
      </c>
      <c r="P4171" t="str">
        <f t="shared" si="521"/>
        <v>25fps 1080p - SD VGA (cropped)</v>
      </c>
      <c r="Q4171">
        <f t="shared" si="522"/>
        <v>20</v>
      </c>
      <c r="R4171" t="str">
        <f t="shared" si="523"/>
        <v/>
      </c>
      <c r="S4171" t="str">
        <f t="shared" si="524"/>
        <v/>
      </c>
      <c r="T4171" s="403" t="str">
        <f t="shared" si="525"/>
        <v>NDE-8503-RT</v>
      </c>
      <c r="U4171" s="403">
        <f t="shared" si="526"/>
        <v>1</v>
      </c>
      <c r="V4171" s="403" t="str">
        <f t="shared" si="527"/>
        <v>CPP_7_3</v>
      </c>
    </row>
    <row r="4172" spans="1:22">
      <c r="A4172" t="str">
        <f t="shared" si="520"/>
        <v>NDE-8503-RT</v>
      </c>
      <c r="B4172" s="403" t="s">
        <v>1410</v>
      </c>
      <c r="C4172" s="403" t="s">
        <v>582</v>
      </c>
      <c r="D4172" s="403" t="s">
        <v>1414</v>
      </c>
      <c r="E4172" s="403" t="s">
        <v>1413</v>
      </c>
      <c r="F4172" s="403" t="s">
        <v>1385</v>
      </c>
      <c r="G4172" s="403" t="s">
        <v>1466</v>
      </c>
      <c r="H4172" s="403" t="s">
        <v>1276</v>
      </c>
      <c r="I4172" s="403">
        <v>1</v>
      </c>
      <c r="J4172" s="403" t="s">
        <v>109</v>
      </c>
      <c r="K4172" s="403">
        <v>1280</v>
      </c>
      <c r="L4172" s="403">
        <v>720</v>
      </c>
      <c r="M4172" s="403" t="s">
        <v>109</v>
      </c>
      <c r="N4172" s="403">
        <v>1280</v>
      </c>
      <c r="O4172" s="403">
        <v>720</v>
      </c>
      <c r="P4172" t="str">
        <f t="shared" si="521"/>
        <v>25fps 720p - 720p</v>
      </c>
      <c r="Q4172">
        <f t="shared" si="522"/>
        <v>20</v>
      </c>
      <c r="R4172" t="str">
        <f t="shared" si="523"/>
        <v/>
      </c>
      <c r="S4172" t="str">
        <f t="shared" si="524"/>
        <v/>
      </c>
      <c r="T4172" s="403" t="str">
        <f t="shared" si="525"/>
        <v>NDE-8503-RT</v>
      </c>
      <c r="U4172" s="403">
        <f t="shared" si="526"/>
        <v>1</v>
      </c>
      <c r="V4172" s="403" t="str">
        <f t="shared" si="527"/>
        <v>CPP_7_3</v>
      </c>
    </row>
    <row r="4173" spans="1:22">
      <c r="A4173" t="str">
        <f t="shared" si="520"/>
        <v>NDE-8503-RT</v>
      </c>
      <c r="B4173" s="403" t="s">
        <v>1410</v>
      </c>
      <c r="C4173" s="403" t="s">
        <v>582</v>
      </c>
      <c r="D4173" s="403" t="s">
        <v>1414</v>
      </c>
      <c r="E4173" s="403" t="s">
        <v>1413</v>
      </c>
      <c r="F4173" s="403" t="s">
        <v>1385</v>
      </c>
      <c r="G4173" s="403" t="s">
        <v>1466</v>
      </c>
      <c r="H4173" s="403" t="s">
        <v>1276</v>
      </c>
      <c r="I4173" s="403">
        <v>1</v>
      </c>
      <c r="J4173" s="403" t="s">
        <v>109</v>
      </c>
      <c r="K4173" s="403">
        <v>1280</v>
      </c>
      <c r="L4173" s="403">
        <v>720</v>
      </c>
      <c r="M4173" s="403" t="s">
        <v>111</v>
      </c>
      <c r="N4173" s="403">
        <v>768</v>
      </c>
      <c r="O4173" s="403">
        <v>432</v>
      </c>
      <c r="P4173" t="str">
        <f t="shared" si="521"/>
        <v>25fps 720p - SD</v>
      </c>
      <c r="Q4173">
        <f t="shared" si="522"/>
        <v>20</v>
      </c>
      <c r="R4173" t="str">
        <f t="shared" si="523"/>
        <v/>
      </c>
      <c r="S4173" t="str">
        <f t="shared" si="524"/>
        <v/>
      </c>
      <c r="T4173" s="403" t="str">
        <f t="shared" si="525"/>
        <v>NDE-8503-RT</v>
      </c>
      <c r="U4173" s="403">
        <f t="shared" si="526"/>
        <v>1</v>
      </c>
      <c r="V4173" s="403" t="str">
        <f t="shared" si="527"/>
        <v>CPP_7_3</v>
      </c>
    </row>
    <row r="4174" spans="1:22">
      <c r="A4174" t="str">
        <f t="shared" si="520"/>
        <v>NDE-8503-RT</v>
      </c>
      <c r="B4174" s="403" t="s">
        <v>1410</v>
      </c>
      <c r="C4174" s="403" t="s">
        <v>582</v>
      </c>
      <c r="D4174" s="403" t="s">
        <v>1414</v>
      </c>
      <c r="E4174" s="403" t="s">
        <v>1413</v>
      </c>
      <c r="F4174" s="403" t="s">
        <v>1385</v>
      </c>
      <c r="G4174" s="403" t="s">
        <v>1466</v>
      </c>
      <c r="H4174" s="403" t="s">
        <v>1276</v>
      </c>
      <c r="I4174" s="403">
        <v>1</v>
      </c>
      <c r="J4174" s="403" t="s">
        <v>109</v>
      </c>
      <c r="K4174" s="403">
        <v>1280</v>
      </c>
      <c r="L4174" s="403">
        <v>720</v>
      </c>
      <c r="M4174" s="403" t="s">
        <v>1279</v>
      </c>
      <c r="N4174" s="403">
        <v>768</v>
      </c>
      <c r="O4174" s="403">
        <v>432</v>
      </c>
      <c r="P4174" t="str">
        <f t="shared" si="521"/>
        <v>25fps 720p - SD ROI PTZ</v>
      </c>
      <c r="Q4174">
        <f t="shared" si="522"/>
        <v>20</v>
      </c>
      <c r="R4174" t="str">
        <f t="shared" si="523"/>
        <v/>
      </c>
      <c r="S4174" t="str">
        <f t="shared" si="524"/>
        <v/>
      </c>
      <c r="T4174" s="403" t="str">
        <f t="shared" si="525"/>
        <v>NDE-8503-RT</v>
      </c>
      <c r="U4174" s="403">
        <f t="shared" si="526"/>
        <v>1</v>
      </c>
      <c r="V4174" s="403" t="str">
        <f t="shared" si="527"/>
        <v>CPP_7_3</v>
      </c>
    </row>
    <row r="4175" spans="1:22">
      <c r="A4175" t="str">
        <f t="shared" si="520"/>
        <v>NDE-8503-RT</v>
      </c>
      <c r="B4175" s="403" t="s">
        <v>1410</v>
      </c>
      <c r="C4175" s="403" t="s">
        <v>582</v>
      </c>
      <c r="D4175" s="403" t="s">
        <v>1414</v>
      </c>
      <c r="E4175" s="403" t="s">
        <v>1413</v>
      </c>
      <c r="F4175" s="403" t="s">
        <v>1385</v>
      </c>
      <c r="G4175" s="403" t="s">
        <v>1466</v>
      </c>
      <c r="H4175" s="403" t="s">
        <v>1276</v>
      </c>
      <c r="I4175" s="403">
        <v>1</v>
      </c>
      <c r="J4175" s="403" t="s">
        <v>109</v>
      </c>
      <c r="K4175" s="403">
        <v>1280</v>
      </c>
      <c r="L4175" s="403">
        <v>720</v>
      </c>
      <c r="M4175" s="403" t="s">
        <v>1283</v>
      </c>
      <c r="N4175" s="403">
        <v>720</v>
      </c>
      <c r="O4175" s="403">
        <v>576</v>
      </c>
      <c r="P4175" t="str">
        <f t="shared" si="521"/>
        <v>25fps 720p - SD 4CIF resolution 4:3 format (cropped)</v>
      </c>
      <c r="Q4175">
        <f t="shared" si="522"/>
        <v>20</v>
      </c>
      <c r="R4175" t="str">
        <f t="shared" si="523"/>
        <v/>
      </c>
      <c r="S4175" t="str">
        <f t="shared" si="524"/>
        <v/>
      </c>
      <c r="T4175" s="403" t="str">
        <f t="shared" si="525"/>
        <v>NDE-8503-RT</v>
      </c>
      <c r="U4175" s="403">
        <f t="shared" si="526"/>
        <v>1</v>
      </c>
      <c r="V4175" s="403" t="str">
        <f t="shared" si="527"/>
        <v>CPP_7_3</v>
      </c>
    </row>
    <row r="4176" spans="1:22">
      <c r="A4176" t="str">
        <f t="shared" si="520"/>
        <v>NDE-8503-RT</v>
      </c>
      <c r="B4176" s="403" t="s">
        <v>1410</v>
      </c>
      <c r="C4176" s="403" t="s">
        <v>582</v>
      </c>
      <c r="D4176" s="403" t="s">
        <v>1414</v>
      </c>
      <c r="E4176" s="403" t="s">
        <v>1413</v>
      </c>
      <c r="F4176" s="403" t="s">
        <v>1385</v>
      </c>
      <c r="G4176" s="403" t="s">
        <v>1466</v>
      </c>
      <c r="H4176" s="403" t="s">
        <v>1276</v>
      </c>
      <c r="I4176" s="403">
        <v>1</v>
      </c>
      <c r="J4176" s="403" t="s">
        <v>109</v>
      </c>
      <c r="K4176" s="403">
        <v>1280</v>
      </c>
      <c r="L4176" s="403">
        <v>720</v>
      </c>
      <c r="M4176" s="403" t="s">
        <v>1284</v>
      </c>
      <c r="N4176" s="403">
        <v>640</v>
      </c>
      <c r="O4176" s="403">
        <v>480</v>
      </c>
      <c r="P4176" t="str">
        <f t="shared" si="521"/>
        <v>25fps 720p - SD VGA (cropped)</v>
      </c>
      <c r="Q4176">
        <f t="shared" si="522"/>
        <v>20</v>
      </c>
      <c r="R4176" t="str">
        <f t="shared" si="523"/>
        <v/>
      </c>
      <c r="S4176" t="str">
        <f t="shared" si="524"/>
        <v/>
      </c>
      <c r="T4176" s="403" t="str">
        <f t="shared" si="525"/>
        <v>NDE-8503-RT</v>
      </c>
      <c r="U4176" s="403">
        <f t="shared" si="526"/>
        <v>1</v>
      </c>
      <c r="V4176" s="403" t="str">
        <f t="shared" si="527"/>
        <v>CPP_7_3</v>
      </c>
    </row>
    <row r="4177" spans="1:22">
      <c r="A4177" t="str">
        <f t="shared" si="520"/>
        <v>NDE-8503-RT</v>
      </c>
      <c r="B4177" s="403" t="s">
        <v>1410</v>
      </c>
      <c r="C4177" s="403" t="s">
        <v>582</v>
      </c>
      <c r="D4177" s="403" t="s">
        <v>1414</v>
      </c>
      <c r="E4177" s="403" t="s">
        <v>1413</v>
      </c>
      <c r="F4177" s="403" t="s">
        <v>1385</v>
      </c>
      <c r="G4177" s="403" t="s">
        <v>1466</v>
      </c>
      <c r="H4177" s="403" t="s">
        <v>1281</v>
      </c>
      <c r="I4177" s="403">
        <v>1</v>
      </c>
      <c r="J4177" s="403" t="s">
        <v>1376</v>
      </c>
      <c r="K4177" s="403">
        <v>3072</v>
      </c>
      <c r="L4177" s="403">
        <v>1728</v>
      </c>
      <c r="M4177" s="403" t="s">
        <v>111</v>
      </c>
      <c r="N4177" s="403">
        <v>768</v>
      </c>
      <c r="O4177" s="403">
        <v>432</v>
      </c>
      <c r="P4177" t="str">
        <f t="shared" si="521"/>
        <v>25fps 3072x1728 - SD</v>
      </c>
      <c r="Q4177">
        <f t="shared" si="522"/>
        <v>20</v>
      </c>
      <c r="R4177" t="str">
        <f t="shared" si="523"/>
        <v/>
      </c>
      <c r="S4177" t="str">
        <f t="shared" si="524"/>
        <v/>
      </c>
      <c r="T4177" s="403" t="str">
        <f t="shared" si="525"/>
        <v>NDE-8503-RT</v>
      </c>
      <c r="U4177" s="403">
        <f t="shared" si="526"/>
        <v>1</v>
      </c>
      <c r="V4177" s="403" t="str">
        <f t="shared" si="527"/>
        <v>CPP_7_3</v>
      </c>
    </row>
    <row r="4178" spans="1:22">
      <c r="A4178" t="str">
        <f t="shared" si="520"/>
        <v>NDE-8503-RT</v>
      </c>
      <c r="B4178" s="403" t="s">
        <v>1410</v>
      </c>
      <c r="C4178" s="403" t="s">
        <v>582</v>
      </c>
      <c r="D4178" s="403" t="s">
        <v>1414</v>
      </c>
      <c r="E4178" s="403" t="s">
        <v>1413</v>
      </c>
      <c r="F4178" s="403" t="s">
        <v>1385</v>
      </c>
      <c r="G4178" s="403" t="s">
        <v>1466</v>
      </c>
      <c r="H4178" s="403" t="s">
        <v>1281</v>
      </c>
      <c r="I4178" s="403">
        <v>1</v>
      </c>
      <c r="J4178" s="403" t="s">
        <v>1376</v>
      </c>
      <c r="K4178" s="403">
        <v>3072</v>
      </c>
      <c r="L4178" s="403">
        <v>1728</v>
      </c>
      <c r="M4178" s="403" t="s">
        <v>1600</v>
      </c>
      <c r="N4178" s="403">
        <v>3072</v>
      </c>
      <c r="O4178" s="403">
        <v>1728</v>
      </c>
      <c r="P4178" t="str">
        <f t="shared" si="521"/>
        <v>25fps 3072x1728 - 3072x1728 @ SKIP2</v>
      </c>
      <c r="Q4178">
        <f t="shared" si="522"/>
        <v>20</v>
      </c>
      <c r="R4178" t="str">
        <f t="shared" si="523"/>
        <v/>
      </c>
      <c r="S4178" t="str">
        <f t="shared" si="524"/>
        <v/>
      </c>
      <c r="T4178" s="403" t="str">
        <f t="shared" si="525"/>
        <v>NDE-8503-RT</v>
      </c>
      <c r="U4178" s="403">
        <f t="shared" si="526"/>
        <v>1</v>
      </c>
      <c r="V4178" s="403" t="str">
        <f t="shared" si="527"/>
        <v>CPP_7_3</v>
      </c>
    </row>
    <row r="4179" spans="1:22">
      <c r="A4179" t="str">
        <f t="shared" si="520"/>
        <v>NDE-8503-RT</v>
      </c>
      <c r="B4179" s="403" t="s">
        <v>1410</v>
      </c>
      <c r="C4179" s="403" t="s">
        <v>582</v>
      </c>
      <c r="D4179" s="403" t="s">
        <v>1414</v>
      </c>
      <c r="E4179" s="403" t="s">
        <v>1413</v>
      </c>
      <c r="F4179" s="403" t="s">
        <v>1385</v>
      </c>
      <c r="G4179" s="403" t="s">
        <v>1466</v>
      </c>
      <c r="H4179" s="403" t="s">
        <v>1281</v>
      </c>
      <c r="I4179" s="403">
        <v>1</v>
      </c>
      <c r="J4179" s="403" t="s">
        <v>1376</v>
      </c>
      <c r="K4179" s="403">
        <v>3072</v>
      </c>
      <c r="L4179" s="403">
        <v>1728</v>
      </c>
      <c r="M4179" s="403" t="s">
        <v>1280</v>
      </c>
      <c r="N4179" s="403">
        <v>3072</v>
      </c>
      <c r="O4179" s="403">
        <v>1728</v>
      </c>
      <c r="P4179" t="str">
        <f t="shared" si="521"/>
        <v>25fps 3072x1728 - copy other stream</v>
      </c>
      <c r="Q4179">
        <f t="shared" si="522"/>
        <v>20</v>
      </c>
      <c r="R4179" t="str">
        <f t="shared" si="523"/>
        <v/>
      </c>
      <c r="S4179" t="str">
        <f t="shared" si="524"/>
        <v/>
      </c>
      <c r="T4179" s="403" t="str">
        <f t="shared" si="525"/>
        <v>NDE-8503-RT</v>
      </c>
      <c r="U4179" s="403">
        <f t="shared" si="526"/>
        <v>1</v>
      </c>
      <c r="V4179" s="403" t="str">
        <f t="shared" si="527"/>
        <v>CPP_7_3</v>
      </c>
    </row>
    <row r="4180" spans="1:22">
      <c r="A4180" t="str">
        <f t="shared" si="520"/>
        <v>NDE-8503-RT</v>
      </c>
      <c r="B4180" s="403" t="s">
        <v>1410</v>
      </c>
      <c r="C4180" s="403" t="s">
        <v>582</v>
      </c>
      <c r="D4180" s="403" t="s">
        <v>1414</v>
      </c>
      <c r="E4180" s="403" t="s">
        <v>1413</v>
      </c>
      <c r="F4180" s="403" t="s">
        <v>1385</v>
      </c>
      <c r="G4180" s="403" t="s">
        <v>1466</v>
      </c>
      <c r="H4180" s="403" t="s">
        <v>1281</v>
      </c>
      <c r="I4180" s="403">
        <v>1</v>
      </c>
      <c r="J4180" s="403" t="s">
        <v>1376</v>
      </c>
      <c r="K4180" s="403">
        <v>3072</v>
      </c>
      <c r="L4180" s="403">
        <v>1728</v>
      </c>
      <c r="M4180" s="403" t="s">
        <v>110</v>
      </c>
      <c r="N4180" s="403">
        <v>1920</v>
      </c>
      <c r="O4180" s="403">
        <v>1080</v>
      </c>
      <c r="P4180" t="str">
        <f t="shared" si="521"/>
        <v>25fps 3072x1728 - 1080p</v>
      </c>
      <c r="Q4180">
        <f t="shared" si="522"/>
        <v>20</v>
      </c>
      <c r="R4180" t="str">
        <f t="shared" si="523"/>
        <v/>
      </c>
      <c r="S4180" t="str">
        <f t="shared" si="524"/>
        <v/>
      </c>
      <c r="T4180" s="403" t="str">
        <f t="shared" si="525"/>
        <v>NDE-8503-RT</v>
      </c>
      <c r="U4180" s="403">
        <f t="shared" si="526"/>
        <v>1</v>
      </c>
      <c r="V4180" s="403" t="str">
        <f t="shared" si="527"/>
        <v>CPP_7_3</v>
      </c>
    </row>
    <row r="4181" spans="1:22">
      <c r="A4181" t="str">
        <f t="shared" si="520"/>
        <v>NDE-8503-RT</v>
      </c>
      <c r="B4181" s="403" t="s">
        <v>1410</v>
      </c>
      <c r="C4181" s="403" t="s">
        <v>582</v>
      </c>
      <c r="D4181" s="403" t="s">
        <v>1414</v>
      </c>
      <c r="E4181" s="403" t="s">
        <v>1413</v>
      </c>
      <c r="F4181" s="403" t="s">
        <v>1385</v>
      </c>
      <c r="G4181" s="403" t="s">
        <v>1466</v>
      </c>
      <c r="H4181" s="403" t="s">
        <v>1281</v>
      </c>
      <c r="I4181" s="403">
        <v>1</v>
      </c>
      <c r="J4181" s="403" t="s">
        <v>1376</v>
      </c>
      <c r="K4181" s="403">
        <v>3072</v>
      </c>
      <c r="L4181" s="403">
        <v>1728</v>
      </c>
      <c r="M4181" s="403" t="s">
        <v>109</v>
      </c>
      <c r="N4181" s="403">
        <v>1280</v>
      </c>
      <c r="O4181" s="403">
        <v>720</v>
      </c>
      <c r="P4181" t="str">
        <f t="shared" si="521"/>
        <v>25fps 3072x1728 - 720p</v>
      </c>
      <c r="Q4181">
        <f t="shared" si="522"/>
        <v>20</v>
      </c>
      <c r="R4181" t="str">
        <f t="shared" si="523"/>
        <v/>
      </c>
      <c r="S4181" t="str">
        <f t="shared" si="524"/>
        <v/>
      </c>
      <c r="T4181" s="403" t="str">
        <f t="shared" si="525"/>
        <v>NDE-8503-RT</v>
      </c>
      <c r="U4181" s="403">
        <f t="shared" si="526"/>
        <v>1</v>
      </c>
      <c r="V4181" s="403" t="str">
        <f t="shared" si="527"/>
        <v>CPP_7_3</v>
      </c>
    </row>
    <row r="4182" spans="1:22">
      <c r="A4182" t="str">
        <f t="shared" si="520"/>
        <v>NDE-8503-RT</v>
      </c>
      <c r="B4182" s="403" t="s">
        <v>1410</v>
      </c>
      <c r="C4182" s="403" t="s">
        <v>582</v>
      </c>
      <c r="D4182" s="403" t="s">
        <v>1414</v>
      </c>
      <c r="E4182" s="403" t="s">
        <v>1413</v>
      </c>
      <c r="F4182" s="403" t="s">
        <v>1385</v>
      </c>
      <c r="G4182" s="403" t="s">
        <v>1466</v>
      </c>
      <c r="H4182" s="403" t="s">
        <v>1281</v>
      </c>
      <c r="I4182" s="403">
        <v>1</v>
      </c>
      <c r="J4182" s="403" t="s">
        <v>1376</v>
      </c>
      <c r="K4182" s="403">
        <v>3072</v>
      </c>
      <c r="L4182" s="403">
        <v>1728</v>
      </c>
      <c r="M4182" s="403" t="s">
        <v>1283</v>
      </c>
      <c r="N4182" s="403">
        <v>720</v>
      </c>
      <c r="O4182" s="403">
        <v>576</v>
      </c>
      <c r="P4182" t="str">
        <f t="shared" si="521"/>
        <v>25fps 3072x1728 - SD 4CIF resolution 4:3 format (cropped)</v>
      </c>
      <c r="Q4182">
        <f t="shared" si="522"/>
        <v>20</v>
      </c>
      <c r="R4182" t="str">
        <f t="shared" si="523"/>
        <v/>
      </c>
      <c r="S4182" t="str">
        <f t="shared" si="524"/>
        <v/>
      </c>
      <c r="T4182" s="403" t="str">
        <f t="shared" si="525"/>
        <v>NDE-8503-RT</v>
      </c>
      <c r="U4182" s="403">
        <f t="shared" si="526"/>
        <v>1</v>
      </c>
      <c r="V4182" s="403" t="str">
        <f t="shared" si="527"/>
        <v>CPP_7_3</v>
      </c>
    </row>
    <row r="4183" spans="1:22">
      <c r="A4183" t="str">
        <f t="shared" si="520"/>
        <v>NDE-8503-RT</v>
      </c>
      <c r="B4183" s="403" t="s">
        <v>1410</v>
      </c>
      <c r="C4183" s="403" t="s">
        <v>582</v>
      </c>
      <c r="D4183" s="403" t="s">
        <v>1414</v>
      </c>
      <c r="E4183" s="403" t="s">
        <v>1413</v>
      </c>
      <c r="F4183" s="403" t="s">
        <v>1385</v>
      </c>
      <c r="G4183" s="403" t="s">
        <v>1466</v>
      </c>
      <c r="H4183" s="403" t="s">
        <v>1281</v>
      </c>
      <c r="I4183" s="403">
        <v>1</v>
      </c>
      <c r="J4183" s="403" t="s">
        <v>1376</v>
      </c>
      <c r="K4183" s="403">
        <v>3072</v>
      </c>
      <c r="L4183" s="403">
        <v>1728</v>
      </c>
      <c r="M4183" s="403" t="s">
        <v>1279</v>
      </c>
      <c r="N4183" s="403">
        <v>768</v>
      </c>
      <c r="O4183" s="403">
        <v>432</v>
      </c>
      <c r="P4183" t="str">
        <f t="shared" si="521"/>
        <v>25fps 3072x1728 - SD ROI PTZ</v>
      </c>
      <c r="Q4183">
        <f t="shared" si="522"/>
        <v>20</v>
      </c>
      <c r="R4183" t="str">
        <f t="shared" si="523"/>
        <v/>
      </c>
      <c r="S4183" t="str">
        <f t="shared" si="524"/>
        <v/>
      </c>
      <c r="T4183" s="403" t="str">
        <f t="shared" si="525"/>
        <v>NDE-8503-RT</v>
      </c>
      <c r="U4183" s="403">
        <f t="shared" si="526"/>
        <v>1</v>
      </c>
      <c r="V4183" s="403" t="str">
        <f t="shared" si="527"/>
        <v>CPP_7_3</v>
      </c>
    </row>
    <row r="4184" spans="1:22">
      <c r="A4184" t="str">
        <f t="shared" si="520"/>
        <v>NDE-8503-RT</v>
      </c>
      <c r="B4184" s="403" t="s">
        <v>1410</v>
      </c>
      <c r="C4184" s="403" t="s">
        <v>582</v>
      </c>
      <c r="D4184" s="403" t="s">
        <v>1414</v>
      </c>
      <c r="E4184" s="403" t="s">
        <v>1413</v>
      </c>
      <c r="F4184" s="403" t="s">
        <v>1385</v>
      </c>
      <c r="G4184" s="403" t="s">
        <v>1466</v>
      </c>
      <c r="H4184" s="403" t="s">
        <v>1281</v>
      </c>
      <c r="I4184" s="403">
        <v>1</v>
      </c>
      <c r="J4184" s="403" t="s">
        <v>1376</v>
      </c>
      <c r="K4184" s="403">
        <v>3072</v>
      </c>
      <c r="L4184" s="403">
        <v>1728</v>
      </c>
      <c r="M4184" s="403" t="s">
        <v>1284</v>
      </c>
      <c r="N4184" s="403">
        <v>640</v>
      </c>
      <c r="O4184" s="403">
        <v>480</v>
      </c>
      <c r="P4184" t="str">
        <f t="shared" si="521"/>
        <v>25fps 3072x1728 - SD VGA (cropped)</v>
      </c>
      <c r="Q4184">
        <f t="shared" si="522"/>
        <v>20</v>
      </c>
      <c r="R4184" t="str">
        <f t="shared" si="523"/>
        <v/>
      </c>
      <c r="S4184" t="str">
        <f t="shared" si="524"/>
        <v/>
      </c>
      <c r="T4184" s="403" t="str">
        <f t="shared" si="525"/>
        <v>NDE-8503-RT</v>
      </c>
      <c r="U4184" s="403">
        <f t="shared" si="526"/>
        <v>1</v>
      </c>
      <c r="V4184" s="403" t="str">
        <f t="shared" si="527"/>
        <v>CPP_7_3</v>
      </c>
    </row>
    <row r="4185" spans="1:22">
      <c r="A4185" t="str">
        <f t="shared" si="520"/>
        <v>NDE-8503-RT</v>
      </c>
      <c r="B4185" s="403" t="s">
        <v>1410</v>
      </c>
      <c r="C4185" s="403" t="s">
        <v>582</v>
      </c>
      <c r="D4185" s="403" t="s">
        <v>1414</v>
      </c>
      <c r="E4185" s="403" t="s">
        <v>1413</v>
      </c>
      <c r="F4185" s="403" t="s">
        <v>1385</v>
      </c>
      <c r="G4185" s="403" t="s">
        <v>1466</v>
      </c>
      <c r="H4185" s="403" t="s">
        <v>1281</v>
      </c>
      <c r="I4185" s="403">
        <v>1</v>
      </c>
      <c r="J4185" s="403" t="s">
        <v>1376</v>
      </c>
      <c r="K4185" s="403">
        <v>3072</v>
      </c>
      <c r="L4185" s="403">
        <v>1728</v>
      </c>
      <c r="M4185" s="403" t="s">
        <v>1285</v>
      </c>
      <c r="N4185" s="403">
        <v>1280</v>
      </c>
      <c r="O4185" s="403">
        <v>1024</v>
      </c>
      <c r="P4185" t="str">
        <f t="shared" si="521"/>
        <v>25fps 3072x1728 - 1280x1024 5:4 (cropped)</v>
      </c>
      <c r="Q4185">
        <f t="shared" si="522"/>
        <v>20</v>
      </c>
      <c r="R4185" t="str">
        <f t="shared" si="523"/>
        <v/>
      </c>
      <c r="S4185" t="str">
        <f t="shared" si="524"/>
        <v/>
      </c>
      <c r="T4185" s="403" t="str">
        <f t="shared" si="525"/>
        <v>NDE-8503-RT</v>
      </c>
      <c r="U4185" s="403">
        <f t="shared" si="526"/>
        <v>1</v>
      </c>
      <c r="V4185" s="403" t="str">
        <f t="shared" si="527"/>
        <v>CPP_7_3</v>
      </c>
    </row>
    <row r="4186" spans="1:22">
      <c r="A4186" t="str">
        <f t="shared" si="520"/>
        <v>NDE-8503-RT</v>
      </c>
      <c r="B4186" s="403" t="s">
        <v>1410</v>
      </c>
      <c r="C4186" s="403" t="s">
        <v>582</v>
      </c>
      <c r="D4186" s="403" t="s">
        <v>1414</v>
      </c>
      <c r="E4186" s="403" t="s">
        <v>1413</v>
      </c>
      <c r="F4186" s="403" t="s">
        <v>1385</v>
      </c>
      <c r="G4186" s="403" t="s">
        <v>1466</v>
      </c>
      <c r="H4186" s="403" t="s">
        <v>1281</v>
      </c>
      <c r="I4186" s="403">
        <v>1</v>
      </c>
      <c r="J4186" s="403" t="s">
        <v>1376</v>
      </c>
      <c r="K4186" s="403">
        <v>3072</v>
      </c>
      <c r="L4186" s="403">
        <v>1728</v>
      </c>
      <c r="M4186" s="403" t="s">
        <v>1383</v>
      </c>
      <c r="N4186" s="403">
        <v>1920</v>
      </c>
      <c r="O4186" s="403">
        <v>1440</v>
      </c>
      <c r="P4186" t="str">
        <f t="shared" si="521"/>
        <v>25fps 3072x1728 - 1920x1440_CROP</v>
      </c>
      <c r="Q4186">
        <f t="shared" si="522"/>
        <v>20</v>
      </c>
      <c r="R4186" t="str">
        <f t="shared" si="523"/>
        <v/>
      </c>
      <c r="S4186" t="str">
        <f t="shared" si="524"/>
        <v/>
      </c>
      <c r="T4186" s="403" t="str">
        <f t="shared" si="525"/>
        <v>NDE-8503-RT</v>
      </c>
      <c r="U4186" s="403">
        <f t="shared" si="526"/>
        <v>1</v>
      </c>
      <c r="V4186" s="403" t="str">
        <f t="shared" si="527"/>
        <v>CPP_7_3</v>
      </c>
    </row>
    <row r="4187" spans="1:22">
      <c r="A4187" t="str">
        <f t="shared" si="520"/>
        <v>NDE-8503-RT</v>
      </c>
      <c r="B4187" s="403" t="s">
        <v>1410</v>
      </c>
      <c r="C4187" s="403" t="s">
        <v>582</v>
      </c>
      <c r="D4187" s="403" t="s">
        <v>1414</v>
      </c>
      <c r="E4187" s="403" t="s">
        <v>1413</v>
      </c>
      <c r="F4187" s="403" t="s">
        <v>1385</v>
      </c>
      <c r="G4187" s="403" t="s">
        <v>1466</v>
      </c>
      <c r="H4187" s="403" t="s">
        <v>1281</v>
      </c>
      <c r="I4187" s="403">
        <v>1</v>
      </c>
      <c r="J4187" s="403" t="s">
        <v>1373</v>
      </c>
      <c r="K4187" s="403">
        <v>2688</v>
      </c>
      <c r="L4187" s="403">
        <v>1512</v>
      </c>
      <c r="M4187" s="403" t="s">
        <v>110</v>
      </c>
      <c r="N4187" s="403">
        <v>1920</v>
      </c>
      <c r="O4187" s="403">
        <v>1080</v>
      </c>
      <c r="P4187" t="str">
        <f t="shared" si="521"/>
        <v>25fps 2688x1512 - 1080p</v>
      </c>
      <c r="Q4187">
        <f t="shared" si="522"/>
        <v>20</v>
      </c>
      <c r="R4187" t="str">
        <f t="shared" si="523"/>
        <v/>
      </c>
      <c r="S4187" t="str">
        <f t="shared" si="524"/>
        <v/>
      </c>
      <c r="T4187" s="403" t="str">
        <f t="shared" si="525"/>
        <v>NDE-8503-RT</v>
      </c>
      <c r="U4187" s="403">
        <f t="shared" si="526"/>
        <v>1</v>
      </c>
      <c r="V4187" s="403" t="str">
        <f t="shared" si="527"/>
        <v>CPP_7_3</v>
      </c>
    </row>
    <row r="4188" spans="1:22">
      <c r="A4188" t="str">
        <f t="shared" si="520"/>
        <v>NDE-8503-RT</v>
      </c>
      <c r="B4188" s="403" t="s">
        <v>1410</v>
      </c>
      <c r="C4188" s="403" t="s">
        <v>582</v>
      </c>
      <c r="D4188" s="403" t="s">
        <v>1414</v>
      </c>
      <c r="E4188" s="403" t="s">
        <v>1413</v>
      </c>
      <c r="F4188" s="403" t="s">
        <v>1385</v>
      </c>
      <c r="G4188" s="403" t="s">
        <v>1466</v>
      </c>
      <c r="H4188" s="403" t="s">
        <v>1281</v>
      </c>
      <c r="I4188" s="403">
        <v>1</v>
      </c>
      <c r="J4188" s="403" t="s">
        <v>1373</v>
      </c>
      <c r="K4188" s="403">
        <v>2688</v>
      </c>
      <c r="L4188" s="403">
        <v>1512</v>
      </c>
      <c r="M4188" s="403" t="s">
        <v>1384</v>
      </c>
      <c r="N4188" s="403">
        <v>2688</v>
      </c>
      <c r="O4188" s="403">
        <v>1512</v>
      </c>
      <c r="P4188" t="str">
        <f t="shared" si="521"/>
        <v>25fps 2688x1512 - 2688x1512 @ SKIP 2</v>
      </c>
      <c r="Q4188">
        <f t="shared" si="522"/>
        <v>20</v>
      </c>
      <c r="R4188" t="str">
        <f t="shared" si="523"/>
        <v/>
      </c>
      <c r="S4188" t="str">
        <f t="shared" si="524"/>
        <v/>
      </c>
      <c r="T4188" s="403" t="str">
        <f t="shared" si="525"/>
        <v>NDE-8503-RT</v>
      </c>
      <c r="U4188" s="403">
        <f t="shared" si="526"/>
        <v>1</v>
      </c>
      <c r="V4188" s="403" t="str">
        <f t="shared" si="527"/>
        <v>CPP_7_3</v>
      </c>
    </row>
    <row r="4189" spans="1:22">
      <c r="A4189" t="str">
        <f t="shared" si="520"/>
        <v>NDE-8503-RT</v>
      </c>
      <c r="B4189" s="403" t="s">
        <v>1410</v>
      </c>
      <c r="C4189" s="403" t="s">
        <v>582</v>
      </c>
      <c r="D4189" s="403" t="s">
        <v>1414</v>
      </c>
      <c r="E4189" s="403" t="s">
        <v>1413</v>
      </c>
      <c r="F4189" s="403" t="s">
        <v>1385</v>
      </c>
      <c r="G4189" s="403" t="s">
        <v>1466</v>
      </c>
      <c r="H4189" s="403" t="s">
        <v>1281</v>
      </c>
      <c r="I4189" s="403">
        <v>1</v>
      </c>
      <c r="J4189" s="403" t="s">
        <v>1373</v>
      </c>
      <c r="K4189" s="403">
        <v>2688</v>
      </c>
      <c r="L4189" s="403">
        <v>1512</v>
      </c>
      <c r="M4189" s="403" t="s">
        <v>109</v>
      </c>
      <c r="N4189" s="403">
        <v>1280</v>
      </c>
      <c r="O4189" s="403">
        <v>720</v>
      </c>
      <c r="P4189" t="str">
        <f t="shared" si="521"/>
        <v>25fps 2688x1512 - 720p</v>
      </c>
      <c r="Q4189">
        <f t="shared" si="522"/>
        <v>20</v>
      </c>
      <c r="R4189" t="str">
        <f t="shared" si="523"/>
        <v/>
      </c>
      <c r="S4189" t="str">
        <f t="shared" si="524"/>
        <v/>
      </c>
      <c r="T4189" s="403" t="str">
        <f t="shared" si="525"/>
        <v>NDE-8503-RT</v>
      </c>
      <c r="U4189" s="403">
        <f t="shared" si="526"/>
        <v>1</v>
      </c>
      <c r="V4189" s="403" t="str">
        <f t="shared" si="527"/>
        <v>CPP_7_3</v>
      </c>
    </row>
    <row r="4190" spans="1:22">
      <c r="A4190" t="str">
        <f t="shared" si="520"/>
        <v>NDE-8503-RT</v>
      </c>
      <c r="B4190" s="403" t="s">
        <v>1410</v>
      </c>
      <c r="C4190" s="403" t="s">
        <v>582</v>
      </c>
      <c r="D4190" s="403" t="s">
        <v>1414</v>
      </c>
      <c r="E4190" s="403" t="s">
        <v>1413</v>
      </c>
      <c r="F4190" s="403" t="s">
        <v>1385</v>
      </c>
      <c r="G4190" s="403" t="s">
        <v>1466</v>
      </c>
      <c r="H4190" s="403" t="s">
        <v>1281</v>
      </c>
      <c r="I4190" s="403">
        <v>1</v>
      </c>
      <c r="J4190" s="403" t="s">
        <v>1373</v>
      </c>
      <c r="K4190" s="403">
        <v>2688</v>
      </c>
      <c r="L4190" s="403">
        <v>1512</v>
      </c>
      <c r="M4190" s="403" t="s">
        <v>111</v>
      </c>
      <c r="N4190" s="403">
        <v>768</v>
      </c>
      <c r="O4190" s="403">
        <v>432</v>
      </c>
      <c r="P4190" t="str">
        <f t="shared" si="521"/>
        <v>25fps 2688x1512 - SD</v>
      </c>
      <c r="Q4190">
        <f t="shared" si="522"/>
        <v>20</v>
      </c>
      <c r="R4190" t="str">
        <f t="shared" si="523"/>
        <v/>
      </c>
      <c r="S4190" t="str">
        <f t="shared" si="524"/>
        <v/>
      </c>
      <c r="T4190" s="403" t="str">
        <f t="shared" si="525"/>
        <v>NDE-8503-RT</v>
      </c>
      <c r="U4190" s="403">
        <f t="shared" si="526"/>
        <v>1</v>
      </c>
      <c r="V4190" s="403" t="str">
        <f t="shared" si="527"/>
        <v>CPP_7_3</v>
      </c>
    </row>
    <row r="4191" spans="1:22">
      <c r="A4191" t="str">
        <f t="shared" si="520"/>
        <v>NDE-8503-RT</v>
      </c>
      <c r="B4191" s="403" t="s">
        <v>1410</v>
      </c>
      <c r="C4191" s="403" t="s">
        <v>582</v>
      </c>
      <c r="D4191" s="403" t="s">
        <v>1414</v>
      </c>
      <c r="E4191" s="403" t="s">
        <v>1413</v>
      </c>
      <c r="F4191" s="403" t="s">
        <v>1385</v>
      </c>
      <c r="G4191" s="403" t="s">
        <v>1466</v>
      </c>
      <c r="H4191" s="403" t="s">
        <v>1281</v>
      </c>
      <c r="I4191" s="403">
        <v>1</v>
      </c>
      <c r="J4191" s="403" t="s">
        <v>1373</v>
      </c>
      <c r="K4191" s="403">
        <v>2688</v>
      </c>
      <c r="L4191" s="403">
        <v>1512</v>
      </c>
      <c r="M4191" s="403" t="s">
        <v>1279</v>
      </c>
      <c r="N4191" s="403">
        <v>768</v>
      </c>
      <c r="O4191" s="403">
        <v>432</v>
      </c>
      <c r="P4191" t="str">
        <f t="shared" si="521"/>
        <v>25fps 2688x1512 - SD ROI PTZ</v>
      </c>
      <c r="Q4191">
        <f t="shared" si="522"/>
        <v>20</v>
      </c>
      <c r="R4191" t="str">
        <f t="shared" si="523"/>
        <v/>
      </c>
      <c r="S4191" t="str">
        <f t="shared" si="524"/>
        <v/>
      </c>
      <c r="T4191" s="403" t="str">
        <f t="shared" si="525"/>
        <v>NDE-8503-RT</v>
      </c>
      <c r="U4191" s="403">
        <f t="shared" si="526"/>
        <v>1</v>
      </c>
      <c r="V4191" s="403" t="str">
        <f t="shared" si="527"/>
        <v>CPP_7_3</v>
      </c>
    </row>
    <row r="4192" spans="1:22">
      <c r="A4192" t="str">
        <f t="shared" si="520"/>
        <v>NDE-8503-RT</v>
      </c>
      <c r="B4192" s="403" t="s">
        <v>1410</v>
      </c>
      <c r="C4192" s="403" t="s">
        <v>582</v>
      </c>
      <c r="D4192" s="403" t="s">
        <v>1414</v>
      </c>
      <c r="E4192" s="403" t="s">
        <v>1413</v>
      </c>
      <c r="F4192" s="403" t="s">
        <v>1385</v>
      </c>
      <c r="G4192" s="403" t="s">
        <v>1466</v>
      </c>
      <c r="H4192" s="403" t="s">
        <v>1281</v>
      </c>
      <c r="I4192" s="403">
        <v>1</v>
      </c>
      <c r="J4192" s="403" t="s">
        <v>1373</v>
      </c>
      <c r="K4192" s="403">
        <v>2688</v>
      </c>
      <c r="L4192" s="403">
        <v>1512</v>
      </c>
      <c r="M4192" s="403" t="s">
        <v>1285</v>
      </c>
      <c r="N4192" s="403">
        <v>1280</v>
      </c>
      <c r="O4192" s="403">
        <v>1024</v>
      </c>
      <c r="P4192" t="str">
        <f t="shared" si="521"/>
        <v>25fps 2688x1512 - 1280x1024 5:4 (cropped)</v>
      </c>
      <c r="Q4192">
        <f t="shared" si="522"/>
        <v>20</v>
      </c>
      <c r="R4192" t="str">
        <f t="shared" si="523"/>
        <v/>
      </c>
      <c r="S4192" t="str">
        <f t="shared" si="524"/>
        <v/>
      </c>
      <c r="T4192" s="403" t="str">
        <f t="shared" si="525"/>
        <v>NDE-8503-RT</v>
      </c>
      <c r="U4192" s="403">
        <f t="shared" si="526"/>
        <v>1</v>
      </c>
      <c r="V4192" s="403" t="str">
        <f t="shared" si="527"/>
        <v>CPP_7_3</v>
      </c>
    </row>
    <row r="4193" spans="1:22">
      <c r="A4193" t="str">
        <f t="shared" si="520"/>
        <v>NDE-8503-RT</v>
      </c>
      <c r="B4193" s="403" t="s">
        <v>1410</v>
      </c>
      <c r="C4193" s="403" t="s">
        <v>582</v>
      </c>
      <c r="D4193" s="403" t="s">
        <v>1414</v>
      </c>
      <c r="E4193" s="403" t="s">
        <v>1413</v>
      </c>
      <c r="F4193" s="403" t="s">
        <v>1385</v>
      </c>
      <c r="G4193" s="403" t="s">
        <v>1466</v>
      </c>
      <c r="H4193" s="403" t="s">
        <v>1281</v>
      </c>
      <c r="I4193" s="403">
        <v>1</v>
      </c>
      <c r="J4193" s="403" t="s">
        <v>1373</v>
      </c>
      <c r="K4193" s="403">
        <v>2688</v>
      </c>
      <c r="L4193" s="403">
        <v>1512</v>
      </c>
      <c r="M4193" s="403" t="s">
        <v>1283</v>
      </c>
      <c r="N4193" s="403">
        <v>720</v>
      </c>
      <c r="O4193" s="403">
        <v>576</v>
      </c>
      <c r="P4193" t="str">
        <f t="shared" si="521"/>
        <v>25fps 2688x1512 - SD 4CIF resolution 4:3 format (cropped)</v>
      </c>
      <c r="Q4193">
        <f t="shared" si="522"/>
        <v>20</v>
      </c>
      <c r="R4193" t="str">
        <f t="shared" si="523"/>
        <v/>
      </c>
      <c r="S4193" t="str">
        <f t="shared" si="524"/>
        <v/>
      </c>
      <c r="T4193" s="403" t="str">
        <f t="shared" si="525"/>
        <v>NDE-8503-RT</v>
      </c>
      <c r="U4193" s="403">
        <f t="shared" si="526"/>
        <v>1</v>
      </c>
      <c r="V4193" s="403" t="str">
        <f t="shared" si="527"/>
        <v>CPP_7_3</v>
      </c>
    </row>
    <row r="4194" spans="1:22">
      <c r="A4194" t="str">
        <f t="shared" si="520"/>
        <v>NDE-8503-RT</v>
      </c>
      <c r="B4194" s="403" t="s">
        <v>1410</v>
      </c>
      <c r="C4194" s="403" t="s">
        <v>582</v>
      </c>
      <c r="D4194" s="403" t="s">
        <v>1414</v>
      </c>
      <c r="E4194" s="403" t="s">
        <v>1413</v>
      </c>
      <c r="F4194" s="403" t="s">
        <v>1385</v>
      </c>
      <c r="G4194" s="403" t="s">
        <v>1466</v>
      </c>
      <c r="H4194" s="403" t="s">
        <v>1281</v>
      </c>
      <c r="I4194" s="403">
        <v>1</v>
      </c>
      <c r="J4194" s="403" t="s">
        <v>1373</v>
      </c>
      <c r="K4194" s="403">
        <v>2688</v>
      </c>
      <c r="L4194" s="403">
        <v>1512</v>
      </c>
      <c r="M4194" s="403" t="s">
        <v>1284</v>
      </c>
      <c r="N4194" s="403">
        <v>640</v>
      </c>
      <c r="O4194" s="403">
        <v>480</v>
      </c>
      <c r="P4194" t="str">
        <f t="shared" si="521"/>
        <v>25fps 2688x1512 - SD VGA (cropped)</v>
      </c>
      <c r="Q4194">
        <f t="shared" si="522"/>
        <v>20</v>
      </c>
      <c r="R4194" t="str">
        <f t="shared" si="523"/>
        <v/>
      </c>
      <c r="S4194" t="str">
        <f t="shared" si="524"/>
        <v/>
      </c>
      <c r="T4194" s="403" t="str">
        <f t="shared" si="525"/>
        <v>NDE-8503-RT</v>
      </c>
      <c r="U4194" s="403">
        <f t="shared" si="526"/>
        <v>1</v>
      </c>
      <c r="V4194" s="403" t="str">
        <f t="shared" si="527"/>
        <v>CPP_7_3</v>
      </c>
    </row>
    <row r="4195" spans="1:22">
      <c r="A4195" t="str">
        <f t="shared" si="520"/>
        <v>NDE-8503-RT</v>
      </c>
      <c r="B4195" s="403" t="s">
        <v>1410</v>
      </c>
      <c r="C4195" s="403" t="s">
        <v>582</v>
      </c>
      <c r="D4195" s="403" t="s">
        <v>1414</v>
      </c>
      <c r="E4195" s="403" t="s">
        <v>1413</v>
      </c>
      <c r="F4195" s="403" t="s">
        <v>1385</v>
      </c>
      <c r="G4195" s="403" t="s">
        <v>1466</v>
      </c>
      <c r="H4195" s="403" t="s">
        <v>1281</v>
      </c>
      <c r="I4195" s="403">
        <v>1</v>
      </c>
      <c r="J4195" s="403" t="s">
        <v>1373</v>
      </c>
      <c r="K4195" s="403">
        <v>2688</v>
      </c>
      <c r="L4195" s="403">
        <v>1512</v>
      </c>
      <c r="M4195" s="403" t="s">
        <v>1280</v>
      </c>
      <c r="N4195" s="403">
        <v>2688</v>
      </c>
      <c r="O4195" s="403">
        <v>1512</v>
      </c>
      <c r="P4195" t="str">
        <f t="shared" si="521"/>
        <v>25fps 2688x1512 - copy other stream</v>
      </c>
      <c r="Q4195">
        <f t="shared" si="522"/>
        <v>20</v>
      </c>
      <c r="R4195" t="str">
        <f t="shared" si="523"/>
        <v/>
      </c>
      <c r="S4195" t="str">
        <f t="shared" si="524"/>
        <v/>
      </c>
      <c r="T4195" s="403" t="str">
        <f t="shared" si="525"/>
        <v>NDE-8503-RT</v>
      </c>
      <c r="U4195" s="403">
        <f t="shared" si="526"/>
        <v>1</v>
      </c>
      <c r="V4195" s="403" t="str">
        <f t="shared" si="527"/>
        <v>CPP_7_3</v>
      </c>
    </row>
    <row r="4196" spans="1:22">
      <c r="A4196" t="str">
        <f t="shared" si="520"/>
        <v>NDE-8503-RT</v>
      </c>
      <c r="B4196" s="403" t="s">
        <v>1410</v>
      </c>
      <c r="C4196" s="403" t="s">
        <v>582</v>
      </c>
      <c r="D4196" s="403" t="s">
        <v>1414</v>
      </c>
      <c r="E4196" s="403" t="s">
        <v>1413</v>
      </c>
      <c r="F4196" s="403" t="s">
        <v>1385</v>
      </c>
      <c r="G4196" s="403" t="s">
        <v>1466</v>
      </c>
      <c r="H4196" s="403" t="s">
        <v>1281</v>
      </c>
      <c r="I4196" s="403">
        <v>1</v>
      </c>
      <c r="J4196" s="403" t="s">
        <v>1374</v>
      </c>
      <c r="K4196" s="403">
        <v>2304</v>
      </c>
      <c r="L4196" s="403">
        <v>1296</v>
      </c>
      <c r="M4196" s="403" t="s">
        <v>110</v>
      </c>
      <c r="N4196" s="403">
        <v>1920</v>
      </c>
      <c r="O4196" s="403">
        <v>1080</v>
      </c>
      <c r="P4196" t="str">
        <f t="shared" si="521"/>
        <v>25fps 2304x1296 - 1080p</v>
      </c>
      <c r="Q4196">
        <f t="shared" si="522"/>
        <v>20</v>
      </c>
      <c r="R4196" t="str">
        <f t="shared" si="523"/>
        <v/>
      </c>
      <c r="S4196" t="str">
        <f t="shared" si="524"/>
        <v/>
      </c>
      <c r="T4196" s="403" t="str">
        <f t="shared" si="525"/>
        <v>NDE-8503-RT</v>
      </c>
      <c r="U4196" s="403">
        <f t="shared" si="526"/>
        <v>1</v>
      </c>
      <c r="V4196" s="403" t="str">
        <f t="shared" si="527"/>
        <v>CPP_7_3</v>
      </c>
    </row>
    <row r="4197" spans="1:22">
      <c r="A4197" t="str">
        <f t="shared" si="520"/>
        <v>NDE-8503-RT</v>
      </c>
      <c r="B4197" s="403" t="s">
        <v>1410</v>
      </c>
      <c r="C4197" s="403" t="s">
        <v>582</v>
      </c>
      <c r="D4197" s="403" t="s">
        <v>1414</v>
      </c>
      <c r="E4197" s="403" t="s">
        <v>1413</v>
      </c>
      <c r="F4197" s="403" t="s">
        <v>1385</v>
      </c>
      <c r="G4197" s="403" t="s">
        <v>1466</v>
      </c>
      <c r="H4197" s="403" t="s">
        <v>1281</v>
      </c>
      <c r="I4197" s="403">
        <v>1</v>
      </c>
      <c r="J4197" s="403" t="s">
        <v>1374</v>
      </c>
      <c r="K4197" s="403">
        <v>2304</v>
      </c>
      <c r="L4197" s="403">
        <v>1296</v>
      </c>
      <c r="M4197" s="403" t="s">
        <v>1374</v>
      </c>
      <c r="N4197" s="403">
        <v>2304</v>
      </c>
      <c r="O4197" s="403">
        <v>1296</v>
      </c>
      <c r="P4197" t="str">
        <f t="shared" si="521"/>
        <v>25fps 2304x1296 - 2304x1296</v>
      </c>
      <c r="Q4197">
        <f t="shared" si="522"/>
        <v>20</v>
      </c>
      <c r="R4197" t="str">
        <f t="shared" si="523"/>
        <v/>
      </c>
      <c r="S4197" t="str">
        <f t="shared" si="524"/>
        <v/>
      </c>
      <c r="T4197" s="403" t="str">
        <f t="shared" si="525"/>
        <v>NDE-8503-RT</v>
      </c>
      <c r="U4197" s="403">
        <f t="shared" si="526"/>
        <v>1</v>
      </c>
      <c r="V4197" s="403" t="str">
        <f t="shared" si="527"/>
        <v>CPP_7_3</v>
      </c>
    </row>
    <row r="4198" spans="1:22">
      <c r="A4198" t="str">
        <f t="shared" si="520"/>
        <v>NDE-8503-RT</v>
      </c>
      <c r="B4198" s="403" t="s">
        <v>1410</v>
      </c>
      <c r="C4198" s="403" t="s">
        <v>582</v>
      </c>
      <c r="D4198" s="403" t="s">
        <v>1414</v>
      </c>
      <c r="E4198" s="403" t="s">
        <v>1413</v>
      </c>
      <c r="F4198" s="403" t="s">
        <v>1385</v>
      </c>
      <c r="G4198" s="403" t="s">
        <v>1466</v>
      </c>
      <c r="H4198" s="403" t="s">
        <v>1281</v>
      </c>
      <c r="I4198" s="403">
        <v>1</v>
      </c>
      <c r="J4198" s="403" t="s">
        <v>1374</v>
      </c>
      <c r="K4198" s="403">
        <v>2304</v>
      </c>
      <c r="L4198" s="403">
        <v>1296</v>
      </c>
      <c r="M4198" s="403" t="s">
        <v>109</v>
      </c>
      <c r="N4198" s="403">
        <v>1280</v>
      </c>
      <c r="O4198" s="403">
        <v>720</v>
      </c>
      <c r="P4198" t="str">
        <f t="shared" si="521"/>
        <v>25fps 2304x1296 - 720p</v>
      </c>
      <c r="Q4198">
        <f t="shared" si="522"/>
        <v>20</v>
      </c>
      <c r="R4198" t="str">
        <f t="shared" si="523"/>
        <v/>
      </c>
      <c r="S4198" t="str">
        <f t="shared" si="524"/>
        <v/>
      </c>
      <c r="T4198" s="403" t="str">
        <f t="shared" si="525"/>
        <v>NDE-8503-RT</v>
      </c>
      <c r="U4198" s="403">
        <f t="shared" si="526"/>
        <v>1</v>
      </c>
      <c r="V4198" s="403" t="str">
        <f t="shared" si="527"/>
        <v>CPP_7_3</v>
      </c>
    </row>
    <row r="4199" spans="1:22">
      <c r="A4199" t="str">
        <f t="shared" si="520"/>
        <v>NDE-8503-RT</v>
      </c>
      <c r="B4199" s="403" t="s">
        <v>1410</v>
      </c>
      <c r="C4199" s="403" t="s">
        <v>582</v>
      </c>
      <c r="D4199" s="403" t="s">
        <v>1414</v>
      </c>
      <c r="E4199" s="403" t="s">
        <v>1413</v>
      </c>
      <c r="F4199" s="403" t="s">
        <v>1385</v>
      </c>
      <c r="G4199" s="403" t="s">
        <v>1466</v>
      </c>
      <c r="H4199" s="403" t="s">
        <v>1281</v>
      </c>
      <c r="I4199" s="403">
        <v>1</v>
      </c>
      <c r="J4199" s="403" t="s">
        <v>1374</v>
      </c>
      <c r="K4199" s="403">
        <v>2304</v>
      </c>
      <c r="L4199" s="403">
        <v>1296</v>
      </c>
      <c r="M4199" s="403" t="s">
        <v>111</v>
      </c>
      <c r="N4199" s="403">
        <v>768</v>
      </c>
      <c r="O4199" s="403">
        <v>432</v>
      </c>
      <c r="P4199" t="str">
        <f t="shared" si="521"/>
        <v>25fps 2304x1296 - SD</v>
      </c>
      <c r="Q4199">
        <f t="shared" si="522"/>
        <v>20</v>
      </c>
      <c r="R4199" t="str">
        <f t="shared" si="523"/>
        <v/>
      </c>
      <c r="S4199" t="str">
        <f t="shared" si="524"/>
        <v/>
      </c>
      <c r="T4199" s="403" t="str">
        <f t="shared" si="525"/>
        <v>NDE-8503-RT</v>
      </c>
      <c r="U4199" s="403">
        <f t="shared" si="526"/>
        <v>1</v>
      </c>
      <c r="V4199" s="403" t="str">
        <f t="shared" si="527"/>
        <v>CPP_7_3</v>
      </c>
    </row>
    <row r="4200" spans="1:22">
      <c r="A4200" t="str">
        <f t="shared" si="520"/>
        <v>NDE-8503-RT</v>
      </c>
      <c r="B4200" s="403" t="s">
        <v>1410</v>
      </c>
      <c r="C4200" s="403" t="s">
        <v>582</v>
      </c>
      <c r="D4200" s="403" t="s">
        <v>1414</v>
      </c>
      <c r="E4200" s="403" t="s">
        <v>1413</v>
      </c>
      <c r="F4200" s="403" t="s">
        <v>1385</v>
      </c>
      <c r="G4200" s="403" t="s">
        <v>1466</v>
      </c>
      <c r="H4200" s="403" t="s">
        <v>1281</v>
      </c>
      <c r="I4200" s="403">
        <v>1</v>
      </c>
      <c r="J4200" s="403" t="s">
        <v>1374</v>
      </c>
      <c r="K4200" s="403">
        <v>2304</v>
      </c>
      <c r="L4200" s="403">
        <v>1296</v>
      </c>
      <c r="M4200" s="403" t="s">
        <v>1279</v>
      </c>
      <c r="N4200" s="403">
        <v>768</v>
      </c>
      <c r="O4200" s="403">
        <v>432</v>
      </c>
      <c r="P4200" t="str">
        <f t="shared" si="521"/>
        <v>25fps 2304x1296 - SD ROI PTZ</v>
      </c>
      <c r="Q4200">
        <f t="shared" si="522"/>
        <v>20</v>
      </c>
      <c r="R4200" t="str">
        <f t="shared" si="523"/>
        <v/>
      </c>
      <c r="S4200" t="str">
        <f t="shared" si="524"/>
        <v/>
      </c>
      <c r="T4200" s="403" t="str">
        <f t="shared" si="525"/>
        <v>NDE-8503-RT</v>
      </c>
      <c r="U4200" s="403">
        <f t="shared" si="526"/>
        <v>1</v>
      </c>
      <c r="V4200" s="403" t="str">
        <f t="shared" si="527"/>
        <v>CPP_7_3</v>
      </c>
    </row>
    <row r="4201" spans="1:22">
      <c r="A4201" t="str">
        <f t="shared" si="520"/>
        <v>NDE-8503-RT</v>
      </c>
      <c r="B4201" s="403" t="s">
        <v>1410</v>
      </c>
      <c r="C4201" s="403" t="s">
        <v>582</v>
      </c>
      <c r="D4201" s="403" t="s">
        <v>1414</v>
      </c>
      <c r="E4201" s="403" t="s">
        <v>1413</v>
      </c>
      <c r="F4201" s="403" t="s">
        <v>1385</v>
      </c>
      <c r="G4201" s="403" t="s">
        <v>1466</v>
      </c>
      <c r="H4201" s="403" t="s">
        <v>1281</v>
      </c>
      <c r="I4201" s="403">
        <v>1</v>
      </c>
      <c r="J4201" s="403" t="s">
        <v>1374</v>
      </c>
      <c r="K4201" s="403">
        <v>2304</v>
      </c>
      <c r="L4201" s="403">
        <v>1296</v>
      </c>
      <c r="M4201" s="403" t="s">
        <v>1285</v>
      </c>
      <c r="N4201" s="403">
        <v>1280</v>
      </c>
      <c r="O4201" s="403">
        <v>1024</v>
      </c>
      <c r="P4201" t="str">
        <f t="shared" si="521"/>
        <v>25fps 2304x1296 - 1280x1024 5:4 (cropped)</v>
      </c>
      <c r="Q4201">
        <f t="shared" si="522"/>
        <v>20</v>
      </c>
      <c r="R4201" t="str">
        <f t="shared" si="523"/>
        <v/>
      </c>
      <c r="S4201" t="str">
        <f t="shared" si="524"/>
        <v/>
      </c>
      <c r="T4201" s="403" t="str">
        <f t="shared" si="525"/>
        <v>NDE-8503-RT</v>
      </c>
      <c r="U4201" s="403">
        <f t="shared" si="526"/>
        <v>1</v>
      </c>
      <c r="V4201" s="403" t="str">
        <f t="shared" si="527"/>
        <v>CPP_7_3</v>
      </c>
    </row>
    <row r="4202" spans="1:22">
      <c r="A4202" t="str">
        <f t="shared" si="520"/>
        <v>NDE-8503-RT</v>
      </c>
      <c r="B4202" s="403" t="s">
        <v>1410</v>
      </c>
      <c r="C4202" s="403" t="s">
        <v>582</v>
      </c>
      <c r="D4202" s="403" t="s">
        <v>1414</v>
      </c>
      <c r="E4202" s="403" t="s">
        <v>1413</v>
      </c>
      <c r="F4202" s="403" t="s">
        <v>1385</v>
      </c>
      <c r="G4202" s="403" t="s">
        <v>1466</v>
      </c>
      <c r="H4202" s="403" t="s">
        <v>1281</v>
      </c>
      <c r="I4202" s="403">
        <v>1</v>
      </c>
      <c r="J4202" s="403" t="s">
        <v>1374</v>
      </c>
      <c r="K4202" s="403">
        <v>2304</v>
      </c>
      <c r="L4202" s="403">
        <v>1296</v>
      </c>
      <c r="M4202" s="403" t="s">
        <v>1283</v>
      </c>
      <c r="N4202" s="403">
        <v>720</v>
      </c>
      <c r="O4202" s="403">
        <v>576</v>
      </c>
      <c r="P4202" t="str">
        <f t="shared" si="521"/>
        <v>25fps 2304x1296 - SD 4CIF resolution 4:3 format (cropped)</v>
      </c>
      <c r="Q4202">
        <f t="shared" si="522"/>
        <v>20</v>
      </c>
      <c r="R4202" t="str">
        <f t="shared" si="523"/>
        <v/>
      </c>
      <c r="S4202" t="str">
        <f t="shared" si="524"/>
        <v/>
      </c>
      <c r="T4202" s="403" t="str">
        <f t="shared" si="525"/>
        <v>NDE-8503-RT</v>
      </c>
      <c r="U4202" s="403">
        <f t="shared" si="526"/>
        <v>1</v>
      </c>
      <c r="V4202" s="403" t="str">
        <f t="shared" si="527"/>
        <v>CPP_7_3</v>
      </c>
    </row>
    <row r="4203" spans="1:22">
      <c r="A4203" t="str">
        <f t="shared" si="520"/>
        <v>NDE-8503-RT</v>
      </c>
      <c r="B4203" s="403" t="s">
        <v>1410</v>
      </c>
      <c r="C4203" s="403" t="s">
        <v>582</v>
      </c>
      <c r="D4203" s="403" t="s">
        <v>1414</v>
      </c>
      <c r="E4203" s="403" t="s">
        <v>1413</v>
      </c>
      <c r="F4203" s="403" t="s">
        <v>1385</v>
      </c>
      <c r="G4203" s="403" t="s">
        <v>1466</v>
      </c>
      <c r="H4203" s="403" t="s">
        <v>1281</v>
      </c>
      <c r="I4203" s="403">
        <v>1</v>
      </c>
      <c r="J4203" s="403" t="s">
        <v>1374</v>
      </c>
      <c r="K4203" s="403">
        <v>2304</v>
      </c>
      <c r="L4203" s="403">
        <v>1296</v>
      </c>
      <c r="M4203" s="403" t="s">
        <v>1284</v>
      </c>
      <c r="N4203" s="403">
        <v>640</v>
      </c>
      <c r="O4203" s="403">
        <v>480</v>
      </c>
      <c r="P4203" t="str">
        <f t="shared" si="521"/>
        <v>25fps 2304x1296 - SD VGA (cropped)</v>
      </c>
      <c r="Q4203">
        <f t="shared" si="522"/>
        <v>20</v>
      </c>
      <c r="R4203" t="str">
        <f t="shared" si="523"/>
        <v/>
      </c>
      <c r="S4203" t="str">
        <f t="shared" si="524"/>
        <v/>
      </c>
      <c r="T4203" s="403" t="str">
        <f t="shared" si="525"/>
        <v>NDE-8503-RT</v>
      </c>
      <c r="U4203" s="403">
        <f t="shared" si="526"/>
        <v>1</v>
      </c>
      <c r="V4203" s="403" t="str">
        <f t="shared" si="527"/>
        <v>CPP_7_3</v>
      </c>
    </row>
    <row r="4204" spans="1:22">
      <c r="A4204" t="str">
        <f t="shared" si="520"/>
        <v>NDE-8503-RT</v>
      </c>
      <c r="B4204" s="403" t="s">
        <v>1410</v>
      </c>
      <c r="C4204" s="403" t="s">
        <v>582</v>
      </c>
      <c r="D4204" s="403" t="s">
        <v>1414</v>
      </c>
      <c r="E4204" s="403" t="s">
        <v>1413</v>
      </c>
      <c r="F4204" s="403" t="s">
        <v>1385</v>
      </c>
      <c r="G4204" s="403" t="s">
        <v>1466</v>
      </c>
      <c r="H4204" s="403" t="s">
        <v>1281</v>
      </c>
      <c r="I4204" s="403">
        <v>1</v>
      </c>
      <c r="J4204" s="403" t="s">
        <v>1374</v>
      </c>
      <c r="K4204" s="403">
        <v>2304</v>
      </c>
      <c r="L4204" s="403">
        <v>1296</v>
      </c>
      <c r="M4204" s="403" t="s">
        <v>1280</v>
      </c>
      <c r="N4204" s="403">
        <v>2304</v>
      </c>
      <c r="O4204" s="403">
        <v>1296</v>
      </c>
      <c r="P4204" t="str">
        <f t="shared" si="521"/>
        <v>25fps 2304x1296 - copy other stream</v>
      </c>
      <c r="Q4204">
        <f t="shared" si="522"/>
        <v>20</v>
      </c>
      <c r="R4204" t="str">
        <f t="shared" si="523"/>
        <v/>
      </c>
      <c r="S4204" t="str">
        <f t="shared" si="524"/>
        <v/>
      </c>
      <c r="T4204" s="403" t="str">
        <f t="shared" si="525"/>
        <v>NDE-8503-RT</v>
      </c>
      <c r="U4204" s="403">
        <f t="shared" si="526"/>
        <v>1</v>
      </c>
      <c r="V4204" s="403" t="str">
        <f t="shared" si="527"/>
        <v>CPP_7_3</v>
      </c>
    </row>
    <row r="4205" spans="1:22">
      <c r="A4205" t="str">
        <f t="shared" si="520"/>
        <v>NDE-8503-RT</v>
      </c>
      <c r="B4205" s="403" t="s">
        <v>1410</v>
      </c>
      <c r="C4205" s="403" t="s">
        <v>582</v>
      </c>
      <c r="D4205" s="403" t="s">
        <v>1414</v>
      </c>
      <c r="E4205" s="403" t="s">
        <v>1413</v>
      </c>
      <c r="F4205" s="403" t="s">
        <v>1385</v>
      </c>
      <c r="G4205" s="403" t="s">
        <v>1466</v>
      </c>
      <c r="H4205" s="403" t="s">
        <v>1281</v>
      </c>
      <c r="I4205" s="403">
        <v>1</v>
      </c>
      <c r="J4205" s="403" t="s">
        <v>110</v>
      </c>
      <c r="K4205" s="403">
        <v>1920</v>
      </c>
      <c r="L4205" s="403">
        <v>1080</v>
      </c>
      <c r="M4205" s="403" t="s">
        <v>111</v>
      </c>
      <c r="N4205" s="403">
        <v>768</v>
      </c>
      <c r="O4205" s="403">
        <v>432</v>
      </c>
      <c r="P4205" t="str">
        <f t="shared" si="521"/>
        <v>25fps 1080p - SD</v>
      </c>
      <c r="Q4205">
        <f t="shared" si="522"/>
        <v>20</v>
      </c>
      <c r="R4205" t="str">
        <f t="shared" si="523"/>
        <v/>
      </c>
      <c r="S4205" t="str">
        <f t="shared" si="524"/>
        <v/>
      </c>
      <c r="T4205" s="403" t="str">
        <f t="shared" si="525"/>
        <v>NDE-8503-RT</v>
      </c>
      <c r="U4205" s="403">
        <f t="shared" si="526"/>
        <v>1</v>
      </c>
      <c r="V4205" s="403" t="str">
        <f t="shared" si="527"/>
        <v>CPP_7_3</v>
      </c>
    </row>
    <row r="4206" spans="1:22">
      <c r="A4206" t="str">
        <f t="shared" si="520"/>
        <v>NDE-8503-RT</v>
      </c>
      <c r="B4206" s="403" t="s">
        <v>1410</v>
      </c>
      <c r="C4206" s="403" t="s">
        <v>582</v>
      </c>
      <c r="D4206" s="403" t="s">
        <v>1414</v>
      </c>
      <c r="E4206" s="403" t="s">
        <v>1413</v>
      </c>
      <c r="F4206" s="403" t="s">
        <v>1385</v>
      </c>
      <c r="G4206" s="403" t="s">
        <v>1466</v>
      </c>
      <c r="H4206" s="403" t="s">
        <v>1281</v>
      </c>
      <c r="I4206" s="403">
        <v>1</v>
      </c>
      <c r="J4206" s="403" t="s">
        <v>110</v>
      </c>
      <c r="K4206" s="403">
        <v>1920</v>
      </c>
      <c r="L4206" s="403">
        <v>1080</v>
      </c>
      <c r="M4206" s="403" t="s">
        <v>110</v>
      </c>
      <c r="N4206" s="403">
        <v>1920</v>
      </c>
      <c r="O4206" s="403">
        <v>1080</v>
      </c>
      <c r="P4206" t="str">
        <f t="shared" si="521"/>
        <v>25fps 1080p - 1080p</v>
      </c>
      <c r="Q4206">
        <f t="shared" si="522"/>
        <v>20</v>
      </c>
      <c r="R4206" t="str">
        <f t="shared" si="523"/>
        <v/>
      </c>
      <c r="S4206" t="str">
        <f t="shared" si="524"/>
        <v/>
      </c>
      <c r="T4206" s="403" t="str">
        <f t="shared" si="525"/>
        <v>NDE-8503-RT</v>
      </c>
      <c r="U4206" s="403">
        <f t="shared" si="526"/>
        <v>1</v>
      </c>
      <c r="V4206" s="403" t="str">
        <f t="shared" si="527"/>
        <v>CPP_7_3</v>
      </c>
    </row>
    <row r="4207" spans="1:22">
      <c r="A4207" t="str">
        <f t="shared" si="520"/>
        <v>NDE-8503-RT</v>
      </c>
      <c r="B4207" s="403" t="s">
        <v>1410</v>
      </c>
      <c r="C4207" s="403" t="s">
        <v>582</v>
      </c>
      <c r="D4207" s="403" t="s">
        <v>1414</v>
      </c>
      <c r="E4207" s="403" t="s">
        <v>1413</v>
      </c>
      <c r="F4207" s="403" t="s">
        <v>1385</v>
      </c>
      <c r="G4207" s="403" t="s">
        <v>1466</v>
      </c>
      <c r="H4207" s="403" t="s">
        <v>1281</v>
      </c>
      <c r="I4207" s="403">
        <v>1</v>
      </c>
      <c r="J4207" s="403" t="s">
        <v>110</v>
      </c>
      <c r="K4207" s="403">
        <v>1920</v>
      </c>
      <c r="L4207" s="403">
        <v>1080</v>
      </c>
      <c r="M4207" s="403" t="s">
        <v>109</v>
      </c>
      <c r="N4207" s="403">
        <v>1280</v>
      </c>
      <c r="O4207" s="403">
        <v>720</v>
      </c>
      <c r="P4207" t="str">
        <f t="shared" si="521"/>
        <v>25fps 1080p - 720p</v>
      </c>
      <c r="Q4207">
        <f t="shared" si="522"/>
        <v>20</v>
      </c>
      <c r="R4207" t="str">
        <f t="shared" si="523"/>
        <v/>
      </c>
      <c r="S4207" t="str">
        <f t="shared" si="524"/>
        <v/>
      </c>
      <c r="T4207" s="403" t="str">
        <f t="shared" si="525"/>
        <v>NDE-8503-RT</v>
      </c>
      <c r="U4207" s="403">
        <f t="shared" si="526"/>
        <v>1</v>
      </c>
      <c r="V4207" s="403" t="str">
        <f t="shared" si="527"/>
        <v>CPP_7_3</v>
      </c>
    </row>
    <row r="4208" spans="1:22">
      <c r="A4208" t="str">
        <f t="shared" si="520"/>
        <v>NDE-8503-RT</v>
      </c>
      <c r="B4208" s="403" t="s">
        <v>1410</v>
      </c>
      <c r="C4208" s="403" t="s">
        <v>582</v>
      </c>
      <c r="D4208" s="403" t="s">
        <v>1414</v>
      </c>
      <c r="E4208" s="403" t="s">
        <v>1413</v>
      </c>
      <c r="F4208" s="403" t="s">
        <v>1385</v>
      </c>
      <c r="G4208" s="403" t="s">
        <v>1466</v>
      </c>
      <c r="H4208" s="403" t="s">
        <v>1281</v>
      </c>
      <c r="I4208" s="403">
        <v>1</v>
      </c>
      <c r="J4208" s="403" t="s">
        <v>110</v>
      </c>
      <c r="K4208" s="403">
        <v>1920</v>
      </c>
      <c r="L4208" s="403">
        <v>1080</v>
      </c>
      <c r="M4208" s="403" t="s">
        <v>1285</v>
      </c>
      <c r="N4208" s="403">
        <v>1280</v>
      </c>
      <c r="O4208" s="403">
        <v>1024</v>
      </c>
      <c r="P4208" t="str">
        <f t="shared" si="521"/>
        <v>25fps 1080p - 1280x1024 5:4 (cropped)</v>
      </c>
      <c r="Q4208">
        <f t="shared" si="522"/>
        <v>20</v>
      </c>
      <c r="R4208" t="str">
        <f t="shared" si="523"/>
        <v/>
      </c>
      <c r="S4208" t="str">
        <f t="shared" si="524"/>
        <v/>
      </c>
      <c r="T4208" s="403" t="str">
        <f t="shared" si="525"/>
        <v>NDE-8503-RT</v>
      </c>
      <c r="U4208" s="403">
        <f t="shared" si="526"/>
        <v>1</v>
      </c>
      <c r="V4208" s="403" t="str">
        <f t="shared" si="527"/>
        <v>CPP_7_3</v>
      </c>
    </row>
    <row r="4209" spans="1:22">
      <c r="A4209" t="str">
        <f t="shared" si="520"/>
        <v>NDE-8503-RT</v>
      </c>
      <c r="B4209" s="403" t="s">
        <v>1410</v>
      </c>
      <c r="C4209" s="403" t="s">
        <v>582</v>
      </c>
      <c r="D4209" s="403" t="s">
        <v>1414</v>
      </c>
      <c r="E4209" s="403" t="s">
        <v>1413</v>
      </c>
      <c r="F4209" s="403" t="s">
        <v>1385</v>
      </c>
      <c r="G4209" s="403" t="s">
        <v>1466</v>
      </c>
      <c r="H4209" s="403" t="s">
        <v>1281</v>
      </c>
      <c r="I4209" s="403">
        <v>1</v>
      </c>
      <c r="J4209" s="403" t="s">
        <v>110</v>
      </c>
      <c r="K4209" s="403">
        <v>1920</v>
      </c>
      <c r="L4209" s="403">
        <v>1080</v>
      </c>
      <c r="M4209" s="403" t="s">
        <v>1279</v>
      </c>
      <c r="N4209" s="403">
        <v>768</v>
      </c>
      <c r="O4209" s="403">
        <v>432</v>
      </c>
      <c r="P4209" t="str">
        <f t="shared" si="521"/>
        <v>25fps 1080p - SD ROI PTZ</v>
      </c>
      <c r="Q4209">
        <f t="shared" si="522"/>
        <v>20</v>
      </c>
      <c r="R4209" t="str">
        <f t="shared" si="523"/>
        <v/>
      </c>
      <c r="S4209" t="str">
        <f t="shared" si="524"/>
        <v/>
      </c>
      <c r="T4209" s="403" t="str">
        <f t="shared" si="525"/>
        <v>NDE-8503-RT</v>
      </c>
      <c r="U4209" s="403">
        <f t="shared" si="526"/>
        <v>1</v>
      </c>
      <c r="V4209" s="403" t="str">
        <f t="shared" si="527"/>
        <v>CPP_7_3</v>
      </c>
    </row>
    <row r="4210" spans="1:22">
      <c r="A4210" t="str">
        <f t="shared" si="520"/>
        <v>NDE-8503-RT</v>
      </c>
      <c r="B4210" s="403" t="s">
        <v>1410</v>
      </c>
      <c r="C4210" s="403" t="s">
        <v>582</v>
      </c>
      <c r="D4210" s="403" t="s">
        <v>1414</v>
      </c>
      <c r="E4210" s="403" t="s">
        <v>1413</v>
      </c>
      <c r="F4210" s="403" t="s">
        <v>1385</v>
      </c>
      <c r="G4210" s="403" t="s">
        <v>1466</v>
      </c>
      <c r="H4210" s="403" t="s">
        <v>1281</v>
      </c>
      <c r="I4210" s="403">
        <v>1</v>
      </c>
      <c r="J4210" s="403" t="s">
        <v>110</v>
      </c>
      <c r="K4210" s="403">
        <v>1920</v>
      </c>
      <c r="L4210" s="403">
        <v>1080</v>
      </c>
      <c r="M4210" s="403" t="s">
        <v>1283</v>
      </c>
      <c r="N4210" s="403">
        <v>720</v>
      </c>
      <c r="O4210" s="403">
        <v>576</v>
      </c>
      <c r="P4210" t="str">
        <f t="shared" si="521"/>
        <v>25fps 1080p - SD 4CIF resolution 4:3 format (cropped)</v>
      </c>
      <c r="Q4210">
        <f t="shared" si="522"/>
        <v>20</v>
      </c>
      <c r="R4210" t="str">
        <f t="shared" si="523"/>
        <v/>
      </c>
      <c r="S4210" t="str">
        <f t="shared" si="524"/>
        <v/>
      </c>
      <c r="T4210" s="403" t="str">
        <f t="shared" si="525"/>
        <v>NDE-8503-RT</v>
      </c>
      <c r="U4210" s="403">
        <f t="shared" si="526"/>
        <v>1</v>
      </c>
      <c r="V4210" s="403" t="str">
        <f t="shared" si="527"/>
        <v>CPP_7_3</v>
      </c>
    </row>
    <row r="4211" spans="1:22">
      <c r="A4211" t="str">
        <f t="shared" si="520"/>
        <v>NDE-8503-RT</v>
      </c>
      <c r="B4211" s="403" t="s">
        <v>1410</v>
      </c>
      <c r="C4211" s="403" t="s">
        <v>582</v>
      </c>
      <c r="D4211" s="403" t="s">
        <v>1414</v>
      </c>
      <c r="E4211" s="403" t="s">
        <v>1413</v>
      </c>
      <c r="F4211" s="403" t="s">
        <v>1385</v>
      </c>
      <c r="G4211" s="403" t="s">
        <v>1466</v>
      </c>
      <c r="H4211" s="403" t="s">
        <v>1281</v>
      </c>
      <c r="I4211" s="403">
        <v>1</v>
      </c>
      <c r="J4211" s="403" t="s">
        <v>110</v>
      </c>
      <c r="K4211" s="403">
        <v>1920</v>
      </c>
      <c r="L4211" s="403">
        <v>1080</v>
      </c>
      <c r="M4211" s="403" t="s">
        <v>1284</v>
      </c>
      <c r="N4211" s="403">
        <v>640</v>
      </c>
      <c r="O4211" s="403">
        <v>480</v>
      </c>
      <c r="P4211" t="str">
        <f t="shared" si="521"/>
        <v>25fps 1080p - SD VGA (cropped)</v>
      </c>
      <c r="Q4211">
        <f t="shared" si="522"/>
        <v>20</v>
      </c>
      <c r="R4211" t="str">
        <f t="shared" si="523"/>
        <v/>
      </c>
      <c r="S4211" t="str">
        <f t="shared" si="524"/>
        <v/>
      </c>
      <c r="T4211" s="403" t="str">
        <f t="shared" si="525"/>
        <v>NDE-8503-RT</v>
      </c>
      <c r="U4211" s="403">
        <f t="shared" si="526"/>
        <v>1</v>
      </c>
      <c r="V4211" s="403" t="str">
        <f t="shared" si="527"/>
        <v>CPP_7_3</v>
      </c>
    </row>
    <row r="4212" spans="1:22">
      <c r="A4212" t="str">
        <f t="shared" si="520"/>
        <v>NDE-8503-RT</v>
      </c>
      <c r="B4212" s="403" t="s">
        <v>1410</v>
      </c>
      <c r="C4212" s="403" t="s">
        <v>582</v>
      </c>
      <c r="D4212" s="403" t="s">
        <v>1414</v>
      </c>
      <c r="E4212" s="403" t="s">
        <v>1413</v>
      </c>
      <c r="F4212" s="403" t="s">
        <v>1385</v>
      </c>
      <c r="G4212" s="403" t="s">
        <v>1466</v>
      </c>
      <c r="H4212" s="403" t="s">
        <v>1281</v>
      </c>
      <c r="I4212" s="403">
        <v>1</v>
      </c>
      <c r="J4212" s="403" t="s">
        <v>109</v>
      </c>
      <c r="K4212" s="403">
        <v>1280</v>
      </c>
      <c r="L4212" s="403">
        <v>720</v>
      </c>
      <c r="M4212" s="403" t="s">
        <v>109</v>
      </c>
      <c r="N4212" s="403">
        <v>1280</v>
      </c>
      <c r="O4212" s="403">
        <v>720</v>
      </c>
      <c r="P4212" t="str">
        <f t="shared" si="521"/>
        <v>25fps 720p - 720p</v>
      </c>
      <c r="Q4212">
        <f t="shared" si="522"/>
        <v>20</v>
      </c>
      <c r="R4212" t="str">
        <f t="shared" si="523"/>
        <v/>
      </c>
      <c r="S4212" t="str">
        <f t="shared" si="524"/>
        <v/>
      </c>
      <c r="T4212" s="403" t="str">
        <f t="shared" si="525"/>
        <v>NDE-8503-RT</v>
      </c>
      <c r="U4212" s="403">
        <f t="shared" si="526"/>
        <v>1</v>
      </c>
      <c r="V4212" s="403" t="str">
        <f t="shared" si="527"/>
        <v>CPP_7_3</v>
      </c>
    </row>
    <row r="4213" spans="1:22">
      <c r="A4213" t="str">
        <f t="shared" si="520"/>
        <v>NDE-8503-RT</v>
      </c>
      <c r="B4213" s="403" t="s">
        <v>1410</v>
      </c>
      <c r="C4213" s="403" t="s">
        <v>582</v>
      </c>
      <c r="D4213" s="403" t="s">
        <v>1414</v>
      </c>
      <c r="E4213" s="403" t="s">
        <v>1413</v>
      </c>
      <c r="F4213" s="403" t="s">
        <v>1385</v>
      </c>
      <c r="G4213" s="403" t="s">
        <v>1466</v>
      </c>
      <c r="H4213" s="403" t="s">
        <v>1281</v>
      </c>
      <c r="I4213" s="403">
        <v>1</v>
      </c>
      <c r="J4213" s="403" t="s">
        <v>109</v>
      </c>
      <c r="K4213" s="403">
        <v>1280</v>
      </c>
      <c r="L4213" s="403">
        <v>720</v>
      </c>
      <c r="M4213" s="403" t="s">
        <v>111</v>
      </c>
      <c r="N4213" s="403">
        <v>768</v>
      </c>
      <c r="O4213" s="403">
        <v>432</v>
      </c>
      <c r="P4213" t="str">
        <f t="shared" si="521"/>
        <v>25fps 720p - SD</v>
      </c>
      <c r="Q4213">
        <f t="shared" si="522"/>
        <v>20</v>
      </c>
      <c r="R4213" t="str">
        <f t="shared" si="523"/>
        <v/>
      </c>
      <c r="S4213" t="str">
        <f t="shared" si="524"/>
        <v/>
      </c>
      <c r="T4213" s="403" t="str">
        <f t="shared" si="525"/>
        <v>NDE-8503-RT</v>
      </c>
      <c r="U4213" s="403">
        <f t="shared" si="526"/>
        <v>1</v>
      </c>
      <c r="V4213" s="403" t="str">
        <f t="shared" si="527"/>
        <v>CPP_7_3</v>
      </c>
    </row>
    <row r="4214" spans="1:22">
      <c r="A4214" t="str">
        <f t="shared" si="520"/>
        <v>NDE-8503-RT</v>
      </c>
      <c r="B4214" s="403" t="s">
        <v>1410</v>
      </c>
      <c r="C4214" s="403" t="s">
        <v>582</v>
      </c>
      <c r="D4214" s="403" t="s">
        <v>1414</v>
      </c>
      <c r="E4214" s="403" t="s">
        <v>1413</v>
      </c>
      <c r="F4214" s="403" t="s">
        <v>1385</v>
      </c>
      <c r="G4214" s="403" t="s">
        <v>1466</v>
      </c>
      <c r="H4214" s="403" t="s">
        <v>1281</v>
      </c>
      <c r="I4214" s="403">
        <v>1</v>
      </c>
      <c r="J4214" s="403" t="s">
        <v>109</v>
      </c>
      <c r="K4214" s="403">
        <v>1280</v>
      </c>
      <c r="L4214" s="403">
        <v>720</v>
      </c>
      <c r="M4214" s="403" t="s">
        <v>1279</v>
      </c>
      <c r="N4214" s="403">
        <v>768</v>
      </c>
      <c r="O4214" s="403">
        <v>432</v>
      </c>
      <c r="P4214" t="str">
        <f t="shared" si="521"/>
        <v>25fps 720p - SD ROI PTZ</v>
      </c>
      <c r="Q4214">
        <f t="shared" si="522"/>
        <v>20</v>
      </c>
      <c r="R4214" t="str">
        <f t="shared" si="523"/>
        <v/>
      </c>
      <c r="S4214" t="str">
        <f t="shared" si="524"/>
        <v/>
      </c>
      <c r="T4214" s="403" t="str">
        <f t="shared" si="525"/>
        <v>NDE-8503-RT</v>
      </c>
      <c r="U4214" s="403">
        <f t="shared" si="526"/>
        <v>1</v>
      </c>
      <c r="V4214" s="403" t="str">
        <f t="shared" si="527"/>
        <v>CPP_7_3</v>
      </c>
    </row>
    <row r="4215" spans="1:22">
      <c r="A4215" t="str">
        <f t="shared" si="520"/>
        <v>NDE-8503-RT</v>
      </c>
      <c r="B4215" s="403" t="s">
        <v>1410</v>
      </c>
      <c r="C4215" s="403" t="s">
        <v>582</v>
      </c>
      <c r="D4215" s="403" t="s">
        <v>1414</v>
      </c>
      <c r="E4215" s="403" t="s">
        <v>1413</v>
      </c>
      <c r="F4215" s="403" t="s">
        <v>1385</v>
      </c>
      <c r="G4215" s="403" t="s">
        <v>1466</v>
      </c>
      <c r="H4215" s="403" t="s">
        <v>1281</v>
      </c>
      <c r="I4215" s="403">
        <v>1</v>
      </c>
      <c r="J4215" s="403" t="s">
        <v>109</v>
      </c>
      <c r="K4215" s="403">
        <v>1280</v>
      </c>
      <c r="L4215" s="403">
        <v>720</v>
      </c>
      <c r="M4215" s="403" t="s">
        <v>1283</v>
      </c>
      <c r="N4215" s="403">
        <v>720</v>
      </c>
      <c r="O4215" s="403">
        <v>576</v>
      </c>
      <c r="P4215" t="str">
        <f t="shared" si="521"/>
        <v>25fps 720p - SD 4CIF resolution 4:3 format (cropped)</v>
      </c>
      <c r="Q4215">
        <f t="shared" si="522"/>
        <v>20</v>
      </c>
      <c r="R4215" t="str">
        <f t="shared" si="523"/>
        <v/>
      </c>
      <c r="S4215" t="str">
        <f t="shared" si="524"/>
        <v/>
      </c>
      <c r="T4215" s="403" t="str">
        <f t="shared" si="525"/>
        <v>NDE-8503-RT</v>
      </c>
      <c r="U4215" s="403">
        <f t="shared" si="526"/>
        <v>1</v>
      </c>
      <c r="V4215" s="403" t="str">
        <f t="shared" si="527"/>
        <v>CPP_7_3</v>
      </c>
    </row>
    <row r="4216" spans="1:22">
      <c r="A4216" t="str">
        <f t="shared" si="520"/>
        <v>NDE-8503-RT</v>
      </c>
      <c r="B4216" s="403" t="s">
        <v>1410</v>
      </c>
      <c r="C4216" s="403" t="s">
        <v>582</v>
      </c>
      <c r="D4216" s="403" t="s">
        <v>1414</v>
      </c>
      <c r="E4216" s="403" t="s">
        <v>1413</v>
      </c>
      <c r="F4216" s="403" t="s">
        <v>1385</v>
      </c>
      <c r="G4216" s="403" t="s">
        <v>1466</v>
      </c>
      <c r="H4216" s="403" t="s">
        <v>1281</v>
      </c>
      <c r="I4216" s="403">
        <v>1</v>
      </c>
      <c r="J4216" s="403" t="s">
        <v>109</v>
      </c>
      <c r="K4216" s="403">
        <v>1280</v>
      </c>
      <c r="L4216" s="403">
        <v>720</v>
      </c>
      <c r="M4216" s="403" t="s">
        <v>1284</v>
      </c>
      <c r="N4216" s="403">
        <v>640</v>
      </c>
      <c r="O4216" s="403">
        <v>480</v>
      </c>
      <c r="P4216" t="str">
        <f t="shared" si="521"/>
        <v>25fps 720p - SD VGA (cropped)</v>
      </c>
      <c r="Q4216">
        <f t="shared" si="522"/>
        <v>20</v>
      </c>
      <c r="R4216" t="str">
        <f t="shared" si="523"/>
        <v/>
      </c>
      <c r="S4216" t="str">
        <f t="shared" si="524"/>
        <v/>
      </c>
      <c r="T4216" s="403" t="str">
        <f t="shared" si="525"/>
        <v>NDE-8503-RT</v>
      </c>
      <c r="U4216" s="403">
        <f t="shared" si="526"/>
        <v>1</v>
      </c>
      <c r="V4216" s="403" t="str">
        <f t="shared" si="527"/>
        <v>CPP_7_3</v>
      </c>
    </row>
    <row r="4217" spans="1:22">
      <c r="A4217" t="str">
        <f t="shared" si="520"/>
        <v>NDE-8503-RT</v>
      </c>
      <c r="B4217" s="403" t="s">
        <v>1410</v>
      </c>
      <c r="C4217" s="403" t="s">
        <v>582</v>
      </c>
      <c r="D4217" s="403" t="s">
        <v>1414</v>
      </c>
      <c r="E4217" s="403" t="s">
        <v>1413</v>
      </c>
      <c r="F4217" s="403" t="s">
        <v>1385</v>
      </c>
      <c r="G4217" s="403" t="s">
        <v>1467</v>
      </c>
      <c r="H4217" s="403" t="s">
        <v>1276</v>
      </c>
      <c r="I4217" s="403">
        <v>1</v>
      </c>
      <c r="J4217" s="403" t="s">
        <v>1376</v>
      </c>
      <c r="K4217" s="403">
        <v>1728</v>
      </c>
      <c r="L4217" s="403">
        <v>3072</v>
      </c>
      <c r="M4217" s="403" t="s">
        <v>111</v>
      </c>
      <c r="N4217" s="403">
        <v>432</v>
      </c>
      <c r="O4217" s="403">
        <v>768</v>
      </c>
      <c r="P4217" t="str">
        <f t="shared" si="521"/>
        <v>25fps 3072x1728 - SD</v>
      </c>
      <c r="Q4217">
        <f t="shared" si="522"/>
        <v>20</v>
      </c>
      <c r="R4217" t="str">
        <f t="shared" si="523"/>
        <v/>
      </c>
      <c r="S4217" t="str">
        <f t="shared" si="524"/>
        <v/>
      </c>
      <c r="T4217" s="403" t="str">
        <f t="shared" si="525"/>
        <v>NDE-8503-RT</v>
      </c>
      <c r="U4217" s="403">
        <f t="shared" si="526"/>
        <v>1</v>
      </c>
      <c r="V4217" s="403" t="str">
        <f t="shared" si="527"/>
        <v>CPP_7_3</v>
      </c>
    </row>
    <row r="4218" spans="1:22">
      <c r="A4218" t="str">
        <f t="shared" si="520"/>
        <v>NDE-8503-RT</v>
      </c>
      <c r="B4218" s="403" t="s">
        <v>1410</v>
      </c>
      <c r="C4218" s="403" t="s">
        <v>582</v>
      </c>
      <c r="D4218" s="403" t="s">
        <v>1414</v>
      </c>
      <c r="E4218" s="403" t="s">
        <v>1413</v>
      </c>
      <c r="F4218" s="403" t="s">
        <v>1385</v>
      </c>
      <c r="G4218" s="403" t="s">
        <v>1467</v>
      </c>
      <c r="H4218" s="403" t="s">
        <v>1276</v>
      </c>
      <c r="I4218" s="403">
        <v>1</v>
      </c>
      <c r="J4218" s="403" t="s">
        <v>1376</v>
      </c>
      <c r="K4218" s="403">
        <v>1728</v>
      </c>
      <c r="L4218" s="403">
        <v>3072</v>
      </c>
      <c r="M4218" s="403" t="s">
        <v>1600</v>
      </c>
      <c r="N4218" s="403">
        <v>1728</v>
      </c>
      <c r="O4218" s="403">
        <v>3072</v>
      </c>
      <c r="P4218" t="str">
        <f t="shared" si="521"/>
        <v>25fps 3072x1728 - 3072x1728 @ SKIP2</v>
      </c>
      <c r="Q4218">
        <f t="shared" si="522"/>
        <v>20</v>
      </c>
      <c r="R4218" t="str">
        <f t="shared" si="523"/>
        <v/>
      </c>
      <c r="S4218" t="str">
        <f t="shared" si="524"/>
        <v/>
      </c>
      <c r="T4218" s="403" t="str">
        <f t="shared" si="525"/>
        <v>NDE-8503-RT</v>
      </c>
      <c r="U4218" s="403">
        <f t="shared" si="526"/>
        <v>1</v>
      </c>
      <c r="V4218" s="403" t="str">
        <f t="shared" si="527"/>
        <v>CPP_7_3</v>
      </c>
    </row>
    <row r="4219" spans="1:22">
      <c r="A4219" t="str">
        <f t="shared" si="520"/>
        <v>NDE-8503-RT</v>
      </c>
      <c r="B4219" s="403" t="s">
        <v>1410</v>
      </c>
      <c r="C4219" s="403" t="s">
        <v>582</v>
      </c>
      <c r="D4219" s="403" t="s">
        <v>1414</v>
      </c>
      <c r="E4219" s="403" t="s">
        <v>1413</v>
      </c>
      <c r="F4219" s="403" t="s">
        <v>1385</v>
      </c>
      <c r="G4219" s="403" t="s">
        <v>1467</v>
      </c>
      <c r="H4219" s="403" t="s">
        <v>1276</v>
      </c>
      <c r="I4219" s="403">
        <v>1</v>
      </c>
      <c r="J4219" s="403" t="s">
        <v>1376</v>
      </c>
      <c r="K4219" s="403">
        <v>1728</v>
      </c>
      <c r="L4219" s="403">
        <v>3072</v>
      </c>
      <c r="M4219" s="403" t="s">
        <v>1280</v>
      </c>
      <c r="N4219" s="403">
        <v>1728</v>
      </c>
      <c r="O4219" s="403">
        <v>3072</v>
      </c>
      <c r="P4219" t="str">
        <f t="shared" si="521"/>
        <v>25fps 3072x1728 - copy other stream</v>
      </c>
      <c r="Q4219">
        <f t="shared" si="522"/>
        <v>20</v>
      </c>
      <c r="R4219" t="str">
        <f t="shared" si="523"/>
        <v/>
      </c>
      <c r="S4219" t="str">
        <f t="shared" si="524"/>
        <v/>
      </c>
      <c r="T4219" s="403" t="str">
        <f t="shared" si="525"/>
        <v>NDE-8503-RT</v>
      </c>
      <c r="U4219" s="403">
        <f t="shared" si="526"/>
        <v>1</v>
      </c>
      <c r="V4219" s="403" t="str">
        <f t="shared" si="527"/>
        <v>CPP_7_3</v>
      </c>
    </row>
    <row r="4220" spans="1:22">
      <c r="A4220" t="str">
        <f t="shared" si="520"/>
        <v>NDE-8503-RT</v>
      </c>
      <c r="B4220" s="403" t="s">
        <v>1410</v>
      </c>
      <c r="C4220" s="403" t="s">
        <v>582</v>
      </c>
      <c r="D4220" s="403" t="s">
        <v>1414</v>
      </c>
      <c r="E4220" s="403" t="s">
        <v>1413</v>
      </c>
      <c r="F4220" s="403" t="s">
        <v>1385</v>
      </c>
      <c r="G4220" s="403" t="s">
        <v>1467</v>
      </c>
      <c r="H4220" s="403" t="s">
        <v>1276</v>
      </c>
      <c r="I4220" s="403">
        <v>1</v>
      </c>
      <c r="J4220" s="403" t="s">
        <v>1376</v>
      </c>
      <c r="K4220" s="403">
        <v>1728</v>
      </c>
      <c r="L4220" s="403">
        <v>3072</v>
      </c>
      <c r="M4220" s="403" t="s">
        <v>110</v>
      </c>
      <c r="N4220" s="403">
        <v>1080</v>
      </c>
      <c r="O4220" s="403">
        <v>1920</v>
      </c>
      <c r="P4220" t="str">
        <f t="shared" si="521"/>
        <v>25fps 3072x1728 - 1080p</v>
      </c>
      <c r="Q4220">
        <f t="shared" si="522"/>
        <v>20</v>
      </c>
      <c r="R4220" t="str">
        <f t="shared" si="523"/>
        <v/>
      </c>
      <c r="S4220" t="str">
        <f t="shared" si="524"/>
        <v/>
      </c>
      <c r="T4220" s="403" t="str">
        <f t="shared" si="525"/>
        <v>NDE-8503-RT</v>
      </c>
      <c r="U4220" s="403">
        <f t="shared" si="526"/>
        <v>1</v>
      </c>
      <c r="V4220" s="403" t="str">
        <f t="shared" si="527"/>
        <v>CPP_7_3</v>
      </c>
    </row>
    <row r="4221" spans="1:22">
      <c r="A4221" t="str">
        <f t="shared" si="520"/>
        <v>NDE-8503-RT</v>
      </c>
      <c r="B4221" s="403" t="s">
        <v>1410</v>
      </c>
      <c r="C4221" s="403" t="s">
        <v>582</v>
      </c>
      <c r="D4221" s="403" t="s">
        <v>1414</v>
      </c>
      <c r="E4221" s="403" t="s">
        <v>1413</v>
      </c>
      <c r="F4221" s="403" t="s">
        <v>1385</v>
      </c>
      <c r="G4221" s="403" t="s">
        <v>1467</v>
      </c>
      <c r="H4221" s="403" t="s">
        <v>1276</v>
      </c>
      <c r="I4221" s="403">
        <v>1</v>
      </c>
      <c r="J4221" s="403" t="s">
        <v>1376</v>
      </c>
      <c r="K4221" s="403">
        <v>1728</v>
      </c>
      <c r="L4221" s="403">
        <v>3072</v>
      </c>
      <c r="M4221" s="403" t="s">
        <v>109</v>
      </c>
      <c r="N4221" s="403">
        <v>720</v>
      </c>
      <c r="O4221" s="403">
        <v>1280</v>
      </c>
      <c r="P4221" t="str">
        <f t="shared" si="521"/>
        <v>25fps 3072x1728 - 720p</v>
      </c>
      <c r="Q4221">
        <f t="shared" si="522"/>
        <v>20</v>
      </c>
      <c r="R4221" t="str">
        <f t="shared" si="523"/>
        <v/>
      </c>
      <c r="S4221" t="str">
        <f t="shared" si="524"/>
        <v/>
      </c>
      <c r="T4221" s="403" t="str">
        <f t="shared" si="525"/>
        <v>NDE-8503-RT</v>
      </c>
      <c r="U4221" s="403">
        <f t="shared" si="526"/>
        <v>1</v>
      </c>
      <c r="V4221" s="403" t="str">
        <f t="shared" si="527"/>
        <v>CPP_7_3</v>
      </c>
    </row>
    <row r="4222" spans="1:22">
      <c r="A4222" t="str">
        <f t="shared" si="520"/>
        <v>NDE-8503-RT</v>
      </c>
      <c r="B4222" s="403" t="s">
        <v>1410</v>
      </c>
      <c r="C4222" s="403" t="s">
        <v>582</v>
      </c>
      <c r="D4222" s="403" t="s">
        <v>1414</v>
      </c>
      <c r="E4222" s="403" t="s">
        <v>1413</v>
      </c>
      <c r="F4222" s="403" t="s">
        <v>1385</v>
      </c>
      <c r="G4222" s="403" t="s">
        <v>1467</v>
      </c>
      <c r="H4222" s="403" t="s">
        <v>1276</v>
      </c>
      <c r="I4222" s="403">
        <v>1</v>
      </c>
      <c r="J4222" s="403" t="s">
        <v>1376</v>
      </c>
      <c r="K4222" s="403">
        <v>1728</v>
      </c>
      <c r="L4222" s="403">
        <v>3072</v>
      </c>
      <c r="M4222" s="403" t="s">
        <v>1283</v>
      </c>
      <c r="N4222" s="403">
        <v>576</v>
      </c>
      <c r="O4222" s="403">
        <v>720</v>
      </c>
      <c r="P4222" t="str">
        <f t="shared" si="521"/>
        <v>25fps 3072x1728 - SD 4CIF resolution 4:3 format (cropped)</v>
      </c>
      <c r="Q4222">
        <f t="shared" si="522"/>
        <v>20</v>
      </c>
      <c r="R4222" t="str">
        <f t="shared" si="523"/>
        <v/>
      </c>
      <c r="S4222" t="str">
        <f t="shared" si="524"/>
        <v/>
      </c>
      <c r="T4222" s="403" t="str">
        <f t="shared" si="525"/>
        <v>NDE-8503-RT</v>
      </c>
      <c r="U4222" s="403">
        <f t="shared" si="526"/>
        <v>1</v>
      </c>
      <c r="V4222" s="403" t="str">
        <f t="shared" si="527"/>
        <v>CPP_7_3</v>
      </c>
    </row>
    <row r="4223" spans="1:22">
      <c r="A4223" t="str">
        <f t="shared" si="520"/>
        <v>NDE-8503-RT</v>
      </c>
      <c r="B4223" s="403" t="s">
        <v>1410</v>
      </c>
      <c r="C4223" s="403" t="s">
        <v>582</v>
      </c>
      <c r="D4223" s="403" t="s">
        <v>1414</v>
      </c>
      <c r="E4223" s="403" t="s">
        <v>1413</v>
      </c>
      <c r="F4223" s="403" t="s">
        <v>1385</v>
      </c>
      <c r="G4223" s="403" t="s">
        <v>1467</v>
      </c>
      <c r="H4223" s="403" t="s">
        <v>1276</v>
      </c>
      <c r="I4223" s="403">
        <v>1</v>
      </c>
      <c r="J4223" s="403" t="s">
        <v>1376</v>
      </c>
      <c r="K4223" s="403">
        <v>1728</v>
      </c>
      <c r="L4223" s="403">
        <v>3072</v>
      </c>
      <c r="M4223" s="403" t="s">
        <v>1279</v>
      </c>
      <c r="N4223" s="403">
        <v>432</v>
      </c>
      <c r="O4223" s="403">
        <v>768</v>
      </c>
      <c r="P4223" t="str">
        <f t="shared" si="521"/>
        <v>25fps 3072x1728 - SD ROI PTZ</v>
      </c>
      <c r="Q4223">
        <f t="shared" si="522"/>
        <v>20</v>
      </c>
      <c r="R4223" t="str">
        <f t="shared" si="523"/>
        <v/>
      </c>
      <c r="S4223" t="str">
        <f t="shared" si="524"/>
        <v/>
      </c>
      <c r="T4223" s="403" t="str">
        <f t="shared" si="525"/>
        <v>NDE-8503-RT</v>
      </c>
      <c r="U4223" s="403">
        <f t="shared" si="526"/>
        <v>1</v>
      </c>
      <c r="V4223" s="403" t="str">
        <f t="shared" si="527"/>
        <v>CPP_7_3</v>
      </c>
    </row>
    <row r="4224" spans="1:22">
      <c r="A4224" t="str">
        <f t="shared" si="520"/>
        <v>NDE-8503-RT</v>
      </c>
      <c r="B4224" s="403" t="s">
        <v>1410</v>
      </c>
      <c r="C4224" s="403" t="s">
        <v>582</v>
      </c>
      <c r="D4224" s="403" t="s">
        <v>1414</v>
      </c>
      <c r="E4224" s="403" t="s">
        <v>1413</v>
      </c>
      <c r="F4224" s="403" t="s">
        <v>1385</v>
      </c>
      <c r="G4224" s="403" t="s">
        <v>1467</v>
      </c>
      <c r="H4224" s="403" t="s">
        <v>1276</v>
      </c>
      <c r="I4224" s="403">
        <v>1</v>
      </c>
      <c r="J4224" s="403" t="s">
        <v>1376</v>
      </c>
      <c r="K4224" s="403">
        <v>1728</v>
      </c>
      <c r="L4224" s="403">
        <v>3072</v>
      </c>
      <c r="M4224" s="403" t="s">
        <v>1284</v>
      </c>
      <c r="N4224" s="403">
        <v>480</v>
      </c>
      <c r="O4224" s="403">
        <v>640</v>
      </c>
      <c r="P4224" t="str">
        <f t="shared" si="521"/>
        <v>25fps 3072x1728 - SD VGA (cropped)</v>
      </c>
      <c r="Q4224">
        <f t="shared" si="522"/>
        <v>20</v>
      </c>
      <c r="R4224" t="str">
        <f t="shared" si="523"/>
        <v/>
      </c>
      <c r="S4224" t="str">
        <f t="shared" si="524"/>
        <v/>
      </c>
      <c r="T4224" s="403" t="str">
        <f t="shared" si="525"/>
        <v>NDE-8503-RT</v>
      </c>
      <c r="U4224" s="403">
        <f t="shared" si="526"/>
        <v>1</v>
      </c>
      <c r="V4224" s="403" t="str">
        <f t="shared" si="527"/>
        <v>CPP_7_3</v>
      </c>
    </row>
    <row r="4225" spans="1:22">
      <c r="A4225" t="str">
        <f t="shared" si="520"/>
        <v>NDE-8503-RT</v>
      </c>
      <c r="B4225" s="403" t="s">
        <v>1410</v>
      </c>
      <c r="C4225" s="403" t="s">
        <v>582</v>
      </c>
      <c r="D4225" s="403" t="s">
        <v>1414</v>
      </c>
      <c r="E4225" s="403" t="s">
        <v>1413</v>
      </c>
      <c r="F4225" s="403" t="s">
        <v>1385</v>
      </c>
      <c r="G4225" s="403" t="s">
        <v>1467</v>
      </c>
      <c r="H4225" s="403" t="s">
        <v>1276</v>
      </c>
      <c r="I4225" s="403">
        <v>1</v>
      </c>
      <c r="J4225" s="403" t="s">
        <v>1376</v>
      </c>
      <c r="K4225" s="403">
        <v>1728</v>
      </c>
      <c r="L4225" s="403">
        <v>3072</v>
      </c>
      <c r="M4225" s="403" t="s">
        <v>1285</v>
      </c>
      <c r="N4225" s="403">
        <v>1024</v>
      </c>
      <c r="O4225" s="403">
        <v>1280</v>
      </c>
      <c r="P4225" t="str">
        <f t="shared" si="521"/>
        <v>25fps 3072x1728 - 1280x1024 5:4 (cropped)</v>
      </c>
      <c r="Q4225">
        <f t="shared" si="522"/>
        <v>20</v>
      </c>
      <c r="R4225" t="str">
        <f t="shared" si="523"/>
        <v/>
      </c>
      <c r="S4225" t="str">
        <f t="shared" si="524"/>
        <v/>
      </c>
      <c r="T4225" s="403" t="str">
        <f t="shared" si="525"/>
        <v>NDE-8503-RT</v>
      </c>
      <c r="U4225" s="403">
        <f t="shared" si="526"/>
        <v>1</v>
      </c>
      <c r="V4225" s="403" t="str">
        <f t="shared" si="527"/>
        <v>CPP_7_3</v>
      </c>
    </row>
    <row r="4226" spans="1:22">
      <c r="A4226" t="str">
        <f t="shared" ref="A4226:A4289" si="528">IF(AND(G4226&lt;&gt;"rotate 90°"),D4226,"")</f>
        <v>NDE-8503-RT</v>
      </c>
      <c r="B4226" s="403" t="s">
        <v>1410</v>
      </c>
      <c r="C4226" s="403" t="s">
        <v>582</v>
      </c>
      <c r="D4226" s="403" t="s">
        <v>1414</v>
      </c>
      <c r="E4226" s="403" t="s">
        <v>1413</v>
      </c>
      <c r="F4226" s="403" t="s">
        <v>1385</v>
      </c>
      <c r="G4226" s="403" t="s">
        <v>1467</v>
      </c>
      <c r="H4226" s="403" t="s">
        <v>1276</v>
      </c>
      <c r="I4226" s="403">
        <v>1</v>
      </c>
      <c r="J4226" s="403" t="s">
        <v>1376</v>
      </c>
      <c r="K4226" s="403">
        <v>1728</v>
      </c>
      <c r="L4226" s="403">
        <v>3072</v>
      </c>
      <c r="M4226" s="403" t="s">
        <v>1383</v>
      </c>
      <c r="N4226" s="403">
        <v>1440</v>
      </c>
      <c r="O4226" s="403">
        <v>1920</v>
      </c>
      <c r="P4226" t="str">
        <f t="shared" ref="P4226:P4289" si="529">LEFT(F4226,5)&amp;" "&amp;J4226&amp;" - "&amp;M4226</f>
        <v>25fps 3072x1728 - 1920x1440_CROP</v>
      </c>
      <c r="Q4226">
        <f t="shared" ref="Q4226:Q4289" si="530">IF(A4225=A4226,Q4225,Q4225+1)</f>
        <v>20</v>
      </c>
      <c r="R4226" t="str">
        <f t="shared" ref="R4226:R4289" si="531">IF(Q4225&lt;&gt;Q4226,Q4226,"")</f>
        <v/>
      </c>
      <c r="S4226" t="str">
        <f t="shared" ref="S4226:S4289" si="532">IF(R4226&lt;&gt;"",B4226&amp;" ("&amp;D4226&amp;")","")</f>
        <v/>
      </c>
      <c r="T4226" s="403" t="str">
        <f t="shared" ref="T4226:T4289" si="533">D4226</f>
        <v>NDE-8503-RT</v>
      </c>
      <c r="U4226" s="403">
        <f t="shared" ref="U4226:U4289" si="534">I4226</f>
        <v>1</v>
      </c>
      <c r="V4226" s="403" t="str">
        <f t="shared" ref="V4226:V4289" si="535">C4226</f>
        <v>CPP_7_3</v>
      </c>
    </row>
    <row r="4227" spans="1:22">
      <c r="A4227" t="str">
        <f t="shared" si="528"/>
        <v>NDE-8503-RT</v>
      </c>
      <c r="B4227" s="403" t="s">
        <v>1410</v>
      </c>
      <c r="C4227" s="403" t="s">
        <v>582</v>
      </c>
      <c r="D4227" s="403" t="s">
        <v>1414</v>
      </c>
      <c r="E4227" s="403" t="s">
        <v>1413</v>
      </c>
      <c r="F4227" s="403" t="s">
        <v>1385</v>
      </c>
      <c r="G4227" s="403" t="s">
        <v>1467</v>
      </c>
      <c r="H4227" s="403" t="s">
        <v>1276</v>
      </c>
      <c r="I4227" s="403">
        <v>1</v>
      </c>
      <c r="J4227" s="403" t="s">
        <v>1373</v>
      </c>
      <c r="K4227" s="403">
        <v>1512</v>
      </c>
      <c r="L4227" s="403">
        <v>2688</v>
      </c>
      <c r="M4227" s="403" t="s">
        <v>110</v>
      </c>
      <c r="N4227" s="403">
        <v>1080</v>
      </c>
      <c r="O4227" s="403">
        <v>1920</v>
      </c>
      <c r="P4227" t="str">
        <f t="shared" si="529"/>
        <v>25fps 2688x1512 - 1080p</v>
      </c>
      <c r="Q4227">
        <f t="shared" si="530"/>
        <v>20</v>
      </c>
      <c r="R4227" t="str">
        <f t="shared" si="531"/>
        <v/>
      </c>
      <c r="S4227" t="str">
        <f t="shared" si="532"/>
        <v/>
      </c>
      <c r="T4227" s="403" t="str">
        <f t="shared" si="533"/>
        <v>NDE-8503-RT</v>
      </c>
      <c r="U4227" s="403">
        <f t="shared" si="534"/>
        <v>1</v>
      </c>
      <c r="V4227" s="403" t="str">
        <f t="shared" si="535"/>
        <v>CPP_7_3</v>
      </c>
    </row>
    <row r="4228" spans="1:22">
      <c r="A4228" t="str">
        <f t="shared" si="528"/>
        <v>NDE-8503-RT</v>
      </c>
      <c r="B4228" s="403" t="s">
        <v>1410</v>
      </c>
      <c r="C4228" s="403" t="s">
        <v>582</v>
      </c>
      <c r="D4228" s="403" t="s">
        <v>1414</v>
      </c>
      <c r="E4228" s="403" t="s">
        <v>1413</v>
      </c>
      <c r="F4228" s="403" t="s">
        <v>1385</v>
      </c>
      <c r="G4228" s="403" t="s">
        <v>1467</v>
      </c>
      <c r="H4228" s="403" t="s">
        <v>1276</v>
      </c>
      <c r="I4228" s="403">
        <v>1</v>
      </c>
      <c r="J4228" s="403" t="s">
        <v>1373</v>
      </c>
      <c r="K4228" s="403">
        <v>1512</v>
      </c>
      <c r="L4228" s="403">
        <v>2688</v>
      </c>
      <c r="M4228" s="403" t="s">
        <v>1384</v>
      </c>
      <c r="N4228" s="403">
        <v>1512</v>
      </c>
      <c r="O4228" s="403">
        <v>2688</v>
      </c>
      <c r="P4228" t="str">
        <f t="shared" si="529"/>
        <v>25fps 2688x1512 - 2688x1512 @ SKIP 2</v>
      </c>
      <c r="Q4228">
        <f t="shared" si="530"/>
        <v>20</v>
      </c>
      <c r="R4228" t="str">
        <f t="shared" si="531"/>
        <v/>
      </c>
      <c r="S4228" t="str">
        <f t="shared" si="532"/>
        <v/>
      </c>
      <c r="T4228" s="403" t="str">
        <f t="shared" si="533"/>
        <v>NDE-8503-RT</v>
      </c>
      <c r="U4228" s="403">
        <f t="shared" si="534"/>
        <v>1</v>
      </c>
      <c r="V4228" s="403" t="str">
        <f t="shared" si="535"/>
        <v>CPP_7_3</v>
      </c>
    </row>
    <row r="4229" spans="1:22">
      <c r="A4229" t="str">
        <f t="shared" si="528"/>
        <v>NDE-8503-RT</v>
      </c>
      <c r="B4229" s="403" t="s">
        <v>1410</v>
      </c>
      <c r="C4229" s="403" t="s">
        <v>582</v>
      </c>
      <c r="D4229" s="403" t="s">
        <v>1414</v>
      </c>
      <c r="E4229" s="403" t="s">
        <v>1413</v>
      </c>
      <c r="F4229" s="403" t="s">
        <v>1385</v>
      </c>
      <c r="G4229" s="403" t="s">
        <v>1467</v>
      </c>
      <c r="H4229" s="403" t="s">
        <v>1276</v>
      </c>
      <c r="I4229" s="403">
        <v>1</v>
      </c>
      <c r="J4229" s="403" t="s">
        <v>1373</v>
      </c>
      <c r="K4229" s="403">
        <v>1512</v>
      </c>
      <c r="L4229" s="403">
        <v>2688</v>
      </c>
      <c r="M4229" s="403" t="s">
        <v>109</v>
      </c>
      <c r="N4229" s="403">
        <v>720</v>
      </c>
      <c r="O4229" s="403">
        <v>1280</v>
      </c>
      <c r="P4229" t="str">
        <f t="shared" si="529"/>
        <v>25fps 2688x1512 - 720p</v>
      </c>
      <c r="Q4229">
        <f t="shared" si="530"/>
        <v>20</v>
      </c>
      <c r="R4229" t="str">
        <f t="shared" si="531"/>
        <v/>
      </c>
      <c r="S4229" t="str">
        <f t="shared" si="532"/>
        <v/>
      </c>
      <c r="T4229" s="403" t="str">
        <f t="shared" si="533"/>
        <v>NDE-8503-RT</v>
      </c>
      <c r="U4229" s="403">
        <f t="shared" si="534"/>
        <v>1</v>
      </c>
      <c r="V4229" s="403" t="str">
        <f t="shared" si="535"/>
        <v>CPP_7_3</v>
      </c>
    </row>
    <row r="4230" spans="1:22">
      <c r="A4230" t="str">
        <f t="shared" si="528"/>
        <v>NDE-8503-RT</v>
      </c>
      <c r="B4230" s="403" t="s">
        <v>1410</v>
      </c>
      <c r="C4230" s="403" t="s">
        <v>582</v>
      </c>
      <c r="D4230" s="403" t="s">
        <v>1414</v>
      </c>
      <c r="E4230" s="403" t="s">
        <v>1413</v>
      </c>
      <c r="F4230" s="403" t="s">
        <v>1385</v>
      </c>
      <c r="G4230" s="403" t="s">
        <v>1467</v>
      </c>
      <c r="H4230" s="403" t="s">
        <v>1276</v>
      </c>
      <c r="I4230" s="403">
        <v>1</v>
      </c>
      <c r="J4230" s="403" t="s">
        <v>1373</v>
      </c>
      <c r="K4230" s="403">
        <v>1512</v>
      </c>
      <c r="L4230" s="403">
        <v>2688</v>
      </c>
      <c r="M4230" s="403" t="s">
        <v>111</v>
      </c>
      <c r="N4230" s="403">
        <v>432</v>
      </c>
      <c r="O4230" s="403">
        <v>768</v>
      </c>
      <c r="P4230" t="str">
        <f t="shared" si="529"/>
        <v>25fps 2688x1512 - SD</v>
      </c>
      <c r="Q4230">
        <f t="shared" si="530"/>
        <v>20</v>
      </c>
      <c r="R4230" t="str">
        <f t="shared" si="531"/>
        <v/>
      </c>
      <c r="S4230" t="str">
        <f t="shared" si="532"/>
        <v/>
      </c>
      <c r="T4230" s="403" t="str">
        <f t="shared" si="533"/>
        <v>NDE-8503-RT</v>
      </c>
      <c r="U4230" s="403">
        <f t="shared" si="534"/>
        <v>1</v>
      </c>
      <c r="V4230" s="403" t="str">
        <f t="shared" si="535"/>
        <v>CPP_7_3</v>
      </c>
    </row>
    <row r="4231" spans="1:22">
      <c r="A4231" t="str">
        <f t="shared" si="528"/>
        <v>NDE-8503-RT</v>
      </c>
      <c r="B4231" s="403" t="s">
        <v>1410</v>
      </c>
      <c r="C4231" s="403" t="s">
        <v>582</v>
      </c>
      <c r="D4231" s="403" t="s">
        <v>1414</v>
      </c>
      <c r="E4231" s="403" t="s">
        <v>1413</v>
      </c>
      <c r="F4231" s="403" t="s">
        <v>1385</v>
      </c>
      <c r="G4231" s="403" t="s">
        <v>1467</v>
      </c>
      <c r="H4231" s="403" t="s">
        <v>1276</v>
      </c>
      <c r="I4231" s="403">
        <v>1</v>
      </c>
      <c r="J4231" s="403" t="s">
        <v>1373</v>
      </c>
      <c r="K4231" s="403">
        <v>1512</v>
      </c>
      <c r="L4231" s="403">
        <v>2688</v>
      </c>
      <c r="M4231" s="403" t="s">
        <v>1279</v>
      </c>
      <c r="N4231" s="403">
        <v>432</v>
      </c>
      <c r="O4231" s="403">
        <v>768</v>
      </c>
      <c r="P4231" t="str">
        <f t="shared" si="529"/>
        <v>25fps 2688x1512 - SD ROI PTZ</v>
      </c>
      <c r="Q4231">
        <f t="shared" si="530"/>
        <v>20</v>
      </c>
      <c r="R4231" t="str">
        <f t="shared" si="531"/>
        <v/>
      </c>
      <c r="S4231" t="str">
        <f t="shared" si="532"/>
        <v/>
      </c>
      <c r="T4231" s="403" t="str">
        <f t="shared" si="533"/>
        <v>NDE-8503-RT</v>
      </c>
      <c r="U4231" s="403">
        <f t="shared" si="534"/>
        <v>1</v>
      </c>
      <c r="V4231" s="403" t="str">
        <f t="shared" si="535"/>
        <v>CPP_7_3</v>
      </c>
    </row>
    <row r="4232" spans="1:22">
      <c r="A4232" t="str">
        <f t="shared" si="528"/>
        <v>NDE-8503-RT</v>
      </c>
      <c r="B4232" s="403" t="s">
        <v>1410</v>
      </c>
      <c r="C4232" s="403" t="s">
        <v>582</v>
      </c>
      <c r="D4232" s="403" t="s">
        <v>1414</v>
      </c>
      <c r="E4232" s="403" t="s">
        <v>1413</v>
      </c>
      <c r="F4232" s="403" t="s">
        <v>1385</v>
      </c>
      <c r="G4232" s="403" t="s">
        <v>1467</v>
      </c>
      <c r="H4232" s="403" t="s">
        <v>1276</v>
      </c>
      <c r="I4232" s="403">
        <v>1</v>
      </c>
      <c r="J4232" s="403" t="s">
        <v>1373</v>
      </c>
      <c r="K4232" s="403">
        <v>1512</v>
      </c>
      <c r="L4232" s="403">
        <v>2688</v>
      </c>
      <c r="M4232" s="403" t="s">
        <v>1285</v>
      </c>
      <c r="N4232" s="403">
        <v>1024</v>
      </c>
      <c r="O4232" s="403">
        <v>1280</v>
      </c>
      <c r="P4232" t="str">
        <f t="shared" si="529"/>
        <v>25fps 2688x1512 - 1280x1024 5:4 (cropped)</v>
      </c>
      <c r="Q4232">
        <f t="shared" si="530"/>
        <v>20</v>
      </c>
      <c r="R4232" t="str">
        <f t="shared" si="531"/>
        <v/>
      </c>
      <c r="S4232" t="str">
        <f t="shared" si="532"/>
        <v/>
      </c>
      <c r="T4232" s="403" t="str">
        <f t="shared" si="533"/>
        <v>NDE-8503-RT</v>
      </c>
      <c r="U4232" s="403">
        <f t="shared" si="534"/>
        <v>1</v>
      </c>
      <c r="V4232" s="403" t="str">
        <f t="shared" si="535"/>
        <v>CPP_7_3</v>
      </c>
    </row>
    <row r="4233" spans="1:22">
      <c r="A4233" t="str">
        <f t="shared" si="528"/>
        <v>NDE-8503-RT</v>
      </c>
      <c r="B4233" s="403" t="s">
        <v>1410</v>
      </c>
      <c r="C4233" s="403" t="s">
        <v>582</v>
      </c>
      <c r="D4233" s="403" t="s">
        <v>1414</v>
      </c>
      <c r="E4233" s="403" t="s">
        <v>1413</v>
      </c>
      <c r="F4233" s="403" t="s">
        <v>1385</v>
      </c>
      <c r="G4233" s="403" t="s">
        <v>1467</v>
      </c>
      <c r="H4233" s="403" t="s">
        <v>1276</v>
      </c>
      <c r="I4233" s="403">
        <v>1</v>
      </c>
      <c r="J4233" s="403" t="s">
        <v>1373</v>
      </c>
      <c r="K4233" s="403">
        <v>1512</v>
      </c>
      <c r="L4233" s="403">
        <v>2688</v>
      </c>
      <c r="M4233" s="403" t="s">
        <v>1283</v>
      </c>
      <c r="N4233" s="403">
        <v>576</v>
      </c>
      <c r="O4233" s="403">
        <v>720</v>
      </c>
      <c r="P4233" t="str">
        <f t="shared" si="529"/>
        <v>25fps 2688x1512 - SD 4CIF resolution 4:3 format (cropped)</v>
      </c>
      <c r="Q4233">
        <f t="shared" si="530"/>
        <v>20</v>
      </c>
      <c r="R4233" t="str">
        <f t="shared" si="531"/>
        <v/>
      </c>
      <c r="S4233" t="str">
        <f t="shared" si="532"/>
        <v/>
      </c>
      <c r="T4233" s="403" t="str">
        <f t="shared" si="533"/>
        <v>NDE-8503-RT</v>
      </c>
      <c r="U4233" s="403">
        <f t="shared" si="534"/>
        <v>1</v>
      </c>
      <c r="V4233" s="403" t="str">
        <f t="shared" si="535"/>
        <v>CPP_7_3</v>
      </c>
    </row>
    <row r="4234" spans="1:22">
      <c r="A4234" t="str">
        <f t="shared" si="528"/>
        <v>NDE-8503-RT</v>
      </c>
      <c r="B4234" s="403" t="s">
        <v>1410</v>
      </c>
      <c r="C4234" s="403" t="s">
        <v>582</v>
      </c>
      <c r="D4234" s="403" t="s">
        <v>1414</v>
      </c>
      <c r="E4234" s="403" t="s">
        <v>1413</v>
      </c>
      <c r="F4234" s="403" t="s">
        <v>1385</v>
      </c>
      <c r="G4234" s="403" t="s">
        <v>1467</v>
      </c>
      <c r="H4234" s="403" t="s">
        <v>1276</v>
      </c>
      <c r="I4234" s="403">
        <v>1</v>
      </c>
      <c r="J4234" s="403" t="s">
        <v>1373</v>
      </c>
      <c r="K4234" s="403">
        <v>1512</v>
      </c>
      <c r="L4234" s="403">
        <v>2688</v>
      </c>
      <c r="M4234" s="403" t="s">
        <v>1284</v>
      </c>
      <c r="N4234" s="403">
        <v>480</v>
      </c>
      <c r="O4234" s="403">
        <v>640</v>
      </c>
      <c r="P4234" t="str">
        <f t="shared" si="529"/>
        <v>25fps 2688x1512 - SD VGA (cropped)</v>
      </c>
      <c r="Q4234">
        <f t="shared" si="530"/>
        <v>20</v>
      </c>
      <c r="R4234" t="str">
        <f t="shared" si="531"/>
        <v/>
      </c>
      <c r="S4234" t="str">
        <f t="shared" si="532"/>
        <v/>
      </c>
      <c r="T4234" s="403" t="str">
        <f t="shared" si="533"/>
        <v>NDE-8503-RT</v>
      </c>
      <c r="U4234" s="403">
        <f t="shared" si="534"/>
        <v>1</v>
      </c>
      <c r="V4234" s="403" t="str">
        <f t="shared" si="535"/>
        <v>CPP_7_3</v>
      </c>
    </row>
    <row r="4235" spans="1:22">
      <c r="A4235" t="str">
        <f t="shared" si="528"/>
        <v>NDE-8503-RT</v>
      </c>
      <c r="B4235" s="403" t="s">
        <v>1410</v>
      </c>
      <c r="C4235" s="403" t="s">
        <v>582</v>
      </c>
      <c r="D4235" s="403" t="s">
        <v>1414</v>
      </c>
      <c r="E4235" s="403" t="s">
        <v>1413</v>
      </c>
      <c r="F4235" s="403" t="s">
        <v>1385</v>
      </c>
      <c r="G4235" s="403" t="s">
        <v>1467</v>
      </c>
      <c r="H4235" s="403" t="s">
        <v>1276</v>
      </c>
      <c r="I4235" s="403">
        <v>1</v>
      </c>
      <c r="J4235" s="403" t="s">
        <v>1373</v>
      </c>
      <c r="K4235" s="403">
        <v>1512</v>
      </c>
      <c r="L4235" s="403">
        <v>2688</v>
      </c>
      <c r="M4235" s="403" t="s">
        <v>1280</v>
      </c>
      <c r="N4235" s="403">
        <v>1512</v>
      </c>
      <c r="O4235" s="403">
        <v>2688</v>
      </c>
      <c r="P4235" t="str">
        <f t="shared" si="529"/>
        <v>25fps 2688x1512 - copy other stream</v>
      </c>
      <c r="Q4235">
        <f t="shared" si="530"/>
        <v>20</v>
      </c>
      <c r="R4235" t="str">
        <f t="shared" si="531"/>
        <v/>
      </c>
      <c r="S4235" t="str">
        <f t="shared" si="532"/>
        <v/>
      </c>
      <c r="T4235" s="403" t="str">
        <f t="shared" si="533"/>
        <v>NDE-8503-RT</v>
      </c>
      <c r="U4235" s="403">
        <f t="shared" si="534"/>
        <v>1</v>
      </c>
      <c r="V4235" s="403" t="str">
        <f t="shared" si="535"/>
        <v>CPP_7_3</v>
      </c>
    </row>
    <row r="4236" spans="1:22">
      <c r="A4236" t="str">
        <f t="shared" si="528"/>
        <v>NDE-8503-RT</v>
      </c>
      <c r="B4236" s="403" t="s">
        <v>1410</v>
      </c>
      <c r="C4236" s="403" t="s">
        <v>582</v>
      </c>
      <c r="D4236" s="403" t="s">
        <v>1414</v>
      </c>
      <c r="E4236" s="403" t="s">
        <v>1413</v>
      </c>
      <c r="F4236" s="403" t="s">
        <v>1385</v>
      </c>
      <c r="G4236" s="403" t="s">
        <v>1467</v>
      </c>
      <c r="H4236" s="403" t="s">
        <v>1276</v>
      </c>
      <c r="I4236" s="403">
        <v>1</v>
      </c>
      <c r="J4236" s="403" t="s">
        <v>1374</v>
      </c>
      <c r="K4236" s="403">
        <v>1296</v>
      </c>
      <c r="L4236" s="403">
        <v>2304</v>
      </c>
      <c r="M4236" s="403" t="s">
        <v>110</v>
      </c>
      <c r="N4236" s="403">
        <v>1080</v>
      </c>
      <c r="O4236" s="403">
        <v>1920</v>
      </c>
      <c r="P4236" t="str">
        <f t="shared" si="529"/>
        <v>25fps 2304x1296 - 1080p</v>
      </c>
      <c r="Q4236">
        <f t="shared" si="530"/>
        <v>20</v>
      </c>
      <c r="R4236" t="str">
        <f t="shared" si="531"/>
        <v/>
      </c>
      <c r="S4236" t="str">
        <f t="shared" si="532"/>
        <v/>
      </c>
      <c r="T4236" s="403" t="str">
        <f t="shared" si="533"/>
        <v>NDE-8503-RT</v>
      </c>
      <c r="U4236" s="403">
        <f t="shared" si="534"/>
        <v>1</v>
      </c>
      <c r="V4236" s="403" t="str">
        <f t="shared" si="535"/>
        <v>CPP_7_3</v>
      </c>
    </row>
    <row r="4237" spans="1:22">
      <c r="A4237" t="str">
        <f t="shared" si="528"/>
        <v>NDE-8503-RT</v>
      </c>
      <c r="B4237" s="403" t="s">
        <v>1410</v>
      </c>
      <c r="C4237" s="403" t="s">
        <v>582</v>
      </c>
      <c r="D4237" s="403" t="s">
        <v>1414</v>
      </c>
      <c r="E4237" s="403" t="s">
        <v>1413</v>
      </c>
      <c r="F4237" s="403" t="s">
        <v>1385</v>
      </c>
      <c r="G4237" s="403" t="s">
        <v>1467</v>
      </c>
      <c r="H4237" s="403" t="s">
        <v>1276</v>
      </c>
      <c r="I4237" s="403">
        <v>1</v>
      </c>
      <c r="J4237" s="403" t="s">
        <v>1374</v>
      </c>
      <c r="K4237" s="403">
        <v>1296</v>
      </c>
      <c r="L4237" s="403">
        <v>2304</v>
      </c>
      <c r="M4237" s="403" t="s">
        <v>1374</v>
      </c>
      <c r="N4237" s="403">
        <v>1296</v>
      </c>
      <c r="O4237" s="403">
        <v>2304</v>
      </c>
      <c r="P4237" t="str">
        <f t="shared" si="529"/>
        <v>25fps 2304x1296 - 2304x1296</v>
      </c>
      <c r="Q4237">
        <f t="shared" si="530"/>
        <v>20</v>
      </c>
      <c r="R4237" t="str">
        <f t="shared" si="531"/>
        <v/>
      </c>
      <c r="S4237" t="str">
        <f t="shared" si="532"/>
        <v/>
      </c>
      <c r="T4237" s="403" t="str">
        <f t="shared" si="533"/>
        <v>NDE-8503-RT</v>
      </c>
      <c r="U4237" s="403">
        <f t="shared" si="534"/>
        <v>1</v>
      </c>
      <c r="V4237" s="403" t="str">
        <f t="shared" si="535"/>
        <v>CPP_7_3</v>
      </c>
    </row>
    <row r="4238" spans="1:22">
      <c r="A4238" t="str">
        <f t="shared" si="528"/>
        <v>NDE-8503-RT</v>
      </c>
      <c r="B4238" s="403" t="s">
        <v>1410</v>
      </c>
      <c r="C4238" s="403" t="s">
        <v>582</v>
      </c>
      <c r="D4238" s="403" t="s">
        <v>1414</v>
      </c>
      <c r="E4238" s="403" t="s">
        <v>1413</v>
      </c>
      <c r="F4238" s="403" t="s">
        <v>1385</v>
      </c>
      <c r="G4238" s="403" t="s">
        <v>1467</v>
      </c>
      <c r="H4238" s="403" t="s">
        <v>1276</v>
      </c>
      <c r="I4238" s="403">
        <v>1</v>
      </c>
      <c r="J4238" s="403" t="s">
        <v>1374</v>
      </c>
      <c r="K4238" s="403">
        <v>1296</v>
      </c>
      <c r="L4238" s="403">
        <v>2304</v>
      </c>
      <c r="M4238" s="403" t="s">
        <v>109</v>
      </c>
      <c r="N4238" s="403">
        <v>720</v>
      </c>
      <c r="O4238" s="403">
        <v>1280</v>
      </c>
      <c r="P4238" t="str">
        <f t="shared" si="529"/>
        <v>25fps 2304x1296 - 720p</v>
      </c>
      <c r="Q4238">
        <f t="shared" si="530"/>
        <v>20</v>
      </c>
      <c r="R4238" t="str">
        <f t="shared" si="531"/>
        <v/>
      </c>
      <c r="S4238" t="str">
        <f t="shared" si="532"/>
        <v/>
      </c>
      <c r="T4238" s="403" t="str">
        <f t="shared" si="533"/>
        <v>NDE-8503-RT</v>
      </c>
      <c r="U4238" s="403">
        <f t="shared" si="534"/>
        <v>1</v>
      </c>
      <c r="V4238" s="403" t="str">
        <f t="shared" si="535"/>
        <v>CPP_7_3</v>
      </c>
    </row>
    <row r="4239" spans="1:22">
      <c r="A4239" t="str">
        <f t="shared" si="528"/>
        <v>NDE-8503-RT</v>
      </c>
      <c r="B4239" s="403" t="s">
        <v>1410</v>
      </c>
      <c r="C4239" s="403" t="s">
        <v>582</v>
      </c>
      <c r="D4239" s="403" t="s">
        <v>1414</v>
      </c>
      <c r="E4239" s="403" t="s">
        <v>1413</v>
      </c>
      <c r="F4239" s="403" t="s">
        <v>1385</v>
      </c>
      <c r="G4239" s="403" t="s">
        <v>1467</v>
      </c>
      <c r="H4239" s="403" t="s">
        <v>1276</v>
      </c>
      <c r="I4239" s="403">
        <v>1</v>
      </c>
      <c r="J4239" s="403" t="s">
        <v>1374</v>
      </c>
      <c r="K4239" s="403">
        <v>1296</v>
      </c>
      <c r="L4239" s="403">
        <v>2304</v>
      </c>
      <c r="M4239" s="403" t="s">
        <v>111</v>
      </c>
      <c r="N4239" s="403">
        <v>432</v>
      </c>
      <c r="O4239" s="403">
        <v>768</v>
      </c>
      <c r="P4239" t="str">
        <f t="shared" si="529"/>
        <v>25fps 2304x1296 - SD</v>
      </c>
      <c r="Q4239">
        <f t="shared" si="530"/>
        <v>20</v>
      </c>
      <c r="R4239" t="str">
        <f t="shared" si="531"/>
        <v/>
      </c>
      <c r="S4239" t="str">
        <f t="shared" si="532"/>
        <v/>
      </c>
      <c r="T4239" s="403" t="str">
        <f t="shared" si="533"/>
        <v>NDE-8503-RT</v>
      </c>
      <c r="U4239" s="403">
        <f t="shared" si="534"/>
        <v>1</v>
      </c>
      <c r="V4239" s="403" t="str">
        <f t="shared" si="535"/>
        <v>CPP_7_3</v>
      </c>
    </row>
    <row r="4240" spans="1:22">
      <c r="A4240" t="str">
        <f t="shared" si="528"/>
        <v>NDE-8503-RT</v>
      </c>
      <c r="B4240" s="403" t="s">
        <v>1410</v>
      </c>
      <c r="C4240" s="403" t="s">
        <v>582</v>
      </c>
      <c r="D4240" s="403" t="s">
        <v>1414</v>
      </c>
      <c r="E4240" s="403" t="s">
        <v>1413</v>
      </c>
      <c r="F4240" s="403" t="s">
        <v>1385</v>
      </c>
      <c r="G4240" s="403" t="s">
        <v>1467</v>
      </c>
      <c r="H4240" s="403" t="s">
        <v>1276</v>
      </c>
      <c r="I4240" s="403">
        <v>1</v>
      </c>
      <c r="J4240" s="403" t="s">
        <v>1374</v>
      </c>
      <c r="K4240" s="403">
        <v>1296</v>
      </c>
      <c r="L4240" s="403">
        <v>2304</v>
      </c>
      <c r="M4240" s="403" t="s">
        <v>1279</v>
      </c>
      <c r="N4240" s="403">
        <v>432</v>
      </c>
      <c r="O4240" s="403">
        <v>768</v>
      </c>
      <c r="P4240" t="str">
        <f t="shared" si="529"/>
        <v>25fps 2304x1296 - SD ROI PTZ</v>
      </c>
      <c r="Q4240">
        <f t="shared" si="530"/>
        <v>20</v>
      </c>
      <c r="R4240" t="str">
        <f t="shared" si="531"/>
        <v/>
      </c>
      <c r="S4240" t="str">
        <f t="shared" si="532"/>
        <v/>
      </c>
      <c r="T4240" s="403" t="str">
        <f t="shared" si="533"/>
        <v>NDE-8503-RT</v>
      </c>
      <c r="U4240" s="403">
        <f t="shared" si="534"/>
        <v>1</v>
      </c>
      <c r="V4240" s="403" t="str">
        <f t="shared" si="535"/>
        <v>CPP_7_3</v>
      </c>
    </row>
    <row r="4241" spans="1:22">
      <c r="A4241" t="str">
        <f t="shared" si="528"/>
        <v>NDE-8503-RT</v>
      </c>
      <c r="B4241" s="403" t="s">
        <v>1410</v>
      </c>
      <c r="C4241" s="403" t="s">
        <v>582</v>
      </c>
      <c r="D4241" s="403" t="s">
        <v>1414</v>
      </c>
      <c r="E4241" s="403" t="s">
        <v>1413</v>
      </c>
      <c r="F4241" s="403" t="s">
        <v>1385</v>
      </c>
      <c r="G4241" s="403" t="s">
        <v>1467</v>
      </c>
      <c r="H4241" s="403" t="s">
        <v>1276</v>
      </c>
      <c r="I4241" s="403">
        <v>1</v>
      </c>
      <c r="J4241" s="403" t="s">
        <v>1374</v>
      </c>
      <c r="K4241" s="403">
        <v>1296</v>
      </c>
      <c r="L4241" s="403">
        <v>2304</v>
      </c>
      <c r="M4241" s="403" t="s">
        <v>1285</v>
      </c>
      <c r="N4241" s="403">
        <v>1024</v>
      </c>
      <c r="O4241" s="403">
        <v>1280</v>
      </c>
      <c r="P4241" t="str">
        <f t="shared" si="529"/>
        <v>25fps 2304x1296 - 1280x1024 5:4 (cropped)</v>
      </c>
      <c r="Q4241">
        <f t="shared" si="530"/>
        <v>20</v>
      </c>
      <c r="R4241" t="str">
        <f t="shared" si="531"/>
        <v/>
      </c>
      <c r="S4241" t="str">
        <f t="shared" si="532"/>
        <v/>
      </c>
      <c r="T4241" s="403" t="str">
        <f t="shared" si="533"/>
        <v>NDE-8503-RT</v>
      </c>
      <c r="U4241" s="403">
        <f t="shared" si="534"/>
        <v>1</v>
      </c>
      <c r="V4241" s="403" t="str">
        <f t="shared" si="535"/>
        <v>CPP_7_3</v>
      </c>
    </row>
    <row r="4242" spans="1:22">
      <c r="A4242" t="str">
        <f t="shared" si="528"/>
        <v>NDE-8503-RT</v>
      </c>
      <c r="B4242" s="403" t="s">
        <v>1410</v>
      </c>
      <c r="C4242" s="403" t="s">
        <v>582</v>
      </c>
      <c r="D4242" s="403" t="s">
        <v>1414</v>
      </c>
      <c r="E4242" s="403" t="s">
        <v>1413</v>
      </c>
      <c r="F4242" s="403" t="s">
        <v>1385</v>
      </c>
      <c r="G4242" s="403" t="s">
        <v>1467</v>
      </c>
      <c r="H4242" s="403" t="s">
        <v>1276</v>
      </c>
      <c r="I4242" s="403">
        <v>1</v>
      </c>
      <c r="J4242" s="403" t="s">
        <v>1374</v>
      </c>
      <c r="K4242" s="403">
        <v>1296</v>
      </c>
      <c r="L4242" s="403">
        <v>2304</v>
      </c>
      <c r="M4242" s="403" t="s">
        <v>1283</v>
      </c>
      <c r="N4242" s="403">
        <v>576</v>
      </c>
      <c r="O4242" s="403">
        <v>720</v>
      </c>
      <c r="P4242" t="str">
        <f t="shared" si="529"/>
        <v>25fps 2304x1296 - SD 4CIF resolution 4:3 format (cropped)</v>
      </c>
      <c r="Q4242">
        <f t="shared" si="530"/>
        <v>20</v>
      </c>
      <c r="R4242" t="str">
        <f t="shared" si="531"/>
        <v/>
      </c>
      <c r="S4242" t="str">
        <f t="shared" si="532"/>
        <v/>
      </c>
      <c r="T4242" s="403" t="str">
        <f t="shared" si="533"/>
        <v>NDE-8503-RT</v>
      </c>
      <c r="U4242" s="403">
        <f t="shared" si="534"/>
        <v>1</v>
      </c>
      <c r="V4242" s="403" t="str">
        <f t="shared" si="535"/>
        <v>CPP_7_3</v>
      </c>
    </row>
    <row r="4243" spans="1:22">
      <c r="A4243" t="str">
        <f t="shared" si="528"/>
        <v>NDE-8503-RT</v>
      </c>
      <c r="B4243" s="403" t="s">
        <v>1410</v>
      </c>
      <c r="C4243" s="403" t="s">
        <v>582</v>
      </c>
      <c r="D4243" s="403" t="s">
        <v>1414</v>
      </c>
      <c r="E4243" s="403" t="s">
        <v>1413</v>
      </c>
      <c r="F4243" s="403" t="s">
        <v>1385</v>
      </c>
      <c r="G4243" s="403" t="s">
        <v>1467</v>
      </c>
      <c r="H4243" s="403" t="s">
        <v>1276</v>
      </c>
      <c r="I4243" s="403">
        <v>1</v>
      </c>
      <c r="J4243" s="403" t="s">
        <v>1374</v>
      </c>
      <c r="K4243" s="403">
        <v>1296</v>
      </c>
      <c r="L4243" s="403">
        <v>2304</v>
      </c>
      <c r="M4243" s="403" t="s">
        <v>1284</v>
      </c>
      <c r="N4243" s="403">
        <v>480</v>
      </c>
      <c r="O4243" s="403">
        <v>640</v>
      </c>
      <c r="P4243" t="str">
        <f t="shared" si="529"/>
        <v>25fps 2304x1296 - SD VGA (cropped)</v>
      </c>
      <c r="Q4243">
        <f t="shared" si="530"/>
        <v>20</v>
      </c>
      <c r="R4243" t="str">
        <f t="shared" si="531"/>
        <v/>
      </c>
      <c r="S4243" t="str">
        <f t="shared" si="532"/>
        <v/>
      </c>
      <c r="T4243" s="403" t="str">
        <f t="shared" si="533"/>
        <v>NDE-8503-RT</v>
      </c>
      <c r="U4243" s="403">
        <f t="shared" si="534"/>
        <v>1</v>
      </c>
      <c r="V4243" s="403" t="str">
        <f t="shared" si="535"/>
        <v>CPP_7_3</v>
      </c>
    </row>
    <row r="4244" spans="1:22">
      <c r="A4244" t="str">
        <f t="shared" si="528"/>
        <v>NDE-8503-RT</v>
      </c>
      <c r="B4244" s="403" t="s">
        <v>1410</v>
      </c>
      <c r="C4244" s="403" t="s">
        <v>582</v>
      </c>
      <c r="D4244" s="403" t="s">
        <v>1414</v>
      </c>
      <c r="E4244" s="403" t="s">
        <v>1413</v>
      </c>
      <c r="F4244" s="403" t="s">
        <v>1385</v>
      </c>
      <c r="G4244" s="403" t="s">
        <v>1467</v>
      </c>
      <c r="H4244" s="403" t="s">
        <v>1276</v>
      </c>
      <c r="I4244" s="403">
        <v>1</v>
      </c>
      <c r="J4244" s="403" t="s">
        <v>1374</v>
      </c>
      <c r="K4244" s="403">
        <v>1296</v>
      </c>
      <c r="L4244" s="403">
        <v>2304</v>
      </c>
      <c r="M4244" s="403" t="s">
        <v>1280</v>
      </c>
      <c r="N4244" s="403">
        <v>1296</v>
      </c>
      <c r="O4244" s="403">
        <v>2304</v>
      </c>
      <c r="P4244" t="str">
        <f t="shared" si="529"/>
        <v>25fps 2304x1296 - copy other stream</v>
      </c>
      <c r="Q4244">
        <f t="shared" si="530"/>
        <v>20</v>
      </c>
      <c r="R4244" t="str">
        <f t="shared" si="531"/>
        <v/>
      </c>
      <c r="S4244" t="str">
        <f t="shared" si="532"/>
        <v/>
      </c>
      <c r="T4244" s="403" t="str">
        <f t="shared" si="533"/>
        <v>NDE-8503-RT</v>
      </c>
      <c r="U4244" s="403">
        <f t="shared" si="534"/>
        <v>1</v>
      </c>
      <c r="V4244" s="403" t="str">
        <f t="shared" si="535"/>
        <v>CPP_7_3</v>
      </c>
    </row>
    <row r="4245" spans="1:22">
      <c r="A4245" t="str">
        <f t="shared" si="528"/>
        <v>NDE-8503-RT</v>
      </c>
      <c r="B4245" s="403" t="s">
        <v>1410</v>
      </c>
      <c r="C4245" s="403" t="s">
        <v>582</v>
      </c>
      <c r="D4245" s="403" t="s">
        <v>1414</v>
      </c>
      <c r="E4245" s="403" t="s">
        <v>1413</v>
      </c>
      <c r="F4245" s="403" t="s">
        <v>1385</v>
      </c>
      <c r="G4245" s="403" t="s">
        <v>1467</v>
      </c>
      <c r="H4245" s="403" t="s">
        <v>1276</v>
      </c>
      <c r="I4245" s="403">
        <v>1</v>
      </c>
      <c r="J4245" s="403" t="s">
        <v>110</v>
      </c>
      <c r="K4245" s="403">
        <v>1080</v>
      </c>
      <c r="L4245" s="403">
        <v>1920</v>
      </c>
      <c r="M4245" s="403" t="s">
        <v>111</v>
      </c>
      <c r="N4245" s="403">
        <v>432</v>
      </c>
      <c r="O4245" s="403">
        <v>768</v>
      </c>
      <c r="P4245" t="str">
        <f t="shared" si="529"/>
        <v>25fps 1080p - SD</v>
      </c>
      <c r="Q4245">
        <f t="shared" si="530"/>
        <v>20</v>
      </c>
      <c r="R4245" t="str">
        <f t="shared" si="531"/>
        <v/>
      </c>
      <c r="S4245" t="str">
        <f t="shared" si="532"/>
        <v/>
      </c>
      <c r="T4245" s="403" t="str">
        <f t="shared" si="533"/>
        <v>NDE-8503-RT</v>
      </c>
      <c r="U4245" s="403">
        <f t="shared" si="534"/>
        <v>1</v>
      </c>
      <c r="V4245" s="403" t="str">
        <f t="shared" si="535"/>
        <v>CPP_7_3</v>
      </c>
    </row>
    <row r="4246" spans="1:22">
      <c r="A4246" t="str">
        <f t="shared" si="528"/>
        <v>NDE-8503-RT</v>
      </c>
      <c r="B4246" s="403" t="s">
        <v>1410</v>
      </c>
      <c r="C4246" s="403" t="s">
        <v>582</v>
      </c>
      <c r="D4246" s="403" t="s">
        <v>1414</v>
      </c>
      <c r="E4246" s="403" t="s">
        <v>1413</v>
      </c>
      <c r="F4246" s="403" t="s">
        <v>1385</v>
      </c>
      <c r="G4246" s="403" t="s">
        <v>1467</v>
      </c>
      <c r="H4246" s="403" t="s">
        <v>1276</v>
      </c>
      <c r="I4246" s="403">
        <v>1</v>
      </c>
      <c r="J4246" s="403" t="s">
        <v>110</v>
      </c>
      <c r="K4246" s="403">
        <v>1080</v>
      </c>
      <c r="L4246" s="403">
        <v>1920</v>
      </c>
      <c r="M4246" s="403" t="s">
        <v>110</v>
      </c>
      <c r="N4246" s="403">
        <v>1080</v>
      </c>
      <c r="O4246" s="403">
        <v>1920</v>
      </c>
      <c r="P4246" t="str">
        <f t="shared" si="529"/>
        <v>25fps 1080p - 1080p</v>
      </c>
      <c r="Q4246">
        <f t="shared" si="530"/>
        <v>20</v>
      </c>
      <c r="R4246" t="str">
        <f t="shared" si="531"/>
        <v/>
      </c>
      <c r="S4246" t="str">
        <f t="shared" si="532"/>
        <v/>
      </c>
      <c r="T4246" s="403" t="str">
        <f t="shared" si="533"/>
        <v>NDE-8503-RT</v>
      </c>
      <c r="U4246" s="403">
        <f t="shared" si="534"/>
        <v>1</v>
      </c>
      <c r="V4246" s="403" t="str">
        <f t="shared" si="535"/>
        <v>CPP_7_3</v>
      </c>
    </row>
    <row r="4247" spans="1:22">
      <c r="A4247" t="str">
        <f t="shared" si="528"/>
        <v>NDE-8503-RT</v>
      </c>
      <c r="B4247" s="403" t="s">
        <v>1410</v>
      </c>
      <c r="C4247" s="403" t="s">
        <v>582</v>
      </c>
      <c r="D4247" s="403" t="s">
        <v>1414</v>
      </c>
      <c r="E4247" s="403" t="s">
        <v>1413</v>
      </c>
      <c r="F4247" s="403" t="s">
        <v>1385</v>
      </c>
      <c r="G4247" s="403" t="s">
        <v>1467</v>
      </c>
      <c r="H4247" s="403" t="s">
        <v>1276</v>
      </c>
      <c r="I4247" s="403">
        <v>1</v>
      </c>
      <c r="J4247" s="403" t="s">
        <v>110</v>
      </c>
      <c r="K4247" s="403">
        <v>1080</v>
      </c>
      <c r="L4247" s="403">
        <v>1920</v>
      </c>
      <c r="M4247" s="403" t="s">
        <v>109</v>
      </c>
      <c r="N4247" s="403">
        <v>720</v>
      </c>
      <c r="O4247" s="403">
        <v>1280</v>
      </c>
      <c r="P4247" t="str">
        <f t="shared" si="529"/>
        <v>25fps 1080p - 720p</v>
      </c>
      <c r="Q4247">
        <f t="shared" si="530"/>
        <v>20</v>
      </c>
      <c r="R4247" t="str">
        <f t="shared" si="531"/>
        <v/>
      </c>
      <c r="S4247" t="str">
        <f t="shared" si="532"/>
        <v/>
      </c>
      <c r="T4247" s="403" t="str">
        <f t="shared" si="533"/>
        <v>NDE-8503-RT</v>
      </c>
      <c r="U4247" s="403">
        <f t="shared" si="534"/>
        <v>1</v>
      </c>
      <c r="V4247" s="403" t="str">
        <f t="shared" si="535"/>
        <v>CPP_7_3</v>
      </c>
    </row>
    <row r="4248" spans="1:22">
      <c r="A4248" t="str">
        <f t="shared" si="528"/>
        <v>NDE-8503-RT</v>
      </c>
      <c r="B4248" s="403" t="s">
        <v>1410</v>
      </c>
      <c r="C4248" s="403" t="s">
        <v>582</v>
      </c>
      <c r="D4248" s="403" t="s">
        <v>1414</v>
      </c>
      <c r="E4248" s="403" t="s">
        <v>1413</v>
      </c>
      <c r="F4248" s="403" t="s">
        <v>1385</v>
      </c>
      <c r="G4248" s="403" t="s">
        <v>1467</v>
      </c>
      <c r="H4248" s="403" t="s">
        <v>1276</v>
      </c>
      <c r="I4248" s="403">
        <v>1</v>
      </c>
      <c r="J4248" s="403" t="s">
        <v>110</v>
      </c>
      <c r="K4248" s="403">
        <v>1080</v>
      </c>
      <c r="L4248" s="403">
        <v>1920</v>
      </c>
      <c r="M4248" s="403" t="s">
        <v>1285</v>
      </c>
      <c r="N4248" s="403">
        <v>1024</v>
      </c>
      <c r="O4248" s="403">
        <v>1280</v>
      </c>
      <c r="P4248" t="str">
        <f t="shared" si="529"/>
        <v>25fps 1080p - 1280x1024 5:4 (cropped)</v>
      </c>
      <c r="Q4248">
        <f t="shared" si="530"/>
        <v>20</v>
      </c>
      <c r="R4248" t="str">
        <f t="shared" si="531"/>
        <v/>
      </c>
      <c r="S4248" t="str">
        <f t="shared" si="532"/>
        <v/>
      </c>
      <c r="T4248" s="403" t="str">
        <f t="shared" si="533"/>
        <v>NDE-8503-RT</v>
      </c>
      <c r="U4248" s="403">
        <f t="shared" si="534"/>
        <v>1</v>
      </c>
      <c r="V4248" s="403" t="str">
        <f t="shared" si="535"/>
        <v>CPP_7_3</v>
      </c>
    </row>
    <row r="4249" spans="1:22">
      <c r="A4249" t="str">
        <f t="shared" si="528"/>
        <v>NDE-8503-RT</v>
      </c>
      <c r="B4249" s="403" t="s">
        <v>1410</v>
      </c>
      <c r="C4249" s="403" t="s">
        <v>582</v>
      </c>
      <c r="D4249" s="403" t="s">
        <v>1414</v>
      </c>
      <c r="E4249" s="403" t="s">
        <v>1413</v>
      </c>
      <c r="F4249" s="403" t="s">
        <v>1385</v>
      </c>
      <c r="G4249" s="403" t="s">
        <v>1467</v>
      </c>
      <c r="H4249" s="403" t="s">
        <v>1276</v>
      </c>
      <c r="I4249" s="403">
        <v>1</v>
      </c>
      <c r="J4249" s="403" t="s">
        <v>110</v>
      </c>
      <c r="K4249" s="403">
        <v>1080</v>
      </c>
      <c r="L4249" s="403">
        <v>1920</v>
      </c>
      <c r="M4249" s="403" t="s">
        <v>1279</v>
      </c>
      <c r="N4249" s="403">
        <v>432</v>
      </c>
      <c r="O4249" s="403">
        <v>768</v>
      </c>
      <c r="P4249" t="str">
        <f t="shared" si="529"/>
        <v>25fps 1080p - SD ROI PTZ</v>
      </c>
      <c r="Q4249">
        <f t="shared" si="530"/>
        <v>20</v>
      </c>
      <c r="R4249" t="str">
        <f t="shared" si="531"/>
        <v/>
      </c>
      <c r="S4249" t="str">
        <f t="shared" si="532"/>
        <v/>
      </c>
      <c r="T4249" s="403" t="str">
        <f t="shared" si="533"/>
        <v>NDE-8503-RT</v>
      </c>
      <c r="U4249" s="403">
        <f t="shared" si="534"/>
        <v>1</v>
      </c>
      <c r="V4249" s="403" t="str">
        <f t="shared" si="535"/>
        <v>CPP_7_3</v>
      </c>
    </row>
    <row r="4250" spans="1:22">
      <c r="A4250" t="str">
        <f t="shared" si="528"/>
        <v>NDE-8503-RT</v>
      </c>
      <c r="B4250" s="403" t="s">
        <v>1410</v>
      </c>
      <c r="C4250" s="403" t="s">
        <v>582</v>
      </c>
      <c r="D4250" s="403" t="s">
        <v>1414</v>
      </c>
      <c r="E4250" s="403" t="s">
        <v>1413</v>
      </c>
      <c r="F4250" s="403" t="s">
        <v>1385</v>
      </c>
      <c r="G4250" s="403" t="s">
        <v>1467</v>
      </c>
      <c r="H4250" s="403" t="s">
        <v>1276</v>
      </c>
      <c r="I4250" s="403">
        <v>1</v>
      </c>
      <c r="J4250" s="403" t="s">
        <v>110</v>
      </c>
      <c r="K4250" s="403">
        <v>1080</v>
      </c>
      <c r="L4250" s="403">
        <v>1920</v>
      </c>
      <c r="M4250" s="403" t="s">
        <v>1283</v>
      </c>
      <c r="N4250" s="403">
        <v>576</v>
      </c>
      <c r="O4250" s="403">
        <v>720</v>
      </c>
      <c r="P4250" t="str">
        <f t="shared" si="529"/>
        <v>25fps 1080p - SD 4CIF resolution 4:3 format (cropped)</v>
      </c>
      <c r="Q4250">
        <f t="shared" si="530"/>
        <v>20</v>
      </c>
      <c r="R4250" t="str">
        <f t="shared" si="531"/>
        <v/>
      </c>
      <c r="S4250" t="str">
        <f t="shared" si="532"/>
        <v/>
      </c>
      <c r="T4250" s="403" t="str">
        <f t="shared" si="533"/>
        <v>NDE-8503-RT</v>
      </c>
      <c r="U4250" s="403">
        <f t="shared" si="534"/>
        <v>1</v>
      </c>
      <c r="V4250" s="403" t="str">
        <f t="shared" si="535"/>
        <v>CPP_7_3</v>
      </c>
    </row>
    <row r="4251" spans="1:22">
      <c r="A4251" t="str">
        <f t="shared" si="528"/>
        <v>NDE-8503-RT</v>
      </c>
      <c r="B4251" s="403" t="s">
        <v>1410</v>
      </c>
      <c r="C4251" s="403" t="s">
        <v>582</v>
      </c>
      <c r="D4251" s="403" t="s">
        <v>1414</v>
      </c>
      <c r="E4251" s="403" t="s">
        <v>1413</v>
      </c>
      <c r="F4251" s="403" t="s">
        <v>1385</v>
      </c>
      <c r="G4251" s="403" t="s">
        <v>1467</v>
      </c>
      <c r="H4251" s="403" t="s">
        <v>1276</v>
      </c>
      <c r="I4251" s="403">
        <v>1</v>
      </c>
      <c r="J4251" s="403" t="s">
        <v>110</v>
      </c>
      <c r="K4251" s="403">
        <v>1080</v>
      </c>
      <c r="L4251" s="403">
        <v>1920</v>
      </c>
      <c r="M4251" s="403" t="s">
        <v>1284</v>
      </c>
      <c r="N4251" s="403">
        <v>480</v>
      </c>
      <c r="O4251" s="403">
        <v>640</v>
      </c>
      <c r="P4251" t="str">
        <f t="shared" si="529"/>
        <v>25fps 1080p - SD VGA (cropped)</v>
      </c>
      <c r="Q4251">
        <f t="shared" si="530"/>
        <v>20</v>
      </c>
      <c r="R4251" t="str">
        <f t="shared" si="531"/>
        <v/>
      </c>
      <c r="S4251" t="str">
        <f t="shared" si="532"/>
        <v/>
      </c>
      <c r="T4251" s="403" t="str">
        <f t="shared" si="533"/>
        <v>NDE-8503-RT</v>
      </c>
      <c r="U4251" s="403">
        <f t="shared" si="534"/>
        <v>1</v>
      </c>
      <c r="V4251" s="403" t="str">
        <f t="shared" si="535"/>
        <v>CPP_7_3</v>
      </c>
    </row>
    <row r="4252" spans="1:22">
      <c r="A4252" t="str">
        <f t="shared" si="528"/>
        <v>NDE-8503-RT</v>
      </c>
      <c r="B4252" s="403" t="s">
        <v>1410</v>
      </c>
      <c r="C4252" s="403" t="s">
        <v>582</v>
      </c>
      <c r="D4252" s="403" t="s">
        <v>1414</v>
      </c>
      <c r="E4252" s="403" t="s">
        <v>1413</v>
      </c>
      <c r="F4252" s="403" t="s">
        <v>1385</v>
      </c>
      <c r="G4252" s="403" t="s">
        <v>1467</v>
      </c>
      <c r="H4252" s="403" t="s">
        <v>1276</v>
      </c>
      <c r="I4252" s="403">
        <v>1</v>
      </c>
      <c r="J4252" s="403" t="s">
        <v>109</v>
      </c>
      <c r="K4252" s="403">
        <v>720</v>
      </c>
      <c r="L4252" s="403">
        <v>1280</v>
      </c>
      <c r="M4252" s="403" t="s">
        <v>109</v>
      </c>
      <c r="N4252" s="403">
        <v>720</v>
      </c>
      <c r="O4252" s="403">
        <v>1280</v>
      </c>
      <c r="P4252" t="str">
        <f t="shared" si="529"/>
        <v>25fps 720p - 720p</v>
      </c>
      <c r="Q4252">
        <f t="shared" si="530"/>
        <v>20</v>
      </c>
      <c r="R4252" t="str">
        <f t="shared" si="531"/>
        <v/>
      </c>
      <c r="S4252" t="str">
        <f t="shared" si="532"/>
        <v/>
      </c>
      <c r="T4252" s="403" t="str">
        <f t="shared" si="533"/>
        <v>NDE-8503-RT</v>
      </c>
      <c r="U4252" s="403">
        <f t="shared" si="534"/>
        <v>1</v>
      </c>
      <c r="V4252" s="403" t="str">
        <f t="shared" si="535"/>
        <v>CPP_7_3</v>
      </c>
    </row>
    <row r="4253" spans="1:22">
      <c r="A4253" t="str">
        <f t="shared" si="528"/>
        <v>NDE-8503-RT</v>
      </c>
      <c r="B4253" s="403" t="s">
        <v>1410</v>
      </c>
      <c r="C4253" s="403" t="s">
        <v>582</v>
      </c>
      <c r="D4253" s="403" t="s">
        <v>1414</v>
      </c>
      <c r="E4253" s="403" t="s">
        <v>1413</v>
      </c>
      <c r="F4253" s="403" t="s">
        <v>1385</v>
      </c>
      <c r="G4253" s="403" t="s">
        <v>1467</v>
      </c>
      <c r="H4253" s="403" t="s">
        <v>1276</v>
      </c>
      <c r="I4253" s="403">
        <v>1</v>
      </c>
      <c r="J4253" s="403" t="s">
        <v>109</v>
      </c>
      <c r="K4253" s="403">
        <v>720</v>
      </c>
      <c r="L4253" s="403">
        <v>1280</v>
      </c>
      <c r="M4253" s="403" t="s">
        <v>111</v>
      </c>
      <c r="N4253" s="403">
        <v>432</v>
      </c>
      <c r="O4253" s="403">
        <v>768</v>
      </c>
      <c r="P4253" t="str">
        <f t="shared" si="529"/>
        <v>25fps 720p - SD</v>
      </c>
      <c r="Q4253">
        <f t="shared" si="530"/>
        <v>20</v>
      </c>
      <c r="R4253" t="str">
        <f t="shared" si="531"/>
        <v/>
      </c>
      <c r="S4253" t="str">
        <f t="shared" si="532"/>
        <v/>
      </c>
      <c r="T4253" s="403" t="str">
        <f t="shared" si="533"/>
        <v>NDE-8503-RT</v>
      </c>
      <c r="U4253" s="403">
        <f t="shared" si="534"/>
        <v>1</v>
      </c>
      <c r="V4253" s="403" t="str">
        <f t="shared" si="535"/>
        <v>CPP_7_3</v>
      </c>
    </row>
    <row r="4254" spans="1:22">
      <c r="A4254" t="str">
        <f t="shared" si="528"/>
        <v>NDE-8503-RT</v>
      </c>
      <c r="B4254" s="403" t="s">
        <v>1410</v>
      </c>
      <c r="C4254" s="403" t="s">
        <v>582</v>
      </c>
      <c r="D4254" s="403" t="s">
        <v>1414</v>
      </c>
      <c r="E4254" s="403" t="s">
        <v>1413</v>
      </c>
      <c r="F4254" s="403" t="s">
        <v>1385</v>
      </c>
      <c r="G4254" s="403" t="s">
        <v>1467</v>
      </c>
      <c r="H4254" s="403" t="s">
        <v>1276</v>
      </c>
      <c r="I4254" s="403">
        <v>1</v>
      </c>
      <c r="J4254" s="403" t="s">
        <v>109</v>
      </c>
      <c r="K4254" s="403">
        <v>720</v>
      </c>
      <c r="L4254" s="403">
        <v>1280</v>
      </c>
      <c r="M4254" s="403" t="s">
        <v>1279</v>
      </c>
      <c r="N4254" s="403">
        <v>432</v>
      </c>
      <c r="O4254" s="403">
        <v>768</v>
      </c>
      <c r="P4254" t="str">
        <f t="shared" si="529"/>
        <v>25fps 720p - SD ROI PTZ</v>
      </c>
      <c r="Q4254">
        <f t="shared" si="530"/>
        <v>20</v>
      </c>
      <c r="R4254" t="str">
        <f t="shared" si="531"/>
        <v/>
      </c>
      <c r="S4254" t="str">
        <f t="shared" si="532"/>
        <v/>
      </c>
      <c r="T4254" s="403" t="str">
        <f t="shared" si="533"/>
        <v>NDE-8503-RT</v>
      </c>
      <c r="U4254" s="403">
        <f t="shared" si="534"/>
        <v>1</v>
      </c>
      <c r="V4254" s="403" t="str">
        <f t="shared" si="535"/>
        <v>CPP_7_3</v>
      </c>
    </row>
    <row r="4255" spans="1:22">
      <c r="A4255" t="str">
        <f t="shared" si="528"/>
        <v>NDE-8503-RT</v>
      </c>
      <c r="B4255" s="403" t="s">
        <v>1410</v>
      </c>
      <c r="C4255" s="403" t="s">
        <v>582</v>
      </c>
      <c r="D4255" s="403" t="s">
        <v>1414</v>
      </c>
      <c r="E4255" s="403" t="s">
        <v>1413</v>
      </c>
      <c r="F4255" s="403" t="s">
        <v>1385</v>
      </c>
      <c r="G4255" s="403" t="s">
        <v>1467</v>
      </c>
      <c r="H4255" s="403" t="s">
        <v>1276</v>
      </c>
      <c r="I4255" s="403">
        <v>1</v>
      </c>
      <c r="J4255" s="403" t="s">
        <v>109</v>
      </c>
      <c r="K4255" s="403">
        <v>720</v>
      </c>
      <c r="L4255" s="403">
        <v>1280</v>
      </c>
      <c r="M4255" s="403" t="s">
        <v>1283</v>
      </c>
      <c r="N4255" s="403">
        <v>576</v>
      </c>
      <c r="O4255" s="403">
        <v>720</v>
      </c>
      <c r="P4255" t="str">
        <f t="shared" si="529"/>
        <v>25fps 720p - SD 4CIF resolution 4:3 format (cropped)</v>
      </c>
      <c r="Q4255">
        <f t="shared" si="530"/>
        <v>20</v>
      </c>
      <c r="R4255" t="str">
        <f t="shared" si="531"/>
        <v/>
      </c>
      <c r="S4255" t="str">
        <f t="shared" si="532"/>
        <v/>
      </c>
      <c r="T4255" s="403" t="str">
        <f t="shared" si="533"/>
        <v>NDE-8503-RT</v>
      </c>
      <c r="U4255" s="403">
        <f t="shared" si="534"/>
        <v>1</v>
      </c>
      <c r="V4255" s="403" t="str">
        <f t="shared" si="535"/>
        <v>CPP_7_3</v>
      </c>
    </row>
    <row r="4256" spans="1:22">
      <c r="A4256" t="str">
        <f t="shared" si="528"/>
        <v>NDE-8503-RT</v>
      </c>
      <c r="B4256" s="403" t="s">
        <v>1410</v>
      </c>
      <c r="C4256" s="403" t="s">
        <v>582</v>
      </c>
      <c r="D4256" s="403" t="s">
        <v>1414</v>
      </c>
      <c r="E4256" s="403" t="s">
        <v>1413</v>
      </c>
      <c r="F4256" s="403" t="s">
        <v>1385</v>
      </c>
      <c r="G4256" s="403" t="s">
        <v>1467</v>
      </c>
      <c r="H4256" s="403" t="s">
        <v>1276</v>
      </c>
      <c r="I4256" s="403">
        <v>1</v>
      </c>
      <c r="J4256" s="403" t="s">
        <v>109</v>
      </c>
      <c r="K4256" s="403">
        <v>720</v>
      </c>
      <c r="L4256" s="403">
        <v>1280</v>
      </c>
      <c r="M4256" s="403" t="s">
        <v>1284</v>
      </c>
      <c r="N4256" s="403">
        <v>480</v>
      </c>
      <c r="O4256" s="403">
        <v>640</v>
      </c>
      <c r="P4256" t="str">
        <f t="shared" si="529"/>
        <v>25fps 720p - SD VGA (cropped)</v>
      </c>
      <c r="Q4256">
        <f t="shared" si="530"/>
        <v>20</v>
      </c>
      <c r="R4256" t="str">
        <f t="shared" si="531"/>
        <v/>
      </c>
      <c r="S4256" t="str">
        <f t="shared" si="532"/>
        <v/>
      </c>
      <c r="T4256" s="403" t="str">
        <f t="shared" si="533"/>
        <v>NDE-8503-RT</v>
      </c>
      <c r="U4256" s="403">
        <f t="shared" si="534"/>
        <v>1</v>
      </c>
      <c r="V4256" s="403" t="str">
        <f t="shared" si="535"/>
        <v>CPP_7_3</v>
      </c>
    </row>
    <row r="4257" spans="1:22">
      <c r="A4257" t="str">
        <f t="shared" si="528"/>
        <v>NDE-8503-RT</v>
      </c>
      <c r="B4257" s="403" t="s">
        <v>1410</v>
      </c>
      <c r="C4257" s="403" t="s">
        <v>582</v>
      </c>
      <c r="D4257" s="403" t="s">
        <v>1414</v>
      </c>
      <c r="E4257" s="403" t="s">
        <v>1413</v>
      </c>
      <c r="F4257" s="403" t="s">
        <v>1385</v>
      </c>
      <c r="G4257" s="403" t="s">
        <v>1467</v>
      </c>
      <c r="H4257" s="403" t="s">
        <v>1281</v>
      </c>
      <c r="I4257" s="403">
        <v>1</v>
      </c>
      <c r="J4257" s="403" t="s">
        <v>1376</v>
      </c>
      <c r="K4257" s="403">
        <v>1728</v>
      </c>
      <c r="L4257" s="403">
        <v>3072</v>
      </c>
      <c r="M4257" s="403" t="s">
        <v>111</v>
      </c>
      <c r="N4257" s="403">
        <v>432</v>
      </c>
      <c r="O4257" s="403">
        <v>768</v>
      </c>
      <c r="P4257" t="str">
        <f t="shared" si="529"/>
        <v>25fps 3072x1728 - SD</v>
      </c>
      <c r="Q4257">
        <f t="shared" si="530"/>
        <v>20</v>
      </c>
      <c r="R4257" t="str">
        <f t="shared" si="531"/>
        <v/>
      </c>
      <c r="S4257" t="str">
        <f t="shared" si="532"/>
        <v/>
      </c>
      <c r="T4257" s="403" t="str">
        <f t="shared" si="533"/>
        <v>NDE-8503-RT</v>
      </c>
      <c r="U4257" s="403">
        <f t="shared" si="534"/>
        <v>1</v>
      </c>
      <c r="V4257" s="403" t="str">
        <f t="shared" si="535"/>
        <v>CPP_7_3</v>
      </c>
    </row>
    <row r="4258" spans="1:22">
      <c r="A4258" t="str">
        <f t="shared" si="528"/>
        <v>NDE-8503-RT</v>
      </c>
      <c r="B4258" s="403" t="s">
        <v>1410</v>
      </c>
      <c r="C4258" s="403" t="s">
        <v>582</v>
      </c>
      <c r="D4258" s="403" t="s">
        <v>1414</v>
      </c>
      <c r="E4258" s="403" t="s">
        <v>1413</v>
      </c>
      <c r="F4258" s="403" t="s">
        <v>1385</v>
      </c>
      <c r="G4258" s="403" t="s">
        <v>1467</v>
      </c>
      <c r="H4258" s="403" t="s">
        <v>1281</v>
      </c>
      <c r="I4258" s="403">
        <v>1</v>
      </c>
      <c r="J4258" s="403" t="s">
        <v>1376</v>
      </c>
      <c r="K4258" s="403">
        <v>1728</v>
      </c>
      <c r="L4258" s="403">
        <v>3072</v>
      </c>
      <c r="M4258" s="403" t="s">
        <v>1600</v>
      </c>
      <c r="N4258" s="403">
        <v>1728</v>
      </c>
      <c r="O4258" s="403">
        <v>3072</v>
      </c>
      <c r="P4258" t="str">
        <f t="shared" si="529"/>
        <v>25fps 3072x1728 - 3072x1728 @ SKIP2</v>
      </c>
      <c r="Q4258">
        <f t="shared" si="530"/>
        <v>20</v>
      </c>
      <c r="R4258" t="str">
        <f t="shared" si="531"/>
        <v/>
      </c>
      <c r="S4258" t="str">
        <f t="shared" si="532"/>
        <v/>
      </c>
      <c r="T4258" s="403" t="str">
        <f t="shared" si="533"/>
        <v>NDE-8503-RT</v>
      </c>
      <c r="U4258" s="403">
        <f t="shared" si="534"/>
        <v>1</v>
      </c>
      <c r="V4258" s="403" t="str">
        <f t="shared" si="535"/>
        <v>CPP_7_3</v>
      </c>
    </row>
    <row r="4259" spans="1:22">
      <c r="A4259" t="str">
        <f t="shared" si="528"/>
        <v>NDE-8503-RT</v>
      </c>
      <c r="B4259" s="403" t="s">
        <v>1410</v>
      </c>
      <c r="C4259" s="403" t="s">
        <v>582</v>
      </c>
      <c r="D4259" s="403" t="s">
        <v>1414</v>
      </c>
      <c r="E4259" s="403" t="s">
        <v>1413</v>
      </c>
      <c r="F4259" s="403" t="s">
        <v>1385</v>
      </c>
      <c r="G4259" s="403" t="s">
        <v>1467</v>
      </c>
      <c r="H4259" s="403" t="s">
        <v>1281</v>
      </c>
      <c r="I4259" s="403">
        <v>1</v>
      </c>
      <c r="J4259" s="403" t="s">
        <v>1376</v>
      </c>
      <c r="K4259" s="403">
        <v>1728</v>
      </c>
      <c r="L4259" s="403">
        <v>3072</v>
      </c>
      <c r="M4259" s="403" t="s">
        <v>1280</v>
      </c>
      <c r="N4259" s="403">
        <v>1728</v>
      </c>
      <c r="O4259" s="403">
        <v>3072</v>
      </c>
      <c r="P4259" t="str">
        <f t="shared" si="529"/>
        <v>25fps 3072x1728 - copy other stream</v>
      </c>
      <c r="Q4259">
        <f t="shared" si="530"/>
        <v>20</v>
      </c>
      <c r="R4259" t="str">
        <f t="shared" si="531"/>
        <v/>
      </c>
      <c r="S4259" t="str">
        <f t="shared" si="532"/>
        <v/>
      </c>
      <c r="T4259" s="403" t="str">
        <f t="shared" si="533"/>
        <v>NDE-8503-RT</v>
      </c>
      <c r="U4259" s="403">
        <f t="shared" si="534"/>
        <v>1</v>
      </c>
      <c r="V4259" s="403" t="str">
        <f t="shared" si="535"/>
        <v>CPP_7_3</v>
      </c>
    </row>
    <row r="4260" spans="1:22">
      <c r="A4260" t="str">
        <f t="shared" si="528"/>
        <v>NDE-8503-RT</v>
      </c>
      <c r="B4260" s="403" t="s">
        <v>1410</v>
      </c>
      <c r="C4260" s="403" t="s">
        <v>582</v>
      </c>
      <c r="D4260" s="403" t="s">
        <v>1414</v>
      </c>
      <c r="E4260" s="403" t="s">
        <v>1413</v>
      </c>
      <c r="F4260" s="403" t="s">
        <v>1385</v>
      </c>
      <c r="G4260" s="403" t="s">
        <v>1467</v>
      </c>
      <c r="H4260" s="403" t="s">
        <v>1281</v>
      </c>
      <c r="I4260" s="403">
        <v>1</v>
      </c>
      <c r="J4260" s="403" t="s">
        <v>1376</v>
      </c>
      <c r="K4260" s="403">
        <v>1728</v>
      </c>
      <c r="L4260" s="403">
        <v>3072</v>
      </c>
      <c r="M4260" s="403" t="s">
        <v>110</v>
      </c>
      <c r="N4260" s="403">
        <v>1080</v>
      </c>
      <c r="O4260" s="403">
        <v>1920</v>
      </c>
      <c r="P4260" t="str">
        <f t="shared" si="529"/>
        <v>25fps 3072x1728 - 1080p</v>
      </c>
      <c r="Q4260">
        <f t="shared" si="530"/>
        <v>20</v>
      </c>
      <c r="R4260" t="str">
        <f t="shared" si="531"/>
        <v/>
      </c>
      <c r="S4260" t="str">
        <f t="shared" si="532"/>
        <v/>
      </c>
      <c r="T4260" s="403" t="str">
        <f t="shared" si="533"/>
        <v>NDE-8503-RT</v>
      </c>
      <c r="U4260" s="403">
        <f t="shared" si="534"/>
        <v>1</v>
      </c>
      <c r="V4260" s="403" t="str">
        <f t="shared" si="535"/>
        <v>CPP_7_3</v>
      </c>
    </row>
    <row r="4261" spans="1:22">
      <c r="A4261" t="str">
        <f t="shared" si="528"/>
        <v>NDE-8503-RT</v>
      </c>
      <c r="B4261" s="403" t="s">
        <v>1410</v>
      </c>
      <c r="C4261" s="403" t="s">
        <v>582</v>
      </c>
      <c r="D4261" s="403" t="s">
        <v>1414</v>
      </c>
      <c r="E4261" s="403" t="s">
        <v>1413</v>
      </c>
      <c r="F4261" s="403" t="s">
        <v>1385</v>
      </c>
      <c r="G4261" s="403" t="s">
        <v>1467</v>
      </c>
      <c r="H4261" s="403" t="s">
        <v>1281</v>
      </c>
      <c r="I4261" s="403">
        <v>1</v>
      </c>
      <c r="J4261" s="403" t="s">
        <v>1376</v>
      </c>
      <c r="K4261" s="403">
        <v>1728</v>
      </c>
      <c r="L4261" s="403">
        <v>3072</v>
      </c>
      <c r="M4261" s="403" t="s">
        <v>109</v>
      </c>
      <c r="N4261" s="403">
        <v>720</v>
      </c>
      <c r="O4261" s="403">
        <v>1280</v>
      </c>
      <c r="P4261" t="str">
        <f t="shared" si="529"/>
        <v>25fps 3072x1728 - 720p</v>
      </c>
      <c r="Q4261">
        <f t="shared" si="530"/>
        <v>20</v>
      </c>
      <c r="R4261" t="str">
        <f t="shared" si="531"/>
        <v/>
      </c>
      <c r="S4261" t="str">
        <f t="shared" si="532"/>
        <v/>
      </c>
      <c r="T4261" s="403" t="str">
        <f t="shared" si="533"/>
        <v>NDE-8503-RT</v>
      </c>
      <c r="U4261" s="403">
        <f t="shared" si="534"/>
        <v>1</v>
      </c>
      <c r="V4261" s="403" t="str">
        <f t="shared" si="535"/>
        <v>CPP_7_3</v>
      </c>
    </row>
    <row r="4262" spans="1:22">
      <c r="A4262" t="str">
        <f t="shared" si="528"/>
        <v>NDE-8503-RT</v>
      </c>
      <c r="B4262" s="403" t="s">
        <v>1410</v>
      </c>
      <c r="C4262" s="403" t="s">
        <v>582</v>
      </c>
      <c r="D4262" s="403" t="s">
        <v>1414</v>
      </c>
      <c r="E4262" s="403" t="s">
        <v>1413</v>
      </c>
      <c r="F4262" s="403" t="s">
        <v>1385</v>
      </c>
      <c r="G4262" s="403" t="s">
        <v>1467</v>
      </c>
      <c r="H4262" s="403" t="s">
        <v>1281</v>
      </c>
      <c r="I4262" s="403">
        <v>1</v>
      </c>
      <c r="J4262" s="403" t="s">
        <v>1376</v>
      </c>
      <c r="K4262" s="403">
        <v>1728</v>
      </c>
      <c r="L4262" s="403">
        <v>3072</v>
      </c>
      <c r="M4262" s="403" t="s">
        <v>1283</v>
      </c>
      <c r="N4262" s="403">
        <v>576</v>
      </c>
      <c r="O4262" s="403">
        <v>720</v>
      </c>
      <c r="P4262" t="str">
        <f t="shared" si="529"/>
        <v>25fps 3072x1728 - SD 4CIF resolution 4:3 format (cropped)</v>
      </c>
      <c r="Q4262">
        <f t="shared" si="530"/>
        <v>20</v>
      </c>
      <c r="R4262" t="str">
        <f t="shared" si="531"/>
        <v/>
      </c>
      <c r="S4262" t="str">
        <f t="shared" si="532"/>
        <v/>
      </c>
      <c r="T4262" s="403" t="str">
        <f t="shared" si="533"/>
        <v>NDE-8503-RT</v>
      </c>
      <c r="U4262" s="403">
        <f t="shared" si="534"/>
        <v>1</v>
      </c>
      <c r="V4262" s="403" t="str">
        <f t="shared" si="535"/>
        <v>CPP_7_3</v>
      </c>
    </row>
    <row r="4263" spans="1:22">
      <c r="A4263" t="str">
        <f t="shared" si="528"/>
        <v>NDE-8503-RT</v>
      </c>
      <c r="B4263" s="403" t="s">
        <v>1410</v>
      </c>
      <c r="C4263" s="403" t="s">
        <v>582</v>
      </c>
      <c r="D4263" s="403" t="s">
        <v>1414</v>
      </c>
      <c r="E4263" s="403" t="s">
        <v>1413</v>
      </c>
      <c r="F4263" s="403" t="s">
        <v>1385</v>
      </c>
      <c r="G4263" s="403" t="s">
        <v>1467</v>
      </c>
      <c r="H4263" s="403" t="s">
        <v>1281</v>
      </c>
      <c r="I4263" s="403">
        <v>1</v>
      </c>
      <c r="J4263" s="403" t="s">
        <v>1376</v>
      </c>
      <c r="K4263" s="403">
        <v>1728</v>
      </c>
      <c r="L4263" s="403">
        <v>3072</v>
      </c>
      <c r="M4263" s="403" t="s">
        <v>1279</v>
      </c>
      <c r="N4263" s="403">
        <v>432</v>
      </c>
      <c r="O4263" s="403">
        <v>768</v>
      </c>
      <c r="P4263" t="str">
        <f t="shared" si="529"/>
        <v>25fps 3072x1728 - SD ROI PTZ</v>
      </c>
      <c r="Q4263">
        <f t="shared" si="530"/>
        <v>20</v>
      </c>
      <c r="R4263" t="str">
        <f t="shared" si="531"/>
        <v/>
      </c>
      <c r="S4263" t="str">
        <f t="shared" si="532"/>
        <v/>
      </c>
      <c r="T4263" s="403" t="str">
        <f t="shared" si="533"/>
        <v>NDE-8503-RT</v>
      </c>
      <c r="U4263" s="403">
        <f t="shared" si="534"/>
        <v>1</v>
      </c>
      <c r="V4263" s="403" t="str">
        <f t="shared" si="535"/>
        <v>CPP_7_3</v>
      </c>
    </row>
    <row r="4264" spans="1:22">
      <c r="A4264" t="str">
        <f t="shared" si="528"/>
        <v>NDE-8503-RT</v>
      </c>
      <c r="B4264" s="403" t="s">
        <v>1410</v>
      </c>
      <c r="C4264" s="403" t="s">
        <v>582</v>
      </c>
      <c r="D4264" s="403" t="s">
        <v>1414</v>
      </c>
      <c r="E4264" s="403" t="s">
        <v>1413</v>
      </c>
      <c r="F4264" s="403" t="s">
        <v>1385</v>
      </c>
      <c r="G4264" s="403" t="s">
        <v>1467</v>
      </c>
      <c r="H4264" s="403" t="s">
        <v>1281</v>
      </c>
      <c r="I4264" s="403">
        <v>1</v>
      </c>
      <c r="J4264" s="403" t="s">
        <v>1376</v>
      </c>
      <c r="K4264" s="403">
        <v>1728</v>
      </c>
      <c r="L4264" s="403">
        <v>3072</v>
      </c>
      <c r="M4264" s="403" t="s">
        <v>1284</v>
      </c>
      <c r="N4264" s="403">
        <v>480</v>
      </c>
      <c r="O4264" s="403">
        <v>640</v>
      </c>
      <c r="P4264" t="str">
        <f t="shared" si="529"/>
        <v>25fps 3072x1728 - SD VGA (cropped)</v>
      </c>
      <c r="Q4264">
        <f t="shared" si="530"/>
        <v>20</v>
      </c>
      <c r="R4264" t="str">
        <f t="shared" si="531"/>
        <v/>
      </c>
      <c r="S4264" t="str">
        <f t="shared" si="532"/>
        <v/>
      </c>
      <c r="T4264" s="403" t="str">
        <f t="shared" si="533"/>
        <v>NDE-8503-RT</v>
      </c>
      <c r="U4264" s="403">
        <f t="shared" si="534"/>
        <v>1</v>
      </c>
      <c r="V4264" s="403" t="str">
        <f t="shared" si="535"/>
        <v>CPP_7_3</v>
      </c>
    </row>
    <row r="4265" spans="1:22">
      <c r="A4265" t="str">
        <f t="shared" si="528"/>
        <v>NDE-8503-RT</v>
      </c>
      <c r="B4265" s="403" t="s">
        <v>1410</v>
      </c>
      <c r="C4265" s="403" t="s">
        <v>582</v>
      </c>
      <c r="D4265" s="403" t="s">
        <v>1414</v>
      </c>
      <c r="E4265" s="403" t="s">
        <v>1413</v>
      </c>
      <c r="F4265" s="403" t="s">
        <v>1385</v>
      </c>
      <c r="G4265" s="403" t="s">
        <v>1467</v>
      </c>
      <c r="H4265" s="403" t="s">
        <v>1281</v>
      </c>
      <c r="I4265" s="403">
        <v>1</v>
      </c>
      <c r="J4265" s="403" t="s">
        <v>1376</v>
      </c>
      <c r="K4265" s="403">
        <v>1728</v>
      </c>
      <c r="L4265" s="403">
        <v>3072</v>
      </c>
      <c r="M4265" s="403" t="s">
        <v>1285</v>
      </c>
      <c r="N4265" s="403">
        <v>1024</v>
      </c>
      <c r="O4265" s="403">
        <v>1280</v>
      </c>
      <c r="P4265" t="str">
        <f t="shared" si="529"/>
        <v>25fps 3072x1728 - 1280x1024 5:4 (cropped)</v>
      </c>
      <c r="Q4265">
        <f t="shared" si="530"/>
        <v>20</v>
      </c>
      <c r="R4265" t="str">
        <f t="shared" si="531"/>
        <v/>
      </c>
      <c r="S4265" t="str">
        <f t="shared" si="532"/>
        <v/>
      </c>
      <c r="T4265" s="403" t="str">
        <f t="shared" si="533"/>
        <v>NDE-8503-RT</v>
      </c>
      <c r="U4265" s="403">
        <f t="shared" si="534"/>
        <v>1</v>
      </c>
      <c r="V4265" s="403" t="str">
        <f t="shared" si="535"/>
        <v>CPP_7_3</v>
      </c>
    </row>
    <row r="4266" spans="1:22">
      <c r="A4266" t="str">
        <f t="shared" si="528"/>
        <v>NDE-8503-RT</v>
      </c>
      <c r="B4266" s="403" t="s">
        <v>1410</v>
      </c>
      <c r="C4266" s="403" t="s">
        <v>582</v>
      </c>
      <c r="D4266" s="403" t="s">
        <v>1414</v>
      </c>
      <c r="E4266" s="403" t="s">
        <v>1413</v>
      </c>
      <c r="F4266" s="403" t="s">
        <v>1385</v>
      </c>
      <c r="G4266" s="403" t="s">
        <v>1467</v>
      </c>
      <c r="H4266" s="403" t="s">
        <v>1281</v>
      </c>
      <c r="I4266" s="403">
        <v>1</v>
      </c>
      <c r="J4266" s="403" t="s">
        <v>1376</v>
      </c>
      <c r="K4266" s="403">
        <v>1728</v>
      </c>
      <c r="L4266" s="403">
        <v>3072</v>
      </c>
      <c r="M4266" s="403" t="s">
        <v>1383</v>
      </c>
      <c r="N4266" s="403">
        <v>1440</v>
      </c>
      <c r="O4266" s="403">
        <v>1920</v>
      </c>
      <c r="P4266" t="str">
        <f t="shared" si="529"/>
        <v>25fps 3072x1728 - 1920x1440_CROP</v>
      </c>
      <c r="Q4266">
        <f t="shared" si="530"/>
        <v>20</v>
      </c>
      <c r="R4266" t="str">
        <f t="shared" si="531"/>
        <v/>
      </c>
      <c r="S4266" t="str">
        <f t="shared" si="532"/>
        <v/>
      </c>
      <c r="T4266" s="403" t="str">
        <f t="shared" si="533"/>
        <v>NDE-8503-RT</v>
      </c>
      <c r="U4266" s="403">
        <f t="shared" si="534"/>
        <v>1</v>
      </c>
      <c r="V4266" s="403" t="str">
        <f t="shared" si="535"/>
        <v>CPP_7_3</v>
      </c>
    </row>
    <row r="4267" spans="1:22">
      <c r="A4267" t="str">
        <f t="shared" si="528"/>
        <v>NDE-8503-RT</v>
      </c>
      <c r="B4267" s="403" t="s">
        <v>1410</v>
      </c>
      <c r="C4267" s="403" t="s">
        <v>582</v>
      </c>
      <c r="D4267" s="403" t="s">
        <v>1414</v>
      </c>
      <c r="E4267" s="403" t="s">
        <v>1413</v>
      </c>
      <c r="F4267" s="403" t="s">
        <v>1385</v>
      </c>
      <c r="G4267" s="403" t="s">
        <v>1467</v>
      </c>
      <c r="H4267" s="403" t="s">
        <v>1281</v>
      </c>
      <c r="I4267" s="403">
        <v>1</v>
      </c>
      <c r="J4267" s="403" t="s">
        <v>1373</v>
      </c>
      <c r="K4267" s="403">
        <v>1512</v>
      </c>
      <c r="L4267" s="403">
        <v>2688</v>
      </c>
      <c r="M4267" s="403" t="s">
        <v>110</v>
      </c>
      <c r="N4267" s="403">
        <v>1080</v>
      </c>
      <c r="O4267" s="403">
        <v>1920</v>
      </c>
      <c r="P4267" t="str">
        <f t="shared" si="529"/>
        <v>25fps 2688x1512 - 1080p</v>
      </c>
      <c r="Q4267">
        <f t="shared" si="530"/>
        <v>20</v>
      </c>
      <c r="R4267" t="str">
        <f t="shared" si="531"/>
        <v/>
      </c>
      <c r="S4267" t="str">
        <f t="shared" si="532"/>
        <v/>
      </c>
      <c r="T4267" s="403" t="str">
        <f t="shared" si="533"/>
        <v>NDE-8503-RT</v>
      </c>
      <c r="U4267" s="403">
        <f t="shared" si="534"/>
        <v>1</v>
      </c>
      <c r="V4267" s="403" t="str">
        <f t="shared" si="535"/>
        <v>CPP_7_3</v>
      </c>
    </row>
    <row r="4268" spans="1:22">
      <c r="A4268" t="str">
        <f t="shared" si="528"/>
        <v>NDE-8503-RT</v>
      </c>
      <c r="B4268" s="403" t="s">
        <v>1410</v>
      </c>
      <c r="C4268" s="403" t="s">
        <v>582</v>
      </c>
      <c r="D4268" s="403" t="s">
        <v>1414</v>
      </c>
      <c r="E4268" s="403" t="s">
        <v>1413</v>
      </c>
      <c r="F4268" s="403" t="s">
        <v>1385</v>
      </c>
      <c r="G4268" s="403" t="s">
        <v>1467</v>
      </c>
      <c r="H4268" s="403" t="s">
        <v>1281</v>
      </c>
      <c r="I4268" s="403">
        <v>1</v>
      </c>
      <c r="J4268" s="403" t="s">
        <v>1373</v>
      </c>
      <c r="K4268" s="403">
        <v>1512</v>
      </c>
      <c r="L4268" s="403">
        <v>2688</v>
      </c>
      <c r="M4268" s="403" t="s">
        <v>1384</v>
      </c>
      <c r="N4268" s="403">
        <v>1512</v>
      </c>
      <c r="O4268" s="403">
        <v>2688</v>
      </c>
      <c r="P4268" t="str">
        <f t="shared" si="529"/>
        <v>25fps 2688x1512 - 2688x1512 @ SKIP 2</v>
      </c>
      <c r="Q4268">
        <f t="shared" si="530"/>
        <v>20</v>
      </c>
      <c r="R4268" t="str">
        <f t="shared" si="531"/>
        <v/>
      </c>
      <c r="S4268" t="str">
        <f t="shared" si="532"/>
        <v/>
      </c>
      <c r="T4268" s="403" t="str">
        <f t="shared" si="533"/>
        <v>NDE-8503-RT</v>
      </c>
      <c r="U4268" s="403">
        <f t="shared" si="534"/>
        <v>1</v>
      </c>
      <c r="V4268" s="403" t="str">
        <f t="shared" si="535"/>
        <v>CPP_7_3</v>
      </c>
    </row>
    <row r="4269" spans="1:22">
      <c r="A4269" t="str">
        <f t="shared" si="528"/>
        <v>NDE-8503-RT</v>
      </c>
      <c r="B4269" s="403" t="s">
        <v>1410</v>
      </c>
      <c r="C4269" s="403" t="s">
        <v>582</v>
      </c>
      <c r="D4269" s="403" t="s">
        <v>1414</v>
      </c>
      <c r="E4269" s="403" t="s">
        <v>1413</v>
      </c>
      <c r="F4269" s="403" t="s">
        <v>1385</v>
      </c>
      <c r="G4269" s="403" t="s">
        <v>1467</v>
      </c>
      <c r="H4269" s="403" t="s">
        <v>1281</v>
      </c>
      <c r="I4269" s="403">
        <v>1</v>
      </c>
      <c r="J4269" s="403" t="s">
        <v>1373</v>
      </c>
      <c r="K4269" s="403">
        <v>1512</v>
      </c>
      <c r="L4269" s="403">
        <v>2688</v>
      </c>
      <c r="M4269" s="403" t="s">
        <v>109</v>
      </c>
      <c r="N4269" s="403">
        <v>720</v>
      </c>
      <c r="O4269" s="403">
        <v>1280</v>
      </c>
      <c r="P4269" t="str">
        <f t="shared" si="529"/>
        <v>25fps 2688x1512 - 720p</v>
      </c>
      <c r="Q4269">
        <f t="shared" si="530"/>
        <v>20</v>
      </c>
      <c r="R4269" t="str">
        <f t="shared" si="531"/>
        <v/>
      </c>
      <c r="S4269" t="str">
        <f t="shared" si="532"/>
        <v/>
      </c>
      <c r="T4269" s="403" t="str">
        <f t="shared" si="533"/>
        <v>NDE-8503-RT</v>
      </c>
      <c r="U4269" s="403">
        <f t="shared" si="534"/>
        <v>1</v>
      </c>
      <c r="V4269" s="403" t="str">
        <f t="shared" si="535"/>
        <v>CPP_7_3</v>
      </c>
    </row>
    <row r="4270" spans="1:22">
      <c r="A4270" t="str">
        <f t="shared" si="528"/>
        <v>NDE-8503-RT</v>
      </c>
      <c r="B4270" s="403" t="s">
        <v>1410</v>
      </c>
      <c r="C4270" s="403" t="s">
        <v>582</v>
      </c>
      <c r="D4270" s="403" t="s">
        <v>1414</v>
      </c>
      <c r="E4270" s="403" t="s">
        <v>1413</v>
      </c>
      <c r="F4270" s="403" t="s">
        <v>1385</v>
      </c>
      <c r="G4270" s="403" t="s">
        <v>1467</v>
      </c>
      <c r="H4270" s="403" t="s">
        <v>1281</v>
      </c>
      <c r="I4270" s="403">
        <v>1</v>
      </c>
      <c r="J4270" s="403" t="s">
        <v>1373</v>
      </c>
      <c r="K4270" s="403">
        <v>1512</v>
      </c>
      <c r="L4270" s="403">
        <v>2688</v>
      </c>
      <c r="M4270" s="403" t="s">
        <v>111</v>
      </c>
      <c r="N4270" s="403">
        <v>432</v>
      </c>
      <c r="O4270" s="403">
        <v>768</v>
      </c>
      <c r="P4270" t="str">
        <f t="shared" si="529"/>
        <v>25fps 2688x1512 - SD</v>
      </c>
      <c r="Q4270">
        <f t="shared" si="530"/>
        <v>20</v>
      </c>
      <c r="R4270" t="str">
        <f t="shared" si="531"/>
        <v/>
      </c>
      <c r="S4270" t="str">
        <f t="shared" si="532"/>
        <v/>
      </c>
      <c r="T4270" s="403" t="str">
        <f t="shared" si="533"/>
        <v>NDE-8503-RT</v>
      </c>
      <c r="U4270" s="403">
        <f t="shared" si="534"/>
        <v>1</v>
      </c>
      <c r="V4270" s="403" t="str">
        <f t="shared" si="535"/>
        <v>CPP_7_3</v>
      </c>
    </row>
    <row r="4271" spans="1:22">
      <c r="A4271" t="str">
        <f t="shared" si="528"/>
        <v>NDE-8503-RT</v>
      </c>
      <c r="B4271" s="403" t="s">
        <v>1410</v>
      </c>
      <c r="C4271" s="403" t="s">
        <v>582</v>
      </c>
      <c r="D4271" s="403" t="s">
        <v>1414</v>
      </c>
      <c r="E4271" s="403" t="s">
        <v>1413</v>
      </c>
      <c r="F4271" s="403" t="s">
        <v>1385</v>
      </c>
      <c r="G4271" s="403" t="s">
        <v>1467</v>
      </c>
      <c r="H4271" s="403" t="s">
        <v>1281</v>
      </c>
      <c r="I4271" s="403">
        <v>1</v>
      </c>
      <c r="J4271" s="403" t="s">
        <v>1373</v>
      </c>
      <c r="K4271" s="403">
        <v>1512</v>
      </c>
      <c r="L4271" s="403">
        <v>2688</v>
      </c>
      <c r="M4271" s="403" t="s">
        <v>1279</v>
      </c>
      <c r="N4271" s="403">
        <v>432</v>
      </c>
      <c r="O4271" s="403">
        <v>768</v>
      </c>
      <c r="P4271" t="str">
        <f t="shared" si="529"/>
        <v>25fps 2688x1512 - SD ROI PTZ</v>
      </c>
      <c r="Q4271">
        <f t="shared" si="530"/>
        <v>20</v>
      </c>
      <c r="R4271" t="str">
        <f t="shared" si="531"/>
        <v/>
      </c>
      <c r="S4271" t="str">
        <f t="shared" si="532"/>
        <v/>
      </c>
      <c r="T4271" s="403" t="str">
        <f t="shared" si="533"/>
        <v>NDE-8503-RT</v>
      </c>
      <c r="U4271" s="403">
        <f t="shared" si="534"/>
        <v>1</v>
      </c>
      <c r="V4271" s="403" t="str">
        <f t="shared" si="535"/>
        <v>CPP_7_3</v>
      </c>
    </row>
    <row r="4272" spans="1:22">
      <c r="A4272" t="str">
        <f t="shared" si="528"/>
        <v>NDE-8503-RT</v>
      </c>
      <c r="B4272" s="403" t="s">
        <v>1410</v>
      </c>
      <c r="C4272" s="403" t="s">
        <v>582</v>
      </c>
      <c r="D4272" s="403" t="s">
        <v>1414</v>
      </c>
      <c r="E4272" s="403" t="s">
        <v>1413</v>
      </c>
      <c r="F4272" s="403" t="s">
        <v>1385</v>
      </c>
      <c r="G4272" s="403" t="s">
        <v>1467</v>
      </c>
      <c r="H4272" s="403" t="s">
        <v>1281</v>
      </c>
      <c r="I4272" s="403">
        <v>1</v>
      </c>
      <c r="J4272" s="403" t="s">
        <v>1373</v>
      </c>
      <c r="K4272" s="403">
        <v>1512</v>
      </c>
      <c r="L4272" s="403">
        <v>2688</v>
      </c>
      <c r="M4272" s="403" t="s">
        <v>1285</v>
      </c>
      <c r="N4272" s="403">
        <v>1024</v>
      </c>
      <c r="O4272" s="403">
        <v>1280</v>
      </c>
      <c r="P4272" t="str">
        <f t="shared" si="529"/>
        <v>25fps 2688x1512 - 1280x1024 5:4 (cropped)</v>
      </c>
      <c r="Q4272">
        <f t="shared" si="530"/>
        <v>20</v>
      </c>
      <c r="R4272" t="str">
        <f t="shared" si="531"/>
        <v/>
      </c>
      <c r="S4272" t="str">
        <f t="shared" si="532"/>
        <v/>
      </c>
      <c r="T4272" s="403" t="str">
        <f t="shared" si="533"/>
        <v>NDE-8503-RT</v>
      </c>
      <c r="U4272" s="403">
        <f t="shared" si="534"/>
        <v>1</v>
      </c>
      <c r="V4272" s="403" t="str">
        <f t="shared" si="535"/>
        <v>CPP_7_3</v>
      </c>
    </row>
    <row r="4273" spans="1:22">
      <c r="A4273" t="str">
        <f t="shared" si="528"/>
        <v>NDE-8503-RT</v>
      </c>
      <c r="B4273" s="403" t="s">
        <v>1410</v>
      </c>
      <c r="C4273" s="403" t="s">
        <v>582</v>
      </c>
      <c r="D4273" s="403" t="s">
        <v>1414</v>
      </c>
      <c r="E4273" s="403" t="s">
        <v>1413</v>
      </c>
      <c r="F4273" s="403" t="s">
        <v>1385</v>
      </c>
      <c r="G4273" s="403" t="s">
        <v>1467</v>
      </c>
      <c r="H4273" s="403" t="s">
        <v>1281</v>
      </c>
      <c r="I4273" s="403">
        <v>1</v>
      </c>
      <c r="J4273" s="403" t="s">
        <v>1373</v>
      </c>
      <c r="K4273" s="403">
        <v>1512</v>
      </c>
      <c r="L4273" s="403">
        <v>2688</v>
      </c>
      <c r="M4273" s="403" t="s">
        <v>1283</v>
      </c>
      <c r="N4273" s="403">
        <v>576</v>
      </c>
      <c r="O4273" s="403">
        <v>720</v>
      </c>
      <c r="P4273" t="str">
        <f t="shared" si="529"/>
        <v>25fps 2688x1512 - SD 4CIF resolution 4:3 format (cropped)</v>
      </c>
      <c r="Q4273">
        <f t="shared" si="530"/>
        <v>20</v>
      </c>
      <c r="R4273" t="str">
        <f t="shared" si="531"/>
        <v/>
      </c>
      <c r="S4273" t="str">
        <f t="shared" si="532"/>
        <v/>
      </c>
      <c r="T4273" s="403" t="str">
        <f t="shared" si="533"/>
        <v>NDE-8503-RT</v>
      </c>
      <c r="U4273" s="403">
        <f t="shared" si="534"/>
        <v>1</v>
      </c>
      <c r="V4273" s="403" t="str">
        <f t="shared" si="535"/>
        <v>CPP_7_3</v>
      </c>
    </row>
    <row r="4274" spans="1:22">
      <c r="A4274" t="str">
        <f t="shared" si="528"/>
        <v>NDE-8503-RT</v>
      </c>
      <c r="B4274" s="403" t="s">
        <v>1410</v>
      </c>
      <c r="C4274" s="403" t="s">
        <v>582</v>
      </c>
      <c r="D4274" s="403" t="s">
        <v>1414</v>
      </c>
      <c r="E4274" s="403" t="s">
        <v>1413</v>
      </c>
      <c r="F4274" s="403" t="s">
        <v>1385</v>
      </c>
      <c r="G4274" s="403" t="s">
        <v>1467</v>
      </c>
      <c r="H4274" s="403" t="s">
        <v>1281</v>
      </c>
      <c r="I4274" s="403">
        <v>1</v>
      </c>
      <c r="J4274" s="403" t="s">
        <v>1373</v>
      </c>
      <c r="K4274" s="403">
        <v>1512</v>
      </c>
      <c r="L4274" s="403">
        <v>2688</v>
      </c>
      <c r="M4274" s="403" t="s">
        <v>1284</v>
      </c>
      <c r="N4274" s="403">
        <v>480</v>
      </c>
      <c r="O4274" s="403">
        <v>640</v>
      </c>
      <c r="P4274" t="str">
        <f t="shared" si="529"/>
        <v>25fps 2688x1512 - SD VGA (cropped)</v>
      </c>
      <c r="Q4274">
        <f t="shared" si="530"/>
        <v>20</v>
      </c>
      <c r="R4274" t="str">
        <f t="shared" si="531"/>
        <v/>
      </c>
      <c r="S4274" t="str">
        <f t="shared" si="532"/>
        <v/>
      </c>
      <c r="T4274" s="403" t="str">
        <f t="shared" si="533"/>
        <v>NDE-8503-RT</v>
      </c>
      <c r="U4274" s="403">
        <f t="shared" si="534"/>
        <v>1</v>
      </c>
      <c r="V4274" s="403" t="str">
        <f t="shared" si="535"/>
        <v>CPP_7_3</v>
      </c>
    </row>
    <row r="4275" spans="1:22">
      <c r="A4275" t="str">
        <f t="shared" si="528"/>
        <v>NDE-8503-RT</v>
      </c>
      <c r="B4275" s="403" t="s">
        <v>1410</v>
      </c>
      <c r="C4275" s="403" t="s">
        <v>582</v>
      </c>
      <c r="D4275" s="403" t="s">
        <v>1414</v>
      </c>
      <c r="E4275" s="403" t="s">
        <v>1413</v>
      </c>
      <c r="F4275" s="403" t="s">
        <v>1385</v>
      </c>
      <c r="G4275" s="403" t="s">
        <v>1467</v>
      </c>
      <c r="H4275" s="403" t="s">
        <v>1281</v>
      </c>
      <c r="I4275" s="403">
        <v>1</v>
      </c>
      <c r="J4275" s="403" t="s">
        <v>1373</v>
      </c>
      <c r="K4275" s="403">
        <v>1512</v>
      </c>
      <c r="L4275" s="403">
        <v>2688</v>
      </c>
      <c r="M4275" s="403" t="s">
        <v>1280</v>
      </c>
      <c r="N4275" s="403">
        <v>1512</v>
      </c>
      <c r="O4275" s="403">
        <v>2688</v>
      </c>
      <c r="P4275" t="str">
        <f t="shared" si="529"/>
        <v>25fps 2688x1512 - copy other stream</v>
      </c>
      <c r="Q4275">
        <f t="shared" si="530"/>
        <v>20</v>
      </c>
      <c r="R4275" t="str">
        <f t="shared" si="531"/>
        <v/>
      </c>
      <c r="S4275" t="str">
        <f t="shared" si="532"/>
        <v/>
      </c>
      <c r="T4275" s="403" t="str">
        <f t="shared" si="533"/>
        <v>NDE-8503-RT</v>
      </c>
      <c r="U4275" s="403">
        <f t="shared" si="534"/>
        <v>1</v>
      </c>
      <c r="V4275" s="403" t="str">
        <f t="shared" si="535"/>
        <v>CPP_7_3</v>
      </c>
    </row>
    <row r="4276" spans="1:22">
      <c r="A4276" t="str">
        <f t="shared" si="528"/>
        <v>NDE-8503-RT</v>
      </c>
      <c r="B4276" s="403" t="s">
        <v>1410</v>
      </c>
      <c r="C4276" s="403" t="s">
        <v>582</v>
      </c>
      <c r="D4276" s="403" t="s">
        <v>1414</v>
      </c>
      <c r="E4276" s="403" t="s">
        <v>1413</v>
      </c>
      <c r="F4276" s="403" t="s">
        <v>1385</v>
      </c>
      <c r="G4276" s="403" t="s">
        <v>1467</v>
      </c>
      <c r="H4276" s="403" t="s">
        <v>1281</v>
      </c>
      <c r="I4276" s="403">
        <v>1</v>
      </c>
      <c r="J4276" s="403" t="s">
        <v>1374</v>
      </c>
      <c r="K4276" s="403">
        <v>1296</v>
      </c>
      <c r="L4276" s="403">
        <v>2304</v>
      </c>
      <c r="M4276" s="403" t="s">
        <v>110</v>
      </c>
      <c r="N4276" s="403">
        <v>1080</v>
      </c>
      <c r="O4276" s="403">
        <v>1920</v>
      </c>
      <c r="P4276" t="str">
        <f t="shared" si="529"/>
        <v>25fps 2304x1296 - 1080p</v>
      </c>
      <c r="Q4276">
        <f t="shared" si="530"/>
        <v>20</v>
      </c>
      <c r="R4276" t="str">
        <f t="shared" si="531"/>
        <v/>
      </c>
      <c r="S4276" t="str">
        <f t="shared" si="532"/>
        <v/>
      </c>
      <c r="T4276" s="403" t="str">
        <f t="shared" si="533"/>
        <v>NDE-8503-RT</v>
      </c>
      <c r="U4276" s="403">
        <f t="shared" si="534"/>
        <v>1</v>
      </c>
      <c r="V4276" s="403" t="str">
        <f t="shared" si="535"/>
        <v>CPP_7_3</v>
      </c>
    </row>
    <row r="4277" spans="1:22">
      <c r="A4277" t="str">
        <f t="shared" si="528"/>
        <v>NDE-8503-RT</v>
      </c>
      <c r="B4277" s="403" t="s">
        <v>1410</v>
      </c>
      <c r="C4277" s="403" t="s">
        <v>582</v>
      </c>
      <c r="D4277" s="403" t="s">
        <v>1414</v>
      </c>
      <c r="E4277" s="403" t="s">
        <v>1413</v>
      </c>
      <c r="F4277" s="403" t="s">
        <v>1385</v>
      </c>
      <c r="G4277" s="403" t="s">
        <v>1467</v>
      </c>
      <c r="H4277" s="403" t="s">
        <v>1281</v>
      </c>
      <c r="I4277" s="403">
        <v>1</v>
      </c>
      <c r="J4277" s="403" t="s">
        <v>1374</v>
      </c>
      <c r="K4277" s="403">
        <v>1296</v>
      </c>
      <c r="L4277" s="403">
        <v>2304</v>
      </c>
      <c r="M4277" s="403" t="s">
        <v>1374</v>
      </c>
      <c r="N4277" s="403">
        <v>1296</v>
      </c>
      <c r="O4277" s="403">
        <v>2304</v>
      </c>
      <c r="P4277" t="str">
        <f t="shared" si="529"/>
        <v>25fps 2304x1296 - 2304x1296</v>
      </c>
      <c r="Q4277">
        <f t="shared" si="530"/>
        <v>20</v>
      </c>
      <c r="R4277" t="str">
        <f t="shared" si="531"/>
        <v/>
      </c>
      <c r="S4277" t="str">
        <f t="shared" si="532"/>
        <v/>
      </c>
      <c r="T4277" s="403" t="str">
        <f t="shared" si="533"/>
        <v>NDE-8503-RT</v>
      </c>
      <c r="U4277" s="403">
        <f t="shared" si="534"/>
        <v>1</v>
      </c>
      <c r="V4277" s="403" t="str">
        <f t="shared" si="535"/>
        <v>CPP_7_3</v>
      </c>
    </row>
    <row r="4278" spans="1:22">
      <c r="A4278" t="str">
        <f t="shared" si="528"/>
        <v>NDE-8503-RT</v>
      </c>
      <c r="B4278" s="403" t="s">
        <v>1410</v>
      </c>
      <c r="C4278" s="403" t="s">
        <v>582</v>
      </c>
      <c r="D4278" s="403" t="s">
        <v>1414</v>
      </c>
      <c r="E4278" s="403" t="s">
        <v>1413</v>
      </c>
      <c r="F4278" s="403" t="s">
        <v>1385</v>
      </c>
      <c r="G4278" s="403" t="s">
        <v>1467</v>
      </c>
      <c r="H4278" s="403" t="s">
        <v>1281</v>
      </c>
      <c r="I4278" s="403">
        <v>1</v>
      </c>
      <c r="J4278" s="403" t="s">
        <v>1374</v>
      </c>
      <c r="K4278" s="403">
        <v>1296</v>
      </c>
      <c r="L4278" s="403">
        <v>2304</v>
      </c>
      <c r="M4278" s="403" t="s">
        <v>109</v>
      </c>
      <c r="N4278" s="403">
        <v>720</v>
      </c>
      <c r="O4278" s="403">
        <v>1280</v>
      </c>
      <c r="P4278" t="str">
        <f t="shared" si="529"/>
        <v>25fps 2304x1296 - 720p</v>
      </c>
      <c r="Q4278">
        <f t="shared" si="530"/>
        <v>20</v>
      </c>
      <c r="R4278" t="str">
        <f t="shared" si="531"/>
        <v/>
      </c>
      <c r="S4278" t="str">
        <f t="shared" si="532"/>
        <v/>
      </c>
      <c r="T4278" s="403" t="str">
        <f t="shared" si="533"/>
        <v>NDE-8503-RT</v>
      </c>
      <c r="U4278" s="403">
        <f t="shared" si="534"/>
        <v>1</v>
      </c>
      <c r="V4278" s="403" t="str">
        <f t="shared" si="535"/>
        <v>CPP_7_3</v>
      </c>
    </row>
    <row r="4279" spans="1:22">
      <c r="A4279" t="str">
        <f t="shared" si="528"/>
        <v>NDE-8503-RT</v>
      </c>
      <c r="B4279" s="403" t="s">
        <v>1410</v>
      </c>
      <c r="C4279" s="403" t="s">
        <v>582</v>
      </c>
      <c r="D4279" s="403" t="s">
        <v>1414</v>
      </c>
      <c r="E4279" s="403" t="s">
        <v>1413</v>
      </c>
      <c r="F4279" s="403" t="s">
        <v>1385</v>
      </c>
      <c r="G4279" s="403" t="s">
        <v>1467</v>
      </c>
      <c r="H4279" s="403" t="s">
        <v>1281</v>
      </c>
      <c r="I4279" s="403">
        <v>1</v>
      </c>
      <c r="J4279" s="403" t="s">
        <v>1374</v>
      </c>
      <c r="K4279" s="403">
        <v>1296</v>
      </c>
      <c r="L4279" s="403">
        <v>2304</v>
      </c>
      <c r="M4279" s="403" t="s">
        <v>111</v>
      </c>
      <c r="N4279" s="403">
        <v>432</v>
      </c>
      <c r="O4279" s="403">
        <v>768</v>
      </c>
      <c r="P4279" t="str">
        <f t="shared" si="529"/>
        <v>25fps 2304x1296 - SD</v>
      </c>
      <c r="Q4279">
        <f t="shared" si="530"/>
        <v>20</v>
      </c>
      <c r="R4279" t="str">
        <f t="shared" si="531"/>
        <v/>
      </c>
      <c r="S4279" t="str">
        <f t="shared" si="532"/>
        <v/>
      </c>
      <c r="T4279" s="403" t="str">
        <f t="shared" si="533"/>
        <v>NDE-8503-RT</v>
      </c>
      <c r="U4279" s="403">
        <f t="shared" si="534"/>
        <v>1</v>
      </c>
      <c r="V4279" s="403" t="str">
        <f t="shared" si="535"/>
        <v>CPP_7_3</v>
      </c>
    </row>
    <row r="4280" spans="1:22">
      <c r="A4280" t="str">
        <f t="shared" si="528"/>
        <v>NDE-8503-RT</v>
      </c>
      <c r="B4280" s="403" t="s">
        <v>1410</v>
      </c>
      <c r="C4280" s="403" t="s">
        <v>582</v>
      </c>
      <c r="D4280" s="403" t="s">
        <v>1414</v>
      </c>
      <c r="E4280" s="403" t="s">
        <v>1413</v>
      </c>
      <c r="F4280" s="403" t="s">
        <v>1385</v>
      </c>
      <c r="G4280" s="403" t="s">
        <v>1467</v>
      </c>
      <c r="H4280" s="403" t="s">
        <v>1281</v>
      </c>
      <c r="I4280" s="403">
        <v>1</v>
      </c>
      <c r="J4280" s="403" t="s">
        <v>1374</v>
      </c>
      <c r="K4280" s="403">
        <v>1296</v>
      </c>
      <c r="L4280" s="403">
        <v>2304</v>
      </c>
      <c r="M4280" s="403" t="s">
        <v>1279</v>
      </c>
      <c r="N4280" s="403">
        <v>432</v>
      </c>
      <c r="O4280" s="403">
        <v>768</v>
      </c>
      <c r="P4280" t="str">
        <f t="shared" si="529"/>
        <v>25fps 2304x1296 - SD ROI PTZ</v>
      </c>
      <c r="Q4280">
        <f t="shared" si="530"/>
        <v>20</v>
      </c>
      <c r="R4280" t="str">
        <f t="shared" si="531"/>
        <v/>
      </c>
      <c r="S4280" t="str">
        <f t="shared" si="532"/>
        <v/>
      </c>
      <c r="T4280" s="403" t="str">
        <f t="shared" si="533"/>
        <v>NDE-8503-RT</v>
      </c>
      <c r="U4280" s="403">
        <f t="shared" si="534"/>
        <v>1</v>
      </c>
      <c r="V4280" s="403" t="str">
        <f t="shared" si="535"/>
        <v>CPP_7_3</v>
      </c>
    </row>
    <row r="4281" spans="1:22">
      <c r="A4281" t="str">
        <f t="shared" si="528"/>
        <v>NDE-8503-RT</v>
      </c>
      <c r="B4281" s="403" t="s">
        <v>1410</v>
      </c>
      <c r="C4281" s="403" t="s">
        <v>582</v>
      </c>
      <c r="D4281" s="403" t="s">
        <v>1414</v>
      </c>
      <c r="E4281" s="403" t="s">
        <v>1413</v>
      </c>
      <c r="F4281" s="403" t="s">
        <v>1385</v>
      </c>
      <c r="G4281" s="403" t="s">
        <v>1467</v>
      </c>
      <c r="H4281" s="403" t="s">
        <v>1281</v>
      </c>
      <c r="I4281" s="403">
        <v>1</v>
      </c>
      <c r="J4281" s="403" t="s">
        <v>1374</v>
      </c>
      <c r="K4281" s="403">
        <v>1296</v>
      </c>
      <c r="L4281" s="403">
        <v>2304</v>
      </c>
      <c r="M4281" s="403" t="s">
        <v>1285</v>
      </c>
      <c r="N4281" s="403">
        <v>1024</v>
      </c>
      <c r="O4281" s="403">
        <v>1280</v>
      </c>
      <c r="P4281" t="str">
        <f t="shared" si="529"/>
        <v>25fps 2304x1296 - 1280x1024 5:4 (cropped)</v>
      </c>
      <c r="Q4281">
        <f t="shared" si="530"/>
        <v>20</v>
      </c>
      <c r="R4281" t="str">
        <f t="shared" si="531"/>
        <v/>
      </c>
      <c r="S4281" t="str">
        <f t="shared" si="532"/>
        <v/>
      </c>
      <c r="T4281" s="403" t="str">
        <f t="shared" si="533"/>
        <v>NDE-8503-RT</v>
      </c>
      <c r="U4281" s="403">
        <f t="shared" si="534"/>
        <v>1</v>
      </c>
      <c r="V4281" s="403" t="str">
        <f t="shared" si="535"/>
        <v>CPP_7_3</v>
      </c>
    </row>
    <row r="4282" spans="1:22">
      <c r="A4282" t="str">
        <f t="shared" si="528"/>
        <v>NDE-8503-RT</v>
      </c>
      <c r="B4282" s="403" t="s">
        <v>1410</v>
      </c>
      <c r="C4282" s="403" t="s">
        <v>582</v>
      </c>
      <c r="D4282" s="403" t="s">
        <v>1414</v>
      </c>
      <c r="E4282" s="403" t="s">
        <v>1413</v>
      </c>
      <c r="F4282" s="403" t="s">
        <v>1385</v>
      </c>
      <c r="G4282" s="403" t="s">
        <v>1467</v>
      </c>
      <c r="H4282" s="403" t="s">
        <v>1281</v>
      </c>
      <c r="I4282" s="403">
        <v>1</v>
      </c>
      <c r="J4282" s="403" t="s">
        <v>1374</v>
      </c>
      <c r="K4282" s="403">
        <v>1296</v>
      </c>
      <c r="L4282" s="403">
        <v>2304</v>
      </c>
      <c r="M4282" s="403" t="s">
        <v>1283</v>
      </c>
      <c r="N4282" s="403">
        <v>576</v>
      </c>
      <c r="O4282" s="403">
        <v>720</v>
      </c>
      <c r="P4282" t="str">
        <f t="shared" si="529"/>
        <v>25fps 2304x1296 - SD 4CIF resolution 4:3 format (cropped)</v>
      </c>
      <c r="Q4282">
        <f t="shared" si="530"/>
        <v>20</v>
      </c>
      <c r="R4282" t="str">
        <f t="shared" si="531"/>
        <v/>
      </c>
      <c r="S4282" t="str">
        <f t="shared" si="532"/>
        <v/>
      </c>
      <c r="T4282" s="403" t="str">
        <f t="shared" si="533"/>
        <v>NDE-8503-RT</v>
      </c>
      <c r="U4282" s="403">
        <f t="shared" si="534"/>
        <v>1</v>
      </c>
      <c r="V4282" s="403" t="str">
        <f t="shared" si="535"/>
        <v>CPP_7_3</v>
      </c>
    </row>
    <row r="4283" spans="1:22">
      <c r="A4283" t="str">
        <f t="shared" si="528"/>
        <v>NDE-8503-RT</v>
      </c>
      <c r="B4283" s="403" t="s">
        <v>1410</v>
      </c>
      <c r="C4283" s="403" t="s">
        <v>582</v>
      </c>
      <c r="D4283" s="403" t="s">
        <v>1414</v>
      </c>
      <c r="E4283" s="403" t="s">
        <v>1413</v>
      </c>
      <c r="F4283" s="403" t="s">
        <v>1385</v>
      </c>
      <c r="G4283" s="403" t="s">
        <v>1467</v>
      </c>
      <c r="H4283" s="403" t="s">
        <v>1281</v>
      </c>
      <c r="I4283" s="403">
        <v>1</v>
      </c>
      <c r="J4283" s="403" t="s">
        <v>1374</v>
      </c>
      <c r="K4283" s="403">
        <v>1296</v>
      </c>
      <c r="L4283" s="403">
        <v>2304</v>
      </c>
      <c r="M4283" s="403" t="s">
        <v>1284</v>
      </c>
      <c r="N4283" s="403">
        <v>480</v>
      </c>
      <c r="O4283" s="403">
        <v>640</v>
      </c>
      <c r="P4283" t="str">
        <f t="shared" si="529"/>
        <v>25fps 2304x1296 - SD VGA (cropped)</v>
      </c>
      <c r="Q4283">
        <f t="shared" si="530"/>
        <v>20</v>
      </c>
      <c r="R4283" t="str">
        <f t="shared" si="531"/>
        <v/>
      </c>
      <c r="S4283" t="str">
        <f t="shared" si="532"/>
        <v/>
      </c>
      <c r="T4283" s="403" t="str">
        <f t="shared" si="533"/>
        <v>NDE-8503-RT</v>
      </c>
      <c r="U4283" s="403">
        <f t="shared" si="534"/>
        <v>1</v>
      </c>
      <c r="V4283" s="403" t="str">
        <f t="shared" si="535"/>
        <v>CPP_7_3</v>
      </c>
    </row>
    <row r="4284" spans="1:22">
      <c r="A4284" t="str">
        <f t="shared" si="528"/>
        <v>NDE-8503-RT</v>
      </c>
      <c r="B4284" s="403" t="s">
        <v>1410</v>
      </c>
      <c r="C4284" s="403" t="s">
        <v>582</v>
      </c>
      <c r="D4284" s="403" t="s">
        <v>1414</v>
      </c>
      <c r="E4284" s="403" t="s">
        <v>1413</v>
      </c>
      <c r="F4284" s="403" t="s">
        <v>1385</v>
      </c>
      <c r="G4284" s="403" t="s">
        <v>1467</v>
      </c>
      <c r="H4284" s="403" t="s">
        <v>1281</v>
      </c>
      <c r="I4284" s="403">
        <v>1</v>
      </c>
      <c r="J4284" s="403" t="s">
        <v>1374</v>
      </c>
      <c r="K4284" s="403">
        <v>1296</v>
      </c>
      <c r="L4284" s="403">
        <v>2304</v>
      </c>
      <c r="M4284" s="403" t="s">
        <v>1280</v>
      </c>
      <c r="N4284" s="403">
        <v>1296</v>
      </c>
      <c r="O4284" s="403">
        <v>2304</v>
      </c>
      <c r="P4284" t="str">
        <f t="shared" si="529"/>
        <v>25fps 2304x1296 - copy other stream</v>
      </c>
      <c r="Q4284">
        <f t="shared" si="530"/>
        <v>20</v>
      </c>
      <c r="R4284" t="str">
        <f t="shared" si="531"/>
        <v/>
      </c>
      <c r="S4284" t="str">
        <f t="shared" si="532"/>
        <v/>
      </c>
      <c r="T4284" s="403" t="str">
        <f t="shared" si="533"/>
        <v>NDE-8503-RT</v>
      </c>
      <c r="U4284" s="403">
        <f t="shared" si="534"/>
        <v>1</v>
      </c>
      <c r="V4284" s="403" t="str">
        <f t="shared" si="535"/>
        <v>CPP_7_3</v>
      </c>
    </row>
    <row r="4285" spans="1:22">
      <c r="A4285" t="str">
        <f t="shared" si="528"/>
        <v>NDE-8503-RT</v>
      </c>
      <c r="B4285" s="403" t="s">
        <v>1410</v>
      </c>
      <c r="C4285" s="403" t="s">
        <v>582</v>
      </c>
      <c r="D4285" s="403" t="s">
        <v>1414</v>
      </c>
      <c r="E4285" s="403" t="s">
        <v>1413</v>
      </c>
      <c r="F4285" s="403" t="s">
        <v>1385</v>
      </c>
      <c r="G4285" s="403" t="s">
        <v>1467</v>
      </c>
      <c r="H4285" s="403" t="s">
        <v>1281</v>
      </c>
      <c r="I4285" s="403">
        <v>1</v>
      </c>
      <c r="J4285" s="403" t="s">
        <v>110</v>
      </c>
      <c r="K4285" s="403">
        <v>1080</v>
      </c>
      <c r="L4285" s="403">
        <v>1920</v>
      </c>
      <c r="M4285" s="403" t="s">
        <v>111</v>
      </c>
      <c r="N4285" s="403">
        <v>432</v>
      </c>
      <c r="O4285" s="403">
        <v>768</v>
      </c>
      <c r="P4285" t="str">
        <f t="shared" si="529"/>
        <v>25fps 1080p - SD</v>
      </c>
      <c r="Q4285">
        <f t="shared" si="530"/>
        <v>20</v>
      </c>
      <c r="R4285" t="str">
        <f t="shared" si="531"/>
        <v/>
      </c>
      <c r="S4285" t="str">
        <f t="shared" si="532"/>
        <v/>
      </c>
      <c r="T4285" s="403" t="str">
        <f t="shared" si="533"/>
        <v>NDE-8503-RT</v>
      </c>
      <c r="U4285" s="403">
        <f t="shared" si="534"/>
        <v>1</v>
      </c>
      <c r="V4285" s="403" t="str">
        <f t="shared" si="535"/>
        <v>CPP_7_3</v>
      </c>
    </row>
    <row r="4286" spans="1:22">
      <c r="A4286" t="str">
        <f t="shared" si="528"/>
        <v>NDE-8503-RT</v>
      </c>
      <c r="B4286" s="403" t="s">
        <v>1410</v>
      </c>
      <c r="C4286" s="403" t="s">
        <v>582</v>
      </c>
      <c r="D4286" s="403" t="s">
        <v>1414</v>
      </c>
      <c r="E4286" s="403" t="s">
        <v>1413</v>
      </c>
      <c r="F4286" s="403" t="s">
        <v>1385</v>
      </c>
      <c r="G4286" s="403" t="s">
        <v>1467</v>
      </c>
      <c r="H4286" s="403" t="s">
        <v>1281</v>
      </c>
      <c r="I4286" s="403">
        <v>1</v>
      </c>
      <c r="J4286" s="403" t="s">
        <v>110</v>
      </c>
      <c r="K4286" s="403">
        <v>1080</v>
      </c>
      <c r="L4286" s="403">
        <v>1920</v>
      </c>
      <c r="M4286" s="403" t="s">
        <v>110</v>
      </c>
      <c r="N4286" s="403">
        <v>1080</v>
      </c>
      <c r="O4286" s="403">
        <v>1920</v>
      </c>
      <c r="P4286" t="str">
        <f t="shared" si="529"/>
        <v>25fps 1080p - 1080p</v>
      </c>
      <c r="Q4286">
        <f t="shared" si="530"/>
        <v>20</v>
      </c>
      <c r="R4286" t="str">
        <f t="shared" si="531"/>
        <v/>
      </c>
      <c r="S4286" t="str">
        <f t="shared" si="532"/>
        <v/>
      </c>
      <c r="T4286" s="403" t="str">
        <f t="shared" si="533"/>
        <v>NDE-8503-RT</v>
      </c>
      <c r="U4286" s="403">
        <f t="shared" si="534"/>
        <v>1</v>
      </c>
      <c r="V4286" s="403" t="str">
        <f t="shared" si="535"/>
        <v>CPP_7_3</v>
      </c>
    </row>
    <row r="4287" spans="1:22">
      <c r="A4287" t="str">
        <f t="shared" si="528"/>
        <v>NDE-8503-RT</v>
      </c>
      <c r="B4287" s="403" t="s">
        <v>1410</v>
      </c>
      <c r="C4287" s="403" t="s">
        <v>582</v>
      </c>
      <c r="D4287" s="403" t="s">
        <v>1414</v>
      </c>
      <c r="E4287" s="403" t="s">
        <v>1413</v>
      </c>
      <c r="F4287" s="403" t="s">
        <v>1385</v>
      </c>
      <c r="G4287" s="403" t="s">
        <v>1467</v>
      </c>
      <c r="H4287" s="403" t="s">
        <v>1281</v>
      </c>
      <c r="I4287" s="403">
        <v>1</v>
      </c>
      <c r="J4287" s="403" t="s">
        <v>110</v>
      </c>
      <c r="K4287" s="403">
        <v>1080</v>
      </c>
      <c r="L4287" s="403">
        <v>1920</v>
      </c>
      <c r="M4287" s="403" t="s">
        <v>109</v>
      </c>
      <c r="N4287" s="403">
        <v>720</v>
      </c>
      <c r="O4287" s="403">
        <v>1280</v>
      </c>
      <c r="P4287" t="str">
        <f t="shared" si="529"/>
        <v>25fps 1080p - 720p</v>
      </c>
      <c r="Q4287">
        <f t="shared" si="530"/>
        <v>20</v>
      </c>
      <c r="R4287" t="str">
        <f t="shared" si="531"/>
        <v/>
      </c>
      <c r="S4287" t="str">
        <f t="shared" si="532"/>
        <v/>
      </c>
      <c r="T4287" s="403" t="str">
        <f t="shared" si="533"/>
        <v>NDE-8503-RT</v>
      </c>
      <c r="U4287" s="403">
        <f t="shared" si="534"/>
        <v>1</v>
      </c>
      <c r="V4287" s="403" t="str">
        <f t="shared" si="535"/>
        <v>CPP_7_3</v>
      </c>
    </row>
    <row r="4288" spans="1:22">
      <c r="A4288" t="str">
        <f t="shared" si="528"/>
        <v>NDE-8503-RT</v>
      </c>
      <c r="B4288" s="403" t="s">
        <v>1410</v>
      </c>
      <c r="C4288" s="403" t="s">
        <v>582</v>
      </c>
      <c r="D4288" s="403" t="s">
        <v>1414</v>
      </c>
      <c r="E4288" s="403" t="s">
        <v>1413</v>
      </c>
      <c r="F4288" s="403" t="s">
        <v>1385</v>
      </c>
      <c r="G4288" s="403" t="s">
        <v>1467</v>
      </c>
      <c r="H4288" s="403" t="s">
        <v>1281</v>
      </c>
      <c r="I4288" s="403">
        <v>1</v>
      </c>
      <c r="J4288" s="403" t="s">
        <v>110</v>
      </c>
      <c r="K4288" s="403">
        <v>1080</v>
      </c>
      <c r="L4288" s="403">
        <v>1920</v>
      </c>
      <c r="M4288" s="403" t="s">
        <v>1285</v>
      </c>
      <c r="N4288" s="403">
        <v>1024</v>
      </c>
      <c r="O4288" s="403">
        <v>1280</v>
      </c>
      <c r="P4288" t="str">
        <f t="shared" si="529"/>
        <v>25fps 1080p - 1280x1024 5:4 (cropped)</v>
      </c>
      <c r="Q4288">
        <f t="shared" si="530"/>
        <v>20</v>
      </c>
      <c r="R4288" t="str">
        <f t="shared" si="531"/>
        <v/>
      </c>
      <c r="S4288" t="str">
        <f t="shared" si="532"/>
        <v/>
      </c>
      <c r="T4288" s="403" t="str">
        <f t="shared" si="533"/>
        <v>NDE-8503-RT</v>
      </c>
      <c r="U4288" s="403">
        <f t="shared" si="534"/>
        <v>1</v>
      </c>
      <c r="V4288" s="403" t="str">
        <f t="shared" si="535"/>
        <v>CPP_7_3</v>
      </c>
    </row>
    <row r="4289" spans="1:22">
      <c r="A4289" t="str">
        <f t="shared" si="528"/>
        <v>NDE-8503-RT</v>
      </c>
      <c r="B4289" s="403" t="s">
        <v>1410</v>
      </c>
      <c r="C4289" s="403" t="s">
        <v>582</v>
      </c>
      <c r="D4289" s="403" t="s">
        <v>1414</v>
      </c>
      <c r="E4289" s="403" t="s">
        <v>1413</v>
      </c>
      <c r="F4289" s="403" t="s">
        <v>1385</v>
      </c>
      <c r="G4289" s="403" t="s">
        <v>1467</v>
      </c>
      <c r="H4289" s="403" t="s">
        <v>1281</v>
      </c>
      <c r="I4289" s="403">
        <v>1</v>
      </c>
      <c r="J4289" s="403" t="s">
        <v>110</v>
      </c>
      <c r="K4289" s="403">
        <v>1080</v>
      </c>
      <c r="L4289" s="403">
        <v>1920</v>
      </c>
      <c r="M4289" s="403" t="s">
        <v>1279</v>
      </c>
      <c r="N4289" s="403">
        <v>432</v>
      </c>
      <c r="O4289" s="403">
        <v>768</v>
      </c>
      <c r="P4289" t="str">
        <f t="shared" si="529"/>
        <v>25fps 1080p - SD ROI PTZ</v>
      </c>
      <c r="Q4289">
        <f t="shared" si="530"/>
        <v>20</v>
      </c>
      <c r="R4289" t="str">
        <f t="shared" si="531"/>
        <v/>
      </c>
      <c r="S4289" t="str">
        <f t="shared" si="532"/>
        <v/>
      </c>
      <c r="T4289" s="403" t="str">
        <f t="shared" si="533"/>
        <v>NDE-8503-RT</v>
      </c>
      <c r="U4289" s="403">
        <f t="shared" si="534"/>
        <v>1</v>
      </c>
      <c r="V4289" s="403" t="str">
        <f t="shared" si="535"/>
        <v>CPP_7_3</v>
      </c>
    </row>
    <row r="4290" spans="1:22">
      <c r="A4290" t="str">
        <f t="shared" ref="A4290:A4353" si="536">IF(AND(G4290&lt;&gt;"rotate 90°"),D4290,"")</f>
        <v>NDE-8503-RT</v>
      </c>
      <c r="B4290" s="403" t="s">
        <v>1410</v>
      </c>
      <c r="C4290" s="403" t="s">
        <v>582</v>
      </c>
      <c r="D4290" s="403" t="s">
        <v>1414</v>
      </c>
      <c r="E4290" s="403" t="s">
        <v>1413</v>
      </c>
      <c r="F4290" s="403" t="s">
        <v>1385</v>
      </c>
      <c r="G4290" s="403" t="s">
        <v>1467</v>
      </c>
      <c r="H4290" s="403" t="s">
        <v>1281</v>
      </c>
      <c r="I4290" s="403">
        <v>1</v>
      </c>
      <c r="J4290" s="403" t="s">
        <v>110</v>
      </c>
      <c r="K4290" s="403">
        <v>1080</v>
      </c>
      <c r="L4290" s="403">
        <v>1920</v>
      </c>
      <c r="M4290" s="403" t="s">
        <v>1283</v>
      </c>
      <c r="N4290" s="403">
        <v>576</v>
      </c>
      <c r="O4290" s="403">
        <v>720</v>
      </c>
      <c r="P4290" t="str">
        <f t="shared" ref="P4290:P4353" si="537">LEFT(F4290,5)&amp;" "&amp;J4290&amp;" - "&amp;M4290</f>
        <v>25fps 1080p - SD 4CIF resolution 4:3 format (cropped)</v>
      </c>
      <c r="Q4290">
        <f t="shared" ref="Q4290:Q4353" si="538">IF(A4289=A4290,Q4289,Q4289+1)</f>
        <v>20</v>
      </c>
      <c r="R4290" t="str">
        <f t="shared" ref="R4290:R4353" si="539">IF(Q4289&lt;&gt;Q4290,Q4290,"")</f>
        <v/>
      </c>
      <c r="S4290" t="str">
        <f t="shared" ref="S4290:S4353" si="540">IF(R4290&lt;&gt;"",B4290&amp;" ("&amp;D4290&amp;")","")</f>
        <v/>
      </c>
      <c r="T4290" s="403" t="str">
        <f t="shared" ref="T4290:T4353" si="541">D4290</f>
        <v>NDE-8503-RT</v>
      </c>
      <c r="U4290" s="403">
        <f t="shared" ref="U4290:U4353" si="542">I4290</f>
        <v>1</v>
      </c>
      <c r="V4290" s="403" t="str">
        <f t="shared" ref="V4290:V4353" si="543">C4290</f>
        <v>CPP_7_3</v>
      </c>
    </row>
    <row r="4291" spans="1:22">
      <c r="A4291" t="str">
        <f t="shared" si="536"/>
        <v>NDE-8503-RT</v>
      </c>
      <c r="B4291" s="403" t="s">
        <v>1410</v>
      </c>
      <c r="C4291" s="403" t="s">
        <v>582</v>
      </c>
      <c r="D4291" s="403" t="s">
        <v>1414</v>
      </c>
      <c r="E4291" s="403" t="s">
        <v>1413</v>
      </c>
      <c r="F4291" s="403" t="s">
        <v>1385</v>
      </c>
      <c r="G4291" s="403" t="s">
        <v>1467</v>
      </c>
      <c r="H4291" s="403" t="s">
        <v>1281</v>
      </c>
      <c r="I4291" s="403">
        <v>1</v>
      </c>
      <c r="J4291" s="403" t="s">
        <v>110</v>
      </c>
      <c r="K4291" s="403">
        <v>1080</v>
      </c>
      <c r="L4291" s="403">
        <v>1920</v>
      </c>
      <c r="M4291" s="403" t="s">
        <v>1284</v>
      </c>
      <c r="N4291" s="403">
        <v>480</v>
      </c>
      <c r="O4291" s="403">
        <v>640</v>
      </c>
      <c r="P4291" t="str">
        <f t="shared" si="537"/>
        <v>25fps 1080p - SD VGA (cropped)</v>
      </c>
      <c r="Q4291">
        <f t="shared" si="538"/>
        <v>20</v>
      </c>
      <c r="R4291" t="str">
        <f t="shared" si="539"/>
        <v/>
      </c>
      <c r="S4291" t="str">
        <f t="shared" si="540"/>
        <v/>
      </c>
      <c r="T4291" s="403" t="str">
        <f t="shared" si="541"/>
        <v>NDE-8503-RT</v>
      </c>
      <c r="U4291" s="403">
        <f t="shared" si="542"/>
        <v>1</v>
      </c>
      <c r="V4291" s="403" t="str">
        <f t="shared" si="543"/>
        <v>CPP_7_3</v>
      </c>
    </row>
    <row r="4292" spans="1:22">
      <c r="A4292" t="str">
        <f t="shared" si="536"/>
        <v>NDE-8503-RT</v>
      </c>
      <c r="B4292" s="403" t="s">
        <v>1410</v>
      </c>
      <c r="C4292" s="403" t="s">
        <v>582</v>
      </c>
      <c r="D4292" s="403" t="s">
        <v>1414</v>
      </c>
      <c r="E4292" s="403" t="s">
        <v>1413</v>
      </c>
      <c r="F4292" s="403" t="s">
        <v>1385</v>
      </c>
      <c r="G4292" s="403" t="s">
        <v>1467</v>
      </c>
      <c r="H4292" s="403" t="s">
        <v>1281</v>
      </c>
      <c r="I4292" s="403">
        <v>1</v>
      </c>
      <c r="J4292" s="403" t="s">
        <v>109</v>
      </c>
      <c r="K4292" s="403">
        <v>720</v>
      </c>
      <c r="L4292" s="403">
        <v>1280</v>
      </c>
      <c r="M4292" s="403" t="s">
        <v>109</v>
      </c>
      <c r="N4292" s="403">
        <v>720</v>
      </c>
      <c r="O4292" s="403">
        <v>1280</v>
      </c>
      <c r="P4292" t="str">
        <f t="shared" si="537"/>
        <v>25fps 720p - 720p</v>
      </c>
      <c r="Q4292">
        <f t="shared" si="538"/>
        <v>20</v>
      </c>
      <c r="R4292" t="str">
        <f t="shared" si="539"/>
        <v/>
      </c>
      <c r="S4292" t="str">
        <f t="shared" si="540"/>
        <v/>
      </c>
      <c r="T4292" s="403" t="str">
        <f t="shared" si="541"/>
        <v>NDE-8503-RT</v>
      </c>
      <c r="U4292" s="403">
        <f t="shared" si="542"/>
        <v>1</v>
      </c>
      <c r="V4292" s="403" t="str">
        <f t="shared" si="543"/>
        <v>CPP_7_3</v>
      </c>
    </row>
    <row r="4293" spans="1:22">
      <c r="A4293" t="str">
        <f t="shared" si="536"/>
        <v>NDE-8503-RT</v>
      </c>
      <c r="B4293" s="403" t="s">
        <v>1410</v>
      </c>
      <c r="C4293" s="403" t="s">
        <v>582</v>
      </c>
      <c r="D4293" s="403" t="s">
        <v>1414</v>
      </c>
      <c r="E4293" s="403" t="s">
        <v>1413</v>
      </c>
      <c r="F4293" s="403" t="s">
        <v>1385</v>
      </c>
      <c r="G4293" s="403" t="s">
        <v>1467</v>
      </c>
      <c r="H4293" s="403" t="s">
        <v>1281</v>
      </c>
      <c r="I4293" s="403">
        <v>1</v>
      </c>
      <c r="J4293" s="403" t="s">
        <v>109</v>
      </c>
      <c r="K4293" s="403">
        <v>720</v>
      </c>
      <c r="L4293" s="403">
        <v>1280</v>
      </c>
      <c r="M4293" s="403" t="s">
        <v>111</v>
      </c>
      <c r="N4293" s="403">
        <v>432</v>
      </c>
      <c r="O4293" s="403">
        <v>768</v>
      </c>
      <c r="P4293" t="str">
        <f t="shared" si="537"/>
        <v>25fps 720p - SD</v>
      </c>
      <c r="Q4293">
        <f t="shared" si="538"/>
        <v>20</v>
      </c>
      <c r="R4293" t="str">
        <f t="shared" si="539"/>
        <v/>
      </c>
      <c r="S4293" t="str">
        <f t="shared" si="540"/>
        <v/>
      </c>
      <c r="T4293" s="403" t="str">
        <f t="shared" si="541"/>
        <v>NDE-8503-RT</v>
      </c>
      <c r="U4293" s="403">
        <f t="shared" si="542"/>
        <v>1</v>
      </c>
      <c r="V4293" s="403" t="str">
        <f t="shared" si="543"/>
        <v>CPP_7_3</v>
      </c>
    </row>
    <row r="4294" spans="1:22">
      <c r="A4294" t="str">
        <f t="shared" si="536"/>
        <v>NDE-8503-RT</v>
      </c>
      <c r="B4294" s="403" t="s">
        <v>1410</v>
      </c>
      <c r="C4294" s="403" t="s">
        <v>582</v>
      </c>
      <c r="D4294" s="403" t="s">
        <v>1414</v>
      </c>
      <c r="E4294" s="403" t="s">
        <v>1413</v>
      </c>
      <c r="F4294" s="403" t="s">
        <v>1385</v>
      </c>
      <c r="G4294" s="403" t="s">
        <v>1467</v>
      </c>
      <c r="H4294" s="403" t="s">
        <v>1281</v>
      </c>
      <c r="I4294" s="403">
        <v>1</v>
      </c>
      <c r="J4294" s="403" t="s">
        <v>109</v>
      </c>
      <c r="K4294" s="403">
        <v>720</v>
      </c>
      <c r="L4294" s="403">
        <v>1280</v>
      </c>
      <c r="M4294" s="403" t="s">
        <v>1279</v>
      </c>
      <c r="N4294" s="403">
        <v>432</v>
      </c>
      <c r="O4294" s="403">
        <v>768</v>
      </c>
      <c r="P4294" t="str">
        <f t="shared" si="537"/>
        <v>25fps 720p - SD ROI PTZ</v>
      </c>
      <c r="Q4294">
        <f t="shared" si="538"/>
        <v>20</v>
      </c>
      <c r="R4294" t="str">
        <f t="shared" si="539"/>
        <v/>
      </c>
      <c r="S4294" t="str">
        <f t="shared" si="540"/>
        <v/>
      </c>
      <c r="T4294" s="403" t="str">
        <f t="shared" si="541"/>
        <v>NDE-8503-RT</v>
      </c>
      <c r="U4294" s="403">
        <f t="shared" si="542"/>
        <v>1</v>
      </c>
      <c r="V4294" s="403" t="str">
        <f t="shared" si="543"/>
        <v>CPP_7_3</v>
      </c>
    </row>
    <row r="4295" spans="1:22">
      <c r="A4295" t="str">
        <f t="shared" si="536"/>
        <v>NDE-8503-RT</v>
      </c>
      <c r="B4295" s="403" t="s">
        <v>1410</v>
      </c>
      <c r="C4295" s="403" t="s">
        <v>582</v>
      </c>
      <c r="D4295" s="403" t="s">
        <v>1414</v>
      </c>
      <c r="E4295" s="403" t="s">
        <v>1413</v>
      </c>
      <c r="F4295" s="403" t="s">
        <v>1385</v>
      </c>
      <c r="G4295" s="403" t="s">
        <v>1467</v>
      </c>
      <c r="H4295" s="403" t="s">
        <v>1281</v>
      </c>
      <c r="I4295" s="403">
        <v>1</v>
      </c>
      <c r="J4295" s="403" t="s">
        <v>109</v>
      </c>
      <c r="K4295" s="403">
        <v>720</v>
      </c>
      <c r="L4295" s="403">
        <v>1280</v>
      </c>
      <c r="M4295" s="403" t="s">
        <v>1283</v>
      </c>
      <c r="N4295" s="403">
        <v>576</v>
      </c>
      <c r="O4295" s="403">
        <v>720</v>
      </c>
      <c r="P4295" t="str">
        <f t="shared" si="537"/>
        <v>25fps 720p - SD 4CIF resolution 4:3 format (cropped)</v>
      </c>
      <c r="Q4295">
        <f t="shared" si="538"/>
        <v>20</v>
      </c>
      <c r="R4295" t="str">
        <f t="shared" si="539"/>
        <v/>
      </c>
      <c r="S4295" t="str">
        <f t="shared" si="540"/>
        <v/>
      </c>
      <c r="T4295" s="403" t="str">
        <f t="shared" si="541"/>
        <v>NDE-8503-RT</v>
      </c>
      <c r="U4295" s="403">
        <f t="shared" si="542"/>
        <v>1</v>
      </c>
      <c r="V4295" s="403" t="str">
        <f t="shared" si="543"/>
        <v>CPP_7_3</v>
      </c>
    </row>
    <row r="4296" spans="1:22">
      <c r="A4296" t="str">
        <f t="shared" si="536"/>
        <v>NDE-8503-RT</v>
      </c>
      <c r="B4296" s="403" t="s">
        <v>1410</v>
      </c>
      <c r="C4296" s="403" t="s">
        <v>582</v>
      </c>
      <c r="D4296" s="403" t="s">
        <v>1414</v>
      </c>
      <c r="E4296" s="403" t="s">
        <v>1413</v>
      </c>
      <c r="F4296" s="403" t="s">
        <v>1385</v>
      </c>
      <c r="G4296" s="403" t="s">
        <v>1467</v>
      </c>
      <c r="H4296" s="403" t="s">
        <v>1281</v>
      </c>
      <c r="I4296" s="403">
        <v>1</v>
      </c>
      <c r="J4296" s="403" t="s">
        <v>109</v>
      </c>
      <c r="K4296" s="403">
        <v>720</v>
      </c>
      <c r="L4296" s="403">
        <v>1280</v>
      </c>
      <c r="M4296" s="403" t="s">
        <v>1284</v>
      </c>
      <c r="N4296" s="403">
        <v>480</v>
      </c>
      <c r="O4296" s="403">
        <v>640</v>
      </c>
      <c r="P4296" t="str">
        <f t="shared" si="537"/>
        <v>25fps 720p - SD VGA (cropped)</v>
      </c>
      <c r="Q4296">
        <f t="shared" si="538"/>
        <v>20</v>
      </c>
      <c r="R4296" t="str">
        <f t="shared" si="539"/>
        <v/>
      </c>
      <c r="S4296" t="str">
        <f t="shared" si="540"/>
        <v/>
      </c>
      <c r="T4296" s="403" t="str">
        <f t="shared" si="541"/>
        <v>NDE-8503-RT</v>
      </c>
      <c r="U4296" s="403">
        <f t="shared" si="542"/>
        <v>1</v>
      </c>
      <c r="V4296" s="403" t="str">
        <f t="shared" si="543"/>
        <v>CPP_7_3</v>
      </c>
    </row>
    <row r="4297" spans="1:22">
      <c r="A4297" t="str">
        <f t="shared" si="536"/>
        <v>NDE-8504-R</v>
      </c>
      <c r="B4297" s="403" t="s">
        <v>1410</v>
      </c>
      <c r="C4297" s="403" t="s">
        <v>582</v>
      </c>
      <c r="D4297" s="403" t="s">
        <v>1418</v>
      </c>
      <c r="E4297" s="403" t="s">
        <v>778</v>
      </c>
      <c r="F4297" s="403" t="s">
        <v>1323</v>
      </c>
      <c r="G4297" s="403" t="s">
        <v>1466</v>
      </c>
      <c r="H4297" s="403" t="s">
        <v>1276</v>
      </c>
      <c r="I4297" s="403">
        <v>1</v>
      </c>
      <c r="J4297" s="403" t="s">
        <v>194</v>
      </c>
      <c r="K4297" s="403">
        <v>3840</v>
      </c>
      <c r="L4297" s="403">
        <v>2160</v>
      </c>
      <c r="M4297" s="403" t="s">
        <v>1280</v>
      </c>
      <c r="N4297" s="403">
        <v>3840</v>
      </c>
      <c r="O4297" s="403">
        <v>2160</v>
      </c>
      <c r="P4297" t="str">
        <f t="shared" si="537"/>
        <v>30fps 3840x2160 - copy other stream</v>
      </c>
      <c r="Q4297">
        <f t="shared" si="538"/>
        <v>21</v>
      </c>
      <c r="R4297">
        <f t="shared" si="539"/>
        <v>21</v>
      </c>
      <c r="S4297" t="str">
        <f t="shared" si="540"/>
        <v>FLEXIDOME IP starlight 8000i (NDE-8504-R)</v>
      </c>
      <c r="T4297" s="403" t="str">
        <f t="shared" si="541"/>
        <v>NDE-8504-R</v>
      </c>
      <c r="U4297" s="403">
        <f t="shared" si="542"/>
        <v>1</v>
      </c>
      <c r="V4297" s="403" t="str">
        <f t="shared" si="543"/>
        <v>CPP_7_3</v>
      </c>
    </row>
    <row r="4298" spans="1:22">
      <c r="A4298" t="str">
        <f t="shared" si="536"/>
        <v>NDE-8504-R</v>
      </c>
      <c r="B4298" s="403" t="s">
        <v>1410</v>
      </c>
      <c r="C4298" s="403" t="s">
        <v>582</v>
      </c>
      <c r="D4298" s="403" t="s">
        <v>1418</v>
      </c>
      <c r="E4298" s="403" t="s">
        <v>778</v>
      </c>
      <c r="F4298" s="403" t="s">
        <v>1323</v>
      </c>
      <c r="G4298" s="403" t="s">
        <v>1466</v>
      </c>
      <c r="H4298" s="403" t="s">
        <v>1276</v>
      </c>
      <c r="I4298" s="403">
        <v>1</v>
      </c>
      <c r="J4298" s="403" t="s">
        <v>1324</v>
      </c>
      <c r="K4298" s="403">
        <v>3584</v>
      </c>
      <c r="L4298" s="403">
        <v>2016</v>
      </c>
      <c r="M4298" s="403" t="s">
        <v>111</v>
      </c>
      <c r="N4298" s="403">
        <v>768</v>
      </c>
      <c r="O4298" s="403">
        <v>432</v>
      </c>
      <c r="P4298" t="str">
        <f t="shared" si="537"/>
        <v>30fps 3584x2016 - SD</v>
      </c>
      <c r="Q4298">
        <f t="shared" si="538"/>
        <v>21</v>
      </c>
      <c r="R4298" t="str">
        <f t="shared" si="539"/>
        <v/>
      </c>
      <c r="S4298" t="str">
        <f t="shared" si="540"/>
        <v/>
      </c>
      <c r="T4298" s="403" t="str">
        <f t="shared" si="541"/>
        <v>NDE-8504-R</v>
      </c>
      <c r="U4298" s="403">
        <f t="shared" si="542"/>
        <v>1</v>
      </c>
      <c r="V4298" s="403" t="str">
        <f t="shared" si="543"/>
        <v>CPP_7_3</v>
      </c>
    </row>
    <row r="4299" spans="1:22">
      <c r="A4299" t="str">
        <f t="shared" si="536"/>
        <v>NDE-8504-R</v>
      </c>
      <c r="B4299" s="403" t="s">
        <v>1410</v>
      </c>
      <c r="C4299" s="403" t="s">
        <v>582</v>
      </c>
      <c r="D4299" s="403" t="s">
        <v>1418</v>
      </c>
      <c r="E4299" s="403" t="s">
        <v>778</v>
      </c>
      <c r="F4299" s="403" t="s">
        <v>1323</v>
      </c>
      <c r="G4299" s="403" t="s">
        <v>1466</v>
      </c>
      <c r="H4299" s="403" t="s">
        <v>1276</v>
      </c>
      <c r="I4299" s="403">
        <v>1</v>
      </c>
      <c r="J4299" s="403" t="s">
        <v>1324</v>
      </c>
      <c r="K4299" s="403">
        <v>3584</v>
      </c>
      <c r="L4299" s="403">
        <v>2016</v>
      </c>
      <c r="M4299" s="403" t="s">
        <v>1280</v>
      </c>
      <c r="N4299" s="403">
        <v>3584</v>
      </c>
      <c r="O4299" s="403">
        <v>2016</v>
      </c>
      <c r="P4299" t="str">
        <f t="shared" si="537"/>
        <v>30fps 3584x2016 - copy other stream</v>
      </c>
      <c r="Q4299">
        <f t="shared" si="538"/>
        <v>21</v>
      </c>
      <c r="R4299" t="str">
        <f t="shared" si="539"/>
        <v/>
      </c>
      <c r="S4299" t="str">
        <f t="shared" si="540"/>
        <v/>
      </c>
      <c r="T4299" s="403" t="str">
        <f t="shared" si="541"/>
        <v>NDE-8504-R</v>
      </c>
      <c r="U4299" s="403">
        <f t="shared" si="542"/>
        <v>1</v>
      </c>
      <c r="V4299" s="403" t="str">
        <f t="shared" si="543"/>
        <v>CPP_7_3</v>
      </c>
    </row>
    <row r="4300" spans="1:22">
      <c r="A4300" t="str">
        <f t="shared" si="536"/>
        <v>NDE-8504-R</v>
      </c>
      <c r="B4300" s="403" t="s">
        <v>1410</v>
      </c>
      <c r="C4300" s="403" t="s">
        <v>582</v>
      </c>
      <c r="D4300" s="403" t="s">
        <v>1418</v>
      </c>
      <c r="E4300" s="403" t="s">
        <v>778</v>
      </c>
      <c r="F4300" s="403" t="s">
        <v>1323</v>
      </c>
      <c r="G4300" s="403" t="s">
        <v>1466</v>
      </c>
      <c r="H4300" s="403" t="s">
        <v>1276</v>
      </c>
      <c r="I4300" s="403">
        <v>1</v>
      </c>
      <c r="J4300" s="403" t="s">
        <v>1324</v>
      </c>
      <c r="K4300" s="403">
        <v>3584</v>
      </c>
      <c r="L4300" s="403">
        <v>2016</v>
      </c>
      <c r="M4300" s="403" t="s">
        <v>1365</v>
      </c>
      <c r="N4300" s="403">
        <v>3584</v>
      </c>
      <c r="O4300" s="403">
        <v>2016</v>
      </c>
      <c r="P4300" t="str">
        <f t="shared" si="537"/>
        <v>30fps 3584x2016 - 3584x2016 @ SKIP8</v>
      </c>
      <c r="Q4300">
        <f t="shared" si="538"/>
        <v>21</v>
      </c>
      <c r="R4300" t="str">
        <f t="shared" si="539"/>
        <v/>
      </c>
      <c r="S4300" t="str">
        <f t="shared" si="540"/>
        <v/>
      </c>
      <c r="T4300" s="403" t="str">
        <f t="shared" si="541"/>
        <v>NDE-8504-R</v>
      </c>
      <c r="U4300" s="403">
        <f t="shared" si="542"/>
        <v>1</v>
      </c>
      <c r="V4300" s="403" t="str">
        <f t="shared" si="543"/>
        <v>CPP_7_3</v>
      </c>
    </row>
    <row r="4301" spans="1:22">
      <c r="A4301" t="str">
        <f t="shared" si="536"/>
        <v>NDE-8504-R</v>
      </c>
      <c r="B4301" s="403" t="s">
        <v>1410</v>
      </c>
      <c r="C4301" s="403" t="s">
        <v>582</v>
      </c>
      <c r="D4301" s="403" t="s">
        <v>1418</v>
      </c>
      <c r="E4301" s="403" t="s">
        <v>778</v>
      </c>
      <c r="F4301" s="403" t="s">
        <v>1323</v>
      </c>
      <c r="G4301" s="403" t="s">
        <v>1466</v>
      </c>
      <c r="H4301" s="403" t="s">
        <v>1276</v>
      </c>
      <c r="I4301" s="403">
        <v>1</v>
      </c>
      <c r="J4301" s="403" t="s">
        <v>1324</v>
      </c>
      <c r="K4301" s="403">
        <v>3584</v>
      </c>
      <c r="L4301" s="403">
        <v>2016</v>
      </c>
      <c r="M4301" s="403" t="s">
        <v>109</v>
      </c>
      <c r="N4301" s="403">
        <v>1280</v>
      </c>
      <c r="O4301" s="403">
        <v>720</v>
      </c>
      <c r="P4301" t="str">
        <f t="shared" si="537"/>
        <v>30fps 3584x2016 - 720p</v>
      </c>
      <c r="Q4301">
        <f t="shared" si="538"/>
        <v>21</v>
      </c>
      <c r="R4301" t="str">
        <f t="shared" si="539"/>
        <v/>
      </c>
      <c r="S4301" t="str">
        <f t="shared" si="540"/>
        <v/>
      </c>
      <c r="T4301" s="403" t="str">
        <f t="shared" si="541"/>
        <v>NDE-8504-R</v>
      </c>
      <c r="U4301" s="403">
        <f t="shared" si="542"/>
        <v>1</v>
      </c>
      <c r="V4301" s="403" t="str">
        <f t="shared" si="543"/>
        <v>CPP_7_3</v>
      </c>
    </row>
    <row r="4302" spans="1:22">
      <c r="A4302" t="str">
        <f t="shared" si="536"/>
        <v>NDE-8504-R</v>
      </c>
      <c r="B4302" s="403" t="s">
        <v>1410</v>
      </c>
      <c r="C4302" s="403" t="s">
        <v>582</v>
      </c>
      <c r="D4302" s="403" t="s">
        <v>1418</v>
      </c>
      <c r="E4302" s="403" t="s">
        <v>778</v>
      </c>
      <c r="F4302" s="403" t="s">
        <v>1323</v>
      </c>
      <c r="G4302" s="403" t="s">
        <v>1466</v>
      </c>
      <c r="H4302" s="403" t="s">
        <v>1276</v>
      </c>
      <c r="I4302" s="403">
        <v>1</v>
      </c>
      <c r="J4302" s="403" t="s">
        <v>1324</v>
      </c>
      <c r="K4302" s="403">
        <v>3584</v>
      </c>
      <c r="L4302" s="403">
        <v>2016</v>
      </c>
      <c r="M4302" s="403" t="s">
        <v>1283</v>
      </c>
      <c r="N4302" s="403">
        <v>720</v>
      </c>
      <c r="O4302" s="403">
        <v>480</v>
      </c>
      <c r="P4302" t="str">
        <f t="shared" si="537"/>
        <v>30fps 3584x2016 - SD 4CIF resolution 4:3 format (cropped)</v>
      </c>
      <c r="Q4302">
        <f t="shared" si="538"/>
        <v>21</v>
      </c>
      <c r="R4302" t="str">
        <f t="shared" si="539"/>
        <v/>
      </c>
      <c r="S4302" t="str">
        <f t="shared" si="540"/>
        <v/>
      </c>
      <c r="T4302" s="403" t="str">
        <f t="shared" si="541"/>
        <v>NDE-8504-R</v>
      </c>
      <c r="U4302" s="403">
        <f t="shared" si="542"/>
        <v>1</v>
      </c>
      <c r="V4302" s="403" t="str">
        <f t="shared" si="543"/>
        <v>CPP_7_3</v>
      </c>
    </row>
    <row r="4303" spans="1:22">
      <c r="A4303" t="str">
        <f t="shared" si="536"/>
        <v>NDE-8504-R</v>
      </c>
      <c r="B4303" s="403" t="s">
        <v>1410</v>
      </c>
      <c r="C4303" s="403" t="s">
        <v>582</v>
      </c>
      <c r="D4303" s="403" t="s">
        <v>1418</v>
      </c>
      <c r="E4303" s="403" t="s">
        <v>778</v>
      </c>
      <c r="F4303" s="403" t="s">
        <v>1323</v>
      </c>
      <c r="G4303" s="403" t="s">
        <v>1466</v>
      </c>
      <c r="H4303" s="403" t="s">
        <v>1276</v>
      </c>
      <c r="I4303" s="403">
        <v>1</v>
      </c>
      <c r="J4303" s="403" t="s">
        <v>1324</v>
      </c>
      <c r="K4303" s="403">
        <v>3584</v>
      </c>
      <c r="L4303" s="403">
        <v>2016</v>
      </c>
      <c r="M4303" s="403" t="s">
        <v>1279</v>
      </c>
      <c r="N4303" s="403">
        <v>768</v>
      </c>
      <c r="O4303" s="403">
        <v>432</v>
      </c>
      <c r="P4303" t="str">
        <f t="shared" si="537"/>
        <v>30fps 3584x2016 - SD ROI PTZ</v>
      </c>
      <c r="Q4303">
        <f t="shared" si="538"/>
        <v>21</v>
      </c>
      <c r="R4303" t="str">
        <f t="shared" si="539"/>
        <v/>
      </c>
      <c r="S4303" t="str">
        <f t="shared" si="540"/>
        <v/>
      </c>
      <c r="T4303" s="403" t="str">
        <f t="shared" si="541"/>
        <v>NDE-8504-R</v>
      </c>
      <c r="U4303" s="403">
        <f t="shared" si="542"/>
        <v>1</v>
      </c>
      <c r="V4303" s="403" t="str">
        <f t="shared" si="543"/>
        <v>CPP_7_3</v>
      </c>
    </row>
    <row r="4304" spans="1:22">
      <c r="A4304" t="str">
        <f t="shared" si="536"/>
        <v>NDE-8504-R</v>
      </c>
      <c r="B4304" s="403" t="s">
        <v>1410</v>
      </c>
      <c r="C4304" s="403" t="s">
        <v>582</v>
      </c>
      <c r="D4304" s="403" t="s">
        <v>1418</v>
      </c>
      <c r="E4304" s="403" t="s">
        <v>778</v>
      </c>
      <c r="F4304" s="403" t="s">
        <v>1323</v>
      </c>
      <c r="G4304" s="403" t="s">
        <v>1466</v>
      </c>
      <c r="H4304" s="403" t="s">
        <v>1276</v>
      </c>
      <c r="I4304" s="403">
        <v>1</v>
      </c>
      <c r="J4304" s="403" t="s">
        <v>1324</v>
      </c>
      <c r="K4304" s="403">
        <v>3584</v>
      </c>
      <c r="L4304" s="403">
        <v>2016</v>
      </c>
      <c r="M4304" s="403" t="s">
        <v>1284</v>
      </c>
      <c r="N4304" s="403">
        <v>640</v>
      </c>
      <c r="O4304" s="403">
        <v>480</v>
      </c>
      <c r="P4304" t="str">
        <f t="shared" si="537"/>
        <v>30fps 3584x2016 - SD VGA (cropped)</v>
      </c>
      <c r="Q4304">
        <f t="shared" si="538"/>
        <v>21</v>
      </c>
      <c r="R4304" t="str">
        <f t="shared" si="539"/>
        <v/>
      </c>
      <c r="S4304" t="str">
        <f t="shared" si="540"/>
        <v/>
      </c>
      <c r="T4304" s="403" t="str">
        <f t="shared" si="541"/>
        <v>NDE-8504-R</v>
      </c>
      <c r="U4304" s="403">
        <f t="shared" si="542"/>
        <v>1</v>
      </c>
      <c r="V4304" s="403" t="str">
        <f t="shared" si="543"/>
        <v>CPP_7_3</v>
      </c>
    </row>
    <row r="4305" spans="1:22">
      <c r="A4305" t="str">
        <f t="shared" si="536"/>
        <v>NDE-8504-R</v>
      </c>
      <c r="B4305" s="403" t="s">
        <v>1410</v>
      </c>
      <c r="C4305" s="403" t="s">
        <v>582</v>
      </c>
      <c r="D4305" s="403" t="s">
        <v>1418</v>
      </c>
      <c r="E4305" s="403" t="s">
        <v>778</v>
      </c>
      <c r="F4305" s="403" t="s">
        <v>1323</v>
      </c>
      <c r="G4305" s="403" t="s">
        <v>1466</v>
      </c>
      <c r="H4305" s="403" t="s">
        <v>1276</v>
      </c>
      <c r="I4305" s="403">
        <v>1</v>
      </c>
      <c r="J4305" s="403" t="s">
        <v>110</v>
      </c>
      <c r="K4305" s="403">
        <v>1920</v>
      </c>
      <c r="L4305" s="403">
        <v>1080</v>
      </c>
      <c r="M4305" s="403" t="s">
        <v>111</v>
      </c>
      <c r="N4305" s="403">
        <v>768</v>
      </c>
      <c r="O4305" s="403">
        <v>432</v>
      </c>
      <c r="P4305" t="str">
        <f t="shared" si="537"/>
        <v>30fps 1080p - SD</v>
      </c>
      <c r="Q4305">
        <f t="shared" si="538"/>
        <v>21</v>
      </c>
      <c r="R4305" t="str">
        <f t="shared" si="539"/>
        <v/>
      </c>
      <c r="S4305" t="str">
        <f t="shared" si="540"/>
        <v/>
      </c>
      <c r="T4305" s="403" t="str">
        <f t="shared" si="541"/>
        <v>NDE-8504-R</v>
      </c>
      <c r="U4305" s="403">
        <f t="shared" si="542"/>
        <v>1</v>
      </c>
      <c r="V4305" s="403" t="str">
        <f t="shared" si="543"/>
        <v>CPP_7_3</v>
      </c>
    </row>
    <row r="4306" spans="1:22">
      <c r="A4306" t="str">
        <f t="shared" si="536"/>
        <v>NDE-8504-R</v>
      </c>
      <c r="B4306" s="403" t="s">
        <v>1410</v>
      </c>
      <c r="C4306" s="403" t="s">
        <v>582</v>
      </c>
      <c r="D4306" s="403" t="s">
        <v>1418</v>
      </c>
      <c r="E4306" s="403" t="s">
        <v>778</v>
      </c>
      <c r="F4306" s="403" t="s">
        <v>1323</v>
      </c>
      <c r="G4306" s="403" t="s">
        <v>1466</v>
      </c>
      <c r="H4306" s="403" t="s">
        <v>1276</v>
      </c>
      <c r="I4306" s="403">
        <v>1</v>
      </c>
      <c r="J4306" s="403" t="s">
        <v>110</v>
      </c>
      <c r="K4306" s="403">
        <v>1920</v>
      </c>
      <c r="L4306" s="403">
        <v>1080</v>
      </c>
      <c r="M4306" s="403" t="s">
        <v>110</v>
      </c>
      <c r="N4306" s="403">
        <v>1920</v>
      </c>
      <c r="O4306" s="403">
        <v>1080</v>
      </c>
      <c r="P4306" t="str">
        <f t="shared" si="537"/>
        <v>30fps 1080p - 1080p</v>
      </c>
      <c r="Q4306">
        <f t="shared" si="538"/>
        <v>21</v>
      </c>
      <c r="R4306" t="str">
        <f t="shared" si="539"/>
        <v/>
      </c>
      <c r="S4306" t="str">
        <f t="shared" si="540"/>
        <v/>
      </c>
      <c r="T4306" s="403" t="str">
        <f t="shared" si="541"/>
        <v>NDE-8504-R</v>
      </c>
      <c r="U4306" s="403">
        <f t="shared" si="542"/>
        <v>1</v>
      </c>
      <c r="V4306" s="403" t="str">
        <f t="shared" si="543"/>
        <v>CPP_7_3</v>
      </c>
    </row>
    <row r="4307" spans="1:22">
      <c r="A4307" t="str">
        <f t="shared" si="536"/>
        <v>NDE-8504-R</v>
      </c>
      <c r="B4307" s="403" t="s">
        <v>1410</v>
      </c>
      <c r="C4307" s="403" t="s">
        <v>582</v>
      </c>
      <c r="D4307" s="403" t="s">
        <v>1418</v>
      </c>
      <c r="E4307" s="403" t="s">
        <v>778</v>
      </c>
      <c r="F4307" s="403" t="s">
        <v>1323</v>
      </c>
      <c r="G4307" s="403" t="s">
        <v>1466</v>
      </c>
      <c r="H4307" s="403" t="s">
        <v>1276</v>
      </c>
      <c r="I4307" s="403">
        <v>1</v>
      </c>
      <c r="J4307" s="403" t="s">
        <v>110</v>
      </c>
      <c r="K4307" s="403">
        <v>1920</v>
      </c>
      <c r="L4307" s="403">
        <v>1080</v>
      </c>
      <c r="M4307" s="403" t="s">
        <v>109</v>
      </c>
      <c r="N4307" s="403">
        <v>1280</v>
      </c>
      <c r="O4307" s="403">
        <v>720</v>
      </c>
      <c r="P4307" t="str">
        <f t="shared" si="537"/>
        <v>30fps 1080p - 720p</v>
      </c>
      <c r="Q4307">
        <f t="shared" si="538"/>
        <v>21</v>
      </c>
      <c r="R4307" t="str">
        <f t="shared" si="539"/>
        <v/>
      </c>
      <c r="S4307" t="str">
        <f t="shared" si="540"/>
        <v/>
      </c>
      <c r="T4307" s="403" t="str">
        <f t="shared" si="541"/>
        <v>NDE-8504-R</v>
      </c>
      <c r="U4307" s="403">
        <f t="shared" si="542"/>
        <v>1</v>
      </c>
      <c r="V4307" s="403" t="str">
        <f t="shared" si="543"/>
        <v>CPP_7_3</v>
      </c>
    </row>
    <row r="4308" spans="1:22">
      <c r="A4308" t="str">
        <f t="shared" si="536"/>
        <v>NDE-8504-R</v>
      </c>
      <c r="B4308" s="403" t="s">
        <v>1410</v>
      </c>
      <c r="C4308" s="403" t="s">
        <v>582</v>
      </c>
      <c r="D4308" s="403" t="s">
        <v>1418</v>
      </c>
      <c r="E4308" s="403" t="s">
        <v>778</v>
      </c>
      <c r="F4308" s="403" t="s">
        <v>1323</v>
      </c>
      <c r="G4308" s="403" t="s">
        <v>1466</v>
      </c>
      <c r="H4308" s="403" t="s">
        <v>1276</v>
      </c>
      <c r="I4308" s="403">
        <v>1</v>
      </c>
      <c r="J4308" s="403" t="s">
        <v>110</v>
      </c>
      <c r="K4308" s="403">
        <v>1920</v>
      </c>
      <c r="L4308" s="403">
        <v>1080</v>
      </c>
      <c r="M4308" s="403" t="s">
        <v>1285</v>
      </c>
      <c r="N4308" s="403">
        <v>1280</v>
      </c>
      <c r="O4308" s="403">
        <v>1024</v>
      </c>
      <c r="P4308" t="str">
        <f t="shared" si="537"/>
        <v>30fps 1080p - 1280x1024 5:4 (cropped)</v>
      </c>
      <c r="Q4308">
        <f t="shared" si="538"/>
        <v>21</v>
      </c>
      <c r="R4308" t="str">
        <f t="shared" si="539"/>
        <v/>
      </c>
      <c r="S4308" t="str">
        <f t="shared" si="540"/>
        <v/>
      </c>
      <c r="T4308" s="403" t="str">
        <f t="shared" si="541"/>
        <v>NDE-8504-R</v>
      </c>
      <c r="U4308" s="403">
        <f t="shared" si="542"/>
        <v>1</v>
      </c>
      <c r="V4308" s="403" t="str">
        <f t="shared" si="543"/>
        <v>CPP_7_3</v>
      </c>
    </row>
    <row r="4309" spans="1:22">
      <c r="A4309" t="str">
        <f t="shared" si="536"/>
        <v>NDE-8504-R</v>
      </c>
      <c r="B4309" s="403" t="s">
        <v>1410</v>
      </c>
      <c r="C4309" s="403" t="s">
        <v>582</v>
      </c>
      <c r="D4309" s="403" t="s">
        <v>1418</v>
      </c>
      <c r="E4309" s="403" t="s">
        <v>778</v>
      </c>
      <c r="F4309" s="403" t="s">
        <v>1323</v>
      </c>
      <c r="G4309" s="403" t="s">
        <v>1466</v>
      </c>
      <c r="H4309" s="403" t="s">
        <v>1276</v>
      </c>
      <c r="I4309" s="403">
        <v>1</v>
      </c>
      <c r="J4309" s="403" t="s">
        <v>110</v>
      </c>
      <c r="K4309" s="403">
        <v>1920</v>
      </c>
      <c r="L4309" s="403">
        <v>1080</v>
      </c>
      <c r="M4309" s="403" t="s">
        <v>1279</v>
      </c>
      <c r="N4309" s="403">
        <v>768</v>
      </c>
      <c r="O4309" s="403">
        <v>432</v>
      </c>
      <c r="P4309" t="str">
        <f t="shared" si="537"/>
        <v>30fps 1080p - SD ROI PTZ</v>
      </c>
      <c r="Q4309">
        <f t="shared" si="538"/>
        <v>21</v>
      </c>
      <c r="R4309" t="str">
        <f t="shared" si="539"/>
        <v/>
      </c>
      <c r="S4309" t="str">
        <f t="shared" si="540"/>
        <v/>
      </c>
      <c r="T4309" s="403" t="str">
        <f t="shared" si="541"/>
        <v>NDE-8504-R</v>
      </c>
      <c r="U4309" s="403">
        <f t="shared" si="542"/>
        <v>1</v>
      </c>
      <c r="V4309" s="403" t="str">
        <f t="shared" si="543"/>
        <v>CPP_7_3</v>
      </c>
    </row>
    <row r="4310" spans="1:22">
      <c r="A4310" t="str">
        <f t="shared" si="536"/>
        <v>NDE-8504-R</v>
      </c>
      <c r="B4310" s="403" t="s">
        <v>1410</v>
      </c>
      <c r="C4310" s="403" t="s">
        <v>582</v>
      </c>
      <c r="D4310" s="403" t="s">
        <v>1418</v>
      </c>
      <c r="E4310" s="403" t="s">
        <v>778</v>
      </c>
      <c r="F4310" s="403" t="s">
        <v>1323</v>
      </c>
      <c r="G4310" s="403" t="s">
        <v>1466</v>
      </c>
      <c r="H4310" s="403" t="s">
        <v>1276</v>
      </c>
      <c r="I4310" s="403">
        <v>1</v>
      </c>
      <c r="J4310" s="403" t="s">
        <v>110</v>
      </c>
      <c r="K4310" s="403">
        <v>1920</v>
      </c>
      <c r="L4310" s="403">
        <v>1080</v>
      </c>
      <c r="M4310" s="403" t="s">
        <v>1283</v>
      </c>
      <c r="N4310" s="403">
        <v>720</v>
      </c>
      <c r="O4310" s="403">
        <v>480</v>
      </c>
      <c r="P4310" t="str">
        <f t="shared" si="537"/>
        <v>30fps 1080p - SD 4CIF resolution 4:3 format (cropped)</v>
      </c>
      <c r="Q4310">
        <f t="shared" si="538"/>
        <v>21</v>
      </c>
      <c r="R4310" t="str">
        <f t="shared" si="539"/>
        <v/>
      </c>
      <c r="S4310" t="str">
        <f t="shared" si="540"/>
        <v/>
      </c>
      <c r="T4310" s="403" t="str">
        <f t="shared" si="541"/>
        <v>NDE-8504-R</v>
      </c>
      <c r="U4310" s="403">
        <f t="shared" si="542"/>
        <v>1</v>
      </c>
      <c r="V4310" s="403" t="str">
        <f t="shared" si="543"/>
        <v>CPP_7_3</v>
      </c>
    </row>
    <row r="4311" spans="1:22">
      <c r="A4311" t="str">
        <f t="shared" si="536"/>
        <v>NDE-8504-R</v>
      </c>
      <c r="B4311" s="403" t="s">
        <v>1410</v>
      </c>
      <c r="C4311" s="403" t="s">
        <v>582</v>
      </c>
      <c r="D4311" s="403" t="s">
        <v>1418</v>
      </c>
      <c r="E4311" s="403" t="s">
        <v>778</v>
      </c>
      <c r="F4311" s="403" t="s">
        <v>1323</v>
      </c>
      <c r="G4311" s="403" t="s">
        <v>1466</v>
      </c>
      <c r="H4311" s="403" t="s">
        <v>1276</v>
      </c>
      <c r="I4311" s="403">
        <v>1</v>
      </c>
      <c r="J4311" s="403" t="s">
        <v>110</v>
      </c>
      <c r="K4311" s="403">
        <v>1920</v>
      </c>
      <c r="L4311" s="403">
        <v>1080</v>
      </c>
      <c r="M4311" s="403" t="s">
        <v>1284</v>
      </c>
      <c r="N4311" s="403">
        <v>640</v>
      </c>
      <c r="O4311" s="403">
        <v>480</v>
      </c>
      <c r="P4311" t="str">
        <f t="shared" si="537"/>
        <v>30fps 1080p - SD VGA (cropped)</v>
      </c>
      <c r="Q4311">
        <f t="shared" si="538"/>
        <v>21</v>
      </c>
      <c r="R4311" t="str">
        <f t="shared" si="539"/>
        <v/>
      </c>
      <c r="S4311" t="str">
        <f t="shared" si="540"/>
        <v/>
      </c>
      <c r="T4311" s="403" t="str">
        <f t="shared" si="541"/>
        <v>NDE-8504-R</v>
      </c>
      <c r="U4311" s="403">
        <f t="shared" si="542"/>
        <v>1</v>
      </c>
      <c r="V4311" s="403" t="str">
        <f t="shared" si="543"/>
        <v>CPP_7_3</v>
      </c>
    </row>
    <row r="4312" spans="1:22">
      <c r="A4312" t="str">
        <f t="shared" si="536"/>
        <v>NDE-8504-R</v>
      </c>
      <c r="B4312" s="403" t="s">
        <v>1410</v>
      </c>
      <c r="C4312" s="403" t="s">
        <v>582</v>
      </c>
      <c r="D4312" s="403" t="s">
        <v>1418</v>
      </c>
      <c r="E4312" s="403" t="s">
        <v>778</v>
      </c>
      <c r="F4312" s="403" t="s">
        <v>1323</v>
      </c>
      <c r="G4312" s="403" t="s">
        <v>1466</v>
      </c>
      <c r="H4312" s="403" t="s">
        <v>1276</v>
      </c>
      <c r="I4312" s="403">
        <v>1</v>
      </c>
      <c r="J4312" s="403" t="s">
        <v>109</v>
      </c>
      <c r="K4312" s="403">
        <v>1280</v>
      </c>
      <c r="L4312" s="403">
        <v>720</v>
      </c>
      <c r="M4312" s="403" t="s">
        <v>109</v>
      </c>
      <c r="N4312" s="403">
        <v>1280</v>
      </c>
      <c r="O4312" s="403">
        <v>720</v>
      </c>
      <c r="P4312" t="str">
        <f t="shared" si="537"/>
        <v>30fps 720p - 720p</v>
      </c>
      <c r="Q4312">
        <f t="shared" si="538"/>
        <v>21</v>
      </c>
      <c r="R4312" t="str">
        <f t="shared" si="539"/>
        <v/>
      </c>
      <c r="S4312" t="str">
        <f t="shared" si="540"/>
        <v/>
      </c>
      <c r="T4312" s="403" t="str">
        <f t="shared" si="541"/>
        <v>NDE-8504-R</v>
      </c>
      <c r="U4312" s="403">
        <f t="shared" si="542"/>
        <v>1</v>
      </c>
      <c r="V4312" s="403" t="str">
        <f t="shared" si="543"/>
        <v>CPP_7_3</v>
      </c>
    </row>
    <row r="4313" spans="1:22">
      <c r="A4313" t="str">
        <f t="shared" si="536"/>
        <v>NDE-8504-R</v>
      </c>
      <c r="B4313" s="403" t="s">
        <v>1410</v>
      </c>
      <c r="C4313" s="403" t="s">
        <v>582</v>
      </c>
      <c r="D4313" s="403" t="s">
        <v>1418</v>
      </c>
      <c r="E4313" s="403" t="s">
        <v>778</v>
      </c>
      <c r="F4313" s="403" t="s">
        <v>1323</v>
      </c>
      <c r="G4313" s="403" t="s">
        <v>1466</v>
      </c>
      <c r="H4313" s="403" t="s">
        <v>1276</v>
      </c>
      <c r="I4313" s="403">
        <v>1</v>
      </c>
      <c r="J4313" s="403" t="s">
        <v>109</v>
      </c>
      <c r="K4313" s="403">
        <v>1280</v>
      </c>
      <c r="L4313" s="403">
        <v>720</v>
      </c>
      <c r="M4313" s="403" t="s">
        <v>111</v>
      </c>
      <c r="N4313" s="403">
        <v>768</v>
      </c>
      <c r="O4313" s="403">
        <v>432</v>
      </c>
      <c r="P4313" t="str">
        <f t="shared" si="537"/>
        <v>30fps 720p - SD</v>
      </c>
      <c r="Q4313">
        <f t="shared" si="538"/>
        <v>21</v>
      </c>
      <c r="R4313" t="str">
        <f t="shared" si="539"/>
        <v/>
      </c>
      <c r="S4313" t="str">
        <f t="shared" si="540"/>
        <v/>
      </c>
      <c r="T4313" s="403" t="str">
        <f t="shared" si="541"/>
        <v>NDE-8504-R</v>
      </c>
      <c r="U4313" s="403">
        <f t="shared" si="542"/>
        <v>1</v>
      </c>
      <c r="V4313" s="403" t="str">
        <f t="shared" si="543"/>
        <v>CPP_7_3</v>
      </c>
    </row>
    <row r="4314" spans="1:22">
      <c r="A4314" t="str">
        <f t="shared" si="536"/>
        <v>NDE-8504-R</v>
      </c>
      <c r="B4314" s="403" t="s">
        <v>1410</v>
      </c>
      <c r="C4314" s="403" t="s">
        <v>582</v>
      </c>
      <c r="D4314" s="403" t="s">
        <v>1418</v>
      </c>
      <c r="E4314" s="403" t="s">
        <v>778</v>
      </c>
      <c r="F4314" s="403" t="s">
        <v>1323</v>
      </c>
      <c r="G4314" s="403" t="s">
        <v>1466</v>
      </c>
      <c r="H4314" s="403" t="s">
        <v>1276</v>
      </c>
      <c r="I4314" s="403">
        <v>1</v>
      </c>
      <c r="J4314" s="403" t="s">
        <v>109</v>
      </c>
      <c r="K4314" s="403">
        <v>1280</v>
      </c>
      <c r="L4314" s="403">
        <v>720</v>
      </c>
      <c r="M4314" s="403" t="s">
        <v>1279</v>
      </c>
      <c r="N4314" s="403">
        <v>768</v>
      </c>
      <c r="O4314" s="403">
        <v>432</v>
      </c>
      <c r="P4314" t="str">
        <f t="shared" si="537"/>
        <v>30fps 720p - SD ROI PTZ</v>
      </c>
      <c r="Q4314">
        <f t="shared" si="538"/>
        <v>21</v>
      </c>
      <c r="R4314" t="str">
        <f t="shared" si="539"/>
        <v/>
      </c>
      <c r="S4314" t="str">
        <f t="shared" si="540"/>
        <v/>
      </c>
      <c r="T4314" s="403" t="str">
        <f t="shared" si="541"/>
        <v>NDE-8504-R</v>
      </c>
      <c r="U4314" s="403">
        <f t="shared" si="542"/>
        <v>1</v>
      </c>
      <c r="V4314" s="403" t="str">
        <f t="shared" si="543"/>
        <v>CPP_7_3</v>
      </c>
    </row>
    <row r="4315" spans="1:22">
      <c r="A4315" t="str">
        <f t="shared" si="536"/>
        <v>NDE-8504-R</v>
      </c>
      <c r="B4315" s="403" t="s">
        <v>1410</v>
      </c>
      <c r="C4315" s="403" t="s">
        <v>582</v>
      </c>
      <c r="D4315" s="403" t="s">
        <v>1418</v>
      </c>
      <c r="E4315" s="403" t="s">
        <v>778</v>
      </c>
      <c r="F4315" s="403" t="s">
        <v>1323</v>
      </c>
      <c r="G4315" s="403" t="s">
        <v>1466</v>
      </c>
      <c r="H4315" s="403" t="s">
        <v>1276</v>
      </c>
      <c r="I4315" s="403">
        <v>1</v>
      </c>
      <c r="J4315" s="403" t="s">
        <v>109</v>
      </c>
      <c r="K4315" s="403">
        <v>1280</v>
      </c>
      <c r="L4315" s="403">
        <v>720</v>
      </c>
      <c r="M4315" s="403" t="s">
        <v>1283</v>
      </c>
      <c r="N4315" s="403">
        <v>720</v>
      </c>
      <c r="O4315" s="403">
        <v>480</v>
      </c>
      <c r="P4315" t="str">
        <f t="shared" si="537"/>
        <v>30fps 720p - SD 4CIF resolution 4:3 format (cropped)</v>
      </c>
      <c r="Q4315">
        <f t="shared" si="538"/>
        <v>21</v>
      </c>
      <c r="R4315" t="str">
        <f t="shared" si="539"/>
        <v/>
      </c>
      <c r="S4315" t="str">
        <f t="shared" si="540"/>
        <v/>
      </c>
      <c r="T4315" s="403" t="str">
        <f t="shared" si="541"/>
        <v>NDE-8504-R</v>
      </c>
      <c r="U4315" s="403">
        <f t="shared" si="542"/>
        <v>1</v>
      </c>
      <c r="V4315" s="403" t="str">
        <f t="shared" si="543"/>
        <v>CPP_7_3</v>
      </c>
    </row>
    <row r="4316" spans="1:22">
      <c r="A4316" t="str">
        <f t="shared" si="536"/>
        <v>NDE-8504-R</v>
      </c>
      <c r="B4316" s="403" t="s">
        <v>1410</v>
      </c>
      <c r="C4316" s="403" t="s">
        <v>582</v>
      </c>
      <c r="D4316" s="403" t="s">
        <v>1418</v>
      </c>
      <c r="E4316" s="403" t="s">
        <v>778</v>
      </c>
      <c r="F4316" s="403" t="s">
        <v>1323</v>
      </c>
      <c r="G4316" s="403" t="s">
        <v>1466</v>
      </c>
      <c r="H4316" s="403" t="s">
        <v>1276</v>
      </c>
      <c r="I4316" s="403">
        <v>1</v>
      </c>
      <c r="J4316" s="403" t="s">
        <v>109</v>
      </c>
      <c r="K4316" s="403">
        <v>1280</v>
      </c>
      <c r="L4316" s="403">
        <v>720</v>
      </c>
      <c r="M4316" s="403" t="s">
        <v>1284</v>
      </c>
      <c r="N4316" s="403">
        <v>640</v>
      </c>
      <c r="O4316" s="403">
        <v>480</v>
      </c>
      <c r="P4316" t="str">
        <f t="shared" si="537"/>
        <v>30fps 720p - SD VGA (cropped)</v>
      </c>
      <c r="Q4316">
        <f t="shared" si="538"/>
        <v>21</v>
      </c>
      <c r="R4316" t="str">
        <f t="shared" si="539"/>
        <v/>
      </c>
      <c r="S4316" t="str">
        <f t="shared" si="540"/>
        <v/>
      </c>
      <c r="T4316" s="403" t="str">
        <f t="shared" si="541"/>
        <v>NDE-8504-R</v>
      </c>
      <c r="U4316" s="403">
        <f t="shared" si="542"/>
        <v>1</v>
      </c>
      <c r="V4316" s="403" t="str">
        <f t="shared" si="543"/>
        <v>CPP_7_3</v>
      </c>
    </row>
    <row r="4317" spans="1:22">
      <c r="A4317" t="str">
        <f t="shared" si="536"/>
        <v>NDE-8504-R</v>
      </c>
      <c r="B4317" s="403" t="s">
        <v>1410</v>
      </c>
      <c r="C4317" s="403" t="s">
        <v>582</v>
      </c>
      <c r="D4317" s="403" t="s">
        <v>1418</v>
      </c>
      <c r="E4317" s="403" t="s">
        <v>778</v>
      </c>
      <c r="F4317" s="403" t="s">
        <v>1323</v>
      </c>
      <c r="G4317" s="403" t="s">
        <v>1466</v>
      </c>
      <c r="H4317" s="403" t="s">
        <v>1281</v>
      </c>
      <c r="I4317" s="403">
        <v>1</v>
      </c>
      <c r="J4317" s="403" t="s">
        <v>1324</v>
      </c>
      <c r="K4317" s="403">
        <v>3584</v>
      </c>
      <c r="L4317" s="403">
        <v>2016</v>
      </c>
      <c r="M4317" s="403" t="s">
        <v>1280</v>
      </c>
      <c r="N4317" s="403">
        <v>3584</v>
      </c>
      <c r="O4317" s="403">
        <v>2016</v>
      </c>
      <c r="P4317" t="str">
        <f t="shared" si="537"/>
        <v>30fps 3584x2016 - copy other stream</v>
      </c>
      <c r="Q4317">
        <f t="shared" si="538"/>
        <v>21</v>
      </c>
      <c r="R4317" t="str">
        <f t="shared" si="539"/>
        <v/>
      </c>
      <c r="S4317" t="str">
        <f t="shared" si="540"/>
        <v/>
      </c>
      <c r="T4317" s="403" t="str">
        <f t="shared" si="541"/>
        <v>NDE-8504-R</v>
      </c>
      <c r="U4317" s="403">
        <f t="shared" si="542"/>
        <v>1</v>
      </c>
      <c r="V4317" s="403" t="str">
        <f t="shared" si="543"/>
        <v>CPP_7_3</v>
      </c>
    </row>
    <row r="4318" spans="1:22">
      <c r="A4318" t="str">
        <f t="shared" si="536"/>
        <v>NDE-8504-R</v>
      </c>
      <c r="B4318" s="403" t="s">
        <v>1410</v>
      </c>
      <c r="C4318" s="403" t="s">
        <v>582</v>
      </c>
      <c r="D4318" s="403" t="s">
        <v>1418</v>
      </c>
      <c r="E4318" s="403" t="s">
        <v>778</v>
      </c>
      <c r="F4318" s="403" t="s">
        <v>1323</v>
      </c>
      <c r="G4318" s="403" t="s">
        <v>1466</v>
      </c>
      <c r="H4318" s="403" t="s">
        <v>1281</v>
      </c>
      <c r="I4318" s="403">
        <v>1</v>
      </c>
      <c r="J4318" s="403" t="s">
        <v>110</v>
      </c>
      <c r="K4318" s="403">
        <v>1920</v>
      </c>
      <c r="L4318" s="403">
        <v>1080</v>
      </c>
      <c r="M4318" s="403" t="s">
        <v>111</v>
      </c>
      <c r="N4318" s="403">
        <v>768</v>
      </c>
      <c r="O4318" s="403">
        <v>432</v>
      </c>
      <c r="P4318" t="str">
        <f t="shared" si="537"/>
        <v>30fps 1080p - SD</v>
      </c>
      <c r="Q4318">
        <f t="shared" si="538"/>
        <v>21</v>
      </c>
      <c r="R4318" t="str">
        <f t="shared" si="539"/>
        <v/>
      </c>
      <c r="S4318" t="str">
        <f t="shared" si="540"/>
        <v/>
      </c>
      <c r="T4318" s="403" t="str">
        <f t="shared" si="541"/>
        <v>NDE-8504-R</v>
      </c>
      <c r="U4318" s="403">
        <f t="shared" si="542"/>
        <v>1</v>
      </c>
      <c r="V4318" s="403" t="str">
        <f t="shared" si="543"/>
        <v>CPP_7_3</v>
      </c>
    </row>
    <row r="4319" spans="1:22">
      <c r="A4319" t="str">
        <f t="shared" si="536"/>
        <v>NDE-8504-R</v>
      </c>
      <c r="B4319" s="403" t="s">
        <v>1410</v>
      </c>
      <c r="C4319" s="403" t="s">
        <v>582</v>
      </c>
      <c r="D4319" s="403" t="s">
        <v>1418</v>
      </c>
      <c r="E4319" s="403" t="s">
        <v>778</v>
      </c>
      <c r="F4319" s="403" t="s">
        <v>1323</v>
      </c>
      <c r="G4319" s="403" t="s">
        <v>1466</v>
      </c>
      <c r="H4319" s="403" t="s">
        <v>1281</v>
      </c>
      <c r="I4319" s="403">
        <v>1</v>
      </c>
      <c r="J4319" s="403" t="s">
        <v>110</v>
      </c>
      <c r="K4319" s="403">
        <v>1920</v>
      </c>
      <c r="L4319" s="403">
        <v>1080</v>
      </c>
      <c r="M4319" s="403" t="s">
        <v>110</v>
      </c>
      <c r="N4319" s="403">
        <v>1920</v>
      </c>
      <c r="O4319" s="403">
        <v>1080</v>
      </c>
      <c r="P4319" t="str">
        <f t="shared" si="537"/>
        <v>30fps 1080p - 1080p</v>
      </c>
      <c r="Q4319">
        <f t="shared" si="538"/>
        <v>21</v>
      </c>
      <c r="R4319" t="str">
        <f t="shared" si="539"/>
        <v/>
      </c>
      <c r="S4319" t="str">
        <f t="shared" si="540"/>
        <v/>
      </c>
      <c r="T4319" s="403" t="str">
        <f t="shared" si="541"/>
        <v>NDE-8504-R</v>
      </c>
      <c r="U4319" s="403">
        <f t="shared" si="542"/>
        <v>1</v>
      </c>
      <c r="V4319" s="403" t="str">
        <f t="shared" si="543"/>
        <v>CPP_7_3</v>
      </c>
    </row>
    <row r="4320" spans="1:22">
      <c r="A4320" t="str">
        <f t="shared" si="536"/>
        <v>NDE-8504-R</v>
      </c>
      <c r="B4320" s="403" t="s">
        <v>1410</v>
      </c>
      <c r="C4320" s="403" t="s">
        <v>582</v>
      </c>
      <c r="D4320" s="403" t="s">
        <v>1418</v>
      </c>
      <c r="E4320" s="403" t="s">
        <v>778</v>
      </c>
      <c r="F4320" s="403" t="s">
        <v>1323</v>
      </c>
      <c r="G4320" s="403" t="s">
        <v>1466</v>
      </c>
      <c r="H4320" s="403" t="s">
        <v>1281</v>
      </c>
      <c r="I4320" s="403">
        <v>1</v>
      </c>
      <c r="J4320" s="403" t="s">
        <v>110</v>
      </c>
      <c r="K4320" s="403">
        <v>1920</v>
      </c>
      <c r="L4320" s="403">
        <v>1080</v>
      </c>
      <c r="M4320" s="403" t="s">
        <v>109</v>
      </c>
      <c r="N4320" s="403">
        <v>1280</v>
      </c>
      <c r="O4320" s="403">
        <v>720</v>
      </c>
      <c r="P4320" t="str">
        <f t="shared" si="537"/>
        <v>30fps 1080p - 720p</v>
      </c>
      <c r="Q4320">
        <f t="shared" si="538"/>
        <v>21</v>
      </c>
      <c r="R4320" t="str">
        <f t="shared" si="539"/>
        <v/>
      </c>
      <c r="S4320" t="str">
        <f t="shared" si="540"/>
        <v/>
      </c>
      <c r="T4320" s="403" t="str">
        <f t="shared" si="541"/>
        <v>NDE-8504-R</v>
      </c>
      <c r="U4320" s="403">
        <f t="shared" si="542"/>
        <v>1</v>
      </c>
      <c r="V4320" s="403" t="str">
        <f t="shared" si="543"/>
        <v>CPP_7_3</v>
      </c>
    </row>
    <row r="4321" spans="1:22">
      <c r="A4321" t="str">
        <f t="shared" si="536"/>
        <v>NDE-8504-R</v>
      </c>
      <c r="B4321" s="403" t="s">
        <v>1410</v>
      </c>
      <c r="C4321" s="403" t="s">
        <v>582</v>
      </c>
      <c r="D4321" s="403" t="s">
        <v>1418</v>
      </c>
      <c r="E4321" s="403" t="s">
        <v>778</v>
      </c>
      <c r="F4321" s="403" t="s">
        <v>1323</v>
      </c>
      <c r="G4321" s="403" t="s">
        <v>1466</v>
      </c>
      <c r="H4321" s="403" t="s">
        <v>1281</v>
      </c>
      <c r="I4321" s="403">
        <v>1</v>
      </c>
      <c r="J4321" s="403" t="s">
        <v>110</v>
      </c>
      <c r="K4321" s="403">
        <v>1920</v>
      </c>
      <c r="L4321" s="403">
        <v>1080</v>
      </c>
      <c r="M4321" s="403" t="s">
        <v>1285</v>
      </c>
      <c r="N4321" s="403">
        <v>1280</v>
      </c>
      <c r="O4321" s="403">
        <v>1024</v>
      </c>
      <c r="P4321" t="str">
        <f t="shared" si="537"/>
        <v>30fps 1080p - 1280x1024 5:4 (cropped)</v>
      </c>
      <c r="Q4321">
        <f t="shared" si="538"/>
        <v>21</v>
      </c>
      <c r="R4321" t="str">
        <f t="shared" si="539"/>
        <v/>
      </c>
      <c r="S4321" t="str">
        <f t="shared" si="540"/>
        <v/>
      </c>
      <c r="T4321" s="403" t="str">
        <f t="shared" si="541"/>
        <v>NDE-8504-R</v>
      </c>
      <c r="U4321" s="403">
        <f t="shared" si="542"/>
        <v>1</v>
      </c>
      <c r="V4321" s="403" t="str">
        <f t="shared" si="543"/>
        <v>CPP_7_3</v>
      </c>
    </row>
    <row r="4322" spans="1:22">
      <c r="A4322" t="str">
        <f t="shared" si="536"/>
        <v>NDE-8504-R</v>
      </c>
      <c r="B4322" s="403" t="s">
        <v>1410</v>
      </c>
      <c r="C4322" s="403" t="s">
        <v>582</v>
      </c>
      <c r="D4322" s="403" t="s">
        <v>1418</v>
      </c>
      <c r="E4322" s="403" t="s">
        <v>778</v>
      </c>
      <c r="F4322" s="403" t="s">
        <v>1323</v>
      </c>
      <c r="G4322" s="403" t="s">
        <v>1466</v>
      </c>
      <c r="H4322" s="403" t="s">
        <v>1281</v>
      </c>
      <c r="I4322" s="403">
        <v>1</v>
      </c>
      <c r="J4322" s="403" t="s">
        <v>110</v>
      </c>
      <c r="K4322" s="403">
        <v>1920</v>
      </c>
      <c r="L4322" s="403">
        <v>1080</v>
      </c>
      <c r="M4322" s="403" t="s">
        <v>1279</v>
      </c>
      <c r="N4322" s="403">
        <v>768</v>
      </c>
      <c r="O4322" s="403">
        <v>432</v>
      </c>
      <c r="P4322" t="str">
        <f t="shared" si="537"/>
        <v>30fps 1080p - SD ROI PTZ</v>
      </c>
      <c r="Q4322">
        <f t="shared" si="538"/>
        <v>21</v>
      </c>
      <c r="R4322" t="str">
        <f t="shared" si="539"/>
        <v/>
      </c>
      <c r="S4322" t="str">
        <f t="shared" si="540"/>
        <v/>
      </c>
      <c r="T4322" s="403" t="str">
        <f t="shared" si="541"/>
        <v>NDE-8504-R</v>
      </c>
      <c r="U4322" s="403">
        <f t="shared" si="542"/>
        <v>1</v>
      </c>
      <c r="V4322" s="403" t="str">
        <f t="shared" si="543"/>
        <v>CPP_7_3</v>
      </c>
    </row>
    <row r="4323" spans="1:22">
      <c r="A4323" t="str">
        <f t="shared" si="536"/>
        <v>NDE-8504-R</v>
      </c>
      <c r="B4323" s="403" t="s">
        <v>1410</v>
      </c>
      <c r="C4323" s="403" t="s">
        <v>582</v>
      </c>
      <c r="D4323" s="403" t="s">
        <v>1418</v>
      </c>
      <c r="E4323" s="403" t="s">
        <v>778</v>
      </c>
      <c r="F4323" s="403" t="s">
        <v>1323</v>
      </c>
      <c r="G4323" s="403" t="s">
        <v>1466</v>
      </c>
      <c r="H4323" s="403" t="s">
        <v>1281</v>
      </c>
      <c r="I4323" s="403">
        <v>1</v>
      </c>
      <c r="J4323" s="403" t="s">
        <v>110</v>
      </c>
      <c r="K4323" s="403">
        <v>1920</v>
      </c>
      <c r="L4323" s="403">
        <v>1080</v>
      </c>
      <c r="M4323" s="403" t="s">
        <v>1283</v>
      </c>
      <c r="N4323" s="403">
        <v>720</v>
      </c>
      <c r="O4323" s="403">
        <v>480</v>
      </c>
      <c r="P4323" t="str">
        <f t="shared" si="537"/>
        <v>30fps 1080p - SD 4CIF resolution 4:3 format (cropped)</v>
      </c>
      <c r="Q4323">
        <f t="shared" si="538"/>
        <v>21</v>
      </c>
      <c r="R4323" t="str">
        <f t="shared" si="539"/>
        <v/>
      </c>
      <c r="S4323" t="str">
        <f t="shared" si="540"/>
        <v/>
      </c>
      <c r="T4323" s="403" t="str">
        <f t="shared" si="541"/>
        <v>NDE-8504-R</v>
      </c>
      <c r="U4323" s="403">
        <f t="shared" si="542"/>
        <v>1</v>
      </c>
      <c r="V4323" s="403" t="str">
        <f t="shared" si="543"/>
        <v>CPP_7_3</v>
      </c>
    </row>
    <row r="4324" spans="1:22">
      <c r="A4324" t="str">
        <f t="shared" si="536"/>
        <v>NDE-8504-R</v>
      </c>
      <c r="B4324" s="403" t="s">
        <v>1410</v>
      </c>
      <c r="C4324" s="403" t="s">
        <v>582</v>
      </c>
      <c r="D4324" s="403" t="s">
        <v>1418</v>
      </c>
      <c r="E4324" s="403" t="s">
        <v>778</v>
      </c>
      <c r="F4324" s="403" t="s">
        <v>1323</v>
      </c>
      <c r="G4324" s="403" t="s">
        <v>1466</v>
      </c>
      <c r="H4324" s="403" t="s">
        <v>1281</v>
      </c>
      <c r="I4324" s="403">
        <v>1</v>
      </c>
      <c r="J4324" s="403" t="s">
        <v>110</v>
      </c>
      <c r="K4324" s="403">
        <v>1920</v>
      </c>
      <c r="L4324" s="403">
        <v>1080</v>
      </c>
      <c r="M4324" s="403" t="s">
        <v>1284</v>
      </c>
      <c r="N4324" s="403">
        <v>640</v>
      </c>
      <c r="O4324" s="403">
        <v>480</v>
      </c>
      <c r="P4324" t="str">
        <f t="shared" si="537"/>
        <v>30fps 1080p - SD VGA (cropped)</v>
      </c>
      <c r="Q4324">
        <f t="shared" si="538"/>
        <v>21</v>
      </c>
      <c r="R4324" t="str">
        <f t="shared" si="539"/>
        <v/>
      </c>
      <c r="S4324" t="str">
        <f t="shared" si="540"/>
        <v/>
      </c>
      <c r="T4324" s="403" t="str">
        <f t="shared" si="541"/>
        <v>NDE-8504-R</v>
      </c>
      <c r="U4324" s="403">
        <f t="shared" si="542"/>
        <v>1</v>
      </c>
      <c r="V4324" s="403" t="str">
        <f t="shared" si="543"/>
        <v>CPP_7_3</v>
      </c>
    </row>
    <row r="4325" spans="1:22">
      <c r="A4325" t="str">
        <f t="shared" si="536"/>
        <v>NDE-8504-R</v>
      </c>
      <c r="B4325" s="403" t="s">
        <v>1410</v>
      </c>
      <c r="C4325" s="403" t="s">
        <v>582</v>
      </c>
      <c r="D4325" s="403" t="s">
        <v>1418</v>
      </c>
      <c r="E4325" s="403" t="s">
        <v>778</v>
      </c>
      <c r="F4325" s="403" t="s">
        <v>1323</v>
      </c>
      <c r="G4325" s="403" t="s">
        <v>1466</v>
      </c>
      <c r="H4325" s="403" t="s">
        <v>1281</v>
      </c>
      <c r="I4325" s="403">
        <v>1</v>
      </c>
      <c r="J4325" s="403" t="s">
        <v>109</v>
      </c>
      <c r="K4325" s="403">
        <v>1280</v>
      </c>
      <c r="L4325" s="403">
        <v>720</v>
      </c>
      <c r="M4325" s="403" t="s">
        <v>109</v>
      </c>
      <c r="N4325" s="403">
        <v>1280</v>
      </c>
      <c r="O4325" s="403">
        <v>720</v>
      </c>
      <c r="P4325" t="str">
        <f t="shared" si="537"/>
        <v>30fps 720p - 720p</v>
      </c>
      <c r="Q4325">
        <f t="shared" si="538"/>
        <v>21</v>
      </c>
      <c r="R4325" t="str">
        <f t="shared" si="539"/>
        <v/>
      </c>
      <c r="S4325" t="str">
        <f t="shared" si="540"/>
        <v/>
      </c>
      <c r="T4325" s="403" t="str">
        <f t="shared" si="541"/>
        <v>NDE-8504-R</v>
      </c>
      <c r="U4325" s="403">
        <f t="shared" si="542"/>
        <v>1</v>
      </c>
      <c r="V4325" s="403" t="str">
        <f t="shared" si="543"/>
        <v>CPP_7_3</v>
      </c>
    </row>
    <row r="4326" spans="1:22">
      <c r="A4326" t="str">
        <f t="shared" si="536"/>
        <v>NDE-8504-R</v>
      </c>
      <c r="B4326" s="403" t="s">
        <v>1410</v>
      </c>
      <c r="C4326" s="403" t="s">
        <v>582</v>
      </c>
      <c r="D4326" s="403" t="s">
        <v>1418</v>
      </c>
      <c r="E4326" s="403" t="s">
        <v>778</v>
      </c>
      <c r="F4326" s="403" t="s">
        <v>1323</v>
      </c>
      <c r="G4326" s="403" t="s">
        <v>1466</v>
      </c>
      <c r="H4326" s="403" t="s">
        <v>1281</v>
      </c>
      <c r="I4326" s="403">
        <v>1</v>
      </c>
      <c r="J4326" s="403" t="s">
        <v>109</v>
      </c>
      <c r="K4326" s="403">
        <v>1280</v>
      </c>
      <c r="L4326" s="403">
        <v>720</v>
      </c>
      <c r="M4326" s="403" t="s">
        <v>111</v>
      </c>
      <c r="N4326" s="403">
        <v>768</v>
      </c>
      <c r="O4326" s="403">
        <v>432</v>
      </c>
      <c r="P4326" t="str">
        <f t="shared" si="537"/>
        <v>30fps 720p - SD</v>
      </c>
      <c r="Q4326">
        <f t="shared" si="538"/>
        <v>21</v>
      </c>
      <c r="R4326" t="str">
        <f t="shared" si="539"/>
        <v/>
      </c>
      <c r="S4326" t="str">
        <f t="shared" si="540"/>
        <v/>
      </c>
      <c r="T4326" s="403" t="str">
        <f t="shared" si="541"/>
        <v>NDE-8504-R</v>
      </c>
      <c r="U4326" s="403">
        <f t="shared" si="542"/>
        <v>1</v>
      </c>
      <c r="V4326" s="403" t="str">
        <f t="shared" si="543"/>
        <v>CPP_7_3</v>
      </c>
    </row>
    <row r="4327" spans="1:22">
      <c r="A4327" t="str">
        <f t="shared" si="536"/>
        <v>NDE-8504-R</v>
      </c>
      <c r="B4327" s="403" t="s">
        <v>1410</v>
      </c>
      <c r="C4327" s="403" t="s">
        <v>582</v>
      </c>
      <c r="D4327" s="403" t="s">
        <v>1418</v>
      </c>
      <c r="E4327" s="403" t="s">
        <v>778</v>
      </c>
      <c r="F4327" s="403" t="s">
        <v>1323</v>
      </c>
      <c r="G4327" s="403" t="s">
        <v>1466</v>
      </c>
      <c r="H4327" s="403" t="s">
        <v>1281</v>
      </c>
      <c r="I4327" s="403">
        <v>1</v>
      </c>
      <c r="J4327" s="403" t="s">
        <v>109</v>
      </c>
      <c r="K4327" s="403">
        <v>1280</v>
      </c>
      <c r="L4327" s="403">
        <v>720</v>
      </c>
      <c r="M4327" s="403" t="s">
        <v>1279</v>
      </c>
      <c r="N4327" s="403">
        <v>768</v>
      </c>
      <c r="O4327" s="403">
        <v>432</v>
      </c>
      <c r="P4327" t="str">
        <f t="shared" si="537"/>
        <v>30fps 720p - SD ROI PTZ</v>
      </c>
      <c r="Q4327">
        <f t="shared" si="538"/>
        <v>21</v>
      </c>
      <c r="R4327" t="str">
        <f t="shared" si="539"/>
        <v/>
      </c>
      <c r="S4327" t="str">
        <f t="shared" si="540"/>
        <v/>
      </c>
      <c r="T4327" s="403" t="str">
        <f t="shared" si="541"/>
        <v>NDE-8504-R</v>
      </c>
      <c r="U4327" s="403">
        <f t="shared" si="542"/>
        <v>1</v>
      </c>
      <c r="V4327" s="403" t="str">
        <f t="shared" si="543"/>
        <v>CPP_7_3</v>
      </c>
    </row>
    <row r="4328" spans="1:22">
      <c r="A4328" t="str">
        <f t="shared" si="536"/>
        <v>NDE-8504-R</v>
      </c>
      <c r="B4328" s="403" t="s">
        <v>1410</v>
      </c>
      <c r="C4328" s="403" t="s">
        <v>582</v>
      </c>
      <c r="D4328" s="403" t="s">
        <v>1418</v>
      </c>
      <c r="E4328" s="403" t="s">
        <v>778</v>
      </c>
      <c r="F4328" s="403" t="s">
        <v>1323</v>
      </c>
      <c r="G4328" s="403" t="s">
        <v>1466</v>
      </c>
      <c r="H4328" s="403" t="s">
        <v>1281</v>
      </c>
      <c r="I4328" s="403">
        <v>1</v>
      </c>
      <c r="J4328" s="403" t="s">
        <v>109</v>
      </c>
      <c r="K4328" s="403">
        <v>1280</v>
      </c>
      <c r="L4328" s="403">
        <v>720</v>
      </c>
      <c r="M4328" s="403" t="s">
        <v>1283</v>
      </c>
      <c r="N4328" s="403">
        <v>720</v>
      </c>
      <c r="O4328" s="403">
        <v>480</v>
      </c>
      <c r="P4328" t="str">
        <f t="shared" si="537"/>
        <v>30fps 720p - SD 4CIF resolution 4:3 format (cropped)</v>
      </c>
      <c r="Q4328">
        <f t="shared" si="538"/>
        <v>21</v>
      </c>
      <c r="R4328" t="str">
        <f t="shared" si="539"/>
        <v/>
      </c>
      <c r="S4328" t="str">
        <f t="shared" si="540"/>
        <v/>
      </c>
      <c r="T4328" s="403" t="str">
        <f t="shared" si="541"/>
        <v>NDE-8504-R</v>
      </c>
      <c r="U4328" s="403">
        <f t="shared" si="542"/>
        <v>1</v>
      </c>
      <c r="V4328" s="403" t="str">
        <f t="shared" si="543"/>
        <v>CPP_7_3</v>
      </c>
    </row>
    <row r="4329" spans="1:22">
      <c r="A4329" t="str">
        <f t="shared" si="536"/>
        <v>NDE-8504-R</v>
      </c>
      <c r="B4329" s="403" t="s">
        <v>1410</v>
      </c>
      <c r="C4329" s="403" t="s">
        <v>582</v>
      </c>
      <c r="D4329" s="403" t="s">
        <v>1418</v>
      </c>
      <c r="E4329" s="403" t="s">
        <v>778</v>
      </c>
      <c r="F4329" s="403" t="s">
        <v>1323</v>
      </c>
      <c r="G4329" s="403" t="s">
        <v>1466</v>
      </c>
      <c r="H4329" s="403" t="s">
        <v>1281</v>
      </c>
      <c r="I4329" s="403">
        <v>1</v>
      </c>
      <c r="J4329" s="403" t="s">
        <v>109</v>
      </c>
      <c r="K4329" s="403">
        <v>1280</v>
      </c>
      <c r="L4329" s="403">
        <v>720</v>
      </c>
      <c r="M4329" s="403" t="s">
        <v>1284</v>
      </c>
      <c r="N4329" s="403">
        <v>640</v>
      </c>
      <c r="O4329" s="403">
        <v>480</v>
      </c>
      <c r="P4329" t="str">
        <f t="shared" si="537"/>
        <v>30fps 720p - SD VGA (cropped)</v>
      </c>
      <c r="Q4329">
        <f t="shared" si="538"/>
        <v>21</v>
      </c>
      <c r="R4329" t="str">
        <f t="shared" si="539"/>
        <v/>
      </c>
      <c r="S4329" t="str">
        <f t="shared" si="540"/>
        <v/>
      </c>
      <c r="T4329" s="403" t="str">
        <f t="shared" si="541"/>
        <v>NDE-8504-R</v>
      </c>
      <c r="U4329" s="403">
        <f t="shared" si="542"/>
        <v>1</v>
      </c>
      <c r="V4329" s="403" t="str">
        <f t="shared" si="543"/>
        <v>CPP_7_3</v>
      </c>
    </row>
    <row r="4330" spans="1:22">
      <c r="A4330" t="str">
        <f t="shared" si="536"/>
        <v>NDE-8504-R</v>
      </c>
      <c r="B4330" s="403" t="s">
        <v>1410</v>
      </c>
      <c r="C4330" s="403" t="s">
        <v>582</v>
      </c>
      <c r="D4330" s="403" t="s">
        <v>1418</v>
      </c>
      <c r="E4330" s="403" t="s">
        <v>778</v>
      </c>
      <c r="F4330" s="403" t="s">
        <v>1325</v>
      </c>
      <c r="G4330" s="403" t="s">
        <v>1466</v>
      </c>
      <c r="H4330" s="403" t="s">
        <v>1276</v>
      </c>
      <c r="I4330" s="403">
        <v>1</v>
      </c>
      <c r="J4330" s="403" t="s">
        <v>194</v>
      </c>
      <c r="K4330" s="403">
        <v>3840</v>
      </c>
      <c r="L4330" s="403">
        <v>2160</v>
      </c>
      <c r="M4330" s="403" t="s">
        <v>111</v>
      </c>
      <c r="N4330" s="403">
        <v>768</v>
      </c>
      <c r="O4330" s="403">
        <v>432</v>
      </c>
      <c r="P4330" t="str">
        <f t="shared" si="537"/>
        <v>25fps 3840x2160 - SD</v>
      </c>
      <c r="Q4330">
        <f t="shared" si="538"/>
        <v>21</v>
      </c>
      <c r="R4330" t="str">
        <f t="shared" si="539"/>
        <v/>
      </c>
      <c r="S4330" t="str">
        <f t="shared" si="540"/>
        <v/>
      </c>
      <c r="T4330" s="403" t="str">
        <f t="shared" si="541"/>
        <v>NDE-8504-R</v>
      </c>
      <c r="U4330" s="403">
        <f t="shared" si="542"/>
        <v>1</v>
      </c>
      <c r="V4330" s="403" t="str">
        <f t="shared" si="543"/>
        <v>CPP_7_3</v>
      </c>
    </row>
    <row r="4331" spans="1:22">
      <c r="A4331" t="str">
        <f t="shared" si="536"/>
        <v>NDE-8504-R</v>
      </c>
      <c r="B4331" s="403" t="s">
        <v>1410</v>
      </c>
      <c r="C4331" s="403" t="s">
        <v>582</v>
      </c>
      <c r="D4331" s="403" t="s">
        <v>1418</v>
      </c>
      <c r="E4331" s="403" t="s">
        <v>778</v>
      </c>
      <c r="F4331" s="403" t="s">
        <v>1325</v>
      </c>
      <c r="G4331" s="403" t="s">
        <v>1466</v>
      </c>
      <c r="H4331" s="403" t="s">
        <v>1276</v>
      </c>
      <c r="I4331" s="403">
        <v>1</v>
      </c>
      <c r="J4331" s="403" t="s">
        <v>194</v>
      </c>
      <c r="K4331" s="403">
        <v>3840</v>
      </c>
      <c r="L4331" s="403">
        <v>2160</v>
      </c>
      <c r="M4331" s="403" t="s">
        <v>1280</v>
      </c>
      <c r="N4331" s="403">
        <v>3840</v>
      </c>
      <c r="O4331" s="403">
        <v>2160</v>
      </c>
      <c r="P4331" t="str">
        <f t="shared" si="537"/>
        <v>25fps 3840x2160 - copy other stream</v>
      </c>
      <c r="Q4331">
        <f t="shared" si="538"/>
        <v>21</v>
      </c>
      <c r="R4331" t="str">
        <f t="shared" si="539"/>
        <v/>
      </c>
      <c r="S4331" t="str">
        <f t="shared" si="540"/>
        <v/>
      </c>
      <c r="T4331" s="403" t="str">
        <f t="shared" si="541"/>
        <v>NDE-8504-R</v>
      </c>
      <c r="U4331" s="403">
        <f t="shared" si="542"/>
        <v>1</v>
      </c>
      <c r="V4331" s="403" t="str">
        <f t="shared" si="543"/>
        <v>CPP_7_3</v>
      </c>
    </row>
    <row r="4332" spans="1:22">
      <c r="A4332" t="str">
        <f t="shared" si="536"/>
        <v>NDE-8504-R</v>
      </c>
      <c r="B4332" s="403" t="s">
        <v>1410</v>
      </c>
      <c r="C4332" s="403" t="s">
        <v>582</v>
      </c>
      <c r="D4332" s="403" t="s">
        <v>1418</v>
      </c>
      <c r="E4332" s="403" t="s">
        <v>778</v>
      </c>
      <c r="F4332" s="403" t="s">
        <v>1325</v>
      </c>
      <c r="G4332" s="403" t="s">
        <v>1466</v>
      </c>
      <c r="H4332" s="403" t="s">
        <v>1276</v>
      </c>
      <c r="I4332" s="403">
        <v>1</v>
      </c>
      <c r="J4332" s="403" t="s">
        <v>194</v>
      </c>
      <c r="K4332" s="403">
        <v>3840</v>
      </c>
      <c r="L4332" s="403">
        <v>2160</v>
      </c>
      <c r="M4332" s="403" t="s">
        <v>1362</v>
      </c>
      <c r="N4332" s="403">
        <v>3840</v>
      </c>
      <c r="O4332" s="403">
        <v>2160</v>
      </c>
      <c r="P4332" t="str">
        <f t="shared" si="537"/>
        <v>25fps 3840x2160 - 3840x2160 @ SKIP6</v>
      </c>
      <c r="Q4332">
        <f t="shared" si="538"/>
        <v>21</v>
      </c>
      <c r="R4332" t="str">
        <f t="shared" si="539"/>
        <v/>
      </c>
      <c r="S4332" t="str">
        <f t="shared" si="540"/>
        <v/>
      </c>
      <c r="T4332" s="403" t="str">
        <f t="shared" si="541"/>
        <v>NDE-8504-R</v>
      </c>
      <c r="U4332" s="403">
        <f t="shared" si="542"/>
        <v>1</v>
      </c>
      <c r="V4332" s="403" t="str">
        <f t="shared" si="543"/>
        <v>CPP_7_3</v>
      </c>
    </row>
    <row r="4333" spans="1:22">
      <c r="A4333" t="str">
        <f t="shared" si="536"/>
        <v>NDE-8504-R</v>
      </c>
      <c r="B4333" s="403" t="s">
        <v>1410</v>
      </c>
      <c r="C4333" s="403" t="s">
        <v>582</v>
      </c>
      <c r="D4333" s="403" t="s">
        <v>1418</v>
      </c>
      <c r="E4333" s="403" t="s">
        <v>778</v>
      </c>
      <c r="F4333" s="403" t="s">
        <v>1325</v>
      </c>
      <c r="G4333" s="403" t="s">
        <v>1466</v>
      </c>
      <c r="H4333" s="403" t="s">
        <v>1276</v>
      </c>
      <c r="I4333" s="403">
        <v>1</v>
      </c>
      <c r="J4333" s="403" t="s">
        <v>194</v>
      </c>
      <c r="K4333" s="403">
        <v>3840</v>
      </c>
      <c r="L4333" s="403">
        <v>2160</v>
      </c>
      <c r="M4333" s="403" t="s">
        <v>1363</v>
      </c>
      <c r="N4333" s="403">
        <v>1920</v>
      </c>
      <c r="O4333" s="403">
        <v>1080</v>
      </c>
      <c r="P4333" t="str">
        <f t="shared" si="537"/>
        <v>25fps 3840x2160 - 1920x1080 @ SKIP 2</v>
      </c>
      <c r="Q4333">
        <f t="shared" si="538"/>
        <v>21</v>
      </c>
      <c r="R4333" t="str">
        <f t="shared" si="539"/>
        <v/>
      </c>
      <c r="S4333" t="str">
        <f t="shared" si="540"/>
        <v/>
      </c>
      <c r="T4333" s="403" t="str">
        <f t="shared" si="541"/>
        <v>NDE-8504-R</v>
      </c>
      <c r="U4333" s="403">
        <f t="shared" si="542"/>
        <v>1</v>
      </c>
      <c r="V4333" s="403" t="str">
        <f t="shared" si="543"/>
        <v>CPP_7_3</v>
      </c>
    </row>
    <row r="4334" spans="1:22">
      <c r="A4334" t="str">
        <f t="shared" si="536"/>
        <v>NDE-8504-R</v>
      </c>
      <c r="B4334" s="403" t="s">
        <v>1410</v>
      </c>
      <c r="C4334" s="403" t="s">
        <v>582</v>
      </c>
      <c r="D4334" s="403" t="s">
        <v>1418</v>
      </c>
      <c r="E4334" s="403" t="s">
        <v>778</v>
      </c>
      <c r="F4334" s="403" t="s">
        <v>1325</v>
      </c>
      <c r="G4334" s="403" t="s">
        <v>1466</v>
      </c>
      <c r="H4334" s="403" t="s">
        <v>1276</v>
      </c>
      <c r="I4334" s="403">
        <v>1</v>
      </c>
      <c r="J4334" s="403" t="s">
        <v>194</v>
      </c>
      <c r="K4334" s="403">
        <v>3840</v>
      </c>
      <c r="L4334" s="403">
        <v>2160</v>
      </c>
      <c r="M4334" s="403" t="s">
        <v>109</v>
      </c>
      <c r="N4334" s="403">
        <v>1280</v>
      </c>
      <c r="O4334" s="403">
        <v>720</v>
      </c>
      <c r="P4334" t="str">
        <f t="shared" si="537"/>
        <v>25fps 3840x2160 - 720p</v>
      </c>
      <c r="Q4334">
        <f t="shared" si="538"/>
        <v>21</v>
      </c>
      <c r="R4334" t="str">
        <f t="shared" si="539"/>
        <v/>
      </c>
      <c r="S4334" t="str">
        <f t="shared" si="540"/>
        <v/>
      </c>
      <c r="T4334" s="403" t="str">
        <f t="shared" si="541"/>
        <v>NDE-8504-R</v>
      </c>
      <c r="U4334" s="403">
        <f t="shared" si="542"/>
        <v>1</v>
      </c>
      <c r="V4334" s="403" t="str">
        <f t="shared" si="543"/>
        <v>CPP_7_3</v>
      </c>
    </row>
    <row r="4335" spans="1:22">
      <c r="A4335" t="str">
        <f t="shared" si="536"/>
        <v>NDE-8504-R</v>
      </c>
      <c r="B4335" s="403" t="s">
        <v>1410</v>
      </c>
      <c r="C4335" s="403" t="s">
        <v>582</v>
      </c>
      <c r="D4335" s="403" t="s">
        <v>1418</v>
      </c>
      <c r="E4335" s="403" t="s">
        <v>778</v>
      </c>
      <c r="F4335" s="403" t="s">
        <v>1325</v>
      </c>
      <c r="G4335" s="403" t="s">
        <v>1466</v>
      </c>
      <c r="H4335" s="403" t="s">
        <v>1276</v>
      </c>
      <c r="I4335" s="403">
        <v>1</v>
      </c>
      <c r="J4335" s="403" t="s">
        <v>194</v>
      </c>
      <c r="K4335" s="403">
        <v>3840</v>
      </c>
      <c r="L4335" s="403">
        <v>2160</v>
      </c>
      <c r="M4335" s="403" t="s">
        <v>1283</v>
      </c>
      <c r="N4335" s="403">
        <v>720</v>
      </c>
      <c r="O4335" s="403">
        <v>576</v>
      </c>
      <c r="P4335" t="str">
        <f t="shared" si="537"/>
        <v>25fps 3840x2160 - SD 4CIF resolution 4:3 format (cropped)</v>
      </c>
      <c r="Q4335">
        <f t="shared" si="538"/>
        <v>21</v>
      </c>
      <c r="R4335" t="str">
        <f t="shared" si="539"/>
        <v/>
      </c>
      <c r="S4335" t="str">
        <f t="shared" si="540"/>
        <v/>
      </c>
      <c r="T4335" s="403" t="str">
        <f t="shared" si="541"/>
        <v>NDE-8504-R</v>
      </c>
      <c r="U4335" s="403">
        <f t="shared" si="542"/>
        <v>1</v>
      </c>
      <c r="V4335" s="403" t="str">
        <f t="shared" si="543"/>
        <v>CPP_7_3</v>
      </c>
    </row>
    <row r="4336" spans="1:22">
      <c r="A4336" t="str">
        <f t="shared" si="536"/>
        <v>NDE-8504-R</v>
      </c>
      <c r="B4336" s="403" t="s">
        <v>1410</v>
      </c>
      <c r="C4336" s="403" t="s">
        <v>582</v>
      </c>
      <c r="D4336" s="403" t="s">
        <v>1418</v>
      </c>
      <c r="E4336" s="403" t="s">
        <v>778</v>
      </c>
      <c r="F4336" s="403" t="s">
        <v>1325</v>
      </c>
      <c r="G4336" s="403" t="s">
        <v>1466</v>
      </c>
      <c r="H4336" s="403" t="s">
        <v>1276</v>
      </c>
      <c r="I4336" s="403">
        <v>1</v>
      </c>
      <c r="J4336" s="403" t="s">
        <v>194</v>
      </c>
      <c r="K4336" s="403">
        <v>3840</v>
      </c>
      <c r="L4336" s="403">
        <v>2160</v>
      </c>
      <c r="M4336" s="403" t="s">
        <v>1284</v>
      </c>
      <c r="N4336" s="403">
        <v>640</v>
      </c>
      <c r="O4336" s="403">
        <v>480</v>
      </c>
      <c r="P4336" t="str">
        <f t="shared" si="537"/>
        <v>25fps 3840x2160 - SD VGA (cropped)</v>
      </c>
      <c r="Q4336">
        <f t="shared" si="538"/>
        <v>21</v>
      </c>
      <c r="R4336" t="str">
        <f t="shared" si="539"/>
        <v/>
      </c>
      <c r="S4336" t="str">
        <f t="shared" si="540"/>
        <v/>
      </c>
      <c r="T4336" s="403" t="str">
        <f t="shared" si="541"/>
        <v>NDE-8504-R</v>
      </c>
      <c r="U4336" s="403">
        <f t="shared" si="542"/>
        <v>1</v>
      </c>
      <c r="V4336" s="403" t="str">
        <f t="shared" si="543"/>
        <v>CPP_7_3</v>
      </c>
    </row>
    <row r="4337" spans="1:22">
      <c r="A4337" t="str">
        <f t="shared" si="536"/>
        <v>NDE-8504-R</v>
      </c>
      <c r="B4337" s="403" t="s">
        <v>1410</v>
      </c>
      <c r="C4337" s="403" t="s">
        <v>582</v>
      </c>
      <c r="D4337" s="403" t="s">
        <v>1418</v>
      </c>
      <c r="E4337" s="403" t="s">
        <v>778</v>
      </c>
      <c r="F4337" s="403" t="s">
        <v>1325</v>
      </c>
      <c r="G4337" s="403" t="s">
        <v>1466</v>
      </c>
      <c r="H4337" s="403" t="s">
        <v>1276</v>
      </c>
      <c r="I4337" s="403">
        <v>1</v>
      </c>
      <c r="J4337" s="403" t="s">
        <v>194</v>
      </c>
      <c r="K4337" s="403">
        <v>3840</v>
      </c>
      <c r="L4337" s="403">
        <v>2160</v>
      </c>
      <c r="M4337" s="403" t="s">
        <v>1285</v>
      </c>
      <c r="N4337" s="403">
        <v>1280</v>
      </c>
      <c r="O4337" s="403">
        <v>1024</v>
      </c>
      <c r="P4337" t="str">
        <f t="shared" si="537"/>
        <v>25fps 3840x2160 - 1280x1024 5:4 (cropped)</v>
      </c>
      <c r="Q4337">
        <f t="shared" si="538"/>
        <v>21</v>
      </c>
      <c r="R4337" t="str">
        <f t="shared" si="539"/>
        <v/>
      </c>
      <c r="S4337" t="str">
        <f t="shared" si="540"/>
        <v/>
      </c>
      <c r="T4337" s="403" t="str">
        <f t="shared" si="541"/>
        <v>NDE-8504-R</v>
      </c>
      <c r="U4337" s="403">
        <f t="shared" si="542"/>
        <v>1</v>
      </c>
      <c r="V4337" s="403" t="str">
        <f t="shared" si="543"/>
        <v>CPP_7_3</v>
      </c>
    </row>
    <row r="4338" spans="1:22">
      <c r="A4338" t="str">
        <f t="shared" si="536"/>
        <v>NDE-8504-R</v>
      </c>
      <c r="B4338" s="403" t="s">
        <v>1410</v>
      </c>
      <c r="C4338" s="403" t="s">
        <v>582</v>
      </c>
      <c r="D4338" s="403" t="s">
        <v>1418</v>
      </c>
      <c r="E4338" s="403" t="s">
        <v>778</v>
      </c>
      <c r="F4338" s="403" t="s">
        <v>1325</v>
      </c>
      <c r="G4338" s="403" t="s">
        <v>1466</v>
      </c>
      <c r="H4338" s="403" t="s">
        <v>1276</v>
      </c>
      <c r="I4338" s="403">
        <v>1</v>
      </c>
      <c r="J4338" s="403" t="s">
        <v>1324</v>
      </c>
      <c r="K4338" s="403">
        <v>3584</v>
      </c>
      <c r="L4338" s="403">
        <v>2016</v>
      </c>
      <c r="M4338" s="403" t="s">
        <v>111</v>
      </c>
      <c r="N4338" s="403">
        <v>768</v>
      </c>
      <c r="O4338" s="403">
        <v>432</v>
      </c>
      <c r="P4338" t="str">
        <f t="shared" si="537"/>
        <v>25fps 3584x2016 - SD</v>
      </c>
      <c r="Q4338">
        <f t="shared" si="538"/>
        <v>21</v>
      </c>
      <c r="R4338" t="str">
        <f t="shared" si="539"/>
        <v/>
      </c>
      <c r="S4338" t="str">
        <f t="shared" si="540"/>
        <v/>
      </c>
      <c r="T4338" s="403" t="str">
        <f t="shared" si="541"/>
        <v>NDE-8504-R</v>
      </c>
      <c r="U4338" s="403">
        <f t="shared" si="542"/>
        <v>1</v>
      </c>
      <c r="V4338" s="403" t="str">
        <f t="shared" si="543"/>
        <v>CPP_7_3</v>
      </c>
    </row>
    <row r="4339" spans="1:22">
      <c r="A4339" t="str">
        <f t="shared" si="536"/>
        <v>NDE-8504-R</v>
      </c>
      <c r="B4339" s="403" t="s">
        <v>1410</v>
      </c>
      <c r="C4339" s="403" t="s">
        <v>582</v>
      </c>
      <c r="D4339" s="403" t="s">
        <v>1418</v>
      </c>
      <c r="E4339" s="403" t="s">
        <v>778</v>
      </c>
      <c r="F4339" s="403" t="s">
        <v>1325</v>
      </c>
      <c r="G4339" s="403" t="s">
        <v>1466</v>
      </c>
      <c r="H4339" s="403" t="s">
        <v>1276</v>
      </c>
      <c r="I4339" s="403">
        <v>1</v>
      </c>
      <c r="J4339" s="403" t="s">
        <v>1324</v>
      </c>
      <c r="K4339" s="403">
        <v>3584</v>
      </c>
      <c r="L4339" s="403">
        <v>2016</v>
      </c>
      <c r="M4339" s="403" t="s">
        <v>1280</v>
      </c>
      <c r="N4339" s="403">
        <v>3584</v>
      </c>
      <c r="O4339" s="403">
        <v>2016</v>
      </c>
      <c r="P4339" t="str">
        <f t="shared" si="537"/>
        <v>25fps 3584x2016 - copy other stream</v>
      </c>
      <c r="Q4339">
        <f t="shared" si="538"/>
        <v>21</v>
      </c>
      <c r="R4339" t="str">
        <f t="shared" si="539"/>
        <v/>
      </c>
      <c r="S4339" t="str">
        <f t="shared" si="540"/>
        <v/>
      </c>
      <c r="T4339" s="403" t="str">
        <f t="shared" si="541"/>
        <v>NDE-8504-R</v>
      </c>
      <c r="U4339" s="403">
        <f t="shared" si="542"/>
        <v>1</v>
      </c>
      <c r="V4339" s="403" t="str">
        <f t="shared" si="543"/>
        <v>CPP_7_3</v>
      </c>
    </row>
    <row r="4340" spans="1:22">
      <c r="A4340" t="str">
        <f t="shared" si="536"/>
        <v>NDE-8504-R</v>
      </c>
      <c r="B4340" s="403" t="s">
        <v>1410</v>
      </c>
      <c r="C4340" s="403" t="s">
        <v>582</v>
      </c>
      <c r="D4340" s="403" t="s">
        <v>1418</v>
      </c>
      <c r="E4340" s="403" t="s">
        <v>778</v>
      </c>
      <c r="F4340" s="403" t="s">
        <v>1325</v>
      </c>
      <c r="G4340" s="403" t="s">
        <v>1466</v>
      </c>
      <c r="H4340" s="403" t="s">
        <v>1276</v>
      </c>
      <c r="I4340" s="403">
        <v>1</v>
      </c>
      <c r="J4340" s="403" t="s">
        <v>1324</v>
      </c>
      <c r="K4340" s="403">
        <v>3584</v>
      </c>
      <c r="L4340" s="403">
        <v>2016</v>
      </c>
      <c r="M4340" s="403" t="s">
        <v>1364</v>
      </c>
      <c r="N4340" s="403">
        <v>3584</v>
      </c>
      <c r="O4340" s="403">
        <v>2016</v>
      </c>
      <c r="P4340" t="str">
        <f t="shared" si="537"/>
        <v>25fps 3584x2016 - 3584x2016 @ SKIP6</v>
      </c>
      <c r="Q4340">
        <f t="shared" si="538"/>
        <v>21</v>
      </c>
      <c r="R4340" t="str">
        <f t="shared" si="539"/>
        <v/>
      </c>
      <c r="S4340" t="str">
        <f t="shared" si="540"/>
        <v/>
      </c>
      <c r="T4340" s="403" t="str">
        <f t="shared" si="541"/>
        <v>NDE-8504-R</v>
      </c>
      <c r="U4340" s="403">
        <f t="shared" si="542"/>
        <v>1</v>
      </c>
      <c r="V4340" s="403" t="str">
        <f t="shared" si="543"/>
        <v>CPP_7_3</v>
      </c>
    </row>
    <row r="4341" spans="1:22">
      <c r="A4341" t="str">
        <f t="shared" si="536"/>
        <v>NDE-8504-R</v>
      </c>
      <c r="B4341" s="403" t="s">
        <v>1410</v>
      </c>
      <c r="C4341" s="403" t="s">
        <v>582</v>
      </c>
      <c r="D4341" s="403" t="s">
        <v>1418</v>
      </c>
      <c r="E4341" s="403" t="s">
        <v>778</v>
      </c>
      <c r="F4341" s="403" t="s">
        <v>1325</v>
      </c>
      <c r="G4341" s="403" t="s">
        <v>1466</v>
      </c>
      <c r="H4341" s="403" t="s">
        <v>1276</v>
      </c>
      <c r="I4341" s="403">
        <v>1</v>
      </c>
      <c r="J4341" s="403" t="s">
        <v>1324</v>
      </c>
      <c r="K4341" s="403">
        <v>3584</v>
      </c>
      <c r="L4341" s="403">
        <v>2016</v>
      </c>
      <c r="M4341" s="403" t="s">
        <v>110</v>
      </c>
      <c r="N4341" s="403">
        <v>1920</v>
      </c>
      <c r="O4341" s="403">
        <v>1080</v>
      </c>
      <c r="P4341" t="str">
        <f t="shared" si="537"/>
        <v>25fps 3584x2016 - 1080p</v>
      </c>
      <c r="Q4341">
        <f t="shared" si="538"/>
        <v>21</v>
      </c>
      <c r="R4341" t="str">
        <f t="shared" si="539"/>
        <v/>
      </c>
      <c r="S4341" t="str">
        <f t="shared" si="540"/>
        <v/>
      </c>
      <c r="T4341" s="403" t="str">
        <f t="shared" si="541"/>
        <v>NDE-8504-R</v>
      </c>
      <c r="U4341" s="403">
        <f t="shared" si="542"/>
        <v>1</v>
      </c>
      <c r="V4341" s="403" t="str">
        <f t="shared" si="543"/>
        <v>CPP_7_3</v>
      </c>
    </row>
    <row r="4342" spans="1:22">
      <c r="A4342" t="str">
        <f t="shared" si="536"/>
        <v>NDE-8504-R</v>
      </c>
      <c r="B4342" s="403" t="s">
        <v>1410</v>
      </c>
      <c r="C4342" s="403" t="s">
        <v>582</v>
      </c>
      <c r="D4342" s="403" t="s">
        <v>1418</v>
      </c>
      <c r="E4342" s="403" t="s">
        <v>778</v>
      </c>
      <c r="F4342" s="403" t="s">
        <v>1325</v>
      </c>
      <c r="G4342" s="403" t="s">
        <v>1466</v>
      </c>
      <c r="H4342" s="403" t="s">
        <v>1276</v>
      </c>
      <c r="I4342" s="403">
        <v>1</v>
      </c>
      <c r="J4342" s="403" t="s">
        <v>1324</v>
      </c>
      <c r="K4342" s="403">
        <v>3584</v>
      </c>
      <c r="L4342" s="403">
        <v>2016</v>
      </c>
      <c r="M4342" s="403" t="s">
        <v>109</v>
      </c>
      <c r="N4342" s="403">
        <v>1280</v>
      </c>
      <c r="O4342" s="403">
        <v>720</v>
      </c>
      <c r="P4342" t="str">
        <f t="shared" si="537"/>
        <v>25fps 3584x2016 - 720p</v>
      </c>
      <c r="Q4342">
        <f t="shared" si="538"/>
        <v>21</v>
      </c>
      <c r="R4342" t="str">
        <f t="shared" si="539"/>
        <v/>
      </c>
      <c r="S4342" t="str">
        <f t="shared" si="540"/>
        <v/>
      </c>
      <c r="T4342" s="403" t="str">
        <f t="shared" si="541"/>
        <v>NDE-8504-R</v>
      </c>
      <c r="U4342" s="403">
        <f t="shared" si="542"/>
        <v>1</v>
      </c>
      <c r="V4342" s="403" t="str">
        <f t="shared" si="543"/>
        <v>CPP_7_3</v>
      </c>
    </row>
    <row r="4343" spans="1:22">
      <c r="A4343" t="str">
        <f t="shared" si="536"/>
        <v>NDE-8504-R</v>
      </c>
      <c r="B4343" s="403" t="s">
        <v>1410</v>
      </c>
      <c r="C4343" s="403" t="s">
        <v>582</v>
      </c>
      <c r="D4343" s="403" t="s">
        <v>1418</v>
      </c>
      <c r="E4343" s="403" t="s">
        <v>778</v>
      </c>
      <c r="F4343" s="403" t="s">
        <v>1325</v>
      </c>
      <c r="G4343" s="403" t="s">
        <v>1466</v>
      </c>
      <c r="H4343" s="403" t="s">
        <v>1276</v>
      </c>
      <c r="I4343" s="403">
        <v>1</v>
      </c>
      <c r="J4343" s="403" t="s">
        <v>1324</v>
      </c>
      <c r="K4343" s="403">
        <v>3584</v>
      </c>
      <c r="L4343" s="403">
        <v>2016</v>
      </c>
      <c r="M4343" s="403" t="s">
        <v>1283</v>
      </c>
      <c r="N4343" s="403">
        <v>720</v>
      </c>
      <c r="O4343" s="403">
        <v>576</v>
      </c>
      <c r="P4343" t="str">
        <f t="shared" si="537"/>
        <v>25fps 3584x2016 - SD 4CIF resolution 4:3 format (cropped)</v>
      </c>
      <c r="Q4343">
        <f t="shared" si="538"/>
        <v>21</v>
      </c>
      <c r="R4343" t="str">
        <f t="shared" si="539"/>
        <v/>
      </c>
      <c r="S4343" t="str">
        <f t="shared" si="540"/>
        <v/>
      </c>
      <c r="T4343" s="403" t="str">
        <f t="shared" si="541"/>
        <v>NDE-8504-R</v>
      </c>
      <c r="U4343" s="403">
        <f t="shared" si="542"/>
        <v>1</v>
      </c>
      <c r="V4343" s="403" t="str">
        <f t="shared" si="543"/>
        <v>CPP_7_3</v>
      </c>
    </row>
    <row r="4344" spans="1:22">
      <c r="A4344" t="str">
        <f t="shared" si="536"/>
        <v>NDE-8504-R</v>
      </c>
      <c r="B4344" s="403" t="s">
        <v>1410</v>
      </c>
      <c r="C4344" s="403" t="s">
        <v>582</v>
      </c>
      <c r="D4344" s="403" t="s">
        <v>1418</v>
      </c>
      <c r="E4344" s="403" t="s">
        <v>778</v>
      </c>
      <c r="F4344" s="403" t="s">
        <v>1325</v>
      </c>
      <c r="G4344" s="403" t="s">
        <v>1466</v>
      </c>
      <c r="H4344" s="403" t="s">
        <v>1276</v>
      </c>
      <c r="I4344" s="403">
        <v>1</v>
      </c>
      <c r="J4344" s="403" t="s">
        <v>1324</v>
      </c>
      <c r="K4344" s="403">
        <v>3584</v>
      </c>
      <c r="L4344" s="403">
        <v>2016</v>
      </c>
      <c r="M4344" s="403" t="s">
        <v>1279</v>
      </c>
      <c r="N4344" s="403">
        <v>768</v>
      </c>
      <c r="O4344" s="403">
        <v>432</v>
      </c>
      <c r="P4344" t="str">
        <f t="shared" si="537"/>
        <v>25fps 3584x2016 - SD ROI PTZ</v>
      </c>
      <c r="Q4344">
        <f t="shared" si="538"/>
        <v>21</v>
      </c>
      <c r="R4344" t="str">
        <f t="shared" si="539"/>
        <v/>
      </c>
      <c r="S4344" t="str">
        <f t="shared" si="540"/>
        <v/>
      </c>
      <c r="T4344" s="403" t="str">
        <f t="shared" si="541"/>
        <v>NDE-8504-R</v>
      </c>
      <c r="U4344" s="403">
        <f t="shared" si="542"/>
        <v>1</v>
      </c>
      <c r="V4344" s="403" t="str">
        <f t="shared" si="543"/>
        <v>CPP_7_3</v>
      </c>
    </row>
    <row r="4345" spans="1:22">
      <c r="A4345" t="str">
        <f t="shared" si="536"/>
        <v>NDE-8504-R</v>
      </c>
      <c r="B4345" s="403" t="s">
        <v>1410</v>
      </c>
      <c r="C4345" s="403" t="s">
        <v>582</v>
      </c>
      <c r="D4345" s="403" t="s">
        <v>1418</v>
      </c>
      <c r="E4345" s="403" t="s">
        <v>778</v>
      </c>
      <c r="F4345" s="403" t="s">
        <v>1325</v>
      </c>
      <c r="G4345" s="403" t="s">
        <v>1466</v>
      </c>
      <c r="H4345" s="403" t="s">
        <v>1276</v>
      </c>
      <c r="I4345" s="403">
        <v>1</v>
      </c>
      <c r="J4345" s="403" t="s">
        <v>1324</v>
      </c>
      <c r="K4345" s="403">
        <v>3584</v>
      </c>
      <c r="L4345" s="403">
        <v>2016</v>
      </c>
      <c r="M4345" s="403" t="s">
        <v>1284</v>
      </c>
      <c r="N4345" s="403">
        <v>640</v>
      </c>
      <c r="O4345" s="403">
        <v>480</v>
      </c>
      <c r="P4345" t="str">
        <f t="shared" si="537"/>
        <v>25fps 3584x2016 - SD VGA (cropped)</v>
      </c>
      <c r="Q4345">
        <f t="shared" si="538"/>
        <v>21</v>
      </c>
      <c r="R4345" t="str">
        <f t="shared" si="539"/>
        <v/>
      </c>
      <c r="S4345" t="str">
        <f t="shared" si="540"/>
        <v/>
      </c>
      <c r="T4345" s="403" t="str">
        <f t="shared" si="541"/>
        <v>NDE-8504-R</v>
      </c>
      <c r="U4345" s="403">
        <f t="shared" si="542"/>
        <v>1</v>
      </c>
      <c r="V4345" s="403" t="str">
        <f t="shared" si="543"/>
        <v>CPP_7_3</v>
      </c>
    </row>
    <row r="4346" spans="1:22">
      <c r="A4346" t="str">
        <f t="shared" si="536"/>
        <v>NDE-8504-R</v>
      </c>
      <c r="B4346" s="403" t="s">
        <v>1410</v>
      </c>
      <c r="C4346" s="403" t="s">
        <v>582</v>
      </c>
      <c r="D4346" s="403" t="s">
        <v>1418</v>
      </c>
      <c r="E4346" s="403" t="s">
        <v>778</v>
      </c>
      <c r="F4346" s="403" t="s">
        <v>1325</v>
      </c>
      <c r="G4346" s="403" t="s">
        <v>1466</v>
      </c>
      <c r="H4346" s="403" t="s">
        <v>1276</v>
      </c>
      <c r="I4346" s="403">
        <v>1</v>
      </c>
      <c r="J4346" s="403" t="s">
        <v>1324</v>
      </c>
      <c r="K4346" s="403">
        <v>3584</v>
      </c>
      <c r="L4346" s="403">
        <v>2016</v>
      </c>
      <c r="M4346" s="403" t="s">
        <v>1285</v>
      </c>
      <c r="N4346" s="403">
        <v>1280</v>
      </c>
      <c r="O4346" s="403">
        <v>1024</v>
      </c>
      <c r="P4346" t="str">
        <f t="shared" si="537"/>
        <v>25fps 3584x2016 - 1280x1024 5:4 (cropped)</v>
      </c>
      <c r="Q4346">
        <f t="shared" si="538"/>
        <v>21</v>
      </c>
      <c r="R4346" t="str">
        <f t="shared" si="539"/>
        <v/>
      </c>
      <c r="S4346" t="str">
        <f t="shared" si="540"/>
        <v/>
      </c>
      <c r="T4346" s="403" t="str">
        <f t="shared" si="541"/>
        <v>NDE-8504-R</v>
      </c>
      <c r="U4346" s="403">
        <f t="shared" si="542"/>
        <v>1</v>
      </c>
      <c r="V4346" s="403" t="str">
        <f t="shared" si="543"/>
        <v>CPP_7_3</v>
      </c>
    </row>
    <row r="4347" spans="1:22">
      <c r="A4347" t="str">
        <f t="shared" si="536"/>
        <v>NDE-8504-R</v>
      </c>
      <c r="B4347" s="403" t="s">
        <v>1410</v>
      </c>
      <c r="C4347" s="403" t="s">
        <v>582</v>
      </c>
      <c r="D4347" s="403" t="s">
        <v>1418</v>
      </c>
      <c r="E4347" s="403" t="s">
        <v>778</v>
      </c>
      <c r="F4347" s="403" t="s">
        <v>1325</v>
      </c>
      <c r="G4347" s="403" t="s">
        <v>1466</v>
      </c>
      <c r="H4347" s="403" t="s">
        <v>1276</v>
      </c>
      <c r="I4347" s="403">
        <v>1</v>
      </c>
      <c r="J4347" s="403" t="s">
        <v>110</v>
      </c>
      <c r="K4347" s="403">
        <v>1920</v>
      </c>
      <c r="L4347" s="403">
        <v>1080</v>
      </c>
      <c r="M4347" s="403" t="s">
        <v>111</v>
      </c>
      <c r="N4347" s="403">
        <v>768</v>
      </c>
      <c r="O4347" s="403">
        <v>432</v>
      </c>
      <c r="P4347" t="str">
        <f t="shared" si="537"/>
        <v>25fps 1080p - SD</v>
      </c>
      <c r="Q4347">
        <f t="shared" si="538"/>
        <v>21</v>
      </c>
      <c r="R4347" t="str">
        <f t="shared" si="539"/>
        <v/>
      </c>
      <c r="S4347" t="str">
        <f t="shared" si="540"/>
        <v/>
      </c>
      <c r="T4347" s="403" t="str">
        <f t="shared" si="541"/>
        <v>NDE-8504-R</v>
      </c>
      <c r="U4347" s="403">
        <f t="shared" si="542"/>
        <v>1</v>
      </c>
      <c r="V4347" s="403" t="str">
        <f t="shared" si="543"/>
        <v>CPP_7_3</v>
      </c>
    </row>
    <row r="4348" spans="1:22">
      <c r="A4348" t="str">
        <f t="shared" si="536"/>
        <v>NDE-8504-R</v>
      </c>
      <c r="B4348" s="403" t="s">
        <v>1410</v>
      </c>
      <c r="C4348" s="403" t="s">
        <v>582</v>
      </c>
      <c r="D4348" s="403" t="s">
        <v>1418</v>
      </c>
      <c r="E4348" s="403" t="s">
        <v>778</v>
      </c>
      <c r="F4348" s="403" t="s">
        <v>1325</v>
      </c>
      <c r="G4348" s="403" t="s">
        <v>1466</v>
      </c>
      <c r="H4348" s="403" t="s">
        <v>1276</v>
      </c>
      <c r="I4348" s="403">
        <v>1</v>
      </c>
      <c r="J4348" s="403" t="s">
        <v>110</v>
      </c>
      <c r="K4348" s="403">
        <v>1920</v>
      </c>
      <c r="L4348" s="403">
        <v>1080</v>
      </c>
      <c r="M4348" s="403" t="s">
        <v>110</v>
      </c>
      <c r="N4348" s="403">
        <v>1920</v>
      </c>
      <c r="O4348" s="403">
        <v>1080</v>
      </c>
      <c r="P4348" t="str">
        <f t="shared" si="537"/>
        <v>25fps 1080p - 1080p</v>
      </c>
      <c r="Q4348">
        <f t="shared" si="538"/>
        <v>21</v>
      </c>
      <c r="R4348" t="str">
        <f t="shared" si="539"/>
        <v/>
      </c>
      <c r="S4348" t="str">
        <f t="shared" si="540"/>
        <v/>
      </c>
      <c r="T4348" s="403" t="str">
        <f t="shared" si="541"/>
        <v>NDE-8504-R</v>
      </c>
      <c r="U4348" s="403">
        <f t="shared" si="542"/>
        <v>1</v>
      </c>
      <c r="V4348" s="403" t="str">
        <f t="shared" si="543"/>
        <v>CPP_7_3</v>
      </c>
    </row>
    <row r="4349" spans="1:22">
      <c r="A4349" t="str">
        <f t="shared" si="536"/>
        <v>NDE-8504-R</v>
      </c>
      <c r="B4349" s="403" t="s">
        <v>1410</v>
      </c>
      <c r="C4349" s="403" t="s">
        <v>582</v>
      </c>
      <c r="D4349" s="403" t="s">
        <v>1418</v>
      </c>
      <c r="E4349" s="403" t="s">
        <v>778</v>
      </c>
      <c r="F4349" s="403" t="s">
        <v>1325</v>
      </c>
      <c r="G4349" s="403" t="s">
        <v>1466</v>
      </c>
      <c r="H4349" s="403" t="s">
        <v>1276</v>
      </c>
      <c r="I4349" s="403">
        <v>1</v>
      </c>
      <c r="J4349" s="403" t="s">
        <v>110</v>
      </c>
      <c r="K4349" s="403">
        <v>1920</v>
      </c>
      <c r="L4349" s="403">
        <v>1080</v>
      </c>
      <c r="M4349" s="403" t="s">
        <v>109</v>
      </c>
      <c r="N4349" s="403">
        <v>1280</v>
      </c>
      <c r="O4349" s="403">
        <v>720</v>
      </c>
      <c r="P4349" t="str">
        <f t="shared" si="537"/>
        <v>25fps 1080p - 720p</v>
      </c>
      <c r="Q4349">
        <f t="shared" si="538"/>
        <v>21</v>
      </c>
      <c r="R4349" t="str">
        <f t="shared" si="539"/>
        <v/>
      </c>
      <c r="S4349" t="str">
        <f t="shared" si="540"/>
        <v/>
      </c>
      <c r="T4349" s="403" t="str">
        <f t="shared" si="541"/>
        <v>NDE-8504-R</v>
      </c>
      <c r="U4349" s="403">
        <f t="shared" si="542"/>
        <v>1</v>
      </c>
      <c r="V4349" s="403" t="str">
        <f t="shared" si="543"/>
        <v>CPP_7_3</v>
      </c>
    </row>
    <row r="4350" spans="1:22">
      <c r="A4350" t="str">
        <f t="shared" si="536"/>
        <v>NDE-8504-R</v>
      </c>
      <c r="B4350" s="403" t="s">
        <v>1410</v>
      </c>
      <c r="C4350" s="403" t="s">
        <v>582</v>
      </c>
      <c r="D4350" s="403" t="s">
        <v>1418</v>
      </c>
      <c r="E4350" s="403" t="s">
        <v>778</v>
      </c>
      <c r="F4350" s="403" t="s">
        <v>1325</v>
      </c>
      <c r="G4350" s="403" t="s">
        <v>1466</v>
      </c>
      <c r="H4350" s="403" t="s">
        <v>1276</v>
      </c>
      <c r="I4350" s="403">
        <v>1</v>
      </c>
      <c r="J4350" s="403" t="s">
        <v>110</v>
      </c>
      <c r="K4350" s="403">
        <v>1920</v>
      </c>
      <c r="L4350" s="403">
        <v>1080</v>
      </c>
      <c r="M4350" s="403" t="s">
        <v>1285</v>
      </c>
      <c r="N4350" s="403">
        <v>1280</v>
      </c>
      <c r="O4350" s="403">
        <v>1024</v>
      </c>
      <c r="P4350" t="str">
        <f t="shared" si="537"/>
        <v>25fps 1080p - 1280x1024 5:4 (cropped)</v>
      </c>
      <c r="Q4350">
        <f t="shared" si="538"/>
        <v>21</v>
      </c>
      <c r="R4350" t="str">
        <f t="shared" si="539"/>
        <v/>
      </c>
      <c r="S4350" t="str">
        <f t="shared" si="540"/>
        <v/>
      </c>
      <c r="T4350" s="403" t="str">
        <f t="shared" si="541"/>
        <v>NDE-8504-R</v>
      </c>
      <c r="U4350" s="403">
        <f t="shared" si="542"/>
        <v>1</v>
      </c>
      <c r="V4350" s="403" t="str">
        <f t="shared" si="543"/>
        <v>CPP_7_3</v>
      </c>
    </row>
    <row r="4351" spans="1:22">
      <c r="A4351" t="str">
        <f t="shared" si="536"/>
        <v>NDE-8504-R</v>
      </c>
      <c r="B4351" s="403" t="s">
        <v>1410</v>
      </c>
      <c r="C4351" s="403" t="s">
        <v>582</v>
      </c>
      <c r="D4351" s="403" t="s">
        <v>1418</v>
      </c>
      <c r="E4351" s="403" t="s">
        <v>778</v>
      </c>
      <c r="F4351" s="403" t="s">
        <v>1325</v>
      </c>
      <c r="G4351" s="403" t="s">
        <v>1466</v>
      </c>
      <c r="H4351" s="403" t="s">
        <v>1276</v>
      </c>
      <c r="I4351" s="403">
        <v>1</v>
      </c>
      <c r="J4351" s="403" t="s">
        <v>110</v>
      </c>
      <c r="K4351" s="403">
        <v>1920</v>
      </c>
      <c r="L4351" s="403">
        <v>1080</v>
      </c>
      <c r="M4351" s="403" t="s">
        <v>1279</v>
      </c>
      <c r="N4351" s="403">
        <v>768</v>
      </c>
      <c r="O4351" s="403">
        <v>432</v>
      </c>
      <c r="P4351" t="str">
        <f t="shared" si="537"/>
        <v>25fps 1080p - SD ROI PTZ</v>
      </c>
      <c r="Q4351">
        <f t="shared" si="538"/>
        <v>21</v>
      </c>
      <c r="R4351" t="str">
        <f t="shared" si="539"/>
        <v/>
      </c>
      <c r="S4351" t="str">
        <f t="shared" si="540"/>
        <v/>
      </c>
      <c r="T4351" s="403" t="str">
        <f t="shared" si="541"/>
        <v>NDE-8504-R</v>
      </c>
      <c r="U4351" s="403">
        <f t="shared" si="542"/>
        <v>1</v>
      </c>
      <c r="V4351" s="403" t="str">
        <f t="shared" si="543"/>
        <v>CPP_7_3</v>
      </c>
    </row>
    <row r="4352" spans="1:22">
      <c r="A4352" t="str">
        <f t="shared" si="536"/>
        <v>NDE-8504-R</v>
      </c>
      <c r="B4352" s="403" t="s">
        <v>1410</v>
      </c>
      <c r="C4352" s="403" t="s">
        <v>582</v>
      </c>
      <c r="D4352" s="403" t="s">
        <v>1418</v>
      </c>
      <c r="E4352" s="403" t="s">
        <v>778</v>
      </c>
      <c r="F4352" s="403" t="s">
        <v>1325</v>
      </c>
      <c r="G4352" s="403" t="s">
        <v>1466</v>
      </c>
      <c r="H4352" s="403" t="s">
        <v>1276</v>
      </c>
      <c r="I4352" s="403">
        <v>1</v>
      </c>
      <c r="J4352" s="403" t="s">
        <v>110</v>
      </c>
      <c r="K4352" s="403">
        <v>1920</v>
      </c>
      <c r="L4352" s="403">
        <v>1080</v>
      </c>
      <c r="M4352" s="403" t="s">
        <v>1283</v>
      </c>
      <c r="N4352" s="403">
        <v>720</v>
      </c>
      <c r="O4352" s="403">
        <v>576</v>
      </c>
      <c r="P4352" t="str">
        <f t="shared" si="537"/>
        <v>25fps 1080p - SD 4CIF resolution 4:3 format (cropped)</v>
      </c>
      <c r="Q4352">
        <f t="shared" si="538"/>
        <v>21</v>
      </c>
      <c r="R4352" t="str">
        <f t="shared" si="539"/>
        <v/>
      </c>
      <c r="S4352" t="str">
        <f t="shared" si="540"/>
        <v/>
      </c>
      <c r="T4352" s="403" t="str">
        <f t="shared" si="541"/>
        <v>NDE-8504-R</v>
      </c>
      <c r="U4352" s="403">
        <f t="shared" si="542"/>
        <v>1</v>
      </c>
      <c r="V4352" s="403" t="str">
        <f t="shared" si="543"/>
        <v>CPP_7_3</v>
      </c>
    </row>
    <row r="4353" spans="1:22">
      <c r="A4353" t="str">
        <f t="shared" si="536"/>
        <v>NDE-8504-R</v>
      </c>
      <c r="B4353" s="403" t="s">
        <v>1410</v>
      </c>
      <c r="C4353" s="403" t="s">
        <v>582</v>
      </c>
      <c r="D4353" s="403" t="s">
        <v>1418</v>
      </c>
      <c r="E4353" s="403" t="s">
        <v>778</v>
      </c>
      <c r="F4353" s="403" t="s">
        <v>1325</v>
      </c>
      <c r="G4353" s="403" t="s">
        <v>1466</v>
      </c>
      <c r="H4353" s="403" t="s">
        <v>1276</v>
      </c>
      <c r="I4353" s="403">
        <v>1</v>
      </c>
      <c r="J4353" s="403" t="s">
        <v>110</v>
      </c>
      <c r="K4353" s="403">
        <v>1920</v>
      </c>
      <c r="L4353" s="403">
        <v>1080</v>
      </c>
      <c r="M4353" s="403" t="s">
        <v>1284</v>
      </c>
      <c r="N4353" s="403">
        <v>640</v>
      </c>
      <c r="O4353" s="403">
        <v>480</v>
      </c>
      <c r="P4353" t="str">
        <f t="shared" si="537"/>
        <v>25fps 1080p - SD VGA (cropped)</v>
      </c>
      <c r="Q4353">
        <f t="shared" si="538"/>
        <v>21</v>
      </c>
      <c r="R4353" t="str">
        <f t="shared" si="539"/>
        <v/>
      </c>
      <c r="S4353" t="str">
        <f t="shared" si="540"/>
        <v/>
      </c>
      <c r="T4353" s="403" t="str">
        <f t="shared" si="541"/>
        <v>NDE-8504-R</v>
      </c>
      <c r="U4353" s="403">
        <f t="shared" si="542"/>
        <v>1</v>
      </c>
      <c r="V4353" s="403" t="str">
        <f t="shared" si="543"/>
        <v>CPP_7_3</v>
      </c>
    </row>
    <row r="4354" spans="1:22">
      <c r="A4354" t="str">
        <f t="shared" ref="A4354:A4417" si="544">IF(AND(G4354&lt;&gt;"rotate 90°"),D4354,"")</f>
        <v>NDE-8504-R</v>
      </c>
      <c r="B4354" s="403" t="s">
        <v>1410</v>
      </c>
      <c r="C4354" s="403" t="s">
        <v>582</v>
      </c>
      <c r="D4354" s="403" t="s">
        <v>1418</v>
      </c>
      <c r="E4354" s="403" t="s">
        <v>778</v>
      </c>
      <c r="F4354" s="403" t="s">
        <v>1325</v>
      </c>
      <c r="G4354" s="403" t="s">
        <v>1466</v>
      </c>
      <c r="H4354" s="403" t="s">
        <v>1276</v>
      </c>
      <c r="I4354" s="403">
        <v>1</v>
      </c>
      <c r="J4354" s="403" t="s">
        <v>109</v>
      </c>
      <c r="K4354" s="403">
        <v>1280</v>
      </c>
      <c r="L4354" s="403">
        <v>720</v>
      </c>
      <c r="M4354" s="403" t="s">
        <v>109</v>
      </c>
      <c r="N4354" s="403">
        <v>1280</v>
      </c>
      <c r="O4354" s="403">
        <v>720</v>
      </c>
      <c r="P4354" t="str">
        <f t="shared" ref="P4354:P4417" si="545">LEFT(F4354,5)&amp;" "&amp;J4354&amp;" - "&amp;M4354</f>
        <v>25fps 720p - 720p</v>
      </c>
      <c r="Q4354">
        <f t="shared" ref="Q4354:Q4417" si="546">IF(A4353=A4354,Q4353,Q4353+1)</f>
        <v>21</v>
      </c>
      <c r="R4354" t="str">
        <f t="shared" ref="R4354:R4417" si="547">IF(Q4353&lt;&gt;Q4354,Q4354,"")</f>
        <v/>
      </c>
      <c r="S4354" t="str">
        <f t="shared" ref="S4354:S4417" si="548">IF(R4354&lt;&gt;"",B4354&amp;" ("&amp;D4354&amp;")","")</f>
        <v/>
      </c>
      <c r="T4354" s="403" t="str">
        <f t="shared" ref="T4354:T4417" si="549">D4354</f>
        <v>NDE-8504-R</v>
      </c>
      <c r="U4354" s="403">
        <f t="shared" ref="U4354:U4417" si="550">I4354</f>
        <v>1</v>
      </c>
      <c r="V4354" s="403" t="str">
        <f t="shared" ref="V4354:V4417" si="551">C4354</f>
        <v>CPP_7_3</v>
      </c>
    </row>
    <row r="4355" spans="1:22">
      <c r="A4355" t="str">
        <f t="shared" si="544"/>
        <v>NDE-8504-R</v>
      </c>
      <c r="B4355" s="403" t="s">
        <v>1410</v>
      </c>
      <c r="C4355" s="403" t="s">
        <v>582</v>
      </c>
      <c r="D4355" s="403" t="s">
        <v>1418</v>
      </c>
      <c r="E4355" s="403" t="s">
        <v>778</v>
      </c>
      <c r="F4355" s="403" t="s">
        <v>1325</v>
      </c>
      <c r="G4355" s="403" t="s">
        <v>1466</v>
      </c>
      <c r="H4355" s="403" t="s">
        <v>1276</v>
      </c>
      <c r="I4355" s="403">
        <v>1</v>
      </c>
      <c r="J4355" s="403" t="s">
        <v>109</v>
      </c>
      <c r="K4355" s="403">
        <v>1280</v>
      </c>
      <c r="L4355" s="403">
        <v>720</v>
      </c>
      <c r="M4355" s="403" t="s">
        <v>111</v>
      </c>
      <c r="N4355" s="403">
        <v>768</v>
      </c>
      <c r="O4355" s="403">
        <v>432</v>
      </c>
      <c r="P4355" t="str">
        <f t="shared" si="545"/>
        <v>25fps 720p - SD</v>
      </c>
      <c r="Q4355">
        <f t="shared" si="546"/>
        <v>21</v>
      </c>
      <c r="R4355" t="str">
        <f t="shared" si="547"/>
        <v/>
      </c>
      <c r="S4355" t="str">
        <f t="shared" si="548"/>
        <v/>
      </c>
      <c r="T4355" s="403" t="str">
        <f t="shared" si="549"/>
        <v>NDE-8504-R</v>
      </c>
      <c r="U4355" s="403">
        <f t="shared" si="550"/>
        <v>1</v>
      </c>
      <c r="V4355" s="403" t="str">
        <f t="shared" si="551"/>
        <v>CPP_7_3</v>
      </c>
    </row>
    <row r="4356" spans="1:22">
      <c r="A4356" t="str">
        <f t="shared" si="544"/>
        <v>NDE-8504-R</v>
      </c>
      <c r="B4356" s="403" t="s">
        <v>1410</v>
      </c>
      <c r="C4356" s="403" t="s">
        <v>582</v>
      </c>
      <c r="D4356" s="403" t="s">
        <v>1418</v>
      </c>
      <c r="E4356" s="403" t="s">
        <v>778</v>
      </c>
      <c r="F4356" s="403" t="s">
        <v>1325</v>
      </c>
      <c r="G4356" s="403" t="s">
        <v>1466</v>
      </c>
      <c r="H4356" s="403" t="s">
        <v>1276</v>
      </c>
      <c r="I4356" s="403">
        <v>1</v>
      </c>
      <c r="J4356" s="403" t="s">
        <v>109</v>
      </c>
      <c r="K4356" s="403">
        <v>1280</v>
      </c>
      <c r="L4356" s="403">
        <v>720</v>
      </c>
      <c r="M4356" s="403" t="s">
        <v>1279</v>
      </c>
      <c r="N4356" s="403">
        <v>768</v>
      </c>
      <c r="O4356" s="403">
        <v>432</v>
      </c>
      <c r="P4356" t="str">
        <f t="shared" si="545"/>
        <v>25fps 720p - SD ROI PTZ</v>
      </c>
      <c r="Q4356">
        <f t="shared" si="546"/>
        <v>21</v>
      </c>
      <c r="R4356" t="str">
        <f t="shared" si="547"/>
        <v/>
      </c>
      <c r="S4356" t="str">
        <f t="shared" si="548"/>
        <v/>
      </c>
      <c r="T4356" s="403" t="str">
        <f t="shared" si="549"/>
        <v>NDE-8504-R</v>
      </c>
      <c r="U4356" s="403">
        <f t="shared" si="550"/>
        <v>1</v>
      </c>
      <c r="V4356" s="403" t="str">
        <f t="shared" si="551"/>
        <v>CPP_7_3</v>
      </c>
    </row>
    <row r="4357" spans="1:22">
      <c r="A4357" t="str">
        <f t="shared" si="544"/>
        <v>NDE-8504-R</v>
      </c>
      <c r="B4357" s="403" t="s">
        <v>1410</v>
      </c>
      <c r="C4357" s="403" t="s">
        <v>582</v>
      </c>
      <c r="D4357" s="403" t="s">
        <v>1418</v>
      </c>
      <c r="E4357" s="403" t="s">
        <v>778</v>
      </c>
      <c r="F4357" s="403" t="s">
        <v>1325</v>
      </c>
      <c r="G4357" s="403" t="s">
        <v>1466</v>
      </c>
      <c r="H4357" s="403" t="s">
        <v>1276</v>
      </c>
      <c r="I4357" s="403">
        <v>1</v>
      </c>
      <c r="J4357" s="403" t="s">
        <v>109</v>
      </c>
      <c r="K4357" s="403">
        <v>1280</v>
      </c>
      <c r="L4357" s="403">
        <v>720</v>
      </c>
      <c r="M4357" s="403" t="s">
        <v>1283</v>
      </c>
      <c r="N4357" s="403">
        <v>720</v>
      </c>
      <c r="O4357" s="403">
        <v>576</v>
      </c>
      <c r="P4357" t="str">
        <f t="shared" si="545"/>
        <v>25fps 720p - SD 4CIF resolution 4:3 format (cropped)</v>
      </c>
      <c r="Q4357">
        <f t="shared" si="546"/>
        <v>21</v>
      </c>
      <c r="R4357" t="str">
        <f t="shared" si="547"/>
        <v/>
      </c>
      <c r="S4357" t="str">
        <f t="shared" si="548"/>
        <v/>
      </c>
      <c r="T4357" s="403" t="str">
        <f t="shared" si="549"/>
        <v>NDE-8504-R</v>
      </c>
      <c r="U4357" s="403">
        <f t="shared" si="550"/>
        <v>1</v>
      </c>
      <c r="V4357" s="403" t="str">
        <f t="shared" si="551"/>
        <v>CPP_7_3</v>
      </c>
    </row>
    <row r="4358" spans="1:22">
      <c r="A4358" t="str">
        <f t="shared" si="544"/>
        <v>NDE-8504-R</v>
      </c>
      <c r="B4358" s="403" t="s">
        <v>1410</v>
      </c>
      <c r="C4358" s="403" t="s">
        <v>582</v>
      </c>
      <c r="D4358" s="403" t="s">
        <v>1418</v>
      </c>
      <c r="E4358" s="403" t="s">
        <v>778</v>
      </c>
      <c r="F4358" s="403" t="s">
        <v>1325</v>
      </c>
      <c r="G4358" s="403" t="s">
        <v>1466</v>
      </c>
      <c r="H4358" s="403" t="s">
        <v>1276</v>
      </c>
      <c r="I4358" s="403">
        <v>1</v>
      </c>
      <c r="J4358" s="403" t="s">
        <v>109</v>
      </c>
      <c r="K4358" s="403">
        <v>1280</v>
      </c>
      <c r="L4358" s="403">
        <v>720</v>
      </c>
      <c r="M4358" s="403" t="s">
        <v>1284</v>
      </c>
      <c r="N4358" s="403">
        <v>640</v>
      </c>
      <c r="O4358" s="403">
        <v>480</v>
      </c>
      <c r="P4358" t="str">
        <f t="shared" si="545"/>
        <v>25fps 720p - SD VGA (cropped)</v>
      </c>
      <c r="Q4358">
        <f t="shared" si="546"/>
        <v>21</v>
      </c>
      <c r="R4358" t="str">
        <f t="shared" si="547"/>
        <v/>
      </c>
      <c r="S4358" t="str">
        <f t="shared" si="548"/>
        <v/>
      </c>
      <c r="T4358" s="403" t="str">
        <f t="shared" si="549"/>
        <v>NDE-8504-R</v>
      </c>
      <c r="U4358" s="403">
        <f t="shared" si="550"/>
        <v>1</v>
      </c>
      <c r="V4358" s="403" t="str">
        <f t="shared" si="551"/>
        <v>CPP_7_3</v>
      </c>
    </row>
    <row r="4359" spans="1:22">
      <c r="A4359" t="str">
        <f t="shared" si="544"/>
        <v>NDE-8504-R</v>
      </c>
      <c r="B4359" s="403" t="s">
        <v>1410</v>
      </c>
      <c r="C4359" s="403" t="s">
        <v>582</v>
      </c>
      <c r="D4359" s="403" t="s">
        <v>1418</v>
      </c>
      <c r="E4359" s="403" t="s">
        <v>778</v>
      </c>
      <c r="F4359" s="403" t="s">
        <v>1325</v>
      </c>
      <c r="G4359" s="403" t="s">
        <v>1466</v>
      </c>
      <c r="H4359" s="403" t="s">
        <v>1281</v>
      </c>
      <c r="I4359" s="403">
        <v>1</v>
      </c>
      <c r="J4359" s="403" t="s">
        <v>194</v>
      </c>
      <c r="K4359" s="403">
        <v>3840</v>
      </c>
      <c r="L4359" s="403">
        <v>2160</v>
      </c>
      <c r="M4359" s="403" t="s">
        <v>111</v>
      </c>
      <c r="N4359" s="403">
        <v>768</v>
      </c>
      <c r="O4359" s="403">
        <v>432</v>
      </c>
      <c r="P4359" t="str">
        <f t="shared" si="545"/>
        <v>25fps 3840x2160 - SD</v>
      </c>
      <c r="Q4359">
        <f t="shared" si="546"/>
        <v>21</v>
      </c>
      <c r="R4359" t="str">
        <f t="shared" si="547"/>
        <v/>
      </c>
      <c r="S4359" t="str">
        <f t="shared" si="548"/>
        <v/>
      </c>
      <c r="T4359" s="403" t="str">
        <f t="shared" si="549"/>
        <v>NDE-8504-R</v>
      </c>
      <c r="U4359" s="403">
        <f t="shared" si="550"/>
        <v>1</v>
      </c>
      <c r="V4359" s="403" t="str">
        <f t="shared" si="551"/>
        <v>CPP_7_3</v>
      </c>
    </row>
    <row r="4360" spans="1:22">
      <c r="A4360" t="str">
        <f t="shared" si="544"/>
        <v>NDE-8504-R</v>
      </c>
      <c r="B4360" s="403" t="s">
        <v>1410</v>
      </c>
      <c r="C4360" s="403" t="s">
        <v>582</v>
      </c>
      <c r="D4360" s="403" t="s">
        <v>1418</v>
      </c>
      <c r="E4360" s="403" t="s">
        <v>778</v>
      </c>
      <c r="F4360" s="403" t="s">
        <v>1325</v>
      </c>
      <c r="G4360" s="403" t="s">
        <v>1466</v>
      </c>
      <c r="H4360" s="403" t="s">
        <v>1281</v>
      </c>
      <c r="I4360" s="403">
        <v>1</v>
      </c>
      <c r="J4360" s="403" t="s">
        <v>194</v>
      </c>
      <c r="K4360" s="403">
        <v>3840</v>
      </c>
      <c r="L4360" s="403">
        <v>2160</v>
      </c>
      <c r="M4360" s="403" t="s">
        <v>1280</v>
      </c>
      <c r="N4360" s="403">
        <v>3840</v>
      </c>
      <c r="O4360" s="403">
        <v>2160</v>
      </c>
      <c r="P4360" t="str">
        <f t="shared" si="545"/>
        <v>25fps 3840x2160 - copy other stream</v>
      </c>
      <c r="Q4360">
        <f t="shared" si="546"/>
        <v>21</v>
      </c>
      <c r="R4360" t="str">
        <f t="shared" si="547"/>
        <v/>
      </c>
      <c r="S4360" t="str">
        <f t="shared" si="548"/>
        <v/>
      </c>
      <c r="T4360" s="403" t="str">
        <f t="shared" si="549"/>
        <v>NDE-8504-R</v>
      </c>
      <c r="U4360" s="403">
        <f t="shared" si="550"/>
        <v>1</v>
      </c>
      <c r="V4360" s="403" t="str">
        <f t="shared" si="551"/>
        <v>CPP_7_3</v>
      </c>
    </row>
    <row r="4361" spans="1:22">
      <c r="A4361" t="str">
        <f t="shared" si="544"/>
        <v>NDE-8504-R</v>
      </c>
      <c r="B4361" s="403" t="s">
        <v>1410</v>
      </c>
      <c r="C4361" s="403" t="s">
        <v>582</v>
      </c>
      <c r="D4361" s="403" t="s">
        <v>1418</v>
      </c>
      <c r="E4361" s="403" t="s">
        <v>778</v>
      </c>
      <c r="F4361" s="403" t="s">
        <v>1325</v>
      </c>
      <c r="G4361" s="403" t="s">
        <v>1466</v>
      </c>
      <c r="H4361" s="403" t="s">
        <v>1281</v>
      </c>
      <c r="I4361" s="403">
        <v>1</v>
      </c>
      <c r="J4361" s="403" t="s">
        <v>194</v>
      </c>
      <c r="K4361" s="403">
        <v>3840</v>
      </c>
      <c r="L4361" s="403">
        <v>2160</v>
      </c>
      <c r="M4361" s="403" t="s">
        <v>1283</v>
      </c>
      <c r="N4361" s="403">
        <v>720</v>
      </c>
      <c r="O4361" s="403">
        <v>576</v>
      </c>
      <c r="P4361" t="str">
        <f t="shared" si="545"/>
        <v>25fps 3840x2160 - SD 4CIF resolution 4:3 format (cropped)</v>
      </c>
      <c r="Q4361">
        <f t="shared" si="546"/>
        <v>21</v>
      </c>
      <c r="R4361" t="str">
        <f t="shared" si="547"/>
        <v/>
      </c>
      <c r="S4361" t="str">
        <f t="shared" si="548"/>
        <v/>
      </c>
      <c r="T4361" s="403" t="str">
        <f t="shared" si="549"/>
        <v>NDE-8504-R</v>
      </c>
      <c r="U4361" s="403">
        <f t="shared" si="550"/>
        <v>1</v>
      </c>
      <c r="V4361" s="403" t="str">
        <f t="shared" si="551"/>
        <v>CPP_7_3</v>
      </c>
    </row>
    <row r="4362" spans="1:22">
      <c r="A4362" t="str">
        <f t="shared" si="544"/>
        <v>NDE-8504-R</v>
      </c>
      <c r="B4362" s="403" t="s">
        <v>1410</v>
      </c>
      <c r="C4362" s="403" t="s">
        <v>582</v>
      </c>
      <c r="D4362" s="403" t="s">
        <v>1418</v>
      </c>
      <c r="E4362" s="403" t="s">
        <v>778</v>
      </c>
      <c r="F4362" s="403" t="s">
        <v>1325</v>
      </c>
      <c r="G4362" s="403" t="s">
        <v>1466</v>
      </c>
      <c r="H4362" s="403" t="s">
        <v>1281</v>
      </c>
      <c r="I4362" s="403">
        <v>1</v>
      </c>
      <c r="J4362" s="403" t="s">
        <v>194</v>
      </c>
      <c r="K4362" s="403">
        <v>3840</v>
      </c>
      <c r="L4362" s="403">
        <v>2160</v>
      </c>
      <c r="M4362" s="403" t="s">
        <v>1284</v>
      </c>
      <c r="N4362" s="403">
        <v>640</v>
      </c>
      <c r="O4362" s="403">
        <v>480</v>
      </c>
      <c r="P4362" t="str">
        <f t="shared" si="545"/>
        <v>25fps 3840x2160 - SD VGA (cropped)</v>
      </c>
      <c r="Q4362">
        <f t="shared" si="546"/>
        <v>21</v>
      </c>
      <c r="R4362" t="str">
        <f t="shared" si="547"/>
        <v/>
      </c>
      <c r="S4362" t="str">
        <f t="shared" si="548"/>
        <v/>
      </c>
      <c r="T4362" s="403" t="str">
        <f t="shared" si="549"/>
        <v>NDE-8504-R</v>
      </c>
      <c r="U4362" s="403">
        <f t="shared" si="550"/>
        <v>1</v>
      </c>
      <c r="V4362" s="403" t="str">
        <f t="shared" si="551"/>
        <v>CPP_7_3</v>
      </c>
    </row>
    <row r="4363" spans="1:22">
      <c r="A4363" t="str">
        <f t="shared" si="544"/>
        <v>NDE-8504-R</v>
      </c>
      <c r="B4363" s="403" t="s">
        <v>1410</v>
      </c>
      <c r="C4363" s="403" t="s">
        <v>582</v>
      </c>
      <c r="D4363" s="403" t="s">
        <v>1418</v>
      </c>
      <c r="E4363" s="403" t="s">
        <v>778</v>
      </c>
      <c r="F4363" s="403" t="s">
        <v>1325</v>
      </c>
      <c r="G4363" s="403" t="s">
        <v>1466</v>
      </c>
      <c r="H4363" s="403" t="s">
        <v>1281</v>
      </c>
      <c r="I4363" s="403">
        <v>1</v>
      </c>
      <c r="J4363" s="403" t="s">
        <v>1324</v>
      </c>
      <c r="K4363" s="403">
        <v>3584</v>
      </c>
      <c r="L4363" s="403">
        <v>2016</v>
      </c>
      <c r="M4363" s="403" t="s">
        <v>111</v>
      </c>
      <c r="N4363" s="403">
        <v>768</v>
      </c>
      <c r="O4363" s="403">
        <v>432</v>
      </c>
      <c r="P4363" t="str">
        <f t="shared" si="545"/>
        <v>25fps 3584x2016 - SD</v>
      </c>
      <c r="Q4363">
        <f t="shared" si="546"/>
        <v>21</v>
      </c>
      <c r="R4363" t="str">
        <f t="shared" si="547"/>
        <v/>
      </c>
      <c r="S4363" t="str">
        <f t="shared" si="548"/>
        <v/>
      </c>
      <c r="T4363" s="403" t="str">
        <f t="shared" si="549"/>
        <v>NDE-8504-R</v>
      </c>
      <c r="U4363" s="403">
        <f t="shared" si="550"/>
        <v>1</v>
      </c>
      <c r="V4363" s="403" t="str">
        <f t="shared" si="551"/>
        <v>CPP_7_3</v>
      </c>
    </row>
    <row r="4364" spans="1:22">
      <c r="A4364" t="str">
        <f t="shared" si="544"/>
        <v>NDE-8504-R</v>
      </c>
      <c r="B4364" s="403" t="s">
        <v>1410</v>
      </c>
      <c r="C4364" s="403" t="s">
        <v>582</v>
      </c>
      <c r="D4364" s="403" t="s">
        <v>1418</v>
      </c>
      <c r="E4364" s="403" t="s">
        <v>778</v>
      </c>
      <c r="F4364" s="403" t="s">
        <v>1325</v>
      </c>
      <c r="G4364" s="403" t="s">
        <v>1466</v>
      </c>
      <c r="H4364" s="403" t="s">
        <v>1281</v>
      </c>
      <c r="I4364" s="403">
        <v>1</v>
      </c>
      <c r="J4364" s="403" t="s">
        <v>1324</v>
      </c>
      <c r="K4364" s="403">
        <v>3584</v>
      </c>
      <c r="L4364" s="403">
        <v>2016</v>
      </c>
      <c r="M4364" s="403" t="s">
        <v>1280</v>
      </c>
      <c r="N4364" s="403">
        <v>3584</v>
      </c>
      <c r="O4364" s="403">
        <v>2016</v>
      </c>
      <c r="P4364" t="str">
        <f t="shared" si="545"/>
        <v>25fps 3584x2016 - copy other stream</v>
      </c>
      <c r="Q4364">
        <f t="shared" si="546"/>
        <v>21</v>
      </c>
      <c r="R4364" t="str">
        <f t="shared" si="547"/>
        <v/>
      </c>
      <c r="S4364" t="str">
        <f t="shared" si="548"/>
        <v/>
      </c>
      <c r="T4364" s="403" t="str">
        <f t="shared" si="549"/>
        <v>NDE-8504-R</v>
      </c>
      <c r="U4364" s="403">
        <f t="shared" si="550"/>
        <v>1</v>
      </c>
      <c r="V4364" s="403" t="str">
        <f t="shared" si="551"/>
        <v>CPP_7_3</v>
      </c>
    </row>
    <row r="4365" spans="1:22">
      <c r="A4365" t="str">
        <f t="shared" si="544"/>
        <v>NDE-8504-R</v>
      </c>
      <c r="B4365" s="403" t="s">
        <v>1410</v>
      </c>
      <c r="C4365" s="403" t="s">
        <v>582</v>
      </c>
      <c r="D4365" s="403" t="s">
        <v>1418</v>
      </c>
      <c r="E4365" s="403" t="s">
        <v>778</v>
      </c>
      <c r="F4365" s="403" t="s">
        <v>1325</v>
      </c>
      <c r="G4365" s="403" t="s">
        <v>1466</v>
      </c>
      <c r="H4365" s="403" t="s">
        <v>1281</v>
      </c>
      <c r="I4365" s="403">
        <v>1</v>
      </c>
      <c r="J4365" s="403" t="s">
        <v>1324</v>
      </c>
      <c r="K4365" s="403">
        <v>3584</v>
      </c>
      <c r="L4365" s="403">
        <v>2016</v>
      </c>
      <c r="M4365" s="403" t="s">
        <v>1364</v>
      </c>
      <c r="N4365" s="403">
        <v>3584</v>
      </c>
      <c r="O4365" s="403">
        <v>2016</v>
      </c>
      <c r="P4365" t="str">
        <f t="shared" si="545"/>
        <v>25fps 3584x2016 - 3584x2016 @ SKIP6</v>
      </c>
      <c r="Q4365">
        <f t="shared" si="546"/>
        <v>21</v>
      </c>
      <c r="R4365" t="str">
        <f t="shared" si="547"/>
        <v/>
      </c>
      <c r="S4365" t="str">
        <f t="shared" si="548"/>
        <v/>
      </c>
      <c r="T4365" s="403" t="str">
        <f t="shared" si="549"/>
        <v>NDE-8504-R</v>
      </c>
      <c r="U4365" s="403">
        <f t="shared" si="550"/>
        <v>1</v>
      </c>
      <c r="V4365" s="403" t="str">
        <f t="shared" si="551"/>
        <v>CPP_7_3</v>
      </c>
    </row>
    <row r="4366" spans="1:22">
      <c r="A4366" t="str">
        <f t="shared" si="544"/>
        <v>NDE-8504-R</v>
      </c>
      <c r="B4366" s="403" t="s">
        <v>1410</v>
      </c>
      <c r="C4366" s="403" t="s">
        <v>582</v>
      </c>
      <c r="D4366" s="403" t="s">
        <v>1418</v>
      </c>
      <c r="E4366" s="403" t="s">
        <v>778</v>
      </c>
      <c r="F4366" s="403" t="s">
        <v>1325</v>
      </c>
      <c r="G4366" s="403" t="s">
        <v>1466</v>
      </c>
      <c r="H4366" s="403" t="s">
        <v>1281</v>
      </c>
      <c r="I4366" s="403">
        <v>1</v>
      </c>
      <c r="J4366" s="403" t="s">
        <v>1324</v>
      </c>
      <c r="K4366" s="403">
        <v>3584</v>
      </c>
      <c r="L4366" s="403">
        <v>2016</v>
      </c>
      <c r="M4366" s="403" t="s">
        <v>109</v>
      </c>
      <c r="N4366" s="403">
        <v>1280</v>
      </c>
      <c r="O4366" s="403">
        <v>720</v>
      </c>
      <c r="P4366" t="str">
        <f t="shared" si="545"/>
        <v>25fps 3584x2016 - 720p</v>
      </c>
      <c r="Q4366">
        <f t="shared" si="546"/>
        <v>21</v>
      </c>
      <c r="R4366" t="str">
        <f t="shared" si="547"/>
        <v/>
      </c>
      <c r="S4366" t="str">
        <f t="shared" si="548"/>
        <v/>
      </c>
      <c r="T4366" s="403" t="str">
        <f t="shared" si="549"/>
        <v>NDE-8504-R</v>
      </c>
      <c r="U4366" s="403">
        <f t="shared" si="550"/>
        <v>1</v>
      </c>
      <c r="V4366" s="403" t="str">
        <f t="shared" si="551"/>
        <v>CPP_7_3</v>
      </c>
    </row>
    <row r="4367" spans="1:22">
      <c r="A4367" t="str">
        <f t="shared" si="544"/>
        <v>NDE-8504-R</v>
      </c>
      <c r="B4367" s="403" t="s">
        <v>1410</v>
      </c>
      <c r="C4367" s="403" t="s">
        <v>582</v>
      </c>
      <c r="D4367" s="403" t="s">
        <v>1418</v>
      </c>
      <c r="E4367" s="403" t="s">
        <v>778</v>
      </c>
      <c r="F4367" s="403" t="s">
        <v>1325</v>
      </c>
      <c r="G4367" s="403" t="s">
        <v>1466</v>
      </c>
      <c r="H4367" s="403" t="s">
        <v>1281</v>
      </c>
      <c r="I4367" s="403">
        <v>1</v>
      </c>
      <c r="J4367" s="403" t="s">
        <v>1324</v>
      </c>
      <c r="K4367" s="403">
        <v>3584</v>
      </c>
      <c r="L4367" s="403">
        <v>2016</v>
      </c>
      <c r="M4367" s="403" t="s">
        <v>1283</v>
      </c>
      <c r="N4367" s="403">
        <v>720</v>
      </c>
      <c r="O4367" s="403">
        <v>576</v>
      </c>
      <c r="P4367" t="str">
        <f t="shared" si="545"/>
        <v>25fps 3584x2016 - SD 4CIF resolution 4:3 format (cropped)</v>
      </c>
      <c r="Q4367">
        <f t="shared" si="546"/>
        <v>21</v>
      </c>
      <c r="R4367" t="str">
        <f t="shared" si="547"/>
        <v/>
      </c>
      <c r="S4367" t="str">
        <f t="shared" si="548"/>
        <v/>
      </c>
      <c r="T4367" s="403" t="str">
        <f t="shared" si="549"/>
        <v>NDE-8504-R</v>
      </c>
      <c r="U4367" s="403">
        <f t="shared" si="550"/>
        <v>1</v>
      </c>
      <c r="V4367" s="403" t="str">
        <f t="shared" si="551"/>
        <v>CPP_7_3</v>
      </c>
    </row>
    <row r="4368" spans="1:22">
      <c r="A4368" t="str">
        <f t="shared" si="544"/>
        <v>NDE-8504-R</v>
      </c>
      <c r="B4368" s="403" t="s">
        <v>1410</v>
      </c>
      <c r="C4368" s="403" t="s">
        <v>582</v>
      </c>
      <c r="D4368" s="403" t="s">
        <v>1418</v>
      </c>
      <c r="E4368" s="403" t="s">
        <v>778</v>
      </c>
      <c r="F4368" s="403" t="s">
        <v>1325</v>
      </c>
      <c r="G4368" s="403" t="s">
        <v>1466</v>
      </c>
      <c r="H4368" s="403" t="s">
        <v>1281</v>
      </c>
      <c r="I4368" s="403">
        <v>1</v>
      </c>
      <c r="J4368" s="403" t="s">
        <v>1324</v>
      </c>
      <c r="K4368" s="403">
        <v>3584</v>
      </c>
      <c r="L4368" s="403">
        <v>2016</v>
      </c>
      <c r="M4368" s="403" t="s">
        <v>1279</v>
      </c>
      <c r="N4368" s="403">
        <v>768</v>
      </c>
      <c r="O4368" s="403">
        <v>432</v>
      </c>
      <c r="P4368" t="str">
        <f t="shared" si="545"/>
        <v>25fps 3584x2016 - SD ROI PTZ</v>
      </c>
      <c r="Q4368">
        <f t="shared" si="546"/>
        <v>21</v>
      </c>
      <c r="R4368" t="str">
        <f t="shared" si="547"/>
        <v/>
      </c>
      <c r="S4368" t="str">
        <f t="shared" si="548"/>
        <v/>
      </c>
      <c r="T4368" s="403" t="str">
        <f t="shared" si="549"/>
        <v>NDE-8504-R</v>
      </c>
      <c r="U4368" s="403">
        <f t="shared" si="550"/>
        <v>1</v>
      </c>
      <c r="V4368" s="403" t="str">
        <f t="shared" si="551"/>
        <v>CPP_7_3</v>
      </c>
    </row>
    <row r="4369" spans="1:22">
      <c r="A4369" t="str">
        <f t="shared" si="544"/>
        <v>NDE-8504-R</v>
      </c>
      <c r="B4369" s="403" t="s">
        <v>1410</v>
      </c>
      <c r="C4369" s="403" t="s">
        <v>582</v>
      </c>
      <c r="D4369" s="403" t="s">
        <v>1418</v>
      </c>
      <c r="E4369" s="403" t="s">
        <v>778</v>
      </c>
      <c r="F4369" s="403" t="s">
        <v>1325</v>
      </c>
      <c r="G4369" s="403" t="s">
        <v>1466</v>
      </c>
      <c r="H4369" s="403" t="s">
        <v>1281</v>
      </c>
      <c r="I4369" s="403">
        <v>1</v>
      </c>
      <c r="J4369" s="403" t="s">
        <v>1324</v>
      </c>
      <c r="K4369" s="403">
        <v>3584</v>
      </c>
      <c r="L4369" s="403">
        <v>2016</v>
      </c>
      <c r="M4369" s="403" t="s">
        <v>1284</v>
      </c>
      <c r="N4369" s="403">
        <v>640</v>
      </c>
      <c r="O4369" s="403">
        <v>480</v>
      </c>
      <c r="P4369" t="str">
        <f t="shared" si="545"/>
        <v>25fps 3584x2016 - SD VGA (cropped)</v>
      </c>
      <c r="Q4369">
        <f t="shared" si="546"/>
        <v>21</v>
      </c>
      <c r="R4369" t="str">
        <f t="shared" si="547"/>
        <v/>
      </c>
      <c r="S4369" t="str">
        <f t="shared" si="548"/>
        <v/>
      </c>
      <c r="T4369" s="403" t="str">
        <f t="shared" si="549"/>
        <v>NDE-8504-R</v>
      </c>
      <c r="U4369" s="403">
        <f t="shared" si="550"/>
        <v>1</v>
      </c>
      <c r="V4369" s="403" t="str">
        <f t="shared" si="551"/>
        <v>CPP_7_3</v>
      </c>
    </row>
    <row r="4370" spans="1:22">
      <c r="A4370" t="str">
        <f t="shared" si="544"/>
        <v>NDE-8504-R</v>
      </c>
      <c r="B4370" s="403" t="s">
        <v>1410</v>
      </c>
      <c r="C4370" s="403" t="s">
        <v>582</v>
      </c>
      <c r="D4370" s="403" t="s">
        <v>1418</v>
      </c>
      <c r="E4370" s="403" t="s">
        <v>778</v>
      </c>
      <c r="F4370" s="403" t="s">
        <v>1325</v>
      </c>
      <c r="G4370" s="403" t="s">
        <v>1466</v>
      </c>
      <c r="H4370" s="403" t="s">
        <v>1281</v>
      </c>
      <c r="I4370" s="403">
        <v>1</v>
      </c>
      <c r="J4370" s="403" t="s">
        <v>1324</v>
      </c>
      <c r="K4370" s="403">
        <v>3584</v>
      </c>
      <c r="L4370" s="403">
        <v>2016</v>
      </c>
      <c r="M4370" s="403" t="s">
        <v>1285</v>
      </c>
      <c r="N4370" s="403">
        <v>1280</v>
      </c>
      <c r="O4370" s="403">
        <v>1024</v>
      </c>
      <c r="P4370" t="str">
        <f t="shared" si="545"/>
        <v>25fps 3584x2016 - 1280x1024 5:4 (cropped)</v>
      </c>
      <c r="Q4370">
        <f t="shared" si="546"/>
        <v>21</v>
      </c>
      <c r="R4370" t="str">
        <f t="shared" si="547"/>
        <v/>
      </c>
      <c r="S4370" t="str">
        <f t="shared" si="548"/>
        <v/>
      </c>
      <c r="T4370" s="403" t="str">
        <f t="shared" si="549"/>
        <v>NDE-8504-R</v>
      </c>
      <c r="U4370" s="403">
        <f t="shared" si="550"/>
        <v>1</v>
      </c>
      <c r="V4370" s="403" t="str">
        <f t="shared" si="551"/>
        <v>CPP_7_3</v>
      </c>
    </row>
    <row r="4371" spans="1:22">
      <c r="A4371" t="str">
        <f t="shared" si="544"/>
        <v>NDE-8504-R</v>
      </c>
      <c r="B4371" s="403" t="s">
        <v>1410</v>
      </c>
      <c r="C4371" s="403" t="s">
        <v>582</v>
      </c>
      <c r="D4371" s="403" t="s">
        <v>1418</v>
      </c>
      <c r="E4371" s="403" t="s">
        <v>778</v>
      </c>
      <c r="F4371" s="403" t="s">
        <v>1325</v>
      </c>
      <c r="G4371" s="403" t="s">
        <v>1466</v>
      </c>
      <c r="H4371" s="403" t="s">
        <v>1281</v>
      </c>
      <c r="I4371" s="403">
        <v>1</v>
      </c>
      <c r="J4371" s="403" t="s">
        <v>110</v>
      </c>
      <c r="K4371" s="403">
        <v>1920</v>
      </c>
      <c r="L4371" s="403">
        <v>1080</v>
      </c>
      <c r="M4371" s="403" t="s">
        <v>111</v>
      </c>
      <c r="N4371" s="403">
        <v>768</v>
      </c>
      <c r="O4371" s="403">
        <v>432</v>
      </c>
      <c r="P4371" t="str">
        <f t="shared" si="545"/>
        <v>25fps 1080p - SD</v>
      </c>
      <c r="Q4371">
        <f t="shared" si="546"/>
        <v>21</v>
      </c>
      <c r="R4371" t="str">
        <f t="shared" si="547"/>
        <v/>
      </c>
      <c r="S4371" t="str">
        <f t="shared" si="548"/>
        <v/>
      </c>
      <c r="T4371" s="403" t="str">
        <f t="shared" si="549"/>
        <v>NDE-8504-R</v>
      </c>
      <c r="U4371" s="403">
        <f t="shared" si="550"/>
        <v>1</v>
      </c>
      <c r="V4371" s="403" t="str">
        <f t="shared" si="551"/>
        <v>CPP_7_3</v>
      </c>
    </row>
    <row r="4372" spans="1:22">
      <c r="A4372" t="str">
        <f t="shared" si="544"/>
        <v>NDE-8504-R</v>
      </c>
      <c r="B4372" s="403" t="s">
        <v>1410</v>
      </c>
      <c r="C4372" s="403" t="s">
        <v>582</v>
      </c>
      <c r="D4372" s="403" t="s">
        <v>1418</v>
      </c>
      <c r="E4372" s="403" t="s">
        <v>778</v>
      </c>
      <c r="F4372" s="403" t="s">
        <v>1325</v>
      </c>
      <c r="G4372" s="403" t="s">
        <v>1466</v>
      </c>
      <c r="H4372" s="403" t="s">
        <v>1281</v>
      </c>
      <c r="I4372" s="403">
        <v>1</v>
      </c>
      <c r="J4372" s="403" t="s">
        <v>110</v>
      </c>
      <c r="K4372" s="403">
        <v>1920</v>
      </c>
      <c r="L4372" s="403">
        <v>1080</v>
      </c>
      <c r="M4372" s="403" t="s">
        <v>110</v>
      </c>
      <c r="N4372" s="403">
        <v>1920</v>
      </c>
      <c r="O4372" s="403">
        <v>1080</v>
      </c>
      <c r="P4372" t="str">
        <f t="shared" si="545"/>
        <v>25fps 1080p - 1080p</v>
      </c>
      <c r="Q4372">
        <f t="shared" si="546"/>
        <v>21</v>
      </c>
      <c r="R4372" t="str">
        <f t="shared" si="547"/>
        <v/>
      </c>
      <c r="S4372" t="str">
        <f t="shared" si="548"/>
        <v/>
      </c>
      <c r="T4372" s="403" t="str">
        <f t="shared" si="549"/>
        <v>NDE-8504-R</v>
      </c>
      <c r="U4372" s="403">
        <f t="shared" si="550"/>
        <v>1</v>
      </c>
      <c r="V4372" s="403" t="str">
        <f t="shared" si="551"/>
        <v>CPP_7_3</v>
      </c>
    </row>
    <row r="4373" spans="1:22">
      <c r="A4373" t="str">
        <f t="shared" si="544"/>
        <v>NDE-8504-R</v>
      </c>
      <c r="B4373" s="403" t="s">
        <v>1410</v>
      </c>
      <c r="C4373" s="403" t="s">
        <v>582</v>
      </c>
      <c r="D4373" s="403" t="s">
        <v>1418</v>
      </c>
      <c r="E4373" s="403" t="s">
        <v>778</v>
      </c>
      <c r="F4373" s="403" t="s">
        <v>1325</v>
      </c>
      <c r="G4373" s="403" t="s">
        <v>1466</v>
      </c>
      <c r="H4373" s="403" t="s">
        <v>1281</v>
      </c>
      <c r="I4373" s="403">
        <v>1</v>
      </c>
      <c r="J4373" s="403" t="s">
        <v>110</v>
      </c>
      <c r="K4373" s="403">
        <v>1920</v>
      </c>
      <c r="L4373" s="403">
        <v>1080</v>
      </c>
      <c r="M4373" s="403" t="s">
        <v>109</v>
      </c>
      <c r="N4373" s="403">
        <v>1280</v>
      </c>
      <c r="O4373" s="403">
        <v>720</v>
      </c>
      <c r="P4373" t="str">
        <f t="shared" si="545"/>
        <v>25fps 1080p - 720p</v>
      </c>
      <c r="Q4373">
        <f t="shared" si="546"/>
        <v>21</v>
      </c>
      <c r="R4373" t="str">
        <f t="shared" si="547"/>
        <v/>
      </c>
      <c r="S4373" t="str">
        <f t="shared" si="548"/>
        <v/>
      </c>
      <c r="T4373" s="403" t="str">
        <f t="shared" si="549"/>
        <v>NDE-8504-R</v>
      </c>
      <c r="U4373" s="403">
        <f t="shared" si="550"/>
        <v>1</v>
      </c>
      <c r="V4373" s="403" t="str">
        <f t="shared" si="551"/>
        <v>CPP_7_3</v>
      </c>
    </row>
    <row r="4374" spans="1:22">
      <c r="A4374" t="str">
        <f t="shared" si="544"/>
        <v>NDE-8504-R</v>
      </c>
      <c r="B4374" s="403" t="s">
        <v>1410</v>
      </c>
      <c r="C4374" s="403" t="s">
        <v>582</v>
      </c>
      <c r="D4374" s="403" t="s">
        <v>1418</v>
      </c>
      <c r="E4374" s="403" t="s">
        <v>778</v>
      </c>
      <c r="F4374" s="403" t="s">
        <v>1325</v>
      </c>
      <c r="G4374" s="403" t="s">
        <v>1466</v>
      </c>
      <c r="H4374" s="403" t="s">
        <v>1281</v>
      </c>
      <c r="I4374" s="403">
        <v>1</v>
      </c>
      <c r="J4374" s="403" t="s">
        <v>110</v>
      </c>
      <c r="K4374" s="403">
        <v>1920</v>
      </c>
      <c r="L4374" s="403">
        <v>1080</v>
      </c>
      <c r="M4374" s="403" t="s">
        <v>1285</v>
      </c>
      <c r="N4374" s="403">
        <v>1280</v>
      </c>
      <c r="O4374" s="403">
        <v>1024</v>
      </c>
      <c r="P4374" t="str">
        <f t="shared" si="545"/>
        <v>25fps 1080p - 1280x1024 5:4 (cropped)</v>
      </c>
      <c r="Q4374">
        <f t="shared" si="546"/>
        <v>21</v>
      </c>
      <c r="R4374" t="str">
        <f t="shared" si="547"/>
        <v/>
      </c>
      <c r="S4374" t="str">
        <f t="shared" si="548"/>
        <v/>
      </c>
      <c r="T4374" s="403" t="str">
        <f t="shared" si="549"/>
        <v>NDE-8504-R</v>
      </c>
      <c r="U4374" s="403">
        <f t="shared" si="550"/>
        <v>1</v>
      </c>
      <c r="V4374" s="403" t="str">
        <f t="shared" si="551"/>
        <v>CPP_7_3</v>
      </c>
    </row>
    <row r="4375" spans="1:22">
      <c r="A4375" t="str">
        <f t="shared" si="544"/>
        <v>NDE-8504-R</v>
      </c>
      <c r="B4375" s="403" t="s">
        <v>1410</v>
      </c>
      <c r="C4375" s="403" t="s">
        <v>582</v>
      </c>
      <c r="D4375" s="403" t="s">
        <v>1418</v>
      </c>
      <c r="E4375" s="403" t="s">
        <v>778</v>
      </c>
      <c r="F4375" s="403" t="s">
        <v>1325</v>
      </c>
      <c r="G4375" s="403" t="s">
        <v>1466</v>
      </c>
      <c r="H4375" s="403" t="s">
        <v>1281</v>
      </c>
      <c r="I4375" s="403">
        <v>1</v>
      </c>
      <c r="J4375" s="403" t="s">
        <v>110</v>
      </c>
      <c r="K4375" s="403">
        <v>1920</v>
      </c>
      <c r="L4375" s="403">
        <v>1080</v>
      </c>
      <c r="M4375" s="403" t="s">
        <v>1279</v>
      </c>
      <c r="N4375" s="403">
        <v>768</v>
      </c>
      <c r="O4375" s="403">
        <v>432</v>
      </c>
      <c r="P4375" t="str">
        <f t="shared" si="545"/>
        <v>25fps 1080p - SD ROI PTZ</v>
      </c>
      <c r="Q4375">
        <f t="shared" si="546"/>
        <v>21</v>
      </c>
      <c r="R4375" t="str">
        <f t="shared" si="547"/>
        <v/>
      </c>
      <c r="S4375" t="str">
        <f t="shared" si="548"/>
        <v/>
      </c>
      <c r="T4375" s="403" t="str">
        <f t="shared" si="549"/>
        <v>NDE-8504-R</v>
      </c>
      <c r="U4375" s="403">
        <f t="shared" si="550"/>
        <v>1</v>
      </c>
      <c r="V4375" s="403" t="str">
        <f t="shared" si="551"/>
        <v>CPP_7_3</v>
      </c>
    </row>
    <row r="4376" spans="1:22">
      <c r="A4376" t="str">
        <f t="shared" si="544"/>
        <v>NDE-8504-R</v>
      </c>
      <c r="B4376" s="403" t="s">
        <v>1410</v>
      </c>
      <c r="C4376" s="403" t="s">
        <v>582</v>
      </c>
      <c r="D4376" s="403" t="s">
        <v>1418</v>
      </c>
      <c r="E4376" s="403" t="s">
        <v>778</v>
      </c>
      <c r="F4376" s="403" t="s">
        <v>1325</v>
      </c>
      <c r="G4376" s="403" t="s">
        <v>1466</v>
      </c>
      <c r="H4376" s="403" t="s">
        <v>1281</v>
      </c>
      <c r="I4376" s="403">
        <v>1</v>
      </c>
      <c r="J4376" s="403" t="s">
        <v>110</v>
      </c>
      <c r="K4376" s="403">
        <v>1920</v>
      </c>
      <c r="L4376" s="403">
        <v>1080</v>
      </c>
      <c r="M4376" s="403" t="s">
        <v>1283</v>
      </c>
      <c r="N4376" s="403">
        <v>720</v>
      </c>
      <c r="O4376" s="403">
        <v>576</v>
      </c>
      <c r="P4376" t="str">
        <f t="shared" si="545"/>
        <v>25fps 1080p - SD 4CIF resolution 4:3 format (cropped)</v>
      </c>
      <c r="Q4376">
        <f t="shared" si="546"/>
        <v>21</v>
      </c>
      <c r="R4376" t="str">
        <f t="shared" si="547"/>
        <v/>
      </c>
      <c r="S4376" t="str">
        <f t="shared" si="548"/>
        <v/>
      </c>
      <c r="T4376" s="403" t="str">
        <f t="shared" si="549"/>
        <v>NDE-8504-R</v>
      </c>
      <c r="U4376" s="403">
        <f t="shared" si="550"/>
        <v>1</v>
      </c>
      <c r="V4376" s="403" t="str">
        <f t="shared" si="551"/>
        <v>CPP_7_3</v>
      </c>
    </row>
    <row r="4377" spans="1:22">
      <c r="A4377" t="str">
        <f t="shared" si="544"/>
        <v>NDE-8504-R</v>
      </c>
      <c r="B4377" s="403" t="s">
        <v>1410</v>
      </c>
      <c r="C4377" s="403" t="s">
        <v>582</v>
      </c>
      <c r="D4377" s="403" t="s">
        <v>1418</v>
      </c>
      <c r="E4377" s="403" t="s">
        <v>778</v>
      </c>
      <c r="F4377" s="403" t="s">
        <v>1325</v>
      </c>
      <c r="G4377" s="403" t="s">
        <v>1466</v>
      </c>
      <c r="H4377" s="403" t="s">
        <v>1281</v>
      </c>
      <c r="I4377" s="403">
        <v>1</v>
      </c>
      <c r="J4377" s="403" t="s">
        <v>110</v>
      </c>
      <c r="K4377" s="403">
        <v>1920</v>
      </c>
      <c r="L4377" s="403">
        <v>1080</v>
      </c>
      <c r="M4377" s="403" t="s">
        <v>1284</v>
      </c>
      <c r="N4377" s="403">
        <v>640</v>
      </c>
      <c r="O4377" s="403">
        <v>480</v>
      </c>
      <c r="P4377" t="str">
        <f t="shared" si="545"/>
        <v>25fps 1080p - SD VGA (cropped)</v>
      </c>
      <c r="Q4377">
        <f t="shared" si="546"/>
        <v>21</v>
      </c>
      <c r="R4377" t="str">
        <f t="shared" si="547"/>
        <v/>
      </c>
      <c r="S4377" t="str">
        <f t="shared" si="548"/>
        <v/>
      </c>
      <c r="T4377" s="403" t="str">
        <f t="shared" si="549"/>
        <v>NDE-8504-R</v>
      </c>
      <c r="U4377" s="403">
        <f t="shared" si="550"/>
        <v>1</v>
      </c>
      <c r="V4377" s="403" t="str">
        <f t="shared" si="551"/>
        <v>CPP_7_3</v>
      </c>
    </row>
    <row r="4378" spans="1:22">
      <c r="A4378" t="str">
        <f t="shared" si="544"/>
        <v>NDE-8504-R</v>
      </c>
      <c r="B4378" s="403" t="s">
        <v>1410</v>
      </c>
      <c r="C4378" s="403" t="s">
        <v>582</v>
      </c>
      <c r="D4378" s="403" t="s">
        <v>1418</v>
      </c>
      <c r="E4378" s="403" t="s">
        <v>778</v>
      </c>
      <c r="F4378" s="403" t="s">
        <v>1325</v>
      </c>
      <c r="G4378" s="403" t="s">
        <v>1466</v>
      </c>
      <c r="H4378" s="403" t="s">
        <v>1281</v>
      </c>
      <c r="I4378" s="403">
        <v>1</v>
      </c>
      <c r="J4378" s="403" t="s">
        <v>109</v>
      </c>
      <c r="K4378" s="403">
        <v>1280</v>
      </c>
      <c r="L4378" s="403">
        <v>720</v>
      </c>
      <c r="M4378" s="403" t="s">
        <v>109</v>
      </c>
      <c r="N4378" s="403">
        <v>1280</v>
      </c>
      <c r="O4378" s="403">
        <v>720</v>
      </c>
      <c r="P4378" t="str">
        <f t="shared" si="545"/>
        <v>25fps 720p - 720p</v>
      </c>
      <c r="Q4378">
        <f t="shared" si="546"/>
        <v>21</v>
      </c>
      <c r="R4378" t="str">
        <f t="shared" si="547"/>
        <v/>
      </c>
      <c r="S4378" t="str">
        <f t="shared" si="548"/>
        <v/>
      </c>
      <c r="T4378" s="403" t="str">
        <f t="shared" si="549"/>
        <v>NDE-8504-R</v>
      </c>
      <c r="U4378" s="403">
        <f t="shared" si="550"/>
        <v>1</v>
      </c>
      <c r="V4378" s="403" t="str">
        <f t="shared" si="551"/>
        <v>CPP_7_3</v>
      </c>
    </row>
    <row r="4379" spans="1:22">
      <c r="A4379" t="str">
        <f t="shared" si="544"/>
        <v>NDE-8504-R</v>
      </c>
      <c r="B4379" s="403" t="s">
        <v>1410</v>
      </c>
      <c r="C4379" s="403" t="s">
        <v>582</v>
      </c>
      <c r="D4379" s="403" t="s">
        <v>1418</v>
      </c>
      <c r="E4379" s="403" t="s">
        <v>778</v>
      </c>
      <c r="F4379" s="403" t="s">
        <v>1325</v>
      </c>
      <c r="G4379" s="403" t="s">
        <v>1466</v>
      </c>
      <c r="H4379" s="403" t="s">
        <v>1281</v>
      </c>
      <c r="I4379" s="403">
        <v>1</v>
      </c>
      <c r="J4379" s="403" t="s">
        <v>109</v>
      </c>
      <c r="K4379" s="403">
        <v>1280</v>
      </c>
      <c r="L4379" s="403">
        <v>720</v>
      </c>
      <c r="M4379" s="403" t="s">
        <v>111</v>
      </c>
      <c r="N4379" s="403">
        <v>768</v>
      </c>
      <c r="O4379" s="403">
        <v>432</v>
      </c>
      <c r="P4379" t="str">
        <f t="shared" si="545"/>
        <v>25fps 720p - SD</v>
      </c>
      <c r="Q4379">
        <f t="shared" si="546"/>
        <v>21</v>
      </c>
      <c r="R4379" t="str">
        <f t="shared" si="547"/>
        <v/>
      </c>
      <c r="S4379" t="str">
        <f t="shared" si="548"/>
        <v/>
      </c>
      <c r="T4379" s="403" t="str">
        <f t="shared" si="549"/>
        <v>NDE-8504-R</v>
      </c>
      <c r="U4379" s="403">
        <f t="shared" si="550"/>
        <v>1</v>
      </c>
      <c r="V4379" s="403" t="str">
        <f t="shared" si="551"/>
        <v>CPP_7_3</v>
      </c>
    </row>
    <row r="4380" spans="1:22">
      <c r="A4380" t="str">
        <f t="shared" si="544"/>
        <v>NDE-8504-R</v>
      </c>
      <c r="B4380" s="403" t="s">
        <v>1410</v>
      </c>
      <c r="C4380" s="403" t="s">
        <v>582</v>
      </c>
      <c r="D4380" s="403" t="s">
        <v>1418</v>
      </c>
      <c r="E4380" s="403" t="s">
        <v>778</v>
      </c>
      <c r="F4380" s="403" t="s">
        <v>1325</v>
      </c>
      <c r="G4380" s="403" t="s">
        <v>1466</v>
      </c>
      <c r="H4380" s="403" t="s">
        <v>1281</v>
      </c>
      <c r="I4380" s="403">
        <v>1</v>
      </c>
      <c r="J4380" s="403" t="s">
        <v>109</v>
      </c>
      <c r="K4380" s="403">
        <v>1280</v>
      </c>
      <c r="L4380" s="403">
        <v>720</v>
      </c>
      <c r="M4380" s="403" t="s">
        <v>1279</v>
      </c>
      <c r="N4380" s="403">
        <v>768</v>
      </c>
      <c r="O4380" s="403">
        <v>432</v>
      </c>
      <c r="P4380" t="str">
        <f t="shared" si="545"/>
        <v>25fps 720p - SD ROI PTZ</v>
      </c>
      <c r="Q4380">
        <f t="shared" si="546"/>
        <v>21</v>
      </c>
      <c r="R4380" t="str">
        <f t="shared" si="547"/>
        <v/>
      </c>
      <c r="S4380" t="str">
        <f t="shared" si="548"/>
        <v/>
      </c>
      <c r="T4380" s="403" t="str">
        <f t="shared" si="549"/>
        <v>NDE-8504-R</v>
      </c>
      <c r="U4380" s="403">
        <f t="shared" si="550"/>
        <v>1</v>
      </c>
      <c r="V4380" s="403" t="str">
        <f t="shared" si="551"/>
        <v>CPP_7_3</v>
      </c>
    </row>
    <row r="4381" spans="1:22">
      <c r="A4381" t="str">
        <f t="shared" si="544"/>
        <v>NDE-8504-R</v>
      </c>
      <c r="B4381" s="403" t="s">
        <v>1410</v>
      </c>
      <c r="C4381" s="403" t="s">
        <v>582</v>
      </c>
      <c r="D4381" s="403" t="s">
        <v>1418</v>
      </c>
      <c r="E4381" s="403" t="s">
        <v>778</v>
      </c>
      <c r="F4381" s="403" t="s">
        <v>1325</v>
      </c>
      <c r="G4381" s="403" t="s">
        <v>1466</v>
      </c>
      <c r="H4381" s="403" t="s">
        <v>1281</v>
      </c>
      <c r="I4381" s="403">
        <v>1</v>
      </c>
      <c r="J4381" s="403" t="s">
        <v>109</v>
      </c>
      <c r="K4381" s="403">
        <v>1280</v>
      </c>
      <c r="L4381" s="403">
        <v>720</v>
      </c>
      <c r="M4381" s="403" t="s">
        <v>1283</v>
      </c>
      <c r="N4381" s="403">
        <v>720</v>
      </c>
      <c r="O4381" s="403">
        <v>576</v>
      </c>
      <c r="P4381" t="str">
        <f t="shared" si="545"/>
        <v>25fps 720p - SD 4CIF resolution 4:3 format (cropped)</v>
      </c>
      <c r="Q4381">
        <f t="shared" si="546"/>
        <v>21</v>
      </c>
      <c r="R4381" t="str">
        <f t="shared" si="547"/>
        <v/>
      </c>
      <c r="S4381" t="str">
        <f t="shared" si="548"/>
        <v/>
      </c>
      <c r="T4381" s="403" t="str">
        <f t="shared" si="549"/>
        <v>NDE-8504-R</v>
      </c>
      <c r="U4381" s="403">
        <f t="shared" si="550"/>
        <v>1</v>
      </c>
      <c r="V4381" s="403" t="str">
        <f t="shared" si="551"/>
        <v>CPP_7_3</v>
      </c>
    </row>
    <row r="4382" spans="1:22">
      <c r="A4382" t="str">
        <f t="shared" si="544"/>
        <v>NDE-8504-R</v>
      </c>
      <c r="B4382" s="403" t="s">
        <v>1410</v>
      </c>
      <c r="C4382" s="403" t="s">
        <v>582</v>
      </c>
      <c r="D4382" s="403" t="s">
        <v>1418</v>
      </c>
      <c r="E4382" s="403" t="s">
        <v>778</v>
      </c>
      <c r="F4382" s="403" t="s">
        <v>1325</v>
      </c>
      <c r="G4382" s="403" t="s">
        <v>1466</v>
      </c>
      <c r="H4382" s="403" t="s">
        <v>1281</v>
      </c>
      <c r="I4382" s="403">
        <v>1</v>
      </c>
      <c r="J4382" s="403" t="s">
        <v>109</v>
      </c>
      <c r="K4382" s="403">
        <v>1280</v>
      </c>
      <c r="L4382" s="403">
        <v>720</v>
      </c>
      <c r="M4382" s="403" t="s">
        <v>1284</v>
      </c>
      <c r="N4382" s="403">
        <v>640</v>
      </c>
      <c r="O4382" s="403">
        <v>480</v>
      </c>
      <c r="P4382" t="str">
        <f t="shared" si="545"/>
        <v>25fps 720p - SD VGA (cropped)</v>
      </c>
      <c r="Q4382">
        <f t="shared" si="546"/>
        <v>21</v>
      </c>
      <c r="R4382" t="str">
        <f t="shared" si="547"/>
        <v/>
      </c>
      <c r="S4382" t="str">
        <f t="shared" si="548"/>
        <v/>
      </c>
      <c r="T4382" s="403" t="str">
        <f t="shared" si="549"/>
        <v>NDE-8504-R</v>
      </c>
      <c r="U4382" s="403">
        <f t="shared" si="550"/>
        <v>1</v>
      </c>
      <c r="V4382" s="403" t="str">
        <f t="shared" si="551"/>
        <v>CPP_7_3</v>
      </c>
    </row>
    <row r="4383" spans="1:22">
      <c r="A4383" t="str">
        <f t="shared" si="544"/>
        <v>NDE-8504-R</v>
      </c>
      <c r="B4383" s="403" t="s">
        <v>1410</v>
      </c>
      <c r="C4383" s="403" t="s">
        <v>582</v>
      </c>
      <c r="D4383" s="403" t="s">
        <v>1418</v>
      </c>
      <c r="E4383" s="403" t="s">
        <v>778</v>
      </c>
      <c r="F4383" s="403" t="s">
        <v>1325</v>
      </c>
      <c r="G4383" s="403" t="s">
        <v>1467</v>
      </c>
      <c r="H4383" s="403" t="s">
        <v>1276</v>
      </c>
      <c r="I4383" s="403">
        <v>1</v>
      </c>
      <c r="J4383" s="403" t="s">
        <v>194</v>
      </c>
      <c r="K4383" s="403">
        <v>2160</v>
      </c>
      <c r="L4383" s="403">
        <v>3840</v>
      </c>
      <c r="M4383" s="403" t="s">
        <v>111</v>
      </c>
      <c r="N4383" s="403">
        <v>432</v>
      </c>
      <c r="O4383" s="403">
        <v>768</v>
      </c>
      <c r="P4383" t="str">
        <f t="shared" si="545"/>
        <v>25fps 3840x2160 - SD</v>
      </c>
      <c r="Q4383">
        <f t="shared" si="546"/>
        <v>21</v>
      </c>
      <c r="R4383" t="str">
        <f t="shared" si="547"/>
        <v/>
      </c>
      <c r="S4383" t="str">
        <f t="shared" si="548"/>
        <v/>
      </c>
      <c r="T4383" s="403" t="str">
        <f t="shared" si="549"/>
        <v>NDE-8504-R</v>
      </c>
      <c r="U4383" s="403">
        <f t="shared" si="550"/>
        <v>1</v>
      </c>
      <c r="V4383" s="403" t="str">
        <f t="shared" si="551"/>
        <v>CPP_7_3</v>
      </c>
    </row>
    <row r="4384" spans="1:22">
      <c r="A4384" t="str">
        <f t="shared" si="544"/>
        <v>NDE-8504-R</v>
      </c>
      <c r="B4384" s="403" t="s">
        <v>1410</v>
      </c>
      <c r="C4384" s="403" t="s">
        <v>582</v>
      </c>
      <c r="D4384" s="403" t="s">
        <v>1418</v>
      </c>
      <c r="E4384" s="403" t="s">
        <v>778</v>
      </c>
      <c r="F4384" s="403" t="s">
        <v>1325</v>
      </c>
      <c r="G4384" s="403" t="s">
        <v>1467</v>
      </c>
      <c r="H4384" s="403" t="s">
        <v>1276</v>
      </c>
      <c r="I4384" s="403">
        <v>1</v>
      </c>
      <c r="J4384" s="403" t="s">
        <v>194</v>
      </c>
      <c r="K4384" s="403">
        <v>2160</v>
      </c>
      <c r="L4384" s="403">
        <v>3840</v>
      </c>
      <c r="M4384" s="403" t="s">
        <v>1280</v>
      </c>
      <c r="N4384" s="403">
        <v>2160</v>
      </c>
      <c r="O4384" s="403">
        <v>3840</v>
      </c>
      <c r="P4384" t="str">
        <f t="shared" si="545"/>
        <v>25fps 3840x2160 - copy other stream</v>
      </c>
      <c r="Q4384">
        <f t="shared" si="546"/>
        <v>21</v>
      </c>
      <c r="R4384" t="str">
        <f t="shared" si="547"/>
        <v/>
      </c>
      <c r="S4384" t="str">
        <f t="shared" si="548"/>
        <v/>
      </c>
      <c r="T4384" s="403" t="str">
        <f t="shared" si="549"/>
        <v>NDE-8504-R</v>
      </c>
      <c r="U4384" s="403">
        <f t="shared" si="550"/>
        <v>1</v>
      </c>
      <c r="V4384" s="403" t="str">
        <f t="shared" si="551"/>
        <v>CPP_7_3</v>
      </c>
    </row>
    <row r="4385" spans="1:22">
      <c r="A4385" t="str">
        <f t="shared" si="544"/>
        <v>NDE-8504-R</v>
      </c>
      <c r="B4385" s="403" t="s">
        <v>1410</v>
      </c>
      <c r="C4385" s="403" t="s">
        <v>582</v>
      </c>
      <c r="D4385" s="403" t="s">
        <v>1418</v>
      </c>
      <c r="E4385" s="403" t="s">
        <v>778</v>
      </c>
      <c r="F4385" s="403" t="s">
        <v>1325</v>
      </c>
      <c r="G4385" s="403" t="s">
        <v>1467</v>
      </c>
      <c r="H4385" s="403" t="s">
        <v>1276</v>
      </c>
      <c r="I4385" s="403">
        <v>1</v>
      </c>
      <c r="J4385" s="403" t="s">
        <v>194</v>
      </c>
      <c r="K4385" s="403">
        <v>2160</v>
      </c>
      <c r="L4385" s="403">
        <v>3840</v>
      </c>
      <c r="M4385" s="403" t="s">
        <v>1283</v>
      </c>
      <c r="N4385" s="403">
        <v>576</v>
      </c>
      <c r="O4385" s="403">
        <v>720</v>
      </c>
      <c r="P4385" t="str">
        <f t="shared" si="545"/>
        <v>25fps 3840x2160 - SD 4CIF resolution 4:3 format (cropped)</v>
      </c>
      <c r="Q4385">
        <f t="shared" si="546"/>
        <v>21</v>
      </c>
      <c r="R4385" t="str">
        <f t="shared" si="547"/>
        <v/>
      </c>
      <c r="S4385" t="str">
        <f t="shared" si="548"/>
        <v/>
      </c>
      <c r="T4385" s="403" t="str">
        <f t="shared" si="549"/>
        <v>NDE-8504-R</v>
      </c>
      <c r="U4385" s="403">
        <f t="shared" si="550"/>
        <v>1</v>
      </c>
      <c r="V4385" s="403" t="str">
        <f t="shared" si="551"/>
        <v>CPP_7_3</v>
      </c>
    </row>
    <row r="4386" spans="1:22">
      <c r="A4386" t="str">
        <f t="shared" si="544"/>
        <v>NDE-8504-R</v>
      </c>
      <c r="B4386" s="403" t="s">
        <v>1410</v>
      </c>
      <c r="C4386" s="403" t="s">
        <v>582</v>
      </c>
      <c r="D4386" s="403" t="s">
        <v>1418</v>
      </c>
      <c r="E4386" s="403" t="s">
        <v>778</v>
      </c>
      <c r="F4386" s="403" t="s">
        <v>1325</v>
      </c>
      <c r="G4386" s="403" t="s">
        <v>1467</v>
      </c>
      <c r="H4386" s="403" t="s">
        <v>1276</v>
      </c>
      <c r="I4386" s="403">
        <v>1</v>
      </c>
      <c r="J4386" s="403" t="s">
        <v>194</v>
      </c>
      <c r="K4386" s="403">
        <v>2160</v>
      </c>
      <c r="L4386" s="403">
        <v>3840</v>
      </c>
      <c r="M4386" s="403" t="s">
        <v>1284</v>
      </c>
      <c r="N4386" s="403">
        <v>480</v>
      </c>
      <c r="O4386" s="403">
        <v>640</v>
      </c>
      <c r="P4386" t="str">
        <f t="shared" si="545"/>
        <v>25fps 3840x2160 - SD VGA (cropped)</v>
      </c>
      <c r="Q4386">
        <f t="shared" si="546"/>
        <v>21</v>
      </c>
      <c r="R4386" t="str">
        <f t="shared" si="547"/>
        <v/>
      </c>
      <c r="S4386" t="str">
        <f t="shared" si="548"/>
        <v/>
      </c>
      <c r="T4386" s="403" t="str">
        <f t="shared" si="549"/>
        <v>NDE-8504-R</v>
      </c>
      <c r="U4386" s="403">
        <f t="shared" si="550"/>
        <v>1</v>
      </c>
      <c r="V4386" s="403" t="str">
        <f t="shared" si="551"/>
        <v>CPP_7_3</v>
      </c>
    </row>
    <row r="4387" spans="1:22">
      <c r="A4387" t="str">
        <f t="shared" si="544"/>
        <v>NDE-8504-R</v>
      </c>
      <c r="B4387" s="403" t="s">
        <v>1410</v>
      </c>
      <c r="C4387" s="403" t="s">
        <v>582</v>
      </c>
      <c r="D4387" s="403" t="s">
        <v>1418</v>
      </c>
      <c r="E4387" s="403" t="s">
        <v>778</v>
      </c>
      <c r="F4387" s="403" t="s">
        <v>1325</v>
      </c>
      <c r="G4387" s="403" t="s">
        <v>1467</v>
      </c>
      <c r="H4387" s="403" t="s">
        <v>1276</v>
      </c>
      <c r="I4387" s="403">
        <v>1</v>
      </c>
      <c r="J4387" s="403" t="s">
        <v>1324</v>
      </c>
      <c r="K4387" s="403">
        <v>2016</v>
      </c>
      <c r="L4387" s="403">
        <v>3584</v>
      </c>
      <c r="M4387" s="403" t="s">
        <v>111</v>
      </c>
      <c r="N4387" s="403">
        <v>432</v>
      </c>
      <c r="O4387" s="403">
        <v>768</v>
      </c>
      <c r="P4387" t="str">
        <f t="shared" si="545"/>
        <v>25fps 3584x2016 - SD</v>
      </c>
      <c r="Q4387">
        <f t="shared" si="546"/>
        <v>21</v>
      </c>
      <c r="R4387" t="str">
        <f t="shared" si="547"/>
        <v/>
      </c>
      <c r="S4387" t="str">
        <f t="shared" si="548"/>
        <v/>
      </c>
      <c r="T4387" s="403" t="str">
        <f t="shared" si="549"/>
        <v>NDE-8504-R</v>
      </c>
      <c r="U4387" s="403">
        <f t="shared" si="550"/>
        <v>1</v>
      </c>
      <c r="V4387" s="403" t="str">
        <f t="shared" si="551"/>
        <v>CPP_7_3</v>
      </c>
    </row>
    <row r="4388" spans="1:22">
      <c r="A4388" t="str">
        <f t="shared" si="544"/>
        <v>NDE-8504-R</v>
      </c>
      <c r="B4388" s="403" t="s">
        <v>1410</v>
      </c>
      <c r="C4388" s="403" t="s">
        <v>582</v>
      </c>
      <c r="D4388" s="403" t="s">
        <v>1418</v>
      </c>
      <c r="E4388" s="403" t="s">
        <v>778</v>
      </c>
      <c r="F4388" s="403" t="s">
        <v>1325</v>
      </c>
      <c r="G4388" s="403" t="s">
        <v>1467</v>
      </c>
      <c r="H4388" s="403" t="s">
        <v>1276</v>
      </c>
      <c r="I4388" s="403">
        <v>1</v>
      </c>
      <c r="J4388" s="403" t="s">
        <v>1324</v>
      </c>
      <c r="K4388" s="403">
        <v>2016</v>
      </c>
      <c r="L4388" s="403">
        <v>3584</v>
      </c>
      <c r="M4388" s="403" t="s">
        <v>1280</v>
      </c>
      <c r="N4388" s="403">
        <v>2016</v>
      </c>
      <c r="O4388" s="403">
        <v>3584</v>
      </c>
      <c r="P4388" t="str">
        <f t="shared" si="545"/>
        <v>25fps 3584x2016 - copy other stream</v>
      </c>
      <c r="Q4388">
        <f t="shared" si="546"/>
        <v>21</v>
      </c>
      <c r="R4388" t="str">
        <f t="shared" si="547"/>
        <v/>
      </c>
      <c r="S4388" t="str">
        <f t="shared" si="548"/>
        <v/>
      </c>
      <c r="T4388" s="403" t="str">
        <f t="shared" si="549"/>
        <v>NDE-8504-R</v>
      </c>
      <c r="U4388" s="403">
        <f t="shared" si="550"/>
        <v>1</v>
      </c>
      <c r="V4388" s="403" t="str">
        <f t="shared" si="551"/>
        <v>CPP_7_3</v>
      </c>
    </row>
    <row r="4389" spans="1:22">
      <c r="A4389" t="str">
        <f t="shared" si="544"/>
        <v>NDE-8504-R</v>
      </c>
      <c r="B4389" s="403" t="s">
        <v>1410</v>
      </c>
      <c r="C4389" s="403" t="s">
        <v>582</v>
      </c>
      <c r="D4389" s="403" t="s">
        <v>1418</v>
      </c>
      <c r="E4389" s="403" t="s">
        <v>778</v>
      </c>
      <c r="F4389" s="403" t="s">
        <v>1325</v>
      </c>
      <c r="G4389" s="403" t="s">
        <v>1467</v>
      </c>
      <c r="H4389" s="403" t="s">
        <v>1276</v>
      </c>
      <c r="I4389" s="403">
        <v>1</v>
      </c>
      <c r="J4389" s="403" t="s">
        <v>1324</v>
      </c>
      <c r="K4389" s="403">
        <v>2016</v>
      </c>
      <c r="L4389" s="403">
        <v>3584</v>
      </c>
      <c r="M4389" s="403" t="s">
        <v>1364</v>
      </c>
      <c r="N4389" s="403">
        <v>2016</v>
      </c>
      <c r="O4389" s="403">
        <v>3584</v>
      </c>
      <c r="P4389" t="str">
        <f t="shared" si="545"/>
        <v>25fps 3584x2016 - 3584x2016 @ SKIP6</v>
      </c>
      <c r="Q4389">
        <f t="shared" si="546"/>
        <v>21</v>
      </c>
      <c r="R4389" t="str">
        <f t="shared" si="547"/>
        <v/>
      </c>
      <c r="S4389" t="str">
        <f t="shared" si="548"/>
        <v/>
      </c>
      <c r="T4389" s="403" t="str">
        <f t="shared" si="549"/>
        <v>NDE-8504-R</v>
      </c>
      <c r="U4389" s="403">
        <f t="shared" si="550"/>
        <v>1</v>
      </c>
      <c r="V4389" s="403" t="str">
        <f t="shared" si="551"/>
        <v>CPP_7_3</v>
      </c>
    </row>
    <row r="4390" spans="1:22">
      <c r="A4390" t="str">
        <f t="shared" si="544"/>
        <v>NDE-8504-R</v>
      </c>
      <c r="B4390" s="403" t="s">
        <v>1410</v>
      </c>
      <c r="C4390" s="403" t="s">
        <v>582</v>
      </c>
      <c r="D4390" s="403" t="s">
        <v>1418</v>
      </c>
      <c r="E4390" s="403" t="s">
        <v>778</v>
      </c>
      <c r="F4390" s="403" t="s">
        <v>1325</v>
      </c>
      <c r="G4390" s="403" t="s">
        <v>1467</v>
      </c>
      <c r="H4390" s="403" t="s">
        <v>1276</v>
      </c>
      <c r="I4390" s="403">
        <v>1</v>
      </c>
      <c r="J4390" s="403" t="s">
        <v>1324</v>
      </c>
      <c r="K4390" s="403">
        <v>2016</v>
      </c>
      <c r="L4390" s="403">
        <v>3584</v>
      </c>
      <c r="M4390" s="403" t="s">
        <v>109</v>
      </c>
      <c r="N4390" s="403">
        <v>720</v>
      </c>
      <c r="O4390" s="403">
        <v>1280</v>
      </c>
      <c r="P4390" t="str">
        <f t="shared" si="545"/>
        <v>25fps 3584x2016 - 720p</v>
      </c>
      <c r="Q4390">
        <f t="shared" si="546"/>
        <v>21</v>
      </c>
      <c r="R4390" t="str">
        <f t="shared" si="547"/>
        <v/>
      </c>
      <c r="S4390" t="str">
        <f t="shared" si="548"/>
        <v/>
      </c>
      <c r="T4390" s="403" t="str">
        <f t="shared" si="549"/>
        <v>NDE-8504-R</v>
      </c>
      <c r="U4390" s="403">
        <f t="shared" si="550"/>
        <v>1</v>
      </c>
      <c r="V4390" s="403" t="str">
        <f t="shared" si="551"/>
        <v>CPP_7_3</v>
      </c>
    </row>
    <row r="4391" spans="1:22">
      <c r="A4391" t="str">
        <f t="shared" si="544"/>
        <v>NDE-8504-R</v>
      </c>
      <c r="B4391" s="403" t="s">
        <v>1410</v>
      </c>
      <c r="C4391" s="403" t="s">
        <v>582</v>
      </c>
      <c r="D4391" s="403" t="s">
        <v>1418</v>
      </c>
      <c r="E4391" s="403" t="s">
        <v>778</v>
      </c>
      <c r="F4391" s="403" t="s">
        <v>1325</v>
      </c>
      <c r="G4391" s="403" t="s">
        <v>1467</v>
      </c>
      <c r="H4391" s="403" t="s">
        <v>1276</v>
      </c>
      <c r="I4391" s="403">
        <v>1</v>
      </c>
      <c r="J4391" s="403" t="s">
        <v>1324</v>
      </c>
      <c r="K4391" s="403">
        <v>2016</v>
      </c>
      <c r="L4391" s="403">
        <v>3584</v>
      </c>
      <c r="M4391" s="403" t="s">
        <v>1283</v>
      </c>
      <c r="N4391" s="403">
        <v>576</v>
      </c>
      <c r="O4391" s="403">
        <v>720</v>
      </c>
      <c r="P4391" t="str">
        <f t="shared" si="545"/>
        <v>25fps 3584x2016 - SD 4CIF resolution 4:3 format (cropped)</v>
      </c>
      <c r="Q4391">
        <f t="shared" si="546"/>
        <v>21</v>
      </c>
      <c r="R4391" t="str">
        <f t="shared" si="547"/>
        <v/>
      </c>
      <c r="S4391" t="str">
        <f t="shared" si="548"/>
        <v/>
      </c>
      <c r="T4391" s="403" t="str">
        <f t="shared" si="549"/>
        <v>NDE-8504-R</v>
      </c>
      <c r="U4391" s="403">
        <f t="shared" si="550"/>
        <v>1</v>
      </c>
      <c r="V4391" s="403" t="str">
        <f t="shared" si="551"/>
        <v>CPP_7_3</v>
      </c>
    </row>
    <row r="4392" spans="1:22">
      <c r="A4392" t="str">
        <f t="shared" si="544"/>
        <v>NDE-8504-R</v>
      </c>
      <c r="B4392" s="403" t="s">
        <v>1410</v>
      </c>
      <c r="C4392" s="403" t="s">
        <v>582</v>
      </c>
      <c r="D4392" s="403" t="s">
        <v>1418</v>
      </c>
      <c r="E4392" s="403" t="s">
        <v>778</v>
      </c>
      <c r="F4392" s="403" t="s">
        <v>1325</v>
      </c>
      <c r="G4392" s="403" t="s">
        <v>1467</v>
      </c>
      <c r="H4392" s="403" t="s">
        <v>1276</v>
      </c>
      <c r="I4392" s="403">
        <v>1</v>
      </c>
      <c r="J4392" s="403" t="s">
        <v>1324</v>
      </c>
      <c r="K4392" s="403">
        <v>2016</v>
      </c>
      <c r="L4392" s="403">
        <v>3584</v>
      </c>
      <c r="M4392" s="403" t="s">
        <v>1279</v>
      </c>
      <c r="N4392" s="403">
        <v>432</v>
      </c>
      <c r="O4392" s="403">
        <v>768</v>
      </c>
      <c r="P4392" t="str">
        <f t="shared" si="545"/>
        <v>25fps 3584x2016 - SD ROI PTZ</v>
      </c>
      <c r="Q4392">
        <f t="shared" si="546"/>
        <v>21</v>
      </c>
      <c r="R4392" t="str">
        <f t="shared" si="547"/>
        <v/>
      </c>
      <c r="S4392" t="str">
        <f t="shared" si="548"/>
        <v/>
      </c>
      <c r="T4392" s="403" t="str">
        <f t="shared" si="549"/>
        <v>NDE-8504-R</v>
      </c>
      <c r="U4392" s="403">
        <f t="shared" si="550"/>
        <v>1</v>
      </c>
      <c r="V4392" s="403" t="str">
        <f t="shared" si="551"/>
        <v>CPP_7_3</v>
      </c>
    </row>
    <row r="4393" spans="1:22">
      <c r="A4393" t="str">
        <f t="shared" si="544"/>
        <v>NDE-8504-R</v>
      </c>
      <c r="B4393" s="403" t="s">
        <v>1410</v>
      </c>
      <c r="C4393" s="403" t="s">
        <v>582</v>
      </c>
      <c r="D4393" s="403" t="s">
        <v>1418</v>
      </c>
      <c r="E4393" s="403" t="s">
        <v>778</v>
      </c>
      <c r="F4393" s="403" t="s">
        <v>1325</v>
      </c>
      <c r="G4393" s="403" t="s">
        <v>1467</v>
      </c>
      <c r="H4393" s="403" t="s">
        <v>1276</v>
      </c>
      <c r="I4393" s="403">
        <v>1</v>
      </c>
      <c r="J4393" s="403" t="s">
        <v>1324</v>
      </c>
      <c r="K4393" s="403">
        <v>2016</v>
      </c>
      <c r="L4393" s="403">
        <v>3584</v>
      </c>
      <c r="M4393" s="403" t="s">
        <v>1284</v>
      </c>
      <c r="N4393" s="403">
        <v>480</v>
      </c>
      <c r="O4393" s="403">
        <v>640</v>
      </c>
      <c r="P4393" t="str">
        <f t="shared" si="545"/>
        <v>25fps 3584x2016 - SD VGA (cropped)</v>
      </c>
      <c r="Q4393">
        <f t="shared" si="546"/>
        <v>21</v>
      </c>
      <c r="R4393" t="str">
        <f t="shared" si="547"/>
        <v/>
      </c>
      <c r="S4393" t="str">
        <f t="shared" si="548"/>
        <v/>
      </c>
      <c r="T4393" s="403" t="str">
        <f t="shared" si="549"/>
        <v>NDE-8504-R</v>
      </c>
      <c r="U4393" s="403">
        <f t="shared" si="550"/>
        <v>1</v>
      </c>
      <c r="V4393" s="403" t="str">
        <f t="shared" si="551"/>
        <v>CPP_7_3</v>
      </c>
    </row>
    <row r="4394" spans="1:22">
      <c r="A4394" t="str">
        <f t="shared" si="544"/>
        <v>NDE-8504-R</v>
      </c>
      <c r="B4394" s="403" t="s">
        <v>1410</v>
      </c>
      <c r="C4394" s="403" t="s">
        <v>582</v>
      </c>
      <c r="D4394" s="403" t="s">
        <v>1418</v>
      </c>
      <c r="E4394" s="403" t="s">
        <v>778</v>
      </c>
      <c r="F4394" s="403" t="s">
        <v>1325</v>
      </c>
      <c r="G4394" s="403" t="s">
        <v>1467</v>
      </c>
      <c r="H4394" s="403" t="s">
        <v>1276</v>
      </c>
      <c r="I4394" s="403">
        <v>1</v>
      </c>
      <c r="J4394" s="403" t="s">
        <v>1324</v>
      </c>
      <c r="K4394" s="403">
        <v>2016</v>
      </c>
      <c r="L4394" s="403">
        <v>3584</v>
      </c>
      <c r="M4394" s="403" t="s">
        <v>1285</v>
      </c>
      <c r="N4394" s="403">
        <v>1024</v>
      </c>
      <c r="O4394" s="403">
        <v>1280</v>
      </c>
      <c r="P4394" t="str">
        <f t="shared" si="545"/>
        <v>25fps 3584x2016 - 1280x1024 5:4 (cropped)</v>
      </c>
      <c r="Q4394">
        <f t="shared" si="546"/>
        <v>21</v>
      </c>
      <c r="R4394" t="str">
        <f t="shared" si="547"/>
        <v/>
      </c>
      <c r="S4394" t="str">
        <f t="shared" si="548"/>
        <v/>
      </c>
      <c r="T4394" s="403" t="str">
        <f t="shared" si="549"/>
        <v>NDE-8504-R</v>
      </c>
      <c r="U4394" s="403">
        <f t="shared" si="550"/>
        <v>1</v>
      </c>
      <c r="V4394" s="403" t="str">
        <f t="shared" si="551"/>
        <v>CPP_7_3</v>
      </c>
    </row>
    <row r="4395" spans="1:22">
      <c r="A4395" t="str">
        <f t="shared" si="544"/>
        <v>NDE-8504-R</v>
      </c>
      <c r="B4395" s="403" t="s">
        <v>1410</v>
      </c>
      <c r="C4395" s="403" t="s">
        <v>582</v>
      </c>
      <c r="D4395" s="403" t="s">
        <v>1418</v>
      </c>
      <c r="E4395" s="403" t="s">
        <v>778</v>
      </c>
      <c r="F4395" s="403" t="s">
        <v>1325</v>
      </c>
      <c r="G4395" s="403" t="s">
        <v>1467</v>
      </c>
      <c r="H4395" s="403" t="s">
        <v>1276</v>
      </c>
      <c r="I4395" s="403">
        <v>1</v>
      </c>
      <c r="J4395" s="403" t="s">
        <v>110</v>
      </c>
      <c r="K4395" s="403">
        <v>1080</v>
      </c>
      <c r="L4395" s="403">
        <v>1920</v>
      </c>
      <c r="M4395" s="403" t="s">
        <v>111</v>
      </c>
      <c r="N4395" s="403">
        <v>432</v>
      </c>
      <c r="O4395" s="403">
        <v>768</v>
      </c>
      <c r="P4395" t="str">
        <f t="shared" si="545"/>
        <v>25fps 1080p - SD</v>
      </c>
      <c r="Q4395">
        <f t="shared" si="546"/>
        <v>21</v>
      </c>
      <c r="R4395" t="str">
        <f t="shared" si="547"/>
        <v/>
      </c>
      <c r="S4395" t="str">
        <f t="shared" si="548"/>
        <v/>
      </c>
      <c r="T4395" s="403" t="str">
        <f t="shared" si="549"/>
        <v>NDE-8504-R</v>
      </c>
      <c r="U4395" s="403">
        <f t="shared" si="550"/>
        <v>1</v>
      </c>
      <c r="V4395" s="403" t="str">
        <f t="shared" si="551"/>
        <v>CPP_7_3</v>
      </c>
    </row>
    <row r="4396" spans="1:22">
      <c r="A4396" t="str">
        <f t="shared" si="544"/>
        <v>NDE-8504-R</v>
      </c>
      <c r="B4396" s="403" t="s">
        <v>1410</v>
      </c>
      <c r="C4396" s="403" t="s">
        <v>582</v>
      </c>
      <c r="D4396" s="403" t="s">
        <v>1418</v>
      </c>
      <c r="E4396" s="403" t="s">
        <v>778</v>
      </c>
      <c r="F4396" s="403" t="s">
        <v>1325</v>
      </c>
      <c r="G4396" s="403" t="s">
        <v>1467</v>
      </c>
      <c r="H4396" s="403" t="s">
        <v>1276</v>
      </c>
      <c r="I4396" s="403">
        <v>1</v>
      </c>
      <c r="J4396" s="403" t="s">
        <v>110</v>
      </c>
      <c r="K4396" s="403">
        <v>1080</v>
      </c>
      <c r="L4396" s="403">
        <v>1920</v>
      </c>
      <c r="M4396" s="403" t="s">
        <v>110</v>
      </c>
      <c r="N4396" s="403">
        <v>1080</v>
      </c>
      <c r="O4396" s="403">
        <v>1920</v>
      </c>
      <c r="P4396" t="str">
        <f t="shared" si="545"/>
        <v>25fps 1080p - 1080p</v>
      </c>
      <c r="Q4396">
        <f t="shared" si="546"/>
        <v>21</v>
      </c>
      <c r="R4396" t="str">
        <f t="shared" si="547"/>
        <v/>
      </c>
      <c r="S4396" t="str">
        <f t="shared" si="548"/>
        <v/>
      </c>
      <c r="T4396" s="403" t="str">
        <f t="shared" si="549"/>
        <v>NDE-8504-R</v>
      </c>
      <c r="U4396" s="403">
        <f t="shared" si="550"/>
        <v>1</v>
      </c>
      <c r="V4396" s="403" t="str">
        <f t="shared" si="551"/>
        <v>CPP_7_3</v>
      </c>
    </row>
    <row r="4397" spans="1:22">
      <c r="A4397" t="str">
        <f t="shared" si="544"/>
        <v>NDE-8504-R</v>
      </c>
      <c r="B4397" s="403" t="s">
        <v>1410</v>
      </c>
      <c r="C4397" s="403" t="s">
        <v>582</v>
      </c>
      <c r="D4397" s="403" t="s">
        <v>1418</v>
      </c>
      <c r="E4397" s="403" t="s">
        <v>778</v>
      </c>
      <c r="F4397" s="403" t="s">
        <v>1325</v>
      </c>
      <c r="G4397" s="403" t="s">
        <v>1467</v>
      </c>
      <c r="H4397" s="403" t="s">
        <v>1276</v>
      </c>
      <c r="I4397" s="403">
        <v>1</v>
      </c>
      <c r="J4397" s="403" t="s">
        <v>110</v>
      </c>
      <c r="K4397" s="403">
        <v>1080</v>
      </c>
      <c r="L4397" s="403">
        <v>1920</v>
      </c>
      <c r="M4397" s="403" t="s">
        <v>109</v>
      </c>
      <c r="N4397" s="403">
        <v>720</v>
      </c>
      <c r="O4397" s="403">
        <v>1280</v>
      </c>
      <c r="P4397" t="str">
        <f t="shared" si="545"/>
        <v>25fps 1080p - 720p</v>
      </c>
      <c r="Q4397">
        <f t="shared" si="546"/>
        <v>21</v>
      </c>
      <c r="R4397" t="str">
        <f t="shared" si="547"/>
        <v/>
      </c>
      <c r="S4397" t="str">
        <f t="shared" si="548"/>
        <v/>
      </c>
      <c r="T4397" s="403" t="str">
        <f t="shared" si="549"/>
        <v>NDE-8504-R</v>
      </c>
      <c r="U4397" s="403">
        <f t="shared" si="550"/>
        <v>1</v>
      </c>
      <c r="V4397" s="403" t="str">
        <f t="shared" si="551"/>
        <v>CPP_7_3</v>
      </c>
    </row>
    <row r="4398" spans="1:22">
      <c r="A4398" t="str">
        <f t="shared" si="544"/>
        <v>NDE-8504-R</v>
      </c>
      <c r="B4398" s="403" t="s">
        <v>1410</v>
      </c>
      <c r="C4398" s="403" t="s">
        <v>582</v>
      </c>
      <c r="D4398" s="403" t="s">
        <v>1418</v>
      </c>
      <c r="E4398" s="403" t="s">
        <v>778</v>
      </c>
      <c r="F4398" s="403" t="s">
        <v>1325</v>
      </c>
      <c r="G4398" s="403" t="s">
        <v>1467</v>
      </c>
      <c r="H4398" s="403" t="s">
        <v>1276</v>
      </c>
      <c r="I4398" s="403">
        <v>1</v>
      </c>
      <c r="J4398" s="403" t="s">
        <v>110</v>
      </c>
      <c r="K4398" s="403">
        <v>1080</v>
      </c>
      <c r="L4398" s="403">
        <v>1920</v>
      </c>
      <c r="M4398" s="403" t="s">
        <v>1285</v>
      </c>
      <c r="N4398" s="403">
        <v>1024</v>
      </c>
      <c r="O4398" s="403">
        <v>1280</v>
      </c>
      <c r="P4398" t="str">
        <f t="shared" si="545"/>
        <v>25fps 1080p - 1280x1024 5:4 (cropped)</v>
      </c>
      <c r="Q4398">
        <f t="shared" si="546"/>
        <v>21</v>
      </c>
      <c r="R4398" t="str">
        <f t="shared" si="547"/>
        <v/>
      </c>
      <c r="S4398" t="str">
        <f t="shared" si="548"/>
        <v/>
      </c>
      <c r="T4398" s="403" t="str">
        <f t="shared" si="549"/>
        <v>NDE-8504-R</v>
      </c>
      <c r="U4398" s="403">
        <f t="shared" si="550"/>
        <v>1</v>
      </c>
      <c r="V4398" s="403" t="str">
        <f t="shared" si="551"/>
        <v>CPP_7_3</v>
      </c>
    </row>
    <row r="4399" spans="1:22">
      <c r="A4399" t="str">
        <f t="shared" si="544"/>
        <v>NDE-8504-R</v>
      </c>
      <c r="B4399" s="403" t="s">
        <v>1410</v>
      </c>
      <c r="C4399" s="403" t="s">
        <v>582</v>
      </c>
      <c r="D4399" s="403" t="s">
        <v>1418</v>
      </c>
      <c r="E4399" s="403" t="s">
        <v>778</v>
      </c>
      <c r="F4399" s="403" t="s">
        <v>1325</v>
      </c>
      <c r="G4399" s="403" t="s">
        <v>1467</v>
      </c>
      <c r="H4399" s="403" t="s">
        <v>1276</v>
      </c>
      <c r="I4399" s="403">
        <v>1</v>
      </c>
      <c r="J4399" s="403" t="s">
        <v>110</v>
      </c>
      <c r="K4399" s="403">
        <v>1080</v>
      </c>
      <c r="L4399" s="403">
        <v>1920</v>
      </c>
      <c r="M4399" s="403" t="s">
        <v>1279</v>
      </c>
      <c r="N4399" s="403">
        <v>432</v>
      </c>
      <c r="O4399" s="403">
        <v>768</v>
      </c>
      <c r="P4399" t="str">
        <f t="shared" si="545"/>
        <v>25fps 1080p - SD ROI PTZ</v>
      </c>
      <c r="Q4399">
        <f t="shared" si="546"/>
        <v>21</v>
      </c>
      <c r="R4399" t="str">
        <f t="shared" si="547"/>
        <v/>
      </c>
      <c r="S4399" t="str">
        <f t="shared" si="548"/>
        <v/>
      </c>
      <c r="T4399" s="403" t="str">
        <f t="shared" si="549"/>
        <v>NDE-8504-R</v>
      </c>
      <c r="U4399" s="403">
        <f t="shared" si="550"/>
        <v>1</v>
      </c>
      <c r="V4399" s="403" t="str">
        <f t="shared" si="551"/>
        <v>CPP_7_3</v>
      </c>
    </row>
    <row r="4400" spans="1:22">
      <c r="A4400" t="str">
        <f t="shared" si="544"/>
        <v>NDE-8504-R</v>
      </c>
      <c r="B4400" s="403" t="s">
        <v>1410</v>
      </c>
      <c r="C4400" s="403" t="s">
        <v>582</v>
      </c>
      <c r="D4400" s="403" t="s">
        <v>1418</v>
      </c>
      <c r="E4400" s="403" t="s">
        <v>778</v>
      </c>
      <c r="F4400" s="403" t="s">
        <v>1325</v>
      </c>
      <c r="G4400" s="403" t="s">
        <v>1467</v>
      </c>
      <c r="H4400" s="403" t="s">
        <v>1276</v>
      </c>
      <c r="I4400" s="403">
        <v>1</v>
      </c>
      <c r="J4400" s="403" t="s">
        <v>110</v>
      </c>
      <c r="K4400" s="403">
        <v>1080</v>
      </c>
      <c r="L4400" s="403">
        <v>1920</v>
      </c>
      <c r="M4400" s="403" t="s">
        <v>1283</v>
      </c>
      <c r="N4400" s="403">
        <v>576</v>
      </c>
      <c r="O4400" s="403">
        <v>720</v>
      </c>
      <c r="P4400" t="str">
        <f t="shared" si="545"/>
        <v>25fps 1080p - SD 4CIF resolution 4:3 format (cropped)</v>
      </c>
      <c r="Q4400">
        <f t="shared" si="546"/>
        <v>21</v>
      </c>
      <c r="R4400" t="str">
        <f t="shared" si="547"/>
        <v/>
      </c>
      <c r="S4400" t="str">
        <f t="shared" si="548"/>
        <v/>
      </c>
      <c r="T4400" s="403" t="str">
        <f t="shared" si="549"/>
        <v>NDE-8504-R</v>
      </c>
      <c r="U4400" s="403">
        <f t="shared" si="550"/>
        <v>1</v>
      </c>
      <c r="V4400" s="403" t="str">
        <f t="shared" si="551"/>
        <v>CPP_7_3</v>
      </c>
    </row>
    <row r="4401" spans="1:22">
      <c r="A4401" t="str">
        <f t="shared" si="544"/>
        <v>NDE-8504-R</v>
      </c>
      <c r="B4401" s="403" t="s">
        <v>1410</v>
      </c>
      <c r="C4401" s="403" t="s">
        <v>582</v>
      </c>
      <c r="D4401" s="403" t="s">
        <v>1418</v>
      </c>
      <c r="E4401" s="403" t="s">
        <v>778</v>
      </c>
      <c r="F4401" s="403" t="s">
        <v>1325</v>
      </c>
      <c r="G4401" s="403" t="s">
        <v>1467</v>
      </c>
      <c r="H4401" s="403" t="s">
        <v>1276</v>
      </c>
      <c r="I4401" s="403">
        <v>1</v>
      </c>
      <c r="J4401" s="403" t="s">
        <v>110</v>
      </c>
      <c r="K4401" s="403">
        <v>1080</v>
      </c>
      <c r="L4401" s="403">
        <v>1920</v>
      </c>
      <c r="M4401" s="403" t="s">
        <v>1284</v>
      </c>
      <c r="N4401" s="403">
        <v>480</v>
      </c>
      <c r="O4401" s="403">
        <v>640</v>
      </c>
      <c r="P4401" t="str">
        <f t="shared" si="545"/>
        <v>25fps 1080p - SD VGA (cropped)</v>
      </c>
      <c r="Q4401">
        <f t="shared" si="546"/>
        <v>21</v>
      </c>
      <c r="R4401" t="str">
        <f t="shared" si="547"/>
        <v/>
      </c>
      <c r="S4401" t="str">
        <f t="shared" si="548"/>
        <v/>
      </c>
      <c r="T4401" s="403" t="str">
        <f t="shared" si="549"/>
        <v>NDE-8504-R</v>
      </c>
      <c r="U4401" s="403">
        <f t="shared" si="550"/>
        <v>1</v>
      </c>
      <c r="V4401" s="403" t="str">
        <f t="shared" si="551"/>
        <v>CPP_7_3</v>
      </c>
    </row>
    <row r="4402" spans="1:22">
      <c r="A4402" t="str">
        <f t="shared" si="544"/>
        <v>NDE-8504-R</v>
      </c>
      <c r="B4402" s="403" t="s">
        <v>1410</v>
      </c>
      <c r="C4402" s="403" t="s">
        <v>582</v>
      </c>
      <c r="D4402" s="403" t="s">
        <v>1418</v>
      </c>
      <c r="E4402" s="403" t="s">
        <v>778</v>
      </c>
      <c r="F4402" s="403" t="s">
        <v>1325</v>
      </c>
      <c r="G4402" s="403" t="s">
        <v>1467</v>
      </c>
      <c r="H4402" s="403" t="s">
        <v>1276</v>
      </c>
      <c r="I4402" s="403">
        <v>1</v>
      </c>
      <c r="J4402" s="403" t="s">
        <v>109</v>
      </c>
      <c r="K4402" s="403">
        <v>720</v>
      </c>
      <c r="L4402" s="403">
        <v>1280</v>
      </c>
      <c r="M4402" s="403" t="s">
        <v>109</v>
      </c>
      <c r="N4402" s="403">
        <v>720</v>
      </c>
      <c r="O4402" s="403">
        <v>1280</v>
      </c>
      <c r="P4402" t="str">
        <f t="shared" si="545"/>
        <v>25fps 720p - 720p</v>
      </c>
      <c r="Q4402">
        <f t="shared" si="546"/>
        <v>21</v>
      </c>
      <c r="R4402" t="str">
        <f t="shared" si="547"/>
        <v/>
      </c>
      <c r="S4402" t="str">
        <f t="shared" si="548"/>
        <v/>
      </c>
      <c r="T4402" s="403" t="str">
        <f t="shared" si="549"/>
        <v>NDE-8504-R</v>
      </c>
      <c r="U4402" s="403">
        <f t="shared" si="550"/>
        <v>1</v>
      </c>
      <c r="V4402" s="403" t="str">
        <f t="shared" si="551"/>
        <v>CPP_7_3</v>
      </c>
    </row>
    <row r="4403" spans="1:22">
      <c r="A4403" t="str">
        <f t="shared" si="544"/>
        <v>NDE-8504-R</v>
      </c>
      <c r="B4403" s="403" t="s">
        <v>1410</v>
      </c>
      <c r="C4403" s="403" t="s">
        <v>582</v>
      </c>
      <c r="D4403" s="403" t="s">
        <v>1418</v>
      </c>
      <c r="E4403" s="403" t="s">
        <v>778</v>
      </c>
      <c r="F4403" s="403" t="s">
        <v>1325</v>
      </c>
      <c r="G4403" s="403" t="s">
        <v>1467</v>
      </c>
      <c r="H4403" s="403" t="s">
        <v>1276</v>
      </c>
      <c r="I4403" s="403">
        <v>1</v>
      </c>
      <c r="J4403" s="403" t="s">
        <v>109</v>
      </c>
      <c r="K4403" s="403">
        <v>720</v>
      </c>
      <c r="L4403" s="403">
        <v>1280</v>
      </c>
      <c r="M4403" s="403" t="s">
        <v>111</v>
      </c>
      <c r="N4403" s="403">
        <v>432</v>
      </c>
      <c r="O4403" s="403">
        <v>768</v>
      </c>
      <c r="P4403" t="str">
        <f t="shared" si="545"/>
        <v>25fps 720p - SD</v>
      </c>
      <c r="Q4403">
        <f t="shared" si="546"/>
        <v>21</v>
      </c>
      <c r="R4403" t="str">
        <f t="shared" si="547"/>
        <v/>
      </c>
      <c r="S4403" t="str">
        <f t="shared" si="548"/>
        <v/>
      </c>
      <c r="T4403" s="403" t="str">
        <f t="shared" si="549"/>
        <v>NDE-8504-R</v>
      </c>
      <c r="U4403" s="403">
        <f t="shared" si="550"/>
        <v>1</v>
      </c>
      <c r="V4403" s="403" t="str">
        <f t="shared" si="551"/>
        <v>CPP_7_3</v>
      </c>
    </row>
    <row r="4404" spans="1:22">
      <c r="A4404" t="str">
        <f t="shared" si="544"/>
        <v>NDE-8504-R</v>
      </c>
      <c r="B4404" s="403" t="s">
        <v>1410</v>
      </c>
      <c r="C4404" s="403" t="s">
        <v>582</v>
      </c>
      <c r="D4404" s="403" t="s">
        <v>1418</v>
      </c>
      <c r="E4404" s="403" t="s">
        <v>778</v>
      </c>
      <c r="F4404" s="403" t="s">
        <v>1325</v>
      </c>
      <c r="G4404" s="403" t="s">
        <v>1467</v>
      </c>
      <c r="H4404" s="403" t="s">
        <v>1276</v>
      </c>
      <c r="I4404" s="403">
        <v>1</v>
      </c>
      <c r="J4404" s="403" t="s">
        <v>109</v>
      </c>
      <c r="K4404" s="403">
        <v>720</v>
      </c>
      <c r="L4404" s="403">
        <v>1280</v>
      </c>
      <c r="M4404" s="403" t="s">
        <v>1279</v>
      </c>
      <c r="N4404" s="403">
        <v>432</v>
      </c>
      <c r="O4404" s="403">
        <v>768</v>
      </c>
      <c r="P4404" t="str">
        <f t="shared" si="545"/>
        <v>25fps 720p - SD ROI PTZ</v>
      </c>
      <c r="Q4404">
        <f t="shared" si="546"/>
        <v>21</v>
      </c>
      <c r="R4404" t="str">
        <f t="shared" si="547"/>
        <v/>
      </c>
      <c r="S4404" t="str">
        <f t="shared" si="548"/>
        <v/>
      </c>
      <c r="T4404" s="403" t="str">
        <f t="shared" si="549"/>
        <v>NDE-8504-R</v>
      </c>
      <c r="U4404" s="403">
        <f t="shared" si="550"/>
        <v>1</v>
      </c>
      <c r="V4404" s="403" t="str">
        <f t="shared" si="551"/>
        <v>CPP_7_3</v>
      </c>
    </row>
    <row r="4405" spans="1:22">
      <c r="A4405" t="str">
        <f t="shared" si="544"/>
        <v>NDE-8504-R</v>
      </c>
      <c r="B4405" s="403" t="s">
        <v>1410</v>
      </c>
      <c r="C4405" s="403" t="s">
        <v>582</v>
      </c>
      <c r="D4405" s="403" t="s">
        <v>1418</v>
      </c>
      <c r="E4405" s="403" t="s">
        <v>778</v>
      </c>
      <c r="F4405" s="403" t="s">
        <v>1325</v>
      </c>
      <c r="G4405" s="403" t="s">
        <v>1467</v>
      </c>
      <c r="H4405" s="403" t="s">
        <v>1276</v>
      </c>
      <c r="I4405" s="403">
        <v>1</v>
      </c>
      <c r="J4405" s="403" t="s">
        <v>109</v>
      </c>
      <c r="K4405" s="403">
        <v>720</v>
      </c>
      <c r="L4405" s="403">
        <v>1280</v>
      </c>
      <c r="M4405" s="403" t="s">
        <v>1283</v>
      </c>
      <c r="N4405" s="403">
        <v>576</v>
      </c>
      <c r="O4405" s="403">
        <v>720</v>
      </c>
      <c r="P4405" t="str">
        <f t="shared" si="545"/>
        <v>25fps 720p - SD 4CIF resolution 4:3 format (cropped)</v>
      </c>
      <c r="Q4405">
        <f t="shared" si="546"/>
        <v>21</v>
      </c>
      <c r="R4405" t="str">
        <f t="shared" si="547"/>
        <v/>
      </c>
      <c r="S4405" t="str">
        <f t="shared" si="548"/>
        <v/>
      </c>
      <c r="T4405" s="403" t="str">
        <f t="shared" si="549"/>
        <v>NDE-8504-R</v>
      </c>
      <c r="U4405" s="403">
        <f t="shared" si="550"/>
        <v>1</v>
      </c>
      <c r="V4405" s="403" t="str">
        <f t="shared" si="551"/>
        <v>CPP_7_3</v>
      </c>
    </row>
    <row r="4406" spans="1:22">
      <c r="A4406" t="str">
        <f t="shared" si="544"/>
        <v>NDE-8504-R</v>
      </c>
      <c r="B4406" s="403" t="s">
        <v>1410</v>
      </c>
      <c r="C4406" s="403" t="s">
        <v>582</v>
      </c>
      <c r="D4406" s="403" t="s">
        <v>1418</v>
      </c>
      <c r="E4406" s="403" t="s">
        <v>778</v>
      </c>
      <c r="F4406" s="403" t="s">
        <v>1325</v>
      </c>
      <c r="G4406" s="403" t="s">
        <v>1467</v>
      </c>
      <c r="H4406" s="403" t="s">
        <v>1276</v>
      </c>
      <c r="I4406" s="403">
        <v>1</v>
      </c>
      <c r="J4406" s="403" t="s">
        <v>109</v>
      </c>
      <c r="K4406" s="403">
        <v>720</v>
      </c>
      <c r="L4406" s="403">
        <v>1280</v>
      </c>
      <c r="M4406" s="403" t="s">
        <v>1284</v>
      </c>
      <c r="N4406" s="403">
        <v>480</v>
      </c>
      <c r="O4406" s="403">
        <v>640</v>
      </c>
      <c r="P4406" t="str">
        <f t="shared" si="545"/>
        <v>25fps 720p - SD VGA (cropped)</v>
      </c>
      <c r="Q4406">
        <f t="shared" si="546"/>
        <v>21</v>
      </c>
      <c r="R4406" t="str">
        <f t="shared" si="547"/>
        <v/>
      </c>
      <c r="S4406" t="str">
        <f t="shared" si="548"/>
        <v/>
      </c>
      <c r="T4406" s="403" t="str">
        <f t="shared" si="549"/>
        <v>NDE-8504-R</v>
      </c>
      <c r="U4406" s="403">
        <f t="shared" si="550"/>
        <v>1</v>
      </c>
      <c r="V4406" s="403" t="str">
        <f t="shared" si="551"/>
        <v>CPP_7_3</v>
      </c>
    </row>
    <row r="4407" spans="1:22">
      <c r="A4407" t="str">
        <f t="shared" si="544"/>
        <v>NDE-8504-R</v>
      </c>
      <c r="B4407" s="403" t="s">
        <v>1410</v>
      </c>
      <c r="C4407" s="403" t="s">
        <v>582</v>
      </c>
      <c r="D4407" s="403" t="s">
        <v>1418</v>
      </c>
      <c r="E4407" s="403" t="s">
        <v>778</v>
      </c>
      <c r="F4407" s="403" t="s">
        <v>1325</v>
      </c>
      <c r="G4407" s="403" t="s">
        <v>1467</v>
      </c>
      <c r="H4407" s="403" t="s">
        <v>1281</v>
      </c>
      <c r="I4407" s="403">
        <v>1</v>
      </c>
      <c r="J4407" s="403" t="s">
        <v>194</v>
      </c>
      <c r="K4407" s="403">
        <v>2160</v>
      </c>
      <c r="L4407" s="403">
        <v>3840</v>
      </c>
      <c r="M4407" s="403" t="s">
        <v>111</v>
      </c>
      <c r="N4407" s="403">
        <v>432</v>
      </c>
      <c r="O4407" s="403">
        <v>768</v>
      </c>
      <c r="P4407" t="str">
        <f t="shared" si="545"/>
        <v>25fps 3840x2160 - SD</v>
      </c>
      <c r="Q4407">
        <f t="shared" si="546"/>
        <v>21</v>
      </c>
      <c r="R4407" t="str">
        <f t="shared" si="547"/>
        <v/>
      </c>
      <c r="S4407" t="str">
        <f t="shared" si="548"/>
        <v/>
      </c>
      <c r="T4407" s="403" t="str">
        <f t="shared" si="549"/>
        <v>NDE-8504-R</v>
      </c>
      <c r="U4407" s="403">
        <f t="shared" si="550"/>
        <v>1</v>
      </c>
      <c r="V4407" s="403" t="str">
        <f t="shared" si="551"/>
        <v>CPP_7_3</v>
      </c>
    </row>
    <row r="4408" spans="1:22">
      <c r="A4408" t="str">
        <f t="shared" si="544"/>
        <v>NDE-8504-R</v>
      </c>
      <c r="B4408" s="403" t="s">
        <v>1410</v>
      </c>
      <c r="C4408" s="403" t="s">
        <v>582</v>
      </c>
      <c r="D4408" s="403" t="s">
        <v>1418</v>
      </c>
      <c r="E4408" s="403" t="s">
        <v>778</v>
      </c>
      <c r="F4408" s="403" t="s">
        <v>1325</v>
      </c>
      <c r="G4408" s="403" t="s">
        <v>1467</v>
      </c>
      <c r="H4408" s="403" t="s">
        <v>1281</v>
      </c>
      <c r="I4408" s="403">
        <v>1</v>
      </c>
      <c r="J4408" s="403" t="s">
        <v>194</v>
      </c>
      <c r="K4408" s="403">
        <v>2160</v>
      </c>
      <c r="L4408" s="403">
        <v>3840</v>
      </c>
      <c r="M4408" s="403" t="s">
        <v>1280</v>
      </c>
      <c r="N4408" s="403">
        <v>2160</v>
      </c>
      <c r="O4408" s="403">
        <v>3840</v>
      </c>
      <c r="P4408" t="str">
        <f t="shared" si="545"/>
        <v>25fps 3840x2160 - copy other stream</v>
      </c>
      <c r="Q4408">
        <f t="shared" si="546"/>
        <v>21</v>
      </c>
      <c r="R4408" t="str">
        <f t="shared" si="547"/>
        <v/>
      </c>
      <c r="S4408" t="str">
        <f t="shared" si="548"/>
        <v/>
      </c>
      <c r="T4408" s="403" t="str">
        <f t="shared" si="549"/>
        <v>NDE-8504-R</v>
      </c>
      <c r="U4408" s="403">
        <f t="shared" si="550"/>
        <v>1</v>
      </c>
      <c r="V4408" s="403" t="str">
        <f t="shared" si="551"/>
        <v>CPP_7_3</v>
      </c>
    </row>
    <row r="4409" spans="1:22">
      <c r="A4409" t="str">
        <f t="shared" si="544"/>
        <v>NDE-8504-R</v>
      </c>
      <c r="B4409" s="403" t="s">
        <v>1410</v>
      </c>
      <c r="C4409" s="403" t="s">
        <v>582</v>
      </c>
      <c r="D4409" s="403" t="s">
        <v>1418</v>
      </c>
      <c r="E4409" s="403" t="s">
        <v>778</v>
      </c>
      <c r="F4409" s="403" t="s">
        <v>1325</v>
      </c>
      <c r="G4409" s="403" t="s">
        <v>1467</v>
      </c>
      <c r="H4409" s="403" t="s">
        <v>1281</v>
      </c>
      <c r="I4409" s="403">
        <v>1</v>
      </c>
      <c r="J4409" s="403" t="s">
        <v>194</v>
      </c>
      <c r="K4409" s="403">
        <v>2160</v>
      </c>
      <c r="L4409" s="403">
        <v>3840</v>
      </c>
      <c r="M4409" s="403" t="s">
        <v>1283</v>
      </c>
      <c r="N4409" s="403">
        <v>576</v>
      </c>
      <c r="O4409" s="403">
        <v>720</v>
      </c>
      <c r="P4409" t="str">
        <f t="shared" si="545"/>
        <v>25fps 3840x2160 - SD 4CIF resolution 4:3 format (cropped)</v>
      </c>
      <c r="Q4409">
        <f t="shared" si="546"/>
        <v>21</v>
      </c>
      <c r="R4409" t="str">
        <f t="shared" si="547"/>
        <v/>
      </c>
      <c r="S4409" t="str">
        <f t="shared" si="548"/>
        <v/>
      </c>
      <c r="T4409" s="403" t="str">
        <f t="shared" si="549"/>
        <v>NDE-8504-R</v>
      </c>
      <c r="U4409" s="403">
        <f t="shared" si="550"/>
        <v>1</v>
      </c>
      <c r="V4409" s="403" t="str">
        <f t="shared" si="551"/>
        <v>CPP_7_3</v>
      </c>
    </row>
    <row r="4410" spans="1:22">
      <c r="A4410" t="str">
        <f t="shared" si="544"/>
        <v>NDE-8504-R</v>
      </c>
      <c r="B4410" s="403" t="s">
        <v>1410</v>
      </c>
      <c r="C4410" s="403" t="s">
        <v>582</v>
      </c>
      <c r="D4410" s="403" t="s">
        <v>1418</v>
      </c>
      <c r="E4410" s="403" t="s">
        <v>778</v>
      </c>
      <c r="F4410" s="403" t="s">
        <v>1325</v>
      </c>
      <c r="G4410" s="403" t="s">
        <v>1467</v>
      </c>
      <c r="H4410" s="403" t="s">
        <v>1281</v>
      </c>
      <c r="I4410" s="403">
        <v>1</v>
      </c>
      <c r="J4410" s="403" t="s">
        <v>194</v>
      </c>
      <c r="K4410" s="403">
        <v>2160</v>
      </c>
      <c r="L4410" s="403">
        <v>3840</v>
      </c>
      <c r="M4410" s="403" t="s">
        <v>1284</v>
      </c>
      <c r="N4410" s="403">
        <v>480</v>
      </c>
      <c r="O4410" s="403">
        <v>640</v>
      </c>
      <c r="P4410" t="str">
        <f t="shared" si="545"/>
        <v>25fps 3840x2160 - SD VGA (cropped)</v>
      </c>
      <c r="Q4410">
        <f t="shared" si="546"/>
        <v>21</v>
      </c>
      <c r="R4410" t="str">
        <f t="shared" si="547"/>
        <v/>
      </c>
      <c r="S4410" t="str">
        <f t="shared" si="548"/>
        <v/>
      </c>
      <c r="T4410" s="403" t="str">
        <f t="shared" si="549"/>
        <v>NDE-8504-R</v>
      </c>
      <c r="U4410" s="403">
        <f t="shared" si="550"/>
        <v>1</v>
      </c>
      <c r="V4410" s="403" t="str">
        <f t="shared" si="551"/>
        <v>CPP_7_3</v>
      </c>
    </row>
    <row r="4411" spans="1:22">
      <c r="A4411" t="str">
        <f t="shared" si="544"/>
        <v>NDE-8504-R</v>
      </c>
      <c r="B4411" s="403" t="s">
        <v>1410</v>
      </c>
      <c r="C4411" s="403" t="s">
        <v>582</v>
      </c>
      <c r="D4411" s="403" t="s">
        <v>1418</v>
      </c>
      <c r="E4411" s="403" t="s">
        <v>778</v>
      </c>
      <c r="F4411" s="403" t="s">
        <v>1325</v>
      </c>
      <c r="G4411" s="403" t="s">
        <v>1467</v>
      </c>
      <c r="H4411" s="403" t="s">
        <v>1281</v>
      </c>
      <c r="I4411" s="403">
        <v>1</v>
      </c>
      <c r="J4411" s="403" t="s">
        <v>1324</v>
      </c>
      <c r="K4411" s="403">
        <v>2016</v>
      </c>
      <c r="L4411" s="403">
        <v>3584</v>
      </c>
      <c r="M4411" s="403" t="s">
        <v>111</v>
      </c>
      <c r="N4411" s="403">
        <v>432</v>
      </c>
      <c r="O4411" s="403">
        <v>768</v>
      </c>
      <c r="P4411" t="str">
        <f t="shared" si="545"/>
        <v>25fps 3584x2016 - SD</v>
      </c>
      <c r="Q4411">
        <f t="shared" si="546"/>
        <v>21</v>
      </c>
      <c r="R4411" t="str">
        <f t="shared" si="547"/>
        <v/>
      </c>
      <c r="S4411" t="str">
        <f t="shared" si="548"/>
        <v/>
      </c>
      <c r="T4411" s="403" t="str">
        <f t="shared" si="549"/>
        <v>NDE-8504-R</v>
      </c>
      <c r="U4411" s="403">
        <f t="shared" si="550"/>
        <v>1</v>
      </c>
      <c r="V4411" s="403" t="str">
        <f t="shared" si="551"/>
        <v>CPP_7_3</v>
      </c>
    </row>
    <row r="4412" spans="1:22">
      <c r="A4412" t="str">
        <f t="shared" si="544"/>
        <v>NDE-8504-R</v>
      </c>
      <c r="B4412" s="403" t="s">
        <v>1410</v>
      </c>
      <c r="C4412" s="403" t="s">
        <v>582</v>
      </c>
      <c r="D4412" s="403" t="s">
        <v>1418</v>
      </c>
      <c r="E4412" s="403" t="s">
        <v>778</v>
      </c>
      <c r="F4412" s="403" t="s">
        <v>1325</v>
      </c>
      <c r="G4412" s="403" t="s">
        <v>1467</v>
      </c>
      <c r="H4412" s="403" t="s">
        <v>1281</v>
      </c>
      <c r="I4412" s="403">
        <v>1</v>
      </c>
      <c r="J4412" s="403" t="s">
        <v>1324</v>
      </c>
      <c r="K4412" s="403">
        <v>2016</v>
      </c>
      <c r="L4412" s="403">
        <v>3584</v>
      </c>
      <c r="M4412" s="403" t="s">
        <v>1280</v>
      </c>
      <c r="N4412" s="403">
        <v>2016</v>
      </c>
      <c r="O4412" s="403">
        <v>3584</v>
      </c>
      <c r="P4412" t="str">
        <f t="shared" si="545"/>
        <v>25fps 3584x2016 - copy other stream</v>
      </c>
      <c r="Q4412">
        <f t="shared" si="546"/>
        <v>21</v>
      </c>
      <c r="R4412" t="str">
        <f t="shared" si="547"/>
        <v/>
      </c>
      <c r="S4412" t="str">
        <f t="shared" si="548"/>
        <v/>
      </c>
      <c r="T4412" s="403" t="str">
        <f t="shared" si="549"/>
        <v>NDE-8504-R</v>
      </c>
      <c r="U4412" s="403">
        <f t="shared" si="550"/>
        <v>1</v>
      </c>
      <c r="V4412" s="403" t="str">
        <f t="shared" si="551"/>
        <v>CPP_7_3</v>
      </c>
    </row>
    <row r="4413" spans="1:22">
      <c r="A4413" t="str">
        <f t="shared" si="544"/>
        <v>NDE-8504-R</v>
      </c>
      <c r="B4413" s="403" t="s">
        <v>1410</v>
      </c>
      <c r="C4413" s="403" t="s">
        <v>582</v>
      </c>
      <c r="D4413" s="403" t="s">
        <v>1418</v>
      </c>
      <c r="E4413" s="403" t="s">
        <v>778</v>
      </c>
      <c r="F4413" s="403" t="s">
        <v>1325</v>
      </c>
      <c r="G4413" s="403" t="s">
        <v>1467</v>
      </c>
      <c r="H4413" s="403" t="s">
        <v>1281</v>
      </c>
      <c r="I4413" s="403">
        <v>1</v>
      </c>
      <c r="J4413" s="403" t="s">
        <v>1324</v>
      </c>
      <c r="K4413" s="403">
        <v>2016</v>
      </c>
      <c r="L4413" s="403">
        <v>3584</v>
      </c>
      <c r="M4413" s="403" t="s">
        <v>1364</v>
      </c>
      <c r="N4413" s="403">
        <v>2016</v>
      </c>
      <c r="O4413" s="403">
        <v>3584</v>
      </c>
      <c r="P4413" t="str">
        <f t="shared" si="545"/>
        <v>25fps 3584x2016 - 3584x2016 @ SKIP6</v>
      </c>
      <c r="Q4413">
        <f t="shared" si="546"/>
        <v>21</v>
      </c>
      <c r="R4413" t="str">
        <f t="shared" si="547"/>
        <v/>
      </c>
      <c r="S4413" t="str">
        <f t="shared" si="548"/>
        <v/>
      </c>
      <c r="T4413" s="403" t="str">
        <f t="shared" si="549"/>
        <v>NDE-8504-R</v>
      </c>
      <c r="U4413" s="403">
        <f t="shared" si="550"/>
        <v>1</v>
      </c>
      <c r="V4413" s="403" t="str">
        <f t="shared" si="551"/>
        <v>CPP_7_3</v>
      </c>
    </row>
    <row r="4414" spans="1:22">
      <c r="A4414" t="str">
        <f t="shared" si="544"/>
        <v>NDE-8504-R</v>
      </c>
      <c r="B4414" s="403" t="s">
        <v>1410</v>
      </c>
      <c r="C4414" s="403" t="s">
        <v>582</v>
      </c>
      <c r="D4414" s="403" t="s">
        <v>1418</v>
      </c>
      <c r="E4414" s="403" t="s">
        <v>778</v>
      </c>
      <c r="F4414" s="403" t="s">
        <v>1325</v>
      </c>
      <c r="G4414" s="403" t="s">
        <v>1467</v>
      </c>
      <c r="H4414" s="403" t="s">
        <v>1281</v>
      </c>
      <c r="I4414" s="403">
        <v>1</v>
      </c>
      <c r="J4414" s="403" t="s">
        <v>1324</v>
      </c>
      <c r="K4414" s="403">
        <v>2016</v>
      </c>
      <c r="L4414" s="403">
        <v>3584</v>
      </c>
      <c r="M4414" s="403" t="s">
        <v>109</v>
      </c>
      <c r="N4414" s="403">
        <v>720</v>
      </c>
      <c r="O4414" s="403">
        <v>1280</v>
      </c>
      <c r="P4414" t="str">
        <f t="shared" si="545"/>
        <v>25fps 3584x2016 - 720p</v>
      </c>
      <c r="Q4414">
        <f t="shared" si="546"/>
        <v>21</v>
      </c>
      <c r="R4414" t="str">
        <f t="shared" si="547"/>
        <v/>
      </c>
      <c r="S4414" t="str">
        <f t="shared" si="548"/>
        <v/>
      </c>
      <c r="T4414" s="403" t="str">
        <f t="shared" si="549"/>
        <v>NDE-8504-R</v>
      </c>
      <c r="U4414" s="403">
        <f t="shared" si="550"/>
        <v>1</v>
      </c>
      <c r="V4414" s="403" t="str">
        <f t="shared" si="551"/>
        <v>CPP_7_3</v>
      </c>
    </row>
    <row r="4415" spans="1:22">
      <c r="A4415" t="str">
        <f t="shared" si="544"/>
        <v>NDE-8504-R</v>
      </c>
      <c r="B4415" s="403" t="s">
        <v>1410</v>
      </c>
      <c r="C4415" s="403" t="s">
        <v>582</v>
      </c>
      <c r="D4415" s="403" t="s">
        <v>1418</v>
      </c>
      <c r="E4415" s="403" t="s">
        <v>778</v>
      </c>
      <c r="F4415" s="403" t="s">
        <v>1325</v>
      </c>
      <c r="G4415" s="403" t="s">
        <v>1467</v>
      </c>
      <c r="H4415" s="403" t="s">
        <v>1281</v>
      </c>
      <c r="I4415" s="403">
        <v>1</v>
      </c>
      <c r="J4415" s="403" t="s">
        <v>1324</v>
      </c>
      <c r="K4415" s="403">
        <v>2016</v>
      </c>
      <c r="L4415" s="403">
        <v>3584</v>
      </c>
      <c r="M4415" s="403" t="s">
        <v>1283</v>
      </c>
      <c r="N4415" s="403">
        <v>576</v>
      </c>
      <c r="O4415" s="403">
        <v>720</v>
      </c>
      <c r="P4415" t="str">
        <f t="shared" si="545"/>
        <v>25fps 3584x2016 - SD 4CIF resolution 4:3 format (cropped)</v>
      </c>
      <c r="Q4415">
        <f t="shared" si="546"/>
        <v>21</v>
      </c>
      <c r="R4415" t="str">
        <f t="shared" si="547"/>
        <v/>
      </c>
      <c r="S4415" t="str">
        <f t="shared" si="548"/>
        <v/>
      </c>
      <c r="T4415" s="403" t="str">
        <f t="shared" si="549"/>
        <v>NDE-8504-R</v>
      </c>
      <c r="U4415" s="403">
        <f t="shared" si="550"/>
        <v>1</v>
      </c>
      <c r="V4415" s="403" t="str">
        <f t="shared" si="551"/>
        <v>CPP_7_3</v>
      </c>
    </row>
    <row r="4416" spans="1:22">
      <c r="A4416" t="str">
        <f t="shared" si="544"/>
        <v>NDE-8504-R</v>
      </c>
      <c r="B4416" s="403" t="s">
        <v>1410</v>
      </c>
      <c r="C4416" s="403" t="s">
        <v>582</v>
      </c>
      <c r="D4416" s="403" t="s">
        <v>1418</v>
      </c>
      <c r="E4416" s="403" t="s">
        <v>778</v>
      </c>
      <c r="F4416" s="403" t="s">
        <v>1325</v>
      </c>
      <c r="G4416" s="403" t="s">
        <v>1467</v>
      </c>
      <c r="H4416" s="403" t="s">
        <v>1281</v>
      </c>
      <c r="I4416" s="403">
        <v>1</v>
      </c>
      <c r="J4416" s="403" t="s">
        <v>1324</v>
      </c>
      <c r="K4416" s="403">
        <v>2016</v>
      </c>
      <c r="L4416" s="403">
        <v>3584</v>
      </c>
      <c r="M4416" s="403" t="s">
        <v>1279</v>
      </c>
      <c r="N4416" s="403">
        <v>432</v>
      </c>
      <c r="O4416" s="403">
        <v>768</v>
      </c>
      <c r="P4416" t="str">
        <f t="shared" si="545"/>
        <v>25fps 3584x2016 - SD ROI PTZ</v>
      </c>
      <c r="Q4416">
        <f t="shared" si="546"/>
        <v>21</v>
      </c>
      <c r="R4416" t="str">
        <f t="shared" si="547"/>
        <v/>
      </c>
      <c r="S4416" t="str">
        <f t="shared" si="548"/>
        <v/>
      </c>
      <c r="T4416" s="403" t="str">
        <f t="shared" si="549"/>
        <v>NDE-8504-R</v>
      </c>
      <c r="U4416" s="403">
        <f t="shared" si="550"/>
        <v>1</v>
      </c>
      <c r="V4416" s="403" t="str">
        <f t="shared" si="551"/>
        <v>CPP_7_3</v>
      </c>
    </row>
    <row r="4417" spans="1:22">
      <c r="A4417" t="str">
        <f t="shared" si="544"/>
        <v>NDE-8504-R</v>
      </c>
      <c r="B4417" s="403" t="s">
        <v>1410</v>
      </c>
      <c r="C4417" s="403" t="s">
        <v>582</v>
      </c>
      <c r="D4417" s="403" t="s">
        <v>1418</v>
      </c>
      <c r="E4417" s="403" t="s">
        <v>778</v>
      </c>
      <c r="F4417" s="403" t="s">
        <v>1325</v>
      </c>
      <c r="G4417" s="403" t="s">
        <v>1467</v>
      </c>
      <c r="H4417" s="403" t="s">
        <v>1281</v>
      </c>
      <c r="I4417" s="403">
        <v>1</v>
      </c>
      <c r="J4417" s="403" t="s">
        <v>1324</v>
      </c>
      <c r="K4417" s="403">
        <v>2016</v>
      </c>
      <c r="L4417" s="403">
        <v>3584</v>
      </c>
      <c r="M4417" s="403" t="s">
        <v>1284</v>
      </c>
      <c r="N4417" s="403">
        <v>480</v>
      </c>
      <c r="O4417" s="403">
        <v>640</v>
      </c>
      <c r="P4417" t="str">
        <f t="shared" si="545"/>
        <v>25fps 3584x2016 - SD VGA (cropped)</v>
      </c>
      <c r="Q4417">
        <f t="shared" si="546"/>
        <v>21</v>
      </c>
      <c r="R4417" t="str">
        <f t="shared" si="547"/>
        <v/>
      </c>
      <c r="S4417" t="str">
        <f t="shared" si="548"/>
        <v/>
      </c>
      <c r="T4417" s="403" t="str">
        <f t="shared" si="549"/>
        <v>NDE-8504-R</v>
      </c>
      <c r="U4417" s="403">
        <f t="shared" si="550"/>
        <v>1</v>
      </c>
      <c r="V4417" s="403" t="str">
        <f t="shared" si="551"/>
        <v>CPP_7_3</v>
      </c>
    </row>
    <row r="4418" spans="1:22">
      <c r="A4418" t="str">
        <f t="shared" ref="A4418:A4481" si="552">IF(AND(G4418&lt;&gt;"rotate 90°"),D4418,"")</f>
        <v>NDE-8504-R</v>
      </c>
      <c r="B4418" s="403" t="s">
        <v>1410</v>
      </c>
      <c r="C4418" s="403" t="s">
        <v>582</v>
      </c>
      <c r="D4418" s="403" t="s">
        <v>1418</v>
      </c>
      <c r="E4418" s="403" t="s">
        <v>778</v>
      </c>
      <c r="F4418" s="403" t="s">
        <v>1325</v>
      </c>
      <c r="G4418" s="403" t="s">
        <v>1467</v>
      </c>
      <c r="H4418" s="403" t="s">
        <v>1281</v>
      </c>
      <c r="I4418" s="403">
        <v>1</v>
      </c>
      <c r="J4418" s="403" t="s">
        <v>1324</v>
      </c>
      <c r="K4418" s="403">
        <v>2016</v>
      </c>
      <c r="L4418" s="403">
        <v>3584</v>
      </c>
      <c r="M4418" s="403" t="s">
        <v>1285</v>
      </c>
      <c r="N4418" s="403">
        <v>1024</v>
      </c>
      <c r="O4418" s="403">
        <v>1280</v>
      </c>
      <c r="P4418" t="str">
        <f t="shared" ref="P4418:P4481" si="553">LEFT(F4418,5)&amp;" "&amp;J4418&amp;" - "&amp;M4418</f>
        <v>25fps 3584x2016 - 1280x1024 5:4 (cropped)</v>
      </c>
      <c r="Q4418">
        <f t="shared" ref="Q4418:Q4481" si="554">IF(A4417=A4418,Q4417,Q4417+1)</f>
        <v>21</v>
      </c>
      <c r="R4418" t="str">
        <f t="shared" ref="R4418:R4481" si="555">IF(Q4417&lt;&gt;Q4418,Q4418,"")</f>
        <v/>
      </c>
      <c r="S4418" t="str">
        <f t="shared" ref="S4418:S4481" si="556">IF(R4418&lt;&gt;"",B4418&amp;" ("&amp;D4418&amp;")","")</f>
        <v/>
      </c>
      <c r="T4418" s="403" t="str">
        <f t="shared" ref="T4418:T4481" si="557">D4418</f>
        <v>NDE-8504-R</v>
      </c>
      <c r="U4418" s="403">
        <f t="shared" ref="U4418:U4481" si="558">I4418</f>
        <v>1</v>
      </c>
      <c r="V4418" s="403" t="str">
        <f t="shared" ref="V4418:V4481" si="559">C4418</f>
        <v>CPP_7_3</v>
      </c>
    </row>
    <row r="4419" spans="1:22">
      <c r="A4419" t="str">
        <f t="shared" si="552"/>
        <v>NDE-8504-R</v>
      </c>
      <c r="B4419" s="403" t="s">
        <v>1410</v>
      </c>
      <c r="C4419" s="403" t="s">
        <v>582</v>
      </c>
      <c r="D4419" s="403" t="s">
        <v>1418</v>
      </c>
      <c r="E4419" s="403" t="s">
        <v>778</v>
      </c>
      <c r="F4419" s="403" t="s">
        <v>1325</v>
      </c>
      <c r="G4419" s="403" t="s">
        <v>1467</v>
      </c>
      <c r="H4419" s="403" t="s">
        <v>1281</v>
      </c>
      <c r="I4419" s="403">
        <v>1</v>
      </c>
      <c r="J4419" s="403" t="s">
        <v>110</v>
      </c>
      <c r="K4419" s="403">
        <v>1080</v>
      </c>
      <c r="L4419" s="403">
        <v>1920</v>
      </c>
      <c r="M4419" s="403" t="s">
        <v>111</v>
      </c>
      <c r="N4419" s="403">
        <v>432</v>
      </c>
      <c r="O4419" s="403">
        <v>768</v>
      </c>
      <c r="P4419" t="str">
        <f t="shared" si="553"/>
        <v>25fps 1080p - SD</v>
      </c>
      <c r="Q4419">
        <f t="shared" si="554"/>
        <v>21</v>
      </c>
      <c r="R4419" t="str">
        <f t="shared" si="555"/>
        <v/>
      </c>
      <c r="S4419" t="str">
        <f t="shared" si="556"/>
        <v/>
      </c>
      <c r="T4419" s="403" t="str">
        <f t="shared" si="557"/>
        <v>NDE-8504-R</v>
      </c>
      <c r="U4419" s="403">
        <f t="shared" si="558"/>
        <v>1</v>
      </c>
      <c r="V4419" s="403" t="str">
        <f t="shared" si="559"/>
        <v>CPP_7_3</v>
      </c>
    </row>
    <row r="4420" spans="1:22">
      <c r="A4420" t="str">
        <f t="shared" si="552"/>
        <v>NDE-8504-R</v>
      </c>
      <c r="B4420" s="403" t="s">
        <v>1410</v>
      </c>
      <c r="C4420" s="403" t="s">
        <v>582</v>
      </c>
      <c r="D4420" s="403" t="s">
        <v>1418</v>
      </c>
      <c r="E4420" s="403" t="s">
        <v>778</v>
      </c>
      <c r="F4420" s="403" t="s">
        <v>1325</v>
      </c>
      <c r="G4420" s="403" t="s">
        <v>1467</v>
      </c>
      <c r="H4420" s="403" t="s">
        <v>1281</v>
      </c>
      <c r="I4420" s="403">
        <v>1</v>
      </c>
      <c r="J4420" s="403" t="s">
        <v>110</v>
      </c>
      <c r="K4420" s="403">
        <v>1080</v>
      </c>
      <c r="L4420" s="403">
        <v>1920</v>
      </c>
      <c r="M4420" s="403" t="s">
        <v>110</v>
      </c>
      <c r="N4420" s="403">
        <v>1080</v>
      </c>
      <c r="O4420" s="403">
        <v>1920</v>
      </c>
      <c r="P4420" t="str">
        <f t="shared" si="553"/>
        <v>25fps 1080p - 1080p</v>
      </c>
      <c r="Q4420">
        <f t="shared" si="554"/>
        <v>21</v>
      </c>
      <c r="R4420" t="str">
        <f t="shared" si="555"/>
        <v/>
      </c>
      <c r="S4420" t="str">
        <f t="shared" si="556"/>
        <v/>
      </c>
      <c r="T4420" s="403" t="str">
        <f t="shared" si="557"/>
        <v>NDE-8504-R</v>
      </c>
      <c r="U4420" s="403">
        <f t="shared" si="558"/>
        <v>1</v>
      </c>
      <c r="V4420" s="403" t="str">
        <f t="shared" si="559"/>
        <v>CPP_7_3</v>
      </c>
    </row>
    <row r="4421" spans="1:22">
      <c r="A4421" t="str">
        <f t="shared" si="552"/>
        <v>NDE-8504-R</v>
      </c>
      <c r="B4421" s="403" t="s">
        <v>1410</v>
      </c>
      <c r="C4421" s="403" t="s">
        <v>582</v>
      </c>
      <c r="D4421" s="403" t="s">
        <v>1418</v>
      </c>
      <c r="E4421" s="403" t="s">
        <v>778</v>
      </c>
      <c r="F4421" s="403" t="s">
        <v>1325</v>
      </c>
      <c r="G4421" s="403" t="s">
        <v>1467</v>
      </c>
      <c r="H4421" s="403" t="s">
        <v>1281</v>
      </c>
      <c r="I4421" s="403">
        <v>1</v>
      </c>
      <c r="J4421" s="403" t="s">
        <v>110</v>
      </c>
      <c r="K4421" s="403">
        <v>1080</v>
      </c>
      <c r="L4421" s="403">
        <v>1920</v>
      </c>
      <c r="M4421" s="403" t="s">
        <v>109</v>
      </c>
      <c r="N4421" s="403">
        <v>720</v>
      </c>
      <c r="O4421" s="403">
        <v>1280</v>
      </c>
      <c r="P4421" t="str">
        <f t="shared" si="553"/>
        <v>25fps 1080p - 720p</v>
      </c>
      <c r="Q4421">
        <f t="shared" si="554"/>
        <v>21</v>
      </c>
      <c r="R4421" t="str">
        <f t="shared" si="555"/>
        <v/>
      </c>
      <c r="S4421" t="str">
        <f t="shared" si="556"/>
        <v/>
      </c>
      <c r="T4421" s="403" t="str">
        <f t="shared" si="557"/>
        <v>NDE-8504-R</v>
      </c>
      <c r="U4421" s="403">
        <f t="shared" si="558"/>
        <v>1</v>
      </c>
      <c r="V4421" s="403" t="str">
        <f t="shared" si="559"/>
        <v>CPP_7_3</v>
      </c>
    </row>
    <row r="4422" spans="1:22">
      <c r="A4422" t="str">
        <f t="shared" si="552"/>
        <v>NDE-8504-R</v>
      </c>
      <c r="B4422" s="403" t="s">
        <v>1410</v>
      </c>
      <c r="C4422" s="403" t="s">
        <v>582</v>
      </c>
      <c r="D4422" s="403" t="s">
        <v>1418</v>
      </c>
      <c r="E4422" s="403" t="s">
        <v>778</v>
      </c>
      <c r="F4422" s="403" t="s">
        <v>1325</v>
      </c>
      <c r="G4422" s="403" t="s">
        <v>1467</v>
      </c>
      <c r="H4422" s="403" t="s">
        <v>1281</v>
      </c>
      <c r="I4422" s="403">
        <v>1</v>
      </c>
      <c r="J4422" s="403" t="s">
        <v>110</v>
      </c>
      <c r="K4422" s="403">
        <v>1080</v>
      </c>
      <c r="L4422" s="403">
        <v>1920</v>
      </c>
      <c r="M4422" s="403" t="s">
        <v>1285</v>
      </c>
      <c r="N4422" s="403">
        <v>1024</v>
      </c>
      <c r="O4422" s="403">
        <v>1280</v>
      </c>
      <c r="P4422" t="str">
        <f t="shared" si="553"/>
        <v>25fps 1080p - 1280x1024 5:4 (cropped)</v>
      </c>
      <c r="Q4422">
        <f t="shared" si="554"/>
        <v>21</v>
      </c>
      <c r="R4422" t="str">
        <f t="shared" si="555"/>
        <v/>
      </c>
      <c r="S4422" t="str">
        <f t="shared" si="556"/>
        <v/>
      </c>
      <c r="T4422" s="403" t="str">
        <f t="shared" si="557"/>
        <v>NDE-8504-R</v>
      </c>
      <c r="U4422" s="403">
        <f t="shared" si="558"/>
        <v>1</v>
      </c>
      <c r="V4422" s="403" t="str">
        <f t="shared" si="559"/>
        <v>CPP_7_3</v>
      </c>
    </row>
    <row r="4423" spans="1:22">
      <c r="A4423" t="str">
        <f t="shared" si="552"/>
        <v>NDE-8504-R</v>
      </c>
      <c r="B4423" s="403" t="s">
        <v>1410</v>
      </c>
      <c r="C4423" s="403" t="s">
        <v>582</v>
      </c>
      <c r="D4423" s="403" t="s">
        <v>1418</v>
      </c>
      <c r="E4423" s="403" t="s">
        <v>778</v>
      </c>
      <c r="F4423" s="403" t="s">
        <v>1325</v>
      </c>
      <c r="G4423" s="403" t="s">
        <v>1467</v>
      </c>
      <c r="H4423" s="403" t="s">
        <v>1281</v>
      </c>
      <c r="I4423" s="403">
        <v>1</v>
      </c>
      <c r="J4423" s="403" t="s">
        <v>110</v>
      </c>
      <c r="K4423" s="403">
        <v>1080</v>
      </c>
      <c r="L4423" s="403">
        <v>1920</v>
      </c>
      <c r="M4423" s="403" t="s">
        <v>1279</v>
      </c>
      <c r="N4423" s="403">
        <v>432</v>
      </c>
      <c r="O4423" s="403">
        <v>768</v>
      </c>
      <c r="P4423" t="str">
        <f t="shared" si="553"/>
        <v>25fps 1080p - SD ROI PTZ</v>
      </c>
      <c r="Q4423">
        <f t="shared" si="554"/>
        <v>21</v>
      </c>
      <c r="R4423" t="str">
        <f t="shared" si="555"/>
        <v/>
      </c>
      <c r="S4423" t="str">
        <f t="shared" si="556"/>
        <v/>
      </c>
      <c r="T4423" s="403" t="str">
        <f t="shared" si="557"/>
        <v>NDE-8504-R</v>
      </c>
      <c r="U4423" s="403">
        <f t="shared" si="558"/>
        <v>1</v>
      </c>
      <c r="V4423" s="403" t="str">
        <f t="shared" si="559"/>
        <v>CPP_7_3</v>
      </c>
    </row>
    <row r="4424" spans="1:22">
      <c r="A4424" t="str">
        <f t="shared" si="552"/>
        <v>NDE-8504-R</v>
      </c>
      <c r="B4424" s="403" t="s">
        <v>1410</v>
      </c>
      <c r="C4424" s="403" t="s">
        <v>582</v>
      </c>
      <c r="D4424" s="403" t="s">
        <v>1418</v>
      </c>
      <c r="E4424" s="403" t="s">
        <v>778</v>
      </c>
      <c r="F4424" s="403" t="s">
        <v>1325</v>
      </c>
      <c r="G4424" s="403" t="s">
        <v>1467</v>
      </c>
      <c r="H4424" s="403" t="s">
        <v>1281</v>
      </c>
      <c r="I4424" s="403">
        <v>1</v>
      </c>
      <c r="J4424" s="403" t="s">
        <v>110</v>
      </c>
      <c r="K4424" s="403">
        <v>1080</v>
      </c>
      <c r="L4424" s="403">
        <v>1920</v>
      </c>
      <c r="M4424" s="403" t="s">
        <v>1283</v>
      </c>
      <c r="N4424" s="403">
        <v>576</v>
      </c>
      <c r="O4424" s="403">
        <v>720</v>
      </c>
      <c r="P4424" t="str">
        <f t="shared" si="553"/>
        <v>25fps 1080p - SD 4CIF resolution 4:3 format (cropped)</v>
      </c>
      <c r="Q4424">
        <f t="shared" si="554"/>
        <v>21</v>
      </c>
      <c r="R4424" t="str">
        <f t="shared" si="555"/>
        <v/>
      </c>
      <c r="S4424" t="str">
        <f t="shared" si="556"/>
        <v/>
      </c>
      <c r="T4424" s="403" t="str">
        <f t="shared" si="557"/>
        <v>NDE-8504-R</v>
      </c>
      <c r="U4424" s="403">
        <f t="shared" si="558"/>
        <v>1</v>
      </c>
      <c r="V4424" s="403" t="str">
        <f t="shared" si="559"/>
        <v>CPP_7_3</v>
      </c>
    </row>
    <row r="4425" spans="1:22">
      <c r="A4425" t="str">
        <f t="shared" si="552"/>
        <v>NDE-8504-R</v>
      </c>
      <c r="B4425" s="403" t="s">
        <v>1410</v>
      </c>
      <c r="C4425" s="403" t="s">
        <v>582</v>
      </c>
      <c r="D4425" s="403" t="s">
        <v>1418</v>
      </c>
      <c r="E4425" s="403" t="s">
        <v>778</v>
      </c>
      <c r="F4425" s="403" t="s">
        <v>1325</v>
      </c>
      <c r="G4425" s="403" t="s">
        <v>1467</v>
      </c>
      <c r="H4425" s="403" t="s">
        <v>1281</v>
      </c>
      <c r="I4425" s="403">
        <v>1</v>
      </c>
      <c r="J4425" s="403" t="s">
        <v>110</v>
      </c>
      <c r="K4425" s="403">
        <v>1080</v>
      </c>
      <c r="L4425" s="403">
        <v>1920</v>
      </c>
      <c r="M4425" s="403" t="s">
        <v>1284</v>
      </c>
      <c r="N4425" s="403">
        <v>480</v>
      </c>
      <c r="O4425" s="403">
        <v>640</v>
      </c>
      <c r="P4425" t="str">
        <f t="shared" si="553"/>
        <v>25fps 1080p - SD VGA (cropped)</v>
      </c>
      <c r="Q4425">
        <f t="shared" si="554"/>
        <v>21</v>
      </c>
      <c r="R4425" t="str">
        <f t="shared" si="555"/>
        <v/>
      </c>
      <c r="S4425" t="str">
        <f t="shared" si="556"/>
        <v/>
      </c>
      <c r="T4425" s="403" t="str">
        <f t="shared" si="557"/>
        <v>NDE-8504-R</v>
      </c>
      <c r="U4425" s="403">
        <f t="shared" si="558"/>
        <v>1</v>
      </c>
      <c r="V4425" s="403" t="str">
        <f t="shared" si="559"/>
        <v>CPP_7_3</v>
      </c>
    </row>
    <row r="4426" spans="1:22">
      <c r="A4426" t="str">
        <f t="shared" si="552"/>
        <v>NDE-8504-R</v>
      </c>
      <c r="B4426" s="403" t="s">
        <v>1410</v>
      </c>
      <c r="C4426" s="403" t="s">
        <v>582</v>
      </c>
      <c r="D4426" s="403" t="s">
        <v>1418</v>
      </c>
      <c r="E4426" s="403" t="s">
        <v>778</v>
      </c>
      <c r="F4426" s="403" t="s">
        <v>1325</v>
      </c>
      <c r="G4426" s="403" t="s">
        <v>1467</v>
      </c>
      <c r="H4426" s="403" t="s">
        <v>1281</v>
      </c>
      <c r="I4426" s="403">
        <v>1</v>
      </c>
      <c r="J4426" s="403" t="s">
        <v>109</v>
      </c>
      <c r="K4426" s="403">
        <v>720</v>
      </c>
      <c r="L4426" s="403">
        <v>1280</v>
      </c>
      <c r="M4426" s="403" t="s">
        <v>109</v>
      </c>
      <c r="N4426" s="403">
        <v>720</v>
      </c>
      <c r="O4426" s="403">
        <v>1280</v>
      </c>
      <c r="P4426" t="str">
        <f t="shared" si="553"/>
        <v>25fps 720p - 720p</v>
      </c>
      <c r="Q4426">
        <f t="shared" si="554"/>
        <v>21</v>
      </c>
      <c r="R4426" t="str">
        <f t="shared" si="555"/>
        <v/>
      </c>
      <c r="S4426" t="str">
        <f t="shared" si="556"/>
        <v/>
      </c>
      <c r="T4426" s="403" t="str">
        <f t="shared" si="557"/>
        <v>NDE-8504-R</v>
      </c>
      <c r="U4426" s="403">
        <f t="shared" si="558"/>
        <v>1</v>
      </c>
      <c r="V4426" s="403" t="str">
        <f t="shared" si="559"/>
        <v>CPP_7_3</v>
      </c>
    </row>
    <row r="4427" spans="1:22">
      <c r="A4427" t="str">
        <f t="shared" si="552"/>
        <v>NDE-8504-R</v>
      </c>
      <c r="B4427" s="403" t="s">
        <v>1410</v>
      </c>
      <c r="C4427" s="403" t="s">
        <v>582</v>
      </c>
      <c r="D4427" s="403" t="s">
        <v>1418</v>
      </c>
      <c r="E4427" s="403" t="s">
        <v>778</v>
      </c>
      <c r="F4427" s="403" t="s">
        <v>1325</v>
      </c>
      <c r="G4427" s="403" t="s">
        <v>1467</v>
      </c>
      <c r="H4427" s="403" t="s">
        <v>1281</v>
      </c>
      <c r="I4427" s="403">
        <v>1</v>
      </c>
      <c r="J4427" s="403" t="s">
        <v>109</v>
      </c>
      <c r="K4427" s="403">
        <v>720</v>
      </c>
      <c r="L4427" s="403">
        <v>1280</v>
      </c>
      <c r="M4427" s="403" t="s">
        <v>111</v>
      </c>
      <c r="N4427" s="403">
        <v>432</v>
      </c>
      <c r="O4427" s="403">
        <v>768</v>
      </c>
      <c r="P4427" t="str">
        <f t="shared" si="553"/>
        <v>25fps 720p - SD</v>
      </c>
      <c r="Q4427">
        <f t="shared" si="554"/>
        <v>21</v>
      </c>
      <c r="R4427" t="str">
        <f t="shared" si="555"/>
        <v/>
      </c>
      <c r="S4427" t="str">
        <f t="shared" si="556"/>
        <v/>
      </c>
      <c r="T4427" s="403" t="str">
        <f t="shared" si="557"/>
        <v>NDE-8504-R</v>
      </c>
      <c r="U4427" s="403">
        <f t="shared" si="558"/>
        <v>1</v>
      </c>
      <c r="V4427" s="403" t="str">
        <f t="shared" si="559"/>
        <v>CPP_7_3</v>
      </c>
    </row>
    <row r="4428" spans="1:22">
      <c r="A4428" t="str">
        <f t="shared" si="552"/>
        <v>NDE-8504-R</v>
      </c>
      <c r="B4428" s="403" t="s">
        <v>1410</v>
      </c>
      <c r="C4428" s="403" t="s">
        <v>582</v>
      </c>
      <c r="D4428" s="403" t="s">
        <v>1418</v>
      </c>
      <c r="E4428" s="403" t="s">
        <v>778</v>
      </c>
      <c r="F4428" s="403" t="s">
        <v>1325</v>
      </c>
      <c r="G4428" s="403" t="s">
        <v>1467</v>
      </c>
      <c r="H4428" s="403" t="s">
        <v>1281</v>
      </c>
      <c r="I4428" s="403">
        <v>1</v>
      </c>
      <c r="J4428" s="403" t="s">
        <v>109</v>
      </c>
      <c r="K4428" s="403">
        <v>720</v>
      </c>
      <c r="L4428" s="403">
        <v>1280</v>
      </c>
      <c r="M4428" s="403" t="s">
        <v>1279</v>
      </c>
      <c r="N4428" s="403">
        <v>432</v>
      </c>
      <c r="O4428" s="403">
        <v>768</v>
      </c>
      <c r="P4428" t="str">
        <f t="shared" si="553"/>
        <v>25fps 720p - SD ROI PTZ</v>
      </c>
      <c r="Q4428">
        <f t="shared" si="554"/>
        <v>21</v>
      </c>
      <c r="R4428" t="str">
        <f t="shared" si="555"/>
        <v/>
      </c>
      <c r="S4428" t="str">
        <f t="shared" si="556"/>
        <v/>
      </c>
      <c r="T4428" s="403" t="str">
        <f t="shared" si="557"/>
        <v>NDE-8504-R</v>
      </c>
      <c r="U4428" s="403">
        <f t="shared" si="558"/>
        <v>1</v>
      </c>
      <c r="V4428" s="403" t="str">
        <f t="shared" si="559"/>
        <v>CPP_7_3</v>
      </c>
    </row>
    <row r="4429" spans="1:22">
      <c r="A4429" t="str">
        <f t="shared" si="552"/>
        <v>NDE-8504-R</v>
      </c>
      <c r="B4429" s="403" t="s">
        <v>1410</v>
      </c>
      <c r="C4429" s="403" t="s">
        <v>582</v>
      </c>
      <c r="D4429" s="403" t="s">
        <v>1418</v>
      </c>
      <c r="E4429" s="403" t="s">
        <v>778</v>
      </c>
      <c r="F4429" s="403" t="s">
        <v>1325</v>
      </c>
      <c r="G4429" s="403" t="s">
        <v>1467</v>
      </c>
      <c r="H4429" s="403" t="s">
        <v>1281</v>
      </c>
      <c r="I4429" s="403">
        <v>1</v>
      </c>
      <c r="J4429" s="403" t="s">
        <v>109</v>
      </c>
      <c r="K4429" s="403">
        <v>720</v>
      </c>
      <c r="L4429" s="403">
        <v>1280</v>
      </c>
      <c r="M4429" s="403" t="s">
        <v>1283</v>
      </c>
      <c r="N4429" s="403">
        <v>576</v>
      </c>
      <c r="O4429" s="403">
        <v>720</v>
      </c>
      <c r="P4429" t="str">
        <f t="shared" si="553"/>
        <v>25fps 720p - SD 4CIF resolution 4:3 format (cropped)</v>
      </c>
      <c r="Q4429">
        <f t="shared" si="554"/>
        <v>21</v>
      </c>
      <c r="R4429" t="str">
        <f t="shared" si="555"/>
        <v/>
      </c>
      <c r="S4429" t="str">
        <f t="shared" si="556"/>
        <v/>
      </c>
      <c r="T4429" s="403" t="str">
        <f t="shared" si="557"/>
        <v>NDE-8504-R</v>
      </c>
      <c r="U4429" s="403">
        <f t="shared" si="558"/>
        <v>1</v>
      </c>
      <c r="V4429" s="403" t="str">
        <f t="shared" si="559"/>
        <v>CPP_7_3</v>
      </c>
    </row>
    <row r="4430" spans="1:22">
      <c r="A4430" t="str">
        <f t="shared" si="552"/>
        <v>NDE-8504-R</v>
      </c>
      <c r="B4430" s="403" t="s">
        <v>1410</v>
      </c>
      <c r="C4430" s="403" t="s">
        <v>582</v>
      </c>
      <c r="D4430" s="403" t="s">
        <v>1418</v>
      </c>
      <c r="E4430" s="403" t="s">
        <v>778</v>
      </c>
      <c r="F4430" s="403" t="s">
        <v>1325</v>
      </c>
      <c r="G4430" s="403" t="s">
        <v>1467</v>
      </c>
      <c r="H4430" s="403" t="s">
        <v>1281</v>
      </c>
      <c r="I4430" s="403">
        <v>1</v>
      </c>
      <c r="J4430" s="403" t="s">
        <v>109</v>
      </c>
      <c r="K4430" s="403">
        <v>720</v>
      </c>
      <c r="L4430" s="403">
        <v>1280</v>
      </c>
      <c r="M4430" s="403" t="s">
        <v>1284</v>
      </c>
      <c r="N4430" s="403">
        <v>480</v>
      </c>
      <c r="O4430" s="403">
        <v>640</v>
      </c>
      <c r="P4430" t="str">
        <f t="shared" si="553"/>
        <v>25fps 720p - SD VGA (cropped)</v>
      </c>
      <c r="Q4430">
        <f t="shared" si="554"/>
        <v>21</v>
      </c>
      <c r="R4430" t="str">
        <f t="shared" si="555"/>
        <v/>
      </c>
      <c r="S4430" t="str">
        <f t="shared" si="556"/>
        <v/>
      </c>
      <c r="T4430" s="403" t="str">
        <f t="shared" si="557"/>
        <v>NDE-8504-R</v>
      </c>
      <c r="U4430" s="403">
        <f t="shared" si="558"/>
        <v>1</v>
      </c>
      <c r="V4430" s="403" t="str">
        <f t="shared" si="559"/>
        <v>CPP_7_3</v>
      </c>
    </row>
    <row r="4431" spans="1:22">
      <c r="A4431" t="str">
        <f t="shared" si="552"/>
        <v>NDE-8504-R</v>
      </c>
      <c r="B4431" s="403" t="s">
        <v>1410</v>
      </c>
      <c r="C4431" s="403" t="s">
        <v>582</v>
      </c>
      <c r="D4431" s="403" t="s">
        <v>1418</v>
      </c>
      <c r="E4431" s="403" t="s">
        <v>778</v>
      </c>
      <c r="F4431" s="403" t="s">
        <v>1419</v>
      </c>
      <c r="G4431" s="403" t="s">
        <v>1466</v>
      </c>
      <c r="H4431" s="403" t="s">
        <v>1276</v>
      </c>
      <c r="I4431" s="403">
        <v>1</v>
      </c>
      <c r="J4431" s="403" t="s">
        <v>194</v>
      </c>
      <c r="K4431" s="403">
        <v>3840</v>
      </c>
      <c r="L4431" s="403">
        <v>2160</v>
      </c>
      <c r="M4431" s="403" t="s">
        <v>111</v>
      </c>
      <c r="N4431" s="403">
        <v>768</v>
      </c>
      <c r="O4431" s="403">
        <v>432</v>
      </c>
      <c r="P4431" t="str">
        <f t="shared" si="553"/>
        <v>20fps 3840x2160 - SD</v>
      </c>
      <c r="Q4431">
        <f t="shared" si="554"/>
        <v>21</v>
      </c>
      <c r="R4431" t="str">
        <f t="shared" si="555"/>
        <v/>
      </c>
      <c r="S4431" t="str">
        <f t="shared" si="556"/>
        <v/>
      </c>
      <c r="T4431" s="403" t="str">
        <f t="shared" si="557"/>
        <v>NDE-8504-R</v>
      </c>
      <c r="U4431" s="403">
        <f t="shared" si="558"/>
        <v>1</v>
      </c>
      <c r="V4431" s="403" t="str">
        <f t="shared" si="559"/>
        <v>CPP_7_3</v>
      </c>
    </row>
    <row r="4432" spans="1:22">
      <c r="A4432" t="str">
        <f t="shared" si="552"/>
        <v>NDE-8504-R</v>
      </c>
      <c r="B4432" s="403" t="s">
        <v>1410</v>
      </c>
      <c r="C4432" s="403" t="s">
        <v>582</v>
      </c>
      <c r="D4432" s="403" t="s">
        <v>1418</v>
      </c>
      <c r="E4432" s="403" t="s">
        <v>778</v>
      </c>
      <c r="F4432" s="403" t="s">
        <v>1419</v>
      </c>
      <c r="G4432" s="403" t="s">
        <v>1466</v>
      </c>
      <c r="H4432" s="403" t="s">
        <v>1276</v>
      </c>
      <c r="I4432" s="403">
        <v>1</v>
      </c>
      <c r="J4432" s="403" t="s">
        <v>194</v>
      </c>
      <c r="K4432" s="403">
        <v>3840</v>
      </c>
      <c r="L4432" s="403">
        <v>2160</v>
      </c>
      <c r="M4432" s="403" t="s">
        <v>1280</v>
      </c>
      <c r="N4432" s="403">
        <v>3840</v>
      </c>
      <c r="O4432" s="403">
        <v>2160</v>
      </c>
      <c r="P4432" t="str">
        <f t="shared" si="553"/>
        <v>20fps 3840x2160 - copy other stream</v>
      </c>
      <c r="Q4432">
        <f t="shared" si="554"/>
        <v>21</v>
      </c>
      <c r="R4432" t="str">
        <f t="shared" si="555"/>
        <v/>
      </c>
      <c r="S4432" t="str">
        <f t="shared" si="556"/>
        <v/>
      </c>
      <c r="T4432" s="403" t="str">
        <f t="shared" si="557"/>
        <v>NDE-8504-R</v>
      </c>
      <c r="U4432" s="403">
        <f t="shared" si="558"/>
        <v>1</v>
      </c>
      <c r="V4432" s="403" t="str">
        <f t="shared" si="559"/>
        <v>CPP_7_3</v>
      </c>
    </row>
    <row r="4433" spans="1:22">
      <c r="A4433" t="str">
        <f t="shared" si="552"/>
        <v>NDE-8504-R</v>
      </c>
      <c r="B4433" s="403" t="s">
        <v>1410</v>
      </c>
      <c r="C4433" s="403" t="s">
        <v>582</v>
      </c>
      <c r="D4433" s="403" t="s">
        <v>1418</v>
      </c>
      <c r="E4433" s="403" t="s">
        <v>778</v>
      </c>
      <c r="F4433" s="403" t="s">
        <v>1419</v>
      </c>
      <c r="G4433" s="403" t="s">
        <v>1466</v>
      </c>
      <c r="H4433" s="403" t="s">
        <v>1276</v>
      </c>
      <c r="I4433" s="403">
        <v>1</v>
      </c>
      <c r="J4433" s="403" t="s">
        <v>194</v>
      </c>
      <c r="K4433" s="403">
        <v>3840</v>
      </c>
      <c r="L4433" s="403">
        <v>2160</v>
      </c>
      <c r="M4433" s="403" t="s">
        <v>1420</v>
      </c>
      <c r="N4433" s="403">
        <v>3840</v>
      </c>
      <c r="O4433" s="403">
        <v>2160</v>
      </c>
      <c r="P4433" t="str">
        <f t="shared" si="553"/>
        <v>20fps 3840x2160 - 3840x2160 @ SKIP3</v>
      </c>
      <c r="Q4433">
        <f t="shared" si="554"/>
        <v>21</v>
      </c>
      <c r="R4433" t="str">
        <f t="shared" si="555"/>
        <v/>
      </c>
      <c r="S4433" t="str">
        <f t="shared" si="556"/>
        <v/>
      </c>
      <c r="T4433" s="403" t="str">
        <f t="shared" si="557"/>
        <v>NDE-8504-R</v>
      </c>
      <c r="U4433" s="403">
        <f t="shared" si="558"/>
        <v>1</v>
      </c>
      <c r="V4433" s="403" t="str">
        <f t="shared" si="559"/>
        <v>CPP_7_3</v>
      </c>
    </row>
    <row r="4434" spans="1:22">
      <c r="A4434" t="str">
        <f t="shared" si="552"/>
        <v>NDE-8504-R</v>
      </c>
      <c r="B4434" s="403" t="s">
        <v>1410</v>
      </c>
      <c r="C4434" s="403" t="s">
        <v>582</v>
      </c>
      <c r="D4434" s="403" t="s">
        <v>1418</v>
      </c>
      <c r="E4434" s="403" t="s">
        <v>778</v>
      </c>
      <c r="F4434" s="403" t="s">
        <v>1419</v>
      </c>
      <c r="G4434" s="403" t="s">
        <v>1466</v>
      </c>
      <c r="H4434" s="403" t="s">
        <v>1276</v>
      </c>
      <c r="I4434" s="403">
        <v>1</v>
      </c>
      <c r="J4434" s="403" t="s">
        <v>194</v>
      </c>
      <c r="K4434" s="403">
        <v>3840</v>
      </c>
      <c r="L4434" s="403">
        <v>2160</v>
      </c>
      <c r="M4434" s="403" t="s">
        <v>110</v>
      </c>
      <c r="N4434" s="403">
        <v>1920</v>
      </c>
      <c r="O4434" s="403">
        <v>1080</v>
      </c>
      <c r="P4434" t="str">
        <f t="shared" si="553"/>
        <v>20fps 3840x2160 - 1080p</v>
      </c>
      <c r="Q4434">
        <f t="shared" si="554"/>
        <v>21</v>
      </c>
      <c r="R4434" t="str">
        <f t="shared" si="555"/>
        <v/>
      </c>
      <c r="S4434" t="str">
        <f t="shared" si="556"/>
        <v/>
      </c>
      <c r="T4434" s="403" t="str">
        <f t="shared" si="557"/>
        <v>NDE-8504-R</v>
      </c>
      <c r="U4434" s="403">
        <f t="shared" si="558"/>
        <v>1</v>
      </c>
      <c r="V4434" s="403" t="str">
        <f t="shared" si="559"/>
        <v>CPP_7_3</v>
      </c>
    </row>
    <row r="4435" spans="1:22">
      <c r="A4435" t="str">
        <f t="shared" si="552"/>
        <v>NDE-8504-R</v>
      </c>
      <c r="B4435" s="403" t="s">
        <v>1410</v>
      </c>
      <c r="C4435" s="403" t="s">
        <v>582</v>
      </c>
      <c r="D4435" s="403" t="s">
        <v>1418</v>
      </c>
      <c r="E4435" s="403" t="s">
        <v>778</v>
      </c>
      <c r="F4435" s="403" t="s">
        <v>1419</v>
      </c>
      <c r="G4435" s="403" t="s">
        <v>1466</v>
      </c>
      <c r="H4435" s="403" t="s">
        <v>1276</v>
      </c>
      <c r="I4435" s="403">
        <v>1</v>
      </c>
      <c r="J4435" s="403" t="s">
        <v>194</v>
      </c>
      <c r="K4435" s="403">
        <v>3840</v>
      </c>
      <c r="L4435" s="403">
        <v>2160</v>
      </c>
      <c r="M4435" s="403" t="s">
        <v>109</v>
      </c>
      <c r="N4435" s="403">
        <v>1280</v>
      </c>
      <c r="O4435" s="403">
        <v>720</v>
      </c>
      <c r="P4435" t="str">
        <f t="shared" si="553"/>
        <v>20fps 3840x2160 - 720p</v>
      </c>
      <c r="Q4435">
        <f t="shared" si="554"/>
        <v>21</v>
      </c>
      <c r="R4435" t="str">
        <f t="shared" si="555"/>
        <v/>
      </c>
      <c r="S4435" t="str">
        <f t="shared" si="556"/>
        <v/>
      </c>
      <c r="T4435" s="403" t="str">
        <f t="shared" si="557"/>
        <v>NDE-8504-R</v>
      </c>
      <c r="U4435" s="403">
        <f t="shared" si="558"/>
        <v>1</v>
      </c>
      <c r="V4435" s="403" t="str">
        <f t="shared" si="559"/>
        <v>CPP_7_3</v>
      </c>
    </row>
    <row r="4436" spans="1:22">
      <c r="A4436" t="str">
        <f t="shared" si="552"/>
        <v>NDE-8504-R</v>
      </c>
      <c r="B4436" s="403" t="s">
        <v>1410</v>
      </c>
      <c r="C4436" s="403" t="s">
        <v>582</v>
      </c>
      <c r="D4436" s="403" t="s">
        <v>1418</v>
      </c>
      <c r="E4436" s="403" t="s">
        <v>778</v>
      </c>
      <c r="F4436" s="403" t="s">
        <v>1419</v>
      </c>
      <c r="G4436" s="403" t="s">
        <v>1466</v>
      </c>
      <c r="H4436" s="403" t="s">
        <v>1276</v>
      </c>
      <c r="I4436" s="403">
        <v>1</v>
      </c>
      <c r="J4436" s="403" t="s">
        <v>194</v>
      </c>
      <c r="K4436" s="403">
        <v>3840</v>
      </c>
      <c r="L4436" s="403">
        <v>2160</v>
      </c>
      <c r="M4436" s="403" t="s">
        <v>1283</v>
      </c>
      <c r="N4436" s="403">
        <v>720</v>
      </c>
      <c r="O4436" s="403">
        <v>480</v>
      </c>
      <c r="P4436" t="str">
        <f t="shared" si="553"/>
        <v>20fps 3840x2160 - SD 4CIF resolution 4:3 format (cropped)</v>
      </c>
      <c r="Q4436">
        <f t="shared" si="554"/>
        <v>21</v>
      </c>
      <c r="R4436" t="str">
        <f t="shared" si="555"/>
        <v/>
      </c>
      <c r="S4436" t="str">
        <f t="shared" si="556"/>
        <v/>
      </c>
      <c r="T4436" s="403" t="str">
        <f t="shared" si="557"/>
        <v>NDE-8504-R</v>
      </c>
      <c r="U4436" s="403">
        <f t="shared" si="558"/>
        <v>1</v>
      </c>
      <c r="V4436" s="403" t="str">
        <f t="shared" si="559"/>
        <v>CPP_7_3</v>
      </c>
    </row>
    <row r="4437" spans="1:22">
      <c r="A4437" t="str">
        <f t="shared" si="552"/>
        <v>NDE-8504-R</v>
      </c>
      <c r="B4437" s="403" t="s">
        <v>1410</v>
      </c>
      <c r="C4437" s="403" t="s">
        <v>582</v>
      </c>
      <c r="D4437" s="403" t="s">
        <v>1418</v>
      </c>
      <c r="E4437" s="403" t="s">
        <v>778</v>
      </c>
      <c r="F4437" s="403" t="s">
        <v>1419</v>
      </c>
      <c r="G4437" s="403" t="s">
        <v>1466</v>
      </c>
      <c r="H4437" s="403" t="s">
        <v>1276</v>
      </c>
      <c r="I4437" s="403">
        <v>1</v>
      </c>
      <c r="J4437" s="403" t="s">
        <v>194</v>
      </c>
      <c r="K4437" s="403">
        <v>3840</v>
      </c>
      <c r="L4437" s="403">
        <v>2160</v>
      </c>
      <c r="M4437" s="403" t="s">
        <v>1284</v>
      </c>
      <c r="N4437" s="403">
        <v>640</v>
      </c>
      <c r="O4437" s="403">
        <v>480</v>
      </c>
      <c r="P4437" t="str">
        <f t="shared" si="553"/>
        <v>20fps 3840x2160 - SD VGA (cropped)</v>
      </c>
      <c r="Q4437">
        <f t="shared" si="554"/>
        <v>21</v>
      </c>
      <c r="R4437" t="str">
        <f t="shared" si="555"/>
        <v/>
      </c>
      <c r="S4437" t="str">
        <f t="shared" si="556"/>
        <v/>
      </c>
      <c r="T4437" s="403" t="str">
        <f t="shared" si="557"/>
        <v>NDE-8504-R</v>
      </c>
      <c r="U4437" s="403">
        <f t="shared" si="558"/>
        <v>1</v>
      </c>
      <c r="V4437" s="403" t="str">
        <f t="shared" si="559"/>
        <v>CPP_7_3</v>
      </c>
    </row>
    <row r="4438" spans="1:22">
      <c r="A4438" t="str">
        <f t="shared" si="552"/>
        <v>NDE-8504-R</v>
      </c>
      <c r="B4438" s="403" t="s">
        <v>1410</v>
      </c>
      <c r="C4438" s="403" t="s">
        <v>582</v>
      </c>
      <c r="D4438" s="403" t="s">
        <v>1418</v>
      </c>
      <c r="E4438" s="403" t="s">
        <v>778</v>
      </c>
      <c r="F4438" s="403" t="s">
        <v>1419</v>
      </c>
      <c r="G4438" s="403" t="s">
        <v>1466</v>
      </c>
      <c r="H4438" s="403" t="s">
        <v>1276</v>
      </c>
      <c r="I4438" s="403">
        <v>1</v>
      </c>
      <c r="J4438" s="403" t="s">
        <v>194</v>
      </c>
      <c r="K4438" s="403">
        <v>3840</v>
      </c>
      <c r="L4438" s="403">
        <v>2160</v>
      </c>
      <c r="M4438" s="403" t="s">
        <v>1285</v>
      </c>
      <c r="N4438" s="403">
        <v>1280</v>
      </c>
      <c r="O4438" s="403">
        <v>1024</v>
      </c>
      <c r="P4438" t="str">
        <f t="shared" si="553"/>
        <v>20fps 3840x2160 - 1280x1024 5:4 (cropped)</v>
      </c>
      <c r="Q4438">
        <f t="shared" si="554"/>
        <v>21</v>
      </c>
      <c r="R4438" t="str">
        <f t="shared" si="555"/>
        <v/>
      </c>
      <c r="S4438" t="str">
        <f t="shared" si="556"/>
        <v/>
      </c>
      <c r="T4438" s="403" t="str">
        <f t="shared" si="557"/>
        <v>NDE-8504-R</v>
      </c>
      <c r="U4438" s="403">
        <f t="shared" si="558"/>
        <v>1</v>
      </c>
      <c r="V4438" s="403" t="str">
        <f t="shared" si="559"/>
        <v>CPP_7_3</v>
      </c>
    </row>
    <row r="4439" spans="1:22">
      <c r="A4439" t="str">
        <f t="shared" si="552"/>
        <v>NDE-8504-R</v>
      </c>
      <c r="B4439" s="403" t="s">
        <v>1410</v>
      </c>
      <c r="C4439" s="403" t="s">
        <v>582</v>
      </c>
      <c r="D4439" s="403" t="s">
        <v>1418</v>
      </c>
      <c r="E4439" s="403" t="s">
        <v>778</v>
      </c>
      <c r="F4439" s="403" t="s">
        <v>1419</v>
      </c>
      <c r="G4439" s="403" t="s">
        <v>1466</v>
      </c>
      <c r="H4439" s="403" t="s">
        <v>1276</v>
      </c>
      <c r="I4439" s="403">
        <v>1</v>
      </c>
      <c r="J4439" s="403" t="s">
        <v>194</v>
      </c>
      <c r="K4439" s="403">
        <v>3840</v>
      </c>
      <c r="L4439" s="403">
        <v>2160</v>
      </c>
      <c r="M4439" s="403" t="s">
        <v>1383</v>
      </c>
      <c r="N4439" s="403">
        <v>1920</v>
      </c>
      <c r="O4439" s="403">
        <v>1440</v>
      </c>
      <c r="P4439" t="str">
        <f t="shared" si="553"/>
        <v>20fps 3840x2160 - 1920x1440_CROP</v>
      </c>
      <c r="Q4439">
        <f t="shared" si="554"/>
        <v>21</v>
      </c>
      <c r="R4439" t="str">
        <f t="shared" si="555"/>
        <v/>
      </c>
      <c r="S4439" t="str">
        <f t="shared" si="556"/>
        <v/>
      </c>
      <c r="T4439" s="403" t="str">
        <f t="shared" si="557"/>
        <v>NDE-8504-R</v>
      </c>
      <c r="U4439" s="403">
        <f t="shared" si="558"/>
        <v>1</v>
      </c>
      <c r="V4439" s="403" t="str">
        <f t="shared" si="559"/>
        <v>CPP_7_3</v>
      </c>
    </row>
    <row r="4440" spans="1:22">
      <c r="A4440" t="str">
        <f t="shared" si="552"/>
        <v>NDE-8504-R</v>
      </c>
      <c r="B4440" s="403" t="s">
        <v>1410</v>
      </c>
      <c r="C4440" s="403" t="s">
        <v>582</v>
      </c>
      <c r="D4440" s="403" t="s">
        <v>1418</v>
      </c>
      <c r="E4440" s="403" t="s">
        <v>778</v>
      </c>
      <c r="F4440" s="403" t="s">
        <v>1419</v>
      </c>
      <c r="G4440" s="403" t="s">
        <v>1466</v>
      </c>
      <c r="H4440" s="403" t="s">
        <v>1276</v>
      </c>
      <c r="I4440" s="403">
        <v>1</v>
      </c>
      <c r="J4440" s="403" t="s">
        <v>1324</v>
      </c>
      <c r="K4440" s="403">
        <v>3584</v>
      </c>
      <c r="L4440" s="403">
        <v>2016</v>
      </c>
      <c r="M4440" s="403" t="s">
        <v>111</v>
      </c>
      <c r="N4440" s="403">
        <v>768</v>
      </c>
      <c r="O4440" s="403">
        <v>432</v>
      </c>
      <c r="P4440" t="str">
        <f t="shared" si="553"/>
        <v>20fps 3584x2016 - SD</v>
      </c>
      <c r="Q4440">
        <f t="shared" si="554"/>
        <v>21</v>
      </c>
      <c r="R4440" t="str">
        <f t="shared" si="555"/>
        <v/>
      </c>
      <c r="S4440" t="str">
        <f t="shared" si="556"/>
        <v/>
      </c>
      <c r="T4440" s="403" t="str">
        <f t="shared" si="557"/>
        <v>NDE-8504-R</v>
      </c>
      <c r="U4440" s="403">
        <f t="shared" si="558"/>
        <v>1</v>
      </c>
      <c r="V4440" s="403" t="str">
        <f t="shared" si="559"/>
        <v>CPP_7_3</v>
      </c>
    </row>
    <row r="4441" spans="1:22">
      <c r="A4441" t="str">
        <f t="shared" si="552"/>
        <v>NDE-8504-R</v>
      </c>
      <c r="B4441" s="403" t="s">
        <v>1410</v>
      </c>
      <c r="C4441" s="403" t="s">
        <v>582</v>
      </c>
      <c r="D4441" s="403" t="s">
        <v>1418</v>
      </c>
      <c r="E4441" s="403" t="s">
        <v>778</v>
      </c>
      <c r="F4441" s="403" t="s">
        <v>1419</v>
      </c>
      <c r="G4441" s="403" t="s">
        <v>1466</v>
      </c>
      <c r="H4441" s="403" t="s">
        <v>1276</v>
      </c>
      <c r="I4441" s="403">
        <v>1</v>
      </c>
      <c r="J4441" s="403" t="s">
        <v>1324</v>
      </c>
      <c r="K4441" s="403">
        <v>3584</v>
      </c>
      <c r="L4441" s="403">
        <v>2016</v>
      </c>
      <c r="M4441" s="403" t="s">
        <v>1280</v>
      </c>
      <c r="N4441" s="403">
        <v>3584</v>
      </c>
      <c r="O4441" s="403">
        <v>2016</v>
      </c>
      <c r="P4441" t="str">
        <f t="shared" si="553"/>
        <v>20fps 3584x2016 - copy other stream</v>
      </c>
      <c r="Q4441">
        <f t="shared" si="554"/>
        <v>21</v>
      </c>
      <c r="R4441" t="str">
        <f t="shared" si="555"/>
        <v/>
      </c>
      <c r="S4441" t="str">
        <f t="shared" si="556"/>
        <v/>
      </c>
      <c r="T4441" s="403" t="str">
        <f t="shared" si="557"/>
        <v>NDE-8504-R</v>
      </c>
      <c r="U4441" s="403">
        <f t="shared" si="558"/>
        <v>1</v>
      </c>
      <c r="V4441" s="403" t="str">
        <f t="shared" si="559"/>
        <v>CPP_7_3</v>
      </c>
    </row>
    <row r="4442" spans="1:22">
      <c r="A4442" t="str">
        <f t="shared" si="552"/>
        <v>NDE-8504-R</v>
      </c>
      <c r="B4442" s="403" t="s">
        <v>1410</v>
      </c>
      <c r="C4442" s="403" t="s">
        <v>582</v>
      </c>
      <c r="D4442" s="403" t="s">
        <v>1418</v>
      </c>
      <c r="E4442" s="403" t="s">
        <v>778</v>
      </c>
      <c r="F4442" s="403" t="s">
        <v>1419</v>
      </c>
      <c r="G4442" s="403" t="s">
        <v>1466</v>
      </c>
      <c r="H4442" s="403" t="s">
        <v>1276</v>
      </c>
      <c r="I4442" s="403">
        <v>1</v>
      </c>
      <c r="J4442" s="403" t="s">
        <v>1324</v>
      </c>
      <c r="K4442" s="403">
        <v>3584</v>
      </c>
      <c r="L4442" s="403">
        <v>2016</v>
      </c>
      <c r="M4442" s="403" t="s">
        <v>1421</v>
      </c>
      <c r="N4442" s="403">
        <v>3584</v>
      </c>
      <c r="O4442" s="403">
        <v>2016</v>
      </c>
      <c r="P4442" t="str">
        <f t="shared" si="553"/>
        <v>20fps 3584x2016 - 3584x2016 @ SKIP2</v>
      </c>
      <c r="Q4442">
        <f t="shared" si="554"/>
        <v>21</v>
      </c>
      <c r="R4442" t="str">
        <f t="shared" si="555"/>
        <v/>
      </c>
      <c r="S4442" t="str">
        <f t="shared" si="556"/>
        <v/>
      </c>
      <c r="T4442" s="403" t="str">
        <f t="shared" si="557"/>
        <v>NDE-8504-R</v>
      </c>
      <c r="U4442" s="403">
        <f t="shared" si="558"/>
        <v>1</v>
      </c>
      <c r="V4442" s="403" t="str">
        <f t="shared" si="559"/>
        <v>CPP_7_3</v>
      </c>
    </row>
    <row r="4443" spans="1:22">
      <c r="A4443" t="str">
        <f t="shared" si="552"/>
        <v>NDE-8504-R</v>
      </c>
      <c r="B4443" s="403" t="s">
        <v>1410</v>
      </c>
      <c r="C4443" s="403" t="s">
        <v>582</v>
      </c>
      <c r="D4443" s="403" t="s">
        <v>1418</v>
      </c>
      <c r="E4443" s="403" t="s">
        <v>778</v>
      </c>
      <c r="F4443" s="403" t="s">
        <v>1419</v>
      </c>
      <c r="G4443" s="403" t="s">
        <v>1466</v>
      </c>
      <c r="H4443" s="403" t="s">
        <v>1276</v>
      </c>
      <c r="I4443" s="403">
        <v>1</v>
      </c>
      <c r="J4443" s="403" t="s">
        <v>1324</v>
      </c>
      <c r="K4443" s="403">
        <v>3584</v>
      </c>
      <c r="L4443" s="403">
        <v>2016</v>
      </c>
      <c r="M4443" s="403" t="s">
        <v>110</v>
      </c>
      <c r="N4443" s="403">
        <v>1920</v>
      </c>
      <c r="O4443" s="403">
        <v>1080</v>
      </c>
      <c r="P4443" t="str">
        <f t="shared" si="553"/>
        <v>20fps 3584x2016 - 1080p</v>
      </c>
      <c r="Q4443">
        <f t="shared" si="554"/>
        <v>21</v>
      </c>
      <c r="R4443" t="str">
        <f t="shared" si="555"/>
        <v/>
      </c>
      <c r="S4443" t="str">
        <f t="shared" si="556"/>
        <v/>
      </c>
      <c r="T4443" s="403" t="str">
        <f t="shared" si="557"/>
        <v>NDE-8504-R</v>
      </c>
      <c r="U4443" s="403">
        <f t="shared" si="558"/>
        <v>1</v>
      </c>
      <c r="V4443" s="403" t="str">
        <f t="shared" si="559"/>
        <v>CPP_7_3</v>
      </c>
    </row>
    <row r="4444" spans="1:22">
      <c r="A4444" t="str">
        <f t="shared" si="552"/>
        <v>NDE-8504-R</v>
      </c>
      <c r="B4444" s="403" t="s">
        <v>1410</v>
      </c>
      <c r="C4444" s="403" t="s">
        <v>582</v>
      </c>
      <c r="D4444" s="403" t="s">
        <v>1418</v>
      </c>
      <c r="E4444" s="403" t="s">
        <v>778</v>
      </c>
      <c r="F4444" s="403" t="s">
        <v>1419</v>
      </c>
      <c r="G4444" s="403" t="s">
        <v>1466</v>
      </c>
      <c r="H4444" s="403" t="s">
        <v>1276</v>
      </c>
      <c r="I4444" s="403">
        <v>1</v>
      </c>
      <c r="J4444" s="403" t="s">
        <v>1324</v>
      </c>
      <c r="K4444" s="403">
        <v>3584</v>
      </c>
      <c r="L4444" s="403">
        <v>2016</v>
      </c>
      <c r="M4444" s="403" t="s">
        <v>109</v>
      </c>
      <c r="N4444" s="403">
        <v>1280</v>
      </c>
      <c r="O4444" s="403">
        <v>720</v>
      </c>
      <c r="P4444" t="str">
        <f t="shared" si="553"/>
        <v>20fps 3584x2016 - 720p</v>
      </c>
      <c r="Q4444">
        <f t="shared" si="554"/>
        <v>21</v>
      </c>
      <c r="R4444" t="str">
        <f t="shared" si="555"/>
        <v/>
      </c>
      <c r="S4444" t="str">
        <f t="shared" si="556"/>
        <v/>
      </c>
      <c r="T4444" s="403" t="str">
        <f t="shared" si="557"/>
        <v>NDE-8504-R</v>
      </c>
      <c r="U4444" s="403">
        <f t="shared" si="558"/>
        <v>1</v>
      </c>
      <c r="V4444" s="403" t="str">
        <f t="shared" si="559"/>
        <v>CPP_7_3</v>
      </c>
    </row>
    <row r="4445" spans="1:22">
      <c r="A4445" t="str">
        <f t="shared" si="552"/>
        <v>NDE-8504-R</v>
      </c>
      <c r="B4445" s="403" t="s">
        <v>1410</v>
      </c>
      <c r="C4445" s="403" t="s">
        <v>582</v>
      </c>
      <c r="D4445" s="403" t="s">
        <v>1418</v>
      </c>
      <c r="E4445" s="403" t="s">
        <v>778</v>
      </c>
      <c r="F4445" s="403" t="s">
        <v>1419</v>
      </c>
      <c r="G4445" s="403" t="s">
        <v>1466</v>
      </c>
      <c r="H4445" s="403" t="s">
        <v>1276</v>
      </c>
      <c r="I4445" s="403">
        <v>1</v>
      </c>
      <c r="J4445" s="403" t="s">
        <v>1324</v>
      </c>
      <c r="K4445" s="403">
        <v>3584</v>
      </c>
      <c r="L4445" s="403">
        <v>2016</v>
      </c>
      <c r="M4445" s="403" t="s">
        <v>1283</v>
      </c>
      <c r="N4445" s="403">
        <v>720</v>
      </c>
      <c r="O4445" s="403">
        <v>480</v>
      </c>
      <c r="P4445" t="str">
        <f t="shared" si="553"/>
        <v>20fps 3584x2016 - SD 4CIF resolution 4:3 format (cropped)</v>
      </c>
      <c r="Q4445">
        <f t="shared" si="554"/>
        <v>21</v>
      </c>
      <c r="R4445" t="str">
        <f t="shared" si="555"/>
        <v/>
      </c>
      <c r="S4445" t="str">
        <f t="shared" si="556"/>
        <v/>
      </c>
      <c r="T4445" s="403" t="str">
        <f t="shared" si="557"/>
        <v>NDE-8504-R</v>
      </c>
      <c r="U4445" s="403">
        <f t="shared" si="558"/>
        <v>1</v>
      </c>
      <c r="V4445" s="403" t="str">
        <f t="shared" si="559"/>
        <v>CPP_7_3</v>
      </c>
    </row>
    <row r="4446" spans="1:22">
      <c r="A4446" t="str">
        <f t="shared" si="552"/>
        <v>NDE-8504-R</v>
      </c>
      <c r="B4446" s="403" t="s">
        <v>1410</v>
      </c>
      <c r="C4446" s="403" t="s">
        <v>582</v>
      </c>
      <c r="D4446" s="403" t="s">
        <v>1418</v>
      </c>
      <c r="E4446" s="403" t="s">
        <v>778</v>
      </c>
      <c r="F4446" s="403" t="s">
        <v>1419</v>
      </c>
      <c r="G4446" s="403" t="s">
        <v>1466</v>
      </c>
      <c r="H4446" s="403" t="s">
        <v>1276</v>
      </c>
      <c r="I4446" s="403">
        <v>1</v>
      </c>
      <c r="J4446" s="403" t="s">
        <v>1324</v>
      </c>
      <c r="K4446" s="403">
        <v>3584</v>
      </c>
      <c r="L4446" s="403">
        <v>2016</v>
      </c>
      <c r="M4446" s="403" t="s">
        <v>1279</v>
      </c>
      <c r="N4446" s="403">
        <v>768</v>
      </c>
      <c r="O4446" s="403">
        <v>432</v>
      </c>
      <c r="P4446" t="str">
        <f t="shared" si="553"/>
        <v>20fps 3584x2016 - SD ROI PTZ</v>
      </c>
      <c r="Q4446">
        <f t="shared" si="554"/>
        <v>21</v>
      </c>
      <c r="R4446" t="str">
        <f t="shared" si="555"/>
        <v/>
      </c>
      <c r="S4446" t="str">
        <f t="shared" si="556"/>
        <v/>
      </c>
      <c r="T4446" s="403" t="str">
        <f t="shared" si="557"/>
        <v>NDE-8504-R</v>
      </c>
      <c r="U4446" s="403">
        <f t="shared" si="558"/>
        <v>1</v>
      </c>
      <c r="V4446" s="403" t="str">
        <f t="shared" si="559"/>
        <v>CPP_7_3</v>
      </c>
    </row>
    <row r="4447" spans="1:22">
      <c r="A4447" t="str">
        <f t="shared" si="552"/>
        <v>NDE-8504-R</v>
      </c>
      <c r="B4447" s="403" t="s">
        <v>1410</v>
      </c>
      <c r="C4447" s="403" t="s">
        <v>582</v>
      </c>
      <c r="D4447" s="403" t="s">
        <v>1418</v>
      </c>
      <c r="E4447" s="403" t="s">
        <v>778</v>
      </c>
      <c r="F4447" s="403" t="s">
        <v>1419</v>
      </c>
      <c r="G4447" s="403" t="s">
        <v>1466</v>
      </c>
      <c r="H4447" s="403" t="s">
        <v>1276</v>
      </c>
      <c r="I4447" s="403">
        <v>1</v>
      </c>
      <c r="J4447" s="403" t="s">
        <v>1324</v>
      </c>
      <c r="K4447" s="403">
        <v>3584</v>
      </c>
      <c r="L4447" s="403">
        <v>2016</v>
      </c>
      <c r="M4447" s="403" t="s">
        <v>1284</v>
      </c>
      <c r="N4447" s="403">
        <v>640</v>
      </c>
      <c r="O4447" s="403">
        <v>480</v>
      </c>
      <c r="P4447" t="str">
        <f t="shared" si="553"/>
        <v>20fps 3584x2016 - SD VGA (cropped)</v>
      </c>
      <c r="Q4447">
        <f t="shared" si="554"/>
        <v>21</v>
      </c>
      <c r="R4447" t="str">
        <f t="shared" si="555"/>
        <v/>
      </c>
      <c r="S4447" t="str">
        <f t="shared" si="556"/>
        <v/>
      </c>
      <c r="T4447" s="403" t="str">
        <f t="shared" si="557"/>
        <v>NDE-8504-R</v>
      </c>
      <c r="U4447" s="403">
        <f t="shared" si="558"/>
        <v>1</v>
      </c>
      <c r="V4447" s="403" t="str">
        <f t="shared" si="559"/>
        <v>CPP_7_3</v>
      </c>
    </row>
    <row r="4448" spans="1:22">
      <c r="A4448" t="str">
        <f t="shared" si="552"/>
        <v>NDE-8504-R</v>
      </c>
      <c r="B4448" s="403" t="s">
        <v>1410</v>
      </c>
      <c r="C4448" s="403" t="s">
        <v>582</v>
      </c>
      <c r="D4448" s="403" t="s">
        <v>1418</v>
      </c>
      <c r="E4448" s="403" t="s">
        <v>778</v>
      </c>
      <c r="F4448" s="403" t="s">
        <v>1419</v>
      </c>
      <c r="G4448" s="403" t="s">
        <v>1466</v>
      </c>
      <c r="H4448" s="403" t="s">
        <v>1276</v>
      </c>
      <c r="I4448" s="403">
        <v>1</v>
      </c>
      <c r="J4448" s="403" t="s">
        <v>1324</v>
      </c>
      <c r="K4448" s="403">
        <v>3584</v>
      </c>
      <c r="L4448" s="403">
        <v>2016</v>
      </c>
      <c r="M4448" s="403" t="s">
        <v>1285</v>
      </c>
      <c r="N4448" s="403">
        <v>1280</v>
      </c>
      <c r="O4448" s="403">
        <v>1024</v>
      </c>
      <c r="P4448" t="str">
        <f t="shared" si="553"/>
        <v>20fps 3584x2016 - 1280x1024 5:4 (cropped)</v>
      </c>
      <c r="Q4448">
        <f t="shared" si="554"/>
        <v>21</v>
      </c>
      <c r="R4448" t="str">
        <f t="shared" si="555"/>
        <v/>
      </c>
      <c r="S4448" t="str">
        <f t="shared" si="556"/>
        <v/>
      </c>
      <c r="T4448" s="403" t="str">
        <f t="shared" si="557"/>
        <v>NDE-8504-R</v>
      </c>
      <c r="U4448" s="403">
        <f t="shared" si="558"/>
        <v>1</v>
      </c>
      <c r="V4448" s="403" t="str">
        <f t="shared" si="559"/>
        <v>CPP_7_3</v>
      </c>
    </row>
    <row r="4449" spans="1:22">
      <c r="A4449" t="str">
        <f t="shared" si="552"/>
        <v>NDE-8504-R</v>
      </c>
      <c r="B4449" s="403" t="s">
        <v>1410</v>
      </c>
      <c r="C4449" s="403" t="s">
        <v>582</v>
      </c>
      <c r="D4449" s="403" t="s">
        <v>1418</v>
      </c>
      <c r="E4449" s="403" t="s">
        <v>778</v>
      </c>
      <c r="F4449" s="403" t="s">
        <v>1419</v>
      </c>
      <c r="G4449" s="403" t="s">
        <v>1466</v>
      </c>
      <c r="H4449" s="403" t="s">
        <v>1276</v>
      </c>
      <c r="I4449" s="403">
        <v>1</v>
      </c>
      <c r="J4449" s="403" t="s">
        <v>1324</v>
      </c>
      <c r="K4449" s="403">
        <v>3584</v>
      </c>
      <c r="L4449" s="403">
        <v>2016</v>
      </c>
      <c r="M4449" s="403" t="s">
        <v>1383</v>
      </c>
      <c r="N4449" s="403">
        <v>1920</v>
      </c>
      <c r="O4449" s="403">
        <v>1440</v>
      </c>
      <c r="P4449" t="str">
        <f t="shared" si="553"/>
        <v>20fps 3584x2016 - 1920x1440_CROP</v>
      </c>
      <c r="Q4449">
        <f t="shared" si="554"/>
        <v>21</v>
      </c>
      <c r="R4449" t="str">
        <f t="shared" si="555"/>
        <v/>
      </c>
      <c r="S4449" t="str">
        <f t="shared" si="556"/>
        <v/>
      </c>
      <c r="T4449" s="403" t="str">
        <f t="shared" si="557"/>
        <v>NDE-8504-R</v>
      </c>
      <c r="U4449" s="403">
        <f t="shared" si="558"/>
        <v>1</v>
      </c>
      <c r="V4449" s="403" t="str">
        <f t="shared" si="559"/>
        <v>CPP_7_3</v>
      </c>
    </row>
    <row r="4450" spans="1:22">
      <c r="A4450" t="str">
        <f t="shared" si="552"/>
        <v>NDE-8504-R</v>
      </c>
      <c r="B4450" s="403" t="s">
        <v>1410</v>
      </c>
      <c r="C4450" s="403" t="s">
        <v>582</v>
      </c>
      <c r="D4450" s="403" t="s">
        <v>1418</v>
      </c>
      <c r="E4450" s="403" t="s">
        <v>778</v>
      </c>
      <c r="F4450" s="403" t="s">
        <v>1419</v>
      </c>
      <c r="G4450" s="403" t="s">
        <v>1466</v>
      </c>
      <c r="H4450" s="403" t="s">
        <v>1281</v>
      </c>
      <c r="I4450" s="403">
        <v>1</v>
      </c>
      <c r="J4450" s="403" t="s">
        <v>194</v>
      </c>
      <c r="K4450" s="403">
        <v>3840</v>
      </c>
      <c r="L4450" s="403">
        <v>2160</v>
      </c>
      <c r="M4450" s="403" t="s">
        <v>111</v>
      </c>
      <c r="N4450" s="403">
        <v>768</v>
      </c>
      <c r="O4450" s="403">
        <v>432</v>
      </c>
      <c r="P4450" t="str">
        <f t="shared" si="553"/>
        <v>20fps 3840x2160 - SD</v>
      </c>
      <c r="Q4450">
        <f t="shared" si="554"/>
        <v>21</v>
      </c>
      <c r="R4450" t="str">
        <f t="shared" si="555"/>
        <v/>
      </c>
      <c r="S4450" t="str">
        <f t="shared" si="556"/>
        <v/>
      </c>
      <c r="T4450" s="403" t="str">
        <f t="shared" si="557"/>
        <v>NDE-8504-R</v>
      </c>
      <c r="U4450" s="403">
        <f t="shared" si="558"/>
        <v>1</v>
      </c>
      <c r="V4450" s="403" t="str">
        <f t="shared" si="559"/>
        <v>CPP_7_3</v>
      </c>
    </row>
    <row r="4451" spans="1:22">
      <c r="A4451" t="str">
        <f t="shared" si="552"/>
        <v>NDE-8504-R</v>
      </c>
      <c r="B4451" s="403" t="s">
        <v>1410</v>
      </c>
      <c r="C4451" s="403" t="s">
        <v>582</v>
      </c>
      <c r="D4451" s="403" t="s">
        <v>1418</v>
      </c>
      <c r="E4451" s="403" t="s">
        <v>778</v>
      </c>
      <c r="F4451" s="403" t="s">
        <v>1419</v>
      </c>
      <c r="G4451" s="403" t="s">
        <v>1466</v>
      </c>
      <c r="H4451" s="403" t="s">
        <v>1281</v>
      </c>
      <c r="I4451" s="403">
        <v>1</v>
      </c>
      <c r="J4451" s="403" t="s">
        <v>194</v>
      </c>
      <c r="K4451" s="403">
        <v>3840</v>
      </c>
      <c r="L4451" s="403">
        <v>2160</v>
      </c>
      <c r="M4451" s="403" t="s">
        <v>1280</v>
      </c>
      <c r="N4451" s="403">
        <v>3840</v>
      </c>
      <c r="O4451" s="403">
        <v>2160</v>
      </c>
      <c r="P4451" t="str">
        <f t="shared" si="553"/>
        <v>20fps 3840x2160 - copy other stream</v>
      </c>
      <c r="Q4451">
        <f t="shared" si="554"/>
        <v>21</v>
      </c>
      <c r="R4451" t="str">
        <f t="shared" si="555"/>
        <v/>
      </c>
      <c r="S4451" t="str">
        <f t="shared" si="556"/>
        <v/>
      </c>
      <c r="T4451" s="403" t="str">
        <f t="shared" si="557"/>
        <v>NDE-8504-R</v>
      </c>
      <c r="U4451" s="403">
        <f t="shared" si="558"/>
        <v>1</v>
      </c>
      <c r="V4451" s="403" t="str">
        <f t="shared" si="559"/>
        <v>CPP_7_3</v>
      </c>
    </row>
    <row r="4452" spans="1:22">
      <c r="A4452" t="str">
        <f t="shared" si="552"/>
        <v>NDE-8504-R</v>
      </c>
      <c r="B4452" s="403" t="s">
        <v>1410</v>
      </c>
      <c r="C4452" s="403" t="s">
        <v>582</v>
      </c>
      <c r="D4452" s="403" t="s">
        <v>1418</v>
      </c>
      <c r="E4452" s="403" t="s">
        <v>778</v>
      </c>
      <c r="F4452" s="403" t="s">
        <v>1419</v>
      </c>
      <c r="G4452" s="403" t="s">
        <v>1466</v>
      </c>
      <c r="H4452" s="403" t="s">
        <v>1281</v>
      </c>
      <c r="I4452" s="403">
        <v>1</v>
      </c>
      <c r="J4452" s="403" t="s">
        <v>194</v>
      </c>
      <c r="K4452" s="403">
        <v>3840</v>
      </c>
      <c r="L4452" s="403">
        <v>2160</v>
      </c>
      <c r="M4452" s="403" t="s">
        <v>1420</v>
      </c>
      <c r="N4452" s="403">
        <v>3840</v>
      </c>
      <c r="O4452" s="403">
        <v>2160</v>
      </c>
      <c r="P4452" t="str">
        <f t="shared" si="553"/>
        <v>20fps 3840x2160 - 3840x2160 @ SKIP3</v>
      </c>
      <c r="Q4452">
        <f t="shared" si="554"/>
        <v>21</v>
      </c>
      <c r="R4452" t="str">
        <f t="shared" si="555"/>
        <v/>
      </c>
      <c r="S4452" t="str">
        <f t="shared" si="556"/>
        <v/>
      </c>
      <c r="T4452" s="403" t="str">
        <f t="shared" si="557"/>
        <v>NDE-8504-R</v>
      </c>
      <c r="U4452" s="403">
        <f t="shared" si="558"/>
        <v>1</v>
      </c>
      <c r="V4452" s="403" t="str">
        <f t="shared" si="559"/>
        <v>CPP_7_3</v>
      </c>
    </row>
    <row r="4453" spans="1:22">
      <c r="A4453" t="str">
        <f t="shared" si="552"/>
        <v>NDE-8504-R</v>
      </c>
      <c r="B4453" s="403" t="s">
        <v>1410</v>
      </c>
      <c r="C4453" s="403" t="s">
        <v>582</v>
      </c>
      <c r="D4453" s="403" t="s">
        <v>1418</v>
      </c>
      <c r="E4453" s="403" t="s">
        <v>778</v>
      </c>
      <c r="F4453" s="403" t="s">
        <v>1419</v>
      </c>
      <c r="G4453" s="403" t="s">
        <v>1466</v>
      </c>
      <c r="H4453" s="403" t="s">
        <v>1281</v>
      </c>
      <c r="I4453" s="403">
        <v>1</v>
      </c>
      <c r="J4453" s="403" t="s">
        <v>194</v>
      </c>
      <c r="K4453" s="403">
        <v>3840</v>
      </c>
      <c r="L4453" s="403">
        <v>2160</v>
      </c>
      <c r="M4453" s="403" t="s">
        <v>110</v>
      </c>
      <c r="N4453" s="403">
        <v>1920</v>
      </c>
      <c r="O4453" s="403">
        <v>1080</v>
      </c>
      <c r="P4453" t="str">
        <f t="shared" si="553"/>
        <v>20fps 3840x2160 - 1080p</v>
      </c>
      <c r="Q4453">
        <f t="shared" si="554"/>
        <v>21</v>
      </c>
      <c r="R4453" t="str">
        <f t="shared" si="555"/>
        <v/>
      </c>
      <c r="S4453" t="str">
        <f t="shared" si="556"/>
        <v/>
      </c>
      <c r="T4453" s="403" t="str">
        <f t="shared" si="557"/>
        <v>NDE-8504-R</v>
      </c>
      <c r="U4453" s="403">
        <f t="shared" si="558"/>
        <v>1</v>
      </c>
      <c r="V4453" s="403" t="str">
        <f t="shared" si="559"/>
        <v>CPP_7_3</v>
      </c>
    </row>
    <row r="4454" spans="1:22">
      <c r="A4454" t="str">
        <f t="shared" si="552"/>
        <v>NDE-8504-R</v>
      </c>
      <c r="B4454" s="403" t="s">
        <v>1410</v>
      </c>
      <c r="C4454" s="403" t="s">
        <v>582</v>
      </c>
      <c r="D4454" s="403" t="s">
        <v>1418</v>
      </c>
      <c r="E4454" s="403" t="s">
        <v>778</v>
      </c>
      <c r="F4454" s="403" t="s">
        <v>1419</v>
      </c>
      <c r="G4454" s="403" t="s">
        <v>1466</v>
      </c>
      <c r="H4454" s="403" t="s">
        <v>1281</v>
      </c>
      <c r="I4454" s="403">
        <v>1</v>
      </c>
      <c r="J4454" s="403" t="s">
        <v>194</v>
      </c>
      <c r="K4454" s="403">
        <v>3840</v>
      </c>
      <c r="L4454" s="403">
        <v>2160</v>
      </c>
      <c r="M4454" s="403" t="s">
        <v>109</v>
      </c>
      <c r="N4454" s="403">
        <v>1280</v>
      </c>
      <c r="O4454" s="403">
        <v>720</v>
      </c>
      <c r="P4454" t="str">
        <f t="shared" si="553"/>
        <v>20fps 3840x2160 - 720p</v>
      </c>
      <c r="Q4454">
        <f t="shared" si="554"/>
        <v>21</v>
      </c>
      <c r="R4454" t="str">
        <f t="shared" si="555"/>
        <v/>
      </c>
      <c r="S4454" t="str">
        <f t="shared" si="556"/>
        <v/>
      </c>
      <c r="T4454" s="403" t="str">
        <f t="shared" si="557"/>
        <v>NDE-8504-R</v>
      </c>
      <c r="U4454" s="403">
        <f t="shared" si="558"/>
        <v>1</v>
      </c>
      <c r="V4454" s="403" t="str">
        <f t="shared" si="559"/>
        <v>CPP_7_3</v>
      </c>
    </row>
    <row r="4455" spans="1:22">
      <c r="A4455" t="str">
        <f t="shared" si="552"/>
        <v>NDE-8504-R</v>
      </c>
      <c r="B4455" s="403" t="s">
        <v>1410</v>
      </c>
      <c r="C4455" s="403" t="s">
        <v>582</v>
      </c>
      <c r="D4455" s="403" t="s">
        <v>1418</v>
      </c>
      <c r="E4455" s="403" t="s">
        <v>778</v>
      </c>
      <c r="F4455" s="403" t="s">
        <v>1419</v>
      </c>
      <c r="G4455" s="403" t="s">
        <v>1466</v>
      </c>
      <c r="H4455" s="403" t="s">
        <v>1281</v>
      </c>
      <c r="I4455" s="403">
        <v>1</v>
      </c>
      <c r="J4455" s="403" t="s">
        <v>194</v>
      </c>
      <c r="K4455" s="403">
        <v>3840</v>
      </c>
      <c r="L4455" s="403">
        <v>2160</v>
      </c>
      <c r="M4455" s="403" t="s">
        <v>1283</v>
      </c>
      <c r="N4455" s="403">
        <v>720</v>
      </c>
      <c r="O4455" s="403">
        <v>480</v>
      </c>
      <c r="P4455" t="str">
        <f t="shared" si="553"/>
        <v>20fps 3840x2160 - SD 4CIF resolution 4:3 format (cropped)</v>
      </c>
      <c r="Q4455">
        <f t="shared" si="554"/>
        <v>21</v>
      </c>
      <c r="R4455" t="str">
        <f t="shared" si="555"/>
        <v/>
      </c>
      <c r="S4455" t="str">
        <f t="shared" si="556"/>
        <v/>
      </c>
      <c r="T4455" s="403" t="str">
        <f t="shared" si="557"/>
        <v>NDE-8504-R</v>
      </c>
      <c r="U4455" s="403">
        <f t="shared" si="558"/>
        <v>1</v>
      </c>
      <c r="V4455" s="403" t="str">
        <f t="shared" si="559"/>
        <v>CPP_7_3</v>
      </c>
    </row>
    <row r="4456" spans="1:22">
      <c r="A4456" t="str">
        <f t="shared" si="552"/>
        <v>NDE-8504-R</v>
      </c>
      <c r="B4456" s="403" t="s">
        <v>1410</v>
      </c>
      <c r="C4456" s="403" t="s">
        <v>582</v>
      </c>
      <c r="D4456" s="403" t="s">
        <v>1418</v>
      </c>
      <c r="E4456" s="403" t="s">
        <v>778</v>
      </c>
      <c r="F4456" s="403" t="s">
        <v>1419</v>
      </c>
      <c r="G4456" s="403" t="s">
        <v>1466</v>
      </c>
      <c r="H4456" s="403" t="s">
        <v>1281</v>
      </c>
      <c r="I4456" s="403">
        <v>1</v>
      </c>
      <c r="J4456" s="403" t="s">
        <v>194</v>
      </c>
      <c r="K4456" s="403">
        <v>3840</v>
      </c>
      <c r="L4456" s="403">
        <v>2160</v>
      </c>
      <c r="M4456" s="403" t="s">
        <v>1284</v>
      </c>
      <c r="N4456" s="403">
        <v>640</v>
      </c>
      <c r="O4456" s="403">
        <v>480</v>
      </c>
      <c r="P4456" t="str">
        <f t="shared" si="553"/>
        <v>20fps 3840x2160 - SD VGA (cropped)</v>
      </c>
      <c r="Q4456">
        <f t="shared" si="554"/>
        <v>21</v>
      </c>
      <c r="R4456" t="str">
        <f t="shared" si="555"/>
        <v/>
      </c>
      <c r="S4456" t="str">
        <f t="shared" si="556"/>
        <v/>
      </c>
      <c r="T4456" s="403" t="str">
        <f t="shared" si="557"/>
        <v>NDE-8504-R</v>
      </c>
      <c r="U4456" s="403">
        <f t="shared" si="558"/>
        <v>1</v>
      </c>
      <c r="V4456" s="403" t="str">
        <f t="shared" si="559"/>
        <v>CPP_7_3</v>
      </c>
    </row>
    <row r="4457" spans="1:22">
      <c r="A4457" t="str">
        <f t="shared" si="552"/>
        <v>NDE-8504-R</v>
      </c>
      <c r="B4457" s="403" t="s">
        <v>1410</v>
      </c>
      <c r="C4457" s="403" t="s">
        <v>582</v>
      </c>
      <c r="D4457" s="403" t="s">
        <v>1418</v>
      </c>
      <c r="E4457" s="403" t="s">
        <v>778</v>
      </c>
      <c r="F4457" s="403" t="s">
        <v>1419</v>
      </c>
      <c r="G4457" s="403" t="s">
        <v>1466</v>
      </c>
      <c r="H4457" s="403" t="s">
        <v>1281</v>
      </c>
      <c r="I4457" s="403">
        <v>1</v>
      </c>
      <c r="J4457" s="403" t="s">
        <v>194</v>
      </c>
      <c r="K4457" s="403">
        <v>3840</v>
      </c>
      <c r="L4457" s="403">
        <v>2160</v>
      </c>
      <c r="M4457" s="403" t="s">
        <v>1285</v>
      </c>
      <c r="N4457" s="403">
        <v>1280</v>
      </c>
      <c r="O4457" s="403">
        <v>1024</v>
      </c>
      <c r="P4457" t="str">
        <f t="shared" si="553"/>
        <v>20fps 3840x2160 - 1280x1024 5:4 (cropped)</v>
      </c>
      <c r="Q4457">
        <f t="shared" si="554"/>
        <v>21</v>
      </c>
      <c r="R4457" t="str">
        <f t="shared" si="555"/>
        <v/>
      </c>
      <c r="S4457" t="str">
        <f t="shared" si="556"/>
        <v/>
      </c>
      <c r="T4457" s="403" t="str">
        <f t="shared" si="557"/>
        <v>NDE-8504-R</v>
      </c>
      <c r="U4457" s="403">
        <f t="shared" si="558"/>
        <v>1</v>
      </c>
      <c r="V4457" s="403" t="str">
        <f t="shared" si="559"/>
        <v>CPP_7_3</v>
      </c>
    </row>
    <row r="4458" spans="1:22">
      <c r="A4458" t="str">
        <f t="shared" si="552"/>
        <v>NDE-8504-R</v>
      </c>
      <c r="B4458" s="403" t="s">
        <v>1410</v>
      </c>
      <c r="C4458" s="403" t="s">
        <v>582</v>
      </c>
      <c r="D4458" s="403" t="s">
        <v>1418</v>
      </c>
      <c r="E4458" s="403" t="s">
        <v>778</v>
      </c>
      <c r="F4458" s="403" t="s">
        <v>1419</v>
      </c>
      <c r="G4458" s="403" t="s">
        <v>1466</v>
      </c>
      <c r="H4458" s="403" t="s">
        <v>1281</v>
      </c>
      <c r="I4458" s="403">
        <v>1</v>
      </c>
      <c r="J4458" s="403" t="s">
        <v>194</v>
      </c>
      <c r="K4458" s="403">
        <v>3840</v>
      </c>
      <c r="L4458" s="403">
        <v>2160</v>
      </c>
      <c r="M4458" s="403" t="s">
        <v>1383</v>
      </c>
      <c r="N4458" s="403">
        <v>1920</v>
      </c>
      <c r="O4458" s="403">
        <v>1440</v>
      </c>
      <c r="P4458" t="str">
        <f t="shared" si="553"/>
        <v>20fps 3840x2160 - 1920x1440_CROP</v>
      </c>
      <c r="Q4458">
        <f t="shared" si="554"/>
        <v>21</v>
      </c>
      <c r="R4458" t="str">
        <f t="shared" si="555"/>
        <v/>
      </c>
      <c r="S4458" t="str">
        <f t="shared" si="556"/>
        <v/>
      </c>
      <c r="T4458" s="403" t="str">
        <f t="shared" si="557"/>
        <v>NDE-8504-R</v>
      </c>
      <c r="U4458" s="403">
        <f t="shared" si="558"/>
        <v>1</v>
      </c>
      <c r="V4458" s="403" t="str">
        <f t="shared" si="559"/>
        <v>CPP_7_3</v>
      </c>
    </row>
    <row r="4459" spans="1:22">
      <c r="A4459" t="str">
        <f t="shared" si="552"/>
        <v>NDE-8504-R</v>
      </c>
      <c r="B4459" s="403" t="s">
        <v>1410</v>
      </c>
      <c r="C4459" s="403" t="s">
        <v>582</v>
      </c>
      <c r="D4459" s="403" t="s">
        <v>1418</v>
      </c>
      <c r="E4459" s="403" t="s">
        <v>778</v>
      </c>
      <c r="F4459" s="403" t="s">
        <v>1419</v>
      </c>
      <c r="G4459" s="403" t="s">
        <v>1466</v>
      </c>
      <c r="H4459" s="403" t="s">
        <v>1281</v>
      </c>
      <c r="I4459" s="403">
        <v>1</v>
      </c>
      <c r="J4459" s="403" t="s">
        <v>1324</v>
      </c>
      <c r="K4459" s="403">
        <v>3584</v>
      </c>
      <c r="L4459" s="403">
        <v>2016</v>
      </c>
      <c r="M4459" s="403" t="s">
        <v>111</v>
      </c>
      <c r="N4459" s="403">
        <v>768</v>
      </c>
      <c r="O4459" s="403">
        <v>432</v>
      </c>
      <c r="P4459" t="str">
        <f t="shared" si="553"/>
        <v>20fps 3584x2016 - SD</v>
      </c>
      <c r="Q4459">
        <f t="shared" si="554"/>
        <v>21</v>
      </c>
      <c r="R4459" t="str">
        <f t="shared" si="555"/>
        <v/>
      </c>
      <c r="S4459" t="str">
        <f t="shared" si="556"/>
        <v/>
      </c>
      <c r="T4459" s="403" t="str">
        <f t="shared" si="557"/>
        <v>NDE-8504-R</v>
      </c>
      <c r="U4459" s="403">
        <f t="shared" si="558"/>
        <v>1</v>
      </c>
      <c r="V4459" s="403" t="str">
        <f t="shared" si="559"/>
        <v>CPP_7_3</v>
      </c>
    </row>
    <row r="4460" spans="1:22">
      <c r="A4460" t="str">
        <f t="shared" si="552"/>
        <v>NDE-8504-R</v>
      </c>
      <c r="B4460" s="403" t="s">
        <v>1410</v>
      </c>
      <c r="C4460" s="403" t="s">
        <v>582</v>
      </c>
      <c r="D4460" s="403" t="s">
        <v>1418</v>
      </c>
      <c r="E4460" s="403" t="s">
        <v>778</v>
      </c>
      <c r="F4460" s="403" t="s">
        <v>1419</v>
      </c>
      <c r="G4460" s="403" t="s">
        <v>1466</v>
      </c>
      <c r="H4460" s="403" t="s">
        <v>1281</v>
      </c>
      <c r="I4460" s="403">
        <v>1</v>
      </c>
      <c r="J4460" s="403" t="s">
        <v>1324</v>
      </c>
      <c r="K4460" s="403">
        <v>3584</v>
      </c>
      <c r="L4460" s="403">
        <v>2016</v>
      </c>
      <c r="M4460" s="403" t="s">
        <v>1280</v>
      </c>
      <c r="N4460" s="403">
        <v>3584</v>
      </c>
      <c r="O4460" s="403">
        <v>2016</v>
      </c>
      <c r="P4460" t="str">
        <f t="shared" si="553"/>
        <v>20fps 3584x2016 - copy other stream</v>
      </c>
      <c r="Q4460">
        <f t="shared" si="554"/>
        <v>21</v>
      </c>
      <c r="R4460" t="str">
        <f t="shared" si="555"/>
        <v/>
      </c>
      <c r="S4460" t="str">
        <f t="shared" si="556"/>
        <v/>
      </c>
      <c r="T4460" s="403" t="str">
        <f t="shared" si="557"/>
        <v>NDE-8504-R</v>
      </c>
      <c r="U4460" s="403">
        <f t="shared" si="558"/>
        <v>1</v>
      </c>
      <c r="V4460" s="403" t="str">
        <f t="shared" si="559"/>
        <v>CPP_7_3</v>
      </c>
    </row>
    <row r="4461" spans="1:22">
      <c r="A4461" t="str">
        <f t="shared" si="552"/>
        <v>NDE-8504-R</v>
      </c>
      <c r="B4461" s="403" t="s">
        <v>1410</v>
      </c>
      <c r="C4461" s="403" t="s">
        <v>582</v>
      </c>
      <c r="D4461" s="403" t="s">
        <v>1418</v>
      </c>
      <c r="E4461" s="403" t="s">
        <v>778</v>
      </c>
      <c r="F4461" s="403" t="s">
        <v>1419</v>
      </c>
      <c r="G4461" s="403" t="s">
        <v>1466</v>
      </c>
      <c r="H4461" s="403" t="s">
        <v>1281</v>
      </c>
      <c r="I4461" s="403">
        <v>1</v>
      </c>
      <c r="J4461" s="403" t="s">
        <v>1324</v>
      </c>
      <c r="K4461" s="403">
        <v>3584</v>
      </c>
      <c r="L4461" s="403">
        <v>2016</v>
      </c>
      <c r="M4461" s="403" t="s">
        <v>1421</v>
      </c>
      <c r="N4461" s="403">
        <v>3584</v>
      </c>
      <c r="O4461" s="403">
        <v>2016</v>
      </c>
      <c r="P4461" t="str">
        <f t="shared" si="553"/>
        <v>20fps 3584x2016 - 3584x2016 @ SKIP2</v>
      </c>
      <c r="Q4461">
        <f t="shared" si="554"/>
        <v>21</v>
      </c>
      <c r="R4461" t="str">
        <f t="shared" si="555"/>
        <v/>
      </c>
      <c r="S4461" t="str">
        <f t="shared" si="556"/>
        <v/>
      </c>
      <c r="T4461" s="403" t="str">
        <f t="shared" si="557"/>
        <v>NDE-8504-R</v>
      </c>
      <c r="U4461" s="403">
        <f t="shared" si="558"/>
        <v>1</v>
      </c>
      <c r="V4461" s="403" t="str">
        <f t="shared" si="559"/>
        <v>CPP_7_3</v>
      </c>
    </row>
    <row r="4462" spans="1:22">
      <c r="A4462" t="str">
        <f t="shared" si="552"/>
        <v>NDE-8504-R</v>
      </c>
      <c r="B4462" s="403" t="s">
        <v>1410</v>
      </c>
      <c r="C4462" s="403" t="s">
        <v>582</v>
      </c>
      <c r="D4462" s="403" t="s">
        <v>1418</v>
      </c>
      <c r="E4462" s="403" t="s">
        <v>778</v>
      </c>
      <c r="F4462" s="403" t="s">
        <v>1419</v>
      </c>
      <c r="G4462" s="403" t="s">
        <v>1466</v>
      </c>
      <c r="H4462" s="403" t="s">
        <v>1281</v>
      </c>
      <c r="I4462" s="403">
        <v>1</v>
      </c>
      <c r="J4462" s="403" t="s">
        <v>1324</v>
      </c>
      <c r="K4462" s="403">
        <v>3584</v>
      </c>
      <c r="L4462" s="403">
        <v>2016</v>
      </c>
      <c r="M4462" s="403" t="s">
        <v>110</v>
      </c>
      <c r="N4462" s="403">
        <v>1920</v>
      </c>
      <c r="O4462" s="403">
        <v>1080</v>
      </c>
      <c r="P4462" t="str">
        <f t="shared" si="553"/>
        <v>20fps 3584x2016 - 1080p</v>
      </c>
      <c r="Q4462">
        <f t="shared" si="554"/>
        <v>21</v>
      </c>
      <c r="R4462" t="str">
        <f t="shared" si="555"/>
        <v/>
      </c>
      <c r="S4462" t="str">
        <f t="shared" si="556"/>
        <v/>
      </c>
      <c r="T4462" s="403" t="str">
        <f t="shared" si="557"/>
        <v>NDE-8504-R</v>
      </c>
      <c r="U4462" s="403">
        <f t="shared" si="558"/>
        <v>1</v>
      </c>
      <c r="V4462" s="403" t="str">
        <f t="shared" si="559"/>
        <v>CPP_7_3</v>
      </c>
    </row>
    <row r="4463" spans="1:22">
      <c r="A4463" t="str">
        <f t="shared" si="552"/>
        <v>NDE-8504-R</v>
      </c>
      <c r="B4463" s="403" t="s">
        <v>1410</v>
      </c>
      <c r="C4463" s="403" t="s">
        <v>582</v>
      </c>
      <c r="D4463" s="403" t="s">
        <v>1418</v>
      </c>
      <c r="E4463" s="403" t="s">
        <v>778</v>
      </c>
      <c r="F4463" s="403" t="s">
        <v>1419</v>
      </c>
      <c r="G4463" s="403" t="s">
        <v>1466</v>
      </c>
      <c r="H4463" s="403" t="s">
        <v>1281</v>
      </c>
      <c r="I4463" s="403">
        <v>1</v>
      </c>
      <c r="J4463" s="403" t="s">
        <v>1324</v>
      </c>
      <c r="K4463" s="403">
        <v>3584</v>
      </c>
      <c r="L4463" s="403">
        <v>2016</v>
      </c>
      <c r="M4463" s="403" t="s">
        <v>109</v>
      </c>
      <c r="N4463" s="403">
        <v>1280</v>
      </c>
      <c r="O4463" s="403">
        <v>720</v>
      </c>
      <c r="P4463" t="str">
        <f t="shared" si="553"/>
        <v>20fps 3584x2016 - 720p</v>
      </c>
      <c r="Q4463">
        <f t="shared" si="554"/>
        <v>21</v>
      </c>
      <c r="R4463" t="str">
        <f t="shared" si="555"/>
        <v/>
      </c>
      <c r="S4463" t="str">
        <f t="shared" si="556"/>
        <v/>
      </c>
      <c r="T4463" s="403" t="str">
        <f t="shared" si="557"/>
        <v>NDE-8504-R</v>
      </c>
      <c r="U4463" s="403">
        <f t="shared" si="558"/>
        <v>1</v>
      </c>
      <c r="V4463" s="403" t="str">
        <f t="shared" si="559"/>
        <v>CPP_7_3</v>
      </c>
    </row>
    <row r="4464" spans="1:22">
      <c r="A4464" t="str">
        <f t="shared" si="552"/>
        <v>NDE-8504-R</v>
      </c>
      <c r="B4464" s="403" t="s">
        <v>1410</v>
      </c>
      <c r="C4464" s="403" t="s">
        <v>582</v>
      </c>
      <c r="D4464" s="403" t="s">
        <v>1418</v>
      </c>
      <c r="E4464" s="403" t="s">
        <v>778</v>
      </c>
      <c r="F4464" s="403" t="s">
        <v>1419</v>
      </c>
      <c r="G4464" s="403" t="s">
        <v>1466</v>
      </c>
      <c r="H4464" s="403" t="s">
        <v>1281</v>
      </c>
      <c r="I4464" s="403">
        <v>1</v>
      </c>
      <c r="J4464" s="403" t="s">
        <v>1324</v>
      </c>
      <c r="K4464" s="403">
        <v>3584</v>
      </c>
      <c r="L4464" s="403">
        <v>2016</v>
      </c>
      <c r="M4464" s="403" t="s">
        <v>1283</v>
      </c>
      <c r="N4464" s="403">
        <v>720</v>
      </c>
      <c r="O4464" s="403">
        <v>480</v>
      </c>
      <c r="P4464" t="str">
        <f t="shared" si="553"/>
        <v>20fps 3584x2016 - SD 4CIF resolution 4:3 format (cropped)</v>
      </c>
      <c r="Q4464">
        <f t="shared" si="554"/>
        <v>21</v>
      </c>
      <c r="R4464" t="str">
        <f t="shared" si="555"/>
        <v/>
      </c>
      <c r="S4464" t="str">
        <f t="shared" si="556"/>
        <v/>
      </c>
      <c r="T4464" s="403" t="str">
        <f t="shared" si="557"/>
        <v>NDE-8504-R</v>
      </c>
      <c r="U4464" s="403">
        <f t="shared" si="558"/>
        <v>1</v>
      </c>
      <c r="V4464" s="403" t="str">
        <f t="shared" si="559"/>
        <v>CPP_7_3</v>
      </c>
    </row>
    <row r="4465" spans="1:22">
      <c r="A4465" t="str">
        <f t="shared" si="552"/>
        <v>NDE-8504-R</v>
      </c>
      <c r="B4465" s="403" t="s">
        <v>1410</v>
      </c>
      <c r="C4465" s="403" t="s">
        <v>582</v>
      </c>
      <c r="D4465" s="403" t="s">
        <v>1418</v>
      </c>
      <c r="E4465" s="403" t="s">
        <v>778</v>
      </c>
      <c r="F4465" s="403" t="s">
        <v>1419</v>
      </c>
      <c r="G4465" s="403" t="s">
        <v>1466</v>
      </c>
      <c r="H4465" s="403" t="s">
        <v>1281</v>
      </c>
      <c r="I4465" s="403">
        <v>1</v>
      </c>
      <c r="J4465" s="403" t="s">
        <v>1324</v>
      </c>
      <c r="K4465" s="403">
        <v>3584</v>
      </c>
      <c r="L4465" s="403">
        <v>2016</v>
      </c>
      <c r="M4465" s="403" t="s">
        <v>1279</v>
      </c>
      <c r="N4465" s="403">
        <v>768</v>
      </c>
      <c r="O4465" s="403">
        <v>432</v>
      </c>
      <c r="P4465" t="str">
        <f t="shared" si="553"/>
        <v>20fps 3584x2016 - SD ROI PTZ</v>
      </c>
      <c r="Q4465">
        <f t="shared" si="554"/>
        <v>21</v>
      </c>
      <c r="R4465" t="str">
        <f t="shared" si="555"/>
        <v/>
      </c>
      <c r="S4465" t="str">
        <f t="shared" si="556"/>
        <v/>
      </c>
      <c r="T4465" s="403" t="str">
        <f t="shared" si="557"/>
        <v>NDE-8504-R</v>
      </c>
      <c r="U4465" s="403">
        <f t="shared" si="558"/>
        <v>1</v>
      </c>
      <c r="V4465" s="403" t="str">
        <f t="shared" si="559"/>
        <v>CPP_7_3</v>
      </c>
    </row>
    <row r="4466" spans="1:22">
      <c r="A4466" t="str">
        <f t="shared" si="552"/>
        <v>NDE-8504-R</v>
      </c>
      <c r="B4466" s="403" t="s">
        <v>1410</v>
      </c>
      <c r="C4466" s="403" t="s">
        <v>582</v>
      </c>
      <c r="D4466" s="403" t="s">
        <v>1418</v>
      </c>
      <c r="E4466" s="403" t="s">
        <v>778</v>
      </c>
      <c r="F4466" s="403" t="s">
        <v>1419</v>
      </c>
      <c r="G4466" s="403" t="s">
        <v>1466</v>
      </c>
      <c r="H4466" s="403" t="s">
        <v>1281</v>
      </c>
      <c r="I4466" s="403">
        <v>1</v>
      </c>
      <c r="J4466" s="403" t="s">
        <v>1324</v>
      </c>
      <c r="K4466" s="403">
        <v>3584</v>
      </c>
      <c r="L4466" s="403">
        <v>2016</v>
      </c>
      <c r="M4466" s="403" t="s">
        <v>1284</v>
      </c>
      <c r="N4466" s="403">
        <v>640</v>
      </c>
      <c r="O4466" s="403">
        <v>480</v>
      </c>
      <c r="P4466" t="str">
        <f t="shared" si="553"/>
        <v>20fps 3584x2016 - SD VGA (cropped)</v>
      </c>
      <c r="Q4466">
        <f t="shared" si="554"/>
        <v>21</v>
      </c>
      <c r="R4466" t="str">
        <f t="shared" si="555"/>
        <v/>
      </c>
      <c r="S4466" t="str">
        <f t="shared" si="556"/>
        <v/>
      </c>
      <c r="T4466" s="403" t="str">
        <f t="shared" si="557"/>
        <v>NDE-8504-R</v>
      </c>
      <c r="U4466" s="403">
        <f t="shared" si="558"/>
        <v>1</v>
      </c>
      <c r="V4466" s="403" t="str">
        <f t="shared" si="559"/>
        <v>CPP_7_3</v>
      </c>
    </row>
    <row r="4467" spans="1:22">
      <c r="A4467" t="str">
        <f t="shared" si="552"/>
        <v>NDE-8504-R</v>
      </c>
      <c r="B4467" s="403" t="s">
        <v>1410</v>
      </c>
      <c r="C4467" s="403" t="s">
        <v>582</v>
      </c>
      <c r="D4467" s="403" t="s">
        <v>1418</v>
      </c>
      <c r="E4467" s="403" t="s">
        <v>778</v>
      </c>
      <c r="F4467" s="403" t="s">
        <v>1419</v>
      </c>
      <c r="G4467" s="403" t="s">
        <v>1466</v>
      </c>
      <c r="H4467" s="403" t="s">
        <v>1281</v>
      </c>
      <c r="I4467" s="403">
        <v>1</v>
      </c>
      <c r="J4467" s="403" t="s">
        <v>1324</v>
      </c>
      <c r="K4467" s="403">
        <v>3584</v>
      </c>
      <c r="L4467" s="403">
        <v>2016</v>
      </c>
      <c r="M4467" s="403" t="s">
        <v>1285</v>
      </c>
      <c r="N4467" s="403">
        <v>1280</v>
      </c>
      <c r="O4467" s="403">
        <v>1024</v>
      </c>
      <c r="P4467" t="str">
        <f t="shared" si="553"/>
        <v>20fps 3584x2016 - 1280x1024 5:4 (cropped)</v>
      </c>
      <c r="Q4467">
        <f t="shared" si="554"/>
        <v>21</v>
      </c>
      <c r="R4467" t="str">
        <f t="shared" si="555"/>
        <v/>
      </c>
      <c r="S4467" t="str">
        <f t="shared" si="556"/>
        <v/>
      </c>
      <c r="T4467" s="403" t="str">
        <f t="shared" si="557"/>
        <v>NDE-8504-R</v>
      </c>
      <c r="U4467" s="403">
        <f t="shared" si="558"/>
        <v>1</v>
      </c>
      <c r="V4467" s="403" t="str">
        <f t="shared" si="559"/>
        <v>CPP_7_3</v>
      </c>
    </row>
    <row r="4468" spans="1:22">
      <c r="A4468" t="str">
        <f t="shared" si="552"/>
        <v>NDE-8504-R</v>
      </c>
      <c r="B4468" s="403" t="s">
        <v>1410</v>
      </c>
      <c r="C4468" s="403" t="s">
        <v>582</v>
      </c>
      <c r="D4468" s="403" t="s">
        <v>1418</v>
      </c>
      <c r="E4468" s="403" t="s">
        <v>778</v>
      </c>
      <c r="F4468" s="403" t="s">
        <v>1419</v>
      </c>
      <c r="G4468" s="403" t="s">
        <v>1466</v>
      </c>
      <c r="H4468" s="403" t="s">
        <v>1281</v>
      </c>
      <c r="I4468" s="403">
        <v>1</v>
      </c>
      <c r="J4468" s="403" t="s">
        <v>1324</v>
      </c>
      <c r="K4468" s="403">
        <v>3584</v>
      </c>
      <c r="L4468" s="403">
        <v>2016</v>
      </c>
      <c r="M4468" s="403" t="s">
        <v>1383</v>
      </c>
      <c r="N4468" s="403">
        <v>1920</v>
      </c>
      <c r="O4468" s="403">
        <v>1440</v>
      </c>
      <c r="P4468" t="str">
        <f t="shared" si="553"/>
        <v>20fps 3584x2016 - 1920x1440_CROP</v>
      </c>
      <c r="Q4468">
        <f t="shared" si="554"/>
        <v>21</v>
      </c>
      <c r="R4468" t="str">
        <f t="shared" si="555"/>
        <v/>
      </c>
      <c r="S4468" t="str">
        <f t="shared" si="556"/>
        <v/>
      </c>
      <c r="T4468" s="403" t="str">
        <f t="shared" si="557"/>
        <v>NDE-8504-R</v>
      </c>
      <c r="U4468" s="403">
        <f t="shared" si="558"/>
        <v>1</v>
      </c>
      <c r="V4468" s="403" t="str">
        <f t="shared" si="559"/>
        <v>CPP_7_3</v>
      </c>
    </row>
    <row r="4469" spans="1:22">
      <c r="A4469" t="str">
        <f t="shared" si="552"/>
        <v>NDE-8504-R</v>
      </c>
      <c r="B4469" s="403" t="s">
        <v>1410</v>
      </c>
      <c r="C4469" s="403" t="s">
        <v>582</v>
      </c>
      <c r="D4469" s="403" t="s">
        <v>1418</v>
      </c>
      <c r="E4469" s="403" t="s">
        <v>778</v>
      </c>
      <c r="F4469" s="403" t="s">
        <v>1419</v>
      </c>
      <c r="G4469" s="403" t="s">
        <v>1467</v>
      </c>
      <c r="H4469" s="403" t="s">
        <v>1276</v>
      </c>
      <c r="I4469" s="403">
        <v>1</v>
      </c>
      <c r="J4469" s="403" t="s">
        <v>194</v>
      </c>
      <c r="K4469" s="403">
        <v>2160</v>
      </c>
      <c r="L4469" s="403">
        <v>3840</v>
      </c>
      <c r="M4469" s="403" t="s">
        <v>111</v>
      </c>
      <c r="N4469" s="403">
        <v>432</v>
      </c>
      <c r="O4469" s="403">
        <v>768</v>
      </c>
      <c r="P4469" t="str">
        <f t="shared" si="553"/>
        <v>20fps 3840x2160 - SD</v>
      </c>
      <c r="Q4469">
        <f t="shared" si="554"/>
        <v>21</v>
      </c>
      <c r="R4469" t="str">
        <f t="shared" si="555"/>
        <v/>
      </c>
      <c r="S4469" t="str">
        <f t="shared" si="556"/>
        <v/>
      </c>
      <c r="T4469" s="403" t="str">
        <f t="shared" si="557"/>
        <v>NDE-8504-R</v>
      </c>
      <c r="U4469" s="403">
        <f t="shared" si="558"/>
        <v>1</v>
      </c>
      <c r="V4469" s="403" t="str">
        <f t="shared" si="559"/>
        <v>CPP_7_3</v>
      </c>
    </row>
    <row r="4470" spans="1:22">
      <c r="A4470" t="str">
        <f t="shared" si="552"/>
        <v>NDE-8504-R</v>
      </c>
      <c r="B4470" s="403" t="s">
        <v>1410</v>
      </c>
      <c r="C4470" s="403" t="s">
        <v>582</v>
      </c>
      <c r="D4470" s="403" t="s">
        <v>1418</v>
      </c>
      <c r="E4470" s="403" t="s">
        <v>778</v>
      </c>
      <c r="F4470" s="403" t="s">
        <v>1419</v>
      </c>
      <c r="G4470" s="403" t="s">
        <v>1467</v>
      </c>
      <c r="H4470" s="403" t="s">
        <v>1276</v>
      </c>
      <c r="I4470" s="403">
        <v>1</v>
      </c>
      <c r="J4470" s="403" t="s">
        <v>194</v>
      </c>
      <c r="K4470" s="403">
        <v>2160</v>
      </c>
      <c r="L4470" s="403">
        <v>3840</v>
      </c>
      <c r="M4470" s="403" t="s">
        <v>1280</v>
      </c>
      <c r="N4470" s="403">
        <v>2160</v>
      </c>
      <c r="O4470" s="403">
        <v>3840</v>
      </c>
      <c r="P4470" t="str">
        <f t="shared" si="553"/>
        <v>20fps 3840x2160 - copy other stream</v>
      </c>
      <c r="Q4470">
        <f t="shared" si="554"/>
        <v>21</v>
      </c>
      <c r="R4470" t="str">
        <f t="shared" si="555"/>
        <v/>
      </c>
      <c r="S4470" t="str">
        <f t="shared" si="556"/>
        <v/>
      </c>
      <c r="T4470" s="403" t="str">
        <f t="shared" si="557"/>
        <v>NDE-8504-R</v>
      </c>
      <c r="U4470" s="403">
        <f t="shared" si="558"/>
        <v>1</v>
      </c>
      <c r="V4470" s="403" t="str">
        <f t="shared" si="559"/>
        <v>CPP_7_3</v>
      </c>
    </row>
    <row r="4471" spans="1:22">
      <c r="A4471" t="str">
        <f t="shared" si="552"/>
        <v>NDE-8504-R</v>
      </c>
      <c r="B4471" s="403" t="s">
        <v>1410</v>
      </c>
      <c r="C4471" s="403" t="s">
        <v>582</v>
      </c>
      <c r="D4471" s="403" t="s">
        <v>1418</v>
      </c>
      <c r="E4471" s="403" t="s">
        <v>778</v>
      </c>
      <c r="F4471" s="403" t="s">
        <v>1419</v>
      </c>
      <c r="G4471" s="403" t="s">
        <v>1467</v>
      </c>
      <c r="H4471" s="403" t="s">
        <v>1276</v>
      </c>
      <c r="I4471" s="403">
        <v>1</v>
      </c>
      <c r="J4471" s="403" t="s">
        <v>194</v>
      </c>
      <c r="K4471" s="403">
        <v>2160</v>
      </c>
      <c r="L4471" s="403">
        <v>3840</v>
      </c>
      <c r="M4471" s="403" t="s">
        <v>1420</v>
      </c>
      <c r="N4471" s="403">
        <v>2160</v>
      </c>
      <c r="O4471" s="403">
        <v>3840</v>
      </c>
      <c r="P4471" t="str">
        <f t="shared" si="553"/>
        <v>20fps 3840x2160 - 3840x2160 @ SKIP3</v>
      </c>
      <c r="Q4471">
        <f t="shared" si="554"/>
        <v>21</v>
      </c>
      <c r="R4471" t="str">
        <f t="shared" si="555"/>
        <v/>
      </c>
      <c r="S4471" t="str">
        <f t="shared" si="556"/>
        <v/>
      </c>
      <c r="T4471" s="403" t="str">
        <f t="shared" si="557"/>
        <v>NDE-8504-R</v>
      </c>
      <c r="U4471" s="403">
        <f t="shared" si="558"/>
        <v>1</v>
      </c>
      <c r="V4471" s="403" t="str">
        <f t="shared" si="559"/>
        <v>CPP_7_3</v>
      </c>
    </row>
    <row r="4472" spans="1:22">
      <c r="A4472" t="str">
        <f t="shared" si="552"/>
        <v>NDE-8504-R</v>
      </c>
      <c r="B4472" s="403" t="s">
        <v>1410</v>
      </c>
      <c r="C4472" s="403" t="s">
        <v>582</v>
      </c>
      <c r="D4472" s="403" t="s">
        <v>1418</v>
      </c>
      <c r="E4472" s="403" t="s">
        <v>778</v>
      </c>
      <c r="F4472" s="403" t="s">
        <v>1419</v>
      </c>
      <c r="G4472" s="403" t="s">
        <v>1467</v>
      </c>
      <c r="H4472" s="403" t="s">
        <v>1276</v>
      </c>
      <c r="I4472" s="403">
        <v>1</v>
      </c>
      <c r="J4472" s="403" t="s">
        <v>194</v>
      </c>
      <c r="K4472" s="403">
        <v>2160</v>
      </c>
      <c r="L4472" s="403">
        <v>3840</v>
      </c>
      <c r="M4472" s="403" t="s">
        <v>110</v>
      </c>
      <c r="N4472" s="403">
        <v>1080</v>
      </c>
      <c r="O4472" s="403">
        <v>1920</v>
      </c>
      <c r="P4472" t="str">
        <f t="shared" si="553"/>
        <v>20fps 3840x2160 - 1080p</v>
      </c>
      <c r="Q4472">
        <f t="shared" si="554"/>
        <v>21</v>
      </c>
      <c r="R4472" t="str">
        <f t="shared" si="555"/>
        <v/>
      </c>
      <c r="S4472" t="str">
        <f t="shared" si="556"/>
        <v/>
      </c>
      <c r="T4472" s="403" t="str">
        <f t="shared" si="557"/>
        <v>NDE-8504-R</v>
      </c>
      <c r="U4472" s="403">
        <f t="shared" si="558"/>
        <v>1</v>
      </c>
      <c r="V4472" s="403" t="str">
        <f t="shared" si="559"/>
        <v>CPP_7_3</v>
      </c>
    </row>
    <row r="4473" spans="1:22">
      <c r="A4473" t="str">
        <f t="shared" si="552"/>
        <v>NDE-8504-R</v>
      </c>
      <c r="B4473" s="403" t="s">
        <v>1410</v>
      </c>
      <c r="C4473" s="403" t="s">
        <v>582</v>
      </c>
      <c r="D4473" s="403" t="s">
        <v>1418</v>
      </c>
      <c r="E4473" s="403" t="s">
        <v>778</v>
      </c>
      <c r="F4473" s="403" t="s">
        <v>1419</v>
      </c>
      <c r="G4473" s="403" t="s">
        <v>1467</v>
      </c>
      <c r="H4473" s="403" t="s">
        <v>1276</v>
      </c>
      <c r="I4473" s="403">
        <v>1</v>
      </c>
      <c r="J4473" s="403" t="s">
        <v>194</v>
      </c>
      <c r="K4473" s="403">
        <v>2160</v>
      </c>
      <c r="L4473" s="403">
        <v>3840</v>
      </c>
      <c r="M4473" s="403" t="s">
        <v>109</v>
      </c>
      <c r="N4473" s="403">
        <v>720</v>
      </c>
      <c r="O4473" s="403">
        <v>1280</v>
      </c>
      <c r="P4473" t="str">
        <f t="shared" si="553"/>
        <v>20fps 3840x2160 - 720p</v>
      </c>
      <c r="Q4473">
        <f t="shared" si="554"/>
        <v>21</v>
      </c>
      <c r="R4473" t="str">
        <f t="shared" si="555"/>
        <v/>
      </c>
      <c r="S4473" t="str">
        <f t="shared" si="556"/>
        <v/>
      </c>
      <c r="T4473" s="403" t="str">
        <f t="shared" si="557"/>
        <v>NDE-8504-R</v>
      </c>
      <c r="U4473" s="403">
        <f t="shared" si="558"/>
        <v>1</v>
      </c>
      <c r="V4473" s="403" t="str">
        <f t="shared" si="559"/>
        <v>CPP_7_3</v>
      </c>
    </row>
    <row r="4474" spans="1:22">
      <c r="A4474" t="str">
        <f t="shared" si="552"/>
        <v>NDE-8504-R</v>
      </c>
      <c r="B4474" s="403" t="s">
        <v>1410</v>
      </c>
      <c r="C4474" s="403" t="s">
        <v>582</v>
      </c>
      <c r="D4474" s="403" t="s">
        <v>1418</v>
      </c>
      <c r="E4474" s="403" t="s">
        <v>778</v>
      </c>
      <c r="F4474" s="403" t="s">
        <v>1419</v>
      </c>
      <c r="G4474" s="403" t="s">
        <v>1467</v>
      </c>
      <c r="H4474" s="403" t="s">
        <v>1276</v>
      </c>
      <c r="I4474" s="403">
        <v>1</v>
      </c>
      <c r="J4474" s="403" t="s">
        <v>194</v>
      </c>
      <c r="K4474" s="403">
        <v>2160</v>
      </c>
      <c r="L4474" s="403">
        <v>3840</v>
      </c>
      <c r="M4474" s="403" t="s">
        <v>1283</v>
      </c>
      <c r="N4474" s="403">
        <v>480</v>
      </c>
      <c r="O4474" s="403">
        <v>720</v>
      </c>
      <c r="P4474" t="str">
        <f t="shared" si="553"/>
        <v>20fps 3840x2160 - SD 4CIF resolution 4:3 format (cropped)</v>
      </c>
      <c r="Q4474">
        <f t="shared" si="554"/>
        <v>21</v>
      </c>
      <c r="R4474" t="str">
        <f t="shared" si="555"/>
        <v/>
      </c>
      <c r="S4474" t="str">
        <f t="shared" si="556"/>
        <v/>
      </c>
      <c r="T4474" s="403" t="str">
        <f t="shared" si="557"/>
        <v>NDE-8504-R</v>
      </c>
      <c r="U4474" s="403">
        <f t="shared" si="558"/>
        <v>1</v>
      </c>
      <c r="V4474" s="403" t="str">
        <f t="shared" si="559"/>
        <v>CPP_7_3</v>
      </c>
    </row>
    <row r="4475" spans="1:22">
      <c r="A4475" t="str">
        <f t="shared" si="552"/>
        <v>NDE-8504-R</v>
      </c>
      <c r="B4475" s="403" t="s">
        <v>1410</v>
      </c>
      <c r="C4475" s="403" t="s">
        <v>582</v>
      </c>
      <c r="D4475" s="403" t="s">
        <v>1418</v>
      </c>
      <c r="E4475" s="403" t="s">
        <v>778</v>
      </c>
      <c r="F4475" s="403" t="s">
        <v>1419</v>
      </c>
      <c r="G4475" s="403" t="s">
        <v>1467</v>
      </c>
      <c r="H4475" s="403" t="s">
        <v>1276</v>
      </c>
      <c r="I4475" s="403">
        <v>1</v>
      </c>
      <c r="J4475" s="403" t="s">
        <v>194</v>
      </c>
      <c r="K4475" s="403">
        <v>2160</v>
      </c>
      <c r="L4475" s="403">
        <v>3840</v>
      </c>
      <c r="M4475" s="403" t="s">
        <v>1284</v>
      </c>
      <c r="N4475" s="403">
        <v>480</v>
      </c>
      <c r="O4475" s="403">
        <v>640</v>
      </c>
      <c r="P4475" t="str">
        <f t="shared" si="553"/>
        <v>20fps 3840x2160 - SD VGA (cropped)</v>
      </c>
      <c r="Q4475">
        <f t="shared" si="554"/>
        <v>21</v>
      </c>
      <c r="R4475" t="str">
        <f t="shared" si="555"/>
        <v/>
      </c>
      <c r="S4475" t="str">
        <f t="shared" si="556"/>
        <v/>
      </c>
      <c r="T4475" s="403" t="str">
        <f t="shared" si="557"/>
        <v>NDE-8504-R</v>
      </c>
      <c r="U4475" s="403">
        <f t="shared" si="558"/>
        <v>1</v>
      </c>
      <c r="V4475" s="403" t="str">
        <f t="shared" si="559"/>
        <v>CPP_7_3</v>
      </c>
    </row>
    <row r="4476" spans="1:22">
      <c r="A4476" t="str">
        <f t="shared" si="552"/>
        <v>NDE-8504-R</v>
      </c>
      <c r="B4476" s="403" t="s">
        <v>1410</v>
      </c>
      <c r="C4476" s="403" t="s">
        <v>582</v>
      </c>
      <c r="D4476" s="403" t="s">
        <v>1418</v>
      </c>
      <c r="E4476" s="403" t="s">
        <v>778</v>
      </c>
      <c r="F4476" s="403" t="s">
        <v>1419</v>
      </c>
      <c r="G4476" s="403" t="s">
        <v>1467</v>
      </c>
      <c r="H4476" s="403" t="s">
        <v>1276</v>
      </c>
      <c r="I4476" s="403">
        <v>1</v>
      </c>
      <c r="J4476" s="403" t="s">
        <v>194</v>
      </c>
      <c r="K4476" s="403">
        <v>2160</v>
      </c>
      <c r="L4476" s="403">
        <v>3840</v>
      </c>
      <c r="M4476" s="403" t="s">
        <v>1285</v>
      </c>
      <c r="N4476" s="403">
        <v>1024</v>
      </c>
      <c r="O4476" s="403">
        <v>1280</v>
      </c>
      <c r="P4476" t="str">
        <f t="shared" si="553"/>
        <v>20fps 3840x2160 - 1280x1024 5:4 (cropped)</v>
      </c>
      <c r="Q4476">
        <f t="shared" si="554"/>
        <v>21</v>
      </c>
      <c r="R4476" t="str">
        <f t="shared" si="555"/>
        <v/>
      </c>
      <c r="S4476" t="str">
        <f t="shared" si="556"/>
        <v/>
      </c>
      <c r="T4476" s="403" t="str">
        <f t="shared" si="557"/>
        <v>NDE-8504-R</v>
      </c>
      <c r="U4476" s="403">
        <f t="shared" si="558"/>
        <v>1</v>
      </c>
      <c r="V4476" s="403" t="str">
        <f t="shared" si="559"/>
        <v>CPP_7_3</v>
      </c>
    </row>
    <row r="4477" spans="1:22">
      <c r="A4477" t="str">
        <f t="shared" si="552"/>
        <v>NDE-8504-R</v>
      </c>
      <c r="B4477" s="403" t="s">
        <v>1410</v>
      </c>
      <c r="C4477" s="403" t="s">
        <v>582</v>
      </c>
      <c r="D4477" s="403" t="s">
        <v>1418</v>
      </c>
      <c r="E4477" s="403" t="s">
        <v>778</v>
      </c>
      <c r="F4477" s="403" t="s">
        <v>1419</v>
      </c>
      <c r="G4477" s="403" t="s">
        <v>1467</v>
      </c>
      <c r="H4477" s="403" t="s">
        <v>1276</v>
      </c>
      <c r="I4477" s="403">
        <v>1</v>
      </c>
      <c r="J4477" s="403" t="s">
        <v>194</v>
      </c>
      <c r="K4477" s="403">
        <v>2160</v>
      </c>
      <c r="L4477" s="403">
        <v>3840</v>
      </c>
      <c r="M4477" s="403" t="s">
        <v>1383</v>
      </c>
      <c r="N4477" s="403">
        <v>1440</v>
      </c>
      <c r="O4477" s="403">
        <v>1920</v>
      </c>
      <c r="P4477" t="str">
        <f t="shared" si="553"/>
        <v>20fps 3840x2160 - 1920x1440_CROP</v>
      </c>
      <c r="Q4477">
        <f t="shared" si="554"/>
        <v>21</v>
      </c>
      <c r="R4477" t="str">
        <f t="shared" si="555"/>
        <v/>
      </c>
      <c r="S4477" t="str">
        <f t="shared" si="556"/>
        <v/>
      </c>
      <c r="T4477" s="403" t="str">
        <f t="shared" si="557"/>
        <v>NDE-8504-R</v>
      </c>
      <c r="U4477" s="403">
        <f t="shared" si="558"/>
        <v>1</v>
      </c>
      <c r="V4477" s="403" t="str">
        <f t="shared" si="559"/>
        <v>CPP_7_3</v>
      </c>
    </row>
    <row r="4478" spans="1:22">
      <c r="A4478" t="str">
        <f t="shared" si="552"/>
        <v>NDE-8504-R</v>
      </c>
      <c r="B4478" s="403" t="s">
        <v>1410</v>
      </c>
      <c r="C4478" s="403" t="s">
        <v>582</v>
      </c>
      <c r="D4478" s="403" t="s">
        <v>1418</v>
      </c>
      <c r="E4478" s="403" t="s">
        <v>778</v>
      </c>
      <c r="F4478" s="403" t="s">
        <v>1419</v>
      </c>
      <c r="G4478" s="403" t="s">
        <v>1467</v>
      </c>
      <c r="H4478" s="403" t="s">
        <v>1276</v>
      </c>
      <c r="I4478" s="403">
        <v>1</v>
      </c>
      <c r="J4478" s="403" t="s">
        <v>1324</v>
      </c>
      <c r="K4478" s="403">
        <v>2016</v>
      </c>
      <c r="L4478" s="403">
        <v>3584</v>
      </c>
      <c r="M4478" s="403" t="s">
        <v>111</v>
      </c>
      <c r="N4478" s="403">
        <v>432</v>
      </c>
      <c r="O4478" s="403">
        <v>768</v>
      </c>
      <c r="P4478" t="str">
        <f t="shared" si="553"/>
        <v>20fps 3584x2016 - SD</v>
      </c>
      <c r="Q4478">
        <f t="shared" si="554"/>
        <v>21</v>
      </c>
      <c r="R4478" t="str">
        <f t="shared" si="555"/>
        <v/>
      </c>
      <c r="S4478" t="str">
        <f t="shared" si="556"/>
        <v/>
      </c>
      <c r="T4478" s="403" t="str">
        <f t="shared" si="557"/>
        <v>NDE-8504-R</v>
      </c>
      <c r="U4478" s="403">
        <f t="shared" si="558"/>
        <v>1</v>
      </c>
      <c r="V4478" s="403" t="str">
        <f t="shared" si="559"/>
        <v>CPP_7_3</v>
      </c>
    </row>
    <row r="4479" spans="1:22">
      <c r="A4479" t="str">
        <f t="shared" si="552"/>
        <v>NDE-8504-R</v>
      </c>
      <c r="B4479" s="403" t="s">
        <v>1410</v>
      </c>
      <c r="C4479" s="403" t="s">
        <v>582</v>
      </c>
      <c r="D4479" s="403" t="s">
        <v>1418</v>
      </c>
      <c r="E4479" s="403" t="s">
        <v>778</v>
      </c>
      <c r="F4479" s="403" t="s">
        <v>1419</v>
      </c>
      <c r="G4479" s="403" t="s">
        <v>1467</v>
      </c>
      <c r="H4479" s="403" t="s">
        <v>1276</v>
      </c>
      <c r="I4479" s="403">
        <v>1</v>
      </c>
      <c r="J4479" s="403" t="s">
        <v>1324</v>
      </c>
      <c r="K4479" s="403">
        <v>2016</v>
      </c>
      <c r="L4479" s="403">
        <v>3584</v>
      </c>
      <c r="M4479" s="403" t="s">
        <v>1280</v>
      </c>
      <c r="N4479" s="403">
        <v>2016</v>
      </c>
      <c r="O4479" s="403">
        <v>3584</v>
      </c>
      <c r="P4479" t="str">
        <f t="shared" si="553"/>
        <v>20fps 3584x2016 - copy other stream</v>
      </c>
      <c r="Q4479">
        <f t="shared" si="554"/>
        <v>21</v>
      </c>
      <c r="R4479" t="str">
        <f t="shared" si="555"/>
        <v/>
      </c>
      <c r="S4479" t="str">
        <f t="shared" si="556"/>
        <v/>
      </c>
      <c r="T4479" s="403" t="str">
        <f t="shared" si="557"/>
        <v>NDE-8504-R</v>
      </c>
      <c r="U4479" s="403">
        <f t="shared" si="558"/>
        <v>1</v>
      </c>
      <c r="V4479" s="403" t="str">
        <f t="shared" si="559"/>
        <v>CPP_7_3</v>
      </c>
    </row>
    <row r="4480" spans="1:22">
      <c r="A4480" t="str">
        <f t="shared" si="552"/>
        <v>NDE-8504-R</v>
      </c>
      <c r="B4480" s="403" t="s">
        <v>1410</v>
      </c>
      <c r="C4480" s="403" t="s">
        <v>582</v>
      </c>
      <c r="D4480" s="403" t="s">
        <v>1418</v>
      </c>
      <c r="E4480" s="403" t="s">
        <v>778</v>
      </c>
      <c r="F4480" s="403" t="s">
        <v>1419</v>
      </c>
      <c r="G4480" s="403" t="s">
        <v>1467</v>
      </c>
      <c r="H4480" s="403" t="s">
        <v>1276</v>
      </c>
      <c r="I4480" s="403">
        <v>1</v>
      </c>
      <c r="J4480" s="403" t="s">
        <v>1324</v>
      </c>
      <c r="K4480" s="403">
        <v>2016</v>
      </c>
      <c r="L4480" s="403">
        <v>3584</v>
      </c>
      <c r="M4480" s="403" t="s">
        <v>1421</v>
      </c>
      <c r="N4480" s="403">
        <v>2016</v>
      </c>
      <c r="O4480" s="403">
        <v>3584</v>
      </c>
      <c r="P4480" t="str">
        <f t="shared" si="553"/>
        <v>20fps 3584x2016 - 3584x2016 @ SKIP2</v>
      </c>
      <c r="Q4480">
        <f t="shared" si="554"/>
        <v>21</v>
      </c>
      <c r="R4480" t="str">
        <f t="shared" si="555"/>
        <v/>
      </c>
      <c r="S4480" t="str">
        <f t="shared" si="556"/>
        <v/>
      </c>
      <c r="T4480" s="403" t="str">
        <f t="shared" si="557"/>
        <v>NDE-8504-R</v>
      </c>
      <c r="U4480" s="403">
        <f t="shared" si="558"/>
        <v>1</v>
      </c>
      <c r="V4480" s="403" t="str">
        <f t="shared" si="559"/>
        <v>CPP_7_3</v>
      </c>
    </row>
    <row r="4481" spans="1:22">
      <c r="A4481" t="str">
        <f t="shared" si="552"/>
        <v>NDE-8504-R</v>
      </c>
      <c r="B4481" s="403" t="s">
        <v>1410</v>
      </c>
      <c r="C4481" s="403" t="s">
        <v>582</v>
      </c>
      <c r="D4481" s="403" t="s">
        <v>1418</v>
      </c>
      <c r="E4481" s="403" t="s">
        <v>778</v>
      </c>
      <c r="F4481" s="403" t="s">
        <v>1419</v>
      </c>
      <c r="G4481" s="403" t="s">
        <v>1467</v>
      </c>
      <c r="H4481" s="403" t="s">
        <v>1276</v>
      </c>
      <c r="I4481" s="403">
        <v>1</v>
      </c>
      <c r="J4481" s="403" t="s">
        <v>1324</v>
      </c>
      <c r="K4481" s="403">
        <v>2016</v>
      </c>
      <c r="L4481" s="403">
        <v>3584</v>
      </c>
      <c r="M4481" s="403" t="s">
        <v>110</v>
      </c>
      <c r="N4481" s="403">
        <v>1080</v>
      </c>
      <c r="O4481" s="403">
        <v>1920</v>
      </c>
      <c r="P4481" t="str">
        <f t="shared" si="553"/>
        <v>20fps 3584x2016 - 1080p</v>
      </c>
      <c r="Q4481">
        <f t="shared" si="554"/>
        <v>21</v>
      </c>
      <c r="R4481" t="str">
        <f t="shared" si="555"/>
        <v/>
      </c>
      <c r="S4481" t="str">
        <f t="shared" si="556"/>
        <v/>
      </c>
      <c r="T4481" s="403" t="str">
        <f t="shared" si="557"/>
        <v>NDE-8504-R</v>
      </c>
      <c r="U4481" s="403">
        <f t="shared" si="558"/>
        <v>1</v>
      </c>
      <c r="V4481" s="403" t="str">
        <f t="shared" si="559"/>
        <v>CPP_7_3</v>
      </c>
    </row>
    <row r="4482" spans="1:22">
      <c r="A4482" t="str">
        <f t="shared" ref="A4482:A4545" si="560">IF(AND(G4482&lt;&gt;"rotate 90°"),D4482,"")</f>
        <v>NDE-8504-R</v>
      </c>
      <c r="B4482" s="403" t="s">
        <v>1410</v>
      </c>
      <c r="C4482" s="403" t="s">
        <v>582</v>
      </c>
      <c r="D4482" s="403" t="s">
        <v>1418</v>
      </c>
      <c r="E4482" s="403" t="s">
        <v>778</v>
      </c>
      <c r="F4482" s="403" t="s">
        <v>1419</v>
      </c>
      <c r="G4482" s="403" t="s">
        <v>1467</v>
      </c>
      <c r="H4482" s="403" t="s">
        <v>1276</v>
      </c>
      <c r="I4482" s="403">
        <v>1</v>
      </c>
      <c r="J4482" s="403" t="s">
        <v>1324</v>
      </c>
      <c r="K4482" s="403">
        <v>2016</v>
      </c>
      <c r="L4482" s="403">
        <v>3584</v>
      </c>
      <c r="M4482" s="403" t="s">
        <v>109</v>
      </c>
      <c r="N4482" s="403">
        <v>720</v>
      </c>
      <c r="O4482" s="403">
        <v>1280</v>
      </c>
      <c r="P4482" t="str">
        <f t="shared" ref="P4482:P4545" si="561">LEFT(F4482,5)&amp;" "&amp;J4482&amp;" - "&amp;M4482</f>
        <v>20fps 3584x2016 - 720p</v>
      </c>
      <c r="Q4482">
        <f t="shared" ref="Q4482:Q4545" si="562">IF(A4481=A4482,Q4481,Q4481+1)</f>
        <v>21</v>
      </c>
      <c r="R4482" t="str">
        <f t="shared" ref="R4482:R4545" si="563">IF(Q4481&lt;&gt;Q4482,Q4482,"")</f>
        <v/>
      </c>
      <c r="S4482" t="str">
        <f t="shared" ref="S4482:S4545" si="564">IF(R4482&lt;&gt;"",B4482&amp;" ("&amp;D4482&amp;")","")</f>
        <v/>
      </c>
      <c r="T4482" s="403" t="str">
        <f t="shared" ref="T4482:T4545" si="565">D4482</f>
        <v>NDE-8504-R</v>
      </c>
      <c r="U4482" s="403">
        <f t="shared" ref="U4482:U4545" si="566">I4482</f>
        <v>1</v>
      </c>
      <c r="V4482" s="403" t="str">
        <f t="shared" ref="V4482:V4545" si="567">C4482</f>
        <v>CPP_7_3</v>
      </c>
    </row>
    <row r="4483" spans="1:22">
      <c r="A4483" t="str">
        <f t="shared" si="560"/>
        <v>NDE-8504-R</v>
      </c>
      <c r="B4483" s="403" t="s">
        <v>1410</v>
      </c>
      <c r="C4483" s="403" t="s">
        <v>582</v>
      </c>
      <c r="D4483" s="403" t="s">
        <v>1418</v>
      </c>
      <c r="E4483" s="403" t="s">
        <v>778</v>
      </c>
      <c r="F4483" s="403" t="s">
        <v>1419</v>
      </c>
      <c r="G4483" s="403" t="s">
        <v>1467</v>
      </c>
      <c r="H4483" s="403" t="s">
        <v>1276</v>
      </c>
      <c r="I4483" s="403">
        <v>1</v>
      </c>
      <c r="J4483" s="403" t="s">
        <v>1324</v>
      </c>
      <c r="K4483" s="403">
        <v>2016</v>
      </c>
      <c r="L4483" s="403">
        <v>3584</v>
      </c>
      <c r="M4483" s="403" t="s">
        <v>1283</v>
      </c>
      <c r="N4483" s="403">
        <v>480</v>
      </c>
      <c r="O4483" s="403">
        <v>720</v>
      </c>
      <c r="P4483" t="str">
        <f t="shared" si="561"/>
        <v>20fps 3584x2016 - SD 4CIF resolution 4:3 format (cropped)</v>
      </c>
      <c r="Q4483">
        <f t="shared" si="562"/>
        <v>21</v>
      </c>
      <c r="R4483" t="str">
        <f t="shared" si="563"/>
        <v/>
      </c>
      <c r="S4483" t="str">
        <f t="shared" si="564"/>
        <v/>
      </c>
      <c r="T4483" s="403" t="str">
        <f t="shared" si="565"/>
        <v>NDE-8504-R</v>
      </c>
      <c r="U4483" s="403">
        <f t="shared" si="566"/>
        <v>1</v>
      </c>
      <c r="V4483" s="403" t="str">
        <f t="shared" si="567"/>
        <v>CPP_7_3</v>
      </c>
    </row>
    <row r="4484" spans="1:22">
      <c r="A4484" t="str">
        <f t="shared" si="560"/>
        <v>NDE-8504-R</v>
      </c>
      <c r="B4484" s="403" t="s">
        <v>1410</v>
      </c>
      <c r="C4484" s="403" t="s">
        <v>582</v>
      </c>
      <c r="D4484" s="403" t="s">
        <v>1418</v>
      </c>
      <c r="E4484" s="403" t="s">
        <v>778</v>
      </c>
      <c r="F4484" s="403" t="s">
        <v>1419</v>
      </c>
      <c r="G4484" s="403" t="s">
        <v>1467</v>
      </c>
      <c r="H4484" s="403" t="s">
        <v>1276</v>
      </c>
      <c r="I4484" s="403">
        <v>1</v>
      </c>
      <c r="J4484" s="403" t="s">
        <v>1324</v>
      </c>
      <c r="K4484" s="403">
        <v>2016</v>
      </c>
      <c r="L4484" s="403">
        <v>3584</v>
      </c>
      <c r="M4484" s="403" t="s">
        <v>1279</v>
      </c>
      <c r="N4484" s="403">
        <v>432</v>
      </c>
      <c r="O4484" s="403">
        <v>768</v>
      </c>
      <c r="P4484" t="str">
        <f t="shared" si="561"/>
        <v>20fps 3584x2016 - SD ROI PTZ</v>
      </c>
      <c r="Q4484">
        <f t="shared" si="562"/>
        <v>21</v>
      </c>
      <c r="R4484" t="str">
        <f t="shared" si="563"/>
        <v/>
      </c>
      <c r="S4484" t="str">
        <f t="shared" si="564"/>
        <v/>
      </c>
      <c r="T4484" s="403" t="str">
        <f t="shared" si="565"/>
        <v>NDE-8504-R</v>
      </c>
      <c r="U4484" s="403">
        <f t="shared" si="566"/>
        <v>1</v>
      </c>
      <c r="V4484" s="403" t="str">
        <f t="shared" si="567"/>
        <v>CPP_7_3</v>
      </c>
    </row>
    <row r="4485" spans="1:22">
      <c r="A4485" t="str">
        <f t="shared" si="560"/>
        <v>NDE-8504-R</v>
      </c>
      <c r="B4485" s="403" t="s">
        <v>1410</v>
      </c>
      <c r="C4485" s="403" t="s">
        <v>582</v>
      </c>
      <c r="D4485" s="403" t="s">
        <v>1418</v>
      </c>
      <c r="E4485" s="403" t="s">
        <v>778</v>
      </c>
      <c r="F4485" s="403" t="s">
        <v>1419</v>
      </c>
      <c r="G4485" s="403" t="s">
        <v>1467</v>
      </c>
      <c r="H4485" s="403" t="s">
        <v>1276</v>
      </c>
      <c r="I4485" s="403">
        <v>1</v>
      </c>
      <c r="J4485" s="403" t="s">
        <v>1324</v>
      </c>
      <c r="K4485" s="403">
        <v>2016</v>
      </c>
      <c r="L4485" s="403">
        <v>3584</v>
      </c>
      <c r="M4485" s="403" t="s">
        <v>1284</v>
      </c>
      <c r="N4485" s="403">
        <v>480</v>
      </c>
      <c r="O4485" s="403">
        <v>640</v>
      </c>
      <c r="P4485" t="str">
        <f t="shared" si="561"/>
        <v>20fps 3584x2016 - SD VGA (cropped)</v>
      </c>
      <c r="Q4485">
        <f t="shared" si="562"/>
        <v>21</v>
      </c>
      <c r="R4485" t="str">
        <f t="shared" si="563"/>
        <v/>
      </c>
      <c r="S4485" t="str">
        <f t="shared" si="564"/>
        <v/>
      </c>
      <c r="T4485" s="403" t="str">
        <f t="shared" si="565"/>
        <v>NDE-8504-R</v>
      </c>
      <c r="U4485" s="403">
        <f t="shared" si="566"/>
        <v>1</v>
      </c>
      <c r="V4485" s="403" t="str">
        <f t="shared" si="567"/>
        <v>CPP_7_3</v>
      </c>
    </row>
    <row r="4486" spans="1:22">
      <c r="A4486" t="str">
        <f t="shared" si="560"/>
        <v>NDE-8504-R</v>
      </c>
      <c r="B4486" s="403" t="s">
        <v>1410</v>
      </c>
      <c r="C4486" s="403" t="s">
        <v>582</v>
      </c>
      <c r="D4486" s="403" t="s">
        <v>1418</v>
      </c>
      <c r="E4486" s="403" t="s">
        <v>778</v>
      </c>
      <c r="F4486" s="403" t="s">
        <v>1419</v>
      </c>
      <c r="G4486" s="403" t="s">
        <v>1467</v>
      </c>
      <c r="H4486" s="403" t="s">
        <v>1276</v>
      </c>
      <c r="I4486" s="403">
        <v>1</v>
      </c>
      <c r="J4486" s="403" t="s">
        <v>1324</v>
      </c>
      <c r="K4486" s="403">
        <v>2016</v>
      </c>
      <c r="L4486" s="403">
        <v>3584</v>
      </c>
      <c r="M4486" s="403" t="s">
        <v>1285</v>
      </c>
      <c r="N4486" s="403">
        <v>1024</v>
      </c>
      <c r="O4486" s="403">
        <v>1280</v>
      </c>
      <c r="P4486" t="str">
        <f t="shared" si="561"/>
        <v>20fps 3584x2016 - 1280x1024 5:4 (cropped)</v>
      </c>
      <c r="Q4486">
        <f t="shared" si="562"/>
        <v>21</v>
      </c>
      <c r="R4486" t="str">
        <f t="shared" si="563"/>
        <v/>
      </c>
      <c r="S4486" t="str">
        <f t="shared" si="564"/>
        <v/>
      </c>
      <c r="T4486" s="403" t="str">
        <f t="shared" si="565"/>
        <v>NDE-8504-R</v>
      </c>
      <c r="U4486" s="403">
        <f t="shared" si="566"/>
        <v>1</v>
      </c>
      <c r="V4486" s="403" t="str">
        <f t="shared" si="567"/>
        <v>CPP_7_3</v>
      </c>
    </row>
    <row r="4487" spans="1:22">
      <c r="A4487" t="str">
        <f t="shared" si="560"/>
        <v>NDE-8504-R</v>
      </c>
      <c r="B4487" s="403" t="s">
        <v>1410</v>
      </c>
      <c r="C4487" s="403" t="s">
        <v>582</v>
      </c>
      <c r="D4487" s="403" t="s">
        <v>1418</v>
      </c>
      <c r="E4487" s="403" t="s">
        <v>778</v>
      </c>
      <c r="F4487" s="403" t="s">
        <v>1419</v>
      </c>
      <c r="G4487" s="403" t="s">
        <v>1467</v>
      </c>
      <c r="H4487" s="403" t="s">
        <v>1276</v>
      </c>
      <c r="I4487" s="403">
        <v>1</v>
      </c>
      <c r="J4487" s="403" t="s">
        <v>1324</v>
      </c>
      <c r="K4487" s="403">
        <v>2016</v>
      </c>
      <c r="L4487" s="403">
        <v>3584</v>
      </c>
      <c r="M4487" s="403" t="s">
        <v>1383</v>
      </c>
      <c r="N4487" s="403">
        <v>1440</v>
      </c>
      <c r="O4487" s="403">
        <v>1920</v>
      </c>
      <c r="P4487" t="str">
        <f t="shared" si="561"/>
        <v>20fps 3584x2016 - 1920x1440_CROP</v>
      </c>
      <c r="Q4487">
        <f t="shared" si="562"/>
        <v>21</v>
      </c>
      <c r="R4487" t="str">
        <f t="shared" si="563"/>
        <v/>
      </c>
      <c r="S4487" t="str">
        <f t="shared" si="564"/>
        <v/>
      </c>
      <c r="T4487" s="403" t="str">
        <f t="shared" si="565"/>
        <v>NDE-8504-R</v>
      </c>
      <c r="U4487" s="403">
        <f t="shared" si="566"/>
        <v>1</v>
      </c>
      <c r="V4487" s="403" t="str">
        <f t="shared" si="567"/>
        <v>CPP_7_3</v>
      </c>
    </row>
    <row r="4488" spans="1:22">
      <c r="A4488" t="str">
        <f t="shared" si="560"/>
        <v>NDE-8504-R</v>
      </c>
      <c r="B4488" s="403" t="s">
        <v>1410</v>
      </c>
      <c r="C4488" s="403" t="s">
        <v>582</v>
      </c>
      <c r="D4488" s="403" t="s">
        <v>1418</v>
      </c>
      <c r="E4488" s="403" t="s">
        <v>778</v>
      </c>
      <c r="F4488" s="403" t="s">
        <v>1419</v>
      </c>
      <c r="G4488" s="403" t="s">
        <v>1467</v>
      </c>
      <c r="H4488" s="403" t="s">
        <v>1281</v>
      </c>
      <c r="I4488" s="403">
        <v>1</v>
      </c>
      <c r="J4488" s="403" t="s">
        <v>194</v>
      </c>
      <c r="K4488" s="403">
        <v>2160</v>
      </c>
      <c r="L4488" s="403">
        <v>3840</v>
      </c>
      <c r="M4488" s="403" t="s">
        <v>111</v>
      </c>
      <c r="N4488" s="403">
        <v>432</v>
      </c>
      <c r="O4488" s="403">
        <v>768</v>
      </c>
      <c r="P4488" t="str">
        <f t="shared" si="561"/>
        <v>20fps 3840x2160 - SD</v>
      </c>
      <c r="Q4488">
        <f t="shared" si="562"/>
        <v>21</v>
      </c>
      <c r="R4488" t="str">
        <f t="shared" si="563"/>
        <v/>
      </c>
      <c r="S4488" t="str">
        <f t="shared" si="564"/>
        <v/>
      </c>
      <c r="T4488" s="403" t="str">
        <f t="shared" si="565"/>
        <v>NDE-8504-R</v>
      </c>
      <c r="U4488" s="403">
        <f t="shared" si="566"/>
        <v>1</v>
      </c>
      <c r="V4488" s="403" t="str">
        <f t="shared" si="567"/>
        <v>CPP_7_3</v>
      </c>
    </row>
    <row r="4489" spans="1:22">
      <c r="A4489" t="str">
        <f t="shared" si="560"/>
        <v>NDE-8504-R</v>
      </c>
      <c r="B4489" s="403" t="s">
        <v>1410</v>
      </c>
      <c r="C4489" s="403" t="s">
        <v>582</v>
      </c>
      <c r="D4489" s="403" t="s">
        <v>1418</v>
      </c>
      <c r="E4489" s="403" t="s">
        <v>778</v>
      </c>
      <c r="F4489" s="403" t="s">
        <v>1419</v>
      </c>
      <c r="G4489" s="403" t="s">
        <v>1467</v>
      </c>
      <c r="H4489" s="403" t="s">
        <v>1281</v>
      </c>
      <c r="I4489" s="403">
        <v>1</v>
      </c>
      <c r="J4489" s="403" t="s">
        <v>194</v>
      </c>
      <c r="K4489" s="403">
        <v>2160</v>
      </c>
      <c r="L4489" s="403">
        <v>3840</v>
      </c>
      <c r="M4489" s="403" t="s">
        <v>1280</v>
      </c>
      <c r="N4489" s="403">
        <v>2160</v>
      </c>
      <c r="O4489" s="403">
        <v>3840</v>
      </c>
      <c r="P4489" t="str">
        <f t="shared" si="561"/>
        <v>20fps 3840x2160 - copy other stream</v>
      </c>
      <c r="Q4489">
        <f t="shared" si="562"/>
        <v>21</v>
      </c>
      <c r="R4489" t="str">
        <f t="shared" si="563"/>
        <v/>
      </c>
      <c r="S4489" t="str">
        <f t="shared" si="564"/>
        <v/>
      </c>
      <c r="T4489" s="403" t="str">
        <f t="shared" si="565"/>
        <v>NDE-8504-R</v>
      </c>
      <c r="U4489" s="403">
        <f t="shared" si="566"/>
        <v>1</v>
      </c>
      <c r="V4489" s="403" t="str">
        <f t="shared" si="567"/>
        <v>CPP_7_3</v>
      </c>
    </row>
    <row r="4490" spans="1:22">
      <c r="A4490" t="str">
        <f t="shared" si="560"/>
        <v>NDE-8504-R</v>
      </c>
      <c r="B4490" s="403" t="s">
        <v>1410</v>
      </c>
      <c r="C4490" s="403" t="s">
        <v>582</v>
      </c>
      <c r="D4490" s="403" t="s">
        <v>1418</v>
      </c>
      <c r="E4490" s="403" t="s">
        <v>778</v>
      </c>
      <c r="F4490" s="403" t="s">
        <v>1419</v>
      </c>
      <c r="G4490" s="403" t="s">
        <v>1467</v>
      </c>
      <c r="H4490" s="403" t="s">
        <v>1281</v>
      </c>
      <c r="I4490" s="403">
        <v>1</v>
      </c>
      <c r="J4490" s="403" t="s">
        <v>194</v>
      </c>
      <c r="K4490" s="403">
        <v>2160</v>
      </c>
      <c r="L4490" s="403">
        <v>3840</v>
      </c>
      <c r="M4490" s="403" t="s">
        <v>1420</v>
      </c>
      <c r="N4490" s="403">
        <v>2160</v>
      </c>
      <c r="O4490" s="403">
        <v>3840</v>
      </c>
      <c r="P4490" t="str">
        <f t="shared" si="561"/>
        <v>20fps 3840x2160 - 3840x2160 @ SKIP3</v>
      </c>
      <c r="Q4490">
        <f t="shared" si="562"/>
        <v>21</v>
      </c>
      <c r="R4490" t="str">
        <f t="shared" si="563"/>
        <v/>
      </c>
      <c r="S4490" t="str">
        <f t="shared" si="564"/>
        <v/>
      </c>
      <c r="T4490" s="403" t="str">
        <f t="shared" si="565"/>
        <v>NDE-8504-R</v>
      </c>
      <c r="U4490" s="403">
        <f t="shared" si="566"/>
        <v>1</v>
      </c>
      <c r="V4490" s="403" t="str">
        <f t="shared" si="567"/>
        <v>CPP_7_3</v>
      </c>
    </row>
    <row r="4491" spans="1:22">
      <c r="A4491" t="str">
        <f t="shared" si="560"/>
        <v>NDE-8504-R</v>
      </c>
      <c r="B4491" s="403" t="s">
        <v>1410</v>
      </c>
      <c r="C4491" s="403" t="s">
        <v>582</v>
      </c>
      <c r="D4491" s="403" t="s">
        <v>1418</v>
      </c>
      <c r="E4491" s="403" t="s">
        <v>778</v>
      </c>
      <c r="F4491" s="403" t="s">
        <v>1419</v>
      </c>
      <c r="G4491" s="403" t="s">
        <v>1467</v>
      </c>
      <c r="H4491" s="403" t="s">
        <v>1281</v>
      </c>
      <c r="I4491" s="403">
        <v>1</v>
      </c>
      <c r="J4491" s="403" t="s">
        <v>194</v>
      </c>
      <c r="K4491" s="403">
        <v>2160</v>
      </c>
      <c r="L4491" s="403">
        <v>3840</v>
      </c>
      <c r="M4491" s="403" t="s">
        <v>110</v>
      </c>
      <c r="N4491" s="403">
        <v>1080</v>
      </c>
      <c r="O4491" s="403">
        <v>1920</v>
      </c>
      <c r="P4491" t="str">
        <f t="shared" si="561"/>
        <v>20fps 3840x2160 - 1080p</v>
      </c>
      <c r="Q4491">
        <f t="shared" si="562"/>
        <v>21</v>
      </c>
      <c r="R4491" t="str">
        <f t="shared" si="563"/>
        <v/>
      </c>
      <c r="S4491" t="str">
        <f t="shared" si="564"/>
        <v/>
      </c>
      <c r="T4491" s="403" t="str">
        <f t="shared" si="565"/>
        <v>NDE-8504-R</v>
      </c>
      <c r="U4491" s="403">
        <f t="shared" si="566"/>
        <v>1</v>
      </c>
      <c r="V4491" s="403" t="str">
        <f t="shared" si="567"/>
        <v>CPP_7_3</v>
      </c>
    </row>
    <row r="4492" spans="1:22">
      <c r="A4492" t="str">
        <f t="shared" si="560"/>
        <v>NDE-8504-R</v>
      </c>
      <c r="B4492" s="403" t="s">
        <v>1410</v>
      </c>
      <c r="C4492" s="403" t="s">
        <v>582</v>
      </c>
      <c r="D4492" s="403" t="s">
        <v>1418</v>
      </c>
      <c r="E4492" s="403" t="s">
        <v>778</v>
      </c>
      <c r="F4492" s="403" t="s">
        <v>1419</v>
      </c>
      <c r="G4492" s="403" t="s">
        <v>1467</v>
      </c>
      <c r="H4492" s="403" t="s">
        <v>1281</v>
      </c>
      <c r="I4492" s="403">
        <v>1</v>
      </c>
      <c r="J4492" s="403" t="s">
        <v>194</v>
      </c>
      <c r="K4492" s="403">
        <v>2160</v>
      </c>
      <c r="L4492" s="403">
        <v>3840</v>
      </c>
      <c r="M4492" s="403" t="s">
        <v>109</v>
      </c>
      <c r="N4492" s="403">
        <v>720</v>
      </c>
      <c r="O4492" s="403">
        <v>1280</v>
      </c>
      <c r="P4492" t="str">
        <f t="shared" si="561"/>
        <v>20fps 3840x2160 - 720p</v>
      </c>
      <c r="Q4492">
        <f t="shared" si="562"/>
        <v>21</v>
      </c>
      <c r="R4492" t="str">
        <f t="shared" si="563"/>
        <v/>
      </c>
      <c r="S4492" t="str">
        <f t="shared" si="564"/>
        <v/>
      </c>
      <c r="T4492" s="403" t="str">
        <f t="shared" si="565"/>
        <v>NDE-8504-R</v>
      </c>
      <c r="U4492" s="403">
        <f t="shared" si="566"/>
        <v>1</v>
      </c>
      <c r="V4492" s="403" t="str">
        <f t="shared" si="567"/>
        <v>CPP_7_3</v>
      </c>
    </row>
    <row r="4493" spans="1:22">
      <c r="A4493" t="str">
        <f t="shared" si="560"/>
        <v>NDE-8504-R</v>
      </c>
      <c r="B4493" s="403" t="s">
        <v>1410</v>
      </c>
      <c r="C4493" s="403" t="s">
        <v>582</v>
      </c>
      <c r="D4493" s="403" t="s">
        <v>1418</v>
      </c>
      <c r="E4493" s="403" t="s">
        <v>778</v>
      </c>
      <c r="F4493" s="403" t="s">
        <v>1419</v>
      </c>
      <c r="G4493" s="403" t="s">
        <v>1467</v>
      </c>
      <c r="H4493" s="403" t="s">
        <v>1281</v>
      </c>
      <c r="I4493" s="403">
        <v>1</v>
      </c>
      <c r="J4493" s="403" t="s">
        <v>194</v>
      </c>
      <c r="K4493" s="403">
        <v>2160</v>
      </c>
      <c r="L4493" s="403">
        <v>3840</v>
      </c>
      <c r="M4493" s="403" t="s">
        <v>1283</v>
      </c>
      <c r="N4493" s="403">
        <v>480</v>
      </c>
      <c r="O4493" s="403">
        <v>720</v>
      </c>
      <c r="P4493" t="str">
        <f t="shared" si="561"/>
        <v>20fps 3840x2160 - SD 4CIF resolution 4:3 format (cropped)</v>
      </c>
      <c r="Q4493">
        <f t="shared" si="562"/>
        <v>21</v>
      </c>
      <c r="R4493" t="str">
        <f t="shared" si="563"/>
        <v/>
      </c>
      <c r="S4493" t="str">
        <f t="shared" si="564"/>
        <v/>
      </c>
      <c r="T4493" s="403" t="str">
        <f t="shared" si="565"/>
        <v>NDE-8504-R</v>
      </c>
      <c r="U4493" s="403">
        <f t="shared" si="566"/>
        <v>1</v>
      </c>
      <c r="V4493" s="403" t="str">
        <f t="shared" si="567"/>
        <v>CPP_7_3</v>
      </c>
    </row>
    <row r="4494" spans="1:22">
      <c r="A4494" t="str">
        <f t="shared" si="560"/>
        <v>NDE-8504-R</v>
      </c>
      <c r="B4494" s="403" t="s">
        <v>1410</v>
      </c>
      <c r="C4494" s="403" t="s">
        <v>582</v>
      </c>
      <c r="D4494" s="403" t="s">
        <v>1418</v>
      </c>
      <c r="E4494" s="403" t="s">
        <v>778</v>
      </c>
      <c r="F4494" s="403" t="s">
        <v>1419</v>
      </c>
      <c r="G4494" s="403" t="s">
        <v>1467</v>
      </c>
      <c r="H4494" s="403" t="s">
        <v>1281</v>
      </c>
      <c r="I4494" s="403">
        <v>1</v>
      </c>
      <c r="J4494" s="403" t="s">
        <v>194</v>
      </c>
      <c r="K4494" s="403">
        <v>2160</v>
      </c>
      <c r="L4494" s="403">
        <v>3840</v>
      </c>
      <c r="M4494" s="403" t="s">
        <v>1284</v>
      </c>
      <c r="N4494" s="403">
        <v>480</v>
      </c>
      <c r="O4494" s="403">
        <v>640</v>
      </c>
      <c r="P4494" t="str">
        <f t="shared" si="561"/>
        <v>20fps 3840x2160 - SD VGA (cropped)</v>
      </c>
      <c r="Q4494">
        <f t="shared" si="562"/>
        <v>21</v>
      </c>
      <c r="R4494" t="str">
        <f t="shared" si="563"/>
        <v/>
      </c>
      <c r="S4494" t="str">
        <f t="shared" si="564"/>
        <v/>
      </c>
      <c r="T4494" s="403" t="str">
        <f t="shared" si="565"/>
        <v>NDE-8504-R</v>
      </c>
      <c r="U4494" s="403">
        <f t="shared" si="566"/>
        <v>1</v>
      </c>
      <c r="V4494" s="403" t="str">
        <f t="shared" si="567"/>
        <v>CPP_7_3</v>
      </c>
    </row>
    <row r="4495" spans="1:22">
      <c r="A4495" t="str">
        <f t="shared" si="560"/>
        <v>NDE-8504-R</v>
      </c>
      <c r="B4495" s="403" t="s">
        <v>1410</v>
      </c>
      <c r="C4495" s="403" t="s">
        <v>582</v>
      </c>
      <c r="D4495" s="403" t="s">
        <v>1418</v>
      </c>
      <c r="E4495" s="403" t="s">
        <v>778</v>
      </c>
      <c r="F4495" s="403" t="s">
        <v>1419</v>
      </c>
      <c r="G4495" s="403" t="s">
        <v>1467</v>
      </c>
      <c r="H4495" s="403" t="s">
        <v>1281</v>
      </c>
      <c r="I4495" s="403">
        <v>1</v>
      </c>
      <c r="J4495" s="403" t="s">
        <v>194</v>
      </c>
      <c r="K4495" s="403">
        <v>2160</v>
      </c>
      <c r="L4495" s="403">
        <v>3840</v>
      </c>
      <c r="M4495" s="403" t="s">
        <v>1285</v>
      </c>
      <c r="N4495" s="403">
        <v>1024</v>
      </c>
      <c r="O4495" s="403">
        <v>1280</v>
      </c>
      <c r="P4495" t="str">
        <f t="shared" si="561"/>
        <v>20fps 3840x2160 - 1280x1024 5:4 (cropped)</v>
      </c>
      <c r="Q4495">
        <f t="shared" si="562"/>
        <v>21</v>
      </c>
      <c r="R4495" t="str">
        <f t="shared" si="563"/>
        <v/>
      </c>
      <c r="S4495" t="str">
        <f t="shared" si="564"/>
        <v/>
      </c>
      <c r="T4495" s="403" t="str">
        <f t="shared" si="565"/>
        <v>NDE-8504-R</v>
      </c>
      <c r="U4495" s="403">
        <f t="shared" si="566"/>
        <v>1</v>
      </c>
      <c r="V4495" s="403" t="str">
        <f t="shared" si="567"/>
        <v>CPP_7_3</v>
      </c>
    </row>
    <row r="4496" spans="1:22">
      <c r="A4496" t="str">
        <f t="shared" si="560"/>
        <v>NDE-8504-R</v>
      </c>
      <c r="B4496" s="403" t="s">
        <v>1410</v>
      </c>
      <c r="C4496" s="403" t="s">
        <v>582</v>
      </c>
      <c r="D4496" s="403" t="s">
        <v>1418</v>
      </c>
      <c r="E4496" s="403" t="s">
        <v>778</v>
      </c>
      <c r="F4496" s="403" t="s">
        <v>1419</v>
      </c>
      <c r="G4496" s="403" t="s">
        <v>1467</v>
      </c>
      <c r="H4496" s="403" t="s">
        <v>1281</v>
      </c>
      <c r="I4496" s="403">
        <v>1</v>
      </c>
      <c r="J4496" s="403" t="s">
        <v>194</v>
      </c>
      <c r="K4496" s="403">
        <v>2160</v>
      </c>
      <c r="L4496" s="403">
        <v>3840</v>
      </c>
      <c r="M4496" s="403" t="s">
        <v>1383</v>
      </c>
      <c r="N4496" s="403">
        <v>1440</v>
      </c>
      <c r="O4496" s="403">
        <v>1920</v>
      </c>
      <c r="P4496" t="str">
        <f t="shared" si="561"/>
        <v>20fps 3840x2160 - 1920x1440_CROP</v>
      </c>
      <c r="Q4496">
        <f t="shared" si="562"/>
        <v>21</v>
      </c>
      <c r="R4496" t="str">
        <f t="shared" si="563"/>
        <v/>
      </c>
      <c r="S4496" t="str">
        <f t="shared" si="564"/>
        <v/>
      </c>
      <c r="T4496" s="403" t="str">
        <f t="shared" si="565"/>
        <v>NDE-8504-R</v>
      </c>
      <c r="U4496" s="403">
        <f t="shared" si="566"/>
        <v>1</v>
      </c>
      <c r="V4496" s="403" t="str">
        <f t="shared" si="567"/>
        <v>CPP_7_3</v>
      </c>
    </row>
    <row r="4497" spans="1:22">
      <c r="A4497" t="str">
        <f t="shared" si="560"/>
        <v>NDE-8504-R</v>
      </c>
      <c r="B4497" s="403" t="s">
        <v>1410</v>
      </c>
      <c r="C4497" s="403" t="s">
        <v>582</v>
      </c>
      <c r="D4497" s="403" t="s">
        <v>1418</v>
      </c>
      <c r="E4497" s="403" t="s">
        <v>778</v>
      </c>
      <c r="F4497" s="403" t="s">
        <v>1419</v>
      </c>
      <c r="G4497" s="403" t="s">
        <v>1467</v>
      </c>
      <c r="H4497" s="403" t="s">
        <v>1281</v>
      </c>
      <c r="I4497" s="403">
        <v>1</v>
      </c>
      <c r="J4497" s="403" t="s">
        <v>1324</v>
      </c>
      <c r="K4497" s="403">
        <v>2016</v>
      </c>
      <c r="L4497" s="403">
        <v>3584</v>
      </c>
      <c r="M4497" s="403" t="s">
        <v>111</v>
      </c>
      <c r="N4497" s="403">
        <v>432</v>
      </c>
      <c r="O4497" s="403">
        <v>768</v>
      </c>
      <c r="P4497" t="str">
        <f t="shared" si="561"/>
        <v>20fps 3584x2016 - SD</v>
      </c>
      <c r="Q4497">
        <f t="shared" si="562"/>
        <v>21</v>
      </c>
      <c r="R4497" t="str">
        <f t="shared" si="563"/>
        <v/>
      </c>
      <c r="S4497" t="str">
        <f t="shared" si="564"/>
        <v/>
      </c>
      <c r="T4497" s="403" t="str">
        <f t="shared" si="565"/>
        <v>NDE-8504-R</v>
      </c>
      <c r="U4497" s="403">
        <f t="shared" si="566"/>
        <v>1</v>
      </c>
      <c r="V4497" s="403" t="str">
        <f t="shared" si="567"/>
        <v>CPP_7_3</v>
      </c>
    </row>
    <row r="4498" spans="1:22">
      <c r="A4498" t="str">
        <f t="shared" si="560"/>
        <v>NDE-8504-R</v>
      </c>
      <c r="B4498" s="403" t="s">
        <v>1410</v>
      </c>
      <c r="C4498" s="403" t="s">
        <v>582</v>
      </c>
      <c r="D4498" s="403" t="s">
        <v>1418</v>
      </c>
      <c r="E4498" s="403" t="s">
        <v>778</v>
      </c>
      <c r="F4498" s="403" t="s">
        <v>1419</v>
      </c>
      <c r="G4498" s="403" t="s">
        <v>1467</v>
      </c>
      <c r="H4498" s="403" t="s">
        <v>1281</v>
      </c>
      <c r="I4498" s="403">
        <v>1</v>
      </c>
      <c r="J4498" s="403" t="s">
        <v>1324</v>
      </c>
      <c r="K4498" s="403">
        <v>2016</v>
      </c>
      <c r="L4498" s="403">
        <v>3584</v>
      </c>
      <c r="M4498" s="403" t="s">
        <v>1280</v>
      </c>
      <c r="N4498" s="403">
        <v>2016</v>
      </c>
      <c r="O4498" s="403">
        <v>3584</v>
      </c>
      <c r="P4498" t="str">
        <f t="shared" si="561"/>
        <v>20fps 3584x2016 - copy other stream</v>
      </c>
      <c r="Q4498">
        <f t="shared" si="562"/>
        <v>21</v>
      </c>
      <c r="R4498" t="str">
        <f t="shared" si="563"/>
        <v/>
      </c>
      <c r="S4498" t="str">
        <f t="shared" si="564"/>
        <v/>
      </c>
      <c r="T4498" s="403" t="str">
        <f t="shared" si="565"/>
        <v>NDE-8504-R</v>
      </c>
      <c r="U4498" s="403">
        <f t="shared" si="566"/>
        <v>1</v>
      </c>
      <c r="V4498" s="403" t="str">
        <f t="shared" si="567"/>
        <v>CPP_7_3</v>
      </c>
    </row>
    <row r="4499" spans="1:22">
      <c r="A4499" t="str">
        <f t="shared" si="560"/>
        <v>NDE-8504-R</v>
      </c>
      <c r="B4499" s="403" t="s">
        <v>1410</v>
      </c>
      <c r="C4499" s="403" t="s">
        <v>582</v>
      </c>
      <c r="D4499" s="403" t="s">
        <v>1418</v>
      </c>
      <c r="E4499" s="403" t="s">
        <v>778</v>
      </c>
      <c r="F4499" s="403" t="s">
        <v>1419</v>
      </c>
      <c r="G4499" s="403" t="s">
        <v>1467</v>
      </c>
      <c r="H4499" s="403" t="s">
        <v>1281</v>
      </c>
      <c r="I4499" s="403">
        <v>1</v>
      </c>
      <c r="J4499" s="403" t="s">
        <v>1324</v>
      </c>
      <c r="K4499" s="403">
        <v>2016</v>
      </c>
      <c r="L4499" s="403">
        <v>3584</v>
      </c>
      <c r="M4499" s="403" t="s">
        <v>1421</v>
      </c>
      <c r="N4499" s="403">
        <v>2016</v>
      </c>
      <c r="O4499" s="403">
        <v>3584</v>
      </c>
      <c r="P4499" t="str">
        <f t="shared" si="561"/>
        <v>20fps 3584x2016 - 3584x2016 @ SKIP2</v>
      </c>
      <c r="Q4499">
        <f t="shared" si="562"/>
        <v>21</v>
      </c>
      <c r="R4499" t="str">
        <f t="shared" si="563"/>
        <v/>
      </c>
      <c r="S4499" t="str">
        <f t="shared" si="564"/>
        <v/>
      </c>
      <c r="T4499" s="403" t="str">
        <f t="shared" si="565"/>
        <v>NDE-8504-R</v>
      </c>
      <c r="U4499" s="403">
        <f t="shared" si="566"/>
        <v>1</v>
      </c>
      <c r="V4499" s="403" t="str">
        <f t="shared" si="567"/>
        <v>CPP_7_3</v>
      </c>
    </row>
    <row r="4500" spans="1:22">
      <c r="A4500" t="str">
        <f t="shared" si="560"/>
        <v>NDE-8504-R</v>
      </c>
      <c r="B4500" s="403" t="s">
        <v>1410</v>
      </c>
      <c r="C4500" s="403" t="s">
        <v>582</v>
      </c>
      <c r="D4500" s="403" t="s">
        <v>1418</v>
      </c>
      <c r="E4500" s="403" t="s">
        <v>778</v>
      </c>
      <c r="F4500" s="403" t="s">
        <v>1419</v>
      </c>
      <c r="G4500" s="403" t="s">
        <v>1467</v>
      </c>
      <c r="H4500" s="403" t="s">
        <v>1281</v>
      </c>
      <c r="I4500" s="403">
        <v>1</v>
      </c>
      <c r="J4500" s="403" t="s">
        <v>1324</v>
      </c>
      <c r="K4500" s="403">
        <v>2016</v>
      </c>
      <c r="L4500" s="403">
        <v>3584</v>
      </c>
      <c r="M4500" s="403" t="s">
        <v>110</v>
      </c>
      <c r="N4500" s="403">
        <v>1080</v>
      </c>
      <c r="O4500" s="403">
        <v>1920</v>
      </c>
      <c r="P4500" t="str">
        <f t="shared" si="561"/>
        <v>20fps 3584x2016 - 1080p</v>
      </c>
      <c r="Q4500">
        <f t="shared" si="562"/>
        <v>21</v>
      </c>
      <c r="R4500" t="str">
        <f t="shared" si="563"/>
        <v/>
      </c>
      <c r="S4500" t="str">
        <f t="shared" si="564"/>
        <v/>
      </c>
      <c r="T4500" s="403" t="str">
        <f t="shared" si="565"/>
        <v>NDE-8504-R</v>
      </c>
      <c r="U4500" s="403">
        <f t="shared" si="566"/>
        <v>1</v>
      </c>
      <c r="V4500" s="403" t="str">
        <f t="shared" si="567"/>
        <v>CPP_7_3</v>
      </c>
    </row>
    <row r="4501" spans="1:22">
      <c r="A4501" t="str">
        <f t="shared" si="560"/>
        <v>NDE-8504-R</v>
      </c>
      <c r="B4501" s="403" t="s">
        <v>1410</v>
      </c>
      <c r="C4501" s="403" t="s">
        <v>582</v>
      </c>
      <c r="D4501" s="403" t="s">
        <v>1418</v>
      </c>
      <c r="E4501" s="403" t="s">
        <v>778</v>
      </c>
      <c r="F4501" s="403" t="s">
        <v>1419</v>
      </c>
      <c r="G4501" s="403" t="s">
        <v>1467</v>
      </c>
      <c r="H4501" s="403" t="s">
        <v>1281</v>
      </c>
      <c r="I4501" s="403">
        <v>1</v>
      </c>
      <c r="J4501" s="403" t="s">
        <v>1324</v>
      </c>
      <c r="K4501" s="403">
        <v>2016</v>
      </c>
      <c r="L4501" s="403">
        <v>3584</v>
      </c>
      <c r="M4501" s="403" t="s">
        <v>109</v>
      </c>
      <c r="N4501" s="403">
        <v>720</v>
      </c>
      <c r="O4501" s="403">
        <v>1280</v>
      </c>
      <c r="P4501" t="str">
        <f t="shared" si="561"/>
        <v>20fps 3584x2016 - 720p</v>
      </c>
      <c r="Q4501">
        <f t="shared" si="562"/>
        <v>21</v>
      </c>
      <c r="R4501" t="str">
        <f t="shared" si="563"/>
        <v/>
      </c>
      <c r="S4501" t="str">
        <f t="shared" si="564"/>
        <v/>
      </c>
      <c r="T4501" s="403" t="str">
        <f t="shared" si="565"/>
        <v>NDE-8504-R</v>
      </c>
      <c r="U4501" s="403">
        <f t="shared" si="566"/>
        <v>1</v>
      </c>
      <c r="V4501" s="403" t="str">
        <f t="shared" si="567"/>
        <v>CPP_7_3</v>
      </c>
    </row>
    <row r="4502" spans="1:22">
      <c r="A4502" t="str">
        <f t="shared" si="560"/>
        <v>NDE-8504-R</v>
      </c>
      <c r="B4502" s="403" t="s">
        <v>1410</v>
      </c>
      <c r="C4502" s="403" t="s">
        <v>582</v>
      </c>
      <c r="D4502" s="403" t="s">
        <v>1418</v>
      </c>
      <c r="E4502" s="403" t="s">
        <v>778</v>
      </c>
      <c r="F4502" s="403" t="s">
        <v>1419</v>
      </c>
      <c r="G4502" s="403" t="s">
        <v>1467</v>
      </c>
      <c r="H4502" s="403" t="s">
        <v>1281</v>
      </c>
      <c r="I4502" s="403">
        <v>1</v>
      </c>
      <c r="J4502" s="403" t="s">
        <v>1324</v>
      </c>
      <c r="K4502" s="403">
        <v>2016</v>
      </c>
      <c r="L4502" s="403">
        <v>3584</v>
      </c>
      <c r="M4502" s="403" t="s">
        <v>1283</v>
      </c>
      <c r="N4502" s="403">
        <v>480</v>
      </c>
      <c r="O4502" s="403">
        <v>720</v>
      </c>
      <c r="P4502" t="str">
        <f t="shared" si="561"/>
        <v>20fps 3584x2016 - SD 4CIF resolution 4:3 format (cropped)</v>
      </c>
      <c r="Q4502">
        <f t="shared" si="562"/>
        <v>21</v>
      </c>
      <c r="R4502" t="str">
        <f t="shared" si="563"/>
        <v/>
      </c>
      <c r="S4502" t="str">
        <f t="shared" si="564"/>
        <v/>
      </c>
      <c r="T4502" s="403" t="str">
        <f t="shared" si="565"/>
        <v>NDE-8504-R</v>
      </c>
      <c r="U4502" s="403">
        <f t="shared" si="566"/>
        <v>1</v>
      </c>
      <c r="V4502" s="403" t="str">
        <f t="shared" si="567"/>
        <v>CPP_7_3</v>
      </c>
    </row>
    <row r="4503" spans="1:22">
      <c r="A4503" t="str">
        <f t="shared" si="560"/>
        <v>NDE-8504-R</v>
      </c>
      <c r="B4503" s="403" t="s">
        <v>1410</v>
      </c>
      <c r="C4503" s="403" t="s">
        <v>582</v>
      </c>
      <c r="D4503" s="403" t="s">
        <v>1418</v>
      </c>
      <c r="E4503" s="403" t="s">
        <v>778</v>
      </c>
      <c r="F4503" s="403" t="s">
        <v>1419</v>
      </c>
      <c r="G4503" s="403" t="s">
        <v>1467</v>
      </c>
      <c r="H4503" s="403" t="s">
        <v>1281</v>
      </c>
      <c r="I4503" s="403">
        <v>1</v>
      </c>
      <c r="J4503" s="403" t="s">
        <v>1324</v>
      </c>
      <c r="K4503" s="403">
        <v>2016</v>
      </c>
      <c r="L4503" s="403">
        <v>3584</v>
      </c>
      <c r="M4503" s="403" t="s">
        <v>1279</v>
      </c>
      <c r="N4503" s="403">
        <v>432</v>
      </c>
      <c r="O4503" s="403">
        <v>768</v>
      </c>
      <c r="P4503" t="str">
        <f t="shared" si="561"/>
        <v>20fps 3584x2016 - SD ROI PTZ</v>
      </c>
      <c r="Q4503">
        <f t="shared" si="562"/>
        <v>21</v>
      </c>
      <c r="R4503" t="str">
        <f t="shared" si="563"/>
        <v/>
      </c>
      <c r="S4503" t="str">
        <f t="shared" si="564"/>
        <v/>
      </c>
      <c r="T4503" s="403" t="str">
        <f t="shared" si="565"/>
        <v>NDE-8504-R</v>
      </c>
      <c r="U4503" s="403">
        <f t="shared" si="566"/>
        <v>1</v>
      </c>
      <c r="V4503" s="403" t="str">
        <f t="shared" si="567"/>
        <v>CPP_7_3</v>
      </c>
    </row>
    <row r="4504" spans="1:22">
      <c r="A4504" t="str">
        <f t="shared" si="560"/>
        <v>NDE-8504-R</v>
      </c>
      <c r="B4504" s="403" t="s">
        <v>1410</v>
      </c>
      <c r="C4504" s="403" t="s">
        <v>582</v>
      </c>
      <c r="D4504" s="403" t="s">
        <v>1418</v>
      </c>
      <c r="E4504" s="403" t="s">
        <v>778</v>
      </c>
      <c r="F4504" s="403" t="s">
        <v>1419</v>
      </c>
      <c r="G4504" s="403" t="s">
        <v>1467</v>
      </c>
      <c r="H4504" s="403" t="s">
        <v>1281</v>
      </c>
      <c r="I4504" s="403">
        <v>1</v>
      </c>
      <c r="J4504" s="403" t="s">
        <v>1324</v>
      </c>
      <c r="K4504" s="403">
        <v>2016</v>
      </c>
      <c r="L4504" s="403">
        <v>3584</v>
      </c>
      <c r="M4504" s="403" t="s">
        <v>1284</v>
      </c>
      <c r="N4504" s="403">
        <v>480</v>
      </c>
      <c r="O4504" s="403">
        <v>640</v>
      </c>
      <c r="P4504" t="str">
        <f t="shared" si="561"/>
        <v>20fps 3584x2016 - SD VGA (cropped)</v>
      </c>
      <c r="Q4504">
        <f t="shared" si="562"/>
        <v>21</v>
      </c>
      <c r="R4504" t="str">
        <f t="shared" si="563"/>
        <v/>
      </c>
      <c r="S4504" t="str">
        <f t="shared" si="564"/>
        <v/>
      </c>
      <c r="T4504" s="403" t="str">
        <f t="shared" si="565"/>
        <v>NDE-8504-R</v>
      </c>
      <c r="U4504" s="403">
        <f t="shared" si="566"/>
        <v>1</v>
      </c>
      <c r="V4504" s="403" t="str">
        <f t="shared" si="567"/>
        <v>CPP_7_3</v>
      </c>
    </row>
    <row r="4505" spans="1:22">
      <c r="A4505" t="str">
        <f t="shared" si="560"/>
        <v>NDE-8504-R</v>
      </c>
      <c r="B4505" s="403" t="s">
        <v>1410</v>
      </c>
      <c r="C4505" s="403" t="s">
        <v>582</v>
      </c>
      <c r="D4505" s="403" t="s">
        <v>1418</v>
      </c>
      <c r="E4505" s="403" t="s">
        <v>778</v>
      </c>
      <c r="F4505" s="403" t="s">
        <v>1419</v>
      </c>
      <c r="G4505" s="403" t="s">
        <v>1467</v>
      </c>
      <c r="H4505" s="403" t="s">
        <v>1281</v>
      </c>
      <c r="I4505" s="403">
        <v>1</v>
      </c>
      <c r="J4505" s="403" t="s">
        <v>1324</v>
      </c>
      <c r="K4505" s="403">
        <v>2016</v>
      </c>
      <c r="L4505" s="403">
        <v>3584</v>
      </c>
      <c r="M4505" s="403" t="s">
        <v>1285</v>
      </c>
      <c r="N4505" s="403">
        <v>1024</v>
      </c>
      <c r="O4505" s="403">
        <v>1280</v>
      </c>
      <c r="P4505" t="str">
        <f t="shared" si="561"/>
        <v>20fps 3584x2016 - 1280x1024 5:4 (cropped)</v>
      </c>
      <c r="Q4505">
        <f t="shared" si="562"/>
        <v>21</v>
      </c>
      <c r="R4505" t="str">
        <f t="shared" si="563"/>
        <v/>
      </c>
      <c r="S4505" t="str">
        <f t="shared" si="564"/>
        <v/>
      </c>
      <c r="T4505" s="403" t="str">
        <f t="shared" si="565"/>
        <v>NDE-8504-R</v>
      </c>
      <c r="U4505" s="403">
        <f t="shared" si="566"/>
        <v>1</v>
      </c>
      <c r="V4505" s="403" t="str">
        <f t="shared" si="567"/>
        <v>CPP_7_3</v>
      </c>
    </row>
    <row r="4506" spans="1:22">
      <c r="A4506" t="str">
        <f t="shared" si="560"/>
        <v>NDE-8504-R</v>
      </c>
      <c r="B4506" s="403" t="s">
        <v>1410</v>
      </c>
      <c r="C4506" s="403" t="s">
        <v>582</v>
      </c>
      <c r="D4506" s="403" t="s">
        <v>1418</v>
      </c>
      <c r="E4506" s="403" t="s">
        <v>778</v>
      </c>
      <c r="F4506" s="403" t="s">
        <v>1419</v>
      </c>
      <c r="G4506" s="403" t="s">
        <v>1467</v>
      </c>
      <c r="H4506" s="403" t="s">
        <v>1281</v>
      </c>
      <c r="I4506" s="403">
        <v>1</v>
      </c>
      <c r="J4506" s="403" t="s">
        <v>1324</v>
      </c>
      <c r="K4506" s="403">
        <v>2016</v>
      </c>
      <c r="L4506" s="403">
        <v>3584</v>
      </c>
      <c r="M4506" s="403" t="s">
        <v>1383</v>
      </c>
      <c r="N4506" s="403">
        <v>1440</v>
      </c>
      <c r="O4506" s="403">
        <v>1920</v>
      </c>
      <c r="P4506" t="str">
        <f t="shared" si="561"/>
        <v>20fps 3584x2016 - 1920x1440_CROP</v>
      </c>
      <c r="Q4506">
        <f t="shared" si="562"/>
        <v>21</v>
      </c>
      <c r="R4506" t="str">
        <f t="shared" si="563"/>
        <v/>
      </c>
      <c r="S4506" t="str">
        <f t="shared" si="564"/>
        <v/>
      </c>
      <c r="T4506" s="403" t="str">
        <f t="shared" si="565"/>
        <v>NDE-8504-R</v>
      </c>
      <c r="U4506" s="403">
        <f t="shared" si="566"/>
        <v>1</v>
      </c>
      <c r="V4506" s="403" t="str">
        <f t="shared" si="567"/>
        <v>CPP_7_3</v>
      </c>
    </row>
    <row r="4507" spans="1:22">
      <c r="A4507" t="str">
        <f t="shared" si="560"/>
        <v>NDE-8504-R</v>
      </c>
      <c r="B4507" s="403" t="s">
        <v>1410</v>
      </c>
      <c r="C4507" s="403" t="s">
        <v>582</v>
      </c>
      <c r="D4507" s="403" t="s">
        <v>1418</v>
      </c>
      <c r="E4507" s="403" t="s">
        <v>778</v>
      </c>
      <c r="F4507" s="403" t="s">
        <v>1323</v>
      </c>
      <c r="G4507" s="403" t="s">
        <v>1466</v>
      </c>
      <c r="H4507" s="403" t="s">
        <v>1276</v>
      </c>
      <c r="I4507" s="403">
        <v>1</v>
      </c>
      <c r="J4507" s="403" t="s">
        <v>194</v>
      </c>
      <c r="K4507" s="403">
        <v>3840</v>
      </c>
      <c r="L4507" s="403">
        <v>2160</v>
      </c>
      <c r="M4507" s="403" t="s">
        <v>1280</v>
      </c>
      <c r="N4507" s="403">
        <v>3840</v>
      </c>
      <c r="O4507" s="403">
        <v>2160</v>
      </c>
      <c r="P4507" t="str">
        <f t="shared" si="561"/>
        <v>30fps 3840x2160 - copy other stream</v>
      </c>
      <c r="Q4507">
        <f t="shared" si="562"/>
        <v>21</v>
      </c>
      <c r="R4507" t="str">
        <f t="shared" si="563"/>
        <v/>
      </c>
      <c r="S4507" t="str">
        <f t="shared" si="564"/>
        <v/>
      </c>
      <c r="T4507" s="403" t="str">
        <f t="shared" si="565"/>
        <v>NDE-8504-R</v>
      </c>
      <c r="U4507" s="403">
        <f t="shared" si="566"/>
        <v>1</v>
      </c>
      <c r="V4507" s="403" t="str">
        <f t="shared" si="567"/>
        <v>CPP_7_3</v>
      </c>
    </row>
    <row r="4508" spans="1:22">
      <c r="A4508" t="str">
        <f t="shared" si="560"/>
        <v>NDE-8504-R</v>
      </c>
      <c r="B4508" s="403" t="s">
        <v>1410</v>
      </c>
      <c r="C4508" s="403" t="s">
        <v>582</v>
      </c>
      <c r="D4508" s="403" t="s">
        <v>1418</v>
      </c>
      <c r="E4508" s="403" t="s">
        <v>1412</v>
      </c>
      <c r="F4508" s="403" t="s">
        <v>1323</v>
      </c>
      <c r="G4508" s="403" t="s">
        <v>1466</v>
      </c>
      <c r="H4508" s="403" t="s">
        <v>1276</v>
      </c>
      <c r="I4508" s="403">
        <v>1</v>
      </c>
      <c r="J4508" s="403" t="s">
        <v>194</v>
      </c>
      <c r="K4508" s="403">
        <v>3840</v>
      </c>
      <c r="L4508" s="403">
        <v>2160</v>
      </c>
      <c r="M4508" s="403" t="s">
        <v>1280</v>
      </c>
      <c r="N4508" s="403">
        <v>3840</v>
      </c>
      <c r="O4508" s="403">
        <v>2160</v>
      </c>
      <c r="P4508" t="str">
        <f t="shared" si="561"/>
        <v>30fps 3840x2160 - copy other stream</v>
      </c>
      <c r="Q4508">
        <f t="shared" si="562"/>
        <v>21</v>
      </c>
      <c r="R4508" t="str">
        <f t="shared" si="563"/>
        <v/>
      </c>
      <c r="S4508" t="str">
        <f t="shared" si="564"/>
        <v/>
      </c>
      <c r="T4508" s="403" t="str">
        <f t="shared" si="565"/>
        <v>NDE-8504-R</v>
      </c>
      <c r="U4508" s="403">
        <f t="shared" si="566"/>
        <v>1</v>
      </c>
      <c r="V4508" s="403" t="str">
        <f t="shared" si="567"/>
        <v>CPP_7_3</v>
      </c>
    </row>
    <row r="4509" spans="1:22">
      <c r="A4509" t="str">
        <f t="shared" si="560"/>
        <v>NDE-8504-R</v>
      </c>
      <c r="B4509" s="403" t="s">
        <v>1410</v>
      </c>
      <c r="C4509" s="403" t="s">
        <v>582</v>
      </c>
      <c r="D4509" s="403" t="s">
        <v>1418</v>
      </c>
      <c r="E4509" s="403" t="s">
        <v>1412</v>
      </c>
      <c r="F4509" s="403" t="s">
        <v>1323</v>
      </c>
      <c r="G4509" s="403" t="s">
        <v>1466</v>
      </c>
      <c r="H4509" s="403" t="s">
        <v>1276</v>
      </c>
      <c r="I4509" s="403">
        <v>1</v>
      </c>
      <c r="J4509" s="403" t="s">
        <v>1324</v>
      </c>
      <c r="K4509" s="403">
        <v>3584</v>
      </c>
      <c r="L4509" s="403">
        <v>2016</v>
      </c>
      <c r="M4509" s="403" t="s">
        <v>111</v>
      </c>
      <c r="N4509" s="403">
        <v>768</v>
      </c>
      <c r="O4509" s="403">
        <v>432</v>
      </c>
      <c r="P4509" t="str">
        <f t="shared" si="561"/>
        <v>30fps 3584x2016 - SD</v>
      </c>
      <c r="Q4509">
        <f t="shared" si="562"/>
        <v>21</v>
      </c>
      <c r="R4509" t="str">
        <f t="shared" si="563"/>
        <v/>
      </c>
      <c r="S4509" t="str">
        <f t="shared" si="564"/>
        <v/>
      </c>
      <c r="T4509" s="403" t="str">
        <f t="shared" si="565"/>
        <v>NDE-8504-R</v>
      </c>
      <c r="U4509" s="403">
        <f t="shared" si="566"/>
        <v>1</v>
      </c>
      <c r="V4509" s="403" t="str">
        <f t="shared" si="567"/>
        <v>CPP_7_3</v>
      </c>
    </row>
    <row r="4510" spans="1:22">
      <c r="A4510" t="str">
        <f t="shared" si="560"/>
        <v>NDE-8504-R</v>
      </c>
      <c r="B4510" s="403" t="s">
        <v>1410</v>
      </c>
      <c r="C4510" s="403" t="s">
        <v>582</v>
      </c>
      <c r="D4510" s="403" t="s">
        <v>1418</v>
      </c>
      <c r="E4510" s="403" t="s">
        <v>1412</v>
      </c>
      <c r="F4510" s="403" t="s">
        <v>1323</v>
      </c>
      <c r="G4510" s="403" t="s">
        <v>1466</v>
      </c>
      <c r="H4510" s="403" t="s">
        <v>1276</v>
      </c>
      <c r="I4510" s="403">
        <v>1</v>
      </c>
      <c r="J4510" s="403" t="s">
        <v>1324</v>
      </c>
      <c r="K4510" s="403">
        <v>3584</v>
      </c>
      <c r="L4510" s="403">
        <v>2016</v>
      </c>
      <c r="M4510" s="403" t="s">
        <v>1280</v>
      </c>
      <c r="N4510" s="403">
        <v>3584</v>
      </c>
      <c r="O4510" s="403">
        <v>2016</v>
      </c>
      <c r="P4510" t="str">
        <f t="shared" si="561"/>
        <v>30fps 3584x2016 - copy other stream</v>
      </c>
      <c r="Q4510">
        <f t="shared" si="562"/>
        <v>21</v>
      </c>
      <c r="R4510" t="str">
        <f t="shared" si="563"/>
        <v/>
      </c>
      <c r="S4510" t="str">
        <f t="shared" si="564"/>
        <v/>
      </c>
      <c r="T4510" s="403" t="str">
        <f t="shared" si="565"/>
        <v>NDE-8504-R</v>
      </c>
      <c r="U4510" s="403">
        <f t="shared" si="566"/>
        <v>1</v>
      </c>
      <c r="V4510" s="403" t="str">
        <f t="shared" si="567"/>
        <v>CPP_7_3</v>
      </c>
    </row>
    <row r="4511" spans="1:22">
      <c r="A4511" t="str">
        <f t="shared" si="560"/>
        <v>NDE-8504-R</v>
      </c>
      <c r="B4511" s="403" t="s">
        <v>1410</v>
      </c>
      <c r="C4511" s="403" t="s">
        <v>582</v>
      </c>
      <c r="D4511" s="403" t="s">
        <v>1418</v>
      </c>
      <c r="E4511" s="403" t="s">
        <v>1412</v>
      </c>
      <c r="F4511" s="403" t="s">
        <v>1323</v>
      </c>
      <c r="G4511" s="403" t="s">
        <v>1466</v>
      </c>
      <c r="H4511" s="403" t="s">
        <v>1276</v>
      </c>
      <c r="I4511" s="403">
        <v>1</v>
      </c>
      <c r="J4511" s="403" t="s">
        <v>1324</v>
      </c>
      <c r="K4511" s="403">
        <v>3584</v>
      </c>
      <c r="L4511" s="403">
        <v>2016</v>
      </c>
      <c r="M4511" s="403" t="s">
        <v>1365</v>
      </c>
      <c r="N4511" s="403">
        <v>3584</v>
      </c>
      <c r="O4511" s="403">
        <v>2016</v>
      </c>
      <c r="P4511" t="str">
        <f t="shared" si="561"/>
        <v>30fps 3584x2016 - 3584x2016 @ SKIP8</v>
      </c>
      <c r="Q4511">
        <f t="shared" si="562"/>
        <v>21</v>
      </c>
      <c r="R4511" t="str">
        <f t="shared" si="563"/>
        <v/>
      </c>
      <c r="S4511" t="str">
        <f t="shared" si="564"/>
        <v/>
      </c>
      <c r="T4511" s="403" t="str">
        <f t="shared" si="565"/>
        <v>NDE-8504-R</v>
      </c>
      <c r="U4511" s="403">
        <f t="shared" si="566"/>
        <v>1</v>
      </c>
      <c r="V4511" s="403" t="str">
        <f t="shared" si="567"/>
        <v>CPP_7_3</v>
      </c>
    </row>
    <row r="4512" spans="1:22">
      <c r="A4512" t="str">
        <f t="shared" si="560"/>
        <v>NDE-8504-R</v>
      </c>
      <c r="B4512" s="403" t="s">
        <v>1410</v>
      </c>
      <c r="C4512" s="403" t="s">
        <v>582</v>
      </c>
      <c r="D4512" s="403" t="s">
        <v>1418</v>
      </c>
      <c r="E4512" s="403" t="s">
        <v>1412</v>
      </c>
      <c r="F4512" s="403" t="s">
        <v>1323</v>
      </c>
      <c r="G4512" s="403" t="s">
        <v>1466</v>
      </c>
      <c r="H4512" s="403" t="s">
        <v>1276</v>
      </c>
      <c r="I4512" s="403">
        <v>1</v>
      </c>
      <c r="J4512" s="403" t="s">
        <v>1324</v>
      </c>
      <c r="K4512" s="403">
        <v>3584</v>
      </c>
      <c r="L4512" s="403">
        <v>2016</v>
      </c>
      <c r="M4512" s="403" t="s">
        <v>109</v>
      </c>
      <c r="N4512" s="403">
        <v>1280</v>
      </c>
      <c r="O4512" s="403">
        <v>720</v>
      </c>
      <c r="P4512" t="str">
        <f t="shared" si="561"/>
        <v>30fps 3584x2016 - 720p</v>
      </c>
      <c r="Q4512">
        <f t="shared" si="562"/>
        <v>21</v>
      </c>
      <c r="R4512" t="str">
        <f t="shared" si="563"/>
        <v/>
      </c>
      <c r="S4512" t="str">
        <f t="shared" si="564"/>
        <v/>
      </c>
      <c r="T4512" s="403" t="str">
        <f t="shared" si="565"/>
        <v>NDE-8504-R</v>
      </c>
      <c r="U4512" s="403">
        <f t="shared" si="566"/>
        <v>1</v>
      </c>
      <c r="V4512" s="403" t="str">
        <f t="shared" si="567"/>
        <v>CPP_7_3</v>
      </c>
    </row>
    <row r="4513" spans="1:22">
      <c r="A4513" t="str">
        <f t="shared" si="560"/>
        <v>NDE-8504-R</v>
      </c>
      <c r="B4513" s="403" t="s">
        <v>1410</v>
      </c>
      <c r="C4513" s="403" t="s">
        <v>582</v>
      </c>
      <c r="D4513" s="403" t="s">
        <v>1418</v>
      </c>
      <c r="E4513" s="403" t="s">
        <v>1412</v>
      </c>
      <c r="F4513" s="403" t="s">
        <v>1323</v>
      </c>
      <c r="G4513" s="403" t="s">
        <v>1466</v>
      </c>
      <c r="H4513" s="403" t="s">
        <v>1276</v>
      </c>
      <c r="I4513" s="403">
        <v>1</v>
      </c>
      <c r="J4513" s="403" t="s">
        <v>1324</v>
      </c>
      <c r="K4513" s="403">
        <v>3584</v>
      </c>
      <c r="L4513" s="403">
        <v>2016</v>
      </c>
      <c r="M4513" s="403" t="s">
        <v>1283</v>
      </c>
      <c r="N4513" s="403">
        <v>720</v>
      </c>
      <c r="O4513" s="403">
        <v>480</v>
      </c>
      <c r="P4513" t="str">
        <f t="shared" si="561"/>
        <v>30fps 3584x2016 - SD 4CIF resolution 4:3 format (cropped)</v>
      </c>
      <c r="Q4513">
        <f t="shared" si="562"/>
        <v>21</v>
      </c>
      <c r="R4513" t="str">
        <f t="shared" si="563"/>
        <v/>
      </c>
      <c r="S4513" t="str">
        <f t="shared" si="564"/>
        <v/>
      </c>
      <c r="T4513" s="403" t="str">
        <f t="shared" si="565"/>
        <v>NDE-8504-R</v>
      </c>
      <c r="U4513" s="403">
        <f t="shared" si="566"/>
        <v>1</v>
      </c>
      <c r="V4513" s="403" t="str">
        <f t="shared" si="567"/>
        <v>CPP_7_3</v>
      </c>
    </row>
    <row r="4514" spans="1:22">
      <c r="A4514" t="str">
        <f t="shared" si="560"/>
        <v>NDE-8504-R</v>
      </c>
      <c r="B4514" s="403" t="s">
        <v>1410</v>
      </c>
      <c r="C4514" s="403" t="s">
        <v>582</v>
      </c>
      <c r="D4514" s="403" t="s">
        <v>1418</v>
      </c>
      <c r="E4514" s="403" t="s">
        <v>1412</v>
      </c>
      <c r="F4514" s="403" t="s">
        <v>1323</v>
      </c>
      <c r="G4514" s="403" t="s">
        <v>1466</v>
      </c>
      <c r="H4514" s="403" t="s">
        <v>1276</v>
      </c>
      <c r="I4514" s="403">
        <v>1</v>
      </c>
      <c r="J4514" s="403" t="s">
        <v>1324</v>
      </c>
      <c r="K4514" s="403">
        <v>3584</v>
      </c>
      <c r="L4514" s="403">
        <v>2016</v>
      </c>
      <c r="M4514" s="403" t="s">
        <v>1279</v>
      </c>
      <c r="N4514" s="403">
        <v>768</v>
      </c>
      <c r="O4514" s="403">
        <v>432</v>
      </c>
      <c r="P4514" t="str">
        <f t="shared" si="561"/>
        <v>30fps 3584x2016 - SD ROI PTZ</v>
      </c>
      <c r="Q4514">
        <f t="shared" si="562"/>
        <v>21</v>
      </c>
      <c r="R4514" t="str">
        <f t="shared" si="563"/>
        <v/>
      </c>
      <c r="S4514" t="str">
        <f t="shared" si="564"/>
        <v/>
      </c>
      <c r="T4514" s="403" t="str">
        <f t="shared" si="565"/>
        <v>NDE-8504-R</v>
      </c>
      <c r="U4514" s="403">
        <f t="shared" si="566"/>
        <v>1</v>
      </c>
      <c r="V4514" s="403" t="str">
        <f t="shared" si="567"/>
        <v>CPP_7_3</v>
      </c>
    </row>
    <row r="4515" spans="1:22">
      <c r="A4515" t="str">
        <f t="shared" si="560"/>
        <v>NDE-8504-R</v>
      </c>
      <c r="B4515" s="403" t="s">
        <v>1410</v>
      </c>
      <c r="C4515" s="403" t="s">
        <v>582</v>
      </c>
      <c r="D4515" s="403" t="s">
        <v>1418</v>
      </c>
      <c r="E4515" s="403" t="s">
        <v>1412</v>
      </c>
      <c r="F4515" s="403" t="s">
        <v>1323</v>
      </c>
      <c r="G4515" s="403" t="s">
        <v>1466</v>
      </c>
      <c r="H4515" s="403" t="s">
        <v>1276</v>
      </c>
      <c r="I4515" s="403">
        <v>1</v>
      </c>
      <c r="J4515" s="403" t="s">
        <v>1324</v>
      </c>
      <c r="K4515" s="403">
        <v>3584</v>
      </c>
      <c r="L4515" s="403">
        <v>2016</v>
      </c>
      <c r="M4515" s="403" t="s">
        <v>1284</v>
      </c>
      <c r="N4515" s="403">
        <v>640</v>
      </c>
      <c r="O4515" s="403">
        <v>480</v>
      </c>
      <c r="P4515" t="str">
        <f t="shared" si="561"/>
        <v>30fps 3584x2016 - SD VGA (cropped)</v>
      </c>
      <c r="Q4515">
        <f t="shared" si="562"/>
        <v>21</v>
      </c>
      <c r="R4515" t="str">
        <f t="shared" si="563"/>
        <v/>
      </c>
      <c r="S4515" t="str">
        <f t="shared" si="564"/>
        <v/>
      </c>
      <c r="T4515" s="403" t="str">
        <f t="shared" si="565"/>
        <v>NDE-8504-R</v>
      </c>
      <c r="U4515" s="403">
        <f t="shared" si="566"/>
        <v>1</v>
      </c>
      <c r="V4515" s="403" t="str">
        <f t="shared" si="567"/>
        <v>CPP_7_3</v>
      </c>
    </row>
    <row r="4516" spans="1:22">
      <c r="A4516" t="str">
        <f t="shared" si="560"/>
        <v>NDE-8504-R</v>
      </c>
      <c r="B4516" s="403" t="s">
        <v>1410</v>
      </c>
      <c r="C4516" s="403" t="s">
        <v>582</v>
      </c>
      <c r="D4516" s="403" t="s">
        <v>1418</v>
      </c>
      <c r="E4516" s="403" t="s">
        <v>1412</v>
      </c>
      <c r="F4516" s="403" t="s">
        <v>1323</v>
      </c>
      <c r="G4516" s="403" t="s">
        <v>1466</v>
      </c>
      <c r="H4516" s="403" t="s">
        <v>1276</v>
      </c>
      <c r="I4516" s="403">
        <v>1</v>
      </c>
      <c r="J4516" s="403" t="s">
        <v>110</v>
      </c>
      <c r="K4516" s="403">
        <v>1920</v>
      </c>
      <c r="L4516" s="403">
        <v>1080</v>
      </c>
      <c r="M4516" s="403" t="s">
        <v>111</v>
      </c>
      <c r="N4516" s="403">
        <v>768</v>
      </c>
      <c r="O4516" s="403">
        <v>432</v>
      </c>
      <c r="P4516" t="str">
        <f t="shared" si="561"/>
        <v>30fps 1080p - SD</v>
      </c>
      <c r="Q4516">
        <f t="shared" si="562"/>
        <v>21</v>
      </c>
      <c r="R4516" t="str">
        <f t="shared" si="563"/>
        <v/>
      </c>
      <c r="S4516" t="str">
        <f t="shared" si="564"/>
        <v/>
      </c>
      <c r="T4516" s="403" t="str">
        <f t="shared" si="565"/>
        <v>NDE-8504-R</v>
      </c>
      <c r="U4516" s="403">
        <f t="shared" si="566"/>
        <v>1</v>
      </c>
      <c r="V4516" s="403" t="str">
        <f t="shared" si="567"/>
        <v>CPP_7_3</v>
      </c>
    </row>
    <row r="4517" spans="1:22">
      <c r="A4517" t="str">
        <f t="shared" si="560"/>
        <v>NDE-8504-R</v>
      </c>
      <c r="B4517" s="403" t="s">
        <v>1410</v>
      </c>
      <c r="C4517" s="403" t="s">
        <v>582</v>
      </c>
      <c r="D4517" s="403" t="s">
        <v>1418</v>
      </c>
      <c r="E4517" s="403" t="s">
        <v>1412</v>
      </c>
      <c r="F4517" s="403" t="s">
        <v>1323</v>
      </c>
      <c r="G4517" s="403" t="s">
        <v>1466</v>
      </c>
      <c r="H4517" s="403" t="s">
        <v>1276</v>
      </c>
      <c r="I4517" s="403">
        <v>1</v>
      </c>
      <c r="J4517" s="403" t="s">
        <v>110</v>
      </c>
      <c r="K4517" s="403">
        <v>1920</v>
      </c>
      <c r="L4517" s="403">
        <v>1080</v>
      </c>
      <c r="M4517" s="403" t="s">
        <v>110</v>
      </c>
      <c r="N4517" s="403">
        <v>1920</v>
      </c>
      <c r="O4517" s="403">
        <v>1080</v>
      </c>
      <c r="P4517" t="str">
        <f t="shared" si="561"/>
        <v>30fps 1080p - 1080p</v>
      </c>
      <c r="Q4517">
        <f t="shared" si="562"/>
        <v>21</v>
      </c>
      <c r="R4517" t="str">
        <f t="shared" si="563"/>
        <v/>
      </c>
      <c r="S4517" t="str">
        <f t="shared" si="564"/>
        <v/>
      </c>
      <c r="T4517" s="403" t="str">
        <f t="shared" si="565"/>
        <v>NDE-8504-R</v>
      </c>
      <c r="U4517" s="403">
        <f t="shared" si="566"/>
        <v>1</v>
      </c>
      <c r="V4517" s="403" t="str">
        <f t="shared" si="567"/>
        <v>CPP_7_3</v>
      </c>
    </row>
    <row r="4518" spans="1:22">
      <c r="A4518" t="str">
        <f t="shared" si="560"/>
        <v>NDE-8504-R</v>
      </c>
      <c r="B4518" s="403" t="s">
        <v>1410</v>
      </c>
      <c r="C4518" s="403" t="s">
        <v>582</v>
      </c>
      <c r="D4518" s="403" t="s">
        <v>1418</v>
      </c>
      <c r="E4518" s="403" t="s">
        <v>1412</v>
      </c>
      <c r="F4518" s="403" t="s">
        <v>1323</v>
      </c>
      <c r="G4518" s="403" t="s">
        <v>1466</v>
      </c>
      <c r="H4518" s="403" t="s">
        <v>1276</v>
      </c>
      <c r="I4518" s="403">
        <v>1</v>
      </c>
      <c r="J4518" s="403" t="s">
        <v>110</v>
      </c>
      <c r="K4518" s="403">
        <v>1920</v>
      </c>
      <c r="L4518" s="403">
        <v>1080</v>
      </c>
      <c r="M4518" s="403" t="s">
        <v>109</v>
      </c>
      <c r="N4518" s="403">
        <v>1280</v>
      </c>
      <c r="O4518" s="403">
        <v>720</v>
      </c>
      <c r="P4518" t="str">
        <f t="shared" si="561"/>
        <v>30fps 1080p - 720p</v>
      </c>
      <c r="Q4518">
        <f t="shared" si="562"/>
        <v>21</v>
      </c>
      <c r="R4518" t="str">
        <f t="shared" si="563"/>
        <v/>
      </c>
      <c r="S4518" t="str">
        <f t="shared" si="564"/>
        <v/>
      </c>
      <c r="T4518" s="403" t="str">
        <f t="shared" si="565"/>
        <v>NDE-8504-R</v>
      </c>
      <c r="U4518" s="403">
        <f t="shared" si="566"/>
        <v>1</v>
      </c>
      <c r="V4518" s="403" t="str">
        <f t="shared" si="567"/>
        <v>CPP_7_3</v>
      </c>
    </row>
    <row r="4519" spans="1:22">
      <c r="A4519" t="str">
        <f t="shared" si="560"/>
        <v>NDE-8504-R</v>
      </c>
      <c r="B4519" s="403" t="s">
        <v>1410</v>
      </c>
      <c r="C4519" s="403" t="s">
        <v>582</v>
      </c>
      <c r="D4519" s="403" t="s">
        <v>1418</v>
      </c>
      <c r="E4519" s="403" t="s">
        <v>1412</v>
      </c>
      <c r="F4519" s="403" t="s">
        <v>1323</v>
      </c>
      <c r="G4519" s="403" t="s">
        <v>1466</v>
      </c>
      <c r="H4519" s="403" t="s">
        <v>1276</v>
      </c>
      <c r="I4519" s="403">
        <v>1</v>
      </c>
      <c r="J4519" s="403" t="s">
        <v>110</v>
      </c>
      <c r="K4519" s="403">
        <v>1920</v>
      </c>
      <c r="L4519" s="403">
        <v>1080</v>
      </c>
      <c r="M4519" s="403" t="s">
        <v>1285</v>
      </c>
      <c r="N4519" s="403">
        <v>1280</v>
      </c>
      <c r="O4519" s="403">
        <v>1024</v>
      </c>
      <c r="P4519" t="str">
        <f t="shared" si="561"/>
        <v>30fps 1080p - 1280x1024 5:4 (cropped)</v>
      </c>
      <c r="Q4519">
        <f t="shared" si="562"/>
        <v>21</v>
      </c>
      <c r="R4519" t="str">
        <f t="shared" si="563"/>
        <v/>
      </c>
      <c r="S4519" t="str">
        <f t="shared" si="564"/>
        <v/>
      </c>
      <c r="T4519" s="403" t="str">
        <f t="shared" si="565"/>
        <v>NDE-8504-R</v>
      </c>
      <c r="U4519" s="403">
        <f t="shared" si="566"/>
        <v>1</v>
      </c>
      <c r="V4519" s="403" t="str">
        <f t="shared" si="567"/>
        <v>CPP_7_3</v>
      </c>
    </row>
    <row r="4520" spans="1:22">
      <c r="A4520" t="str">
        <f t="shared" si="560"/>
        <v>NDE-8504-R</v>
      </c>
      <c r="B4520" s="403" t="s">
        <v>1410</v>
      </c>
      <c r="C4520" s="403" t="s">
        <v>582</v>
      </c>
      <c r="D4520" s="403" t="s">
        <v>1418</v>
      </c>
      <c r="E4520" s="403" t="s">
        <v>1412</v>
      </c>
      <c r="F4520" s="403" t="s">
        <v>1323</v>
      </c>
      <c r="G4520" s="403" t="s">
        <v>1466</v>
      </c>
      <c r="H4520" s="403" t="s">
        <v>1276</v>
      </c>
      <c r="I4520" s="403">
        <v>1</v>
      </c>
      <c r="J4520" s="403" t="s">
        <v>110</v>
      </c>
      <c r="K4520" s="403">
        <v>1920</v>
      </c>
      <c r="L4520" s="403">
        <v>1080</v>
      </c>
      <c r="M4520" s="403" t="s">
        <v>1279</v>
      </c>
      <c r="N4520" s="403">
        <v>768</v>
      </c>
      <c r="O4520" s="403">
        <v>432</v>
      </c>
      <c r="P4520" t="str">
        <f t="shared" si="561"/>
        <v>30fps 1080p - SD ROI PTZ</v>
      </c>
      <c r="Q4520">
        <f t="shared" si="562"/>
        <v>21</v>
      </c>
      <c r="R4520" t="str">
        <f t="shared" si="563"/>
        <v/>
      </c>
      <c r="S4520" t="str">
        <f t="shared" si="564"/>
        <v/>
      </c>
      <c r="T4520" s="403" t="str">
        <f t="shared" si="565"/>
        <v>NDE-8504-R</v>
      </c>
      <c r="U4520" s="403">
        <f t="shared" si="566"/>
        <v>1</v>
      </c>
      <c r="V4520" s="403" t="str">
        <f t="shared" si="567"/>
        <v>CPP_7_3</v>
      </c>
    </row>
    <row r="4521" spans="1:22">
      <c r="A4521" t="str">
        <f t="shared" si="560"/>
        <v>NDE-8504-R</v>
      </c>
      <c r="B4521" s="403" t="s">
        <v>1410</v>
      </c>
      <c r="C4521" s="403" t="s">
        <v>582</v>
      </c>
      <c r="D4521" s="403" t="s">
        <v>1418</v>
      </c>
      <c r="E4521" s="403" t="s">
        <v>1412</v>
      </c>
      <c r="F4521" s="403" t="s">
        <v>1323</v>
      </c>
      <c r="G4521" s="403" t="s">
        <v>1466</v>
      </c>
      <c r="H4521" s="403" t="s">
        <v>1276</v>
      </c>
      <c r="I4521" s="403">
        <v>1</v>
      </c>
      <c r="J4521" s="403" t="s">
        <v>110</v>
      </c>
      <c r="K4521" s="403">
        <v>1920</v>
      </c>
      <c r="L4521" s="403">
        <v>1080</v>
      </c>
      <c r="M4521" s="403" t="s">
        <v>1283</v>
      </c>
      <c r="N4521" s="403">
        <v>720</v>
      </c>
      <c r="O4521" s="403">
        <v>480</v>
      </c>
      <c r="P4521" t="str">
        <f t="shared" si="561"/>
        <v>30fps 1080p - SD 4CIF resolution 4:3 format (cropped)</v>
      </c>
      <c r="Q4521">
        <f t="shared" si="562"/>
        <v>21</v>
      </c>
      <c r="R4521" t="str">
        <f t="shared" si="563"/>
        <v/>
      </c>
      <c r="S4521" t="str">
        <f t="shared" si="564"/>
        <v/>
      </c>
      <c r="T4521" s="403" t="str">
        <f t="shared" si="565"/>
        <v>NDE-8504-R</v>
      </c>
      <c r="U4521" s="403">
        <f t="shared" si="566"/>
        <v>1</v>
      </c>
      <c r="V4521" s="403" t="str">
        <f t="shared" si="567"/>
        <v>CPP_7_3</v>
      </c>
    </row>
    <row r="4522" spans="1:22">
      <c r="A4522" t="str">
        <f t="shared" si="560"/>
        <v>NDE-8504-R</v>
      </c>
      <c r="B4522" s="403" t="s">
        <v>1410</v>
      </c>
      <c r="C4522" s="403" t="s">
        <v>582</v>
      </c>
      <c r="D4522" s="403" t="s">
        <v>1418</v>
      </c>
      <c r="E4522" s="403" t="s">
        <v>1412</v>
      </c>
      <c r="F4522" s="403" t="s">
        <v>1323</v>
      </c>
      <c r="G4522" s="403" t="s">
        <v>1466</v>
      </c>
      <c r="H4522" s="403" t="s">
        <v>1276</v>
      </c>
      <c r="I4522" s="403">
        <v>1</v>
      </c>
      <c r="J4522" s="403" t="s">
        <v>110</v>
      </c>
      <c r="K4522" s="403">
        <v>1920</v>
      </c>
      <c r="L4522" s="403">
        <v>1080</v>
      </c>
      <c r="M4522" s="403" t="s">
        <v>1284</v>
      </c>
      <c r="N4522" s="403">
        <v>640</v>
      </c>
      <c r="O4522" s="403">
        <v>480</v>
      </c>
      <c r="P4522" t="str">
        <f t="shared" si="561"/>
        <v>30fps 1080p - SD VGA (cropped)</v>
      </c>
      <c r="Q4522">
        <f t="shared" si="562"/>
        <v>21</v>
      </c>
      <c r="R4522" t="str">
        <f t="shared" si="563"/>
        <v/>
      </c>
      <c r="S4522" t="str">
        <f t="shared" si="564"/>
        <v/>
      </c>
      <c r="T4522" s="403" t="str">
        <f t="shared" si="565"/>
        <v>NDE-8504-R</v>
      </c>
      <c r="U4522" s="403">
        <f t="shared" si="566"/>
        <v>1</v>
      </c>
      <c r="V4522" s="403" t="str">
        <f t="shared" si="567"/>
        <v>CPP_7_3</v>
      </c>
    </row>
    <row r="4523" spans="1:22">
      <c r="A4523" t="str">
        <f t="shared" si="560"/>
        <v>NDE-8504-R</v>
      </c>
      <c r="B4523" s="403" t="s">
        <v>1410</v>
      </c>
      <c r="C4523" s="403" t="s">
        <v>582</v>
      </c>
      <c r="D4523" s="403" t="s">
        <v>1418</v>
      </c>
      <c r="E4523" s="403" t="s">
        <v>1412</v>
      </c>
      <c r="F4523" s="403" t="s">
        <v>1323</v>
      </c>
      <c r="G4523" s="403" t="s">
        <v>1466</v>
      </c>
      <c r="H4523" s="403" t="s">
        <v>1276</v>
      </c>
      <c r="I4523" s="403">
        <v>1</v>
      </c>
      <c r="J4523" s="403" t="s">
        <v>109</v>
      </c>
      <c r="K4523" s="403">
        <v>1280</v>
      </c>
      <c r="L4523" s="403">
        <v>720</v>
      </c>
      <c r="M4523" s="403" t="s">
        <v>109</v>
      </c>
      <c r="N4523" s="403">
        <v>1280</v>
      </c>
      <c r="O4523" s="403">
        <v>720</v>
      </c>
      <c r="P4523" t="str">
        <f t="shared" si="561"/>
        <v>30fps 720p - 720p</v>
      </c>
      <c r="Q4523">
        <f t="shared" si="562"/>
        <v>21</v>
      </c>
      <c r="R4523" t="str">
        <f t="shared" si="563"/>
        <v/>
      </c>
      <c r="S4523" t="str">
        <f t="shared" si="564"/>
        <v/>
      </c>
      <c r="T4523" s="403" t="str">
        <f t="shared" si="565"/>
        <v>NDE-8504-R</v>
      </c>
      <c r="U4523" s="403">
        <f t="shared" si="566"/>
        <v>1</v>
      </c>
      <c r="V4523" s="403" t="str">
        <f t="shared" si="567"/>
        <v>CPP_7_3</v>
      </c>
    </row>
    <row r="4524" spans="1:22">
      <c r="A4524" t="str">
        <f t="shared" si="560"/>
        <v>NDE-8504-R</v>
      </c>
      <c r="B4524" s="403" t="s">
        <v>1410</v>
      </c>
      <c r="C4524" s="403" t="s">
        <v>582</v>
      </c>
      <c r="D4524" s="403" t="s">
        <v>1418</v>
      </c>
      <c r="E4524" s="403" t="s">
        <v>1412</v>
      </c>
      <c r="F4524" s="403" t="s">
        <v>1323</v>
      </c>
      <c r="G4524" s="403" t="s">
        <v>1466</v>
      </c>
      <c r="H4524" s="403" t="s">
        <v>1276</v>
      </c>
      <c r="I4524" s="403">
        <v>1</v>
      </c>
      <c r="J4524" s="403" t="s">
        <v>109</v>
      </c>
      <c r="K4524" s="403">
        <v>1280</v>
      </c>
      <c r="L4524" s="403">
        <v>720</v>
      </c>
      <c r="M4524" s="403" t="s">
        <v>111</v>
      </c>
      <c r="N4524" s="403">
        <v>768</v>
      </c>
      <c r="O4524" s="403">
        <v>432</v>
      </c>
      <c r="P4524" t="str">
        <f t="shared" si="561"/>
        <v>30fps 720p - SD</v>
      </c>
      <c r="Q4524">
        <f t="shared" si="562"/>
        <v>21</v>
      </c>
      <c r="R4524" t="str">
        <f t="shared" si="563"/>
        <v/>
      </c>
      <c r="S4524" t="str">
        <f t="shared" si="564"/>
        <v/>
      </c>
      <c r="T4524" s="403" t="str">
        <f t="shared" si="565"/>
        <v>NDE-8504-R</v>
      </c>
      <c r="U4524" s="403">
        <f t="shared" si="566"/>
        <v>1</v>
      </c>
      <c r="V4524" s="403" t="str">
        <f t="shared" si="567"/>
        <v>CPP_7_3</v>
      </c>
    </row>
    <row r="4525" spans="1:22">
      <c r="A4525" t="str">
        <f t="shared" si="560"/>
        <v>NDE-8504-R</v>
      </c>
      <c r="B4525" s="403" t="s">
        <v>1410</v>
      </c>
      <c r="C4525" s="403" t="s">
        <v>582</v>
      </c>
      <c r="D4525" s="403" t="s">
        <v>1418</v>
      </c>
      <c r="E4525" s="403" t="s">
        <v>1412</v>
      </c>
      <c r="F4525" s="403" t="s">
        <v>1323</v>
      </c>
      <c r="G4525" s="403" t="s">
        <v>1466</v>
      </c>
      <c r="H4525" s="403" t="s">
        <v>1276</v>
      </c>
      <c r="I4525" s="403">
        <v>1</v>
      </c>
      <c r="J4525" s="403" t="s">
        <v>109</v>
      </c>
      <c r="K4525" s="403">
        <v>1280</v>
      </c>
      <c r="L4525" s="403">
        <v>720</v>
      </c>
      <c r="M4525" s="403" t="s">
        <v>1279</v>
      </c>
      <c r="N4525" s="403">
        <v>768</v>
      </c>
      <c r="O4525" s="403">
        <v>432</v>
      </c>
      <c r="P4525" t="str">
        <f t="shared" si="561"/>
        <v>30fps 720p - SD ROI PTZ</v>
      </c>
      <c r="Q4525">
        <f t="shared" si="562"/>
        <v>21</v>
      </c>
      <c r="R4525" t="str">
        <f t="shared" si="563"/>
        <v/>
      </c>
      <c r="S4525" t="str">
        <f t="shared" si="564"/>
        <v/>
      </c>
      <c r="T4525" s="403" t="str">
        <f t="shared" si="565"/>
        <v>NDE-8504-R</v>
      </c>
      <c r="U4525" s="403">
        <f t="shared" si="566"/>
        <v>1</v>
      </c>
      <c r="V4525" s="403" t="str">
        <f t="shared" si="567"/>
        <v>CPP_7_3</v>
      </c>
    </row>
    <row r="4526" spans="1:22">
      <c r="A4526" t="str">
        <f t="shared" si="560"/>
        <v>NDE-8504-R</v>
      </c>
      <c r="B4526" s="403" t="s">
        <v>1410</v>
      </c>
      <c r="C4526" s="403" t="s">
        <v>582</v>
      </c>
      <c r="D4526" s="403" t="s">
        <v>1418</v>
      </c>
      <c r="E4526" s="403" t="s">
        <v>1412</v>
      </c>
      <c r="F4526" s="403" t="s">
        <v>1323</v>
      </c>
      <c r="G4526" s="403" t="s">
        <v>1466</v>
      </c>
      <c r="H4526" s="403" t="s">
        <v>1276</v>
      </c>
      <c r="I4526" s="403">
        <v>1</v>
      </c>
      <c r="J4526" s="403" t="s">
        <v>109</v>
      </c>
      <c r="K4526" s="403">
        <v>1280</v>
      </c>
      <c r="L4526" s="403">
        <v>720</v>
      </c>
      <c r="M4526" s="403" t="s">
        <v>1283</v>
      </c>
      <c r="N4526" s="403">
        <v>720</v>
      </c>
      <c r="O4526" s="403">
        <v>480</v>
      </c>
      <c r="P4526" t="str">
        <f t="shared" si="561"/>
        <v>30fps 720p - SD 4CIF resolution 4:3 format (cropped)</v>
      </c>
      <c r="Q4526">
        <f t="shared" si="562"/>
        <v>21</v>
      </c>
      <c r="R4526" t="str">
        <f t="shared" si="563"/>
        <v/>
      </c>
      <c r="S4526" t="str">
        <f t="shared" si="564"/>
        <v/>
      </c>
      <c r="T4526" s="403" t="str">
        <f t="shared" si="565"/>
        <v>NDE-8504-R</v>
      </c>
      <c r="U4526" s="403">
        <f t="shared" si="566"/>
        <v>1</v>
      </c>
      <c r="V4526" s="403" t="str">
        <f t="shared" si="567"/>
        <v>CPP_7_3</v>
      </c>
    </row>
    <row r="4527" spans="1:22">
      <c r="A4527" t="str">
        <f t="shared" si="560"/>
        <v>NDE-8504-R</v>
      </c>
      <c r="B4527" s="403" t="s">
        <v>1410</v>
      </c>
      <c r="C4527" s="403" t="s">
        <v>582</v>
      </c>
      <c r="D4527" s="403" t="s">
        <v>1418</v>
      </c>
      <c r="E4527" s="403" t="s">
        <v>1412</v>
      </c>
      <c r="F4527" s="403" t="s">
        <v>1323</v>
      </c>
      <c r="G4527" s="403" t="s">
        <v>1466</v>
      </c>
      <c r="H4527" s="403" t="s">
        <v>1276</v>
      </c>
      <c r="I4527" s="403">
        <v>1</v>
      </c>
      <c r="J4527" s="403" t="s">
        <v>109</v>
      </c>
      <c r="K4527" s="403">
        <v>1280</v>
      </c>
      <c r="L4527" s="403">
        <v>720</v>
      </c>
      <c r="M4527" s="403" t="s">
        <v>1284</v>
      </c>
      <c r="N4527" s="403">
        <v>640</v>
      </c>
      <c r="O4527" s="403">
        <v>480</v>
      </c>
      <c r="P4527" t="str">
        <f t="shared" si="561"/>
        <v>30fps 720p - SD VGA (cropped)</v>
      </c>
      <c r="Q4527">
        <f t="shared" si="562"/>
        <v>21</v>
      </c>
      <c r="R4527" t="str">
        <f t="shared" si="563"/>
        <v/>
      </c>
      <c r="S4527" t="str">
        <f t="shared" si="564"/>
        <v/>
      </c>
      <c r="T4527" s="403" t="str">
        <f t="shared" si="565"/>
        <v>NDE-8504-R</v>
      </c>
      <c r="U4527" s="403">
        <f t="shared" si="566"/>
        <v>1</v>
      </c>
      <c r="V4527" s="403" t="str">
        <f t="shared" si="567"/>
        <v>CPP_7_3</v>
      </c>
    </row>
    <row r="4528" spans="1:22">
      <c r="A4528" t="str">
        <f t="shared" si="560"/>
        <v>NDE-8504-R</v>
      </c>
      <c r="B4528" s="403" t="s">
        <v>1410</v>
      </c>
      <c r="C4528" s="403" t="s">
        <v>582</v>
      </c>
      <c r="D4528" s="403" t="s">
        <v>1418</v>
      </c>
      <c r="E4528" s="403" t="s">
        <v>1412</v>
      </c>
      <c r="F4528" s="403" t="s">
        <v>1323</v>
      </c>
      <c r="G4528" s="403" t="s">
        <v>1466</v>
      </c>
      <c r="H4528" s="403" t="s">
        <v>1281</v>
      </c>
      <c r="I4528" s="403">
        <v>1</v>
      </c>
      <c r="J4528" s="403" t="s">
        <v>1324</v>
      </c>
      <c r="K4528" s="403">
        <v>3584</v>
      </c>
      <c r="L4528" s="403">
        <v>2016</v>
      </c>
      <c r="M4528" s="403" t="s">
        <v>1280</v>
      </c>
      <c r="N4528" s="403">
        <v>3584</v>
      </c>
      <c r="O4528" s="403">
        <v>2016</v>
      </c>
      <c r="P4528" t="str">
        <f t="shared" si="561"/>
        <v>30fps 3584x2016 - copy other stream</v>
      </c>
      <c r="Q4528">
        <f t="shared" si="562"/>
        <v>21</v>
      </c>
      <c r="R4528" t="str">
        <f t="shared" si="563"/>
        <v/>
      </c>
      <c r="S4528" t="str">
        <f t="shared" si="564"/>
        <v/>
      </c>
      <c r="T4528" s="403" t="str">
        <f t="shared" si="565"/>
        <v>NDE-8504-R</v>
      </c>
      <c r="U4528" s="403">
        <f t="shared" si="566"/>
        <v>1</v>
      </c>
      <c r="V4528" s="403" t="str">
        <f t="shared" si="567"/>
        <v>CPP_7_3</v>
      </c>
    </row>
    <row r="4529" spans="1:22">
      <c r="A4529" t="str">
        <f t="shared" si="560"/>
        <v>NDE-8504-R</v>
      </c>
      <c r="B4529" s="403" t="s">
        <v>1410</v>
      </c>
      <c r="C4529" s="403" t="s">
        <v>582</v>
      </c>
      <c r="D4529" s="403" t="s">
        <v>1418</v>
      </c>
      <c r="E4529" s="403" t="s">
        <v>1412</v>
      </c>
      <c r="F4529" s="403" t="s">
        <v>1323</v>
      </c>
      <c r="G4529" s="403" t="s">
        <v>1466</v>
      </c>
      <c r="H4529" s="403" t="s">
        <v>1281</v>
      </c>
      <c r="I4529" s="403">
        <v>1</v>
      </c>
      <c r="J4529" s="403" t="s">
        <v>110</v>
      </c>
      <c r="K4529" s="403">
        <v>1920</v>
      </c>
      <c r="L4529" s="403">
        <v>1080</v>
      </c>
      <c r="M4529" s="403" t="s">
        <v>111</v>
      </c>
      <c r="N4529" s="403">
        <v>768</v>
      </c>
      <c r="O4529" s="403">
        <v>432</v>
      </c>
      <c r="P4529" t="str">
        <f t="shared" si="561"/>
        <v>30fps 1080p - SD</v>
      </c>
      <c r="Q4529">
        <f t="shared" si="562"/>
        <v>21</v>
      </c>
      <c r="R4529" t="str">
        <f t="shared" si="563"/>
        <v/>
      </c>
      <c r="S4529" t="str">
        <f t="shared" si="564"/>
        <v/>
      </c>
      <c r="T4529" s="403" t="str">
        <f t="shared" si="565"/>
        <v>NDE-8504-R</v>
      </c>
      <c r="U4529" s="403">
        <f t="shared" si="566"/>
        <v>1</v>
      </c>
      <c r="V4529" s="403" t="str">
        <f t="shared" si="567"/>
        <v>CPP_7_3</v>
      </c>
    </row>
    <row r="4530" spans="1:22">
      <c r="A4530" t="str">
        <f t="shared" si="560"/>
        <v>NDE-8504-R</v>
      </c>
      <c r="B4530" s="403" t="s">
        <v>1410</v>
      </c>
      <c r="C4530" s="403" t="s">
        <v>582</v>
      </c>
      <c r="D4530" s="403" t="s">
        <v>1418</v>
      </c>
      <c r="E4530" s="403" t="s">
        <v>1412</v>
      </c>
      <c r="F4530" s="403" t="s">
        <v>1323</v>
      </c>
      <c r="G4530" s="403" t="s">
        <v>1466</v>
      </c>
      <c r="H4530" s="403" t="s">
        <v>1281</v>
      </c>
      <c r="I4530" s="403">
        <v>1</v>
      </c>
      <c r="J4530" s="403" t="s">
        <v>110</v>
      </c>
      <c r="K4530" s="403">
        <v>1920</v>
      </c>
      <c r="L4530" s="403">
        <v>1080</v>
      </c>
      <c r="M4530" s="403" t="s">
        <v>110</v>
      </c>
      <c r="N4530" s="403">
        <v>1920</v>
      </c>
      <c r="O4530" s="403">
        <v>1080</v>
      </c>
      <c r="P4530" t="str">
        <f t="shared" si="561"/>
        <v>30fps 1080p - 1080p</v>
      </c>
      <c r="Q4530">
        <f t="shared" si="562"/>
        <v>21</v>
      </c>
      <c r="R4530" t="str">
        <f t="shared" si="563"/>
        <v/>
      </c>
      <c r="S4530" t="str">
        <f t="shared" si="564"/>
        <v/>
      </c>
      <c r="T4530" s="403" t="str">
        <f t="shared" si="565"/>
        <v>NDE-8504-R</v>
      </c>
      <c r="U4530" s="403">
        <f t="shared" si="566"/>
        <v>1</v>
      </c>
      <c r="V4530" s="403" t="str">
        <f t="shared" si="567"/>
        <v>CPP_7_3</v>
      </c>
    </row>
    <row r="4531" spans="1:22">
      <c r="A4531" t="str">
        <f t="shared" si="560"/>
        <v>NDE-8504-R</v>
      </c>
      <c r="B4531" s="403" t="s">
        <v>1410</v>
      </c>
      <c r="C4531" s="403" t="s">
        <v>582</v>
      </c>
      <c r="D4531" s="403" t="s">
        <v>1418</v>
      </c>
      <c r="E4531" s="403" t="s">
        <v>1412</v>
      </c>
      <c r="F4531" s="403" t="s">
        <v>1323</v>
      </c>
      <c r="G4531" s="403" t="s">
        <v>1466</v>
      </c>
      <c r="H4531" s="403" t="s">
        <v>1281</v>
      </c>
      <c r="I4531" s="403">
        <v>1</v>
      </c>
      <c r="J4531" s="403" t="s">
        <v>110</v>
      </c>
      <c r="K4531" s="403">
        <v>1920</v>
      </c>
      <c r="L4531" s="403">
        <v>1080</v>
      </c>
      <c r="M4531" s="403" t="s">
        <v>109</v>
      </c>
      <c r="N4531" s="403">
        <v>1280</v>
      </c>
      <c r="O4531" s="403">
        <v>720</v>
      </c>
      <c r="P4531" t="str">
        <f t="shared" si="561"/>
        <v>30fps 1080p - 720p</v>
      </c>
      <c r="Q4531">
        <f t="shared" si="562"/>
        <v>21</v>
      </c>
      <c r="R4531" t="str">
        <f t="shared" si="563"/>
        <v/>
      </c>
      <c r="S4531" t="str">
        <f t="shared" si="564"/>
        <v/>
      </c>
      <c r="T4531" s="403" t="str">
        <f t="shared" si="565"/>
        <v>NDE-8504-R</v>
      </c>
      <c r="U4531" s="403">
        <f t="shared" si="566"/>
        <v>1</v>
      </c>
      <c r="V4531" s="403" t="str">
        <f t="shared" si="567"/>
        <v>CPP_7_3</v>
      </c>
    </row>
    <row r="4532" spans="1:22">
      <c r="A4532" t="str">
        <f t="shared" si="560"/>
        <v>NDE-8504-R</v>
      </c>
      <c r="B4532" s="403" t="s">
        <v>1410</v>
      </c>
      <c r="C4532" s="403" t="s">
        <v>582</v>
      </c>
      <c r="D4532" s="403" t="s">
        <v>1418</v>
      </c>
      <c r="E4532" s="403" t="s">
        <v>1412</v>
      </c>
      <c r="F4532" s="403" t="s">
        <v>1323</v>
      </c>
      <c r="G4532" s="403" t="s">
        <v>1466</v>
      </c>
      <c r="H4532" s="403" t="s">
        <v>1281</v>
      </c>
      <c r="I4532" s="403">
        <v>1</v>
      </c>
      <c r="J4532" s="403" t="s">
        <v>110</v>
      </c>
      <c r="K4532" s="403">
        <v>1920</v>
      </c>
      <c r="L4532" s="403">
        <v>1080</v>
      </c>
      <c r="M4532" s="403" t="s">
        <v>1285</v>
      </c>
      <c r="N4532" s="403">
        <v>1280</v>
      </c>
      <c r="O4532" s="403">
        <v>1024</v>
      </c>
      <c r="P4532" t="str">
        <f t="shared" si="561"/>
        <v>30fps 1080p - 1280x1024 5:4 (cropped)</v>
      </c>
      <c r="Q4532">
        <f t="shared" si="562"/>
        <v>21</v>
      </c>
      <c r="R4532" t="str">
        <f t="shared" si="563"/>
        <v/>
      </c>
      <c r="S4532" t="str">
        <f t="shared" si="564"/>
        <v/>
      </c>
      <c r="T4532" s="403" t="str">
        <f t="shared" si="565"/>
        <v>NDE-8504-R</v>
      </c>
      <c r="U4532" s="403">
        <f t="shared" si="566"/>
        <v>1</v>
      </c>
      <c r="V4532" s="403" t="str">
        <f t="shared" si="567"/>
        <v>CPP_7_3</v>
      </c>
    </row>
    <row r="4533" spans="1:22">
      <c r="A4533" t="str">
        <f t="shared" si="560"/>
        <v>NDE-8504-R</v>
      </c>
      <c r="B4533" s="403" t="s">
        <v>1410</v>
      </c>
      <c r="C4533" s="403" t="s">
        <v>582</v>
      </c>
      <c r="D4533" s="403" t="s">
        <v>1418</v>
      </c>
      <c r="E4533" s="403" t="s">
        <v>1412</v>
      </c>
      <c r="F4533" s="403" t="s">
        <v>1323</v>
      </c>
      <c r="G4533" s="403" t="s">
        <v>1466</v>
      </c>
      <c r="H4533" s="403" t="s">
        <v>1281</v>
      </c>
      <c r="I4533" s="403">
        <v>1</v>
      </c>
      <c r="J4533" s="403" t="s">
        <v>110</v>
      </c>
      <c r="K4533" s="403">
        <v>1920</v>
      </c>
      <c r="L4533" s="403">
        <v>1080</v>
      </c>
      <c r="M4533" s="403" t="s">
        <v>1279</v>
      </c>
      <c r="N4533" s="403">
        <v>768</v>
      </c>
      <c r="O4533" s="403">
        <v>432</v>
      </c>
      <c r="P4533" t="str">
        <f t="shared" si="561"/>
        <v>30fps 1080p - SD ROI PTZ</v>
      </c>
      <c r="Q4533">
        <f t="shared" si="562"/>
        <v>21</v>
      </c>
      <c r="R4533" t="str">
        <f t="shared" si="563"/>
        <v/>
      </c>
      <c r="S4533" t="str">
        <f t="shared" si="564"/>
        <v/>
      </c>
      <c r="T4533" s="403" t="str">
        <f t="shared" si="565"/>
        <v>NDE-8504-R</v>
      </c>
      <c r="U4533" s="403">
        <f t="shared" si="566"/>
        <v>1</v>
      </c>
      <c r="V4533" s="403" t="str">
        <f t="shared" si="567"/>
        <v>CPP_7_3</v>
      </c>
    </row>
    <row r="4534" spans="1:22">
      <c r="A4534" t="str">
        <f t="shared" si="560"/>
        <v>NDE-8504-R</v>
      </c>
      <c r="B4534" s="403" t="s">
        <v>1410</v>
      </c>
      <c r="C4534" s="403" t="s">
        <v>582</v>
      </c>
      <c r="D4534" s="403" t="s">
        <v>1418</v>
      </c>
      <c r="E4534" s="403" t="s">
        <v>1412</v>
      </c>
      <c r="F4534" s="403" t="s">
        <v>1323</v>
      </c>
      <c r="G4534" s="403" t="s">
        <v>1466</v>
      </c>
      <c r="H4534" s="403" t="s">
        <v>1281</v>
      </c>
      <c r="I4534" s="403">
        <v>1</v>
      </c>
      <c r="J4534" s="403" t="s">
        <v>110</v>
      </c>
      <c r="K4534" s="403">
        <v>1920</v>
      </c>
      <c r="L4534" s="403">
        <v>1080</v>
      </c>
      <c r="M4534" s="403" t="s">
        <v>1283</v>
      </c>
      <c r="N4534" s="403">
        <v>720</v>
      </c>
      <c r="O4534" s="403">
        <v>480</v>
      </c>
      <c r="P4534" t="str">
        <f t="shared" si="561"/>
        <v>30fps 1080p - SD 4CIF resolution 4:3 format (cropped)</v>
      </c>
      <c r="Q4534">
        <f t="shared" si="562"/>
        <v>21</v>
      </c>
      <c r="R4534" t="str">
        <f t="shared" si="563"/>
        <v/>
      </c>
      <c r="S4534" t="str">
        <f t="shared" si="564"/>
        <v/>
      </c>
      <c r="T4534" s="403" t="str">
        <f t="shared" si="565"/>
        <v>NDE-8504-R</v>
      </c>
      <c r="U4534" s="403">
        <f t="shared" si="566"/>
        <v>1</v>
      </c>
      <c r="V4534" s="403" t="str">
        <f t="shared" si="567"/>
        <v>CPP_7_3</v>
      </c>
    </row>
    <row r="4535" spans="1:22">
      <c r="A4535" t="str">
        <f t="shared" si="560"/>
        <v>NDE-8504-R</v>
      </c>
      <c r="B4535" s="403" t="s">
        <v>1410</v>
      </c>
      <c r="C4535" s="403" t="s">
        <v>582</v>
      </c>
      <c r="D4535" s="403" t="s">
        <v>1418</v>
      </c>
      <c r="E4535" s="403" t="s">
        <v>1412</v>
      </c>
      <c r="F4535" s="403" t="s">
        <v>1323</v>
      </c>
      <c r="G4535" s="403" t="s">
        <v>1466</v>
      </c>
      <c r="H4535" s="403" t="s">
        <v>1281</v>
      </c>
      <c r="I4535" s="403">
        <v>1</v>
      </c>
      <c r="J4535" s="403" t="s">
        <v>110</v>
      </c>
      <c r="K4535" s="403">
        <v>1920</v>
      </c>
      <c r="L4535" s="403">
        <v>1080</v>
      </c>
      <c r="M4535" s="403" t="s">
        <v>1284</v>
      </c>
      <c r="N4535" s="403">
        <v>640</v>
      </c>
      <c r="O4535" s="403">
        <v>480</v>
      </c>
      <c r="P4535" t="str">
        <f t="shared" si="561"/>
        <v>30fps 1080p - SD VGA (cropped)</v>
      </c>
      <c r="Q4535">
        <f t="shared" si="562"/>
        <v>21</v>
      </c>
      <c r="R4535" t="str">
        <f t="shared" si="563"/>
        <v/>
      </c>
      <c r="S4535" t="str">
        <f t="shared" si="564"/>
        <v/>
      </c>
      <c r="T4535" s="403" t="str">
        <f t="shared" si="565"/>
        <v>NDE-8504-R</v>
      </c>
      <c r="U4535" s="403">
        <f t="shared" si="566"/>
        <v>1</v>
      </c>
      <c r="V4535" s="403" t="str">
        <f t="shared" si="567"/>
        <v>CPP_7_3</v>
      </c>
    </row>
    <row r="4536" spans="1:22">
      <c r="A4536" t="str">
        <f t="shared" si="560"/>
        <v>NDE-8504-R</v>
      </c>
      <c r="B4536" s="403" t="s">
        <v>1410</v>
      </c>
      <c r="C4536" s="403" t="s">
        <v>582</v>
      </c>
      <c r="D4536" s="403" t="s">
        <v>1418</v>
      </c>
      <c r="E4536" s="403" t="s">
        <v>1412</v>
      </c>
      <c r="F4536" s="403" t="s">
        <v>1323</v>
      </c>
      <c r="G4536" s="403" t="s">
        <v>1466</v>
      </c>
      <c r="H4536" s="403" t="s">
        <v>1281</v>
      </c>
      <c r="I4536" s="403">
        <v>1</v>
      </c>
      <c r="J4536" s="403" t="s">
        <v>109</v>
      </c>
      <c r="K4536" s="403">
        <v>1280</v>
      </c>
      <c r="L4536" s="403">
        <v>720</v>
      </c>
      <c r="M4536" s="403" t="s">
        <v>109</v>
      </c>
      <c r="N4536" s="403">
        <v>1280</v>
      </c>
      <c r="O4536" s="403">
        <v>720</v>
      </c>
      <c r="P4536" t="str">
        <f t="shared" si="561"/>
        <v>30fps 720p - 720p</v>
      </c>
      <c r="Q4536">
        <f t="shared" si="562"/>
        <v>21</v>
      </c>
      <c r="R4536" t="str">
        <f t="shared" si="563"/>
        <v/>
      </c>
      <c r="S4536" t="str">
        <f t="shared" si="564"/>
        <v/>
      </c>
      <c r="T4536" s="403" t="str">
        <f t="shared" si="565"/>
        <v>NDE-8504-R</v>
      </c>
      <c r="U4536" s="403">
        <f t="shared" si="566"/>
        <v>1</v>
      </c>
      <c r="V4536" s="403" t="str">
        <f t="shared" si="567"/>
        <v>CPP_7_3</v>
      </c>
    </row>
    <row r="4537" spans="1:22">
      <c r="A4537" t="str">
        <f t="shared" si="560"/>
        <v>NDE-8504-R</v>
      </c>
      <c r="B4537" s="403" t="s">
        <v>1410</v>
      </c>
      <c r="C4537" s="403" t="s">
        <v>582</v>
      </c>
      <c r="D4537" s="403" t="s">
        <v>1418</v>
      </c>
      <c r="E4537" s="403" t="s">
        <v>1412</v>
      </c>
      <c r="F4537" s="403" t="s">
        <v>1323</v>
      </c>
      <c r="G4537" s="403" t="s">
        <v>1466</v>
      </c>
      <c r="H4537" s="403" t="s">
        <v>1281</v>
      </c>
      <c r="I4537" s="403">
        <v>1</v>
      </c>
      <c r="J4537" s="403" t="s">
        <v>109</v>
      </c>
      <c r="K4537" s="403">
        <v>1280</v>
      </c>
      <c r="L4537" s="403">
        <v>720</v>
      </c>
      <c r="M4537" s="403" t="s">
        <v>111</v>
      </c>
      <c r="N4537" s="403">
        <v>768</v>
      </c>
      <c r="O4537" s="403">
        <v>432</v>
      </c>
      <c r="P4537" t="str">
        <f t="shared" si="561"/>
        <v>30fps 720p - SD</v>
      </c>
      <c r="Q4537">
        <f t="shared" si="562"/>
        <v>21</v>
      </c>
      <c r="R4537" t="str">
        <f t="shared" si="563"/>
        <v/>
      </c>
      <c r="S4537" t="str">
        <f t="shared" si="564"/>
        <v/>
      </c>
      <c r="T4537" s="403" t="str">
        <f t="shared" si="565"/>
        <v>NDE-8504-R</v>
      </c>
      <c r="U4537" s="403">
        <f t="shared" si="566"/>
        <v>1</v>
      </c>
      <c r="V4537" s="403" t="str">
        <f t="shared" si="567"/>
        <v>CPP_7_3</v>
      </c>
    </row>
    <row r="4538" spans="1:22">
      <c r="A4538" t="str">
        <f t="shared" si="560"/>
        <v>NDE-8504-R</v>
      </c>
      <c r="B4538" s="403" t="s">
        <v>1410</v>
      </c>
      <c r="C4538" s="403" t="s">
        <v>582</v>
      </c>
      <c r="D4538" s="403" t="s">
        <v>1418</v>
      </c>
      <c r="E4538" s="403" t="s">
        <v>1412</v>
      </c>
      <c r="F4538" s="403" t="s">
        <v>1323</v>
      </c>
      <c r="G4538" s="403" t="s">
        <v>1466</v>
      </c>
      <c r="H4538" s="403" t="s">
        <v>1281</v>
      </c>
      <c r="I4538" s="403">
        <v>1</v>
      </c>
      <c r="J4538" s="403" t="s">
        <v>109</v>
      </c>
      <c r="K4538" s="403">
        <v>1280</v>
      </c>
      <c r="L4538" s="403">
        <v>720</v>
      </c>
      <c r="M4538" s="403" t="s">
        <v>1279</v>
      </c>
      <c r="N4538" s="403">
        <v>768</v>
      </c>
      <c r="O4538" s="403">
        <v>432</v>
      </c>
      <c r="P4538" t="str">
        <f t="shared" si="561"/>
        <v>30fps 720p - SD ROI PTZ</v>
      </c>
      <c r="Q4538">
        <f t="shared" si="562"/>
        <v>21</v>
      </c>
      <c r="R4538" t="str">
        <f t="shared" si="563"/>
        <v/>
      </c>
      <c r="S4538" t="str">
        <f t="shared" si="564"/>
        <v/>
      </c>
      <c r="T4538" s="403" t="str">
        <f t="shared" si="565"/>
        <v>NDE-8504-R</v>
      </c>
      <c r="U4538" s="403">
        <f t="shared" si="566"/>
        <v>1</v>
      </c>
      <c r="V4538" s="403" t="str">
        <f t="shared" si="567"/>
        <v>CPP_7_3</v>
      </c>
    </row>
    <row r="4539" spans="1:22">
      <c r="A4539" t="str">
        <f t="shared" si="560"/>
        <v>NDE-8504-R</v>
      </c>
      <c r="B4539" s="403" t="s">
        <v>1410</v>
      </c>
      <c r="C4539" s="403" t="s">
        <v>582</v>
      </c>
      <c r="D4539" s="403" t="s">
        <v>1418</v>
      </c>
      <c r="E4539" s="403" t="s">
        <v>1412</v>
      </c>
      <c r="F4539" s="403" t="s">
        <v>1323</v>
      </c>
      <c r="G4539" s="403" t="s">
        <v>1466</v>
      </c>
      <c r="H4539" s="403" t="s">
        <v>1281</v>
      </c>
      <c r="I4539" s="403">
        <v>1</v>
      </c>
      <c r="J4539" s="403" t="s">
        <v>109</v>
      </c>
      <c r="K4539" s="403">
        <v>1280</v>
      </c>
      <c r="L4539" s="403">
        <v>720</v>
      </c>
      <c r="M4539" s="403" t="s">
        <v>1283</v>
      </c>
      <c r="N4539" s="403">
        <v>720</v>
      </c>
      <c r="O4539" s="403">
        <v>480</v>
      </c>
      <c r="P4539" t="str">
        <f t="shared" si="561"/>
        <v>30fps 720p - SD 4CIF resolution 4:3 format (cropped)</v>
      </c>
      <c r="Q4539">
        <f t="shared" si="562"/>
        <v>21</v>
      </c>
      <c r="R4539" t="str">
        <f t="shared" si="563"/>
        <v/>
      </c>
      <c r="S4539" t="str">
        <f t="shared" si="564"/>
        <v/>
      </c>
      <c r="T4539" s="403" t="str">
        <f t="shared" si="565"/>
        <v>NDE-8504-R</v>
      </c>
      <c r="U4539" s="403">
        <f t="shared" si="566"/>
        <v>1</v>
      </c>
      <c r="V4539" s="403" t="str">
        <f t="shared" si="567"/>
        <v>CPP_7_3</v>
      </c>
    </row>
    <row r="4540" spans="1:22">
      <c r="A4540" t="str">
        <f t="shared" si="560"/>
        <v>NDE-8504-R</v>
      </c>
      <c r="B4540" s="403" t="s">
        <v>1410</v>
      </c>
      <c r="C4540" s="403" t="s">
        <v>582</v>
      </c>
      <c r="D4540" s="403" t="s">
        <v>1418</v>
      </c>
      <c r="E4540" s="403" t="s">
        <v>1412</v>
      </c>
      <c r="F4540" s="403" t="s">
        <v>1323</v>
      </c>
      <c r="G4540" s="403" t="s">
        <v>1466</v>
      </c>
      <c r="H4540" s="403" t="s">
        <v>1281</v>
      </c>
      <c r="I4540" s="403">
        <v>1</v>
      </c>
      <c r="J4540" s="403" t="s">
        <v>109</v>
      </c>
      <c r="K4540" s="403">
        <v>1280</v>
      </c>
      <c r="L4540" s="403">
        <v>720</v>
      </c>
      <c r="M4540" s="403" t="s">
        <v>1284</v>
      </c>
      <c r="N4540" s="403">
        <v>640</v>
      </c>
      <c r="O4540" s="403">
        <v>480</v>
      </c>
      <c r="P4540" t="str">
        <f t="shared" si="561"/>
        <v>30fps 720p - SD VGA (cropped)</v>
      </c>
      <c r="Q4540">
        <f t="shared" si="562"/>
        <v>21</v>
      </c>
      <c r="R4540" t="str">
        <f t="shared" si="563"/>
        <v/>
      </c>
      <c r="S4540" t="str">
        <f t="shared" si="564"/>
        <v/>
      </c>
      <c r="T4540" s="403" t="str">
        <f t="shared" si="565"/>
        <v>NDE-8504-R</v>
      </c>
      <c r="U4540" s="403">
        <f t="shared" si="566"/>
        <v>1</v>
      </c>
      <c r="V4540" s="403" t="str">
        <f t="shared" si="567"/>
        <v>CPP_7_3</v>
      </c>
    </row>
    <row r="4541" spans="1:22">
      <c r="A4541" t="str">
        <f t="shared" si="560"/>
        <v>NDE-8504-R</v>
      </c>
      <c r="B4541" s="403" t="s">
        <v>1410</v>
      </c>
      <c r="C4541" s="403" t="s">
        <v>582</v>
      </c>
      <c r="D4541" s="403" t="s">
        <v>1418</v>
      </c>
      <c r="E4541" s="403" t="s">
        <v>1412</v>
      </c>
      <c r="F4541" s="403" t="s">
        <v>1325</v>
      </c>
      <c r="G4541" s="403" t="s">
        <v>1466</v>
      </c>
      <c r="H4541" s="403" t="s">
        <v>1276</v>
      </c>
      <c r="I4541" s="403">
        <v>1</v>
      </c>
      <c r="J4541" s="403" t="s">
        <v>194</v>
      </c>
      <c r="K4541" s="403">
        <v>3840</v>
      </c>
      <c r="L4541" s="403">
        <v>2160</v>
      </c>
      <c r="M4541" s="403" t="s">
        <v>111</v>
      </c>
      <c r="N4541" s="403">
        <v>768</v>
      </c>
      <c r="O4541" s="403">
        <v>432</v>
      </c>
      <c r="P4541" t="str">
        <f t="shared" si="561"/>
        <v>25fps 3840x2160 - SD</v>
      </c>
      <c r="Q4541">
        <f t="shared" si="562"/>
        <v>21</v>
      </c>
      <c r="R4541" t="str">
        <f t="shared" si="563"/>
        <v/>
      </c>
      <c r="S4541" t="str">
        <f t="shared" si="564"/>
        <v/>
      </c>
      <c r="T4541" s="403" t="str">
        <f t="shared" si="565"/>
        <v>NDE-8504-R</v>
      </c>
      <c r="U4541" s="403">
        <f t="shared" si="566"/>
        <v>1</v>
      </c>
      <c r="V4541" s="403" t="str">
        <f t="shared" si="567"/>
        <v>CPP_7_3</v>
      </c>
    </row>
    <row r="4542" spans="1:22">
      <c r="A4542" t="str">
        <f t="shared" si="560"/>
        <v>NDE-8504-R</v>
      </c>
      <c r="B4542" s="403" t="s">
        <v>1410</v>
      </c>
      <c r="C4542" s="403" t="s">
        <v>582</v>
      </c>
      <c r="D4542" s="403" t="s">
        <v>1418</v>
      </c>
      <c r="E4542" s="403" t="s">
        <v>1412</v>
      </c>
      <c r="F4542" s="403" t="s">
        <v>1325</v>
      </c>
      <c r="G4542" s="403" t="s">
        <v>1466</v>
      </c>
      <c r="H4542" s="403" t="s">
        <v>1276</v>
      </c>
      <c r="I4542" s="403">
        <v>1</v>
      </c>
      <c r="J4542" s="403" t="s">
        <v>194</v>
      </c>
      <c r="K4542" s="403">
        <v>3840</v>
      </c>
      <c r="L4542" s="403">
        <v>2160</v>
      </c>
      <c r="M4542" s="403" t="s">
        <v>1280</v>
      </c>
      <c r="N4542" s="403">
        <v>3840</v>
      </c>
      <c r="O4542" s="403">
        <v>2160</v>
      </c>
      <c r="P4542" t="str">
        <f t="shared" si="561"/>
        <v>25fps 3840x2160 - copy other stream</v>
      </c>
      <c r="Q4542">
        <f t="shared" si="562"/>
        <v>21</v>
      </c>
      <c r="R4542" t="str">
        <f t="shared" si="563"/>
        <v/>
      </c>
      <c r="S4542" t="str">
        <f t="shared" si="564"/>
        <v/>
      </c>
      <c r="T4542" s="403" t="str">
        <f t="shared" si="565"/>
        <v>NDE-8504-R</v>
      </c>
      <c r="U4542" s="403">
        <f t="shared" si="566"/>
        <v>1</v>
      </c>
      <c r="V4542" s="403" t="str">
        <f t="shared" si="567"/>
        <v>CPP_7_3</v>
      </c>
    </row>
    <row r="4543" spans="1:22">
      <c r="A4543" t="str">
        <f t="shared" si="560"/>
        <v>NDE-8504-R</v>
      </c>
      <c r="B4543" s="403" t="s">
        <v>1410</v>
      </c>
      <c r="C4543" s="403" t="s">
        <v>582</v>
      </c>
      <c r="D4543" s="403" t="s">
        <v>1418</v>
      </c>
      <c r="E4543" s="403" t="s">
        <v>1412</v>
      </c>
      <c r="F4543" s="403" t="s">
        <v>1325</v>
      </c>
      <c r="G4543" s="403" t="s">
        <v>1466</v>
      </c>
      <c r="H4543" s="403" t="s">
        <v>1276</v>
      </c>
      <c r="I4543" s="403">
        <v>1</v>
      </c>
      <c r="J4543" s="403" t="s">
        <v>194</v>
      </c>
      <c r="K4543" s="403">
        <v>3840</v>
      </c>
      <c r="L4543" s="403">
        <v>2160</v>
      </c>
      <c r="M4543" s="403" t="s">
        <v>1362</v>
      </c>
      <c r="N4543" s="403">
        <v>3840</v>
      </c>
      <c r="O4543" s="403">
        <v>2160</v>
      </c>
      <c r="P4543" t="str">
        <f t="shared" si="561"/>
        <v>25fps 3840x2160 - 3840x2160 @ SKIP6</v>
      </c>
      <c r="Q4543">
        <f t="shared" si="562"/>
        <v>21</v>
      </c>
      <c r="R4543" t="str">
        <f t="shared" si="563"/>
        <v/>
      </c>
      <c r="S4543" t="str">
        <f t="shared" si="564"/>
        <v/>
      </c>
      <c r="T4543" s="403" t="str">
        <f t="shared" si="565"/>
        <v>NDE-8504-R</v>
      </c>
      <c r="U4543" s="403">
        <f t="shared" si="566"/>
        <v>1</v>
      </c>
      <c r="V4543" s="403" t="str">
        <f t="shared" si="567"/>
        <v>CPP_7_3</v>
      </c>
    </row>
    <row r="4544" spans="1:22">
      <c r="A4544" t="str">
        <f t="shared" si="560"/>
        <v>NDE-8504-R</v>
      </c>
      <c r="B4544" s="403" t="s">
        <v>1410</v>
      </c>
      <c r="C4544" s="403" t="s">
        <v>582</v>
      </c>
      <c r="D4544" s="403" t="s">
        <v>1418</v>
      </c>
      <c r="E4544" s="403" t="s">
        <v>1412</v>
      </c>
      <c r="F4544" s="403" t="s">
        <v>1325</v>
      </c>
      <c r="G4544" s="403" t="s">
        <v>1466</v>
      </c>
      <c r="H4544" s="403" t="s">
        <v>1276</v>
      </c>
      <c r="I4544" s="403">
        <v>1</v>
      </c>
      <c r="J4544" s="403" t="s">
        <v>194</v>
      </c>
      <c r="K4544" s="403">
        <v>3840</v>
      </c>
      <c r="L4544" s="403">
        <v>2160</v>
      </c>
      <c r="M4544" s="403" t="s">
        <v>1363</v>
      </c>
      <c r="N4544" s="403">
        <v>1920</v>
      </c>
      <c r="O4544" s="403">
        <v>1080</v>
      </c>
      <c r="P4544" t="str">
        <f t="shared" si="561"/>
        <v>25fps 3840x2160 - 1920x1080 @ SKIP 2</v>
      </c>
      <c r="Q4544">
        <f t="shared" si="562"/>
        <v>21</v>
      </c>
      <c r="R4544" t="str">
        <f t="shared" si="563"/>
        <v/>
      </c>
      <c r="S4544" t="str">
        <f t="shared" si="564"/>
        <v/>
      </c>
      <c r="T4544" s="403" t="str">
        <f t="shared" si="565"/>
        <v>NDE-8504-R</v>
      </c>
      <c r="U4544" s="403">
        <f t="shared" si="566"/>
        <v>1</v>
      </c>
      <c r="V4544" s="403" t="str">
        <f t="shared" si="567"/>
        <v>CPP_7_3</v>
      </c>
    </row>
    <row r="4545" spans="1:22">
      <c r="A4545" t="str">
        <f t="shared" si="560"/>
        <v>NDE-8504-R</v>
      </c>
      <c r="B4545" s="403" t="s">
        <v>1410</v>
      </c>
      <c r="C4545" s="403" t="s">
        <v>582</v>
      </c>
      <c r="D4545" s="403" t="s">
        <v>1418</v>
      </c>
      <c r="E4545" s="403" t="s">
        <v>1412</v>
      </c>
      <c r="F4545" s="403" t="s">
        <v>1325</v>
      </c>
      <c r="G4545" s="403" t="s">
        <v>1466</v>
      </c>
      <c r="H4545" s="403" t="s">
        <v>1276</v>
      </c>
      <c r="I4545" s="403">
        <v>1</v>
      </c>
      <c r="J4545" s="403" t="s">
        <v>194</v>
      </c>
      <c r="K4545" s="403">
        <v>3840</v>
      </c>
      <c r="L4545" s="403">
        <v>2160</v>
      </c>
      <c r="M4545" s="403" t="s">
        <v>109</v>
      </c>
      <c r="N4545" s="403">
        <v>1280</v>
      </c>
      <c r="O4545" s="403">
        <v>720</v>
      </c>
      <c r="P4545" t="str">
        <f t="shared" si="561"/>
        <v>25fps 3840x2160 - 720p</v>
      </c>
      <c r="Q4545">
        <f t="shared" si="562"/>
        <v>21</v>
      </c>
      <c r="R4545" t="str">
        <f t="shared" si="563"/>
        <v/>
      </c>
      <c r="S4545" t="str">
        <f t="shared" si="564"/>
        <v/>
      </c>
      <c r="T4545" s="403" t="str">
        <f t="shared" si="565"/>
        <v>NDE-8504-R</v>
      </c>
      <c r="U4545" s="403">
        <f t="shared" si="566"/>
        <v>1</v>
      </c>
      <c r="V4545" s="403" t="str">
        <f t="shared" si="567"/>
        <v>CPP_7_3</v>
      </c>
    </row>
    <row r="4546" spans="1:22">
      <c r="A4546" t="str">
        <f t="shared" ref="A4546:A4609" si="568">IF(AND(G4546&lt;&gt;"rotate 90°"),D4546,"")</f>
        <v>NDE-8504-R</v>
      </c>
      <c r="B4546" s="403" t="s">
        <v>1410</v>
      </c>
      <c r="C4546" s="403" t="s">
        <v>582</v>
      </c>
      <c r="D4546" s="403" t="s">
        <v>1418</v>
      </c>
      <c r="E4546" s="403" t="s">
        <v>1412</v>
      </c>
      <c r="F4546" s="403" t="s">
        <v>1325</v>
      </c>
      <c r="G4546" s="403" t="s">
        <v>1466</v>
      </c>
      <c r="H4546" s="403" t="s">
        <v>1276</v>
      </c>
      <c r="I4546" s="403">
        <v>1</v>
      </c>
      <c r="J4546" s="403" t="s">
        <v>194</v>
      </c>
      <c r="K4546" s="403">
        <v>3840</v>
      </c>
      <c r="L4546" s="403">
        <v>2160</v>
      </c>
      <c r="M4546" s="403" t="s">
        <v>1283</v>
      </c>
      <c r="N4546" s="403">
        <v>720</v>
      </c>
      <c r="O4546" s="403">
        <v>576</v>
      </c>
      <c r="P4546" t="str">
        <f t="shared" ref="P4546:P4609" si="569">LEFT(F4546,5)&amp;" "&amp;J4546&amp;" - "&amp;M4546</f>
        <v>25fps 3840x2160 - SD 4CIF resolution 4:3 format (cropped)</v>
      </c>
      <c r="Q4546">
        <f t="shared" ref="Q4546:Q4609" si="570">IF(A4545=A4546,Q4545,Q4545+1)</f>
        <v>21</v>
      </c>
      <c r="R4546" t="str">
        <f t="shared" ref="R4546:R4609" si="571">IF(Q4545&lt;&gt;Q4546,Q4546,"")</f>
        <v/>
      </c>
      <c r="S4546" t="str">
        <f t="shared" ref="S4546:S4609" si="572">IF(R4546&lt;&gt;"",B4546&amp;" ("&amp;D4546&amp;")","")</f>
        <v/>
      </c>
      <c r="T4546" s="403" t="str">
        <f t="shared" ref="T4546:T4609" si="573">D4546</f>
        <v>NDE-8504-R</v>
      </c>
      <c r="U4546" s="403">
        <f t="shared" ref="U4546:U4609" si="574">I4546</f>
        <v>1</v>
      </c>
      <c r="V4546" s="403" t="str">
        <f t="shared" ref="V4546:V4609" si="575">C4546</f>
        <v>CPP_7_3</v>
      </c>
    </row>
    <row r="4547" spans="1:22">
      <c r="A4547" t="str">
        <f t="shared" si="568"/>
        <v>NDE-8504-R</v>
      </c>
      <c r="B4547" s="403" t="s">
        <v>1410</v>
      </c>
      <c r="C4547" s="403" t="s">
        <v>582</v>
      </c>
      <c r="D4547" s="403" t="s">
        <v>1418</v>
      </c>
      <c r="E4547" s="403" t="s">
        <v>1412</v>
      </c>
      <c r="F4547" s="403" t="s">
        <v>1325</v>
      </c>
      <c r="G4547" s="403" t="s">
        <v>1466</v>
      </c>
      <c r="H4547" s="403" t="s">
        <v>1276</v>
      </c>
      <c r="I4547" s="403">
        <v>1</v>
      </c>
      <c r="J4547" s="403" t="s">
        <v>194</v>
      </c>
      <c r="K4547" s="403">
        <v>3840</v>
      </c>
      <c r="L4547" s="403">
        <v>2160</v>
      </c>
      <c r="M4547" s="403" t="s">
        <v>1284</v>
      </c>
      <c r="N4547" s="403">
        <v>640</v>
      </c>
      <c r="O4547" s="403">
        <v>480</v>
      </c>
      <c r="P4547" t="str">
        <f t="shared" si="569"/>
        <v>25fps 3840x2160 - SD VGA (cropped)</v>
      </c>
      <c r="Q4547">
        <f t="shared" si="570"/>
        <v>21</v>
      </c>
      <c r="R4547" t="str">
        <f t="shared" si="571"/>
        <v/>
      </c>
      <c r="S4547" t="str">
        <f t="shared" si="572"/>
        <v/>
      </c>
      <c r="T4547" s="403" t="str">
        <f t="shared" si="573"/>
        <v>NDE-8504-R</v>
      </c>
      <c r="U4547" s="403">
        <f t="shared" si="574"/>
        <v>1</v>
      </c>
      <c r="V4547" s="403" t="str">
        <f t="shared" si="575"/>
        <v>CPP_7_3</v>
      </c>
    </row>
    <row r="4548" spans="1:22">
      <c r="A4548" t="str">
        <f t="shared" si="568"/>
        <v>NDE-8504-R</v>
      </c>
      <c r="B4548" s="403" t="s">
        <v>1410</v>
      </c>
      <c r="C4548" s="403" t="s">
        <v>582</v>
      </c>
      <c r="D4548" s="403" t="s">
        <v>1418</v>
      </c>
      <c r="E4548" s="403" t="s">
        <v>1412</v>
      </c>
      <c r="F4548" s="403" t="s">
        <v>1325</v>
      </c>
      <c r="G4548" s="403" t="s">
        <v>1466</v>
      </c>
      <c r="H4548" s="403" t="s">
        <v>1276</v>
      </c>
      <c r="I4548" s="403">
        <v>1</v>
      </c>
      <c r="J4548" s="403" t="s">
        <v>194</v>
      </c>
      <c r="K4548" s="403">
        <v>3840</v>
      </c>
      <c r="L4548" s="403">
        <v>2160</v>
      </c>
      <c r="M4548" s="403" t="s">
        <v>1285</v>
      </c>
      <c r="N4548" s="403">
        <v>1280</v>
      </c>
      <c r="O4548" s="403">
        <v>1024</v>
      </c>
      <c r="P4548" t="str">
        <f t="shared" si="569"/>
        <v>25fps 3840x2160 - 1280x1024 5:4 (cropped)</v>
      </c>
      <c r="Q4548">
        <f t="shared" si="570"/>
        <v>21</v>
      </c>
      <c r="R4548" t="str">
        <f t="shared" si="571"/>
        <v/>
      </c>
      <c r="S4548" t="str">
        <f t="shared" si="572"/>
        <v/>
      </c>
      <c r="T4548" s="403" t="str">
        <f t="shared" si="573"/>
        <v>NDE-8504-R</v>
      </c>
      <c r="U4548" s="403">
        <f t="shared" si="574"/>
        <v>1</v>
      </c>
      <c r="V4548" s="403" t="str">
        <f t="shared" si="575"/>
        <v>CPP_7_3</v>
      </c>
    </row>
    <row r="4549" spans="1:22">
      <c r="A4549" t="str">
        <f t="shared" si="568"/>
        <v>NDE-8504-R</v>
      </c>
      <c r="B4549" s="403" t="s">
        <v>1410</v>
      </c>
      <c r="C4549" s="403" t="s">
        <v>582</v>
      </c>
      <c r="D4549" s="403" t="s">
        <v>1418</v>
      </c>
      <c r="E4549" s="403" t="s">
        <v>1412</v>
      </c>
      <c r="F4549" s="403" t="s">
        <v>1325</v>
      </c>
      <c r="G4549" s="403" t="s">
        <v>1466</v>
      </c>
      <c r="H4549" s="403" t="s">
        <v>1276</v>
      </c>
      <c r="I4549" s="403">
        <v>1</v>
      </c>
      <c r="J4549" s="403" t="s">
        <v>1324</v>
      </c>
      <c r="K4549" s="403">
        <v>3584</v>
      </c>
      <c r="L4549" s="403">
        <v>2016</v>
      </c>
      <c r="M4549" s="403" t="s">
        <v>111</v>
      </c>
      <c r="N4549" s="403">
        <v>768</v>
      </c>
      <c r="O4549" s="403">
        <v>432</v>
      </c>
      <c r="P4549" t="str">
        <f t="shared" si="569"/>
        <v>25fps 3584x2016 - SD</v>
      </c>
      <c r="Q4549">
        <f t="shared" si="570"/>
        <v>21</v>
      </c>
      <c r="R4549" t="str">
        <f t="shared" si="571"/>
        <v/>
      </c>
      <c r="S4549" t="str">
        <f t="shared" si="572"/>
        <v/>
      </c>
      <c r="T4549" s="403" t="str">
        <f t="shared" si="573"/>
        <v>NDE-8504-R</v>
      </c>
      <c r="U4549" s="403">
        <f t="shared" si="574"/>
        <v>1</v>
      </c>
      <c r="V4549" s="403" t="str">
        <f t="shared" si="575"/>
        <v>CPP_7_3</v>
      </c>
    </row>
    <row r="4550" spans="1:22">
      <c r="A4550" t="str">
        <f t="shared" si="568"/>
        <v>NDE-8504-R</v>
      </c>
      <c r="B4550" s="403" t="s">
        <v>1410</v>
      </c>
      <c r="C4550" s="403" t="s">
        <v>582</v>
      </c>
      <c r="D4550" s="403" t="s">
        <v>1418</v>
      </c>
      <c r="E4550" s="403" t="s">
        <v>1412</v>
      </c>
      <c r="F4550" s="403" t="s">
        <v>1325</v>
      </c>
      <c r="G4550" s="403" t="s">
        <v>1466</v>
      </c>
      <c r="H4550" s="403" t="s">
        <v>1276</v>
      </c>
      <c r="I4550" s="403">
        <v>1</v>
      </c>
      <c r="J4550" s="403" t="s">
        <v>1324</v>
      </c>
      <c r="K4550" s="403">
        <v>3584</v>
      </c>
      <c r="L4550" s="403">
        <v>2016</v>
      </c>
      <c r="M4550" s="403" t="s">
        <v>1280</v>
      </c>
      <c r="N4550" s="403">
        <v>3584</v>
      </c>
      <c r="O4550" s="403">
        <v>2016</v>
      </c>
      <c r="P4550" t="str">
        <f t="shared" si="569"/>
        <v>25fps 3584x2016 - copy other stream</v>
      </c>
      <c r="Q4550">
        <f t="shared" si="570"/>
        <v>21</v>
      </c>
      <c r="R4550" t="str">
        <f t="shared" si="571"/>
        <v/>
      </c>
      <c r="S4550" t="str">
        <f t="shared" si="572"/>
        <v/>
      </c>
      <c r="T4550" s="403" t="str">
        <f t="shared" si="573"/>
        <v>NDE-8504-R</v>
      </c>
      <c r="U4550" s="403">
        <f t="shared" si="574"/>
        <v>1</v>
      </c>
      <c r="V4550" s="403" t="str">
        <f t="shared" si="575"/>
        <v>CPP_7_3</v>
      </c>
    </row>
    <row r="4551" spans="1:22">
      <c r="A4551" t="str">
        <f t="shared" si="568"/>
        <v>NDE-8504-R</v>
      </c>
      <c r="B4551" s="403" t="s">
        <v>1410</v>
      </c>
      <c r="C4551" s="403" t="s">
        <v>582</v>
      </c>
      <c r="D4551" s="403" t="s">
        <v>1418</v>
      </c>
      <c r="E4551" s="403" t="s">
        <v>1412</v>
      </c>
      <c r="F4551" s="403" t="s">
        <v>1325</v>
      </c>
      <c r="G4551" s="403" t="s">
        <v>1466</v>
      </c>
      <c r="H4551" s="403" t="s">
        <v>1276</v>
      </c>
      <c r="I4551" s="403">
        <v>1</v>
      </c>
      <c r="J4551" s="403" t="s">
        <v>1324</v>
      </c>
      <c r="K4551" s="403">
        <v>3584</v>
      </c>
      <c r="L4551" s="403">
        <v>2016</v>
      </c>
      <c r="M4551" s="403" t="s">
        <v>1364</v>
      </c>
      <c r="N4551" s="403">
        <v>3584</v>
      </c>
      <c r="O4551" s="403">
        <v>2016</v>
      </c>
      <c r="P4551" t="str">
        <f t="shared" si="569"/>
        <v>25fps 3584x2016 - 3584x2016 @ SKIP6</v>
      </c>
      <c r="Q4551">
        <f t="shared" si="570"/>
        <v>21</v>
      </c>
      <c r="R4551" t="str">
        <f t="shared" si="571"/>
        <v/>
      </c>
      <c r="S4551" t="str">
        <f t="shared" si="572"/>
        <v/>
      </c>
      <c r="T4551" s="403" t="str">
        <f t="shared" si="573"/>
        <v>NDE-8504-R</v>
      </c>
      <c r="U4551" s="403">
        <f t="shared" si="574"/>
        <v>1</v>
      </c>
      <c r="V4551" s="403" t="str">
        <f t="shared" si="575"/>
        <v>CPP_7_3</v>
      </c>
    </row>
    <row r="4552" spans="1:22">
      <c r="A4552" t="str">
        <f t="shared" si="568"/>
        <v>NDE-8504-R</v>
      </c>
      <c r="B4552" s="403" t="s">
        <v>1410</v>
      </c>
      <c r="C4552" s="403" t="s">
        <v>582</v>
      </c>
      <c r="D4552" s="403" t="s">
        <v>1418</v>
      </c>
      <c r="E4552" s="403" t="s">
        <v>1412</v>
      </c>
      <c r="F4552" s="403" t="s">
        <v>1325</v>
      </c>
      <c r="G4552" s="403" t="s">
        <v>1466</v>
      </c>
      <c r="H4552" s="403" t="s">
        <v>1276</v>
      </c>
      <c r="I4552" s="403">
        <v>1</v>
      </c>
      <c r="J4552" s="403" t="s">
        <v>1324</v>
      </c>
      <c r="K4552" s="403">
        <v>3584</v>
      </c>
      <c r="L4552" s="403">
        <v>2016</v>
      </c>
      <c r="M4552" s="403" t="s">
        <v>110</v>
      </c>
      <c r="N4552" s="403">
        <v>1920</v>
      </c>
      <c r="O4552" s="403">
        <v>1080</v>
      </c>
      <c r="P4552" t="str">
        <f t="shared" si="569"/>
        <v>25fps 3584x2016 - 1080p</v>
      </c>
      <c r="Q4552">
        <f t="shared" si="570"/>
        <v>21</v>
      </c>
      <c r="R4552" t="str">
        <f t="shared" si="571"/>
        <v/>
      </c>
      <c r="S4552" t="str">
        <f t="shared" si="572"/>
        <v/>
      </c>
      <c r="T4552" s="403" t="str">
        <f t="shared" si="573"/>
        <v>NDE-8504-R</v>
      </c>
      <c r="U4552" s="403">
        <f t="shared" si="574"/>
        <v>1</v>
      </c>
      <c r="V4552" s="403" t="str">
        <f t="shared" si="575"/>
        <v>CPP_7_3</v>
      </c>
    </row>
    <row r="4553" spans="1:22">
      <c r="A4553" t="str">
        <f t="shared" si="568"/>
        <v>NDE-8504-R</v>
      </c>
      <c r="B4553" s="403" t="s">
        <v>1410</v>
      </c>
      <c r="C4553" s="403" t="s">
        <v>582</v>
      </c>
      <c r="D4553" s="403" t="s">
        <v>1418</v>
      </c>
      <c r="E4553" s="403" t="s">
        <v>1412</v>
      </c>
      <c r="F4553" s="403" t="s">
        <v>1325</v>
      </c>
      <c r="G4553" s="403" t="s">
        <v>1466</v>
      </c>
      <c r="H4553" s="403" t="s">
        <v>1276</v>
      </c>
      <c r="I4553" s="403">
        <v>1</v>
      </c>
      <c r="J4553" s="403" t="s">
        <v>1324</v>
      </c>
      <c r="K4553" s="403">
        <v>3584</v>
      </c>
      <c r="L4553" s="403">
        <v>2016</v>
      </c>
      <c r="M4553" s="403" t="s">
        <v>109</v>
      </c>
      <c r="N4553" s="403">
        <v>1280</v>
      </c>
      <c r="O4553" s="403">
        <v>720</v>
      </c>
      <c r="P4553" t="str">
        <f t="shared" si="569"/>
        <v>25fps 3584x2016 - 720p</v>
      </c>
      <c r="Q4553">
        <f t="shared" si="570"/>
        <v>21</v>
      </c>
      <c r="R4553" t="str">
        <f t="shared" si="571"/>
        <v/>
      </c>
      <c r="S4553" t="str">
        <f t="shared" si="572"/>
        <v/>
      </c>
      <c r="T4553" s="403" t="str">
        <f t="shared" si="573"/>
        <v>NDE-8504-R</v>
      </c>
      <c r="U4553" s="403">
        <f t="shared" si="574"/>
        <v>1</v>
      </c>
      <c r="V4553" s="403" t="str">
        <f t="shared" si="575"/>
        <v>CPP_7_3</v>
      </c>
    </row>
    <row r="4554" spans="1:22">
      <c r="A4554" t="str">
        <f t="shared" si="568"/>
        <v>NDE-8504-R</v>
      </c>
      <c r="B4554" s="403" t="s">
        <v>1410</v>
      </c>
      <c r="C4554" s="403" t="s">
        <v>582</v>
      </c>
      <c r="D4554" s="403" t="s">
        <v>1418</v>
      </c>
      <c r="E4554" s="403" t="s">
        <v>1412</v>
      </c>
      <c r="F4554" s="403" t="s">
        <v>1325</v>
      </c>
      <c r="G4554" s="403" t="s">
        <v>1466</v>
      </c>
      <c r="H4554" s="403" t="s">
        <v>1276</v>
      </c>
      <c r="I4554" s="403">
        <v>1</v>
      </c>
      <c r="J4554" s="403" t="s">
        <v>1324</v>
      </c>
      <c r="K4554" s="403">
        <v>3584</v>
      </c>
      <c r="L4554" s="403">
        <v>2016</v>
      </c>
      <c r="M4554" s="403" t="s">
        <v>1283</v>
      </c>
      <c r="N4554" s="403">
        <v>720</v>
      </c>
      <c r="O4554" s="403">
        <v>576</v>
      </c>
      <c r="P4554" t="str">
        <f t="shared" si="569"/>
        <v>25fps 3584x2016 - SD 4CIF resolution 4:3 format (cropped)</v>
      </c>
      <c r="Q4554">
        <f t="shared" si="570"/>
        <v>21</v>
      </c>
      <c r="R4554" t="str">
        <f t="shared" si="571"/>
        <v/>
      </c>
      <c r="S4554" t="str">
        <f t="shared" si="572"/>
        <v/>
      </c>
      <c r="T4554" s="403" t="str">
        <f t="shared" si="573"/>
        <v>NDE-8504-R</v>
      </c>
      <c r="U4554" s="403">
        <f t="shared" si="574"/>
        <v>1</v>
      </c>
      <c r="V4554" s="403" t="str">
        <f t="shared" si="575"/>
        <v>CPP_7_3</v>
      </c>
    </row>
    <row r="4555" spans="1:22">
      <c r="A4555" t="str">
        <f t="shared" si="568"/>
        <v>NDE-8504-R</v>
      </c>
      <c r="B4555" s="403" t="s">
        <v>1410</v>
      </c>
      <c r="C4555" s="403" t="s">
        <v>582</v>
      </c>
      <c r="D4555" s="403" t="s">
        <v>1418</v>
      </c>
      <c r="E4555" s="403" t="s">
        <v>1412</v>
      </c>
      <c r="F4555" s="403" t="s">
        <v>1325</v>
      </c>
      <c r="G4555" s="403" t="s">
        <v>1466</v>
      </c>
      <c r="H4555" s="403" t="s">
        <v>1276</v>
      </c>
      <c r="I4555" s="403">
        <v>1</v>
      </c>
      <c r="J4555" s="403" t="s">
        <v>1324</v>
      </c>
      <c r="K4555" s="403">
        <v>3584</v>
      </c>
      <c r="L4555" s="403">
        <v>2016</v>
      </c>
      <c r="M4555" s="403" t="s">
        <v>1279</v>
      </c>
      <c r="N4555" s="403">
        <v>768</v>
      </c>
      <c r="O4555" s="403">
        <v>432</v>
      </c>
      <c r="P4555" t="str">
        <f t="shared" si="569"/>
        <v>25fps 3584x2016 - SD ROI PTZ</v>
      </c>
      <c r="Q4555">
        <f t="shared" si="570"/>
        <v>21</v>
      </c>
      <c r="R4555" t="str">
        <f t="shared" si="571"/>
        <v/>
      </c>
      <c r="S4555" t="str">
        <f t="shared" si="572"/>
        <v/>
      </c>
      <c r="T4555" s="403" t="str">
        <f t="shared" si="573"/>
        <v>NDE-8504-R</v>
      </c>
      <c r="U4555" s="403">
        <f t="shared" si="574"/>
        <v>1</v>
      </c>
      <c r="V4555" s="403" t="str">
        <f t="shared" si="575"/>
        <v>CPP_7_3</v>
      </c>
    </row>
    <row r="4556" spans="1:22">
      <c r="A4556" t="str">
        <f t="shared" si="568"/>
        <v>NDE-8504-R</v>
      </c>
      <c r="B4556" s="403" t="s">
        <v>1410</v>
      </c>
      <c r="C4556" s="403" t="s">
        <v>582</v>
      </c>
      <c r="D4556" s="403" t="s">
        <v>1418</v>
      </c>
      <c r="E4556" s="403" t="s">
        <v>1412</v>
      </c>
      <c r="F4556" s="403" t="s">
        <v>1325</v>
      </c>
      <c r="G4556" s="403" t="s">
        <v>1466</v>
      </c>
      <c r="H4556" s="403" t="s">
        <v>1276</v>
      </c>
      <c r="I4556" s="403">
        <v>1</v>
      </c>
      <c r="J4556" s="403" t="s">
        <v>1324</v>
      </c>
      <c r="K4556" s="403">
        <v>3584</v>
      </c>
      <c r="L4556" s="403">
        <v>2016</v>
      </c>
      <c r="M4556" s="403" t="s">
        <v>1284</v>
      </c>
      <c r="N4556" s="403">
        <v>640</v>
      </c>
      <c r="O4556" s="403">
        <v>480</v>
      </c>
      <c r="P4556" t="str">
        <f t="shared" si="569"/>
        <v>25fps 3584x2016 - SD VGA (cropped)</v>
      </c>
      <c r="Q4556">
        <f t="shared" si="570"/>
        <v>21</v>
      </c>
      <c r="R4556" t="str">
        <f t="shared" si="571"/>
        <v/>
      </c>
      <c r="S4556" t="str">
        <f t="shared" si="572"/>
        <v/>
      </c>
      <c r="T4556" s="403" t="str">
        <f t="shared" si="573"/>
        <v>NDE-8504-R</v>
      </c>
      <c r="U4556" s="403">
        <f t="shared" si="574"/>
        <v>1</v>
      </c>
      <c r="V4556" s="403" t="str">
        <f t="shared" si="575"/>
        <v>CPP_7_3</v>
      </c>
    </row>
    <row r="4557" spans="1:22">
      <c r="A4557" t="str">
        <f t="shared" si="568"/>
        <v>NDE-8504-R</v>
      </c>
      <c r="B4557" s="403" t="s">
        <v>1410</v>
      </c>
      <c r="C4557" s="403" t="s">
        <v>582</v>
      </c>
      <c r="D4557" s="403" t="s">
        <v>1418</v>
      </c>
      <c r="E4557" s="403" t="s">
        <v>1412</v>
      </c>
      <c r="F4557" s="403" t="s">
        <v>1325</v>
      </c>
      <c r="G4557" s="403" t="s">
        <v>1466</v>
      </c>
      <c r="H4557" s="403" t="s">
        <v>1276</v>
      </c>
      <c r="I4557" s="403">
        <v>1</v>
      </c>
      <c r="J4557" s="403" t="s">
        <v>1324</v>
      </c>
      <c r="K4557" s="403">
        <v>3584</v>
      </c>
      <c r="L4557" s="403">
        <v>2016</v>
      </c>
      <c r="M4557" s="403" t="s">
        <v>1285</v>
      </c>
      <c r="N4557" s="403">
        <v>1280</v>
      </c>
      <c r="O4557" s="403">
        <v>1024</v>
      </c>
      <c r="P4557" t="str">
        <f t="shared" si="569"/>
        <v>25fps 3584x2016 - 1280x1024 5:4 (cropped)</v>
      </c>
      <c r="Q4557">
        <f t="shared" si="570"/>
        <v>21</v>
      </c>
      <c r="R4557" t="str">
        <f t="shared" si="571"/>
        <v/>
      </c>
      <c r="S4557" t="str">
        <f t="shared" si="572"/>
        <v/>
      </c>
      <c r="T4557" s="403" t="str">
        <f t="shared" si="573"/>
        <v>NDE-8504-R</v>
      </c>
      <c r="U4557" s="403">
        <f t="shared" si="574"/>
        <v>1</v>
      </c>
      <c r="V4557" s="403" t="str">
        <f t="shared" si="575"/>
        <v>CPP_7_3</v>
      </c>
    </row>
    <row r="4558" spans="1:22">
      <c r="A4558" t="str">
        <f t="shared" si="568"/>
        <v>NDE-8504-R</v>
      </c>
      <c r="B4558" s="403" t="s">
        <v>1410</v>
      </c>
      <c r="C4558" s="403" t="s">
        <v>582</v>
      </c>
      <c r="D4558" s="403" t="s">
        <v>1418</v>
      </c>
      <c r="E4558" s="403" t="s">
        <v>1412</v>
      </c>
      <c r="F4558" s="403" t="s">
        <v>1325</v>
      </c>
      <c r="G4558" s="403" t="s">
        <v>1466</v>
      </c>
      <c r="H4558" s="403" t="s">
        <v>1276</v>
      </c>
      <c r="I4558" s="403">
        <v>1</v>
      </c>
      <c r="J4558" s="403" t="s">
        <v>110</v>
      </c>
      <c r="K4558" s="403">
        <v>1920</v>
      </c>
      <c r="L4558" s="403">
        <v>1080</v>
      </c>
      <c r="M4558" s="403" t="s">
        <v>111</v>
      </c>
      <c r="N4558" s="403">
        <v>768</v>
      </c>
      <c r="O4558" s="403">
        <v>432</v>
      </c>
      <c r="P4558" t="str">
        <f t="shared" si="569"/>
        <v>25fps 1080p - SD</v>
      </c>
      <c r="Q4558">
        <f t="shared" si="570"/>
        <v>21</v>
      </c>
      <c r="R4558" t="str">
        <f t="shared" si="571"/>
        <v/>
      </c>
      <c r="S4558" t="str">
        <f t="shared" si="572"/>
        <v/>
      </c>
      <c r="T4558" s="403" t="str">
        <f t="shared" si="573"/>
        <v>NDE-8504-R</v>
      </c>
      <c r="U4558" s="403">
        <f t="shared" si="574"/>
        <v>1</v>
      </c>
      <c r="V4558" s="403" t="str">
        <f t="shared" si="575"/>
        <v>CPP_7_3</v>
      </c>
    </row>
    <row r="4559" spans="1:22">
      <c r="A4559" t="str">
        <f t="shared" si="568"/>
        <v>NDE-8504-R</v>
      </c>
      <c r="B4559" s="403" t="s">
        <v>1410</v>
      </c>
      <c r="C4559" s="403" t="s">
        <v>582</v>
      </c>
      <c r="D4559" s="403" t="s">
        <v>1418</v>
      </c>
      <c r="E4559" s="403" t="s">
        <v>1412</v>
      </c>
      <c r="F4559" s="403" t="s">
        <v>1325</v>
      </c>
      <c r="G4559" s="403" t="s">
        <v>1466</v>
      </c>
      <c r="H4559" s="403" t="s">
        <v>1276</v>
      </c>
      <c r="I4559" s="403">
        <v>1</v>
      </c>
      <c r="J4559" s="403" t="s">
        <v>110</v>
      </c>
      <c r="K4559" s="403">
        <v>1920</v>
      </c>
      <c r="L4559" s="403">
        <v>1080</v>
      </c>
      <c r="M4559" s="403" t="s">
        <v>110</v>
      </c>
      <c r="N4559" s="403">
        <v>1920</v>
      </c>
      <c r="O4559" s="403">
        <v>1080</v>
      </c>
      <c r="P4559" t="str">
        <f t="shared" si="569"/>
        <v>25fps 1080p - 1080p</v>
      </c>
      <c r="Q4559">
        <f t="shared" si="570"/>
        <v>21</v>
      </c>
      <c r="R4559" t="str">
        <f t="shared" si="571"/>
        <v/>
      </c>
      <c r="S4559" t="str">
        <f t="shared" si="572"/>
        <v/>
      </c>
      <c r="T4559" s="403" t="str">
        <f t="shared" si="573"/>
        <v>NDE-8504-R</v>
      </c>
      <c r="U4559" s="403">
        <f t="shared" si="574"/>
        <v>1</v>
      </c>
      <c r="V4559" s="403" t="str">
        <f t="shared" si="575"/>
        <v>CPP_7_3</v>
      </c>
    </row>
    <row r="4560" spans="1:22">
      <c r="A4560" t="str">
        <f t="shared" si="568"/>
        <v>NDE-8504-R</v>
      </c>
      <c r="B4560" s="403" t="s">
        <v>1410</v>
      </c>
      <c r="C4560" s="403" t="s">
        <v>582</v>
      </c>
      <c r="D4560" s="403" t="s">
        <v>1418</v>
      </c>
      <c r="E4560" s="403" t="s">
        <v>1412</v>
      </c>
      <c r="F4560" s="403" t="s">
        <v>1325</v>
      </c>
      <c r="G4560" s="403" t="s">
        <v>1466</v>
      </c>
      <c r="H4560" s="403" t="s">
        <v>1276</v>
      </c>
      <c r="I4560" s="403">
        <v>1</v>
      </c>
      <c r="J4560" s="403" t="s">
        <v>110</v>
      </c>
      <c r="K4560" s="403">
        <v>1920</v>
      </c>
      <c r="L4560" s="403">
        <v>1080</v>
      </c>
      <c r="M4560" s="403" t="s">
        <v>109</v>
      </c>
      <c r="N4560" s="403">
        <v>1280</v>
      </c>
      <c r="O4560" s="403">
        <v>720</v>
      </c>
      <c r="P4560" t="str">
        <f t="shared" si="569"/>
        <v>25fps 1080p - 720p</v>
      </c>
      <c r="Q4560">
        <f t="shared" si="570"/>
        <v>21</v>
      </c>
      <c r="R4560" t="str">
        <f t="shared" si="571"/>
        <v/>
      </c>
      <c r="S4560" t="str">
        <f t="shared" si="572"/>
        <v/>
      </c>
      <c r="T4560" s="403" t="str">
        <f t="shared" si="573"/>
        <v>NDE-8504-R</v>
      </c>
      <c r="U4560" s="403">
        <f t="shared" si="574"/>
        <v>1</v>
      </c>
      <c r="V4560" s="403" t="str">
        <f t="shared" si="575"/>
        <v>CPP_7_3</v>
      </c>
    </row>
    <row r="4561" spans="1:22">
      <c r="A4561" t="str">
        <f t="shared" si="568"/>
        <v>NDE-8504-R</v>
      </c>
      <c r="B4561" s="403" t="s">
        <v>1410</v>
      </c>
      <c r="C4561" s="403" t="s">
        <v>582</v>
      </c>
      <c r="D4561" s="403" t="s">
        <v>1418</v>
      </c>
      <c r="E4561" s="403" t="s">
        <v>1412</v>
      </c>
      <c r="F4561" s="403" t="s">
        <v>1325</v>
      </c>
      <c r="G4561" s="403" t="s">
        <v>1466</v>
      </c>
      <c r="H4561" s="403" t="s">
        <v>1276</v>
      </c>
      <c r="I4561" s="403">
        <v>1</v>
      </c>
      <c r="J4561" s="403" t="s">
        <v>110</v>
      </c>
      <c r="K4561" s="403">
        <v>1920</v>
      </c>
      <c r="L4561" s="403">
        <v>1080</v>
      </c>
      <c r="M4561" s="403" t="s">
        <v>1285</v>
      </c>
      <c r="N4561" s="403">
        <v>1280</v>
      </c>
      <c r="O4561" s="403">
        <v>1024</v>
      </c>
      <c r="P4561" t="str">
        <f t="shared" si="569"/>
        <v>25fps 1080p - 1280x1024 5:4 (cropped)</v>
      </c>
      <c r="Q4561">
        <f t="shared" si="570"/>
        <v>21</v>
      </c>
      <c r="R4561" t="str">
        <f t="shared" si="571"/>
        <v/>
      </c>
      <c r="S4561" t="str">
        <f t="shared" si="572"/>
        <v/>
      </c>
      <c r="T4561" s="403" t="str">
        <f t="shared" si="573"/>
        <v>NDE-8504-R</v>
      </c>
      <c r="U4561" s="403">
        <f t="shared" si="574"/>
        <v>1</v>
      </c>
      <c r="V4561" s="403" t="str">
        <f t="shared" si="575"/>
        <v>CPP_7_3</v>
      </c>
    </row>
    <row r="4562" spans="1:22">
      <c r="A4562" t="str">
        <f t="shared" si="568"/>
        <v>NDE-8504-R</v>
      </c>
      <c r="B4562" s="403" t="s">
        <v>1410</v>
      </c>
      <c r="C4562" s="403" t="s">
        <v>582</v>
      </c>
      <c r="D4562" s="403" t="s">
        <v>1418</v>
      </c>
      <c r="E4562" s="403" t="s">
        <v>1412</v>
      </c>
      <c r="F4562" s="403" t="s">
        <v>1325</v>
      </c>
      <c r="G4562" s="403" t="s">
        <v>1466</v>
      </c>
      <c r="H4562" s="403" t="s">
        <v>1276</v>
      </c>
      <c r="I4562" s="403">
        <v>1</v>
      </c>
      <c r="J4562" s="403" t="s">
        <v>110</v>
      </c>
      <c r="K4562" s="403">
        <v>1920</v>
      </c>
      <c r="L4562" s="403">
        <v>1080</v>
      </c>
      <c r="M4562" s="403" t="s">
        <v>1279</v>
      </c>
      <c r="N4562" s="403">
        <v>768</v>
      </c>
      <c r="O4562" s="403">
        <v>432</v>
      </c>
      <c r="P4562" t="str">
        <f t="shared" si="569"/>
        <v>25fps 1080p - SD ROI PTZ</v>
      </c>
      <c r="Q4562">
        <f t="shared" si="570"/>
        <v>21</v>
      </c>
      <c r="R4562" t="str">
        <f t="shared" si="571"/>
        <v/>
      </c>
      <c r="S4562" t="str">
        <f t="shared" si="572"/>
        <v/>
      </c>
      <c r="T4562" s="403" t="str">
        <f t="shared" si="573"/>
        <v>NDE-8504-R</v>
      </c>
      <c r="U4562" s="403">
        <f t="shared" si="574"/>
        <v>1</v>
      </c>
      <c r="V4562" s="403" t="str">
        <f t="shared" si="575"/>
        <v>CPP_7_3</v>
      </c>
    </row>
    <row r="4563" spans="1:22">
      <c r="A4563" t="str">
        <f t="shared" si="568"/>
        <v>NDE-8504-R</v>
      </c>
      <c r="B4563" s="403" t="s">
        <v>1410</v>
      </c>
      <c r="C4563" s="403" t="s">
        <v>582</v>
      </c>
      <c r="D4563" s="403" t="s">
        <v>1418</v>
      </c>
      <c r="E4563" s="403" t="s">
        <v>1412</v>
      </c>
      <c r="F4563" s="403" t="s">
        <v>1325</v>
      </c>
      <c r="G4563" s="403" t="s">
        <v>1466</v>
      </c>
      <c r="H4563" s="403" t="s">
        <v>1276</v>
      </c>
      <c r="I4563" s="403">
        <v>1</v>
      </c>
      <c r="J4563" s="403" t="s">
        <v>110</v>
      </c>
      <c r="K4563" s="403">
        <v>1920</v>
      </c>
      <c r="L4563" s="403">
        <v>1080</v>
      </c>
      <c r="M4563" s="403" t="s">
        <v>1283</v>
      </c>
      <c r="N4563" s="403">
        <v>720</v>
      </c>
      <c r="O4563" s="403">
        <v>576</v>
      </c>
      <c r="P4563" t="str">
        <f t="shared" si="569"/>
        <v>25fps 1080p - SD 4CIF resolution 4:3 format (cropped)</v>
      </c>
      <c r="Q4563">
        <f t="shared" si="570"/>
        <v>21</v>
      </c>
      <c r="R4563" t="str">
        <f t="shared" si="571"/>
        <v/>
      </c>
      <c r="S4563" t="str">
        <f t="shared" si="572"/>
        <v/>
      </c>
      <c r="T4563" s="403" t="str">
        <f t="shared" si="573"/>
        <v>NDE-8504-R</v>
      </c>
      <c r="U4563" s="403">
        <f t="shared" si="574"/>
        <v>1</v>
      </c>
      <c r="V4563" s="403" t="str">
        <f t="shared" si="575"/>
        <v>CPP_7_3</v>
      </c>
    </row>
    <row r="4564" spans="1:22">
      <c r="A4564" t="str">
        <f t="shared" si="568"/>
        <v>NDE-8504-R</v>
      </c>
      <c r="B4564" s="403" t="s">
        <v>1410</v>
      </c>
      <c r="C4564" s="403" t="s">
        <v>582</v>
      </c>
      <c r="D4564" s="403" t="s">
        <v>1418</v>
      </c>
      <c r="E4564" s="403" t="s">
        <v>1412</v>
      </c>
      <c r="F4564" s="403" t="s">
        <v>1325</v>
      </c>
      <c r="G4564" s="403" t="s">
        <v>1466</v>
      </c>
      <c r="H4564" s="403" t="s">
        <v>1276</v>
      </c>
      <c r="I4564" s="403">
        <v>1</v>
      </c>
      <c r="J4564" s="403" t="s">
        <v>110</v>
      </c>
      <c r="K4564" s="403">
        <v>1920</v>
      </c>
      <c r="L4564" s="403">
        <v>1080</v>
      </c>
      <c r="M4564" s="403" t="s">
        <v>1284</v>
      </c>
      <c r="N4564" s="403">
        <v>640</v>
      </c>
      <c r="O4564" s="403">
        <v>480</v>
      </c>
      <c r="P4564" t="str">
        <f t="shared" si="569"/>
        <v>25fps 1080p - SD VGA (cropped)</v>
      </c>
      <c r="Q4564">
        <f t="shared" si="570"/>
        <v>21</v>
      </c>
      <c r="R4564" t="str">
        <f t="shared" si="571"/>
        <v/>
      </c>
      <c r="S4564" t="str">
        <f t="shared" si="572"/>
        <v/>
      </c>
      <c r="T4564" s="403" t="str">
        <f t="shared" si="573"/>
        <v>NDE-8504-R</v>
      </c>
      <c r="U4564" s="403">
        <f t="shared" si="574"/>
        <v>1</v>
      </c>
      <c r="V4564" s="403" t="str">
        <f t="shared" si="575"/>
        <v>CPP_7_3</v>
      </c>
    </row>
    <row r="4565" spans="1:22">
      <c r="A4565" t="str">
        <f t="shared" si="568"/>
        <v>NDE-8504-R</v>
      </c>
      <c r="B4565" s="403" t="s">
        <v>1410</v>
      </c>
      <c r="C4565" s="403" t="s">
        <v>582</v>
      </c>
      <c r="D4565" s="403" t="s">
        <v>1418</v>
      </c>
      <c r="E4565" s="403" t="s">
        <v>1412</v>
      </c>
      <c r="F4565" s="403" t="s">
        <v>1325</v>
      </c>
      <c r="G4565" s="403" t="s">
        <v>1466</v>
      </c>
      <c r="H4565" s="403" t="s">
        <v>1276</v>
      </c>
      <c r="I4565" s="403">
        <v>1</v>
      </c>
      <c r="J4565" s="403" t="s">
        <v>109</v>
      </c>
      <c r="K4565" s="403">
        <v>1280</v>
      </c>
      <c r="L4565" s="403">
        <v>720</v>
      </c>
      <c r="M4565" s="403" t="s">
        <v>109</v>
      </c>
      <c r="N4565" s="403">
        <v>1280</v>
      </c>
      <c r="O4565" s="403">
        <v>720</v>
      </c>
      <c r="P4565" t="str">
        <f t="shared" si="569"/>
        <v>25fps 720p - 720p</v>
      </c>
      <c r="Q4565">
        <f t="shared" si="570"/>
        <v>21</v>
      </c>
      <c r="R4565" t="str">
        <f t="shared" si="571"/>
        <v/>
      </c>
      <c r="S4565" t="str">
        <f t="shared" si="572"/>
        <v/>
      </c>
      <c r="T4565" s="403" t="str">
        <f t="shared" si="573"/>
        <v>NDE-8504-R</v>
      </c>
      <c r="U4565" s="403">
        <f t="shared" si="574"/>
        <v>1</v>
      </c>
      <c r="V4565" s="403" t="str">
        <f t="shared" si="575"/>
        <v>CPP_7_3</v>
      </c>
    </row>
    <row r="4566" spans="1:22">
      <c r="A4566" t="str">
        <f t="shared" si="568"/>
        <v>NDE-8504-R</v>
      </c>
      <c r="B4566" s="403" t="s">
        <v>1410</v>
      </c>
      <c r="C4566" s="403" t="s">
        <v>582</v>
      </c>
      <c r="D4566" s="403" t="s">
        <v>1418</v>
      </c>
      <c r="E4566" s="403" t="s">
        <v>1412</v>
      </c>
      <c r="F4566" s="403" t="s">
        <v>1325</v>
      </c>
      <c r="G4566" s="403" t="s">
        <v>1466</v>
      </c>
      <c r="H4566" s="403" t="s">
        <v>1276</v>
      </c>
      <c r="I4566" s="403">
        <v>1</v>
      </c>
      <c r="J4566" s="403" t="s">
        <v>109</v>
      </c>
      <c r="K4566" s="403">
        <v>1280</v>
      </c>
      <c r="L4566" s="403">
        <v>720</v>
      </c>
      <c r="M4566" s="403" t="s">
        <v>111</v>
      </c>
      <c r="N4566" s="403">
        <v>768</v>
      </c>
      <c r="O4566" s="403">
        <v>432</v>
      </c>
      <c r="P4566" t="str">
        <f t="shared" si="569"/>
        <v>25fps 720p - SD</v>
      </c>
      <c r="Q4566">
        <f t="shared" si="570"/>
        <v>21</v>
      </c>
      <c r="R4566" t="str">
        <f t="shared" si="571"/>
        <v/>
      </c>
      <c r="S4566" t="str">
        <f t="shared" si="572"/>
        <v/>
      </c>
      <c r="T4566" s="403" t="str">
        <f t="shared" si="573"/>
        <v>NDE-8504-R</v>
      </c>
      <c r="U4566" s="403">
        <f t="shared" si="574"/>
        <v>1</v>
      </c>
      <c r="V4566" s="403" t="str">
        <f t="shared" si="575"/>
        <v>CPP_7_3</v>
      </c>
    </row>
    <row r="4567" spans="1:22">
      <c r="A4567" t="str">
        <f t="shared" si="568"/>
        <v>NDE-8504-R</v>
      </c>
      <c r="B4567" s="403" t="s">
        <v>1410</v>
      </c>
      <c r="C4567" s="403" t="s">
        <v>582</v>
      </c>
      <c r="D4567" s="403" t="s">
        <v>1418</v>
      </c>
      <c r="E4567" s="403" t="s">
        <v>1412</v>
      </c>
      <c r="F4567" s="403" t="s">
        <v>1325</v>
      </c>
      <c r="G4567" s="403" t="s">
        <v>1466</v>
      </c>
      <c r="H4567" s="403" t="s">
        <v>1276</v>
      </c>
      <c r="I4567" s="403">
        <v>1</v>
      </c>
      <c r="J4567" s="403" t="s">
        <v>109</v>
      </c>
      <c r="K4567" s="403">
        <v>1280</v>
      </c>
      <c r="L4567" s="403">
        <v>720</v>
      </c>
      <c r="M4567" s="403" t="s">
        <v>1279</v>
      </c>
      <c r="N4567" s="403">
        <v>768</v>
      </c>
      <c r="O4567" s="403">
        <v>432</v>
      </c>
      <c r="P4567" t="str">
        <f t="shared" si="569"/>
        <v>25fps 720p - SD ROI PTZ</v>
      </c>
      <c r="Q4567">
        <f t="shared" si="570"/>
        <v>21</v>
      </c>
      <c r="R4567" t="str">
        <f t="shared" si="571"/>
        <v/>
      </c>
      <c r="S4567" t="str">
        <f t="shared" si="572"/>
        <v/>
      </c>
      <c r="T4567" s="403" t="str">
        <f t="shared" si="573"/>
        <v>NDE-8504-R</v>
      </c>
      <c r="U4567" s="403">
        <f t="shared" si="574"/>
        <v>1</v>
      </c>
      <c r="V4567" s="403" t="str">
        <f t="shared" si="575"/>
        <v>CPP_7_3</v>
      </c>
    </row>
    <row r="4568" spans="1:22">
      <c r="A4568" t="str">
        <f t="shared" si="568"/>
        <v>NDE-8504-R</v>
      </c>
      <c r="B4568" s="403" t="s">
        <v>1410</v>
      </c>
      <c r="C4568" s="403" t="s">
        <v>582</v>
      </c>
      <c r="D4568" s="403" t="s">
        <v>1418</v>
      </c>
      <c r="E4568" s="403" t="s">
        <v>1412</v>
      </c>
      <c r="F4568" s="403" t="s">
        <v>1325</v>
      </c>
      <c r="G4568" s="403" t="s">
        <v>1466</v>
      </c>
      <c r="H4568" s="403" t="s">
        <v>1276</v>
      </c>
      <c r="I4568" s="403">
        <v>1</v>
      </c>
      <c r="J4568" s="403" t="s">
        <v>109</v>
      </c>
      <c r="K4568" s="403">
        <v>1280</v>
      </c>
      <c r="L4568" s="403">
        <v>720</v>
      </c>
      <c r="M4568" s="403" t="s">
        <v>1283</v>
      </c>
      <c r="N4568" s="403">
        <v>720</v>
      </c>
      <c r="O4568" s="403">
        <v>576</v>
      </c>
      <c r="P4568" t="str">
        <f t="shared" si="569"/>
        <v>25fps 720p - SD 4CIF resolution 4:3 format (cropped)</v>
      </c>
      <c r="Q4568">
        <f t="shared" si="570"/>
        <v>21</v>
      </c>
      <c r="R4568" t="str">
        <f t="shared" si="571"/>
        <v/>
      </c>
      <c r="S4568" t="str">
        <f t="shared" si="572"/>
        <v/>
      </c>
      <c r="T4568" s="403" t="str">
        <f t="shared" si="573"/>
        <v>NDE-8504-R</v>
      </c>
      <c r="U4568" s="403">
        <f t="shared" si="574"/>
        <v>1</v>
      </c>
      <c r="V4568" s="403" t="str">
        <f t="shared" si="575"/>
        <v>CPP_7_3</v>
      </c>
    </row>
    <row r="4569" spans="1:22">
      <c r="A4569" t="str">
        <f t="shared" si="568"/>
        <v>NDE-8504-R</v>
      </c>
      <c r="B4569" s="403" t="s">
        <v>1410</v>
      </c>
      <c r="C4569" s="403" t="s">
        <v>582</v>
      </c>
      <c r="D4569" s="403" t="s">
        <v>1418</v>
      </c>
      <c r="E4569" s="403" t="s">
        <v>1412</v>
      </c>
      <c r="F4569" s="403" t="s">
        <v>1325</v>
      </c>
      <c r="G4569" s="403" t="s">
        <v>1466</v>
      </c>
      <c r="H4569" s="403" t="s">
        <v>1276</v>
      </c>
      <c r="I4569" s="403">
        <v>1</v>
      </c>
      <c r="J4569" s="403" t="s">
        <v>109</v>
      </c>
      <c r="K4569" s="403">
        <v>1280</v>
      </c>
      <c r="L4569" s="403">
        <v>720</v>
      </c>
      <c r="M4569" s="403" t="s">
        <v>1284</v>
      </c>
      <c r="N4569" s="403">
        <v>640</v>
      </c>
      <c r="O4569" s="403">
        <v>480</v>
      </c>
      <c r="P4569" t="str">
        <f t="shared" si="569"/>
        <v>25fps 720p - SD VGA (cropped)</v>
      </c>
      <c r="Q4569">
        <f t="shared" si="570"/>
        <v>21</v>
      </c>
      <c r="R4569" t="str">
        <f t="shared" si="571"/>
        <v/>
      </c>
      <c r="S4569" t="str">
        <f t="shared" si="572"/>
        <v/>
      </c>
      <c r="T4569" s="403" t="str">
        <f t="shared" si="573"/>
        <v>NDE-8504-R</v>
      </c>
      <c r="U4569" s="403">
        <f t="shared" si="574"/>
        <v>1</v>
      </c>
      <c r="V4569" s="403" t="str">
        <f t="shared" si="575"/>
        <v>CPP_7_3</v>
      </c>
    </row>
    <row r="4570" spans="1:22">
      <c r="A4570" t="str">
        <f t="shared" si="568"/>
        <v>NDE-8504-R</v>
      </c>
      <c r="B4570" s="403" t="s">
        <v>1410</v>
      </c>
      <c r="C4570" s="403" t="s">
        <v>582</v>
      </c>
      <c r="D4570" s="403" t="s">
        <v>1418</v>
      </c>
      <c r="E4570" s="403" t="s">
        <v>1412</v>
      </c>
      <c r="F4570" s="403" t="s">
        <v>1325</v>
      </c>
      <c r="G4570" s="403" t="s">
        <v>1466</v>
      </c>
      <c r="H4570" s="403" t="s">
        <v>1281</v>
      </c>
      <c r="I4570" s="403">
        <v>1</v>
      </c>
      <c r="J4570" s="403" t="s">
        <v>194</v>
      </c>
      <c r="K4570" s="403">
        <v>3840</v>
      </c>
      <c r="L4570" s="403">
        <v>2160</v>
      </c>
      <c r="M4570" s="403" t="s">
        <v>111</v>
      </c>
      <c r="N4570" s="403">
        <v>768</v>
      </c>
      <c r="O4570" s="403">
        <v>432</v>
      </c>
      <c r="P4570" t="str">
        <f t="shared" si="569"/>
        <v>25fps 3840x2160 - SD</v>
      </c>
      <c r="Q4570">
        <f t="shared" si="570"/>
        <v>21</v>
      </c>
      <c r="R4570" t="str">
        <f t="shared" si="571"/>
        <v/>
      </c>
      <c r="S4570" t="str">
        <f t="shared" si="572"/>
        <v/>
      </c>
      <c r="T4570" s="403" t="str">
        <f t="shared" si="573"/>
        <v>NDE-8504-R</v>
      </c>
      <c r="U4570" s="403">
        <f t="shared" si="574"/>
        <v>1</v>
      </c>
      <c r="V4570" s="403" t="str">
        <f t="shared" si="575"/>
        <v>CPP_7_3</v>
      </c>
    </row>
    <row r="4571" spans="1:22">
      <c r="A4571" t="str">
        <f t="shared" si="568"/>
        <v>NDE-8504-R</v>
      </c>
      <c r="B4571" s="403" t="s">
        <v>1410</v>
      </c>
      <c r="C4571" s="403" t="s">
        <v>582</v>
      </c>
      <c r="D4571" s="403" t="s">
        <v>1418</v>
      </c>
      <c r="E4571" s="403" t="s">
        <v>1412</v>
      </c>
      <c r="F4571" s="403" t="s">
        <v>1325</v>
      </c>
      <c r="G4571" s="403" t="s">
        <v>1466</v>
      </c>
      <c r="H4571" s="403" t="s">
        <v>1281</v>
      </c>
      <c r="I4571" s="403">
        <v>1</v>
      </c>
      <c r="J4571" s="403" t="s">
        <v>194</v>
      </c>
      <c r="K4571" s="403">
        <v>3840</v>
      </c>
      <c r="L4571" s="403">
        <v>2160</v>
      </c>
      <c r="M4571" s="403" t="s">
        <v>1280</v>
      </c>
      <c r="N4571" s="403">
        <v>3840</v>
      </c>
      <c r="O4571" s="403">
        <v>2160</v>
      </c>
      <c r="P4571" t="str">
        <f t="shared" si="569"/>
        <v>25fps 3840x2160 - copy other stream</v>
      </c>
      <c r="Q4571">
        <f t="shared" si="570"/>
        <v>21</v>
      </c>
      <c r="R4571" t="str">
        <f t="shared" si="571"/>
        <v/>
      </c>
      <c r="S4571" t="str">
        <f t="shared" si="572"/>
        <v/>
      </c>
      <c r="T4571" s="403" t="str">
        <f t="shared" si="573"/>
        <v>NDE-8504-R</v>
      </c>
      <c r="U4571" s="403">
        <f t="shared" si="574"/>
        <v>1</v>
      </c>
      <c r="V4571" s="403" t="str">
        <f t="shared" si="575"/>
        <v>CPP_7_3</v>
      </c>
    </row>
    <row r="4572" spans="1:22">
      <c r="A4572" t="str">
        <f t="shared" si="568"/>
        <v>NDE-8504-R</v>
      </c>
      <c r="B4572" s="403" t="s">
        <v>1410</v>
      </c>
      <c r="C4572" s="403" t="s">
        <v>582</v>
      </c>
      <c r="D4572" s="403" t="s">
        <v>1418</v>
      </c>
      <c r="E4572" s="403" t="s">
        <v>1412</v>
      </c>
      <c r="F4572" s="403" t="s">
        <v>1325</v>
      </c>
      <c r="G4572" s="403" t="s">
        <v>1466</v>
      </c>
      <c r="H4572" s="403" t="s">
        <v>1281</v>
      </c>
      <c r="I4572" s="403">
        <v>1</v>
      </c>
      <c r="J4572" s="403" t="s">
        <v>194</v>
      </c>
      <c r="K4572" s="403">
        <v>3840</v>
      </c>
      <c r="L4572" s="403">
        <v>2160</v>
      </c>
      <c r="M4572" s="403" t="s">
        <v>1283</v>
      </c>
      <c r="N4572" s="403">
        <v>720</v>
      </c>
      <c r="O4572" s="403">
        <v>576</v>
      </c>
      <c r="P4572" t="str">
        <f t="shared" si="569"/>
        <v>25fps 3840x2160 - SD 4CIF resolution 4:3 format (cropped)</v>
      </c>
      <c r="Q4572">
        <f t="shared" si="570"/>
        <v>21</v>
      </c>
      <c r="R4572" t="str">
        <f t="shared" si="571"/>
        <v/>
      </c>
      <c r="S4572" t="str">
        <f t="shared" si="572"/>
        <v/>
      </c>
      <c r="T4572" s="403" t="str">
        <f t="shared" si="573"/>
        <v>NDE-8504-R</v>
      </c>
      <c r="U4572" s="403">
        <f t="shared" si="574"/>
        <v>1</v>
      </c>
      <c r="V4572" s="403" t="str">
        <f t="shared" si="575"/>
        <v>CPP_7_3</v>
      </c>
    </row>
    <row r="4573" spans="1:22">
      <c r="A4573" t="str">
        <f t="shared" si="568"/>
        <v>NDE-8504-R</v>
      </c>
      <c r="B4573" s="403" t="s">
        <v>1410</v>
      </c>
      <c r="C4573" s="403" t="s">
        <v>582</v>
      </c>
      <c r="D4573" s="403" t="s">
        <v>1418</v>
      </c>
      <c r="E4573" s="403" t="s">
        <v>1412</v>
      </c>
      <c r="F4573" s="403" t="s">
        <v>1325</v>
      </c>
      <c r="G4573" s="403" t="s">
        <v>1466</v>
      </c>
      <c r="H4573" s="403" t="s">
        <v>1281</v>
      </c>
      <c r="I4573" s="403">
        <v>1</v>
      </c>
      <c r="J4573" s="403" t="s">
        <v>194</v>
      </c>
      <c r="K4573" s="403">
        <v>3840</v>
      </c>
      <c r="L4573" s="403">
        <v>2160</v>
      </c>
      <c r="M4573" s="403" t="s">
        <v>1284</v>
      </c>
      <c r="N4573" s="403">
        <v>640</v>
      </c>
      <c r="O4573" s="403">
        <v>480</v>
      </c>
      <c r="P4573" t="str">
        <f t="shared" si="569"/>
        <v>25fps 3840x2160 - SD VGA (cropped)</v>
      </c>
      <c r="Q4573">
        <f t="shared" si="570"/>
        <v>21</v>
      </c>
      <c r="R4573" t="str">
        <f t="shared" si="571"/>
        <v/>
      </c>
      <c r="S4573" t="str">
        <f t="shared" si="572"/>
        <v/>
      </c>
      <c r="T4573" s="403" t="str">
        <f t="shared" si="573"/>
        <v>NDE-8504-R</v>
      </c>
      <c r="U4573" s="403">
        <f t="shared" si="574"/>
        <v>1</v>
      </c>
      <c r="V4573" s="403" t="str">
        <f t="shared" si="575"/>
        <v>CPP_7_3</v>
      </c>
    </row>
    <row r="4574" spans="1:22">
      <c r="A4574" t="str">
        <f t="shared" si="568"/>
        <v>NDE-8504-R</v>
      </c>
      <c r="B4574" s="403" t="s">
        <v>1410</v>
      </c>
      <c r="C4574" s="403" t="s">
        <v>582</v>
      </c>
      <c r="D4574" s="403" t="s">
        <v>1418</v>
      </c>
      <c r="E4574" s="403" t="s">
        <v>1412</v>
      </c>
      <c r="F4574" s="403" t="s">
        <v>1325</v>
      </c>
      <c r="G4574" s="403" t="s">
        <v>1466</v>
      </c>
      <c r="H4574" s="403" t="s">
        <v>1281</v>
      </c>
      <c r="I4574" s="403">
        <v>1</v>
      </c>
      <c r="J4574" s="403" t="s">
        <v>1324</v>
      </c>
      <c r="K4574" s="403">
        <v>3584</v>
      </c>
      <c r="L4574" s="403">
        <v>2016</v>
      </c>
      <c r="M4574" s="403" t="s">
        <v>111</v>
      </c>
      <c r="N4574" s="403">
        <v>768</v>
      </c>
      <c r="O4574" s="403">
        <v>432</v>
      </c>
      <c r="P4574" t="str">
        <f t="shared" si="569"/>
        <v>25fps 3584x2016 - SD</v>
      </c>
      <c r="Q4574">
        <f t="shared" si="570"/>
        <v>21</v>
      </c>
      <c r="R4574" t="str">
        <f t="shared" si="571"/>
        <v/>
      </c>
      <c r="S4574" t="str">
        <f t="shared" si="572"/>
        <v/>
      </c>
      <c r="T4574" s="403" t="str">
        <f t="shared" si="573"/>
        <v>NDE-8504-R</v>
      </c>
      <c r="U4574" s="403">
        <f t="shared" si="574"/>
        <v>1</v>
      </c>
      <c r="V4574" s="403" t="str">
        <f t="shared" si="575"/>
        <v>CPP_7_3</v>
      </c>
    </row>
    <row r="4575" spans="1:22">
      <c r="A4575" t="str">
        <f t="shared" si="568"/>
        <v>NDE-8504-R</v>
      </c>
      <c r="B4575" s="403" t="s">
        <v>1410</v>
      </c>
      <c r="C4575" s="403" t="s">
        <v>582</v>
      </c>
      <c r="D4575" s="403" t="s">
        <v>1418</v>
      </c>
      <c r="E4575" s="403" t="s">
        <v>1412</v>
      </c>
      <c r="F4575" s="403" t="s">
        <v>1325</v>
      </c>
      <c r="G4575" s="403" t="s">
        <v>1466</v>
      </c>
      <c r="H4575" s="403" t="s">
        <v>1281</v>
      </c>
      <c r="I4575" s="403">
        <v>1</v>
      </c>
      <c r="J4575" s="403" t="s">
        <v>1324</v>
      </c>
      <c r="K4575" s="403">
        <v>3584</v>
      </c>
      <c r="L4575" s="403">
        <v>2016</v>
      </c>
      <c r="M4575" s="403" t="s">
        <v>1280</v>
      </c>
      <c r="N4575" s="403">
        <v>3584</v>
      </c>
      <c r="O4575" s="403">
        <v>2016</v>
      </c>
      <c r="P4575" t="str">
        <f t="shared" si="569"/>
        <v>25fps 3584x2016 - copy other stream</v>
      </c>
      <c r="Q4575">
        <f t="shared" si="570"/>
        <v>21</v>
      </c>
      <c r="R4575" t="str">
        <f t="shared" si="571"/>
        <v/>
      </c>
      <c r="S4575" t="str">
        <f t="shared" si="572"/>
        <v/>
      </c>
      <c r="T4575" s="403" t="str">
        <f t="shared" si="573"/>
        <v>NDE-8504-R</v>
      </c>
      <c r="U4575" s="403">
        <f t="shared" si="574"/>
        <v>1</v>
      </c>
      <c r="V4575" s="403" t="str">
        <f t="shared" si="575"/>
        <v>CPP_7_3</v>
      </c>
    </row>
    <row r="4576" spans="1:22">
      <c r="A4576" t="str">
        <f t="shared" si="568"/>
        <v>NDE-8504-R</v>
      </c>
      <c r="B4576" s="403" t="s">
        <v>1410</v>
      </c>
      <c r="C4576" s="403" t="s">
        <v>582</v>
      </c>
      <c r="D4576" s="403" t="s">
        <v>1418</v>
      </c>
      <c r="E4576" s="403" t="s">
        <v>1412</v>
      </c>
      <c r="F4576" s="403" t="s">
        <v>1325</v>
      </c>
      <c r="G4576" s="403" t="s">
        <v>1466</v>
      </c>
      <c r="H4576" s="403" t="s">
        <v>1281</v>
      </c>
      <c r="I4576" s="403">
        <v>1</v>
      </c>
      <c r="J4576" s="403" t="s">
        <v>1324</v>
      </c>
      <c r="K4576" s="403">
        <v>3584</v>
      </c>
      <c r="L4576" s="403">
        <v>2016</v>
      </c>
      <c r="M4576" s="403" t="s">
        <v>1364</v>
      </c>
      <c r="N4576" s="403">
        <v>3584</v>
      </c>
      <c r="O4576" s="403">
        <v>2016</v>
      </c>
      <c r="P4576" t="str">
        <f t="shared" si="569"/>
        <v>25fps 3584x2016 - 3584x2016 @ SKIP6</v>
      </c>
      <c r="Q4576">
        <f t="shared" si="570"/>
        <v>21</v>
      </c>
      <c r="R4576" t="str">
        <f t="shared" si="571"/>
        <v/>
      </c>
      <c r="S4576" t="str">
        <f t="shared" si="572"/>
        <v/>
      </c>
      <c r="T4576" s="403" t="str">
        <f t="shared" si="573"/>
        <v>NDE-8504-R</v>
      </c>
      <c r="U4576" s="403">
        <f t="shared" si="574"/>
        <v>1</v>
      </c>
      <c r="V4576" s="403" t="str">
        <f t="shared" si="575"/>
        <v>CPP_7_3</v>
      </c>
    </row>
    <row r="4577" spans="1:22">
      <c r="A4577" t="str">
        <f t="shared" si="568"/>
        <v>NDE-8504-R</v>
      </c>
      <c r="B4577" s="403" t="s">
        <v>1410</v>
      </c>
      <c r="C4577" s="403" t="s">
        <v>582</v>
      </c>
      <c r="D4577" s="403" t="s">
        <v>1418</v>
      </c>
      <c r="E4577" s="403" t="s">
        <v>1412</v>
      </c>
      <c r="F4577" s="403" t="s">
        <v>1325</v>
      </c>
      <c r="G4577" s="403" t="s">
        <v>1466</v>
      </c>
      <c r="H4577" s="403" t="s">
        <v>1281</v>
      </c>
      <c r="I4577" s="403">
        <v>1</v>
      </c>
      <c r="J4577" s="403" t="s">
        <v>1324</v>
      </c>
      <c r="K4577" s="403">
        <v>3584</v>
      </c>
      <c r="L4577" s="403">
        <v>2016</v>
      </c>
      <c r="M4577" s="403" t="s">
        <v>109</v>
      </c>
      <c r="N4577" s="403">
        <v>1280</v>
      </c>
      <c r="O4577" s="403">
        <v>720</v>
      </c>
      <c r="P4577" t="str">
        <f t="shared" si="569"/>
        <v>25fps 3584x2016 - 720p</v>
      </c>
      <c r="Q4577">
        <f t="shared" si="570"/>
        <v>21</v>
      </c>
      <c r="R4577" t="str">
        <f t="shared" si="571"/>
        <v/>
      </c>
      <c r="S4577" t="str">
        <f t="shared" si="572"/>
        <v/>
      </c>
      <c r="T4577" s="403" t="str">
        <f t="shared" si="573"/>
        <v>NDE-8504-R</v>
      </c>
      <c r="U4577" s="403">
        <f t="shared" si="574"/>
        <v>1</v>
      </c>
      <c r="V4577" s="403" t="str">
        <f t="shared" si="575"/>
        <v>CPP_7_3</v>
      </c>
    </row>
    <row r="4578" spans="1:22">
      <c r="A4578" t="str">
        <f t="shared" si="568"/>
        <v>NDE-8504-R</v>
      </c>
      <c r="B4578" s="403" t="s">
        <v>1410</v>
      </c>
      <c r="C4578" s="403" t="s">
        <v>582</v>
      </c>
      <c r="D4578" s="403" t="s">
        <v>1418</v>
      </c>
      <c r="E4578" s="403" t="s">
        <v>1412</v>
      </c>
      <c r="F4578" s="403" t="s">
        <v>1325</v>
      </c>
      <c r="G4578" s="403" t="s">
        <v>1466</v>
      </c>
      <c r="H4578" s="403" t="s">
        <v>1281</v>
      </c>
      <c r="I4578" s="403">
        <v>1</v>
      </c>
      <c r="J4578" s="403" t="s">
        <v>1324</v>
      </c>
      <c r="K4578" s="403">
        <v>3584</v>
      </c>
      <c r="L4578" s="403">
        <v>2016</v>
      </c>
      <c r="M4578" s="403" t="s">
        <v>1283</v>
      </c>
      <c r="N4578" s="403">
        <v>720</v>
      </c>
      <c r="O4578" s="403">
        <v>576</v>
      </c>
      <c r="P4578" t="str">
        <f t="shared" si="569"/>
        <v>25fps 3584x2016 - SD 4CIF resolution 4:3 format (cropped)</v>
      </c>
      <c r="Q4578">
        <f t="shared" si="570"/>
        <v>21</v>
      </c>
      <c r="R4578" t="str">
        <f t="shared" si="571"/>
        <v/>
      </c>
      <c r="S4578" t="str">
        <f t="shared" si="572"/>
        <v/>
      </c>
      <c r="T4578" s="403" t="str">
        <f t="shared" si="573"/>
        <v>NDE-8504-R</v>
      </c>
      <c r="U4578" s="403">
        <f t="shared" si="574"/>
        <v>1</v>
      </c>
      <c r="V4578" s="403" t="str">
        <f t="shared" si="575"/>
        <v>CPP_7_3</v>
      </c>
    </row>
    <row r="4579" spans="1:22">
      <c r="A4579" t="str">
        <f t="shared" si="568"/>
        <v>NDE-8504-R</v>
      </c>
      <c r="B4579" s="403" t="s">
        <v>1410</v>
      </c>
      <c r="C4579" s="403" t="s">
        <v>582</v>
      </c>
      <c r="D4579" s="403" t="s">
        <v>1418</v>
      </c>
      <c r="E4579" s="403" t="s">
        <v>1412</v>
      </c>
      <c r="F4579" s="403" t="s">
        <v>1325</v>
      </c>
      <c r="G4579" s="403" t="s">
        <v>1466</v>
      </c>
      <c r="H4579" s="403" t="s">
        <v>1281</v>
      </c>
      <c r="I4579" s="403">
        <v>1</v>
      </c>
      <c r="J4579" s="403" t="s">
        <v>1324</v>
      </c>
      <c r="K4579" s="403">
        <v>3584</v>
      </c>
      <c r="L4579" s="403">
        <v>2016</v>
      </c>
      <c r="M4579" s="403" t="s">
        <v>1279</v>
      </c>
      <c r="N4579" s="403">
        <v>768</v>
      </c>
      <c r="O4579" s="403">
        <v>432</v>
      </c>
      <c r="P4579" t="str">
        <f t="shared" si="569"/>
        <v>25fps 3584x2016 - SD ROI PTZ</v>
      </c>
      <c r="Q4579">
        <f t="shared" si="570"/>
        <v>21</v>
      </c>
      <c r="R4579" t="str">
        <f t="shared" si="571"/>
        <v/>
      </c>
      <c r="S4579" t="str">
        <f t="shared" si="572"/>
        <v/>
      </c>
      <c r="T4579" s="403" t="str">
        <f t="shared" si="573"/>
        <v>NDE-8504-R</v>
      </c>
      <c r="U4579" s="403">
        <f t="shared" si="574"/>
        <v>1</v>
      </c>
      <c r="V4579" s="403" t="str">
        <f t="shared" si="575"/>
        <v>CPP_7_3</v>
      </c>
    </row>
    <row r="4580" spans="1:22">
      <c r="A4580" t="str">
        <f t="shared" si="568"/>
        <v>NDE-8504-R</v>
      </c>
      <c r="B4580" s="403" t="s">
        <v>1410</v>
      </c>
      <c r="C4580" s="403" t="s">
        <v>582</v>
      </c>
      <c r="D4580" s="403" t="s">
        <v>1418</v>
      </c>
      <c r="E4580" s="403" t="s">
        <v>1412</v>
      </c>
      <c r="F4580" s="403" t="s">
        <v>1325</v>
      </c>
      <c r="G4580" s="403" t="s">
        <v>1466</v>
      </c>
      <c r="H4580" s="403" t="s">
        <v>1281</v>
      </c>
      <c r="I4580" s="403">
        <v>1</v>
      </c>
      <c r="J4580" s="403" t="s">
        <v>1324</v>
      </c>
      <c r="K4580" s="403">
        <v>3584</v>
      </c>
      <c r="L4580" s="403">
        <v>2016</v>
      </c>
      <c r="M4580" s="403" t="s">
        <v>1284</v>
      </c>
      <c r="N4580" s="403">
        <v>640</v>
      </c>
      <c r="O4580" s="403">
        <v>480</v>
      </c>
      <c r="P4580" t="str">
        <f t="shared" si="569"/>
        <v>25fps 3584x2016 - SD VGA (cropped)</v>
      </c>
      <c r="Q4580">
        <f t="shared" si="570"/>
        <v>21</v>
      </c>
      <c r="R4580" t="str">
        <f t="shared" si="571"/>
        <v/>
      </c>
      <c r="S4580" t="str">
        <f t="shared" si="572"/>
        <v/>
      </c>
      <c r="T4580" s="403" t="str">
        <f t="shared" si="573"/>
        <v>NDE-8504-R</v>
      </c>
      <c r="U4580" s="403">
        <f t="shared" si="574"/>
        <v>1</v>
      </c>
      <c r="V4580" s="403" t="str">
        <f t="shared" si="575"/>
        <v>CPP_7_3</v>
      </c>
    </row>
    <row r="4581" spans="1:22">
      <c r="A4581" t="str">
        <f t="shared" si="568"/>
        <v>NDE-8504-R</v>
      </c>
      <c r="B4581" s="403" t="s">
        <v>1410</v>
      </c>
      <c r="C4581" s="403" t="s">
        <v>582</v>
      </c>
      <c r="D4581" s="403" t="s">
        <v>1418</v>
      </c>
      <c r="E4581" s="403" t="s">
        <v>1412</v>
      </c>
      <c r="F4581" s="403" t="s">
        <v>1325</v>
      </c>
      <c r="G4581" s="403" t="s">
        <v>1466</v>
      </c>
      <c r="H4581" s="403" t="s">
        <v>1281</v>
      </c>
      <c r="I4581" s="403">
        <v>1</v>
      </c>
      <c r="J4581" s="403" t="s">
        <v>1324</v>
      </c>
      <c r="K4581" s="403">
        <v>3584</v>
      </c>
      <c r="L4581" s="403">
        <v>2016</v>
      </c>
      <c r="M4581" s="403" t="s">
        <v>1285</v>
      </c>
      <c r="N4581" s="403">
        <v>1280</v>
      </c>
      <c r="O4581" s="403">
        <v>1024</v>
      </c>
      <c r="P4581" t="str">
        <f t="shared" si="569"/>
        <v>25fps 3584x2016 - 1280x1024 5:4 (cropped)</v>
      </c>
      <c r="Q4581">
        <f t="shared" si="570"/>
        <v>21</v>
      </c>
      <c r="R4581" t="str">
        <f t="shared" si="571"/>
        <v/>
      </c>
      <c r="S4581" t="str">
        <f t="shared" si="572"/>
        <v/>
      </c>
      <c r="T4581" s="403" t="str">
        <f t="shared" si="573"/>
        <v>NDE-8504-R</v>
      </c>
      <c r="U4581" s="403">
        <f t="shared" si="574"/>
        <v>1</v>
      </c>
      <c r="V4581" s="403" t="str">
        <f t="shared" si="575"/>
        <v>CPP_7_3</v>
      </c>
    </row>
    <row r="4582" spans="1:22">
      <c r="A4582" t="str">
        <f t="shared" si="568"/>
        <v>NDE-8504-R</v>
      </c>
      <c r="B4582" s="403" t="s">
        <v>1410</v>
      </c>
      <c r="C4582" s="403" t="s">
        <v>582</v>
      </c>
      <c r="D4582" s="403" t="s">
        <v>1418</v>
      </c>
      <c r="E4582" s="403" t="s">
        <v>1412</v>
      </c>
      <c r="F4582" s="403" t="s">
        <v>1325</v>
      </c>
      <c r="G4582" s="403" t="s">
        <v>1466</v>
      </c>
      <c r="H4582" s="403" t="s">
        <v>1281</v>
      </c>
      <c r="I4582" s="403">
        <v>1</v>
      </c>
      <c r="J4582" s="403" t="s">
        <v>110</v>
      </c>
      <c r="K4582" s="403">
        <v>1920</v>
      </c>
      <c r="L4582" s="403">
        <v>1080</v>
      </c>
      <c r="M4582" s="403" t="s">
        <v>111</v>
      </c>
      <c r="N4582" s="403">
        <v>768</v>
      </c>
      <c r="O4582" s="403">
        <v>432</v>
      </c>
      <c r="P4582" t="str">
        <f t="shared" si="569"/>
        <v>25fps 1080p - SD</v>
      </c>
      <c r="Q4582">
        <f t="shared" si="570"/>
        <v>21</v>
      </c>
      <c r="R4582" t="str">
        <f t="shared" si="571"/>
        <v/>
      </c>
      <c r="S4582" t="str">
        <f t="shared" si="572"/>
        <v/>
      </c>
      <c r="T4582" s="403" t="str">
        <f t="shared" si="573"/>
        <v>NDE-8504-R</v>
      </c>
      <c r="U4582" s="403">
        <f t="shared" si="574"/>
        <v>1</v>
      </c>
      <c r="V4582" s="403" t="str">
        <f t="shared" si="575"/>
        <v>CPP_7_3</v>
      </c>
    </row>
    <row r="4583" spans="1:22">
      <c r="A4583" t="str">
        <f t="shared" si="568"/>
        <v>NDE-8504-R</v>
      </c>
      <c r="B4583" s="403" t="s">
        <v>1410</v>
      </c>
      <c r="C4583" s="403" t="s">
        <v>582</v>
      </c>
      <c r="D4583" s="403" t="s">
        <v>1418</v>
      </c>
      <c r="E4583" s="403" t="s">
        <v>1412</v>
      </c>
      <c r="F4583" s="403" t="s">
        <v>1325</v>
      </c>
      <c r="G4583" s="403" t="s">
        <v>1466</v>
      </c>
      <c r="H4583" s="403" t="s">
        <v>1281</v>
      </c>
      <c r="I4583" s="403">
        <v>1</v>
      </c>
      <c r="J4583" s="403" t="s">
        <v>110</v>
      </c>
      <c r="K4583" s="403">
        <v>1920</v>
      </c>
      <c r="L4583" s="403">
        <v>1080</v>
      </c>
      <c r="M4583" s="403" t="s">
        <v>110</v>
      </c>
      <c r="N4583" s="403">
        <v>1920</v>
      </c>
      <c r="O4583" s="403">
        <v>1080</v>
      </c>
      <c r="P4583" t="str">
        <f t="shared" si="569"/>
        <v>25fps 1080p - 1080p</v>
      </c>
      <c r="Q4583">
        <f t="shared" si="570"/>
        <v>21</v>
      </c>
      <c r="R4583" t="str">
        <f t="shared" si="571"/>
        <v/>
      </c>
      <c r="S4583" t="str">
        <f t="shared" si="572"/>
        <v/>
      </c>
      <c r="T4583" s="403" t="str">
        <f t="shared" si="573"/>
        <v>NDE-8504-R</v>
      </c>
      <c r="U4583" s="403">
        <f t="shared" si="574"/>
        <v>1</v>
      </c>
      <c r="V4583" s="403" t="str">
        <f t="shared" si="575"/>
        <v>CPP_7_3</v>
      </c>
    </row>
    <row r="4584" spans="1:22">
      <c r="A4584" t="str">
        <f t="shared" si="568"/>
        <v>NDE-8504-R</v>
      </c>
      <c r="B4584" s="403" t="s">
        <v>1410</v>
      </c>
      <c r="C4584" s="403" t="s">
        <v>582</v>
      </c>
      <c r="D4584" s="403" t="s">
        <v>1418</v>
      </c>
      <c r="E4584" s="403" t="s">
        <v>1412</v>
      </c>
      <c r="F4584" s="403" t="s">
        <v>1325</v>
      </c>
      <c r="G4584" s="403" t="s">
        <v>1466</v>
      </c>
      <c r="H4584" s="403" t="s">
        <v>1281</v>
      </c>
      <c r="I4584" s="403">
        <v>1</v>
      </c>
      <c r="J4584" s="403" t="s">
        <v>110</v>
      </c>
      <c r="K4584" s="403">
        <v>1920</v>
      </c>
      <c r="L4584" s="403">
        <v>1080</v>
      </c>
      <c r="M4584" s="403" t="s">
        <v>109</v>
      </c>
      <c r="N4584" s="403">
        <v>1280</v>
      </c>
      <c r="O4584" s="403">
        <v>720</v>
      </c>
      <c r="P4584" t="str">
        <f t="shared" si="569"/>
        <v>25fps 1080p - 720p</v>
      </c>
      <c r="Q4584">
        <f t="shared" si="570"/>
        <v>21</v>
      </c>
      <c r="R4584" t="str">
        <f t="shared" si="571"/>
        <v/>
      </c>
      <c r="S4584" t="str">
        <f t="shared" si="572"/>
        <v/>
      </c>
      <c r="T4584" s="403" t="str">
        <f t="shared" si="573"/>
        <v>NDE-8504-R</v>
      </c>
      <c r="U4584" s="403">
        <f t="shared" si="574"/>
        <v>1</v>
      </c>
      <c r="V4584" s="403" t="str">
        <f t="shared" si="575"/>
        <v>CPP_7_3</v>
      </c>
    </row>
    <row r="4585" spans="1:22">
      <c r="A4585" t="str">
        <f t="shared" si="568"/>
        <v>NDE-8504-R</v>
      </c>
      <c r="B4585" s="403" t="s">
        <v>1410</v>
      </c>
      <c r="C4585" s="403" t="s">
        <v>582</v>
      </c>
      <c r="D4585" s="403" t="s">
        <v>1418</v>
      </c>
      <c r="E4585" s="403" t="s">
        <v>1412</v>
      </c>
      <c r="F4585" s="403" t="s">
        <v>1325</v>
      </c>
      <c r="G4585" s="403" t="s">
        <v>1466</v>
      </c>
      <c r="H4585" s="403" t="s">
        <v>1281</v>
      </c>
      <c r="I4585" s="403">
        <v>1</v>
      </c>
      <c r="J4585" s="403" t="s">
        <v>110</v>
      </c>
      <c r="K4585" s="403">
        <v>1920</v>
      </c>
      <c r="L4585" s="403">
        <v>1080</v>
      </c>
      <c r="M4585" s="403" t="s">
        <v>1285</v>
      </c>
      <c r="N4585" s="403">
        <v>1280</v>
      </c>
      <c r="O4585" s="403">
        <v>1024</v>
      </c>
      <c r="P4585" t="str">
        <f t="shared" si="569"/>
        <v>25fps 1080p - 1280x1024 5:4 (cropped)</v>
      </c>
      <c r="Q4585">
        <f t="shared" si="570"/>
        <v>21</v>
      </c>
      <c r="R4585" t="str">
        <f t="shared" si="571"/>
        <v/>
      </c>
      <c r="S4585" t="str">
        <f t="shared" si="572"/>
        <v/>
      </c>
      <c r="T4585" s="403" t="str">
        <f t="shared" si="573"/>
        <v>NDE-8504-R</v>
      </c>
      <c r="U4585" s="403">
        <f t="shared" si="574"/>
        <v>1</v>
      </c>
      <c r="V4585" s="403" t="str">
        <f t="shared" si="575"/>
        <v>CPP_7_3</v>
      </c>
    </row>
    <row r="4586" spans="1:22">
      <c r="A4586" t="str">
        <f t="shared" si="568"/>
        <v>NDE-8504-R</v>
      </c>
      <c r="B4586" s="403" t="s">
        <v>1410</v>
      </c>
      <c r="C4586" s="403" t="s">
        <v>582</v>
      </c>
      <c r="D4586" s="403" t="s">
        <v>1418</v>
      </c>
      <c r="E4586" s="403" t="s">
        <v>1412</v>
      </c>
      <c r="F4586" s="403" t="s">
        <v>1325</v>
      </c>
      <c r="G4586" s="403" t="s">
        <v>1466</v>
      </c>
      <c r="H4586" s="403" t="s">
        <v>1281</v>
      </c>
      <c r="I4586" s="403">
        <v>1</v>
      </c>
      <c r="J4586" s="403" t="s">
        <v>110</v>
      </c>
      <c r="K4586" s="403">
        <v>1920</v>
      </c>
      <c r="L4586" s="403">
        <v>1080</v>
      </c>
      <c r="M4586" s="403" t="s">
        <v>1279</v>
      </c>
      <c r="N4586" s="403">
        <v>768</v>
      </c>
      <c r="O4586" s="403">
        <v>432</v>
      </c>
      <c r="P4586" t="str">
        <f t="shared" si="569"/>
        <v>25fps 1080p - SD ROI PTZ</v>
      </c>
      <c r="Q4586">
        <f t="shared" si="570"/>
        <v>21</v>
      </c>
      <c r="R4586" t="str">
        <f t="shared" si="571"/>
        <v/>
      </c>
      <c r="S4586" t="str">
        <f t="shared" si="572"/>
        <v/>
      </c>
      <c r="T4586" s="403" t="str">
        <f t="shared" si="573"/>
        <v>NDE-8504-R</v>
      </c>
      <c r="U4586" s="403">
        <f t="shared" si="574"/>
        <v>1</v>
      </c>
      <c r="V4586" s="403" t="str">
        <f t="shared" si="575"/>
        <v>CPP_7_3</v>
      </c>
    </row>
    <row r="4587" spans="1:22">
      <c r="A4587" t="str">
        <f t="shared" si="568"/>
        <v>NDE-8504-R</v>
      </c>
      <c r="B4587" s="403" t="s">
        <v>1410</v>
      </c>
      <c r="C4587" s="403" t="s">
        <v>582</v>
      </c>
      <c r="D4587" s="403" t="s">
        <v>1418</v>
      </c>
      <c r="E4587" s="403" t="s">
        <v>1412</v>
      </c>
      <c r="F4587" s="403" t="s">
        <v>1325</v>
      </c>
      <c r="G4587" s="403" t="s">
        <v>1466</v>
      </c>
      <c r="H4587" s="403" t="s">
        <v>1281</v>
      </c>
      <c r="I4587" s="403">
        <v>1</v>
      </c>
      <c r="J4587" s="403" t="s">
        <v>110</v>
      </c>
      <c r="K4587" s="403">
        <v>1920</v>
      </c>
      <c r="L4587" s="403">
        <v>1080</v>
      </c>
      <c r="M4587" s="403" t="s">
        <v>1283</v>
      </c>
      <c r="N4587" s="403">
        <v>720</v>
      </c>
      <c r="O4587" s="403">
        <v>576</v>
      </c>
      <c r="P4587" t="str">
        <f t="shared" si="569"/>
        <v>25fps 1080p - SD 4CIF resolution 4:3 format (cropped)</v>
      </c>
      <c r="Q4587">
        <f t="shared" si="570"/>
        <v>21</v>
      </c>
      <c r="R4587" t="str">
        <f t="shared" si="571"/>
        <v/>
      </c>
      <c r="S4587" t="str">
        <f t="shared" si="572"/>
        <v/>
      </c>
      <c r="T4587" s="403" t="str">
        <f t="shared" si="573"/>
        <v>NDE-8504-R</v>
      </c>
      <c r="U4587" s="403">
        <f t="shared" si="574"/>
        <v>1</v>
      </c>
      <c r="V4587" s="403" t="str">
        <f t="shared" si="575"/>
        <v>CPP_7_3</v>
      </c>
    </row>
    <row r="4588" spans="1:22">
      <c r="A4588" t="str">
        <f t="shared" si="568"/>
        <v>NDE-8504-R</v>
      </c>
      <c r="B4588" s="403" t="s">
        <v>1410</v>
      </c>
      <c r="C4588" s="403" t="s">
        <v>582</v>
      </c>
      <c r="D4588" s="403" t="s">
        <v>1418</v>
      </c>
      <c r="E4588" s="403" t="s">
        <v>1412</v>
      </c>
      <c r="F4588" s="403" t="s">
        <v>1325</v>
      </c>
      <c r="G4588" s="403" t="s">
        <v>1466</v>
      </c>
      <c r="H4588" s="403" t="s">
        <v>1281</v>
      </c>
      <c r="I4588" s="403">
        <v>1</v>
      </c>
      <c r="J4588" s="403" t="s">
        <v>110</v>
      </c>
      <c r="K4588" s="403">
        <v>1920</v>
      </c>
      <c r="L4588" s="403">
        <v>1080</v>
      </c>
      <c r="M4588" s="403" t="s">
        <v>1284</v>
      </c>
      <c r="N4588" s="403">
        <v>640</v>
      </c>
      <c r="O4588" s="403">
        <v>480</v>
      </c>
      <c r="P4588" t="str">
        <f t="shared" si="569"/>
        <v>25fps 1080p - SD VGA (cropped)</v>
      </c>
      <c r="Q4588">
        <f t="shared" si="570"/>
        <v>21</v>
      </c>
      <c r="R4588" t="str">
        <f t="shared" si="571"/>
        <v/>
      </c>
      <c r="S4588" t="str">
        <f t="shared" si="572"/>
        <v/>
      </c>
      <c r="T4588" s="403" t="str">
        <f t="shared" si="573"/>
        <v>NDE-8504-R</v>
      </c>
      <c r="U4588" s="403">
        <f t="shared" si="574"/>
        <v>1</v>
      </c>
      <c r="V4588" s="403" t="str">
        <f t="shared" si="575"/>
        <v>CPP_7_3</v>
      </c>
    </row>
    <row r="4589" spans="1:22">
      <c r="A4589" t="str">
        <f t="shared" si="568"/>
        <v>NDE-8504-R</v>
      </c>
      <c r="B4589" s="403" t="s">
        <v>1410</v>
      </c>
      <c r="C4589" s="403" t="s">
        <v>582</v>
      </c>
      <c r="D4589" s="403" t="s">
        <v>1418</v>
      </c>
      <c r="E4589" s="403" t="s">
        <v>1412</v>
      </c>
      <c r="F4589" s="403" t="s">
        <v>1325</v>
      </c>
      <c r="G4589" s="403" t="s">
        <v>1466</v>
      </c>
      <c r="H4589" s="403" t="s">
        <v>1281</v>
      </c>
      <c r="I4589" s="403">
        <v>1</v>
      </c>
      <c r="J4589" s="403" t="s">
        <v>109</v>
      </c>
      <c r="K4589" s="403">
        <v>1280</v>
      </c>
      <c r="L4589" s="403">
        <v>720</v>
      </c>
      <c r="M4589" s="403" t="s">
        <v>109</v>
      </c>
      <c r="N4589" s="403">
        <v>1280</v>
      </c>
      <c r="O4589" s="403">
        <v>720</v>
      </c>
      <c r="P4589" t="str">
        <f t="shared" si="569"/>
        <v>25fps 720p - 720p</v>
      </c>
      <c r="Q4589">
        <f t="shared" si="570"/>
        <v>21</v>
      </c>
      <c r="R4589" t="str">
        <f t="shared" si="571"/>
        <v/>
      </c>
      <c r="S4589" t="str">
        <f t="shared" si="572"/>
        <v/>
      </c>
      <c r="T4589" s="403" t="str">
        <f t="shared" si="573"/>
        <v>NDE-8504-R</v>
      </c>
      <c r="U4589" s="403">
        <f t="shared" si="574"/>
        <v>1</v>
      </c>
      <c r="V4589" s="403" t="str">
        <f t="shared" si="575"/>
        <v>CPP_7_3</v>
      </c>
    </row>
    <row r="4590" spans="1:22">
      <c r="A4590" t="str">
        <f t="shared" si="568"/>
        <v>NDE-8504-R</v>
      </c>
      <c r="B4590" s="403" t="s">
        <v>1410</v>
      </c>
      <c r="C4590" s="403" t="s">
        <v>582</v>
      </c>
      <c r="D4590" s="403" t="s">
        <v>1418</v>
      </c>
      <c r="E4590" s="403" t="s">
        <v>1412</v>
      </c>
      <c r="F4590" s="403" t="s">
        <v>1325</v>
      </c>
      <c r="G4590" s="403" t="s">
        <v>1466</v>
      </c>
      <c r="H4590" s="403" t="s">
        <v>1281</v>
      </c>
      <c r="I4590" s="403">
        <v>1</v>
      </c>
      <c r="J4590" s="403" t="s">
        <v>109</v>
      </c>
      <c r="K4590" s="403">
        <v>1280</v>
      </c>
      <c r="L4590" s="403">
        <v>720</v>
      </c>
      <c r="M4590" s="403" t="s">
        <v>111</v>
      </c>
      <c r="N4590" s="403">
        <v>768</v>
      </c>
      <c r="O4590" s="403">
        <v>432</v>
      </c>
      <c r="P4590" t="str">
        <f t="shared" si="569"/>
        <v>25fps 720p - SD</v>
      </c>
      <c r="Q4590">
        <f t="shared" si="570"/>
        <v>21</v>
      </c>
      <c r="R4590" t="str">
        <f t="shared" si="571"/>
        <v/>
      </c>
      <c r="S4590" t="str">
        <f t="shared" si="572"/>
        <v/>
      </c>
      <c r="T4590" s="403" t="str">
        <f t="shared" si="573"/>
        <v>NDE-8504-R</v>
      </c>
      <c r="U4590" s="403">
        <f t="shared" si="574"/>
        <v>1</v>
      </c>
      <c r="V4590" s="403" t="str">
        <f t="shared" si="575"/>
        <v>CPP_7_3</v>
      </c>
    </row>
    <row r="4591" spans="1:22">
      <c r="A4591" t="str">
        <f t="shared" si="568"/>
        <v>NDE-8504-R</v>
      </c>
      <c r="B4591" s="403" t="s">
        <v>1410</v>
      </c>
      <c r="C4591" s="403" t="s">
        <v>582</v>
      </c>
      <c r="D4591" s="403" t="s">
        <v>1418</v>
      </c>
      <c r="E4591" s="403" t="s">
        <v>1412</v>
      </c>
      <c r="F4591" s="403" t="s">
        <v>1325</v>
      </c>
      <c r="G4591" s="403" t="s">
        <v>1466</v>
      </c>
      <c r="H4591" s="403" t="s">
        <v>1281</v>
      </c>
      <c r="I4591" s="403">
        <v>1</v>
      </c>
      <c r="J4591" s="403" t="s">
        <v>109</v>
      </c>
      <c r="K4591" s="403">
        <v>1280</v>
      </c>
      <c r="L4591" s="403">
        <v>720</v>
      </c>
      <c r="M4591" s="403" t="s">
        <v>1279</v>
      </c>
      <c r="N4591" s="403">
        <v>768</v>
      </c>
      <c r="O4591" s="403">
        <v>432</v>
      </c>
      <c r="P4591" t="str">
        <f t="shared" si="569"/>
        <v>25fps 720p - SD ROI PTZ</v>
      </c>
      <c r="Q4591">
        <f t="shared" si="570"/>
        <v>21</v>
      </c>
      <c r="R4591" t="str">
        <f t="shared" si="571"/>
        <v/>
      </c>
      <c r="S4591" t="str">
        <f t="shared" si="572"/>
        <v/>
      </c>
      <c r="T4591" s="403" t="str">
        <f t="shared" si="573"/>
        <v>NDE-8504-R</v>
      </c>
      <c r="U4591" s="403">
        <f t="shared" si="574"/>
        <v>1</v>
      </c>
      <c r="V4591" s="403" t="str">
        <f t="shared" si="575"/>
        <v>CPP_7_3</v>
      </c>
    </row>
    <row r="4592" spans="1:22">
      <c r="A4592" t="str">
        <f t="shared" si="568"/>
        <v>NDE-8504-R</v>
      </c>
      <c r="B4592" s="403" t="s">
        <v>1410</v>
      </c>
      <c r="C4592" s="403" t="s">
        <v>582</v>
      </c>
      <c r="D4592" s="403" t="s">
        <v>1418</v>
      </c>
      <c r="E4592" s="403" t="s">
        <v>1412</v>
      </c>
      <c r="F4592" s="403" t="s">
        <v>1325</v>
      </c>
      <c r="G4592" s="403" t="s">
        <v>1466</v>
      </c>
      <c r="H4592" s="403" t="s">
        <v>1281</v>
      </c>
      <c r="I4592" s="403">
        <v>1</v>
      </c>
      <c r="J4592" s="403" t="s">
        <v>109</v>
      </c>
      <c r="K4592" s="403">
        <v>1280</v>
      </c>
      <c r="L4592" s="403">
        <v>720</v>
      </c>
      <c r="M4592" s="403" t="s">
        <v>1283</v>
      </c>
      <c r="N4592" s="403">
        <v>720</v>
      </c>
      <c r="O4592" s="403">
        <v>576</v>
      </c>
      <c r="P4592" t="str">
        <f t="shared" si="569"/>
        <v>25fps 720p - SD 4CIF resolution 4:3 format (cropped)</v>
      </c>
      <c r="Q4592">
        <f t="shared" si="570"/>
        <v>21</v>
      </c>
      <c r="R4592" t="str">
        <f t="shared" si="571"/>
        <v/>
      </c>
      <c r="S4592" t="str">
        <f t="shared" si="572"/>
        <v/>
      </c>
      <c r="T4592" s="403" t="str">
        <f t="shared" si="573"/>
        <v>NDE-8504-R</v>
      </c>
      <c r="U4592" s="403">
        <f t="shared" si="574"/>
        <v>1</v>
      </c>
      <c r="V4592" s="403" t="str">
        <f t="shared" si="575"/>
        <v>CPP_7_3</v>
      </c>
    </row>
    <row r="4593" spans="1:22">
      <c r="A4593" t="str">
        <f t="shared" si="568"/>
        <v>NDE-8504-R</v>
      </c>
      <c r="B4593" s="403" t="s">
        <v>1410</v>
      </c>
      <c r="C4593" s="403" t="s">
        <v>582</v>
      </c>
      <c r="D4593" s="403" t="s">
        <v>1418</v>
      </c>
      <c r="E4593" s="403" t="s">
        <v>1412</v>
      </c>
      <c r="F4593" s="403" t="s">
        <v>1325</v>
      </c>
      <c r="G4593" s="403" t="s">
        <v>1466</v>
      </c>
      <c r="H4593" s="403" t="s">
        <v>1281</v>
      </c>
      <c r="I4593" s="403">
        <v>1</v>
      </c>
      <c r="J4593" s="403" t="s">
        <v>109</v>
      </c>
      <c r="K4593" s="403">
        <v>1280</v>
      </c>
      <c r="L4593" s="403">
        <v>720</v>
      </c>
      <c r="M4593" s="403" t="s">
        <v>1284</v>
      </c>
      <c r="N4593" s="403">
        <v>640</v>
      </c>
      <c r="O4593" s="403">
        <v>480</v>
      </c>
      <c r="P4593" t="str">
        <f t="shared" si="569"/>
        <v>25fps 720p - SD VGA (cropped)</v>
      </c>
      <c r="Q4593">
        <f t="shared" si="570"/>
        <v>21</v>
      </c>
      <c r="R4593" t="str">
        <f t="shared" si="571"/>
        <v/>
      </c>
      <c r="S4593" t="str">
        <f t="shared" si="572"/>
        <v/>
      </c>
      <c r="T4593" s="403" t="str">
        <f t="shared" si="573"/>
        <v>NDE-8504-R</v>
      </c>
      <c r="U4593" s="403">
        <f t="shared" si="574"/>
        <v>1</v>
      </c>
      <c r="V4593" s="403" t="str">
        <f t="shared" si="575"/>
        <v>CPP_7_3</v>
      </c>
    </row>
    <row r="4594" spans="1:22">
      <c r="A4594" t="str">
        <f t="shared" si="568"/>
        <v>NDE-8504-R</v>
      </c>
      <c r="B4594" s="403" t="s">
        <v>1410</v>
      </c>
      <c r="C4594" s="403" t="s">
        <v>582</v>
      </c>
      <c r="D4594" s="403" t="s">
        <v>1418</v>
      </c>
      <c r="E4594" s="403" t="s">
        <v>1412</v>
      </c>
      <c r="F4594" s="403" t="s">
        <v>1325</v>
      </c>
      <c r="G4594" s="403" t="s">
        <v>1467</v>
      </c>
      <c r="H4594" s="403" t="s">
        <v>1276</v>
      </c>
      <c r="I4594" s="403">
        <v>1</v>
      </c>
      <c r="J4594" s="403" t="s">
        <v>194</v>
      </c>
      <c r="K4594" s="403">
        <v>2160</v>
      </c>
      <c r="L4594" s="403">
        <v>3840</v>
      </c>
      <c r="M4594" s="403" t="s">
        <v>111</v>
      </c>
      <c r="N4594" s="403">
        <v>432</v>
      </c>
      <c r="O4594" s="403">
        <v>768</v>
      </c>
      <c r="P4594" t="str">
        <f t="shared" si="569"/>
        <v>25fps 3840x2160 - SD</v>
      </c>
      <c r="Q4594">
        <f t="shared" si="570"/>
        <v>21</v>
      </c>
      <c r="R4594" t="str">
        <f t="shared" si="571"/>
        <v/>
      </c>
      <c r="S4594" t="str">
        <f t="shared" si="572"/>
        <v/>
      </c>
      <c r="T4594" s="403" t="str">
        <f t="shared" si="573"/>
        <v>NDE-8504-R</v>
      </c>
      <c r="U4594" s="403">
        <f t="shared" si="574"/>
        <v>1</v>
      </c>
      <c r="V4594" s="403" t="str">
        <f t="shared" si="575"/>
        <v>CPP_7_3</v>
      </c>
    </row>
    <row r="4595" spans="1:22">
      <c r="A4595" t="str">
        <f t="shared" si="568"/>
        <v>NDE-8504-R</v>
      </c>
      <c r="B4595" s="403" t="s">
        <v>1410</v>
      </c>
      <c r="C4595" s="403" t="s">
        <v>582</v>
      </c>
      <c r="D4595" s="403" t="s">
        <v>1418</v>
      </c>
      <c r="E4595" s="403" t="s">
        <v>1412</v>
      </c>
      <c r="F4595" s="403" t="s">
        <v>1325</v>
      </c>
      <c r="G4595" s="403" t="s">
        <v>1467</v>
      </c>
      <c r="H4595" s="403" t="s">
        <v>1276</v>
      </c>
      <c r="I4595" s="403">
        <v>1</v>
      </c>
      <c r="J4595" s="403" t="s">
        <v>194</v>
      </c>
      <c r="K4595" s="403">
        <v>2160</v>
      </c>
      <c r="L4595" s="403">
        <v>3840</v>
      </c>
      <c r="M4595" s="403" t="s">
        <v>1280</v>
      </c>
      <c r="N4595" s="403">
        <v>2160</v>
      </c>
      <c r="O4595" s="403">
        <v>3840</v>
      </c>
      <c r="P4595" t="str">
        <f t="shared" si="569"/>
        <v>25fps 3840x2160 - copy other stream</v>
      </c>
      <c r="Q4595">
        <f t="shared" si="570"/>
        <v>21</v>
      </c>
      <c r="R4595" t="str">
        <f t="shared" si="571"/>
        <v/>
      </c>
      <c r="S4595" t="str">
        <f t="shared" si="572"/>
        <v/>
      </c>
      <c r="T4595" s="403" t="str">
        <f t="shared" si="573"/>
        <v>NDE-8504-R</v>
      </c>
      <c r="U4595" s="403">
        <f t="shared" si="574"/>
        <v>1</v>
      </c>
      <c r="V4595" s="403" t="str">
        <f t="shared" si="575"/>
        <v>CPP_7_3</v>
      </c>
    </row>
    <row r="4596" spans="1:22">
      <c r="A4596" t="str">
        <f t="shared" si="568"/>
        <v>NDE-8504-R</v>
      </c>
      <c r="B4596" s="403" t="s">
        <v>1410</v>
      </c>
      <c r="C4596" s="403" t="s">
        <v>582</v>
      </c>
      <c r="D4596" s="403" t="s">
        <v>1418</v>
      </c>
      <c r="E4596" s="403" t="s">
        <v>1412</v>
      </c>
      <c r="F4596" s="403" t="s">
        <v>1325</v>
      </c>
      <c r="G4596" s="403" t="s">
        <v>1467</v>
      </c>
      <c r="H4596" s="403" t="s">
        <v>1276</v>
      </c>
      <c r="I4596" s="403">
        <v>1</v>
      </c>
      <c r="J4596" s="403" t="s">
        <v>194</v>
      </c>
      <c r="K4596" s="403">
        <v>2160</v>
      </c>
      <c r="L4596" s="403">
        <v>3840</v>
      </c>
      <c r="M4596" s="403" t="s">
        <v>1283</v>
      </c>
      <c r="N4596" s="403">
        <v>576</v>
      </c>
      <c r="O4596" s="403">
        <v>720</v>
      </c>
      <c r="P4596" t="str">
        <f t="shared" si="569"/>
        <v>25fps 3840x2160 - SD 4CIF resolution 4:3 format (cropped)</v>
      </c>
      <c r="Q4596">
        <f t="shared" si="570"/>
        <v>21</v>
      </c>
      <c r="R4596" t="str">
        <f t="shared" si="571"/>
        <v/>
      </c>
      <c r="S4596" t="str">
        <f t="shared" si="572"/>
        <v/>
      </c>
      <c r="T4596" s="403" t="str">
        <f t="shared" si="573"/>
        <v>NDE-8504-R</v>
      </c>
      <c r="U4596" s="403">
        <f t="shared" si="574"/>
        <v>1</v>
      </c>
      <c r="V4596" s="403" t="str">
        <f t="shared" si="575"/>
        <v>CPP_7_3</v>
      </c>
    </row>
    <row r="4597" spans="1:22">
      <c r="A4597" t="str">
        <f t="shared" si="568"/>
        <v>NDE-8504-R</v>
      </c>
      <c r="B4597" s="403" t="s">
        <v>1410</v>
      </c>
      <c r="C4597" s="403" t="s">
        <v>582</v>
      </c>
      <c r="D4597" s="403" t="s">
        <v>1418</v>
      </c>
      <c r="E4597" s="403" t="s">
        <v>1412</v>
      </c>
      <c r="F4597" s="403" t="s">
        <v>1325</v>
      </c>
      <c r="G4597" s="403" t="s">
        <v>1467</v>
      </c>
      <c r="H4597" s="403" t="s">
        <v>1276</v>
      </c>
      <c r="I4597" s="403">
        <v>1</v>
      </c>
      <c r="J4597" s="403" t="s">
        <v>194</v>
      </c>
      <c r="K4597" s="403">
        <v>2160</v>
      </c>
      <c r="L4597" s="403">
        <v>3840</v>
      </c>
      <c r="M4597" s="403" t="s">
        <v>1284</v>
      </c>
      <c r="N4597" s="403">
        <v>480</v>
      </c>
      <c r="O4597" s="403">
        <v>640</v>
      </c>
      <c r="P4597" t="str">
        <f t="shared" si="569"/>
        <v>25fps 3840x2160 - SD VGA (cropped)</v>
      </c>
      <c r="Q4597">
        <f t="shared" si="570"/>
        <v>21</v>
      </c>
      <c r="R4597" t="str">
        <f t="shared" si="571"/>
        <v/>
      </c>
      <c r="S4597" t="str">
        <f t="shared" si="572"/>
        <v/>
      </c>
      <c r="T4597" s="403" t="str">
        <f t="shared" si="573"/>
        <v>NDE-8504-R</v>
      </c>
      <c r="U4597" s="403">
        <f t="shared" si="574"/>
        <v>1</v>
      </c>
      <c r="V4597" s="403" t="str">
        <f t="shared" si="575"/>
        <v>CPP_7_3</v>
      </c>
    </row>
    <row r="4598" spans="1:22">
      <c r="A4598" t="str">
        <f t="shared" si="568"/>
        <v>NDE-8504-R</v>
      </c>
      <c r="B4598" s="403" t="s">
        <v>1410</v>
      </c>
      <c r="C4598" s="403" t="s">
        <v>582</v>
      </c>
      <c r="D4598" s="403" t="s">
        <v>1418</v>
      </c>
      <c r="E4598" s="403" t="s">
        <v>1412</v>
      </c>
      <c r="F4598" s="403" t="s">
        <v>1325</v>
      </c>
      <c r="G4598" s="403" t="s">
        <v>1467</v>
      </c>
      <c r="H4598" s="403" t="s">
        <v>1276</v>
      </c>
      <c r="I4598" s="403">
        <v>1</v>
      </c>
      <c r="J4598" s="403" t="s">
        <v>1324</v>
      </c>
      <c r="K4598" s="403">
        <v>2016</v>
      </c>
      <c r="L4598" s="403">
        <v>3584</v>
      </c>
      <c r="M4598" s="403" t="s">
        <v>111</v>
      </c>
      <c r="N4598" s="403">
        <v>432</v>
      </c>
      <c r="O4598" s="403">
        <v>768</v>
      </c>
      <c r="P4598" t="str">
        <f t="shared" si="569"/>
        <v>25fps 3584x2016 - SD</v>
      </c>
      <c r="Q4598">
        <f t="shared" si="570"/>
        <v>21</v>
      </c>
      <c r="R4598" t="str">
        <f t="shared" si="571"/>
        <v/>
      </c>
      <c r="S4598" t="str">
        <f t="shared" si="572"/>
        <v/>
      </c>
      <c r="T4598" s="403" t="str">
        <f t="shared" si="573"/>
        <v>NDE-8504-R</v>
      </c>
      <c r="U4598" s="403">
        <f t="shared" si="574"/>
        <v>1</v>
      </c>
      <c r="V4598" s="403" t="str">
        <f t="shared" si="575"/>
        <v>CPP_7_3</v>
      </c>
    </row>
    <row r="4599" spans="1:22">
      <c r="A4599" t="str">
        <f t="shared" si="568"/>
        <v>NDE-8504-R</v>
      </c>
      <c r="B4599" s="403" t="s">
        <v>1410</v>
      </c>
      <c r="C4599" s="403" t="s">
        <v>582</v>
      </c>
      <c r="D4599" s="403" t="s">
        <v>1418</v>
      </c>
      <c r="E4599" s="403" t="s">
        <v>1412</v>
      </c>
      <c r="F4599" s="403" t="s">
        <v>1325</v>
      </c>
      <c r="G4599" s="403" t="s">
        <v>1467</v>
      </c>
      <c r="H4599" s="403" t="s">
        <v>1276</v>
      </c>
      <c r="I4599" s="403">
        <v>1</v>
      </c>
      <c r="J4599" s="403" t="s">
        <v>1324</v>
      </c>
      <c r="K4599" s="403">
        <v>2016</v>
      </c>
      <c r="L4599" s="403">
        <v>3584</v>
      </c>
      <c r="M4599" s="403" t="s">
        <v>1280</v>
      </c>
      <c r="N4599" s="403">
        <v>2016</v>
      </c>
      <c r="O4599" s="403">
        <v>3584</v>
      </c>
      <c r="P4599" t="str">
        <f t="shared" si="569"/>
        <v>25fps 3584x2016 - copy other stream</v>
      </c>
      <c r="Q4599">
        <f t="shared" si="570"/>
        <v>21</v>
      </c>
      <c r="R4599" t="str">
        <f t="shared" si="571"/>
        <v/>
      </c>
      <c r="S4599" t="str">
        <f t="shared" si="572"/>
        <v/>
      </c>
      <c r="T4599" s="403" t="str">
        <f t="shared" si="573"/>
        <v>NDE-8504-R</v>
      </c>
      <c r="U4599" s="403">
        <f t="shared" si="574"/>
        <v>1</v>
      </c>
      <c r="V4599" s="403" t="str">
        <f t="shared" si="575"/>
        <v>CPP_7_3</v>
      </c>
    </row>
    <row r="4600" spans="1:22">
      <c r="A4600" t="str">
        <f t="shared" si="568"/>
        <v>NDE-8504-R</v>
      </c>
      <c r="B4600" s="403" t="s">
        <v>1410</v>
      </c>
      <c r="C4600" s="403" t="s">
        <v>582</v>
      </c>
      <c r="D4600" s="403" t="s">
        <v>1418</v>
      </c>
      <c r="E4600" s="403" t="s">
        <v>1412</v>
      </c>
      <c r="F4600" s="403" t="s">
        <v>1325</v>
      </c>
      <c r="G4600" s="403" t="s">
        <v>1467</v>
      </c>
      <c r="H4600" s="403" t="s">
        <v>1276</v>
      </c>
      <c r="I4600" s="403">
        <v>1</v>
      </c>
      <c r="J4600" s="403" t="s">
        <v>1324</v>
      </c>
      <c r="K4600" s="403">
        <v>2016</v>
      </c>
      <c r="L4600" s="403">
        <v>3584</v>
      </c>
      <c r="M4600" s="403" t="s">
        <v>1364</v>
      </c>
      <c r="N4600" s="403">
        <v>2016</v>
      </c>
      <c r="O4600" s="403">
        <v>3584</v>
      </c>
      <c r="P4600" t="str">
        <f t="shared" si="569"/>
        <v>25fps 3584x2016 - 3584x2016 @ SKIP6</v>
      </c>
      <c r="Q4600">
        <f t="shared" si="570"/>
        <v>21</v>
      </c>
      <c r="R4600" t="str">
        <f t="shared" si="571"/>
        <v/>
      </c>
      <c r="S4600" t="str">
        <f t="shared" si="572"/>
        <v/>
      </c>
      <c r="T4600" s="403" t="str">
        <f t="shared" si="573"/>
        <v>NDE-8504-R</v>
      </c>
      <c r="U4600" s="403">
        <f t="shared" si="574"/>
        <v>1</v>
      </c>
      <c r="V4600" s="403" t="str">
        <f t="shared" si="575"/>
        <v>CPP_7_3</v>
      </c>
    </row>
    <row r="4601" spans="1:22">
      <c r="A4601" t="str">
        <f t="shared" si="568"/>
        <v>NDE-8504-R</v>
      </c>
      <c r="B4601" s="403" t="s">
        <v>1410</v>
      </c>
      <c r="C4601" s="403" t="s">
        <v>582</v>
      </c>
      <c r="D4601" s="403" t="s">
        <v>1418</v>
      </c>
      <c r="E4601" s="403" t="s">
        <v>1412</v>
      </c>
      <c r="F4601" s="403" t="s">
        <v>1325</v>
      </c>
      <c r="G4601" s="403" t="s">
        <v>1467</v>
      </c>
      <c r="H4601" s="403" t="s">
        <v>1276</v>
      </c>
      <c r="I4601" s="403">
        <v>1</v>
      </c>
      <c r="J4601" s="403" t="s">
        <v>1324</v>
      </c>
      <c r="K4601" s="403">
        <v>2016</v>
      </c>
      <c r="L4601" s="403">
        <v>3584</v>
      </c>
      <c r="M4601" s="403" t="s">
        <v>109</v>
      </c>
      <c r="N4601" s="403">
        <v>720</v>
      </c>
      <c r="O4601" s="403">
        <v>1280</v>
      </c>
      <c r="P4601" t="str">
        <f t="shared" si="569"/>
        <v>25fps 3584x2016 - 720p</v>
      </c>
      <c r="Q4601">
        <f t="shared" si="570"/>
        <v>21</v>
      </c>
      <c r="R4601" t="str">
        <f t="shared" si="571"/>
        <v/>
      </c>
      <c r="S4601" t="str">
        <f t="shared" si="572"/>
        <v/>
      </c>
      <c r="T4601" s="403" t="str">
        <f t="shared" si="573"/>
        <v>NDE-8504-R</v>
      </c>
      <c r="U4601" s="403">
        <f t="shared" si="574"/>
        <v>1</v>
      </c>
      <c r="V4601" s="403" t="str">
        <f t="shared" si="575"/>
        <v>CPP_7_3</v>
      </c>
    </row>
    <row r="4602" spans="1:22">
      <c r="A4602" t="str">
        <f t="shared" si="568"/>
        <v>NDE-8504-R</v>
      </c>
      <c r="B4602" s="403" t="s">
        <v>1410</v>
      </c>
      <c r="C4602" s="403" t="s">
        <v>582</v>
      </c>
      <c r="D4602" s="403" t="s">
        <v>1418</v>
      </c>
      <c r="E4602" s="403" t="s">
        <v>1412</v>
      </c>
      <c r="F4602" s="403" t="s">
        <v>1325</v>
      </c>
      <c r="G4602" s="403" t="s">
        <v>1467</v>
      </c>
      <c r="H4602" s="403" t="s">
        <v>1276</v>
      </c>
      <c r="I4602" s="403">
        <v>1</v>
      </c>
      <c r="J4602" s="403" t="s">
        <v>1324</v>
      </c>
      <c r="K4602" s="403">
        <v>2016</v>
      </c>
      <c r="L4602" s="403">
        <v>3584</v>
      </c>
      <c r="M4602" s="403" t="s">
        <v>1283</v>
      </c>
      <c r="N4602" s="403">
        <v>576</v>
      </c>
      <c r="O4602" s="403">
        <v>720</v>
      </c>
      <c r="P4602" t="str">
        <f t="shared" si="569"/>
        <v>25fps 3584x2016 - SD 4CIF resolution 4:3 format (cropped)</v>
      </c>
      <c r="Q4602">
        <f t="shared" si="570"/>
        <v>21</v>
      </c>
      <c r="R4602" t="str">
        <f t="shared" si="571"/>
        <v/>
      </c>
      <c r="S4602" t="str">
        <f t="shared" si="572"/>
        <v/>
      </c>
      <c r="T4602" s="403" t="str">
        <f t="shared" si="573"/>
        <v>NDE-8504-R</v>
      </c>
      <c r="U4602" s="403">
        <f t="shared" si="574"/>
        <v>1</v>
      </c>
      <c r="V4602" s="403" t="str">
        <f t="shared" si="575"/>
        <v>CPP_7_3</v>
      </c>
    </row>
    <row r="4603" spans="1:22">
      <c r="A4603" t="str">
        <f t="shared" si="568"/>
        <v>NDE-8504-R</v>
      </c>
      <c r="B4603" s="403" t="s">
        <v>1410</v>
      </c>
      <c r="C4603" s="403" t="s">
        <v>582</v>
      </c>
      <c r="D4603" s="403" t="s">
        <v>1418</v>
      </c>
      <c r="E4603" s="403" t="s">
        <v>1412</v>
      </c>
      <c r="F4603" s="403" t="s">
        <v>1325</v>
      </c>
      <c r="G4603" s="403" t="s">
        <v>1467</v>
      </c>
      <c r="H4603" s="403" t="s">
        <v>1276</v>
      </c>
      <c r="I4603" s="403">
        <v>1</v>
      </c>
      <c r="J4603" s="403" t="s">
        <v>1324</v>
      </c>
      <c r="K4603" s="403">
        <v>2016</v>
      </c>
      <c r="L4603" s="403">
        <v>3584</v>
      </c>
      <c r="M4603" s="403" t="s">
        <v>1279</v>
      </c>
      <c r="N4603" s="403">
        <v>432</v>
      </c>
      <c r="O4603" s="403">
        <v>768</v>
      </c>
      <c r="P4603" t="str">
        <f t="shared" si="569"/>
        <v>25fps 3584x2016 - SD ROI PTZ</v>
      </c>
      <c r="Q4603">
        <f t="shared" si="570"/>
        <v>21</v>
      </c>
      <c r="R4603" t="str">
        <f t="shared" si="571"/>
        <v/>
      </c>
      <c r="S4603" t="str">
        <f t="shared" si="572"/>
        <v/>
      </c>
      <c r="T4603" s="403" t="str">
        <f t="shared" si="573"/>
        <v>NDE-8504-R</v>
      </c>
      <c r="U4603" s="403">
        <f t="shared" si="574"/>
        <v>1</v>
      </c>
      <c r="V4603" s="403" t="str">
        <f t="shared" si="575"/>
        <v>CPP_7_3</v>
      </c>
    </row>
    <row r="4604" spans="1:22">
      <c r="A4604" t="str">
        <f t="shared" si="568"/>
        <v>NDE-8504-R</v>
      </c>
      <c r="B4604" s="403" t="s">
        <v>1410</v>
      </c>
      <c r="C4604" s="403" t="s">
        <v>582</v>
      </c>
      <c r="D4604" s="403" t="s">
        <v>1418</v>
      </c>
      <c r="E4604" s="403" t="s">
        <v>1412</v>
      </c>
      <c r="F4604" s="403" t="s">
        <v>1325</v>
      </c>
      <c r="G4604" s="403" t="s">
        <v>1467</v>
      </c>
      <c r="H4604" s="403" t="s">
        <v>1276</v>
      </c>
      <c r="I4604" s="403">
        <v>1</v>
      </c>
      <c r="J4604" s="403" t="s">
        <v>1324</v>
      </c>
      <c r="K4604" s="403">
        <v>2016</v>
      </c>
      <c r="L4604" s="403">
        <v>3584</v>
      </c>
      <c r="M4604" s="403" t="s">
        <v>1284</v>
      </c>
      <c r="N4604" s="403">
        <v>480</v>
      </c>
      <c r="O4604" s="403">
        <v>640</v>
      </c>
      <c r="P4604" t="str">
        <f t="shared" si="569"/>
        <v>25fps 3584x2016 - SD VGA (cropped)</v>
      </c>
      <c r="Q4604">
        <f t="shared" si="570"/>
        <v>21</v>
      </c>
      <c r="R4604" t="str">
        <f t="shared" si="571"/>
        <v/>
      </c>
      <c r="S4604" t="str">
        <f t="shared" si="572"/>
        <v/>
      </c>
      <c r="T4604" s="403" t="str">
        <f t="shared" si="573"/>
        <v>NDE-8504-R</v>
      </c>
      <c r="U4604" s="403">
        <f t="shared" si="574"/>
        <v>1</v>
      </c>
      <c r="V4604" s="403" t="str">
        <f t="shared" si="575"/>
        <v>CPP_7_3</v>
      </c>
    </row>
    <row r="4605" spans="1:22">
      <c r="A4605" t="str">
        <f t="shared" si="568"/>
        <v>NDE-8504-R</v>
      </c>
      <c r="B4605" s="403" t="s">
        <v>1410</v>
      </c>
      <c r="C4605" s="403" t="s">
        <v>582</v>
      </c>
      <c r="D4605" s="403" t="s">
        <v>1418</v>
      </c>
      <c r="E4605" s="403" t="s">
        <v>1412</v>
      </c>
      <c r="F4605" s="403" t="s">
        <v>1325</v>
      </c>
      <c r="G4605" s="403" t="s">
        <v>1467</v>
      </c>
      <c r="H4605" s="403" t="s">
        <v>1276</v>
      </c>
      <c r="I4605" s="403">
        <v>1</v>
      </c>
      <c r="J4605" s="403" t="s">
        <v>1324</v>
      </c>
      <c r="K4605" s="403">
        <v>2016</v>
      </c>
      <c r="L4605" s="403">
        <v>3584</v>
      </c>
      <c r="M4605" s="403" t="s">
        <v>1285</v>
      </c>
      <c r="N4605" s="403">
        <v>1024</v>
      </c>
      <c r="O4605" s="403">
        <v>1280</v>
      </c>
      <c r="P4605" t="str">
        <f t="shared" si="569"/>
        <v>25fps 3584x2016 - 1280x1024 5:4 (cropped)</v>
      </c>
      <c r="Q4605">
        <f t="shared" si="570"/>
        <v>21</v>
      </c>
      <c r="R4605" t="str">
        <f t="shared" si="571"/>
        <v/>
      </c>
      <c r="S4605" t="str">
        <f t="shared" si="572"/>
        <v/>
      </c>
      <c r="T4605" s="403" t="str">
        <f t="shared" si="573"/>
        <v>NDE-8504-R</v>
      </c>
      <c r="U4605" s="403">
        <f t="shared" si="574"/>
        <v>1</v>
      </c>
      <c r="V4605" s="403" t="str">
        <f t="shared" si="575"/>
        <v>CPP_7_3</v>
      </c>
    </row>
    <row r="4606" spans="1:22">
      <c r="A4606" t="str">
        <f t="shared" si="568"/>
        <v>NDE-8504-R</v>
      </c>
      <c r="B4606" s="403" t="s">
        <v>1410</v>
      </c>
      <c r="C4606" s="403" t="s">
        <v>582</v>
      </c>
      <c r="D4606" s="403" t="s">
        <v>1418</v>
      </c>
      <c r="E4606" s="403" t="s">
        <v>1412</v>
      </c>
      <c r="F4606" s="403" t="s">
        <v>1325</v>
      </c>
      <c r="G4606" s="403" t="s">
        <v>1467</v>
      </c>
      <c r="H4606" s="403" t="s">
        <v>1276</v>
      </c>
      <c r="I4606" s="403">
        <v>1</v>
      </c>
      <c r="J4606" s="403" t="s">
        <v>110</v>
      </c>
      <c r="K4606" s="403">
        <v>1080</v>
      </c>
      <c r="L4606" s="403">
        <v>1920</v>
      </c>
      <c r="M4606" s="403" t="s">
        <v>111</v>
      </c>
      <c r="N4606" s="403">
        <v>432</v>
      </c>
      <c r="O4606" s="403">
        <v>768</v>
      </c>
      <c r="P4606" t="str">
        <f t="shared" si="569"/>
        <v>25fps 1080p - SD</v>
      </c>
      <c r="Q4606">
        <f t="shared" si="570"/>
        <v>21</v>
      </c>
      <c r="R4606" t="str">
        <f t="shared" si="571"/>
        <v/>
      </c>
      <c r="S4606" t="str">
        <f t="shared" si="572"/>
        <v/>
      </c>
      <c r="T4606" s="403" t="str">
        <f t="shared" si="573"/>
        <v>NDE-8504-R</v>
      </c>
      <c r="U4606" s="403">
        <f t="shared" si="574"/>
        <v>1</v>
      </c>
      <c r="V4606" s="403" t="str">
        <f t="shared" si="575"/>
        <v>CPP_7_3</v>
      </c>
    </row>
    <row r="4607" spans="1:22">
      <c r="A4607" t="str">
        <f t="shared" si="568"/>
        <v>NDE-8504-R</v>
      </c>
      <c r="B4607" s="403" t="s">
        <v>1410</v>
      </c>
      <c r="C4607" s="403" t="s">
        <v>582</v>
      </c>
      <c r="D4607" s="403" t="s">
        <v>1418</v>
      </c>
      <c r="E4607" s="403" t="s">
        <v>1412</v>
      </c>
      <c r="F4607" s="403" t="s">
        <v>1325</v>
      </c>
      <c r="G4607" s="403" t="s">
        <v>1467</v>
      </c>
      <c r="H4607" s="403" t="s">
        <v>1276</v>
      </c>
      <c r="I4607" s="403">
        <v>1</v>
      </c>
      <c r="J4607" s="403" t="s">
        <v>110</v>
      </c>
      <c r="K4607" s="403">
        <v>1080</v>
      </c>
      <c r="L4607" s="403">
        <v>1920</v>
      </c>
      <c r="M4607" s="403" t="s">
        <v>110</v>
      </c>
      <c r="N4607" s="403">
        <v>1080</v>
      </c>
      <c r="O4607" s="403">
        <v>1920</v>
      </c>
      <c r="P4607" t="str">
        <f t="shared" si="569"/>
        <v>25fps 1080p - 1080p</v>
      </c>
      <c r="Q4607">
        <f t="shared" si="570"/>
        <v>21</v>
      </c>
      <c r="R4607" t="str">
        <f t="shared" si="571"/>
        <v/>
      </c>
      <c r="S4607" t="str">
        <f t="shared" si="572"/>
        <v/>
      </c>
      <c r="T4607" s="403" t="str">
        <f t="shared" si="573"/>
        <v>NDE-8504-R</v>
      </c>
      <c r="U4607" s="403">
        <f t="shared" si="574"/>
        <v>1</v>
      </c>
      <c r="V4607" s="403" t="str">
        <f t="shared" si="575"/>
        <v>CPP_7_3</v>
      </c>
    </row>
    <row r="4608" spans="1:22">
      <c r="A4608" t="str">
        <f t="shared" si="568"/>
        <v>NDE-8504-R</v>
      </c>
      <c r="B4608" s="403" t="s">
        <v>1410</v>
      </c>
      <c r="C4608" s="403" t="s">
        <v>582</v>
      </c>
      <c r="D4608" s="403" t="s">
        <v>1418</v>
      </c>
      <c r="E4608" s="403" t="s">
        <v>1412</v>
      </c>
      <c r="F4608" s="403" t="s">
        <v>1325</v>
      </c>
      <c r="G4608" s="403" t="s">
        <v>1467</v>
      </c>
      <c r="H4608" s="403" t="s">
        <v>1276</v>
      </c>
      <c r="I4608" s="403">
        <v>1</v>
      </c>
      <c r="J4608" s="403" t="s">
        <v>110</v>
      </c>
      <c r="K4608" s="403">
        <v>1080</v>
      </c>
      <c r="L4608" s="403">
        <v>1920</v>
      </c>
      <c r="M4608" s="403" t="s">
        <v>109</v>
      </c>
      <c r="N4608" s="403">
        <v>720</v>
      </c>
      <c r="O4608" s="403">
        <v>1280</v>
      </c>
      <c r="P4608" t="str">
        <f t="shared" si="569"/>
        <v>25fps 1080p - 720p</v>
      </c>
      <c r="Q4608">
        <f t="shared" si="570"/>
        <v>21</v>
      </c>
      <c r="R4608" t="str">
        <f t="shared" si="571"/>
        <v/>
      </c>
      <c r="S4608" t="str">
        <f t="shared" si="572"/>
        <v/>
      </c>
      <c r="T4608" s="403" t="str">
        <f t="shared" si="573"/>
        <v>NDE-8504-R</v>
      </c>
      <c r="U4608" s="403">
        <f t="shared" si="574"/>
        <v>1</v>
      </c>
      <c r="V4608" s="403" t="str">
        <f t="shared" si="575"/>
        <v>CPP_7_3</v>
      </c>
    </row>
    <row r="4609" spans="1:22">
      <c r="A4609" t="str">
        <f t="shared" si="568"/>
        <v>NDE-8504-R</v>
      </c>
      <c r="B4609" s="403" t="s">
        <v>1410</v>
      </c>
      <c r="C4609" s="403" t="s">
        <v>582</v>
      </c>
      <c r="D4609" s="403" t="s">
        <v>1418</v>
      </c>
      <c r="E4609" s="403" t="s">
        <v>1412</v>
      </c>
      <c r="F4609" s="403" t="s">
        <v>1325</v>
      </c>
      <c r="G4609" s="403" t="s">
        <v>1467</v>
      </c>
      <c r="H4609" s="403" t="s">
        <v>1276</v>
      </c>
      <c r="I4609" s="403">
        <v>1</v>
      </c>
      <c r="J4609" s="403" t="s">
        <v>110</v>
      </c>
      <c r="K4609" s="403">
        <v>1080</v>
      </c>
      <c r="L4609" s="403">
        <v>1920</v>
      </c>
      <c r="M4609" s="403" t="s">
        <v>1285</v>
      </c>
      <c r="N4609" s="403">
        <v>1024</v>
      </c>
      <c r="O4609" s="403">
        <v>1280</v>
      </c>
      <c r="P4609" t="str">
        <f t="shared" si="569"/>
        <v>25fps 1080p - 1280x1024 5:4 (cropped)</v>
      </c>
      <c r="Q4609">
        <f t="shared" si="570"/>
        <v>21</v>
      </c>
      <c r="R4609" t="str">
        <f t="shared" si="571"/>
        <v/>
      </c>
      <c r="S4609" t="str">
        <f t="shared" si="572"/>
        <v/>
      </c>
      <c r="T4609" s="403" t="str">
        <f t="shared" si="573"/>
        <v>NDE-8504-R</v>
      </c>
      <c r="U4609" s="403">
        <f t="shared" si="574"/>
        <v>1</v>
      </c>
      <c r="V4609" s="403" t="str">
        <f t="shared" si="575"/>
        <v>CPP_7_3</v>
      </c>
    </row>
    <row r="4610" spans="1:22">
      <c r="A4610" t="str">
        <f t="shared" ref="A4610:A4673" si="576">IF(AND(G4610&lt;&gt;"rotate 90°"),D4610,"")</f>
        <v>NDE-8504-R</v>
      </c>
      <c r="B4610" s="403" t="s">
        <v>1410</v>
      </c>
      <c r="C4610" s="403" t="s">
        <v>582</v>
      </c>
      <c r="D4610" s="403" t="s">
        <v>1418</v>
      </c>
      <c r="E4610" s="403" t="s">
        <v>1412</v>
      </c>
      <c r="F4610" s="403" t="s">
        <v>1325</v>
      </c>
      <c r="G4610" s="403" t="s">
        <v>1467</v>
      </c>
      <c r="H4610" s="403" t="s">
        <v>1276</v>
      </c>
      <c r="I4610" s="403">
        <v>1</v>
      </c>
      <c r="J4610" s="403" t="s">
        <v>110</v>
      </c>
      <c r="K4610" s="403">
        <v>1080</v>
      </c>
      <c r="L4610" s="403">
        <v>1920</v>
      </c>
      <c r="M4610" s="403" t="s">
        <v>1279</v>
      </c>
      <c r="N4610" s="403">
        <v>432</v>
      </c>
      <c r="O4610" s="403">
        <v>768</v>
      </c>
      <c r="P4610" t="str">
        <f t="shared" ref="P4610:P4673" si="577">LEFT(F4610,5)&amp;" "&amp;J4610&amp;" - "&amp;M4610</f>
        <v>25fps 1080p - SD ROI PTZ</v>
      </c>
      <c r="Q4610">
        <f t="shared" ref="Q4610:Q4673" si="578">IF(A4609=A4610,Q4609,Q4609+1)</f>
        <v>21</v>
      </c>
      <c r="R4610" t="str">
        <f t="shared" ref="R4610:R4673" si="579">IF(Q4609&lt;&gt;Q4610,Q4610,"")</f>
        <v/>
      </c>
      <c r="S4610" t="str">
        <f t="shared" ref="S4610:S4673" si="580">IF(R4610&lt;&gt;"",B4610&amp;" ("&amp;D4610&amp;")","")</f>
        <v/>
      </c>
      <c r="T4610" s="403" t="str">
        <f t="shared" ref="T4610:T4673" si="581">D4610</f>
        <v>NDE-8504-R</v>
      </c>
      <c r="U4610" s="403">
        <f t="shared" ref="U4610:U4673" si="582">I4610</f>
        <v>1</v>
      </c>
      <c r="V4610" s="403" t="str">
        <f t="shared" ref="V4610:V4673" si="583">C4610</f>
        <v>CPP_7_3</v>
      </c>
    </row>
    <row r="4611" spans="1:22">
      <c r="A4611" t="str">
        <f t="shared" si="576"/>
        <v>NDE-8504-R</v>
      </c>
      <c r="B4611" s="403" t="s">
        <v>1410</v>
      </c>
      <c r="C4611" s="403" t="s">
        <v>582</v>
      </c>
      <c r="D4611" s="403" t="s">
        <v>1418</v>
      </c>
      <c r="E4611" s="403" t="s">
        <v>1412</v>
      </c>
      <c r="F4611" s="403" t="s">
        <v>1325</v>
      </c>
      <c r="G4611" s="403" t="s">
        <v>1467</v>
      </c>
      <c r="H4611" s="403" t="s">
        <v>1276</v>
      </c>
      <c r="I4611" s="403">
        <v>1</v>
      </c>
      <c r="J4611" s="403" t="s">
        <v>110</v>
      </c>
      <c r="K4611" s="403">
        <v>1080</v>
      </c>
      <c r="L4611" s="403">
        <v>1920</v>
      </c>
      <c r="M4611" s="403" t="s">
        <v>1283</v>
      </c>
      <c r="N4611" s="403">
        <v>576</v>
      </c>
      <c r="O4611" s="403">
        <v>720</v>
      </c>
      <c r="P4611" t="str">
        <f t="shared" si="577"/>
        <v>25fps 1080p - SD 4CIF resolution 4:3 format (cropped)</v>
      </c>
      <c r="Q4611">
        <f t="shared" si="578"/>
        <v>21</v>
      </c>
      <c r="R4611" t="str">
        <f t="shared" si="579"/>
        <v/>
      </c>
      <c r="S4611" t="str">
        <f t="shared" si="580"/>
        <v/>
      </c>
      <c r="T4611" s="403" t="str">
        <f t="shared" si="581"/>
        <v>NDE-8504-R</v>
      </c>
      <c r="U4611" s="403">
        <f t="shared" si="582"/>
        <v>1</v>
      </c>
      <c r="V4611" s="403" t="str">
        <f t="shared" si="583"/>
        <v>CPP_7_3</v>
      </c>
    </row>
    <row r="4612" spans="1:22">
      <c r="A4612" t="str">
        <f t="shared" si="576"/>
        <v>NDE-8504-R</v>
      </c>
      <c r="B4612" s="403" t="s">
        <v>1410</v>
      </c>
      <c r="C4612" s="403" t="s">
        <v>582</v>
      </c>
      <c r="D4612" s="403" t="s">
        <v>1418</v>
      </c>
      <c r="E4612" s="403" t="s">
        <v>1412</v>
      </c>
      <c r="F4612" s="403" t="s">
        <v>1325</v>
      </c>
      <c r="G4612" s="403" t="s">
        <v>1467</v>
      </c>
      <c r="H4612" s="403" t="s">
        <v>1276</v>
      </c>
      <c r="I4612" s="403">
        <v>1</v>
      </c>
      <c r="J4612" s="403" t="s">
        <v>110</v>
      </c>
      <c r="K4612" s="403">
        <v>1080</v>
      </c>
      <c r="L4612" s="403">
        <v>1920</v>
      </c>
      <c r="M4612" s="403" t="s">
        <v>1284</v>
      </c>
      <c r="N4612" s="403">
        <v>480</v>
      </c>
      <c r="O4612" s="403">
        <v>640</v>
      </c>
      <c r="P4612" t="str">
        <f t="shared" si="577"/>
        <v>25fps 1080p - SD VGA (cropped)</v>
      </c>
      <c r="Q4612">
        <f t="shared" si="578"/>
        <v>21</v>
      </c>
      <c r="R4612" t="str">
        <f t="shared" si="579"/>
        <v/>
      </c>
      <c r="S4612" t="str">
        <f t="shared" si="580"/>
        <v/>
      </c>
      <c r="T4612" s="403" t="str">
        <f t="shared" si="581"/>
        <v>NDE-8504-R</v>
      </c>
      <c r="U4612" s="403">
        <f t="shared" si="582"/>
        <v>1</v>
      </c>
      <c r="V4612" s="403" t="str">
        <f t="shared" si="583"/>
        <v>CPP_7_3</v>
      </c>
    </row>
    <row r="4613" spans="1:22">
      <c r="A4613" t="str">
        <f t="shared" si="576"/>
        <v>NDE-8504-R</v>
      </c>
      <c r="B4613" s="403" t="s">
        <v>1410</v>
      </c>
      <c r="C4613" s="403" t="s">
        <v>582</v>
      </c>
      <c r="D4613" s="403" t="s">
        <v>1418</v>
      </c>
      <c r="E4613" s="403" t="s">
        <v>1412</v>
      </c>
      <c r="F4613" s="403" t="s">
        <v>1325</v>
      </c>
      <c r="G4613" s="403" t="s">
        <v>1467</v>
      </c>
      <c r="H4613" s="403" t="s">
        <v>1276</v>
      </c>
      <c r="I4613" s="403">
        <v>1</v>
      </c>
      <c r="J4613" s="403" t="s">
        <v>109</v>
      </c>
      <c r="K4613" s="403">
        <v>720</v>
      </c>
      <c r="L4613" s="403">
        <v>1280</v>
      </c>
      <c r="M4613" s="403" t="s">
        <v>109</v>
      </c>
      <c r="N4613" s="403">
        <v>720</v>
      </c>
      <c r="O4613" s="403">
        <v>1280</v>
      </c>
      <c r="P4613" t="str">
        <f t="shared" si="577"/>
        <v>25fps 720p - 720p</v>
      </c>
      <c r="Q4613">
        <f t="shared" si="578"/>
        <v>21</v>
      </c>
      <c r="R4613" t="str">
        <f t="shared" si="579"/>
        <v/>
      </c>
      <c r="S4613" t="str">
        <f t="shared" si="580"/>
        <v/>
      </c>
      <c r="T4613" s="403" t="str">
        <f t="shared" si="581"/>
        <v>NDE-8504-R</v>
      </c>
      <c r="U4613" s="403">
        <f t="shared" si="582"/>
        <v>1</v>
      </c>
      <c r="V4613" s="403" t="str">
        <f t="shared" si="583"/>
        <v>CPP_7_3</v>
      </c>
    </row>
    <row r="4614" spans="1:22">
      <c r="A4614" t="str">
        <f t="shared" si="576"/>
        <v>NDE-8504-R</v>
      </c>
      <c r="B4614" s="403" t="s">
        <v>1410</v>
      </c>
      <c r="C4614" s="403" t="s">
        <v>582</v>
      </c>
      <c r="D4614" s="403" t="s">
        <v>1418</v>
      </c>
      <c r="E4614" s="403" t="s">
        <v>1412</v>
      </c>
      <c r="F4614" s="403" t="s">
        <v>1325</v>
      </c>
      <c r="G4614" s="403" t="s">
        <v>1467</v>
      </c>
      <c r="H4614" s="403" t="s">
        <v>1276</v>
      </c>
      <c r="I4614" s="403">
        <v>1</v>
      </c>
      <c r="J4614" s="403" t="s">
        <v>109</v>
      </c>
      <c r="K4614" s="403">
        <v>720</v>
      </c>
      <c r="L4614" s="403">
        <v>1280</v>
      </c>
      <c r="M4614" s="403" t="s">
        <v>111</v>
      </c>
      <c r="N4614" s="403">
        <v>432</v>
      </c>
      <c r="O4614" s="403">
        <v>768</v>
      </c>
      <c r="P4614" t="str">
        <f t="shared" si="577"/>
        <v>25fps 720p - SD</v>
      </c>
      <c r="Q4614">
        <f t="shared" si="578"/>
        <v>21</v>
      </c>
      <c r="R4614" t="str">
        <f t="shared" si="579"/>
        <v/>
      </c>
      <c r="S4614" t="str">
        <f t="shared" si="580"/>
        <v/>
      </c>
      <c r="T4614" s="403" t="str">
        <f t="shared" si="581"/>
        <v>NDE-8504-R</v>
      </c>
      <c r="U4614" s="403">
        <f t="shared" si="582"/>
        <v>1</v>
      </c>
      <c r="V4614" s="403" t="str">
        <f t="shared" si="583"/>
        <v>CPP_7_3</v>
      </c>
    </row>
    <row r="4615" spans="1:22">
      <c r="A4615" t="str">
        <f t="shared" si="576"/>
        <v>NDE-8504-R</v>
      </c>
      <c r="B4615" s="403" t="s">
        <v>1410</v>
      </c>
      <c r="C4615" s="403" t="s">
        <v>582</v>
      </c>
      <c r="D4615" s="403" t="s">
        <v>1418</v>
      </c>
      <c r="E4615" s="403" t="s">
        <v>1412</v>
      </c>
      <c r="F4615" s="403" t="s">
        <v>1325</v>
      </c>
      <c r="G4615" s="403" t="s">
        <v>1467</v>
      </c>
      <c r="H4615" s="403" t="s">
        <v>1276</v>
      </c>
      <c r="I4615" s="403">
        <v>1</v>
      </c>
      <c r="J4615" s="403" t="s">
        <v>109</v>
      </c>
      <c r="K4615" s="403">
        <v>720</v>
      </c>
      <c r="L4615" s="403">
        <v>1280</v>
      </c>
      <c r="M4615" s="403" t="s">
        <v>1279</v>
      </c>
      <c r="N4615" s="403">
        <v>432</v>
      </c>
      <c r="O4615" s="403">
        <v>768</v>
      </c>
      <c r="P4615" t="str">
        <f t="shared" si="577"/>
        <v>25fps 720p - SD ROI PTZ</v>
      </c>
      <c r="Q4615">
        <f t="shared" si="578"/>
        <v>21</v>
      </c>
      <c r="R4615" t="str">
        <f t="shared" si="579"/>
        <v/>
      </c>
      <c r="S4615" t="str">
        <f t="shared" si="580"/>
        <v/>
      </c>
      <c r="T4615" s="403" t="str">
        <f t="shared" si="581"/>
        <v>NDE-8504-R</v>
      </c>
      <c r="U4615" s="403">
        <f t="shared" si="582"/>
        <v>1</v>
      </c>
      <c r="V4615" s="403" t="str">
        <f t="shared" si="583"/>
        <v>CPP_7_3</v>
      </c>
    </row>
    <row r="4616" spans="1:22">
      <c r="A4616" t="str">
        <f t="shared" si="576"/>
        <v>NDE-8504-R</v>
      </c>
      <c r="B4616" s="403" t="s">
        <v>1410</v>
      </c>
      <c r="C4616" s="403" t="s">
        <v>582</v>
      </c>
      <c r="D4616" s="403" t="s">
        <v>1418</v>
      </c>
      <c r="E4616" s="403" t="s">
        <v>1412</v>
      </c>
      <c r="F4616" s="403" t="s">
        <v>1325</v>
      </c>
      <c r="G4616" s="403" t="s">
        <v>1467</v>
      </c>
      <c r="H4616" s="403" t="s">
        <v>1276</v>
      </c>
      <c r="I4616" s="403">
        <v>1</v>
      </c>
      <c r="J4616" s="403" t="s">
        <v>109</v>
      </c>
      <c r="K4616" s="403">
        <v>720</v>
      </c>
      <c r="L4616" s="403">
        <v>1280</v>
      </c>
      <c r="M4616" s="403" t="s">
        <v>1283</v>
      </c>
      <c r="N4616" s="403">
        <v>576</v>
      </c>
      <c r="O4616" s="403">
        <v>720</v>
      </c>
      <c r="P4616" t="str">
        <f t="shared" si="577"/>
        <v>25fps 720p - SD 4CIF resolution 4:3 format (cropped)</v>
      </c>
      <c r="Q4616">
        <f t="shared" si="578"/>
        <v>21</v>
      </c>
      <c r="R4616" t="str">
        <f t="shared" si="579"/>
        <v/>
      </c>
      <c r="S4616" t="str">
        <f t="shared" si="580"/>
        <v/>
      </c>
      <c r="T4616" s="403" t="str">
        <f t="shared" si="581"/>
        <v>NDE-8504-R</v>
      </c>
      <c r="U4616" s="403">
        <f t="shared" si="582"/>
        <v>1</v>
      </c>
      <c r="V4616" s="403" t="str">
        <f t="shared" si="583"/>
        <v>CPP_7_3</v>
      </c>
    </row>
    <row r="4617" spans="1:22">
      <c r="A4617" t="str">
        <f t="shared" si="576"/>
        <v>NDE-8504-R</v>
      </c>
      <c r="B4617" s="403" t="s">
        <v>1410</v>
      </c>
      <c r="C4617" s="403" t="s">
        <v>582</v>
      </c>
      <c r="D4617" s="403" t="s">
        <v>1418</v>
      </c>
      <c r="E4617" s="403" t="s">
        <v>1412</v>
      </c>
      <c r="F4617" s="403" t="s">
        <v>1325</v>
      </c>
      <c r="G4617" s="403" t="s">
        <v>1467</v>
      </c>
      <c r="H4617" s="403" t="s">
        <v>1276</v>
      </c>
      <c r="I4617" s="403">
        <v>1</v>
      </c>
      <c r="J4617" s="403" t="s">
        <v>109</v>
      </c>
      <c r="K4617" s="403">
        <v>720</v>
      </c>
      <c r="L4617" s="403">
        <v>1280</v>
      </c>
      <c r="M4617" s="403" t="s">
        <v>1284</v>
      </c>
      <c r="N4617" s="403">
        <v>480</v>
      </c>
      <c r="O4617" s="403">
        <v>640</v>
      </c>
      <c r="P4617" t="str">
        <f t="shared" si="577"/>
        <v>25fps 720p - SD VGA (cropped)</v>
      </c>
      <c r="Q4617">
        <f t="shared" si="578"/>
        <v>21</v>
      </c>
      <c r="R4617" t="str">
        <f t="shared" si="579"/>
        <v/>
      </c>
      <c r="S4617" t="str">
        <f t="shared" si="580"/>
        <v/>
      </c>
      <c r="T4617" s="403" t="str">
        <f t="shared" si="581"/>
        <v>NDE-8504-R</v>
      </c>
      <c r="U4617" s="403">
        <f t="shared" si="582"/>
        <v>1</v>
      </c>
      <c r="V4617" s="403" t="str">
        <f t="shared" si="583"/>
        <v>CPP_7_3</v>
      </c>
    </row>
    <row r="4618" spans="1:22">
      <c r="A4618" t="str">
        <f t="shared" si="576"/>
        <v>NDE-8504-R</v>
      </c>
      <c r="B4618" s="403" t="s">
        <v>1410</v>
      </c>
      <c r="C4618" s="403" t="s">
        <v>582</v>
      </c>
      <c r="D4618" s="403" t="s">
        <v>1418</v>
      </c>
      <c r="E4618" s="403" t="s">
        <v>1412</v>
      </c>
      <c r="F4618" s="403" t="s">
        <v>1325</v>
      </c>
      <c r="G4618" s="403" t="s">
        <v>1467</v>
      </c>
      <c r="H4618" s="403" t="s">
        <v>1281</v>
      </c>
      <c r="I4618" s="403">
        <v>1</v>
      </c>
      <c r="J4618" s="403" t="s">
        <v>194</v>
      </c>
      <c r="K4618" s="403">
        <v>2160</v>
      </c>
      <c r="L4618" s="403">
        <v>3840</v>
      </c>
      <c r="M4618" s="403" t="s">
        <v>111</v>
      </c>
      <c r="N4618" s="403">
        <v>432</v>
      </c>
      <c r="O4618" s="403">
        <v>768</v>
      </c>
      <c r="P4618" t="str">
        <f t="shared" si="577"/>
        <v>25fps 3840x2160 - SD</v>
      </c>
      <c r="Q4618">
        <f t="shared" si="578"/>
        <v>21</v>
      </c>
      <c r="R4618" t="str">
        <f t="shared" si="579"/>
        <v/>
      </c>
      <c r="S4618" t="str">
        <f t="shared" si="580"/>
        <v/>
      </c>
      <c r="T4618" s="403" t="str">
        <f t="shared" si="581"/>
        <v>NDE-8504-R</v>
      </c>
      <c r="U4618" s="403">
        <f t="shared" si="582"/>
        <v>1</v>
      </c>
      <c r="V4618" s="403" t="str">
        <f t="shared" si="583"/>
        <v>CPP_7_3</v>
      </c>
    </row>
    <row r="4619" spans="1:22">
      <c r="A4619" t="str">
        <f t="shared" si="576"/>
        <v>NDE-8504-R</v>
      </c>
      <c r="B4619" s="403" t="s">
        <v>1410</v>
      </c>
      <c r="C4619" s="403" t="s">
        <v>582</v>
      </c>
      <c r="D4619" s="403" t="s">
        <v>1418</v>
      </c>
      <c r="E4619" s="403" t="s">
        <v>1412</v>
      </c>
      <c r="F4619" s="403" t="s">
        <v>1325</v>
      </c>
      <c r="G4619" s="403" t="s">
        <v>1467</v>
      </c>
      <c r="H4619" s="403" t="s">
        <v>1281</v>
      </c>
      <c r="I4619" s="403">
        <v>1</v>
      </c>
      <c r="J4619" s="403" t="s">
        <v>194</v>
      </c>
      <c r="K4619" s="403">
        <v>2160</v>
      </c>
      <c r="L4619" s="403">
        <v>3840</v>
      </c>
      <c r="M4619" s="403" t="s">
        <v>1280</v>
      </c>
      <c r="N4619" s="403">
        <v>2160</v>
      </c>
      <c r="O4619" s="403">
        <v>3840</v>
      </c>
      <c r="P4619" t="str">
        <f t="shared" si="577"/>
        <v>25fps 3840x2160 - copy other stream</v>
      </c>
      <c r="Q4619">
        <f t="shared" si="578"/>
        <v>21</v>
      </c>
      <c r="R4619" t="str">
        <f t="shared" si="579"/>
        <v/>
      </c>
      <c r="S4619" t="str">
        <f t="shared" si="580"/>
        <v/>
      </c>
      <c r="T4619" s="403" t="str">
        <f t="shared" si="581"/>
        <v>NDE-8504-R</v>
      </c>
      <c r="U4619" s="403">
        <f t="shared" si="582"/>
        <v>1</v>
      </c>
      <c r="V4619" s="403" t="str">
        <f t="shared" si="583"/>
        <v>CPP_7_3</v>
      </c>
    </row>
    <row r="4620" spans="1:22">
      <c r="A4620" t="str">
        <f t="shared" si="576"/>
        <v>NDE-8504-R</v>
      </c>
      <c r="B4620" s="403" t="s">
        <v>1410</v>
      </c>
      <c r="C4620" s="403" t="s">
        <v>582</v>
      </c>
      <c r="D4620" s="403" t="s">
        <v>1418</v>
      </c>
      <c r="E4620" s="403" t="s">
        <v>1412</v>
      </c>
      <c r="F4620" s="403" t="s">
        <v>1325</v>
      </c>
      <c r="G4620" s="403" t="s">
        <v>1467</v>
      </c>
      <c r="H4620" s="403" t="s">
        <v>1281</v>
      </c>
      <c r="I4620" s="403">
        <v>1</v>
      </c>
      <c r="J4620" s="403" t="s">
        <v>194</v>
      </c>
      <c r="K4620" s="403">
        <v>2160</v>
      </c>
      <c r="L4620" s="403">
        <v>3840</v>
      </c>
      <c r="M4620" s="403" t="s">
        <v>1283</v>
      </c>
      <c r="N4620" s="403">
        <v>576</v>
      </c>
      <c r="O4620" s="403">
        <v>720</v>
      </c>
      <c r="P4620" t="str">
        <f t="shared" si="577"/>
        <v>25fps 3840x2160 - SD 4CIF resolution 4:3 format (cropped)</v>
      </c>
      <c r="Q4620">
        <f t="shared" si="578"/>
        <v>21</v>
      </c>
      <c r="R4620" t="str">
        <f t="shared" si="579"/>
        <v/>
      </c>
      <c r="S4620" t="str">
        <f t="shared" si="580"/>
        <v/>
      </c>
      <c r="T4620" s="403" t="str">
        <f t="shared" si="581"/>
        <v>NDE-8504-R</v>
      </c>
      <c r="U4620" s="403">
        <f t="shared" si="582"/>
        <v>1</v>
      </c>
      <c r="V4620" s="403" t="str">
        <f t="shared" si="583"/>
        <v>CPP_7_3</v>
      </c>
    </row>
    <row r="4621" spans="1:22">
      <c r="A4621" t="str">
        <f t="shared" si="576"/>
        <v>NDE-8504-R</v>
      </c>
      <c r="B4621" s="403" t="s">
        <v>1410</v>
      </c>
      <c r="C4621" s="403" t="s">
        <v>582</v>
      </c>
      <c r="D4621" s="403" t="s">
        <v>1418</v>
      </c>
      <c r="E4621" s="403" t="s">
        <v>1412</v>
      </c>
      <c r="F4621" s="403" t="s">
        <v>1325</v>
      </c>
      <c r="G4621" s="403" t="s">
        <v>1467</v>
      </c>
      <c r="H4621" s="403" t="s">
        <v>1281</v>
      </c>
      <c r="I4621" s="403">
        <v>1</v>
      </c>
      <c r="J4621" s="403" t="s">
        <v>194</v>
      </c>
      <c r="K4621" s="403">
        <v>2160</v>
      </c>
      <c r="L4621" s="403">
        <v>3840</v>
      </c>
      <c r="M4621" s="403" t="s">
        <v>1284</v>
      </c>
      <c r="N4621" s="403">
        <v>480</v>
      </c>
      <c r="O4621" s="403">
        <v>640</v>
      </c>
      <c r="P4621" t="str">
        <f t="shared" si="577"/>
        <v>25fps 3840x2160 - SD VGA (cropped)</v>
      </c>
      <c r="Q4621">
        <f t="shared" si="578"/>
        <v>21</v>
      </c>
      <c r="R4621" t="str">
        <f t="shared" si="579"/>
        <v/>
      </c>
      <c r="S4621" t="str">
        <f t="shared" si="580"/>
        <v/>
      </c>
      <c r="T4621" s="403" t="str">
        <f t="shared" si="581"/>
        <v>NDE-8504-R</v>
      </c>
      <c r="U4621" s="403">
        <f t="shared" si="582"/>
        <v>1</v>
      </c>
      <c r="V4621" s="403" t="str">
        <f t="shared" si="583"/>
        <v>CPP_7_3</v>
      </c>
    </row>
    <row r="4622" spans="1:22">
      <c r="A4622" t="str">
        <f t="shared" si="576"/>
        <v>NDE-8504-R</v>
      </c>
      <c r="B4622" s="403" t="s">
        <v>1410</v>
      </c>
      <c r="C4622" s="403" t="s">
        <v>582</v>
      </c>
      <c r="D4622" s="403" t="s">
        <v>1418</v>
      </c>
      <c r="E4622" s="403" t="s">
        <v>1412</v>
      </c>
      <c r="F4622" s="403" t="s">
        <v>1325</v>
      </c>
      <c r="G4622" s="403" t="s">
        <v>1467</v>
      </c>
      <c r="H4622" s="403" t="s">
        <v>1281</v>
      </c>
      <c r="I4622" s="403">
        <v>1</v>
      </c>
      <c r="J4622" s="403" t="s">
        <v>1324</v>
      </c>
      <c r="K4622" s="403">
        <v>2016</v>
      </c>
      <c r="L4622" s="403">
        <v>3584</v>
      </c>
      <c r="M4622" s="403" t="s">
        <v>111</v>
      </c>
      <c r="N4622" s="403">
        <v>432</v>
      </c>
      <c r="O4622" s="403">
        <v>768</v>
      </c>
      <c r="P4622" t="str">
        <f t="shared" si="577"/>
        <v>25fps 3584x2016 - SD</v>
      </c>
      <c r="Q4622">
        <f t="shared" si="578"/>
        <v>21</v>
      </c>
      <c r="R4622" t="str">
        <f t="shared" si="579"/>
        <v/>
      </c>
      <c r="S4622" t="str">
        <f t="shared" si="580"/>
        <v/>
      </c>
      <c r="T4622" s="403" t="str">
        <f t="shared" si="581"/>
        <v>NDE-8504-R</v>
      </c>
      <c r="U4622" s="403">
        <f t="shared" si="582"/>
        <v>1</v>
      </c>
      <c r="V4622" s="403" t="str">
        <f t="shared" si="583"/>
        <v>CPP_7_3</v>
      </c>
    </row>
    <row r="4623" spans="1:22">
      <c r="A4623" t="str">
        <f t="shared" si="576"/>
        <v>NDE-8504-R</v>
      </c>
      <c r="B4623" s="403" t="s">
        <v>1410</v>
      </c>
      <c r="C4623" s="403" t="s">
        <v>582</v>
      </c>
      <c r="D4623" s="403" t="s">
        <v>1418</v>
      </c>
      <c r="E4623" s="403" t="s">
        <v>1412</v>
      </c>
      <c r="F4623" s="403" t="s">
        <v>1325</v>
      </c>
      <c r="G4623" s="403" t="s">
        <v>1467</v>
      </c>
      <c r="H4623" s="403" t="s">
        <v>1281</v>
      </c>
      <c r="I4623" s="403">
        <v>1</v>
      </c>
      <c r="J4623" s="403" t="s">
        <v>1324</v>
      </c>
      <c r="K4623" s="403">
        <v>2016</v>
      </c>
      <c r="L4623" s="403">
        <v>3584</v>
      </c>
      <c r="M4623" s="403" t="s">
        <v>1280</v>
      </c>
      <c r="N4623" s="403">
        <v>2016</v>
      </c>
      <c r="O4623" s="403">
        <v>3584</v>
      </c>
      <c r="P4623" t="str">
        <f t="shared" si="577"/>
        <v>25fps 3584x2016 - copy other stream</v>
      </c>
      <c r="Q4623">
        <f t="shared" si="578"/>
        <v>21</v>
      </c>
      <c r="R4623" t="str">
        <f t="shared" si="579"/>
        <v/>
      </c>
      <c r="S4623" t="str">
        <f t="shared" si="580"/>
        <v/>
      </c>
      <c r="T4623" s="403" t="str">
        <f t="shared" si="581"/>
        <v>NDE-8504-R</v>
      </c>
      <c r="U4623" s="403">
        <f t="shared" si="582"/>
        <v>1</v>
      </c>
      <c r="V4623" s="403" t="str">
        <f t="shared" si="583"/>
        <v>CPP_7_3</v>
      </c>
    </row>
    <row r="4624" spans="1:22">
      <c r="A4624" t="str">
        <f t="shared" si="576"/>
        <v>NDE-8504-R</v>
      </c>
      <c r="B4624" s="403" t="s">
        <v>1410</v>
      </c>
      <c r="C4624" s="403" t="s">
        <v>582</v>
      </c>
      <c r="D4624" s="403" t="s">
        <v>1418</v>
      </c>
      <c r="E4624" s="403" t="s">
        <v>1412</v>
      </c>
      <c r="F4624" s="403" t="s">
        <v>1325</v>
      </c>
      <c r="G4624" s="403" t="s">
        <v>1467</v>
      </c>
      <c r="H4624" s="403" t="s">
        <v>1281</v>
      </c>
      <c r="I4624" s="403">
        <v>1</v>
      </c>
      <c r="J4624" s="403" t="s">
        <v>1324</v>
      </c>
      <c r="K4624" s="403">
        <v>2016</v>
      </c>
      <c r="L4624" s="403">
        <v>3584</v>
      </c>
      <c r="M4624" s="403" t="s">
        <v>1364</v>
      </c>
      <c r="N4624" s="403">
        <v>2016</v>
      </c>
      <c r="O4624" s="403">
        <v>3584</v>
      </c>
      <c r="P4624" t="str">
        <f t="shared" si="577"/>
        <v>25fps 3584x2016 - 3584x2016 @ SKIP6</v>
      </c>
      <c r="Q4624">
        <f t="shared" si="578"/>
        <v>21</v>
      </c>
      <c r="R4624" t="str">
        <f t="shared" si="579"/>
        <v/>
      </c>
      <c r="S4624" t="str">
        <f t="shared" si="580"/>
        <v/>
      </c>
      <c r="T4624" s="403" t="str">
        <f t="shared" si="581"/>
        <v>NDE-8504-R</v>
      </c>
      <c r="U4624" s="403">
        <f t="shared" si="582"/>
        <v>1</v>
      </c>
      <c r="V4624" s="403" t="str">
        <f t="shared" si="583"/>
        <v>CPP_7_3</v>
      </c>
    </row>
    <row r="4625" spans="1:22">
      <c r="A4625" t="str">
        <f t="shared" si="576"/>
        <v>NDE-8504-R</v>
      </c>
      <c r="B4625" s="403" t="s">
        <v>1410</v>
      </c>
      <c r="C4625" s="403" t="s">
        <v>582</v>
      </c>
      <c r="D4625" s="403" t="s">
        <v>1418</v>
      </c>
      <c r="E4625" s="403" t="s">
        <v>1412</v>
      </c>
      <c r="F4625" s="403" t="s">
        <v>1325</v>
      </c>
      <c r="G4625" s="403" t="s">
        <v>1467</v>
      </c>
      <c r="H4625" s="403" t="s">
        <v>1281</v>
      </c>
      <c r="I4625" s="403">
        <v>1</v>
      </c>
      <c r="J4625" s="403" t="s">
        <v>1324</v>
      </c>
      <c r="K4625" s="403">
        <v>2016</v>
      </c>
      <c r="L4625" s="403">
        <v>3584</v>
      </c>
      <c r="M4625" s="403" t="s">
        <v>109</v>
      </c>
      <c r="N4625" s="403">
        <v>720</v>
      </c>
      <c r="O4625" s="403">
        <v>1280</v>
      </c>
      <c r="P4625" t="str">
        <f t="shared" si="577"/>
        <v>25fps 3584x2016 - 720p</v>
      </c>
      <c r="Q4625">
        <f t="shared" si="578"/>
        <v>21</v>
      </c>
      <c r="R4625" t="str">
        <f t="shared" si="579"/>
        <v/>
      </c>
      <c r="S4625" t="str">
        <f t="shared" si="580"/>
        <v/>
      </c>
      <c r="T4625" s="403" t="str">
        <f t="shared" si="581"/>
        <v>NDE-8504-R</v>
      </c>
      <c r="U4625" s="403">
        <f t="shared" si="582"/>
        <v>1</v>
      </c>
      <c r="V4625" s="403" t="str">
        <f t="shared" si="583"/>
        <v>CPP_7_3</v>
      </c>
    </row>
    <row r="4626" spans="1:22">
      <c r="A4626" t="str">
        <f t="shared" si="576"/>
        <v>NDE-8504-R</v>
      </c>
      <c r="B4626" s="403" t="s">
        <v>1410</v>
      </c>
      <c r="C4626" s="403" t="s">
        <v>582</v>
      </c>
      <c r="D4626" s="403" t="s">
        <v>1418</v>
      </c>
      <c r="E4626" s="403" t="s">
        <v>1412</v>
      </c>
      <c r="F4626" s="403" t="s">
        <v>1325</v>
      </c>
      <c r="G4626" s="403" t="s">
        <v>1467</v>
      </c>
      <c r="H4626" s="403" t="s">
        <v>1281</v>
      </c>
      <c r="I4626" s="403">
        <v>1</v>
      </c>
      <c r="J4626" s="403" t="s">
        <v>1324</v>
      </c>
      <c r="K4626" s="403">
        <v>2016</v>
      </c>
      <c r="L4626" s="403">
        <v>3584</v>
      </c>
      <c r="M4626" s="403" t="s">
        <v>1283</v>
      </c>
      <c r="N4626" s="403">
        <v>576</v>
      </c>
      <c r="O4626" s="403">
        <v>720</v>
      </c>
      <c r="P4626" t="str">
        <f t="shared" si="577"/>
        <v>25fps 3584x2016 - SD 4CIF resolution 4:3 format (cropped)</v>
      </c>
      <c r="Q4626">
        <f t="shared" si="578"/>
        <v>21</v>
      </c>
      <c r="R4626" t="str">
        <f t="shared" si="579"/>
        <v/>
      </c>
      <c r="S4626" t="str">
        <f t="shared" si="580"/>
        <v/>
      </c>
      <c r="T4626" s="403" t="str">
        <f t="shared" si="581"/>
        <v>NDE-8504-R</v>
      </c>
      <c r="U4626" s="403">
        <f t="shared" si="582"/>
        <v>1</v>
      </c>
      <c r="V4626" s="403" t="str">
        <f t="shared" si="583"/>
        <v>CPP_7_3</v>
      </c>
    </row>
    <row r="4627" spans="1:22">
      <c r="A4627" t="str">
        <f t="shared" si="576"/>
        <v>NDE-8504-R</v>
      </c>
      <c r="B4627" s="403" t="s">
        <v>1410</v>
      </c>
      <c r="C4627" s="403" t="s">
        <v>582</v>
      </c>
      <c r="D4627" s="403" t="s">
        <v>1418</v>
      </c>
      <c r="E4627" s="403" t="s">
        <v>1412</v>
      </c>
      <c r="F4627" s="403" t="s">
        <v>1325</v>
      </c>
      <c r="G4627" s="403" t="s">
        <v>1467</v>
      </c>
      <c r="H4627" s="403" t="s">
        <v>1281</v>
      </c>
      <c r="I4627" s="403">
        <v>1</v>
      </c>
      <c r="J4627" s="403" t="s">
        <v>1324</v>
      </c>
      <c r="K4627" s="403">
        <v>2016</v>
      </c>
      <c r="L4627" s="403">
        <v>3584</v>
      </c>
      <c r="M4627" s="403" t="s">
        <v>1279</v>
      </c>
      <c r="N4627" s="403">
        <v>432</v>
      </c>
      <c r="O4627" s="403">
        <v>768</v>
      </c>
      <c r="P4627" t="str">
        <f t="shared" si="577"/>
        <v>25fps 3584x2016 - SD ROI PTZ</v>
      </c>
      <c r="Q4627">
        <f t="shared" si="578"/>
        <v>21</v>
      </c>
      <c r="R4627" t="str">
        <f t="shared" si="579"/>
        <v/>
      </c>
      <c r="S4627" t="str">
        <f t="shared" si="580"/>
        <v/>
      </c>
      <c r="T4627" s="403" t="str">
        <f t="shared" si="581"/>
        <v>NDE-8504-R</v>
      </c>
      <c r="U4627" s="403">
        <f t="shared" si="582"/>
        <v>1</v>
      </c>
      <c r="V4627" s="403" t="str">
        <f t="shared" si="583"/>
        <v>CPP_7_3</v>
      </c>
    </row>
    <row r="4628" spans="1:22">
      <c r="A4628" t="str">
        <f t="shared" si="576"/>
        <v>NDE-8504-R</v>
      </c>
      <c r="B4628" s="403" t="s">
        <v>1410</v>
      </c>
      <c r="C4628" s="403" t="s">
        <v>582</v>
      </c>
      <c r="D4628" s="403" t="s">
        <v>1418</v>
      </c>
      <c r="E4628" s="403" t="s">
        <v>1412</v>
      </c>
      <c r="F4628" s="403" t="s">
        <v>1325</v>
      </c>
      <c r="G4628" s="403" t="s">
        <v>1467</v>
      </c>
      <c r="H4628" s="403" t="s">
        <v>1281</v>
      </c>
      <c r="I4628" s="403">
        <v>1</v>
      </c>
      <c r="J4628" s="403" t="s">
        <v>1324</v>
      </c>
      <c r="K4628" s="403">
        <v>2016</v>
      </c>
      <c r="L4628" s="403">
        <v>3584</v>
      </c>
      <c r="M4628" s="403" t="s">
        <v>1284</v>
      </c>
      <c r="N4628" s="403">
        <v>480</v>
      </c>
      <c r="O4628" s="403">
        <v>640</v>
      </c>
      <c r="P4628" t="str">
        <f t="shared" si="577"/>
        <v>25fps 3584x2016 - SD VGA (cropped)</v>
      </c>
      <c r="Q4628">
        <f t="shared" si="578"/>
        <v>21</v>
      </c>
      <c r="R4628" t="str">
        <f t="shared" si="579"/>
        <v/>
      </c>
      <c r="S4628" t="str">
        <f t="shared" si="580"/>
        <v/>
      </c>
      <c r="T4628" s="403" t="str">
        <f t="shared" si="581"/>
        <v>NDE-8504-R</v>
      </c>
      <c r="U4628" s="403">
        <f t="shared" si="582"/>
        <v>1</v>
      </c>
      <c r="V4628" s="403" t="str">
        <f t="shared" si="583"/>
        <v>CPP_7_3</v>
      </c>
    </row>
    <row r="4629" spans="1:22">
      <c r="A4629" t="str">
        <f t="shared" si="576"/>
        <v>NDE-8504-R</v>
      </c>
      <c r="B4629" s="403" t="s">
        <v>1410</v>
      </c>
      <c r="C4629" s="403" t="s">
        <v>582</v>
      </c>
      <c r="D4629" s="403" t="s">
        <v>1418</v>
      </c>
      <c r="E4629" s="403" t="s">
        <v>1412</v>
      </c>
      <c r="F4629" s="403" t="s">
        <v>1325</v>
      </c>
      <c r="G4629" s="403" t="s">
        <v>1467</v>
      </c>
      <c r="H4629" s="403" t="s">
        <v>1281</v>
      </c>
      <c r="I4629" s="403">
        <v>1</v>
      </c>
      <c r="J4629" s="403" t="s">
        <v>1324</v>
      </c>
      <c r="K4629" s="403">
        <v>2016</v>
      </c>
      <c r="L4629" s="403">
        <v>3584</v>
      </c>
      <c r="M4629" s="403" t="s">
        <v>1285</v>
      </c>
      <c r="N4629" s="403">
        <v>1024</v>
      </c>
      <c r="O4629" s="403">
        <v>1280</v>
      </c>
      <c r="P4629" t="str">
        <f t="shared" si="577"/>
        <v>25fps 3584x2016 - 1280x1024 5:4 (cropped)</v>
      </c>
      <c r="Q4629">
        <f t="shared" si="578"/>
        <v>21</v>
      </c>
      <c r="R4629" t="str">
        <f t="shared" si="579"/>
        <v/>
      </c>
      <c r="S4629" t="str">
        <f t="shared" si="580"/>
        <v/>
      </c>
      <c r="T4629" s="403" t="str">
        <f t="shared" si="581"/>
        <v>NDE-8504-R</v>
      </c>
      <c r="U4629" s="403">
        <f t="shared" si="582"/>
        <v>1</v>
      </c>
      <c r="V4629" s="403" t="str">
        <f t="shared" si="583"/>
        <v>CPP_7_3</v>
      </c>
    </row>
    <row r="4630" spans="1:22">
      <c r="A4630" t="str">
        <f t="shared" si="576"/>
        <v>NDE-8504-R</v>
      </c>
      <c r="B4630" s="403" t="s">
        <v>1410</v>
      </c>
      <c r="C4630" s="403" t="s">
        <v>582</v>
      </c>
      <c r="D4630" s="403" t="s">
        <v>1418</v>
      </c>
      <c r="E4630" s="403" t="s">
        <v>1412</v>
      </c>
      <c r="F4630" s="403" t="s">
        <v>1325</v>
      </c>
      <c r="G4630" s="403" t="s">
        <v>1467</v>
      </c>
      <c r="H4630" s="403" t="s">
        <v>1281</v>
      </c>
      <c r="I4630" s="403">
        <v>1</v>
      </c>
      <c r="J4630" s="403" t="s">
        <v>110</v>
      </c>
      <c r="K4630" s="403">
        <v>1080</v>
      </c>
      <c r="L4630" s="403">
        <v>1920</v>
      </c>
      <c r="M4630" s="403" t="s">
        <v>111</v>
      </c>
      <c r="N4630" s="403">
        <v>432</v>
      </c>
      <c r="O4630" s="403">
        <v>768</v>
      </c>
      <c r="P4630" t="str">
        <f t="shared" si="577"/>
        <v>25fps 1080p - SD</v>
      </c>
      <c r="Q4630">
        <f t="shared" si="578"/>
        <v>21</v>
      </c>
      <c r="R4630" t="str">
        <f t="shared" si="579"/>
        <v/>
      </c>
      <c r="S4630" t="str">
        <f t="shared" si="580"/>
        <v/>
      </c>
      <c r="T4630" s="403" t="str">
        <f t="shared" si="581"/>
        <v>NDE-8504-R</v>
      </c>
      <c r="U4630" s="403">
        <f t="shared" si="582"/>
        <v>1</v>
      </c>
      <c r="V4630" s="403" t="str">
        <f t="shared" si="583"/>
        <v>CPP_7_3</v>
      </c>
    </row>
    <row r="4631" spans="1:22">
      <c r="A4631" t="str">
        <f t="shared" si="576"/>
        <v>NDE-8504-R</v>
      </c>
      <c r="B4631" s="403" t="s">
        <v>1410</v>
      </c>
      <c r="C4631" s="403" t="s">
        <v>582</v>
      </c>
      <c r="D4631" s="403" t="s">
        <v>1418</v>
      </c>
      <c r="E4631" s="403" t="s">
        <v>1412</v>
      </c>
      <c r="F4631" s="403" t="s">
        <v>1325</v>
      </c>
      <c r="G4631" s="403" t="s">
        <v>1467</v>
      </c>
      <c r="H4631" s="403" t="s">
        <v>1281</v>
      </c>
      <c r="I4631" s="403">
        <v>1</v>
      </c>
      <c r="J4631" s="403" t="s">
        <v>110</v>
      </c>
      <c r="K4631" s="403">
        <v>1080</v>
      </c>
      <c r="L4631" s="403">
        <v>1920</v>
      </c>
      <c r="M4631" s="403" t="s">
        <v>110</v>
      </c>
      <c r="N4631" s="403">
        <v>1080</v>
      </c>
      <c r="O4631" s="403">
        <v>1920</v>
      </c>
      <c r="P4631" t="str">
        <f t="shared" si="577"/>
        <v>25fps 1080p - 1080p</v>
      </c>
      <c r="Q4631">
        <f t="shared" si="578"/>
        <v>21</v>
      </c>
      <c r="R4631" t="str">
        <f t="shared" si="579"/>
        <v/>
      </c>
      <c r="S4631" t="str">
        <f t="shared" si="580"/>
        <v/>
      </c>
      <c r="T4631" s="403" t="str">
        <f t="shared" si="581"/>
        <v>NDE-8504-R</v>
      </c>
      <c r="U4631" s="403">
        <f t="shared" si="582"/>
        <v>1</v>
      </c>
      <c r="V4631" s="403" t="str">
        <f t="shared" si="583"/>
        <v>CPP_7_3</v>
      </c>
    </row>
    <row r="4632" spans="1:22">
      <c r="A4632" t="str">
        <f t="shared" si="576"/>
        <v>NDE-8504-R</v>
      </c>
      <c r="B4632" s="403" t="s">
        <v>1410</v>
      </c>
      <c r="C4632" s="403" t="s">
        <v>582</v>
      </c>
      <c r="D4632" s="403" t="s">
        <v>1418</v>
      </c>
      <c r="E4632" s="403" t="s">
        <v>1412</v>
      </c>
      <c r="F4632" s="403" t="s">
        <v>1325</v>
      </c>
      <c r="G4632" s="403" t="s">
        <v>1467</v>
      </c>
      <c r="H4632" s="403" t="s">
        <v>1281</v>
      </c>
      <c r="I4632" s="403">
        <v>1</v>
      </c>
      <c r="J4632" s="403" t="s">
        <v>110</v>
      </c>
      <c r="K4632" s="403">
        <v>1080</v>
      </c>
      <c r="L4632" s="403">
        <v>1920</v>
      </c>
      <c r="M4632" s="403" t="s">
        <v>109</v>
      </c>
      <c r="N4632" s="403">
        <v>720</v>
      </c>
      <c r="O4632" s="403">
        <v>1280</v>
      </c>
      <c r="P4632" t="str">
        <f t="shared" si="577"/>
        <v>25fps 1080p - 720p</v>
      </c>
      <c r="Q4632">
        <f t="shared" si="578"/>
        <v>21</v>
      </c>
      <c r="R4632" t="str">
        <f t="shared" si="579"/>
        <v/>
      </c>
      <c r="S4632" t="str">
        <f t="shared" si="580"/>
        <v/>
      </c>
      <c r="T4632" s="403" t="str">
        <f t="shared" si="581"/>
        <v>NDE-8504-R</v>
      </c>
      <c r="U4632" s="403">
        <f t="shared" si="582"/>
        <v>1</v>
      </c>
      <c r="V4632" s="403" t="str">
        <f t="shared" si="583"/>
        <v>CPP_7_3</v>
      </c>
    </row>
    <row r="4633" spans="1:22">
      <c r="A4633" t="str">
        <f t="shared" si="576"/>
        <v>NDE-8504-R</v>
      </c>
      <c r="B4633" s="403" t="s">
        <v>1410</v>
      </c>
      <c r="C4633" s="403" t="s">
        <v>582</v>
      </c>
      <c r="D4633" s="403" t="s">
        <v>1418</v>
      </c>
      <c r="E4633" s="403" t="s">
        <v>1412</v>
      </c>
      <c r="F4633" s="403" t="s">
        <v>1325</v>
      </c>
      <c r="G4633" s="403" t="s">
        <v>1467</v>
      </c>
      <c r="H4633" s="403" t="s">
        <v>1281</v>
      </c>
      <c r="I4633" s="403">
        <v>1</v>
      </c>
      <c r="J4633" s="403" t="s">
        <v>110</v>
      </c>
      <c r="K4633" s="403">
        <v>1080</v>
      </c>
      <c r="L4633" s="403">
        <v>1920</v>
      </c>
      <c r="M4633" s="403" t="s">
        <v>1285</v>
      </c>
      <c r="N4633" s="403">
        <v>1024</v>
      </c>
      <c r="O4633" s="403">
        <v>1280</v>
      </c>
      <c r="P4633" t="str">
        <f t="shared" si="577"/>
        <v>25fps 1080p - 1280x1024 5:4 (cropped)</v>
      </c>
      <c r="Q4633">
        <f t="shared" si="578"/>
        <v>21</v>
      </c>
      <c r="R4633" t="str">
        <f t="shared" si="579"/>
        <v/>
      </c>
      <c r="S4633" t="str">
        <f t="shared" si="580"/>
        <v/>
      </c>
      <c r="T4633" s="403" t="str">
        <f t="shared" si="581"/>
        <v>NDE-8504-R</v>
      </c>
      <c r="U4633" s="403">
        <f t="shared" si="582"/>
        <v>1</v>
      </c>
      <c r="V4633" s="403" t="str">
        <f t="shared" si="583"/>
        <v>CPP_7_3</v>
      </c>
    </row>
    <row r="4634" spans="1:22">
      <c r="A4634" t="str">
        <f t="shared" si="576"/>
        <v>NDE-8504-R</v>
      </c>
      <c r="B4634" s="403" t="s">
        <v>1410</v>
      </c>
      <c r="C4634" s="403" t="s">
        <v>582</v>
      </c>
      <c r="D4634" s="403" t="s">
        <v>1418</v>
      </c>
      <c r="E4634" s="403" t="s">
        <v>1412</v>
      </c>
      <c r="F4634" s="403" t="s">
        <v>1325</v>
      </c>
      <c r="G4634" s="403" t="s">
        <v>1467</v>
      </c>
      <c r="H4634" s="403" t="s">
        <v>1281</v>
      </c>
      <c r="I4634" s="403">
        <v>1</v>
      </c>
      <c r="J4634" s="403" t="s">
        <v>110</v>
      </c>
      <c r="K4634" s="403">
        <v>1080</v>
      </c>
      <c r="L4634" s="403">
        <v>1920</v>
      </c>
      <c r="M4634" s="403" t="s">
        <v>1279</v>
      </c>
      <c r="N4634" s="403">
        <v>432</v>
      </c>
      <c r="O4634" s="403">
        <v>768</v>
      </c>
      <c r="P4634" t="str">
        <f t="shared" si="577"/>
        <v>25fps 1080p - SD ROI PTZ</v>
      </c>
      <c r="Q4634">
        <f t="shared" si="578"/>
        <v>21</v>
      </c>
      <c r="R4634" t="str">
        <f t="shared" si="579"/>
        <v/>
      </c>
      <c r="S4634" t="str">
        <f t="shared" si="580"/>
        <v/>
      </c>
      <c r="T4634" s="403" t="str">
        <f t="shared" si="581"/>
        <v>NDE-8504-R</v>
      </c>
      <c r="U4634" s="403">
        <f t="shared" si="582"/>
        <v>1</v>
      </c>
      <c r="V4634" s="403" t="str">
        <f t="shared" si="583"/>
        <v>CPP_7_3</v>
      </c>
    </row>
    <row r="4635" spans="1:22">
      <c r="A4635" t="str">
        <f t="shared" si="576"/>
        <v>NDE-8504-R</v>
      </c>
      <c r="B4635" s="403" t="s">
        <v>1410</v>
      </c>
      <c r="C4635" s="403" t="s">
        <v>582</v>
      </c>
      <c r="D4635" s="403" t="s">
        <v>1418</v>
      </c>
      <c r="E4635" s="403" t="s">
        <v>1412</v>
      </c>
      <c r="F4635" s="403" t="s">
        <v>1325</v>
      </c>
      <c r="G4635" s="403" t="s">
        <v>1467</v>
      </c>
      <c r="H4635" s="403" t="s">
        <v>1281</v>
      </c>
      <c r="I4635" s="403">
        <v>1</v>
      </c>
      <c r="J4635" s="403" t="s">
        <v>110</v>
      </c>
      <c r="K4635" s="403">
        <v>1080</v>
      </c>
      <c r="L4635" s="403">
        <v>1920</v>
      </c>
      <c r="M4635" s="403" t="s">
        <v>1283</v>
      </c>
      <c r="N4635" s="403">
        <v>576</v>
      </c>
      <c r="O4635" s="403">
        <v>720</v>
      </c>
      <c r="P4635" t="str">
        <f t="shared" si="577"/>
        <v>25fps 1080p - SD 4CIF resolution 4:3 format (cropped)</v>
      </c>
      <c r="Q4635">
        <f t="shared" si="578"/>
        <v>21</v>
      </c>
      <c r="R4635" t="str">
        <f t="shared" si="579"/>
        <v/>
      </c>
      <c r="S4635" t="str">
        <f t="shared" si="580"/>
        <v/>
      </c>
      <c r="T4635" s="403" t="str">
        <f t="shared" si="581"/>
        <v>NDE-8504-R</v>
      </c>
      <c r="U4635" s="403">
        <f t="shared" si="582"/>
        <v>1</v>
      </c>
      <c r="V4635" s="403" t="str">
        <f t="shared" si="583"/>
        <v>CPP_7_3</v>
      </c>
    </row>
    <row r="4636" spans="1:22">
      <c r="A4636" t="str">
        <f t="shared" si="576"/>
        <v>NDE-8504-R</v>
      </c>
      <c r="B4636" s="403" t="s">
        <v>1410</v>
      </c>
      <c r="C4636" s="403" t="s">
        <v>582</v>
      </c>
      <c r="D4636" s="403" t="s">
        <v>1418</v>
      </c>
      <c r="E4636" s="403" t="s">
        <v>1412</v>
      </c>
      <c r="F4636" s="403" t="s">
        <v>1325</v>
      </c>
      <c r="G4636" s="403" t="s">
        <v>1467</v>
      </c>
      <c r="H4636" s="403" t="s">
        <v>1281</v>
      </c>
      <c r="I4636" s="403">
        <v>1</v>
      </c>
      <c r="J4636" s="403" t="s">
        <v>110</v>
      </c>
      <c r="K4636" s="403">
        <v>1080</v>
      </c>
      <c r="L4636" s="403">
        <v>1920</v>
      </c>
      <c r="M4636" s="403" t="s">
        <v>1284</v>
      </c>
      <c r="N4636" s="403">
        <v>480</v>
      </c>
      <c r="O4636" s="403">
        <v>640</v>
      </c>
      <c r="P4636" t="str">
        <f t="shared" si="577"/>
        <v>25fps 1080p - SD VGA (cropped)</v>
      </c>
      <c r="Q4636">
        <f t="shared" si="578"/>
        <v>21</v>
      </c>
      <c r="R4636" t="str">
        <f t="shared" si="579"/>
        <v/>
      </c>
      <c r="S4636" t="str">
        <f t="shared" si="580"/>
        <v/>
      </c>
      <c r="T4636" s="403" t="str">
        <f t="shared" si="581"/>
        <v>NDE-8504-R</v>
      </c>
      <c r="U4636" s="403">
        <f t="shared" si="582"/>
        <v>1</v>
      </c>
      <c r="V4636" s="403" t="str">
        <f t="shared" si="583"/>
        <v>CPP_7_3</v>
      </c>
    </row>
    <row r="4637" spans="1:22">
      <c r="A4637" t="str">
        <f t="shared" si="576"/>
        <v>NDE-8504-R</v>
      </c>
      <c r="B4637" s="403" t="s">
        <v>1410</v>
      </c>
      <c r="C4637" s="403" t="s">
        <v>582</v>
      </c>
      <c r="D4637" s="403" t="s">
        <v>1418</v>
      </c>
      <c r="E4637" s="403" t="s">
        <v>1412</v>
      </c>
      <c r="F4637" s="403" t="s">
        <v>1325</v>
      </c>
      <c r="G4637" s="403" t="s">
        <v>1467</v>
      </c>
      <c r="H4637" s="403" t="s">
        <v>1281</v>
      </c>
      <c r="I4637" s="403">
        <v>1</v>
      </c>
      <c r="J4637" s="403" t="s">
        <v>109</v>
      </c>
      <c r="K4637" s="403">
        <v>720</v>
      </c>
      <c r="L4637" s="403">
        <v>1280</v>
      </c>
      <c r="M4637" s="403" t="s">
        <v>109</v>
      </c>
      <c r="N4637" s="403">
        <v>720</v>
      </c>
      <c r="O4637" s="403">
        <v>1280</v>
      </c>
      <c r="P4637" t="str">
        <f t="shared" si="577"/>
        <v>25fps 720p - 720p</v>
      </c>
      <c r="Q4637">
        <f t="shared" si="578"/>
        <v>21</v>
      </c>
      <c r="R4637" t="str">
        <f t="shared" si="579"/>
        <v/>
      </c>
      <c r="S4637" t="str">
        <f t="shared" si="580"/>
        <v/>
      </c>
      <c r="T4637" s="403" t="str">
        <f t="shared" si="581"/>
        <v>NDE-8504-R</v>
      </c>
      <c r="U4637" s="403">
        <f t="shared" si="582"/>
        <v>1</v>
      </c>
      <c r="V4637" s="403" t="str">
        <f t="shared" si="583"/>
        <v>CPP_7_3</v>
      </c>
    </row>
    <row r="4638" spans="1:22">
      <c r="A4638" t="str">
        <f t="shared" si="576"/>
        <v>NDE-8504-R</v>
      </c>
      <c r="B4638" s="403" t="s">
        <v>1410</v>
      </c>
      <c r="C4638" s="403" t="s">
        <v>582</v>
      </c>
      <c r="D4638" s="403" t="s">
        <v>1418</v>
      </c>
      <c r="E4638" s="403" t="s">
        <v>1412</v>
      </c>
      <c r="F4638" s="403" t="s">
        <v>1325</v>
      </c>
      <c r="G4638" s="403" t="s">
        <v>1467</v>
      </c>
      <c r="H4638" s="403" t="s">
        <v>1281</v>
      </c>
      <c r="I4638" s="403">
        <v>1</v>
      </c>
      <c r="J4638" s="403" t="s">
        <v>109</v>
      </c>
      <c r="K4638" s="403">
        <v>720</v>
      </c>
      <c r="L4638" s="403">
        <v>1280</v>
      </c>
      <c r="M4638" s="403" t="s">
        <v>111</v>
      </c>
      <c r="N4638" s="403">
        <v>432</v>
      </c>
      <c r="O4638" s="403">
        <v>768</v>
      </c>
      <c r="P4638" t="str">
        <f t="shared" si="577"/>
        <v>25fps 720p - SD</v>
      </c>
      <c r="Q4638">
        <f t="shared" si="578"/>
        <v>21</v>
      </c>
      <c r="R4638" t="str">
        <f t="shared" si="579"/>
        <v/>
      </c>
      <c r="S4638" t="str">
        <f t="shared" si="580"/>
        <v/>
      </c>
      <c r="T4638" s="403" t="str">
        <f t="shared" si="581"/>
        <v>NDE-8504-R</v>
      </c>
      <c r="U4638" s="403">
        <f t="shared" si="582"/>
        <v>1</v>
      </c>
      <c r="V4638" s="403" t="str">
        <f t="shared" si="583"/>
        <v>CPP_7_3</v>
      </c>
    </row>
    <row r="4639" spans="1:22">
      <c r="A4639" t="str">
        <f t="shared" si="576"/>
        <v>NDE-8504-R</v>
      </c>
      <c r="B4639" s="403" t="s">
        <v>1410</v>
      </c>
      <c r="C4639" s="403" t="s">
        <v>582</v>
      </c>
      <c r="D4639" s="403" t="s">
        <v>1418</v>
      </c>
      <c r="E4639" s="403" t="s">
        <v>1412</v>
      </c>
      <c r="F4639" s="403" t="s">
        <v>1325</v>
      </c>
      <c r="G4639" s="403" t="s">
        <v>1467</v>
      </c>
      <c r="H4639" s="403" t="s">
        <v>1281</v>
      </c>
      <c r="I4639" s="403">
        <v>1</v>
      </c>
      <c r="J4639" s="403" t="s">
        <v>109</v>
      </c>
      <c r="K4639" s="403">
        <v>720</v>
      </c>
      <c r="L4639" s="403">
        <v>1280</v>
      </c>
      <c r="M4639" s="403" t="s">
        <v>1279</v>
      </c>
      <c r="N4639" s="403">
        <v>432</v>
      </c>
      <c r="O4639" s="403">
        <v>768</v>
      </c>
      <c r="P4639" t="str">
        <f t="shared" si="577"/>
        <v>25fps 720p - SD ROI PTZ</v>
      </c>
      <c r="Q4639">
        <f t="shared" si="578"/>
        <v>21</v>
      </c>
      <c r="R4639" t="str">
        <f t="shared" si="579"/>
        <v/>
      </c>
      <c r="S4639" t="str">
        <f t="shared" si="580"/>
        <v/>
      </c>
      <c r="T4639" s="403" t="str">
        <f t="shared" si="581"/>
        <v>NDE-8504-R</v>
      </c>
      <c r="U4639" s="403">
        <f t="shared" si="582"/>
        <v>1</v>
      </c>
      <c r="V4639" s="403" t="str">
        <f t="shared" si="583"/>
        <v>CPP_7_3</v>
      </c>
    </row>
    <row r="4640" spans="1:22">
      <c r="A4640" t="str">
        <f t="shared" si="576"/>
        <v>NDE-8504-R</v>
      </c>
      <c r="B4640" s="403" t="s">
        <v>1410</v>
      </c>
      <c r="C4640" s="403" t="s">
        <v>582</v>
      </c>
      <c r="D4640" s="403" t="s">
        <v>1418</v>
      </c>
      <c r="E4640" s="403" t="s">
        <v>1412</v>
      </c>
      <c r="F4640" s="403" t="s">
        <v>1325</v>
      </c>
      <c r="G4640" s="403" t="s">
        <v>1467</v>
      </c>
      <c r="H4640" s="403" t="s">
        <v>1281</v>
      </c>
      <c r="I4640" s="403">
        <v>1</v>
      </c>
      <c r="J4640" s="403" t="s">
        <v>109</v>
      </c>
      <c r="K4640" s="403">
        <v>720</v>
      </c>
      <c r="L4640" s="403">
        <v>1280</v>
      </c>
      <c r="M4640" s="403" t="s">
        <v>1283</v>
      </c>
      <c r="N4640" s="403">
        <v>576</v>
      </c>
      <c r="O4640" s="403">
        <v>720</v>
      </c>
      <c r="P4640" t="str">
        <f t="shared" si="577"/>
        <v>25fps 720p - SD 4CIF resolution 4:3 format (cropped)</v>
      </c>
      <c r="Q4640">
        <f t="shared" si="578"/>
        <v>21</v>
      </c>
      <c r="R4640" t="str">
        <f t="shared" si="579"/>
        <v/>
      </c>
      <c r="S4640" t="str">
        <f t="shared" si="580"/>
        <v/>
      </c>
      <c r="T4640" s="403" t="str">
        <f t="shared" si="581"/>
        <v>NDE-8504-R</v>
      </c>
      <c r="U4640" s="403">
        <f t="shared" si="582"/>
        <v>1</v>
      </c>
      <c r="V4640" s="403" t="str">
        <f t="shared" si="583"/>
        <v>CPP_7_3</v>
      </c>
    </row>
    <row r="4641" spans="1:22">
      <c r="A4641" t="str">
        <f t="shared" si="576"/>
        <v>NDE-8504-R</v>
      </c>
      <c r="B4641" s="403" t="s">
        <v>1410</v>
      </c>
      <c r="C4641" s="403" t="s">
        <v>582</v>
      </c>
      <c r="D4641" s="403" t="s">
        <v>1418</v>
      </c>
      <c r="E4641" s="403" t="s">
        <v>1412</v>
      </c>
      <c r="F4641" s="403" t="s">
        <v>1325</v>
      </c>
      <c r="G4641" s="403" t="s">
        <v>1467</v>
      </c>
      <c r="H4641" s="403" t="s">
        <v>1281</v>
      </c>
      <c r="I4641" s="403">
        <v>1</v>
      </c>
      <c r="J4641" s="403" t="s">
        <v>109</v>
      </c>
      <c r="K4641" s="403">
        <v>720</v>
      </c>
      <c r="L4641" s="403">
        <v>1280</v>
      </c>
      <c r="M4641" s="403" t="s">
        <v>1284</v>
      </c>
      <c r="N4641" s="403">
        <v>480</v>
      </c>
      <c r="O4641" s="403">
        <v>640</v>
      </c>
      <c r="P4641" t="str">
        <f t="shared" si="577"/>
        <v>25fps 720p - SD VGA (cropped)</v>
      </c>
      <c r="Q4641">
        <f t="shared" si="578"/>
        <v>21</v>
      </c>
      <c r="R4641" t="str">
        <f t="shared" si="579"/>
        <v/>
      </c>
      <c r="S4641" t="str">
        <f t="shared" si="580"/>
        <v/>
      </c>
      <c r="T4641" s="403" t="str">
        <f t="shared" si="581"/>
        <v>NDE-8504-R</v>
      </c>
      <c r="U4641" s="403">
        <f t="shared" si="582"/>
        <v>1</v>
      </c>
      <c r="V4641" s="403" t="str">
        <f t="shared" si="583"/>
        <v>CPP_7_3</v>
      </c>
    </row>
    <row r="4642" spans="1:22">
      <c r="A4642" t="str">
        <f t="shared" si="576"/>
        <v>NDE-8504-R</v>
      </c>
      <c r="B4642" s="403" t="s">
        <v>1410</v>
      </c>
      <c r="C4642" s="403" t="s">
        <v>582</v>
      </c>
      <c r="D4642" s="403" t="s">
        <v>1418</v>
      </c>
      <c r="E4642" s="403" t="s">
        <v>1412</v>
      </c>
      <c r="F4642" s="403" t="s">
        <v>1419</v>
      </c>
      <c r="G4642" s="403" t="s">
        <v>1466</v>
      </c>
      <c r="H4642" s="403" t="s">
        <v>1276</v>
      </c>
      <c r="I4642" s="403">
        <v>1</v>
      </c>
      <c r="J4642" s="403" t="s">
        <v>194</v>
      </c>
      <c r="K4642" s="403">
        <v>3840</v>
      </c>
      <c r="L4642" s="403">
        <v>2160</v>
      </c>
      <c r="M4642" s="403" t="s">
        <v>111</v>
      </c>
      <c r="N4642" s="403">
        <v>768</v>
      </c>
      <c r="O4642" s="403">
        <v>432</v>
      </c>
      <c r="P4642" t="str">
        <f t="shared" si="577"/>
        <v>20fps 3840x2160 - SD</v>
      </c>
      <c r="Q4642">
        <f t="shared" si="578"/>
        <v>21</v>
      </c>
      <c r="R4642" t="str">
        <f t="shared" si="579"/>
        <v/>
      </c>
      <c r="S4642" t="str">
        <f t="shared" si="580"/>
        <v/>
      </c>
      <c r="T4642" s="403" t="str">
        <f t="shared" si="581"/>
        <v>NDE-8504-R</v>
      </c>
      <c r="U4642" s="403">
        <f t="shared" si="582"/>
        <v>1</v>
      </c>
      <c r="V4642" s="403" t="str">
        <f t="shared" si="583"/>
        <v>CPP_7_3</v>
      </c>
    </row>
    <row r="4643" spans="1:22">
      <c r="A4643" t="str">
        <f t="shared" si="576"/>
        <v>NDE-8504-R</v>
      </c>
      <c r="B4643" s="403" t="s">
        <v>1410</v>
      </c>
      <c r="C4643" s="403" t="s">
        <v>582</v>
      </c>
      <c r="D4643" s="403" t="s">
        <v>1418</v>
      </c>
      <c r="E4643" s="403" t="s">
        <v>1412</v>
      </c>
      <c r="F4643" s="403" t="s">
        <v>1419</v>
      </c>
      <c r="G4643" s="403" t="s">
        <v>1466</v>
      </c>
      <c r="H4643" s="403" t="s">
        <v>1276</v>
      </c>
      <c r="I4643" s="403">
        <v>1</v>
      </c>
      <c r="J4643" s="403" t="s">
        <v>194</v>
      </c>
      <c r="K4643" s="403">
        <v>3840</v>
      </c>
      <c r="L4643" s="403">
        <v>2160</v>
      </c>
      <c r="M4643" s="403" t="s">
        <v>1280</v>
      </c>
      <c r="N4643" s="403">
        <v>3840</v>
      </c>
      <c r="O4643" s="403">
        <v>2160</v>
      </c>
      <c r="P4643" t="str">
        <f t="shared" si="577"/>
        <v>20fps 3840x2160 - copy other stream</v>
      </c>
      <c r="Q4643">
        <f t="shared" si="578"/>
        <v>21</v>
      </c>
      <c r="R4643" t="str">
        <f t="shared" si="579"/>
        <v/>
      </c>
      <c r="S4643" t="str">
        <f t="shared" si="580"/>
        <v/>
      </c>
      <c r="T4643" s="403" t="str">
        <f t="shared" si="581"/>
        <v>NDE-8504-R</v>
      </c>
      <c r="U4643" s="403">
        <f t="shared" si="582"/>
        <v>1</v>
      </c>
      <c r="V4643" s="403" t="str">
        <f t="shared" si="583"/>
        <v>CPP_7_3</v>
      </c>
    </row>
    <row r="4644" spans="1:22">
      <c r="A4644" t="str">
        <f t="shared" si="576"/>
        <v>NDE-8504-R</v>
      </c>
      <c r="B4644" s="403" t="s">
        <v>1410</v>
      </c>
      <c r="C4644" s="403" t="s">
        <v>582</v>
      </c>
      <c r="D4644" s="403" t="s">
        <v>1418</v>
      </c>
      <c r="E4644" s="403" t="s">
        <v>1412</v>
      </c>
      <c r="F4644" s="403" t="s">
        <v>1419</v>
      </c>
      <c r="G4644" s="403" t="s">
        <v>1466</v>
      </c>
      <c r="H4644" s="403" t="s">
        <v>1276</v>
      </c>
      <c r="I4644" s="403">
        <v>1</v>
      </c>
      <c r="J4644" s="403" t="s">
        <v>194</v>
      </c>
      <c r="K4644" s="403">
        <v>3840</v>
      </c>
      <c r="L4644" s="403">
        <v>2160</v>
      </c>
      <c r="M4644" s="403" t="s">
        <v>1420</v>
      </c>
      <c r="N4644" s="403">
        <v>3840</v>
      </c>
      <c r="O4644" s="403">
        <v>2160</v>
      </c>
      <c r="P4644" t="str">
        <f t="shared" si="577"/>
        <v>20fps 3840x2160 - 3840x2160 @ SKIP3</v>
      </c>
      <c r="Q4644">
        <f t="shared" si="578"/>
        <v>21</v>
      </c>
      <c r="R4644" t="str">
        <f t="shared" si="579"/>
        <v/>
      </c>
      <c r="S4644" t="str">
        <f t="shared" si="580"/>
        <v/>
      </c>
      <c r="T4644" s="403" t="str">
        <f t="shared" si="581"/>
        <v>NDE-8504-R</v>
      </c>
      <c r="U4644" s="403">
        <f t="shared" si="582"/>
        <v>1</v>
      </c>
      <c r="V4644" s="403" t="str">
        <f t="shared" si="583"/>
        <v>CPP_7_3</v>
      </c>
    </row>
    <row r="4645" spans="1:22">
      <c r="A4645" t="str">
        <f t="shared" si="576"/>
        <v>NDE-8504-R</v>
      </c>
      <c r="B4645" s="403" t="s">
        <v>1410</v>
      </c>
      <c r="C4645" s="403" t="s">
        <v>582</v>
      </c>
      <c r="D4645" s="403" t="s">
        <v>1418</v>
      </c>
      <c r="E4645" s="403" t="s">
        <v>1412</v>
      </c>
      <c r="F4645" s="403" t="s">
        <v>1419</v>
      </c>
      <c r="G4645" s="403" t="s">
        <v>1466</v>
      </c>
      <c r="H4645" s="403" t="s">
        <v>1276</v>
      </c>
      <c r="I4645" s="403">
        <v>1</v>
      </c>
      <c r="J4645" s="403" t="s">
        <v>194</v>
      </c>
      <c r="K4645" s="403">
        <v>3840</v>
      </c>
      <c r="L4645" s="403">
        <v>2160</v>
      </c>
      <c r="M4645" s="403" t="s">
        <v>110</v>
      </c>
      <c r="N4645" s="403">
        <v>1920</v>
      </c>
      <c r="O4645" s="403">
        <v>1080</v>
      </c>
      <c r="P4645" t="str">
        <f t="shared" si="577"/>
        <v>20fps 3840x2160 - 1080p</v>
      </c>
      <c r="Q4645">
        <f t="shared" si="578"/>
        <v>21</v>
      </c>
      <c r="R4645" t="str">
        <f t="shared" si="579"/>
        <v/>
      </c>
      <c r="S4645" t="str">
        <f t="shared" si="580"/>
        <v/>
      </c>
      <c r="T4645" s="403" t="str">
        <f t="shared" si="581"/>
        <v>NDE-8504-R</v>
      </c>
      <c r="U4645" s="403">
        <f t="shared" si="582"/>
        <v>1</v>
      </c>
      <c r="V4645" s="403" t="str">
        <f t="shared" si="583"/>
        <v>CPP_7_3</v>
      </c>
    </row>
    <row r="4646" spans="1:22">
      <c r="A4646" t="str">
        <f t="shared" si="576"/>
        <v>NDE-8504-R</v>
      </c>
      <c r="B4646" s="403" t="s">
        <v>1410</v>
      </c>
      <c r="C4646" s="403" t="s">
        <v>582</v>
      </c>
      <c r="D4646" s="403" t="s">
        <v>1418</v>
      </c>
      <c r="E4646" s="403" t="s">
        <v>1412</v>
      </c>
      <c r="F4646" s="403" t="s">
        <v>1419</v>
      </c>
      <c r="G4646" s="403" t="s">
        <v>1466</v>
      </c>
      <c r="H4646" s="403" t="s">
        <v>1276</v>
      </c>
      <c r="I4646" s="403">
        <v>1</v>
      </c>
      <c r="J4646" s="403" t="s">
        <v>194</v>
      </c>
      <c r="K4646" s="403">
        <v>3840</v>
      </c>
      <c r="L4646" s="403">
        <v>2160</v>
      </c>
      <c r="M4646" s="403" t="s">
        <v>109</v>
      </c>
      <c r="N4646" s="403">
        <v>1280</v>
      </c>
      <c r="O4646" s="403">
        <v>720</v>
      </c>
      <c r="P4646" t="str">
        <f t="shared" si="577"/>
        <v>20fps 3840x2160 - 720p</v>
      </c>
      <c r="Q4646">
        <f t="shared" si="578"/>
        <v>21</v>
      </c>
      <c r="R4646" t="str">
        <f t="shared" si="579"/>
        <v/>
      </c>
      <c r="S4646" t="str">
        <f t="shared" si="580"/>
        <v/>
      </c>
      <c r="T4646" s="403" t="str">
        <f t="shared" si="581"/>
        <v>NDE-8504-R</v>
      </c>
      <c r="U4646" s="403">
        <f t="shared" si="582"/>
        <v>1</v>
      </c>
      <c r="V4646" s="403" t="str">
        <f t="shared" si="583"/>
        <v>CPP_7_3</v>
      </c>
    </row>
    <row r="4647" spans="1:22">
      <c r="A4647" t="str">
        <f t="shared" si="576"/>
        <v>NDE-8504-R</v>
      </c>
      <c r="B4647" s="403" t="s">
        <v>1410</v>
      </c>
      <c r="C4647" s="403" t="s">
        <v>582</v>
      </c>
      <c r="D4647" s="403" t="s">
        <v>1418</v>
      </c>
      <c r="E4647" s="403" t="s">
        <v>1412</v>
      </c>
      <c r="F4647" s="403" t="s">
        <v>1419</v>
      </c>
      <c r="G4647" s="403" t="s">
        <v>1466</v>
      </c>
      <c r="H4647" s="403" t="s">
        <v>1276</v>
      </c>
      <c r="I4647" s="403">
        <v>1</v>
      </c>
      <c r="J4647" s="403" t="s">
        <v>194</v>
      </c>
      <c r="K4647" s="403">
        <v>3840</v>
      </c>
      <c r="L4647" s="403">
        <v>2160</v>
      </c>
      <c r="M4647" s="403" t="s">
        <v>1283</v>
      </c>
      <c r="N4647" s="403">
        <v>720</v>
      </c>
      <c r="O4647" s="403">
        <v>480</v>
      </c>
      <c r="P4647" t="str">
        <f t="shared" si="577"/>
        <v>20fps 3840x2160 - SD 4CIF resolution 4:3 format (cropped)</v>
      </c>
      <c r="Q4647">
        <f t="shared" si="578"/>
        <v>21</v>
      </c>
      <c r="R4647" t="str">
        <f t="shared" si="579"/>
        <v/>
      </c>
      <c r="S4647" t="str">
        <f t="shared" si="580"/>
        <v/>
      </c>
      <c r="T4647" s="403" t="str">
        <f t="shared" si="581"/>
        <v>NDE-8504-R</v>
      </c>
      <c r="U4647" s="403">
        <f t="shared" si="582"/>
        <v>1</v>
      </c>
      <c r="V4647" s="403" t="str">
        <f t="shared" si="583"/>
        <v>CPP_7_3</v>
      </c>
    </row>
    <row r="4648" spans="1:22">
      <c r="A4648" t="str">
        <f t="shared" si="576"/>
        <v>NDE-8504-R</v>
      </c>
      <c r="B4648" s="403" t="s">
        <v>1410</v>
      </c>
      <c r="C4648" s="403" t="s">
        <v>582</v>
      </c>
      <c r="D4648" s="403" t="s">
        <v>1418</v>
      </c>
      <c r="E4648" s="403" t="s">
        <v>1412</v>
      </c>
      <c r="F4648" s="403" t="s">
        <v>1419</v>
      </c>
      <c r="G4648" s="403" t="s">
        <v>1466</v>
      </c>
      <c r="H4648" s="403" t="s">
        <v>1276</v>
      </c>
      <c r="I4648" s="403">
        <v>1</v>
      </c>
      <c r="J4648" s="403" t="s">
        <v>194</v>
      </c>
      <c r="K4648" s="403">
        <v>3840</v>
      </c>
      <c r="L4648" s="403">
        <v>2160</v>
      </c>
      <c r="M4648" s="403" t="s">
        <v>1284</v>
      </c>
      <c r="N4648" s="403">
        <v>640</v>
      </c>
      <c r="O4648" s="403">
        <v>480</v>
      </c>
      <c r="P4648" t="str">
        <f t="shared" si="577"/>
        <v>20fps 3840x2160 - SD VGA (cropped)</v>
      </c>
      <c r="Q4648">
        <f t="shared" si="578"/>
        <v>21</v>
      </c>
      <c r="R4648" t="str">
        <f t="shared" si="579"/>
        <v/>
      </c>
      <c r="S4648" t="str">
        <f t="shared" si="580"/>
        <v/>
      </c>
      <c r="T4648" s="403" t="str">
        <f t="shared" si="581"/>
        <v>NDE-8504-R</v>
      </c>
      <c r="U4648" s="403">
        <f t="shared" si="582"/>
        <v>1</v>
      </c>
      <c r="V4648" s="403" t="str">
        <f t="shared" si="583"/>
        <v>CPP_7_3</v>
      </c>
    </row>
    <row r="4649" spans="1:22">
      <c r="A4649" t="str">
        <f t="shared" si="576"/>
        <v>NDE-8504-R</v>
      </c>
      <c r="B4649" s="403" t="s">
        <v>1410</v>
      </c>
      <c r="C4649" s="403" t="s">
        <v>582</v>
      </c>
      <c r="D4649" s="403" t="s">
        <v>1418</v>
      </c>
      <c r="E4649" s="403" t="s">
        <v>1412</v>
      </c>
      <c r="F4649" s="403" t="s">
        <v>1419</v>
      </c>
      <c r="G4649" s="403" t="s">
        <v>1466</v>
      </c>
      <c r="H4649" s="403" t="s">
        <v>1276</v>
      </c>
      <c r="I4649" s="403">
        <v>1</v>
      </c>
      <c r="J4649" s="403" t="s">
        <v>194</v>
      </c>
      <c r="K4649" s="403">
        <v>3840</v>
      </c>
      <c r="L4649" s="403">
        <v>2160</v>
      </c>
      <c r="M4649" s="403" t="s">
        <v>1285</v>
      </c>
      <c r="N4649" s="403">
        <v>1280</v>
      </c>
      <c r="O4649" s="403">
        <v>1024</v>
      </c>
      <c r="P4649" t="str">
        <f t="shared" si="577"/>
        <v>20fps 3840x2160 - 1280x1024 5:4 (cropped)</v>
      </c>
      <c r="Q4649">
        <f t="shared" si="578"/>
        <v>21</v>
      </c>
      <c r="R4649" t="str">
        <f t="shared" si="579"/>
        <v/>
      </c>
      <c r="S4649" t="str">
        <f t="shared" si="580"/>
        <v/>
      </c>
      <c r="T4649" s="403" t="str">
        <f t="shared" si="581"/>
        <v>NDE-8504-R</v>
      </c>
      <c r="U4649" s="403">
        <f t="shared" si="582"/>
        <v>1</v>
      </c>
      <c r="V4649" s="403" t="str">
        <f t="shared" si="583"/>
        <v>CPP_7_3</v>
      </c>
    </row>
    <row r="4650" spans="1:22">
      <c r="A4650" t="str">
        <f t="shared" si="576"/>
        <v>NDE-8504-R</v>
      </c>
      <c r="B4650" s="403" t="s">
        <v>1410</v>
      </c>
      <c r="C4650" s="403" t="s">
        <v>582</v>
      </c>
      <c r="D4650" s="403" t="s">
        <v>1418</v>
      </c>
      <c r="E4650" s="403" t="s">
        <v>1412</v>
      </c>
      <c r="F4650" s="403" t="s">
        <v>1419</v>
      </c>
      <c r="G4650" s="403" t="s">
        <v>1466</v>
      </c>
      <c r="H4650" s="403" t="s">
        <v>1276</v>
      </c>
      <c r="I4650" s="403">
        <v>1</v>
      </c>
      <c r="J4650" s="403" t="s">
        <v>194</v>
      </c>
      <c r="K4650" s="403">
        <v>3840</v>
      </c>
      <c r="L4650" s="403">
        <v>2160</v>
      </c>
      <c r="M4650" s="403" t="s">
        <v>1383</v>
      </c>
      <c r="N4650" s="403">
        <v>1920</v>
      </c>
      <c r="O4650" s="403">
        <v>1440</v>
      </c>
      <c r="P4650" t="str">
        <f t="shared" si="577"/>
        <v>20fps 3840x2160 - 1920x1440_CROP</v>
      </c>
      <c r="Q4650">
        <f t="shared" si="578"/>
        <v>21</v>
      </c>
      <c r="R4650" t="str">
        <f t="shared" si="579"/>
        <v/>
      </c>
      <c r="S4650" t="str">
        <f t="shared" si="580"/>
        <v/>
      </c>
      <c r="T4650" s="403" t="str">
        <f t="shared" si="581"/>
        <v>NDE-8504-R</v>
      </c>
      <c r="U4650" s="403">
        <f t="shared" si="582"/>
        <v>1</v>
      </c>
      <c r="V4650" s="403" t="str">
        <f t="shared" si="583"/>
        <v>CPP_7_3</v>
      </c>
    </row>
    <row r="4651" spans="1:22">
      <c r="A4651" t="str">
        <f t="shared" si="576"/>
        <v>NDE-8504-R</v>
      </c>
      <c r="B4651" s="403" t="s">
        <v>1410</v>
      </c>
      <c r="C4651" s="403" t="s">
        <v>582</v>
      </c>
      <c r="D4651" s="403" t="s">
        <v>1418</v>
      </c>
      <c r="E4651" s="403" t="s">
        <v>1412</v>
      </c>
      <c r="F4651" s="403" t="s">
        <v>1419</v>
      </c>
      <c r="G4651" s="403" t="s">
        <v>1466</v>
      </c>
      <c r="H4651" s="403" t="s">
        <v>1276</v>
      </c>
      <c r="I4651" s="403">
        <v>1</v>
      </c>
      <c r="J4651" s="403" t="s">
        <v>1324</v>
      </c>
      <c r="K4651" s="403">
        <v>3584</v>
      </c>
      <c r="L4651" s="403">
        <v>2016</v>
      </c>
      <c r="M4651" s="403" t="s">
        <v>111</v>
      </c>
      <c r="N4651" s="403">
        <v>768</v>
      </c>
      <c r="O4651" s="403">
        <v>432</v>
      </c>
      <c r="P4651" t="str">
        <f t="shared" si="577"/>
        <v>20fps 3584x2016 - SD</v>
      </c>
      <c r="Q4651">
        <f t="shared" si="578"/>
        <v>21</v>
      </c>
      <c r="R4651" t="str">
        <f t="shared" si="579"/>
        <v/>
      </c>
      <c r="S4651" t="str">
        <f t="shared" si="580"/>
        <v/>
      </c>
      <c r="T4651" s="403" t="str">
        <f t="shared" si="581"/>
        <v>NDE-8504-R</v>
      </c>
      <c r="U4651" s="403">
        <f t="shared" si="582"/>
        <v>1</v>
      </c>
      <c r="V4651" s="403" t="str">
        <f t="shared" si="583"/>
        <v>CPP_7_3</v>
      </c>
    </row>
    <row r="4652" spans="1:22">
      <c r="A4652" t="str">
        <f t="shared" si="576"/>
        <v>NDE-8504-R</v>
      </c>
      <c r="B4652" s="403" t="s">
        <v>1410</v>
      </c>
      <c r="C4652" s="403" t="s">
        <v>582</v>
      </c>
      <c r="D4652" s="403" t="s">
        <v>1418</v>
      </c>
      <c r="E4652" s="403" t="s">
        <v>1412</v>
      </c>
      <c r="F4652" s="403" t="s">
        <v>1419</v>
      </c>
      <c r="G4652" s="403" t="s">
        <v>1466</v>
      </c>
      <c r="H4652" s="403" t="s">
        <v>1276</v>
      </c>
      <c r="I4652" s="403">
        <v>1</v>
      </c>
      <c r="J4652" s="403" t="s">
        <v>1324</v>
      </c>
      <c r="K4652" s="403">
        <v>3584</v>
      </c>
      <c r="L4652" s="403">
        <v>2016</v>
      </c>
      <c r="M4652" s="403" t="s">
        <v>1280</v>
      </c>
      <c r="N4652" s="403">
        <v>3584</v>
      </c>
      <c r="O4652" s="403">
        <v>2016</v>
      </c>
      <c r="P4652" t="str">
        <f t="shared" si="577"/>
        <v>20fps 3584x2016 - copy other stream</v>
      </c>
      <c r="Q4652">
        <f t="shared" si="578"/>
        <v>21</v>
      </c>
      <c r="R4652" t="str">
        <f t="shared" si="579"/>
        <v/>
      </c>
      <c r="S4652" t="str">
        <f t="shared" si="580"/>
        <v/>
      </c>
      <c r="T4652" s="403" t="str">
        <f t="shared" si="581"/>
        <v>NDE-8504-R</v>
      </c>
      <c r="U4652" s="403">
        <f t="shared" si="582"/>
        <v>1</v>
      </c>
      <c r="V4652" s="403" t="str">
        <f t="shared" si="583"/>
        <v>CPP_7_3</v>
      </c>
    </row>
    <row r="4653" spans="1:22">
      <c r="A4653" t="str">
        <f t="shared" si="576"/>
        <v>NDE-8504-R</v>
      </c>
      <c r="B4653" s="403" t="s">
        <v>1410</v>
      </c>
      <c r="C4653" s="403" t="s">
        <v>582</v>
      </c>
      <c r="D4653" s="403" t="s">
        <v>1418</v>
      </c>
      <c r="E4653" s="403" t="s">
        <v>1412</v>
      </c>
      <c r="F4653" s="403" t="s">
        <v>1419</v>
      </c>
      <c r="G4653" s="403" t="s">
        <v>1466</v>
      </c>
      <c r="H4653" s="403" t="s">
        <v>1276</v>
      </c>
      <c r="I4653" s="403">
        <v>1</v>
      </c>
      <c r="J4653" s="403" t="s">
        <v>1324</v>
      </c>
      <c r="K4653" s="403">
        <v>3584</v>
      </c>
      <c r="L4653" s="403">
        <v>2016</v>
      </c>
      <c r="M4653" s="403" t="s">
        <v>1421</v>
      </c>
      <c r="N4653" s="403">
        <v>3584</v>
      </c>
      <c r="O4653" s="403">
        <v>2016</v>
      </c>
      <c r="P4653" t="str">
        <f t="shared" si="577"/>
        <v>20fps 3584x2016 - 3584x2016 @ SKIP2</v>
      </c>
      <c r="Q4653">
        <f t="shared" si="578"/>
        <v>21</v>
      </c>
      <c r="R4653" t="str">
        <f t="shared" si="579"/>
        <v/>
      </c>
      <c r="S4653" t="str">
        <f t="shared" si="580"/>
        <v/>
      </c>
      <c r="T4653" s="403" t="str">
        <f t="shared" si="581"/>
        <v>NDE-8504-R</v>
      </c>
      <c r="U4653" s="403">
        <f t="shared" si="582"/>
        <v>1</v>
      </c>
      <c r="V4653" s="403" t="str">
        <f t="shared" si="583"/>
        <v>CPP_7_3</v>
      </c>
    </row>
    <row r="4654" spans="1:22">
      <c r="A4654" t="str">
        <f t="shared" si="576"/>
        <v>NDE-8504-R</v>
      </c>
      <c r="B4654" s="403" t="s">
        <v>1410</v>
      </c>
      <c r="C4654" s="403" t="s">
        <v>582</v>
      </c>
      <c r="D4654" s="403" t="s">
        <v>1418</v>
      </c>
      <c r="E4654" s="403" t="s">
        <v>1412</v>
      </c>
      <c r="F4654" s="403" t="s">
        <v>1419</v>
      </c>
      <c r="G4654" s="403" t="s">
        <v>1466</v>
      </c>
      <c r="H4654" s="403" t="s">
        <v>1276</v>
      </c>
      <c r="I4654" s="403">
        <v>1</v>
      </c>
      <c r="J4654" s="403" t="s">
        <v>1324</v>
      </c>
      <c r="K4654" s="403">
        <v>3584</v>
      </c>
      <c r="L4654" s="403">
        <v>2016</v>
      </c>
      <c r="M4654" s="403" t="s">
        <v>110</v>
      </c>
      <c r="N4654" s="403">
        <v>1920</v>
      </c>
      <c r="O4654" s="403">
        <v>1080</v>
      </c>
      <c r="P4654" t="str">
        <f t="shared" si="577"/>
        <v>20fps 3584x2016 - 1080p</v>
      </c>
      <c r="Q4654">
        <f t="shared" si="578"/>
        <v>21</v>
      </c>
      <c r="R4654" t="str">
        <f t="shared" si="579"/>
        <v/>
      </c>
      <c r="S4654" t="str">
        <f t="shared" si="580"/>
        <v/>
      </c>
      <c r="T4654" s="403" t="str">
        <f t="shared" si="581"/>
        <v>NDE-8504-R</v>
      </c>
      <c r="U4654" s="403">
        <f t="shared" si="582"/>
        <v>1</v>
      </c>
      <c r="V4654" s="403" t="str">
        <f t="shared" si="583"/>
        <v>CPP_7_3</v>
      </c>
    </row>
    <row r="4655" spans="1:22">
      <c r="A4655" t="str">
        <f t="shared" si="576"/>
        <v>NDE-8504-R</v>
      </c>
      <c r="B4655" s="403" t="s">
        <v>1410</v>
      </c>
      <c r="C4655" s="403" t="s">
        <v>582</v>
      </c>
      <c r="D4655" s="403" t="s">
        <v>1418</v>
      </c>
      <c r="E4655" s="403" t="s">
        <v>1412</v>
      </c>
      <c r="F4655" s="403" t="s">
        <v>1419</v>
      </c>
      <c r="G4655" s="403" t="s">
        <v>1466</v>
      </c>
      <c r="H4655" s="403" t="s">
        <v>1276</v>
      </c>
      <c r="I4655" s="403">
        <v>1</v>
      </c>
      <c r="J4655" s="403" t="s">
        <v>1324</v>
      </c>
      <c r="K4655" s="403">
        <v>3584</v>
      </c>
      <c r="L4655" s="403">
        <v>2016</v>
      </c>
      <c r="M4655" s="403" t="s">
        <v>109</v>
      </c>
      <c r="N4655" s="403">
        <v>1280</v>
      </c>
      <c r="O4655" s="403">
        <v>720</v>
      </c>
      <c r="P4655" t="str">
        <f t="shared" si="577"/>
        <v>20fps 3584x2016 - 720p</v>
      </c>
      <c r="Q4655">
        <f t="shared" si="578"/>
        <v>21</v>
      </c>
      <c r="R4655" t="str">
        <f t="shared" si="579"/>
        <v/>
      </c>
      <c r="S4655" t="str">
        <f t="shared" si="580"/>
        <v/>
      </c>
      <c r="T4655" s="403" t="str">
        <f t="shared" si="581"/>
        <v>NDE-8504-R</v>
      </c>
      <c r="U4655" s="403">
        <f t="shared" si="582"/>
        <v>1</v>
      </c>
      <c r="V4655" s="403" t="str">
        <f t="shared" si="583"/>
        <v>CPP_7_3</v>
      </c>
    </row>
    <row r="4656" spans="1:22">
      <c r="A4656" t="str">
        <f t="shared" si="576"/>
        <v>NDE-8504-R</v>
      </c>
      <c r="B4656" s="403" t="s">
        <v>1410</v>
      </c>
      <c r="C4656" s="403" t="s">
        <v>582</v>
      </c>
      <c r="D4656" s="403" t="s">
        <v>1418</v>
      </c>
      <c r="E4656" s="403" t="s">
        <v>1412</v>
      </c>
      <c r="F4656" s="403" t="s">
        <v>1419</v>
      </c>
      <c r="G4656" s="403" t="s">
        <v>1466</v>
      </c>
      <c r="H4656" s="403" t="s">
        <v>1276</v>
      </c>
      <c r="I4656" s="403">
        <v>1</v>
      </c>
      <c r="J4656" s="403" t="s">
        <v>1324</v>
      </c>
      <c r="K4656" s="403">
        <v>3584</v>
      </c>
      <c r="L4656" s="403">
        <v>2016</v>
      </c>
      <c r="M4656" s="403" t="s">
        <v>1283</v>
      </c>
      <c r="N4656" s="403">
        <v>720</v>
      </c>
      <c r="O4656" s="403">
        <v>480</v>
      </c>
      <c r="P4656" t="str">
        <f t="shared" si="577"/>
        <v>20fps 3584x2016 - SD 4CIF resolution 4:3 format (cropped)</v>
      </c>
      <c r="Q4656">
        <f t="shared" si="578"/>
        <v>21</v>
      </c>
      <c r="R4656" t="str">
        <f t="shared" si="579"/>
        <v/>
      </c>
      <c r="S4656" t="str">
        <f t="shared" si="580"/>
        <v/>
      </c>
      <c r="T4656" s="403" t="str">
        <f t="shared" si="581"/>
        <v>NDE-8504-R</v>
      </c>
      <c r="U4656" s="403">
        <f t="shared" si="582"/>
        <v>1</v>
      </c>
      <c r="V4656" s="403" t="str">
        <f t="shared" si="583"/>
        <v>CPP_7_3</v>
      </c>
    </row>
    <row r="4657" spans="1:22">
      <c r="A4657" t="str">
        <f t="shared" si="576"/>
        <v>NDE-8504-R</v>
      </c>
      <c r="B4657" s="403" t="s">
        <v>1410</v>
      </c>
      <c r="C4657" s="403" t="s">
        <v>582</v>
      </c>
      <c r="D4657" s="403" t="s">
        <v>1418</v>
      </c>
      <c r="E4657" s="403" t="s">
        <v>1412</v>
      </c>
      <c r="F4657" s="403" t="s">
        <v>1419</v>
      </c>
      <c r="G4657" s="403" t="s">
        <v>1466</v>
      </c>
      <c r="H4657" s="403" t="s">
        <v>1276</v>
      </c>
      <c r="I4657" s="403">
        <v>1</v>
      </c>
      <c r="J4657" s="403" t="s">
        <v>1324</v>
      </c>
      <c r="K4657" s="403">
        <v>3584</v>
      </c>
      <c r="L4657" s="403">
        <v>2016</v>
      </c>
      <c r="M4657" s="403" t="s">
        <v>1279</v>
      </c>
      <c r="N4657" s="403">
        <v>768</v>
      </c>
      <c r="O4657" s="403">
        <v>432</v>
      </c>
      <c r="P4657" t="str">
        <f t="shared" si="577"/>
        <v>20fps 3584x2016 - SD ROI PTZ</v>
      </c>
      <c r="Q4657">
        <f t="shared" si="578"/>
        <v>21</v>
      </c>
      <c r="R4657" t="str">
        <f t="shared" si="579"/>
        <v/>
      </c>
      <c r="S4657" t="str">
        <f t="shared" si="580"/>
        <v/>
      </c>
      <c r="T4657" s="403" t="str">
        <f t="shared" si="581"/>
        <v>NDE-8504-R</v>
      </c>
      <c r="U4657" s="403">
        <f t="shared" si="582"/>
        <v>1</v>
      </c>
      <c r="V4657" s="403" t="str">
        <f t="shared" si="583"/>
        <v>CPP_7_3</v>
      </c>
    </row>
    <row r="4658" spans="1:22">
      <c r="A4658" t="str">
        <f t="shared" si="576"/>
        <v>NDE-8504-R</v>
      </c>
      <c r="B4658" s="403" t="s">
        <v>1410</v>
      </c>
      <c r="C4658" s="403" t="s">
        <v>582</v>
      </c>
      <c r="D4658" s="403" t="s">
        <v>1418</v>
      </c>
      <c r="E4658" s="403" t="s">
        <v>1412</v>
      </c>
      <c r="F4658" s="403" t="s">
        <v>1419</v>
      </c>
      <c r="G4658" s="403" t="s">
        <v>1466</v>
      </c>
      <c r="H4658" s="403" t="s">
        <v>1276</v>
      </c>
      <c r="I4658" s="403">
        <v>1</v>
      </c>
      <c r="J4658" s="403" t="s">
        <v>1324</v>
      </c>
      <c r="K4658" s="403">
        <v>3584</v>
      </c>
      <c r="L4658" s="403">
        <v>2016</v>
      </c>
      <c r="M4658" s="403" t="s">
        <v>1284</v>
      </c>
      <c r="N4658" s="403">
        <v>640</v>
      </c>
      <c r="O4658" s="403">
        <v>480</v>
      </c>
      <c r="P4658" t="str">
        <f t="shared" si="577"/>
        <v>20fps 3584x2016 - SD VGA (cropped)</v>
      </c>
      <c r="Q4658">
        <f t="shared" si="578"/>
        <v>21</v>
      </c>
      <c r="R4658" t="str">
        <f t="shared" si="579"/>
        <v/>
      </c>
      <c r="S4658" t="str">
        <f t="shared" si="580"/>
        <v/>
      </c>
      <c r="T4658" s="403" t="str">
        <f t="shared" si="581"/>
        <v>NDE-8504-R</v>
      </c>
      <c r="U4658" s="403">
        <f t="shared" si="582"/>
        <v>1</v>
      </c>
      <c r="V4658" s="403" t="str">
        <f t="shared" si="583"/>
        <v>CPP_7_3</v>
      </c>
    </row>
    <row r="4659" spans="1:22">
      <c r="A4659" t="str">
        <f t="shared" si="576"/>
        <v>NDE-8504-R</v>
      </c>
      <c r="B4659" s="403" t="s">
        <v>1410</v>
      </c>
      <c r="C4659" s="403" t="s">
        <v>582</v>
      </c>
      <c r="D4659" s="403" t="s">
        <v>1418</v>
      </c>
      <c r="E4659" s="403" t="s">
        <v>1412</v>
      </c>
      <c r="F4659" s="403" t="s">
        <v>1419</v>
      </c>
      <c r="G4659" s="403" t="s">
        <v>1466</v>
      </c>
      <c r="H4659" s="403" t="s">
        <v>1276</v>
      </c>
      <c r="I4659" s="403">
        <v>1</v>
      </c>
      <c r="J4659" s="403" t="s">
        <v>1324</v>
      </c>
      <c r="K4659" s="403">
        <v>3584</v>
      </c>
      <c r="L4659" s="403">
        <v>2016</v>
      </c>
      <c r="M4659" s="403" t="s">
        <v>1285</v>
      </c>
      <c r="N4659" s="403">
        <v>1280</v>
      </c>
      <c r="O4659" s="403">
        <v>1024</v>
      </c>
      <c r="P4659" t="str">
        <f t="shared" si="577"/>
        <v>20fps 3584x2016 - 1280x1024 5:4 (cropped)</v>
      </c>
      <c r="Q4659">
        <f t="shared" si="578"/>
        <v>21</v>
      </c>
      <c r="R4659" t="str">
        <f t="shared" si="579"/>
        <v/>
      </c>
      <c r="S4659" t="str">
        <f t="shared" si="580"/>
        <v/>
      </c>
      <c r="T4659" s="403" t="str">
        <f t="shared" si="581"/>
        <v>NDE-8504-R</v>
      </c>
      <c r="U4659" s="403">
        <f t="shared" si="582"/>
        <v>1</v>
      </c>
      <c r="V4659" s="403" t="str">
        <f t="shared" si="583"/>
        <v>CPP_7_3</v>
      </c>
    </row>
    <row r="4660" spans="1:22">
      <c r="A4660" t="str">
        <f t="shared" si="576"/>
        <v>NDE-8504-R</v>
      </c>
      <c r="B4660" s="403" t="s">
        <v>1410</v>
      </c>
      <c r="C4660" s="403" t="s">
        <v>582</v>
      </c>
      <c r="D4660" s="403" t="s">
        <v>1418</v>
      </c>
      <c r="E4660" s="403" t="s">
        <v>1412</v>
      </c>
      <c r="F4660" s="403" t="s">
        <v>1419</v>
      </c>
      <c r="G4660" s="403" t="s">
        <v>1466</v>
      </c>
      <c r="H4660" s="403" t="s">
        <v>1276</v>
      </c>
      <c r="I4660" s="403">
        <v>1</v>
      </c>
      <c r="J4660" s="403" t="s">
        <v>1324</v>
      </c>
      <c r="K4660" s="403">
        <v>3584</v>
      </c>
      <c r="L4660" s="403">
        <v>2016</v>
      </c>
      <c r="M4660" s="403" t="s">
        <v>1383</v>
      </c>
      <c r="N4660" s="403">
        <v>1920</v>
      </c>
      <c r="O4660" s="403">
        <v>1440</v>
      </c>
      <c r="P4660" t="str">
        <f t="shared" si="577"/>
        <v>20fps 3584x2016 - 1920x1440_CROP</v>
      </c>
      <c r="Q4660">
        <f t="shared" si="578"/>
        <v>21</v>
      </c>
      <c r="R4660" t="str">
        <f t="shared" si="579"/>
        <v/>
      </c>
      <c r="S4660" t="str">
        <f t="shared" si="580"/>
        <v/>
      </c>
      <c r="T4660" s="403" t="str">
        <f t="shared" si="581"/>
        <v>NDE-8504-R</v>
      </c>
      <c r="U4660" s="403">
        <f t="shared" si="582"/>
        <v>1</v>
      </c>
      <c r="V4660" s="403" t="str">
        <f t="shared" si="583"/>
        <v>CPP_7_3</v>
      </c>
    </row>
    <row r="4661" spans="1:22">
      <c r="A4661" t="str">
        <f t="shared" si="576"/>
        <v>NDE-8504-R</v>
      </c>
      <c r="B4661" s="403" t="s">
        <v>1410</v>
      </c>
      <c r="C4661" s="403" t="s">
        <v>582</v>
      </c>
      <c r="D4661" s="403" t="s">
        <v>1418</v>
      </c>
      <c r="E4661" s="403" t="s">
        <v>1412</v>
      </c>
      <c r="F4661" s="403" t="s">
        <v>1419</v>
      </c>
      <c r="G4661" s="403" t="s">
        <v>1466</v>
      </c>
      <c r="H4661" s="403" t="s">
        <v>1281</v>
      </c>
      <c r="I4661" s="403">
        <v>1</v>
      </c>
      <c r="J4661" s="403" t="s">
        <v>194</v>
      </c>
      <c r="K4661" s="403">
        <v>3840</v>
      </c>
      <c r="L4661" s="403">
        <v>2160</v>
      </c>
      <c r="M4661" s="403" t="s">
        <v>111</v>
      </c>
      <c r="N4661" s="403">
        <v>768</v>
      </c>
      <c r="O4661" s="403">
        <v>432</v>
      </c>
      <c r="P4661" t="str">
        <f t="shared" si="577"/>
        <v>20fps 3840x2160 - SD</v>
      </c>
      <c r="Q4661">
        <f t="shared" si="578"/>
        <v>21</v>
      </c>
      <c r="R4661" t="str">
        <f t="shared" si="579"/>
        <v/>
      </c>
      <c r="S4661" t="str">
        <f t="shared" si="580"/>
        <v/>
      </c>
      <c r="T4661" s="403" t="str">
        <f t="shared" si="581"/>
        <v>NDE-8504-R</v>
      </c>
      <c r="U4661" s="403">
        <f t="shared" si="582"/>
        <v>1</v>
      </c>
      <c r="V4661" s="403" t="str">
        <f t="shared" si="583"/>
        <v>CPP_7_3</v>
      </c>
    </row>
    <row r="4662" spans="1:22">
      <c r="A4662" t="str">
        <f t="shared" si="576"/>
        <v>NDE-8504-R</v>
      </c>
      <c r="B4662" s="403" t="s">
        <v>1410</v>
      </c>
      <c r="C4662" s="403" t="s">
        <v>582</v>
      </c>
      <c r="D4662" s="403" t="s">
        <v>1418</v>
      </c>
      <c r="E4662" s="403" t="s">
        <v>1412</v>
      </c>
      <c r="F4662" s="403" t="s">
        <v>1419</v>
      </c>
      <c r="G4662" s="403" t="s">
        <v>1466</v>
      </c>
      <c r="H4662" s="403" t="s">
        <v>1281</v>
      </c>
      <c r="I4662" s="403">
        <v>1</v>
      </c>
      <c r="J4662" s="403" t="s">
        <v>194</v>
      </c>
      <c r="K4662" s="403">
        <v>3840</v>
      </c>
      <c r="L4662" s="403">
        <v>2160</v>
      </c>
      <c r="M4662" s="403" t="s">
        <v>1280</v>
      </c>
      <c r="N4662" s="403">
        <v>3840</v>
      </c>
      <c r="O4662" s="403">
        <v>2160</v>
      </c>
      <c r="P4662" t="str">
        <f t="shared" si="577"/>
        <v>20fps 3840x2160 - copy other stream</v>
      </c>
      <c r="Q4662">
        <f t="shared" si="578"/>
        <v>21</v>
      </c>
      <c r="R4662" t="str">
        <f t="shared" si="579"/>
        <v/>
      </c>
      <c r="S4662" t="str">
        <f t="shared" si="580"/>
        <v/>
      </c>
      <c r="T4662" s="403" t="str">
        <f t="shared" si="581"/>
        <v>NDE-8504-R</v>
      </c>
      <c r="U4662" s="403">
        <f t="shared" si="582"/>
        <v>1</v>
      </c>
      <c r="V4662" s="403" t="str">
        <f t="shared" si="583"/>
        <v>CPP_7_3</v>
      </c>
    </row>
    <row r="4663" spans="1:22">
      <c r="A4663" t="str">
        <f t="shared" si="576"/>
        <v>NDE-8504-R</v>
      </c>
      <c r="B4663" s="403" t="s">
        <v>1410</v>
      </c>
      <c r="C4663" s="403" t="s">
        <v>582</v>
      </c>
      <c r="D4663" s="403" t="s">
        <v>1418</v>
      </c>
      <c r="E4663" s="403" t="s">
        <v>1412</v>
      </c>
      <c r="F4663" s="403" t="s">
        <v>1419</v>
      </c>
      <c r="G4663" s="403" t="s">
        <v>1466</v>
      </c>
      <c r="H4663" s="403" t="s">
        <v>1281</v>
      </c>
      <c r="I4663" s="403">
        <v>1</v>
      </c>
      <c r="J4663" s="403" t="s">
        <v>194</v>
      </c>
      <c r="K4663" s="403">
        <v>3840</v>
      </c>
      <c r="L4663" s="403">
        <v>2160</v>
      </c>
      <c r="M4663" s="403" t="s">
        <v>1420</v>
      </c>
      <c r="N4663" s="403">
        <v>3840</v>
      </c>
      <c r="O4663" s="403">
        <v>2160</v>
      </c>
      <c r="P4663" t="str">
        <f t="shared" si="577"/>
        <v>20fps 3840x2160 - 3840x2160 @ SKIP3</v>
      </c>
      <c r="Q4663">
        <f t="shared" si="578"/>
        <v>21</v>
      </c>
      <c r="R4663" t="str">
        <f t="shared" si="579"/>
        <v/>
      </c>
      <c r="S4663" t="str">
        <f t="shared" si="580"/>
        <v/>
      </c>
      <c r="T4663" s="403" t="str">
        <f t="shared" si="581"/>
        <v>NDE-8504-R</v>
      </c>
      <c r="U4663" s="403">
        <f t="shared" si="582"/>
        <v>1</v>
      </c>
      <c r="V4663" s="403" t="str">
        <f t="shared" si="583"/>
        <v>CPP_7_3</v>
      </c>
    </row>
    <row r="4664" spans="1:22">
      <c r="A4664" t="str">
        <f t="shared" si="576"/>
        <v>NDE-8504-R</v>
      </c>
      <c r="B4664" s="403" t="s">
        <v>1410</v>
      </c>
      <c r="C4664" s="403" t="s">
        <v>582</v>
      </c>
      <c r="D4664" s="403" t="s">
        <v>1418</v>
      </c>
      <c r="E4664" s="403" t="s">
        <v>1412</v>
      </c>
      <c r="F4664" s="403" t="s">
        <v>1419</v>
      </c>
      <c r="G4664" s="403" t="s">
        <v>1466</v>
      </c>
      <c r="H4664" s="403" t="s">
        <v>1281</v>
      </c>
      <c r="I4664" s="403">
        <v>1</v>
      </c>
      <c r="J4664" s="403" t="s">
        <v>194</v>
      </c>
      <c r="K4664" s="403">
        <v>3840</v>
      </c>
      <c r="L4664" s="403">
        <v>2160</v>
      </c>
      <c r="M4664" s="403" t="s">
        <v>110</v>
      </c>
      <c r="N4664" s="403">
        <v>1920</v>
      </c>
      <c r="O4664" s="403">
        <v>1080</v>
      </c>
      <c r="P4664" t="str">
        <f t="shared" si="577"/>
        <v>20fps 3840x2160 - 1080p</v>
      </c>
      <c r="Q4664">
        <f t="shared" si="578"/>
        <v>21</v>
      </c>
      <c r="R4664" t="str">
        <f t="shared" si="579"/>
        <v/>
      </c>
      <c r="S4664" t="str">
        <f t="shared" si="580"/>
        <v/>
      </c>
      <c r="T4664" s="403" t="str">
        <f t="shared" si="581"/>
        <v>NDE-8504-R</v>
      </c>
      <c r="U4664" s="403">
        <f t="shared" si="582"/>
        <v>1</v>
      </c>
      <c r="V4664" s="403" t="str">
        <f t="shared" si="583"/>
        <v>CPP_7_3</v>
      </c>
    </row>
    <row r="4665" spans="1:22">
      <c r="A4665" t="str">
        <f t="shared" si="576"/>
        <v>NDE-8504-R</v>
      </c>
      <c r="B4665" s="403" t="s">
        <v>1410</v>
      </c>
      <c r="C4665" s="403" t="s">
        <v>582</v>
      </c>
      <c r="D4665" s="403" t="s">
        <v>1418</v>
      </c>
      <c r="E4665" s="403" t="s">
        <v>1412</v>
      </c>
      <c r="F4665" s="403" t="s">
        <v>1419</v>
      </c>
      <c r="G4665" s="403" t="s">
        <v>1466</v>
      </c>
      <c r="H4665" s="403" t="s">
        <v>1281</v>
      </c>
      <c r="I4665" s="403">
        <v>1</v>
      </c>
      <c r="J4665" s="403" t="s">
        <v>194</v>
      </c>
      <c r="K4665" s="403">
        <v>3840</v>
      </c>
      <c r="L4665" s="403">
        <v>2160</v>
      </c>
      <c r="M4665" s="403" t="s">
        <v>109</v>
      </c>
      <c r="N4665" s="403">
        <v>1280</v>
      </c>
      <c r="O4665" s="403">
        <v>720</v>
      </c>
      <c r="P4665" t="str">
        <f t="shared" si="577"/>
        <v>20fps 3840x2160 - 720p</v>
      </c>
      <c r="Q4665">
        <f t="shared" si="578"/>
        <v>21</v>
      </c>
      <c r="R4665" t="str">
        <f t="shared" si="579"/>
        <v/>
      </c>
      <c r="S4665" t="str">
        <f t="shared" si="580"/>
        <v/>
      </c>
      <c r="T4665" s="403" t="str">
        <f t="shared" si="581"/>
        <v>NDE-8504-R</v>
      </c>
      <c r="U4665" s="403">
        <f t="shared" si="582"/>
        <v>1</v>
      </c>
      <c r="V4665" s="403" t="str">
        <f t="shared" si="583"/>
        <v>CPP_7_3</v>
      </c>
    </row>
    <row r="4666" spans="1:22">
      <c r="A4666" t="str">
        <f t="shared" si="576"/>
        <v>NDE-8504-R</v>
      </c>
      <c r="B4666" s="403" t="s">
        <v>1410</v>
      </c>
      <c r="C4666" s="403" t="s">
        <v>582</v>
      </c>
      <c r="D4666" s="403" t="s">
        <v>1418</v>
      </c>
      <c r="E4666" s="403" t="s">
        <v>1412</v>
      </c>
      <c r="F4666" s="403" t="s">
        <v>1419</v>
      </c>
      <c r="G4666" s="403" t="s">
        <v>1466</v>
      </c>
      <c r="H4666" s="403" t="s">
        <v>1281</v>
      </c>
      <c r="I4666" s="403">
        <v>1</v>
      </c>
      <c r="J4666" s="403" t="s">
        <v>194</v>
      </c>
      <c r="K4666" s="403">
        <v>3840</v>
      </c>
      <c r="L4666" s="403">
        <v>2160</v>
      </c>
      <c r="M4666" s="403" t="s">
        <v>1283</v>
      </c>
      <c r="N4666" s="403">
        <v>720</v>
      </c>
      <c r="O4666" s="403">
        <v>480</v>
      </c>
      <c r="P4666" t="str">
        <f t="shared" si="577"/>
        <v>20fps 3840x2160 - SD 4CIF resolution 4:3 format (cropped)</v>
      </c>
      <c r="Q4666">
        <f t="shared" si="578"/>
        <v>21</v>
      </c>
      <c r="R4666" t="str">
        <f t="shared" si="579"/>
        <v/>
      </c>
      <c r="S4666" t="str">
        <f t="shared" si="580"/>
        <v/>
      </c>
      <c r="T4666" s="403" t="str">
        <f t="shared" si="581"/>
        <v>NDE-8504-R</v>
      </c>
      <c r="U4666" s="403">
        <f t="shared" si="582"/>
        <v>1</v>
      </c>
      <c r="V4666" s="403" t="str">
        <f t="shared" si="583"/>
        <v>CPP_7_3</v>
      </c>
    </row>
    <row r="4667" spans="1:22">
      <c r="A4667" t="str">
        <f t="shared" si="576"/>
        <v>NDE-8504-R</v>
      </c>
      <c r="B4667" s="403" t="s">
        <v>1410</v>
      </c>
      <c r="C4667" s="403" t="s">
        <v>582</v>
      </c>
      <c r="D4667" s="403" t="s">
        <v>1418</v>
      </c>
      <c r="E4667" s="403" t="s">
        <v>1412</v>
      </c>
      <c r="F4667" s="403" t="s">
        <v>1419</v>
      </c>
      <c r="G4667" s="403" t="s">
        <v>1466</v>
      </c>
      <c r="H4667" s="403" t="s">
        <v>1281</v>
      </c>
      <c r="I4667" s="403">
        <v>1</v>
      </c>
      <c r="J4667" s="403" t="s">
        <v>194</v>
      </c>
      <c r="K4667" s="403">
        <v>3840</v>
      </c>
      <c r="L4667" s="403">
        <v>2160</v>
      </c>
      <c r="M4667" s="403" t="s">
        <v>1284</v>
      </c>
      <c r="N4667" s="403">
        <v>640</v>
      </c>
      <c r="O4667" s="403">
        <v>480</v>
      </c>
      <c r="P4667" t="str">
        <f t="shared" si="577"/>
        <v>20fps 3840x2160 - SD VGA (cropped)</v>
      </c>
      <c r="Q4667">
        <f t="shared" si="578"/>
        <v>21</v>
      </c>
      <c r="R4667" t="str">
        <f t="shared" si="579"/>
        <v/>
      </c>
      <c r="S4667" t="str">
        <f t="shared" si="580"/>
        <v/>
      </c>
      <c r="T4667" s="403" t="str">
        <f t="shared" si="581"/>
        <v>NDE-8504-R</v>
      </c>
      <c r="U4667" s="403">
        <f t="shared" si="582"/>
        <v>1</v>
      </c>
      <c r="V4667" s="403" t="str">
        <f t="shared" si="583"/>
        <v>CPP_7_3</v>
      </c>
    </row>
    <row r="4668" spans="1:22">
      <c r="A4668" t="str">
        <f t="shared" si="576"/>
        <v>NDE-8504-R</v>
      </c>
      <c r="B4668" s="403" t="s">
        <v>1410</v>
      </c>
      <c r="C4668" s="403" t="s">
        <v>582</v>
      </c>
      <c r="D4668" s="403" t="s">
        <v>1418</v>
      </c>
      <c r="E4668" s="403" t="s">
        <v>1412</v>
      </c>
      <c r="F4668" s="403" t="s">
        <v>1419</v>
      </c>
      <c r="G4668" s="403" t="s">
        <v>1466</v>
      </c>
      <c r="H4668" s="403" t="s">
        <v>1281</v>
      </c>
      <c r="I4668" s="403">
        <v>1</v>
      </c>
      <c r="J4668" s="403" t="s">
        <v>194</v>
      </c>
      <c r="K4668" s="403">
        <v>3840</v>
      </c>
      <c r="L4668" s="403">
        <v>2160</v>
      </c>
      <c r="M4668" s="403" t="s">
        <v>1285</v>
      </c>
      <c r="N4668" s="403">
        <v>1280</v>
      </c>
      <c r="O4668" s="403">
        <v>1024</v>
      </c>
      <c r="P4668" t="str">
        <f t="shared" si="577"/>
        <v>20fps 3840x2160 - 1280x1024 5:4 (cropped)</v>
      </c>
      <c r="Q4668">
        <f t="shared" si="578"/>
        <v>21</v>
      </c>
      <c r="R4668" t="str">
        <f t="shared" si="579"/>
        <v/>
      </c>
      <c r="S4668" t="str">
        <f t="shared" si="580"/>
        <v/>
      </c>
      <c r="T4668" s="403" t="str">
        <f t="shared" si="581"/>
        <v>NDE-8504-R</v>
      </c>
      <c r="U4668" s="403">
        <f t="shared" si="582"/>
        <v>1</v>
      </c>
      <c r="V4668" s="403" t="str">
        <f t="shared" si="583"/>
        <v>CPP_7_3</v>
      </c>
    </row>
    <row r="4669" spans="1:22">
      <c r="A4669" t="str">
        <f t="shared" si="576"/>
        <v>NDE-8504-R</v>
      </c>
      <c r="B4669" s="403" t="s">
        <v>1410</v>
      </c>
      <c r="C4669" s="403" t="s">
        <v>582</v>
      </c>
      <c r="D4669" s="403" t="s">
        <v>1418</v>
      </c>
      <c r="E4669" s="403" t="s">
        <v>1412</v>
      </c>
      <c r="F4669" s="403" t="s">
        <v>1419</v>
      </c>
      <c r="G4669" s="403" t="s">
        <v>1466</v>
      </c>
      <c r="H4669" s="403" t="s">
        <v>1281</v>
      </c>
      <c r="I4669" s="403">
        <v>1</v>
      </c>
      <c r="J4669" s="403" t="s">
        <v>194</v>
      </c>
      <c r="K4669" s="403">
        <v>3840</v>
      </c>
      <c r="L4669" s="403">
        <v>2160</v>
      </c>
      <c r="M4669" s="403" t="s">
        <v>1383</v>
      </c>
      <c r="N4669" s="403">
        <v>1920</v>
      </c>
      <c r="O4669" s="403">
        <v>1440</v>
      </c>
      <c r="P4669" t="str">
        <f t="shared" si="577"/>
        <v>20fps 3840x2160 - 1920x1440_CROP</v>
      </c>
      <c r="Q4669">
        <f t="shared" si="578"/>
        <v>21</v>
      </c>
      <c r="R4669" t="str">
        <f t="shared" si="579"/>
        <v/>
      </c>
      <c r="S4669" t="str">
        <f t="shared" si="580"/>
        <v/>
      </c>
      <c r="T4669" s="403" t="str">
        <f t="shared" si="581"/>
        <v>NDE-8504-R</v>
      </c>
      <c r="U4669" s="403">
        <f t="shared" si="582"/>
        <v>1</v>
      </c>
      <c r="V4669" s="403" t="str">
        <f t="shared" si="583"/>
        <v>CPP_7_3</v>
      </c>
    </row>
    <row r="4670" spans="1:22">
      <c r="A4670" t="str">
        <f t="shared" si="576"/>
        <v>NDE-8504-R</v>
      </c>
      <c r="B4670" s="403" t="s">
        <v>1410</v>
      </c>
      <c r="C4670" s="403" t="s">
        <v>582</v>
      </c>
      <c r="D4670" s="403" t="s">
        <v>1418</v>
      </c>
      <c r="E4670" s="403" t="s">
        <v>1412</v>
      </c>
      <c r="F4670" s="403" t="s">
        <v>1419</v>
      </c>
      <c r="G4670" s="403" t="s">
        <v>1466</v>
      </c>
      <c r="H4670" s="403" t="s">
        <v>1281</v>
      </c>
      <c r="I4670" s="403">
        <v>1</v>
      </c>
      <c r="J4670" s="403" t="s">
        <v>1324</v>
      </c>
      <c r="K4670" s="403">
        <v>3584</v>
      </c>
      <c r="L4670" s="403">
        <v>2016</v>
      </c>
      <c r="M4670" s="403" t="s">
        <v>111</v>
      </c>
      <c r="N4670" s="403">
        <v>768</v>
      </c>
      <c r="O4670" s="403">
        <v>432</v>
      </c>
      <c r="P4670" t="str">
        <f t="shared" si="577"/>
        <v>20fps 3584x2016 - SD</v>
      </c>
      <c r="Q4670">
        <f t="shared" si="578"/>
        <v>21</v>
      </c>
      <c r="R4670" t="str">
        <f t="shared" si="579"/>
        <v/>
      </c>
      <c r="S4670" t="str">
        <f t="shared" si="580"/>
        <v/>
      </c>
      <c r="T4670" s="403" t="str">
        <f t="shared" si="581"/>
        <v>NDE-8504-R</v>
      </c>
      <c r="U4670" s="403">
        <f t="shared" si="582"/>
        <v>1</v>
      </c>
      <c r="V4670" s="403" t="str">
        <f t="shared" si="583"/>
        <v>CPP_7_3</v>
      </c>
    </row>
    <row r="4671" spans="1:22">
      <c r="A4671" t="str">
        <f t="shared" si="576"/>
        <v>NDE-8504-R</v>
      </c>
      <c r="B4671" s="403" t="s">
        <v>1410</v>
      </c>
      <c r="C4671" s="403" t="s">
        <v>582</v>
      </c>
      <c r="D4671" s="403" t="s">
        <v>1418</v>
      </c>
      <c r="E4671" s="403" t="s">
        <v>1412</v>
      </c>
      <c r="F4671" s="403" t="s">
        <v>1419</v>
      </c>
      <c r="G4671" s="403" t="s">
        <v>1466</v>
      </c>
      <c r="H4671" s="403" t="s">
        <v>1281</v>
      </c>
      <c r="I4671" s="403">
        <v>1</v>
      </c>
      <c r="J4671" s="403" t="s">
        <v>1324</v>
      </c>
      <c r="K4671" s="403">
        <v>3584</v>
      </c>
      <c r="L4671" s="403">
        <v>2016</v>
      </c>
      <c r="M4671" s="403" t="s">
        <v>1280</v>
      </c>
      <c r="N4671" s="403">
        <v>3584</v>
      </c>
      <c r="O4671" s="403">
        <v>2016</v>
      </c>
      <c r="P4671" t="str">
        <f t="shared" si="577"/>
        <v>20fps 3584x2016 - copy other stream</v>
      </c>
      <c r="Q4671">
        <f t="shared" si="578"/>
        <v>21</v>
      </c>
      <c r="R4671" t="str">
        <f t="shared" si="579"/>
        <v/>
      </c>
      <c r="S4671" t="str">
        <f t="shared" si="580"/>
        <v/>
      </c>
      <c r="T4671" s="403" t="str">
        <f t="shared" si="581"/>
        <v>NDE-8504-R</v>
      </c>
      <c r="U4671" s="403">
        <f t="shared" si="582"/>
        <v>1</v>
      </c>
      <c r="V4671" s="403" t="str">
        <f t="shared" si="583"/>
        <v>CPP_7_3</v>
      </c>
    </row>
    <row r="4672" spans="1:22">
      <c r="A4672" t="str">
        <f t="shared" si="576"/>
        <v>NDE-8504-R</v>
      </c>
      <c r="B4672" s="403" t="s">
        <v>1410</v>
      </c>
      <c r="C4672" s="403" t="s">
        <v>582</v>
      </c>
      <c r="D4672" s="403" t="s">
        <v>1418</v>
      </c>
      <c r="E4672" s="403" t="s">
        <v>1412</v>
      </c>
      <c r="F4672" s="403" t="s">
        <v>1419</v>
      </c>
      <c r="G4672" s="403" t="s">
        <v>1466</v>
      </c>
      <c r="H4672" s="403" t="s">
        <v>1281</v>
      </c>
      <c r="I4672" s="403">
        <v>1</v>
      </c>
      <c r="J4672" s="403" t="s">
        <v>1324</v>
      </c>
      <c r="K4672" s="403">
        <v>3584</v>
      </c>
      <c r="L4672" s="403">
        <v>2016</v>
      </c>
      <c r="M4672" s="403" t="s">
        <v>1421</v>
      </c>
      <c r="N4672" s="403">
        <v>3584</v>
      </c>
      <c r="O4672" s="403">
        <v>2016</v>
      </c>
      <c r="P4672" t="str">
        <f t="shared" si="577"/>
        <v>20fps 3584x2016 - 3584x2016 @ SKIP2</v>
      </c>
      <c r="Q4672">
        <f t="shared" si="578"/>
        <v>21</v>
      </c>
      <c r="R4672" t="str">
        <f t="shared" si="579"/>
        <v/>
      </c>
      <c r="S4672" t="str">
        <f t="shared" si="580"/>
        <v/>
      </c>
      <c r="T4672" s="403" t="str">
        <f t="shared" si="581"/>
        <v>NDE-8504-R</v>
      </c>
      <c r="U4672" s="403">
        <f t="shared" si="582"/>
        <v>1</v>
      </c>
      <c r="V4672" s="403" t="str">
        <f t="shared" si="583"/>
        <v>CPP_7_3</v>
      </c>
    </row>
    <row r="4673" spans="1:22">
      <c r="A4673" t="str">
        <f t="shared" si="576"/>
        <v>NDE-8504-R</v>
      </c>
      <c r="B4673" s="403" t="s">
        <v>1410</v>
      </c>
      <c r="C4673" s="403" t="s">
        <v>582</v>
      </c>
      <c r="D4673" s="403" t="s">
        <v>1418</v>
      </c>
      <c r="E4673" s="403" t="s">
        <v>1412</v>
      </c>
      <c r="F4673" s="403" t="s">
        <v>1419</v>
      </c>
      <c r="G4673" s="403" t="s">
        <v>1466</v>
      </c>
      <c r="H4673" s="403" t="s">
        <v>1281</v>
      </c>
      <c r="I4673" s="403">
        <v>1</v>
      </c>
      <c r="J4673" s="403" t="s">
        <v>1324</v>
      </c>
      <c r="K4673" s="403">
        <v>3584</v>
      </c>
      <c r="L4673" s="403">
        <v>2016</v>
      </c>
      <c r="M4673" s="403" t="s">
        <v>110</v>
      </c>
      <c r="N4673" s="403">
        <v>1920</v>
      </c>
      <c r="O4673" s="403">
        <v>1080</v>
      </c>
      <c r="P4673" t="str">
        <f t="shared" si="577"/>
        <v>20fps 3584x2016 - 1080p</v>
      </c>
      <c r="Q4673">
        <f t="shared" si="578"/>
        <v>21</v>
      </c>
      <c r="R4673" t="str">
        <f t="shared" si="579"/>
        <v/>
      </c>
      <c r="S4673" t="str">
        <f t="shared" si="580"/>
        <v/>
      </c>
      <c r="T4673" s="403" t="str">
        <f t="shared" si="581"/>
        <v>NDE-8504-R</v>
      </c>
      <c r="U4673" s="403">
        <f t="shared" si="582"/>
        <v>1</v>
      </c>
      <c r="V4673" s="403" t="str">
        <f t="shared" si="583"/>
        <v>CPP_7_3</v>
      </c>
    </row>
    <row r="4674" spans="1:22">
      <c r="A4674" t="str">
        <f t="shared" ref="A4674:A4737" si="584">IF(AND(G4674&lt;&gt;"rotate 90°"),D4674,"")</f>
        <v>NDE-8504-R</v>
      </c>
      <c r="B4674" s="403" t="s">
        <v>1410</v>
      </c>
      <c r="C4674" s="403" t="s">
        <v>582</v>
      </c>
      <c r="D4674" s="403" t="s">
        <v>1418</v>
      </c>
      <c r="E4674" s="403" t="s">
        <v>1412</v>
      </c>
      <c r="F4674" s="403" t="s">
        <v>1419</v>
      </c>
      <c r="G4674" s="403" t="s">
        <v>1466</v>
      </c>
      <c r="H4674" s="403" t="s">
        <v>1281</v>
      </c>
      <c r="I4674" s="403">
        <v>1</v>
      </c>
      <c r="J4674" s="403" t="s">
        <v>1324</v>
      </c>
      <c r="K4674" s="403">
        <v>3584</v>
      </c>
      <c r="L4674" s="403">
        <v>2016</v>
      </c>
      <c r="M4674" s="403" t="s">
        <v>109</v>
      </c>
      <c r="N4674" s="403">
        <v>1280</v>
      </c>
      <c r="O4674" s="403">
        <v>720</v>
      </c>
      <c r="P4674" t="str">
        <f t="shared" ref="P4674:P4737" si="585">LEFT(F4674,5)&amp;" "&amp;J4674&amp;" - "&amp;M4674</f>
        <v>20fps 3584x2016 - 720p</v>
      </c>
      <c r="Q4674">
        <f t="shared" ref="Q4674:Q4737" si="586">IF(A4673=A4674,Q4673,Q4673+1)</f>
        <v>21</v>
      </c>
      <c r="R4674" t="str">
        <f t="shared" ref="R4674:R4737" si="587">IF(Q4673&lt;&gt;Q4674,Q4674,"")</f>
        <v/>
      </c>
      <c r="S4674" t="str">
        <f t="shared" ref="S4674:S4737" si="588">IF(R4674&lt;&gt;"",B4674&amp;" ("&amp;D4674&amp;")","")</f>
        <v/>
      </c>
      <c r="T4674" s="403" t="str">
        <f t="shared" ref="T4674:T4737" si="589">D4674</f>
        <v>NDE-8504-R</v>
      </c>
      <c r="U4674" s="403">
        <f t="shared" ref="U4674:U4737" si="590">I4674</f>
        <v>1</v>
      </c>
      <c r="V4674" s="403" t="str">
        <f t="shared" ref="V4674:V4737" si="591">C4674</f>
        <v>CPP_7_3</v>
      </c>
    </row>
    <row r="4675" spans="1:22">
      <c r="A4675" t="str">
        <f t="shared" si="584"/>
        <v>NDE-8504-R</v>
      </c>
      <c r="B4675" s="403" t="s">
        <v>1410</v>
      </c>
      <c r="C4675" s="403" t="s">
        <v>582</v>
      </c>
      <c r="D4675" s="403" t="s">
        <v>1418</v>
      </c>
      <c r="E4675" s="403" t="s">
        <v>1412</v>
      </c>
      <c r="F4675" s="403" t="s">
        <v>1419</v>
      </c>
      <c r="G4675" s="403" t="s">
        <v>1466</v>
      </c>
      <c r="H4675" s="403" t="s">
        <v>1281</v>
      </c>
      <c r="I4675" s="403">
        <v>1</v>
      </c>
      <c r="J4675" s="403" t="s">
        <v>1324</v>
      </c>
      <c r="K4675" s="403">
        <v>3584</v>
      </c>
      <c r="L4675" s="403">
        <v>2016</v>
      </c>
      <c r="M4675" s="403" t="s">
        <v>1283</v>
      </c>
      <c r="N4675" s="403">
        <v>720</v>
      </c>
      <c r="O4675" s="403">
        <v>480</v>
      </c>
      <c r="P4675" t="str">
        <f t="shared" si="585"/>
        <v>20fps 3584x2016 - SD 4CIF resolution 4:3 format (cropped)</v>
      </c>
      <c r="Q4675">
        <f t="shared" si="586"/>
        <v>21</v>
      </c>
      <c r="R4675" t="str">
        <f t="shared" si="587"/>
        <v/>
      </c>
      <c r="S4675" t="str">
        <f t="shared" si="588"/>
        <v/>
      </c>
      <c r="T4675" s="403" t="str">
        <f t="shared" si="589"/>
        <v>NDE-8504-R</v>
      </c>
      <c r="U4675" s="403">
        <f t="shared" si="590"/>
        <v>1</v>
      </c>
      <c r="V4675" s="403" t="str">
        <f t="shared" si="591"/>
        <v>CPP_7_3</v>
      </c>
    </row>
    <row r="4676" spans="1:22">
      <c r="A4676" t="str">
        <f t="shared" si="584"/>
        <v>NDE-8504-R</v>
      </c>
      <c r="B4676" s="403" t="s">
        <v>1410</v>
      </c>
      <c r="C4676" s="403" t="s">
        <v>582</v>
      </c>
      <c r="D4676" s="403" t="s">
        <v>1418</v>
      </c>
      <c r="E4676" s="403" t="s">
        <v>1412</v>
      </c>
      <c r="F4676" s="403" t="s">
        <v>1419</v>
      </c>
      <c r="G4676" s="403" t="s">
        <v>1466</v>
      </c>
      <c r="H4676" s="403" t="s">
        <v>1281</v>
      </c>
      <c r="I4676" s="403">
        <v>1</v>
      </c>
      <c r="J4676" s="403" t="s">
        <v>1324</v>
      </c>
      <c r="K4676" s="403">
        <v>3584</v>
      </c>
      <c r="L4676" s="403">
        <v>2016</v>
      </c>
      <c r="M4676" s="403" t="s">
        <v>1279</v>
      </c>
      <c r="N4676" s="403">
        <v>768</v>
      </c>
      <c r="O4676" s="403">
        <v>432</v>
      </c>
      <c r="P4676" t="str">
        <f t="shared" si="585"/>
        <v>20fps 3584x2016 - SD ROI PTZ</v>
      </c>
      <c r="Q4676">
        <f t="shared" si="586"/>
        <v>21</v>
      </c>
      <c r="R4676" t="str">
        <f t="shared" si="587"/>
        <v/>
      </c>
      <c r="S4676" t="str">
        <f t="shared" si="588"/>
        <v/>
      </c>
      <c r="T4676" s="403" t="str">
        <f t="shared" si="589"/>
        <v>NDE-8504-R</v>
      </c>
      <c r="U4676" s="403">
        <f t="shared" si="590"/>
        <v>1</v>
      </c>
      <c r="V4676" s="403" t="str">
        <f t="shared" si="591"/>
        <v>CPP_7_3</v>
      </c>
    </row>
    <row r="4677" spans="1:22">
      <c r="A4677" t="str">
        <f t="shared" si="584"/>
        <v>NDE-8504-R</v>
      </c>
      <c r="B4677" s="403" t="s">
        <v>1410</v>
      </c>
      <c r="C4677" s="403" t="s">
        <v>582</v>
      </c>
      <c r="D4677" s="403" t="s">
        <v>1418</v>
      </c>
      <c r="E4677" s="403" t="s">
        <v>1412</v>
      </c>
      <c r="F4677" s="403" t="s">
        <v>1419</v>
      </c>
      <c r="G4677" s="403" t="s">
        <v>1466</v>
      </c>
      <c r="H4677" s="403" t="s">
        <v>1281</v>
      </c>
      <c r="I4677" s="403">
        <v>1</v>
      </c>
      <c r="J4677" s="403" t="s">
        <v>1324</v>
      </c>
      <c r="K4677" s="403">
        <v>3584</v>
      </c>
      <c r="L4677" s="403">
        <v>2016</v>
      </c>
      <c r="M4677" s="403" t="s">
        <v>1284</v>
      </c>
      <c r="N4677" s="403">
        <v>640</v>
      </c>
      <c r="O4677" s="403">
        <v>480</v>
      </c>
      <c r="P4677" t="str">
        <f t="shared" si="585"/>
        <v>20fps 3584x2016 - SD VGA (cropped)</v>
      </c>
      <c r="Q4677">
        <f t="shared" si="586"/>
        <v>21</v>
      </c>
      <c r="R4677" t="str">
        <f t="shared" si="587"/>
        <v/>
      </c>
      <c r="S4677" t="str">
        <f t="shared" si="588"/>
        <v/>
      </c>
      <c r="T4677" s="403" t="str">
        <f t="shared" si="589"/>
        <v>NDE-8504-R</v>
      </c>
      <c r="U4677" s="403">
        <f t="shared" si="590"/>
        <v>1</v>
      </c>
      <c r="V4677" s="403" t="str">
        <f t="shared" si="591"/>
        <v>CPP_7_3</v>
      </c>
    </row>
    <row r="4678" spans="1:22">
      <c r="A4678" t="str">
        <f t="shared" si="584"/>
        <v>NDE-8504-R</v>
      </c>
      <c r="B4678" s="403" t="s">
        <v>1410</v>
      </c>
      <c r="C4678" s="403" t="s">
        <v>582</v>
      </c>
      <c r="D4678" s="403" t="s">
        <v>1418</v>
      </c>
      <c r="E4678" s="403" t="s">
        <v>1412</v>
      </c>
      <c r="F4678" s="403" t="s">
        <v>1419</v>
      </c>
      <c r="G4678" s="403" t="s">
        <v>1466</v>
      </c>
      <c r="H4678" s="403" t="s">
        <v>1281</v>
      </c>
      <c r="I4678" s="403">
        <v>1</v>
      </c>
      <c r="J4678" s="403" t="s">
        <v>1324</v>
      </c>
      <c r="K4678" s="403">
        <v>3584</v>
      </c>
      <c r="L4678" s="403">
        <v>2016</v>
      </c>
      <c r="M4678" s="403" t="s">
        <v>1285</v>
      </c>
      <c r="N4678" s="403">
        <v>1280</v>
      </c>
      <c r="O4678" s="403">
        <v>1024</v>
      </c>
      <c r="P4678" t="str">
        <f t="shared" si="585"/>
        <v>20fps 3584x2016 - 1280x1024 5:4 (cropped)</v>
      </c>
      <c r="Q4678">
        <f t="shared" si="586"/>
        <v>21</v>
      </c>
      <c r="R4678" t="str">
        <f t="shared" si="587"/>
        <v/>
      </c>
      <c r="S4678" t="str">
        <f t="shared" si="588"/>
        <v/>
      </c>
      <c r="T4678" s="403" t="str">
        <f t="shared" si="589"/>
        <v>NDE-8504-R</v>
      </c>
      <c r="U4678" s="403">
        <f t="shared" si="590"/>
        <v>1</v>
      </c>
      <c r="V4678" s="403" t="str">
        <f t="shared" si="591"/>
        <v>CPP_7_3</v>
      </c>
    </row>
    <row r="4679" spans="1:22">
      <c r="A4679" t="str">
        <f t="shared" si="584"/>
        <v>NDE-8504-R</v>
      </c>
      <c r="B4679" s="403" t="s">
        <v>1410</v>
      </c>
      <c r="C4679" s="403" t="s">
        <v>582</v>
      </c>
      <c r="D4679" s="403" t="s">
        <v>1418</v>
      </c>
      <c r="E4679" s="403" t="s">
        <v>1412</v>
      </c>
      <c r="F4679" s="403" t="s">
        <v>1419</v>
      </c>
      <c r="G4679" s="403" t="s">
        <v>1466</v>
      </c>
      <c r="H4679" s="403" t="s">
        <v>1281</v>
      </c>
      <c r="I4679" s="403">
        <v>1</v>
      </c>
      <c r="J4679" s="403" t="s">
        <v>1324</v>
      </c>
      <c r="K4679" s="403">
        <v>3584</v>
      </c>
      <c r="L4679" s="403">
        <v>2016</v>
      </c>
      <c r="M4679" s="403" t="s">
        <v>1383</v>
      </c>
      <c r="N4679" s="403">
        <v>1920</v>
      </c>
      <c r="O4679" s="403">
        <v>1440</v>
      </c>
      <c r="P4679" t="str">
        <f t="shared" si="585"/>
        <v>20fps 3584x2016 - 1920x1440_CROP</v>
      </c>
      <c r="Q4679">
        <f t="shared" si="586"/>
        <v>21</v>
      </c>
      <c r="R4679" t="str">
        <f t="shared" si="587"/>
        <v/>
      </c>
      <c r="S4679" t="str">
        <f t="shared" si="588"/>
        <v/>
      </c>
      <c r="T4679" s="403" t="str">
        <f t="shared" si="589"/>
        <v>NDE-8504-R</v>
      </c>
      <c r="U4679" s="403">
        <f t="shared" si="590"/>
        <v>1</v>
      </c>
      <c r="V4679" s="403" t="str">
        <f t="shared" si="591"/>
        <v>CPP_7_3</v>
      </c>
    </row>
    <row r="4680" spans="1:22">
      <c r="A4680" t="str">
        <f t="shared" si="584"/>
        <v>NDE-8504-R</v>
      </c>
      <c r="B4680" s="403" t="s">
        <v>1410</v>
      </c>
      <c r="C4680" s="403" t="s">
        <v>582</v>
      </c>
      <c r="D4680" s="403" t="s">
        <v>1418</v>
      </c>
      <c r="E4680" s="403" t="s">
        <v>1412</v>
      </c>
      <c r="F4680" s="403" t="s">
        <v>1419</v>
      </c>
      <c r="G4680" s="403" t="s">
        <v>1467</v>
      </c>
      <c r="H4680" s="403" t="s">
        <v>1276</v>
      </c>
      <c r="I4680" s="403">
        <v>1</v>
      </c>
      <c r="J4680" s="403" t="s">
        <v>194</v>
      </c>
      <c r="K4680" s="403">
        <v>2160</v>
      </c>
      <c r="L4680" s="403">
        <v>3840</v>
      </c>
      <c r="M4680" s="403" t="s">
        <v>111</v>
      </c>
      <c r="N4680" s="403">
        <v>432</v>
      </c>
      <c r="O4680" s="403">
        <v>768</v>
      </c>
      <c r="P4680" t="str">
        <f t="shared" si="585"/>
        <v>20fps 3840x2160 - SD</v>
      </c>
      <c r="Q4680">
        <f t="shared" si="586"/>
        <v>21</v>
      </c>
      <c r="R4680" t="str">
        <f t="shared" si="587"/>
        <v/>
      </c>
      <c r="S4680" t="str">
        <f t="shared" si="588"/>
        <v/>
      </c>
      <c r="T4680" s="403" t="str">
        <f t="shared" si="589"/>
        <v>NDE-8504-R</v>
      </c>
      <c r="U4680" s="403">
        <f t="shared" si="590"/>
        <v>1</v>
      </c>
      <c r="V4680" s="403" t="str">
        <f t="shared" si="591"/>
        <v>CPP_7_3</v>
      </c>
    </row>
    <row r="4681" spans="1:22">
      <c r="A4681" t="str">
        <f t="shared" si="584"/>
        <v>NDE-8504-R</v>
      </c>
      <c r="B4681" s="403" t="s">
        <v>1410</v>
      </c>
      <c r="C4681" s="403" t="s">
        <v>582</v>
      </c>
      <c r="D4681" s="403" t="s">
        <v>1418</v>
      </c>
      <c r="E4681" s="403" t="s">
        <v>1412</v>
      </c>
      <c r="F4681" s="403" t="s">
        <v>1419</v>
      </c>
      <c r="G4681" s="403" t="s">
        <v>1467</v>
      </c>
      <c r="H4681" s="403" t="s">
        <v>1276</v>
      </c>
      <c r="I4681" s="403">
        <v>1</v>
      </c>
      <c r="J4681" s="403" t="s">
        <v>194</v>
      </c>
      <c r="K4681" s="403">
        <v>2160</v>
      </c>
      <c r="L4681" s="403">
        <v>3840</v>
      </c>
      <c r="M4681" s="403" t="s">
        <v>1280</v>
      </c>
      <c r="N4681" s="403">
        <v>2160</v>
      </c>
      <c r="O4681" s="403">
        <v>3840</v>
      </c>
      <c r="P4681" t="str">
        <f t="shared" si="585"/>
        <v>20fps 3840x2160 - copy other stream</v>
      </c>
      <c r="Q4681">
        <f t="shared" si="586"/>
        <v>21</v>
      </c>
      <c r="R4681" t="str">
        <f t="shared" si="587"/>
        <v/>
      </c>
      <c r="S4681" t="str">
        <f t="shared" si="588"/>
        <v/>
      </c>
      <c r="T4681" s="403" t="str">
        <f t="shared" si="589"/>
        <v>NDE-8504-R</v>
      </c>
      <c r="U4681" s="403">
        <f t="shared" si="590"/>
        <v>1</v>
      </c>
      <c r="V4681" s="403" t="str">
        <f t="shared" si="591"/>
        <v>CPP_7_3</v>
      </c>
    </row>
    <row r="4682" spans="1:22">
      <c r="A4682" t="str">
        <f t="shared" si="584"/>
        <v>NDE-8504-R</v>
      </c>
      <c r="B4682" s="403" t="s">
        <v>1410</v>
      </c>
      <c r="C4682" s="403" t="s">
        <v>582</v>
      </c>
      <c r="D4682" s="403" t="s">
        <v>1418</v>
      </c>
      <c r="E4682" s="403" t="s">
        <v>1412</v>
      </c>
      <c r="F4682" s="403" t="s">
        <v>1419</v>
      </c>
      <c r="G4682" s="403" t="s">
        <v>1467</v>
      </c>
      <c r="H4682" s="403" t="s">
        <v>1276</v>
      </c>
      <c r="I4682" s="403">
        <v>1</v>
      </c>
      <c r="J4682" s="403" t="s">
        <v>194</v>
      </c>
      <c r="K4682" s="403">
        <v>2160</v>
      </c>
      <c r="L4682" s="403">
        <v>3840</v>
      </c>
      <c r="M4682" s="403" t="s">
        <v>1420</v>
      </c>
      <c r="N4682" s="403">
        <v>2160</v>
      </c>
      <c r="O4682" s="403">
        <v>3840</v>
      </c>
      <c r="P4682" t="str">
        <f t="shared" si="585"/>
        <v>20fps 3840x2160 - 3840x2160 @ SKIP3</v>
      </c>
      <c r="Q4682">
        <f t="shared" si="586"/>
        <v>21</v>
      </c>
      <c r="R4682" t="str">
        <f t="shared" si="587"/>
        <v/>
      </c>
      <c r="S4682" t="str">
        <f t="shared" si="588"/>
        <v/>
      </c>
      <c r="T4682" s="403" t="str">
        <f t="shared" si="589"/>
        <v>NDE-8504-R</v>
      </c>
      <c r="U4682" s="403">
        <f t="shared" si="590"/>
        <v>1</v>
      </c>
      <c r="V4682" s="403" t="str">
        <f t="shared" si="591"/>
        <v>CPP_7_3</v>
      </c>
    </row>
    <row r="4683" spans="1:22">
      <c r="A4683" t="str">
        <f t="shared" si="584"/>
        <v>NDE-8504-R</v>
      </c>
      <c r="B4683" s="403" t="s">
        <v>1410</v>
      </c>
      <c r="C4683" s="403" t="s">
        <v>582</v>
      </c>
      <c r="D4683" s="403" t="s">
        <v>1418</v>
      </c>
      <c r="E4683" s="403" t="s">
        <v>1412</v>
      </c>
      <c r="F4683" s="403" t="s">
        <v>1419</v>
      </c>
      <c r="G4683" s="403" t="s">
        <v>1467</v>
      </c>
      <c r="H4683" s="403" t="s">
        <v>1276</v>
      </c>
      <c r="I4683" s="403">
        <v>1</v>
      </c>
      <c r="J4683" s="403" t="s">
        <v>194</v>
      </c>
      <c r="K4683" s="403">
        <v>2160</v>
      </c>
      <c r="L4683" s="403">
        <v>3840</v>
      </c>
      <c r="M4683" s="403" t="s">
        <v>110</v>
      </c>
      <c r="N4683" s="403">
        <v>1080</v>
      </c>
      <c r="O4683" s="403">
        <v>1920</v>
      </c>
      <c r="P4683" t="str">
        <f t="shared" si="585"/>
        <v>20fps 3840x2160 - 1080p</v>
      </c>
      <c r="Q4683">
        <f t="shared" si="586"/>
        <v>21</v>
      </c>
      <c r="R4683" t="str">
        <f t="shared" si="587"/>
        <v/>
      </c>
      <c r="S4683" t="str">
        <f t="shared" si="588"/>
        <v/>
      </c>
      <c r="T4683" s="403" t="str">
        <f t="shared" si="589"/>
        <v>NDE-8504-R</v>
      </c>
      <c r="U4683" s="403">
        <f t="shared" si="590"/>
        <v>1</v>
      </c>
      <c r="V4683" s="403" t="str">
        <f t="shared" si="591"/>
        <v>CPP_7_3</v>
      </c>
    </row>
    <row r="4684" spans="1:22">
      <c r="A4684" t="str">
        <f t="shared" si="584"/>
        <v>NDE-8504-R</v>
      </c>
      <c r="B4684" s="403" t="s">
        <v>1410</v>
      </c>
      <c r="C4684" s="403" t="s">
        <v>582</v>
      </c>
      <c r="D4684" s="403" t="s">
        <v>1418</v>
      </c>
      <c r="E4684" s="403" t="s">
        <v>1412</v>
      </c>
      <c r="F4684" s="403" t="s">
        <v>1419</v>
      </c>
      <c r="G4684" s="403" t="s">
        <v>1467</v>
      </c>
      <c r="H4684" s="403" t="s">
        <v>1276</v>
      </c>
      <c r="I4684" s="403">
        <v>1</v>
      </c>
      <c r="J4684" s="403" t="s">
        <v>194</v>
      </c>
      <c r="K4684" s="403">
        <v>2160</v>
      </c>
      <c r="L4684" s="403">
        <v>3840</v>
      </c>
      <c r="M4684" s="403" t="s">
        <v>109</v>
      </c>
      <c r="N4684" s="403">
        <v>720</v>
      </c>
      <c r="O4684" s="403">
        <v>1280</v>
      </c>
      <c r="P4684" t="str">
        <f t="shared" si="585"/>
        <v>20fps 3840x2160 - 720p</v>
      </c>
      <c r="Q4684">
        <f t="shared" si="586"/>
        <v>21</v>
      </c>
      <c r="R4684" t="str">
        <f t="shared" si="587"/>
        <v/>
      </c>
      <c r="S4684" t="str">
        <f t="shared" si="588"/>
        <v/>
      </c>
      <c r="T4684" s="403" t="str">
        <f t="shared" si="589"/>
        <v>NDE-8504-R</v>
      </c>
      <c r="U4684" s="403">
        <f t="shared" si="590"/>
        <v>1</v>
      </c>
      <c r="V4684" s="403" t="str">
        <f t="shared" si="591"/>
        <v>CPP_7_3</v>
      </c>
    </row>
    <row r="4685" spans="1:22">
      <c r="A4685" t="str">
        <f t="shared" si="584"/>
        <v>NDE-8504-R</v>
      </c>
      <c r="B4685" s="403" t="s">
        <v>1410</v>
      </c>
      <c r="C4685" s="403" t="s">
        <v>582</v>
      </c>
      <c r="D4685" s="403" t="s">
        <v>1418</v>
      </c>
      <c r="E4685" s="403" t="s">
        <v>1412</v>
      </c>
      <c r="F4685" s="403" t="s">
        <v>1419</v>
      </c>
      <c r="G4685" s="403" t="s">
        <v>1467</v>
      </c>
      <c r="H4685" s="403" t="s">
        <v>1276</v>
      </c>
      <c r="I4685" s="403">
        <v>1</v>
      </c>
      <c r="J4685" s="403" t="s">
        <v>194</v>
      </c>
      <c r="K4685" s="403">
        <v>2160</v>
      </c>
      <c r="L4685" s="403">
        <v>3840</v>
      </c>
      <c r="M4685" s="403" t="s">
        <v>1283</v>
      </c>
      <c r="N4685" s="403">
        <v>480</v>
      </c>
      <c r="O4685" s="403">
        <v>720</v>
      </c>
      <c r="P4685" t="str">
        <f t="shared" si="585"/>
        <v>20fps 3840x2160 - SD 4CIF resolution 4:3 format (cropped)</v>
      </c>
      <c r="Q4685">
        <f t="shared" si="586"/>
        <v>21</v>
      </c>
      <c r="R4685" t="str">
        <f t="shared" si="587"/>
        <v/>
      </c>
      <c r="S4685" t="str">
        <f t="shared" si="588"/>
        <v/>
      </c>
      <c r="T4685" s="403" t="str">
        <f t="shared" si="589"/>
        <v>NDE-8504-R</v>
      </c>
      <c r="U4685" s="403">
        <f t="shared" si="590"/>
        <v>1</v>
      </c>
      <c r="V4685" s="403" t="str">
        <f t="shared" si="591"/>
        <v>CPP_7_3</v>
      </c>
    </row>
    <row r="4686" spans="1:22">
      <c r="A4686" t="str">
        <f t="shared" si="584"/>
        <v>NDE-8504-R</v>
      </c>
      <c r="B4686" s="403" t="s">
        <v>1410</v>
      </c>
      <c r="C4686" s="403" t="s">
        <v>582</v>
      </c>
      <c r="D4686" s="403" t="s">
        <v>1418</v>
      </c>
      <c r="E4686" s="403" t="s">
        <v>1412</v>
      </c>
      <c r="F4686" s="403" t="s">
        <v>1419</v>
      </c>
      <c r="G4686" s="403" t="s">
        <v>1467</v>
      </c>
      <c r="H4686" s="403" t="s">
        <v>1276</v>
      </c>
      <c r="I4686" s="403">
        <v>1</v>
      </c>
      <c r="J4686" s="403" t="s">
        <v>194</v>
      </c>
      <c r="K4686" s="403">
        <v>2160</v>
      </c>
      <c r="L4686" s="403">
        <v>3840</v>
      </c>
      <c r="M4686" s="403" t="s">
        <v>1284</v>
      </c>
      <c r="N4686" s="403">
        <v>480</v>
      </c>
      <c r="O4686" s="403">
        <v>640</v>
      </c>
      <c r="P4686" t="str">
        <f t="shared" si="585"/>
        <v>20fps 3840x2160 - SD VGA (cropped)</v>
      </c>
      <c r="Q4686">
        <f t="shared" si="586"/>
        <v>21</v>
      </c>
      <c r="R4686" t="str">
        <f t="shared" si="587"/>
        <v/>
      </c>
      <c r="S4686" t="str">
        <f t="shared" si="588"/>
        <v/>
      </c>
      <c r="T4686" s="403" t="str">
        <f t="shared" si="589"/>
        <v>NDE-8504-R</v>
      </c>
      <c r="U4686" s="403">
        <f t="shared" si="590"/>
        <v>1</v>
      </c>
      <c r="V4686" s="403" t="str">
        <f t="shared" si="591"/>
        <v>CPP_7_3</v>
      </c>
    </row>
    <row r="4687" spans="1:22">
      <c r="A4687" t="str">
        <f t="shared" si="584"/>
        <v>NDE-8504-R</v>
      </c>
      <c r="B4687" s="403" t="s">
        <v>1410</v>
      </c>
      <c r="C4687" s="403" t="s">
        <v>582</v>
      </c>
      <c r="D4687" s="403" t="s">
        <v>1418</v>
      </c>
      <c r="E4687" s="403" t="s">
        <v>1412</v>
      </c>
      <c r="F4687" s="403" t="s">
        <v>1419</v>
      </c>
      <c r="G4687" s="403" t="s">
        <v>1467</v>
      </c>
      <c r="H4687" s="403" t="s">
        <v>1276</v>
      </c>
      <c r="I4687" s="403">
        <v>1</v>
      </c>
      <c r="J4687" s="403" t="s">
        <v>194</v>
      </c>
      <c r="K4687" s="403">
        <v>2160</v>
      </c>
      <c r="L4687" s="403">
        <v>3840</v>
      </c>
      <c r="M4687" s="403" t="s">
        <v>1285</v>
      </c>
      <c r="N4687" s="403">
        <v>1024</v>
      </c>
      <c r="O4687" s="403">
        <v>1280</v>
      </c>
      <c r="P4687" t="str">
        <f t="shared" si="585"/>
        <v>20fps 3840x2160 - 1280x1024 5:4 (cropped)</v>
      </c>
      <c r="Q4687">
        <f t="shared" si="586"/>
        <v>21</v>
      </c>
      <c r="R4687" t="str">
        <f t="shared" si="587"/>
        <v/>
      </c>
      <c r="S4687" t="str">
        <f t="shared" si="588"/>
        <v/>
      </c>
      <c r="T4687" s="403" t="str">
        <f t="shared" si="589"/>
        <v>NDE-8504-R</v>
      </c>
      <c r="U4687" s="403">
        <f t="shared" si="590"/>
        <v>1</v>
      </c>
      <c r="V4687" s="403" t="str">
        <f t="shared" si="591"/>
        <v>CPP_7_3</v>
      </c>
    </row>
    <row r="4688" spans="1:22">
      <c r="A4688" t="str">
        <f t="shared" si="584"/>
        <v>NDE-8504-R</v>
      </c>
      <c r="B4688" s="403" t="s">
        <v>1410</v>
      </c>
      <c r="C4688" s="403" t="s">
        <v>582</v>
      </c>
      <c r="D4688" s="403" t="s">
        <v>1418</v>
      </c>
      <c r="E4688" s="403" t="s">
        <v>1412</v>
      </c>
      <c r="F4688" s="403" t="s">
        <v>1419</v>
      </c>
      <c r="G4688" s="403" t="s">
        <v>1467</v>
      </c>
      <c r="H4688" s="403" t="s">
        <v>1276</v>
      </c>
      <c r="I4688" s="403">
        <v>1</v>
      </c>
      <c r="J4688" s="403" t="s">
        <v>194</v>
      </c>
      <c r="K4688" s="403">
        <v>2160</v>
      </c>
      <c r="L4688" s="403">
        <v>3840</v>
      </c>
      <c r="M4688" s="403" t="s">
        <v>1383</v>
      </c>
      <c r="N4688" s="403">
        <v>1440</v>
      </c>
      <c r="O4688" s="403">
        <v>1920</v>
      </c>
      <c r="P4688" t="str">
        <f t="shared" si="585"/>
        <v>20fps 3840x2160 - 1920x1440_CROP</v>
      </c>
      <c r="Q4688">
        <f t="shared" si="586"/>
        <v>21</v>
      </c>
      <c r="R4688" t="str">
        <f t="shared" si="587"/>
        <v/>
      </c>
      <c r="S4688" t="str">
        <f t="shared" si="588"/>
        <v/>
      </c>
      <c r="T4688" s="403" t="str">
        <f t="shared" si="589"/>
        <v>NDE-8504-R</v>
      </c>
      <c r="U4688" s="403">
        <f t="shared" si="590"/>
        <v>1</v>
      </c>
      <c r="V4688" s="403" t="str">
        <f t="shared" si="591"/>
        <v>CPP_7_3</v>
      </c>
    </row>
    <row r="4689" spans="1:22">
      <c r="A4689" t="str">
        <f t="shared" si="584"/>
        <v>NDE-8504-R</v>
      </c>
      <c r="B4689" s="403" t="s">
        <v>1410</v>
      </c>
      <c r="C4689" s="403" t="s">
        <v>582</v>
      </c>
      <c r="D4689" s="403" t="s">
        <v>1418</v>
      </c>
      <c r="E4689" s="403" t="s">
        <v>1412</v>
      </c>
      <c r="F4689" s="403" t="s">
        <v>1419</v>
      </c>
      <c r="G4689" s="403" t="s">
        <v>1467</v>
      </c>
      <c r="H4689" s="403" t="s">
        <v>1276</v>
      </c>
      <c r="I4689" s="403">
        <v>1</v>
      </c>
      <c r="J4689" s="403" t="s">
        <v>1324</v>
      </c>
      <c r="K4689" s="403">
        <v>2016</v>
      </c>
      <c r="L4689" s="403">
        <v>3584</v>
      </c>
      <c r="M4689" s="403" t="s">
        <v>111</v>
      </c>
      <c r="N4689" s="403">
        <v>432</v>
      </c>
      <c r="O4689" s="403">
        <v>768</v>
      </c>
      <c r="P4689" t="str">
        <f t="shared" si="585"/>
        <v>20fps 3584x2016 - SD</v>
      </c>
      <c r="Q4689">
        <f t="shared" si="586"/>
        <v>21</v>
      </c>
      <c r="R4689" t="str">
        <f t="shared" si="587"/>
        <v/>
      </c>
      <c r="S4689" t="str">
        <f t="shared" si="588"/>
        <v/>
      </c>
      <c r="T4689" s="403" t="str">
        <f t="shared" si="589"/>
        <v>NDE-8504-R</v>
      </c>
      <c r="U4689" s="403">
        <f t="shared" si="590"/>
        <v>1</v>
      </c>
      <c r="V4689" s="403" t="str">
        <f t="shared" si="591"/>
        <v>CPP_7_3</v>
      </c>
    </row>
    <row r="4690" spans="1:22">
      <c r="A4690" t="str">
        <f t="shared" si="584"/>
        <v>NDE-8504-R</v>
      </c>
      <c r="B4690" s="403" t="s">
        <v>1410</v>
      </c>
      <c r="C4690" s="403" t="s">
        <v>582</v>
      </c>
      <c r="D4690" s="403" t="s">
        <v>1418</v>
      </c>
      <c r="E4690" s="403" t="s">
        <v>1412</v>
      </c>
      <c r="F4690" s="403" t="s">
        <v>1419</v>
      </c>
      <c r="G4690" s="403" t="s">
        <v>1467</v>
      </c>
      <c r="H4690" s="403" t="s">
        <v>1276</v>
      </c>
      <c r="I4690" s="403">
        <v>1</v>
      </c>
      <c r="J4690" s="403" t="s">
        <v>1324</v>
      </c>
      <c r="K4690" s="403">
        <v>2016</v>
      </c>
      <c r="L4690" s="403">
        <v>3584</v>
      </c>
      <c r="M4690" s="403" t="s">
        <v>1280</v>
      </c>
      <c r="N4690" s="403">
        <v>2016</v>
      </c>
      <c r="O4690" s="403">
        <v>3584</v>
      </c>
      <c r="P4690" t="str">
        <f t="shared" si="585"/>
        <v>20fps 3584x2016 - copy other stream</v>
      </c>
      <c r="Q4690">
        <f t="shared" si="586"/>
        <v>21</v>
      </c>
      <c r="R4690" t="str">
        <f t="shared" si="587"/>
        <v/>
      </c>
      <c r="S4690" t="str">
        <f t="shared" si="588"/>
        <v/>
      </c>
      <c r="T4690" s="403" t="str">
        <f t="shared" si="589"/>
        <v>NDE-8504-R</v>
      </c>
      <c r="U4690" s="403">
        <f t="shared" si="590"/>
        <v>1</v>
      </c>
      <c r="V4690" s="403" t="str">
        <f t="shared" si="591"/>
        <v>CPP_7_3</v>
      </c>
    </row>
    <row r="4691" spans="1:22">
      <c r="A4691" t="str">
        <f t="shared" si="584"/>
        <v>NDE-8504-R</v>
      </c>
      <c r="B4691" s="403" t="s">
        <v>1410</v>
      </c>
      <c r="C4691" s="403" t="s">
        <v>582</v>
      </c>
      <c r="D4691" s="403" t="s">
        <v>1418</v>
      </c>
      <c r="E4691" s="403" t="s">
        <v>1412</v>
      </c>
      <c r="F4691" s="403" t="s">
        <v>1419</v>
      </c>
      <c r="G4691" s="403" t="s">
        <v>1467</v>
      </c>
      <c r="H4691" s="403" t="s">
        <v>1276</v>
      </c>
      <c r="I4691" s="403">
        <v>1</v>
      </c>
      <c r="J4691" s="403" t="s">
        <v>1324</v>
      </c>
      <c r="K4691" s="403">
        <v>2016</v>
      </c>
      <c r="L4691" s="403">
        <v>3584</v>
      </c>
      <c r="M4691" s="403" t="s">
        <v>1421</v>
      </c>
      <c r="N4691" s="403">
        <v>2016</v>
      </c>
      <c r="O4691" s="403">
        <v>3584</v>
      </c>
      <c r="P4691" t="str">
        <f t="shared" si="585"/>
        <v>20fps 3584x2016 - 3584x2016 @ SKIP2</v>
      </c>
      <c r="Q4691">
        <f t="shared" si="586"/>
        <v>21</v>
      </c>
      <c r="R4691" t="str">
        <f t="shared" si="587"/>
        <v/>
      </c>
      <c r="S4691" t="str">
        <f t="shared" si="588"/>
        <v/>
      </c>
      <c r="T4691" s="403" t="str">
        <f t="shared" si="589"/>
        <v>NDE-8504-R</v>
      </c>
      <c r="U4691" s="403">
        <f t="shared" si="590"/>
        <v>1</v>
      </c>
      <c r="V4691" s="403" t="str">
        <f t="shared" si="591"/>
        <v>CPP_7_3</v>
      </c>
    </row>
    <row r="4692" spans="1:22">
      <c r="A4692" t="str">
        <f t="shared" si="584"/>
        <v>NDE-8504-R</v>
      </c>
      <c r="B4692" s="403" t="s">
        <v>1410</v>
      </c>
      <c r="C4692" s="403" t="s">
        <v>582</v>
      </c>
      <c r="D4692" s="403" t="s">
        <v>1418</v>
      </c>
      <c r="E4692" s="403" t="s">
        <v>1412</v>
      </c>
      <c r="F4692" s="403" t="s">
        <v>1419</v>
      </c>
      <c r="G4692" s="403" t="s">
        <v>1467</v>
      </c>
      <c r="H4692" s="403" t="s">
        <v>1276</v>
      </c>
      <c r="I4692" s="403">
        <v>1</v>
      </c>
      <c r="J4692" s="403" t="s">
        <v>1324</v>
      </c>
      <c r="K4692" s="403">
        <v>2016</v>
      </c>
      <c r="L4692" s="403">
        <v>3584</v>
      </c>
      <c r="M4692" s="403" t="s">
        <v>110</v>
      </c>
      <c r="N4692" s="403">
        <v>1080</v>
      </c>
      <c r="O4692" s="403">
        <v>1920</v>
      </c>
      <c r="P4692" t="str">
        <f t="shared" si="585"/>
        <v>20fps 3584x2016 - 1080p</v>
      </c>
      <c r="Q4692">
        <f t="shared" si="586"/>
        <v>21</v>
      </c>
      <c r="R4692" t="str">
        <f t="shared" si="587"/>
        <v/>
      </c>
      <c r="S4692" t="str">
        <f t="shared" si="588"/>
        <v/>
      </c>
      <c r="T4692" s="403" t="str">
        <f t="shared" si="589"/>
        <v>NDE-8504-R</v>
      </c>
      <c r="U4692" s="403">
        <f t="shared" si="590"/>
        <v>1</v>
      </c>
      <c r="V4692" s="403" t="str">
        <f t="shared" si="591"/>
        <v>CPP_7_3</v>
      </c>
    </row>
    <row r="4693" spans="1:22">
      <c r="A4693" t="str">
        <f t="shared" si="584"/>
        <v>NDE-8504-R</v>
      </c>
      <c r="B4693" s="403" t="s">
        <v>1410</v>
      </c>
      <c r="C4693" s="403" t="s">
        <v>582</v>
      </c>
      <c r="D4693" s="403" t="s">
        <v>1418</v>
      </c>
      <c r="E4693" s="403" t="s">
        <v>1412</v>
      </c>
      <c r="F4693" s="403" t="s">
        <v>1419</v>
      </c>
      <c r="G4693" s="403" t="s">
        <v>1467</v>
      </c>
      <c r="H4693" s="403" t="s">
        <v>1276</v>
      </c>
      <c r="I4693" s="403">
        <v>1</v>
      </c>
      <c r="J4693" s="403" t="s">
        <v>1324</v>
      </c>
      <c r="K4693" s="403">
        <v>2016</v>
      </c>
      <c r="L4693" s="403">
        <v>3584</v>
      </c>
      <c r="M4693" s="403" t="s">
        <v>109</v>
      </c>
      <c r="N4693" s="403">
        <v>720</v>
      </c>
      <c r="O4693" s="403">
        <v>1280</v>
      </c>
      <c r="P4693" t="str">
        <f t="shared" si="585"/>
        <v>20fps 3584x2016 - 720p</v>
      </c>
      <c r="Q4693">
        <f t="shared" si="586"/>
        <v>21</v>
      </c>
      <c r="R4693" t="str">
        <f t="shared" si="587"/>
        <v/>
      </c>
      <c r="S4693" t="str">
        <f t="shared" si="588"/>
        <v/>
      </c>
      <c r="T4693" s="403" t="str">
        <f t="shared" si="589"/>
        <v>NDE-8504-R</v>
      </c>
      <c r="U4693" s="403">
        <f t="shared" si="590"/>
        <v>1</v>
      </c>
      <c r="V4693" s="403" t="str">
        <f t="shared" si="591"/>
        <v>CPP_7_3</v>
      </c>
    </row>
    <row r="4694" spans="1:22">
      <c r="A4694" t="str">
        <f t="shared" si="584"/>
        <v>NDE-8504-R</v>
      </c>
      <c r="B4694" s="403" t="s">
        <v>1410</v>
      </c>
      <c r="C4694" s="403" t="s">
        <v>582</v>
      </c>
      <c r="D4694" s="403" t="s">
        <v>1418</v>
      </c>
      <c r="E4694" s="403" t="s">
        <v>1412</v>
      </c>
      <c r="F4694" s="403" t="s">
        <v>1419</v>
      </c>
      <c r="G4694" s="403" t="s">
        <v>1467</v>
      </c>
      <c r="H4694" s="403" t="s">
        <v>1276</v>
      </c>
      <c r="I4694" s="403">
        <v>1</v>
      </c>
      <c r="J4694" s="403" t="s">
        <v>1324</v>
      </c>
      <c r="K4694" s="403">
        <v>2016</v>
      </c>
      <c r="L4694" s="403">
        <v>3584</v>
      </c>
      <c r="M4694" s="403" t="s">
        <v>1283</v>
      </c>
      <c r="N4694" s="403">
        <v>480</v>
      </c>
      <c r="O4694" s="403">
        <v>720</v>
      </c>
      <c r="P4694" t="str">
        <f t="shared" si="585"/>
        <v>20fps 3584x2016 - SD 4CIF resolution 4:3 format (cropped)</v>
      </c>
      <c r="Q4694">
        <f t="shared" si="586"/>
        <v>21</v>
      </c>
      <c r="R4694" t="str">
        <f t="shared" si="587"/>
        <v/>
      </c>
      <c r="S4694" t="str">
        <f t="shared" si="588"/>
        <v/>
      </c>
      <c r="T4694" s="403" t="str">
        <f t="shared" si="589"/>
        <v>NDE-8504-R</v>
      </c>
      <c r="U4694" s="403">
        <f t="shared" si="590"/>
        <v>1</v>
      </c>
      <c r="V4694" s="403" t="str">
        <f t="shared" si="591"/>
        <v>CPP_7_3</v>
      </c>
    </row>
    <row r="4695" spans="1:22">
      <c r="A4695" t="str">
        <f t="shared" si="584"/>
        <v>NDE-8504-R</v>
      </c>
      <c r="B4695" s="403" t="s">
        <v>1410</v>
      </c>
      <c r="C4695" s="403" t="s">
        <v>582</v>
      </c>
      <c r="D4695" s="403" t="s">
        <v>1418</v>
      </c>
      <c r="E4695" s="403" t="s">
        <v>1412</v>
      </c>
      <c r="F4695" s="403" t="s">
        <v>1419</v>
      </c>
      <c r="G4695" s="403" t="s">
        <v>1467</v>
      </c>
      <c r="H4695" s="403" t="s">
        <v>1276</v>
      </c>
      <c r="I4695" s="403">
        <v>1</v>
      </c>
      <c r="J4695" s="403" t="s">
        <v>1324</v>
      </c>
      <c r="K4695" s="403">
        <v>2016</v>
      </c>
      <c r="L4695" s="403">
        <v>3584</v>
      </c>
      <c r="M4695" s="403" t="s">
        <v>1279</v>
      </c>
      <c r="N4695" s="403">
        <v>432</v>
      </c>
      <c r="O4695" s="403">
        <v>768</v>
      </c>
      <c r="P4695" t="str">
        <f t="shared" si="585"/>
        <v>20fps 3584x2016 - SD ROI PTZ</v>
      </c>
      <c r="Q4695">
        <f t="shared" si="586"/>
        <v>21</v>
      </c>
      <c r="R4695" t="str">
        <f t="shared" si="587"/>
        <v/>
      </c>
      <c r="S4695" t="str">
        <f t="shared" si="588"/>
        <v/>
      </c>
      <c r="T4695" s="403" t="str">
        <f t="shared" si="589"/>
        <v>NDE-8504-R</v>
      </c>
      <c r="U4695" s="403">
        <f t="shared" si="590"/>
        <v>1</v>
      </c>
      <c r="V4695" s="403" t="str">
        <f t="shared" si="591"/>
        <v>CPP_7_3</v>
      </c>
    </row>
    <row r="4696" spans="1:22">
      <c r="A4696" t="str">
        <f t="shared" si="584"/>
        <v>NDE-8504-R</v>
      </c>
      <c r="B4696" s="403" t="s">
        <v>1410</v>
      </c>
      <c r="C4696" s="403" t="s">
        <v>582</v>
      </c>
      <c r="D4696" s="403" t="s">
        <v>1418</v>
      </c>
      <c r="E4696" s="403" t="s">
        <v>1412</v>
      </c>
      <c r="F4696" s="403" t="s">
        <v>1419</v>
      </c>
      <c r="G4696" s="403" t="s">
        <v>1467</v>
      </c>
      <c r="H4696" s="403" t="s">
        <v>1276</v>
      </c>
      <c r="I4696" s="403">
        <v>1</v>
      </c>
      <c r="J4696" s="403" t="s">
        <v>1324</v>
      </c>
      <c r="K4696" s="403">
        <v>2016</v>
      </c>
      <c r="L4696" s="403">
        <v>3584</v>
      </c>
      <c r="M4696" s="403" t="s">
        <v>1284</v>
      </c>
      <c r="N4696" s="403">
        <v>480</v>
      </c>
      <c r="O4696" s="403">
        <v>640</v>
      </c>
      <c r="P4696" t="str">
        <f t="shared" si="585"/>
        <v>20fps 3584x2016 - SD VGA (cropped)</v>
      </c>
      <c r="Q4696">
        <f t="shared" si="586"/>
        <v>21</v>
      </c>
      <c r="R4696" t="str">
        <f t="shared" si="587"/>
        <v/>
      </c>
      <c r="S4696" t="str">
        <f t="shared" si="588"/>
        <v/>
      </c>
      <c r="T4696" s="403" t="str">
        <f t="shared" si="589"/>
        <v>NDE-8504-R</v>
      </c>
      <c r="U4696" s="403">
        <f t="shared" si="590"/>
        <v>1</v>
      </c>
      <c r="V4696" s="403" t="str">
        <f t="shared" si="591"/>
        <v>CPP_7_3</v>
      </c>
    </row>
    <row r="4697" spans="1:22">
      <c r="A4697" t="str">
        <f t="shared" si="584"/>
        <v>NDE-8504-R</v>
      </c>
      <c r="B4697" s="403" t="s">
        <v>1410</v>
      </c>
      <c r="C4697" s="403" t="s">
        <v>582</v>
      </c>
      <c r="D4697" s="403" t="s">
        <v>1418</v>
      </c>
      <c r="E4697" s="403" t="s">
        <v>1412</v>
      </c>
      <c r="F4697" s="403" t="s">
        <v>1419</v>
      </c>
      <c r="G4697" s="403" t="s">
        <v>1467</v>
      </c>
      <c r="H4697" s="403" t="s">
        <v>1276</v>
      </c>
      <c r="I4697" s="403">
        <v>1</v>
      </c>
      <c r="J4697" s="403" t="s">
        <v>1324</v>
      </c>
      <c r="K4697" s="403">
        <v>2016</v>
      </c>
      <c r="L4697" s="403">
        <v>3584</v>
      </c>
      <c r="M4697" s="403" t="s">
        <v>1285</v>
      </c>
      <c r="N4697" s="403">
        <v>1024</v>
      </c>
      <c r="O4697" s="403">
        <v>1280</v>
      </c>
      <c r="P4697" t="str">
        <f t="shared" si="585"/>
        <v>20fps 3584x2016 - 1280x1024 5:4 (cropped)</v>
      </c>
      <c r="Q4697">
        <f t="shared" si="586"/>
        <v>21</v>
      </c>
      <c r="R4697" t="str">
        <f t="shared" si="587"/>
        <v/>
      </c>
      <c r="S4697" t="str">
        <f t="shared" si="588"/>
        <v/>
      </c>
      <c r="T4697" s="403" t="str">
        <f t="shared" si="589"/>
        <v>NDE-8504-R</v>
      </c>
      <c r="U4697" s="403">
        <f t="shared" si="590"/>
        <v>1</v>
      </c>
      <c r="V4697" s="403" t="str">
        <f t="shared" si="591"/>
        <v>CPP_7_3</v>
      </c>
    </row>
    <row r="4698" spans="1:22">
      <c r="A4698" t="str">
        <f t="shared" si="584"/>
        <v>NDE-8504-R</v>
      </c>
      <c r="B4698" s="403" t="s">
        <v>1410</v>
      </c>
      <c r="C4698" s="403" t="s">
        <v>582</v>
      </c>
      <c r="D4698" s="403" t="s">
        <v>1418</v>
      </c>
      <c r="E4698" s="403" t="s">
        <v>1412</v>
      </c>
      <c r="F4698" s="403" t="s">
        <v>1419</v>
      </c>
      <c r="G4698" s="403" t="s">
        <v>1467</v>
      </c>
      <c r="H4698" s="403" t="s">
        <v>1276</v>
      </c>
      <c r="I4698" s="403">
        <v>1</v>
      </c>
      <c r="J4698" s="403" t="s">
        <v>1324</v>
      </c>
      <c r="K4698" s="403">
        <v>2016</v>
      </c>
      <c r="L4698" s="403">
        <v>3584</v>
      </c>
      <c r="M4698" s="403" t="s">
        <v>1383</v>
      </c>
      <c r="N4698" s="403">
        <v>1440</v>
      </c>
      <c r="O4698" s="403">
        <v>1920</v>
      </c>
      <c r="P4698" t="str">
        <f t="shared" si="585"/>
        <v>20fps 3584x2016 - 1920x1440_CROP</v>
      </c>
      <c r="Q4698">
        <f t="shared" si="586"/>
        <v>21</v>
      </c>
      <c r="R4698" t="str">
        <f t="shared" si="587"/>
        <v/>
      </c>
      <c r="S4698" t="str">
        <f t="shared" si="588"/>
        <v/>
      </c>
      <c r="T4698" s="403" t="str">
        <f t="shared" si="589"/>
        <v>NDE-8504-R</v>
      </c>
      <c r="U4698" s="403">
        <f t="shared" si="590"/>
        <v>1</v>
      </c>
      <c r="V4698" s="403" t="str">
        <f t="shared" si="591"/>
        <v>CPP_7_3</v>
      </c>
    </row>
    <row r="4699" spans="1:22">
      <c r="A4699" t="str">
        <f t="shared" si="584"/>
        <v>NDE-8504-R</v>
      </c>
      <c r="B4699" s="403" t="s">
        <v>1410</v>
      </c>
      <c r="C4699" s="403" t="s">
        <v>582</v>
      </c>
      <c r="D4699" s="403" t="s">
        <v>1418</v>
      </c>
      <c r="E4699" s="403" t="s">
        <v>1412</v>
      </c>
      <c r="F4699" s="403" t="s">
        <v>1419</v>
      </c>
      <c r="G4699" s="403" t="s">
        <v>1467</v>
      </c>
      <c r="H4699" s="403" t="s">
        <v>1281</v>
      </c>
      <c r="I4699" s="403">
        <v>1</v>
      </c>
      <c r="J4699" s="403" t="s">
        <v>194</v>
      </c>
      <c r="K4699" s="403">
        <v>2160</v>
      </c>
      <c r="L4699" s="403">
        <v>3840</v>
      </c>
      <c r="M4699" s="403" t="s">
        <v>111</v>
      </c>
      <c r="N4699" s="403">
        <v>432</v>
      </c>
      <c r="O4699" s="403">
        <v>768</v>
      </c>
      <c r="P4699" t="str">
        <f t="shared" si="585"/>
        <v>20fps 3840x2160 - SD</v>
      </c>
      <c r="Q4699">
        <f t="shared" si="586"/>
        <v>21</v>
      </c>
      <c r="R4699" t="str">
        <f t="shared" si="587"/>
        <v/>
      </c>
      <c r="S4699" t="str">
        <f t="shared" si="588"/>
        <v/>
      </c>
      <c r="T4699" s="403" t="str">
        <f t="shared" si="589"/>
        <v>NDE-8504-R</v>
      </c>
      <c r="U4699" s="403">
        <f t="shared" si="590"/>
        <v>1</v>
      </c>
      <c r="V4699" s="403" t="str">
        <f t="shared" si="591"/>
        <v>CPP_7_3</v>
      </c>
    </row>
    <row r="4700" spans="1:22">
      <c r="A4700" t="str">
        <f t="shared" si="584"/>
        <v>NDE-8504-R</v>
      </c>
      <c r="B4700" s="403" t="s">
        <v>1410</v>
      </c>
      <c r="C4700" s="403" t="s">
        <v>582</v>
      </c>
      <c r="D4700" s="403" t="s">
        <v>1418</v>
      </c>
      <c r="E4700" s="403" t="s">
        <v>1412</v>
      </c>
      <c r="F4700" s="403" t="s">
        <v>1419</v>
      </c>
      <c r="G4700" s="403" t="s">
        <v>1467</v>
      </c>
      <c r="H4700" s="403" t="s">
        <v>1281</v>
      </c>
      <c r="I4700" s="403">
        <v>1</v>
      </c>
      <c r="J4700" s="403" t="s">
        <v>194</v>
      </c>
      <c r="K4700" s="403">
        <v>2160</v>
      </c>
      <c r="L4700" s="403">
        <v>3840</v>
      </c>
      <c r="M4700" s="403" t="s">
        <v>1280</v>
      </c>
      <c r="N4700" s="403">
        <v>2160</v>
      </c>
      <c r="O4700" s="403">
        <v>3840</v>
      </c>
      <c r="P4700" t="str">
        <f t="shared" si="585"/>
        <v>20fps 3840x2160 - copy other stream</v>
      </c>
      <c r="Q4700">
        <f t="shared" si="586"/>
        <v>21</v>
      </c>
      <c r="R4700" t="str">
        <f t="shared" si="587"/>
        <v/>
      </c>
      <c r="S4700" t="str">
        <f t="shared" si="588"/>
        <v/>
      </c>
      <c r="T4700" s="403" t="str">
        <f t="shared" si="589"/>
        <v>NDE-8504-R</v>
      </c>
      <c r="U4700" s="403">
        <f t="shared" si="590"/>
        <v>1</v>
      </c>
      <c r="V4700" s="403" t="str">
        <f t="shared" si="591"/>
        <v>CPP_7_3</v>
      </c>
    </row>
    <row r="4701" spans="1:22">
      <c r="A4701" t="str">
        <f t="shared" si="584"/>
        <v>NDE-8504-R</v>
      </c>
      <c r="B4701" s="403" t="s">
        <v>1410</v>
      </c>
      <c r="C4701" s="403" t="s">
        <v>582</v>
      </c>
      <c r="D4701" s="403" t="s">
        <v>1418</v>
      </c>
      <c r="E4701" s="403" t="s">
        <v>1412</v>
      </c>
      <c r="F4701" s="403" t="s">
        <v>1419</v>
      </c>
      <c r="G4701" s="403" t="s">
        <v>1467</v>
      </c>
      <c r="H4701" s="403" t="s">
        <v>1281</v>
      </c>
      <c r="I4701" s="403">
        <v>1</v>
      </c>
      <c r="J4701" s="403" t="s">
        <v>194</v>
      </c>
      <c r="K4701" s="403">
        <v>2160</v>
      </c>
      <c r="L4701" s="403">
        <v>3840</v>
      </c>
      <c r="M4701" s="403" t="s">
        <v>1420</v>
      </c>
      <c r="N4701" s="403">
        <v>2160</v>
      </c>
      <c r="O4701" s="403">
        <v>3840</v>
      </c>
      <c r="P4701" t="str">
        <f t="shared" si="585"/>
        <v>20fps 3840x2160 - 3840x2160 @ SKIP3</v>
      </c>
      <c r="Q4701">
        <f t="shared" si="586"/>
        <v>21</v>
      </c>
      <c r="R4701" t="str">
        <f t="shared" si="587"/>
        <v/>
      </c>
      <c r="S4701" t="str">
        <f t="shared" si="588"/>
        <v/>
      </c>
      <c r="T4701" s="403" t="str">
        <f t="shared" si="589"/>
        <v>NDE-8504-R</v>
      </c>
      <c r="U4701" s="403">
        <f t="shared" si="590"/>
        <v>1</v>
      </c>
      <c r="V4701" s="403" t="str">
        <f t="shared" si="591"/>
        <v>CPP_7_3</v>
      </c>
    </row>
    <row r="4702" spans="1:22">
      <c r="A4702" t="str">
        <f t="shared" si="584"/>
        <v>NDE-8504-R</v>
      </c>
      <c r="B4702" s="403" t="s">
        <v>1410</v>
      </c>
      <c r="C4702" s="403" t="s">
        <v>582</v>
      </c>
      <c r="D4702" s="403" t="s">
        <v>1418</v>
      </c>
      <c r="E4702" s="403" t="s">
        <v>1412</v>
      </c>
      <c r="F4702" s="403" t="s">
        <v>1419</v>
      </c>
      <c r="G4702" s="403" t="s">
        <v>1467</v>
      </c>
      <c r="H4702" s="403" t="s">
        <v>1281</v>
      </c>
      <c r="I4702" s="403">
        <v>1</v>
      </c>
      <c r="J4702" s="403" t="s">
        <v>194</v>
      </c>
      <c r="K4702" s="403">
        <v>2160</v>
      </c>
      <c r="L4702" s="403">
        <v>3840</v>
      </c>
      <c r="M4702" s="403" t="s">
        <v>110</v>
      </c>
      <c r="N4702" s="403">
        <v>1080</v>
      </c>
      <c r="O4702" s="403">
        <v>1920</v>
      </c>
      <c r="P4702" t="str">
        <f t="shared" si="585"/>
        <v>20fps 3840x2160 - 1080p</v>
      </c>
      <c r="Q4702">
        <f t="shared" si="586"/>
        <v>21</v>
      </c>
      <c r="R4702" t="str">
        <f t="shared" si="587"/>
        <v/>
      </c>
      <c r="S4702" t="str">
        <f t="shared" si="588"/>
        <v/>
      </c>
      <c r="T4702" s="403" t="str">
        <f t="shared" si="589"/>
        <v>NDE-8504-R</v>
      </c>
      <c r="U4702" s="403">
        <f t="shared" si="590"/>
        <v>1</v>
      </c>
      <c r="V4702" s="403" t="str">
        <f t="shared" si="591"/>
        <v>CPP_7_3</v>
      </c>
    </row>
    <row r="4703" spans="1:22">
      <c r="A4703" t="str">
        <f t="shared" si="584"/>
        <v>NDE-8504-R</v>
      </c>
      <c r="B4703" s="403" t="s">
        <v>1410</v>
      </c>
      <c r="C4703" s="403" t="s">
        <v>582</v>
      </c>
      <c r="D4703" s="403" t="s">
        <v>1418</v>
      </c>
      <c r="E4703" s="403" t="s">
        <v>1412</v>
      </c>
      <c r="F4703" s="403" t="s">
        <v>1419</v>
      </c>
      <c r="G4703" s="403" t="s">
        <v>1467</v>
      </c>
      <c r="H4703" s="403" t="s">
        <v>1281</v>
      </c>
      <c r="I4703" s="403">
        <v>1</v>
      </c>
      <c r="J4703" s="403" t="s">
        <v>194</v>
      </c>
      <c r="K4703" s="403">
        <v>2160</v>
      </c>
      <c r="L4703" s="403">
        <v>3840</v>
      </c>
      <c r="M4703" s="403" t="s">
        <v>109</v>
      </c>
      <c r="N4703" s="403">
        <v>720</v>
      </c>
      <c r="O4703" s="403">
        <v>1280</v>
      </c>
      <c r="P4703" t="str">
        <f t="shared" si="585"/>
        <v>20fps 3840x2160 - 720p</v>
      </c>
      <c r="Q4703">
        <f t="shared" si="586"/>
        <v>21</v>
      </c>
      <c r="R4703" t="str">
        <f t="shared" si="587"/>
        <v/>
      </c>
      <c r="S4703" t="str">
        <f t="shared" si="588"/>
        <v/>
      </c>
      <c r="T4703" s="403" t="str">
        <f t="shared" si="589"/>
        <v>NDE-8504-R</v>
      </c>
      <c r="U4703" s="403">
        <f t="shared" si="590"/>
        <v>1</v>
      </c>
      <c r="V4703" s="403" t="str">
        <f t="shared" si="591"/>
        <v>CPP_7_3</v>
      </c>
    </row>
    <row r="4704" spans="1:22">
      <c r="A4704" t="str">
        <f t="shared" si="584"/>
        <v>NDE-8504-R</v>
      </c>
      <c r="B4704" s="403" t="s">
        <v>1410</v>
      </c>
      <c r="C4704" s="403" t="s">
        <v>582</v>
      </c>
      <c r="D4704" s="403" t="s">
        <v>1418</v>
      </c>
      <c r="E4704" s="403" t="s">
        <v>1412</v>
      </c>
      <c r="F4704" s="403" t="s">
        <v>1419</v>
      </c>
      <c r="G4704" s="403" t="s">
        <v>1467</v>
      </c>
      <c r="H4704" s="403" t="s">
        <v>1281</v>
      </c>
      <c r="I4704" s="403">
        <v>1</v>
      </c>
      <c r="J4704" s="403" t="s">
        <v>194</v>
      </c>
      <c r="K4704" s="403">
        <v>2160</v>
      </c>
      <c r="L4704" s="403">
        <v>3840</v>
      </c>
      <c r="M4704" s="403" t="s">
        <v>1283</v>
      </c>
      <c r="N4704" s="403">
        <v>480</v>
      </c>
      <c r="O4704" s="403">
        <v>720</v>
      </c>
      <c r="P4704" t="str">
        <f t="shared" si="585"/>
        <v>20fps 3840x2160 - SD 4CIF resolution 4:3 format (cropped)</v>
      </c>
      <c r="Q4704">
        <f t="shared" si="586"/>
        <v>21</v>
      </c>
      <c r="R4704" t="str">
        <f t="shared" si="587"/>
        <v/>
      </c>
      <c r="S4704" t="str">
        <f t="shared" si="588"/>
        <v/>
      </c>
      <c r="T4704" s="403" t="str">
        <f t="shared" si="589"/>
        <v>NDE-8504-R</v>
      </c>
      <c r="U4704" s="403">
        <f t="shared" si="590"/>
        <v>1</v>
      </c>
      <c r="V4704" s="403" t="str">
        <f t="shared" si="591"/>
        <v>CPP_7_3</v>
      </c>
    </row>
    <row r="4705" spans="1:22">
      <c r="A4705" t="str">
        <f t="shared" si="584"/>
        <v>NDE-8504-R</v>
      </c>
      <c r="B4705" s="403" t="s">
        <v>1410</v>
      </c>
      <c r="C4705" s="403" t="s">
        <v>582</v>
      </c>
      <c r="D4705" s="403" t="s">
        <v>1418</v>
      </c>
      <c r="E4705" s="403" t="s">
        <v>1412</v>
      </c>
      <c r="F4705" s="403" t="s">
        <v>1419</v>
      </c>
      <c r="G4705" s="403" t="s">
        <v>1467</v>
      </c>
      <c r="H4705" s="403" t="s">
        <v>1281</v>
      </c>
      <c r="I4705" s="403">
        <v>1</v>
      </c>
      <c r="J4705" s="403" t="s">
        <v>194</v>
      </c>
      <c r="K4705" s="403">
        <v>2160</v>
      </c>
      <c r="L4705" s="403">
        <v>3840</v>
      </c>
      <c r="M4705" s="403" t="s">
        <v>1284</v>
      </c>
      <c r="N4705" s="403">
        <v>480</v>
      </c>
      <c r="O4705" s="403">
        <v>640</v>
      </c>
      <c r="P4705" t="str">
        <f t="shared" si="585"/>
        <v>20fps 3840x2160 - SD VGA (cropped)</v>
      </c>
      <c r="Q4705">
        <f t="shared" si="586"/>
        <v>21</v>
      </c>
      <c r="R4705" t="str">
        <f t="shared" si="587"/>
        <v/>
      </c>
      <c r="S4705" t="str">
        <f t="shared" si="588"/>
        <v/>
      </c>
      <c r="T4705" s="403" t="str">
        <f t="shared" si="589"/>
        <v>NDE-8504-R</v>
      </c>
      <c r="U4705" s="403">
        <f t="shared" si="590"/>
        <v>1</v>
      </c>
      <c r="V4705" s="403" t="str">
        <f t="shared" si="591"/>
        <v>CPP_7_3</v>
      </c>
    </row>
    <row r="4706" spans="1:22">
      <c r="A4706" t="str">
        <f t="shared" si="584"/>
        <v>NDE-8504-R</v>
      </c>
      <c r="B4706" s="403" t="s">
        <v>1410</v>
      </c>
      <c r="C4706" s="403" t="s">
        <v>582</v>
      </c>
      <c r="D4706" s="403" t="s">
        <v>1418</v>
      </c>
      <c r="E4706" s="403" t="s">
        <v>1412</v>
      </c>
      <c r="F4706" s="403" t="s">
        <v>1419</v>
      </c>
      <c r="G4706" s="403" t="s">
        <v>1467</v>
      </c>
      <c r="H4706" s="403" t="s">
        <v>1281</v>
      </c>
      <c r="I4706" s="403">
        <v>1</v>
      </c>
      <c r="J4706" s="403" t="s">
        <v>194</v>
      </c>
      <c r="K4706" s="403">
        <v>2160</v>
      </c>
      <c r="L4706" s="403">
        <v>3840</v>
      </c>
      <c r="M4706" s="403" t="s">
        <v>1285</v>
      </c>
      <c r="N4706" s="403">
        <v>1024</v>
      </c>
      <c r="O4706" s="403">
        <v>1280</v>
      </c>
      <c r="P4706" t="str">
        <f t="shared" si="585"/>
        <v>20fps 3840x2160 - 1280x1024 5:4 (cropped)</v>
      </c>
      <c r="Q4706">
        <f t="shared" si="586"/>
        <v>21</v>
      </c>
      <c r="R4706" t="str">
        <f t="shared" si="587"/>
        <v/>
      </c>
      <c r="S4706" t="str">
        <f t="shared" si="588"/>
        <v/>
      </c>
      <c r="T4706" s="403" t="str">
        <f t="shared" si="589"/>
        <v>NDE-8504-R</v>
      </c>
      <c r="U4706" s="403">
        <f t="shared" si="590"/>
        <v>1</v>
      </c>
      <c r="V4706" s="403" t="str">
        <f t="shared" si="591"/>
        <v>CPP_7_3</v>
      </c>
    </row>
    <row r="4707" spans="1:22">
      <c r="A4707" t="str">
        <f t="shared" si="584"/>
        <v>NDE-8504-R</v>
      </c>
      <c r="B4707" s="403" t="s">
        <v>1410</v>
      </c>
      <c r="C4707" s="403" t="s">
        <v>582</v>
      </c>
      <c r="D4707" s="403" t="s">
        <v>1418</v>
      </c>
      <c r="E4707" s="403" t="s">
        <v>1412</v>
      </c>
      <c r="F4707" s="403" t="s">
        <v>1419</v>
      </c>
      <c r="G4707" s="403" t="s">
        <v>1467</v>
      </c>
      <c r="H4707" s="403" t="s">
        <v>1281</v>
      </c>
      <c r="I4707" s="403">
        <v>1</v>
      </c>
      <c r="J4707" s="403" t="s">
        <v>194</v>
      </c>
      <c r="K4707" s="403">
        <v>2160</v>
      </c>
      <c r="L4707" s="403">
        <v>3840</v>
      </c>
      <c r="M4707" s="403" t="s">
        <v>1383</v>
      </c>
      <c r="N4707" s="403">
        <v>1440</v>
      </c>
      <c r="O4707" s="403">
        <v>1920</v>
      </c>
      <c r="P4707" t="str">
        <f t="shared" si="585"/>
        <v>20fps 3840x2160 - 1920x1440_CROP</v>
      </c>
      <c r="Q4707">
        <f t="shared" si="586"/>
        <v>21</v>
      </c>
      <c r="R4707" t="str">
        <f t="shared" si="587"/>
        <v/>
      </c>
      <c r="S4707" t="str">
        <f t="shared" si="588"/>
        <v/>
      </c>
      <c r="T4707" s="403" t="str">
        <f t="shared" si="589"/>
        <v>NDE-8504-R</v>
      </c>
      <c r="U4707" s="403">
        <f t="shared" si="590"/>
        <v>1</v>
      </c>
      <c r="V4707" s="403" t="str">
        <f t="shared" si="591"/>
        <v>CPP_7_3</v>
      </c>
    </row>
    <row r="4708" spans="1:22">
      <c r="A4708" t="str">
        <f t="shared" si="584"/>
        <v>NDE-8504-R</v>
      </c>
      <c r="B4708" s="403" t="s">
        <v>1410</v>
      </c>
      <c r="C4708" s="403" t="s">
        <v>582</v>
      </c>
      <c r="D4708" s="403" t="s">
        <v>1418</v>
      </c>
      <c r="E4708" s="403" t="s">
        <v>1412</v>
      </c>
      <c r="F4708" s="403" t="s">
        <v>1419</v>
      </c>
      <c r="G4708" s="403" t="s">
        <v>1467</v>
      </c>
      <c r="H4708" s="403" t="s">
        <v>1281</v>
      </c>
      <c r="I4708" s="403">
        <v>1</v>
      </c>
      <c r="J4708" s="403" t="s">
        <v>1324</v>
      </c>
      <c r="K4708" s="403">
        <v>2016</v>
      </c>
      <c r="L4708" s="403">
        <v>3584</v>
      </c>
      <c r="M4708" s="403" t="s">
        <v>111</v>
      </c>
      <c r="N4708" s="403">
        <v>432</v>
      </c>
      <c r="O4708" s="403">
        <v>768</v>
      </c>
      <c r="P4708" t="str">
        <f t="shared" si="585"/>
        <v>20fps 3584x2016 - SD</v>
      </c>
      <c r="Q4708">
        <f t="shared" si="586"/>
        <v>21</v>
      </c>
      <c r="R4708" t="str">
        <f t="shared" si="587"/>
        <v/>
      </c>
      <c r="S4708" t="str">
        <f t="shared" si="588"/>
        <v/>
      </c>
      <c r="T4708" s="403" t="str">
        <f t="shared" si="589"/>
        <v>NDE-8504-R</v>
      </c>
      <c r="U4708" s="403">
        <f t="shared" si="590"/>
        <v>1</v>
      </c>
      <c r="V4708" s="403" t="str">
        <f t="shared" si="591"/>
        <v>CPP_7_3</v>
      </c>
    </row>
    <row r="4709" spans="1:22">
      <c r="A4709" t="str">
        <f t="shared" si="584"/>
        <v>NDE-8504-R</v>
      </c>
      <c r="B4709" s="403" t="s">
        <v>1410</v>
      </c>
      <c r="C4709" s="403" t="s">
        <v>582</v>
      </c>
      <c r="D4709" s="403" t="s">
        <v>1418</v>
      </c>
      <c r="E4709" s="403" t="s">
        <v>1412</v>
      </c>
      <c r="F4709" s="403" t="s">
        <v>1419</v>
      </c>
      <c r="G4709" s="403" t="s">
        <v>1467</v>
      </c>
      <c r="H4709" s="403" t="s">
        <v>1281</v>
      </c>
      <c r="I4709" s="403">
        <v>1</v>
      </c>
      <c r="J4709" s="403" t="s">
        <v>1324</v>
      </c>
      <c r="K4709" s="403">
        <v>2016</v>
      </c>
      <c r="L4709" s="403">
        <v>3584</v>
      </c>
      <c r="M4709" s="403" t="s">
        <v>1280</v>
      </c>
      <c r="N4709" s="403">
        <v>2016</v>
      </c>
      <c r="O4709" s="403">
        <v>3584</v>
      </c>
      <c r="P4709" t="str">
        <f t="shared" si="585"/>
        <v>20fps 3584x2016 - copy other stream</v>
      </c>
      <c r="Q4709">
        <f t="shared" si="586"/>
        <v>21</v>
      </c>
      <c r="R4709" t="str">
        <f t="shared" si="587"/>
        <v/>
      </c>
      <c r="S4709" t="str">
        <f t="shared" si="588"/>
        <v/>
      </c>
      <c r="T4709" s="403" t="str">
        <f t="shared" si="589"/>
        <v>NDE-8504-R</v>
      </c>
      <c r="U4709" s="403">
        <f t="shared" si="590"/>
        <v>1</v>
      </c>
      <c r="V4709" s="403" t="str">
        <f t="shared" si="591"/>
        <v>CPP_7_3</v>
      </c>
    </row>
    <row r="4710" spans="1:22">
      <c r="A4710" t="str">
        <f t="shared" si="584"/>
        <v>NDE-8504-R</v>
      </c>
      <c r="B4710" s="403" t="s">
        <v>1410</v>
      </c>
      <c r="C4710" s="403" t="s">
        <v>582</v>
      </c>
      <c r="D4710" s="403" t="s">
        <v>1418</v>
      </c>
      <c r="E4710" s="403" t="s">
        <v>1412</v>
      </c>
      <c r="F4710" s="403" t="s">
        <v>1419</v>
      </c>
      <c r="G4710" s="403" t="s">
        <v>1467</v>
      </c>
      <c r="H4710" s="403" t="s">
        <v>1281</v>
      </c>
      <c r="I4710" s="403">
        <v>1</v>
      </c>
      <c r="J4710" s="403" t="s">
        <v>1324</v>
      </c>
      <c r="K4710" s="403">
        <v>2016</v>
      </c>
      <c r="L4710" s="403">
        <v>3584</v>
      </c>
      <c r="M4710" s="403" t="s">
        <v>1421</v>
      </c>
      <c r="N4710" s="403">
        <v>2016</v>
      </c>
      <c r="O4710" s="403">
        <v>3584</v>
      </c>
      <c r="P4710" t="str">
        <f t="shared" si="585"/>
        <v>20fps 3584x2016 - 3584x2016 @ SKIP2</v>
      </c>
      <c r="Q4710">
        <f t="shared" si="586"/>
        <v>21</v>
      </c>
      <c r="R4710" t="str">
        <f t="shared" si="587"/>
        <v/>
      </c>
      <c r="S4710" t="str">
        <f t="shared" si="588"/>
        <v/>
      </c>
      <c r="T4710" s="403" t="str">
        <f t="shared" si="589"/>
        <v>NDE-8504-R</v>
      </c>
      <c r="U4710" s="403">
        <f t="shared" si="590"/>
        <v>1</v>
      </c>
      <c r="V4710" s="403" t="str">
        <f t="shared" si="591"/>
        <v>CPP_7_3</v>
      </c>
    </row>
    <row r="4711" spans="1:22">
      <c r="A4711" t="str">
        <f t="shared" si="584"/>
        <v>NDE-8504-R</v>
      </c>
      <c r="B4711" s="403" t="s">
        <v>1410</v>
      </c>
      <c r="C4711" s="403" t="s">
        <v>582</v>
      </c>
      <c r="D4711" s="403" t="s">
        <v>1418</v>
      </c>
      <c r="E4711" s="403" t="s">
        <v>1412</v>
      </c>
      <c r="F4711" s="403" t="s">
        <v>1419</v>
      </c>
      <c r="G4711" s="403" t="s">
        <v>1467</v>
      </c>
      <c r="H4711" s="403" t="s">
        <v>1281</v>
      </c>
      <c r="I4711" s="403">
        <v>1</v>
      </c>
      <c r="J4711" s="403" t="s">
        <v>1324</v>
      </c>
      <c r="K4711" s="403">
        <v>2016</v>
      </c>
      <c r="L4711" s="403">
        <v>3584</v>
      </c>
      <c r="M4711" s="403" t="s">
        <v>110</v>
      </c>
      <c r="N4711" s="403">
        <v>1080</v>
      </c>
      <c r="O4711" s="403">
        <v>1920</v>
      </c>
      <c r="P4711" t="str">
        <f t="shared" si="585"/>
        <v>20fps 3584x2016 - 1080p</v>
      </c>
      <c r="Q4711">
        <f t="shared" si="586"/>
        <v>21</v>
      </c>
      <c r="R4711" t="str">
        <f t="shared" si="587"/>
        <v/>
      </c>
      <c r="S4711" t="str">
        <f t="shared" si="588"/>
        <v/>
      </c>
      <c r="T4711" s="403" t="str">
        <f t="shared" si="589"/>
        <v>NDE-8504-R</v>
      </c>
      <c r="U4711" s="403">
        <f t="shared" si="590"/>
        <v>1</v>
      </c>
      <c r="V4711" s="403" t="str">
        <f t="shared" si="591"/>
        <v>CPP_7_3</v>
      </c>
    </row>
    <row r="4712" spans="1:22">
      <c r="A4712" t="str">
        <f t="shared" si="584"/>
        <v>NDE-8504-R</v>
      </c>
      <c r="B4712" s="403" t="s">
        <v>1410</v>
      </c>
      <c r="C4712" s="403" t="s">
        <v>582</v>
      </c>
      <c r="D4712" s="403" t="s">
        <v>1418</v>
      </c>
      <c r="E4712" s="403" t="s">
        <v>1412</v>
      </c>
      <c r="F4712" s="403" t="s">
        <v>1419</v>
      </c>
      <c r="G4712" s="403" t="s">
        <v>1467</v>
      </c>
      <c r="H4712" s="403" t="s">
        <v>1281</v>
      </c>
      <c r="I4712" s="403">
        <v>1</v>
      </c>
      <c r="J4712" s="403" t="s">
        <v>1324</v>
      </c>
      <c r="K4712" s="403">
        <v>2016</v>
      </c>
      <c r="L4712" s="403">
        <v>3584</v>
      </c>
      <c r="M4712" s="403" t="s">
        <v>109</v>
      </c>
      <c r="N4712" s="403">
        <v>720</v>
      </c>
      <c r="O4712" s="403">
        <v>1280</v>
      </c>
      <c r="P4712" t="str">
        <f t="shared" si="585"/>
        <v>20fps 3584x2016 - 720p</v>
      </c>
      <c r="Q4712">
        <f t="shared" si="586"/>
        <v>21</v>
      </c>
      <c r="R4712" t="str">
        <f t="shared" si="587"/>
        <v/>
      </c>
      <c r="S4712" t="str">
        <f t="shared" si="588"/>
        <v/>
      </c>
      <c r="T4712" s="403" t="str">
        <f t="shared" si="589"/>
        <v>NDE-8504-R</v>
      </c>
      <c r="U4712" s="403">
        <f t="shared" si="590"/>
        <v>1</v>
      </c>
      <c r="V4712" s="403" t="str">
        <f t="shared" si="591"/>
        <v>CPP_7_3</v>
      </c>
    </row>
    <row r="4713" spans="1:22">
      <c r="A4713" t="str">
        <f t="shared" si="584"/>
        <v>NDE-8504-R</v>
      </c>
      <c r="B4713" s="403" t="s">
        <v>1410</v>
      </c>
      <c r="C4713" s="403" t="s">
        <v>582</v>
      </c>
      <c r="D4713" s="403" t="s">
        <v>1418</v>
      </c>
      <c r="E4713" s="403" t="s">
        <v>1412</v>
      </c>
      <c r="F4713" s="403" t="s">
        <v>1419</v>
      </c>
      <c r="G4713" s="403" t="s">
        <v>1467</v>
      </c>
      <c r="H4713" s="403" t="s">
        <v>1281</v>
      </c>
      <c r="I4713" s="403">
        <v>1</v>
      </c>
      <c r="J4713" s="403" t="s">
        <v>1324</v>
      </c>
      <c r="K4713" s="403">
        <v>2016</v>
      </c>
      <c r="L4713" s="403">
        <v>3584</v>
      </c>
      <c r="M4713" s="403" t="s">
        <v>1283</v>
      </c>
      <c r="N4713" s="403">
        <v>480</v>
      </c>
      <c r="O4713" s="403">
        <v>720</v>
      </c>
      <c r="P4713" t="str">
        <f t="shared" si="585"/>
        <v>20fps 3584x2016 - SD 4CIF resolution 4:3 format (cropped)</v>
      </c>
      <c r="Q4713">
        <f t="shared" si="586"/>
        <v>21</v>
      </c>
      <c r="R4713" t="str">
        <f t="shared" si="587"/>
        <v/>
      </c>
      <c r="S4713" t="str">
        <f t="shared" si="588"/>
        <v/>
      </c>
      <c r="T4713" s="403" t="str">
        <f t="shared" si="589"/>
        <v>NDE-8504-R</v>
      </c>
      <c r="U4713" s="403">
        <f t="shared" si="590"/>
        <v>1</v>
      </c>
      <c r="V4713" s="403" t="str">
        <f t="shared" si="591"/>
        <v>CPP_7_3</v>
      </c>
    </row>
    <row r="4714" spans="1:22">
      <c r="A4714" t="str">
        <f t="shared" si="584"/>
        <v>NDE-8504-R</v>
      </c>
      <c r="B4714" s="403" t="s">
        <v>1410</v>
      </c>
      <c r="C4714" s="403" t="s">
        <v>582</v>
      </c>
      <c r="D4714" s="403" t="s">
        <v>1418</v>
      </c>
      <c r="E4714" s="403" t="s">
        <v>1412</v>
      </c>
      <c r="F4714" s="403" t="s">
        <v>1419</v>
      </c>
      <c r="G4714" s="403" t="s">
        <v>1467</v>
      </c>
      <c r="H4714" s="403" t="s">
        <v>1281</v>
      </c>
      <c r="I4714" s="403">
        <v>1</v>
      </c>
      <c r="J4714" s="403" t="s">
        <v>1324</v>
      </c>
      <c r="K4714" s="403">
        <v>2016</v>
      </c>
      <c r="L4714" s="403">
        <v>3584</v>
      </c>
      <c r="M4714" s="403" t="s">
        <v>1279</v>
      </c>
      <c r="N4714" s="403">
        <v>432</v>
      </c>
      <c r="O4714" s="403">
        <v>768</v>
      </c>
      <c r="P4714" t="str">
        <f t="shared" si="585"/>
        <v>20fps 3584x2016 - SD ROI PTZ</v>
      </c>
      <c r="Q4714">
        <f t="shared" si="586"/>
        <v>21</v>
      </c>
      <c r="R4714" t="str">
        <f t="shared" si="587"/>
        <v/>
      </c>
      <c r="S4714" t="str">
        <f t="shared" si="588"/>
        <v/>
      </c>
      <c r="T4714" s="403" t="str">
        <f t="shared" si="589"/>
        <v>NDE-8504-R</v>
      </c>
      <c r="U4714" s="403">
        <f t="shared" si="590"/>
        <v>1</v>
      </c>
      <c r="V4714" s="403" t="str">
        <f t="shared" si="591"/>
        <v>CPP_7_3</v>
      </c>
    </row>
    <row r="4715" spans="1:22">
      <c r="A4715" t="str">
        <f t="shared" si="584"/>
        <v>NDE-8504-R</v>
      </c>
      <c r="B4715" s="403" t="s">
        <v>1410</v>
      </c>
      <c r="C4715" s="403" t="s">
        <v>582</v>
      </c>
      <c r="D4715" s="403" t="s">
        <v>1418</v>
      </c>
      <c r="E4715" s="403" t="s">
        <v>1412</v>
      </c>
      <c r="F4715" s="403" t="s">
        <v>1419</v>
      </c>
      <c r="G4715" s="403" t="s">
        <v>1467</v>
      </c>
      <c r="H4715" s="403" t="s">
        <v>1281</v>
      </c>
      <c r="I4715" s="403">
        <v>1</v>
      </c>
      <c r="J4715" s="403" t="s">
        <v>1324</v>
      </c>
      <c r="K4715" s="403">
        <v>2016</v>
      </c>
      <c r="L4715" s="403">
        <v>3584</v>
      </c>
      <c r="M4715" s="403" t="s">
        <v>1284</v>
      </c>
      <c r="N4715" s="403">
        <v>480</v>
      </c>
      <c r="O4715" s="403">
        <v>640</v>
      </c>
      <c r="P4715" t="str">
        <f t="shared" si="585"/>
        <v>20fps 3584x2016 - SD VGA (cropped)</v>
      </c>
      <c r="Q4715">
        <f t="shared" si="586"/>
        <v>21</v>
      </c>
      <c r="R4715" t="str">
        <f t="shared" si="587"/>
        <v/>
      </c>
      <c r="S4715" t="str">
        <f t="shared" si="588"/>
        <v/>
      </c>
      <c r="T4715" s="403" t="str">
        <f t="shared" si="589"/>
        <v>NDE-8504-R</v>
      </c>
      <c r="U4715" s="403">
        <f t="shared" si="590"/>
        <v>1</v>
      </c>
      <c r="V4715" s="403" t="str">
        <f t="shared" si="591"/>
        <v>CPP_7_3</v>
      </c>
    </row>
    <row r="4716" spans="1:22">
      <c r="A4716" t="str">
        <f t="shared" si="584"/>
        <v>NDE-8504-R</v>
      </c>
      <c r="B4716" s="403" t="s">
        <v>1410</v>
      </c>
      <c r="C4716" s="403" t="s">
        <v>582</v>
      </c>
      <c r="D4716" s="403" t="s">
        <v>1418</v>
      </c>
      <c r="E4716" s="403" t="s">
        <v>1412</v>
      </c>
      <c r="F4716" s="403" t="s">
        <v>1419</v>
      </c>
      <c r="G4716" s="403" t="s">
        <v>1467</v>
      </c>
      <c r="H4716" s="403" t="s">
        <v>1281</v>
      </c>
      <c r="I4716" s="403">
        <v>1</v>
      </c>
      <c r="J4716" s="403" t="s">
        <v>1324</v>
      </c>
      <c r="K4716" s="403">
        <v>2016</v>
      </c>
      <c r="L4716" s="403">
        <v>3584</v>
      </c>
      <c r="M4716" s="403" t="s">
        <v>1285</v>
      </c>
      <c r="N4716" s="403">
        <v>1024</v>
      </c>
      <c r="O4716" s="403">
        <v>1280</v>
      </c>
      <c r="P4716" t="str">
        <f t="shared" si="585"/>
        <v>20fps 3584x2016 - 1280x1024 5:4 (cropped)</v>
      </c>
      <c r="Q4716">
        <f t="shared" si="586"/>
        <v>21</v>
      </c>
      <c r="R4716" t="str">
        <f t="shared" si="587"/>
        <v/>
      </c>
      <c r="S4716" t="str">
        <f t="shared" si="588"/>
        <v/>
      </c>
      <c r="T4716" s="403" t="str">
        <f t="shared" si="589"/>
        <v>NDE-8504-R</v>
      </c>
      <c r="U4716" s="403">
        <f t="shared" si="590"/>
        <v>1</v>
      </c>
      <c r="V4716" s="403" t="str">
        <f t="shared" si="591"/>
        <v>CPP_7_3</v>
      </c>
    </row>
    <row r="4717" spans="1:22">
      <c r="A4717" t="str">
        <f t="shared" si="584"/>
        <v>NDE-8504-R</v>
      </c>
      <c r="B4717" s="403" t="s">
        <v>1410</v>
      </c>
      <c r="C4717" s="403" t="s">
        <v>582</v>
      </c>
      <c r="D4717" s="403" t="s">
        <v>1418</v>
      </c>
      <c r="E4717" s="403" t="s">
        <v>1412</v>
      </c>
      <c r="F4717" s="403" t="s">
        <v>1419</v>
      </c>
      <c r="G4717" s="403" t="s">
        <v>1467</v>
      </c>
      <c r="H4717" s="403" t="s">
        <v>1281</v>
      </c>
      <c r="I4717" s="403">
        <v>1</v>
      </c>
      <c r="J4717" s="403" t="s">
        <v>1324</v>
      </c>
      <c r="K4717" s="403">
        <v>2016</v>
      </c>
      <c r="L4717" s="403">
        <v>3584</v>
      </c>
      <c r="M4717" s="403" t="s">
        <v>1383</v>
      </c>
      <c r="N4717" s="403">
        <v>1440</v>
      </c>
      <c r="O4717" s="403">
        <v>1920</v>
      </c>
      <c r="P4717" t="str">
        <f t="shared" si="585"/>
        <v>20fps 3584x2016 - 1920x1440_CROP</v>
      </c>
      <c r="Q4717">
        <f t="shared" si="586"/>
        <v>21</v>
      </c>
      <c r="R4717" t="str">
        <f t="shared" si="587"/>
        <v/>
      </c>
      <c r="S4717" t="str">
        <f t="shared" si="588"/>
        <v/>
      </c>
      <c r="T4717" s="403" t="str">
        <f t="shared" si="589"/>
        <v>NDE-8504-R</v>
      </c>
      <c r="U4717" s="403">
        <f t="shared" si="590"/>
        <v>1</v>
      </c>
      <c r="V4717" s="403" t="str">
        <f t="shared" si="591"/>
        <v>CPP_7_3</v>
      </c>
    </row>
    <row r="4718" spans="1:22">
      <c r="A4718" t="str">
        <f t="shared" si="584"/>
        <v>NDE-8504-R</v>
      </c>
      <c r="B4718" s="403" t="s">
        <v>1410</v>
      </c>
      <c r="C4718" s="403" t="s">
        <v>582</v>
      </c>
      <c r="D4718" s="403" t="s">
        <v>1418</v>
      </c>
      <c r="E4718" s="403" t="s">
        <v>1413</v>
      </c>
      <c r="F4718" s="403" t="s">
        <v>1323</v>
      </c>
      <c r="G4718" s="403" t="s">
        <v>1466</v>
      </c>
      <c r="H4718" s="403" t="s">
        <v>1276</v>
      </c>
      <c r="I4718" s="403">
        <v>1</v>
      </c>
      <c r="J4718" s="403" t="s">
        <v>194</v>
      </c>
      <c r="K4718" s="403">
        <v>3840</v>
      </c>
      <c r="L4718" s="403">
        <v>2160</v>
      </c>
      <c r="M4718" s="403" t="s">
        <v>1280</v>
      </c>
      <c r="N4718" s="403">
        <v>3840</v>
      </c>
      <c r="O4718" s="403">
        <v>2160</v>
      </c>
      <c r="P4718" t="str">
        <f t="shared" si="585"/>
        <v>30fps 3840x2160 - copy other stream</v>
      </c>
      <c r="Q4718">
        <f t="shared" si="586"/>
        <v>21</v>
      </c>
      <c r="R4718" t="str">
        <f t="shared" si="587"/>
        <v/>
      </c>
      <c r="S4718" t="str">
        <f t="shared" si="588"/>
        <v/>
      </c>
      <c r="T4718" s="403" t="str">
        <f t="shared" si="589"/>
        <v>NDE-8504-R</v>
      </c>
      <c r="U4718" s="403">
        <f t="shared" si="590"/>
        <v>1</v>
      </c>
      <c r="V4718" s="403" t="str">
        <f t="shared" si="591"/>
        <v>CPP_7_3</v>
      </c>
    </row>
    <row r="4719" spans="1:22">
      <c r="A4719" t="str">
        <f t="shared" si="584"/>
        <v>NDE-8504-R</v>
      </c>
      <c r="B4719" s="403" t="s">
        <v>1410</v>
      </c>
      <c r="C4719" s="403" t="s">
        <v>582</v>
      </c>
      <c r="D4719" s="403" t="s">
        <v>1418</v>
      </c>
      <c r="E4719" s="403" t="s">
        <v>1413</v>
      </c>
      <c r="F4719" s="403" t="s">
        <v>1323</v>
      </c>
      <c r="G4719" s="403" t="s">
        <v>1466</v>
      </c>
      <c r="H4719" s="403" t="s">
        <v>1276</v>
      </c>
      <c r="I4719" s="403">
        <v>1</v>
      </c>
      <c r="J4719" s="403" t="s">
        <v>1324</v>
      </c>
      <c r="K4719" s="403">
        <v>3584</v>
      </c>
      <c r="L4719" s="403">
        <v>2016</v>
      </c>
      <c r="M4719" s="403" t="s">
        <v>111</v>
      </c>
      <c r="N4719" s="403">
        <v>768</v>
      </c>
      <c r="O4719" s="403">
        <v>432</v>
      </c>
      <c r="P4719" t="str">
        <f t="shared" si="585"/>
        <v>30fps 3584x2016 - SD</v>
      </c>
      <c r="Q4719">
        <f t="shared" si="586"/>
        <v>21</v>
      </c>
      <c r="R4719" t="str">
        <f t="shared" si="587"/>
        <v/>
      </c>
      <c r="S4719" t="str">
        <f t="shared" si="588"/>
        <v/>
      </c>
      <c r="T4719" s="403" t="str">
        <f t="shared" si="589"/>
        <v>NDE-8504-R</v>
      </c>
      <c r="U4719" s="403">
        <f t="shared" si="590"/>
        <v>1</v>
      </c>
      <c r="V4719" s="403" t="str">
        <f t="shared" si="591"/>
        <v>CPP_7_3</v>
      </c>
    </row>
    <row r="4720" spans="1:22">
      <c r="A4720" t="str">
        <f t="shared" si="584"/>
        <v>NDE-8504-R</v>
      </c>
      <c r="B4720" s="403" t="s">
        <v>1410</v>
      </c>
      <c r="C4720" s="403" t="s">
        <v>582</v>
      </c>
      <c r="D4720" s="403" t="s">
        <v>1418</v>
      </c>
      <c r="E4720" s="403" t="s">
        <v>1413</v>
      </c>
      <c r="F4720" s="403" t="s">
        <v>1323</v>
      </c>
      <c r="G4720" s="403" t="s">
        <v>1466</v>
      </c>
      <c r="H4720" s="403" t="s">
        <v>1276</v>
      </c>
      <c r="I4720" s="403">
        <v>1</v>
      </c>
      <c r="J4720" s="403" t="s">
        <v>1324</v>
      </c>
      <c r="K4720" s="403">
        <v>3584</v>
      </c>
      <c r="L4720" s="403">
        <v>2016</v>
      </c>
      <c r="M4720" s="403" t="s">
        <v>1280</v>
      </c>
      <c r="N4720" s="403">
        <v>3584</v>
      </c>
      <c r="O4720" s="403">
        <v>2016</v>
      </c>
      <c r="P4720" t="str">
        <f t="shared" si="585"/>
        <v>30fps 3584x2016 - copy other stream</v>
      </c>
      <c r="Q4720">
        <f t="shared" si="586"/>
        <v>21</v>
      </c>
      <c r="R4720" t="str">
        <f t="shared" si="587"/>
        <v/>
      </c>
      <c r="S4720" t="str">
        <f t="shared" si="588"/>
        <v/>
      </c>
      <c r="T4720" s="403" t="str">
        <f t="shared" si="589"/>
        <v>NDE-8504-R</v>
      </c>
      <c r="U4720" s="403">
        <f t="shared" si="590"/>
        <v>1</v>
      </c>
      <c r="V4720" s="403" t="str">
        <f t="shared" si="591"/>
        <v>CPP_7_3</v>
      </c>
    </row>
    <row r="4721" spans="1:22">
      <c r="A4721" t="str">
        <f t="shared" si="584"/>
        <v>NDE-8504-R</v>
      </c>
      <c r="B4721" s="403" t="s">
        <v>1410</v>
      </c>
      <c r="C4721" s="403" t="s">
        <v>582</v>
      </c>
      <c r="D4721" s="403" t="s">
        <v>1418</v>
      </c>
      <c r="E4721" s="403" t="s">
        <v>1413</v>
      </c>
      <c r="F4721" s="403" t="s">
        <v>1323</v>
      </c>
      <c r="G4721" s="403" t="s">
        <v>1466</v>
      </c>
      <c r="H4721" s="403" t="s">
        <v>1276</v>
      </c>
      <c r="I4721" s="403">
        <v>1</v>
      </c>
      <c r="J4721" s="403" t="s">
        <v>1324</v>
      </c>
      <c r="K4721" s="403">
        <v>3584</v>
      </c>
      <c r="L4721" s="403">
        <v>2016</v>
      </c>
      <c r="M4721" s="403" t="s">
        <v>1365</v>
      </c>
      <c r="N4721" s="403">
        <v>3584</v>
      </c>
      <c r="O4721" s="403">
        <v>2016</v>
      </c>
      <c r="P4721" t="str">
        <f t="shared" si="585"/>
        <v>30fps 3584x2016 - 3584x2016 @ SKIP8</v>
      </c>
      <c r="Q4721">
        <f t="shared" si="586"/>
        <v>21</v>
      </c>
      <c r="R4721" t="str">
        <f t="shared" si="587"/>
        <v/>
      </c>
      <c r="S4721" t="str">
        <f t="shared" si="588"/>
        <v/>
      </c>
      <c r="T4721" s="403" t="str">
        <f t="shared" si="589"/>
        <v>NDE-8504-R</v>
      </c>
      <c r="U4721" s="403">
        <f t="shared" si="590"/>
        <v>1</v>
      </c>
      <c r="V4721" s="403" t="str">
        <f t="shared" si="591"/>
        <v>CPP_7_3</v>
      </c>
    </row>
    <row r="4722" spans="1:22">
      <c r="A4722" t="str">
        <f t="shared" si="584"/>
        <v>NDE-8504-R</v>
      </c>
      <c r="B4722" s="403" t="s">
        <v>1410</v>
      </c>
      <c r="C4722" s="403" t="s">
        <v>582</v>
      </c>
      <c r="D4722" s="403" t="s">
        <v>1418</v>
      </c>
      <c r="E4722" s="403" t="s">
        <v>1413</v>
      </c>
      <c r="F4722" s="403" t="s">
        <v>1323</v>
      </c>
      <c r="G4722" s="403" t="s">
        <v>1466</v>
      </c>
      <c r="H4722" s="403" t="s">
        <v>1276</v>
      </c>
      <c r="I4722" s="403">
        <v>1</v>
      </c>
      <c r="J4722" s="403" t="s">
        <v>1324</v>
      </c>
      <c r="K4722" s="403">
        <v>3584</v>
      </c>
      <c r="L4722" s="403">
        <v>2016</v>
      </c>
      <c r="M4722" s="403" t="s">
        <v>109</v>
      </c>
      <c r="N4722" s="403">
        <v>1280</v>
      </c>
      <c r="O4722" s="403">
        <v>720</v>
      </c>
      <c r="P4722" t="str">
        <f t="shared" si="585"/>
        <v>30fps 3584x2016 - 720p</v>
      </c>
      <c r="Q4722">
        <f t="shared" si="586"/>
        <v>21</v>
      </c>
      <c r="R4722" t="str">
        <f t="shared" si="587"/>
        <v/>
      </c>
      <c r="S4722" t="str">
        <f t="shared" si="588"/>
        <v/>
      </c>
      <c r="T4722" s="403" t="str">
        <f t="shared" si="589"/>
        <v>NDE-8504-R</v>
      </c>
      <c r="U4722" s="403">
        <f t="shared" si="590"/>
        <v>1</v>
      </c>
      <c r="V4722" s="403" t="str">
        <f t="shared" si="591"/>
        <v>CPP_7_3</v>
      </c>
    </row>
    <row r="4723" spans="1:22">
      <c r="A4723" t="str">
        <f t="shared" si="584"/>
        <v>NDE-8504-R</v>
      </c>
      <c r="B4723" s="403" t="s">
        <v>1410</v>
      </c>
      <c r="C4723" s="403" t="s">
        <v>582</v>
      </c>
      <c r="D4723" s="403" t="s">
        <v>1418</v>
      </c>
      <c r="E4723" s="403" t="s">
        <v>1413</v>
      </c>
      <c r="F4723" s="403" t="s">
        <v>1323</v>
      </c>
      <c r="G4723" s="403" t="s">
        <v>1466</v>
      </c>
      <c r="H4723" s="403" t="s">
        <v>1276</v>
      </c>
      <c r="I4723" s="403">
        <v>1</v>
      </c>
      <c r="J4723" s="403" t="s">
        <v>1324</v>
      </c>
      <c r="K4723" s="403">
        <v>3584</v>
      </c>
      <c r="L4723" s="403">
        <v>2016</v>
      </c>
      <c r="M4723" s="403" t="s">
        <v>1283</v>
      </c>
      <c r="N4723" s="403">
        <v>720</v>
      </c>
      <c r="O4723" s="403">
        <v>480</v>
      </c>
      <c r="P4723" t="str">
        <f t="shared" si="585"/>
        <v>30fps 3584x2016 - SD 4CIF resolution 4:3 format (cropped)</v>
      </c>
      <c r="Q4723">
        <f t="shared" si="586"/>
        <v>21</v>
      </c>
      <c r="R4723" t="str">
        <f t="shared" si="587"/>
        <v/>
      </c>
      <c r="S4723" t="str">
        <f t="shared" si="588"/>
        <v/>
      </c>
      <c r="T4723" s="403" t="str">
        <f t="shared" si="589"/>
        <v>NDE-8504-R</v>
      </c>
      <c r="U4723" s="403">
        <f t="shared" si="590"/>
        <v>1</v>
      </c>
      <c r="V4723" s="403" t="str">
        <f t="shared" si="591"/>
        <v>CPP_7_3</v>
      </c>
    </row>
    <row r="4724" spans="1:22">
      <c r="A4724" t="str">
        <f t="shared" si="584"/>
        <v>NDE-8504-R</v>
      </c>
      <c r="B4724" s="403" t="s">
        <v>1410</v>
      </c>
      <c r="C4724" s="403" t="s">
        <v>582</v>
      </c>
      <c r="D4724" s="403" t="s">
        <v>1418</v>
      </c>
      <c r="E4724" s="403" t="s">
        <v>1413</v>
      </c>
      <c r="F4724" s="403" t="s">
        <v>1323</v>
      </c>
      <c r="G4724" s="403" t="s">
        <v>1466</v>
      </c>
      <c r="H4724" s="403" t="s">
        <v>1276</v>
      </c>
      <c r="I4724" s="403">
        <v>1</v>
      </c>
      <c r="J4724" s="403" t="s">
        <v>1324</v>
      </c>
      <c r="K4724" s="403">
        <v>3584</v>
      </c>
      <c r="L4724" s="403">
        <v>2016</v>
      </c>
      <c r="M4724" s="403" t="s">
        <v>1279</v>
      </c>
      <c r="N4724" s="403">
        <v>768</v>
      </c>
      <c r="O4724" s="403">
        <v>432</v>
      </c>
      <c r="P4724" t="str">
        <f t="shared" si="585"/>
        <v>30fps 3584x2016 - SD ROI PTZ</v>
      </c>
      <c r="Q4724">
        <f t="shared" si="586"/>
        <v>21</v>
      </c>
      <c r="R4724" t="str">
        <f t="shared" si="587"/>
        <v/>
      </c>
      <c r="S4724" t="str">
        <f t="shared" si="588"/>
        <v/>
      </c>
      <c r="T4724" s="403" t="str">
        <f t="shared" si="589"/>
        <v>NDE-8504-R</v>
      </c>
      <c r="U4724" s="403">
        <f t="shared" si="590"/>
        <v>1</v>
      </c>
      <c r="V4724" s="403" t="str">
        <f t="shared" si="591"/>
        <v>CPP_7_3</v>
      </c>
    </row>
    <row r="4725" spans="1:22">
      <c r="A4725" t="str">
        <f t="shared" si="584"/>
        <v>NDE-8504-R</v>
      </c>
      <c r="B4725" s="403" t="s">
        <v>1410</v>
      </c>
      <c r="C4725" s="403" t="s">
        <v>582</v>
      </c>
      <c r="D4725" s="403" t="s">
        <v>1418</v>
      </c>
      <c r="E4725" s="403" t="s">
        <v>1413</v>
      </c>
      <c r="F4725" s="403" t="s">
        <v>1323</v>
      </c>
      <c r="G4725" s="403" t="s">
        <v>1466</v>
      </c>
      <c r="H4725" s="403" t="s">
        <v>1276</v>
      </c>
      <c r="I4725" s="403">
        <v>1</v>
      </c>
      <c r="J4725" s="403" t="s">
        <v>1324</v>
      </c>
      <c r="K4725" s="403">
        <v>3584</v>
      </c>
      <c r="L4725" s="403">
        <v>2016</v>
      </c>
      <c r="M4725" s="403" t="s">
        <v>1284</v>
      </c>
      <c r="N4725" s="403">
        <v>640</v>
      </c>
      <c r="O4725" s="403">
        <v>480</v>
      </c>
      <c r="P4725" t="str">
        <f t="shared" si="585"/>
        <v>30fps 3584x2016 - SD VGA (cropped)</v>
      </c>
      <c r="Q4725">
        <f t="shared" si="586"/>
        <v>21</v>
      </c>
      <c r="R4725" t="str">
        <f t="shared" si="587"/>
        <v/>
      </c>
      <c r="S4725" t="str">
        <f t="shared" si="588"/>
        <v/>
      </c>
      <c r="T4725" s="403" t="str">
        <f t="shared" si="589"/>
        <v>NDE-8504-R</v>
      </c>
      <c r="U4725" s="403">
        <f t="shared" si="590"/>
        <v>1</v>
      </c>
      <c r="V4725" s="403" t="str">
        <f t="shared" si="591"/>
        <v>CPP_7_3</v>
      </c>
    </row>
    <row r="4726" spans="1:22">
      <c r="A4726" t="str">
        <f t="shared" si="584"/>
        <v>NDE-8504-R</v>
      </c>
      <c r="B4726" s="403" t="s">
        <v>1410</v>
      </c>
      <c r="C4726" s="403" t="s">
        <v>582</v>
      </c>
      <c r="D4726" s="403" t="s">
        <v>1418</v>
      </c>
      <c r="E4726" s="403" t="s">
        <v>1413</v>
      </c>
      <c r="F4726" s="403" t="s">
        <v>1323</v>
      </c>
      <c r="G4726" s="403" t="s">
        <v>1466</v>
      </c>
      <c r="H4726" s="403" t="s">
        <v>1276</v>
      </c>
      <c r="I4726" s="403">
        <v>1</v>
      </c>
      <c r="J4726" s="403" t="s">
        <v>110</v>
      </c>
      <c r="K4726" s="403">
        <v>1920</v>
      </c>
      <c r="L4726" s="403">
        <v>1080</v>
      </c>
      <c r="M4726" s="403" t="s">
        <v>111</v>
      </c>
      <c r="N4726" s="403">
        <v>768</v>
      </c>
      <c r="O4726" s="403">
        <v>432</v>
      </c>
      <c r="P4726" t="str">
        <f t="shared" si="585"/>
        <v>30fps 1080p - SD</v>
      </c>
      <c r="Q4726">
        <f t="shared" si="586"/>
        <v>21</v>
      </c>
      <c r="R4726" t="str">
        <f t="shared" si="587"/>
        <v/>
      </c>
      <c r="S4726" t="str">
        <f t="shared" si="588"/>
        <v/>
      </c>
      <c r="T4726" s="403" t="str">
        <f t="shared" si="589"/>
        <v>NDE-8504-R</v>
      </c>
      <c r="U4726" s="403">
        <f t="shared" si="590"/>
        <v>1</v>
      </c>
      <c r="V4726" s="403" t="str">
        <f t="shared" si="591"/>
        <v>CPP_7_3</v>
      </c>
    </row>
    <row r="4727" spans="1:22">
      <c r="A4727" t="str">
        <f t="shared" si="584"/>
        <v>NDE-8504-R</v>
      </c>
      <c r="B4727" s="403" t="s">
        <v>1410</v>
      </c>
      <c r="C4727" s="403" t="s">
        <v>582</v>
      </c>
      <c r="D4727" s="403" t="s">
        <v>1418</v>
      </c>
      <c r="E4727" s="403" t="s">
        <v>1413</v>
      </c>
      <c r="F4727" s="403" t="s">
        <v>1323</v>
      </c>
      <c r="G4727" s="403" t="s">
        <v>1466</v>
      </c>
      <c r="H4727" s="403" t="s">
        <v>1276</v>
      </c>
      <c r="I4727" s="403">
        <v>1</v>
      </c>
      <c r="J4727" s="403" t="s">
        <v>110</v>
      </c>
      <c r="K4727" s="403">
        <v>1920</v>
      </c>
      <c r="L4727" s="403">
        <v>1080</v>
      </c>
      <c r="M4727" s="403" t="s">
        <v>110</v>
      </c>
      <c r="N4727" s="403">
        <v>1920</v>
      </c>
      <c r="O4727" s="403">
        <v>1080</v>
      </c>
      <c r="P4727" t="str">
        <f t="shared" si="585"/>
        <v>30fps 1080p - 1080p</v>
      </c>
      <c r="Q4727">
        <f t="shared" si="586"/>
        <v>21</v>
      </c>
      <c r="R4727" t="str">
        <f t="shared" si="587"/>
        <v/>
      </c>
      <c r="S4727" t="str">
        <f t="shared" si="588"/>
        <v/>
      </c>
      <c r="T4727" s="403" t="str">
        <f t="shared" si="589"/>
        <v>NDE-8504-R</v>
      </c>
      <c r="U4727" s="403">
        <f t="shared" si="590"/>
        <v>1</v>
      </c>
      <c r="V4727" s="403" t="str">
        <f t="shared" si="591"/>
        <v>CPP_7_3</v>
      </c>
    </row>
    <row r="4728" spans="1:22">
      <c r="A4728" t="str">
        <f t="shared" si="584"/>
        <v>NDE-8504-R</v>
      </c>
      <c r="B4728" s="403" t="s">
        <v>1410</v>
      </c>
      <c r="C4728" s="403" t="s">
        <v>582</v>
      </c>
      <c r="D4728" s="403" t="s">
        <v>1418</v>
      </c>
      <c r="E4728" s="403" t="s">
        <v>1413</v>
      </c>
      <c r="F4728" s="403" t="s">
        <v>1323</v>
      </c>
      <c r="G4728" s="403" t="s">
        <v>1466</v>
      </c>
      <c r="H4728" s="403" t="s">
        <v>1276</v>
      </c>
      <c r="I4728" s="403">
        <v>1</v>
      </c>
      <c r="J4728" s="403" t="s">
        <v>110</v>
      </c>
      <c r="K4728" s="403">
        <v>1920</v>
      </c>
      <c r="L4728" s="403">
        <v>1080</v>
      </c>
      <c r="M4728" s="403" t="s">
        <v>109</v>
      </c>
      <c r="N4728" s="403">
        <v>1280</v>
      </c>
      <c r="O4728" s="403">
        <v>720</v>
      </c>
      <c r="P4728" t="str">
        <f t="shared" si="585"/>
        <v>30fps 1080p - 720p</v>
      </c>
      <c r="Q4728">
        <f t="shared" si="586"/>
        <v>21</v>
      </c>
      <c r="R4728" t="str">
        <f t="shared" si="587"/>
        <v/>
      </c>
      <c r="S4728" t="str">
        <f t="shared" si="588"/>
        <v/>
      </c>
      <c r="T4728" s="403" t="str">
        <f t="shared" si="589"/>
        <v>NDE-8504-R</v>
      </c>
      <c r="U4728" s="403">
        <f t="shared" si="590"/>
        <v>1</v>
      </c>
      <c r="V4728" s="403" t="str">
        <f t="shared" si="591"/>
        <v>CPP_7_3</v>
      </c>
    </row>
    <row r="4729" spans="1:22">
      <c r="A4729" t="str">
        <f t="shared" si="584"/>
        <v>NDE-8504-R</v>
      </c>
      <c r="B4729" s="403" t="s">
        <v>1410</v>
      </c>
      <c r="C4729" s="403" t="s">
        <v>582</v>
      </c>
      <c r="D4729" s="403" t="s">
        <v>1418</v>
      </c>
      <c r="E4729" s="403" t="s">
        <v>1413</v>
      </c>
      <c r="F4729" s="403" t="s">
        <v>1323</v>
      </c>
      <c r="G4729" s="403" t="s">
        <v>1466</v>
      </c>
      <c r="H4729" s="403" t="s">
        <v>1276</v>
      </c>
      <c r="I4729" s="403">
        <v>1</v>
      </c>
      <c r="J4729" s="403" t="s">
        <v>110</v>
      </c>
      <c r="K4729" s="403">
        <v>1920</v>
      </c>
      <c r="L4729" s="403">
        <v>1080</v>
      </c>
      <c r="M4729" s="403" t="s">
        <v>1285</v>
      </c>
      <c r="N4729" s="403">
        <v>1280</v>
      </c>
      <c r="O4729" s="403">
        <v>1024</v>
      </c>
      <c r="P4729" t="str">
        <f t="shared" si="585"/>
        <v>30fps 1080p - 1280x1024 5:4 (cropped)</v>
      </c>
      <c r="Q4729">
        <f t="shared" si="586"/>
        <v>21</v>
      </c>
      <c r="R4729" t="str">
        <f t="shared" si="587"/>
        <v/>
      </c>
      <c r="S4729" t="str">
        <f t="shared" si="588"/>
        <v/>
      </c>
      <c r="T4729" s="403" t="str">
        <f t="shared" si="589"/>
        <v>NDE-8504-R</v>
      </c>
      <c r="U4729" s="403">
        <f t="shared" si="590"/>
        <v>1</v>
      </c>
      <c r="V4729" s="403" t="str">
        <f t="shared" si="591"/>
        <v>CPP_7_3</v>
      </c>
    </row>
    <row r="4730" spans="1:22">
      <c r="A4730" t="str">
        <f t="shared" si="584"/>
        <v>NDE-8504-R</v>
      </c>
      <c r="B4730" s="403" t="s">
        <v>1410</v>
      </c>
      <c r="C4730" s="403" t="s">
        <v>582</v>
      </c>
      <c r="D4730" s="403" t="s">
        <v>1418</v>
      </c>
      <c r="E4730" s="403" t="s">
        <v>1413</v>
      </c>
      <c r="F4730" s="403" t="s">
        <v>1323</v>
      </c>
      <c r="G4730" s="403" t="s">
        <v>1466</v>
      </c>
      <c r="H4730" s="403" t="s">
        <v>1276</v>
      </c>
      <c r="I4730" s="403">
        <v>1</v>
      </c>
      <c r="J4730" s="403" t="s">
        <v>110</v>
      </c>
      <c r="K4730" s="403">
        <v>1920</v>
      </c>
      <c r="L4730" s="403">
        <v>1080</v>
      </c>
      <c r="M4730" s="403" t="s">
        <v>1279</v>
      </c>
      <c r="N4730" s="403">
        <v>768</v>
      </c>
      <c r="O4730" s="403">
        <v>432</v>
      </c>
      <c r="P4730" t="str">
        <f t="shared" si="585"/>
        <v>30fps 1080p - SD ROI PTZ</v>
      </c>
      <c r="Q4730">
        <f t="shared" si="586"/>
        <v>21</v>
      </c>
      <c r="R4730" t="str">
        <f t="shared" si="587"/>
        <v/>
      </c>
      <c r="S4730" t="str">
        <f t="shared" si="588"/>
        <v/>
      </c>
      <c r="T4730" s="403" t="str">
        <f t="shared" si="589"/>
        <v>NDE-8504-R</v>
      </c>
      <c r="U4730" s="403">
        <f t="shared" si="590"/>
        <v>1</v>
      </c>
      <c r="V4730" s="403" t="str">
        <f t="shared" si="591"/>
        <v>CPP_7_3</v>
      </c>
    </row>
    <row r="4731" spans="1:22">
      <c r="A4731" t="str">
        <f t="shared" si="584"/>
        <v>NDE-8504-R</v>
      </c>
      <c r="B4731" s="403" t="s">
        <v>1410</v>
      </c>
      <c r="C4731" s="403" t="s">
        <v>582</v>
      </c>
      <c r="D4731" s="403" t="s">
        <v>1418</v>
      </c>
      <c r="E4731" s="403" t="s">
        <v>1413</v>
      </c>
      <c r="F4731" s="403" t="s">
        <v>1323</v>
      </c>
      <c r="G4731" s="403" t="s">
        <v>1466</v>
      </c>
      <c r="H4731" s="403" t="s">
        <v>1276</v>
      </c>
      <c r="I4731" s="403">
        <v>1</v>
      </c>
      <c r="J4731" s="403" t="s">
        <v>110</v>
      </c>
      <c r="K4731" s="403">
        <v>1920</v>
      </c>
      <c r="L4731" s="403">
        <v>1080</v>
      </c>
      <c r="M4731" s="403" t="s">
        <v>1283</v>
      </c>
      <c r="N4731" s="403">
        <v>720</v>
      </c>
      <c r="O4731" s="403">
        <v>480</v>
      </c>
      <c r="P4731" t="str">
        <f t="shared" si="585"/>
        <v>30fps 1080p - SD 4CIF resolution 4:3 format (cropped)</v>
      </c>
      <c r="Q4731">
        <f t="shared" si="586"/>
        <v>21</v>
      </c>
      <c r="R4731" t="str">
        <f t="shared" si="587"/>
        <v/>
      </c>
      <c r="S4731" t="str">
        <f t="shared" si="588"/>
        <v/>
      </c>
      <c r="T4731" s="403" t="str">
        <f t="shared" si="589"/>
        <v>NDE-8504-R</v>
      </c>
      <c r="U4731" s="403">
        <f t="shared" si="590"/>
        <v>1</v>
      </c>
      <c r="V4731" s="403" t="str">
        <f t="shared" si="591"/>
        <v>CPP_7_3</v>
      </c>
    </row>
    <row r="4732" spans="1:22">
      <c r="A4732" t="str">
        <f t="shared" si="584"/>
        <v>NDE-8504-R</v>
      </c>
      <c r="B4732" s="403" t="s">
        <v>1410</v>
      </c>
      <c r="C4732" s="403" t="s">
        <v>582</v>
      </c>
      <c r="D4732" s="403" t="s">
        <v>1418</v>
      </c>
      <c r="E4732" s="403" t="s">
        <v>1413</v>
      </c>
      <c r="F4732" s="403" t="s">
        <v>1323</v>
      </c>
      <c r="G4732" s="403" t="s">
        <v>1466</v>
      </c>
      <c r="H4732" s="403" t="s">
        <v>1276</v>
      </c>
      <c r="I4732" s="403">
        <v>1</v>
      </c>
      <c r="J4732" s="403" t="s">
        <v>110</v>
      </c>
      <c r="K4732" s="403">
        <v>1920</v>
      </c>
      <c r="L4732" s="403">
        <v>1080</v>
      </c>
      <c r="M4732" s="403" t="s">
        <v>1284</v>
      </c>
      <c r="N4732" s="403">
        <v>640</v>
      </c>
      <c r="O4732" s="403">
        <v>480</v>
      </c>
      <c r="P4732" t="str">
        <f t="shared" si="585"/>
        <v>30fps 1080p - SD VGA (cropped)</v>
      </c>
      <c r="Q4732">
        <f t="shared" si="586"/>
        <v>21</v>
      </c>
      <c r="R4732" t="str">
        <f t="shared" si="587"/>
        <v/>
      </c>
      <c r="S4732" t="str">
        <f t="shared" si="588"/>
        <v/>
      </c>
      <c r="T4732" s="403" t="str">
        <f t="shared" si="589"/>
        <v>NDE-8504-R</v>
      </c>
      <c r="U4732" s="403">
        <f t="shared" si="590"/>
        <v>1</v>
      </c>
      <c r="V4732" s="403" t="str">
        <f t="shared" si="591"/>
        <v>CPP_7_3</v>
      </c>
    </row>
    <row r="4733" spans="1:22">
      <c r="A4733" t="str">
        <f t="shared" si="584"/>
        <v>NDE-8504-R</v>
      </c>
      <c r="B4733" s="403" t="s">
        <v>1410</v>
      </c>
      <c r="C4733" s="403" t="s">
        <v>582</v>
      </c>
      <c r="D4733" s="403" t="s">
        <v>1418</v>
      </c>
      <c r="E4733" s="403" t="s">
        <v>1413</v>
      </c>
      <c r="F4733" s="403" t="s">
        <v>1323</v>
      </c>
      <c r="G4733" s="403" t="s">
        <v>1466</v>
      </c>
      <c r="H4733" s="403" t="s">
        <v>1276</v>
      </c>
      <c r="I4733" s="403">
        <v>1</v>
      </c>
      <c r="J4733" s="403" t="s">
        <v>109</v>
      </c>
      <c r="K4733" s="403">
        <v>1280</v>
      </c>
      <c r="L4733" s="403">
        <v>720</v>
      </c>
      <c r="M4733" s="403" t="s">
        <v>109</v>
      </c>
      <c r="N4733" s="403">
        <v>1280</v>
      </c>
      <c r="O4733" s="403">
        <v>720</v>
      </c>
      <c r="P4733" t="str">
        <f t="shared" si="585"/>
        <v>30fps 720p - 720p</v>
      </c>
      <c r="Q4733">
        <f t="shared" si="586"/>
        <v>21</v>
      </c>
      <c r="R4733" t="str">
        <f t="shared" si="587"/>
        <v/>
      </c>
      <c r="S4733" t="str">
        <f t="shared" si="588"/>
        <v/>
      </c>
      <c r="T4733" s="403" t="str">
        <f t="shared" si="589"/>
        <v>NDE-8504-R</v>
      </c>
      <c r="U4733" s="403">
        <f t="shared" si="590"/>
        <v>1</v>
      </c>
      <c r="V4733" s="403" t="str">
        <f t="shared" si="591"/>
        <v>CPP_7_3</v>
      </c>
    </row>
    <row r="4734" spans="1:22">
      <c r="A4734" t="str">
        <f t="shared" si="584"/>
        <v>NDE-8504-R</v>
      </c>
      <c r="B4734" s="403" t="s">
        <v>1410</v>
      </c>
      <c r="C4734" s="403" t="s">
        <v>582</v>
      </c>
      <c r="D4734" s="403" t="s">
        <v>1418</v>
      </c>
      <c r="E4734" s="403" t="s">
        <v>1413</v>
      </c>
      <c r="F4734" s="403" t="s">
        <v>1323</v>
      </c>
      <c r="G4734" s="403" t="s">
        <v>1466</v>
      </c>
      <c r="H4734" s="403" t="s">
        <v>1276</v>
      </c>
      <c r="I4734" s="403">
        <v>1</v>
      </c>
      <c r="J4734" s="403" t="s">
        <v>109</v>
      </c>
      <c r="K4734" s="403">
        <v>1280</v>
      </c>
      <c r="L4734" s="403">
        <v>720</v>
      </c>
      <c r="M4734" s="403" t="s">
        <v>111</v>
      </c>
      <c r="N4734" s="403">
        <v>768</v>
      </c>
      <c r="O4734" s="403">
        <v>432</v>
      </c>
      <c r="P4734" t="str">
        <f t="shared" si="585"/>
        <v>30fps 720p - SD</v>
      </c>
      <c r="Q4734">
        <f t="shared" si="586"/>
        <v>21</v>
      </c>
      <c r="R4734" t="str">
        <f t="shared" si="587"/>
        <v/>
      </c>
      <c r="S4734" t="str">
        <f t="shared" si="588"/>
        <v/>
      </c>
      <c r="T4734" s="403" t="str">
        <f t="shared" si="589"/>
        <v>NDE-8504-R</v>
      </c>
      <c r="U4734" s="403">
        <f t="shared" si="590"/>
        <v>1</v>
      </c>
      <c r="V4734" s="403" t="str">
        <f t="shared" si="591"/>
        <v>CPP_7_3</v>
      </c>
    </row>
    <row r="4735" spans="1:22">
      <c r="A4735" t="str">
        <f t="shared" si="584"/>
        <v>NDE-8504-R</v>
      </c>
      <c r="B4735" s="403" t="s">
        <v>1410</v>
      </c>
      <c r="C4735" s="403" t="s">
        <v>582</v>
      </c>
      <c r="D4735" s="403" t="s">
        <v>1418</v>
      </c>
      <c r="E4735" s="403" t="s">
        <v>1413</v>
      </c>
      <c r="F4735" s="403" t="s">
        <v>1323</v>
      </c>
      <c r="G4735" s="403" t="s">
        <v>1466</v>
      </c>
      <c r="H4735" s="403" t="s">
        <v>1276</v>
      </c>
      <c r="I4735" s="403">
        <v>1</v>
      </c>
      <c r="J4735" s="403" t="s">
        <v>109</v>
      </c>
      <c r="K4735" s="403">
        <v>1280</v>
      </c>
      <c r="L4735" s="403">
        <v>720</v>
      </c>
      <c r="M4735" s="403" t="s">
        <v>1279</v>
      </c>
      <c r="N4735" s="403">
        <v>768</v>
      </c>
      <c r="O4735" s="403">
        <v>432</v>
      </c>
      <c r="P4735" t="str">
        <f t="shared" si="585"/>
        <v>30fps 720p - SD ROI PTZ</v>
      </c>
      <c r="Q4735">
        <f t="shared" si="586"/>
        <v>21</v>
      </c>
      <c r="R4735" t="str">
        <f t="shared" si="587"/>
        <v/>
      </c>
      <c r="S4735" t="str">
        <f t="shared" si="588"/>
        <v/>
      </c>
      <c r="T4735" s="403" t="str">
        <f t="shared" si="589"/>
        <v>NDE-8504-R</v>
      </c>
      <c r="U4735" s="403">
        <f t="shared" si="590"/>
        <v>1</v>
      </c>
      <c r="V4735" s="403" t="str">
        <f t="shared" si="591"/>
        <v>CPP_7_3</v>
      </c>
    </row>
    <row r="4736" spans="1:22">
      <c r="A4736" t="str">
        <f t="shared" si="584"/>
        <v>NDE-8504-R</v>
      </c>
      <c r="B4736" s="403" t="s">
        <v>1410</v>
      </c>
      <c r="C4736" s="403" t="s">
        <v>582</v>
      </c>
      <c r="D4736" s="403" t="s">
        <v>1418</v>
      </c>
      <c r="E4736" s="403" t="s">
        <v>1413</v>
      </c>
      <c r="F4736" s="403" t="s">
        <v>1323</v>
      </c>
      <c r="G4736" s="403" t="s">
        <v>1466</v>
      </c>
      <c r="H4736" s="403" t="s">
        <v>1276</v>
      </c>
      <c r="I4736" s="403">
        <v>1</v>
      </c>
      <c r="J4736" s="403" t="s">
        <v>109</v>
      </c>
      <c r="K4736" s="403">
        <v>1280</v>
      </c>
      <c r="L4736" s="403">
        <v>720</v>
      </c>
      <c r="M4736" s="403" t="s">
        <v>1283</v>
      </c>
      <c r="N4736" s="403">
        <v>720</v>
      </c>
      <c r="O4736" s="403">
        <v>480</v>
      </c>
      <c r="P4736" t="str">
        <f t="shared" si="585"/>
        <v>30fps 720p - SD 4CIF resolution 4:3 format (cropped)</v>
      </c>
      <c r="Q4736">
        <f t="shared" si="586"/>
        <v>21</v>
      </c>
      <c r="R4736" t="str">
        <f t="shared" si="587"/>
        <v/>
      </c>
      <c r="S4736" t="str">
        <f t="shared" si="588"/>
        <v/>
      </c>
      <c r="T4736" s="403" t="str">
        <f t="shared" si="589"/>
        <v>NDE-8504-R</v>
      </c>
      <c r="U4736" s="403">
        <f t="shared" si="590"/>
        <v>1</v>
      </c>
      <c r="V4736" s="403" t="str">
        <f t="shared" si="591"/>
        <v>CPP_7_3</v>
      </c>
    </row>
    <row r="4737" spans="1:22">
      <c r="A4737" t="str">
        <f t="shared" si="584"/>
        <v>NDE-8504-R</v>
      </c>
      <c r="B4737" s="403" t="s">
        <v>1410</v>
      </c>
      <c r="C4737" s="403" t="s">
        <v>582</v>
      </c>
      <c r="D4737" s="403" t="s">
        <v>1418</v>
      </c>
      <c r="E4737" s="403" t="s">
        <v>1413</v>
      </c>
      <c r="F4737" s="403" t="s">
        <v>1323</v>
      </c>
      <c r="G4737" s="403" t="s">
        <v>1466</v>
      </c>
      <c r="H4737" s="403" t="s">
        <v>1276</v>
      </c>
      <c r="I4737" s="403">
        <v>1</v>
      </c>
      <c r="J4737" s="403" t="s">
        <v>109</v>
      </c>
      <c r="K4737" s="403">
        <v>1280</v>
      </c>
      <c r="L4737" s="403">
        <v>720</v>
      </c>
      <c r="M4737" s="403" t="s">
        <v>1284</v>
      </c>
      <c r="N4737" s="403">
        <v>640</v>
      </c>
      <c r="O4737" s="403">
        <v>480</v>
      </c>
      <c r="P4737" t="str">
        <f t="shared" si="585"/>
        <v>30fps 720p - SD VGA (cropped)</v>
      </c>
      <c r="Q4737">
        <f t="shared" si="586"/>
        <v>21</v>
      </c>
      <c r="R4737" t="str">
        <f t="shared" si="587"/>
        <v/>
      </c>
      <c r="S4737" t="str">
        <f t="shared" si="588"/>
        <v/>
      </c>
      <c r="T4737" s="403" t="str">
        <f t="shared" si="589"/>
        <v>NDE-8504-R</v>
      </c>
      <c r="U4737" s="403">
        <f t="shared" si="590"/>
        <v>1</v>
      </c>
      <c r="V4737" s="403" t="str">
        <f t="shared" si="591"/>
        <v>CPP_7_3</v>
      </c>
    </row>
    <row r="4738" spans="1:22">
      <c r="A4738" t="str">
        <f t="shared" ref="A4738:A4801" si="592">IF(AND(G4738&lt;&gt;"rotate 90°"),D4738,"")</f>
        <v>NDE-8504-R</v>
      </c>
      <c r="B4738" s="403" t="s">
        <v>1410</v>
      </c>
      <c r="C4738" s="403" t="s">
        <v>582</v>
      </c>
      <c r="D4738" s="403" t="s">
        <v>1418</v>
      </c>
      <c r="E4738" s="403" t="s">
        <v>1413</v>
      </c>
      <c r="F4738" s="403" t="s">
        <v>1323</v>
      </c>
      <c r="G4738" s="403" t="s">
        <v>1466</v>
      </c>
      <c r="H4738" s="403" t="s">
        <v>1281</v>
      </c>
      <c r="I4738" s="403">
        <v>1</v>
      </c>
      <c r="J4738" s="403" t="s">
        <v>1324</v>
      </c>
      <c r="K4738" s="403">
        <v>3584</v>
      </c>
      <c r="L4738" s="403">
        <v>2016</v>
      </c>
      <c r="M4738" s="403" t="s">
        <v>1280</v>
      </c>
      <c r="N4738" s="403">
        <v>3584</v>
      </c>
      <c r="O4738" s="403">
        <v>2016</v>
      </c>
      <c r="P4738" t="str">
        <f t="shared" ref="P4738:P4801" si="593">LEFT(F4738,5)&amp;" "&amp;J4738&amp;" - "&amp;M4738</f>
        <v>30fps 3584x2016 - copy other stream</v>
      </c>
      <c r="Q4738">
        <f t="shared" ref="Q4738:Q4801" si="594">IF(A4737=A4738,Q4737,Q4737+1)</f>
        <v>21</v>
      </c>
      <c r="R4738" t="str">
        <f t="shared" ref="R4738:R4801" si="595">IF(Q4737&lt;&gt;Q4738,Q4738,"")</f>
        <v/>
      </c>
      <c r="S4738" t="str">
        <f t="shared" ref="S4738:S4801" si="596">IF(R4738&lt;&gt;"",B4738&amp;" ("&amp;D4738&amp;")","")</f>
        <v/>
      </c>
      <c r="T4738" s="403" t="str">
        <f t="shared" ref="T4738:T4801" si="597">D4738</f>
        <v>NDE-8504-R</v>
      </c>
      <c r="U4738" s="403">
        <f t="shared" ref="U4738:U4801" si="598">I4738</f>
        <v>1</v>
      </c>
      <c r="V4738" s="403" t="str">
        <f t="shared" ref="V4738:V4801" si="599">C4738</f>
        <v>CPP_7_3</v>
      </c>
    </row>
    <row r="4739" spans="1:22">
      <c r="A4739" t="str">
        <f t="shared" si="592"/>
        <v>NDE-8504-R</v>
      </c>
      <c r="B4739" s="403" t="s">
        <v>1410</v>
      </c>
      <c r="C4739" s="403" t="s">
        <v>582</v>
      </c>
      <c r="D4739" s="403" t="s">
        <v>1418</v>
      </c>
      <c r="E4739" s="403" t="s">
        <v>1413</v>
      </c>
      <c r="F4739" s="403" t="s">
        <v>1323</v>
      </c>
      <c r="G4739" s="403" t="s">
        <v>1466</v>
      </c>
      <c r="H4739" s="403" t="s">
        <v>1281</v>
      </c>
      <c r="I4739" s="403">
        <v>1</v>
      </c>
      <c r="J4739" s="403" t="s">
        <v>110</v>
      </c>
      <c r="K4739" s="403">
        <v>1920</v>
      </c>
      <c r="L4739" s="403">
        <v>1080</v>
      </c>
      <c r="M4739" s="403" t="s">
        <v>111</v>
      </c>
      <c r="N4739" s="403">
        <v>768</v>
      </c>
      <c r="O4739" s="403">
        <v>432</v>
      </c>
      <c r="P4739" t="str">
        <f t="shared" si="593"/>
        <v>30fps 1080p - SD</v>
      </c>
      <c r="Q4739">
        <f t="shared" si="594"/>
        <v>21</v>
      </c>
      <c r="R4739" t="str">
        <f t="shared" si="595"/>
        <v/>
      </c>
      <c r="S4739" t="str">
        <f t="shared" si="596"/>
        <v/>
      </c>
      <c r="T4739" s="403" t="str">
        <f t="shared" si="597"/>
        <v>NDE-8504-R</v>
      </c>
      <c r="U4739" s="403">
        <f t="shared" si="598"/>
        <v>1</v>
      </c>
      <c r="V4739" s="403" t="str">
        <f t="shared" si="599"/>
        <v>CPP_7_3</v>
      </c>
    </row>
    <row r="4740" spans="1:22">
      <c r="A4740" t="str">
        <f t="shared" si="592"/>
        <v>NDE-8504-R</v>
      </c>
      <c r="B4740" s="403" t="s">
        <v>1410</v>
      </c>
      <c r="C4740" s="403" t="s">
        <v>582</v>
      </c>
      <c r="D4740" s="403" t="s">
        <v>1418</v>
      </c>
      <c r="E4740" s="403" t="s">
        <v>1413</v>
      </c>
      <c r="F4740" s="403" t="s">
        <v>1323</v>
      </c>
      <c r="G4740" s="403" t="s">
        <v>1466</v>
      </c>
      <c r="H4740" s="403" t="s">
        <v>1281</v>
      </c>
      <c r="I4740" s="403">
        <v>1</v>
      </c>
      <c r="J4740" s="403" t="s">
        <v>110</v>
      </c>
      <c r="K4740" s="403">
        <v>1920</v>
      </c>
      <c r="L4740" s="403">
        <v>1080</v>
      </c>
      <c r="M4740" s="403" t="s">
        <v>110</v>
      </c>
      <c r="N4740" s="403">
        <v>1920</v>
      </c>
      <c r="O4740" s="403">
        <v>1080</v>
      </c>
      <c r="P4740" t="str">
        <f t="shared" si="593"/>
        <v>30fps 1080p - 1080p</v>
      </c>
      <c r="Q4740">
        <f t="shared" si="594"/>
        <v>21</v>
      </c>
      <c r="R4740" t="str">
        <f t="shared" si="595"/>
        <v/>
      </c>
      <c r="S4740" t="str">
        <f t="shared" si="596"/>
        <v/>
      </c>
      <c r="T4740" s="403" t="str">
        <f t="shared" si="597"/>
        <v>NDE-8504-R</v>
      </c>
      <c r="U4740" s="403">
        <f t="shared" si="598"/>
        <v>1</v>
      </c>
      <c r="V4740" s="403" t="str">
        <f t="shared" si="599"/>
        <v>CPP_7_3</v>
      </c>
    </row>
    <row r="4741" spans="1:22">
      <c r="A4741" t="str">
        <f t="shared" si="592"/>
        <v>NDE-8504-R</v>
      </c>
      <c r="B4741" s="403" t="s">
        <v>1410</v>
      </c>
      <c r="C4741" s="403" t="s">
        <v>582</v>
      </c>
      <c r="D4741" s="403" t="s">
        <v>1418</v>
      </c>
      <c r="E4741" s="403" t="s">
        <v>1413</v>
      </c>
      <c r="F4741" s="403" t="s">
        <v>1323</v>
      </c>
      <c r="G4741" s="403" t="s">
        <v>1466</v>
      </c>
      <c r="H4741" s="403" t="s">
        <v>1281</v>
      </c>
      <c r="I4741" s="403">
        <v>1</v>
      </c>
      <c r="J4741" s="403" t="s">
        <v>110</v>
      </c>
      <c r="K4741" s="403">
        <v>1920</v>
      </c>
      <c r="L4741" s="403">
        <v>1080</v>
      </c>
      <c r="M4741" s="403" t="s">
        <v>109</v>
      </c>
      <c r="N4741" s="403">
        <v>1280</v>
      </c>
      <c r="O4741" s="403">
        <v>720</v>
      </c>
      <c r="P4741" t="str">
        <f t="shared" si="593"/>
        <v>30fps 1080p - 720p</v>
      </c>
      <c r="Q4741">
        <f t="shared" si="594"/>
        <v>21</v>
      </c>
      <c r="R4741" t="str">
        <f t="shared" si="595"/>
        <v/>
      </c>
      <c r="S4741" t="str">
        <f t="shared" si="596"/>
        <v/>
      </c>
      <c r="T4741" s="403" t="str">
        <f t="shared" si="597"/>
        <v>NDE-8504-R</v>
      </c>
      <c r="U4741" s="403">
        <f t="shared" si="598"/>
        <v>1</v>
      </c>
      <c r="V4741" s="403" t="str">
        <f t="shared" si="599"/>
        <v>CPP_7_3</v>
      </c>
    </row>
    <row r="4742" spans="1:22">
      <c r="A4742" t="str">
        <f t="shared" si="592"/>
        <v>NDE-8504-R</v>
      </c>
      <c r="B4742" s="403" t="s">
        <v>1410</v>
      </c>
      <c r="C4742" s="403" t="s">
        <v>582</v>
      </c>
      <c r="D4742" s="403" t="s">
        <v>1418</v>
      </c>
      <c r="E4742" s="403" t="s">
        <v>1413</v>
      </c>
      <c r="F4742" s="403" t="s">
        <v>1323</v>
      </c>
      <c r="G4742" s="403" t="s">
        <v>1466</v>
      </c>
      <c r="H4742" s="403" t="s">
        <v>1281</v>
      </c>
      <c r="I4742" s="403">
        <v>1</v>
      </c>
      <c r="J4742" s="403" t="s">
        <v>110</v>
      </c>
      <c r="K4742" s="403">
        <v>1920</v>
      </c>
      <c r="L4742" s="403">
        <v>1080</v>
      </c>
      <c r="M4742" s="403" t="s">
        <v>1285</v>
      </c>
      <c r="N4742" s="403">
        <v>1280</v>
      </c>
      <c r="O4742" s="403">
        <v>1024</v>
      </c>
      <c r="P4742" t="str">
        <f t="shared" si="593"/>
        <v>30fps 1080p - 1280x1024 5:4 (cropped)</v>
      </c>
      <c r="Q4742">
        <f t="shared" si="594"/>
        <v>21</v>
      </c>
      <c r="R4742" t="str">
        <f t="shared" si="595"/>
        <v/>
      </c>
      <c r="S4742" t="str">
        <f t="shared" si="596"/>
        <v/>
      </c>
      <c r="T4742" s="403" t="str">
        <f t="shared" si="597"/>
        <v>NDE-8504-R</v>
      </c>
      <c r="U4742" s="403">
        <f t="shared" si="598"/>
        <v>1</v>
      </c>
      <c r="V4742" s="403" t="str">
        <f t="shared" si="599"/>
        <v>CPP_7_3</v>
      </c>
    </row>
    <row r="4743" spans="1:22">
      <c r="A4743" t="str">
        <f t="shared" si="592"/>
        <v>NDE-8504-R</v>
      </c>
      <c r="B4743" s="403" t="s">
        <v>1410</v>
      </c>
      <c r="C4743" s="403" t="s">
        <v>582</v>
      </c>
      <c r="D4743" s="403" t="s">
        <v>1418</v>
      </c>
      <c r="E4743" s="403" t="s">
        <v>1413</v>
      </c>
      <c r="F4743" s="403" t="s">
        <v>1323</v>
      </c>
      <c r="G4743" s="403" t="s">
        <v>1466</v>
      </c>
      <c r="H4743" s="403" t="s">
        <v>1281</v>
      </c>
      <c r="I4743" s="403">
        <v>1</v>
      </c>
      <c r="J4743" s="403" t="s">
        <v>110</v>
      </c>
      <c r="K4743" s="403">
        <v>1920</v>
      </c>
      <c r="L4743" s="403">
        <v>1080</v>
      </c>
      <c r="M4743" s="403" t="s">
        <v>1279</v>
      </c>
      <c r="N4743" s="403">
        <v>768</v>
      </c>
      <c r="O4743" s="403">
        <v>432</v>
      </c>
      <c r="P4743" t="str">
        <f t="shared" si="593"/>
        <v>30fps 1080p - SD ROI PTZ</v>
      </c>
      <c r="Q4743">
        <f t="shared" si="594"/>
        <v>21</v>
      </c>
      <c r="R4743" t="str">
        <f t="shared" si="595"/>
        <v/>
      </c>
      <c r="S4743" t="str">
        <f t="shared" si="596"/>
        <v/>
      </c>
      <c r="T4743" s="403" t="str">
        <f t="shared" si="597"/>
        <v>NDE-8504-R</v>
      </c>
      <c r="U4743" s="403">
        <f t="shared" si="598"/>
        <v>1</v>
      </c>
      <c r="V4743" s="403" t="str">
        <f t="shared" si="599"/>
        <v>CPP_7_3</v>
      </c>
    </row>
    <row r="4744" spans="1:22">
      <c r="A4744" t="str">
        <f t="shared" si="592"/>
        <v>NDE-8504-R</v>
      </c>
      <c r="B4744" s="403" t="s">
        <v>1410</v>
      </c>
      <c r="C4744" s="403" t="s">
        <v>582</v>
      </c>
      <c r="D4744" s="403" t="s">
        <v>1418</v>
      </c>
      <c r="E4744" s="403" t="s">
        <v>1413</v>
      </c>
      <c r="F4744" s="403" t="s">
        <v>1323</v>
      </c>
      <c r="G4744" s="403" t="s">
        <v>1466</v>
      </c>
      <c r="H4744" s="403" t="s">
        <v>1281</v>
      </c>
      <c r="I4744" s="403">
        <v>1</v>
      </c>
      <c r="J4744" s="403" t="s">
        <v>110</v>
      </c>
      <c r="K4744" s="403">
        <v>1920</v>
      </c>
      <c r="L4744" s="403">
        <v>1080</v>
      </c>
      <c r="M4744" s="403" t="s">
        <v>1283</v>
      </c>
      <c r="N4744" s="403">
        <v>720</v>
      </c>
      <c r="O4744" s="403">
        <v>480</v>
      </c>
      <c r="P4744" t="str">
        <f t="shared" si="593"/>
        <v>30fps 1080p - SD 4CIF resolution 4:3 format (cropped)</v>
      </c>
      <c r="Q4744">
        <f t="shared" si="594"/>
        <v>21</v>
      </c>
      <c r="R4744" t="str">
        <f t="shared" si="595"/>
        <v/>
      </c>
      <c r="S4744" t="str">
        <f t="shared" si="596"/>
        <v/>
      </c>
      <c r="T4744" s="403" t="str">
        <f t="shared" si="597"/>
        <v>NDE-8504-R</v>
      </c>
      <c r="U4744" s="403">
        <f t="shared" si="598"/>
        <v>1</v>
      </c>
      <c r="V4744" s="403" t="str">
        <f t="shared" si="599"/>
        <v>CPP_7_3</v>
      </c>
    </row>
    <row r="4745" spans="1:22">
      <c r="A4745" t="str">
        <f t="shared" si="592"/>
        <v>NDE-8504-R</v>
      </c>
      <c r="B4745" s="403" t="s">
        <v>1410</v>
      </c>
      <c r="C4745" s="403" t="s">
        <v>582</v>
      </c>
      <c r="D4745" s="403" t="s">
        <v>1418</v>
      </c>
      <c r="E4745" s="403" t="s">
        <v>1413</v>
      </c>
      <c r="F4745" s="403" t="s">
        <v>1323</v>
      </c>
      <c r="G4745" s="403" t="s">
        <v>1466</v>
      </c>
      <c r="H4745" s="403" t="s">
        <v>1281</v>
      </c>
      <c r="I4745" s="403">
        <v>1</v>
      </c>
      <c r="J4745" s="403" t="s">
        <v>110</v>
      </c>
      <c r="K4745" s="403">
        <v>1920</v>
      </c>
      <c r="L4745" s="403">
        <v>1080</v>
      </c>
      <c r="M4745" s="403" t="s">
        <v>1284</v>
      </c>
      <c r="N4745" s="403">
        <v>640</v>
      </c>
      <c r="O4745" s="403">
        <v>480</v>
      </c>
      <c r="P4745" t="str">
        <f t="shared" si="593"/>
        <v>30fps 1080p - SD VGA (cropped)</v>
      </c>
      <c r="Q4745">
        <f t="shared" si="594"/>
        <v>21</v>
      </c>
      <c r="R4745" t="str">
        <f t="shared" si="595"/>
        <v/>
      </c>
      <c r="S4745" t="str">
        <f t="shared" si="596"/>
        <v/>
      </c>
      <c r="T4745" s="403" t="str">
        <f t="shared" si="597"/>
        <v>NDE-8504-R</v>
      </c>
      <c r="U4745" s="403">
        <f t="shared" si="598"/>
        <v>1</v>
      </c>
      <c r="V4745" s="403" t="str">
        <f t="shared" si="599"/>
        <v>CPP_7_3</v>
      </c>
    </row>
    <row r="4746" spans="1:22">
      <c r="A4746" t="str">
        <f t="shared" si="592"/>
        <v>NDE-8504-R</v>
      </c>
      <c r="B4746" s="403" t="s">
        <v>1410</v>
      </c>
      <c r="C4746" s="403" t="s">
        <v>582</v>
      </c>
      <c r="D4746" s="403" t="s">
        <v>1418</v>
      </c>
      <c r="E4746" s="403" t="s">
        <v>1413</v>
      </c>
      <c r="F4746" s="403" t="s">
        <v>1323</v>
      </c>
      <c r="G4746" s="403" t="s">
        <v>1466</v>
      </c>
      <c r="H4746" s="403" t="s">
        <v>1281</v>
      </c>
      <c r="I4746" s="403">
        <v>1</v>
      </c>
      <c r="J4746" s="403" t="s">
        <v>109</v>
      </c>
      <c r="K4746" s="403">
        <v>1280</v>
      </c>
      <c r="L4746" s="403">
        <v>720</v>
      </c>
      <c r="M4746" s="403" t="s">
        <v>109</v>
      </c>
      <c r="N4746" s="403">
        <v>1280</v>
      </c>
      <c r="O4746" s="403">
        <v>720</v>
      </c>
      <c r="P4746" t="str">
        <f t="shared" si="593"/>
        <v>30fps 720p - 720p</v>
      </c>
      <c r="Q4746">
        <f t="shared" si="594"/>
        <v>21</v>
      </c>
      <c r="R4746" t="str">
        <f t="shared" si="595"/>
        <v/>
      </c>
      <c r="S4746" t="str">
        <f t="shared" si="596"/>
        <v/>
      </c>
      <c r="T4746" s="403" t="str">
        <f t="shared" si="597"/>
        <v>NDE-8504-R</v>
      </c>
      <c r="U4746" s="403">
        <f t="shared" si="598"/>
        <v>1</v>
      </c>
      <c r="V4746" s="403" t="str">
        <f t="shared" si="599"/>
        <v>CPP_7_3</v>
      </c>
    </row>
    <row r="4747" spans="1:22">
      <c r="A4747" t="str">
        <f t="shared" si="592"/>
        <v>NDE-8504-R</v>
      </c>
      <c r="B4747" s="403" t="s">
        <v>1410</v>
      </c>
      <c r="C4747" s="403" t="s">
        <v>582</v>
      </c>
      <c r="D4747" s="403" t="s">
        <v>1418</v>
      </c>
      <c r="E4747" s="403" t="s">
        <v>1413</v>
      </c>
      <c r="F4747" s="403" t="s">
        <v>1323</v>
      </c>
      <c r="G4747" s="403" t="s">
        <v>1466</v>
      </c>
      <c r="H4747" s="403" t="s">
        <v>1281</v>
      </c>
      <c r="I4747" s="403">
        <v>1</v>
      </c>
      <c r="J4747" s="403" t="s">
        <v>109</v>
      </c>
      <c r="K4747" s="403">
        <v>1280</v>
      </c>
      <c r="L4747" s="403">
        <v>720</v>
      </c>
      <c r="M4747" s="403" t="s">
        <v>111</v>
      </c>
      <c r="N4747" s="403">
        <v>768</v>
      </c>
      <c r="O4747" s="403">
        <v>432</v>
      </c>
      <c r="P4747" t="str">
        <f t="shared" si="593"/>
        <v>30fps 720p - SD</v>
      </c>
      <c r="Q4747">
        <f t="shared" si="594"/>
        <v>21</v>
      </c>
      <c r="R4747" t="str">
        <f t="shared" si="595"/>
        <v/>
      </c>
      <c r="S4747" t="str">
        <f t="shared" si="596"/>
        <v/>
      </c>
      <c r="T4747" s="403" t="str">
        <f t="shared" si="597"/>
        <v>NDE-8504-R</v>
      </c>
      <c r="U4747" s="403">
        <f t="shared" si="598"/>
        <v>1</v>
      </c>
      <c r="V4747" s="403" t="str">
        <f t="shared" si="599"/>
        <v>CPP_7_3</v>
      </c>
    </row>
    <row r="4748" spans="1:22">
      <c r="A4748" t="str">
        <f t="shared" si="592"/>
        <v>NDE-8504-R</v>
      </c>
      <c r="B4748" s="403" t="s">
        <v>1410</v>
      </c>
      <c r="C4748" s="403" t="s">
        <v>582</v>
      </c>
      <c r="D4748" s="403" t="s">
        <v>1418</v>
      </c>
      <c r="E4748" s="403" t="s">
        <v>1413</v>
      </c>
      <c r="F4748" s="403" t="s">
        <v>1323</v>
      </c>
      <c r="G4748" s="403" t="s">
        <v>1466</v>
      </c>
      <c r="H4748" s="403" t="s">
        <v>1281</v>
      </c>
      <c r="I4748" s="403">
        <v>1</v>
      </c>
      <c r="J4748" s="403" t="s">
        <v>109</v>
      </c>
      <c r="K4748" s="403">
        <v>1280</v>
      </c>
      <c r="L4748" s="403">
        <v>720</v>
      </c>
      <c r="M4748" s="403" t="s">
        <v>1279</v>
      </c>
      <c r="N4748" s="403">
        <v>768</v>
      </c>
      <c r="O4748" s="403">
        <v>432</v>
      </c>
      <c r="P4748" t="str">
        <f t="shared" si="593"/>
        <v>30fps 720p - SD ROI PTZ</v>
      </c>
      <c r="Q4748">
        <f t="shared" si="594"/>
        <v>21</v>
      </c>
      <c r="R4748" t="str">
        <f t="shared" si="595"/>
        <v/>
      </c>
      <c r="S4748" t="str">
        <f t="shared" si="596"/>
        <v/>
      </c>
      <c r="T4748" s="403" t="str">
        <f t="shared" si="597"/>
        <v>NDE-8504-R</v>
      </c>
      <c r="U4748" s="403">
        <f t="shared" si="598"/>
        <v>1</v>
      </c>
      <c r="V4748" s="403" t="str">
        <f t="shared" si="599"/>
        <v>CPP_7_3</v>
      </c>
    </row>
    <row r="4749" spans="1:22">
      <c r="A4749" t="str">
        <f t="shared" si="592"/>
        <v>NDE-8504-R</v>
      </c>
      <c r="B4749" s="403" t="s">
        <v>1410</v>
      </c>
      <c r="C4749" s="403" t="s">
        <v>582</v>
      </c>
      <c r="D4749" s="403" t="s">
        <v>1418</v>
      </c>
      <c r="E4749" s="403" t="s">
        <v>1413</v>
      </c>
      <c r="F4749" s="403" t="s">
        <v>1323</v>
      </c>
      <c r="G4749" s="403" t="s">
        <v>1466</v>
      </c>
      <c r="H4749" s="403" t="s">
        <v>1281</v>
      </c>
      <c r="I4749" s="403">
        <v>1</v>
      </c>
      <c r="J4749" s="403" t="s">
        <v>109</v>
      </c>
      <c r="K4749" s="403">
        <v>1280</v>
      </c>
      <c r="L4749" s="403">
        <v>720</v>
      </c>
      <c r="M4749" s="403" t="s">
        <v>1283</v>
      </c>
      <c r="N4749" s="403">
        <v>720</v>
      </c>
      <c r="O4749" s="403">
        <v>480</v>
      </c>
      <c r="P4749" t="str">
        <f t="shared" si="593"/>
        <v>30fps 720p - SD 4CIF resolution 4:3 format (cropped)</v>
      </c>
      <c r="Q4749">
        <f t="shared" si="594"/>
        <v>21</v>
      </c>
      <c r="R4749" t="str">
        <f t="shared" si="595"/>
        <v/>
      </c>
      <c r="S4749" t="str">
        <f t="shared" si="596"/>
        <v/>
      </c>
      <c r="T4749" s="403" t="str">
        <f t="shared" si="597"/>
        <v>NDE-8504-R</v>
      </c>
      <c r="U4749" s="403">
        <f t="shared" si="598"/>
        <v>1</v>
      </c>
      <c r="V4749" s="403" t="str">
        <f t="shared" si="599"/>
        <v>CPP_7_3</v>
      </c>
    </row>
    <row r="4750" spans="1:22">
      <c r="A4750" t="str">
        <f t="shared" si="592"/>
        <v>NDE-8504-R</v>
      </c>
      <c r="B4750" s="403" t="s">
        <v>1410</v>
      </c>
      <c r="C4750" s="403" t="s">
        <v>582</v>
      </c>
      <c r="D4750" s="403" t="s">
        <v>1418</v>
      </c>
      <c r="E4750" s="403" t="s">
        <v>1413</v>
      </c>
      <c r="F4750" s="403" t="s">
        <v>1323</v>
      </c>
      <c r="G4750" s="403" t="s">
        <v>1466</v>
      </c>
      <c r="H4750" s="403" t="s">
        <v>1281</v>
      </c>
      <c r="I4750" s="403">
        <v>1</v>
      </c>
      <c r="J4750" s="403" t="s">
        <v>109</v>
      </c>
      <c r="K4750" s="403">
        <v>1280</v>
      </c>
      <c r="L4750" s="403">
        <v>720</v>
      </c>
      <c r="M4750" s="403" t="s">
        <v>1284</v>
      </c>
      <c r="N4750" s="403">
        <v>640</v>
      </c>
      <c r="O4750" s="403">
        <v>480</v>
      </c>
      <c r="P4750" t="str">
        <f t="shared" si="593"/>
        <v>30fps 720p - SD VGA (cropped)</v>
      </c>
      <c r="Q4750">
        <f t="shared" si="594"/>
        <v>21</v>
      </c>
      <c r="R4750" t="str">
        <f t="shared" si="595"/>
        <v/>
      </c>
      <c r="S4750" t="str">
        <f t="shared" si="596"/>
        <v/>
      </c>
      <c r="T4750" s="403" t="str">
        <f t="shared" si="597"/>
        <v>NDE-8504-R</v>
      </c>
      <c r="U4750" s="403">
        <f t="shared" si="598"/>
        <v>1</v>
      </c>
      <c r="V4750" s="403" t="str">
        <f t="shared" si="599"/>
        <v>CPP_7_3</v>
      </c>
    </row>
    <row r="4751" spans="1:22">
      <c r="A4751" t="str">
        <f t="shared" si="592"/>
        <v>NDE-8504-R</v>
      </c>
      <c r="B4751" s="403" t="s">
        <v>1410</v>
      </c>
      <c r="C4751" s="403" t="s">
        <v>582</v>
      </c>
      <c r="D4751" s="403" t="s">
        <v>1418</v>
      </c>
      <c r="E4751" s="403" t="s">
        <v>1413</v>
      </c>
      <c r="F4751" s="403" t="s">
        <v>1325</v>
      </c>
      <c r="G4751" s="403" t="s">
        <v>1466</v>
      </c>
      <c r="H4751" s="403" t="s">
        <v>1276</v>
      </c>
      <c r="I4751" s="403">
        <v>1</v>
      </c>
      <c r="J4751" s="403" t="s">
        <v>194</v>
      </c>
      <c r="K4751" s="403">
        <v>3840</v>
      </c>
      <c r="L4751" s="403">
        <v>2160</v>
      </c>
      <c r="M4751" s="403" t="s">
        <v>111</v>
      </c>
      <c r="N4751" s="403">
        <v>768</v>
      </c>
      <c r="O4751" s="403">
        <v>432</v>
      </c>
      <c r="P4751" t="str">
        <f t="shared" si="593"/>
        <v>25fps 3840x2160 - SD</v>
      </c>
      <c r="Q4751">
        <f t="shared" si="594"/>
        <v>21</v>
      </c>
      <c r="R4751" t="str">
        <f t="shared" si="595"/>
        <v/>
      </c>
      <c r="S4751" t="str">
        <f t="shared" si="596"/>
        <v/>
      </c>
      <c r="T4751" s="403" t="str">
        <f t="shared" si="597"/>
        <v>NDE-8504-R</v>
      </c>
      <c r="U4751" s="403">
        <f t="shared" si="598"/>
        <v>1</v>
      </c>
      <c r="V4751" s="403" t="str">
        <f t="shared" si="599"/>
        <v>CPP_7_3</v>
      </c>
    </row>
    <row r="4752" spans="1:22">
      <c r="A4752" t="str">
        <f t="shared" si="592"/>
        <v>NDE-8504-R</v>
      </c>
      <c r="B4752" s="403" t="s">
        <v>1410</v>
      </c>
      <c r="C4752" s="403" t="s">
        <v>582</v>
      </c>
      <c r="D4752" s="403" t="s">
        <v>1418</v>
      </c>
      <c r="E4752" s="403" t="s">
        <v>1413</v>
      </c>
      <c r="F4752" s="403" t="s">
        <v>1325</v>
      </c>
      <c r="G4752" s="403" t="s">
        <v>1466</v>
      </c>
      <c r="H4752" s="403" t="s">
        <v>1276</v>
      </c>
      <c r="I4752" s="403">
        <v>1</v>
      </c>
      <c r="J4752" s="403" t="s">
        <v>194</v>
      </c>
      <c r="K4752" s="403">
        <v>3840</v>
      </c>
      <c r="L4752" s="403">
        <v>2160</v>
      </c>
      <c r="M4752" s="403" t="s">
        <v>1280</v>
      </c>
      <c r="N4752" s="403">
        <v>3840</v>
      </c>
      <c r="O4752" s="403">
        <v>2160</v>
      </c>
      <c r="P4752" t="str">
        <f t="shared" si="593"/>
        <v>25fps 3840x2160 - copy other stream</v>
      </c>
      <c r="Q4752">
        <f t="shared" si="594"/>
        <v>21</v>
      </c>
      <c r="R4752" t="str">
        <f t="shared" si="595"/>
        <v/>
      </c>
      <c r="S4752" t="str">
        <f t="shared" si="596"/>
        <v/>
      </c>
      <c r="T4752" s="403" t="str">
        <f t="shared" si="597"/>
        <v>NDE-8504-R</v>
      </c>
      <c r="U4752" s="403">
        <f t="shared" si="598"/>
        <v>1</v>
      </c>
      <c r="V4752" s="403" t="str">
        <f t="shared" si="599"/>
        <v>CPP_7_3</v>
      </c>
    </row>
    <row r="4753" spans="1:22">
      <c r="A4753" t="str">
        <f t="shared" si="592"/>
        <v>NDE-8504-R</v>
      </c>
      <c r="B4753" s="403" t="s">
        <v>1410</v>
      </c>
      <c r="C4753" s="403" t="s">
        <v>582</v>
      </c>
      <c r="D4753" s="403" t="s">
        <v>1418</v>
      </c>
      <c r="E4753" s="403" t="s">
        <v>1413</v>
      </c>
      <c r="F4753" s="403" t="s">
        <v>1325</v>
      </c>
      <c r="G4753" s="403" t="s">
        <v>1466</v>
      </c>
      <c r="H4753" s="403" t="s">
        <v>1276</v>
      </c>
      <c r="I4753" s="403">
        <v>1</v>
      </c>
      <c r="J4753" s="403" t="s">
        <v>194</v>
      </c>
      <c r="K4753" s="403">
        <v>3840</v>
      </c>
      <c r="L4753" s="403">
        <v>2160</v>
      </c>
      <c r="M4753" s="403" t="s">
        <v>1362</v>
      </c>
      <c r="N4753" s="403">
        <v>3840</v>
      </c>
      <c r="O4753" s="403">
        <v>2160</v>
      </c>
      <c r="P4753" t="str">
        <f t="shared" si="593"/>
        <v>25fps 3840x2160 - 3840x2160 @ SKIP6</v>
      </c>
      <c r="Q4753">
        <f t="shared" si="594"/>
        <v>21</v>
      </c>
      <c r="R4753" t="str">
        <f t="shared" si="595"/>
        <v/>
      </c>
      <c r="S4753" t="str">
        <f t="shared" si="596"/>
        <v/>
      </c>
      <c r="T4753" s="403" t="str">
        <f t="shared" si="597"/>
        <v>NDE-8504-R</v>
      </c>
      <c r="U4753" s="403">
        <f t="shared" si="598"/>
        <v>1</v>
      </c>
      <c r="V4753" s="403" t="str">
        <f t="shared" si="599"/>
        <v>CPP_7_3</v>
      </c>
    </row>
    <row r="4754" spans="1:22">
      <c r="A4754" t="str">
        <f t="shared" si="592"/>
        <v>NDE-8504-R</v>
      </c>
      <c r="B4754" s="403" t="s">
        <v>1410</v>
      </c>
      <c r="C4754" s="403" t="s">
        <v>582</v>
      </c>
      <c r="D4754" s="403" t="s">
        <v>1418</v>
      </c>
      <c r="E4754" s="403" t="s">
        <v>1413</v>
      </c>
      <c r="F4754" s="403" t="s">
        <v>1325</v>
      </c>
      <c r="G4754" s="403" t="s">
        <v>1466</v>
      </c>
      <c r="H4754" s="403" t="s">
        <v>1276</v>
      </c>
      <c r="I4754" s="403">
        <v>1</v>
      </c>
      <c r="J4754" s="403" t="s">
        <v>194</v>
      </c>
      <c r="K4754" s="403">
        <v>3840</v>
      </c>
      <c r="L4754" s="403">
        <v>2160</v>
      </c>
      <c r="M4754" s="403" t="s">
        <v>1363</v>
      </c>
      <c r="N4754" s="403">
        <v>1920</v>
      </c>
      <c r="O4754" s="403">
        <v>1080</v>
      </c>
      <c r="P4754" t="str">
        <f t="shared" si="593"/>
        <v>25fps 3840x2160 - 1920x1080 @ SKIP 2</v>
      </c>
      <c r="Q4754">
        <f t="shared" si="594"/>
        <v>21</v>
      </c>
      <c r="R4754" t="str">
        <f t="shared" si="595"/>
        <v/>
      </c>
      <c r="S4754" t="str">
        <f t="shared" si="596"/>
        <v/>
      </c>
      <c r="T4754" s="403" t="str">
        <f t="shared" si="597"/>
        <v>NDE-8504-R</v>
      </c>
      <c r="U4754" s="403">
        <f t="shared" si="598"/>
        <v>1</v>
      </c>
      <c r="V4754" s="403" t="str">
        <f t="shared" si="599"/>
        <v>CPP_7_3</v>
      </c>
    </row>
    <row r="4755" spans="1:22">
      <c r="A4755" t="str">
        <f t="shared" si="592"/>
        <v>NDE-8504-R</v>
      </c>
      <c r="B4755" s="403" t="s">
        <v>1410</v>
      </c>
      <c r="C4755" s="403" t="s">
        <v>582</v>
      </c>
      <c r="D4755" s="403" t="s">
        <v>1418</v>
      </c>
      <c r="E4755" s="403" t="s">
        <v>1413</v>
      </c>
      <c r="F4755" s="403" t="s">
        <v>1325</v>
      </c>
      <c r="G4755" s="403" t="s">
        <v>1466</v>
      </c>
      <c r="H4755" s="403" t="s">
        <v>1276</v>
      </c>
      <c r="I4755" s="403">
        <v>1</v>
      </c>
      <c r="J4755" s="403" t="s">
        <v>194</v>
      </c>
      <c r="K4755" s="403">
        <v>3840</v>
      </c>
      <c r="L4755" s="403">
        <v>2160</v>
      </c>
      <c r="M4755" s="403" t="s">
        <v>109</v>
      </c>
      <c r="N4755" s="403">
        <v>1280</v>
      </c>
      <c r="O4755" s="403">
        <v>720</v>
      </c>
      <c r="P4755" t="str">
        <f t="shared" si="593"/>
        <v>25fps 3840x2160 - 720p</v>
      </c>
      <c r="Q4755">
        <f t="shared" si="594"/>
        <v>21</v>
      </c>
      <c r="R4755" t="str">
        <f t="shared" si="595"/>
        <v/>
      </c>
      <c r="S4755" t="str">
        <f t="shared" si="596"/>
        <v/>
      </c>
      <c r="T4755" s="403" t="str">
        <f t="shared" si="597"/>
        <v>NDE-8504-R</v>
      </c>
      <c r="U4755" s="403">
        <f t="shared" si="598"/>
        <v>1</v>
      </c>
      <c r="V4755" s="403" t="str">
        <f t="shared" si="599"/>
        <v>CPP_7_3</v>
      </c>
    </row>
    <row r="4756" spans="1:22">
      <c r="A4756" t="str">
        <f t="shared" si="592"/>
        <v>NDE-8504-R</v>
      </c>
      <c r="B4756" s="403" t="s">
        <v>1410</v>
      </c>
      <c r="C4756" s="403" t="s">
        <v>582</v>
      </c>
      <c r="D4756" s="403" t="s">
        <v>1418</v>
      </c>
      <c r="E4756" s="403" t="s">
        <v>1413</v>
      </c>
      <c r="F4756" s="403" t="s">
        <v>1325</v>
      </c>
      <c r="G4756" s="403" t="s">
        <v>1466</v>
      </c>
      <c r="H4756" s="403" t="s">
        <v>1276</v>
      </c>
      <c r="I4756" s="403">
        <v>1</v>
      </c>
      <c r="J4756" s="403" t="s">
        <v>194</v>
      </c>
      <c r="K4756" s="403">
        <v>3840</v>
      </c>
      <c r="L4756" s="403">
        <v>2160</v>
      </c>
      <c r="M4756" s="403" t="s">
        <v>1283</v>
      </c>
      <c r="N4756" s="403">
        <v>720</v>
      </c>
      <c r="O4756" s="403">
        <v>576</v>
      </c>
      <c r="P4756" t="str">
        <f t="shared" si="593"/>
        <v>25fps 3840x2160 - SD 4CIF resolution 4:3 format (cropped)</v>
      </c>
      <c r="Q4756">
        <f t="shared" si="594"/>
        <v>21</v>
      </c>
      <c r="R4756" t="str">
        <f t="shared" si="595"/>
        <v/>
      </c>
      <c r="S4756" t="str">
        <f t="shared" si="596"/>
        <v/>
      </c>
      <c r="T4756" s="403" t="str">
        <f t="shared" si="597"/>
        <v>NDE-8504-R</v>
      </c>
      <c r="U4756" s="403">
        <f t="shared" si="598"/>
        <v>1</v>
      </c>
      <c r="V4756" s="403" t="str">
        <f t="shared" si="599"/>
        <v>CPP_7_3</v>
      </c>
    </row>
    <row r="4757" spans="1:22">
      <c r="A4757" t="str">
        <f t="shared" si="592"/>
        <v>NDE-8504-R</v>
      </c>
      <c r="B4757" s="403" t="s">
        <v>1410</v>
      </c>
      <c r="C4757" s="403" t="s">
        <v>582</v>
      </c>
      <c r="D4757" s="403" t="s">
        <v>1418</v>
      </c>
      <c r="E4757" s="403" t="s">
        <v>1413</v>
      </c>
      <c r="F4757" s="403" t="s">
        <v>1325</v>
      </c>
      <c r="G4757" s="403" t="s">
        <v>1466</v>
      </c>
      <c r="H4757" s="403" t="s">
        <v>1276</v>
      </c>
      <c r="I4757" s="403">
        <v>1</v>
      </c>
      <c r="J4757" s="403" t="s">
        <v>194</v>
      </c>
      <c r="K4757" s="403">
        <v>3840</v>
      </c>
      <c r="L4757" s="403">
        <v>2160</v>
      </c>
      <c r="M4757" s="403" t="s">
        <v>1284</v>
      </c>
      <c r="N4757" s="403">
        <v>640</v>
      </c>
      <c r="O4757" s="403">
        <v>480</v>
      </c>
      <c r="P4757" t="str">
        <f t="shared" si="593"/>
        <v>25fps 3840x2160 - SD VGA (cropped)</v>
      </c>
      <c r="Q4757">
        <f t="shared" si="594"/>
        <v>21</v>
      </c>
      <c r="R4757" t="str">
        <f t="shared" si="595"/>
        <v/>
      </c>
      <c r="S4757" t="str">
        <f t="shared" si="596"/>
        <v/>
      </c>
      <c r="T4757" s="403" t="str">
        <f t="shared" si="597"/>
        <v>NDE-8504-R</v>
      </c>
      <c r="U4757" s="403">
        <f t="shared" si="598"/>
        <v>1</v>
      </c>
      <c r="V4757" s="403" t="str">
        <f t="shared" si="599"/>
        <v>CPP_7_3</v>
      </c>
    </row>
    <row r="4758" spans="1:22">
      <c r="A4758" t="str">
        <f t="shared" si="592"/>
        <v>NDE-8504-R</v>
      </c>
      <c r="B4758" s="403" t="s">
        <v>1410</v>
      </c>
      <c r="C4758" s="403" t="s">
        <v>582</v>
      </c>
      <c r="D4758" s="403" t="s">
        <v>1418</v>
      </c>
      <c r="E4758" s="403" t="s">
        <v>1413</v>
      </c>
      <c r="F4758" s="403" t="s">
        <v>1325</v>
      </c>
      <c r="G4758" s="403" t="s">
        <v>1466</v>
      </c>
      <c r="H4758" s="403" t="s">
        <v>1276</v>
      </c>
      <c r="I4758" s="403">
        <v>1</v>
      </c>
      <c r="J4758" s="403" t="s">
        <v>194</v>
      </c>
      <c r="K4758" s="403">
        <v>3840</v>
      </c>
      <c r="L4758" s="403">
        <v>2160</v>
      </c>
      <c r="M4758" s="403" t="s">
        <v>1285</v>
      </c>
      <c r="N4758" s="403">
        <v>1280</v>
      </c>
      <c r="O4758" s="403">
        <v>1024</v>
      </c>
      <c r="P4758" t="str">
        <f t="shared" si="593"/>
        <v>25fps 3840x2160 - 1280x1024 5:4 (cropped)</v>
      </c>
      <c r="Q4758">
        <f t="shared" si="594"/>
        <v>21</v>
      </c>
      <c r="R4758" t="str">
        <f t="shared" si="595"/>
        <v/>
      </c>
      <c r="S4758" t="str">
        <f t="shared" si="596"/>
        <v/>
      </c>
      <c r="T4758" s="403" t="str">
        <f t="shared" si="597"/>
        <v>NDE-8504-R</v>
      </c>
      <c r="U4758" s="403">
        <f t="shared" si="598"/>
        <v>1</v>
      </c>
      <c r="V4758" s="403" t="str">
        <f t="shared" si="599"/>
        <v>CPP_7_3</v>
      </c>
    </row>
    <row r="4759" spans="1:22">
      <c r="A4759" t="str">
        <f t="shared" si="592"/>
        <v>NDE-8504-R</v>
      </c>
      <c r="B4759" s="403" t="s">
        <v>1410</v>
      </c>
      <c r="C4759" s="403" t="s">
        <v>582</v>
      </c>
      <c r="D4759" s="403" t="s">
        <v>1418</v>
      </c>
      <c r="E4759" s="403" t="s">
        <v>1413</v>
      </c>
      <c r="F4759" s="403" t="s">
        <v>1325</v>
      </c>
      <c r="G4759" s="403" t="s">
        <v>1466</v>
      </c>
      <c r="H4759" s="403" t="s">
        <v>1276</v>
      </c>
      <c r="I4759" s="403">
        <v>1</v>
      </c>
      <c r="J4759" s="403" t="s">
        <v>1324</v>
      </c>
      <c r="K4759" s="403">
        <v>3584</v>
      </c>
      <c r="L4759" s="403">
        <v>2016</v>
      </c>
      <c r="M4759" s="403" t="s">
        <v>111</v>
      </c>
      <c r="N4759" s="403">
        <v>768</v>
      </c>
      <c r="O4759" s="403">
        <v>432</v>
      </c>
      <c r="P4759" t="str">
        <f t="shared" si="593"/>
        <v>25fps 3584x2016 - SD</v>
      </c>
      <c r="Q4759">
        <f t="shared" si="594"/>
        <v>21</v>
      </c>
      <c r="R4759" t="str">
        <f t="shared" si="595"/>
        <v/>
      </c>
      <c r="S4759" t="str">
        <f t="shared" si="596"/>
        <v/>
      </c>
      <c r="T4759" s="403" t="str">
        <f t="shared" si="597"/>
        <v>NDE-8504-R</v>
      </c>
      <c r="U4759" s="403">
        <f t="shared" si="598"/>
        <v>1</v>
      </c>
      <c r="V4759" s="403" t="str">
        <f t="shared" si="599"/>
        <v>CPP_7_3</v>
      </c>
    </row>
    <row r="4760" spans="1:22">
      <c r="A4760" t="str">
        <f t="shared" si="592"/>
        <v>NDE-8504-R</v>
      </c>
      <c r="B4760" s="403" t="s">
        <v>1410</v>
      </c>
      <c r="C4760" s="403" t="s">
        <v>582</v>
      </c>
      <c r="D4760" s="403" t="s">
        <v>1418</v>
      </c>
      <c r="E4760" s="403" t="s">
        <v>1413</v>
      </c>
      <c r="F4760" s="403" t="s">
        <v>1325</v>
      </c>
      <c r="G4760" s="403" t="s">
        <v>1466</v>
      </c>
      <c r="H4760" s="403" t="s">
        <v>1276</v>
      </c>
      <c r="I4760" s="403">
        <v>1</v>
      </c>
      <c r="J4760" s="403" t="s">
        <v>1324</v>
      </c>
      <c r="K4760" s="403">
        <v>3584</v>
      </c>
      <c r="L4760" s="403">
        <v>2016</v>
      </c>
      <c r="M4760" s="403" t="s">
        <v>1280</v>
      </c>
      <c r="N4760" s="403">
        <v>3584</v>
      </c>
      <c r="O4760" s="403">
        <v>2016</v>
      </c>
      <c r="P4760" t="str">
        <f t="shared" si="593"/>
        <v>25fps 3584x2016 - copy other stream</v>
      </c>
      <c r="Q4760">
        <f t="shared" si="594"/>
        <v>21</v>
      </c>
      <c r="R4760" t="str">
        <f t="shared" si="595"/>
        <v/>
      </c>
      <c r="S4760" t="str">
        <f t="shared" si="596"/>
        <v/>
      </c>
      <c r="T4760" s="403" t="str">
        <f t="shared" si="597"/>
        <v>NDE-8504-R</v>
      </c>
      <c r="U4760" s="403">
        <f t="shared" si="598"/>
        <v>1</v>
      </c>
      <c r="V4760" s="403" t="str">
        <f t="shared" si="599"/>
        <v>CPP_7_3</v>
      </c>
    </row>
    <row r="4761" spans="1:22">
      <c r="A4761" t="str">
        <f t="shared" si="592"/>
        <v>NDE-8504-R</v>
      </c>
      <c r="B4761" s="403" t="s">
        <v>1410</v>
      </c>
      <c r="C4761" s="403" t="s">
        <v>582</v>
      </c>
      <c r="D4761" s="403" t="s">
        <v>1418</v>
      </c>
      <c r="E4761" s="403" t="s">
        <v>1413</v>
      </c>
      <c r="F4761" s="403" t="s">
        <v>1325</v>
      </c>
      <c r="G4761" s="403" t="s">
        <v>1466</v>
      </c>
      <c r="H4761" s="403" t="s">
        <v>1276</v>
      </c>
      <c r="I4761" s="403">
        <v>1</v>
      </c>
      <c r="J4761" s="403" t="s">
        <v>1324</v>
      </c>
      <c r="K4761" s="403">
        <v>3584</v>
      </c>
      <c r="L4761" s="403">
        <v>2016</v>
      </c>
      <c r="M4761" s="403" t="s">
        <v>1364</v>
      </c>
      <c r="N4761" s="403">
        <v>3584</v>
      </c>
      <c r="O4761" s="403">
        <v>2016</v>
      </c>
      <c r="P4761" t="str">
        <f t="shared" si="593"/>
        <v>25fps 3584x2016 - 3584x2016 @ SKIP6</v>
      </c>
      <c r="Q4761">
        <f t="shared" si="594"/>
        <v>21</v>
      </c>
      <c r="R4761" t="str">
        <f t="shared" si="595"/>
        <v/>
      </c>
      <c r="S4761" t="str">
        <f t="shared" si="596"/>
        <v/>
      </c>
      <c r="T4761" s="403" t="str">
        <f t="shared" si="597"/>
        <v>NDE-8504-R</v>
      </c>
      <c r="U4761" s="403">
        <f t="shared" si="598"/>
        <v>1</v>
      </c>
      <c r="V4761" s="403" t="str">
        <f t="shared" si="599"/>
        <v>CPP_7_3</v>
      </c>
    </row>
    <row r="4762" spans="1:22">
      <c r="A4762" t="str">
        <f t="shared" si="592"/>
        <v>NDE-8504-R</v>
      </c>
      <c r="B4762" s="403" t="s">
        <v>1410</v>
      </c>
      <c r="C4762" s="403" t="s">
        <v>582</v>
      </c>
      <c r="D4762" s="403" t="s">
        <v>1418</v>
      </c>
      <c r="E4762" s="403" t="s">
        <v>1413</v>
      </c>
      <c r="F4762" s="403" t="s">
        <v>1325</v>
      </c>
      <c r="G4762" s="403" t="s">
        <v>1466</v>
      </c>
      <c r="H4762" s="403" t="s">
        <v>1276</v>
      </c>
      <c r="I4762" s="403">
        <v>1</v>
      </c>
      <c r="J4762" s="403" t="s">
        <v>1324</v>
      </c>
      <c r="K4762" s="403">
        <v>3584</v>
      </c>
      <c r="L4762" s="403">
        <v>2016</v>
      </c>
      <c r="M4762" s="403" t="s">
        <v>110</v>
      </c>
      <c r="N4762" s="403">
        <v>1920</v>
      </c>
      <c r="O4762" s="403">
        <v>1080</v>
      </c>
      <c r="P4762" t="str">
        <f t="shared" si="593"/>
        <v>25fps 3584x2016 - 1080p</v>
      </c>
      <c r="Q4762">
        <f t="shared" si="594"/>
        <v>21</v>
      </c>
      <c r="R4762" t="str">
        <f t="shared" si="595"/>
        <v/>
      </c>
      <c r="S4762" t="str">
        <f t="shared" si="596"/>
        <v/>
      </c>
      <c r="T4762" s="403" t="str">
        <f t="shared" si="597"/>
        <v>NDE-8504-R</v>
      </c>
      <c r="U4762" s="403">
        <f t="shared" si="598"/>
        <v>1</v>
      </c>
      <c r="V4762" s="403" t="str">
        <f t="shared" si="599"/>
        <v>CPP_7_3</v>
      </c>
    </row>
    <row r="4763" spans="1:22">
      <c r="A4763" t="str">
        <f t="shared" si="592"/>
        <v>NDE-8504-R</v>
      </c>
      <c r="B4763" s="403" t="s">
        <v>1410</v>
      </c>
      <c r="C4763" s="403" t="s">
        <v>582</v>
      </c>
      <c r="D4763" s="403" t="s">
        <v>1418</v>
      </c>
      <c r="E4763" s="403" t="s">
        <v>1413</v>
      </c>
      <c r="F4763" s="403" t="s">
        <v>1325</v>
      </c>
      <c r="G4763" s="403" t="s">
        <v>1466</v>
      </c>
      <c r="H4763" s="403" t="s">
        <v>1276</v>
      </c>
      <c r="I4763" s="403">
        <v>1</v>
      </c>
      <c r="J4763" s="403" t="s">
        <v>1324</v>
      </c>
      <c r="K4763" s="403">
        <v>3584</v>
      </c>
      <c r="L4763" s="403">
        <v>2016</v>
      </c>
      <c r="M4763" s="403" t="s">
        <v>109</v>
      </c>
      <c r="N4763" s="403">
        <v>1280</v>
      </c>
      <c r="O4763" s="403">
        <v>720</v>
      </c>
      <c r="P4763" t="str">
        <f t="shared" si="593"/>
        <v>25fps 3584x2016 - 720p</v>
      </c>
      <c r="Q4763">
        <f t="shared" si="594"/>
        <v>21</v>
      </c>
      <c r="R4763" t="str">
        <f t="shared" si="595"/>
        <v/>
      </c>
      <c r="S4763" t="str">
        <f t="shared" si="596"/>
        <v/>
      </c>
      <c r="T4763" s="403" t="str">
        <f t="shared" si="597"/>
        <v>NDE-8504-R</v>
      </c>
      <c r="U4763" s="403">
        <f t="shared" si="598"/>
        <v>1</v>
      </c>
      <c r="V4763" s="403" t="str">
        <f t="shared" si="599"/>
        <v>CPP_7_3</v>
      </c>
    </row>
    <row r="4764" spans="1:22">
      <c r="A4764" t="str">
        <f t="shared" si="592"/>
        <v>NDE-8504-R</v>
      </c>
      <c r="B4764" s="403" t="s">
        <v>1410</v>
      </c>
      <c r="C4764" s="403" t="s">
        <v>582</v>
      </c>
      <c r="D4764" s="403" t="s">
        <v>1418</v>
      </c>
      <c r="E4764" s="403" t="s">
        <v>1413</v>
      </c>
      <c r="F4764" s="403" t="s">
        <v>1325</v>
      </c>
      <c r="G4764" s="403" t="s">
        <v>1466</v>
      </c>
      <c r="H4764" s="403" t="s">
        <v>1276</v>
      </c>
      <c r="I4764" s="403">
        <v>1</v>
      </c>
      <c r="J4764" s="403" t="s">
        <v>1324</v>
      </c>
      <c r="K4764" s="403">
        <v>3584</v>
      </c>
      <c r="L4764" s="403">
        <v>2016</v>
      </c>
      <c r="M4764" s="403" t="s">
        <v>1283</v>
      </c>
      <c r="N4764" s="403">
        <v>720</v>
      </c>
      <c r="O4764" s="403">
        <v>576</v>
      </c>
      <c r="P4764" t="str">
        <f t="shared" si="593"/>
        <v>25fps 3584x2016 - SD 4CIF resolution 4:3 format (cropped)</v>
      </c>
      <c r="Q4764">
        <f t="shared" si="594"/>
        <v>21</v>
      </c>
      <c r="R4764" t="str">
        <f t="shared" si="595"/>
        <v/>
      </c>
      <c r="S4764" t="str">
        <f t="shared" si="596"/>
        <v/>
      </c>
      <c r="T4764" s="403" t="str">
        <f t="shared" si="597"/>
        <v>NDE-8504-R</v>
      </c>
      <c r="U4764" s="403">
        <f t="shared" si="598"/>
        <v>1</v>
      </c>
      <c r="V4764" s="403" t="str">
        <f t="shared" si="599"/>
        <v>CPP_7_3</v>
      </c>
    </row>
    <row r="4765" spans="1:22">
      <c r="A4765" t="str">
        <f t="shared" si="592"/>
        <v>NDE-8504-R</v>
      </c>
      <c r="B4765" s="403" t="s">
        <v>1410</v>
      </c>
      <c r="C4765" s="403" t="s">
        <v>582</v>
      </c>
      <c r="D4765" s="403" t="s">
        <v>1418</v>
      </c>
      <c r="E4765" s="403" t="s">
        <v>1413</v>
      </c>
      <c r="F4765" s="403" t="s">
        <v>1325</v>
      </c>
      <c r="G4765" s="403" t="s">
        <v>1466</v>
      </c>
      <c r="H4765" s="403" t="s">
        <v>1276</v>
      </c>
      <c r="I4765" s="403">
        <v>1</v>
      </c>
      <c r="J4765" s="403" t="s">
        <v>1324</v>
      </c>
      <c r="K4765" s="403">
        <v>3584</v>
      </c>
      <c r="L4765" s="403">
        <v>2016</v>
      </c>
      <c r="M4765" s="403" t="s">
        <v>1279</v>
      </c>
      <c r="N4765" s="403">
        <v>768</v>
      </c>
      <c r="O4765" s="403">
        <v>432</v>
      </c>
      <c r="P4765" t="str">
        <f t="shared" si="593"/>
        <v>25fps 3584x2016 - SD ROI PTZ</v>
      </c>
      <c r="Q4765">
        <f t="shared" si="594"/>
        <v>21</v>
      </c>
      <c r="R4765" t="str">
        <f t="shared" si="595"/>
        <v/>
      </c>
      <c r="S4765" t="str">
        <f t="shared" si="596"/>
        <v/>
      </c>
      <c r="T4765" s="403" t="str">
        <f t="shared" si="597"/>
        <v>NDE-8504-R</v>
      </c>
      <c r="U4765" s="403">
        <f t="shared" si="598"/>
        <v>1</v>
      </c>
      <c r="V4765" s="403" t="str">
        <f t="shared" si="599"/>
        <v>CPP_7_3</v>
      </c>
    </row>
    <row r="4766" spans="1:22">
      <c r="A4766" t="str">
        <f t="shared" si="592"/>
        <v>NDE-8504-R</v>
      </c>
      <c r="B4766" s="403" t="s">
        <v>1410</v>
      </c>
      <c r="C4766" s="403" t="s">
        <v>582</v>
      </c>
      <c r="D4766" s="403" t="s">
        <v>1418</v>
      </c>
      <c r="E4766" s="403" t="s">
        <v>1413</v>
      </c>
      <c r="F4766" s="403" t="s">
        <v>1325</v>
      </c>
      <c r="G4766" s="403" t="s">
        <v>1466</v>
      </c>
      <c r="H4766" s="403" t="s">
        <v>1276</v>
      </c>
      <c r="I4766" s="403">
        <v>1</v>
      </c>
      <c r="J4766" s="403" t="s">
        <v>1324</v>
      </c>
      <c r="K4766" s="403">
        <v>3584</v>
      </c>
      <c r="L4766" s="403">
        <v>2016</v>
      </c>
      <c r="M4766" s="403" t="s">
        <v>1284</v>
      </c>
      <c r="N4766" s="403">
        <v>640</v>
      </c>
      <c r="O4766" s="403">
        <v>480</v>
      </c>
      <c r="P4766" t="str">
        <f t="shared" si="593"/>
        <v>25fps 3584x2016 - SD VGA (cropped)</v>
      </c>
      <c r="Q4766">
        <f t="shared" si="594"/>
        <v>21</v>
      </c>
      <c r="R4766" t="str">
        <f t="shared" si="595"/>
        <v/>
      </c>
      <c r="S4766" t="str">
        <f t="shared" si="596"/>
        <v/>
      </c>
      <c r="T4766" s="403" t="str">
        <f t="shared" si="597"/>
        <v>NDE-8504-R</v>
      </c>
      <c r="U4766" s="403">
        <f t="shared" si="598"/>
        <v>1</v>
      </c>
      <c r="V4766" s="403" t="str">
        <f t="shared" si="599"/>
        <v>CPP_7_3</v>
      </c>
    </row>
    <row r="4767" spans="1:22">
      <c r="A4767" t="str">
        <f t="shared" si="592"/>
        <v>NDE-8504-R</v>
      </c>
      <c r="B4767" s="403" t="s">
        <v>1410</v>
      </c>
      <c r="C4767" s="403" t="s">
        <v>582</v>
      </c>
      <c r="D4767" s="403" t="s">
        <v>1418</v>
      </c>
      <c r="E4767" s="403" t="s">
        <v>1413</v>
      </c>
      <c r="F4767" s="403" t="s">
        <v>1325</v>
      </c>
      <c r="G4767" s="403" t="s">
        <v>1466</v>
      </c>
      <c r="H4767" s="403" t="s">
        <v>1276</v>
      </c>
      <c r="I4767" s="403">
        <v>1</v>
      </c>
      <c r="J4767" s="403" t="s">
        <v>1324</v>
      </c>
      <c r="K4767" s="403">
        <v>3584</v>
      </c>
      <c r="L4767" s="403">
        <v>2016</v>
      </c>
      <c r="M4767" s="403" t="s">
        <v>1285</v>
      </c>
      <c r="N4767" s="403">
        <v>1280</v>
      </c>
      <c r="O4767" s="403">
        <v>1024</v>
      </c>
      <c r="P4767" t="str">
        <f t="shared" si="593"/>
        <v>25fps 3584x2016 - 1280x1024 5:4 (cropped)</v>
      </c>
      <c r="Q4767">
        <f t="shared" si="594"/>
        <v>21</v>
      </c>
      <c r="R4767" t="str">
        <f t="shared" si="595"/>
        <v/>
      </c>
      <c r="S4767" t="str">
        <f t="shared" si="596"/>
        <v/>
      </c>
      <c r="T4767" s="403" t="str">
        <f t="shared" si="597"/>
        <v>NDE-8504-R</v>
      </c>
      <c r="U4767" s="403">
        <f t="shared" si="598"/>
        <v>1</v>
      </c>
      <c r="V4767" s="403" t="str">
        <f t="shared" si="599"/>
        <v>CPP_7_3</v>
      </c>
    </row>
    <row r="4768" spans="1:22">
      <c r="A4768" t="str">
        <f t="shared" si="592"/>
        <v>NDE-8504-R</v>
      </c>
      <c r="B4768" s="403" t="s">
        <v>1410</v>
      </c>
      <c r="C4768" s="403" t="s">
        <v>582</v>
      </c>
      <c r="D4768" s="403" t="s">
        <v>1418</v>
      </c>
      <c r="E4768" s="403" t="s">
        <v>1413</v>
      </c>
      <c r="F4768" s="403" t="s">
        <v>1325</v>
      </c>
      <c r="G4768" s="403" t="s">
        <v>1466</v>
      </c>
      <c r="H4768" s="403" t="s">
        <v>1276</v>
      </c>
      <c r="I4768" s="403">
        <v>1</v>
      </c>
      <c r="J4768" s="403" t="s">
        <v>110</v>
      </c>
      <c r="K4768" s="403">
        <v>1920</v>
      </c>
      <c r="L4768" s="403">
        <v>1080</v>
      </c>
      <c r="M4768" s="403" t="s">
        <v>111</v>
      </c>
      <c r="N4768" s="403">
        <v>768</v>
      </c>
      <c r="O4768" s="403">
        <v>432</v>
      </c>
      <c r="P4768" t="str">
        <f t="shared" si="593"/>
        <v>25fps 1080p - SD</v>
      </c>
      <c r="Q4768">
        <f t="shared" si="594"/>
        <v>21</v>
      </c>
      <c r="R4768" t="str">
        <f t="shared" si="595"/>
        <v/>
      </c>
      <c r="S4768" t="str">
        <f t="shared" si="596"/>
        <v/>
      </c>
      <c r="T4768" s="403" t="str">
        <f t="shared" si="597"/>
        <v>NDE-8504-R</v>
      </c>
      <c r="U4768" s="403">
        <f t="shared" si="598"/>
        <v>1</v>
      </c>
      <c r="V4768" s="403" t="str">
        <f t="shared" si="599"/>
        <v>CPP_7_3</v>
      </c>
    </row>
    <row r="4769" spans="1:22">
      <c r="A4769" t="str">
        <f t="shared" si="592"/>
        <v>NDE-8504-R</v>
      </c>
      <c r="B4769" s="403" t="s">
        <v>1410</v>
      </c>
      <c r="C4769" s="403" t="s">
        <v>582</v>
      </c>
      <c r="D4769" s="403" t="s">
        <v>1418</v>
      </c>
      <c r="E4769" s="403" t="s">
        <v>1413</v>
      </c>
      <c r="F4769" s="403" t="s">
        <v>1325</v>
      </c>
      <c r="G4769" s="403" t="s">
        <v>1466</v>
      </c>
      <c r="H4769" s="403" t="s">
        <v>1276</v>
      </c>
      <c r="I4769" s="403">
        <v>1</v>
      </c>
      <c r="J4769" s="403" t="s">
        <v>110</v>
      </c>
      <c r="K4769" s="403">
        <v>1920</v>
      </c>
      <c r="L4769" s="403">
        <v>1080</v>
      </c>
      <c r="M4769" s="403" t="s">
        <v>110</v>
      </c>
      <c r="N4769" s="403">
        <v>1920</v>
      </c>
      <c r="O4769" s="403">
        <v>1080</v>
      </c>
      <c r="P4769" t="str">
        <f t="shared" si="593"/>
        <v>25fps 1080p - 1080p</v>
      </c>
      <c r="Q4769">
        <f t="shared" si="594"/>
        <v>21</v>
      </c>
      <c r="R4769" t="str">
        <f t="shared" si="595"/>
        <v/>
      </c>
      <c r="S4769" t="str">
        <f t="shared" si="596"/>
        <v/>
      </c>
      <c r="T4769" s="403" t="str">
        <f t="shared" si="597"/>
        <v>NDE-8504-R</v>
      </c>
      <c r="U4769" s="403">
        <f t="shared" si="598"/>
        <v>1</v>
      </c>
      <c r="V4769" s="403" t="str">
        <f t="shared" si="599"/>
        <v>CPP_7_3</v>
      </c>
    </row>
    <row r="4770" spans="1:22">
      <c r="A4770" t="str">
        <f t="shared" si="592"/>
        <v>NDE-8504-R</v>
      </c>
      <c r="B4770" s="403" t="s">
        <v>1410</v>
      </c>
      <c r="C4770" s="403" t="s">
        <v>582</v>
      </c>
      <c r="D4770" s="403" t="s">
        <v>1418</v>
      </c>
      <c r="E4770" s="403" t="s">
        <v>1413</v>
      </c>
      <c r="F4770" s="403" t="s">
        <v>1325</v>
      </c>
      <c r="G4770" s="403" t="s">
        <v>1466</v>
      </c>
      <c r="H4770" s="403" t="s">
        <v>1276</v>
      </c>
      <c r="I4770" s="403">
        <v>1</v>
      </c>
      <c r="J4770" s="403" t="s">
        <v>110</v>
      </c>
      <c r="K4770" s="403">
        <v>1920</v>
      </c>
      <c r="L4770" s="403">
        <v>1080</v>
      </c>
      <c r="M4770" s="403" t="s">
        <v>109</v>
      </c>
      <c r="N4770" s="403">
        <v>1280</v>
      </c>
      <c r="O4770" s="403">
        <v>720</v>
      </c>
      <c r="P4770" t="str">
        <f t="shared" si="593"/>
        <v>25fps 1080p - 720p</v>
      </c>
      <c r="Q4770">
        <f t="shared" si="594"/>
        <v>21</v>
      </c>
      <c r="R4770" t="str">
        <f t="shared" si="595"/>
        <v/>
      </c>
      <c r="S4770" t="str">
        <f t="shared" si="596"/>
        <v/>
      </c>
      <c r="T4770" s="403" t="str">
        <f t="shared" si="597"/>
        <v>NDE-8504-R</v>
      </c>
      <c r="U4770" s="403">
        <f t="shared" si="598"/>
        <v>1</v>
      </c>
      <c r="V4770" s="403" t="str">
        <f t="shared" si="599"/>
        <v>CPP_7_3</v>
      </c>
    </row>
    <row r="4771" spans="1:22">
      <c r="A4771" t="str">
        <f t="shared" si="592"/>
        <v>NDE-8504-R</v>
      </c>
      <c r="B4771" s="403" t="s">
        <v>1410</v>
      </c>
      <c r="C4771" s="403" t="s">
        <v>582</v>
      </c>
      <c r="D4771" s="403" t="s">
        <v>1418</v>
      </c>
      <c r="E4771" s="403" t="s">
        <v>1413</v>
      </c>
      <c r="F4771" s="403" t="s">
        <v>1325</v>
      </c>
      <c r="G4771" s="403" t="s">
        <v>1466</v>
      </c>
      <c r="H4771" s="403" t="s">
        <v>1276</v>
      </c>
      <c r="I4771" s="403">
        <v>1</v>
      </c>
      <c r="J4771" s="403" t="s">
        <v>110</v>
      </c>
      <c r="K4771" s="403">
        <v>1920</v>
      </c>
      <c r="L4771" s="403">
        <v>1080</v>
      </c>
      <c r="M4771" s="403" t="s">
        <v>1285</v>
      </c>
      <c r="N4771" s="403">
        <v>1280</v>
      </c>
      <c r="O4771" s="403">
        <v>1024</v>
      </c>
      <c r="P4771" t="str">
        <f t="shared" si="593"/>
        <v>25fps 1080p - 1280x1024 5:4 (cropped)</v>
      </c>
      <c r="Q4771">
        <f t="shared" si="594"/>
        <v>21</v>
      </c>
      <c r="R4771" t="str">
        <f t="shared" si="595"/>
        <v/>
      </c>
      <c r="S4771" t="str">
        <f t="shared" si="596"/>
        <v/>
      </c>
      <c r="T4771" s="403" t="str">
        <f t="shared" si="597"/>
        <v>NDE-8504-R</v>
      </c>
      <c r="U4771" s="403">
        <f t="shared" si="598"/>
        <v>1</v>
      </c>
      <c r="V4771" s="403" t="str">
        <f t="shared" si="599"/>
        <v>CPP_7_3</v>
      </c>
    </row>
    <row r="4772" spans="1:22">
      <c r="A4772" t="str">
        <f t="shared" si="592"/>
        <v>NDE-8504-R</v>
      </c>
      <c r="B4772" s="403" t="s">
        <v>1410</v>
      </c>
      <c r="C4772" s="403" t="s">
        <v>582</v>
      </c>
      <c r="D4772" s="403" t="s">
        <v>1418</v>
      </c>
      <c r="E4772" s="403" t="s">
        <v>1413</v>
      </c>
      <c r="F4772" s="403" t="s">
        <v>1325</v>
      </c>
      <c r="G4772" s="403" t="s">
        <v>1466</v>
      </c>
      <c r="H4772" s="403" t="s">
        <v>1276</v>
      </c>
      <c r="I4772" s="403">
        <v>1</v>
      </c>
      <c r="J4772" s="403" t="s">
        <v>110</v>
      </c>
      <c r="K4772" s="403">
        <v>1920</v>
      </c>
      <c r="L4772" s="403">
        <v>1080</v>
      </c>
      <c r="M4772" s="403" t="s">
        <v>1279</v>
      </c>
      <c r="N4772" s="403">
        <v>768</v>
      </c>
      <c r="O4772" s="403">
        <v>432</v>
      </c>
      <c r="P4772" t="str">
        <f t="shared" si="593"/>
        <v>25fps 1080p - SD ROI PTZ</v>
      </c>
      <c r="Q4772">
        <f t="shared" si="594"/>
        <v>21</v>
      </c>
      <c r="R4772" t="str">
        <f t="shared" si="595"/>
        <v/>
      </c>
      <c r="S4772" t="str">
        <f t="shared" si="596"/>
        <v/>
      </c>
      <c r="T4772" s="403" t="str">
        <f t="shared" si="597"/>
        <v>NDE-8504-R</v>
      </c>
      <c r="U4772" s="403">
        <f t="shared" si="598"/>
        <v>1</v>
      </c>
      <c r="V4772" s="403" t="str">
        <f t="shared" si="599"/>
        <v>CPP_7_3</v>
      </c>
    </row>
    <row r="4773" spans="1:22">
      <c r="A4773" t="str">
        <f t="shared" si="592"/>
        <v>NDE-8504-R</v>
      </c>
      <c r="B4773" s="403" t="s">
        <v>1410</v>
      </c>
      <c r="C4773" s="403" t="s">
        <v>582</v>
      </c>
      <c r="D4773" s="403" t="s">
        <v>1418</v>
      </c>
      <c r="E4773" s="403" t="s">
        <v>1413</v>
      </c>
      <c r="F4773" s="403" t="s">
        <v>1325</v>
      </c>
      <c r="G4773" s="403" t="s">
        <v>1466</v>
      </c>
      <c r="H4773" s="403" t="s">
        <v>1276</v>
      </c>
      <c r="I4773" s="403">
        <v>1</v>
      </c>
      <c r="J4773" s="403" t="s">
        <v>110</v>
      </c>
      <c r="K4773" s="403">
        <v>1920</v>
      </c>
      <c r="L4773" s="403">
        <v>1080</v>
      </c>
      <c r="M4773" s="403" t="s">
        <v>1283</v>
      </c>
      <c r="N4773" s="403">
        <v>720</v>
      </c>
      <c r="O4773" s="403">
        <v>576</v>
      </c>
      <c r="P4773" t="str">
        <f t="shared" si="593"/>
        <v>25fps 1080p - SD 4CIF resolution 4:3 format (cropped)</v>
      </c>
      <c r="Q4773">
        <f t="shared" si="594"/>
        <v>21</v>
      </c>
      <c r="R4773" t="str">
        <f t="shared" si="595"/>
        <v/>
      </c>
      <c r="S4773" t="str">
        <f t="shared" si="596"/>
        <v/>
      </c>
      <c r="T4773" s="403" t="str">
        <f t="shared" si="597"/>
        <v>NDE-8504-R</v>
      </c>
      <c r="U4773" s="403">
        <f t="shared" si="598"/>
        <v>1</v>
      </c>
      <c r="V4773" s="403" t="str">
        <f t="shared" si="599"/>
        <v>CPP_7_3</v>
      </c>
    </row>
    <row r="4774" spans="1:22">
      <c r="A4774" t="str">
        <f t="shared" si="592"/>
        <v>NDE-8504-R</v>
      </c>
      <c r="B4774" s="403" t="s">
        <v>1410</v>
      </c>
      <c r="C4774" s="403" t="s">
        <v>582</v>
      </c>
      <c r="D4774" s="403" t="s">
        <v>1418</v>
      </c>
      <c r="E4774" s="403" t="s">
        <v>1413</v>
      </c>
      <c r="F4774" s="403" t="s">
        <v>1325</v>
      </c>
      <c r="G4774" s="403" t="s">
        <v>1466</v>
      </c>
      <c r="H4774" s="403" t="s">
        <v>1276</v>
      </c>
      <c r="I4774" s="403">
        <v>1</v>
      </c>
      <c r="J4774" s="403" t="s">
        <v>110</v>
      </c>
      <c r="K4774" s="403">
        <v>1920</v>
      </c>
      <c r="L4774" s="403">
        <v>1080</v>
      </c>
      <c r="M4774" s="403" t="s">
        <v>1284</v>
      </c>
      <c r="N4774" s="403">
        <v>640</v>
      </c>
      <c r="O4774" s="403">
        <v>480</v>
      </c>
      <c r="P4774" t="str">
        <f t="shared" si="593"/>
        <v>25fps 1080p - SD VGA (cropped)</v>
      </c>
      <c r="Q4774">
        <f t="shared" si="594"/>
        <v>21</v>
      </c>
      <c r="R4774" t="str">
        <f t="shared" si="595"/>
        <v/>
      </c>
      <c r="S4774" t="str">
        <f t="shared" si="596"/>
        <v/>
      </c>
      <c r="T4774" s="403" t="str">
        <f t="shared" si="597"/>
        <v>NDE-8504-R</v>
      </c>
      <c r="U4774" s="403">
        <f t="shared" si="598"/>
        <v>1</v>
      </c>
      <c r="V4774" s="403" t="str">
        <f t="shared" si="599"/>
        <v>CPP_7_3</v>
      </c>
    </row>
    <row r="4775" spans="1:22">
      <c r="A4775" t="str">
        <f t="shared" si="592"/>
        <v>NDE-8504-R</v>
      </c>
      <c r="B4775" s="403" t="s">
        <v>1410</v>
      </c>
      <c r="C4775" s="403" t="s">
        <v>582</v>
      </c>
      <c r="D4775" s="403" t="s">
        <v>1418</v>
      </c>
      <c r="E4775" s="403" t="s">
        <v>1413</v>
      </c>
      <c r="F4775" s="403" t="s">
        <v>1325</v>
      </c>
      <c r="G4775" s="403" t="s">
        <v>1466</v>
      </c>
      <c r="H4775" s="403" t="s">
        <v>1276</v>
      </c>
      <c r="I4775" s="403">
        <v>1</v>
      </c>
      <c r="J4775" s="403" t="s">
        <v>109</v>
      </c>
      <c r="K4775" s="403">
        <v>1280</v>
      </c>
      <c r="L4775" s="403">
        <v>720</v>
      </c>
      <c r="M4775" s="403" t="s">
        <v>109</v>
      </c>
      <c r="N4775" s="403">
        <v>1280</v>
      </c>
      <c r="O4775" s="403">
        <v>720</v>
      </c>
      <c r="P4775" t="str">
        <f t="shared" si="593"/>
        <v>25fps 720p - 720p</v>
      </c>
      <c r="Q4775">
        <f t="shared" si="594"/>
        <v>21</v>
      </c>
      <c r="R4775" t="str">
        <f t="shared" si="595"/>
        <v/>
      </c>
      <c r="S4775" t="str">
        <f t="shared" si="596"/>
        <v/>
      </c>
      <c r="T4775" s="403" t="str">
        <f t="shared" si="597"/>
        <v>NDE-8504-R</v>
      </c>
      <c r="U4775" s="403">
        <f t="shared" si="598"/>
        <v>1</v>
      </c>
      <c r="V4775" s="403" t="str">
        <f t="shared" si="599"/>
        <v>CPP_7_3</v>
      </c>
    </row>
    <row r="4776" spans="1:22">
      <c r="A4776" t="str">
        <f t="shared" si="592"/>
        <v>NDE-8504-R</v>
      </c>
      <c r="B4776" s="403" t="s">
        <v>1410</v>
      </c>
      <c r="C4776" s="403" t="s">
        <v>582</v>
      </c>
      <c r="D4776" s="403" t="s">
        <v>1418</v>
      </c>
      <c r="E4776" s="403" t="s">
        <v>1413</v>
      </c>
      <c r="F4776" s="403" t="s">
        <v>1325</v>
      </c>
      <c r="G4776" s="403" t="s">
        <v>1466</v>
      </c>
      <c r="H4776" s="403" t="s">
        <v>1276</v>
      </c>
      <c r="I4776" s="403">
        <v>1</v>
      </c>
      <c r="J4776" s="403" t="s">
        <v>109</v>
      </c>
      <c r="K4776" s="403">
        <v>1280</v>
      </c>
      <c r="L4776" s="403">
        <v>720</v>
      </c>
      <c r="M4776" s="403" t="s">
        <v>111</v>
      </c>
      <c r="N4776" s="403">
        <v>768</v>
      </c>
      <c r="O4776" s="403">
        <v>432</v>
      </c>
      <c r="P4776" t="str">
        <f t="shared" si="593"/>
        <v>25fps 720p - SD</v>
      </c>
      <c r="Q4776">
        <f t="shared" si="594"/>
        <v>21</v>
      </c>
      <c r="R4776" t="str">
        <f t="shared" si="595"/>
        <v/>
      </c>
      <c r="S4776" t="str">
        <f t="shared" si="596"/>
        <v/>
      </c>
      <c r="T4776" s="403" t="str">
        <f t="shared" si="597"/>
        <v>NDE-8504-R</v>
      </c>
      <c r="U4776" s="403">
        <f t="shared" si="598"/>
        <v>1</v>
      </c>
      <c r="V4776" s="403" t="str">
        <f t="shared" si="599"/>
        <v>CPP_7_3</v>
      </c>
    </row>
    <row r="4777" spans="1:22">
      <c r="A4777" t="str">
        <f t="shared" si="592"/>
        <v>NDE-8504-R</v>
      </c>
      <c r="B4777" s="403" t="s">
        <v>1410</v>
      </c>
      <c r="C4777" s="403" t="s">
        <v>582</v>
      </c>
      <c r="D4777" s="403" t="s">
        <v>1418</v>
      </c>
      <c r="E4777" s="403" t="s">
        <v>1413</v>
      </c>
      <c r="F4777" s="403" t="s">
        <v>1325</v>
      </c>
      <c r="G4777" s="403" t="s">
        <v>1466</v>
      </c>
      <c r="H4777" s="403" t="s">
        <v>1276</v>
      </c>
      <c r="I4777" s="403">
        <v>1</v>
      </c>
      <c r="J4777" s="403" t="s">
        <v>109</v>
      </c>
      <c r="K4777" s="403">
        <v>1280</v>
      </c>
      <c r="L4777" s="403">
        <v>720</v>
      </c>
      <c r="M4777" s="403" t="s">
        <v>1279</v>
      </c>
      <c r="N4777" s="403">
        <v>768</v>
      </c>
      <c r="O4777" s="403">
        <v>432</v>
      </c>
      <c r="P4777" t="str">
        <f t="shared" si="593"/>
        <v>25fps 720p - SD ROI PTZ</v>
      </c>
      <c r="Q4777">
        <f t="shared" si="594"/>
        <v>21</v>
      </c>
      <c r="R4777" t="str">
        <f t="shared" si="595"/>
        <v/>
      </c>
      <c r="S4777" t="str">
        <f t="shared" si="596"/>
        <v/>
      </c>
      <c r="T4777" s="403" t="str">
        <f t="shared" si="597"/>
        <v>NDE-8504-R</v>
      </c>
      <c r="U4777" s="403">
        <f t="shared" si="598"/>
        <v>1</v>
      </c>
      <c r="V4777" s="403" t="str">
        <f t="shared" si="599"/>
        <v>CPP_7_3</v>
      </c>
    </row>
    <row r="4778" spans="1:22">
      <c r="A4778" t="str">
        <f t="shared" si="592"/>
        <v>NDE-8504-R</v>
      </c>
      <c r="B4778" s="403" t="s">
        <v>1410</v>
      </c>
      <c r="C4778" s="403" t="s">
        <v>582</v>
      </c>
      <c r="D4778" s="403" t="s">
        <v>1418</v>
      </c>
      <c r="E4778" s="403" t="s">
        <v>1413</v>
      </c>
      <c r="F4778" s="403" t="s">
        <v>1325</v>
      </c>
      <c r="G4778" s="403" t="s">
        <v>1466</v>
      </c>
      <c r="H4778" s="403" t="s">
        <v>1276</v>
      </c>
      <c r="I4778" s="403">
        <v>1</v>
      </c>
      <c r="J4778" s="403" t="s">
        <v>109</v>
      </c>
      <c r="K4778" s="403">
        <v>1280</v>
      </c>
      <c r="L4778" s="403">
        <v>720</v>
      </c>
      <c r="M4778" s="403" t="s">
        <v>1283</v>
      </c>
      <c r="N4778" s="403">
        <v>720</v>
      </c>
      <c r="O4778" s="403">
        <v>576</v>
      </c>
      <c r="P4778" t="str">
        <f t="shared" si="593"/>
        <v>25fps 720p - SD 4CIF resolution 4:3 format (cropped)</v>
      </c>
      <c r="Q4778">
        <f t="shared" si="594"/>
        <v>21</v>
      </c>
      <c r="R4778" t="str">
        <f t="shared" si="595"/>
        <v/>
      </c>
      <c r="S4778" t="str">
        <f t="shared" si="596"/>
        <v/>
      </c>
      <c r="T4778" s="403" t="str">
        <f t="shared" si="597"/>
        <v>NDE-8504-R</v>
      </c>
      <c r="U4778" s="403">
        <f t="shared" si="598"/>
        <v>1</v>
      </c>
      <c r="V4778" s="403" t="str">
        <f t="shared" si="599"/>
        <v>CPP_7_3</v>
      </c>
    </row>
    <row r="4779" spans="1:22">
      <c r="A4779" t="str">
        <f t="shared" si="592"/>
        <v>NDE-8504-R</v>
      </c>
      <c r="B4779" s="403" t="s">
        <v>1410</v>
      </c>
      <c r="C4779" s="403" t="s">
        <v>582</v>
      </c>
      <c r="D4779" s="403" t="s">
        <v>1418</v>
      </c>
      <c r="E4779" s="403" t="s">
        <v>1413</v>
      </c>
      <c r="F4779" s="403" t="s">
        <v>1325</v>
      </c>
      <c r="G4779" s="403" t="s">
        <v>1466</v>
      </c>
      <c r="H4779" s="403" t="s">
        <v>1276</v>
      </c>
      <c r="I4779" s="403">
        <v>1</v>
      </c>
      <c r="J4779" s="403" t="s">
        <v>109</v>
      </c>
      <c r="K4779" s="403">
        <v>1280</v>
      </c>
      <c r="L4779" s="403">
        <v>720</v>
      </c>
      <c r="M4779" s="403" t="s">
        <v>1284</v>
      </c>
      <c r="N4779" s="403">
        <v>640</v>
      </c>
      <c r="O4779" s="403">
        <v>480</v>
      </c>
      <c r="P4779" t="str">
        <f t="shared" si="593"/>
        <v>25fps 720p - SD VGA (cropped)</v>
      </c>
      <c r="Q4779">
        <f t="shared" si="594"/>
        <v>21</v>
      </c>
      <c r="R4779" t="str">
        <f t="shared" si="595"/>
        <v/>
      </c>
      <c r="S4779" t="str">
        <f t="shared" si="596"/>
        <v/>
      </c>
      <c r="T4779" s="403" t="str">
        <f t="shared" si="597"/>
        <v>NDE-8504-R</v>
      </c>
      <c r="U4779" s="403">
        <f t="shared" si="598"/>
        <v>1</v>
      </c>
      <c r="V4779" s="403" t="str">
        <f t="shared" si="599"/>
        <v>CPP_7_3</v>
      </c>
    </row>
    <row r="4780" spans="1:22">
      <c r="A4780" t="str">
        <f t="shared" si="592"/>
        <v>NDE-8504-R</v>
      </c>
      <c r="B4780" s="403" t="s">
        <v>1410</v>
      </c>
      <c r="C4780" s="403" t="s">
        <v>582</v>
      </c>
      <c r="D4780" s="403" t="s">
        <v>1418</v>
      </c>
      <c r="E4780" s="403" t="s">
        <v>1413</v>
      </c>
      <c r="F4780" s="403" t="s">
        <v>1325</v>
      </c>
      <c r="G4780" s="403" t="s">
        <v>1466</v>
      </c>
      <c r="H4780" s="403" t="s">
        <v>1281</v>
      </c>
      <c r="I4780" s="403">
        <v>1</v>
      </c>
      <c r="J4780" s="403" t="s">
        <v>194</v>
      </c>
      <c r="K4780" s="403">
        <v>3840</v>
      </c>
      <c r="L4780" s="403">
        <v>2160</v>
      </c>
      <c r="M4780" s="403" t="s">
        <v>111</v>
      </c>
      <c r="N4780" s="403">
        <v>768</v>
      </c>
      <c r="O4780" s="403">
        <v>432</v>
      </c>
      <c r="P4780" t="str">
        <f t="shared" si="593"/>
        <v>25fps 3840x2160 - SD</v>
      </c>
      <c r="Q4780">
        <f t="shared" si="594"/>
        <v>21</v>
      </c>
      <c r="R4780" t="str">
        <f t="shared" si="595"/>
        <v/>
      </c>
      <c r="S4780" t="str">
        <f t="shared" si="596"/>
        <v/>
      </c>
      <c r="T4780" s="403" t="str">
        <f t="shared" si="597"/>
        <v>NDE-8504-R</v>
      </c>
      <c r="U4780" s="403">
        <f t="shared" si="598"/>
        <v>1</v>
      </c>
      <c r="V4780" s="403" t="str">
        <f t="shared" si="599"/>
        <v>CPP_7_3</v>
      </c>
    </row>
    <row r="4781" spans="1:22">
      <c r="A4781" t="str">
        <f t="shared" si="592"/>
        <v>NDE-8504-R</v>
      </c>
      <c r="B4781" s="403" t="s">
        <v>1410</v>
      </c>
      <c r="C4781" s="403" t="s">
        <v>582</v>
      </c>
      <c r="D4781" s="403" t="s">
        <v>1418</v>
      </c>
      <c r="E4781" s="403" t="s">
        <v>1413</v>
      </c>
      <c r="F4781" s="403" t="s">
        <v>1325</v>
      </c>
      <c r="G4781" s="403" t="s">
        <v>1466</v>
      </c>
      <c r="H4781" s="403" t="s">
        <v>1281</v>
      </c>
      <c r="I4781" s="403">
        <v>1</v>
      </c>
      <c r="J4781" s="403" t="s">
        <v>194</v>
      </c>
      <c r="K4781" s="403">
        <v>3840</v>
      </c>
      <c r="L4781" s="403">
        <v>2160</v>
      </c>
      <c r="M4781" s="403" t="s">
        <v>1280</v>
      </c>
      <c r="N4781" s="403">
        <v>3840</v>
      </c>
      <c r="O4781" s="403">
        <v>2160</v>
      </c>
      <c r="P4781" t="str">
        <f t="shared" si="593"/>
        <v>25fps 3840x2160 - copy other stream</v>
      </c>
      <c r="Q4781">
        <f t="shared" si="594"/>
        <v>21</v>
      </c>
      <c r="R4781" t="str">
        <f t="shared" si="595"/>
        <v/>
      </c>
      <c r="S4781" t="str">
        <f t="shared" si="596"/>
        <v/>
      </c>
      <c r="T4781" s="403" t="str">
        <f t="shared" si="597"/>
        <v>NDE-8504-R</v>
      </c>
      <c r="U4781" s="403">
        <f t="shared" si="598"/>
        <v>1</v>
      </c>
      <c r="V4781" s="403" t="str">
        <f t="shared" si="599"/>
        <v>CPP_7_3</v>
      </c>
    </row>
    <row r="4782" spans="1:22">
      <c r="A4782" t="str">
        <f t="shared" si="592"/>
        <v>NDE-8504-R</v>
      </c>
      <c r="B4782" s="403" t="s">
        <v>1410</v>
      </c>
      <c r="C4782" s="403" t="s">
        <v>582</v>
      </c>
      <c r="D4782" s="403" t="s">
        <v>1418</v>
      </c>
      <c r="E4782" s="403" t="s">
        <v>1413</v>
      </c>
      <c r="F4782" s="403" t="s">
        <v>1325</v>
      </c>
      <c r="G4782" s="403" t="s">
        <v>1466</v>
      </c>
      <c r="H4782" s="403" t="s">
        <v>1281</v>
      </c>
      <c r="I4782" s="403">
        <v>1</v>
      </c>
      <c r="J4782" s="403" t="s">
        <v>194</v>
      </c>
      <c r="K4782" s="403">
        <v>3840</v>
      </c>
      <c r="L4782" s="403">
        <v>2160</v>
      </c>
      <c r="M4782" s="403" t="s">
        <v>1283</v>
      </c>
      <c r="N4782" s="403">
        <v>720</v>
      </c>
      <c r="O4782" s="403">
        <v>576</v>
      </c>
      <c r="P4782" t="str">
        <f t="shared" si="593"/>
        <v>25fps 3840x2160 - SD 4CIF resolution 4:3 format (cropped)</v>
      </c>
      <c r="Q4782">
        <f t="shared" si="594"/>
        <v>21</v>
      </c>
      <c r="R4782" t="str">
        <f t="shared" si="595"/>
        <v/>
      </c>
      <c r="S4782" t="str">
        <f t="shared" si="596"/>
        <v/>
      </c>
      <c r="T4782" s="403" t="str">
        <f t="shared" si="597"/>
        <v>NDE-8504-R</v>
      </c>
      <c r="U4782" s="403">
        <f t="shared" si="598"/>
        <v>1</v>
      </c>
      <c r="V4782" s="403" t="str">
        <f t="shared" si="599"/>
        <v>CPP_7_3</v>
      </c>
    </row>
    <row r="4783" spans="1:22">
      <c r="A4783" t="str">
        <f t="shared" si="592"/>
        <v>NDE-8504-R</v>
      </c>
      <c r="B4783" s="403" t="s">
        <v>1410</v>
      </c>
      <c r="C4783" s="403" t="s">
        <v>582</v>
      </c>
      <c r="D4783" s="403" t="s">
        <v>1418</v>
      </c>
      <c r="E4783" s="403" t="s">
        <v>1413</v>
      </c>
      <c r="F4783" s="403" t="s">
        <v>1325</v>
      </c>
      <c r="G4783" s="403" t="s">
        <v>1466</v>
      </c>
      <c r="H4783" s="403" t="s">
        <v>1281</v>
      </c>
      <c r="I4783" s="403">
        <v>1</v>
      </c>
      <c r="J4783" s="403" t="s">
        <v>194</v>
      </c>
      <c r="K4783" s="403">
        <v>3840</v>
      </c>
      <c r="L4783" s="403">
        <v>2160</v>
      </c>
      <c r="M4783" s="403" t="s">
        <v>1284</v>
      </c>
      <c r="N4783" s="403">
        <v>640</v>
      </c>
      <c r="O4783" s="403">
        <v>480</v>
      </c>
      <c r="P4783" t="str">
        <f t="shared" si="593"/>
        <v>25fps 3840x2160 - SD VGA (cropped)</v>
      </c>
      <c r="Q4783">
        <f t="shared" si="594"/>
        <v>21</v>
      </c>
      <c r="R4783" t="str">
        <f t="shared" si="595"/>
        <v/>
      </c>
      <c r="S4783" t="str">
        <f t="shared" si="596"/>
        <v/>
      </c>
      <c r="T4783" s="403" t="str">
        <f t="shared" si="597"/>
        <v>NDE-8504-R</v>
      </c>
      <c r="U4783" s="403">
        <f t="shared" si="598"/>
        <v>1</v>
      </c>
      <c r="V4783" s="403" t="str">
        <f t="shared" si="599"/>
        <v>CPP_7_3</v>
      </c>
    </row>
    <row r="4784" spans="1:22">
      <c r="A4784" t="str">
        <f t="shared" si="592"/>
        <v>NDE-8504-R</v>
      </c>
      <c r="B4784" s="403" t="s">
        <v>1410</v>
      </c>
      <c r="C4784" s="403" t="s">
        <v>582</v>
      </c>
      <c r="D4784" s="403" t="s">
        <v>1418</v>
      </c>
      <c r="E4784" s="403" t="s">
        <v>1413</v>
      </c>
      <c r="F4784" s="403" t="s">
        <v>1325</v>
      </c>
      <c r="G4784" s="403" t="s">
        <v>1466</v>
      </c>
      <c r="H4784" s="403" t="s">
        <v>1281</v>
      </c>
      <c r="I4784" s="403">
        <v>1</v>
      </c>
      <c r="J4784" s="403" t="s">
        <v>1324</v>
      </c>
      <c r="K4784" s="403">
        <v>3584</v>
      </c>
      <c r="L4784" s="403">
        <v>2016</v>
      </c>
      <c r="M4784" s="403" t="s">
        <v>111</v>
      </c>
      <c r="N4784" s="403">
        <v>768</v>
      </c>
      <c r="O4784" s="403">
        <v>432</v>
      </c>
      <c r="P4784" t="str">
        <f t="shared" si="593"/>
        <v>25fps 3584x2016 - SD</v>
      </c>
      <c r="Q4784">
        <f t="shared" si="594"/>
        <v>21</v>
      </c>
      <c r="R4784" t="str">
        <f t="shared" si="595"/>
        <v/>
      </c>
      <c r="S4784" t="str">
        <f t="shared" si="596"/>
        <v/>
      </c>
      <c r="T4784" s="403" t="str">
        <f t="shared" si="597"/>
        <v>NDE-8504-R</v>
      </c>
      <c r="U4784" s="403">
        <f t="shared" si="598"/>
        <v>1</v>
      </c>
      <c r="V4784" s="403" t="str">
        <f t="shared" si="599"/>
        <v>CPP_7_3</v>
      </c>
    </row>
    <row r="4785" spans="1:22">
      <c r="A4785" t="str">
        <f t="shared" si="592"/>
        <v>NDE-8504-R</v>
      </c>
      <c r="B4785" s="403" t="s">
        <v>1410</v>
      </c>
      <c r="C4785" s="403" t="s">
        <v>582</v>
      </c>
      <c r="D4785" s="403" t="s">
        <v>1418</v>
      </c>
      <c r="E4785" s="403" t="s">
        <v>1413</v>
      </c>
      <c r="F4785" s="403" t="s">
        <v>1325</v>
      </c>
      <c r="G4785" s="403" t="s">
        <v>1466</v>
      </c>
      <c r="H4785" s="403" t="s">
        <v>1281</v>
      </c>
      <c r="I4785" s="403">
        <v>1</v>
      </c>
      <c r="J4785" s="403" t="s">
        <v>1324</v>
      </c>
      <c r="K4785" s="403">
        <v>3584</v>
      </c>
      <c r="L4785" s="403">
        <v>2016</v>
      </c>
      <c r="M4785" s="403" t="s">
        <v>1280</v>
      </c>
      <c r="N4785" s="403">
        <v>3584</v>
      </c>
      <c r="O4785" s="403">
        <v>2016</v>
      </c>
      <c r="P4785" t="str">
        <f t="shared" si="593"/>
        <v>25fps 3584x2016 - copy other stream</v>
      </c>
      <c r="Q4785">
        <f t="shared" si="594"/>
        <v>21</v>
      </c>
      <c r="R4785" t="str">
        <f t="shared" si="595"/>
        <v/>
      </c>
      <c r="S4785" t="str">
        <f t="shared" si="596"/>
        <v/>
      </c>
      <c r="T4785" s="403" t="str">
        <f t="shared" si="597"/>
        <v>NDE-8504-R</v>
      </c>
      <c r="U4785" s="403">
        <f t="shared" si="598"/>
        <v>1</v>
      </c>
      <c r="V4785" s="403" t="str">
        <f t="shared" si="599"/>
        <v>CPP_7_3</v>
      </c>
    </row>
    <row r="4786" spans="1:22">
      <c r="A4786" t="str">
        <f t="shared" si="592"/>
        <v>NDE-8504-R</v>
      </c>
      <c r="B4786" s="403" t="s">
        <v>1410</v>
      </c>
      <c r="C4786" s="403" t="s">
        <v>582</v>
      </c>
      <c r="D4786" s="403" t="s">
        <v>1418</v>
      </c>
      <c r="E4786" s="403" t="s">
        <v>1413</v>
      </c>
      <c r="F4786" s="403" t="s">
        <v>1325</v>
      </c>
      <c r="G4786" s="403" t="s">
        <v>1466</v>
      </c>
      <c r="H4786" s="403" t="s">
        <v>1281</v>
      </c>
      <c r="I4786" s="403">
        <v>1</v>
      </c>
      <c r="J4786" s="403" t="s">
        <v>1324</v>
      </c>
      <c r="K4786" s="403">
        <v>3584</v>
      </c>
      <c r="L4786" s="403">
        <v>2016</v>
      </c>
      <c r="M4786" s="403" t="s">
        <v>1364</v>
      </c>
      <c r="N4786" s="403">
        <v>3584</v>
      </c>
      <c r="O4786" s="403">
        <v>2016</v>
      </c>
      <c r="P4786" t="str">
        <f t="shared" si="593"/>
        <v>25fps 3584x2016 - 3584x2016 @ SKIP6</v>
      </c>
      <c r="Q4786">
        <f t="shared" si="594"/>
        <v>21</v>
      </c>
      <c r="R4786" t="str">
        <f t="shared" si="595"/>
        <v/>
      </c>
      <c r="S4786" t="str">
        <f t="shared" si="596"/>
        <v/>
      </c>
      <c r="T4786" s="403" t="str">
        <f t="shared" si="597"/>
        <v>NDE-8504-R</v>
      </c>
      <c r="U4786" s="403">
        <f t="shared" si="598"/>
        <v>1</v>
      </c>
      <c r="V4786" s="403" t="str">
        <f t="shared" si="599"/>
        <v>CPP_7_3</v>
      </c>
    </row>
    <row r="4787" spans="1:22">
      <c r="A4787" t="str">
        <f t="shared" si="592"/>
        <v>NDE-8504-R</v>
      </c>
      <c r="B4787" s="403" t="s">
        <v>1410</v>
      </c>
      <c r="C4787" s="403" t="s">
        <v>582</v>
      </c>
      <c r="D4787" s="403" t="s">
        <v>1418</v>
      </c>
      <c r="E4787" s="403" t="s">
        <v>1413</v>
      </c>
      <c r="F4787" s="403" t="s">
        <v>1325</v>
      </c>
      <c r="G4787" s="403" t="s">
        <v>1466</v>
      </c>
      <c r="H4787" s="403" t="s">
        <v>1281</v>
      </c>
      <c r="I4787" s="403">
        <v>1</v>
      </c>
      <c r="J4787" s="403" t="s">
        <v>1324</v>
      </c>
      <c r="K4787" s="403">
        <v>3584</v>
      </c>
      <c r="L4787" s="403">
        <v>2016</v>
      </c>
      <c r="M4787" s="403" t="s">
        <v>109</v>
      </c>
      <c r="N4787" s="403">
        <v>1280</v>
      </c>
      <c r="O4787" s="403">
        <v>720</v>
      </c>
      <c r="P4787" t="str">
        <f t="shared" si="593"/>
        <v>25fps 3584x2016 - 720p</v>
      </c>
      <c r="Q4787">
        <f t="shared" si="594"/>
        <v>21</v>
      </c>
      <c r="R4787" t="str">
        <f t="shared" si="595"/>
        <v/>
      </c>
      <c r="S4787" t="str">
        <f t="shared" si="596"/>
        <v/>
      </c>
      <c r="T4787" s="403" t="str">
        <f t="shared" si="597"/>
        <v>NDE-8504-R</v>
      </c>
      <c r="U4787" s="403">
        <f t="shared" si="598"/>
        <v>1</v>
      </c>
      <c r="V4787" s="403" t="str">
        <f t="shared" si="599"/>
        <v>CPP_7_3</v>
      </c>
    </row>
    <row r="4788" spans="1:22">
      <c r="A4788" t="str">
        <f t="shared" si="592"/>
        <v>NDE-8504-R</v>
      </c>
      <c r="B4788" s="403" t="s">
        <v>1410</v>
      </c>
      <c r="C4788" s="403" t="s">
        <v>582</v>
      </c>
      <c r="D4788" s="403" t="s">
        <v>1418</v>
      </c>
      <c r="E4788" s="403" t="s">
        <v>1413</v>
      </c>
      <c r="F4788" s="403" t="s">
        <v>1325</v>
      </c>
      <c r="G4788" s="403" t="s">
        <v>1466</v>
      </c>
      <c r="H4788" s="403" t="s">
        <v>1281</v>
      </c>
      <c r="I4788" s="403">
        <v>1</v>
      </c>
      <c r="J4788" s="403" t="s">
        <v>1324</v>
      </c>
      <c r="K4788" s="403">
        <v>3584</v>
      </c>
      <c r="L4788" s="403">
        <v>2016</v>
      </c>
      <c r="M4788" s="403" t="s">
        <v>1283</v>
      </c>
      <c r="N4788" s="403">
        <v>720</v>
      </c>
      <c r="O4788" s="403">
        <v>576</v>
      </c>
      <c r="P4788" t="str">
        <f t="shared" si="593"/>
        <v>25fps 3584x2016 - SD 4CIF resolution 4:3 format (cropped)</v>
      </c>
      <c r="Q4788">
        <f t="shared" si="594"/>
        <v>21</v>
      </c>
      <c r="R4788" t="str">
        <f t="shared" si="595"/>
        <v/>
      </c>
      <c r="S4788" t="str">
        <f t="shared" si="596"/>
        <v/>
      </c>
      <c r="T4788" s="403" t="str">
        <f t="shared" si="597"/>
        <v>NDE-8504-R</v>
      </c>
      <c r="U4788" s="403">
        <f t="shared" si="598"/>
        <v>1</v>
      </c>
      <c r="V4788" s="403" t="str">
        <f t="shared" si="599"/>
        <v>CPP_7_3</v>
      </c>
    </row>
    <row r="4789" spans="1:22">
      <c r="A4789" t="str">
        <f t="shared" si="592"/>
        <v>NDE-8504-R</v>
      </c>
      <c r="B4789" s="403" t="s">
        <v>1410</v>
      </c>
      <c r="C4789" s="403" t="s">
        <v>582</v>
      </c>
      <c r="D4789" s="403" t="s">
        <v>1418</v>
      </c>
      <c r="E4789" s="403" t="s">
        <v>1413</v>
      </c>
      <c r="F4789" s="403" t="s">
        <v>1325</v>
      </c>
      <c r="G4789" s="403" t="s">
        <v>1466</v>
      </c>
      <c r="H4789" s="403" t="s">
        <v>1281</v>
      </c>
      <c r="I4789" s="403">
        <v>1</v>
      </c>
      <c r="J4789" s="403" t="s">
        <v>1324</v>
      </c>
      <c r="K4789" s="403">
        <v>3584</v>
      </c>
      <c r="L4789" s="403">
        <v>2016</v>
      </c>
      <c r="M4789" s="403" t="s">
        <v>1279</v>
      </c>
      <c r="N4789" s="403">
        <v>768</v>
      </c>
      <c r="O4789" s="403">
        <v>432</v>
      </c>
      <c r="P4789" t="str">
        <f t="shared" si="593"/>
        <v>25fps 3584x2016 - SD ROI PTZ</v>
      </c>
      <c r="Q4789">
        <f t="shared" si="594"/>
        <v>21</v>
      </c>
      <c r="R4789" t="str">
        <f t="shared" si="595"/>
        <v/>
      </c>
      <c r="S4789" t="str">
        <f t="shared" si="596"/>
        <v/>
      </c>
      <c r="T4789" s="403" t="str">
        <f t="shared" si="597"/>
        <v>NDE-8504-R</v>
      </c>
      <c r="U4789" s="403">
        <f t="shared" si="598"/>
        <v>1</v>
      </c>
      <c r="V4789" s="403" t="str">
        <f t="shared" si="599"/>
        <v>CPP_7_3</v>
      </c>
    </row>
    <row r="4790" spans="1:22">
      <c r="A4790" t="str">
        <f t="shared" si="592"/>
        <v>NDE-8504-R</v>
      </c>
      <c r="B4790" s="403" t="s">
        <v>1410</v>
      </c>
      <c r="C4790" s="403" t="s">
        <v>582</v>
      </c>
      <c r="D4790" s="403" t="s">
        <v>1418</v>
      </c>
      <c r="E4790" s="403" t="s">
        <v>1413</v>
      </c>
      <c r="F4790" s="403" t="s">
        <v>1325</v>
      </c>
      <c r="G4790" s="403" t="s">
        <v>1466</v>
      </c>
      <c r="H4790" s="403" t="s">
        <v>1281</v>
      </c>
      <c r="I4790" s="403">
        <v>1</v>
      </c>
      <c r="J4790" s="403" t="s">
        <v>1324</v>
      </c>
      <c r="K4790" s="403">
        <v>3584</v>
      </c>
      <c r="L4790" s="403">
        <v>2016</v>
      </c>
      <c r="M4790" s="403" t="s">
        <v>1284</v>
      </c>
      <c r="N4790" s="403">
        <v>640</v>
      </c>
      <c r="O4790" s="403">
        <v>480</v>
      </c>
      <c r="P4790" t="str">
        <f t="shared" si="593"/>
        <v>25fps 3584x2016 - SD VGA (cropped)</v>
      </c>
      <c r="Q4790">
        <f t="shared" si="594"/>
        <v>21</v>
      </c>
      <c r="R4790" t="str">
        <f t="shared" si="595"/>
        <v/>
      </c>
      <c r="S4790" t="str">
        <f t="shared" si="596"/>
        <v/>
      </c>
      <c r="T4790" s="403" t="str">
        <f t="shared" si="597"/>
        <v>NDE-8504-R</v>
      </c>
      <c r="U4790" s="403">
        <f t="shared" si="598"/>
        <v>1</v>
      </c>
      <c r="V4790" s="403" t="str">
        <f t="shared" si="599"/>
        <v>CPP_7_3</v>
      </c>
    </row>
    <row r="4791" spans="1:22">
      <c r="A4791" t="str">
        <f t="shared" si="592"/>
        <v>NDE-8504-R</v>
      </c>
      <c r="B4791" s="403" t="s">
        <v>1410</v>
      </c>
      <c r="C4791" s="403" t="s">
        <v>582</v>
      </c>
      <c r="D4791" s="403" t="s">
        <v>1418</v>
      </c>
      <c r="E4791" s="403" t="s">
        <v>1413</v>
      </c>
      <c r="F4791" s="403" t="s">
        <v>1325</v>
      </c>
      <c r="G4791" s="403" t="s">
        <v>1466</v>
      </c>
      <c r="H4791" s="403" t="s">
        <v>1281</v>
      </c>
      <c r="I4791" s="403">
        <v>1</v>
      </c>
      <c r="J4791" s="403" t="s">
        <v>1324</v>
      </c>
      <c r="K4791" s="403">
        <v>3584</v>
      </c>
      <c r="L4791" s="403">
        <v>2016</v>
      </c>
      <c r="M4791" s="403" t="s">
        <v>1285</v>
      </c>
      <c r="N4791" s="403">
        <v>1280</v>
      </c>
      <c r="O4791" s="403">
        <v>1024</v>
      </c>
      <c r="P4791" t="str">
        <f t="shared" si="593"/>
        <v>25fps 3584x2016 - 1280x1024 5:4 (cropped)</v>
      </c>
      <c r="Q4791">
        <f t="shared" si="594"/>
        <v>21</v>
      </c>
      <c r="R4791" t="str">
        <f t="shared" si="595"/>
        <v/>
      </c>
      <c r="S4791" t="str">
        <f t="shared" si="596"/>
        <v/>
      </c>
      <c r="T4791" s="403" t="str">
        <f t="shared" si="597"/>
        <v>NDE-8504-R</v>
      </c>
      <c r="U4791" s="403">
        <f t="shared" si="598"/>
        <v>1</v>
      </c>
      <c r="V4791" s="403" t="str">
        <f t="shared" si="599"/>
        <v>CPP_7_3</v>
      </c>
    </row>
    <row r="4792" spans="1:22">
      <c r="A4792" t="str">
        <f t="shared" si="592"/>
        <v>NDE-8504-R</v>
      </c>
      <c r="B4792" s="403" t="s">
        <v>1410</v>
      </c>
      <c r="C4792" s="403" t="s">
        <v>582</v>
      </c>
      <c r="D4792" s="403" t="s">
        <v>1418</v>
      </c>
      <c r="E4792" s="403" t="s">
        <v>1413</v>
      </c>
      <c r="F4792" s="403" t="s">
        <v>1325</v>
      </c>
      <c r="G4792" s="403" t="s">
        <v>1466</v>
      </c>
      <c r="H4792" s="403" t="s">
        <v>1281</v>
      </c>
      <c r="I4792" s="403">
        <v>1</v>
      </c>
      <c r="J4792" s="403" t="s">
        <v>110</v>
      </c>
      <c r="K4792" s="403">
        <v>1920</v>
      </c>
      <c r="L4792" s="403">
        <v>1080</v>
      </c>
      <c r="M4792" s="403" t="s">
        <v>111</v>
      </c>
      <c r="N4792" s="403">
        <v>768</v>
      </c>
      <c r="O4792" s="403">
        <v>432</v>
      </c>
      <c r="P4792" t="str">
        <f t="shared" si="593"/>
        <v>25fps 1080p - SD</v>
      </c>
      <c r="Q4792">
        <f t="shared" si="594"/>
        <v>21</v>
      </c>
      <c r="R4792" t="str">
        <f t="shared" si="595"/>
        <v/>
      </c>
      <c r="S4792" t="str">
        <f t="shared" si="596"/>
        <v/>
      </c>
      <c r="T4792" s="403" t="str">
        <f t="shared" si="597"/>
        <v>NDE-8504-R</v>
      </c>
      <c r="U4792" s="403">
        <f t="shared" si="598"/>
        <v>1</v>
      </c>
      <c r="V4792" s="403" t="str">
        <f t="shared" si="599"/>
        <v>CPP_7_3</v>
      </c>
    </row>
    <row r="4793" spans="1:22">
      <c r="A4793" t="str">
        <f t="shared" si="592"/>
        <v>NDE-8504-R</v>
      </c>
      <c r="B4793" s="403" t="s">
        <v>1410</v>
      </c>
      <c r="C4793" s="403" t="s">
        <v>582</v>
      </c>
      <c r="D4793" s="403" t="s">
        <v>1418</v>
      </c>
      <c r="E4793" s="403" t="s">
        <v>1413</v>
      </c>
      <c r="F4793" s="403" t="s">
        <v>1325</v>
      </c>
      <c r="G4793" s="403" t="s">
        <v>1466</v>
      </c>
      <c r="H4793" s="403" t="s">
        <v>1281</v>
      </c>
      <c r="I4793" s="403">
        <v>1</v>
      </c>
      <c r="J4793" s="403" t="s">
        <v>110</v>
      </c>
      <c r="K4793" s="403">
        <v>1920</v>
      </c>
      <c r="L4793" s="403">
        <v>1080</v>
      </c>
      <c r="M4793" s="403" t="s">
        <v>110</v>
      </c>
      <c r="N4793" s="403">
        <v>1920</v>
      </c>
      <c r="O4793" s="403">
        <v>1080</v>
      </c>
      <c r="P4793" t="str">
        <f t="shared" si="593"/>
        <v>25fps 1080p - 1080p</v>
      </c>
      <c r="Q4793">
        <f t="shared" si="594"/>
        <v>21</v>
      </c>
      <c r="R4793" t="str">
        <f t="shared" si="595"/>
        <v/>
      </c>
      <c r="S4793" t="str">
        <f t="shared" si="596"/>
        <v/>
      </c>
      <c r="T4793" s="403" t="str">
        <f t="shared" si="597"/>
        <v>NDE-8504-R</v>
      </c>
      <c r="U4793" s="403">
        <f t="shared" si="598"/>
        <v>1</v>
      </c>
      <c r="V4793" s="403" t="str">
        <f t="shared" si="599"/>
        <v>CPP_7_3</v>
      </c>
    </row>
    <row r="4794" spans="1:22">
      <c r="A4794" t="str">
        <f t="shared" si="592"/>
        <v>NDE-8504-R</v>
      </c>
      <c r="B4794" s="403" t="s">
        <v>1410</v>
      </c>
      <c r="C4794" s="403" t="s">
        <v>582</v>
      </c>
      <c r="D4794" s="403" t="s">
        <v>1418</v>
      </c>
      <c r="E4794" s="403" t="s">
        <v>1413</v>
      </c>
      <c r="F4794" s="403" t="s">
        <v>1325</v>
      </c>
      <c r="G4794" s="403" t="s">
        <v>1466</v>
      </c>
      <c r="H4794" s="403" t="s">
        <v>1281</v>
      </c>
      <c r="I4794" s="403">
        <v>1</v>
      </c>
      <c r="J4794" s="403" t="s">
        <v>110</v>
      </c>
      <c r="K4794" s="403">
        <v>1920</v>
      </c>
      <c r="L4794" s="403">
        <v>1080</v>
      </c>
      <c r="M4794" s="403" t="s">
        <v>109</v>
      </c>
      <c r="N4794" s="403">
        <v>1280</v>
      </c>
      <c r="O4794" s="403">
        <v>720</v>
      </c>
      <c r="P4794" t="str">
        <f t="shared" si="593"/>
        <v>25fps 1080p - 720p</v>
      </c>
      <c r="Q4794">
        <f t="shared" si="594"/>
        <v>21</v>
      </c>
      <c r="R4794" t="str">
        <f t="shared" si="595"/>
        <v/>
      </c>
      <c r="S4794" t="str">
        <f t="shared" si="596"/>
        <v/>
      </c>
      <c r="T4794" s="403" t="str">
        <f t="shared" si="597"/>
        <v>NDE-8504-R</v>
      </c>
      <c r="U4794" s="403">
        <f t="shared" si="598"/>
        <v>1</v>
      </c>
      <c r="V4794" s="403" t="str">
        <f t="shared" si="599"/>
        <v>CPP_7_3</v>
      </c>
    </row>
    <row r="4795" spans="1:22">
      <c r="A4795" t="str">
        <f t="shared" si="592"/>
        <v>NDE-8504-R</v>
      </c>
      <c r="B4795" s="403" t="s">
        <v>1410</v>
      </c>
      <c r="C4795" s="403" t="s">
        <v>582</v>
      </c>
      <c r="D4795" s="403" t="s">
        <v>1418</v>
      </c>
      <c r="E4795" s="403" t="s">
        <v>1413</v>
      </c>
      <c r="F4795" s="403" t="s">
        <v>1325</v>
      </c>
      <c r="G4795" s="403" t="s">
        <v>1466</v>
      </c>
      <c r="H4795" s="403" t="s">
        <v>1281</v>
      </c>
      <c r="I4795" s="403">
        <v>1</v>
      </c>
      <c r="J4795" s="403" t="s">
        <v>110</v>
      </c>
      <c r="K4795" s="403">
        <v>1920</v>
      </c>
      <c r="L4795" s="403">
        <v>1080</v>
      </c>
      <c r="M4795" s="403" t="s">
        <v>1285</v>
      </c>
      <c r="N4795" s="403">
        <v>1280</v>
      </c>
      <c r="O4795" s="403">
        <v>1024</v>
      </c>
      <c r="P4795" t="str">
        <f t="shared" si="593"/>
        <v>25fps 1080p - 1280x1024 5:4 (cropped)</v>
      </c>
      <c r="Q4795">
        <f t="shared" si="594"/>
        <v>21</v>
      </c>
      <c r="R4795" t="str">
        <f t="shared" si="595"/>
        <v/>
      </c>
      <c r="S4795" t="str">
        <f t="shared" si="596"/>
        <v/>
      </c>
      <c r="T4795" s="403" t="str">
        <f t="shared" si="597"/>
        <v>NDE-8504-R</v>
      </c>
      <c r="U4795" s="403">
        <f t="shared" si="598"/>
        <v>1</v>
      </c>
      <c r="V4795" s="403" t="str">
        <f t="shared" si="599"/>
        <v>CPP_7_3</v>
      </c>
    </row>
    <row r="4796" spans="1:22">
      <c r="A4796" t="str">
        <f t="shared" si="592"/>
        <v>NDE-8504-R</v>
      </c>
      <c r="B4796" s="403" t="s">
        <v>1410</v>
      </c>
      <c r="C4796" s="403" t="s">
        <v>582</v>
      </c>
      <c r="D4796" s="403" t="s">
        <v>1418</v>
      </c>
      <c r="E4796" s="403" t="s">
        <v>1413</v>
      </c>
      <c r="F4796" s="403" t="s">
        <v>1325</v>
      </c>
      <c r="G4796" s="403" t="s">
        <v>1466</v>
      </c>
      <c r="H4796" s="403" t="s">
        <v>1281</v>
      </c>
      <c r="I4796" s="403">
        <v>1</v>
      </c>
      <c r="J4796" s="403" t="s">
        <v>110</v>
      </c>
      <c r="K4796" s="403">
        <v>1920</v>
      </c>
      <c r="L4796" s="403">
        <v>1080</v>
      </c>
      <c r="M4796" s="403" t="s">
        <v>1279</v>
      </c>
      <c r="N4796" s="403">
        <v>768</v>
      </c>
      <c r="O4796" s="403">
        <v>432</v>
      </c>
      <c r="P4796" t="str">
        <f t="shared" si="593"/>
        <v>25fps 1080p - SD ROI PTZ</v>
      </c>
      <c r="Q4796">
        <f t="shared" si="594"/>
        <v>21</v>
      </c>
      <c r="R4796" t="str">
        <f t="shared" si="595"/>
        <v/>
      </c>
      <c r="S4796" t="str">
        <f t="shared" si="596"/>
        <v/>
      </c>
      <c r="T4796" s="403" t="str">
        <f t="shared" si="597"/>
        <v>NDE-8504-R</v>
      </c>
      <c r="U4796" s="403">
        <f t="shared" si="598"/>
        <v>1</v>
      </c>
      <c r="V4796" s="403" t="str">
        <f t="shared" si="599"/>
        <v>CPP_7_3</v>
      </c>
    </row>
    <row r="4797" spans="1:22">
      <c r="A4797" t="str">
        <f t="shared" si="592"/>
        <v>NDE-8504-R</v>
      </c>
      <c r="B4797" s="403" t="s">
        <v>1410</v>
      </c>
      <c r="C4797" s="403" t="s">
        <v>582</v>
      </c>
      <c r="D4797" s="403" t="s">
        <v>1418</v>
      </c>
      <c r="E4797" s="403" t="s">
        <v>1413</v>
      </c>
      <c r="F4797" s="403" t="s">
        <v>1325</v>
      </c>
      <c r="G4797" s="403" t="s">
        <v>1466</v>
      </c>
      <c r="H4797" s="403" t="s">
        <v>1281</v>
      </c>
      <c r="I4797" s="403">
        <v>1</v>
      </c>
      <c r="J4797" s="403" t="s">
        <v>110</v>
      </c>
      <c r="K4797" s="403">
        <v>1920</v>
      </c>
      <c r="L4797" s="403">
        <v>1080</v>
      </c>
      <c r="M4797" s="403" t="s">
        <v>1283</v>
      </c>
      <c r="N4797" s="403">
        <v>720</v>
      </c>
      <c r="O4797" s="403">
        <v>576</v>
      </c>
      <c r="P4797" t="str">
        <f t="shared" si="593"/>
        <v>25fps 1080p - SD 4CIF resolution 4:3 format (cropped)</v>
      </c>
      <c r="Q4797">
        <f t="shared" si="594"/>
        <v>21</v>
      </c>
      <c r="R4797" t="str">
        <f t="shared" si="595"/>
        <v/>
      </c>
      <c r="S4797" t="str">
        <f t="shared" si="596"/>
        <v/>
      </c>
      <c r="T4797" s="403" t="str">
        <f t="shared" si="597"/>
        <v>NDE-8504-R</v>
      </c>
      <c r="U4797" s="403">
        <f t="shared" si="598"/>
        <v>1</v>
      </c>
      <c r="V4797" s="403" t="str">
        <f t="shared" si="599"/>
        <v>CPP_7_3</v>
      </c>
    </row>
    <row r="4798" spans="1:22">
      <c r="A4798" t="str">
        <f t="shared" si="592"/>
        <v>NDE-8504-R</v>
      </c>
      <c r="B4798" s="403" t="s">
        <v>1410</v>
      </c>
      <c r="C4798" s="403" t="s">
        <v>582</v>
      </c>
      <c r="D4798" s="403" t="s">
        <v>1418</v>
      </c>
      <c r="E4798" s="403" t="s">
        <v>1413</v>
      </c>
      <c r="F4798" s="403" t="s">
        <v>1325</v>
      </c>
      <c r="G4798" s="403" t="s">
        <v>1466</v>
      </c>
      <c r="H4798" s="403" t="s">
        <v>1281</v>
      </c>
      <c r="I4798" s="403">
        <v>1</v>
      </c>
      <c r="J4798" s="403" t="s">
        <v>110</v>
      </c>
      <c r="K4798" s="403">
        <v>1920</v>
      </c>
      <c r="L4798" s="403">
        <v>1080</v>
      </c>
      <c r="M4798" s="403" t="s">
        <v>1284</v>
      </c>
      <c r="N4798" s="403">
        <v>640</v>
      </c>
      <c r="O4798" s="403">
        <v>480</v>
      </c>
      <c r="P4798" t="str">
        <f t="shared" si="593"/>
        <v>25fps 1080p - SD VGA (cropped)</v>
      </c>
      <c r="Q4798">
        <f t="shared" si="594"/>
        <v>21</v>
      </c>
      <c r="R4798" t="str">
        <f t="shared" si="595"/>
        <v/>
      </c>
      <c r="S4798" t="str">
        <f t="shared" si="596"/>
        <v/>
      </c>
      <c r="T4798" s="403" t="str">
        <f t="shared" si="597"/>
        <v>NDE-8504-R</v>
      </c>
      <c r="U4798" s="403">
        <f t="shared" si="598"/>
        <v>1</v>
      </c>
      <c r="V4798" s="403" t="str">
        <f t="shared" si="599"/>
        <v>CPP_7_3</v>
      </c>
    </row>
    <row r="4799" spans="1:22">
      <c r="A4799" t="str">
        <f t="shared" si="592"/>
        <v>NDE-8504-R</v>
      </c>
      <c r="B4799" s="403" t="s">
        <v>1410</v>
      </c>
      <c r="C4799" s="403" t="s">
        <v>582</v>
      </c>
      <c r="D4799" s="403" t="s">
        <v>1418</v>
      </c>
      <c r="E4799" s="403" t="s">
        <v>1413</v>
      </c>
      <c r="F4799" s="403" t="s">
        <v>1325</v>
      </c>
      <c r="G4799" s="403" t="s">
        <v>1466</v>
      </c>
      <c r="H4799" s="403" t="s">
        <v>1281</v>
      </c>
      <c r="I4799" s="403">
        <v>1</v>
      </c>
      <c r="J4799" s="403" t="s">
        <v>109</v>
      </c>
      <c r="K4799" s="403">
        <v>1280</v>
      </c>
      <c r="L4799" s="403">
        <v>720</v>
      </c>
      <c r="M4799" s="403" t="s">
        <v>109</v>
      </c>
      <c r="N4799" s="403">
        <v>1280</v>
      </c>
      <c r="O4799" s="403">
        <v>720</v>
      </c>
      <c r="P4799" t="str">
        <f t="shared" si="593"/>
        <v>25fps 720p - 720p</v>
      </c>
      <c r="Q4799">
        <f t="shared" si="594"/>
        <v>21</v>
      </c>
      <c r="R4799" t="str">
        <f t="shared" si="595"/>
        <v/>
      </c>
      <c r="S4799" t="str">
        <f t="shared" si="596"/>
        <v/>
      </c>
      <c r="T4799" s="403" t="str">
        <f t="shared" si="597"/>
        <v>NDE-8504-R</v>
      </c>
      <c r="U4799" s="403">
        <f t="shared" si="598"/>
        <v>1</v>
      </c>
      <c r="V4799" s="403" t="str">
        <f t="shared" si="599"/>
        <v>CPP_7_3</v>
      </c>
    </row>
    <row r="4800" spans="1:22">
      <c r="A4800" t="str">
        <f t="shared" si="592"/>
        <v>NDE-8504-R</v>
      </c>
      <c r="B4800" s="403" t="s">
        <v>1410</v>
      </c>
      <c r="C4800" s="403" t="s">
        <v>582</v>
      </c>
      <c r="D4800" s="403" t="s">
        <v>1418</v>
      </c>
      <c r="E4800" s="403" t="s">
        <v>1413</v>
      </c>
      <c r="F4800" s="403" t="s">
        <v>1325</v>
      </c>
      <c r="G4800" s="403" t="s">
        <v>1466</v>
      </c>
      <c r="H4800" s="403" t="s">
        <v>1281</v>
      </c>
      <c r="I4800" s="403">
        <v>1</v>
      </c>
      <c r="J4800" s="403" t="s">
        <v>109</v>
      </c>
      <c r="K4800" s="403">
        <v>1280</v>
      </c>
      <c r="L4800" s="403">
        <v>720</v>
      </c>
      <c r="M4800" s="403" t="s">
        <v>111</v>
      </c>
      <c r="N4800" s="403">
        <v>768</v>
      </c>
      <c r="O4800" s="403">
        <v>432</v>
      </c>
      <c r="P4800" t="str">
        <f t="shared" si="593"/>
        <v>25fps 720p - SD</v>
      </c>
      <c r="Q4800">
        <f t="shared" si="594"/>
        <v>21</v>
      </c>
      <c r="R4800" t="str">
        <f t="shared" si="595"/>
        <v/>
      </c>
      <c r="S4800" t="str">
        <f t="shared" si="596"/>
        <v/>
      </c>
      <c r="T4800" s="403" t="str">
        <f t="shared" si="597"/>
        <v>NDE-8504-R</v>
      </c>
      <c r="U4800" s="403">
        <f t="shared" si="598"/>
        <v>1</v>
      </c>
      <c r="V4800" s="403" t="str">
        <f t="shared" si="599"/>
        <v>CPP_7_3</v>
      </c>
    </row>
    <row r="4801" spans="1:22">
      <c r="A4801" t="str">
        <f t="shared" si="592"/>
        <v>NDE-8504-R</v>
      </c>
      <c r="B4801" s="403" t="s">
        <v>1410</v>
      </c>
      <c r="C4801" s="403" t="s">
        <v>582</v>
      </c>
      <c r="D4801" s="403" t="s">
        <v>1418</v>
      </c>
      <c r="E4801" s="403" t="s">
        <v>1413</v>
      </c>
      <c r="F4801" s="403" t="s">
        <v>1325</v>
      </c>
      <c r="G4801" s="403" t="s">
        <v>1466</v>
      </c>
      <c r="H4801" s="403" t="s">
        <v>1281</v>
      </c>
      <c r="I4801" s="403">
        <v>1</v>
      </c>
      <c r="J4801" s="403" t="s">
        <v>109</v>
      </c>
      <c r="K4801" s="403">
        <v>1280</v>
      </c>
      <c r="L4801" s="403">
        <v>720</v>
      </c>
      <c r="M4801" s="403" t="s">
        <v>1279</v>
      </c>
      <c r="N4801" s="403">
        <v>768</v>
      </c>
      <c r="O4801" s="403">
        <v>432</v>
      </c>
      <c r="P4801" t="str">
        <f t="shared" si="593"/>
        <v>25fps 720p - SD ROI PTZ</v>
      </c>
      <c r="Q4801">
        <f t="shared" si="594"/>
        <v>21</v>
      </c>
      <c r="R4801" t="str">
        <f t="shared" si="595"/>
        <v/>
      </c>
      <c r="S4801" t="str">
        <f t="shared" si="596"/>
        <v/>
      </c>
      <c r="T4801" s="403" t="str">
        <f t="shared" si="597"/>
        <v>NDE-8504-R</v>
      </c>
      <c r="U4801" s="403">
        <f t="shared" si="598"/>
        <v>1</v>
      </c>
      <c r="V4801" s="403" t="str">
        <f t="shared" si="599"/>
        <v>CPP_7_3</v>
      </c>
    </row>
    <row r="4802" spans="1:22">
      <c r="A4802" t="str">
        <f t="shared" ref="A4802:A4865" si="600">IF(AND(G4802&lt;&gt;"rotate 90°"),D4802,"")</f>
        <v>NDE-8504-R</v>
      </c>
      <c r="B4802" s="403" t="s">
        <v>1410</v>
      </c>
      <c r="C4802" s="403" t="s">
        <v>582</v>
      </c>
      <c r="D4802" s="403" t="s">
        <v>1418</v>
      </c>
      <c r="E4802" s="403" t="s">
        <v>1413</v>
      </c>
      <c r="F4802" s="403" t="s">
        <v>1325</v>
      </c>
      <c r="G4802" s="403" t="s">
        <v>1466</v>
      </c>
      <c r="H4802" s="403" t="s">
        <v>1281</v>
      </c>
      <c r="I4802" s="403">
        <v>1</v>
      </c>
      <c r="J4802" s="403" t="s">
        <v>109</v>
      </c>
      <c r="K4802" s="403">
        <v>1280</v>
      </c>
      <c r="L4802" s="403">
        <v>720</v>
      </c>
      <c r="M4802" s="403" t="s">
        <v>1283</v>
      </c>
      <c r="N4802" s="403">
        <v>720</v>
      </c>
      <c r="O4802" s="403">
        <v>576</v>
      </c>
      <c r="P4802" t="str">
        <f t="shared" ref="P4802:P4865" si="601">LEFT(F4802,5)&amp;" "&amp;J4802&amp;" - "&amp;M4802</f>
        <v>25fps 720p - SD 4CIF resolution 4:3 format (cropped)</v>
      </c>
      <c r="Q4802">
        <f t="shared" ref="Q4802:Q4865" si="602">IF(A4801=A4802,Q4801,Q4801+1)</f>
        <v>21</v>
      </c>
      <c r="R4802" t="str">
        <f t="shared" ref="R4802:R4865" si="603">IF(Q4801&lt;&gt;Q4802,Q4802,"")</f>
        <v/>
      </c>
      <c r="S4802" t="str">
        <f t="shared" ref="S4802:S4865" si="604">IF(R4802&lt;&gt;"",B4802&amp;" ("&amp;D4802&amp;")","")</f>
        <v/>
      </c>
      <c r="T4802" s="403" t="str">
        <f t="shared" ref="T4802:T4865" si="605">D4802</f>
        <v>NDE-8504-R</v>
      </c>
      <c r="U4802" s="403">
        <f t="shared" ref="U4802:U4865" si="606">I4802</f>
        <v>1</v>
      </c>
      <c r="V4802" s="403" t="str">
        <f t="shared" ref="V4802:V4865" si="607">C4802</f>
        <v>CPP_7_3</v>
      </c>
    </row>
    <row r="4803" spans="1:22">
      <c r="A4803" t="str">
        <f t="shared" si="600"/>
        <v>NDE-8504-R</v>
      </c>
      <c r="B4803" s="403" t="s">
        <v>1410</v>
      </c>
      <c r="C4803" s="403" t="s">
        <v>582</v>
      </c>
      <c r="D4803" s="403" t="s">
        <v>1418</v>
      </c>
      <c r="E4803" s="403" t="s">
        <v>1413</v>
      </c>
      <c r="F4803" s="403" t="s">
        <v>1325</v>
      </c>
      <c r="G4803" s="403" t="s">
        <v>1466</v>
      </c>
      <c r="H4803" s="403" t="s">
        <v>1281</v>
      </c>
      <c r="I4803" s="403">
        <v>1</v>
      </c>
      <c r="J4803" s="403" t="s">
        <v>109</v>
      </c>
      <c r="K4803" s="403">
        <v>1280</v>
      </c>
      <c r="L4803" s="403">
        <v>720</v>
      </c>
      <c r="M4803" s="403" t="s">
        <v>1284</v>
      </c>
      <c r="N4803" s="403">
        <v>640</v>
      </c>
      <c r="O4803" s="403">
        <v>480</v>
      </c>
      <c r="P4803" t="str">
        <f t="shared" si="601"/>
        <v>25fps 720p - SD VGA (cropped)</v>
      </c>
      <c r="Q4803">
        <f t="shared" si="602"/>
        <v>21</v>
      </c>
      <c r="R4803" t="str">
        <f t="shared" si="603"/>
        <v/>
      </c>
      <c r="S4803" t="str">
        <f t="shared" si="604"/>
        <v/>
      </c>
      <c r="T4803" s="403" t="str">
        <f t="shared" si="605"/>
        <v>NDE-8504-R</v>
      </c>
      <c r="U4803" s="403">
        <f t="shared" si="606"/>
        <v>1</v>
      </c>
      <c r="V4803" s="403" t="str">
        <f t="shared" si="607"/>
        <v>CPP_7_3</v>
      </c>
    </row>
    <row r="4804" spans="1:22">
      <c r="A4804" t="str">
        <f t="shared" si="600"/>
        <v>NDE-8504-R</v>
      </c>
      <c r="B4804" s="403" t="s">
        <v>1410</v>
      </c>
      <c r="C4804" s="403" t="s">
        <v>582</v>
      </c>
      <c r="D4804" s="403" t="s">
        <v>1418</v>
      </c>
      <c r="E4804" s="403" t="s">
        <v>1413</v>
      </c>
      <c r="F4804" s="403" t="s">
        <v>1325</v>
      </c>
      <c r="G4804" s="403" t="s">
        <v>1467</v>
      </c>
      <c r="H4804" s="403" t="s">
        <v>1276</v>
      </c>
      <c r="I4804" s="403">
        <v>1</v>
      </c>
      <c r="J4804" s="403" t="s">
        <v>194</v>
      </c>
      <c r="K4804" s="403">
        <v>2160</v>
      </c>
      <c r="L4804" s="403">
        <v>3840</v>
      </c>
      <c r="M4804" s="403" t="s">
        <v>111</v>
      </c>
      <c r="N4804" s="403">
        <v>432</v>
      </c>
      <c r="O4804" s="403">
        <v>768</v>
      </c>
      <c r="P4804" t="str">
        <f t="shared" si="601"/>
        <v>25fps 3840x2160 - SD</v>
      </c>
      <c r="Q4804">
        <f t="shared" si="602"/>
        <v>21</v>
      </c>
      <c r="R4804" t="str">
        <f t="shared" si="603"/>
        <v/>
      </c>
      <c r="S4804" t="str">
        <f t="shared" si="604"/>
        <v/>
      </c>
      <c r="T4804" s="403" t="str">
        <f t="shared" si="605"/>
        <v>NDE-8504-R</v>
      </c>
      <c r="U4804" s="403">
        <f t="shared" si="606"/>
        <v>1</v>
      </c>
      <c r="V4804" s="403" t="str">
        <f t="shared" si="607"/>
        <v>CPP_7_3</v>
      </c>
    </row>
    <row r="4805" spans="1:22">
      <c r="A4805" t="str">
        <f t="shared" si="600"/>
        <v>NDE-8504-R</v>
      </c>
      <c r="B4805" s="403" t="s">
        <v>1410</v>
      </c>
      <c r="C4805" s="403" t="s">
        <v>582</v>
      </c>
      <c r="D4805" s="403" t="s">
        <v>1418</v>
      </c>
      <c r="E4805" s="403" t="s">
        <v>1413</v>
      </c>
      <c r="F4805" s="403" t="s">
        <v>1325</v>
      </c>
      <c r="G4805" s="403" t="s">
        <v>1467</v>
      </c>
      <c r="H4805" s="403" t="s">
        <v>1276</v>
      </c>
      <c r="I4805" s="403">
        <v>1</v>
      </c>
      <c r="J4805" s="403" t="s">
        <v>194</v>
      </c>
      <c r="K4805" s="403">
        <v>2160</v>
      </c>
      <c r="L4805" s="403">
        <v>3840</v>
      </c>
      <c r="M4805" s="403" t="s">
        <v>1280</v>
      </c>
      <c r="N4805" s="403">
        <v>2160</v>
      </c>
      <c r="O4805" s="403">
        <v>3840</v>
      </c>
      <c r="P4805" t="str">
        <f t="shared" si="601"/>
        <v>25fps 3840x2160 - copy other stream</v>
      </c>
      <c r="Q4805">
        <f t="shared" si="602"/>
        <v>21</v>
      </c>
      <c r="R4805" t="str">
        <f t="shared" si="603"/>
        <v/>
      </c>
      <c r="S4805" t="str">
        <f t="shared" si="604"/>
        <v/>
      </c>
      <c r="T4805" s="403" t="str">
        <f t="shared" si="605"/>
        <v>NDE-8504-R</v>
      </c>
      <c r="U4805" s="403">
        <f t="shared" si="606"/>
        <v>1</v>
      </c>
      <c r="V4805" s="403" t="str">
        <f t="shared" si="607"/>
        <v>CPP_7_3</v>
      </c>
    </row>
    <row r="4806" spans="1:22">
      <c r="A4806" t="str">
        <f t="shared" si="600"/>
        <v>NDE-8504-R</v>
      </c>
      <c r="B4806" s="403" t="s">
        <v>1410</v>
      </c>
      <c r="C4806" s="403" t="s">
        <v>582</v>
      </c>
      <c r="D4806" s="403" t="s">
        <v>1418</v>
      </c>
      <c r="E4806" s="403" t="s">
        <v>1413</v>
      </c>
      <c r="F4806" s="403" t="s">
        <v>1325</v>
      </c>
      <c r="G4806" s="403" t="s">
        <v>1467</v>
      </c>
      <c r="H4806" s="403" t="s">
        <v>1276</v>
      </c>
      <c r="I4806" s="403">
        <v>1</v>
      </c>
      <c r="J4806" s="403" t="s">
        <v>194</v>
      </c>
      <c r="K4806" s="403">
        <v>2160</v>
      </c>
      <c r="L4806" s="403">
        <v>3840</v>
      </c>
      <c r="M4806" s="403" t="s">
        <v>1283</v>
      </c>
      <c r="N4806" s="403">
        <v>576</v>
      </c>
      <c r="O4806" s="403">
        <v>720</v>
      </c>
      <c r="P4806" t="str">
        <f t="shared" si="601"/>
        <v>25fps 3840x2160 - SD 4CIF resolution 4:3 format (cropped)</v>
      </c>
      <c r="Q4806">
        <f t="shared" si="602"/>
        <v>21</v>
      </c>
      <c r="R4806" t="str">
        <f t="shared" si="603"/>
        <v/>
      </c>
      <c r="S4806" t="str">
        <f t="shared" si="604"/>
        <v/>
      </c>
      <c r="T4806" s="403" t="str">
        <f t="shared" si="605"/>
        <v>NDE-8504-R</v>
      </c>
      <c r="U4806" s="403">
        <f t="shared" si="606"/>
        <v>1</v>
      </c>
      <c r="V4806" s="403" t="str">
        <f t="shared" si="607"/>
        <v>CPP_7_3</v>
      </c>
    </row>
    <row r="4807" spans="1:22">
      <c r="A4807" t="str">
        <f t="shared" si="600"/>
        <v>NDE-8504-R</v>
      </c>
      <c r="B4807" s="403" t="s">
        <v>1410</v>
      </c>
      <c r="C4807" s="403" t="s">
        <v>582</v>
      </c>
      <c r="D4807" s="403" t="s">
        <v>1418</v>
      </c>
      <c r="E4807" s="403" t="s">
        <v>1413</v>
      </c>
      <c r="F4807" s="403" t="s">
        <v>1325</v>
      </c>
      <c r="G4807" s="403" t="s">
        <v>1467</v>
      </c>
      <c r="H4807" s="403" t="s">
        <v>1276</v>
      </c>
      <c r="I4807" s="403">
        <v>1</v>
      </c>
      <c r="J4807" s="403" t="s">
        <v>194</v>
      </c>
      <c r="K4807" s="403">
        <v>2160</v>
      </c>
      <c r="L4807" s="403">
        <v>3840</v>
      </c>
      <c r="M4807" s="403" t="s">
        <v>1284</v>
      </c>
      <c r="N4807" s="403">
        <v>480</v>
      </c>
      <c r="O4807" s="403">
        <v>640</v>
      </c>
      <c r="P4807" t="str">
        <f t="shared" si="601"/>
        <v>25fps 3840x2160 - SD VGA (cropped)</v>
      </c>
      <c r="Q4807">
        <f t="shared" si="602"/>
        <v>21</v>
      </c>
      <c r="R4807" t="str">
        <f t="shared" si="603"/>
        <v/>
      </c>
      <c r="S4807" t="str">
        <f t="shared" si="604"/>
        <v/>
      </c>
      <c r="T4807" s="403" t="str">
        <f t="shared" si="605"/>
        <v>NDE-8504-R</v>
      </c>
      <c r="U4807" s="403">
        <f t="shared" si="606"/>
        <v>1</v>
      </c>
      <c r="V4807" s="403" t="str">
        <f t="shared" si="607"/>
        <v>CPP_7_3</v>
      </c>
    </row>
    <row r="4808" spans="1:22">
      <c r="A4808" t="str">
        <f t="shared" si="600"/>
        <v>NDE-8504-R</v>
      </c>
      <c r="B4808" s="403" t="s">
        <v>1410</v>
      </c>
      <c r="C4808" s="403" t="s">
        <v>582</v>
      </c>
      <c r="D4808" s="403" t="s">
        <v>1418</v>
      </c>
      <c r="E4808" s="403" t="s">
        <v>1413</v>
      </c>
      <c r="F4808" s="403" t="s">
        <v>1325</v>
      </c>
      <c r="G4808" s="403" t="s">
        <v>1467</v>
      </c>
      <c r="H4808" s="403" t="s">
        <v>1276</v>
      </c>
      <c r="I4808" s="403">
        <v>1</v>
      </c>
      <c r="J4808" s="403" t="s">
        <v>1324</v>
      </c>
      <c r="K4808" s="403">
        <v>2016</v>
      </c>
      <c r="L4808" s="403">
        <v>3584</v>
      </c>
      <c r="M4808" s="403" t="s">
        <v>111</v>
      </c>
      <c r="N4808" s="403">
        <v>432</v>
      </c>
      <c r="O4808" s="403">
        <v>768</v>
      </c>
      <c r="P4808" t="str">
        <f t="shared" si="601"/>
        <v>25fps 3584x2016 - SD</v>
      </c>
      <c r="Q4808">
        <f t="shared" si="602"/>
        <v>21</v>
      </c>
      <c r="R4808" t="str">
        <f t="shared" si="603"/>
        <v/>
      </c>
      <c r="S4808" t="str">
        <f t="shared" si="604"/>
        <v/>
      </c>
      <c r="T4808" s="403" t="str">
        <f t="shared" si="605"/>
        <v>NDE-8504-R</v>
      </c>
      <c r="U4808" s="403">
        <f t="shared" si="606"/>
        <v>1</v>
      </c>
      <c r="V4808" s="403" t="str">
        <f t="shared" si="607"/>
        <v>CPP_7_3</v>
      </c>
    </row>
    <row r="4809" spans="1:22">
      <c r="A4809" t="str">
        <f t="shared" si="600"/>
        <v>NDE-8504-R</v>
      </c>
      <c r="B4809" s="403" t="s">
        <v>1410</v>
      </c>
      <c r="C4809" s="403" t="s">
        <v>582</v>
      </c>
      <c r="D4809" s="403" t="s">
        <v>1418</v>
      </c>
      <c r="E4809" s="403" t="s">
        <v>1413</v>
      </c>
      <c r="F4809" s="403" t="s">
        <v>1325</v>
      </c>
      <c r="G4809" s="403" t="s">
        <v>1467</v>
      </c>
      <c r="H4809" s="403" t="s">
        <v>1276</v>
      </c>
      <c r="I4809" s="403">
        <v>1</v>
      </c>
      <c r="J4809" s="403" t="s">
        <v>1324</v>
      </c>
      <c r="K4809" s="403">
        <v>2016</v>
      </c>
      <c r="L4809" s="403">
        <v>3584</v>
      </c>
      <c r="M4809" s="403" t="s">
        <v>1280</v>
      </c>
      <c r="N4809" s="403">
        <v>2016</v>
      </c>
      <c r="O4809" s="403">
        <v>3584</v>
      </c>
      <c r="P4809" t="str">
        <f t="shared" si="601"/>
        <v>25fps 3584x2016 - copy other stream</v>
      </c>
      <c r="Q4809">
        <f t="shared" si="602"/>
        <v>21</v>
      </c>
      <c r="R4809" t="str">
        <f t="shared" si="603"/>
        <v/>
      </c>
      <c r="S4809" t="str">
        <f t="shared" si="604"/>
        <v/>
      </c>
      <c r="T4809" s="403" t="str">
        <f t="shared" si="605"/>
        <v>NDE-8504-R</v>
      </c>
      <c r="U4809" s="403">
        <f t="shared" si="606"/>
        <v>1</v>
      </c>
      <c r="V4809" s="403" t="str">
        <f t="shared" si="607"/>
        <v>CPP_7_3</v>
      </c>
    </row>
    <row r="4810" spans="1:22">
      <c r="A4810" t="str">
        <f t="shared" si="600"/>
        <v>NDE-8504-R</v>
      </c>
      <c r="B4810" s="403" t="s">
        <v>1410</v>
      </c>
      <c r="C4810" s="403" t="s">
        <v>582</v>
      </c>
      <c r="D4810" s="403" t="s">
        <v>1418</v>
      </c>
      <c r="E4810" s="403" t="s">
        <v>1413</v>
      </c>
      <c r="F4810" s="403" t="s">
        <v>1325</v>
      </c>
      <c r="G4810" s="403" t="s">
        <v>1467</v>
      </c>
      <c r="H4810" s="403" t="s">
        <v>1276</v>
      </c>
      <c r="I4810" s="403">
        <v>1</v>
      </c>
      <c r="J4810" s="403" t="s">
        <v>1324</v>
      </c>
      <c r="K4810" s="403">
        <v>2016</v>
      </c>
      <c r="L4810" s="403">
        <v>3584</v>
      </c>
      <c r="M4810" s="403" t="s">
        <v>1364</v>
      </c>
      <c r="N4810" s="403">
        <v>2016</v>
      </c>
      <c r="O4810" s="403">
        <v>3584</v>
      </c>
      <c r="P4810" t="str">
        <f t="shared" si="601"/>
        <v>25fps 3584x2016 - 3584x2016 @ SKIP6</v>
      </c>
      <c r="Q4810">
        <f t="shared" si="602"/>
        <v>21</v>
      </c>
      <c r="R4810" t="str">
        <f t="shared" si="603"/>
        <v/>
      </c>
      <c r="S4810" t="str">
        <f t="shared" si="604"/>
        <v/>
      </c>
      <c r="T4810" s="403" t="str">
        <f t="shared" si="605"/>
        <v>NDE-8504-R</v>
      </c>
      <c r="U4810" s="403">
        <f t="shared" si="606"/>
        <v>1</v>
      </c>
      <c r="V4810" s="403" t="str">
        <f t="shared" si="607"/>
        <v>CPP_7_3</v>
      </c>
    </row>
    <row r="4811" spans="1:22">
      <c r="A4811" t="str">
        <f t="shared" si="600"/>
        <v>NDE-8504-R</v>
      </c>
      <c r="B4811" s="403" t="s">
        <v>1410</v>
      </c>
      <c r="C4811" s="403" t="s">
        <v>582</v>
      </c>
      <c r="D4811" s="403" t="s">
        <v>1418</v>
      </c>
      <c r="E4811" s="403" t="s">
        <v>1413</v>
      </c>
      <c r="F4811" s="403" t="s">
        <v>1325</v>
      </c>
      <c r="G4811" s="403" t="s">
        <v>1467</v>
      </c>
      <c r="H4811" s="403" t="s">
        <v>1276</v>
      </c>
      <c r="I4811" s="403">
        <v>1</v>
      </c>
      <c r="J4811" s="403" t="s">
        <v>1324</v>
      </c>
      <c r="K4811" s="403">
        <v>2016</v>
      </c>
      <c r="L4811" s="403">
        <v>3584</v>
      </c>
      <c r="M4811" s="403" t="s">
        <v>109</v>
      </c>
      <c r="N4811" s="403">
        <v>720</v>
      </c>
      <c r="O4811" s="403">
        <v>1280</v>
      </c>
      <c r="P4811" t="str">
        <f t="shared" si="601"/>
        <v>25fps 3584x2016 - 720p</v>
      </c>
      <c r="Q4811">
        <f t="shared" si="602"/>
        <v>21</v>
      </c>
      <c r="R4811" t="str">
        <f t="shared" si="603"/>
        <v/>
      </c>
      <c r="S4811" t="str">
        <f t="shared" si="604"/>
        <v/>
      </c>
      <c r="T4811" s="403" t="str">
        <f t="shared" si="605"/>
        <v>NDE-8504-R</v>
      </c>
      <c r="U4811" s="403">
        <f t="shared" si="606"/>
        <v>1</v>
      </c>
      <c r="V4811" s="403" t="str">
        <f t="shared" si="607"/>
        <v>CPP_7_3</v>
      </c>
    </row>
    <row r="4812" spans="1:22">
      <c r="A4812" t="str">
        <f t="shared" si="600"/>
        <v>NDE-8504-R</v>
      </c>
      <c r="B4812" s="403" t="s">
        <v>1410</v>
      </c>
      <c r="C4812" s="403" t="s">
        <v>582</v>
      </c>
      <c r="D4812" s="403" t="s">
        <v>1418</v>
      </c>
      <c r="E4812" s="403" t="s">
        <v>1413</v>
      </c>
      <c r="F4812" s="403" t="s">
        <v>1325</v>
      </c>
      <c r="G4812" s="403" t="s">
        <v>1467</v>
      </c>
      <c r="H4812" s="403" t="s">
        <v>1276</v>
      </c>
      <c r="I4812" s="403">
        <v>1</v>
      </c>
      <c r="J4812" s="403" t="s">
        <v>1324</v>
      </c>
      <c r="K4812" s="403">
        <v>2016</v>
      </c>
      <c r="L4812" s="403">
        <v>3584</v>
      </c>
      <c r="M4812" s="403" t="s">
        <v>1283</v>
      </c>
      <c r="N4812" s="403">
        <v>576</v>
      </c>
      <c r="O4812" s="403">
        <v>720</v>
      </c>
      <c r="P4812" t="str">
        <f t="shared" si="601"/>
        <v>25fps 3584x2016 - SD 4CIF resolution 4:3 format (cropped)</v>
      </c>
      <c r="Q4812">
        <f t="shared" si="602"/>
        <v>21</v>
      </c>
      <c r="R4812" t="str">
        <f t="shared" si="603"/>
        <v/>
      </c>
      <c r="S4812" t="str">
        <f t="shared" si="604"/>
        <v/>
      </c>
      <c r="T4812" s="403" t="str">
        <f t="shared" si="605"/>
        <v>NDE-8504-R</v>
      </c>
      <c r="U4812" s="403">
        <f t="shared" si="606"/>
        <v>1</v>
      </c>
      <c r="V4812" s="403" t="str">
        <f t="shared" si="607"/>
        <v>CPP_7_3</v>
      </c>
    </row>
    <row r="4813" spans="1:22">
      <c r="A4813" t="str">
        <f t="shared" si="600"/>
        <v>NDE-8504-R</v>
      </c>
      <c r="B4813" s="403" t="s">
        <v>1410</v>
      </c>
      <c r="C4813" s="403" t="s">
        <v>582</v>
      </c>
      <c r="D4813" s="403" t="s">
        <v>1418</v>
      </c>
      <c r="E4813" s="403" t="s">
        <v>1413</v>
      </c>
      <c r="F4813" s="403" t="s">
        <v>1325</v>
      </c>
      <c r="G4813" s="403" t="s">
        <v>1467</v>
      </c>
      <c r="H4813" s="403" t="s">
        <v>1276</v>
      </c>
      <c r="I4813" s="403">
        <v>1</v>
      </c>
      <c r="J4813" s="403" t="s">
        <v>1324</v>
      </c>
      <c r="K4813" s="403">
        <v>2016</v>
      </c>
      <c r="L4813" s="403">
        <v>3584</v>
      </c>
      <c r="M4813" s="403" t="s">
        <v>1279</v>
      </c>
      <c r="N4813" s="403">
        <v>432</v>
      </c>
      <c r="O4813" s="403">
        <v>768</v>
      </c>
      <c r="P4813" t="str">
        <f t="shared" si="601"/>
        <v>25fps 3584x2016 - SD ROI PTZ</v>
      </c>
      <c r="Q4813">
        <f t="shared" si="602"/>
        <v>21</v>
      </c>
      <c r="R4813" t="str">
        <f t="shared" si="603"/>
        <v/>
      </c>
      <c r="S4813" t="str">
        <f t="shared" si="604"/>
        <v/>
      </c>
      <c r="T4813" s="403" t="str">
        <f t="shared" si="605"/>
        <v>NDE-8504-R</v>
      </c>
      <c r="U4813" s="403">
        <f t="shared" si="606"/>
        <v>1</v>
      </c>
      <c r="V4813" s="403" t="str">
        <f t="shared" si="607"/>
        <v>CPP_7_3</v>
      </c>
    </row>
    <row r="4814" spans="1:22">
      <c r="A4814" t="str">
        <f t="shared" si="600"/>
        <v>NDE-8504-R</v>
      </c>
      <c r="B4814" s="403" t="s">
        <v>1410</v>
      </c>
      <c r="C4814" s="403" t="s">
        <v>582</v>
      </c>
      <c r="D4814" s="403" t="s">
        <v>1418</v>
      </c>
      <c r="E4814" s="403" t="s">
        <v>1413</v>
      </c>
      <c r="F4814" s="403" t="s">
        <v>1325</v>
      </c>
      <c r="G4814" s="403" t="s">
        <v>1467</v>
      </c>
      <c r="H4814" s="403" t="s">
        <v>1276</v>
      </c>
      <c r="I4814" s="403">
        <v>1</v>
      </c>
      <c r="J4814" s="403" t="s">
        <v>1324</v>
      </c>
      <c r="K4814" s="403">
        <v>2016</v>
      </c>
      <c r="L4814" s="403">
        <v>3584</v>
      </c>
      <c r="M4814" s="403" t="s">
        <v>1284</v>
      </c>
      <c r="N4814" s="403">
        <v>480</v>
      </c>
      <c r="O4814" s="403">
        <v>640</v>
      </c>
      <c r="P4814" t="str">
        <f t="shared" si="601"/>
        <v>25fps 3584x2016 - SD VGA (cropped)</v>
      </c>
      <c r="Q4814">
        <f t="shared" si="602"/>
        <v>21</v>
      </c>
      <c r="R4814" t="str">
        <f t="shared" si="603"/>
        <v/>
      </c>
      <c r="S4814" t="str">
        <f t="shared" si="604"/>
        <v/>
      </c>
      <c r="T4814" s="403" t="str">
        <f t="shared" si="605"/>
        <v>NDE-8504-R</v>
      </c>
      <c r="U4814" s="403">
        <f t="shared" si="606"/>
        <v>1</v>
      </c>
      <c r="V4814" s="403" t="str">
        <f t="shared" si="607"/>
        <v>CPP_7_3</v>
      </c>
    </row>
    <row r="4815" spans="1:22">
      <c r="A4815" t="str">
        <f t="shared" si="600"/>
        <v>NDE-8504-R</v>
      </c>
      <c r="B4815" s="403" t="s">
        <v>1410</v>
      </c>
      <c r="C4815" s="403" t="s">
        <v>582</v>
      </c>
      <c r="D4815" s="403" t="s">
        <v>1418</v>
      </c>
      <c r="E4815" s="403" t="s">
        <v>1413</v>
      </c>
      <c r="F4815" s="403" t="s">
        <v>1325</v>
      </c>
      <c r="G4815" s="403" t="s">
        <v>1467</v>
      </c>
      <c r="H4815" s="403" t="s">
        <v>1276</v>
      </c>
      <c r="I4815" s="403">
        <v>1</v>
      </c>
      <c r="J4815" s="403" t="s">
        <v>1324</v>
      </c>
      <c r="K4815" s="403">
        <v>2016</v>
      </c>
      <c r="L4815" s="403">
        <v>3584</v>
      </c>
      <c r="M4815" s="403" t="s">
        <v>1285</v>
      </c>
      <c r="N4815" s="403">
        <v>1024</v>
      </c>
      <c r="O4815" s="403">
        <v>1280</v>
      </c>
      <c r="P4815" t="str">
        <f t="shared" si="601"/>
        <v>25fps 3584x2016 - 1280x1024 5:4 (cropped)</v>
      </c>
      <c r="Q4815">
        <f t="shared" si="602"/>
        <v>21</v>
      </c>
      <c r="R4815" t="str">
        <f t="shared" si="603"/>
        <v/>
      </c>
      <c r="S4815" t="str">
        <f t="shared" si="604"/>
        <v/>
      </c>
      <c r="T4815" s="403" t="str">
        <f t="shared" si="605"/>
        <v>NDE-8504-R</v>
      </c>
      <c r="U4815" s="403">
        <f t="shared" si="606"/>
        <v>1</v>
      </c>
      <c r="V4815" s="403" t="str">
        <f t="shared" si="607"/>
        <v>CPP_7_3</v>
      </c>
    </row>
    <row r="4816" spans="1:22">
      <c r="A4816" t="str">
        <f t="shared" si="600"/>
        <v>NDE-8504-R</v>
      </c>
      <c r="B4816" s="403" t="s">
        <v>1410</v>
      </c>
      <c r="C4816" s="403" t="s">
        <v>582</v>
      </c>
      <c r="D4816" s="403" t="s">
        <v>1418</v>
      </c>
      <c r="E4816" s="403" t="s">
        <v>1413</v>
      </c>
      <c r="F4816" s="403" t="s">
        <v>1325</v>
      </c>
      <c r="G4816" s="403" t="s">
        <v>1467</v>
      </c>
      <c r="H4816" s="403" t="s">
        <v>1276</v>
      </c>
      <c r="I4816" s="403">
        <v>1</v>
      </c>
      <c r="J4816" s="403" t="s">
        <v>110</v>
      </c>
      <c r="K4816" s="403">
        <v>1080</v>
      </c>
      <c r="L4816" s="403">
        <v>1920</v>
      </c>
      <c r="M4816" s="403" t="s">
        <v>111</v>
      </c>
      <c r="N4816" s="403">
        <v>432</v>
      </c>
      <c r="O4816" s="403">
        <v>768</v>
      </c>
      <c r="P4816" t="str">
        <f t="shared" si="601"/>
        <v>25fps 1080p - SD</v>
      </c>
      <c r="Q4816">
        <f t="shared" si="602"/>
        <v>21</v>
      </c>
      <c r="R4816" t="str">
        <f t="shared" si="603"/>
        <v/>
      </c>
      <c r="S4816" t="str">
        <f t="shared" si="604"/>
        <v/>
      </c>
      <c r="T4816" s="403" t="str">
        <f t="shared" si="605"/>
        <v>NDE-8504-R</v>
      </c>
      <c r="U4816" s="403">
        <f t="shared" si="606"/>
        <v>1</v>
      </c>
      <c r="V4816" s="403" t="str">
        <f t="shared" si="607"/>
        <v>CPP_7_3</v>
      </c>
    </row>
    <row r="4817" spans="1:22">
      <c r="A4817" t="str">
        <f t="shared" si="600"/>
        <v>NDE-8504-R</v>
      </c>
      <c r="B4817" s="403" t="s">
        <v>1410</v>
      </c>
      <c r="C4817" s="403" t="s">
        <v>582</v>
      </c>
      <c r="D4817" s="403" t="s">
        <v>1418</v>
      </c>
      <c r="E4817" s="403" t="s">
        <v>1413</v>
      </c>
      <c r="F4817" s="403" t="s">
        <v>1325</v>
      </c>
      <c r="G4817" s="403" t="s">
        <v>1467</v>
      </c>
      <c r="H4817" s="403" t="s">
        <v>1276</v>
      </c>
      <c r="I4817" s="403">
        <v>1</v>
      </c>
      <c r="J4817" s="403" t="s">
        <v>110</v>
      </c>
      <c r="K4817" s="403">
        <v>1080</v>
      </c>
      <c r="L4817" s="403">
        <v>1920</v>
      </c>
      <c r="M4817" s="403" t="s">
        <v>110</v>
      </c>
      <c r="N4817" s="403">
        <v>1080</v>
      </c>
      <c r="O4817" s="403">
        <v>1920</v>
      </c>
      <c r="P4817" t="str">
        <f t="shared" si="601"/>
        <v>25fps 1080p - 1080p</v>
      </c>
      <c r="Q4817">
        <f t="shared" si="602"/>
        <v>21</v>
      </c>
      <c r="R4817" t="str">
        <f t="shared" si="603"/>
        <v/>
      </c>
      <c r="S4817" t="str">
        <f t="shared" si="604"/>
        <v/>
      </c>
      <c r="T4817" s="403" t="str">
        <f t="shared" si="605"/>
        <v>NDE-8504-R</v>
      </c>
      <c r="U4817" s="403">
        <f t="shared" si="606"/>
        <v>1</v>
      </c>
      <c r="V4817" s="403" t="str">
        <f t="shared" si="607"/>
        <v>CPP_7_3</v>
      </c>
    </row>
    <row r="4818" spans="1:22">
      <c r="A4818" t="str">
        <f t="shared" si="600"/>
        <v>NDE-8504-R</v>
      </c>
      <c r="B4818" s="403" t="s">
        <v>1410</v>
      </c>
      <c r="C4818" s="403" t="s">
        <v>582</v>
      </c>
      <c r="D4818" s="403" t="s">
        <v>1418</v>
      </c>
      <c r="E4818" s="403" t="s">
        <v>1413</v>
      </c>
      <c r="F4818" s="403" t="s">
        <v>1325</v>
      </c>
      <c r="G4818" s="403" t="s">
        <v>1467</v>
      </c>
      <c r="H4818" s="403" t="s">
        <v>1276</v>
      </c>
      <c r="I4818" s="403">
        <v>1</v>
      </c>
      <c r="J4818" s="403" t="s">
        <v>110</v>
      </c>
      <c r="K4818" s="403">
        <v>1080</v>
      </c>
      <c r="L4818" s="403">
        <v>1920</v>
      </c>
      <c r="M4818" s="403" t="s">
        <v>109</v>
      </c>
      <c r="N4818" s="403">
        <v>720</v>
      </c>
      <c r="O4818" s="403">
        <v>1280</v>
      </c>
      <c r="P4818" t="str">
        <f t="shared" si="601"/>
        <v>25fps 1080p - 720p</v>
      </c>
      <c r="Q4818">
        <f t="shared" si="602"/>
        <v>21</v>
      </c>
      <c r="R4818" t="str">
        <f t="shared" si="603"/>
        <v/>
      </c>
      <c r="S4818" t="str">
        <f t="shared" si="604"/>
        <v/>
      </c>
      <c r="T4818" s="403" t="str">
        <f t="shared" si="605"/>
        <v>NDE-8504-R</v>
      </c>
      <c r="U4818" s="403">
        <f t="shared" si="606"/>
        <v>1</v>
      </c>
      <c r="V4818" s="403" t="str">
        <f t="shared" si="607"/>
        <v>CPP_7_3</v>
      </c>
    </row>
    <row r="4819" spans="1:22">
      <c r="A4819" t="str">
        <f t="shared" si="600"/>
        <v>NDE-8504-R</v>
      </c>
      <c r="B4819" s="403" t="s">
        <v>1410</v>
      </c>
      <c r="C4819" s="403" t="s">
        <v>582</v>
      </c>
      <c r="D4819" s="403" t="s">
        <v>1418</v>
      </c>
      <c r="E4819" s="403" t="s">
        <v>1413</v>
      </c>
      <c r="F4819" s="403" t="s">
        <v>1325</v>
      </c>
      <c r="G4819" s="403" t="s">
        <v>1467</v>
      </c>
      <c r="H4819" s="403" t="s">
        <v>1276</v>
      </c>
      <c r="I4819" s="403">
        <v>1</v>
      </c>
      <c r="J4819" s="403" t="s">
        <v>110</v>
      </c>
      <c r="K4819" s="403">
        <v>1080</v>
      </c>
      <c r="L4819" s="403">
        <v>1920</v>
      </c>
      <c r="M4819" s="403" t="s">
        <v>1285</v>
      </c>
      <c r="N4819" s="403">
        <v>1024</v>
      </c>
      <c r="O4819" s="403">
        <v>1280</v>
      </c>
      <c r="P4819" t="str">
        <f t="shared" si="601"/>
        <v>25fps 1080p - 1280x1024 5:4 (cropped)</v>
      </c>
      <c r="Q4819">
        <f t="shared" si="602"/>
        <v>21</v>
      </c>
      <c r="R4819" t="str">
        <f t="shared" si="603"/>
        <v/>
      </c>
      <c r="S4819" t="str">
        <f t="shared" si="604"/>
        <v/>
      </c>
      <c r="T4819" s="403" t="str">
        <f t="shared" si="605"/>
        <v>NDE-8504-R</v>
      </c>
      <c r="U4819" s="403">
        <f t="shared" si="606"/>
        <v>1</v>
      </c>
      <c r="V4819" s="403" t="str">
        <f t="shared" si="607"/>
        <v>CPP_7_3</v>
      </c>
    </row>
    <row r="4820" spans="1:22">
      <c r="A4820" t="str">
        <f t="shared" si="600"/>
        <v>NDE-8504-R</v>
      </c>
      <c r="B4820" s="403" t="s">
        <v>1410</v>
      </c>
      <c r="C4820" s="403" t="s">
        <v>582</v>
      </c>
      <c r="D4820" s="403" t="s">
        <v>1418</v>
      </c>
      <c r="E4820" s="403" t="s">
        <v>1413</v>
      </c>
      <c r="F4820" s="403" t="s">
        <v>1325</v>
      </c>
      <c r="G4820" s="403" t="s">
        <v>1467</v>
      </c>
      <c r="H4820" s="403" t="s">
        <v>1276</v>
      </c>
      <c r="I4820" s="403">
        <v>1</v>
      </c>
      <c r="J4820" s="403" t="s">
        <v>110</v>
      </c>
      <c r="K4820" s="403">
        <v>1080</v>
      </c>
      <c r="L4820" s="403">
        <v>1920</v>
      </c>
      <c r="M4820" s="403" t="s">
        <v>1279</v>
      </c>
      <c r="N4820" s="403">
        <v>432</v>
      </c>
      <c r="O4820" s="403">
        <v>768</v>
      </c>
      <c r="P4820" t="str">
        <f t="shared" si="601"/>
        <v>25fps 1080p - SD ROI PTZ</v>
      </c>
      <c r="Q4820">
        <f t="shared" si="602"/>
        <v>21</v>
      </c>
      <c r="R4820" t="str">
        <f t="shared" si="603"/>
        <v/>
      </c>
      <c r="S4820" t="str">
        <f t="shared" si="604"/>
        <v/>
      </c>
      <c r="T4820" s="403" t="str">
        <f t="shared" si="605"/>
        <v>NDE-8504-R</v>
      </c>
      <c r="U4820" s="403">
        <f t="shared" si="606"/>
        <v>1</v>
      </c>
      <c r="V4820" s="403" t="str">
        <f t="shared" si="607"/>
        <v>CPP_7_3</v>
      </c>
    </row>
    <row r="4821" spans="1:22">
      <c r="A4821" t="str">
        <f t="shared" si="600"/>
        <v>NDE-8504-R</v>
      </c>
      <c r="B4821" s="403" t="s">
        <v>1410</v>
      </c>
      <c r="C4821" s="403" t="s">
        <v>582</v>
      </c>
      <c r="D4821" s="403" t="s">
        <v>1418</v>
      </c>
      <c r="E4821" s="403" t="s">
        <v>1413</v>
      </c>
      <c r="F4821" s="403" t="s">
        <v>1325</v>
      </c>
      <c r="G4821" s="403" t="s">
        <v>1467</v>
      </c>
      <c r="H4821" s="403" t="s">
        <v>1276</v>
      </c>
      <c r="I4821" s="403">
        <v>1</v>
      </c>
      <c r="J4821" s="403" t="s">
        <v>110</v>
      </c>
      <c r="K4821" s="403">
        <v>1080</v>
      </c>
      <c r="L4821" s="403">
        <v>1920</v>
      </c>
      <c r="M4821" s="403" t="s">
        <v>1283</v>
      </c>
      <c r="N4821" s="403">
        <v>576</v>
      </c>
      <c r="O4821" s="403">
        <v>720</v>
      </c>
      <c r="P4821" t="str">
        <f t="shared" si="601"/>
        <v>25fps 1080p - SD 4CIF resolution 4:3 format (cropped)</v>
      </c>
      <c r="Q4821">
        <f t="shared" si="602"/>
        <v>21</v>
      </c>
      <c r="R4821" t="str">
        <f t="shared" si="603"/>
        <v/>
      </c>
      <c r="S4821" t="str">
        <f t="shared" si="604"/>
        <v/>
      </c>
      <c r="T4821" s="403" t="str">
        <f t="shared" si="605"/>
        <v>NDE-8504-R</v>
      </c>
      <c r="U4821" s="403">
        <f t="shared" si="606"/>
        <v>1</v>
      </c>
      <c r="V4821" s="403" t="str">
        <f t="shared" si="607"/>
        <v>CPP_7_3</v>
      </c>
    </row>
    <row r="4822" spans="1:22">
      <c r="A4822" t="str">
        <f t="shared" si="600"/>
        <v>NDE-8504-R</v>
      </c>
      <c r="B4822" s="403" t="s">
        <v>1410</v>
      </c>
      <c r="C4822" s="403" t="s">
        <v>582</v>
      </c>
      <c r="D4822" s="403" t="s">
        <v>1418</v>
      </c>
      <c r="E4822" s="403" t="s">
        <v>1413</v>
      </c>
      <c r="F4822" s="403" t="s">
        <v>1325</v>
      </c>
      <c r="G4822" s="403" t="s">
        <v>1467</v>
      </c>
      <c r="H4822" s="403" t="s">
        <v>1276</v>
      </c>
      <c r="I4822" s="403">
        <v>1</v>
      </c>
      <c r="J4822" s="403" t="s">
        <v>110</v>
      </c>
      <c r="K4822" s="403">
        <v>1080</v>
      </c>
      <c r="L4822" s="403">
        <v>1920</v>
      </c>
      <c r="M4822" s="403" t="s">
        <v>1284</v>
      </c>
      <c r="N4822" s="403">
        <v>480</v>
      </c>
      <c r="O4822" s="403">
        <v>640</v>
      </c>
      <c r="P4822" t="str">
        <f t="shared" si="601"/>
        <v>25fps 1080p - SD VGA (cropped)</v>
      </c>
      <c r="Q4822">
        <f t="shared" si="602"/>
        <v>21</v>
      </c>
      <c r="R4822" t="str">
        <f t="shared" si="603"/>
        <v/>
      </c>
      <c r="S4822" t="str">
        <f t="shared" si="604"/>
        <v/>
      </c>
      <c r="T4822" s="403" t="str">
        <f t="shared" si="605"/>
        <v>NDE-8504-R</v>
      </c>
      <c r="U4822" s="403">
        <f t="shared" si="606"/>
        <v>1</v>
      </c>
      <c r="V4822" s="403" t="str">
        <f t="shared" si="607"/>
        <v>CPP_7_3</v>
      </c>
    </row>
    <row r="4823" spans="1:22">
      <c r="A4823" t="str">
        <f t="shared" si="600"/>
        <v>NDE-8504-R</v>
      </c>
      <c r="B4823" s="403" t="s">
        <v>1410</v>
      </c>
      <c r="C4823" s="403" t="s">
        <v>582</v>
      </c>
      <c r="D4823" s="403" t="s">
        <v>1418</v>
      </c>
      <c r="E4823" s="403" t="s">
        <v>1413</v>
      </c>
      <c r="F4823" s="403" t="s">
        <v>1325</v>
      </c>
      <c r="G4823" s="403" t="s">
        <v>1467</v>
      </c>
      <c r="H4823" s="403" t="s">
        <v>1276</v>
      </c>
      <c r="I4823" s="403">
        <v>1</v>
      </c>
      <c r="J4823" s="403" t="s">
        <v>109</v>
      </c>
      <c r="K4823" s="403">
        <v>720</v>
      </c>
      <c r="L4823" s="403">
        <v>1280</v>
      </c>
      <c r="M4823" s="403" t="s">
        <v>109</v>
      </c>
      <c r="N4823" s="403">
        <v>720</v>
      </c>
      <c r="O4823" s="403">
        <v>1280</v>
      </c>
      <c r="P4823" t="str">
        <f t="shared" si="601"/>
        <v>25fps 720p - 720p</v>
      </c>
      <c r="Q4823">
        <f t="shared" si="602"/>
        <v>21</v>
      </c>
      <c r="R4823" t="str">
        <f t="shared" si="603"/>
        <v/>
      </c>
      <c r="S4823" t="str">
        <f t="shared" si="604"/>
        <v/>
      </c>
      <c r="T4823" s="403" t="str">
        <f t="shared" si="605"/>
        <v>NDE-8504-R</v>
      </c>
      <c r="U4823" s="403">
        <f t="shared" si="606"/>
        <v>1</v>
      </c>
      <c r="V4823" s="403" t="str">
        <f t="shared" si="607"/>
        <v>CPP_7_3</v>
      </c>
    </row>
    <row r="4824" spans="1:22">
      <c r="A4824" t="str">
        <f t="shared" si="600"/>
        <v>NDE-8504-R</v>
      </c>
      <c r="B4824" s="403" t="s">
        <v>1410</v>
      </c>
      <c r="C4824" s="403" t="s">
        <v>582</v>
      </c>
      <c r="D4824" s="403" t="s">
        <v>1418</v>
      </c>
      <c r="E4824" s="403" t="s">
        <v>1413</v>
      </c>
      <c r="F4824" s="403" t="s">
        <v>1325</v>
      </c>
      <c r="G4824" s="403" t="s">
        <v>1467</v>
      </c>
      <c r="H4824" s="403" t="s">
        <v>1276</v>
      </c>
      <c r="I4824" s="403">
        <v>1</v>
      </c>
      <c r="J4824" s="403" t="s">
        <v>109</v>
      </c>
      <c r="K4824" s="403">
        <v>720</v>
      </c>
      <c r="L4824" s="403">
        <v>1280</v>
      </c>
      <c r="M4824" s="403" t="s">
        <v>111</v>
      </c>
      <c r="N4824" s="403">
        <v>432</v>
      </c>
      <c r="O4824" s="403">
        <v>768</v>
      </c>
      <c r="P4824" t="str">
        <f t="shared" si="601"/>
        <v>25fps 720p - SD</v>
      </c>
      <c r="Q4824">
        <f t="shared" si="602"/>
        <v>21</v>
      </c>
      <c r="R4824" t="str">
        <f t="shared" si="603"/>
        <v/>
      </c>
      <c r="S4824" t="str">
        <f t="shared" si="604"/>
        <v/>
      </c>
      <c r="T4824" s="403" t="str">
        <f t="shared" si="605"/>
        <v>NDE-8504-R</v>
      </c>
      <c r="U4824" s="403">
        <f t="shared" si="606"/>
        <v>1</v>
      </c>
      <c r="V4824" s="403" t="str">
        <f t="shared" si="607"/>
        <v>CPP_7_3</v>
      </c>
    </row>
    <row r="4825" spans="1:22">
      <c r="A4825" t="str">
        <f t="shared" si="600"/>
        <v>NDE-8504-R</v>
      </c>
      <c r="B4825" s="403" t="s">
        <v>1410</v>
      </c>
      <c r="C4825" s="403" t="s">
        <v>582</v>
      </c>
      <c r="D4825" s="403" t="s">
        <v>1418</v>
      </c>
      <c r="E4825" s="403" t="s">
        <v>1413</v>
      </c>
      <c r="F4825" s="403" t="s">
        <v>1325</v>
      </c>
      <c r="G4825" s="403" t="s">
        <v>1467</v>
      </c>
      <c r="H4825" s="403" t="s">
        <v>1276</v>
      </c>
      <c r="I4825" s="403">
        <v>1</v>
      </c>
      <c r="J4825" s="403" t="s">
        <v>109</v>
      </c>
      <c r="K4825" s="403">
        <v>720</v>
      </c>
      <c r="L4825" s="403">
        <v>1280</v>
      </c>
      <c r="M4825" s="403" t="s">
        <v>1279</v>
      </c>
      <c r="N4825" s="403">
        <v>432</v>
      </c>
      <c r="O4825" s="403">
        <v>768</v>
      </c>
      <c r="P4825" t="str">
        <f t="shared" si="601"/>
        <v>25fps 720p - SD ROI PTZ</v>
      </c>
      <c r="Q4825">
        <f t="shared" si="602"/>
        <v>21</v>
      </c>
      <c r="R4825" t="str">
        <f t="shared" si="603"/>
        <v/>
      </c>
      <c r="S4825" t="str">
        <f t="shared" si="604"/>
        <v/>
      </c>
      <c r="T4825" s="403" t="str">
        <f t="shared" si="605"/>
        <v>NDE-8504-R</v>
      </c>
      <c r="U4825" s="403">
        <f t="shared" si="606"/>
        <v>1</v>
      </c>
      <c r="V4825" s="403" t="str">
        <f t="shared" si="607"/>
        <v>CPP_7_3</v>
      </c>
    </row>
    <row r="4826" spans="1:22">
      <c r="A4826" t="str">
        <f t="shared" si="600"/>
        <v>NDE-8504-R</v>
      </c>
      <c r="B4826" s="403" t="s">
        <v>1410</v>
      </c>
      <c r="C4826" s="403" t="s">
        <v>582</v>
      </c>
      <c r="D4826" s="403" t="s">
        <v>1418</v>
      </c>
      <c r="E4826" s="403" t="s">
        <v>1413</v>
      </c>
      <c r="F4826" s="403" t="s">
        <v>1325</v>
      </c>
      <c r="G4826" s="403" t="s">
        <v>1467</v>
      </c>
      <c r="H4826" s="403" t="s">
        <v>1276</v>
      </c>
      <c r="I4826" s="403">
        <v>1</v>
      </c>
      <c r="J4826" s="403" t="s">
        <v>109</v>
      </c>
      <c r="K4826" s="403">
        <v>720</v>
      </c>
      <c r="L4826" s="403">
        <v>1280</v>
      </c>
      <c r="M4826" s="403" t="s">
        <v>1283</v>
      </c>
      <c r="N4826" s="403">
        <v>576</v>
      </c>
      <c r="O4826" s="403">
        <v>720</v>
      </c>
      <c r="P4826" t="str">
        <f t="shared" si="601"/>
        <v>25fps 720p - SD 4CIF resolution 4:3 format (cropped)</v>
      </c>
      <c r="Q4826">
        <f t="shared" si="602"/>
        <v>21</v>
      </c>
      <c r="R4826" t="str">
        <f t="shared" si="603"/>
        <v/>
      </c>
      <c r="S4826" t="str">
        <f t="shared" si="604"/>
        <v/>
      </c>
      <c r="T4826" s="403" t="str">
        <f t="shared" si="605"/>
        <v>NDE-8504-R</v>
      </c>
      <c r="U4826" s="403">
        <f t="shared" si="606"/>
        <v>1</v>
      </c>
      <c r="V4826" s="403" t="str">
        <f t="shared" si="607"/>
        <v>CPP_7_3</v>
      </c>
    </row>
    <row r="4827" spans="1:22">
      <c r="A4827" t="str">
        <f t="shared" si="600"/>
        <v>NDE-8504-R</v>
      </c>
      <c r="B4827" s="403" t="s">
        <v>1410</v>
      </c>
      <c r="C4827" s="403" t="s">
        <v>582</v>
      </c>
      <c r="D4827" s="403" t="s">
        <v>1418</v>
      </c>
      <c r="E4827" s="403" t="s">
        <v>1413</v>
      </c>
      <c r="F4827" s="403" t="s">
        <v>1325</v>
      </c>
      <c r="G4827" s="403" t="s">
        <v>1467</v>
      </c>
      <c r="H4827" s="403" t="s">
        <v>1276</v>
      </c>
      <c r="I4827" s="403">
        <v>1</v>
      </c>
      <c r="J4827" s="403" t="s">
        <v>109</v>
      </c>
      <c r="K4827" s="403">
        <v>720</v>
      </c>
      <c r="L4827" s="403">
        <v>1280</v>
      </c>
      <c r="M4827" s="403" t="s">
        <v>1284</v>
      </c>
      <c r="N4827" s="403">
        <v>480</v>
      </c>
      <c r="O4827" s="403">
        <v>640</v>
      </c>
      <c r="P4827" t="str">
        <f t="shared" si="601"/>
        <v>25fps 720p - SD VGA (cropped)</v>
      </c>
      <c r="Q4827">
        <f t="shared" si="602"/>
        <v>21</v>
      </c>
      <c r="R4827" t="str">
        <f t="shared" si="603"/>
        <v/>
      </c>
      <c r="S4827" t="str">
        <f t="shared" si="604"/>
        <v/>
      </c>
      <c r="T4827" s="403" t="str">
        <f t="shared" si="605"/>
        <v>NDE-8504-R</v>
      </c>
      <c r="U4827" s="403">
        <f t="shared" si="606"/>
        <v>1</v>
      </c>
      <c r="V4827" s="403" t="str">
        <f t="shared" si="607"/>
        <v>CPP_7_3</v>
      </c>
    </row>
    <row r="4828" spans="1:22">
      <c r="A4828" t="str">
        <f t="shared" si="600"/>
        <v>NDE-8504-R</v>
      </c>
      <c r="B4828" s="403" t="s">
        <v>1410</v>
      </c>
      <c r="C4828" s="403" t="s">
        <v>582</v>
      </c>
      <c r="D4828" s="403" t="s">
        <v>1418</v>
      </c>
      <c r="E4828" s="403" t="s">
        <v>1413</v>
      </c>
      <c r="F4828" s="403" t="s">
        <v>1325</v>
      </c>
      <c r="G4828" s="403" t="s">
        <v>1467</v>
      </c>
      <c r="H4828" s="403" t="s">
        <v>1281</v>
      </c>
      <c r="I4828" s="403">
        <v>1</v>
      </c>
      <c r="J4828" s="403" t="s">
        <v>194</v>
      </c>
      <c r="K4828" s="403">
        <v>2160</v>
      </c>
      <c r="L4828" s="403">
        <v>3840</v>
      </c>
      <c r="M4828" s="403" t="s">
        <v>111</v>
      </c>
      <c r="N4828" s="403">
        <v>432</v>
      </c>
      <c r="O4828" s="403">
        <v>768</v>
      </c>
      <c r="P4828" t="str">
        <f t="shared" si="601"/>
        <v>25fps 3840x2160 - SD</v>
      </c>
      <c r="Q4828">
        <f t="shared" si="602"/>
        <v>21</v>
      </c>
      <c r="R4828" t="str">
        <f t="shared" si="603"/>
        <v/>
      </c>
      <c r="S4828" t="str">
        <f t="shared" si="604"/>
        <v/>
      </c>
      <c r="T4828" s="403" t="str">
        <f t="shared" si="605"/>
        <v>NDE-8504-R</v>
      </c>
      <c r="U4828" s="403">
        <f t="shared" si="606"/>
        <v>1</v>
      </c>
      <c r="V4828" s="403" t="str">
        <f t="shared" si="607"/>
        <v>CPP_7_3</v>
      </c>
    </row>
    <row r="4829" spans="1:22">
      <c r="A4829" t="str">
        <f t="shared" si="600"/>
        <v>NDE-8504-R</v>
      </c>
      <c r="B4829" s="403" t="s">
        <v>1410</v>
      </c>
      <c r="C4829" s="403" t="s">
        <v>582</v>
      </c>
      <c r="D4829" s="403" t="s">
        <v>1418</v>
      </c>
      <c r="E4829" s="403" t="s">
        <v>1413</v>
      </c>
      <c r="F4829" s="403" t="s">
        <v>1325</v>
      </c>
      <c r="G4829" s="403" t="s">
        <v>1467</v>
      </c>
      <c r="H4829" s="403" t="s">
        <v>1281</v>
      </c>
      <c r="I4829" s="403">
        <v>1</v>
      </c>
      <c r="J4829" s="403" t="s">
        <v>194</v>
      </c>
      <c r="K4829" s="403">
        <v>2160</v>
      </c>
      <c r="L4829" s="403">
        <v>3840</v>
      </c>
      <c r="M4829" s="403" t="s">
        <v>1280</v>
      </c>
      <c r="N4829" s="403">
        <v>2160</v>
      </c>
      <c r="O4829" s="403">
        <v>3840</v>
      </c>
      <c r="P4829" t="str">
        <f t="shared" si="601"/>
        <v>25fps 3840x2160 - copy other stream</v>
      </c>
      <c r="Q4829">
        <f t="shared" si="602"/>
        <v>21</v>
      </c>
      <c r="R4829" t="str">
        <f t="shared" si="603"/>
        <v/>
      </c>
      <c r="S4829" t="str">
        <f t="shared" si="604"/>
        <v/>
      </c>
      <c r="T4829" s="403" t="str">
        <f t="shared" si="605"/>
        <v>NDE-8504-R</v>
      </c>
      <c r="U4829" s="403">
        <f t="shared" si="606"/>
        <v>1</v>
      </c>
      <c r="V4829" s="403" t="str">
        <f t="shared" si="607"/>
        <v>CPP_7_3</v>
      </c>
    </row>
    <row r="4830" spans="1:22">
      <c r="A4830" t="str">
        <f t="shared" si="600"/>
        <v>NDE-8504-R</v>
      </c>
      <c r="B4830" s="403" t="s">
        <v>1410</v>
      </c>
      <c r="C4830" s="403" t="s">
        <v>582</v>
      </c>
      <c r="D4830" s="403" t="s">
        <v>1418</v>
      </c>
      <c r="E4830" s="403" t="s">
        <v>1413</v>
      </c>
      <c r="F4830" s="403" t="s">
        <v>1325</v>
      </c>
      <c r="G4830" s="403" t="s">
        <v>1467</v>
      </c>
      <c r="H4830" s="403" t="s">
        <v>1281</v>
      </c>
      <c r="I4830" s="403">
        <v>1</v>
      </c>
      <c r="J4830" s="403" t="s">
        <v>194</v>
      </c>
      <c r="K4830" s="403">
        <v>2160</v>
      </c>
      <c r="L4830" s="403">
        <v>3840</v>
      </c>
      <c r="M4830" s="403" t="s">
        <v>1283</v>
      </c>
      <c r="N4830" s="403">
        <v>576</v>
      </c>
      <c r="O4830" s="403">
        <v>720</v>
      </c>
      <c r="P4830" t="str">
        <f t="shared" si="601"/>
        <v>25fps 3840x2160 - SD 4CIF resolution 4:3 format (cropped)</v>
      </c>
      <c r="Q4830">
        <f t="shared" si="602"/>
        <v>21</v>
      </c>
      <c r="R4830" t="str">
        <f t="shared" si="603"/>
        <v/>
      </c>
      <c r="S4830" t="str">
        <f t="shared" si="604"/>
        <v/>
      </c>
      <c r="T4830" s="403" t="str">
        <f t="shared" si="605"/>
        <v>NDE-8504-R</v>
      </c>
      <c r="U4830" s="403">
        <f t="shared" si="606"/>
        <v>1</v>
      </c>
      <c r="V4830" s="403" t="str">
        <f t="shared" si="607"/>
        <v>CPP_7_3</v>
      </c>
    </row>
    <row r="4831" spans="1:22">
      <c r="A4831" t="str">
        <f t="shared" si="600"/>
        <v>NDE-8504-R</v>
      </c>
      <c r="B4831" s="403" t="s">
        <v>1410</v>
      </c>
      <c r="C4831" s="403" t="s">
        <v>582</v>
      </c>
      <c r="D4831" s="403" t="s">
        <v>1418</v>
      </c>
      <c r="E4831" s="403" t="s">
        <v>1413</v>
      </c>
      <c r="F4831" s="403" t="s">
        <v>1325</v>
      </c>
      <c r="G4831" s="403" t="s">
        <v>1467</v>
      </c>
      <c r="H4831" s="403" t="s">
        <v>1281</v>
      </c>
      <c r="I4831" s="403">
        <v>1</v>
      </c>
      <c r="J4831" s="403" t="s">
        <v>194</v>
      </c>
      <c r="K4831" s="403">
        <v>2160</v>
      </c>
      <c r="L4831" s="403">
        <v>3840</v>
      </c>
      <c r="M4831" s="403" t="s">
        <v>1284</v>
      </c>
      <c r="N4831" s="403">
        <v>480</v>
      </c>
      <c r="O4831" s="403">
        <v>640</v>
      </c>
      <c r="P4831" t="str">
        <f t="shared" si="601"/>
        <v>25fps 3840x2160 - SD VGA (cropped)</v>
      </c>
      <c r="Q4831">
        <f t="shared" si="602"/>
        <v>21</v>
      </c>
      <c r="R4831" t="str">
        <f t="shared" si="603"/>
        <v/>
      </c>
      <c r="S4831" t="str">
        <f t="shared" si="604"/>
        <v/>
      </c>
      <c r="T4831" s="403" t="str">
        <f t="shared" si="605"/>
        <v>NDE-8504-R</v>
      </c>
      <c r="U4831" s="403">
        <f t="shared" si="606"/>
        <v>1</v>
      </c>
      <c r="V4831" s="403" t="str">
        <f t="shared" si="607"/>
        <v>CPP_7_3</v>
      </c>
    </row>
    <row r="4832" spans="1:22">
      <c r="A4832" t="str">
        <f t="shared" si="600"/>
        <v>NDE-8504-R</v>
      </c>
      <c r="B4832" s="403" t="s">
        <v>1410</v>
      </c>
      <c r="C4832" s="403" t="s">
        <v>582</v>
      </c>
      <c r="D4832" s="403" t="s">
        <v>1418</v>
      </c>
      <c r="E4832" s="403" t="s">
        <v>1413</v>
      </c>
      <c r="F4832" s="403" t="s">
        <v>1325</v>
      </c>
      <c r="G4832" s="403" t="s">
        <v>1467</v>
      </c>
      <c r="H4832" s="403" t="s">
        <v>1281</v>
      </c>
      <c r="I4832" s="403">
        <v>1</v>
      </c>
      <c r="J4832" s="403" t="s">
        <v>1324</v>
      </c>
      <c r="K4832" s="403">
        <v>2016</v>
      </c>
      <c r="L4832" s="403">
        <v>3584</v>
      </c>
      <c r="M4832" s="403" t="s">
        <v>111</v>
      </c>
      <c r="N4832" s="403">
        <v>432</v>
      </c>
      <c r="O4832" s="403">
        <v>768</v>
      </c>
      <c r="P4832" t="str">
        <f t="shared" si="601"/>
        <v>25fps 3584x2016 - SD</v>
      </c>
      <c r="Q4832">
        <f t="shared" si="602"/>
        <v>21</v>
      </c>
      <c r="R4832" t="str">
        <f t="shared" si="603"/>
        <v/>
      </c>
      <c r="S4832" t="str">
        <f t="shared" si="604"/>
        <v/>
      </c>
      <c r="T4832" s="403" t="str">
        <f t="shared" si="605"/>
        <v>NDE-8504-R</v>
      </c>
      <c r="U4832" s="403">
        <f t="shared" si="606"/>
        <v>1</v>
      </c>
      <c r="V4832" s="403" t="str">
        <f t="shared" si="607"/>
        <v>CPP_7_3</v>
      </c>
    </row>
    <row r="4833" spans="1:22">
      <c r="A4833" t="str">
        <f t="shared" si="600"/>
        <v>NDE-8504-R</v>
      </c>
      <c r="B4833" s="403" t="s">
        <v>1410</v>
      </c>
      <c r="C4833" s="403" t="s">
        <v>582</v>
      </c>
      <c r="D4833" s="403" t="s">
        <v>1418</v>
      </c>
      <c r="E4833" s="403" t="s">
        <v>1413</v>
      </c>
      <c r="F4833" s="403" t="s">
        <v>1325</v>
      </c>
      <c r="G4833" s="403" t="s">
        <v>1467</v>
      </c>
      <c r="H4833" s="403" t="s">
        <v>1281</v>
      </c>
      <c r="I4833" s="403">
        <v>1</v>
      </c>
      <c r="J4833" s="403" t="s">
        <v>1324</v>
      </c>
      <c r="K4833" s="403">
        <v>2016</v>
      </c>
      <c r="L4833" s="403">
        <v>3584</v>
      </c>
      <c r="M4833" s="403" t="s">
        <v>1280</v>
      </c>
      <c r="N4833" s="403">
        <v>2016</v>
      </c>
      <c r="O4833" s="403">
        <v>3584</v>
      </c>
      <c r="P4833" t="str">
        <f t="shared" si="601"/>
        <v>25fps 3584x2016 - copy other stream</v>
      </c>
      <c r="Q4833">
        <f t="shared" si="602"/>
        <v>21</v>
      </c>
      <c r="R4833" t="str">
        <f t="shared" si="603"/>
        <v/>
      </c>
      <c r="S4833" t="str">
        <f t="shared" si="604"/>
        <v/>
      </c>
      <c r="T4833" s="403" t="str">
        <f t="shared" si="605"/>
        <v>NDE-8504-R</v>
      </c>
      <c r="U4833" s="403">
        <f t="shared" si="606"/>
        <v>1</v>
      </c>
      <c r="V4833" s="403" t="str">
        <f t="shared" si="607"/>
        <v>CPP_7_3</v>
      </c>
    </row>
    <row r="4834" spans="1:22">
      <c r="A4834" t="str">
        <f t="shared" si="600"/>
        <v>NDE-8504-R</v>
      </c>
      <c r="B4834" s="403" t="s">
        <v>1410</v>
      </c>
      <c r="C4834" s="403" t="s">
        <v>582</v>
      </c>
      <c r="D4834" s="403" t="s">
        <v>1418</v>
      </c>
      <c r="E4834" s="403" t="s">
        <v>1413</v>
      </c>
      <c r="F4834" s="403" t="s">
        <v>1325</v>
      </c>
      <c r="G4834" s="403" t="s">
        <v>1467</v>
      </c>
      <c r="H4834" s="403" t="s">
        <v>1281</v>
      </c>
      <c r="I4834" s="403">
        <v>1</v>
      </c>
      <c r="J4834" s="403" t="s">
        <v>1324</v>
      </c>
      <c r="K4834" s="403">
        <v>2016</v>
      </c>
      <c r="L4834" s="403">
        <v>3584</v>
      </c>
      <c r="M4834" s="403" t="s">
        <v>1364</v>
      </c>
      <c r="N4834" s="403">
        <v>2016</v>
      </c>
      <c r="O4834" s="403">
        <v>3584</v>
      </c>
      <c r="P4834" t="str">
        <f t="shared" si="601"/>
        <v>25fps 3584x2016 - 3584x2016 @ SKIP6</v>
      </c>
      <c r="Q4834">
        <f t="shared" si="602"/>
        <v>21</v>
      </c>
      <c r="R4834" t="str">
        <f t="shared" si="603"/>
        <v/>
      </c>
      <c r="S4834" t="str">
        <f t="shared" si="604"/>
        <v/>
      </c>
      <c r="T4834" s="403" t="str">
        <f t="shared" si="605"/>
        <v>NDE-8504-R</v>
      </c>
      <c r="U4834" s="403">
        <f t="shared" si="606"/>
        <v>1</v>
      </c>
      <c r="V4834" s="403" t="str">
        <f t="shared" si="607"/>
        <v>CPP_7_3</v>
      </c>
    </row>
    <row r="4835" spans="1:22">
      <c r="A4835" t="str">
        <f t="shared" si="600"/>
        <v>NDE-8504-R</v>
      </c>
      <c r="B4835" s="403" t="s">
        <v>1410</v>
      </c>
      <c r="C4835" s="403" t="s">
        <v>582</v>
      </c>
      <c r="D4835" s="403" t="s">
        <v>1418</v>
      </c>
      <c r="E4835" s="403" t="s">
        <v>1413</v>
      </c>
      <c r="F4835" s="403" t="s">
        <v>1325</v>
      </c>
      <c r="G4835" s="403" t="s">
        <v>1467</v>
      </c>
      <c r="H4835" s="403" t="s">
        <v>1281</v>
      </c>
      <c r="I4835" s="403">
        <v>1</v>
      </c>
      <c r="J4835" s="403" t="s">
        <v>1324</v>
      </c>
      <c r="K4835" s="403">
        <v>2016</v>
      </c>
      <c r="L4835" s="403">
        <v>3584</v>
      </c>
      <c r="M4835" s="403" t="s">
        <v>109</v>
      </c>
      <c r="N4835" s="403">
        <v>720</v>
      </c>
      <c r="O4835" s="403">
        <v>1280</v>
      </c>
      <c r="P4835" t="str">
        <f t="shared" si="601"/>
        <v>25fps 3584x2016 - 720p</v>
      </c>
      <c r="Q4835">
        <f t="shared" si="602"/>
        <v>21</v>
      </c>
      <c r="R4835" t="str">
        <f t="shared" si="603"/>
        <v/>
      </c>
      <c r="S4835" t="str">
        <f t="shared" si="604"/>
        <v/>
      </c>
      <c r="T4835" s="403" t="str">
        <f t="shared" si="605"/>
        <v>NDE-8504-R</v>
      </c>
      <c r="U4835" s="403">
        <f t="shared" si="606"/>
        <v>1</v>
      </c>
      <c r="V4835" s="403" t="str">
        <f t="shared" si="607"/>
        <v>CPP_7_3</v>
      </c>
    </row>
    <row r="4836" spans="1:22">
      <c r="A4836" t="str">
        <f t="shared" si="600"/>
        <v>NDE-8504-R</v>
      </c>
      <c r="B4836" s="403" t="s">
        <v>1410</v>
      </c>
      <c r="C4836" s="403" t="s">
        <v>582</v>
      </c>
      <c r="D4836" s="403" t="s">
        <v>1418</v>
      </c>
      <c r="E4836" s="403" t="s">
        <v>1413</v>
      </c>
      <c r="F4836" s="403" t="s">
        <v>1325</v>
      </c>
      <c r="G4836" s="403" t="s">
        <v>1467</v>
      </c>
      <c r="H4836" s="403" t="s">
        <v>1281</v>
      </c>
      <c r="I4836" s="403">
        <v>1</v>
      </c>
      <c r="J4836" s="403" t="s">
        <v>1324</v>
      </c>
      <c r="K4836" s="403">
        <v>2016</v>
      </c>
      <c r="L4836" s="403">
        <v>3584</v>
      </c>
      <c r="M4836" s="403" t="s">
        <v>1283</v>
      </c>
      <c r="N4836" s="403">
        <v>576</v>
      </c>
      <c r="O4836" s="403">
        <v>720</v>
      </c>
      <c r="P4836" t="str">
        <f t="shared" si="601"/>
        <v>25fps 3584x2016 - SD 4CIF resolution 4:3 format (cropped)</v>
      </c>
      <c r="Q4836">
        <f t="shared" si="602"/>
        <v>21</v>
      </c>
      <c r="R4836" t="str">
        <f t="shared" si="603"/>
        <v/>
      </c>
      <c r="S4836" t="str">
        <f t="shared" si="604"/>
        <v/>
      </c>
      <c r="T4836" s="403" t="str">
        <f t="shared" si="605"/>
        <v>NDE-8504-R</v>
      </c>
      <c r="U4836" s="403">
        <f t="shared" si="606"/>
        <v>1</v>
      </c>
      <c r="V4836" s="403" t="str">
        <f t="shared" si="607"/>
        <v>CPP_7_3</v>
      </c>
    </row>
    <row r="4837" spans="1:22">
      <c r="A4837" t="str">
        <f t="shared" si="600"/>
        <v>NDE-8504-R</v>
      </c>
      <c r="B4837" s="403" t="s">
        <v>1410</v>
      </c>
      <c r="C4837" s="403" t="s">
        <v>582</v>
      </c>
      <c r="D4837" s="403" t="s">
        <v>1418</v>
      </c>
      <c r="E4837" s="403" t="s">
        <v>1413</v>
      </c>
      <c r="F4837" s="403" t="s">
        <v>1325</v>
      </c>
      <c r="G4837" s="403" t="s">
        <v>1467</v>
      </c>
      <c r="H4837" s="403" t="s">
        <v>1281</v>
      </c>
      <c r="I4837" s="403">
        <v>1</v>
      </c>
      <c r="J4837" s="403" t="s">
        <v>1324</v>
      </c>
      <c r="K4837" s="403">
        <v>2016</v>
      </c>
      <c r="L4837" s="403">
        <v>3584</v>
      </c>
      <c r="M4837" s="403" t="s">
        <v>1279</v>
      </c>
      <c r="N4837" s="403">
        <v>432</v>
      </c>
      <c r="O4837" s="403">
        <v>768</v>
      </c>
      <c r="P4837" t="str">
        <f t="shared" si="601"/>
        <v>25fps 3584x2016 - SD ROI PTZ</v>
      </c>
      <c r="Q4837">
        <f t="shared" si="602"/>
        <v>21</v>
      </c>
      <c r="R4837" t="str">
        <f t="shared" si="603"/>
        <v/>
      </c>
      <c r="S4837" t="str">
        <f t="shared" si="604"/>
        <v/>
      </c>
      <c r="T4837" s="403" t="str">
        <f t="shared" si="605"/>
        <v>NDE-8504-R</v>
      </c>
      <c r="U4837" s="403">
        <f t="shared" si="606"/>
        <v>1</v>
      </c>
      <c r="V4837" s="403" t="str">
        <f t="shared" si="607"/>
        <v>CPP_7_3</v>
      </c>
    </row>
    <row r="4838" spans="1:22">
      <c r="A4838" t="str">
        <f t="shared" si="600"/>
        <v>NDE-8504-R</v>
      </c>
      <c r="B4838" s="403" t="s">
        <v>1410</v>
      </c>
      <c r="C4838" s="403" t="s">
        <v>582</v>
      </c>
      <c r="D4838" s="403" t="s">
        <v>1418</v>
      </c>
      <c r="E4838" s="403" t="s">
        <v>1413</v>
      </c>
      <c r="F4838" s="403" t="s">
        <v>1325</v>
      </c>
      <c r="G4838" s="403" t="s">
        <v>1467</v>
      </c>
      <c r="H4838" s="403" t="s">
        <v>1281</v>
      </c>
      <c r="I4838" s="403">
        <v>1</v>
      </c>
      <c r="J4838" s="403" t="s">
        <v>1324</v>
      </c>
      <c r="K4838" s="403">
        <v>2016</v>
      </c>
      <c r="L4838" s="403">
        <v>3584</v>
      </c>
      <c r="M4838" s="403" t="s">
        <v>1284</v>
      </c>
      <c r="N4838" s="403">
        <v>480</v>
      </c>
      <c r="O4838" s="403">
        <v>640</v>
      </c>
      <c r="P4838" t="str">
        <f t="shared" si="601"/>
        <v>25fps 3584x2016 - SD VGA (cropped)</v>
      </c>
      <c r="Q4838">
        <f t="shared" si="602"/>
        <v>21</v>
      </c>
      <c r="R4838" t="str">
        <f t="shared" si="603"/>
        <v/>
      </c>
      <c r="S4838" t="str">
        <f t="shared" si="604"/>
        <v/>
      </c>
      <c r="T4838" s="403" t="str">
        <f t="shared" si="605"/>
        <v>NDE-8504-R</v>
      </c>
      <c r="U4838" s="403">
        <f t="shared" si="606"/>
        <v>1</v>
      </c>
      <c r="V4838" s="403" t="str">
        <f t="shared" si="607"/>
        <v>CPP_7_3</v>
      </c>
    </row>
    <row r="4839" spans="1:22">
      <c r="A4839" t="str">
        <f t="shared" si="600"/>
        <v>NDE-8504-R</v>
      </c>
      <c r="B4839" s="403" t="s">
        <v>1410</v>
      </c>
      <c r="C4839" s="403" t="s">
        <v>582</v>
      </c>
      <c r="D4839" s="403" t="s">
        <v>1418</v>
      </c>
      <c r="E4839" s="403" t="s">
        <v>1413</v>
      </c>
      <c r="F4839" s="403" t="s">
        <v>1325</v>
      </c>
      <c r="G4839" s="403" t="s">
        <v>1467</v>
      </c>
      <c r="H4839" s="403" t="s">
        <v>1281</v>
      </c>
      <c r="I4839" s="403">
        <v>1</v>
      </c>
      <c r="J4839" s="403" t="s">
        <v>1324</v>
      </c>
      <c r="K4839" s="403">
        <v>2016</v>
      </c>
      <c r="L4839" s="403">
        <v>3584</v>
      </c>
      <c r="M4839" s="403" t="s">
        <v>1285</v>
      </c>
      <c r="N4839" s="403">
        <v>1024</v>
      </c>
      <c r="O4839" s="403">
        <v>1280</v>
      </c>
      <c r="P4839" t="str">
        <f t="shared" si="601"/>
        <v>25fps 3584x2016 - 1280x1024 5:4 (cropped)</v>
      </c>
      <c r="Q4839">
        <f t="shared" si="602"/>
        <v>21</v>
      </c>
      <c r="R4839" t="str">
        <f t="shared" si="603"/>
        <v/>
      </c>
      <c r="S4839" t="str">
        <f t="shared" si="604"/>
        <v/>
      </c>
      <c r="T4839" s="403" t="str">
        <f t="shared" si="605"/>
        <v>NDE-8504-R</v>
      </c>
      <c r="U4839" s="403">
        <f t="shared" si="606"/>
        <v>1</v>
      </c>
      <c r="V4839" s="403" t="str">
        <f t="shared" si="607"/>
        <v>CPP_7_3</v>
      </c>
    </row>
    <row r="4840" spans="1:22">
      <c r="A4840" t="str">
        <f t="shared" si="600"/>
        <v>NDE-8504-R</v>
      </c>
      <c r="B4840" s="403" t="s">
        <v>1410</v>
      </c>
      <c r="C4840" s="403" t="s">
        <v>582</v>
      </c>
      <c r="D4840" s="403" t="s">
        <v>1418</v>
      </c>
      <c r="E4840" s="403" t="s">
        <v>1413</v>
      </c>
      <c r="F4840" s="403" t="s">
        <v>1325</v>
      </c>
      <c r="G4840" s="403" t="s">
        <v>1467</v>
      </c>
      <c r="H4840" s="403" t="s">
        <v>1281</v>
      </c>
      <c r="I4840" s="403">
        <v>1</v>
      </c>
      <c r="J4840" s="403" t="s">
        <v>110</v>
      </c>
      <c r="K4840" s="403">
        <v>1080</v>
      </c>
      <c r="L4840" s="403">
        <v>1920</v>
      </c>
      <c r="M4840" s="403" t="s">
        <v>111</v>
      </c>
      <c r="N4840" s="403">
        <v>432</v>
      </c>
      <c r="O4840" s="403">
        <v>768</v>
      </c>
      <c r="P4840" t="str">
        <f t="shared" si="601"/>
        <v>25fps 1080p - SD</v>
      </c>
      <c r="Q4840">
        <f t="shared" si="602"/>
        <v>21</v>
      </c>
      <c r="R4840" t="str">
        <f t="shared" si="603"/>
        <v/>
      </c>
      <c r="S4840" t="str">
        <f t="shared" si="604"/>
        <v/>
      </c>
      <c r="T4840" s="403" t="str">
        <f t="shared" si="605"/>
        <v>NDE-8504-R</v>
      </c>
      <c r="U4840" s="403">
        <f t="shared" si="606"/>
        <v>1</v>
      </c>
      <c r="V4840" s="403" t="str">
        <f t="shared" si="607"/>
        <v>CPP_7_3</v>
      </c>
    </row>
    <row r="4841" spans="1:22">
      <c r="A4841" t="str">
        <f t="shared" si="600"/>
        <v>NDE-8504-R</v>
      </c>
      <c r="B4841" s="403" t="s">
        <v>1410</v>
      </c>
      <c r="C4841" s="403" t="s">
        <v>582</v>
      </c>
      <c r="D4841" s="403" t="s">
        <v>1418</v>
      </c>
      <c r="E4841" s="403" t="s">
        <v>1413</v>
      </c>
      <c r="F4841" s="403" t="s">
        <v>1325</v>
      </c>
      <c r="G4841" s="403" t="s">
        <v>1467</v>
      </c>
      <c r="H4841" s="403" t="s">
        <v>1281</v>
      </c>
      <c r="I4841" s="403">
        <v>1</v>
      </c>
      <c r="J4841" s="403" t="s">
        <v>110</v>
      </c>
      <c r="K4841" s="403">
        <v>1080</v>
      </c>
      <c r="L4841" s="403">
        <v>1920</v>
      </c>
      <c r="M4841" s="403" t="s">
        <v>110</v>
      </c>
      <c r="N4841" s="403">
        <v>1080</v>
      </c>
      <c r="O4841" s="403">
        <v>1920</v>
      </c>
      <c r="P4841" t="str">
        <f t="shared" si="601"/>
        <v>25fps 1080p - 1080p</v>
      </c>
      <c r="Q4841">
        <f t="shared" si="602"/>
        <v>21</v>
      </c>
      <c r="R4841" t="str">
        <f t="shared" si="603"/>
        <v/>
      </c>
      <c r="S4841" t="str">
        <f t="shared" si="604"/>
        <v/>
      </c>
      <c r="T4841" s="403" t="str">
        <f t="shared" si="605"/>
        <v>NDE-8504-R</v>
      </c>
      <c r="U4841" s="403">
        <f t="shared" si="606"/>
        <v>1</v>
      </c>
      <c r="V4841" s="403" t="str">
        <f t="shared" si="607"/>
        <v>CPP_7_3</v>
      </c>
    </row>
    <row r="4842" spans="1:22">
      <c r="A4842" t="str">
        <f t="shared" si="600"/>
        <v>NDE-8504-R</v>
      </c>
      <c r="B4842" s="403" t="s">
        <v>1410</v>
      </c>
      <c r="C4842" s="403" t="s">
        <v>582</v>
      </c>
      <c r="D4842" s="403" t="s">
        <v>1418</v>
      </c>
      <c r="E4842" s="403" t="s">
        <v>1413</v>
      </c>
      <c r="F4842" s="403" t="s">
        <v>1325</v>
      </c>
      <c r="G4842" s="403" t="s">
        <v>1467</v>
      </c>
      <c r="H4842" s="403" t="s">
        <v>1281</v>
      </c>
      <c r="I4842" s="403">
        <v>1</v>
      </c>
      <c r="J4842" s="403" t="s">
        <v>110</v>
      </c>
      <c r="K4842" s="403">
        <v>1080</v>
      </c>
      <c r="L4842" s="403">
        <v>1920</v>
      </c>
      <c r="M4842" s="403" t="s">
        <v>109</v>
      </c>
      <c r="N4842" s="403">
        <v>720</v>
      </c>
      <c r="O4842" s="403">
        <v>1280</v>
      </c>
      <c r="P4842" t="str">
        <f t="shared" si="601"/>
        <v>25fps 1080p - 720p</v>
      </c>
      <c r="Q4842">
        <f t="shared" si="602"/>
        <v>21</v>
      </c>
      <c r="R4842" t="str">
        <f t="shared" si="603"/>
        <v/>
      </c>
      <c r="S4842" t="str">
        <f t="shared" si="604"/>
        <v/>
      </c>
      <c r="T4842" s="403" t="str">
        <f t="shared" si="605"/>
        <v>NDE-8504-R</v>
      </c>
      <c r="U4842" s="403">
        <f t="shared" si="606"/>
        <v>1</v>
      </c>
      <c r="V4842" s="403" t="str">
        <f t="shared" si="607"/>
        <v>CPP_7_3</v>
      </c>
    </row>
    <row r="4843" spans="1:22">
      <c r="A4843" t="str">
        <f t="shared" si="600"/>
        <v>NDE-8504-R</v>
      </c>
      <c r="B4843" s="403" t="s">
        <v>1410</v>
      </c>
      <c r="C4843" s="403" t="s">
        <v>582</v>
      </c>
      <c r="D4843" s="403" t="s">
        <v>1418</v>
      </c>
      <c r="E4843" s="403" t="s">
        <v>1413</v>
      </c>
      <c r="F4843" s="403" t="s">
        <v>1325</v>
      </c>
      <c r="G4843" s="403" t="s">
        <v>1467</v>
      </c>
      <c r="H4843" s="403" t="s">
        <v>1281</v>
      </c>
      <c r="I4843" s="403">
        <v>1</v>
      </c>
      <c r="J4843" s="403" t="s">
        <v>110</v>
      </c>
      <c r="K4843" s="403">
        <v>1080</v>
      </c>
      <c r="L4843" s="403">
        <v>1920</v>
      </c>
      <c r="M4843" s="403" t="s">
        <v>1285</v>
      </c>
      <c r="N4843" s="403">
        <v>1024</v>
      </c>
      <c r="O4843" s="403">
        <v>1280</v>
      </c>
      <c r="P4843" t="str">
        <f t="shared" si="601"/>
        <v>25fps 1080p - 1280x1024 5:4 (cropped)</v>
      </c>
      <c r="Q4843">
        <f t="shared" si="602"/>
        <v>21</v>
      </c>
      <c r="R4843" t="str">
        <f t="shared" si="603"/>
        <v/>
      </c>
      <c r="S4843" t="str">
        <f t="shared" si="604"/>
        <v/>
      </c>
      <c r="T4843" s="403" t="str">
        <f t="shared" si="605"/>
        <v>NDE-8504-R</v>
      </c>
      <c r="U4843" s="403">
        <f t="shared" si="606"/>
        <v>1</v>
      </c>
      <c r="V4843" s="403" t="str">
        <f t="shared" si="607"/>
        <v>CPP_7_3</v>
      </c>
    </row>
    <row r="4844" spans="1:22">
      <c r="A4844" t="str">
        <f t="shared" si="600"/>
        <v>NDE-8504-R</v>
      </c>
      <c r="B4844" s="403" t="s">
        <v>1410</v>
      </c>
      <c r="C4844" s="403" t="s">
        <v>582</v>
      </c>
      <c r="D4844" s="403" t="s">
        <v>1418</v>
      </c>
      <c r="E4844" s="403" t="s">
        <v>1413</v>
      </c>
      <c r="F4844" s="403" t="s">
        <v>1325</v>
      </c>
      <c r="G4844" s="403" t="s">
        <v>1467</v>
      </c>
      <c r="H4844" s="403" t="s">
        <v>1281</v>
      </c>
      <c r="I4844" s="403">
        <v>1</v>
      </c>
      <c r="J4844" s="403" t="s">
        <v>110</v>
      </c>
      <c r="K4844" s="403">
        <v>1080</v>
      </c>
      <c r="L4844" s="403">
        <v>1920</v>
      </c>
      <c r="M4844" s="403" t="s">
        <v>1279</v>
      </c>
      <c r="N4844" s="403">
        <v>432</v>
      </c>
      <c r="O4844" s="403">
        <v>768</v>
      </c>
      <c r="P4844" t="str">
        <f t="shared" si="601"/>
        <v>25fps 1080p - SD ROI PTZ</v>
      </c>
      <c r="Q4844">
        <f t="shared" si="602"/>
        <v>21</v>
      </c>
      <c r="R4844" t="str">
        <f t="shared" si="603"/>
        <v/>
      </c>
      <c r="S4844" t="str">
        <f t="shared" si="604"/>
        <v/>
      </c>
      <c r="T4844" s="403" t="str">
        <f t="shared" si="605"/>
        <v>NDE-8504-R</v>
      </c>
      <c r="U4844" s="403">
        <f t="shared" si="606"/>
        <v>1</v>
      </c>
      <c r="V4844" s="403" t="str">
        <f t="shared" si="607"/>
        <v>CPP_7_3</v>
      </c>
    </row>
    <row r="4845" spans="1:22">
      <c r="A4845" t="str">
        <f t="shared" si="600"/>
        <v>NDE-8504-R</v>
      </c>
      <c r="B4845" s="403" t="s">
        <v>1410</v>
      </c>
      <c r="C4845" s="403" t="s">
        <v>582</v>
      </c>
      <c r="D4845" s="403" t="s">
        <v>1418</v>
      </c>
      <c r="E4845" s="403" t="s">
        <v>1413</v>
      </c>
      <c r="F4845" s="403" t="s">
        <v>1325</v>
      </c>
      <c r="G4845" s="403" t="s">
        <v>1467</v>
      </c>
      <c r="H4845" s="403" t="s">
        <v>1281</v>
      </c>
      <c r="I4845" s="403">
        <v>1</v>
      </c>
      <c r="J4845" s="403" t="s">
        <v>110</v>
      </c>
      <c r="K4845" s="403">
        <v>1080</v>
      </c>
      <c r="L4845" s="403">
        <v>1920</v>
      </c>
      <c r="M4845" s="403" t="s">
        <v>1283</v>
      </c>
      <c r="N4845" s="403">
        <v>576</v>
      </c>
      <c r="O4845" s="403">
        <v>720</v>
      </c>
      <c r="P4845" t="str">
        <f t="shared" si="601"/>
        <v>25fps 1080p - SD 4CIF resolution 4:3 format (cropped)</v>
      </c>
      <c r="Q4845">
        <f t="shared" si="602"/>
        <v>21</v>
      </c>
      <c r="R4845" t="str">
        <f t="shared" si="603"/>
        <v/>
      </c>
      <c r="S4845" t="str">
        <f t="shared" si="604"/>
        <v/>
      </c>
      <c r="T4845" s="403" t="str">
        <f t="shared" si="605"/>
        <v>NDE-8504-R</v>
      </c>
      <c r="U4845" s="403">
        <f t="shared" si="606"/>
        <v>1</v>
      </c>
      <c r="V4845" s="403" t="str">
        <f t="shared" si="607"/>
        <v>CPP_7_3</v>
      </c>
    </row>
    <row r="4846" spans="1:22">
      <c r="A4846" t="str">
        <f t="shared" si="600"/>
        <v>NDE-8504-R</v>
      </c>
      <c r="B4846" s="403" t="s">
        <v>1410</v>
      </c>
      <c r="C4846" s="403" t="s">
        <v>582</v>
      </c>
      <c r="D4846" s="403" t="s">
        <v>1418</v>
      </c>
      <c r="E4846" s="403" t="s">
        <v>1413</v>
      </c>
      <c r="F4846" s="403" t="s">
        <v>1325</v>
      </c>
      <c r="G4846" s="403" t="s">
        <v>1467</v>
      </c>
      <c r="H4846" s="403" t="s">
        <v>1281</v>
      </c>
      <c r="I4846" s="403">
        <v>1</v>
      </c>
      <c r="J4846" s="403" t="s">
        <v>110</v>
      </c>
      <c r="K4846" s="403">
        <v>1080</v>
      </c>
      <c r="L4846" s="403">
        <v>1920</v>
      </c>
      <c r="M4846" s="403" t="s">
        <v>1284</v>
      </c>
      <c r="N4846" s="403">
        <v>480</v>
      </c>
      <c r="O4846" s="403">
        <v>640</v>
      </c>
      <c r="P4846" t="str">
        <f t="shared" si="601"/>
        <v>25fps 1080p - SD VGA (cropped)</v>
      </c>
      <c r="Q4846">
        <f t="shared" si="602"/>
        <v>21</v>
      </c>
      <c r="R4846" t="str">
        <f t="shared" si="603"/>
        <v/>
      </c>
      <c r="S4846" t="str">
        <f t="shared" si="604"/>
        <v/>
      </c>
      <c r="T4846" s="403" t="str">
        <f t="shared" si="605"/>
        <v>NDE-8504-R</v>
      </c>
      <c r="U4846" s="403">
        <f t="shared" si="606"/>
        <v>1</v>
      </c>
      <c r="V4846" s="403" t="str">
        <f t="shared" si="607"/>
        <v>CPP_7_3</v>
      </c>
    </row>
    <row r="4847" spans="1:22">
      <c r="A4847" t="str">
        <f t="shared" si="600"/>
        <v>NDE-8504-R</v>
      </c>
      <c r="B4847" s="403" t="s">
        <v>1410</v>
      </c>
      <c r="C4847" s="403" t="s">
        <v>582</v>
      </c>
      <c r="D4847" s="403" t="s">
        <v>1418</v>
      </c>
      <c r="E4847" s="403" t="s">
        <v>1413</v>
      </c>
      <c r="F4847" s="403" t="s">
        <v>1325</v>
      </c>
      <c r="G4847" s="403" t="s">
        <v>1467</v>
      </c>
      <c r="H4847" s="403" t="s">
        <v>1281</v>
      </c>
      <c r="I4847" s="403">
        <v>1</v>
      </c>
      <c r="J4847" s="403" t="s">
        <v>109</v>
      </c>
      <c r="K4847" s="403">
        <v>720</v>
      </c>
      <c r="L4847" s="403">
        <v>1280</v>
      </c>
      <c r="M4847" s="403" t="s">
        <v>109</v>
      </c>
      <c r="N4847" s="403">
        <v>720</v>
      </c>
      <c r="O4847" s="403">
        <v>1280</v>
      </c>
      <c r="P4847" t="str">
        <f t="shared" si="601"/>
        <v>25fps 720p - 720p</v>
      </c>
      <c r="Q4847">
        <f t="shared" si="602"/>
        <v>21</v>
      </c>
      <c r="R4847" t="str">
        <f t="shared" si="603"/>
        <v/>
      </c>
      <c r="S4847" t="str">
        <f t="shared" si="604"/>
        <v/>
      </c>
      <c r="T4847" s="403" t="str">
        <f t="shared" si="605"/>
        <v>NDE-8504-R</v>
      </c>
      <c r="U4847" s="403">
        <f t="shared" si="606"/>
        <v>1</v>
      </c>
      <c r="V4847" s="403" t="str">
        <f t="shared" si="607"/>
        <v>CPP_7_3</v>
      </c>
    </row>
    <row r="4848" spans="1:22">
      <c r="A4848" t="str">
        <f t="shared" si="600"/>
        <v>NDE-8504-R</v>
      </c>
      <c r="B4848" s="403" t="s">
        <v>1410</v>
      </c>
      <c r="C4848" s="403" t="s">
        <v>582</v>
      </c>
      <c r="D4848" s="403" t="s">
        <v>1418</v>
      </c>
      <c r="E4848" s="403" t="s">
        <v>1413</v>
      </c>
      <c r="F4848" s="403" t="s">
        <v>1325</v>
      </c>
      <c r="G4848" s="403" t="s">
        <v>1467</v>
      </c>
      <c r="H4848" s="403" t="s">
        <v>1281</v>
      </c>
      <c r="I4848" s="403">
        <v>1</v>
      </c>
      <c r="J4848" s="403" t="s">
        <v>109</v>
      </c>
      <c r="K4848" s="403">
        <v>720</v>
      </c>
      <c r="L4848" s="403">
        <v>1280</v>
      </c>
      <c r="M4848" s="403" t="s">
        <v>111</v>
      </c>
      <c r="N4848" s="403">
        <v>432</v>
      </c>
      <c r="O4848" s="403">
        <v>768</v>
      </c>
      <c r="P4848" t="str">
        <f t="shared" si="601"/>
        <v>25fps 720p - SD</v>
      </c>
      <c r="Q4848">
        <f t="shared" si="602"/>
        <v>21</v>
      </c>
      <c r="R4848" t="str">
        <f t="shared" si="603"/>
        <v/>
      </c>
      <c r="S4848" t="str">
        <f t="shared" si="604"/>
        <v/>
      </c>
      <c r="T4848" s="403" t="str">
        <f t="shared" si="605"/>
        <v>NDE-8504-R</v>
      </c>
      <c r="U4848" s="403">
        <f t="shared" si="606"/>
        <v>1</v>
      </c>
      <c r="V4848" s="403" t="str">
        <f t="shared" si="607"/>
        <v>CPP_7_3</v>
      </c>
    </row>
    <row r="4849" spans="1:22">
      <c r="A4849" t="str">
        <f t="shared" si="600"/>
        <v>NDE-8504-R</v>
      </c>
      <c r="B4849" s="403" t="s">
        <v>1410</v>
      </c>
      <c r="C4849" s="403" t="s">
        <v>582</v>
      </c>
      <c r="D4849" s="403" t="s">
        <v>1418</v>
      </c>
      <c r="E4849" s="403" t="s">
        <v>1413</v>
      </c>
      <c r="F4849" s="403" t="s">
        <v>1325</v>
      </c>
      <c r="G4849" s="403" t="s">
        <v>1467</v>
      </c>
      <c r="H4849" s="403" t="s">
        <v>1281</v>
      </c>
      <c r="I4849" s="403">
        <v>1</v>
      </c>
      <c r="J4849" s="403" t="s">
        <v>109</v>
      </c>
      <c r="K4849" s="403">
        <v>720</v>
      </c>
      <c r="L4849" s="403">
        <v>1280</v>
      </c>
      <c r="M4849" s="403" t="s">
        <v>1279</v>
      </c>
      <c r="N4849" s="403">
        <v>432</v>
      </c>
      <c r="O4849" s="403">
        <v>768</v>
      </c>
      <c r="P4849" t="str">
        <f t="shared" si="601"/>
        <v>25fps 720p - SD ROI PTZ</v>
      </c>
      <c r="Q4849">
        <f t="shared" si="602"/>
        <v>21</v>
      </c>
      <c r="R4849" t="str">
        <f t="shared" si="603"/>
        <v/>
      </c>
      <c r="S4849" t="str">
        <f t="shared" si="604"/>
        <v/>
      </c>
      <c r="T4849" s="403" t="str">
        <f t="shared" si="605"/>
        <v>NDE-8504-R</v>
      </c>
      <c r="U4849" s="403">
        <f t="shared" si="606"/>
        <v>1</v>
      </c>
      <c r="V4849" s="403" t="str">
        <f t="shared" si="607"/>
        <v>CPP_7_3</v>
      </c>
    </row>
    <row r="4850" spans="1:22">
      <c r="A4850" t="str">
        <f t="shared" si="600"/>
        <v>NDE-8504-R</v>
      </c>
      <c r="B4850" s="403" t="s">
        <v>1410</v>
      </c>
      <c r="C4850" s="403" t="s">
        <v>582</v>
      </c>
      <c r="D4850" s="403" t="s">
        <v>1418</v>
      </c>
      <c r="E4850" s="403" t="s">
        <v>1413</v>
      </c>
      <c r="F4850" s="403" t="s">
        <v>1325</v>
      </c>
      <c r="G4850" s="403" t="s">
        <v>1467</v>
      </c>
      <c r="H4850" s="403" t="s">
        <v>1281</v>
      </c>
      <c r="I4850" s="403">
        <v>1</v>
      </c>
      <c r="J4850" s="403" t="s">
        <v>109</v>
      </c>
      <c r="K4850" s="403">
        <v>720</v>
      </c>
      <c r="L4850" s="403">
        <v>1280</v>
      </c>
      <c r="M4850" s="403" t="s">
        <v>1283</v>
      </c>
      <c r="N4850" s="403">
        <v>576</v>
      </c>
      <c r="O4850" s="403">
        <v>720</v>
      </c>
      <c r="P4850" t="str">
        <f t="shared" si="601"/>
        <v>25fps 720p - SD 4CIF resolution 4:3 format (cropped)</v>
      </c>
      <c r="Q4850">
        <f t="shared" si="602"/>
        <v>21</v>
      </c>
      <c r="R4850" t="str">
        <f t="shared" si="603"/>
        <v/>
      </c>
      <c r="S4850" t="str">
        <f t="shared" si="604"/>
        <v/>
      </c>
      <c r="T4850" s="403" t="str">
        <f t="shared" si="605"/>
        <v>NDE-8504-R</v>
      </c>
      <c r="U4850" s="403">
        <f t="shared" si="606"/>
        <v>1</v>
      </c>
      <c r="V4850" s="403" t="str">
        <f t="shared" si="607"/>
        <v>CPP_7_3</v>
      </c>
    </row>
    <row r="4851" spans="1:22">
      <c r="A4851" t="str">
        <f t="shared" si="600"/>
        <v>NDE-8504-R</v>
      </c>
      <c r="B4851" s="403" t="s">
        <v>1410</v>
      </c>
      <c r="C4851" s="403" t="s">
        <v>582</v>
      </c>
      <c r="D4851" s="403" t="s">
        <v>1418</v>
      </c>
      <c r="E4851" s="403" t="s">
        <v>1413</v>
      </c>
      <c r="F4851" s="403" t="s">
        <v>1325</v>
      </c>
      <c r="G4851" s="403" t="s">
        <v>1467</v>
      </c>
      <c r="H4851" s="403" t="s">
        <v>1281</v>
      </c>
      <c r="I4851" s="403">
        <v>1</v>
      </c>
      <c r="J4851" s="403" t="s">
        <v>109</v>
      </c>
      <c r="K4851" s="403">
        <v>720</v>
      </c>
      <c r="L4851" s="403">
        <v>1280</v>
      </c>
      <c r="M4851" s="403" t="s">
        <v>1284</v>
      </c>
      <c r="N4851" s="403">
        <v>480</v>
      </c>
      <c r="O4851" s="403">
        <v>640</v>
      </c>
      <c r="P4851" t="str">
        <f t="shared" si="601"/>
        <v>25fps 720p - SD VGA (cropped)</v>
      </c>
      <c r="Q4851">
        <f t="shared" si="602"/>
        <v>21</v>
      </c>
      <c r="R4851" t="str">
        <f t="shared" si="603"/>
        <v/>
      </c>
      <c r="S4851" t="str">
        <f t="shared" si="604"/>
        <v/>
      </c>
      <c r="T4851" s="403" t="str">
        <f t="shared" si="605"/>
        <v>NDE-8504-R</v>
      </c>
      <c r="U4851" s="403">
        <f t="shared" si="606"/>
        <v>1</v>
      </c>
      <c r="V4851" s="403" t="str">
        <f t="shared" si="607"/>
        <v>CPP_7_3</v>
      </c>
    </row>
    <row r="4852" spans="1:22">
      <c r="A4852" t="str">
        <f t="shared" si="600"/>
        <v>NDE-8504-R</v>
      </c>
      <c r="B4852" s="403" t="s">
        <v>1410</v>
      </c>
      <c r="C4852" s="403" t="s">
        <v>582</v>
      </c>
      <c r="D4852" s="403" t="s">
        <v>1418</v>
      </c>
      <c r="E4852" s="403" t="s">
        <v>1413</v>
      </c>
      <c r="F4852" s="403" t="s">
        <v>1419</v>
      </c>
      <c r="G4852" s="403" t="s">
        <v>1466</v>
      </c>
      <c r="H4852" s="403" t="s">
        <v>1276</v>
      </c>
      <c r="I4852" s="403">
        <v>1</v>
      </c>
      <c r="J4852" s="403" t="s">
        <v>194</v>
      </c>
      <c r="K4852" s="403">
        <v>3840</v>
      </c>
      <c r="L4852" s="403">
        <v>2160</v>
      </c>
      <c r="M4852" s="403" t="s">
        <v>111</v>
      </c>
      <c r="N4852" s="403">
        <v>768</v>
      </c>
      <c r="O4852" s="403">
        <v>432</v>
      </c>
      <c r="P4852" t="str">
        <f t="shared" si="601"/>
        <v>20fps 3840x2160 - SD</v>
      </c>
      <c r="Q4852">
        <f t="shared" si="602"/>
        <v>21</v>
      </c>
      <c r="R4852" t="str">
        <f t="shared" si="603"/>
        <v/>
      </c>
      <c r="S4852" t="str">
        <f t="shared" si="604"/>
        <v/>
      </c>
      <c r="T4852" s="403" t="str">
        <f t="shared" si="605"/>
        <v>NDE-8504-R</v>
      </c>
      <c r="U4852" s="403">
        <f t="shared" si="606"/>
        <v>1</v>
      </c>
      <c r="V4852" s="403" t="str">
        <f t="shared" si="607"/>
        <v>CPP_7_3</v>
      </c>
    </row>
    <row r="4853" spans="1:22">
      <c r="A4853" t="str">
        <f t="shared" si="600"/>
        <v>NDE-8504-R</v>
      </c>
      <c r="B4853" s="403" t="s">
        <v>1410</v>
      </c>
      <c r="C4853" s="403" t="s">
        <v>582</v>
      </c>
      <c r="D4853" s="403" t="s">
        <v>1418</v>
      </c>
      <c r="E4853" s="403" t="s">
        <v>1413</v>
      </c>
      <c r="F4853" s="403" t="s">
        <v>1419</v>
      </c>
      <c r="G4853" s="403" t="s">
        <v>1466</v>
      </c>
      <c r="H4853" s="403" t="s">
        <v>1276</v>
      </c>
      <c r="I4853" s="403">
        <v>1</v>
      </c>
      <c r="J4853" s="403" t="s">
        <v>194</v>
      </c>
      <c r="K4853" s="403">
        <v>3840</v>
      </c>
      <c r="L4853" s="403">
        <v>2160</v>
      </c>
      <c r="M4853" s="403" t="s">
        <v>1280</v>
      </c>
      <c r="N4853" s="403">
        <v>3840</v>
      </c>
      <c r="O4853" s="403">
        <v>2160</v>
      </c>
      <c r="P4853" t="str">
        <f t="shared" si="601"/>
        <v>20fps 3840x2160 - copy other stream</v>
      </c>
      <c r="Q4853">
        <f t="shared" si="602"/>
        <v>21</v>
      </c>
      <c r="R4853" t="str">
        <f t="shared" si="603"/>
        <v/>
      </c>
      <c r="S4853" t="str">
        <f t="shared" si="604"/>
        <v/>
      </c>
      <c r="T4853" s="403" t="str">
        <f t="shared" si="605"/>
        <v>NDE-8504-R</v>
      </c>
      <c r="U4853" s="403">
        <f t="shared" si="606"/>
        <v>1</v>
      </c>
      <c r="V4853" s="403" t="str">
        <f t="shared" si="607"/>
        <v>CPP_7_3</v>
      </c>
    </row>
    <row r="4854" spans="1:22">
      <c r="A4854" t="str">
        <f t="shared" si="600"/>
        <v>NDE-8504-R</v>
      </c>
      <c r="B4854" s="403" t="s">
        <v>1410</v>
      </c>
      <c r="C4854" s="403" t="s">
        <v>582</v>
      </c>
      <c r="D4854" s="403" t="s">
        <v>1418</v>
      </c>
      <c r="E4854" s="403" t="s">
        <v>1413</v>
      </c>
      <c r="F4854" s="403" t="s">
        <v>1419</v>
      </c>
      <c r="G4854" s="403" t="s">
        <v>1466</v>
      </c>
      <c r="H4854" s="403" t="s">
        <v>1276</v>
      </c>
      <c r="I4854" s="403">
        <v>1</v>
      </c>
      <c r="J4854" s="403" t="s">
        <v>194</v>
      </c>
      <c r="K4854" s="403">
        <v>3840</v>
      </c>
      <c r="L4854" s="403">
        <v>2160</v>
      </c>
      <c r="M4854" s="403" t="s">
        <v>1420</v>
      </c>
      <c r="N4854" s="403">
        <v>3840</v>
      </c>
      <c r="O4854" s="403">
        <v>2160</v>
      </c>
      <c r="P4854" t="str">
        <f t="shared" si="601"/>
        <v>20fps 3840x2160 - 3840x2160 @ SKIP3</v>
      </c>
      <c r="Q4854">
        <f t="shared" si="602"/>
        <v>21</v>
      </c>
      <c r="R4854" t="str">
        <f t="shared" si="603"/>
        <v/>
      </c>
      <c r="S4854" t="str">
        <f t="shared" si="604"/>
        <v/>
      </c>
      <c r="T4854" s="403" t="str">
        <f t="shared" si="605"/>
        <v>NDE-8504-R</v>
      </c>
      <c r="U4854" s="403">
        <f t="shared" si="606"/>
        <v>1</v>
      </c>
      <c r="V4854" s="403" t="str">
        <f t="shared" si="607"/>
        <v>CPP_7_3</v>
      </c>
    </row>
    <row r="4855" spans="1:22">
      <c r="A4855" t="str">
        <f t="shared" si="600"/>
        <v>NDE-8504-R</v>
      </c>
      <c r="B4855" s="403" t="s">
        <v>1410</v>
      </c>
      <c r="C4855" s="403" t="s">
        <v>582</v>
      </c>
      <c r="D4855" s="403" t="s">
        <v>1418</v>
      </c>
      <c r="E4855" s="403" t="s">
        <v>1413</v>
      </c>
      <c r="F4855" s="403" t="s">
        <v>1419</v>
      </c>
      <c r="G4855" s="403" t="s">
        <v>1466</v>
      </c>
      <c r="H4855" s="403" t="s">
        <v>1276</v>
      </c>
      <c r="I4855" s="403">
        <v>1</v>
      </c>
      <c r="J4855" s="403" t="s">
        <v>194</v>
      </c>
      <c r="K4855" s="403">
        <v>3840</v>
      </c>
      <c r="L4855" s="403">
        <v>2160</v>
      </c>
      <c r="M4855" s="403" t="s">
        <v>110</v>
      </c>
      <c r="N4855" s="403">
        <v>1920</v>
      </c>
      <c r="O4855" s="403">
        <v>1080</v>
      </c>
      <c r="P4855" t="str">
        <f t="shared" si="601"/>
        <v>20fps 3840x2160 - 1080p</v>
      </c>
      <c r="Q4855">
        <f t="shared" si="602"/>
        <v>21</v>
      </c>
      <c r="R4855" t="str">
        <f t="shared" si="603"/>
        <v/>
      </c>
      <c r="S4855" t="str">
        <f t="shared" si="604"/>
        <v/>
      </c>
      <c r="T4855" s="403" t="str">
        <f t="shared" si="605"/>
        <v>NDE-8504-R</v>
      </c>
      <c r="U4855" s="403">
        <f t="shared" si="606"/>
        <v>1</v>
      </c>
      <c r="V4855" s="403" t="str">
        <f t="shared" si="607"/>
        <v>CPP_7_3</v>
      </c>
    </row>
    <row r="4856" spans="1:22">
      <c r="A4856" t="str">
        <f t="shared" si="600"/>
        <v>NDE-8504-R</v>
      </c>
      <c r="B4856" s="403" t="s">
        <v>1410</v>
      </c>
      <c r="C4856" s="403" t="s">
        <v>582</v>
      </c>
      <c r="D4856" s="403" t="s">
        <v>1418</v>
      </c>
      <c r="E4856" s="403" t="s">
        <v>1413</v>
      </c>
      <c r="F4856" s="403" t="s">
        <v>1419</v>
      </c>
      <c r="G4856" s="403" t="s">
        <v>1466</v>
      </c>
      <c r="H4856" s="403" t="s">
        <v>1276</v>
      </c>
      <c r="I4856" s="403">
        <v>1</v>
      </c>
      <c r="J4856" s="403" t="s">
        <v>194</v>
      </c>
      <c r="K4856" s="403">
        <v>3840</v>
      </c>
      <c r="L4856" s="403">
        <v>2160</v>
      </c>
      <c r="M4856" s="403" t="s">
        <v>109</v>
      </c>
      <c r="N4856" s="403">
        <v>1280</v>
      </c>
      <c r="O4856" s="403">
        <v>720</v>
      </c>
      <c r="P4856" t="str">
        <f t="shared" si="601"/>
        <v>20fps 3840x2160 - 720p</v>
      </c>
      <c r="Q4856">
        <f t="shared" si="602"/>
        <v>21</v>
      </c>
      <c r="R4856" t="str">
        <f t="shared" si="603"/>
        <v/>
      </c>
      <c r="S4856" t="str">
        <f t="shared" si="604"/>
        <v/>
      </c>
      <c r="T4856" s="403" t="str">
        <f t="shared" si="605"/>
        <v>NDE-8504-R</v>
      </c>
      <c r="U4856" s="403">
        <f t="shared" si="606"/>
        <v>1</v>
      </c>
      <c r="V4856" s="403" t="str">
        <f t="shared" si="607"/>
        <v>CPP_7_3</v>
      </c>
    </row>
    <row r="4857" spans="1:22">
      <c r="A4857" t="str">
        <f t="shared" si="600"/>
        <v>NDE-8504-R</v>
      </c>
      <c r="B4857" s="403" t="s">
        <v>1410</v>
      </c>
      <c r="C4857" s="403" t="s">
        <v>582</v>
      </c>
      <c r="D4857" s="403" t="s">
        <v>1418</v>
      </c>
      <c r="E4857" s="403" t="s">
        <v>1413</v>
      </c>
      <c r="F4857" s="403" t="s">
        <v>1419</v>
      </c>
      <c r="G4857" s="403" t="s">
        <v>1466</v>
      </c>
      <c r="H4857" s="403" t="s">
        <v>1276</v>
      </c>
      <c r="I4857" s="403">
        <v>1</v>
      </c>
      <c r="J4857" s="403" t="s">
        <v>194</v>
      </c>
      <c r="K4857" s="403">
        <v>3840</v>
      </c>
      <c r="L4857" s="403">
        <v>2160</v>
      </c>
      <c r="M4857" s="403" t="s">
        <v>1283</v>
      </c>
      <c r="N4857" s="403">
        <v>720</v>
      </c>
      <c r="O4857" s="403">
        <v>480</v>
      </c>
      <c r="P4857" t="str">
        <f t="shared" si="601"/>
        <v>20fps 3840x2160 - SD 4CIF resolution 4:3 format (cropped)</v>
      </c>
      <c r="Q4857">
        <f t="shared" si="602"/>
        <v>21</v>
      </c>
      <c r="R4857" t="str">
        <f t="shared" si="603"/>
        <v/>
      </c>
      <c r="S4857" t="str">
        <f t="shared" si="604"/>
        <v/>
      </c>
      <c r="T4857" s="403" t="str">
        <f t="shared" si="605"/>
        <v>NDE-8504-R</v>
      </c>
      <c r="U4857" s="403">
        <f t="shared" si="606"/>
        <v>1</v>
      </c>
      <c r="V4857" s="403" t="str">
        <f t="shared" si="607"/>
        <v>CPP_7_3</v>
      </c>
    </row>
    <row r="4858" spans="1:22">
      <c r="A4858" t="str">
        <f t="shared" si="600"/>
        <v>NDE-8504-R</v>
      </c>
      <c r="B4858" s="403" t="s">
        <v>1410</v>
      </c>
      <c r="C4858" s="403" t="s">
        <v>582</v>
      </c>
      <c r="D4858" s="403" t="s">
        <v>1418</v>
      </c>
      <c r="E4858" s="403" t="s">
        <v>1413</v>
      </c>
      <c r="F4858" s="403" t="s">
        <v>1419</v>
      </c>
      <c r="G4858" s="403" t="s">
        <v>1466</v>
      </c>
      <c r="H4858" s="403" t="s">
        <v>1276</v>
      </c>
      <c r="I4858" s="403">
        <v>1</v>
      </c>
      <c r="J4858" s="403" t="s">
        <v>194</v>
      </c>
      <c r="K4858" s="403">
        <v>3840</v>
      </c>
      <c r="L4858" s="403">
        <v>2160</v>
      </c>
      <c r="M4858" s="403" t="s">
        <v>1284</v>
      </c>
      <c r="N4858" s="403">
        <v>640</v>
      </c>
      <c r="O4858" s="403">
        <v>480</v>
      </c>
      <c r="P4858" t="str">
        <f t="shared" si="601"/>
        <v>20fps 3840x2160 - SD VGA (cropped)</v>
      </c>
      <c r="Q4858">
        <f t="shared" si="602"/>
        <v>21</v>
      </c>
      <c r="R4858" t="str">
        <f t="shared" si="603"/>
        <v/>
      </c>
      <c r="S4858" t="str">
        <f t="shared" si="604"/>
        <v/>
      </c>
      <c r="T4858" s="403" t="str">
        <f t="shared" si="605"/>
        <v>NDE-8504-R</v>
      </c>
      <c r="U4858" s="403">
        <f t="shared" si="606"/>
        <v>1</v>
      </c>
      <c r="V4858" s="403" t="str">
        <f t="shared" si="607"/>
        <v>CPP_7_3</v>
      </c>
    </row>
    <row r="4859" spans="1:22">
      <c r="A4859" t="str">
        <f t="shared" si="600"/>
        <v>NDE-8504-R</v>
      </c>
      <c r="B4859" s="403" t="s">
        <v>1410</v>
      </c>
      <c r="C4859" s="403" t="s">
        <v>582</v>
      </c>
      <c r="D4859" s="403" t="s">
        <v>1418</v>
      </c>
      <c r="E4859" s="403" t="s">
        <v>1413</v>
      </c>
      <c r="F4859" s="403" t="s">
        <v>1419</v>
      </c>
      <c r="G4859" s="403" t="s">
        <v>1466</v>
      </c>
      <c r="H4859" s="403" t="s">
        <v>1276</v>
      </c>
      <c r="I4859" s="403">
        <v>1</v>
      </c>
      <c r="J4859" s="403" t="s">
        <v>194</v>
      </c>
      <c r="K4859" s="403">
        <v>3840</v>
      </c>
      <c r="L4859" s="403">
        <v>2160</v>
      </c>
      <c r="M4859" s="403" t="s">
        <v>1285</v>
      </c>
      <c r="N4859" s="403">
        <v>1280</v>
      </c>
      <c r="O4859" s="403">
        <v>1024</v>
      </c>
      <c r="P4859" t="str">
        <f t="shared" si="601"/>
        <v>20fps 3840x2160 - 1280x1024 5:4 (cropped)</v>
      </c>
      <c r="Q4859">
        <f t="shared" si="602"/>
        <v>21</v>
      </c>
      <c r="R4859" t="str">
        <f t="shared" si="603"/>
        <v/>
      </c>
      <c r="S4859" t="str">
        <f t="shared" si="604"/>
        <v/>
      </c>
      <c r="T4859" s="403" t="str">
        <f t="shared" si="605"/>
        <v>NDE-8504-R</v>
      </c>
      <c r="U4859" s="403">
        <f t="shared" si="606"/>
        <v>1</v>
      </c>
      <c r="V4859" s="403" t="str">
        <f t="shared" si="607"/>
        <v>CPP_7_3</v>
      </c>
    </row>
    <row r="4860" spans="1:22">
      <c r="A4860" t="str">
        <f t="shared" si="600"/>
        <v>NDE-8504-R</v>
      </c>
      <c r="B4860" s="403" t="s">
        <v>1410</v>
      </c>
      <c r="C4860" s="403" t="s">
        <v>582</v>
      </c>
      <c r="D4860" s="403" t="s">
        <v>1418</v>
      </c>
      <c r="E4860" s="403" t="s">
        <v>1413</v>
      </c>
      <c r="F4860" s="403" t="s">
        <v>1419</v>
      </c>
      <c r="G4860" s="403" t="s">
        <v>1466</v>
      </c>
      <c r="H4860" s="403" t="s">
        <v>1276</v>
      </c>
      <c r="I4860" s="403">
        <v>1</v>
      </c>
      <c r="J4860" s="403" t="s">
        <v>194</v>
      </c>
      <c r="K4860" s="403">
        <v>3840</v>
      </c>
      <c r="L4860" s="403">
        <v>2160</v>
      </c>
      <c r="M4860" s="403" t="s">
        <v>1383</v>
      </c>
      <c r="N4860" s="403">
        <v>1920</v>
      </c>
      <c r="O4860" s="403">
        <v>1440</v>
      </c>
      <c r="P4860" t="str">
        <f t="shared" si="601"/>
        <v>20fps 3840x2160 - 1920x1440_CROP</v>
      </c>
      <c r="Q4860">
        <f t="shared" si="602"/>
        <v>21</v>
      </c>
      <c r="R4860" t="str">
        <f t="shared" si="603"/>
        <v/>
      </c>
      <c r="S4860" t="str">
        <f t="shared" si="604"/>
        <v/>
      </c>
      <c r="T4860" s="403" t="str">
        <f t="shared" si="605"/>
        <v>NDE-8504-R</v>
      </c>
      <c r="U4860" s="403">
        <f t="shared" si="606"/>
        <v>1</v>
      </c>
      <c r="V4860" s="403" t="str">
        <f t="shared" si="607"/>
        <v>CPP_7_3</v>
      </c>
    </row>
    <row r="4861" spans="1:22">
      <c r="A4861" t="str">
        <f t="shared" si="600"/>
        <v>NDE-8504-R</v>
      </c>
      <c r="B4861" s="403" t="s">
        <v>1410</v>
      </c>
      <c r="C4861" s="403" t="s">
        <v>582</v>
      </c>
      <c r="D4861" s="403" t="s">
        <v>1418</v>
      </c>
      <c r="E4861" s="403" t="s">
        <v>1413</v>
      </c>
      <c r="F4861" s="403" t="s">
        <v>1419</v>
      </c>
      <c r="G4861" s="403" t="s">
        <v>1466</v>
      </c>
      <c r="H4861" s="403" t="s">
        <v>1276</v>
      </c>
      <c r="I4861" s="403">
        <v>1</v>
      </c>
      <c r="J4861" s="403" t="s">
        <v>1324</v>
      </c>
      <c r="K4861" s="403">
        <v>3584</v>
      </c>
      <c r="L4861" s="403">
        <v>2016</v>
      </c>
      <c r="M4861" s="403" t="s">
        <v>111</v>
      </c>
      <c r="N4861" s="403">
        <v>768</v>
      </c>
      <c r="O4861" s="403">
        <v>432</v>
      </c>
      <c r="P4861" t="str">
        <f t="shared" si="601"/>
        <v>20fps 3584x2016 - SD</v>
      </c>
      <c r="Q4861">
        <f t="shared" si="602"/>
        <v>21</v>
      </c>
      <c r="R4861" t="str">
        <f t="shared" si="603"/>
        <v/>
      </c>
      <c r="S4861" t="str">
        <f t="shared" si="604"/>
        <v/>
      </c>
      <c r="T4861" s="403" t="str">
        <f t="shared" si="605"/>
        <v>NDE-8504-R</v>
      </c>
      <c r="U4861" s="403">
        <f t="shared" si="606"/>
        <v>1</v>
      </c>
      <c r="V4861" s="403" t="str">
        <f t="shared" si="607"/>
        <v>CPP_7_3</v>
      </c>
    </row>
    <row r="4862" spans="1:22">
      <c r="A4862" t="str">
        <f t="shared" si="600"/>
        <v>NDE-8504-R</v>
      </c>
      <c r="B4862" s="403" t="s">
        <v>1410</v>
      </c>
      <c r="C4862" s="403" t="s">
        <v>582</v>
      </c>
      <c r="D4862" s="403" t="s">
        <v>1418</v>
      </c>
      <c r="E4862" s="403" t="s">
        <v>1413</v>
      </c>
      <c r="F4862" s="403" t="s">
        <v>1419</v>
      </c>
      <c r="G4862" s="403" t="s">
        <v>1466</v>
      </c>
      <c r="H4862" s="403" t="s">
        <v>1276</v>
      </c>
      <c r="I4862" s="403">
        <v>1</v>
      </c>
      <c r="J4862" s="403" t="s">
        <v>1324</v>
      </c>
      <c r="K4862" s="403">
        <v>3584</v>
      </c>
      <c r="L4862" s="403">
        <v>2016</v>
      </c>
      <c r="M4862" s="403" t="s">
        <v>1280</v>
      </c>
      <c r="N4862" s="403">
        <v>3584</v>
      </c>
      <c r="O4862" s="403">
        <v>2016</v>
      </c>
      <c r="P4862" t="str">
        <f t="shared" si="601"/>
        <v>20fps 3584x2016 - copy other stream</v>
      </c>
      <c r="Q4862">
        <f t="shared" si="602"/>
        <v>21</v>
      </c>
      <c r="R4862" t="str">
        <f t="shared" si="603"/>
        <v/>
      </c>
      <c r="S4862" t="str">
        <f t="shared" si="604"/>
        <v/>
      </c>
      <c r="T4862" s="403" t="str">
        <f t="shared" si="605"/>
        <v>NDE-8504-R</v>
      </c>
      <c r="U4862" s="403">
        <f t="shared" si="606"/>
        <v>1</v>
      </c>
      <c r="V4862" s="403" t="str">
        <f t="shared" si="607"/>
        <v>CPP_7_3</v>
      </c>
    </row>
    <row r="4863" spans="1:22">
      <c r="A4863" t="str">
        <f t="shared" si="600"/>
        <v>NDE-8504-R</v>
      </c>
      <c r="B4863" s="403" t="s">
        <v>1410</v>
      </c>
      <c r="C4863" s="403" t="s">
        <v>582</v>
      </c>
      <c r="D4863" s="403" t="s">
        <v>1418</v>
      </c>
      <c r="E4863" s="403" t="s">
        <v>1413</v>
      </c>
      <c r="F4863" s="403" t="s">
        <v>1419</v>
      </c>
      <c r="G4863" s="403" t="s">
        <v>1466</v>
      </c>
      <c r="H4863" s="403" t="s">
        <v>1276</v>
      </c>
      <c r="I4863" s="403">
        <v>1</v>
      </c>
      <c r="J4863" s="403" t="s">
        <v>1324</v>
      </c>
      <c r="K4863" s="403">
        <v>3584</v>
      </c>
      <c r="L4863" s="403">
        <v>2016</v>
      </c>
      <c r="M4863" s="403" t="s">
        <v>1421</v>
      </c>
      <c r="N4863" s="403">
        <v>3584</v>
      </c>
      <c r="O4863" s="403">
        <v>2016</v>
      </c>
      <c r="P4863" t="str">
        <f t="shared" si="601"/>
        <v>20fps 3584x2016 - 3584x2016 @ SKIP2</v>
      </c>
      <c r="Q4863">
        <f t="shared" si="602"/>
        <v>21</v>
      </c>
      <c r="R4863" t="str">
        <f t="shared" si="603"/>
        <v/>
      </c>
      <c r="S4863" t="str">
        <f t="shared" si="604"/>
        <v/>
      </c>
      <c r="T4863" s="403" t="str">
        <f t="shared" si="605"/>
        <v>NDE-8504-R</v>
      </c>
      <c r="U4863" s="403">
        <f t="shared" si="606"/>
        <v>1</v>
      </c>
      <c r="V4863" s="403" t="str">
        <f t="shared" si="607"/>
        <v>CPP_7_3</v>
      </c>
    </row>
    <row r="4864" spans="1:22">
      <c r="A4864" t="str">
        <f t="shared" si="600"/>
        <v>NDE-8504-R</v>
      </c>
      <c r="B4864" s="403" t="s">
        <v>1410</v>
      </c>
      <c r="C4864" s="403" t="s">
        <v>582</v>
      </c>
      <c r="D4864" s="403" t="s">
        <v>1418</v>
      </c>
      <c r="E4864" s="403" t="s">
        <v>1413</v>
      </c>
      <c r="F4864" s="403" t="s">
        <v>1419</v>
      </c>
      <c r="G4864" s="403" t="s">
        <v>1466</v>
      </c>
      <c r="H4864" s="403" t="s">
        <v>1276</v>
      </c>
      <c r="I4864" s="403">
        <v>1</v>
      </c>
      <c r="J4864" s="403" t="s">
        <v>1324</v>
      </c>
      <c r="K4864" s="403">
        <v>3584</v>
      </c>
      <c r="L4864" s="403">
        <v>2016</v>
      </c>
      <c r="M4864" s="403" t="s">
        <v>110</v>
      </c>
      <c r="N4864" s="403">
        <v>1920</v>
      </c>
      <c r="O4864" s="403">
        <v>1080</v>
      </c>
      <c r="P4864" t="str">
        <f t="shared" si="601"/>
        <v>20fps 3584x2016 - 1080p</v>
      </c>
      <c r="Q4864">
        <f t="shared" si="602"/>
        <v>21</v>
      </c>
      <c r="R4864" t="str">
        <f t="shared" si="603"/>
        <v/>
      </c>
      <c r="S4864" t="str">
        <f t="shared" si="604"/>
        <v/>
      </c>
      <c r="T4864" s="403" t="str">
        <f t="shared" si="605"/>
        <v>NDE-8504-R</v>
      </c>
      <c r="U4864" s="403">
        <f t="shared" si="606"/>
        <v>1</v>
      </c>
      <c r="V4864" s="403" t="str">
        <f t="shared" si="607"/>
        <v>CPP_7_3</v>
      </c>
    </row>
    <row r="4865" spans="1:22">
      <c r="A4865" t="str">
        <f t="shared" si="600"/>
        <v>NDE-8504-R</v>
      </c>
      <c r="B4865" s="403" t="s">
        <v>1410</v>
      </c>
      <c r="C4865" s="403" t="s">
        <v>582</v>
      </c>
      <c r="D4865" s="403" t="s">
        <v>1418</v>
      </c>
      <c r="E4865" s="403" t="s">
        <v>1413</v>
      </c>
      <c r="F4865" s="403" t="s">
        <v>1419</v>
      </c>
      <c r="G4865" s="403" t="s">
        <v>1466</v>
      </c>
      <c r="H4865" s="403" t="s">
        <v>1276</v>
      </c>
      <c r="I4865" s="403">
        <v>1</v>
      </c>
      <c r="J4865" s="403" t="s">
        <v>1324</v>
      </c>
      <c r="K4865" s="403">
        <v>3584</v>
      </c>
      <c r="L4865" s="403">
        <v>2016</v>
      </c>
      <c r="M4865" s="403" t="s">
        <v>109</v>
      </c>
      <c r="N4865" s="403">
        <v>1280</v>
      </c>
      <c r="O4865" s="403">
        <v>720</v>
      </c>
      <c r="P4865" t="str">
        <f t="shared" si="601"/>
        <v>20fps 3584x2016 - 720p</v>
      </c>
      <c r="Q4865">
        <f t="shared" si="602"/>
        <v>21</v>
      </c>
      <c r="R4865" t="str">
        <f t="shared" si="603"/>
        <v/>
      </c>
      <c r="S4865" t="str">
        <f t="shared" si="604"/>
        <v/>
      </c>
      <c r="T4865" s="403" t="str">
        <f t="shared" si="605"/>
        <v>NDE-8504-R</v>
      </c>
      <c r="U4865" s="403">
        <f t="shared" si="606"/>
        <v>1</v>
      </c>
      <c r="V4865" s="403" t="str">
        <f t="shared" si="607"/>
        <v>CPP_7_3</v>
      </c>
    </row>
    <row r="4866" spans="1:22">
      <c r="A4866" t="str">
        <f t="shared" ref="A4866:A4929" si="608">IF(AND(G4866&lt;&gt;"rotate 90°"),D4866,"")</f>
        <v>NDE-8504-R</v>
      </c>
      <c r="B4866" s="403" t="s">
        <v>1410</v>
      </c>
      <c r="C4866" s="403" t="s">
        <v>582</v>
      </c>
      <c r="D4866" s="403" t="s">
        <v>1418</v>
      </c>
      <c r="E4866" s="403" t="s">
        <v>1413</v>
      </c>
      <c r="F4866" s="403" t="s">
        <v>1419</v>
      </c>
      <c r="G4866" s="403" t="s">
        <v>1466</v>
      </c>
      <c r="H4866" s="403" t="s">
        <v>1276</v>
      </c>
      <c r="I4866" s="403">
        <v>1</v>
      </c>
      <c r="J4866" s="403" t="s">
        <v>1324</v>
      </c>
      <c r="K4866" s="403">
        <v>3584</v>
      </c>
      <c r="L4866" s="403">
        <v>2016</v>
      </c>
      <c r="M4866" s="403" t="s">
        <v>1283</v>
      </c>
      <c r="N4866" s="403">
        <v>720</v>
      </c>
      <c r="O4866" s="403">
        <v>480</v>
      </c>
      <c r="P4866" t="str">
        <f t="shared" ref="P4866:P4929" si="609">LEFT(F4866,5)&amp;" "&amp;J4866&amp;" - "&amp;M4866</f>
        <v>20fps 3584x2016 - SD 4CIF resolution 4:3 format (cropped)</v>
      </c>
      <c r="Q4866">
        <f t="shared" ref="Q4866:Q4929" si="610">IF(A4865=A4866,Q4865,Q4865+1)</f>
        <v>21</v>
      </c>
      <c r="R4866" t="str">
        <f t="shared" ref="R4866:R4929" si="611">IF(Q4865&lt;&gt;Q4866,Q4866,"")</f>
        <v/>
      </c>
      <c r="S4866" t="str">
        <f t="shared" ref="S4866:S4929" si="612">IF(R4866&lt;&gt;"",B4866&amp;" ("&amp;D4866&amp;")","")</f>
        <v/>
      </c>
      <c r="T4866" s="403" t="str">
        <f t="shared" ref="T4866:T4929" si="613">D4866</f>
        <v>NDE-8504-R</v>
      </c>
      <c r="U4866" s="403">
        <f t="shared" ref="U4866:U4929" si="614">I4866</f>
        <v>1</v>
      </c>
      <c r="V4866" s="403" t="str">
        <f t="shared" ref="V4866:V4929" si="615">C4866</f>
        <v>CPP_7_3</v>
      </c>
    </row>
    <row r="4867" spans="1:22">
      <c r="A4867" t="str">
        <f t="shared" si="608"/>
        <v>NDE-8504-R</v>
      </c>
      <c r="B4867" s="403" t="s">
        <v>1410</v>
      </c>
      <c r="C4867" s="403" t="s">
        <v>582</v>
      </c>
      <c r="D4867" s="403" t="s">
        <v>1418</v>
      </c>
      <c r="E4867" s="403" t="s">
        <v>1413</v>
      </c>
      <c r="F4867" s="403" t="s">
        <v>1419</v>
      </c>
      <c r="G4867" s="403" t="s">
        <v>1466</v>
      </c>
      <c r="H4867" s="403" t="s">
        <v>1276</v>
      </c>
      <c r="I4867" s="403">
        <v>1</v>
      </c>
      <c r="J4867" s="403" t="s">
        <v>1324</v>
      </c>
      <c r="K4867" s="403">
        <v>3584</v>
      </c>
      <c r="L4867" s="403">
        <v>2016</v>
      </c>
      <c r="M4867" s="403" t="s">
        <v>1279</v>
      </c>
      <c r="N4867" s="403">
        <v>768</v>
      </c>
      <c r="O4867" s="403">
        <v>432</v>
      </c>
      <c r="P4867" t="str">
        <f t="shared" si="609"/>
        <v>20fps 3584x2016 - SD ROI PTZ</v>
      </c>
      <c r="Q4867">
        <f t="shared" si="610"/>
        <v>21</v>
      </c>
      <c r="R4867" t="str">
        <f t="shared" si="611"/>
        <v/>
      </c>
      <c r="S4867" t="str">
        <f t="shared" si="612"/>
        <v/>
      </c>
      <c r="T4867" s="403" t="str">
        <f t="shared" si="613"/>
        <v>NDE-8504-R</v>
      </c>
      <c r="U4867" s="403">
        <f t="shared" si="614"/>
        <v>1</v>
      </c>
      <c r="V4867" s="403" t="str">
        <f t="shared" si="615"/>
        <v>CPP_7_3</v>
      </c>
    </row>
    <row r="4868" spans="1:22">
      <c r="A4868" t="str">
        <f t="shared" si="608"/>
        <v>NDE-8504-R</v>
      </c>
      <c r="B4868" s="403" t="s">
        <v>1410</v>
      </c>
      <c r="C4868" s="403" t="s">
        <v>582</v>
      </c>
      <c r="D4868" s="403" t="s">
        <v>1418</v>
      </c>
      <c r="E4868" s="403" t="s">
        <v>1413</v>
      </c>
      <c r="F4868" s="403" t="s">
        <v>1419</v>
      </c>
      <c r="G4868" s="403" t="s">
        <v>1466</v>
      </c>
      <c r="H4868" s="403" t="s">
        <v>1276</v>
      </c>
      <c r="I4868" s="403">
        <v>1</v>
      </c>
      <c r="J4868" s="403" t="s">
        <v>1324</v>
      </c>
      <c r="K4868" s="403">
        <v>3584</v>
      </c>
      <c r="L4868" s="403">
        <v>2016</v>
      </c>
      <c r="M4868" s="403" t="s">
        <v>1284</v>
      </c>
      <c r="N4868" s="403">
        <v>640</v>
      </c>
      <c r="O4868" s="403">
        <v>480</v>
      </c>
      <c r="P4868" t="str">
        <f t="shared" si="609"/>
        <v>20fps 3584x2016 - SD VGA (cropped)</v>
      </c>
      <c r="Q4868">
        <f t="shared" si="610"/>
        <v>21</v>
      </c>
      <c r="R4868" t="str">
        <f t="shared" si="611"/>
        <v/>
      </c>
      <c r="S4868" t="str">
        <f t="shared" si="612"/>
        <v/>
      </c>
      <c r="T4868" s="403" t="str">
        <f t="shared" si="613"/>
        <v>NDE-8504-R</v>
      </c>
      <c r="U4868" s="403">
        <f t="shared" si="614"/>
        <v>1</v>
      </c>
      <c r="V4868" s="403" t="str">
        <f t="shared" si="615"/>
        <v>CPP_7_3</v>
      </c>
    </row>
    <row r="4869" spans="1:22">
      <c r="A4869" t="str">
        <f t="shared" si="608"/>
        <v>NDE-8504-R</v>
      </c>
      <c r="B4869" s="403" t="s">
        <v>1410</v>
      </c>
      <c r="C4869" s="403" t="s">
        <v>582</v>
      </c>
      <c r="D4869" s="403" t="s">
        <v>1418</v>
      </c>
      <c r="E4869" s="403" t="s">
        <v>1413</v>
      </c>
      <c r="F4869" s="403" t="s">
        <v>1419</v>
      </c>
      <c r="G4869" s="403" t="s">
        <v>1466</v>
      </c>
      <c r="H4869" s="403" t="s">
        <v>1276</v>
      </c>
      <c r="I4869" s="403">
        <v>1</v>
      </c>
      <c r="J4869" s="403" t="s">
        <v>1324</v>
      </c>
      <c r="K4869" s="403">
        <v>3584</v>
      </c>
      <c r="L4869" s="403">
        <v>2016</v>
      </c>
      <c r="M4869" s="403" t="s">
        <v>1285</v>
      </c>
      <c r="N4869" s="403">
        <v>1280</v>
      </c>
      <c r="O4869" s="403">
        <v>1024</v>
      </c>
      <c r="P4869" t="str">
        <f t="shared" si="609"/>
        <v>20fps 3584x2016 - 1280x1024 5:4 (cropped)</v>
      </c>
      <c r="Q4869">
        <f t="shared" si="610"/>
        <v>21</v>
      </c>
      <c r="R4869" t="str">
        <f t="shared" si="611"/>
        <v/>
      </c>
      <c r="S4869" t="str">
        <f t="shared" si="612"/>
        <v/>
      </c>
      <c r="T4869" s="403" t="str">
        <f t="shared" si="613"/>
        <v>NDE-8504-R</v>
      </c>
      <c r="U4869" s="403">
        <f t="shared" si="614"/>
        <v>1</v>
      </c>
      <c r="V4869" s="403" t="str">
        <f t="shared" si="615"/>
        <v>CPP_7_3</v>
      </c>
    </row>
    <row r="4870" spans="1:22">
      <c r="A4870" t="str">
        <f t="shared" si="608"/>
        <v>NDE-8504-R</v>
      </c>
      <c r="B4870" s="403" t="s">
        <v>1410</v>
      </c>
      <c r="C4870" s="403" t="s">
        <v>582</v>
      </c>
      <c r="D4870" s="403" t="s">
        <v>1418</v>
      </c>
      <c r="E4870" s="403" t="s">
        <v>1413</v>
      </c>
      <c r="F4870" s="403" t="s">
        <v>1419</v>
      </c>
      <c r="G4870" s="403" t="s">
        <v>1466</v>
      </c>
      <c r="H4870" s="403" t="s">
        <v>1276</v>
      </c>
      <c r="I4870" s="403">
        <v>1</v>
      </c>
      <c r="J4870" s="403" t="s">
        <v>1324</v>
      </c>
      <c r="K4870" s="403">
        <v>3584</v>
      </c>
      <c r="L4870" s="403">
        <v>2016</v>
      </c>
      <c r="M4870" s="403" t="s">
        <v>1383</v>
      </c>
      <c r="N4870" s="403">
        <v>1920</v>
      </c>
      <c r="O4870" s="403">
        <v>1440</v>
      </c>
      <c r="P4870" t="str">
        <f t="shared" si="609"/>
        <v>20fps 3584x2016 - 1920x1440_CROP</v>
      </c>
      <c r="Q4870">
        <f t="shared" si="610"/>
        <v>21</v>
      </c>
      <c r="R4870" t="str">
        <f t="shared" si="611"/>
        <v/>
      </c>
      <c r="S4870" t="str">
        <f t="shared" si="612"/>
        <v/>
      </c>
      <c r="T4870" s="403" t="str">
        <f t="shared" si="613"/>
        <v>NDE-8504-R</v>
      </c>
      <c r="U4870" s="403">
        <f t="shared" si="614"/>
        <v>1</v>
      </c>
      <c r="V4870" s="403" t="str">
        <f t="shared" si="615"/>
        <v>CPP_7_3</v>
      </c>
    </row>
    <row r="4871" spans="1:22">
      <c r="A4871" t="str">
        <f t="shared" si="608"/>
        <v>NDE-8504-R</v>
      </c>
      <c r="B4871" s="403" t="s">
        <v>1410</v>
      </c>
      <c r="C4871" s="403" t="s">
        <v>582</v>
      </c>
      <c r="D4871" s="403" t="s">
        <v>1418</v>
      </c>
      <c r="E4871" s="403" t="s">
        <v>1413</v>
      </c>
      <c r="F4871" s="403" t="s">
        <v>1419</v>
      </c>
      <c r="G4871" s="403" t="s">
        <v>1466</v>
      </c>
      <c r="H4871" s="403" t="s">
        <v>1281</v>
      </c>
      <c r="I4871" s="403">
        <v>1</v>
      </c>
      <c r="J4871" s="403" t="s">
        <v>194</v>
      </c>
      <c r="K4871" s="403">
        <v>3840</v>
      </c>
      <c r="L4871" s="403">
        <v>2160</v>
      </c>
      <c r="M4871" s="403" t="s">
        <v>111</v>
      </c>
      <c r="N4871" s="403">
        <v>768</v>
      </c>
      <c r="O4871" s="403">
        <v>432</v>
      </c>
      <c r="P4871" t="str">
        <f t="shared" si="609"/>
        <v>20fps 3840x2160 - SD</v>
      </c>
      <c r="Q4871">
        <f t="shared" si="610"/>
        <v>21</v>
      </c>
      <c r="R4871" t="str">
        <f t="shared" si="611"/>
        <v/>
      </c>
      <c r="S4871" t="str">
        <f t="shared" si="612"/>
        <v/>
      </c>
      <c r="T4871" s="403" t="str">
        <f t="shared" si="613"/>
        <v>NDE-8504-R</v>
      </c>
      <c r="U4871" s="403">
        <f t="shared" si="614"/>
        <v>1</v>
      </c>
      <c r="V4871" s="403" t="str">
        <f t="shared" si="615"/>
        <v>CPP_7_3</v>
      </c>
    </row>
    <row r="4872" spans="1:22">
      <c r="A4872" t="str">
        <f t="shared" si="608"/>
        <v>NDE-8504-R</v>
      </c>
      <c r="B4872" s="403" t="s">
        <v>1410</v>
      </c>
      <c r="C4872" s="403" t="s">
        <v>582</v>
      </c>
      <c r="D4872" s="403" t="s">
        <v>1418</v>
      </c>
      <c r="E4872" s="403" t="s">
        <v>1413</v>
      </c>
      <c r="F4872" s="403" t="s">
        <v>1419</v>
      </c>
      <c r="G4872" s="403" t="s">
        <v>1466</v>
      </c>
      <c r="H4872" s="403" t="s">
        <v>1281</v>
      </c>
      <c r="I4872" s="403">
        <v>1</v>
      </c>
      <c r="J4872" s="403" t="s">
        <v>194</v>
      </c>
      <c r="K4872" s="403">
        <v>3840</v>
      </c>
      <c r="L4872" s="403">
        <v>2160</v>
      </c>
      <c r="M4872" s="403" t="s">
        <v>1280</v>
      </c>
      <c r="N4872" s="403">
        <v>3840</v>
      </c>
      <c r="O4872" s="403">
        <v>2160</v>
      </c>
      <c r="P4872" t="str">
        <f t="shared" si="609"/>
        <v>20fps 3840x2160 - copy other stream</v>
      </c>
      <c r="Q4872">
        <f t="shared" si="610"/>
        <v>21</v>
      </c>
      <c r="R4872" t="str">
        <f t="shared" si="611"/>
        <v/>
      </c>
      <c r="S4872" t="str">
        <f t="shared" si="612"/>
        <v/>
      </c>
      <c r="T4872" s="403" t="str">
        <f t="shared" si="613"/>
        <v>NDE-8504-R</v>
      </c>
      <c r="U4872" s="403">
        <f t="shared" si="614"/>
        <v>1</v>
      </c>
      <c r="V4872" s="403" t="str">
        <f t="shared" si="615"/>
        <v>CPP_7_3</v>
      </c>
    </row>
    <row r="4873" spans="1:22">
      <c r="A4873" t="str">
        <f t="shared" si="608"/>
        <v>NDE-8504-R</v>
      </c>
      <c r="B4873" s="403" t="s">
        <v>1410</v>
      </c>
      <c r="C4873" s="403" t="s">
        <v>582</v>
      </c>
      <c r="D4873" s="403" t="s">
        <v>1418</v>
      </c>
      <c r="E4873" s="403" t="s">
        <v>1413</v>
      </c>
      <c r="F4873" s="403" t="s">
        <v>1419</v>
      </c>
      <c r="G4873" s="403" t="s">
        <v>1466</v>
      </c>
      <c r="H4873" s="403" t="s">
        <v>1281</v>
      </c>
      <c r="I4873" s="403">
        <v>1</v>
      </c>
      <c r="J4873" s="403" t="s">
        <v>194</v>
      </c>
      <c r="K4873" s="403">
        <v>3840</v>
      </c>
      <c r="L4873" s="403">
        <v>2160</v>
      </c>
      <c r="M4873" s="403" t="s">
        <v>1420</v>
      </c>
      <c r="N4873" s="403">
        <v>3840</v>
      </c>
      <c r="O4873" s="403">
        <v>2160</v>
      </c>
      <c r="P4873" t="str">
        <f t="shared" si="609"/>
        <v>20fps 3840x2160 - 3840x2160 @ SKIP3</v>
      </c>
      <c r="Q4873">
        <f t="shared" si="610"/>
        <v>21</v>
      </c>
      <c r="R4873" t="str">
        <f t="shared" si="611"/>
        <v/>
      </c>
      <c r="S4873" t="str">
        <f t="shared" si="612"/>
        <v/>
      </c>
      <c r="T4873" s="403" t="str">
        <f t="shared" si="613"/>
        <v>NDE-8504-R</v>
      </c>
      <c r="U4873" s="403">
        <f t="shared" si="614"/>
        <v>1</v>
      </c>
      <c r="V4873" s="403" t="str">
        <f t="shared" si="615"/>
        <v>CPP_7_3</v>
      </c>
    </row>
    <row r="4874" spans="1:22">
      <c r="A4874" t="str">
        <f t="shared" si="608"/>
        <v>NDE-8504-R</v>
      </c>
      <c r="B4874" s="403" t="s">
        <v>1410</v>
      </c>
      <c r="C4874" s="403" t="s">
        <v>582</v>
      </c>
      <c r="D4874" s="403" t="s">
        <v>1418</v>
      </c>
      <c r="E4874" s="403" t="s">
        <v>1413</v>
      </c>
      <c r="F4874" s="403" t="s">
        <v>1419</v>
      </c>
      <c r="G4874" s="403" t="s">
        <v>1466</v>
      </c>
      <c r="H4874" s="403" t="s">
        <v>1281</v>
      </c>
      <c r="I4874" s="403">
        <v>1</v>
      </c>
      <c r="J4874" s="403" t="s">
        <v>194</v>
      </c>
      <c r="K4874" s="403">
        <v>3840</v>
      </c>
      <c r="L4874" s="403">
        <v>2160</v>
      </c>
      <c r="M4874" s="403" t="s">
        <v>110</v>
      </c>
      <c r="N4874" s="403">
        <v>1920</v>
      </c>
      <c r="O4874" s="403">
        <v>1080</v>
      </c>
      <c r="P4874" t="str">
        <f t="shared" si="609"/>
        <v>20fps 3840x2160 - 1080p</v>
      </c>
      <c r="Q4874">
        <f t="shared" si="610"/>
        <v>21</v>
      </c>
      <c r="R4874" t="str">
        <f t="shared" si="611"/>
        <v/>
      </c>
      <c r="S4874" t="str">
        <f t="shared" si="612"/>
        <v/>
      </c>
      <c r="T4874" s="403" t="str">
        <f t="shared" si="613"/>
        <v>NDE-8504-R</v>
      </c>
      <c r="U4874" s="403">
        <f t="shared" si="614"/>
        <v>1</v>
      </c>
      <c r="V4874" s="403" t="str">
        <f t="shared" si="615"/>
        <v>CPP_7_3</v>
      </c>
    </row>
    <row r="4875" spans="1:22">
      <c r="A4875" t="str">
        <f t="shared" si="608"/>
        <v>NDE-8504-R</v>
      </c>
      <c r="B4875" s="403" t="s">
        <v>1410</v>
      </c>
      <c r="C4875" s="403" t="s">
        <v>582</v>
      </c>
      <c r="D4875" s="403" t="s">
        <v>1418</v>
      </c>
      <c r="E4875" s="403" t="s">
        <v>1413</v>
      </c>
      <c r="F4875" s="403" t="s">
        <v>1419</v>
      </c>
      <c r="G4875" s="403" t="s">
        <v>1466</v>
      </c>
      <c r="H4875" s="403" t="s">
        <v>1281</v>
      </c>
      <c r="I4875" s="403">
        <v>1</v>
      </c>
      <c r="J4875" s="403" t="s">
        <v>194</v>
      </c>
      <c r="K4875" s="403">
        <v>3840</v>
      </c>
      <c r="L4875" s="403">
        <v>2160</v>
      </c>
      <c r="M4875" s="403" t="s">
        <v>109</v>
      </c>
      <c r="N4875" s="403">
        <v>1280</v>
      </c>
      <c r="O4875" s="403">
        <v>720</v>
      </c>
      <c r="P4875" t="str">
        <f t="shared" si="609"/>
        <v>20fps 3840x2160 - 720p</v>
      </c>
      <c r="Q4875">
        <f t="shared" si="610"/>
        <v>21</v>
      </c>
      <c r="R4875" t="str">
        <f t="shared" si="611"/>
        <v/>
      </c>
      <c r="S4875" t="str">
        <f t="shared" si="612"/>
        <v/>
      </c>
      <c r="T4875" s="403" t="str">
        <f t="shared" si="613"/>
        <v>NDE-8504-R</v>
      </c>
      <c r="U4875" s="403">
        <f t="shared" si="614"/>
        <v>1</v>
      </c>
      <c r="V4875" s="403" t="str">
        <f t="shared" si="615"/>
        <v>CPP_7_3</v>
      </c>
    </row>
    <row r="4876" spans="1:22">
      <c r="A4876" t="str">
        <f t="shared" si="608"/>
        <v>NDE-8504-R</v>
      </c>
      <c r="B4876" s="403" t="s">
        <v>1410</v>
      </c>
      <c r="C4876" s="403" t="s">
        <v>582</v>
      </c>
      <c r="D4876" s="403" t="s">
        <v>1418</v>
      </c>
      <c r="E4876" s="403" t="s">
        <v>1413</v>
      </c>
      <c r="F4876" s="403" t="s">
        <v>1419</v>
      </c>
      <c r="G4876" s="403" t="s">
        <v>1466</v>
      </c>
      <c r="H4876" s="403" t="s">
        <v>1281</v>
      </c>
      <c r="I4876" s="403">
        <v>1</v>
      </c>
      <c r="J4876" s="403" t="s">
        <v>194</v>
      </c>
      <c r="K4876" s="403">
        <v>3840</v>
      </c>
      <c r="L4876" s="403">
        <v>2160</v>
      </c>
      <c r="M4876" s="403" t="s">
        <v>1283</v>
      </c>
      <c r="N4876" s="403">
        <v>720</v>
      </c>
      <c r="O4876" s="403">
        <v>480</v>
      </c>
      <c r="P4876" t="str">
        <f t="shared" si="609"/>
        <v>20fps 3840x2160 - SD 4CIF resolution 4:3 format (cropped)</v>
      </c>
      <c r="Q4876">
        <f t="shared" si="610"/>
        <v>21</v>
      </c>
      <c r="R4876" t="str">
        <f t="shared" si="611"/>
        <v/>
      </c>
      <c r="S4876" t="str">
        <f t="shared" si="612"/>
        <v/>
      </c>
      <c r="T4876" s="403" t="str">
        <f t="shared" si="613"/>
        <v>NDE-8504-R</v>
      </c>
      <c r="U4876" s="403">
        <f t="shared" si="614"/>
        <v>1</v>
      </c>
      <c r="V4876" s="403" t="str">
        <f t="shared" si="615"/>
        <v>CPP_7_3</v>
      </c>
    </row>
    <row r="4877" spans="1:22">
      <c r="A4877" t="str">
        <f t="shared" si="608"/>
        <v>NDE-8504-R</v>
      </c>
      <c r="B4877" s="403" t="s">
        <v>1410</v>
      </c>
      <c r="C4877" s="403" t="s">
        <v>582</v>
      </c>
      <c r="D4877" s="403" t="s">
        <v>1418</v>
      </c>
      <c r="E4877" s="403" t="s">
        <v>1413</v>
      </c>
      <c r="F4877" s="403" t="s">
        <v>1419</v>
      </c>
      <c r="G4877" s="403" t="s">
        <v>1466</v>
      </c>
      <c r="H4877" s="403" t="s">
        <v>1281</v>
      </c>
      <c r="I4877" s="403">
        <v>1</v>
      </c>
      <c r="J4877" s="403" t="s">
        <v>194</v>
      </c>
      <c r="K4877" s="403">
        <v>3840</v>
      </c>
      <c r="L4877" s="403">
        <v>2160</v>
      </c>
      <c r="M4877" s="403" t="s">
        <v>1284</v>
      </c>
      <c r="N4877" s="403">
        <v>640</v>
      </c>
      <c r="O4877" s="403">
        <v>480</v>
      </c>
      <c r="P4877" t="str">
        <f t="shared" si="609"/>
        <v>20fps 3840x2160 - SD VGA (cropped)</v>
      </c>
      <c r="Q4877">
        <f t="shared" si="610"/>
        <v>21</v>
      </c>
      <c r="R4877" t="str">
        <f t="shared" si="611"/>
        <v/>
      </c>
      <c r="S4877" t="str">
        <f t="shared" si="612"/>
        <v/>
      </c>
      <c r="T4877" s="403" t="str">
        <f t="shared" si="613"/>
        <v>NDE-8504-R</v>
      </c>
      <c r="U4877" s="403">
        <f t="shared" si="614"/>
        <v>1</v>
      </c>
      <c r="V4877" s="403" t="str">
        <f t="shared" si="615"/>
        <v>CPP_7_3</v>
      </c>
    </row>
    <row r="4878" spans="1:22">
      <c r="A4878" t="str">
        <f t="shared" si="608"/>
        <v>NDE-8504-R</v>
      </c>
      <c r="B4878" s="403" t="s">
        <v>1410</v>
      </c>
      <c r="C4878" s="403" t="s">
        <v>582</v>
      </c>
      <c r="D4878" s="403" t="s">
        <v>1418</v>
      </c>
      <c r="E4878" s="403" t="s">
        <v>1413</v>
      </c>
      <c r="F4878" s="403" t="s">
        <v>1419</v>
      </c>
      <c r="G4878" s="403" t="s">
        <v>1466</v>
      </c>
      <c r="H4878" s="403" t="s">
        <v>1281</v>
      </c>
      <c r="I4878" s="403">
        <v>1</v>
      </c>
      <c r="J4878" s="403" t="s">
        <v>194</v>
      </c>
      <c r="K4878" s="403">
        <v>3840</v>
      </c>
      <c r="L4878" s="403">
        <v>2160</v>
      </c>
      <c r="M4878" s="403" t="s">
        <v>1285</v>
      </c>
      <c r="N4878" s="403">
        <v>1280</v>
      </c>
      <c r="O4878" s="403">
        <v>1024</v>
      </c>
      <c r="P4878" t="str">
        <f t="shared" si="609"/>
        <v>20fps 3840x2160 - 1280x1024 5:4 (cropped)</v>
      </c>
      <c r="Q4878">
        <f t="shared" si="610"/>
        <v>21</v>
      </c>
      <c r="R4878" t="str">
        <f t="shared" si="611"/>
        <v/>
      </c>
      <c r="S4878" t="str">
        <f t="shared" si="612"/>
        <v/>
      </c>
      <c r="T4878" s="403" t="str">
        <f t="shared" si="613"/>
        <v>NDE-8504-R</v>
      </c>
      <c r="U4878" s="403">
        <f t="shared" si="614"/>
        <v>1</v>
      </c>
      <c r="V4878" s="403" t="str">
        <f t="shared" si="615"/>
        <v>CPP_7_3</v>
      </c>
    </row>
    <row r="4879" spans="1:22">
      <c r="A4879" t="str">
        <f t="shared" si="608"/>
        <v>NDE-8504-R</v>
      </c>
      <c r="B4879" s="403" t="s">
        <v>1410</v>
      </c>
      <c r="C4879" s="403" t="s">
        <v>582</v>
      </c>
      <c r="D4879" s="403" t="s">
        <v>1418</v>
      </c>
      <c r="E4879" s="403" t="s">
        <v>1413</v>
      </c>
      <c r="F4879" s="403" t="s">
        <v>1419</v>
      </c>
      <c r="G4879" s="403" t="s">
        <v>1466</v>
      </c>
      <c r="H4879" s="403" t="s">
        <v>1281</v>
      </c>
      <c r="I4879" s="403">
        <v>1</v>
      </c>
      <c r="J4879" s="403" t="s">
        <v>194</v>
      </c>
      <c r="K4879" s="403">
        <v>3840</v>
      </c>
      <c r="L4879" s="403">
        <v>2160</v>
      </c>
      <c r="M4879" s="403" t="s">
        <v>1383</v>
      </c>
      <c r="N4879" s="403">
        <v>1920</v>
      </c>
      <c r="O4879" s="403">
        <v>1440</v>
      </c>
      <c r="P4879" t="str">
        <f t="shared" si="609"/>
        <v>20fps 3840x2160 - 1920x1440_CROP</v>
      </c>
      <c r="Q4879">
        <f t="shared" si="610"/>
        <v>21</v>
      </c>
      <c r="R4879" t="str">
        <f t="shared" si="611"/>
        <v/>
      </c>
      <c r="S4879" t="str">
        <f t="shared" si="612"/>
        <v/>
      </c>
      <c r="T4879" s="403" t="str">
        <f t="shared" si="613"/>
        <v>NDE-8504-R</v>
      </c>
      <c r="U4879" s="403">
        <f t="shared" si="614"/>
        <v>1</v>
      </c>
      <c r="V4879" s="403" t="str">
        <f t="shared" si="615"/>
        <v>CPP_7_3</v>
      </c>
    </row>
    <row r="4880" spans="1:22">
      <c r="A4880" t="str">
        <f t="shared" si="608"/>
        <v>NDE-8504-R</v>
      </c>
      <c r="B4880" s="403" t="s">
        <v>1410</v>
      </c>
      <c r="C4880" s="403" t="s">
        <v>582</v>
      </c>
      <c r="D4880" s="403" t="s">
        <v>1418</v>
      </c>
      <c r="E4880" s="403" t="s">
        <v>1413</v>
      </c>
      <c r="F4880" s="403" t="s">
        <v>1419</v>
      </c>
      <c r="G4880" s="403" t="s">
        <v>1466</v>
      </c>
      <c r="H4880" s="403" t="s">
        <v>1281</v>
      </c>
      <c r="I4880" s="403">
        <v>1</v>
      </c>
      <c r="J4880" s="403" t="s">
        <v>1324</v>
      </c>
      <c r="K4880" s="403">
        <v>3584</v>
      </c>
      <c r="L4880" s="403">
        <v>2016</v>
      </c>
      <c r="M4880" s="403" t="s">
        <v>111</v>
      </c>
      <c r="N4880" s="403">
        <v>768</v>
      </c>
      <c r="O4880" s="403">
        <v>432</v>
      </c>
      <c r="P4880" t="str">
        <f t="shared" si="609"/>
        <v>20fps 3584x2016 - SD</v>
      </c>
      <c r="Q4880">
        <f t="shared" si="610"/>
        <v>21</v>
      </c>
      <c r="R4880" t="str">
        <f t="shared" si="611"/>
        <v/>
      </c>
      <c r="S4880" t="str">
        <f t="shared" si="612"/>
        <v/>
      </c>
      <c r="T4880" s="403" t="str">
        <f t="shared" si="613"/>
        <v>NDE-8504-R</v>
      </c>
      <c r="U4880" s="403">
        <f t="shared" si="614"/>
        <v>1</v>
      </c>
      <c r="V4880" s="403" t="str">
        <f t="shared" si="615"/>
        <v>CPP_7_3</v>
      </c>
    </row>
    <row r="4881" spans="1:22">
      <c r="A4881" t="str">
        <f t="shared" si="608"/>
        <v>NDE-8504-R</v>
      </c>
      <c r="B4881" s="403" t="s">
        <v>1410</v>
      </c>
      <c r="C4881" s="403" t="s">
        <v>582</v>
      </c>
      <c r="D4881" s="403" t="s">
        <v>1418</v>
      </c>
      <c r="E4881" s="403" t="s">
        <v>1413</v>
      </c>
      <c r="F4881" s="403" t="s">
        <v>1419</v>
      </c>
      <c r="G4881" s="403" t="s">
        <v>1466</v>
      </c>
      <c r="H4881" s="403" t="s">
        <v>1281</v>
      </c>
      <c r="I4881" s="403">
        <v>1</v>
      </c>
      <c r="J4881" s="403" t="s">
        <v>1324</v>
      </c>
      <c r="K4881" s="403">
        <v>3584</v>
      </c>
      <c r="L4881" s="403">
        <v>2016</v>
      </c>
      <c r="M4881" s="403" t="s">
        <v>1280</v>
      </c>
      <c r="N4881" s="403">
        <v>3584</v>
      </c>
      <c r="O4881" s="403">
        <v>2016</v>
      </c>
      <c r="P4881" t="str">
        <f t="shared" si="609"/>
        <v>20fps 3584x2016 - copy other stream</v>
      </c>
      <c r="Q4881">
        <f t="shared" si="610"/>
        <v>21</v>
      </c>
      <c r="R4881" t="str">
        <f t="shared" si="611"/>
        <v/>
      </c>
      <c r="S4881" t="str">
        <f t="shared" si="612"/>
        <v/>
      </c>
      <c r="T4881" s="403" t="str">
        <f t="shared" si="613"/>
        <v>NDE-8504-R</v>
      </c>
      <c r="U4881" s="403">
        <f t="shared" si="614"/>
        <v>1</v>
      </c>
      <c r="V4881" s="403" t="str">
        <f t="shared" si="615"/>
        <v>CPP_7_3</v>
      </c>
    </row>
    <row r="4882" spans="1:22">
      <c r="A4882" t="str">
        <f t="shared" si="608"/>
        <v>NDE-8504-R</v>
      </c>
      <c r="B4882" s="403" t="s">
        <v>1410</v>
      </c>
      <c r="C4882" s="403" t="s">
        <v>582</v>
      </c>
      <c r="D4882" s="403" t="s">
        <v>1418</v>
      </c>
      <c r="E4882" s="403" t="s">
        <v>1413</v>
      </c>
      <c r="F4882" s="403" t="s">
        <v>1419</v>
      </c>
      <c r="G4882" s="403" t="s">
        <v>1466</v>
      </c>
      <c r="H4882" s="403" t="s">
        <v>1281</v>
      </c>
      <c r="I4882" s="403">
        <v>1</v>
      </c>
      <c r="J4882" s="403" t="s">
        <v>1324</v>
      </c>
      <c r="K4882" s="403">
        <v>3584</v>
      </c>
      <c r="L4882" s="403">
        <v>2016</v>
      </c>
      <c r="M4882" s="403" t="s">
        <v>1421</v>
      </c>
      <c r="N4882" s="403">
        <v>3584</v>
      </c>
      <c r="O4882" s="403">
        <v>2016</v>
      </c>
      <c r="P4882" t="str">
        <f t="shared" si="609"/>
        <v>20fps 3584x2016 - 3584x2016 @ SKIP2</v>
      </c>
      <c r="Q4882">
        <f t="shared" si="610"/>
        <v>21</v>
      </c>
      <c r="R4882" t="str">
        <f t="shared" si="611"/>
        <v/>
      </c>
      <c r="S4882" t="str">
        <f t="shared" si="612"/>
        <v/>
      </c>
      <c r="T4882" s="403" t="str">
        <f t="shared" si="613"/>
        <v>NDE-8504-R</v>
      </c>
      <c r="U4882" s="403">
        <f t="shared" si="614"/>
        <v>1</v>
      </c>
      <c r="V4882" s="403" t="str">
        <f t="shared" si="615"/>
        <v>CPP_7_3</v>
      </c>
    </row>
    <row r="4883" spans="1:22">
      <c r="A4883" t="str">
        <f t="shared" si="608"/>
        <v>NDE-8504-R</v>
      </c>
      <c r="B4883" s="403" t="s">
        <v>1410</v>
      </c>
      <c r="C4883" s="403" t="s">
        <v>582</v>
      </c>
      <c r="D4883" s="403" t="s">
        <v>1418</v>
      </c>
      <c r="E4883" s="403" t="s">
        <v>1413</v>
      </c>
      <c r="F4883" s="403" t="s">
        <v>1419</v>
      </c>
      <c r="G4883" s="403" t="s">
        <v>1466</v>
      </c>
      <c r="H4883" s="403" t="s">
        <v>1281</v>
      </c>
      <c r="I4883" s="403">
        <v>1</v>
      </c>
      <c r="J4883" s="403" t="s">
        <v>1324</v>
      </c>
      <c r="K4883" s="403">
        <v>3584</v>
      </c>
      <c r="L4883" s="403">
        <v>2016</v>
      </c>
      <c r="M4883" s="403" t="s">
        <v>110</v>
      </c>
      <c r="N4883" s="403">
        <v>1920</v>
      </c>
      <c r="O4883" s="403">
        <v>1080</v>
      </c>
      <c r="P4883" t="str">
        <f t="shared" si="609"/>
        <v>20fps 3584x2016 - 1080p</v>
      </c>
      <c r="Q4883">
        <f t="shared" si="610"/>
        <v>21</v>
      </c>
      <c r="R4883" t="str">
        <f t="shared" si="611"/>
        <v/>
      </c>
      <c r="S4883" t="str">
        <f t="shared" si="612"/>
        <v/>
      </c>
      <c r="T4883" s="403" t="str">
        <f t="shared" si="613"/>
        <v>NDE-8504-R</v>
      </c>
      <c r="U4883" s="403">
        <f t="shared" si="614"/>
        <v>1</v>
      </c>
      <c r="V4883" s="403" t="str">
        <f t="shared" si="615"/>
        <v>CPP_7_3</v>
      </c>
    </row>
    <row r="4884" spans="1:22">
      <c r="A4884" t="str">
        <f t="shared" si="608"/>
        <v>NDE-8504-R</v>
      </c>
      <c r="B4884" s="403" t="s">
        <v>1410</v>
      </c>
      <c r="C4884" s="403" t="s">
        <v>582</v>
      </c>
      <c r="D4884" s="403" t="s">
        <v>1418</v>
      </c>
      <c r="E4884" s="403" t="s">
        <v>1413</v>
      </c>
      <c r="F4884" s="403" t="s">
        <v>1419</v>
      </c>
      <c r="G4884" s="403" t="s">
        <v>1466</v>
      </c>
      <c r="H4884" s="403" t="s">
        <v>1281</v>
      </c>
      <c r="I4884" s="403">
        <v>1</v>
      </c>
      <c r="J4884" s="403" t="s">
        <v>1324</v>
      </c>
      <c r="K4884" s="403">
        <v>3584</v>
      </c>
      <c r="L4884" s="403">
        <v>2016</v>
      </c>
      <c r="M4884" s="403" t="s">
        <v>109</v>
      </c>
      <c r="N4884" s="403">
        <v>1280</v>
      </c>
      <c r="O4884" s="403">
        <v>720</v>
      </c>
      <c r="P4884" t="str">
        <f t="shared" si="609"/>
        <v>20fps 3584x2016 - 720p</v>
      </c>
      <c r="Q4884">
        <f t="shared" si="610"/>
        <v>21</v>
      </c>
      <c r="R4884" t="str">
        <f t="shared" si="611"/>
        <v/>
      </c>
      <c r="S4884" t="str">
        <f t="shared" si="612"/>
        <v/>
      </c>
      <c r="T4884" s="403" t="str">
        <f t="shared" si="613"/>
        <v>NDE-8504-R</v>
      </c>
      <c r="U4884" s="403">
        <f t="shared" si="614"/>
        <v>1</v>
      </c>
      <c r="V4884" s="403" t="str">
        <f t="shared" si="615"/>
        <v>CPP_7_3</v>
      </c>
    </row>
    <row r="4885" spans="1:22">
      <c r="A4885" t="str">
        <f t="shared" si="608"/>
        <v>NDE-8504-R</v>
      </c>
      <c r="B4885" s="403" t="s">
        <v>1410</v>
      </c>
      <c r="C4885" s="403" t="s">
        <v>582</v>
      </c>
      <c r="D4885" s="403" t="s">
        <v>1418</v>
      </c>
      <c r="E4885" s="403" t="s">
        <v>1413</v>
      </c>
      <c r="F4885" s="403" t="s">
        <v>1419</v>
      </c>
      <c r="G4885" s="403" t="s">
        <v>1466</v>
      </c>
      <c r="H4885" s="403" t="s">
        <v>1281</v>
      </c>
      <c r="I4885" s="403">
        <v>1</v>
      </c>
      <c r="J4885" s="403" t="s">
        <v>1324</v>
      </c>
      <c r="K4885" s="403">
        <v>3584</v>
      </c>
      <c r="L4885" s="403">
        <v>2016</v>
      </c>
      <c r="M4885" s="403" t="s">
        <v>1283</v>
      </c>
      <c r="N4885" s="403">
        <v>720</v>
      </c>
      <c r="O4885" s="403">
        <v>480</v>
      </c>
      <c r="P4885" t="str">
        <f t="shared" si="609"/>
        <v>20fps 3584x2016 - SD 4CIF resolution 4:3 format (cropped)</v>
      </c>
      <c r="Q4885">
        <f t="shared" si="610"/>
        <v>21</v>
      </c>
      <c r="R4885" t="str">
        <f t="shared" si="611"/>
        <v/>
      </c>
      <c r="S4885" t="str">
        <f t="shared" si="612"/>
        <v/>
      </c>
      <c r="T4885" s="403" t="str">
        <f t="shared" si="613"/>
        <v>NDE-8504-R</v>
      </c>
      <c r="U4885" s="403">
        <f t="shared" si="614"/>
        <v>1</v>
      </c>
      <c r="V4885" s="403" t="str">
        <f t="shared" si="615"/>
        <v>CPP_7_3</v>
      </c>
    </row>
    <row r="4886" spans="1:22">
      <c r="A4886" t="str">
        <f t="shared" si="608"/>
        <v>NDE-8504-R</v>
      </c>
      <c r="B4886" s="403" t="s">
        <v>1410</v>
      </c>
      <c r="C4886" s="403" t="s">
        <v>582</v>
      </c>
      <c r="D4886" s="403" t="s">
        <v>1418</v>
      </c>
      <c r="E4886" s="403" t="s">
        <v>1413</v>
      </c>
      <c r="F4886" s="403" t="s">
        <v>1419</v>
      </c>
      <c r="G4886" s="403" t="s">
        <v>1466</v>
      </c>
      <c r="H4886" s="403" t="s">
        <v>1281</v>
      </c>
      <c r="I4886" s="403">
        <v>1</v>
      </c>
      <c r="J4886" s="403" t="s">
        <v>1324</v>
      </c>
      <c r="K4886" s="403">
        <v>3584</v>
      </c>
      <c r="L4886" s="403">
        <v>2016</v>
      </c>
      <c r="M4886" s="403" t="s">
        <v>1279</v>
      </c>
      <c r="N4886" s="403">
        <v>768</v>
      </c>
      <c r="O4886" s="403">
        <v>432</v>
      </c>
      <c r="P4886" t="str">
        <f t="shared" si="609"/>
        <v>20fps 3584x2016 - SD ROI PTZ</v>
      </c>
      <c r="Q4886">
        <f t="shared" si="610"/>
        <v>21</v>
      </c>
      <c r="R4886" t="str">
        <f t="shared" si="611"/>
        <v/>
      </c>
      <c r="S4886" t="str">
        <f t="shared" si="612"/>
        <v/>
      </c>
      <c r="T4886" s="403" t="str">
        <f t="shared" si="613"/>
        <v>NDE-8504-R</v>
      </c>
      <c r="U4886" s="403">
        <f t="shared" si="614"/>
        <v>1</v>
      </c>
      <c r="V4886" s="403" t="str">
        <f t="shared" si="615"/>
        <v>CPP_7_3</v>
      </c>
    </row>
    <row r="4887" spans="1:22">
      <c r="A4887" t="str">
        <f t="shared" si="608"/>
        <v>NDE-8504-R</v>
      </c>
      <c r="B4887" s="403" t="s">
        <v>1410</v>
      </c>
      <c r="C4887" s="403" t="s">
        <v>582</v>
      </c>
      <c r="D4887" s="403" t="s">
        <v>1418</v>
      </c>
      <c r="E4887" s="403" t="s">
        <v>1413</v>
      </c>
      <c r="F4887" s="403" t="s">
        <v>1419</v>
      </c>
      <c r="G4887" s="403" t="s">
        <v>1466</v>
      </c>
      <c r="H4887" s="403" t="s">
        <v>1281</v>
      </c>
      <c r="I4887" s="403">
        <v>1</v>
      </c>
      <c r="J4887" s="403" t="s">
        <v>1324</v>
      </c>
      <c r="K4887" s="403">
        <v>3584</v>
      </c>
      <c r="L4887" s="403">
        <v>2016</v>
      </c>
      <c r="M4887" s="403" t="s">
        <v>1284</v>
      </c>
      <c r="N4887" s="403">
        <v>640</v>
      </c>
      <c r="O4887" s="403">
        <v>480</v>
      </c>
      <c r="P4887" t="str">
        <f t="shared" si="609"/>
        <v>20fps 3584x2016 - SD VGA (cropped)</v>
      </c>
      <c r="Q4887">
        <f t="shared" si="610"/>
        <v>21</v>
      </c>
      <c r="R4887" t="str">
        <f t="shared" si="611"/>
        <v/>
      </c>
      <c r="S4887" t="str">
        <f t="shared" si="612"/>
        <v/>
      </c>
      <c r="T4887" s="403" t="str">
        <f t="shared" si="613"/>
        <v>NDE-8504-R</v>
      </c>
      <c r="U4887" s="403">
        <f t="shared" si="614"/>
        <v>1</v>
      </c>
      <c r="V4887" s="403" t="str">
        <f t="shared" si="615"/>
        <v>CPP_7_3</v>
      </c>
    </row>
    <row r="4888" spans="1:22">
      <c r="A4888" t="str">
        <f t="shared" si="608"/>
        <v>NDE-8504-R</v>
      </c>
      <c r="B4888" s="403" t="s">
        <v>1410</v>
      </c>
      <c r="C4888" s="403" t="s">
        <v>582</v>
      </c>
      <c r="D4888" s="403" t="s">
        <v>1418</v>
      </c>
      <c r="E4888" s="403" t="s">
        <v>1413</v>
      </c>
      <c r="F4888" s="403" t="s">
        <v>1419</v>
      </c>
      <c r="G4888" s="403" t="s">
        <v>1466</v>
      </c>
      <c r="H4888" s="403" t="s">
        <v>1281</v>
      </c>
      <c r="I4888" s="403">
        <v>1</v>
      </c>
      <c r="J4888" s="403" t="s">
        <v>1324</v>
      </c>
      <c r="K4888" s="403">
        <v>3584</v>
      </c>
      <c r="L4888" s="403">
        <v>2016</v>
      </c>
      <c r="M4888" s="403" t="s">
        <v>1285</v>
      </c>
      <c r="N4888" s="403">
        <v>1280</v>
      </c>
      <c r="O4888" s="403">
        <v>1024</v>
      </c>
      <c r="P4888" t="str">
        <f t="shared" si="609"/>
        <v>20fps 3584x2016 - 1280x1024 5:4 (cropped)</v>
      </c>
      <c r="Q4888">
        <f t="shared" si="610"/>
        <v>21</v>
      </c>
      <c r="R4888" t="str">
        <f t="shared" si="611"/>
        <v/>
      </c>
      <c r="S4888" t="str">
        <f t="shared" si="612"/>
        <v/>
      </c>
      <c r="T4888" s="403" t="str">
        <f t="shared" si="613"/>
        <v>NDE-8504-R</v>
      </c>
      <c r="U4888" s="403">
        <f t="shared" si="614"/>
        <v>1</v>
      </c>
      <c r="V4888" s="403" t="str">
        <f t="shared" si="615"/>
        <v>CPP_7_3</v>
      </c>
    </row>
    <row r="4889" spans="1:22">
      <c r="A4889" t="str">
        <f t="shared" si="608"/>
        <v>NDE-8504-R</v>
      </c>
      <c r="B4889" s="403" t="s">
        <v>1410</v>
      </c>
      <c r="C4889" s="403" t="s">
        <v>582</v>
      </c>
      <c r="D4889" s="403" t="s">
        <v>1418</v>
      </c>
      <c r="E4889" s="403" t="s">
        <v>1413</v>
      </c>
      <c r="F4889" s="403" t="s">
        <v>1419</v>
      </c>
      <c r="G4889" s="403" t="s">
        <v>1466</v>
      </c>
      <c r="H4889" s="403" t="s">
        <v>1281</v>
      </c>
      <c r="I4889" s="403">
        <v>1</v>
      </c>
      <c r="J4889" s="403" t="s">
        <v>1324</v>
      </c>
      <c r="K4889" s="403">
        <v>3584</v>
      </c>
      <c r="L4889" s="403">
        <v>2016</v>
      </c>
      <c r="M4889" s="403" t="s">
        <v>1383</v>
      </c>
      <c r="N4889" s="403">
        <v>1920</v>
      </c>
      <c r="O4889" s="403">
        <v>1440</v>
      </c>
      <c r="P4889" t="str">
        <f t="shared" si="609"/>
        <v>20fps 3584x2016 - 1920x1440_CROP</v>
      </c>
      <c r="Q4889">
        <f t="shared" si="610"/>
        <v>21</v>
      </c>
      <c r="R4889" t="str">
        <f t="shared" si="611"/>
        <v/>
      </c>
      <c r="S4889" t="str">
        <f t="shared" si="612"/>
        <v/>
      </c>
      <c r="T4889" s="403" t="str">
        <f t="shared" si="613"/>
        <v>NDE-8504-R</v>
      </c>
      <c r="U4889" s="403">
        <f t="shared" si="614"/>
        <v>1</v>
      </c>
      <c r="V4889" s="403" t="str">
        <f t="shared" si="615"/>
        <v>CPP_7_3</v>
      </c>
    </row>
    <row r="4890" spans="1:22">
      <c r="A4890" t="str">
        <f t="shared" si="608"/>
        <v>NDE-8504-R</v>
      </c>
      <c r="B4890" s="403" t="s">
        <v>1410</v>
      </c>
      <c r="C4890" s="403" t="s">
        <v>582</v>
      </c>
      <c r="D4890" s="403" t="s">
        <v>1418</v>
      </c>
      <c r="E4890" s="403" t="s">
        <v>1413</v>
      </c>
      <c r="F4890" s="403" t="s">
        <v>1419</v>
      </c>
      <c r="G4890" s="403" t="s">
        <v>1467</v>
      </c>
      <c r="H4890" s="403" t="s">
        <v>1276</v>
      </c>
      <c r="I4890" s="403">
        <v>1</v>
      </c>
      <c r="J4890" s="403" t="s">
        <v>194</v>
      </c>
      <c r="K4890" s="403">
        <v>2160</v>
      </c>
      <c r="L4890" s="403">
        <v>3840</v>
      </c>
      <c r="M4890" s="403" t="s">
        <v>111</v>
      </c>
      <c r="N4890" s="403">
        <v>432</v>
      </c>
      <c r="O4890" s="403">
        <v>768</v>
      </c>
      <c r="P4890" t="str">
        <f t="shared" si="609"/>
        <v>20fps 3840x2160 - SD</v>
      </c>
      <c r="Q4890">
        <f t="shared" si="610"/>
        <v>21</v>
      </c>
      <c r="R4890" t="str">
        <f t="shared" si="611"/>
        <v/>
      </c>
      <c r="S4890" t="str">
        <f t="shared" si="612"/>
        <v/>
      </c>
      <c r="T4890" s="403" t="str">
        <f t="shared" si="613"/>
        <v>NDE-8504-R</v>
      </c>
      <c r="U4890" s="403">
        <f t="shared" si="614"/>
        <v>1</v>
      </c>
      <c r="V4890" s="403" t="str">
        <f t="shared" si="615"/>
        <v>CPP_7_3</v>
      </c>
    </row>
    <row r="4891" spans="1:22">
      <c r="A4891" t="str">
        <f t="shared" si="608"/>
        <v>NDE-8504-R</v>
      </c>
      <c r="B4891" s="403" t="s">
        <v>1410</v>
      </c>
      <c r="C4891" s="403" t="s">
        <v>582</v>
      </c>
      <c r="D4891" s="403" t="s">
        <v>1418</v>
      </c>
      <c r="E4891" s="403" t="s">
        <v>1413</v>
      </c>
      <c r="F4891" s="403" t="s">
        <v>1419</v>
      </c>
      <c r="G4891" s="403" t="s">
        <v>1467</v>
      </c>
      <c r="H4891" s="403" t="s">
        <v>1276</v>
      </c>
      <c r="I4891" s="403">
        <v>1</v>
      </c>
      <c r="J4891" s="403" t="s">
        <v>194</v>
      </c>
      <c r="K4891" s="403">
        <v>2160</v>
      </c>
      <c r="L4891" s="403">
        <v>3840</v>
      </c>
      <c r="M4891" s="403" t="s">
        <v>1280</v>
      </c>
      <c r="N4891" s="403">
        <v>2160</v>
      </c>
      <c r="O4891" s="403">
        <v>3840</v>
      </c>
      <c r="P4891" t="str">
        <f t="shared" si="609"/>
        <v>20fps 3840x2160 - copy other stream</v>
      </c>
      <c r="Q4891">
        <f t="shared" si="610"/>
        <v>21</v>
      </c>
      <c r="R4891" t="str">
        <f t="shared" si="611"/>
        <v/>
      </c>
      <c r="S4891" t="str">
        <f t="shared" si="612"/>
        <v/>
      </c>
      <c r="T4891" s="403" t="str">
        <f t="shared" si="613"/>
        <v>NDE-8504-R</v>
      </c>
      <c r="U4891" s="403">
        <f t="shared" si="614"/>
        <v>1</v>
      </c>
      <c r="V4891" s="403" t="str">
        <f t="shared" si="615"/>
        <v>CPP_7_3</v>
      </c>
    </row>
    <row r="4892" spans="1:22">
      <c r="A4892" t="str">
        <f t="shared" si="608"/>
        <v>NDE-8504-R</v>
      </c>
      <c r="B4892" s="403" t="s">
        <v>1410</v>
      </c>
      <c r="C4892" s="403" t="s">
        <v>582</v>
      </c>
      <c r="D4892" s="403" t="s">
        <v>1418</v>
      </c>
      <c r="E4892" s="403" t="s">
        <v>1413</v>
      </c>
      <c r="F4892" s="403" t="s">
        <v>1419</v>
      </c>
      <c r="G4892" s="403" t="s">
        <v>1467</v>
      </c>
      <c r="H4892" s="403" t="s">
        <v>1276</v>
      </c>
      <c r="I4892" s="403">
        <v>1</v>
      </c>
      <c r="J4892" s="403" t="s">
        <v>194</v>
      </c>
      <c r="K4892" s="403">
        <v>2160</v>
      </c>
      <c r="L4892" s="403">
        <v>3840</v>
      </c>
      <c r="M4892" s="403" t="s">
        <v>1420</v>
      </c>
      <c r="N4892" s="403">
        <v>2160</v>
      </c>
      <c r="O4892" s="403">
        <v>3840</v>
      </c>
      <c r="P4892" t="str">
        <f t="shared" si="609"/>
        <v>20fps 3840x2160 - 3840x2160 @ SKIP3</v>
      </c>
      <c r="Q4892">
        <f t="shared" si="610"/>
        <v>21</v>
      </c>
      <c r="R4892" t="str">
        <f t="shared" si="611"/>
        <v/>
      </c>
      <c r="S4892" t="str">
        <f t="shared" si="612"/>
        <v/>
      </c>
      <c r="T4892" s="403" t="str">
        <f t="shared" si="613"/>
        <v>NDE-8504-R</v>
      </c>
      <c r="U4892" s="403">
        <f t="shared" si="614"/>
        <v>1</v>
      </c>
      <c r="V4892" s="403" t="str">
        <f t="shared" si="615"/>
        <v>CPP_7_3</v>
      </c>
    </row>
    <row r="4893" spans="1:22">
      <c r="A4893" t="str">
        <f t="shared" si="608"/>
        <v>NDE-8504-R</v>
      </c>
      <c r="B4893" s="403" t="s">
        <v>1410</v>
      </c>
      <c r="C4893" s="403" t="s">
        <v>582</v>
      </c>
      <c r="D4893" s="403" t="s">
        <v>1418</v>
      </c>
      <c r="E4893" s="403" t="s">
        <v>1413</v>
      </c>
      <c r="F4893" s="403" t="s">
        <v>1419</v>
      </c>
      <c r="G4893" s="403" t="s">
        <v>1467</v>
      </c>
      <c r="H4893" s="403" t="s">
        <v>1276</v>
      </c>
      <c r="I4893" s="403">
        <v>1</v>
      </c>
      <c r="J4893" s="403" t="s">
        <v>194</v>
      </c>
      <c r="K4893" s="403">
        <v>2160</v>
      </c>
      <c r="L4893" s="403">
        <v>3840</v>
      </c>
      <c r="M4893" s="403" t="s">
        <v>110</v>
      </c>
      <c r="N4893" s="403">
        <v>1080</v>
      </c>
      <c r="O4893" s="403">
        <v>1920</v>
      </c>
      <c r="P4893" t="str">
        <f t="shared" si="609"/>
        <v>20fps 3840x2160 - 1080p</v>
      </c>
      <c r="Q4893">
        <f t="shared" si="610"/>
        <v>21</v>
      </c>
      <c r="R4893" t="str">
        <f t="shared" si="611"/>
        <v/>
      </c>
      <c r="S4893" t="str">
        <f t="shared" si="612"/>
        <v/>
      </c>
      <c r="T4893" s="403" t="str">
        <f t="shared" si="613"/>
        <v>NDE-8504-R</v>
      </c>
      <c r="U4893" s="403">
        <f t="shared" si="614"/>
        <v>1</v>
      </c>
      <c r="V4893" s="403" t="str">
        <f t="shared" si="615"/>
        <v>CPP_7_3</v>
      </c>
    </row>
    <row r="4894" spans="1:22">
      <c r="A4894" t="str">
        <f t="shared" si="608"/>
        <v>NDE-8504-R</v>
      </c>
      <c r="B4894" s="403" t="s">
        <v>1410</v>
      </c>
      <c r="C4894" s="403" t="s">
        <v>582</v>
      </c>
      <c r="D4894" s="403" t="s">
        <v>1418</v>
      </c>
      <c r="E4894" s="403" t="s">
        <v>1413</v>
      </c>
      <c r="F4894" s="403" t="s">
        <v>1419</v>
      </c>
      <c r="G4894" s="403" t="s">
        <v>1467</v>
      </c>
      <c r="H4894" s="403" t="s">
        <v>1276</v>
      </c>
      <c r="I4894" s="403">
        <v>1</v>
      </c>
      <c r="J4894" s="403" t="s">
        <v>194</v>
      </c>
      <c r="K4894" s="403">
        <v>2160</v>
      </c>
      <c r="L4894" s="403">
        <v>3840</v>
      </c>
      <c r="M4894" s="403" t="s">
        <v>109</v>
      </c>
      <c r="N4894" s="403">
        <v>720</v>
      </c>
      <c r="O4894" s="403">
        <v>1280</v>
      </c>
      <c r="P4894" t="str">
        <f t="shared" si="609"/>
        <v>20fps 3840x2160 - 720p</v>
      </c>
      <c r="Q4894">
        <f t="shared" si="610"/>
        <v>21</v>
      </c>
      <c r="R4894" t="str">
        <f t="shared" si="611"/>
        <v/>
      </c>
      <c r="S4894" t="str">
        <f t="shared" si="612"/>
        <v/>
      </c>
      <c r="T4894" s="403" t="str">
        <f t="shared" si="613"/>
        <v>NDE-8504-R</v>
      </c>
      <c r="U4894" s="403">
        <f t="shared" si="614"/>
        <v>1</v>
      </c>
      <c r="V4894" s="403" t="str">
        <f t="shared" si="615"/>
        <v>CPP_7_3</v>
      </c>
    </row>
    <row r="4895" spans="1:22">
      <c r="A4895" t="str">
        <f t="shared" si="608"/>
        <v>NDE-8504-R</v>
      </c>
      <c r="B4895" s="403" t="s">
        <v>1410</v>
      </c>
      <c r="C4895" s="403" t="s">
        <v>582</v>
      </c>
      <c r="D4895" s="403" t="s">
        <v>1418</v>
      </c>
      <c r="E4895" s="403" t="s">
        <v>1413</v>
      </c>
      <c r="F4895" s="403" t="s">
        <v>1419</v>
      </c>
      <c r="G4895" s="403" t="s">
        <v>1467</v>
      </c>
      <c r="H4895" s="403" t="s">
        <v>1276</v>
      </c>
      <c r="I4895" s="403">
        <v>1</v>
      </c>
      <c r="J4895" s="403" t="s">
        <v>194</v>
      </c>
      <c r="K4895" s="403">
        <v>2160</v>
      </c>
      <c r="L4895" s="403">
        <v>3840</v>
      </c>
      <c r="M4895" s="403" t="s">
        <v>1283</v>
      </c>
      <c r="N4895" s="403">
        <v>480</v>
      </c>
      <c r="O4895" s="403">
        <v>720</v>
      </c>
      <c r="P4895" t="str">
        <f t="shared" si="609"/>
        <v>20fps 3840x2160 - SD 4CIF resolution 4:3 format (cropped)</v>
      </c>
      <c r="Q4895">
        <f t="shared" si="610"/>
        <v>21</v>
      </c>
      <c r="R4895" t="str">
        <f t="shared" si="611"/>
        <v/>
      </c>
      <c r="S4895" t="str">
        <f t="shared" si="612"/>
        <v/>
      </c>
      <c r="T4895" s="403" t="str">
        <f t="shared" si="613"/>
        <v>NDE-8504-R</v>
      </c>
      <c r="U4895" s="403">
        <f t="shared" si="614"/>
        <v>1</v>
      </c>
      <c r="V4895" s="403" t="str">
        <f t="shared" si="615"/>
        <v>CPP_7_3</v>
      </c>
    </row>
    <row r="4896" spans="1:22">
      <c r="A4896" t="str">
        <f t="shared" si="608"/>
        <v>NDE-8504-R</v>
      </c>
      <c r="B4896" s="403" t="s">
        <v>1410</v>
      </c>
      <c r="C4896" s="403" t="s">
        <v>582</v>
      </c>
      <c r="D4896" s="403" t="s">
        <v>1418</v>
      </c>
      <c r="E4896" s="403" t="s">
        <v>1413</v>
      </c>
      <c r="F4896" s="403" t="s">
        <v>1419</v>
      </c>
      <c r="G4896" s="403" t="s">
        <v>1467</v>
      </c>
      <c r="H4896" s="403" t="s">
        <v>1276</v>
      </c>
      <c r="I4896" s="403">
        <v>1</v>
      </c>
      <c r="J4896" s="403" t="s">
        <v>194</v>
      </c>
      <c r="K4896" s="403">
        <v>2160</v>
      </c>
      <c r="L4896" s="403">
        <v>3840</v>
      </c>
      <c r="M4896" s="403" t="s">
        <v>1284</v>
      </c>
      <c r="N4896" s="403">
        <v>480</v>
      </c>
      <c r="O4896" s="403">
        <v>640</v>
      </c>
      <c r="P4896" t="str">
        <f t="shared" si="609"/>
        <v>20fps 3840x2160 - SD VGA (cropped)</v>
      </c>
      <c r="Q4896">
        <f t="shared" si="610"/>
        <v>21</v>
      </c>
      <c r="R4896" t="str">
        <f t="shared" si="611"/>
        <v/>
      </c>
      <c r="S4896" t="str">
        <f t="shared" si="612"/>
        <v/>
      </c>
      <c r="T4896" s="403" t="str">
        <f t="shared" si="613"/>
        <v>NDE-8504-R</v>
      </c>
      <c r="U4896" s="403">
        <f t="shared" si="614"/>
        <v>1</v>
      </c>
      <c r="V4896" s="403" t="str">
        <f t="shared" si="615"/>
        <v>CPP_7_3</v>
      </c>
    </row>
    <row r="4897" spans="1:22">
      <c r="A4897" t="str">
        <f t="shared" si="608"/>
        <v>NDE-8504-R</v>
      </c>
      <c r="B4897" s="403" t="s">
        <v>1410</v>
      </c>
      <c r="C4897" s="403" t="s">
        <v>582</v>
      </c>
      <c r="D4897" s="403" t="s">
        <v>1418</v>
      </c>
      <c r="E4897" s="403" t="s">
        <v>1413</v>
      </c>
      <c r="F4897" s="403" t="s">
        <v>1419</v>
      </c>
      <c r="G4897" s="403" t="s">
        <v>1467</v>
      </c>
      <c r="H4897" s="403" t="s">
        <v>1276</v>
      </c>
      <c r="I4897" s="403">
        <v>1</v>
      </c>
      <c r="J4897" s="403" t="s">
        <v>194</v>
      </c>
      <c r="K4897" s="403">
        <v>2160</v>
      </c>
      <c r="L4897" s="403">
        <v>3840</v>
      </c>
      <c r="M4897" s="403" t="s">
        <v>1285</v>
      </c>
      <c r="N4897" s="403">
        <v>1024</v>
      </c>
      <c r="O4897" s="403">
        <v>1280</v>
      </c>
      <c r="P4897" t="str">
        <f t="shared" si="609"/>
        <v>20fps 3840x2160 - 1280x1024 5:4 (cropped)</v>
      </c>
      <c r="Q4897">
        <f t="shared" si="610"/>
        <v>21</v>
      </c>
      <c r="R4897" t="str">
        <f t="shared" si="611"/>
        <v/>
      </c>
      <c r="S4897" t="str">
        <f t="shared" si="612"/>
        <v/>
      </c>
      <c r="T4897" s="403" t="str">
        <f t="shared" si="613"/>
        <v>NDE-8504-R</v>
      </c>
      <c r="U4897" s="403">
        <f t="shared" si="614"/>
        <v>1</v>
      </c>
      <c r="V4897" s="403" t="str">
        <f t="shared" si="615"/>
        <v>CPP_7_3</v>
      </c>
    </row>
    <row r="4898" spans="1:22">
      <c r="A4898" t="str">
        <f t="shared" si="608"/>
        <v>NDE-8504-R</v>
      </c>
      <c r="B4898" s="403" t="s">
        <v>1410</v>
      </c>
      <c r="C4898" s="403" t="s">
        <v>582</v>
      </c>
      <c r="D4898" s="403" t="s">
        <v>1418</v>
      </c>
      <c r="E4898" s="403" t="s">
        <v>1413</v>
      </c>
      <c r="F4898" s="403" t="s">
        <v>1419</v>
      </c>
      <c r="G4898" s="403" t="s">
        <v>1467</v>
      </c>
      <c r="H4898" s="403" t="s">
        <v>1276</v>
      </c>
      <c r="I4898" s="403">
        <v>1</v>
      </c>
      <c r="J4898" s="403" t="s">
        <v>194</v>
      </c>
      <c r="K4898" s="403">
        <v>2160</v>
      </c>
      <c r="L4898" s="403">
        <v>3840</v>
      </c>
      <c r="M4898" s="403" t="s">
        <v>1383</v>
      </c>
      <c r="N4898" s="403">
        <v>1440</v>
      </c>
      <c r="O4898" s="403">
        <v>1920</v>
      </c>
      <c r="P4898" t="str">
        <f t="shared" si="609"/>
        <v>20fps 3840x2160 - 1920x1440_CROP</v>
      </c>
      <c r="Q4898">
        <f t="shared" si="610"/>
        <v>21</v>
      </c>
      <c r="R4898" t="str">
        <f t="shared" si="611"/>
        <v/>
      </c>
      <c r="S4898" t="str">
        <f t="shared" si="612"/>
        <v/>
      </c>
      <c r="T4898" s="403" t="str">
        <f t="shared" si="613"/>
        <v>NDE-8504-R</v>
      </c>
      <c r="U4898" s="403">
        <f t="shared" si="614"/>
        <v>1</v>
      </c>
      <c r="V4898" s="403" t="str">
        <f t="shared" si="615"/>
        <v>CPP_7_3</v>
      </c>
    </row>
    <row r="4899" spans="1:22">
      <c r="A4899" t="str">
        <f t="shared" si="608"/>
        <v>NDE-8504-R</v>
      </c>
      <c r="B4899" s="403" t="s">
        <v>1410</v>
      </c>
      <c r="C4899" s="403" t="s">
        <v>582</v>
      </c>
      <c r="D4899" s="403" t="s">
        <v>1418</v>
      </c>
      <c r="E4899" s="403" t="s">
        <v>1413</v>
      </c>
      <c r="F4899" s="403" t="s">
        <v>1419</v>
      </c>
      <c r="G4899" s="403" t="s">
        <v>1467</v>
      </c>
      <c r="H4899" s="403" t="s">
        <v>1276</v>
      </c>
      <c r="I4899" s="403">
        <v>1</v>
      </c>
      <c r="J4899" s="403" t="s">
        <v>1324</v>
      </c>
      <c r="K4899" s="403">
        <v>2016</v>
      </c>
      <c r="L4899" s="403">
        <v>3584</v>
      </c>
      <c r="M4899" s="403" t="s">
        <v>111</v>
      </c>
      <c r="N4899" s="403">
        <v>432</v>
      </c>
      <c r="O4899" s="403">
        <v>768</v>
      </c>
      <c r="P4899" t="str">
        <f t="shared" si="609"/>
        <v>20fps 3584x2016 - SD</v>
      </c>
      <c r="Q4899">
        <f t="shared" si="610"/>
        <v>21</v>
      </c>
      <c r="R4899" t="str">
        <f t="shared" si="611"/>
        <v/>
      </c>
      <c r="S4899" t="str">
        <f t="shared" si="612"/>
        <v/>
      </c>
      <c r="T4899" s="403" t="str">
        <f t="shared" si="613"/>
        <v>NDE-8504-R</v>
      </c>
      <c r="U4899" s="403">
        <f t="shared" si="614"/>
        <v>1</v>
      </c>
      <c r="V4899" s="403" t="str">
        <f t="shared" si="615"/>
        <v>CPP_7_3</v>
      </c>
    </row>
    <row r="4900" spans="1:22">
      <c r="A4900" t="str">
        <f t="shared" si="608"/>
        <v>NDE-8504-R</v>
      </c>
      <c r="B4900" s="403" t="s">
        <v>1410</v>
      </c>
      <c r="C4900" s="403" t="s">
        <v>582</v>
      </c>
      <c r="D4900" s="403" t="s">
        <v>1418</v>
      </c>
      <c r="E4900" s="403" t="s">
        <v>1413</v>
      </c>
      <c r="F4900" s="403" t="s">
        <v>1419</v>
      </c>
      <c r="G4900" s="403" t="s">
        <v>1467</v>
      </c>
      <c r="H4900" s="403" t="s">
        <v>1276</v>
      </c>
      <c r="I4900" s="403">
        <v>1</v>
      </c>
      <c r="J4900" s="403" t="s">
        <v>1324</v>
      </c>
      <c r="K4900" s="403">
        <v>2016</v>
      </c>
      <c r="L4900" s="403">
        <v>3584</v>
      </c>
      <c r="M4900" s="403" t="s">
        <v>1280</v>
      </c>
      <c r="N4900" s="403">
        <v>2016</v>
      </c>
      <c r="O4900" s="403">
        <v>3584</v>
      </c>
      <c r="P4900" t="str">
        <f t="shared" si="609"/>
        <v>20fps 3584x2016 - copy other stream</v>
      </c>
      <c r="Q4900">
        <f t="shared" si="610"/>
        <v>21</v>
      </c>
      <c r="R4900" t="str">
        <f t="shared" si="611"/>
        <v/>
      </c>
      <c r="S4900" t="str">
        <f t="shared" si="612"/>
        <v/>
      </c>
      <c r="T4900" s="403" t="str">
        <f t="shared" si="613"/>
        <v>NDE-8504-R</v>
      </c>
      <c r="U4900" s="403">
        <f t="shared" si="614"/>
        <v>1</v>
      </c>
      <c r="V4900" s="403" t="str">
        <f t="shared" si="615"/>
        <v>CPP_7_3</v>
      </c>
    </row>
    <row r="4901" spans="1:22">
      <c r="A4901" t="str">
        <f t="shared" si="608"/>
        <v>NDE-8504-R</v>
      </c>
      <c r="B4901" s="403" t="s">
        <v>1410</v>
      </c>
      <c r="C4901" s="403" t="s">
        <v>582</v>
      </c>
      <c r="D4901" s="403" t="s">
        <v>1418</v>
      </c>
      <c r="E4901" s="403" t="s">
        <v>1413</v>
      </c>
      <c r="F4901" s="403" t="s">
        <v>1419</v>
      </c>
      <c r="G4901" s="403" t="s">
        <v>1467</v>
      </c>
      <c r="H4901" s="403" t="s">
        <v>1276</v>
      </c>
      <c r="I4901" s="403">
        <v>1</v>
      </c>
      <c r="J4901" s="403" t="s">
        <v>1324</v>
      </c>
      <c r="K4901" s="403">
        <v>2016</v>
      </c>
      <c r="L4901" s="403">
        <v>3584</v>
      </c>
      <c r="M4901" s="403" t="s">
        <v>1421</v>
      </c>
      <c r="N4901" s="403">
        <v>2016</v>
      </c>
      <c r="O4901" s="403">
        <v>3584</v>
      </c>
      <c r="P4901" t="str">
        <f t="shared" si="609"/>
        <v>20fps 3584x2016 - 3584x2016 @ SKIP2</v>
      </c>
      <c r="Q4901">
        <f t="shared" si="610"/>
        <v>21</v>
      </c>
      <c r="R4901" t="str">
        <f t="shared" si="611"/>
        <v/>
      </c>
      <c r="S4901" t="str">
        <f t="shared" si="612"/>
        <v/>
      </c>
      <c r="T4901" s="403" t="str">
        <f t="shared" si="613"/>
        <v>NDE-8504-R</v>
      </c>
      <c r="U4901" s="403">
        <f t="shared" si="614"/>
        <v>1</v>
      </c>
      <c r="V4901" s="403" t="str">
        <f t="shared" si="615"/>
        <v>CPP_7_3</v>
      </c>
    </row>
    <row r="4902" spans="1:22">
      <c r="A4902" t="str">
        <f t="shared" si="608"/>
        <v>NDE-8504-R</v>
      </c>
      <c r="B4902" s="403" t="s">
        <v>1410</v>
      </c>
      <c r="C4902" s="403" t="s">
        <v>582</v>
      </c>
      <c r="D4902" s="403" t="s">
        <v>1418</v>
      </c>
      <c r="E4902" s="403" t="s">
        <v>1413</v>
      </c>
      <c r="F4902" s="403" t="s">
        <v>1419</v>
      </c>
      <c r="G4902" s="403" t="s">
        <v>1467</v>
      </c>
      <c r="H4902" s="403" t="s">
        <v>1276</v>
      </c>
      <c r="I4902" s="403">
        <v>1</v>
      </c>
      <c r="J4902" s="403" t="s">
        <v>1324</v>
      </c>
      <c r="K4902" s="403">
        <v>2016</v>
      </c>
      <c r="L4902" s="403">
        <v>3584</v>
      </c>
      <c r="M4902" s="403" t="s">
        <v>110</v>
      </c>
      <c r="N4902" s="403">
        <v>1080</v>
      </c>
      <c r="O4902" s="403">
        <v>1920</v>
      </c>
      <c r="P4902" t="str">
        <f t="shared" si="609"/>
        <v>20fps 3584x2016 - 1080p</v>
      </c>
      <c r="Q4902">
        <f t="shared" si="610"/>
        <v>21</v>
      </c>
      <c r="R4902" t="str">
        <f t="shared" si="611"/>
        <v/>
      </c>
      <c r="S4902" t="str">
        <f t="shared" si="612"/>
        <v/>
      </c>
      <c r="T4902" s="403" t="str">
        <f t="shared" si="613"/>
        <v>NDE-8504-R</v>
      </c>
      <c r="U4902" s="403">
        <f t="shared" si="614"/>
        <v>1</v>
      </c>
      <c r="V4902" s="403" t="str">
        <f t="shared" si="615"/>
        <v>CPP_7_3</v>
      </c>
    </row>
    <row r="4903" spans="1:22">
      <c r="A4903" t="str">
        <f t="shared" si="608"/>
        <v>NDE-8504-R</v>
      </c>
      <c r="B4903" s="403" t="s">
        <v>1410</v>
      </c>
      <c r="C4903" s="403" t="s">
        <v>582</v>
      </c>
      <c r="D4903" s="403" t="s">
        <v>1418</v>
      </c>
      <c r="E4903" s="403" t="s">
        <v>1413</v>
      </c>
      <c r="F4903" s="403" t="s">
        <v>1419</v>
      </c>
      <c r="G4903" s="403" t="s">
        <v>1467</v>
      </c>
      <c r="H4903" s="403" t="s">
        <v>1276</v>
      </c>
      <c r="I4903" s="403">
        <v>1</v>
      </c>
      <c r="J4903" s="403" t="s">
        <v>1324</v>
      </c>
      <c r="K4903" s="403">
        <v>2016</v>
      </c>
      <c r="L4903" s="403">
        <v>3584</v>
      </c>
      <c r="M4903" s="403" t="s">
        <v>109</v>
      </c>
      <c r="N4903" s="403">
        <v>720</v>
      </c>
      <c r="O4903" s="403">
        <v>1280</v>
      </c>
      <c r="P4903" t="str">
        <f t="shared" si="609"/>
        <v>20fps 3584x2016 - 720p</v>
      </c>
      <c r="Q4903">
        <f t="shared" si="610"/>
        <v>21</v>
      </c>
      <c r="R4903" t="str">
        <f t="shared" si="611"/>
        <v/>
      </c>
      <c r="S4903" t="str">
        <f t="shared" si="612"/>
        <v/>
      </c>
      <c r="T4903" s="403" t="str">
        <f t="shared" si="613"/>
        <v>NDE-8504-R</v>
      </c>
      <c r="U4903" s="403">
        <f t="shared" si="614"/>
        <v>1</v>
      </c>
      <c r="V4903" s="403" t="str">
        <f t="shared" si="615"/>
        <v>CPP_7_3</v>
      </c>
    </row>
    <row r="4904" spans="1:22">
      <c r="A4904" t="str">
        <f t="shared" si="608"/>
        <v>NDE-8504-R</v>
      </c>
      <c r="B4904" s="403" t="s">
        <v>1410</v>
      </c>
      <c r="C4904" s="403" t="s">
        <v>582</v>
      </c>
      <c r="D4904" s="403" t="s">
        <v>1418</v>
      </c>
      <c r="E4904" s="403" t="s">
        <v>1413</v>
      </c>
      <c r="F4904" s="403" t="s">
        <v>1419</v>
      </c>
      <c r="G4904" s="403" t="s">
        <v>1467</v>
      </c>
      <c r="H4904" s="403" t="s">
        <v>1276</v>
      </c>
      <c r="I4904" s="403">
        <v>1</v>
      </c>
      <c r="J4904" s="403" t="s">
        <v>1324</v>
      </c>
      <c r="K4904" s="403">
        <v>2016</v>
      </c>
      <c r="L4904" s="403">
        <v>3584</v>
      </c>
      <c r="M4904" s="403" t="s">
        <v>1283</v>
      </c>
      <c r="N4904" s="403">
        <v>480</v>
      </c>
      <c r="O4904" s="403">
        <v>720</v>
      </c>
      <c r="P4904" t="str">
        <f t="shared" si="609"/>
        <v>20fps 3584x2016 - SD 4CIF resolution 4:3 format (cropped)</v>
      </c>
      <c r="Q4904">
        <f t="shared" si="610"/>
        <v>21</v>
      </c>
      <c r="R4904" t="str">
        <f t="shared" si="611"/>
        <v/>
      </c>
      <c r="S4904" t="str">
        <f t="shared" si="612"/>
        <v/>
      </c>
      <c r="T4904" s="403" t="str">
        <f t="shared" si="613"/>
        <v>NDE-8504-R</v>
      </c>
      <c r="U4904" s="403">
        <f t="shared" si="614"/>
        <v>1</v>
      </c>
      <c r="V4904" s="403" t="str">
        <f t="shared" si="615"/>
        <v>CPP_7_3</v>
      </c>
    </row>
    <row r="4905" spans="1:22">
      <c r="A4905" t="str">
        <f t="shared" si="608"/>
        <v>NDE-8504-R</v>
      </c>
      <c r="B4905" s="403" t="s">
        <v>1410</v>
      </c>
      <c r="C4905" s="403" t="s">
        <v>582</v>
      </c>
      <c r="D4905" s="403" t="s">
        <v>1418</v>
      </c>
      <c r="E4905" s="403" t="s">
        <v>1413</v>
      </c>
      <c r="F4905" s="403" t="s">
        <v>1419</v>
      </c>
      <c r="G4905" s="403" t="s">
        <v>1467</v>
      </c>
      <c r="H4905" s="403" t="s">
        <v>1276</v>
      </c>
      <c r="I4905" s="403">
        <v>1</v>
      </c>
      <c r="J4905" s="403" t="s">
        <v>1324</v>
      </c>
      <c r="K4905" s="403">
        <v>2016</v>
      </c>
      <c r="L4905" s="403">
        <v>3584</v>
      </c>
      <c r="M4905" s="403" t="s">
        <v>1279</v>
      </c>
      <c r="N4905" s="403">
        <v>432</v>
      </c>
      <c r="O4905" s="403">
        <v>768</v>
      </c>
      <c r="P4905" t="str">
        <f t="shared" si="609"/>
        <v>20fps 3584x2016 - SD ROI PTZ</v>
      </c>
      <c r="Q4905">
        <f t="shared" si="610"/>
        <v>21</v>
      </c>
      <c r="R4905" t="str">
        <f t="shared" si="611"/>
        <v/>
      </c>
      <c r="S4905" t="str">
        <f t="shared" si="612"/>
        <v/>
      </c>
      <c r="T4905" s="403" t="str">
        <f t="shared" si="613"/>
        <v>NDE-8504-R</v>
      </c>
      <c r="U4905" s="403">
        <f t="shared" si="614"/>
        <v>1</v>
      </c>
      <c r="V4905" s="403" t="str">
        <f t="shared" si="615"/>
        <v>CPP_7_3</v>
      </c>
    </row>
    <row r="4906" spans="1:22">
      <c r="A4906" t="str">
        <f t="shared" si="608"/>
        <v>NDE-8504-R</v>
      </c>
      <c r="B4906" s="403" t="s">
        <v>1410</v>
      </c>
      <c r="C4906" s="403" t="s">
        <v>582</v>
      </c>
      <c r="D4906" s="403" t="s">
        <v>1418</v>
      </c>
      <c r="E4906" s="403" t="s">
        <v>1413</v>
      </c>
      <c r="F4906" s="403" t="s">
        <v>1419</v>
      </c>
      <c r="G4906" s="403" t="s">
        <v>1467</v>
      </c>
      <c r="H4906" s="403" t="s">
        <v>1276</v>
      </c>
      <c r="I4906" s="403">
        <v>1</v>
      </c>
      <c r="J4906" s="403" t="s">
        <v>1324</v>
      </c>
      <c r="K4906" s="403">
        <v>2016</v>
      </c>
      <c r="L4906" s="403">
        <v>3584</v>
      </c>
      <c r="M4906" s="403" t="s">
        <v>1284</v>
      </c>
      <c r="N4906" s="403">
        <v>480</v>
      </c>
      <c r="O4906" s="403">
        <v>640</v>
      </c>
      <c r="P4906" t="str">
        <f t="shared" si="609"/>
        <v>20fps 3584x2016 - SD VGA (cropped)</v>
      </c>
      <c r="Q4906">
        <f t="shared" si="610"/>
        <v>21</v>
      </c>
      <c r="R4906" t="str">
        <f t="shared" si="611"/>
        <v/>
      </c>
      <c r="S4906" t="str">
        <f t="shared" si="612"/>
        <v/>
      </c>
      <c r="T4906" s="403" t="str">
        <f t="shared" si="613"/>
        <v>NDE-8504-R</v>
      </c>
      <c r="U4906" s="403">
        <f t="shared" si="614"/>
        <v>1</v>
      </c>
      <c r="V4906" s="403" t="str">
        <f t="shared" si="615"/>
        <v>CPP_7_3</v>
      </c>
    </row>
    <row r="4907" spans="1:22">
      <c r="A4907" t="str">
        <f t="shared" si="608"/>
        <v>NDE-8504-R</v>
      </c>
      <c r="B4907" s="403" t="s">
        <v>1410</v>
      </c>
      <c r="C4907" s="403" t="s">
        <v>582</v>
      </c>
      <c r="D4907" s="403" t="s">
        <v>1418</v>
      </c>
      <c r="E4907" s="403" t="s">
        <v>1413</v>
      </c>
      <c r="F4907" s="403" t="s">
        <v>1419</v>
      </c>
      <c r="G4907" s="403" t="s">
        <v>1467</v>
      </c>
      <c r="H4907" s="403" t="s">
        <v>1276</v>
      </c>
      <c r="I4907" s="403">
        <v>1</v>
      </c>
      <c r="J4907" s="403" t="s">
        <v>1324</v>
      </c>
      <c r="K4907" s="403">
        <v>2016</v>
      </c>
      <c r="L4907" s="403">
        <v>3584</v>
      </c>
      <c r="M4907" s="403" t="s">
        <v>1285</v>
      </c>
      <c r="N4907" s="403">
        <v>1024</v>
      </c>
      <c r="O4907" s="403">
        <v>1280</v>
      </c>
      <c r="P4907" t="str">
        <f t="shared" si="609"/>
        <v>20fps 3584x2016 - 1280x1024 5:4 (cropped)</v>
      </c>
      <c r="Q4907">
        <f t="shared" si="610"/>
        <v>21</v>
      </c>
      <c r="R4907" t="str">
        <f t="shared" si="611"/>
        <v/>
      </c>
      <c r="S4907" t="str">
        <f t="shared" si="612"/>
        <v/>
      </c>
      <c r="T4907" s="403" t="str">
        <f t="shared" si="613"/>
        <v>NDE-8504-R</v>
      </c>
      <c r="U4907" s="403">
        <f t="shared" si="614"/>
        <v>1</v>
      </c>
      <c r="V4907" s="403" t="str">
        <f t="shared" si="615"/>
        <v>CPP_7_3</v>
      </c>
    </row>
    <row r="4908" spans="1:22">
      <c r="A4908" t="str">
        <f t="shared" si="608"/>
        <v>NDE-8504-R</v>
      </c>
      <c r="B4908" s="403" t="s">
        <v>1410</v>
      </c>
      <c r="C4908" s="403" t="s">
        <v>582</v>
      </c>
      <c r="D4908" s="403" t="s">
        <v>1418</v>
      </c>
      <c r="E4908" s="403" t="s">
        <v>1413</v>
      </c>
      <c r="F4908" s="403" t="s">
        <v>1419</v>
      </c>
      <c r="G4908" s="403" t="s">
        <v>1467</v>
      </c>
      <c r="H4908" s="403" t="s">
        <v>1276</v>
      </c>
      <c r="I4908" s="403">
        <v>1</v>
      </c>
      <c r="J4908" s="403" t="s">
        <v>1324</v>
      </c>
      <c r="K4908" s="403">
        <v>2016</v>
      </c>
      <c r="L4908" s="403">
        <v>3584</v>
      </c>
      <c r="M4908" s="403" t="s">
        <v>1383</v>
      </c>
      <c r="N4908" s="403">
        <v>1440</v>
      </c>
      <c r="O4908" s="403">
        <v>1920</v>
      </c>
      <c r="P4908" t="str">
        <f t="shared" si="609"/>
        <v>20fps 3584x2016 - 1920x1440_CROP</v>
      </c>
      <c r="Q4908">
        <f t="shared" si="610"/>
        <v>21</v>
      </c>
      <c r="R4908" t="str">
        <f t="shared" si="611"/>
        <v/>
      </c>
      <c r="S4908" t="str">
        <f t="shared" si="612"/>
        <v/>
      </c>
      <c r="T4908" s="403" t="str">
        <f t="shared" si="613"/>
        <v>NDE-8504-R</v>
      </c>
      <c r="U4908" s="403">
        <f t="shared" si="614"/>
        <v>1</v>
      </c>
      <c r="V4908" s="403" t="str">
        <f t="shared" si="615"/>
        <v>CPP_7_3</v>
      </c>
    </row>
    <row r="4909" spans="1:22">
      <c r="A4909" t="str">
        <f t="shared" si="608"/>
        <v>NDE-8504-R</v>
      </c>
      <c r="B4909" s="403" t="s">
        <v>1410</v>
      </c>
      <c r="C4909" s="403" t="s">
        <v>582</v>
      </c>
      <c r="D4909" s="403" t="s">
        <v>1418</v>
      </c>
      <c r="E4909" s="403" t="s">
        <v>1413</v>
      </c>
      <c r="F4909" s="403" t="s">
        <v>1419</v>
      </c>
      <c r="G4909" s="403" t="s">
        <v>1467</v>
      </c>
      <c r="H4909" s="403" t="s">
        <v>1281</v>
      </c>
      <c r="I4909" s="403">
        <v>1</v>
      </c>
      <c r="J4909" s="403" t="s">
        <v>194</v>
      </c>
      <c r="K4909" s="403">
        <v>2160</v>
      </c>
      <c r="L4909" s="403">
        <v>3840</v>
      </c>
      <c r="M4909" s="403" t="s">
        <v>111</v>
      </c>
      <c r="N4909" s="403">
        <v>432</v>
      </c>
      <c r="O4909" s="403">
        <v>768</v>
      </c>
      <c r="P4909" t="str">
        <f t="shared" si="609"/>
        <v>20fps 3840x2160 - SD</v>
      </c>
      <c r="Q4909">
        <f t="shared" si="610"/>
        <v>21</v>
      </c>
      <c r="R4909" t="str">
        <f t="shared" si="611"/>
        <v/>
      </c>
      <c r="S4909" t="str">
        <f t="shared" si="612"/>
        <v/>
      </c>
      <c r="T4909" s="403" t="str">
        <f t="shared" si="613"/>
        <v>NDE-8504-R</v>
      </c>
      <c r="U4909" s="403">
        <f t="shared" si="614"/>
        <v>1</v>
      </c>
      <c r="V4909" s="403" t="str">
        <f t="shared" si="615"/>
        <v>CPP_7_3</v>
      </c>
    </row>
    <row r="4910" spans="1:22">
      <c r="A4910" t="str">
        <f t="shared" si="608"/>
        <v>NDE-8504-R</v>
      </c>
      <c r="B4910" s="403" t="s">
        <v>1410</v>
      </c>
      <c r="C4910" s="403" t="s">
        <v>582</v>
      </c>
      <c r="D4910" s="403" t="s">
        <v>1418</v>
      </c>
      <c r="E4910" s="403" t="s">
        <v>1413</v>
      </c>
      <c r="F4910" s="403" t="s">
        <v>1419</v>
      </c>
      <c r="G4910" s="403" t="s">
        <v>1467</v>
      </c>
      <c r="H4910" s="403" t="s">
        <v>1281</v>
      </c>
      <c r="I4910" s="403">
        <v>1</v>
      </c>
      <c r="J4910" s="403" t="s">
        <v>194</v>
      </c>
      <c r="K4910" s="403">
        <v>2160</v>
      </c>
      <c r="L4910" s="403">
        <v>3840</v>
      </c>
      <c r="M4910" s="403" t="s">
        <v>1280</v>
      </c>
      <c r="N4910" s="403">
        <v>2160</v>
      </c>
      <c r="O4910" s="403">
        <v>3840</v>
      </c>
      <c r="P4910" t="str">
        <f t="shared" si="609"/>
        <v>20fps 3840x2160 - copy other stream</v>
      </c>
      <c r="Q4910">
        <f t="shared" si="610"/>
        <v>21</v>
      </c>
      <c r="R4910" t="str">
        <f t="shared" si="611"/>
        <v/>
      </c>
      <c r="S4910" t="str">
        <f t="shared" si="612"/>
        <v/>
      </c>
      <c r="T4910" s="403" t="str">
        <f t="shared" si="613"/>
        <v>NDE-8504-R</v>
      </c>
      <c r="U4910" s="403">
        <f t="shared" si="614"/>
        <v>1</v>
      </c>
      <c r="V4910" s="403" t="str">
        <f t="shared" si="615"/>
        <v>CPP_7_3</v>
      </c>
    </row>
    <row r="4911" spans="1:22">
      <c r="A4911" t="str">
        <f t="shared" si="608"/>
        <v>NDE-8504-R</v>
      </c>
      <c r="B4911" s="403" t="s">
        <v>1410</v>
      </c>
      <c r="C4911" s="403" t="s">
        <v>582</v>
      </c>
      <c r="D4911" s="403" t="s">
        <v>1418</v>
      </c>
      <c r="E4911" s="403" t="s">
        <v>1413</v>
      </c>
      <c r="F4911" s="403" t="s">
        <v>1419</v>
      </c>
      <c r="G4911" s="403" t="s">
        <v>1467</v>
      </c>
      <c r="H4911" s="403" t="s">
        <v>1281</v>
      </c>
      <c r="I4911" s="403">
        <v>1</v>
      </c>
      <c r="J4911" s="403" t="s">
        <v>194</v>
      </c>
      <c r="K4911" s="403">
        <v>2160</v>
      </c>
      <c r="L4911" s="403">
        <v>3840</v>
      </c>
      <c r="M4911" s="403" t="s">
        <v>1420</v>
      </c>
      <c r="N4911" s="403">
        <v>2160</v>
      </c>
      <c r="O4911" s="403">
        <v>3840</v>
      </c>
      <c r="P4911" t="str">
        <f t="shared" si="609"/>
        <v>20fps 3840x2160 - 3840x2160 @ SKIP3</v>
      </c>
      <c r="Q4911">
        <f t="shared" si="610"/>
        <v>21</v>
      </c>
      <c r="R4911" t="str">
        <f t="shared" si="611"/>
        <v/>
      </c>
      <c r="S4911" t="str">
        <f t="shared" si="612"/>
        <v/>
      </c>
      <c r="T4911" s="403" t="str">
        <f t="shared" si="613"/>
        <v>NDE-8504-R</v>
      </c>
      <c r="U4911" s="403">
        <f t="shared" si="614"/>
        <v>1</v>
      </c>
      <c r="V4911" s="403" t="str">
        <f t="shared" si="615"/>
        <v>CPP_7_3</v>
      </c>
    </row>
    <row r="4912" spans="1:22">
      <c r="A4912" t="str">
        <f t="shared" si="608"/>
        <v>NDE-8504-R</v>
      </c>
      <c r="B4912" s="403" t="s">
        <v>1410</v>
      </c>
      <c r="C4912" s="403" t="s">
        <v>582</v>
      </c>
      <c r="D4912" s="403" t="s">
        <v>1418</v>
      </c>
      <c r="E4912" s="403" t="s">
        <v>1413</v>
      </c>
      <c r="F4912" s="403" t="s">
        <v>1419</v>
      </c>
      <c r="G4912" s="403" t="s">
        <v>1467</v>
      </c>
      <c r="H4912" s="403" t="s">
        <v>1281</v>
      </c>
      <c r="I4912" s="403">
        <v>1</v>
      </c>
      <c r="J4912" s="403" t="s">
        <v>194</v>
      </c>
      <c r="K4912" s="403">
        <v>2160</v>
      </c>
      <c r="L4912" s="403">
        <v>3840</v>
      </c>
      <c r="M4912" s="403" t="s">
        <v>110</v>
      </c>
      <c r="N4912" s="403">
        <v>1080</v>
      </c>
      <c r="O4912" s="403">
        <v>1920</v>
      </c>
      <c r="P4912" t="str">
        <f t="shared" si="609"/>
        <v>20fps 3840x2160 - 1080p</v>
      </c>
      <c r="Q4912">
        <f t="shared" si="610"/>
        <v>21</v>
      </c>
      <c r="R4912" t="str">
        <f t="shared" si="611"/>
        <v/>
      </c>
      <c r="S4912" t="str">
        <f t="shared" si="612"/>
        <v/>
      </c>
      <c r="T4912" s="403" t="str">
        <f t="shared" si="613"/>
        <v>NDE-8504-R</v>
      </c>
      <c r="U4912" s="403">
        <f t="shared" si="614"/>
        <v>1</v>
      </c>
      <c r="V4912" s="403" t="str">
        <f t="shared" si="615"/>
        <v>CPP_7_3</v>
      </c>
    </row>
    <row r="4913" spans="1:22">
      <c r="A4913" t="str">
        <f t="shared" si="608"/>
        <v>NDE-8504-R</v>
      </c>
      <c r="B4913" s="403" t="s">
        <v>1410</v>
      </c>
      <c r="C4913" s="403" t="s">
        <v>582</v>
      </c>
      <c r="D4913" s="403" t="s">
        <v>1418</v>
      </c>
      <c r="E4913" s="403" t="s">
        <v>1413</v>
      </c>
      <c r="F4913" s="403" t="s">
        <v>1419</v>
      </c>
      <c r="G4913" s="403" t="s">
        <v>1467</v>
      </c>
      <c r="H4913" s="403" t="s">
        <v>1281</v>
      </c>
      <c r="I4913" s="403">
        <v>1</v>
      </c>
      <c r="J4913" s="403" t="s">
        <v>194</v>
      </c>
      <c r="K4913" s="403">
        <v>2160</v>
      </c>
      <c r="L4913" s="403">
        <v>3840</v>
      </c>
      <c r="M4913" s="403" t="s">
        <v>109</v>
      </c>
      <c r="N4913" s="403">
        <v>720</v>
      </c>
      <c r="O4913" s="403">
        <v>1280</v>
      </c>
      <c r="P4913" t="str">
        <f t="shared" si="609"/>
        <v>20fps 3840x2160 - 720p</v>
      </c>
      <c r="Q4913">
        <f t="shared" si="610"/>
        <v>21</v>
      </c>
      <c r="R4913" t="str">
        <f t="shared" si="611"/>
        <v/>
      </c>
      <c r="S4913" t="str">
        <f t="shared" si="612"/>
        <v/>
      </c>
      <c r="T4913" s="403" t="str">
        <f t="shared" si="613"/>
        <v>NDE-8504-R</v>
      </c>
      <c r="U4913" s="403">
        <f t="shared" si="614"/>
        <v>1</v>
      </c>
      <c r="V4913" s="403" t="str">
        <f t="shared" si="615"/>
        <v>CPP_7_3</v>
      </c>
    </row>
    <row r="4914" spans="1:22">
      <c r="A4914" t="str">
        <f t="shared" si="608"/>
        <v>NDE-8504-R</v>
      </c>
      <c r="B4914" s="403" t="s">
        <v>1410</v>
      </c>
      <c r="C4914" s="403" t="s">
        <v>582</v>
      </c>
      <c r="D4914" s="403" t="s">
        <v>1418</v>
      </c>
      <c r="E4914" s="403" t="s">
        <v>1413</v>
      </c>
      <c r="F4914" s="403" t="s">
        <v>1419</v>
      </c>
      <c r="G4914" s="403" t="s">
        <v>1467</v>
      </c>
      <c r="H4914" s="403" t="s">
        <v>1281</v>
      </c>
      <c r="I4914" s="403">
        <v>1</v>
      </c>
      <c r="J4914" s="403" t="s">
        <v>194</v>
      </c>
      <c r="K4914" s="403">
        <v>2160</v>
      </c>
      <c r="L4914" s="403">
        <v>3840</v>
      </c>
      <c r="M4914" s="403" t="s">
        <v>1283</v>
      </c>
      <c r="N4914" s="403">
        <v>480</v>
      </c>
      <c r="O4914" s="403">
        <v>720</v>
      </c>
      <c r="P4914" t="str">
        <f t="shared" si="609"/>
        <v>20fps 3840x2160 - SD 4CIF resolution 4:3 format (cropped)</v>
      </c>
      <c r="Q4914">
        <f t="shared" si="610"/>
        <v>21</v>
      </c>
      <c r="R4914" t="str">
        <f t="shared" si="611"/>
        <v/>
      </c>
      <c r="S4914" t="str">
        <f t="shared" si="612"/>
        <v/>
      </c>
      <c r="T4914" s="403" t="str">
        <f t="shared" si="613"/>
        <v>NDE-8504-R</v>
      </c>
      <c r="U4914" s="403">
        <f t="shared" si="614"/>
        <v>1</v>
      </c>
      <c r="V4914" s="403" t="str">
        <f t="shared" si="615"/>
        <v>CPP_7_3</v>
      </c>
    </row>
    <row r="4915" spans="1:22">
      <c r="A4915" t="str">
        <f t="shared" si="608"/>
        <v>NDE-8504-R</v>
      </c>
      <c r="B4915" s="403" t="s">
        <v>1410</v>
      </c>
      <c r="C4915" s="403" t="s">
        <v>582</v>
      </c>
      <c r="D4915" s="403" t="s">
        <v>1418</v>
      </c>
      <c r="E4915" s="403" t="s">
        <v>1413</v>
      </c>
      <c r="F4915" s="403" t="s">
        <v>1419</v>
      </c>
      <c r="G4915" s="403" t="s">
        <v>1467</v>
      </c>
      <c r="H4915" s="403" t="s">
        <v>1281</v>
      </c>
      <c r="I4915" s="403">
        <v>1</v>
      </c>
      <c r="J4915" s="403" t="s">
        <v>194</v>
      </c>
      <c r="K4915" s="403">
        <v>2160</v>
      </c>
      <c r="L4915" s="403">
        <v>3840</v>
      </c>
      <c r="M4915" s="403" t="s">
        <v>1284</v>
      </c>
      <c r="N4915" s="403">
        <v>480</v>
      </c>
      <c r="O4915" s="403">
        <v>640</v>
      </c>
      <c r="P4915" t="str">
        <f t="shared" si="609"/>
        <v>20fps 3840x2160 - SD VGA (cropped)</v>
      </c>
      <c r="Q4915">
        <f t="shared" si="610"/>
        <v>21</v>
      </c>
      <c r="R4915" t="str">
        <f t="shared" si="611"/>
        <v/>
      </c>
      <c r="S4915" t="str">
        <f t="shared" si="612"/>
        <v/>
      </c>
      <c r="T4915" s="403" t="str">
        <f t="shared" si="613"/>
        <v>NDE-8504-R</v>
      </c>
      <c r="U4915" s="403">
        <f t="shared" si="614"/>
        <v>1</v>
      </c>
      <c r="V4915" s="403" t="str">
        <f t="shared" si="615"/>
        <v>CPP_7_3</v>
      </c>
    </row>
    <row r="4916" spans="1:22">
      <c r="A4916" t="str">
        <f t="shared" si="608"/>
        <v>NDE-8504-R</v>
      </c>
      <c r="B4916" s="403" t="s">
        <v>1410</v>
      </c>
      <c r="C4916" s="403" t="s">
        <v>582</v>
      </c>
      <c r="D4916" s="403" t="s">
        <v>1418</v>
      </c>
      <c r="E4916" s="403" t="s">
        <v>1413</v>
      </c>
      <c r="F4916" s="403" t="s">
        <v>1419</v>
      </c>
      <c r="G4916" s="403" t="s">
        <v>1467</v>
      </c>
      <c r="H4916" s="403" t="s">
        <v>1281</v>
      </c>
      <c r="I4916" s="403">
        <v>1</v>
      </c>
      <c r="J4916" s="403" t="s">
        <v>194</v>
      </c>
      <c r="K4916" s="403">
        <v>2160</v>
      </c>
      <c r="L4916" s="403">
        <v>3840</v>
      </c>
      <c r="M4916" s="403" t="s">
        <v>1285</v>
      </c>
      <c r="N4916" s="403">
        <v>1024</v>
      </c>
      <c r="O4916" s="403">
        <v>1280</v>
      </c>
      <c r="P4916" t="str">
        <f t="shared" si="609"/>
        <v>20fps 3840x2160 - 1280x1024 5:4 (cropped)</v>
      </c>
      <c r="Q4916">
        <f t="shared" si="610"/>
        <v>21</v>
      </c>
      <c r="R4916" t="str">
        <f t="shared" si="611"/>
        <v/>
      </c>
      <c r="S4916" t="str">
        <f t="shared" si="612"/>
        <v/>
      </c>
      <c r="T4916" s="403" t="str">
        <f t="shared" si="613"/>
        <v>NDE-8504-R</v>
      </c>
      <c r="U4916" s="403">
        <f t="shared" si="614"/>
        <v>1</v>
      </c>
      <c r="V4916" s="403" t="str">
        <f t="shared" si="615"/>
        <v>CPP_7_3</v>
      </c>
    </row>
    <row r="4917" spans="1:22">
      <c r="A4917" t="str">
        <f t="shared" si="608"/>
        <v>NDE-8504-R</v>
      </c>
      <c r="B4917" s="403" t="s">
        <v>1410</v>
      </c>
      <c r="C4917" s="403" t="s">
        <v>582</v>
      </c>
      <c r="D4917" s="403" t="s">
        <v>1418</v>
      </c>
      <c r="E4917" s="403" t="s">
        <v>1413</v>
      </c>
      <c r="F4917" s="403" t="s">
        <v>1419</v>
      </c>
      <c r="G4917" s="403" t="s">
        <v>1467</v>
      </c>
      <c r="H4917" s="403" t="s">
        <v>1281</v>
      </c>
      <c r="I4917" s="403">
        <v>1</v>
      </c>
      <c r="J4917" s="403" t="s">
        <v>194</v>
      </c>
      <c r="K4917" s="403">
        <v>2160</v>
      </c>
      <c r="L4917" s="403">
        <v>3840</v>
      </c>
      <c r="M4917" s="403" t="s">
        <v>1383</v>
      </c>
      <c r="N4917" s="403">
        <v>1440</v>
      </c>
      <c r="O4917" s="403">
        <v>1920</v>
      </c>
      <c r="P4917" t="str">
        <f t="shared" si="609"/>
        <v>20fps 3840x2160 - 1920x1440_CROP</v>
      </c>
      <c r="Q4917">
        <f t="shared" si="610"/>
        <v>21</v>
      </c>
      <c r="R4917" t="str">
        <f t="shared" si="611"/>
        <v/>
      </c>
      <c r="S4917" t="str">
        <f t="shared" si="612"/>
        <v/>
      </c>
      <c r="T4917" s="403" t="str">
        <f t="shared" si="613"/>
        <v>NDE-8504-R</v>
      </c>
      <c r="U4917" s="403">
        <f t="shared" si="614"/>
        <v>1</v>
      </c>
      <c r="V4917" s="403" t="str">
        <f t="shared" si="615"/>
        <v>CPP_7_3</v>
      </c>
    </row>
    <row r="4918" spans="1:22">
      <c r="A4918" t="str">
        <f t="shared" si="608"/>
        <v>NDE-8504-R</v>
      </c>
      <c r="B4918" s="403" t="s">
        <v>1410</v>
      </c>
      <c r="C4918" s="403" t="s">
        <v>582</v>
      </c>
      <c r="D4918" s="403" t="s">
        <v>1418</v>
      </c>
      <c r="E4918" s="403" t="s">
        <v>1413</v>
      </c>
      <c r="F4918" s="403" t="s">
        <v>1419</v>
      </c>
      <c r="G4918" s="403" t="s">
        <v>1467</v>
      </c>
      <c r="H4918" s="403" t="s">
        <v>1281</v>
      </c>
      <c r="I4918" s="403">
        <v>1</v>
      </c>
      <c r="J4918" s="403" t="s">
        <v>1324</v>
      </c>
      <c r="K4918" s="403">
        <v>2016</v>
      </c>
      <c r="L4918" s="403">
        <v>3584</v>
      </c>
      <c r="M4918" s="403" t="s">
        <v>111</v>
      </c>
      <c r="N4918" s="403">
        <v>432</v>
      </c>
      <c r="O4918" s="403">
        <v>768</v>
      </c>
      <c r="P4918" t="str">
        <f t="shared" si="609"/>
        <v>20fps 3584x2016 - SD</v>
      </c>
      <c r="Q4918">
        <f t="shared" si="610"/>
        <v>21</v>
      </c>
      <c r="R4918" t="str">
        <f t="shared" si="611"/>
        <v/>
      </c>
      <c r="S4918" t="str">
        <f t="shared" si="612"/>
        <v/>
      </c>
      <c r="T4918" s="403" t="str">
        <f t="shared" si="613"/>
        <v>NDE-8504-R</v>
      </c>
      <c r="U4918" s="403">
        <f t="shared" si="614"/>
        <v>1</v>
      </c>
      <c r="V4918" s="403" t="str">
        <f t="shared" si="615"/>
        <v>CPP_7_3</v>
      </c>
    </row>
    <row r="4919" spans="1:22">
      <c r="A4919" t="str">
        <f t="shared" si="608"/>
        <v>NDE-8504-R</v>
      </c>
      <c r="B4919" s="403" t="s">
        <v>1410</v>
      </c>
      <c r="C4919" s="403" t="s">
        <v>582</v>
      </c>
      <c r="D4919" s="403" t="s">
        <v>1418</v>
      </c>
      <c r="E4919" s="403" t="s">
        <v>1413</v>
      </c>
      <c r="F4919" s="403" t="s">
        <v>1419</v>
      </c>
      <c r="G4919" s="403" t="s">
        <v>1467</v>
      </c>
      <c r="H4919" s="403" t="s">
        <v>1281</v>
      </c>
      <c r="I4919" s="403">
        <v>1</v>
      </c>
      <c r="J4919" s="403" t="s">
        <v>1324</v>
      </c>
      <c r="K4919" s="403">
        <v>2016</v>
      </c>
      <c r="L4919" s="403">
        <v>3584</v>
      </c>
      <c r="M4919" s="403" t="s">
        <v>1280</v>
      </c>
      <c r="N4919" s="403">
        <v>2016</v>
      </c>
      <c r="O4919" s="403">
        <v>3584</v>
      </c>
      <c r="P4919" t="str">
        <f t="shared" si="609"/>
        <v>20fps 3584x2016 - copy other stream</v>
      </c>
      <c r="Q4919">
        <f t="shared" si="610"/>
        <v>21</v>
      </c>
      <c r="R4919" t="str">
        <f t="shared" si="611"/>
        <v/>
      </c>
      <c r="S4919" t="str">
        <f t="shared" si="612"/>
        <v/>
      </c>
      <c r="T4919" s="403" t="str">
        <f t="shared" si="613"/>
        <v>NDE-8504-R</v>
      </c>
      <c r="U4919" s="403">
        <f t="shared" si="614"/>
        <v>1</v>
      </c>
      <c r="V4919" s="403" t="str">
        <f t="shared" si="615"/>
        <v>CPP_7_3</v>
      </c>
    </row>
    <row r="4920" spans="1:22">
      <c r="A4920" t="str">
        <f t="shared" si="608"/>
        <v>NDE-8504-R</v>
      </c>
      <c r="B4920" s="403" t="s">
        <v>1410</v>
      </c>
      <c r="C4920" s="403" t="s">
        <v>582</v>
      </c>
      <c r="D4920" s="403" t="s">
        <v>1418</v>
      </c>
      <c r="E4920" s="403" t="s">
        <v>1413</v>
      </c>
      <c r="F4920" s="403" t="s">
        <v>1419</v>
      </c>
      <c r="G4920" s="403" t="s">
        <v>1467</v>
      </c>
      <c r="H4920" s="403" t="s">
        <v>1281</v>
      </c>
      <c r="I4920" s="403">
        <v>1</v>
      </c>
      <c r="J4920" s="403" t="s">
        <v>1324</v>
      </c>
      <c r="K4920" s="403">
        <v>2016</v>
      </c>
      <c r="L4920" s="403">
        <v>3584</v>
      </c>
      <c r="M4920" s="403" t="s">
        <v>1421</v>
      </c>
      <c r="N4920" s="403">
        <v>2016</v>
      </c>
      <c r="O4920" s="403">
        <v>3584</v>
      </c>
      <c r="P4920" t="str">
        <f t="shared" si="609"/>
        <v>20fps 3584x2016 - 3584x2016 @ SKIP2</v>
      </c>
      <c r="Q4920">
        <f t="shared" si="610"/>
        <v>21</v>
      </c>
      <c r="R4920" t="str">
        <f t="shared" si="611"/>
        <v/>
      </c>
      <c r="S4920" t="str">
        <f t="shared" si="612"/>
        <v/>
      </c>
      <c r="T4920" s="403" t="str">
        <f t="shared" si="613"/>
        <v>NDE-8504-R</v>
      </c>
      <c r="U4920" s="403">
        <f t="shared" si="614"/>
        <v>1</v>
      </c>
      <c r="V4920" s="403" t="str">
        <f t="shared" si="615"/>
        <v>CPP_7_3</v>
      </c>
    </row>
    <row r="4921" spans="1:22">
      <c r="A4921" t="str">
        <f t="shared" si="608"/>
        <v>NDE-8504-R</v>
      </c>
      <c r="B4921" s="403" t="s">
        <v>1410</v>
      </c>
      <c r="C4921" s="403" t="s">
        <v>582</v>
      </c>
      <c r="D4921" s="403" t="s">
        <v>1418</v>
      </c>
      <c r="E4921" s="403" t="s">
        <v>1413</v>
      </c>
      <c r="F4921" s="403" t="s">
        <v>1419</v>
      </c>
      <c r="G4921" s="403" t="s">
        <v>1467</v>
      </c>
      <c r="H4921" s="403" t="s">
        <v>1281</v>
      </c>
      <c r="I4921" s="403">
        <v>1</v>
      </c>
      <c r="J4921" s="403" t="s">
        <v>1324</v>
      </c>
      <c r="K4921" s="403">
        <v>2016</v>
      </c>
      <c r="L4921" s="403">
        <v>3584</v>
      </c>
      <c r="M4921" s="403" t="s">
        <v>110</v>
      </c>
      <c r="N4921" s="403">
        <v>1080</v>
      </c>
      <c r="O4921" s="403">
        <v>1920</v>
      </c>
      <c r="P4921" t="str">
        <f t="shared" si="609"/>
        <v>20fps 3584x2016 - 1080p</v>
      </c>
      <c r="Q4921">
        <f t="shared" si="610"/>
        <v>21</v>
      </c>
      <c r="R4921" t="str">
        <f t="shared" si="611"/>
        <v/>
      </c>
      <c r="S4921" t="str">
        <f t="shared" si="612"/>
        <v/>
      </c>
      <c r="T4921" s="403" t="str">
        <f t="shared" si="613"/>
        <v>NDE-8504-R</v>
      </c>
      <c r="U4921" s="403">
        <f t="shared" si="614"/>
        <v>1</v>
      </c>
      <c r="V4921" s="403" t="str">
        <f t="shared" si="615"/>
        <v>CPP_7_3</v>
      </c>
    </row>
    <row r="4922" spans="1:22">
      <c r="A4922" t="str">
        <f t="shared" si="608"/>
        <v>NDE-8504-R</v>
      </c>
      <c r="B4922" s="403" t="s">
        <v>1410</v>
      </c>
      <c r="C4922" s="403" t="s">
        <v>582</v>
      </c>
      <c r="D4922" s="403" t="s">
        <v>1418</v>
      </c>
      <c r="E4922" s="403" t="s">
        <v>1413</v>
      </c>
      <c r="F4922" s="403" t="s">
        <v>1419</v>
      </c>
      <c r="G4922" s="403" t="s">
        <v>1467</v>
      </c>
      <c r="H4922" s="403" t="s">
        <v>1281</v>
      </c>
      <c r="I4922" s="403">
        <v>1</v>
      </c>
      <c r="J4922" s="403" t="s">
        <v>1324</v>
      </c>
      <c r="K4922" s="403">
        <v>2016</v>
      </c>
      <c r="L4922" s="403">
        <v>3584</v>
      </c>
      <c r="M4922" s="403" t="s">
        <v>109</v>
      </c>
      <c r="N4922" s="403">
        <v>720</v>
      </c>
      <c r="O4922" s="403">
        <v>1280</v>
      </c>
      <c r="P4922" t="str">
        <f t="shared" si="609"/>
        <v>20fps 3584x2016 - 720p</v>
      </c>
      <c r="Q4922">
        <f t="shared" si="610"/>
        <v>21</v>
      </c>
      <c r="R4922" t="str">
        <f t="shared" si="611"/>
        <v/>
      </c>
      <c r="S4922" t="str">
        <f t="shared" si="612"/>
        <v/>
      </c>
      <c r="T4922" s="403" t="str">
        <f t="shared" si="613"/>
        <v>NDE-8504-R</v>
      </c>
      <c r="U4922" s="403">
        <f t="shared" si="614"/>
        <v>1</v>
      </c>
      <c r="V4922" s="403" t="str">
        <f t="shared" si="615"/>
        <v>CPP_7_3</v>
      </c>
    </row>
    <row r="4923" spans="1:22">
      <c r="A4923" t="str">
        <f t="shared" si="608"/>
        <v>NDE-8504-R</v>
      </c>
      <c r="B4923" s="403" t="s">
        <v>1410</v>
      </c>
      <c r="C4923" s="403" t="s">
        <v>582</v>
      </c>
      <c r="D4923" s="403" t="s">
        <v>1418</v>
      </c>
      <c r="E4923" s="403" t="s">
        <v>1413</v>
      </c>
      <c r="F4923" s="403" t="s">
        <v>1419</v>
      </c>
      <c r="G4923" s="403" t="s">
        <v>1467</v>
      </c>
      <c r="H4923" s="403" t="s">
        <v>1281</v>
      </c>
      <c r="I4923" s="403">
        <v>1</v>
      </c>
      <c r="J4923" s="403" t="s">
        <v>1324</v>
      </c>
      <c r="K4923" s="403">
        <v>2016</v>
      </c>
      <c r="L4923" s="403">
        <v>3584</v>
      </c>
      <c r="M4923" s="403" t="s">
        <v>1283</v>
      </c>
      <c r="N4923" s="403">
        <v>480</v>
      </c>
      <c r="O4923" s="403">
        <v>720</v>
      </c>
      <c r="P4923" t="str">
        <f t="shared" si="609"/>
        <v>20fps 3584x2016 - SD 4CIF resolution 4:3 format (cropped)</v>
      </c>
      <c r="Q4923">
        <f t="shared" si="610"/>
        <v>21</v>
      </c>
      <c r="R4923" t="str">
        <f t="shared" si="611"/>
        <v/>
      </c>
      <c r="S4923" t="str">
        <f t="shared" si="612"/>
        <v/>
      </c>
      <c r="T4923" s="403" t="str">
        <f t="shared" si="613"/>
        <v>NDE-8504-R</v>
      </c>
      <c r="U4923" s="403">
        <f t="shared" si="614"/>
        <v>1</v>
      </c>
      <c r="V4923" s="403" t="str">
        <f t="shared" si="615"/>
        <v>CPP_7_3</v>
      </c>
    </row>
    <row r="4924" spans="1:22">
      <c r="A4924" t="str">
        <f t="shared" si="608"/>
        <v>NDE-8504-R</v>
      </c>
      <c r="B4924" s="403" t="s">
        <v>1410</v>
      </c>
      <c r="C4924" s="403" t="s">
        <v>582</v>
      </c>
      <c r="D4924" s="403" t="s">
        <v>1418</v>
      </c>
      <c r="E4924" s="403" t="s">
        <v>1413</v>
      </c>
      <c r="F4924" s="403" t="s">
        <v>1419</v>
      </c>
      <c r="G4924" s="403" t="s">
        <v>1467</v>
      </c>
      <c r="H4924" s="403" t="s">
        <v>1281</v>
      </c>
      <c r="I4924" s="403">
        <v>1</v>
      </c>
      <c r="J4924" s="403" t="s">
        <v>1324</v>
      </c>
      <c r="K4924" s="403">
        <v>2016</v>
      </c>
      <c r="L4924" s="403">
        <v>3584</v>
      </c>
      <c r="M4924" s="403" t="s">
        <v>1279</v>
      </c>
      <c r="N4924" s="403">
        <v>432</v>
      </c>
      <c r="O4924" s="403">
        <v>768</v>
      </c>
      <c r="P4924" t="str">
        <f t="shared" si="609"/>
        <v>20fps 3584x2016 - SD ROI PTZ</v>
      </c>
      <c r="Q4924">
        <f t="shared" si="610"/>
        <v>21</v>
      </c>
      <c r="R4924" t="str">
        <f t="shared" si="611"/>
        <v/>
      </c>
      <c r="S4924" t="str">
        <f t="shared" si="612"/>
        <v/>
      </c>
      <c r="T4924" s="403" t="str">
        <f t="shared" si="613"/>
        <v>NDE-8504-R</v>
      </c>
      <c r="U4924" s="403">
        <f t="shared" si="614"/>
        <v>1</v>
      </c>
      <c r="V4924" s="403" t="str">
        <f t="shared" si="615"/>
        <v>CPP_7_3</v>
      </c>
    </row>
    <row r="4925" spans="1:22">
      <c r="A4925" t="str">
        <f t="shared" si="608"/>
        <v>NDE-8504-R</v>
      </c>
      <c r="B4925" s="403" t="s">
        <v>1410</v>
      </c>
      <c r="C4925" s="403" t="s">
        <v>582</v>
      </c>
      <c r="D4925" s="403" t="s">
        <v>1418</v>
      </c>
      <c r="E4925" s="403" t="s">
        <v>1413</v>
      </c>
      <c r="F4925" s="403" t="s">
        <v>1419</v>
      </c>
      <c r="G4925" s="403" t="s">
        <v>1467</v>
      </c>
      <c r="H4925" s="403" t="s">
        <v>1281</v>
      </c>
      <c r="I4925" s="403">
        <v>1</v>
      </c>
      <c r="J4925" s="403" t="s">
        <v>1324</v>
      </c>
      <c r="K4925" s="403">
        <v>2016</v>
      </c>
      <c r="L4925" s="403">
        <v>3584</v>
      </c>
      <c r="M4925" s="403" t="s">
        <v>1284</v>
      </c>
      <c r="N4925" s="403">
        <v>480</v>
      </c>
      <c r="O4925" s="403">
        <v>640</v>
      </c>
      <c r="P4925" t="str">
        <f t="shared" si="609"/>
        <v>20fps 3584x2016 - SD VGA (cropped)</v>
      </c>
      <c r="Q4925">
        <f t="shared" si="610"/>
        <v>21</v>
      </c>
      <c r="R4925" t="str">
        <f t="shared" si="611"/>
        <v/>
      </c>
      <c r="S4925" t="str">
        <f t="shared" si="612"/>
        <v/>
      </c>
      <c r="T4925" s="403" t="str">
        <f t="shared" si="613"/>
        <v>NDE-8504-R</v>
      </c>
      <c r="U4925" s="403">
        <f t="shared" si="614"/>
        <v>1</v>
      </c>
      <c r="V4925" s="403" t="str">
        <f t="shared" si="615"/>
        <v>CPP_7_3</v>
      </c>
    </row>
    <row r="4926" spans="1:22">
      <c r="A4926" t="str">
        <f t="shared" si="608"/>
        <v>NDE-8504-R</v>
      </c>
      <c r="B4926" s="403" t="s">
        <v>1410</v>
      </c>
      <c r="C4926" s="403" t="s">
        <v>582</v>
      </c>
      <c r="D4926" s="403" t="s">
        <v>1418</v>
      </c>
      <c r="E4926" s="403" t="s">
        <v>1413</v>
      </c>
      <c r="F4926" s="403" t="s">
        <v>1419</v>
      </c>
      <c r="G4926" s="403" t="s">
        <v>1467</v>
      </c>
      <c r="H4926" s="403" t="s">
        <v>1281</v>
      </c>
      <c r="I4926" s="403">
        <v>1</v>
      </c>
      <c r="J4926" s="403" t="s">
        <v>1324</v>
      </c>
      <c r="K4926" s="403">
        <v>2016</v>
      </c>
      <c r="L4926" s="403">
        <v>3584</v>
      </c>
      <c r="M4926" s="403" t="s">
        <v>1285</v>
      </c>
      <c r="N4926" s="403">
        <v>1024</v>
      </c>
      <c r="O4926" s="403">
        <v>1280</v>
      </c>
      <c r="P4926" t="str">
        <f t="shared" si="609"/>
        <v>20fps 3584x2016 - 1280x1024 5:4 (cropped)</v>
      </c>
      <c r="Q4926">
        <f t="shared" si="610"/>
        <v>21</v>
      </c>
      <c r="R4926" t="str">
        <f t="shared" si="611"/>
        <v/>
      </c>
      <c r="S4926" t="str">
        <f t="shared" si="612"/>
        <v/>
      </c>
      <c r="T4926" s="403" t="str">
        <f t="shared" si="613"/>
        <v>NDE-8504-R</v>
      </c>
      <c r="U4926" s="403">
        <f t="shared" si="614"/>
        <v>1</v>
      </c>
      <c r="V4926" s="403" t="str">
        <f t="shared" si="615"/>
        <v>CPP_7_3</v>
      </c>
    </row>
    <row r="4927" spans="1:22">
      <c r="A4927" t="str">
        <f t="shared" si="608"/>
        <v>NDE-8504-R</v>
      </c>
      <c r="B4927" s="403" t="s">
        <v>1410</v>
      </c>
      <c r="C4927" s="403" t="s">
        <v>582</v>
      </c>
      <c r="D4927" s="403" t="s">
        <v>1418</v>
      </c>
      <c r="E4927" s="403" t="s">
        <v>1413</v>
      </c>
      <c r="F4927" s="403" t="s">
        <v>1419</v>
      </c>
      <c r="G4927" s="403" t="s">
        <v>1467</v>
      </c>
      <c r="H4927" s="403" t="s">
        <v>1281</v>
      </c>
      <c r="I4927" s="403">
        <v>1</v>
      </c>
      <c r="J4927" s="403" t="s">
        <v>1324</v>
      </c>
      <c r="K4927" s="403">
        <v>2016</v>
      </c>
      <c r="L4927" s="403">
        <v>3584</v>
      </c>
      <c r="M4927" s="403" t="s">
        <v>1383</v>
      </c>
      <c r="N4927" s="403">
        <v>1440</v>
      </c>
      <c r="O4927" s="403">
        <v>1920</v>
      </c>
      <c r="P4927" t="str">
        <f t="shared" si="609"/>
        <v>20fps 3584x2016 - 1920x1440_CROP</v>
      </c>
      <c r="Q4927">
        <f t="shared" si="610"/>
        <v>21</v>
      </c>
      <c r="R4927" t="str">
        <f t="shared" si="611"/>
        <v/>
      </c>
      <c r="S4927" t="str">
        <f t="shared" si="612"/>
        <v/>
      </c>
      <c r="T4927" s="403" t="str">
        <f t="shared" si="613"/>
        <v>NDE-8504-R</v>
      </c>
      <c r="U4927" s="403">
        <f t="shared" si="614"/>
        <v>1</v>
      </c>
      <c r="V4927" s="403" t="str">
        <f t="shared" si="615"/>
        <v>CPP_7_3</v>
      </c>
    </row>
    <row r="4928" spans="1:22">
      <c r="A4928" t="str">
        <f t="shared" si="608"/>
        <v>NDI-4502-A</v>
      </c>
      <c r="B4928" s="403" t="s">
        <v>1422</v>
      </c>
      <c r="C4928" s="403" t="s">
        <v>582</v>
      </c>
      <c r="D4928" s="403" t="s">
        <v>1423</v>
      </c>
      <c r="E4928" s="403" t="s">
        <v>778</v>
      </c>
      <c r="F4928" s="403" t="s">
        <v>1286</v>
      </c>
      <c r="G4928" s="403" t="s">
        <v>1466</v>
      </c>
      <c r="H4928" s="403" t="s">
        <v>1276</v>
      </c>
      <c r="I4928" s="403">
        <v>1</v>
      </c>
      <c r="J4928" s="403" t="s">
        <v>110</v>
      </c>
      <c r="K4928" s="403">
        <v>1920</v>
      </c>
      <c r="L4928" s="403">
        <v>1080</v>
      </c>
      <c r="M4928" s="403" t="s">
        <v>111</v>
      </c>
      <c r="N4928" s="403">
        <v>768</v>
      </c>
      <c r="O4928" s="403">
        <v>432</v>
      </c>
      <c r="P4928" t="str">
        <f t="shared" si="609"/>
        <v>30fps 1080p - SD</v>
      </c>
      <c r="Q4928">
        <f t="shared" si="610"/>
        <v>22</v>
      </c>
      <c r="R4928">
        <f t="shared" si="611"/>
        <v>22</v>
      </c>
      <c r="S4928" t="str">
        <f t="shared" si="612"/>
        <v>FLEXIDOME IP 4000i (NDI-4502-A)</v>
      </c>
      <c r="T4928" s="403" t="str">
        <f t="shared" si="613"/>
        <v>NDI-4502-A</v>
      </c>
      <c r="U4928" s="403">
        <f t="shared" si="614"/>
        <v>1</v>
      </c>
      <c r="V4928" s="403" t="str">
        <f t="shared" si="615"/>
        <v>CPP_7_3</v>
      </c>
    </row>
    <row r="4929" spans="1:22">
      <c r="A4929" t="str">
        <f t="shared" si="608"/>
        <v>NDI-4502-A</v>
      </c>
      <c r="B4929" s="403" t="s">
        <v>1422</v>
      </c>
      <c r="C4929" s="403" t="s">
        <v>582</v>
      </c>
      <c r="D4929" s="403" t="s">
        <v>1423</v>
      </c>
      <c r="E4929" s="403" t="s">
        <v>778</v>
      </c>
      <c r="F4929" s="403" t="s">
        <v>1286</v>
      </c>
      <c r="G4929" s="403" t="s">
        <v>1466</v>
      </c>
      <c r="H4929" s="403" t="s">
        <v>1276</v>
      </c>
      <c r="I4929" s="403">
        <v>1</v>
      </c>
      <c r="J4929" s="403" t="s">
        <v>110</v>
      </c>
      <c r="K4929" s="403">
        <v>1920</v>
      </c>
      <c r="L4929" s="403">
        <v>1080</v>
      </c>
      <c r="M4929" s="403" t="s">
        <v>110</v>
      </c>
      <c r="N4929" s="403">
        <v>1920</v>
      </c>
      <c r="O4929" s="403">
        <v>1080</v>
      </c>
      <c r="P4929" t="str">
        <f t="shared" si="609"/>
        <v>30fps 1080p - 1080p</v>
      </c>
      <c r="Q4929">
        <f t="shared" si="610"/>
        <v>22</v>
      </c>
      <c r="R4929" t="str">
        <f t="shared" si="611"/>
        <v/>
      </c>
      <c r="S4929" t="str">
        <f t="shared" si="612"/>
        <v/>
      </c>
      <c r="T4929" s="403" t="str">
        <f t="shared" si="613"/>
        <v>NDI-4502-A</v>
      </c>
      <c r="U4929" s="403">
        <f t="shared" si="614"/>
        <v>1</v>
      </c>
      <c r="V4929" s="403" t="str">
        <f t="shared" si="615"/>
        <v>CPP_7_3</v>
      </c>
    </row>
    <row r="4930" spans="1:22">
      <c r="A4930" t="str">
        <f t="shared" ref="A4930:A4993" si="616">IF(AND(G4930&lt;&gt;"rotate 90°"),D4930,"")</f>
        <v>NDI-4502-A</v>
      </c>
      <c r="B4930" s="403" t="s">
        <v>1422</v>
      </c>
      <c r="C4930" s="403" t="s">
        <v>582</v>
      </c>
      <c r="D4930" s="403" t="s">
        <v>1423</v>
      </c>
      <c r="E4930" s="403" t="s">
        <v>778</v>
      </c>
      <c r="F4930" s="403" t="s">
        <v>1286</v>
      </c>
      <c r="G4930" s="403" t="s">
        <v>1466</v>
      </c>
      <c r="H4930" s="403" t="s">
        <v>1276</v>
      </c>
      <c r="I4930" s="403">
        <v>1</v>
      </c>
      <c r="J4930" s="403" t="s">
        <v>110</v>
      </c>
      <c r="K4930" s="403">
        <v>1920</v>
      </c>
      <c r="L4930" s="403">
        <v>1080</v>
      </c>
      <c r="M4930" s="403" t="s">
        <v>109</v>
      </c>
      <c r="N4930" s="403">
        <v>1280</v>
      </c>
      <c r="O4930" s="403">
        <v>720</v>
      </c>
      <c r="P4930" t="str">
        <f t="shared" ref="P4930:P4993" si="617">LEFT(F4930,5)&amp;" "&amp;J4930&amp;" - "&amp;M4930</f>
        <v>30fps 1080p - 720p</v>
      </c>
      <c r="Q4930">
        <f t="shared" ref="Q4930:Q4993" si="618">IF(A4929=A4930,Q4929,Q4929+1)</f>
        <v>22</v>
      </c>
      <c r="R4930" t="str">
        <f t="shared" ref="R4930:R4993" si="619">IF(Q4929&lt;&gt;Q4930,Q4930,"")</f>
        <v/>
      </c>
      <c r="S4930" t="str">
        <f t="shared" ref="S4930:S4993" si="620">IF(R4930&lt;&gt;"",B4930&amp;" ("&amp;D4930&amp;")","")</f>
        <v/>
      </c>
      <c r="T4930" s="403" t="str">
        <f t="shared" ref="T4930:T4993" si="621">D4930</f>
        <v>NDI-4502-A</v>
      </c>
      <c r="U4930" s="403">
        <f t="shared" ref="U4930:U4993" si="622">I4930</f>
        <v>1</v>
      </c>
      <c r="V4930" s="403" t="str">
        <f t="shared" ref="V4930:V4993" si="623">C4930</f>
        <v>CPP_7_3</v>
      </c>
    </row>
    <row r="4931" spans="1:22">
      <c r="A4931" t="str">
        <f t="shared" si="616"/>
        <v>NDI-4502-A</v>
      </c>
      <c r="B4931" s="403" t="s">
        <v>1422</v>
      </c>
      <c r="C4931" s="403" t="s">
        <v>582</v>
      </c>
      <c r="D4931" s="403" t="s">
        <v>1423</v>
      </c>
      <c r="E4931" s="403" t="s">
        <v>778</v>
      </c>
      <c r="F4931" s="403" t="s">
        <v>1286</v>
      </c>
      <c r="G4931" s="403" t="s">
        <v>1466</v>
      </c>
      <c r="H4931" s="403" t="s">
        <v>1276</v>
      </c>
      <c r="I4931" s="403">
        <v>1</v>
      </c>
      <c r="J4931" s="403" t="s">
        <v>110</v>
      </c>
      <c r="K4931" s="403">
        <v>1920</v>
      </c>
      <c r="L4931" s="403">
        <v>1080</v>
      </c>
      <c r="M4931" s="403" t="s">
        <v>1285</v>
      </c>
      <c r="N4931" s="403">
        <v>1280</v>
      </c>
      <c r="O4931" s="403">
        <v>1024</v>
      </c>
      <c r="P4931" t="str">
        <f t="shared" si="617"/>
        <v>30fps 1080p - 1280x1024 5:4 (cropped)</v>
      </c>
      <c r="Q4931">
        <f t="shared" si="618"/>
        <v>22</v>
      </c>
      <c r="R4931" t="str">
        <f t="shared" si="619"/>
        <v/>
      </c>
      <c r="S4931" t="str">
        <f t="shared" si="620"/>
        <v/>
      </c>
      <c r="T4931" s="403" t="str">
        <f t="shared" si="621"/>
        <v>NDI-4502-A</v>
      </c>
      <c r="U4931" s="403">
        <f t="shared" si="622"/>
        <v>1</v>
      </c>
      <c r="V4931" s="403" t="str">
        <f t="shared" si="623"/>
        <v>CPP_7_3</v>
      </c>
    </row>
    <row r="4932" spans="1:22">
      <c r="A4932" t="str">
        <f t="shared" si="616"/>
        <v>NDI-4502-A</v>
      </c>
      <c r="B4932" s="403" t="s">
        <v>1422</v>
      </c>
      <c r="C4932" s="403" t="s">
        <v>582</v>
      </c>
      <c r="D4932" s="403" t="s">
        <v>1423</v>
      </c>
      <c r="E4932" s="403" t="s">
        <v>778</v>
      </c>
      <c r="F4932" s="403" t="s">
        <v>1286</v>
      </c>
      <c r="G4932" s="403" t="s">
        <v>1466</v>
      </c>
      <c r="H4932" s="403" t="s">
        <v>1276</v>
      </c>
      <c r="I4932" s="403">
        <v>1</v>
      </c>
      <c r="J4932" s="403" t="s">
        <v>110</v>
      </c>
      <c r="K4932" s="403">
        <v>1920</v>
      </c>
      <c r="L4932" s="403">
        <v>1080</v>
      </c>
      <c r="M4932" s="403" t="s">
        <v>1279</v>
      </c>
      <c r="N4932" s="403">
        <v>768</v>
      </c>
      <c r="O4932" s="403">
        <v>432</v>
      </c>
      <c r="P4932" t="str">
        <f t="shared" si="617"/>
        <v>30fps 1080p - SD ROI PTZ</v>
      </c>
      <c r="Q4932">
        <f t="shared" si="618"/>
        <v>22</v>
      </c>
      <c r="R4932" t="str">
        <f t="shared" si="619"/>
        <v/>
      </c>
      <c r="S4932" t="str">
        <f t="shared" si="620"/>
        <v/>
      </c>
      <c r="T4932" s="403" t="str">
        <f t="shared" si="621"/>
        <v>NDI-4502-A</v>
      </c>
      <c r="U4932" s="403">
        <f t="shared" si="622"/>
        <v>1</v>
      </c>
      <c r="V4932" s="403" t="str">
        <f t="shared" si="623"/>
        <v>CPP_7_3</v>
      </c>
    </row>
    <row r="4933" spans="1:22">
      <c r="A4933" t="str">
        <f t="shared" si="616"/>
        <v>NDI-4502-A</v>
      </c>
      <c r="B4933" s="403" t="s">
        <v>1422</v>
      </c>
      <c r="C4933" s="403" t="s">
        <v>582</v>
      </c>
      <c r="D4933" s="403" t="s">
        <v>1423</v>
      </c>
      <c r="E4933" s="403" t="s">
        <v>778</v>
      </c>
      <c r="F4933" s="403" t="s">
        <v>1286</v>
      </c>
      <c r="G4933" s="403" t="s">
        <v>1466</v>
      </c>
      <c r="H4933" s="403" t="s">
        <v>1276</v>
      </c>
      <c r="I4933" s="403">
        <v>1</v>
      </c>
      <c r="J4933" s="403" t="s">
        <v>110</v>
      </c>
      <c r="K4933" s="403">
        <v>1920</v>
      </c>
      <c r="L4933" s="403">
        <v>1080</v>
      </c>
      <c r="M4933" s="403" t="s">
        <v>1283</v>
      </c>
      <c r="N4933" s="403">
        <v>720</v>
      </c>
      <c r="O4933" s="403">
        <v>480</v>
      </c>
      <c r="P4933" t="str">
        <f t="shared" si="617"/>
        <v>30fps 1080p - SD 4CIF resolution 4:3 format (cropped)</v>
      </c>
      <c r="Q4933">
        <f t="shared" si="618"/>
        <v>22</v>
      </c>
      <c r="R4933" t="str">
        <f t="shared" si="619"/>
        <v/>
      </c>
      <c r="S4933" t="str">
        <f t="shared" si="620"/>
        <v/>
      </c>
      <c r="T4933" s="403" t="str">
        <f t="shared" si="621"/>
        <v>NDI-4502-A</v>
      </c>
      <c r="U4933" s="403">
        <f t="shared" si="622"/>
        <v>1</v>
      </c>
      <c r="V4933" s="403" t="str">
        <f t="shared" si="623"/>
        <v>CPP_7_3</v>
      </c>
    </row>
    <row r="4934" spans="1:22">
      <c r="A4934" t="str">
        <f t="shared" si="616"/>
        <v>NDI-4502-A</v>
      </c>
      <c r="B4934" s="403" t="s">
        <v>1422</v>
      </c>
      <c r="C4934" s="403" t="s">
        <v>582</v>
      </c>
      <c r="D4934" s="403" t="s">
        <v>1423</v>
      </c>
      <c r="E4934" s="403" t="s">
        <v>778</v>
      </c>
      <c r="F4934" s="403" t="s">
        <v>1286</v>
      </c>
      <c r="G4934" s="403" t="s">
        <v>1466</v>
      </c>
      <c r="H4934" s="403" t="s">
        <v>1276</v>
      </c>
      <c r="I4934" s="403">
        <v>1</v>
      </c>
      <c r="J4934" s="403" t="s">
        <v>110</v>
      </c>
      <c r="K4934" s="403">
        <v>1920</v>
      </c>
      <c r="L4934" s="403">
        <v>1080</v>
      </c>
      <c r="M4934" s="403" t="s">
        <v>1284</v>
      </c>
      <c r="N4934" s="403">
        <v>640</v>
      </c>
      <c r="O4934" s="403">
        <v>480</v>
      </c>
      <c r="P4934" t="str">
        <f t="shared" si="617"/>
        <v>30fps 1080p - SD VGA (cropped)</v>
      </c>
      <c r="Q4934">
        <f t="shared" si="618"/>
        <v>22</v>
      </c>
      <c r="R4934" t="str">
        <f t="shared" si="619"/>
        <v/>
      </c>
      <c r="S4934" t="str">
        <f t="shared" si="620"/>
        <v/>
      </c>
      <c r="T4934" s="403" t="str">
        <f t="shared" si="621"/>
        <v>NDI-4502-A</v>
      </c>
      <c r="U4934" s="403">
        <f t="shared" si="622"/>
        <v>1</v>
      </c>
      <c r="V4934" s="403" t="str">
        <f t="shared" si="623"/>
        <v>CPP_7_3</v>
      </c>
    </row>
    <row r="4935" spans="1:22">
      <c r="A4935" t="str">
        <f t="shared" si="616"/>
        <v>NDI-4502-A</v>
      </c>
      <c r="B4935" s="403" t="s">
        <v>1422</v>
      </c>
      <c r="C4935" s="403" t="s">
        <v>582</v>
      </c>
      <c r="D4935" s="403" t="s">
        <v>1423</v>
      </c>
      <c r="E4935" s="403" t="s">
        <v>778</v>
      </c>
      <c r="F4935" s="403" t="s">
        <v>1286</v>
      </c>
      <c r="G4935" s="403" t="s">
        <v>1466</v>
      </c>
      <c r="H4935" s="403" t="s">
        <v>1276</v>
      </c>
      <c r="I4935" s="403">
        <v>1</v>
      </c>
      <c r="J4935" s="403" t="s">
        <v>109</v>
      </c>
      <c r="K4935" s="403">
        <v>1280</v>
      </c>
      <c r="L4935" s="403">
        <v>720</v>
      </c>
      <c r="M4935" s="403" t="s">
        <v>109</v>
      </c>
      <c r="N4935" s="403">
        <v>1280</v>
      </c>
      <c r="O4935" s="403">
        <v>720</v>
      </c>
      <c r="P4935" t="str">
        <f t="shared" si="617"/>
        <v>30fps 720p - 720p</v>
      </c>
      <c r="Q4935">
        <f t="shared" si="618"/>
        <v>22</v>
      </c>
      <c r="R4935" t="str">
        <f t="shared" si="619"/>
        <v/>
      </c>
      <c r="S4935" t="str">
        <f t="shared" si="620"/>
        <v/>
      </c>
      <c r="T4935" s="403" t="str">
        <f t="shared" si="621"/>
        <v>NDI-4502-A</v>
      </c>
      <c r="U4935" s="403">
        <f t="shared" si="622"/>
        <v>1</v>
      </c>
      <c r="V4935" s="403" t="str">
        <f t="shared" si="623"/>
        <v>CPP_7_3</v>
      </c>
    </row>
    <row r="4936" spans="1:22">
      <c r="A4936" t="str">
        <f t="shared" si="616"/>
        <v>NDI-4502-A</v>
      </c>
      <c r="B4936" s="403" t="s">
        <v>1422</v>
      </c>
      <c r="C4936" s="403" t="s">
        <v>582</v>
      </c>
      <c r="D4936" s="403" t="s">
        <v>1423</v>
      </c>
      <c r="E4936" s="403" t="s">
        <v>778</v>
      </c>
      <c r="F4936" s="403" t="s">
        <v>1286</v>
      </c>
      <c r="G4936" s="403" t="s">
        <v>1466</v>
      </c>
      <c r="H4936" s="403" t="s">
        <v>1276</v>
      </c>
      <c r="I4936" s="403">
        <v>1</v>
      </c>
      <c r="J4936" s="403" t="s">
        <v>109</v>
      </c>
      <c r="K4936" s="403">
        <v>1280</v>
      </c>
      <c r="L4936" s="403">
        <v>720</v>
      </c>
      <c r="M4936" s="403" t="s">
        <v>111</v>
      </c>
      <c r="N4936" s="403">
        <v>768</v>
      </c>
      <c r="O4936" s="403">
        <v>432</v>
      </c>
      <c r="P4936" t="str">
        <f t="shared" si="617"/>
        <v>30fps 720p - SD</v>
      </c>
      <c r="Q4936">
        <f t="shared" si="618"/>
        <v>22</v>
      </c>
      <c r="R4936" t="str">
        <f t="shared" si="619"/>
        <v/>
      </c>
      <c r="S4936" t="str">
        <f t="shared" si="620"/>
        <v/>
      </c>
      <c r="T4936" s="403" t="str">
        <f t="shared" si="621"/>
        <v>NDI-4502-A</v>
      </c>
      <c r="U4936" s="403">
        <f t="shared" si="622"/>
        <v>1</v>
      </c>
      <c r="V4936" s="403" t="str">
        <f t="shared" si="623"/>
        <v>CPP_7_3</v>
      </c>
    </row>
    <row r="4937" spans="1:22">
      <c r="A4937" t="str">
        <f t="shared" si="616"/>
        <v>NDI-4502-A</v>
      </c>
      <c r="B4937" s="403" t="s">
        <v>1422</v>
      </c>
      <c r="C4937" s="403" t="s">
        <v>582</v>
      </c>
      <c r="D4937" s="403" t="s">
        <v>1423</v>
      </c>
      <c r="E4937" s="403" t="s">
        <v>778</v>
      </c>
      <c r="F4937" s="403" t="s">
        <v>1286</v>
      </c>
      <c r="G4937" s="403" t="s">
        <v>1466</v>
      </c>
      <c r="H4937" s="403" t="s">
        <v>1276</v>
      </c>
      <c r="I4937" s="403">
        <v>1</v>
      </c>
      <c r="J4937" s="403" t="s">
        <v>109</v>
      </c>
      <c r="K4937" s="403">
        <v>1280</v>
      </c>
      <c r="L4937" s="403">
        <v>720</v>
      </c>
      <c r="M4937" s="403" t="s">
        <v>1279</v>
      </c>
      <c r="N4937" s="403">
        <v>768</v>
      </c>
      <c r="O4937" s="403">
        <v>432</v>
      </c>
      <c r="P4937" t="str">
        <f t="shared" si="617"/>
        <v>30fps 720p - SD ROI PTZ</v>
      </c>
      <c r="Q4937">
        <f t="shared" si="618"/>
        <v>22</v>
      </c>
      <c r="R4937" t="str">
        <f t="shared" si="619"/>
        <v/>
      </c>
      <c r="S4937" t="str">
        <f t="shared" si="620"/>
        <v/>
      </c>
      <c r="T4937" s="403" t="str">
        <f t="shared" si="621"/>
        <v>NDI-4502-A</v>
      </c>
      <c r="U4937" s="403">
        <f t="shared" si="622"/>
        <v>1</v>
      </c>
      <c r="V4937" s="403" t="str">
        <f t="shared" si="623"/>
        <v>CPP_7_3</v>
      </c>
    </row>
    <row r="4938" spans="1:22">
      <c r="A4938" t="str">
        <f t="shared" si="616"/>
        <v>NDI-4502-A</v>
      </c>
      <c r="B4938" s="403" t="s">
        <v>1422</v>
      </c>
      <c r="C4938" s="403" t="s">
        <v>582</v>
      </c>
      <c r="D4938" s="403" t="s">
        <v>1423</v>
      </c>
      <c r="E4938" s="403" t="s">
        <v>778</v>
      </c>
      <c r="F4938" s="403" t="s">
        <v>1286</v>
      </c>
      <c r="G4938" s="403" t="s">
        <v>1466</v>
      </c>
      <c r="H4938" s="403" t="s">
        <v>1276</v>
      </c>
      <c r="I4938" s="403">
        <v>1</v>
      </c>
      <c r="J4938" s="403" t="s">
        <v>109</v>
      </c>
      <c r="K4938" s="403">
        <v>1280</v>
      </c>
      <c r="L4938" s="403">
        <v>720</v>
      </c>
      <c r="M4938" s="403" t="s">
        <v>1283</v>
      </c>
      <c r="N4938" s="403">
        <v>720</v>
      </c>
      <c r="O4938" s="403">
        <v>480</v>
      </c>
      <c r="P4938" t="str">
        <f t="shared" si="617"/>
        <v>30fps 720p - SD 4CIF resolution 4:3 format (cropped)</v>
      </c>
      <c r="Q4938">
        <f t="shared" si="618"/>
        <v>22</v>
      </c>
      <c r="R4938" t="str">
        <f t="shared" si="619"/>
        <v/>
      </c>
      <c r="S4938" t="str">
        <f t="shared" si="620"/>
        <v/>
      </c>
      <c r="T4938" s="403" t="str">
        <f t="shared" si="621"/>
        <v>NDI-4502-A</v>
      </c>
      <c r="U4938" s="403">
        <f t="shared" si="622"/>
        <v>1</v>
      </c>
      <c r="V4938" s="403" t="str">
        <f t="shared" si="623"/>
        <v>CPP_7_3</v>
      </c>
    </row>
    <row r="4939" spans="1:22">
      <c r="A4939" t="str">
        <f t="shared" si="616"/>
        <v>NDI-4502-A</v>
      </c>
      <c r="B4939" s="403" t="s">
        <v>1422</v>
      </c>
      <c r="C4939" s="403" t="s">
        <v>582</v>
      </c>
      <c r="D4939" s="403" t="s">
        <v>1423</v>
      </c>
      <c r="E4939" s="403" t="s">
        <v>778</v>
      </c>
      <c r="F4939" s="403" t="s">
        <v>1286</v>
      </c>
      <c r="G4939" s="403" t="s">
        <v>1466</v>
      </c>
      <c r="H4939" s="403" t="s">
        <v>1276</v>
      </c>
      <c r="I4939" s="403">
        <v>1</v>
      </c>
      <c r="J4939" s="403" t="s">
        <v>109</v>
      </c>
      <c r="K4939" s="403">
        <v>1280</v>
      </c>
      <c r="L4939" s="403">
        <v>720</v>
      </c>
      <c r="M4939" s="403" t="s">
        <v>1284</v>
      </c>
      <c r="N4939" s="403">
        <v>640</v>
      </c>
      <c r="O4939" s="403">
        <v>480</v>
      </c>
      <c r="P4939" t="str">
        <f t="shared" si="617"/>
        <v>30fps 720p - SD VGA (cropped)</v>
      </c>
      <c r="Q4939">
        <f t="shared" si="618"/>
        <v>22</v>
      </c>
      <c r="R4939" t="str">
        <f t="shared" si="619"/>
        <v/>
      </c>
      <c r="S4939" t="str">
        <f t="shared" si="620"/>
        <v/>
      </c>
      <c r="T4939" s="403" t="str">
        <f t="shared" si="621"/>
        <v>NDI-4502-A</v>
      </c>
      <c r="U4939" s="403">
        <f t="shared" si="622"/>
        <v>1</v>
      </c>
      <c r="V4939" s="403" t="str">
        <f t="shared" si="623"/>
        <v>CPP_7_3</v>
      </c>
    </row>
    <row r="4940" spans="1:22">
      <c r="A4940" t="str">
        <f t="shared" si="616"/>
        <v>NDI-4502-A</v>
      </c>
      <c r="B4940" s="403" t="s">
        <v>1422</v>
      </c>
      <c r="C4940" s="403" t="s">
        <v>582</v>
      </c>
      <c r="D4940" s="403" t="s">
        <v>1423</v>
      </c>
      <c r="E4940" s="403" t="s">
        <v>778</v>
      </c>
      <c r="F4940" s="403" t="s">
        <v>1286</v>
      </c>
      <c r="G4940" s="403" t="s">
        <v>1466</v>
      </c>
      <c r="H4940" s="403" t="s">
        <v>1281</v>
      </c>
      <c r="I4940" s="403">
        <v>1</v>
      </c>
      <c r="J4940" s="403" t="s">
        <v>110</v>
      </c>
      <c r="K4940" s="403">
        <v>1920</v>
      </c>
      <c r="L4940" s="403">
        <v>1080</v>
      </c>
      <c r="M4940" s="403" t="s">
        <v>111</v>
      </c>
      <c r="N4940" s="403">
        <v>768</v>
      </c>
      <c r="O4940" s="403">
        <v>432</v>
      </c>
      <c r="P4940" t="str">
        <f t="shared" si="617"/>
        <v>30fps 1080p - SD</v>
      </c>
      <c r="Q4940">
        <f t="shared" si="618"/>
        <v>22</v>
      </c>
      <c r="R4940" t="str">
        <f t="shared" si="619"/>
        <v/>
      </c>
      <c r="S4940" t="str">
        <f t="shared" si="620"/>
        <v/>
      </c>
      <c r="T4940" s="403" t="str">
        <f t="shared" si="621"/>
        <v>NDI-4502-A</v>
      </c>
      <c r="U4940" s="403">
        <f t="shared" si="622"/>
        <v>1</v>
      </c>
      <c r="V4940" s="403" t="str">
        <f t="shared" si="623"/>
        <v>CPP_7_3</v>
      </c>
    </row>
    <row r="4941" spans="1:22">
      <c r="A4941" t="str">
        <f t="shared" si="616"/>
        <v>NDI-4502-A</v>
      </c>
      <c r="B4941" s="403" t="s">
        <v>1422</v>
      </c>
      <c r="C4941" s="403" t="s">
        <v>582</v>
      </c>
      <c r="D4941" s="403" t="s">
        <v>1423</v>
      </c>
      <c r="E4941" s="403" t="s">
        <v>778</v>
      </c>
      <c r="F4941" s="403" t="s">
        <v>1286</v>
      </c>
      <c r="G4941" s="403" t="s">
        <v>1466</v>
      </c>
      <c r="H4941" s="403" t="s">
        <v>1281</v>
      </c>
      <c r="I4941" s="403">
        <v>1</v>
      </c>
      <c r="J4941" s="403" t="s">
        <v>110</v>
      </c>
      <c r="K4941" s="403">
        <v>1920</v>
      </c>
      <c r="L4941" s="403">
        <v>1080</v>
      </c>
      <c r="M4941" s="403" t="s">
        <v>110</v>
      </c>
      <c r="N4941" s="403">
        <v>1920</v>
      </c>
      <c r="O4941" s="403">
        <v>1080</v>
      </c>
      <c r="P4941" t="str">
        <f t="shared" si="617"/>
        <v>30fps 1080p - 1080p</v>
      </c>
      <c r="Q4941">
        <f t="shared" si="618"/>
        <v>22</v>
      </c>
      <c r="R4941" t="str">
        <f t="shared" si="619"/>
        <v/>
      </c>
      <c r="S4941" t="str">
        <f t="shared" si="620"/>
        <v/>
      </c>
      <c r="T4941" s="403" t="str">
        <f t="shared" si="621"/>
        <v>NDI-4502-A</v>
      </c>
      <c r="U4941" s="403">
        <f t="shared" si="622"/>
        <v>1</v>
      </c>
      <c r="V4941" s="403" t="str">
        <f t="shared" si="623"/>
        <v>CPP_7_3</v>
      </c>
    </row>
    <row r="4942" spans="1:22">
      <c r="A4942" t="str">
        <f t="shared" si="616"/>
        <v>NDI-4502-A</v>
      </c>
      <c r="B4942" s="403" t="s">
        <v>1422</v>
      </c>
      <c r="C4942" s="403" t="s">
        <v>582</v>
      </c>
      <c r="D4942" s="403" t="s">
        <v>1423</v>
      </c>
      <c r="E4942" s="403" t="s">
        <v>778</v>
      </c>
      <c r="F4942" s="403" t="s">
        <v>1286</v>
      </c>
      <c r="G4942" s="403" t="s">
        <v>1466</v>
      </c>
      <c r="H4942" s="403" t="s">
        <v>1281</v>
      </c>
      <c r="I4942" s="403">
        <v>1</v>
      </c>
      <c r="J4942" s="403" t="s">
        <v>110</v>
      </c>
      <c r="K4942" s="403">
        <v>1920</v>
      </c>
      <c r="L4942" s="403">
        <v>1080</v>
      </c>
      <c r="M4942" s="403" t="s">
        <v>109</v>
      </c>
      <c r="N4942" s="403">
        <v>1280</v>
      </c>
      <c r="O4942" s="403">
        <v>720</v>
      </c>
      <c r="P4942" t="str">
        <f t="shared" si="617"/>
        <v>30fps 1080p - 720p</v>
      </c>
      <c r="Q4942">
        <f t="shared" si="618"/>
        <v>22</v>
      </c>
      <c r="R4942" t="str">
        <f t="shared" si="619"/>
        <v/>
      </c>
      <c r="S4942" t="str">
        <f t="shared" si="620"/>
        <v/>
      </c>
      <c r="T4942" s="403" t="str">
        <f t="shared" si="621"/>
        <v>NDI-4502-A</v>
      </c>
      <c r="U4942" s="403">
        <f t="shared" si="622"/>
        <v>1</v>
      </c>
      <c r="V4942" s="403" t="str">
        <f t="shared" si="623"/>
        <v>CPP_7_3</v>
      </c>
    </row>
    <row r="4943" spans="1:22">
      <c r="A4943" t="str">
        <f t="shared" si="616"/>
        <v>NDI-4502-A</v>
      </c>
      <c r="B4943" s="403" t="s">
        <v>1422</v>
      </c>
      <c r="C4943" s="403" t="s">
        <v>582</v>
      </c>
      <c r="D4943" s="403" t="s">
        <v>1423</v>
      </c>
      <c r="E4943" s="403" t="s">
        <v>778</v>
      </c>
      <c r="F4943" s="403" t="s">
        <v>1286</v>
      </c>
      <c r="G4943" s="403" t="s">
        <v>1466</v>
      </c>
      <c r="H4943" s="403" t="s">
        <v>1281</v>
      </c>
      <c r="I4943" s="403">
        <v>1</v>
      </c>
      <c r="J4943" s="403" t="s">
        <v>110</v>
      </c>
      <c r="K4943" s="403">
        <v>1920</v>
      </c>
      <c r="L4943" s="403">
        <v>1080</v>
      </c>
      <c r="M4943" s="403" t="s">
        <v>1285</v>
      </c>
      <c r="N4943" s="403">
        <v>1280</v>
      </c>
      <c r="O4943" s="403">
        <v>1024</v>
      </c>
      <c r="P4943" t="str">
        <f t="shared" si="617"/>
        <v>30fps 1080p - 1280x1024 5:4 (cropped)</v>
      </c>
      <c r="Q4943">
        <f t="shared" si="618"/>
        <v>22</v>
      </c>
      <c r="R4943" t="str">
        <f t="shared" si="619"/>
        <v/>
      </c>
      <c r="S4943" t="str">
        <f t="shared" si="620"/>
        <v/>
      </c>
      <c r="T4943" s="403" t="str">
        <f t="shared" si="621"/>
        <v>NDI-4502-A</v>
      </c>
      <c r="U4943" s="403">
        <f t="shared" si="622"/>
        <v>1</v>
      </c>
      <c r="V4943" s="403" t="str">
        <f t="shared" si="623"/>
        <v>CPP_7_3</v>
      </c>
    </row>
    <row r="4944" spans="1:22">
      <c r="A4944" t="str">
        <f t="shared" si="616"/>
        <v>NDI-4502-A</v>
      </c>
      <c r="B4944" s="403" t="s">
        <v>1422</v>
      </c>
      <c r="C4944" s="403" t="s">
        <v>582</v>
      </c>
      <c r="D4944" s="403" t="s">
        <v>1423</v>
      </c>
      <c r="E4944" s="403" t="s">
        <v>778</v>
      </c>
      <c r="F4944" s="403" t="s">
        <v>1286</v>
      </c>
      <c r="G4944" s="403" t="s">
        <v>1466</v>
      </c>
      <c r="H4944" s="403" t="s">
        <v>1281</v>
      </c>
      <c r="I4944" s="403">
        <v>1</v>
      </c>
      <c r="J4944" s="403" t="s">
        <v>110</v>
      </c>
      <c r="K4944" s="403">
        <v>1920</v>
      </c>
      <c r="L4944" s="403">
        <v>1080</v>
      </c>
      <c r="M4944" s="403" t="s">
        <v>1279</v>
      </c>
      <c r="N4944" s="403">
        <v>768</v>
      </c>
      <c r="O4944" s="403">
        <v>432</v>
      </c>
      <c r="P4944" t="str">
        <f t="shared" si="617"/>
        <v>30fps 1080p - SD ROI PTZ</v>
      </c>
      <c r="Q4944">
        <f t="shared" si="618"/>
        <v>22</v>
      </c>
      <c r="R4944" t="str">
        <f t="shared" si="619"/>
        <v/>
      </c>
      <c r="S4944" t="str">
        <f t="shared" si="620"/>
        <v/>
      </c>
      <c r="T4944" s="403" t="str">
        <f t="shared" si="621"/>
        <v>NDI-4502-A</v>
      </c>
      <c r="U4944" s="403">
        <f t="shared" si="622"/>
        <v>1</v>
      </c>
      <c r="V4944" s="403" t="str">
        <f t="shared" si="623"/>
        <v>CPP_7_3</v>
      </c>
    </row>
    <row r="4945" spans="1:22">
      <c r="A4945" t="str">
        <f t="shared" si="616"/>
        <v>NDI-4502-A</v>
      </c>
      <c r="B4945" s="403" t="s">
        <v>1422</v>
      </c>
      <c r="C4945" s="403" t="s">
        <v>582</v>
      </c>
      <c r="D4945" s="403" t="s">
        <v>1423</v>
      </c>
      <c r="E4945" s="403" t="s">
        <v>778</v>
      </c>
      <c r="F4945" s="403" t="s">
        <v>1286</v>
      </c>
      <c r="G4945" s="403" t="s">
        <v>1466</v>
      </c>
      <c r="H4945" s="403" t="s">
        <v>1281</v>
      </c>
      <c r="I4945" s="403">
        <v>1</v>
      </c>
      <c r="J4945" s="403" t="s">
        <v>110</v>
      </c>
      <c r="K4945" s="403">
        <v>1920</v>
      </c>
      <c r="L4945" s="403">
        <v>1080</v>
      </c>
      <c r="M4945" s="403" t="s">
        <v>1283</v>
      </c>
      <c r="N4945" s="403">
        <v>720</v>
      </c>
      <c r="O4945" s="403">
        <v>480</v>
      </c>
      <c r="P4945" t="str">
        <f t="shared" si="617"/>
        <v>30fps 1080p - SD 4CIF resolution 4:3 format (cropped)</v>
      </c>
      <c r="Q4945">
        <f t="shared" si="618"/>
        <v>22</v>
      </c>
      <c r="R4945" t="str">
        <f t="shared" si="619"/>
        <v/>
      </c>
      <c r="S4945" t="str">
        <f t="shared" si="620"/>
        <v/>
      </c>
      <c r="T4945" s="403" t="str">
        <f t="shared" si="621"/>
        <v>NDI-4502-A</v>
      </c>
      <c r="U4945" s="403">
        <f t="shared" si="622"/>
        <v>1</v>
      </c>
      <c r="V4945" s="403" t="str">
        <f t="shared" si="623"/>
        <v>CPP_7_3</v>
      </c>
    </row>
    <row r="4946" spans="1:22">
      <c r="A4946" t="str">
        <f t="shared" si="616"/>
        <v>NDI-4502-A</v>
      </c>
      <c r="B4946" s="403" t="s">
        <v>1422</v>
      </c>
      <c r="C4946" s="403" t="s">
        <v>582</v>
      </c>
      <c r="D4946" s="403" t="s">
        <v>1423</v>
      </c>
      <c r="E4946" s="403" t="s">
        <v>778</v>
      </c>
      <c r="F4946" s="403" t="s">
        <v>1286</v>
      </c>
      <c r="G4946" s="403" t="s">
        <v>1466</v>
      </c>
      <c r="H4946" s="403" t="s">
        <v>1281</v>
      </c>
      <c r="I4946" s="403">
        <v>1</v>
      </c>
      <c r="J4946" s="403" t="s">
        <v>110</v>
      </c>
      <c r="K4946" s="403">
        <v>1920</v>
      </c>
      <c r="L4946" s="403">
        <v>1080</v>
      </c>
      <c r="M4946" s="403" t="s">
        <v>1284</v>
      </c>
      <c r="N4946" s="403">
        <v>640</v>
      </c>
      <c r="O4946" s="403">
        <v>480</v>
      </c>
      <c r="P4946" t="str">
        <f t="shared" si="617"/>
        <v>30fps 1080p - SD VGA (cropped)</v>
      </c>
      <c r="Q4946">
        <f t="shared" si="618"/>
        <v>22</v>
      </c>
      <c r="R4946" t="str">
        <f t="shared" si="619"/>
        <v/>
      </c>
      <c r="S4946" t="str">
        <f t="shared" si="620"/>
        <v/>
      </c>
      <c r="T4946" s="403" t="str">
        <f t="shared" si="621"/>
        <v>NDI-4502-A</v>
      </c>
      <c r="U4946" s="403">
        <f t="shared" si="622"/>
        <v>1</v>
      </c>
      <c r="V4946" s="403" t="str">
        <f t="shared" si="623"/>
        <v>CPP_7_3</v>
      </c>
    </row>
    <row r="4947" spans="1:22">
      <c r="A4947" t="str">
        <f t="shared" si="616"/>
        <v>NDI-4502-A</v>
      </c>
      <c r="B4947" s="403" t="s">
        <v>1422</v>
      </c>
      <c r="C4947" s="403" t="s">
        <v>582</v>
      </c>
      <c r="D4947" s="403" t="s">
        <v>1423</v>
      </c>
      <c r="E4947" s="403" t="s">
        <v>778</v>
      </c>
      <c r="F4947" s="403" t="s">
        <v>1286</v>
      </c>
      <c r="G4947" s="403" t="s">
        <v>1466</v>
      </c>
      <c r="H4947" s="403" t="s">
        <v>1281</v>
      </c>
      <c r="I4947" s="403">
        <v>1</v>
      </c>
      <c r="J4947" s="403" t="s">
        <v>109</v>
      </c>
      <c r="K4947" s="403">
        <v>1280</v>
      </c>
      <c r="L4947" s="403">
        <v>720</v>
      </c>
      <c r="M4947" s="403" t="s">
        <v>109</v>
      </c>
      <c r="N4947" s="403">
        <v>1280</v>
      </c>
      <c r="O4947" s="403">
        <v>720</v>
      </c>
      <c r="P4947" t="str">
        <f t="shared" si="617"/>
        <v>30fps 720p - 720p</v>
      </c>
      <c r="Q4947">
        <f t="shared" si="618"/>
        <v>22</v>
      </c>
      <c r="R4947" t="str">
        <f t="shared" si="619"/>
        <v/>
      </c>
      <c r="S4947" t="str">
        <f t="shared" si="620"/>
        <v/>
      </c>
      <c r="T4947" s="403" t="str">
        <f t="shared" si="621"/>
        <v>NDI-4502-A</v>
      </c>
      <c r="U4947" s="403">
        <f t="shared" si="622"/>
        <v>1</v>
      </c>
      <c r="V4947" s="403" t="str">
        <f t="shared" si="623"/>
        <v>CPP_7_3</v>
      </c>
    </row>
    <row r="4948" spans="1:22">
      <c r="A4948" t="str">
        <f t="shared" si="616"/>
        <v>NDI-4502-A</v>
      </c>
      <c r="B4948" s="403" t="s">
        <v>1422</v>
      </c>
      <c r="C4948" s="403" t="s">
        <v>582</v>
      </c>
      <c r="D4948" s="403" t="s">
        <v>1423</v>
      </c>
      <c r="E4948" s="403" t="s">
        <v>778</v>
      </c>
      <c r="F4948" s="403" t="s">
        <v>1286</v>
      </c>
      <c r="G4948" s="403" t="s">
        <v>1466</v>
      </c>
      <c r="H4948" s="403" t="s">
        <v>1281</v>
      </c>
      <c r="I4948" s="403">
        <v>1</v>
      </c>
      <c r="J4948" s="403" t="s">
        <v>109</v>
      </c>
      <c r="K4948" s="403">
        <v>1280</v>
      </c>
      <c r="L4948" s="403">
        <v>720</v>
      </c>
      <c r="M4948" s="403" t="s">
        <v>111</v>
      </c>
      <c r="N4948" s="403">
        <v>768</v>
      </c>
      <c r="O4948" s="403">
        <v>432</v>
      </c>
      <c r="P4948" t="str">
        <f t="shared" si="617"/>
        <v>30fps 720p - SD</v>
      </c>
      <c r="Q4948">
        <f t="shared" si="618"/>
        <v>22</v>
      </c>
      <c r="R4948" t="str">
        <f t="shared" si="619"/>
        <v/>
      </c>
      <c r="S4948" t="str">
        <f t="shared" si="620"/>
        <v/>
      </c>
      <c r="T4948" s="403" t="str">
        <f t="shared" si="621"/>
        <v>NDI-4502-A</v>
      </c>
      <c r="U4948" s="403">
        <f t="shared" si="622"/>
        <v>1</v>
      </c>
      <c r="V4948" s="403" t="str">
        <f t="shared" si="623"/>
        <v>CPP_7_3</v>
      </c>
    </row>
    <row r="4949" spans="1:22">
      <c r="A4949" t="str">
        <f t="shared" si="616"/>
        <v>NDI-4502-A</v>
      </c>
      <c r="B4949" s="403" t="s">
        <v>1422</v>
      </c>
      <c r="C4949" s="403" t="s">
        <v>582</v>
      </c>
      <c r="D4949" s="403" t="s">
        <v>1423</v>
      </c>
      <c r="E4949" s="403" t="s">
        <v>778</v>
      </c>
      <c r="F4949" s="403" t="s">
        <v>1286</v>
      </c>
      <c r="G4949" s="403" t="s">
        <v>1466</v>
      </c>
      <c r="H4949" s="403" t="s">
        <v>1281</v>
      </c>
      <c r="I4949" s="403">
        <v>1</v>
      </c>
      <c r="J4949" s="403" t="s">
        <v>109</v>
      </c>
      <c r="K4949" s="403">
        <v>1280</v>
      </c>
      <c r="L4949" s="403">
        <v>720</v>
      </c>
      <c r="M4949" s="403" t="s">
        <v>1279</v>
      </c>
      <c r="N4949" s="403">
        <v>768</v>
      </c>
      <c r="O4949" s="403">
        <v>432</v>
      </c>
      <c r="P4949" t="str">
        <f t="shared" si="617"/>
        <v>30fps 720p - SD ROI PTZ</v>
      </c>
      <c r="Q4949">
        <f t="shared" si="618"/>
        <v>22</v>
      </c>
      <c r="R4949" t="str">
        <f t="shared" si="619"/>
        <v/>
      </c>
      <c r="S4949" t="str">
        <f t="shared" si="620"/>
        <v/>
      </c>
      <c r="T4949" s="403" t="str">
        <f t="shared" si="621"/>
        <v>NDI-4502-A</v>
      </c>
      <c r="U4949" s="403">
        <f t="shared" si="622"/>
        <v>1</v>
      </c>
      <c r="V4949" s="403" t="str">
        <f t="shared" si="623"/>
        <v>CPP_7_3</v>
      </c>
    </row>
    <row r="4950" spans="1:22">
      <c r="A4950" t="str">
        <f t="shared" si="616"/>
        <v>NDI-4502-A</v>
      </c>
      <c r="B4950" s="403" t="s">
        <v>1422</v>
      </c>
      <c r="C4950" s="403" t="s">
        <v>582</v>
      </c>
      <c r="D4950" s="403" t="s">
        <v>1423</v>
      </c>
      <c r="E4950" s="403" t="s">
        <v>778</v>
      </c>
      <c r="F4950" s="403" t="s">
        <v>1286</v>
      </c>
      <c r="G4950" s="403" t="s">
        <v>1466</v>
      </c>
      <c r="H4950" s="403" t="s">
        <v>1281</v>
      </c>
      <c r="I4950" s="403">
        <v>1</v>
      </c>
      <c r="J4950" s="403" t="s">
        <v>109</v>
      </c>
      <c r="K4950" s="403">
        <v>1280</v>
      </c>
      <c r="L4950" s="403">
        <v>720</v>
      </c>
      <c r="M4950" s="403" t="s">
        <v>1283</v>
      </c>
      <c r="N4950" s="403">
        <v>720</v>
      </c>
      <c r="O4950" s="403">
        <v>480</v>
      </c>
      <c r="P4950" t="str">
        <f t="shared" si="617"/>
        <v>30fps 720p - SD 4CIF resolution 4:3 format (cropped)</v>
      </c>
      <c r="Q4950">
        <f t="shared" si="618"/>
        <v>22</v>
      </c>
      <c r="R4950" t="str">
        <f t="shared" si="619"/>
        <v/>
      </c>
      <c r="S4950" t="str">
        <f t="shared" si="620"/>
        <v/>
      </c>
      <c r="T4950" s="403" t="str">
        <f t="shared" si="621"/>
        <v>NDI-4502-A</v>
      </c>
      <c r="U4950" s="403">
        <f t="shared" si="622"/>
        <v>1</v>
      </c>
      <c r="V4950" s="403" t="str">
        <f t="shared" si="623"/>
        <v>CPP_7_3</v>
      </c>
    </row>
    <row r="4951" spans="1:22">
      <c r="A4951" t="str">
        <f t="shared" si="616"/>
        <v>NDI-4502-A</v>
      </c>
      <c r="B4951" s="403" t="s">
        <v>1422</v>
      </c>
      <c r="C4951" s="403" t="s">
        <v>582</v>
      </c>
      <c r="D4951" s="403" t="s">
        <v>1423</v>
      </c>
      <c r="E4951" s="403" t="s">
        <v>778</v>
      </c>
      <c r="F4951" s="403" t="s">
        <v>1286</v>
      </c>
      <c r="G4951" s="403" t="s">
        <v>1466</v>
      </c>
      <c r="H4951" s="403" t="s">
        <v>1281</v>
      </c>
      <c r="I4951" s="403">
        <v>1</v>
      </c>
      <c r="J4951" s="403" t="s">
        <v>109</v>
      </c>
      <c r="K4951" s="403">
        <v>1280</v>
      </c>
      <c r="L4951" s="403">
        <v>720</v>
      </c>
      <c r="M4951" s="403" t="s">
        <v>1284</v>
      </c>
      <c r="N4951" s="403">
        <v>640</v>
      </c>
      <c r="O4951" s="403">
        <v>480</v>
      </c>
      <c r="P4951" t="str">
        <f t="shared" si="617"/>
        <v>30fps 720p - SD VGA (cropped)</v>
      </c>
      <c r="Q4951">
        <f t="shared" si="618"/>
        <v>22</v>
      </c>
      <c r="R4951" t="str">
        <f t="shared" si="619"/>
        <v/>
      </c>
      <c r="S4951" t="str">
        <f t="shared" si="620"/>
        <v/>
      </c>
      <c r="T4951" s="403" t="str">
        <f t="shared" si="621"/>
        <v>NDI-4502-A</v>
      </c>
      <c r="U4951" s="403">
        <f t="shared" si="622"/>
        <v>1</v>
      </c>
      <c r="V4951" s="403" t="str">
        <f t="shared" si="623"/>
        <v>CPP_7_3</v>
      </c>
    </row>
    <row r="4952" spans="1:22">
      <c r="A4952" t="str">
        <f t="shared" si="616"/>
        <v>NDI-4502-A</v>
      </c>
      <c r="B4952" s="403" t="s">
        <v>1422</v>
      </c>
      <c r="C4952" s="403" t="s">
        <v>582</v>
      </c>
      <c r="D4952" s="403" t="s">
        <v>1423</v>
      </c>
      <c r="E4952" s="403" t="s">
        <v>778</v>
      </c>
      <c r="F4952" s="403" t="s">
        <v>1286</v>
      </c>
      <c r="G4952" s="403" t="s">
        <v>1466</v>
      </c>
      <c r="H4952" s="403" t="s">
        <v>1282</v>
      </c>
      <c r="I4952" s="403">
        <v>1</v>
      </c>
      <c r="J4952" s="403" t="s">
        <v>110</v>
      </c>
      <c r="K4952" s="403">
        <v>1920</v>
      </c>
      <c r="L4952" s="403">
        <v>1080</v>
      </c>
      <c r="M4952" s="403" t="s">
        <v>111</v>
      </c>
      <c r="N4952" s="403">
        <v>768</v>
      </c>
      <c r="O4952" s="403">
        <v>432</v>
      </c>
      <c r="P4952" t="str">
        <f t="shared" si="617"/>
        <v>30fps 1080p - SD</v>
      </c>
      <c r="Q4952">
        <f t="shared" si="618"/>
        <v>22</v>
      </c>
      <c r="R4952" t="str">
        <f t="shared" si="619"/>
        <v/>
      </c>
      <c r="S4952" t="str">
        <f t="shared" si="620"/>
        <v/>
      </c>
      <c r="T4952" s="403" t="str">
        <f t="shared" si="621"/>
        <v>NDI-4502-A</v>
      </c>
      <c r="U4952" s="403">
        <f t="shared" si="622"/>
        <v>1</v>
      </c>
      <c r="V4952" s="403" t="str">
        <f t="shared" si="623"/>
        <v>CPP_7_3</v>
      </c>
    </row>
    <row r="4953" spans="1:22">
      <c r="A4953" t="str">
        <f t="shared" si="616"/>
        <v>NDI-4502-A</v>
      </c>
      <c r="B4953" s="403" t="s">
        <v>1422</v>
      </c>
      <c r="C4953" s="403" t="s">
        <v>582</v>
      </c>
      <c r="D4953" s="403" t="s">
        <v>1423</v>
      </c>
      <c r="E4953" s="403" t="s">
        <v>778</v>
      </c>
      <c r="F4953" s="403" t="s">
        <v>1286</v>
      </c>
      <c r="G4953" s="403" t="s">
        <v>1466</v>
      </c>
      <c r="H4953" s="403" t="s">
        <v>1282</v>
      </c>
      <c r="I4953" s="403">
        <v>1</v>
      </c>
      <c r="J4953" s="403" t="s">
        <v>110</v>
      </c>
      <c r="K4953" s="403">
        <v>1920</v>
      </c>
      <c r="L4953" s="403">
        <v>1080</v>
      </c>
      <c r="M4953" s="403" t="s">
        <v>110</v>
      </c>
      <c r="N4953" s="403">
        <v>1920</v>
      </c>
      <c r="O4953" s="403">
        <v>1080</v>
      </c>
      <c r="P4953" t="str">
        <f t="shared" si="617"/>
        <v>30fps 1080p - 1080p</v>
      </c>
      <c r="Q4953">
        <f t="shared" si="618"/>
        <v>22</v>
      </c>
      <c r="R4953" t="str">
        <f t="shared" si="619"/>
        <v/>
      </c>
      <c r="S4953" t="str">
        <f t="shared" si="620"/>
        <v/>
      </c>
      <c r="T4953" s="403" t="str">
        <f t="shared" si="621"/>
        <v>NDI-4502-A</v>
      </c>
      <c r="U4953" s="403">
        <f t="shared" si="622"/>
        <v>1</v>
      </c>
      <c r="V4953" s="403" t="str">
        <f t="shared" si="623"/>
        <v>CPP_7_3</v>
      </c>
    </row>
    <row r="4954" spans="1:22">
      <c r="A4954" t="str">
        <f t="shared" si="616"/>
        <v>NDI-4502-A</v>
      </c>
      <c r="B4954" s="403" t="s">
        <v>1422</v>
      </c>
      <c r="C4954" s="403" t="s">
        <v>582</v>
      </c>
      <c r="D4954" s="403" t="s">
        <v>1423</v>
      </c>
      <c r="E4954" s="403" t="s">
        <v>778</v>
      </c>
      <c r="F4954" s="403" t="s">
        <v>1286</v>
      </c>
      <c r="G4954" s="403" t="s">
        <v>1466</v>
      </c>
      <c r="H4954" s="403" t="s">
        <v>1282</v>
      </c>
      <c r="I4954" s="403">
        <v>1</v>
      </c>
      <c r="J4954" s="403" t="s">
        <v>110</v>
      </c>
      <c r="K4954" s="403">
        <v>1920</v>
      </c>
      <c r="L4954" s="403">
        <v>1080</v>
      </c>
      <c r="M4954" s="403" t="s">
        <v>109</v>
      </c>
      <c r="N4954" s="403">
        <v>1280</v>
      </c>
      <c r="O4954" s="403">
        <v>720</v>
      </c>
      <c r="P4954" t="str">
        <f t="shared" si="617"/>
        <v>30fps 1080p - 720p</v>
      </c>
      <c r="Q4954">
        <f t="shared" si="618"/>
        <v>22</v>
      </c>
      <c r="R4954" t="str">
        <f t="shared" si="619"/>
        <v/>
      </c>
      <c r="S4954" t="str">
        <f t="shared" si="620"/>
        <v/>
      </c>
      <c r="T4954" s="403" t="str">
        <f t="shared" si="621"/>
        <v>NDI-4502-A</v>
      </c>
      <c r="U4954" s="403">
        <f t="shared" si="622"/>
        <v>1</v>
      </c>
      <c r="V4954" s="403" t="str">
        <f t="shared" si="623"/>
        <v>CPP_7_3</v>
      </c>
    </row>
    <row r="4955" spans="1:22">
      <c r="A4955" t="str">
        <f t="shared" si="616"/>
        <v>NDI-4502-A</v>
      </c>
      <c r="B4955" s="403" t="s">
        <v>1422</v>
      </c>
      <c r="C4955" s="403" t="s">
        <v>582</v>
      </c>
      <c r="D4955" s="403" t="s">
        <v>1423</v>
      </c>
      <c r="E4955" s="403" t="s">
        <v>778</v>
      </c>
      <c r="F4955" s="403" t="s">
        <v>1286</v>
      </c>
      <c r="G4955" s="403" t="s">
        <v>1466</v>
      </c>
      <c r="H4955" s="403" t="s">
        <v>1282</v>
      </c>
      <c r="I4955" s="403">
        <v>1</v>
      </c>
      <c r="J4955" s="403" t="s">
        <v>110</v>
      </c>
      <c r="K4955" s="403">
        <v>1920</v>
      </c>
      <c r="L4955" s="403">
        <v>1080</v>
      </c>
      <c r="M4955" s="403" t="s">
        <v>1285</v>
      </c>
      <c r="N4955" s="403">
        <v>1280</v>
      </c>
      <c r="O4955" s="403">
        <v>1024</v>
      </c>
      <c r="P4955" t="str">
        <f t="shared" si="617"/>
        <v>30fps 1080p - 1280x1024 5:4 (cropped)</v>
      </c>
      <c r="Q4955">
        <f t="shared" si="618"/>
        <v>22</v>
      </c>
      <c r="R4955" t="str">
        <f t="shared" si="619"/>
        <v/>
      </c>
      <c r="S4955" t="str">
        <f t="shared" si="620"/>
        <v/>
      </c>
      <c r="T4955" s="403" t="str">
        <f t="shared" si="621"/>
        <v>NDI-4502-A</v>
      </c>
      <c r="U4955" s="403">
        <f t="shared" si="622"/>
        <v>1</v>
      </c>
      <c r="V4955" s="403" t="str">
        <f t="shared" si="623"/>
        <v>CPP_7_3</v>
      </c>
    </row>
    <row r="4956" spans="1:22">
      <c r="A4956" t="str">
        <f t="shared" si="616"/>
        <v>NDI-4502-A</v>
      </c>
      <c r="B4956" s="403" t="s">
        <v>1422</v>
      </c>
      <c r="C4956" s="403" t="s">
        <v>582</v>
      </c>
      <c r="D4956" s="403" t="s">
        <v>1423</v>
      </c>
      <c r="E4956" s="403" t="s">
        <v>778</v>
      </c>
      <c r="F4956" s="403" t="s">
        <v>1286</v>
      </c>
      <c r="G4956" s="403" t="s">
        <v>1466</v>
      </c>
      <c r="H4956" s="403" t="s">
        <v>1282</v>
      </c>
      <c r="I4956" s="403">
        <v>1</v>
      </c>
      <c r="J4956" s="403" t="s">
        <v>110</v>
      </c>
      <c r="K4956" s="403">
        <v>1920</v>
      </c>
      <c r="L4956" s="403">
        <v>1080</v>
      </c>
      <c r="M4956" s="403" t="s">
        <v>1279</v>
      </c>
      <c r="N4956" s="403">
        <v>768</v>
      </c>
      <c r="O4956" s="403">
        <v>432</v>
      </c>
      <c r="P4956" t="str">
        <f t="shared" si="617"/>
        <v>30fps 1080p - SD ROI PTZ</v>
      </c>
      <c r="Q4956">
        <f t="shared" si="618"/>
        <v>22</v>
      </c>
      <c r="R4956" t="str">
        <f t="shared" si="619"/>
        <v/>
      </c>
      <c r="S4956" t="str">
        <f t="shared" si="620"/>
        <v/>
      </c>
      <c r="T4956" s="403" t="str">
        <f t="shared" si="621"/>
        <v>NDI-4502-A</v>
      </c>
      <c r="U4956" s="403">
        <f t="shared" si="622"/>
        <v>1</v>
      </c>
      <c r="V4956" s="403" t="str">
        <f t="shared" si="623"/>
        <v>CPP_7_3</v>
      </c>
    </row>
    <row r="4957" spans="1:22">
      <c r="A4957" t="str">
        <f t="shared" si="616"/>
        <v>NDI-4502-A</v>
      </c>
      <c r="B4957" s="403" t="s">
        <v>1422</v>
      </c>
      <c r="C4957" s="403" t="s">
        <v>582</v>
      </c>
      <c r="D4957" s="403" t="s">
        <v>1423</v>
      </c>
      <c r="E4957" s="403" t="s">
        <v>778</v>
      </c>
      <c r="F4957" s="403" t="s">
        <v>1286</v>
      </c>
      <c r="G4957" s="403" t="s">
        <v>1466</v>
      </c>
      <c r="H4957" s="403" t="s">
        <v>1282</v>
      </c>
      <c r="I4957" s="403">
        <v>1</v>
      </c>
      <c r="J4957" s="403" t="s">
        <v>110</v>
      </c>
      <c r="K4957" s="403">
        <v>1920</v>
      </c>
      <c r="L4957" s="403">
        <v>1080</v>
      </c>
      <c r="M4957" s="403" t="s">
        <v>1283</v>
      </c>
      <c r="N4957" s="403">
        <v>720</v>
      </c>
      <c r="O4957" s="403">
        <v>480</v>
      </c>
      <c r="P4957" t="str">
        <f t="shared" si="617"/>
        <v>30fps 1080p - SD 4CIF resolution 4:3 format (cropped)</v>
      </c>
      <c r="Q4957">
        <f t="shared" si="618"/>
        <v>22</v>
      </c>
      <c r="R4957" t="str">
        <f t="shared" si="619"/>
        <v/>
      </c>
      <c r="S4957" t="str">
        <f t="shared" si="620"/>
        <v/>
      </c>
      <c r="T4957" s="403" t="str">
        <f t="shared" si="621"/>
        <v>NDI-4502-A</v>
      </c>
      <c r="U4957" s="403">
        <f t="shared" si="622"/>
        <v>1</v>
      </c>
      <c r="V4957" s="403" t="str">
        <f t="shared" si="623"/>
        <v>CPP_7_3</v>
      </c>
    </row>
    <row r="4958" spans="1:22">
      <c r="A4958" t="str">
        <f t="shared" si="616"/>
        <v>NDI-4502-A</v>
      </c>
      <c r="B4958" s="403" t="s">
        <v>1422</v>
      </c>
      <c r="C4958" s="403" t="s">
        <v>582</v>
      </c>
      <c r="D4958" s="403" t="s">
        <v>1423</v>
      </c>
      <c r="E4958" s="403" t="s">
        <v>778</v>
      </c>
      <c r="F4958" s="403" t="s">
        <v>1286</v>
      </c>
      <c r="G4958" s="403" t="s">
        <v>1466</v>
      </c>
      <c r="H4958" s="403" t="s">
        <v>1282</v>
      </c>
      <c r="I4958" s="403">
        <v>1</v>
      </c>
      <c r="J4958" s="403" t="s">
        <v>110</v>
      </c>
      <c r="K4958" s="403">
        <v>1920</v>
      </c>
      <c r="L4958" s="403">
        <v>1080</v>
      </c>
      <c r="M4958" s="403" t="s">
        <v>1284</v>
      </c>
      <c r="N4958" s="403">
        <v>640</v>
      </c>
      <c r="O4958" s="403">
        <v>480</v>
      </c>
      <c r="P4958" t="str">
        <f t="shared" si="617"/>
        <v>30fps 1080p - SD VGA (cropped)</v>
      </c>
      <c r="Q4958">
        <f t="shared" si="618"/>
        <v>22</v>
      </c>
      <c r="R4958" t="str">
        <f t="shared" si="619"/>
        <v/>
      </c>
      <c r="S4958" t="str">
        <f t="shared" si="620"/>
        <v/>
      </c>
      <c r="T4958" s="403" t="str">
        <f t="shared" si="621"/>
        <v>NDI-4502-A</v>
      </c>
      <c r="U4958" s="403">
        <f t="shared" si="622"/>
        <v>1</v>
      </c>
      <c r="V4958" s="403" t="str">
        <f t="shared" si="623"/>
        <v>CPP_7_3</v>
      </c>
    </row>
    <row r="4959" spans="1:22">
      <c r="A4959" t="str">
        <f t="shared" si="616"/>
        <v>NDI-4502-A</v>
      </c>
      <c r="B4959" s="403" t="s">
        <v>1422</v>
      </c>
      <c r="C4959" s="403" t="s">
        <v>582</v>
      </c>
      <c r="D4959" s="403" t="s">
        <v>1423</v>
      </c>
      <c r="E4959" s="403" t="s">
        <v>778</v>
      </c>
      <c r="F4959" s="403" t="s">
        <v>1286</v>
      </c>
      <c r="G4959" s="403" t="s">
        <v>1466</v>
      </c>
      <c r="H4959" s="403" t="s">
        <v>1282</v>
      </c>
      <c r="I4959" s="403">
        <v>1</v>
      </c>
      <c r="J4959" s="403" t="s">
        <v>109</v>
      </c>
      <c r="K4959" s="403">
        <v>1280</v>
      </c>
      <c r="L4959" s="403">
        <v>720</v>
      </c>
      <c r="M4959" s="403" t="s">
        <v>109</v>
      </c>
      <c r="N4959" s="403">
        <v>1280</v>
      </c>
      <c r="O4959" s="403">
        <v>720</v>
      </c>
      <c r="P4959" t="str">
        <f t="shared" si="617"/>
        <v>30fps 720p - 720p</v>
      </c>
      <c r="Q4959">
        <f t="shared" si="618"/>
        <v>22</v>
      </c>
      <c r="R4959" t="str">
        <f t="shared" si="619"/>
        <v/>
      </c>
      <c r="S4959" t="str">
        <f t="shared" si="620"/>
        <v/>
      </c>
      <c r="T4959" s="403" t="str">
        <f t="shared" si="621"/>
        <v>NDI-4502-A</v>
      </c>
      <c r="U4959" s="403">
        <f t="shared" si="622"/>
        <v>1</v>
      </c>
      <c r="V4959" s="403" t="str">
        <f t="shared" si="623"/>
        <v>CPP_7_3</v>
      </c>
    </row>
    <row r="4960" spans="1:22">
      <c r="A4960" t="str">
        <f t="shared" si="616"/>
        <v>NDI-4502-A</v>
      </c>
      <c r="B4960" s="403" t="s">
        <v>1422</v>
      </c>
      <c r="C4960" s="403" t="s">
        <v>582</v>
      </c>
      <c r="D4960" s="403" t="s">
        <v>1423</v>
      </c>
      <c r="E4960" s="403" t="s">
        <v>778</v>
      </c>
      <c r="F4960" s="403" t="s">
        <v>1286</v>
      </c>
      <c r="G4960" s="403" t="s">
        <v>1466</v>
      </c>
      <c r="H4960" s="403" t="s">
        <v>1282</v>
      </c>
      <c r="I4960" s="403">
        <v>1</v>
      </c>
      <c r="J4960" s="403" t="s">
        <v>109</v>
      </c>
      <c r="K4960" s="403">
        <v>1280</v>
      </c>
      <c r="L4960" s="403">
        <v>720</v>
      </c>
      <c r="M4960" s="403" t="s">
        <v>111</v>
      </c>
      <c r="N4960" s="403">
        <v>768</v>
      </c>
      <c r="O4960" s="403">
        <v>432</v>
      </c>
      <c r="P4960" t="str">
        <f t="shared" si="617"/>
        <v>30fps 720p - SD</v>
      </c>
      <c r="Q4960">
        <f t="shared" si="618"/>
        <v>22</v>
      </c>
      <c r="R4960" t="str">
        <f t="shared" si="619"/>
        <v/>
      </c>
      <c r="S4960" t="str">
        <f t="shared" si="620"/>
        <v/>
      </c>
      <c r="T4960" s="403" t="str">
        <f t="shared" si="621"/>
        <v>NDI-4502-A</v>
      </c>
      <c r="U4960" s="403">
        <f t="shared" si="622"/>
        <v>1</v>
      </c>
      <c r="V4960" s="403" t="str">
        <f t="shared" si="623"/>
        <v>CPP_7_3</v>
      </c>
    </row>
    <row r="4961" spans="1:22">
      <c r="A4961" t="str">
        <f t="shared" si="616"/>
        <v>NDI-4502-A</v>
      </c>
      <c r="B4961" s="403" t="s">
        <v>1422</v>
      </c>
      <c r="C4961" s="403" t="s">
        <v>582</v>
      </c>
      <c r="D4961" s="403" t="s">
        <v>1423</v>
      </c>
      <c r="E4961" s="403" t="s">
        <v>778</v>
      </c>
      <c r="F4961" s="403" t="s">
        <v>1286</v>
      </c>
      <c r="G4961" s="403" t="s">
        <v>1466</v>
      </c>
      <c r="H4961" s="403" t="s">
        <v>1282</v>
      </c>
      <c r="I4961" s="403">
        <v>1</v>
      </c>
      <c r="J4961" s="403" t="s">
        <v>109</v>
      </c>
      <c r="K4961" s="403">
        <v>1280</v>
      </c>
      <c r="L4961" s="403">
        <v>720</v>
      </c>
      <c r="M4961" s="403" t="s">
        <v>1279</v>
      </c>
      <c r="N4961" s="403">
        <v>768</v>
      </c>
      <c r="O4961" s="403">
        <v>432</v>
      </c>
      <c r="P4961" t="str">
        <f t="shared" si="617"/>
        <v>30fps 720p - SD ROI PTZ</v>
      </c>
      <c r="Q4961">
        <f t="shared" si="618"/>
        <v>22</v>
      </c>
      <c r="R4961" t="str">
        <f t="shared" si="619"/>
        <v/>
      </c>
      <c r="S4961" t="str">
        <f t="shared" si="620"/>
        <v/>
      </c>
      <c r="T4961" s="403" t="str">
        <f t="shared" si="621"/>
        <v>NDI-4502-A</v>
      </c>
      <c r="U4961" s="403">
        <f t="shared" si="622"/>
        <v>1</v>
      </c>
      <c r="V4961" s="403" t="str">
        <f t="shared" si="623"/>
        <v>CPP_7_3</v>
      </c>
    </row>
    <row r="4962" spans="1:22">
      <c r="A4962" t="str">
        <f t="shared" si="616"/>
        <v>NDI-4502-A</v>
      </c>
      <c r="B4962" s="403" t="s">
        <v>1422</v>
      </c>
      <c r="C4962" s="403" t="s">
        <v>582</v>
      </c>
      <c r="D4962" s="403" t="s">
        <v>1423</v>
      </c>
      <c r="E4962" s="403" t="s">
        <v>778</v>
      </c>
      <c r="F4962" s="403" t="s">
        <v>1286</v>
      </c>
      <c r="G4962" s="403" t="s">
        <v>1466</v>
      </c>
      <c r="H4962" s="403" t="s">
        <v>1282</v>
      </c>
      <c r="I4962" s="403">
        <v>1</v>
      </c>
      <c r="J4962" s="403" t="s">
        <v>109</v>
      </c>
      <c r="K4962" s="403">
        <v>1280</v>
      </c>
      <c r="L4962" s="403">
        <v>720</v>
      </c>
      <c r="M4962" s="403" t="s">
        <v>1283</v>
      </c>
      <c r="N4962" s="403">
        <v>720</v>
      </c>
      <c r="O4962" s="403">
        <v>480</v>
      </c>
      <c r="P4962" t="str">
        <f t="shared" si="617"/>
        <v>30fps 720p - SD 4CIF resolution 4:3 format (cropped)</v>
      </c>
      <c r="Q4962">
        <f t="shared" si="618"/>
        <v>22</v>
      </c>
      <c r="R4962" t="str">
        <f t="shared" si="619"/>
        <v/>
      </c>
      <c r="S4962" t="str">
        <f t="shared" si="620"/>
        <v/>
      </c>
      <c r="T4962" s="403" t="str">
        <f t="shared" si="621"/>
        <v>NDI-4502-A</v>
      </c>
      <c r="U4962" s="403">
        <f t="shared" si="622"/>
        <v>1</v>
      </c>
      <c r="V4962" s="403" t="str">
        <f t="shared" si="623"/>
        <v>CPP_7_3</v>
      </c>
    </row>
    <row r="4963" spans="1:22">
      <c r="A4963" t="str">
        <f t="shared" si="616"/>
        <v>NDI-4502-A</v>
      </c>
      <c r="B4963" s="403" t="s">
        <v>1422</v>
      </c>
      <c r="C4963" s="403" t="s">
        <v>582</v>
      </c>
      <c r="D4963" s="403" t="s">
        <v>1423</v>
      </c>
      <c r="E4963" s="403" t="s">
        <v>778</v>
      </c>
      <c r="F4963" s="403" t="s">
        <v>1286</v>
      </c>
      <c r="G4963" s="403" t="s">
        <v>1466</v>
      </c>
      <c r="H4963" s="403" t="s">
        <v>1282</v>
      </c>
      <c r="I4963" s="403">
        <v>1</v>
      </c>
      <c r="J4963" s="403" t="s">
        <v>109</v>
      </c>
      <c r="K4963" s="403">
        <v>1280</v>
      </c>
      <c r="L4963" s="403">
        <v>720</v>
      </c>
      <c r="M4963" s="403" t="s">
        <v>1284</v>
      </c>
      <c r="N4963" s="403">
        <v>640</v>
      </c>
      <c r="O4963" s="403">
        <v>480</v>
      </c>
      <c r="P4963" t="str">
        <f t="shared" si="617"/>
        <v>30fps 720p - SD VGA (cropped)</v>
      </c>
      <c r="Q4963">
        <f t="shared" si="618"/>
        <v>22</v>
      </c>
      <c r="R4963" t="str">
        <f t="shared" si="619"/>
        <v/>
      </c>
      <c r="S4963" t="str">
        <f t="shared" si="620"/>
        <v/>
      </c>
      <c r="T4963" s="403" t="str">
        <f t="shared" si="621"/>
        <v>NDI-4502-A</v>
      </c>
      <c r="U4963" s="403">
        <f t="shared" si="622"/>
        <v>1</v>
      </c>
      <c r="V4963" s="403" t="str">
        <f t="shared" si="623"/>
        <v>CPP_7_3</v>
      </c>
    </row>
    <row r="4964" spans="1:22">
      <c r="A4964" t="str">
        <f t="shared" si="616"/>
        <v>NDI-4502-A</v>
      </c>
      <c r="B4964" s="403" t="s">
        <v>1422</v>
      </c>
      <c r="C4964" s="403" t="s">
        <v>582</v>
      </c>
      <c r="D4964" s="403" t="s">
        <v>1423</v>
      </c>
      <c r="E4964" s="403" t="s">
        <v>778</v>
      </c>
      <c r="F4964" s="403" t="s">
        <v>1286</v>
      </c>
      <c r="G4964" s="403" t="s">
        <v>1467</v>
      </c>
      <c r="H4964" s="403" t="s">
        <v>1276</v>
      </c>
      <c r="I4964" s="403">
        <v>1</v>
      </c>
      <c r="J4964" s="403" t="s">
        <v>110</v>
      </c>
      <c r="K4964" s="403">
        <v>1080</v>
      </c>
      <c r="L4964" s="403">
        <v>1920</v>
      </c>
      <c r="M4964" s="403" t="s">
        <v>111</v>
      </c>
      <c r="N4964" s="403">
        <v>432</v>
      </c>
      <c r="O4964" s="403">
        <v>768</v>
      </c>
      <c r="P4964" t="str">
        <f t="shared" si="617"/>
        <v>30fps 1080p - SD</v>
      </c>
      <c r="Q4964">
        <f t="shared" si="618"/>
        <v>22</v>
      </c>
      <c r="R4964" t="str">
        <f t="shared" si="619"/>
        <v/>
      </c>
      <c r="S4964" t="str">
        <f t="shared" si="620"/>
        <v/>
      </c>
      <c r="T4964" s="403" t="str">
        <f t="shared" si="621"/>
        <v>NDI-4502-A</v>
      </c>
      <c r="U4964" s="403">
        <f t="shared" si="622"/>
        <v>1</v>
      </c>
      <c r="V4964" s="403" t="str">
        <f t="shared" si="623"/>
        <v>CPP_7_3</v>
      </c>
    </row>
    <row r="4965" spans="1:22">
      <c r="A4965" t="str">
        <f t="shared" si="616"/>
        <v>NDI-4502-A</v>
      </c>
      <c r="B4965" s="403" t="s">
        <v>1422</v>
      </c>
      <c r="C4965" s="403" t="s">
        <v>582</v>
      </c>
      <c r="D4965" s="403" t="s">
        <v>1423</v>
      </c>
      <c r="E4965" s="403" t="s">
        <v>778</v>
      </c>
      <c r="F4965" s="403" t="s">
        <v>1286</v>
      </c>
      <c r="G4965" s="403" t="s">
        <v>1467</v>
      </c>
      <c r="H4965" s="403" t="s">
        <v>1276</v>
      </c>
      <c r="I4965" s="403">
        <v>1</v>
      </c>
      <c r="J4965" s="403" t="s">
        <v>110</v>
      </c>
      <c r="K4965" s="403">
        <v>1080</v>
      </c>
      <c r="L4965" s="403">
        <v>1920</v>
      </c>
      <c r="M4965" s="403" t="s">
        <v>110</v>
      </c>
      <c r="N4965" s="403">
        <v>1080</v>
      </c>
      <c r="O4965" s="403">
        <v>1920</v>
      </c>
      <c r="P4965" t="str">
        <f t="shared" si="617"/>
        <v>30fps 1080p - 1080p</v>
      </c>
      <c r="Q4965">
        <f t="shared" si="618"/>
        <v>22</v>
      </c>
      <c r="R4965" t="str">
        <f t="shared" si="619"/>
        <v/>
      </c>
      <c r="S4965" t="str">
        <f t="shared" si="620"/>
        <v/>
      </c>
      <c r="T4965" s="403" t="str">
        <f t="shared" si="621"/>
        <v>NDI-4502-A</v>
      </c>
      <c r="U4965" s="403">
        <f t="shared" si="622"/>
        <v>1</v>
      </c>
      <c r="V4965" s="403" t="str">
        <f t="shared" si="623"/>
        <v>CPP_7_3</v>
      </c>
    </row>
    <row r="4966" spans="1:22">
      <c r="A4966" t="str">
        <f t="shared" si="616"/>
        <v>NDI-4502-A</v>
      </c>
      <c r="B4966" s="403" t="s">
        <v>1422</v>
      </c>
      <c r="C4966" s="403" t="s">
        <v>582</v>
      </c>
      <c r="D4966" s="403" t="s">
        <v>1423</v>
      </c>
      <c r="E4966" s="403" t="s">
        <v>778</v>
      </c>
      <c r="F4966" s="403" t="s">
        <v>1286</v>
      </c>
      <c r="G4966" s="403" t="s">
        <v>1467</v>
      </c>
      <c r="H4966" s="403" t="s">
        <v>1276</v>
      </c>
      <c r="I4966" s="403">
        <v>1</v>
      </c>
      <c r="J4966" s="403" t="s">
        <v>110</v>
      </c>
      <c r="K4966" s="403">
        <v>1080</v>
      </c>
      <c r="L4966" s="403">
        <v>1920</v>
      </c>
      <c r="M4966" s="403" t="s">
        <v>109</v>
      </c>
      <c r="N4966" s="403">
        <v>720</v>
      </c>
      <c r="O4966" s="403">
        <v>1280</v>
      </c>
      <c r="P4966" t="str">
        <f t="shared" si="617"/>
        <v>30fps 1080p - 720p</v>
      </c>
      <c r="Q4966">
        <f t="shared" si="618"/>
        <v>22</v>
      </c>
      <c r="R4966" t="str">
        <f t="shared" si="619"/>
        <v/>
      </c>
      <c r="S4966" t="str">
        <f t="shared" si="620"/>
        <v/>
      </c>
      <c r="T4966" s="403" t="str">
        <f t="shared" si="621"/>
        <v>NDI-4502-A</v>
      </c>
      <c r="U4966" s="403">
        <f t="shared" si="622"/>
        <v>1</v>
      </c>
      <c r="V4966" s="403" t="str">
        <f t="shared" si="623"/>
        <v>CPP_7_3</v>
      </c>
    </row>
    <row r="4967" spans="1:22">
      <c r="A4967" t="str">
        <f t="shared" si="616"/>
        <v>NDI-4502-A</v>
      </c>
      <c r="B4967" s="403" t="s">
        <v>1422</v>
      </c>
      <c r="C4967" s="403" t="s">
        <v>582</v>
      </c>
      <c r="D4967" s="403" t="s">
        <v>1423</v>
      </c>
      <c r="E4967" s="403" t="s">
        <v>778</v>
      </c>
      <c r="F4967" s="403" t="s">
        <v>1286</v>
      </c>
      <c r="G4967" s="403" t="s">
        <v>1467</v>
      </c>
      <c r="H4967" s="403" t="s">
        <v>1276</v>
      </c>
      <c r="I4967" s="403">
        <v>1</v>
      </c>
      <c r="J4967" s="403" t="s">
        <v>110</v>
      </c>
      <c r="K4967" s="403">
        <v>1080</v>
      </c>
      <c r="L4967" s="403">
        <v>1920</v>
      </c>
      <c r="M4967" s="403" t="s">
        <v>1285</v>
      </c>
      <c r="N4967" s="403">
        <v>1024</v>
      </c>
      <c r="O4967" s="403">
        <v>1280</v>
      </c>
      <c r="P4967" t="str">
        <f t="shared" si="617"/>
        <v>30fps 1080p - 1280x1024 5:4 (cropped)</v>
      </c>
      <c r="Q4967">
        <f t="shared" si="618"/>
        <v>22</v>
      </c>
      <c r="R4967" t="str">
        <f t="shared" si="619"/>
        <v/>
      </c>
      <c r="S4967" t="str">
        <f t="shared" si="620"/>
        <v/>
      </c>
      <c r="T4967" s="403" t="str">
        <f t="shared" si="621"/>
        <v>NDI-4502-A</v>
      </c>
      <c r="U4967" s="403">
        <f t="shared" si="622"/>
        <v>1</v>
      </c>
      <c r="V4967" s="403" t="str">
        <f t="shared" si="623"/>
        <v>CPP_7_3</v>
      </c>
    </row>
    <row r="4968" spans="1:22">
      <c r="A4968" t="str">
        <f t="shared" si="616"/>
        <v>NDI-4502-A</v>
      </c>
      <c r="B4968" s="403" t="s">
        <v>1422</v>
      </c>
      <c r="C4968" s="403" t="s">
        <v>582</v>
      </c>
      <c r="D4968" s="403" t="s">
        <v>1423</v>
      </c>
      <c r="E4968" s="403" t="s">
        <v>778</v>
      </c>
      <c r="F4968" s="403" t="s">
        <v>1286</v>
      </c>
      <c r="G4968" s="403" t="s">
        <v>1467</v>
      </c>
      <c r="H4968" s="403" t="s">
        <v>1276</v>
      </c>
      <c r="I4968" s="403">
        <v>1</v>
      </c>
      <c r="J4968" s="403" t="s">
        <v>110</v>
      </c>
      <c r="K4968" s="403">
        <v>1080</v>
      </c>
      <c r="L4968" s="403">
        <v>1920</v>
      </c>
      <c r="M4968" s="403" t="s">
        <v>1279</v>
      </c>
      <c r="N4968" s="403">
        <v>432</v>
      </c>
      <c r="O4968" s="403">
        <v>768</v>
      </c>
      <c r="P4968" t="str">
        <f t="shared" si="617"/>
        <v>30fps 1080p - SD ROI PTZ</v>
      </c>
      <c r="Q4968">
        <f t="shared" si="618"/>
        <v>22</v>
      </c>
      <c r="R4968" t="str">
        <f t="shared" si="619"/>
        <v/>
      </c>
      <c r="S4968" t="str">
        <f t="shared" si="620"/>
        <v/>
      </c>
      <c r="T4968" s="403" t="str">
        <f t="shared" si="621"/>
        <v>NDI-4502-A</v>
      </c>
      <c r="U4968" s="403">
        <f t="shared" si="622"/>
        <v>1</v>
      </c>
      <c r="V4968" s="403" t="str">
        <f t="shared" si="623"/>
        <v>CPP_7_3</v>
      </c>
    </row>
    <row r="4969" spans="1:22">
      <c r="A4969" t="str">
        <f t="shared" si="616"/>
        <v>NDI-4502-A</v>
      </c>
      <c r="B4969" s="403" t="s">
        <v>1422</v>
      </c>
      <c r="C4969" s="403" t="s">
        <v>582</v>
      </c>
      <c r="D4969" s="403" t="s">
        <v>1423</v>
      </c>
      <c r="E4969" s="403" t="s">
        <v>778</v>
      </c>
      <c r="F4969" s="403" t="s">
        <v>1286</v>
      </c>
      <c r="G4969" s="403" t="s">
        <v>1467</v>
      </c>
      <c r="H4969" s="403" t="s">
        <v>1276</v>
      </c>
      <c r="I4969" s="403">
        <v>1</v>
      </c>
      <c r="J4969" s="403" t="s">
        <v>110</v>
      </c>
      <c r="K4969" s="403">
        <v>1080</v>
      </c>
      <c r="L4969" s="403">
        <v>1920</v>
      </c>
      <c r="M4969" s="403" t="s">
        <v>1283</v>
      </c>
      <c r="N4969" s="403">
        <v>480</v>
      </c>
      <c r="O4969" s="403">
        <v>720</v>
      </c>
      <c r="P4969" t="str">
        <f t="shared" si="617"/>
        <v>30fps 1080p - SD 4CIF resolution 4:3 format (cropped)</v>
      </c>
      <c r="Q4969">
        <f t="shared" si="618"/>
        <v>22</v>
      </c>
      <c r="R4969" t="str">
        <f t="shared" si="619"/>
        <v/>
      </c>
      <c r="S4969" t="str">
        <f t="shared" si="620"/>
        <v/>
      </c>
      <c r="T4969" s="403" t="str">
        <f t="shared" si="621"/>
        <v>NDI-4502-A</v>
      </c>
      <c r="U4969" s="403">
        <f t="shared" si="622"/>
        <v>1</v>
      </c>
      <c r="V4969" s="403" t="str">
        <f t="shared" si="623"/>
        <v>CPP_7_3</v>
      </c>
    </row>
    <row r="4970" spans="1:22">
      <c r="A4970" t="str">
        <f t="shared" si="616"/>
        <v>NDI-4502-A</v>
      </c>
      <c r="B4970" s="403" t="s">
        <v>1422</v>
      </c>
      <c r="C4970" s="403" t="s">
        <v>582</v>
      </c>
      <c r="D4970" s="403" t="s">
        <v>1423</v>
      </c>
      <c r="E4970" s="403" t="s">
        <v>778</v>
      </c>
      <c r="F4970" s="403" t="s">
        <v>1286</v>
      </c>
      <c r="G4970" s="403" t="s">
        <v>1467</v>
      </c>
      <c r="H4970" s="403" t="s">
        <v>1276</v>
      </c>
      <c r="I4970" s="403">
        <v>1</v>
      </c>
      <c r="J4970" s="403" t="s">
        <v>110</v>
      </c>
      <c r="K4970" s="403">
        <v>1080</v>
      </c>
      <c r="L4970" s="403">
        <v>1920</v>
      </c>
      <c r="M4970" s="403" t="s">
        <v>1284</v>
      </c>
      <c r="N4970" s="403">
        <v>480</v>
      </c>
      <c r="O4970" s="403">
        <v>640</v>
      </c>
      <c r="P4970" t="str">
        <f t="shared" si="617"/>
        <v>30fps 1080p - SD VGA (cropped)</v>
      </c>
      <c r="Q4970">
        <f t="shared" si="618"/>
        <v>22</v>
      </c>
      <c r="R4970" t="str">
        <f t="shared" si="619"/>
        <v/>
      </c>
      <c r="S4970" t="str">
        <f t="shared" si="620"/>
        <v/>
      </c>
      <c r="T4970" s="403" t="str">
        <f t="shared" si="621"/>
        <v>NDI-4502-A</v>
      </c>
      <c r="U4970" s="403">
        <f t="shared" si="622"/>
        <v>1</v>
      </c>
      <c r="V4970" s="403" t="str">
        <f t="shared" si="623"/>
        <v>CPP_7_3</v>
      </c>
    </row>
    <row r="4971" spans="1:22">
      <c r="A4971" t="str">
        <f t="shared" si="616"/>
        <v>NDI-4502-A</v>
      </c>
      <c r="B4971" s="403" t="s">
        <v>1422</v>
      </c>
      <c r="C4971" s="403" t="s">
        <v>582</v>
      </c>
      <c r="D4971" s="403" t="s">
        <v>1423</v>
      </c>
      <c r="E4971" s="403" t="s">
        <v>778</v>
      </c>
      <c r="F4971" s="403" t="s">
        <v>1286</v>
      </c>
      <c r="G4971" s="403" t="s">
        <v>1467</v>
      </c>
      <c r="H4971" s="403" t="s">
        <v>1276</v>
      </c>
      <c r="I4971" s="403">
        <v>1</v>
      </c>
      <c r="J4971" s="403" t="s">
        <v>109</v>
      </c>
      <c r="K4971" s="403">
        <v>720</v>
      </c>
      <c r="L4971" s="403">
        <v>1280</v>
      </c>
      <c r="M4971" s="403" t="s">
        <v>109</v>
      </c>
      <c r="N4971" s="403">
        <v>720</v>
      </c>
      <c r="O4971" s="403">
        <v>1280</v>
      </c>
      <c r="P4971" t="str">
        <f t="shared" si="617"/>
        <v>30fps 720p - 720p</v>
      </c>
      <c r="Q4971">
        <f t="shared" si="618"/>
        <v>22</v>
      </c>
      <c r="R4971" t="str">
        <f t="shared" si="619"/>
        <v/>
      </c>
      <c r="S4971" t="str">
        <f t="shared" si="620"/>
        <v/>
      </c>
      <c r="T4971" s="403" t="str">
        <f t="shared" si="621"/>
        <v>NDI-4502-A</v>
      </c>
      <c r="U4971" s="403">
        <f t="shared" si="622"/>
        <v>1</v>
      </c>
      <c r="V4971" s="403" t="str">
        <f t="shared" si="623"/>
        <v>CPP_7_3</v>
      </c>
    </row>
    <row r="4972" spans="1:22">
      <c r="A4972" t="str">
        <f t="shared" si="616"/>
        <v>NDI-4502-A</v>
      </c>
      <c r="B4972" s="403" t="s">
        <v>1422</v>
      </c>
      <c r="C4972" s="403" t="s">
        <v>582</v>
      </c>
      <c r="D4972" s="403" t="s">
        <v>1423</v>
      </c>
      <c r="E4972" s="403" t="s">
        <v>778</v>
      </c>
      <c r="F4972" s="403" t="s">
        <v>1286</v>
      </c>
      <c r="G4972" s="403" t="s">
        <v>1467</v>
      </c>
      <c r="H4972" s="403" t="s">
        <v>1276</v>
      </c>
      <c r="I4972" s="403">
        <v>1</v>
      </c>
      <c r="J4972" s="403" t="s">
        <v>109</v>
      </c>
      <c r="K4972" s="403">
        <v>720</v>
      </c>
      <c r="L4972" s="403">
        <v>1280</v>
      </c>
      <c r="M4972" s="403" t="s">
        <v>111</v>
      </c>
      <c r="N4972" s="403">
        <v>432</v>
      </c>
      <c r="O4972" s="403">
        <v>768</v>
      </c>
      <c r="P4972" t="str">
        <f t="shared" si="617"/>
        <v>30fps 720p - SD</v>
      </c>
      <c r="Q4972">
        <f t="shared" si="618"/>
        <v>22</v>
      </c>
      <c r="R4972" t="str">
        <f t="shared" si="619"/>
        <v/>
      </c>
      <c r="S4972" t="str">
        <f t="shared" si="620"/>
        <v/>
      </c>
      <c r="T4972" s="403" t="str">
        <f t="shared" si="621"/>
        <v>NDI-4502-A</v>
      </c>
      <c r="U4972" s="403">
        <f t="shared" si="622"/>
        <v>1</v>
      </c>
      <c r="V4972" s="403" t="str">
        <f t="shared" si="623"/>
        <v>CPP_7_3</v>
      </c>
    </row>
    <row r="4973" spans="1:22">
      <c r="A4973" t="str">
        <f t="shared" si="616"/>
        <v>NDI-4502-A</v>
      </c>
      <c r="B4973" s="403" t="s">
        <v>1422</v>
      </c>
      <c r="C4973" s="403" t="s">
        <v>582</v>
      </c>
      <c r="D4973" s="403" t="s">
        <v>1423</v>
      </c>
      <c r="E4973" s="403" t="s">
        <v>778</v>
      </c>
      <c r="F4973" s="403" t="s">
        <v>1286</v>
      </c>
      <c r="G4973" s="403" t="s">
        <v>1467</v>
      </c>
      <c r="H4973" s="403" t="s">
        <v>1276</v>
      </c>
      <c r="I4973" s="403">
        <v>1</v>
      </c>
      <c r="J4973" s="403" t="s">
        <v>109</v>
      </c>
      <c r="K4973" s="403">
        <v>720</v>
      </c>
      <c r="L4973" s="403">
        <v>1280</v>
      </c>
      <c r="M4973" s="403" t="s">
        <v>1279</v>
      </c>
      <c r="N4973" s="403">
        <v>432</v>
      </c>
      <c r="O4973" s="403">
        <v>768</v>
      </c>
      <c r="P4973" t="str">
        <f t="shared" si="617"/>
        <v>30fps 720p - SD ROI PTZ</v>
      </c>
      <c r="Q4973">
        <f t="shared" si="618"/>
        <v>22</v>
      </c>
      <c r="R4973" t="str">
        <f t="shared" si="619"/>
        <v/>
      </c>
      <c r="S4973" t="str">
        <f t="shared" si="620"/>
        <v/>
      </c>
      <c r="T4973" s="403" t="str">
        <f t="shared" si="621"/>
        <v>NDI-4502-A</v>
      </c>
      <c r="U4973" s="403">
        <f t="shared" si="622"/>
        <v>1</v>
      </c>
      <c r="V4973" s="403" t="str">
        <f t="shared" si="623"/>
        <v>CPP_7_3</v>
      </c>
    </row>
    <row r="4974" spans="1:22">
      <c r="A4974" t="str">
        <f t="shared" si="616"/>
        <v>NDI-4502-A</v>
      </c>
      <c r="B4974" s="403" t="s">
        <v>1422</v>
      </c>
      <c r="C4974" s="403" t="s">
        <v>582</v>
      </c>
      <c r="D4974" s="403" t="s">
        <v>1423</v>
      </c>
      <c r="E4974" s="403" t="s">
        <v>778</v>
      </c>
      <c r="F4974" s="403" t="s">
        <v>1286</v>
      </c>
      <c r="G4974" s="403" t="s">
        <v>1467</v>
      </c>
      <c r="H4974" s="403" t="s">
        <v>1276</v>
      </c>
      <c r="I4974" s="403">
        <v>1</v>
      </c>
      <c r="J4974" s="403" t="s">
        <v>109</v>
      </c>
      <c r="K4974" s="403">
        <v>720</v>
      </c>
      <c r="L4974" s="403">
        <v>1280</v>
      </c>
      <c r="M4974" s="403" t="s">
        <v>1283</v>
      </c>
      <c r="N4974" s="403">
        <v>480</v>
      </c>
      <c r="O4974" s="403">
        <v>720</v>
      </c>
      <c r="P4974" t="str">
        <f t="shared" si="617"/>
        <v>30fps 720p - SD 4CIF resolution 4:3 format (cropped)</v>
      </c>
      <c r="Q4974">
        <f t="shared" si="618"/>
        <v>22</v>
      </c>
      <c r="R4974" t="str">
        <f t="shared" si="619"/>
        <v/>
      </c>
      <c r="S4974" t="str">
        <f t="shared" si="620"/>
        <v/>
      </c>
      <c r="T4974" s="403" t="str">
        <f t="shared" si="621"/>
        <v>NDI-4502-A</v>
      </c>
      <c r="U4974" s="403">
        <f t="shared" si="622"/>
        <v>1</v>
      </c>
      <c r="V4974" s="403" t="str">
        <f t="shared" si="623"/>
        <v>CPP_7_3</v>
      </c>
    </row>
    <row r="4975" spans="1:22">
      <c r="A4975" t="str">
        <f t="shared" si="616"/>
        <v>NDI-4502-A</v>
      </c>
      <c r="B4975" s="403" t="s">
        <v>1422</v>
      </c>
      <c r="C4975" s="403" t="s">
        <v>582</v>
      </c>
      <c r="D4975" s="403" t="s">
        <v>1423</v>
      </c>
      <c r="E4975" s="403" t="s">
        <v>778</v>
      </c>
      <c r="F4975" s="403" t="s">
        <v>1286</v>
      </c>
      <c r="G4975" s="403" t="s">
        <v>1467</v>
      </c>
      <c r="H4975" s="403" t="s">
        <v>1276</v>
      </c>
      <c r="I4975" s="403">
        <v>1</v>
      </c>
      <c r="J4975" s="403" t="s">
        <v>109</v>
      </c>
      <c r="K4975" s="403">
        <v>720</v>
      </c>
      <c r="L4975" s="403">
        <v>1280</v>
      </c>
      <c r="M4975" s="403" t="s">
        <v>1284</v>
      </c>
      <c r="N4975" s="403">
        <v>480</v>
      </c>
      <c r="O4975" s="403">
        <v>640</v>
      </c>
      <c r="P4975" t="str">
        <f t="shared" si="617"/>
        <v>30fps 720p - SD VGA (cropped)</v>
      </c>
      <c r="Q4975">
        <f t="shared" si="618"/>
        <v>22</v>
      </c>
      <c r="R4975" t="str">
        <f t="shared" si="619"/>
        <v/>
      </c>
      <c r="S4975" t="str">
        <f t="shared" si="620"/>
        <v/>
      </c>
      <c r="T4975" s="403" t="str">
        <f t="shared" si="621"/>
        <v>NDI-4502-A</v>
      </c>
      <c r="U4975" s="403">
        <f t="shared" si="622"/>
        <v>1</v>
      </c>
      <c r="V4975" s="403" t="str">
        <f t="shared" si="623"/>
        <v>CPP_7_3</v>
      </c>
    </row>
    <row r="4976" spans="1:22">
      <c r="A4976" t="str">
        <f t="shared" si="616"/>
        <v>NDI-4502-A</v>
      </c>
      <c r="B4976" s="403" t="s">
        <v>1422</v>
      </c>
      <c r="C4976" s="403" t="s">
        <v>582</v>
      </c>
      <c r="D4976" s="403" t="s">
        <v>1423</v>
      </c>
      <c r="E4976" s="403" t="s">
        <v>778</v>
      </c>
      <c r="F4976" s="403" t="s">
        <v>1286</v>
      </c>
      <c r="G4976" s="403" t="s">
        <v>1467</v>
      </c>
      <c r="H4976" s="403" t="s">
        <v>1281</v>
      </c>
      <c r="I4976" s="403">
        <v>1</v>
      </c>
      <c r="J4976" s="403" t="s">
        <v>110</v>
      </c>
      <c r="K4976" s="403">
        <v>1080</v>
      </c>
      <c r="L4976" s="403">
        <v>1920</v>
      </c>
      <c r="M4976" s="403" t="s">
        <v>111</v>
      </c>
      <c r="N4976" s="403">
        <v>432</v>
      </c>
      <c r="O4976" s="403">
        <v>768</v>
      </c>
      <c r="P4976" t="str">
        <f t="shared" si="617"/>
        <v>30fps 1080p - SD</v>
      </c>
      <c r="Q4976">
        <f t="shared" si="618"/>
        <v>22</v>
      </c>
      <c r="R4976" t="str">
        <f t="shared" si="619"/>
        <v/>
      </c>
      <c r="S4976" t="str">
        <f t="shared" si="620"/>
        <v/>
      </c>
      <c r="T4976" s="403" t="str">
        <f t="shared" si="621"/>
        <v>NDI-4502-A</v>
      </c>
      <c r="U4976" s="403">
        <f t="shared" si="622"/>
        <v>1</v>
      </c>
      <c r="V4976" s="403" t="str">
        <f t="shared" si="623"/>
        <v>CPP_7_3</v>
      </c>
    </row>
    <row r="4977" spans="1:22">
      <c r="A4977" t="str">
        <f t="shared" si="616"/>
        <v>NDI-4502-A</v>
      </c>
      <c r="B4977" s="403" t="s">
        <v>1422</v>
      </c>
      <c r="C4977" s="403" t="s">
        <v>582</v>
      </c>
      <c r="D4977" s="403" t="s">
        <v>1423</v>
      </c>
      <c r="E4977" s="403" t="s">
        <v>778</v>
      </c>
      <c r="F4977" s="403" t="s">
        <v>1286</v>
      </c>
      <c r="G4977" s="403" t="s">
        <v>1467</v>
      </c>
      <c r="H4977" s="403" t="s">
        <v>1281</v>
      </c>
      <c r="I4977" s="403">
        <v>1</v>
      </c>
      <c r="J4977" s="403" t="s">
        <v>110</v>
      </c>
      <c r="K4977" s="403">
        <v>1080</v>
      </c>
      <c r="L4977" s="403">
        <v>1920</v>
      </c>
      <c r="M4977" s="403" t="s">
        <v>110</v>
      </c>
      <c r="N4977" s="403">
        <v>1080</v>
      </c>
      <c r="O4977" s="403">
        <v>1920</v>
      </c>
      <c r="P4977" t="str">
        <f t="shared" si="617"/>
        <v>30fps 1080p - 1080p</v>
      </c>
      <c r="Q4977">
        <f t="shared" si="618"/>
        <v>22</v>
      </c>
      <c r="R4977" t="str">
        <f t="shared" si="619"/>
        <v/>
      </c>
      <c r="S4977" t="str">
        <f t="shared" si="620"/>
        <v/>
      </c>
      <c r="T4977" s="403" t="str">
        <f t="shared" si="621"/>
        <v>NDI-4502-A</v>
      </c>
      <c r="U4977" s="403">
        <f t="shared" si="622"/>
        <v>1</v>
      </c>
      <c r="V4977" s="403" t="str">
        <f t="shared" si="623"/>
        <v>CPP_7_3</v>
      </c>
    </row>
    <row r="4978" spans="1:22">
      <c r="A4978" t="str">
        <f t="shared" si="616"/>
        <v>NDI-4502-A</v>
      </c>
      <c r="B4978" s="403" t="s">
        <v>1422</v>
      </c>
      <c r="C4978" s="403" t="s">
        <v>582</v>
      </c>
      <c r="D4978" s="403" t="s">
        <v>1423</v>
      </c>
      <c r="E4978" s="403" t="s">
        <v>778</v>
      </c>
      <c r="F4978" s="403" t="s">
        <v>1286</v>
      </c>
      <c r="G4978" s="403" t="s">
        <v>1467</v>
      </c>
      <c r="H4978" s="403" t="s">
        <v>1281</v>
      </c>
      <c r="I4978" s="403">
        <v>1</v>
      </c>
      <c r="J4978" s="403" t="s">
        <v>110</v>
      </c>
      <c r="K4978" s="403">
        <v>1080</v>
      </c>
      <c r="L4978" s="403">
        <v>1920</v>
      </c>
      <c r="M4978" s="403" t="s">
        <v>109</v>
      </c>
      <c r="N4978" s="403">
        <v>720</v>
      </c>
      <c r="O4978" s="403">
        <v>1280</v>
      </c>
      <c r="P4978" t="str">
        <f t="shared" si="617"/>
        <v>30fps 1080p - 720p</v>
      </c>
      <c r="Q4978">
        <f t="shared" si="618"/>
        <v>22</v>
      </c>
      <c r="R4978" t="str">
        <f t="shared" si="619"/>
        <v/>
      </c>
      <c r="S4978" t="str">
        <f t="shared" si="620"/>
        <v/>
      </c>
      <c r="T4978" s="403" t="str">
        <f t="shared" si="621"/>
        <v>NDI-4502-A</v>
      </c>
      <c r="U4978" s="403">
        <f t="shared" si="622"/>
        <v>1</v>
      </c>
      <c r="V4978" s="403" t="str">
        <f t="shared" si="623"/>
        <v>CPP_7_3</v>
      </c>
    </row>
    <row r="4979" spans="1:22">
      <c r="A4979" t="str">
        <f t="shared" si="616"/>
        <v>NDI-4502-A</v>
      </c>
      <c r="B4979" s="403" t="s">
        <v>1422</v>
      </c>
      <c r="C4979" s="403" t="s">
        <v>582</v>
      </c>
      <c r="D4979" s="403" t="s">
        <v>1423</v>
      </c>
      <c r="E4979" s="403" t="s">
        <v>778</v>
      </c>
      <c r="F4979" s="403" t="s">
        <v>1286</v>
      </c>
      <c r="G4979" s="403" t="s">
        <v>1467</v>
      </c>
      <c r="H4979" s="403" t="s">
        <v>1281</v>
      </c>
      <c r="I4979" s="403">
        <v>1</v>
      </c>
      <c r="J4979" s="403" t="s">
        <v>110</v>
      </c>
      <c r="K4979" s="403">
        <v>1080</v>
      </c>
      <c r="L4979" s="403">
        <v>1920</v>
      </c>
      <c r="M4979" s="403" t="s">
        <v>1285</v>
      </c>
      <c r="N4979" s="403">
        <v>1024</v>
      </c>
      <c r="O4979" s="403">
        <v>1280</v>
      </c>
      <c r="P4979" t="str">
        <f t="shared" si="617"/>
        <v>30fps 1080p - 1280x1024 5:4 (cropped)</v>
      </c>
      <c r="Q4979">
        <f t="shared" si="618"/>
        <v>22</v>
      </c>
      <c r="R4979" t="str">
        <f t="shared" si="619"/>
        <v/>
      </c>
      <c r="S4979" t="str">
        <f t="shared" si="620"/>
        <v/>
      </c>
      <c r="T4979" s="403" t="str">
        <f t="shared" si="621"/>
        <v>NDI-4502-A</v>
      </c>
      <c r="U4979" s="403">
        <f t="shared" si="622"/>
        <v>1</v>
      </c>
      <c r="V4979" s="403" t="str">
        <f t="shared" si="623"/>
        <v>CPP_7_3</v>
      </c>
    </row>
    <row r="4980" spans="1:22">
      <c r="A4980" t="str">
        <f t="shared" si="616"/>
        <v>NDI-4502-A</v>
      </c>
      <c r="B4980" s="403" t="s">
        <v>1422</v>
      </c>
      <c r="C4980" s="403" t="s">
        <v>582</v>
      </c>
      <c r="D4980" s="403" t="s">
        <v>1423</v>
      </c>
      <c r="E4980" s="403" t="s">
        <v>778</v>
      </c>
      <c r="F4980" s="403" t="s">
        <v>1286</v>
      </c>
      <c r="G4980" s="403" t="s">
        <v>1467</v>
      </c>
      <c r="H4980" s="403" t="s">
        <v>1281</v>
      </c>
      <c r="I4980" s="403">
        <v>1</v>
      </c>
      <c r="J4980" s="403" t="s">
        <v>110</v>
      </c>
      <c r="K4980" s="403">
        <v>1080</v>
      </c>
      <c r="L4980" s="403">
        <v>1920</v>
      </c>
      <c r="M4980" s="403" t="s">
        <v>1279</v>
      </c>
      <c r="N4980" s="403">
        <v>432</v>
      </c>
      <c r="O4980" s="403">
        <v>768</v>
      </c>
      <c r="P4980" t="str">
        <f t="shared" si="617"/>
        <v>30fps 1080p - SD ROI PTZ</v>
      </c>
      <c r="Q4980">
        <f t="shared" si="618"/>
        <v>22</v>
      </c>
      <c r="R4980" t="str">
        <f t="shared" si="619"/>
        <v/>
      </c>
      <c r="S4980" t="str">
        <f t="shared" si="620"/>
        <v/>
      </c>
      <c r="T4980" s="403" t="str">
        <f t="shared" si="621"/>
        <v>NDI-4502-A</v>
      </c>
      <c r="U4980" s="403">
        <f t="shared" si="622"/>
        <v>1</v>
      </c>
      <c r="V4980" s="403" t="str">
        <f t="shared" si="623"/>
        <v>CPP_7_3</v>
      </c>
    </row>
    <row r="4981" spans="1:22">
      <c r="A4981" t="str">
        <f t="shared" si="616"/>
        <v>NDI-4502-A</v>
      </c>
      <c r="B4981" s="403" t="s">
        <v>1422</v>
      </c>
      <c r="C4981" s="403" t="s">
        <v>582</v>
      </c>
      <c r="D4981" s="403" t="s">
        <v>1423</v>
      </c>
      <c r="E4981" s="403" t="s">
        <v>778</v>
      </c>
      <c r="F4981" s="403" t="s">
        <v>1286</v>
      </c>
      <c r="G4981" s="403" t="s">
        <v>1467</v>
      </c>
      <c r="H4981" s="403" t="s">
        <v>1281</v>
      </c>
      <c r="I4981" s="403">
        <v>1</v>
      </c>
      <c r="J4981" s="403" t="s">
        <v>110</v>
      </c>
      <c r="K4981" s="403">
        <v>1080</v>
      </c>
      <c r="L4981" s="403">
        <v>1920</v>
      </c>
      <c r="M4981" s="403" t="s">
        <v>1283</v>
      </c>
      <c r="N4981" s="403">
        <v>480</v>
      </c>
      <c r="O4981" s="403">
        <v>720</v>
      </c>
      <c r="P4981" t="str">
        <f t="shared" si="617"/>
        <v>30fps 1080p - SD 4CIF resolution 4:3 format (cropped)</v>
      </c>
      <c r="Q4981">
        <f t="shared" si="618"/>
        <v>22</v>
      </c>
      <c r="R4981" t="str">
        <f t="shared" si="619"/>
        <v/>
      </c>
      <c r="S4981" t="str">
        <f t="shared" si="620"/>
        <v/>
      </c>
      <c r="T4981" s="403" t="str">
        <f t="shared" si="621"/>
        <v>NDI-4502-A</v>
      </c>
      <c r="U4981" s="403">
        <f t="shared" si="622"/>
        <v>1</v>
      </c>
      <c r="V4981" s="403" t="str">
        <f t="shared" si="623"/>
        <v>CPP_7_3</v>
      </c>
    </row>
    <row r="4982" spans="1:22">
      <c r="A4982" t="str">
        <f t="shared" si="616"/>
        <v>NDI-4502-A</v>
      </c>
      <c r="B4982" s="403" t="s">
        <v>1422</v>
      </c>
      <c r="C4982" s="403" t="s">
        <v>582</v>
      </c>
      <c r="D4982" s="403" t="s">
        <v>1423</v>
      </c>
      <c r="E4982" s="403" t="s">
        <v>778</v>
      </c>
      <c r="F4982" s="403" t="s">
        <v>1286</v>
      </c>
      <c r="G4982" s="403" t="s">
        <v>1467</v>
      </c>
      <c r="H4982" s="403" t="s">
        <v>1281</v>
      </c>
      <c r="I4982" s="403">
        <v>1</v>
      </c>
      <c r="J4982" s="403" t="s">
        <v>110</v>
      </c>
      <c r="K4982" s="403">
        <v>1080</v>
      </c>
      <c r="L4982" s="403">
        <v>1920</v>
      </c>
      <c r="M4982" s="403" t="s">
        <v>1284</v>
      </c>
      <c r="N4982" s="403">
        <v>480</v>
      </c>
      <c r="O4982" s="403">
        <v>640</v>
      </c>
      <c r="P4982" t="str">
        <f t="shared" si="617"/>
        <v>30fps 1080p - SD VGA (cropped)</v>
      </c>
      <c r="Q4982">
        <f t="shared" si="618"/>
        <v>22</v>
      </c>
      <c r="R4982" t="str">
        <f t="shared" si="619"/>
        <v/>
      </c>
      <c r="S4982" t="str">
        <f t="shared" si="620"/>
        <v/>
      </c>
      <c r="T4982" s="403" t="str">
        <f t="shared" si="621"/>
        <v>NDI-4502-A</v>
      </c>
      <c r="U4982" s="403">
        <f t="shared" si="622"/>
        <v>1</v>
      </c>
      <c r="V4982" s="403" t="str">
        <f t="shared" si="623"/>
        <v>CPP_7_3</v>
      </c>
    </row>
    <row r="4983" spans="1:22">
      <c r="A4983" t="str">
        <f t="shared" si="616"/>
        <v>NDI-4502-A</v>
      </c>
      <c r="B4983" s="403" t="s">
        <v>1422</v>
      </c>
      <c r="C4983" s="403" t="s">
        <v>582</v>
      </c>
      <c r="D4983" s="403" t="s">
        <v>1423</v>
      </c>
      <c r="E4983" s="403" t="s">
        <v>778</v>
      </c>
      <c r="F4983" s="403" t="s">
        <v>1286</v>
      </c>
      <c r="G4983" s="403" t="s">
        <v>1467</v>
      </c>
      <c r="H4983" s="403" t="s">
        <v>1281</v>
      </c>
      <c r="I4983" s="403">
        <v>1</v>
      </c>
      <c r="J4983" s="403" t="s">
        <v>109</v>
      </c>
      <c r="K4983" s="403">
        <v>720</v>
      </c>
      <c r="L4983" s="403">
        <v>1280</v>
      </c>
      <c r="M4983" s="403" t="s">
        <v>109</v>
      </c>
      <c r="N4983" s="403">
        <v>720</v>
      </c>
      <c r="O4983" s="403">
        <v>1280</v>
      </c>
      <c r="P4983" t="str">
        <f t="shared" si="617"/>
        <v>30fps 720p - 720p</v>
      </c>
      <c r="Q4983">
        <f t="shared" si="618"/>
        <v>22</v>
      </c>
      <c r="R4983" t="str">
        <f t="shared" si="619"/>
        <v/>
      </c>
      <c r="S4983" t="str">
        <f t="shared" si="620"/>
        <v/>
      </c>
      <c r="T4983" s="403" t="str">
        <f t="shared" si="621"/>
        <v>NDI-4502-A</v>
      </c>
      <c r="U4983" s="403">
        <f t="shared" si="622"/>
        <v>1</v>
      </c>
      <c r="V4983" s="403" t="str">
        <f t="shared" si="623"/>
        <v>CPP_7_3</v>
      </c>
    </row>
    <row r="4984" spans="1:22">
      <c r="A4984" t="str">
        <f t="shared" si="616"/>
        <v>NDI-4502-A</v>
      </c>
      <c r="B4984" s="403" t="s">
        <v>1422</v>
      </c>
      <c r="C4984" s="403" t="s">
        <v>582</v>
      </c>
      <c r="D4984" s="403" t="s">
        <v>1423</v>
      </c>
      <c r="E4984" s="403" t="s">
        <v>778</v>
      </c>
      <c r="F4984" s="403" t="s">
        <v>1286</v>
      </c>
      <c r="G4984" s="403" t="s">
        <v>1467</v>
      </c>
      <c r="H4984" s="403" t="s">
        <v>1281</v>
      </c>
      <c r="I4984" s="403">
        <v>1</v>
      </c>
      <c r="J4984" s="403" t="s">
        <v>109</v>
      </c>
      <c r="K4984" s="403">
        <v>720</v>
      </c>
      <c r="L4984" s="403">
        <v>1280</v>
      </c>
      <c r="M4984" s="403" t="s">
        <v>111</v>
      </c>
      <c r="N4984" s="403">
        <v>432</v>
      </c>
      <c r="O4984" s="403">
        <v>768</v>
      </c>
      <c r="P4984" t="str">
        <f t="shared" si="617"/>
        <v>30fps 720p - SD</v>
      </c>
      <c r="Q4984">
        <f t="shared" si="618"/>
        <v>22</v>
      </c>
      <c r="R4984" t="str">
        <f t="shared" si="619"/>
        <v/>
      </c>
      <c r="S4984" t="str">
        <f t="shared" si="620"/>
        <v/>
      </c>
      <c r="T4984" s="403" t="str">
        <f t="shared" si="621"/>
        <v>NDI-4502-A</v>
      </c>
      <c r="U4984" s="403">
        <f t="shared" si="622"/>
        <v>1</v>
      </c>
      <c r="V4984" s="403" t="str">
        <f t="shared" si="623"/>
        <v>CPP_7_3</v>
      </c>
    </row>
    <row r="4985" spans="1:22">
      <c r="A4985" t="str">
        <f t="shared" si="616"/>
        <v>NDI-4502-A</v>
      </c>
      <c r="B4985" s="403" t="s">
        <v>1422</v>
      </c>
      <c r="C4985" s="403" t="s">
        <v>582</v>
      </c>
      <c r="D4985" s="403" t="s">
        <v>1423</v>
      </c>
      <c r="E4985" s="403" t="s">
        <v>778</v>
      </c>
      <c r="F4985" s="403" t="s">
        <v>1286</v>
      </c>
      <c r="G4985" s="403" t="s">
        <v>1467</v>
      </c>
      <c r="H4985" s="403" t="s">
        <v>1281</v>
      </c>
      <c r="I4985" s="403">
        <v>1</v>
      </c>
      <c r="J4985" s="403" t="s">
        <v>109</v>
      </c>
      <c r="K4985" s="403">
        <v>720</v>
      </c>
      <c r="L4985" s="403">
        <v>1280</v>
      </c>
      <c r="M4985" s="403" t="s">
        <v>1279</v>
      </c>
      <c r="N4985" s="403">
        <v>432</v>
      </c>
      <c r="O4985" s="403">
        <v>768</v>
      </c>
      <c r="P4985" t="str">
        <f t="shared" si="617"/>
        <v>30fps 720p - SD ROI PTZ</v>
      </c>
      <c r="Q4985">
        <f t="shared" si="618"/>
        <v>22</v>
      </c>
      <c r="R4985" t="str">
        <f t="shared" si="619"/>
        <v/>
      </c>
      <c r="S4985" t="str">
        <f t="shared" si="620"/>
        <v/>
      </c>
      <c r="T4985" s="403" t="str">
        <f t="shared" si="621"/>
        <v>NDI-4502-A</v>
      </c>
      <c r="U4985" s="403">
        <f t="shared" si="622"/>
        <v>1</v>
      </c>
      <c r="V4985" s="403" t="str">
        <f t="shared" si="623"/>
        <v>CPP_7_3</v>
      </c>
    </row>
    <row r="4986" spans="1:22">
      <c r="A4986" t="str">
        <f t="shared" si="616"/>
        <v>NDI-4502-A</v>
      </c>
      <c r="B4986" s="403" t="s">
        <v>1422</v>
      </c>
      <c r="C4986" s="403" t="s">
        <v>582</v>
      </c>
      <c r="D4986" s="403" t="s">
        <v>1423</v>
      </c>
      <c r="E4986" s="403" t="s">
        <v>778</v>
      </c>
      <c r="F4986" s="403" t="s">
        <v>1286</v>
      </c>
      <c r="G4986" s="403" t="s">
        <v>1467</v>
      </c>
      <c r="H4986" s="403" t="s">
        <v>1281</v>
      </c>
      <c r="I4986" s="403">
        <v>1</v>
      </c>
      <c r="J4986" s="403" t="s">
        <v>109</v>
      </c>
      <c r="K4986" s="403">
        <v>720</v>
      </c>
      <c r="L4986" s="403">
        <v>1280</v>
      </c>
      <c r="M4986" s="403" t="s">
        <v>1283</v>
      </c>
      <c r="N4986" s="403">
        <v>480</v>
      </c>
      <c r="O4986" s="403">
        <v>720</v>
      </c>
      <c r="P4986" t="str">
        <f t="shared" si="617"/>
        <v>30fps 720p - SD 4CIF resolution 4:3 format (cropped)</v>
      </c>
      <c r="Q4986">
        <f t="shared" si="618"/>
        <v>22</v>
      </c>
      <c r="R4986" t="str">
        <f t="shared" si="619"/>
        <v/>
      </c>
      <c r="S4986" t="str">
        <f t="shared" si="620"/>
        <v/>
      </c>
      <c r="T4986" s="403" t="str">
        <f t="shared" si="621"/>
        <v>NDI-4502-A</v>
      </c>
      <c r="U4986" s="403">
        <f t="shared" si="622"/>
        <v>1</v>
      </c>
      <c r="V4986" s="403" t="str">
        <f t="shared" si="623"/>
        <v>CPP_7_3</v>
      </c>
    </row>
    <row r="4987" spans="1:22">
      <c r="A4987" t="str">
        <f t="shared" si="616"/>
        <v>NDI-4502-A</v>
      </c>
      <c r="B4987" s="403" t="s">
        <v>1422</v>
      </c>
      <c r="C4987" s="403" t="s">
        <v>582</v>
      </c>
      <c r="D4987" s="403" t="s">
        <v>1423</v>
      </c>
      <c r="E4987" s="403" t="s">
        <v>778</v>
      </c>
      <c r="F4987" s="403" t="s">
        <v>1286</v>
      </c>
      <c r="G4987" s="403" t="s">
        <v>1467</v>
      </c>
      <c r="H4987" s="403" t="s">
        <v>1281</v>
      </c>
      <c r="I4987" s="403">
        <v>1</v>
      </c>
      <c r="J4987" s="403" t="s">
        <v>109</v>
      </c>
      <c r="K4987" s="403">
        <v>720</v>
      </c>
      <c r="L4987" s="403">
        <v>1280</v>
      </c>
      <c r="M4987" s="403" t="s">
        <v>1284</v>
      </c>
      <c r="N4987" s="403">
        <v>480</v>
      </c>
      <c r="O4987" s="403">
        <v>640</v>
      </c>
      <c r="P4987" t="str">
        <f t="shared" si="617"/>
        <v>30fps 720p - SD VGA (cropped)</v>
      </c>
      <c r="Q4987">
        <f t="shared" si="618"/>
        <v>22</v>
      </c>
      <c r="R4987" t="str">
        <f t="shared" si="619"/>
        <v/>
      </c>
      <c r="S4987" t="str">
        <f t="shared" si="620"/>
        <v/>
      </c>
      <c r="T4987" s="403" t="str">
        <f t="shared" si="621"/>
        <v>NDI-4502-A</v>
      </c>
      <c r="U4987" s="403">
        <f t="shared" si="622"/>
        <v>1</v>
      </c>
      <c r="V4987" s="403" t="str">
        <f t="shared" si="623"/>
        <v>CPP_7_3</v>
      </c>
    </row>
    <row r="4988" spans="1:22">
      <c r="A4988" t="str">
        <f t="shared" si="616"/>
        <v>NDI-4502-A</v>
      </c>
      <c r="B4988" s="403" t="s">
        <v>1422</v>
      </c>
      <c r="C4988" s="403" t="s">
        <v>582</v>
      </c>
      <c r="D4988" s="403" t="s">
        <v>1423</v>
      </c>
      <c r="E4988" s="403" t="s">
        <v>778</v>
      </c>
      <c r="F4988" s="403" t="s">
        <v>1286</v>
      </c>
      <c r="G4988" s="403" t="s">
        <v>1467</v>
      </c>
      <c r="H4988" s="403" t="s">
        <v>1282</v>
      </c>
      <c r="I4988" s="403">
        <v>1</v>
      </c>
      <c r="J4988" s="403" t="s">
        <v>110</v>
      </c>
      <c r="K4988" s="403">
        <v>1080</v>
      </c>
      <c r="L4988" s="403">
        <v>1920</v>
      </c>
      <c r="M4988" s="403" t="s">
        <v>111</v>
      </c>
      <c r="N4988" s="403">
        <v>432</v>
      </c>
      <c r="O4988" s="403">
        <v>768</v>
      </c>
      <c r="P4988" t="str">
        <f t="shared" si="617"/>
        <v>30fps 1080p - SD</v>
      </c>
      <c r="Q4988">
        <f t="shared" si="618"/>
        <v>22</v>
      </c>
      <c r="R4988" t="str">
        <f t="shared" si="619"/>
        <v/>
      </c>
      <c r="S4988" t="str">
        <f t="shared" si="620"/>
        <v/>
      </c>
      <c r="T4988" s="403" t="str">
        <f t="shared" si="621"/>
        <v>NDI-4502-A</v>
      </c>
      <c r="U4988" s="403">
        <f t="shared" si="622"/>
        <v>1</v>
      </c>
      <c r="V4988" s="403" t="str">
        <f t="shared" si="623"/>
        <v>CPP_7_3</v>
      </c>
    </row>
    <row r="4989" spans="1:22">
      <c r="A4989" t="str">
        <f t="shared" si="616"/>
        <v>NDI-4502-A</v>
      </c>
      <c r="B4989" s="403" t="s">
        <v>1422</v>
      </c>
      <c r="C4989" s="403" t="s">
        <v>582</v>
      </c>
      <c r="D4989" s="403" t="s">
        <v>1423</v>
      </c>
      <c r="E4989" s="403" t="s">
        <v>778</v>
      </c>
      <c r="F4989" s="403" t="s">
        <v>1286</v>
      </c>
      <c r="G4989" s="403" t="s">
        <v>1467</v>
      </c>
      <c r="H4989" s="403" t="s">
        <v>1282</v>
      </c>
      <c r="I4989" s="403">
        <v>1</v>
      </c>
      <c r="J4989" s="403" t="s">
        <v>110</v>
      </c>
      <c r="K4989" s="403">
        <v>1080</v>
      </c>
      <c r="L4989" s="403">
        <v>1920</v>
      </c>
      <c r="M4989" s="403" t="s">
        <v>110</v>
      </c>
      <c r="N4989" s="403">
        <v>1080</v>
      </c>
      <c r="O4989" s="403">
        <v>1920</v>
      </c>
      <c r="P4989" t="str">
        <f t="shared" si="617"/>
        <v>30fps 1080p - 1080p</v>
      </c>
      <c r="Q4989">
        <f t="shared" si="618"/>
        <v>22</v>
      </c>
      <c r="R4989" t="str">
        <f t="shared" si="619"/>
        <v/>
      </c>
      <c r="S4989" t="str">
        <f t="shared" si="620"/>
        <v/>
      </c>
      <c r="T4989" s="403" t="str">
        <f t="shared" si="621"/>
        <v>NDI-4502-A</v>
      </c>
      <c r="U4989" s="403">
        <f t="shared" si="622"/>
        <v>1</v>
      </c>
      <c r="V4989" s="403" t="str">
        <f t="shared" si="623"/>
        <v>CPP_7_3</v>
      </c>
    </row>
    <row r="4990" spans="1:22">
      <c r="A4990" t="str">
        <f t="shared" si="616"/>
        <v>NDI-4502-A</v>
      </c>
      <c r="B4990" s="403" t="s">
        <v>1422</v>
      </c>
      <c r="C4990" s="403" t="s">
        <v>582</v>
      </c>
      <c r="D4990" s="403" t="s">
        <v>1423</v>
      </c>
      <c r="E4990" s="403" t="s">
        <v>778</v>
      </c>
      <c r="F4990" s="403" t="s">
        <v>1286</v>
      </c>
      <c r="G4990" s="403" t="s">
        <v>1467</v>
      </c>
      <c r="H4990" s="403" t="s">
        <v>1282</v>
      </c>
      <c r="I4990" s="403">
        <v>1</v>
      </c>
      <c r="J4990" s="403" t="s">
        <v>110</v>
      </c>
      <c r="K4990" s="403">
        <v>1080</v>
      </c>
      <c r="L4990" s="403">
        <v>1920</v>
      </c>
      <c r="M4990" s="403" t="s">
        <v>109</v>
      </c>
      <c r="N4990" s="403">
        <v>720</v>
      </c>
      <c r="O4990" s="403">
        <v>1280</v>
      </c>
      <c r="P4990" t="str">
        <f t="shared" si="617"/>
        <v>30fps 1080p - 720p</v>
      </c>
      <c r="Q4990">
        <f t="shared" si="618"/>
        <v>22</v>
      </c>
      <c r="R4990" t="str">
        <f t="shared" si="619"/>
        <v/>
      </c>
      <c r="S4990" t="str">
        <f t="shared" si="620"/>
        <v/>
      </c>
      <c r="T4990" s="403" t="str">
        <f t="shared" si="621"/>
        <v>NDI-4502-A</v>
      </c>
      <c r="U4990" s="403">
        <f t="shared" si="622"/>
        <v>1</v>
      </c>
      <c r="V4990" s="403" t="str">
        <f t="shared" si="623"/>
        <v>CPP_7_3</v>
      </c>
    </row>
    <row r="4991" spans="1:22">
      <c r="A4991" t="str">
        <f t="shared" si="616"/>
        <v>NDI-4502-A</v>
      </c>
      <c r="B4991" s="403" t="s">
        <v>1422</v>
      </c>
      <c r="C4991" s="403" t="s">
        <v>582</v>
      </c>
      <c r="D4991" s="403" t="s">
        <v>1423</v>
      </c>
      <c r="E4991" s="403" t="s">
        <v>778</v>
      </c>
      <c r="F4991" s="403" t="s">
        <v>1286</v>
      </c>
      <c r="G4991" s="403" t="s">
        <v>1467</v>
      </c>
      <c r="H4991" s="403" t="s">
        <v>1282</v>
      </c>
      <c r="I4991" s="403">
        <v>1</v>
      </c>
      <c r="J4991" s="403" t="s">
        <v>110</v>
      </c>
      <c r="K4991" s="403">
        <v>1080</v>
      </c>
      <c r="L4991" s="403">
        <v>1920</v>
      </c>
      <c r="M4991" s="403" t="s">
        <v>1285</v>
      </c>
      <c r="N4991" s="403">
        <v>1024</v>
      </c>
      <c r="O4991" s="403">
        <v>1280</v>
      </c>
      <c r="P4991" t="str">
        <f t="shared" si="617"/>
        <v>30fps 1080p - 1280x1024 5:4 (cropped)</v>
      </c>
      <c r="Q4991">
        <f t="shared" si="618"/>
        <v>22</v>
      </c>
      <c r="R4991" t="str">
        <f t="shared" si="619"/>
        <v/>
      </c>
      <c r="S4991" t="str">
        <f t="shared" si="620"/>
        <v/>
      </c>
      <c r="T4991" s="403" t="str">
        <f t="shared" si="621"/>
        <v>NDI-4502-A</v>
      </c>
      <c r="U4991" s="403">
        <f t="shared" si="622"/>
        <v>1</v>
      </c>
      <c r="V4991" s="403" t="str">
        <f t="shared" si="623"/>
        <v>CPP_7_3</v>
      </c>
    </row>
    <row r="4992" spans="1:22">
      <c r="A4992" t="str">
        <f t="shared" si="616"/>
        <v>NDI-4502-A</v>
      </c>
      <c r="B4992" s="403" t="s">
        <v>1422</v>
      </c>
      <c r="C4992" s="403" t="s">
        <v>582</v>
      </c>
      <c r="D4992" s="403" t="s">
        <v>1423</v>
      </c>
      <c r="E4992" s="403" t="s">
        <v>778</v>
      </c>
      <c r="F4992" s="403" t="s">
        <v>1286</v>
      </c>
      <c r="G4992" s="403" t="s">
        <v>1467</v>
      </c>
      <c r="H4992" s="403" t="s">
        <v>1282</v>
      </c>
      <c r="I4992" s="403">
        <v>1</v>
      </c>
      <c r="J4992" s="403" t="s">
        <v>110</v>
      </c>
      <c r="K4992" s="403">
        <v>1080</v>
      </c>
      <c r="L4992" s="403">
        <v>1920</v>
      </c>
      <c r="M4992" s="403" t="s">
        <v>1279</v>
      </c>
      <c r="N4992" s="403">
        <v>432</v>
      </c>
      <c r="O4992" s="403">
        <v>768</v>
      </c>
      <c r="P4992" t="str">
        <f t="shared" si="617"/>
        <v>30fps 1080p - SD ROI PTZ</v>
      </c>
      <c r="Q4992">
        <f t="shared" si="618"/>
        <v>22</v>
      </c>
      <c r="R4992" t="str">
        <f t="shared" si="619"/>
        <v/>
      </c>
      <c r="S4992" t="str">
        <f t="shared" si="620"/>
        <v/>
      </c>
      <c r="T4992" s="403" t="str">
        <f t="shared" si="621"/>
        <v>NDI-4502-A</v>
      </c>
      <c r="U4992" s="403">
        <f t="shared" si="622"/>
        <v>1</v>
      </c>
      <c r="V4992" s="403" t="str">
        <f t="shared" si="623"/>
        <v>CPP_7_3</v>
      </c>
    </row>
    <row r="4993" spans="1:22">
      <c r="A4993" t="str">
        <f t="shared" si="616"/>
        <v>NDI-4502-A</v>
      </c>
      <c r="B4993" s="403" t="s">
        <v>1422</v>
      </c>
      <c r="C4993" s="403" t="s">
        <v>582</v>
      </c>
      <c r="D4993" s="403" t="s">
        <v>1423</v>
      </c>
      <c r="E4993" s="403" t="s">
        <v>778</v>
      </c>
      <c r="F4993" s="403" t="s">
        <v>1286</v>
      </c>
      <c r="G4993" s="403" t="s">
        <v>1467</v>
      </c>
      <c r="H4993" s="403" t="s">
        <v>1282</v>
      </c>
      <c r="I4993" s="403">
        <v>1</v>
      </c>
      <c r="J4993" s="403" t="s">
        <v>110</v>
      </c>
      <c r="K4993" s="403">
        <v>1080</v>
      </c>
      <c r="L4993" s="403">
        <v>1920</v>
      </c>
      <c r="M4993" s="403" t="s">
        <v>1283</v>
      </c>
      <c r="N4993" s="403">
        <v>480</v>
      </c>
      <c r="O4993" s="403">
        <v>720</v>
      </c>
      <c r="P4993" t="str">
        <f t="shared" si="617"/>
        <v>30fps 1080p - SD 4CIF resolution 4:3 format (cropped)</v>
      </c>
      <c r="Q4993">
        <f t="shared" si="618"/>
        <v>22</v>
      </c>
      <c r="R4993" t="str">
        <f t="shared" si="619"/>
        <v/>
      </c>
      <c r="S4993" t="str">
        <f t="shared" si="620"/>
        <v/>
      </c>
      <c r="T4993" s="403" t="str">
        <f t="shared" si="621"/>
        <v>NDI-4502-A</v>
      </c>
      <c r="U4993" s="403">
        <f t="shared" si="622"/>
        <v>1</v>
      </c>
      <c r="V4993" s="403" t="str">
        <f t="shared" si="623"/>
        <v>CPP_7_3</v>
      </c>
    </row>
    <row r="4994" spans="1:22">
      <c r="A4994" t="str">
        <f t="shared" ref="A4994:A5057" si="624">IF(AND(G4994&lt;&gt;"rotate 90°"),D4994,"")</f>
        <v>NDI-4502-A</v>
      </c>
      <c r="B4994" s="403" t="s">
        <v>1422</v>
      </c>
      <c r="C4994" s="403" t="s">
        <v>582</v>
      </c>
      <c r="D4994" s="403" t="s">
        <v>1423</v>
      </c>
      <c r="E4994" s="403" t="s">
        <v>778</v>
      </c>
      <c r="F4994" s="403" t="s">
        <v>1286</v>
      </c>
      <c r="G4994" s="403" t="s">
        <v>1467</v>
      </c>
      <c r="H4994" s="403" t="s">
        <v>1282</v>
      </c>
      <c r="I4994" s="403">
        <v>1</v>
      </c>
      <c r="J4994" s="403" t="s">
        <v>110</v>
      </c>
      <c r="K4994" s="403">
        <v>1080</v>
      </c>
      <c r="L4994" s="403">
        <v>1920</v>
      </c>
      <c r="M4994" s="403" t="s">
        <v>1284</v>
      </c>
      <c r="N4994" s="403">
        <v>480</v>
      </c>
      <c r="O4994" s="403">
        <v>640</v>
      </c>
      <c r="P4994" t="str">
        <f t="shared" ref="P4994:P5057" si="625">LEFT(F4994,5)&amp;" "&amp;J4994&amp;" - "&amp;M4994</f>
        <v>30fps 1080p - SD VGA (cropped)</v>
      </c>
      <c r="Q4994">
        <f t="shared" ref="Q4994:Q5057" si="626">IF(A4993=A4994,Q4993,Q4993+1)</f>
        <v>22</v>
      </c>
      <c r="R4994" t="str">
        <f t="shared" ref="R4994:R5057" si="627">IF(Q4993&lt;&gt;Q4994,Q4994,"")</f>
        <v/>
      </c>
      <c r="S4994" t="str">
        <f t="shared" ref="S4994:S5057" si="628">IF(R4994&lt;&gt;"",B4994&amp;" ("&amp;D4994&amp;")","")</f>
        <v/>
      </c>
      <c r="T4994" s="403" t="str">
        <f t="shared" ref="T4994:T5057" si="629">D4994</f>
        <v>NDI-4502-A</v>
      </c>
      <c r="U4994" s="403">
        <f t="shared" ref="U4994:U5057" si="630">I4994</f>
        <v>1</v>
      </c>
      <c r="V4994" s="403" t="str">
        <f t="shared" ref="V4994:V5057" si="631">C4994</f>
        <v>CPP_7_3</v>
      </c>
    </row>
    <row r="4995" spans="1:22">
      <c r="A4995" t="str">
        <f t="shared" si="624"/>
        <v>NDI-4502-A</v>
      </c>
      <c r="B4995" s="403" t="s">
        <v>1422</v>
      </c>
      <c r="C4995" s="403" t="s">
        <v>582</v>
      </c>
      <c r="D4995" s="403" t="s">
        <v>1423</v>
      </c>
      <c r="E4995" s="403" t="s">
        <v>778</v>
      </c>
      <c r="F4995" s="403" t="s">
        <v>1286</v>
      </c>
      <c r="G4995" s="403" t="s">
        <v>1467</v>
      </c>
      <c r="H4995" s="403" t="s">
        <v>1282</v>
      </c>
      <c r="I4995" s="403">
        <v>1</v>
      </c>
      <c r="J4995" s="403" t="s">
        <v>109</v>
      </c>
      <c r="K4995" s="403">
        <v>720</v>
      </c>
      <c r="L4995" s="403">
        <v>1280</v>
      </c>
      <c r="M4995" s="403" t="s">
        <v>109</v>
      </c>
      <c r="N4995" s="403">
        <v>720</v>
      </c>
      <c r="O4995" s="403">
        <v>1280</v>
      </c>
      <c r="P4995" t="str">
        <f t="shared" si="625"/>
        <v>30fps 720p - 720p</v>
      </c>
      <c r="Q4995">
        <f t="shared" si="626"/>
        <v>22</v>
      </c>
      <c r="R4995" t="str">
        <f t="shared" si="627"/>
        <v/>
      </c>
      <c r="S4995" t="str">
        <f t="shared" si="628"/>
        <v/>
      </c>
      <c r="T4995" s="403" t="str">
        <f t="shared" si="629"/>
        <v>NDI-4502-A</v>
      </c>
      <c r="U4995" s="403">
        <f t="shared" si="630"/>
        <v>1</v>
      </c>
      <c r="V4995" s="403" t="str">
        <f t="shared" si="631"/>
        <v>CPP_7_3</v>
      </c>
    </row>
    <row r="4996" spans="1:22">
      <c r="A4996" t="str">
        <f t="shared" si="624"/>
        <v>NDI-4502-A</v>
      </c>
      <c r="B4996" s="403" t="s">
        <v>1422</v>
      </c>
      <c r="C4996" s="403" t="s">
        <v>582</v>
      </c>
      <c r="D4996" s="403" t="s">
        <v>1423</v>
      </c>
      <c r="E4996" s="403" t="s">
        <v>778</v>
      </c>
      <c r="F4996" s="403" t="s">
        <v>1286</v>
      </c>
      <c r="G4996" s="403" t="s">
        <v>1467</v>
      </c>
      <c r="H4996" s="403" t="s">
        <v>1282</v>
      </c>
      <c r="I4996" s="403">
        <v>1</v>
      </c>
      <c r="J4996" s="403" t="s">
        <v>109</v>
      </c>
      <c r="K4996" s="403">
        <v>720</v>
      </c>
      <c r="L4996" s="403">
        <v>1280</v>
      </c>
      <c r="M4996" s="403" t="s">
        <v>111</v>
      </c>
      <c r="N4996" s="403">
        <v>432</v>
      </c>
      <c r="O4996" s="403">
        <v>768</v>
      </c>
      <c r="P4996" t="str">
        <f t="shared" si="625"/>
        <v>30fps 720p - SD</v>
      </c>
      <c r="Q4996">
        <f t="shared" si="626"/>
        <v>22</v>
      </c>
      <c r="R4996" t="str">
        <f t="shared" si="627"/>
        <v/>
      </c>
      <c r="S4996" t="str">
        <f t="shared" si="628"/>
        <v/>
      </c>
      <c r="T4996" s="403" t="str">
        <f t="shared" si="629"/>
        <v>NDI-4502-A</v>
      </c>
      <c r="U4996" s="403">
        <f t="shared" si="630"/>
        <v>1</v>
      </c>
      <c r="V4996" s="403" t="str">
        <f t="shared" si="631"/>
        <v>CPP_7_3</v>
      </c>
    </row>
    <row r="4997" spans="1:22">
      <c r="A4997" t="str">
        <f t="shared" si="624"/>
        <v>NDI-4502-A</v>
      </c>
      <c r="B4997" s="403" t="s">
        <v>1422</v>
      </c>
      <c r="C4997" s="403" t="s">
        <v>582</v>
      </c>
      <c r="D4997" s="403" t="s">
        <v>1423</v>
      </c>
      <c r="E4997" s="403" t="s">
        <v>778</v>
      </c>
      <c r="F4997" s="403" t="s">
        <v>1286</v>
      </c>
      <c r="G4997" s="403" t="s">
        <v>1467</v>
      </c>
      <c r="H4997" s="403" t="s">
        <v>1282</v>
      </c>
      <c r="I4997" s="403">
        <v>1</v>
      </c>
      <c r="J4997" s="403" t="s">
        <v>109</v>
      </c>
      <c r="K4997" s="403">
        <v>720</v>
      </c>
      <c r="L4997" s="403">
        <v>1280</v>
      </c>
      <c r="M4997" s="403" t="s">
        <v>1279</v>
      </c>
      <c r="N4997" s="403">
        <v>432</v>
      </c>
      <c r="O4997" s="403">
        <v>768</v>
      </c>
      <c r="P4997" t="str">
        <f t="shared" si="625"/>
        <v>30fps 720p - SD ROI PTZ</v>
      </c>
      <c r="Q4997">
        <f t="shared" si="626"/>
        <v>22</v>
      </c>
      <c r="R4997" t="str">
        <f t="shared" si="627"/>
        <v/>
      </c>
      <c r="S4997" t="str">
        <f t="shared" si="628"/>
        <v/>
      </c>
      <c r="T4997" s="403" t="str">
        <f t="shared" si="629"/>
        <v>NDI-4502-A</v>
      </c>
      <c r="U4997" s="403">
        <f t="shared" si="630"/>
        <v>1</v>
      </c>
      <c r="V4997" s="403" t="str">
        <f t="shared" si="631"/>
        <v>CPP_7_3</v>
      </c>
    </row>
    <row r="4998" spans="1:22">
      <c r="A4998" t="str">
        <f t="shared" si="624"/>
        <v>NDI-4502-A</v>
      </c>
      <c r="B4998" s="403" t="s">
        <v>1422</v>
      </c>
      <c r="C4998" s="403" t="s">
        <v>582</v>
      </c>
      <c r="D4998" s="403" t="s">
        <v>1423</v>
      </c>
      <c r="E4998" s="403" t="s">
        <v>778</v>
      </c>
      <c r="F4998" s="403" t="s">
        <v>1286</v>
      </c>
      <c r="G4998" s="403" t="s">
        <v>1467</v>
      </c>
      <c r="H4998" s="403" t="s">
        <v>1282</v>
      </c>
      <c r="I4998" s="403">
        <v>1</v>
      </c>
      <c r="J4998" s="403" t="s">
        <v>109</v>
      </c>
      <c r="K4998" s="403">
        <v>720</v>
      </c>
      <c r="L4998" s="403">
        <v>1280</v>
      </c>
      <c r="M4998" s="403" t="s">
        <v>1283</v>
      </c>
      <c r="N4998" s="403">
        <v>480</v>
      </c>
      <c r="O4998" s="403">
        <v>720</v>
      </c>
      <c r="P4998" t="str">
        <f t="shared" si="625"/>
        <v>30fps 720p - SD 4CIF resolution 4:3 format (cropped)</v>
      </c>
      <c r="Q4998">
        <f t="shared" si="626"/>
        <v>22</v>
      </c>
      <c r="R4998" t="str">
        <f t="shared" si="627"/>
        <v/>
      </c>
      <c r="S4998" t="str">
        <f t="shared" si="628"/>
        <v/>
      </c>
      <c r="T4998" s="403" t="str">
        <f t="shared" si="629"/>
        <v>NDI-4502-A</v>
      </c>
      <c r="U4998" s="403">
        <f t="shared" si="630"/>
        <v>1</v>
      </c>
      <c r="V4998" s="403" t="str">
        <f t="shared" si="631"/>
        <v>CPP_7_3</v>
      </c>
    </row>
    <row r="4999" spans="1:22">
      <c r="A4999" t="str">
        <f t="shared" si="624"/>
        <v>NDI-4502-A</v>
      </c>
      <c r="B4999" s="403" t="s">
        <v>1422</v>
      </c>
      <c r="C4999" s="403" t="s">
        <v>582</v>
      </c>
      <c r="D4999" s="403" t="s">
        <v>1423</v>
      </c>
      <c r="E4999" s="403" t="s">
        <v>778</v>
      </c>
      <c r="F4999" s="403" t="s">
        <v>1286</v>
      </c>
      <c r="G4999" s="403" t="s">
        <v>1467</v>
      </c>
      <c r="H4999" s="403" t="s">
        <v>1282</v>
      </c>
      <c r="I4999" s="403">
        <v>1</v>
      </c>
      <c r="J4999" s="403" t="s">
        <v>109</v>
      </c>
      <c r="K4999" s="403">
        <v>720</v>
      </c>
      <c r="L4999" s="403">
        <v>1280</v>
      </c>
      <c r="M4999" s="403" t="s">
        <v>1284</v>
      </c>
      <c r="N4999" s="403">
        <v>480</v>
      </c>
      <c r="O4999" s="403">
        <v>640</v>
      </c>
      <c r="P4999" t="str">
        <f t="shared" si="625"/>
        <v>30fps 720p - SD VGA (cropped)</v>
      </c>
      <c r="Q4999">
        <f t="shared" si="626"/>
        <v>22</v>
      </c>
      <c r="R4999" t="str">
        <f t="shared" si="627"/>
        <v/>
      </c>
      <c r="S4999" t="str">
        <f t="shared" si="628"/>
        <v/>
      </c>
      <c r="T4999" s="403" t="str">
        <f t="shared" si="629"/>
        <v>NDI-4502-A</v>
      </c>
      <c r="U4999" s="403">
        <f t="shared" si="630"/>
        <v>1</v>
      </c>
      <c r="V4999" s="403" t="str">
        <f t="shared" si="631"/>
        <v>CPP_7_3</v>
      </c>
    </row>
    <row r="5000" spans="1:22">
      <c r="A5000" t="str">
        <f t="shared" si="624"/>
        <v>NDI-4502-A</v>
      </c>
      <c r="B5000" s="403" t="s">
        <v>1422</v>
      </c>
      <c r="C5000" s="403" t="s">
        <v>582</v>
      </c>
      <c r="D5000" s="403" t="s">
        <v>1423</v>
      </c>
      <c r="E5000" s="403" t="s">
        <v>778</v>
      </c>
      <c r="F5000" s="403" t="s">
        <v>1287</v>
      </c>
      <c r="G5000" s="403" t="s">
        <v>1466</v>
      </c>
      <c r="H5000" s="403" t="s">
        <v>1276</v>
      </c>
      <c r="I5000" s="403">
        <v>1</v>
      </c>
      <c r="J5000" s="403" t="s">
        <v>110</v>
      </c>
      <c r="K5000" s="403">
        <v>1920</v>
      </c>
      <c r="L5000" s="403">
        <v>1080</v>
      </c>
      <c r="M5000" s="403" t="s">
        <v>111</v>
      </c>
      <c r="N5000" s="403">
        <v>768</v>
      </c>
      <c r="O5000" s="403">
        <v>432</v>
      </c>
      <c r="P5000" t="str">
        <f t="shared" si="625"/>
        <v>25fps 1080p - SD</v>
      </c>
      <c r="Q5000">
        <f t="shared" si="626"/>
        <v>22</v>
      </c>
      <c r="R5000" t="str">
        <f t="shared" si="627"/>
        <v/>
      </c>
      <c r="S5000" t="str">
        <f t="shared" si="628"/>
        <v/>
      </c>
      <c r="T5000" s="403" t="str">
        <f t="shared" si="629"/>
        <v>NDI-4502-A</v>
      </c>
      <c r="U5000" s="403">
        <f t="shared" si="630"/>
        <v>1</v>
      </c>
      <c r="V5000" s="403" t="str">
        <f t="shared" si="631"/>
        <v>CPP_7_3</v>
      </c>
    </row>
    <row r="5001" spans="1:22">
      <c r="A5001" t="str">
        <f t="shared" si="624"/>
        <v>NDI-4502-A</v>
      </c>
      <c r="B5001" s="403" t="s">
        <v>1422</v>
      </c>
      <c r="C5001" s="403" t="s">
        <v>582</v>
      </c>
      <c r="D5001" s="403" t="s">
        <v>1423</v>
      </c>
      <c r="E5001" s="403" t="s">
        <v>778</v>
      </c>
      <c r="F5001" s="403" t="s">
        <v>1287</v>
      </c>
      <c r="G5001" s="403" t="s">
        <v>1466</v>
      </c>
      <c r="H5001" s="403" t="s">
        <v>1276</v>
      </c>
      <c r="I5001" s="403">
        <v>1</v>
      </c>
      <c r="J5001" s="403" t="s">
        <v>110</v>
      </c>
      <c r="K5001" s="403">
        <v>1920</v>
      </c>
      <c r="L5001" s="403">
        <v>1080</v>
      </c>
      <c r="M5001" s="403" t="s">
        <v>110</v>
      </c>
      <c r="N5001" s="403">
        <v>1920</v>
      </c>
      <c r="O5001" s="403">
        <v>1080</v>
      </c>
      <c r="P5001" t="str">
        <f t="shared" si="625"/>
        <v>25fps 1080p - 1080p</v>
      </c>
      <c r="Q5001">
        <f t="shared" si="626"/>
        <v>22</v>
      </c>
      <c r="R5001" t="str">
        <f t="shared" si="627"/>
        <v/>
      </c>
      <c r="S5001" t="str">
        <f t="shared" si="628"/>
        <v/>
      </c>
      <c r="T5001" s="403" t="str">
        <f t="shared" si="629"/>
        <v>NDI-4502-A</v>
      </c>
      <c r="U5001" s="403">
        <f t="shared" si="630"/>
        <v>1</v>
      </c>
      <c r="V5001" s="403" t="str">
        <f t="shared" si="631"/>
        <v>CPP_7_3</v>
      </c>
    </row>
    <row r="5002" spans="1:22">
      <c r="A5002" t="str">
        <f t="shared" si="624"/>
        <v>NDI-4502-A</v>
      </c>
      <c r="B5002" s="403" t="s">
        <v>1422</v>
      </c>
      <c r="C5002" s="403" t="s">
        <v>582</v>
      </c>
      <c r="D5002" s="403" t="s">
        <v>1423</v>
      </c>
      <c r="E5002" s="403" t="s">
        <v>778</v>
      </c>
      <c r="F5002" s="403" t="s">
        <v>1287</v>
      </c>
      <c r="G5002" s="403" t="s">
        <v>1466</v>
      </c>
      <c r="H5002" s="403" t="s">
        <v>1276</v>
      </c>
      <c r="I5002" s="403">
        <v>1</v>
      </c>
      <c r="J5002" s="403" t="s">
        <v>110</v>
      </c>
      <c r="K5002" s="403">
        <v>1920</v>
      </c>
      <c r="L5002" s="403">
        <v>1080</v>
      </c>
      <c r="M5002" s="403" t="s">
        <v>109</v>
      </c>
      <c r="N5002" s="403">
        <v>1280</v>
      </c>
      <c r="O5002" s="403">
        <v>720</v>
      </c>
      <c r="P5002" t="str">
        <f t="shared" si="625"/>
        <v>25fps 1080p - 720p</v>
      </c>
      <c r="Q5002">
        <f t="shared" si="626"/>
        <v>22</v>
      </c>
      <c r="R5002" t="str">
        <f t="shared" si="627"/>
        <v/>
      </c>
      <c r="S5002" t="str">
        <f t="shared" si="628"/>
        <v/>
      </c>
      <c r="T5002" s="403" t="str">
        <f t="shared" si="629"/>
        <v>NDI-4502-A</v>
      </c>
      <c r="U5002" s="403">
        <f t="shared" si="630"/>
        <v>1</v>
      </c>
      <c r="V5002" s="403" t="str">
        <f t="shared" si="631"/>
        <v>CPP_7_3</v>
      </c>
    </row>
    <row r="5003" spans="1:22">
      <c r="A5003" t="str">
        <f t="shared" si="624"/>
        <v>NDI-4502-A</v>
      </c>
      <c r="B5003" s="403" t="s">
        <v>1422</v>
      </c>
      <c r="C5003" s="403" t="s">
        <v>582</v>
      </c>
      <c r="D5003" s="403" t="s">
        <v>1423</v>
      </c>
      <c r="E5003" s="403" t="s">
        <v>778</v>
      </c>
      <c r="F5003" s="403" t="s">
        <v>1287</v>
      </c>
      <c r="G5003" s="403" t="s">
        <v>1466</v>
      </c>
      <c r="H5003" s="403" t="s">
        <v>1276</v>
      </c>
      <c r="I5003" s="403">
        <v>1</v>
      </c>
      <c r="J5003" s="403" t="s">
        <v>110</v>
      </c>
      <c r="K5003" s="403">
        <v>1920</v>
      </c>
      <c r="L5003" s="403">
        <v>1080</v>
      </c>
      <c r="M5003" s="403" t="s">
        <v>1285</v>
      </c>
      <c r="N5003" s="403">
        <v>1280</v>
      </c>
      <c r="O5003" s="403">
        <v>1024</v>
      </c>
      <c r="P5003" t="str">
        <f t="shared" si="625"/>
        <v>25fps 1080p - 1280x1024 5:4 (cropped)</v>
      </c>
      <c r="Q5003">
        <f t="shared" si="626"/>
        <v>22</v>
      </c>
      <c r="R5003" t="str">
        <f t="shared" si="627"/>
        <v/>
      </c>
      <c r="S5003" t="str">
        <f t="shared" si="628"/>
        <v/>
      </c>
      <c r="T5003" s="403" t="str">
        <f t="shared" si="629"/>
        <v>NDI-4502-A</v>
      </c>
      <c r="U5003" s="403">
        <f t="shared" si="630"/>
        <v>1</v>
      </c>
      <c r="V5003" s="403" t="str">
        <f t="shared" si="631"/>
        <v>CPP_7_3</v>
      </c>
    </row>
    <row r="5004" spans="1:22">
      <c r="A5004" t="str">
        <f t="shared" si="624"/>
        <v>NDI-4502-A</v>
      </c>
      <c r="B5004" s="403" t="s">
        <v>1422</v>
      </c>
      <c r="C5004" s="403" t="s">
        <v>582</v>
      </c>
      <c r="D5004" s="403" t="s">
        <v>1423</v>
      </c>
      <c r="E5004" s="403" t="s">
        <v>778</v>
      </c>
      <c r="F5004" s="403" t="s">
        <v>1287</v>
      </c>
      <c r="G5004" s="403" t="s">
        <v>1466</v>
      </c>
      <c r="H5004" s="403" t="s">
        <v>1276</v>
      </c>
      <c r="I5004" s="403">
        <v>1</v>
      </c>
      <c r="J5004" s="403" t="s">
        <v>110</v>
      </c>
      <c r="K5004" s="403">
        <v>1920</v>
      </c>
      <c r="L5004" s="403">
        <v>1080</v>
      </c>
      <c r="M5004" s="403" t="s">
        <v>1279</v>
      </c>
      <c r="N5004" s="403">
        <v>768</v>
      </c>
      <c r="O5004" s="403">
        <v>432</v>
      </c>
      <c r="P5004" t="str">
        <f t="shared" si="625"/>
        <v>25fps 1080p - SD ROI PTZ</v>
      </c>
      <c r="Q5004">
        <f t="shared" si="626"/>
        <v>22</v>
      </c>
      <c r="R5004" t="str">
        <f t="shared" si="627"/>
        <v/>
      </c>
      <c r="S5004" t="str">
        <f t="shared" si="628"/>
        <v/>
      </c>
      <c r="T5004" s="403" t="str">
        <f t="shared" si="629"/>
        <v>NDI-4502-A</v>
      </c>
      <c r="U5004" s="403">
        <f t="shared" si="630"/>
        <v>1</v>
      </c>
      <c r="V5004" s="403" t="str">
        <f t="shared" si="631"/>
        <v>CPP_7_3</v>
      </c>
    </row>
    <row r="5005" spans="1:22">
      <c r="A5005" t="str">
        <f t="shared" si="624"/>
        <v>NDI-4502-A</v>
      </c>
      <c r="B5005" s="403" t="s">
        <v>1422</v>
      </c>
      <c r="C5005" s="403" t="s">
        <v>582</v>
      </c>
      <c r="D5005" s="403" t="s">
        <v>1423</v>
      </c>
      <c r="E5005" s="403" t="s">
        <v>778</v>
      </c>
      <c r="F5005" s="403" t="s">
        <v>1287</v>
      </c>
      <c r="G5005" s="403" t="s">
        <v>1466</v>
      </c>
      <c r="H5005" s="403" t="s">
        <v>1276</v>
      </c>
      <c r="I5005" s="403">
        <v>1</v>
      </c>
      <c r="J5005" s="403" t="s">
        <v>110</v>
      </c>
      <c r="K5005" s="403">
        <v>1920</v>
      </c>
      <c r="L5005" s="403">
        <v>1080</v>
      </c>
      <c r="M5005" s="403" t="s">
        <v>1283</v>
      </c>
      <c r="N5005" s="403">
        <v>720</v>
      </c>
      <c r="O5005" s="403">
        <v>576</v>
      </c>
      <c r="P5005" t="str">
        <f t="shared" si="625"/>
        <v>25fps 1080p - SD 4CIF resolution 4:3 format (cropped)</v>
      </c>
      <c r="Q5005">
        <f t="shared" si="626"/>
        <v>22</v>
      </c>
      <c r="R5005" t="str">
        <f t="shared" si="627"/>
        <v/>
      </c>
      <c r="S5005" t="str">
        <f t="shared" si="628"/>
        <v/>
      </c>
      <c r="T5005" s="403" t="str">
        <f t="shared" si="629"/>
        <v>NDI-4502-A</v>
      </c>
      <c r="U5005" s="403">
        <f t="shared" si="630"/>
        <v>1</v>
      </c>
      <c r="V5005" s="403" t="str">
        <f t="shared" si="631"/>
        <v>CPP_7_3</v>
      </c>
    </row>
    <row r="5006" spans="1:22">
      <c r="A5006" t="str">
        <f t="shared" si="624"/>
        <v>NDI-4502-A</v>
      </c>
      <c r="B5006" s="403" t="s">
        <v>1422</v>
      </c>
      <c r="C5006" s="403" t="s">
        <v>582</v>
      </c>
      <c r="D5006" s="403" t="s">
        <v>1423</v>
      </c>
      <c r="E5006" s="403" t="s">
        <v>778</v>
      </c>
      <c r="F5006" s="403" t="s">
        <v>1287</v>
      </c>
      <c r="G5006" s="403" t="s">
        <v>1466</v>
      </c>
      <c r="H5006" s="403" t="s">
        <v>1276</v>
      </c>
      <c r="I5006" s="403">
        <v>1</v>
      </c>
      <c r="J5006" s="403" t="s">
        <v>110</v>
      </c>
      <c r="K5006" s="403">
        <v>1920</v>
      </c>
      <c r="L5006" s="403">
        <v>1080</v>
      </c>
      <c r="M5006" s="403" t="s">
        <v>1284</v>
      </c>
      <c r="N5006" s="403">
        <v>640</v>
      </c>
      <c r="O5006" s="403">
        <v>480</v>
      </c>
      <c r="P5006" t="str">
        <f t="shared" si="625"/>
        <v>25fps 1080p - SD VGA (cropped)</v>
      </c>
      <c r="Q5006">
        <f t="shared" si="626"/>
        <v>22</v>
      </c>
      <c r="R5006" t="str">
        <f t="shared" si="627"/>
        <v/>
      </c>
      <c r="S5006" t="str">
        <f t="shared" si="628"/>
        <v/>
      </c>
      <c r="T5006" s="403" t="str">
        <f t="shared" si="629"/>
        <v>NDI-4502-A</v>
      </c>
      <c r="U5006" s="403">
        <f t="shared" si="630"/>
        <v>1</v>
      </c>
      <c r="V5006" s="403" t="str">
        <f t="shared" si="631"/>
        <v>CPP_7_3</v>
      </c>
    </row>
    <row r="5007" spans="1:22">
      <c r="A5007" t="str">
        <f t="shared" si="624"/>
        <v>NDI-4502-A</v>
      </c>
      <c r="B5007" s="403" t="s">
        <v>1422</v>
      </c>
      <c r="C5007" s="403" t="s">
        <v>582</v>
      </c>
      <c r="D5007" s="403" t="s">
        <v>1423</v>
      </c>
      <c r="E5007" s="403" t="s">
        <v>778</v>
      </c>
      <c r="F5007" s="403" t="s">
        <v>1287</v>
      </c>
      <c r="G5007" s="403" t="s">
        <v>1466</v>
      </c>
      <c r="H5007" s="403" t="s">
        <v>1276</v>
      </c>
      <c r="I5007" s="403">
        <v>1</v>
      </c>
      <c r="J5007" s="403" t="s">
        <v>109</v>
      </c>
      <c r="K5007" s="403">
        <v>1280</v>
      </c>
      <c r="L5007" s="403">
        <v>720</v>
      </c>
      <c r="M5007" s="403" t="s">
        <v>109</v>
      </c>
      <c r="N5007" s="403">
        <v>1280</v>
      </c>
      <c r="O5007" s="403">
        <v>720</v>
      </c>
      <c r="P5007" t="str">
        <f t="shared" si="625"/>
        <v>25fps 720p - 720p</v>
      </c>
      <c r="Q5007">
        <f t="shared" si="626"/>
        <v>22</v>
      </c>
      <c r="R5007" t="str">
        <f t="shared" si="627"/>
        <v/>
      </c>
      <c r="S5007" t="str">
        <f t="shared" si="628"/>
        <v/>
      </c>
      <c r="T5007" s="403" t="str">
        <f t="shared" si="629"/>
        <v>NDI-4502-A</v>
      </c>
      <c r="U5007" s="403">
        <f t="shared" si="630"/>
        <v>1</v>
      </c>
      <c r="V5007" s="403" t="str">
        <f t="shared" si="631"/>
        <v>CPP_7_3</v>
      </c>
    </row>
    <row r="5008" spans="1:22">
      <c r="A5008" t="str">
        <f t="shared" si="624"/>
        <v>NDI-4502-A</v>
      </c>
      <c r="B5008" s="403" t="s">
        <v>1422</v>
      </c>
      <c r="C5008" s="403" t="s">
        <v>582</v>
      </c>
      <c r="D5008" s="403" t="s">
        <v>1423</v>
      </c>
      <c r="E5008" s="403" t="s">
        <v>778</v>
      </c>
      <c r="F5008" s="403" t="s">
        <v>1287</v>
      </c>
      <c r="G5008" s="403" t="s">
        <v>1466</v>
      </c>
      <c r="H5008" s="403" t="s">
        <v>1276</v>
      </c>
      <c r="I5008" s="403">
        <v>1</v>
      </c>
      <c r="J5008" s="403" t="s">
        <v>109</v>
      </c>
      <c r="K5008" s="403">
        <v>1280</v>
      </c>
      <c r="L5008" s="403">
        <v>720</v>
      </c>
      <c r="M5008" s="403" t="s">
        <v>111</v>
      </c>
      <c r="N5008" s="403">
        <v>768</v>
      </c>
      <c r="O5008" s="403">
        <v>432</v>
      </c>
      <c r="P5008" t="str">
        <f t="shared" si="625"/>
        <v>25fps 720p - SD</v>
      </c>
      <c r="Q5008">
        <f t="shared" si="626"/>
        <v>22</v>
      </c>
      <c r="R5008" t="str">
        <f t="shared" si="627"/>
        <v/>
      </c>
      <c r="S5008" t="str">
        <f t="shared" si="628"/>
        <v/>
      </c>
      <c r="T5008" s="403" t="str">
        <f t="shared" si="629"/>
        <v>NDI-4502-A</v>
      </c>
      <c r="U5008" s="403">
        <f t="shared" si="630"/>
        <v>1</v>
      </c>
      <c r="V5008" s="403" t="str">
        <f t="shared" si="631"/>
        <v>CPP_7_3</v>
      </c>
    </row>
    <row r="5009" spans="1:22">
      <c r="A5009" t="str">
        <f t="shared" si="624"/>
        <v>NDI-4502-A</v>
      </c>
      <c r="B5009" s="403" t="s">
        <v>1422</v>
      </c>
      <c r="C5009" s="403" t="s">
        <v>582</v>
      </c>
      <c r="D5009" s="403" t="s">
        <v>1423</v>
      </c>
      <c r="E5009" s="403" t="s">
        <v>778</v>
      </c>
      <c r="F5009" s="403" t="s">
        <v>1287</v>
      </c>
      <c r="G5009" s="403" t="s">
        <v>1466</v>
      </c>
      <c r="H5009" s="403" t="s">
        <v>1276</v>
      </c>
      <c r="I5009" s="403">
        <v>1</v>
      </c>
      <c r="J5009" s="403" t="s">
        <v>109</v>
      </c>
      <c r="K5009" s="403">
        <v>1280</v>
      </c>
      <c r="L5009" s="403">
        <v>720</v>
      </c>
      <c r="M5009" s="403" t="s">
        <v>1279</v>
      </c>
      <c r="N5009" s="403">
        <v>768</v>
      </c>
      <c r="O5009" s="403">
        <v>432</v>
      </c>
      <c r="P5009" t="str">
        <f t="shared" si="625"/>
        <v>25fps 720p - SD ROI PTZ</v>
      </c>
      <c r="Q5009">
        <f t="shared" si="626"/>
        <v>22</v>
      </c>
      <c r="R5009" t="str">
        <f t="shared" si="627"/>
        <v/>
      </c>
      <c r="S5009" t="str">
        <f t="shared" si="628"/>
        <v/>
      </c>
      <c r="T5009" s="403" t="str">
        <f t="shared" si="629"/>
        <v>NDI-4502-A</v>
      </c>
      <c r="U5009" s="403">
        <f t="shared" si="630"/>
        <v>1</v>
      </c>
      <c r="V5009" s="403" t="str">
        <f t="shared" si="631"/>
        <v>CPP_7_3</v>
      </c>
    </row>
    <row r="5010" spans="1:22">
      <c r="A5010" t="str">
        <f t="shared" si="624"/>
        <v>NDI-4502-A</v>
      </c>
      <c r="B5010" s="403" t="s">
        <v>1422</v>
      </c>
      <c r="C5010" s="403" t="s">
        <v>582</v>
      </c>
      <c r="D5010" s="403" t="s">
        <v>1423</v>
      </c>
      <c r="E5010" s="403" t="s">
        <v>778</v>
      </c>
      <c r="F5010" s="403" t="s">
        <v>1287</v>
      </c>
      <c r="G5010" s="403" t="s">
        <v>1466</v>
      </c>
      <c r="H5010" s="403" t="s">
        <v>1276</v>
      </c>
      <c r="I5010" s="403">
        <v>1</v>
      </c>
      <c r="J5010" s="403" t="s">
        <v>109</v>
      </c>
      <c r="K5010" s="403">
        <v>1280</v>
      </c>
      <c r="L5010" s="403">
        <v>720</v>
      </c>
      <c r="M5010" s="403" t="s">
        <v>1283</v>
      </c>
      <c r="N5010" s="403">
        <v>720</v>
      </c>
      <c r="O5010" s="403">
        <v>576</v>
      </c>
      <c r="P5010" t="str">
        <f t="shared" si="625"/>
        <v>25fps 720p - SD 4CIF resolution 4:3 format (cropped)</v>
      </c>
      <c r="Q5010">
        <f t="shared" si="626"/>
        <v>22</v>
      </c>
      <c r="R5010" t="str">
        <f t="shared" si="627"/>
        <v/>
      </c>
      <c r="S5010" t="str">
        <f t="shared" si="628"/>
        <v/>
      </c>
      <c r="T5010" s="403" t="str">
        <f t="shared" si="629"/>
        <v>NDI-4502-A</v>
      </c>
      <c r="U5010" s="403">
        <f t="shared" si="630"/>
        <v>1</v>
      </c>
      <c r="V5010" s="403" t="str">
        <f t="shared" si="631"/>
        <v>CPP_7_3</v>
      </c>
    </row>
    <row r="5011" spans="1:22">
      <c r="A5011" t="str">
        <f t="shared" si="624"/>
        <v>NDI-4502-A</v>
      </c>
      <c r="B5011" s="403" t="s">
        <v>1422</v>
      </c>
      <c r="C5011" s="403" t="s">
        <v>582</v>
      </c>
      <c r="D5011" s="403" t="s">
        <v>1423</v>
      </c>
      <c r="E5011" s="403" t="s">
        <v>778</v>
      </c>
      <c r="F5011" s="403" t="s">
        <v>1287</v>
      </c>
      <c r="G5011" s="403" t="s">
        <v>1466</v>
      </c>
      <c r="H5011" s="403" t="s">
        <v>1276</v>
      </c>
      <c r="I5011" s="403">
        <v>1</v>
      </c>
      <c r="J5011" s="403" t="s">
        <v>109</v>
      </c>
      <c r="K5011" s="403">
        <v>1280</v>
      </c>
      <c r="L5011" s="403">
        <v>720</v>
      </c>
      <c r="M5011" s="403" t="s">
        <v>1284</v>
      </c>
      <c r="N5011" s="403">
        <v>640</v>
      </c>
      <c r="O5011" s="403">
        <v>480</v>
      </c>
      <c r="P5011" t="str">
        <f t="shared" si="625"/>
        <v>25fps 720p - SD VGA (cropped)</v>
      </c>
      <c r="Q5011">
        <f t="shared" si="626"/>
        <v>22</v>
      </c>
      <c r="R5011" t="str">
        <f t="shared" si="627"/>
        <v/>
      </c>
      <c r="S5011" t="str">
        <f t="shared" si="628"/>
        <v/>
      </c>
      <c r="T5011" s="403" t="str">
        <f t="shared" si="629"/>
        <v>NDI-4502-A</v>
      </c>
      <c r="U5011" s="403">
        <f t="shared" si="630"/>
        <v>1</v>
      </c>
      <c r="V5011" s="403" t="str">
        <f t="shared" si="631"/>
        <v>CPP_7_3</v>
      </c>
    </row>
    <row r="5012" spans="1:22">
      <c r="A5012" t="str">
        <f t="shared" si="624"/>
        <v>NDI-4502-A</v>
      </c>
      <c r="B5012" s="403" t="s">
        <v>1422</v>
      </c>
      <c r="C5012" s="403" t="s">
        <v>582</v>
      </c>
      <c r="D5012" s="403" t="s">
        <v>1423</v>
      </c>
      <c r="E5012" s="403" t="s">
        <v>778</v>
      </c>
      <c r="F5012" s="403" t="s">
        <v>1287</v>
      </c>
      <c r="G5012" s="403" t="s">
        <v>1466</v>
      </c>
      <c r="H5012" s="403" t="s">
        <v>1281</v>
      </c>
      <c r="I5012" s="403">
        <v>1</v>
      </c>
      <c r="J5012" s="403" t="s">
        <v>110</v>
      </c>
      <c r="K5012" s="403">
        <v>1920</v>
      </c>
      <c r="L5012" s="403">
        <v>1080</v>
      </c>
      <c r="M5012" s="403" t="s">
        <v>111</v>
      </c>
      <c r="N5012" s="403">
        <v>768</v>
      </c>
      <c r="O5012" s="403">
        <v>432</v>
      </c>
      <c r="P5012" t="str">
        <f t="shared" si="625"/>
        <v>25fps 1080p - SD</v>
      </c>
      <c r="Q5012">
        <f t="shared" si="626"/>
        <v>22</v>
      </c>
      <c r="R5012" t="str">
        <f t="shared" si="627"/>
        <v/>
      </c>
      <c r="S5012" t="str">
        <f t="shared" si="628"/>
        <v/>
      </c>
      <c r="T5012" s="403" t="str">
        <f t="shared" si="629"/>
        <v>NDI-4502-A</v>
      </c>
      <c r="U5012" s="403">
        <f t="shared" si="630"/>
        <v>1</v>
      </c>
      <c r="V5012" s="403" t="str">
        <f t="shared" si="631"/>
        <v>CPP_7_3</v>
      </c>
    </row>
    <row r="5013" spans="1:22">
      <c r="A5013" t="str">
        <f t="shared" si="624"/>
        <v>NDI-4502-A</v>
      </c>
      <c r="B5013" s="403" t="s">
        <v>1422</v>
      </c>
      <c r="C5013" s="403" t="s">
        <v>582</v>
      </c>
      <c r="D5013" s="403" t="s">
        <v>1423</v>
      </c>
      <c r="E5013" s="403" t="s">
        <v>778</v>
      </c>
      <c r="F5013" s="403" t="s">
        <v>1287</v>
      </c>
      <c r="G5013" s="403" t="s">
        <v>1466</v>
      </c>
      <c r="H5013" s="403" t="s">
        <v>1281</v>
      </c>
      <c r="I5013" s="403">
        <v>1</v>
      </c>
      <c r="J5013" s="403" t="s">
        <v>110</v>
      </c>
      <c r="K5013" s="403">
        <v>1920</v>
      </c>
      <c r="L5013" s="403">
        <v>1080</v>
      </c>
      <c r="M5013" s="403" t="s">
        <v>110</v>
      </c>
      <c r="N5013" s="403">
        <v>1920</v>
      </c>
      <c r="O5013" s="403">
        <v>1080</v>
      </c>
      <c r="P5013" t="str">
        <f t="shared" si="625"/>
        <v>25fps 1080p - 1080p</v>
      </c>
      <c r="Q5013">
        <f t="shared" si="626"/>
        <v>22</v>
      </c>
      <c r="R5013" t="str">
        <f t="shared" si="627"/>
        <v/>
      </c>
      <c r="S5013" t="str">
        <f t="shared" si="628"/>
        <v/>
      </c>
      <c r="T5013" s="403" t="str">
        <f t="shared" si="629"/>
        <v>NDI-4502-A</v>
      </c>
      <c r="U5013" s="403">
        <f t="shared" si="630"/>
        <v>1</v>
      </c>
      <c r="V5013" s="403" t="str">
        <f t="shared" si="631"/>
        <v>CPP_7_3</v>
      </c>
    </row>
    <row r="5014" spans="1:22">
      <c r="A5014" t="str">
        <f t="shared" si="624"/>
        <v>NDI-4502-A</v>
      </c>
      <c r="B5014" s="403" t="s">
        <v>1422</v>
      </c>
      <c r="C5014" s="403" t="s">
        <v>582</v>
      </c>
      <c r="D5014" s="403" t="s">
        <v>1423</v>
      </c>
      <c r="E5014" s="403" t="s">
        <v>778</v>
      </c>
      <c r="F5014" s="403" t="s">
        <v>1287</v>
      </c>
      <c r="G5014" s="403" t="s">
        <v>1466</v>
      </c>
      <c r="H5014" s="403" t="s">
        <v>1281</v>
      </c>
      <c r="I5014" s="403">
        <v>1</v>
      </c>
      <c r="J5014" s="403" t="s">
        <v>110</v>
      </c>
      <c r="K5014" s="403">
        <v>1920</v>
      </c>
      <c r="L5014" s="403">
        <v>1080</v>
      </c>
      <c r="M5014" s="403" t="s">
        <v>109</v>
      </c>
      <c r="N5014" s="403">
        <v>1280</v>
      </c>
      <c r="O5014" s="403">
        <v>720</v>
      </c>
      <c r="P5014" t="str">
        <f t="shared" si="625"/>
        <v>25fps 1080p - 720p</v>
      </c>
      <c r="Q5014">
        <f t="shared" si="626"/>
        <v>22</v>
      </c>
      <c r="R5014" t="str">
        <f t="shared" si="627"/>
        <v/>
      </c>
      <c r="S5014" t="str">
        <f t="shared" si="628"/>
        <v/>
      </c>
      <c r="T5014" s="403" t="str">
        <f t="shared" si="629"/>
        <v>NDI-4502-A</v>
      </c>
      <c r="U5014" s="403">
        <f t="shared" si="630"/>
        <v>1</v>
      </c>
      <c r="V5014" s="403" t="str">
        <f t="shared" si="631"/>
        <v>CPP_7_3</v>
      </c>
    </row>
    <row r="5015" spans="1:22">
      <c r="A5015" t="str">
        <f t="shared" si="624"/>
        <v>NDI-4502-A</v>
      </c>
      <c r="B5015" s="403" t="s">
        <v>1422</v>
      </c>
      <c r="C5015" s="403" t="s">
        <v>582</v>
      </c>
      <c r="D5015" s="403" t="s">
        <v>1423</v>
      </c>
      <c r="E5015" s="403" t="s">
        <v>778</v>
      </c>
      <c r="F5015" s="403" t="s">
        <v>1287</v>
      </c>
      <c r="G5015" s="403" t="s">
        <v>1466</v>
      </c>
      <c r="H5015" s="403" t="s">
        <v>1281</v>
      </c>
      <c r="I5015" s="403">
        <v>1</v>
      </c>
      <c r="J5015" s="403" t="s">
        <v>110</v>
      </c>
      <c r="K5015" s="403">
        <v>1920</v>
      </c>
      <c r="L5015" s="403">
        <v>1080</v>
      </c>
      <c r="M5015" s="403" t="s">
        <v>1285</v>
      </c>
      <c r="N5015" s="403">
        <v>1280</v>
      </c>
      <c r="O5015" s="403">
        <v>1024</v>
      </c>
      <c r="P5015" t="str">
        <f t="shared" si="625"/>
        <v>25fps 1080p - 1280x1024 5:4 (cropped)</v>
      </c>
      <c r="Q5015">
        <f t="shared" si="626"/>
        <v>22</v>
      </c>
      <c r="R5015" t="str">
        <f t="shared" si="627"/>
        <v/>
      </c>
      <c r="S5015" t="str">
        <f t="shared" si="628"/>
        <v/>
      </c>
      <c r="T5015" s="403" t="str">
        <f t="shared" si="629"/>
        <v>NDI-4502-A</v>
      </c>
      <c r="U5015" s="403">
        <f t="shared" si="630"/>
        <v>1</v>
      </c>
      <c r="V5015" s="403" t="str">
        <f t="shared" si="631"/>
        <v>CPP_7_3</v>
      </c>
    </row>
    <row r="5016" spans="1:22">
      <c r="A5016" t="str">
        <f t="shared" si="624"/>
        <v>NDI-4502-A</v>
      </c>
      <c r="B5016" s="403" t="s">
        <v>1422</v>
      </c>
      <c r="C5016" s="403" t="s">
        <v>582</v>
      </c>
      <c r="D5016" s="403" t="s">
        <v>1423</v>
      </c>
      <c r="E5016" s="403" t="s">
        <v>778</v>
      </c>
      <c r="F5016" s="403" t="s">
        <v>1287</v>
      </c>
      <c r="G5016" s="403" t="s">
        <v>1466</v>
      </c>
      <c r="H5016" s="403" t="s">
        <v>1281</v>
      </c>
      <c r="I5016" s="403">
        <v>1</v>
      </c>
      <c r="J5016" s="403" t="s">
        <v>110</v>
      </c>
      <c r="K5016" s="403">
        <v>1920</v>
      </c>
      <c r="L5016" s="403">
        <v>1080</v>
      </c>
      <c r="M5016" s="403" t="s">
        <v>1279</v>
      </c>
      <c r="N5016" s="403">
        <v>768</v>
      </c>
      <c r="O5016" s="403">
        <v>432</v>
      </c>
      <c r="P5016" t="str">
        <f t="shared" si="625"/>
        <v>25fps 1080p - SD ROI PTZ</v>
      </c>
      <c r="Q5016">
        <f t="shared" si="626"/>
        <v>22</v>
      </c>
      <c r="R5016" t="str">
        <f t="shared" si="627"/>
        <v/>
      </c>
      <c r="S5016" t="str">
        <f t="shared" si="628"/>
        <v/>
      </c>
      <c r="T5016" s="403" t="str">
        <f t="shared" si="629"/>
        <v>NDI-4502-A</v>
      </c>
      <c r="U5016" s="403">
        <f t="shared" si="630"/>
        <v>1</v>
      </c>
      <c r="V5016" s="403" t="str">
        <f t="shared" si="631"/>
        <v>CPP_7_3</v>
      </c>
    </row>
    <row r="5017" spans="1:22">
      <c r="A5017" t="str">
        <f t="shared" si="624"/>
        <v>NDI-4502-A</v>
      </c>
      <c r="B5017" s="403" t="s">
        <v>1422</v>
      </c>
      <c r="C5017" s="403" t="s">
        <v>582</v>
      </c>
      <c r="D5017" s="403" t="s">
        <v>1423</v>
      </c>
      <c r="E5017" s="403" t="s">
        <v>778</v>
      </c>
      <c r="F5017" s="403" t="s">
        <v>1287</v>
      </c>
      <c r="G5017" s="403" t="s">
        <v>1466</v>
      </c>
      <c r="H5017" s="403" t="s">
        <v>1281</v>
      </c>
      <c r="I5017" s="403">
        <v>1</v>
      </c>
      <c r="J5017" s="403" t="s">
        <v>110</v>
      </c>
      <c r="K5017" s="403">
        <v>1920</v>
      </c>
      <c r="L5017" s="403">
        <v>1080</v>
      </c>
      <c r="M5017" s="403" t="s">
        <v>1283</v>
      </c>
      <c r="N5017" s="403">
        <v>720</v>
      </c>
      <c r="O5017" s="403">
        <v>576</v>
      </c>
      <c r="P5017" t="str">
        <f t="shared" si="625"/>
        <v>25fps 1080p - SD 4CIF resolution 4:3 format (cropped)</v>
      </c>
      <c r="Q5017">
        <f t="shared" si="626"/>
        <v>22</v>
      </c>
      <c r="R5017" t="str">
        <f t="shared" si="627"/>
        <v/>
      </c>
      <c r="S5017" t="str">
        <f t="shared" si="628"/>
        <v/>
      </c>
      <c r="T5017" s="403" t="str">
        <f t="shared" si="629"/>
        <v>NDI-4502-A</v>
      </c>
      <c r="U5017" s="403">
        <f t="shared" si="630"/>
        <v>1</v>
      </c>
      <c r="V5017" s="403" t="str">
        <f t="shared" si="631"/>
        <v>CPP_7_3</v>
      </c>
    </row>
    <row r="5018" spans="1:22">
      <c r="A5018" t="str">
        <f t="shared" si="624"/>
        <v>NDI-4502-A</v>
      </c>
      <c r="B5018" s="403" t="s">
        <v>1422</v>
      </c>
      <c r="C5018" s="403" t="s">
        <v>582</v>
      </c>
      <c r="D5018" s="403" t="s">
        <v>1423</v>
      </c>
      <c r="E5018" s="403" t="s">
        <v>778</v>
      </c>
      <c r="F5018" s="403" t="s">
        <v>1287</v>
      </c>
      <c r="G5018" s="403" t="s">
        <v>1466</v>
      </c>
      <c r="H5018" s="403" t="s">
        <v>1281</v>
      </c>
      <c r="I5018" s="403">
        <v>1</v>
      </c>
      <c r="J5018" s="403" t="s">
        <v>110</v>
      </c>
      <c r="K5018" s="403">
        <v>1920</v>
      </c>
      <c r="L5018" s="403">
        <v>1080</v>
      </c>
      <c r="M5018" s="403" t="s">
        <v>1284</v>
      </c>
      <c r="N5018" s="403">
        <v>640</v>
      </c>
      <c r="O5018" s="403">
        <v>480</v>
      </c>
      <c r="P5018" t="str">
        <f t="shared" si="625"/>
        <v>25fps 1080p - SD VGA (cropped)</v>
      </c>
      <c r="Q5018">
        <f t="shared" si="626"/>
        <v>22</v>
      </c>
      <c r="R5018" t="str">
        <f t="shared" si="627"/>
        <v/>
      </c>
      <c r="S5018" t="str">
        <f t="shared" si="628"/>
        <v/>
      </c>
      <c r="T5018" s="403" t="str">
        <f t="shared" si="629"/>
        <v>NDI-4502-A</v>
      </c>
      <c r="U5018" s="403">
        <f t="shared" si="630"/>
        <v>1</v>
      </c>
      <c r="V5018" s="403" t="str">
        <f t="shared" si="631"/>
        <v>CPP_7_3</v>
      </c>
    </row>
    <row r="5019" spans="1:22">
      <c r="A5019" t="str">
        <f t="shared" si="624"/>
        <v>NDI-4502-A</v>
      </c>
      <c r="B5019" s="403" t="s">
        <v>1422</v>
      </c>
      <c r="C5019" s="403" t="s">
        <v>582</v>
      </c>
      <c r="D5019" s="403" t="s">
        <v>1423</v>
      </c>
      <c r="E5019" s="403" t="s">
        <v>778</v>
      </c>
      <c r="F5019" s="403" t="s">
        <v>1287</v>
      </c>
      <c r="G5019" s="403" t="s">
        <v>1466</v>
      </c>
      <c r="H5019" s="403" t="s">
        <v>1281</v>
      </c>
      <c r="I5019" s="403">
        <v>1</v>
      </c>
      <c r="J5019" s="403" t="s">
        <v>109</v>
      </c>
      <c r="K5019" s="403">
        <v>1280</v>
      </c>
      <c r="L5019" s="403">
        <v>720</v>
      </c>
      <c r="M5019" s="403" t="s">
        <v>109</v>
      </c>
      <c r="N5019" s="403">
        <v>1280</v>
      </c>
      <c r="O5019" s="403">
        <v>720</v>
      </c>
      <c r="P5019" t="str">
        <f t="shared" si="625"/>
        <v>25fps 720p - 720p</v>
      </c>
      <c r="Q5019">
        <f t="shared" si="626"/>
        <v>22</v>
      </c>
      <c r="R5019" t="str">
        <f t="shared" si="627"/>
        <v/>
      </c>
      <c r="S5019" t="str">
        <f t="shared" si="628"/>
        <v/>
      </c>
      <c r="T5019" s="403" t="str">
        <f t="shared" si="629"/>
        <v>NDI-4502-A</v>
      </c>
      <c r="U5019" s="403">
        <f t="shared" si="630"/>
        <v>1</v>
      </c>
      <c r="V5019" s="403" t="str">
        <f t="shared" si="631"/>
        <v>CPP_7_3</v>
      </c>
    </row>
    <row r="5020" spans="1:22">
      <c r="A5020" t="str">
        <f t="shared" si="624"/>
        <v>NDI-4502-A</v>
      </c>
      <c r="B5020" s="403" t="s">
        <v>1422</v>
      </c>
      <c r="C5020" s="403" t="s">
        <v>582</v>
      </c>
      <c r="D5020" s="403" t="s">
        <v>1423</v>
      </c>
      <c r="E5020" s="403" t="s">
        <v>778</v>
      </c>
      <c r="F5020" s="403" t="s">
        <v>1287</v>
      </c>
      <c r="G5020" s="403" t="s">
        <v>1466</v>
      </c>
      <c r="H5020" s="403" t="s">
        <v>1281</v>
      </c>
      <c r="I5020" s="403">
        <v>1</v>
      </c>
      <c r="J5020" s="403" t="s">
        <v>109</v>
      </c>
      <c r="K5020" s="403">
        <v>1280</v>
      </c>
      <c r="L5020" s="403">
        <v>720</v>
      </c>
      <c r="M5020" s="403" t="s">
        <v>111</v>
      </c>
      <c r="N5020" s="403">
        <v>768</v>
      </c>
      <c r="O5020" s="403">
        <v>432</v>
      </c>
      <c r="P5020" t="str">
        <f t="shared" si="625"/>
        <v>25fps 720p - SD</v>
      </c>
      <c r="Q5020">
        <f t="shared" si="626"/>
        <v>22</v>
      </c>
      <c r="R5020" t="str">
        <f t="shared" si="627"/>
        <v/>
      </c>
      <c r="S5020" t="str">
        <f t="shared" si="628"/>
        <v/>
      </c>
      <c r="T5020" s="403" t="str">
        <f t="shared" si="629"/>
        <v>NDI-4502-A</v>
      </c>
      <c r="U5020" s="403">
        <f t="shared" si="630"/>
        <v>1</v>
      </c>
      <c r="V5020" s="403" t="str">
        <f t="shared" si="631"/>
        <v>CPP_7_3</v>
      </c>
    </row>
    <row r="5021" spans="1:22">
      <c r="A5021" t="str">
        <f t="shared" si="624"/>
        <v>NDI-4502-A</v>
      </c>
      <c r="B5021" s="403" t="s">
        <v>1422</v>
      </c>
      <c r="C5021" s="403" t="s">
        <v>582</v>
      </c>
      <c r="D5021" s="403" t="s">
        <v>1423</v>
      </c>
      <c r="E5021" s="403" t="s">
        <v>778</v>
      </c>
      <c r="F5021" s="403" t="s">
        <v>1287</v>
      </c>
      <c r="G5021" s="403" t="s">
        <v>1466</v>
      </c>
      <c r="H5021" s="403" t="s">
        <v>1281</v>
      </c>
      <c r="I5021" s="403">
        <v>1</v>
      </c>
      <c r="J5021" s="403" t="s">
        <v>109</v>
      </c>
      <c r="K5021" s="403">
        <v>1280</v>
      </c>
      <c r="L5021" s="403">
        <v>720</v>
      </c>
      <c r="M5021" s="403" t="s">
        <v>1279</v>
      </c>
      <c r="N5021" s="403">
        <v>768</v>
      </c>
      <c r="O5021" s="403">
        <v>432</v>
      </c>
      <c r="P5021" t="str">
        <f t="shared" si="625"/>
        <v>25fps 720p - SD ROI PTZ</v>
      </c>
      <c r="Q5021">
        <f t="shared" si="626"/>
        <v>22</v>
      </c>
      <c r="R5021" t="str">
        <f t="shared" si="627"/>
        <v/>
      </c>
      <c r="S5021" t="str">
        <f t="shared" si="628"/>
        <v/>
      </c>
      <c r="T5021" s="403" t="str">
        <f t="shared" si="629"/>
        <v>NDI-4502-A</v>
      </c>
      <c r="U5021" s="403">
        <f t="shared" si="630"/>
        <v>1</v>
      </c>
      <c r="V5021" s="403" t="str">
        <f t="shared" si="631"/>
        <v>CPP_7_3</v>
      </c>
    </row>
    <row r="5022" spans="1:22">
      <c r="A5022" t="str">
        <f t="shared" si="624"/>
        <v>NDI-4502-A</v>
      </c>
      <c r="B5022" s="403" t="s">
        <v>1422</v>
      </c>
      <c r="C5022" s="403" t="s">
        <v>582</v>
      </c>
      <c r="D5022" s="403" t="s">
        <v>1423</v>
      </c>
      <c r="E5022" s="403" t="s">
        <v>778</v>
      </c>
      <c r="F5022" s="403" t="s">
        <v>1287</v>
      </c>
      <c r="G5022" s="403" t="s">
        <v>1466</v>
      </c>
      <c r="H5022" s="403" t="s">
        <v>1281</v>
      </c>
      <c r="I5022" s="403">
        <v>1</v>
      </c>
      <c r="J5022" s="403" t="s">
        <v>109</v>
      </c>
      <c r="K5022" s="403">
        <v>1280</v>
      </c>
      <c r="L5022" s="403">
        <v>720</v>
      </c>
      <c r="M5022" s="403" t="s">
        <v>1283</v>
      </c>
      <c r="N5022" s="403">
        <v>720</v>
      </c>
      <c r="O5022" s="403">
        <v>576</v>
      </c>
      <c r="P5022" t="str">
        <f t="shared" si="625"/>
        <v>25fps 720p - SD 4CIF resolution 4:3 format (cropped)</v>
      </c>
      <c r="Q5022">
        <f t="shared" si="626"/>
        <v>22</v>
      </c>
      <c r="R5022" t="str">
        <f t="shared" si="627"/>
        <v/>
      </c>
      <c r="S5022" t="str">
        <f t="shared" si="628"/>
        <v/>
      </c>
      <c r="T5022" s="403" t="str">
        <f t="shared" si="629"/>
        <v>NDI-4502-A</v>
      </c>
      <c r="U5022" s="403">
        <f t="shared" si="630"/>
        <v>1</v>
      </c>
      <c r="V5022" s="403" t="str">
        <f t="shared" si="631"/>
        <v>CPP_7_3</v>
      </c>
    </row>
    <row r="5023" spans="1:22">
      <c r="A5023" t="str">
        <f t="shared" si="624"/>
        <v>NDI-4502-A</v>
      </c>
      <c r="B5023" s="403" t="s">
        <v>1422</v>
      </c>
      <c r="C5023" s="403" t="s">
        <v>582</v>
      </c>
      <c r="D5023" s="403" t="s">
        <v>1423</v>
      </c>
      <c r="E5023" s="403" t="s">
        <v>778</v>
      </c>
      <c r="F5023" s="403" t="s">
        <v>1287</v>
      </c>
      <c r="G5023" s="403" t="s">
        <v>1466</v>
      </c>
      <c r="H5023" s="403" t="s">
        <v>1281</v>
      </c>
      <c r="I5023" s="403">
        <v>1</v>
      </c>
      <c r="J5023" s="403" t="s">
        <v>109</v>
      </c>
      <c r="K5023" s="403">
        <v>1280</v>
      </c>
      <c r="L5023" s="403">
        <v>720</v>
      </c>
      <c r="M5023" s="403" t="s">
        <v>1284</v>
      </c>
      <c r="N5023" s="403">
        <v>640</v>
      </c>
      <c r="O5023" s="403">
        <v>480</v>
      </c>
      <c r="P5023" t="str">
        <f t="shared" si="625"/>
        <v>25fps 720p - SD VGA (cropped)</v>
      </c>
      <c r="Q5023">
        <f t="shared" si="626"/>
        <v>22</v>
      </c>
      <c r="R5023" t="str">
        <f t="shared" si="627"/>
        <v/>
      </c>
      <c r="S5023" t="str">
        <f t="shared" si="628"/>
        <v/>
      </c>
      <c r="T5023" s="403" t="str">
        <f t="shared" si="629"/>
        <v>NDI-4502-A</v>
      </c>
      <c r="U5023" s="403">
        <f t="shared" si="630"/>
        <v>1</v>
      </c>
      <c r="V5023" s="403" t="str">
        <f t="shared" si="631"/>
        <v>CPP_7_3</v>
      </c>
    </row>
    <row r="5024" spans="1:22">
      <c r="A5024" t="str">
        <f t="shared" si="624"/>
        <v>NDI-4502-A</v>
      </c>
      <c r="B5024" s="403" t="s">
        <v>1422</v>
      </c>
      <c r="C5024" s="403" t="s">
        <v>582</v>
      </c>
      <c r="D5024" s="403" t="s">
        <v>1423</v>
      </c>
      <c r="E5024" s="403" t="s">
        <v>778</v>
      </c>
      <c r="F5024" s="403" t="s">
        <v>1287</v>
      </c>
      <c r="G5024" s="403" t="s">
        <v>1466</v>
      </c>
      <c r="H5024" s="403" t="s">
        <v>1282</v>
      </c>
      <c r="I5024" s="403">
        <v>1</v>
      </c>
      <c r="J5024" s="403" t="s">
        <v>110</v>
      </c>
      <c r="K5024" s="403">
        <v>1920</v>
      </c>
      <c r="L5024" s="403">
        <v>1080</v>
      </c>
      <c r="M5024" s="403" t="s">
        <v>111</v>
      </c>
      <c r="N5024" s="403">
        <v>768</v>
      </c>
      <c r="O5024" s="403">
        <v>432</v>
      </c>
      <c r="P5024" t="str">
        <f t="shared" si="625"/>
        <v>25fps 1080p - SD</v>
      </c>
      <c r="Q5024">
        <f t="shared" si="626"/>
        <v>22</v>
      </c>
      <c r="R5024" t="str">
        <f t="shared" si="627"/>
        <v/>
      </c>
      <c r="S5024" t="str">
        <f t="shared" si="628"/>
        <v/>
      </c>
      <c r="T5024" s="403" t="str">
        <f t="shared" si="629"/>
        <v>NDI-4502-A</v>
      </c>
      <c r="U5024" s="403">
        <f t="shared" si="630"/>
        <v>1</v>
      </c>
      <c r="V5024" s="403" t="str">
        <f t="shared" si="631"/>
        <v>CPP_7_3</v>
      </c>
    </row>
    <row r="5025" spans="1:22">
      <c r="A5025" t="str">
        <f t="shared" si="624"/>
        <v>NDI-4502-A</v>
      </c>
      <c r="B5025" s="403" t="s">
        <v>1422</v>
      </c>
      <c r="C5025" s="403" t="s">
        <v>582</v>
      </c>
      <c r="D5025" s="403" t="s">
        <v>1423</v>
      </c>
      <c r="E5025" s="403" t="s">
        <v>778</v>
      </c>
      <c r="F5025" s="403" t="s">
        <v>1287</v>
      </c>
      <c r="G5025" s="403" t="s">
        <v>1466</v>
      </c>
      <c r="H5025" s="403" t="s">
        <v>1282</v>
      </c>
      <c r="I5025" s="403">
        <v>1</v>
      </c>
      <c r="J5025" s="403" t="s">
        <v>110</v>
      </c>
      <c r="K5025" s="403">
        <v>1920</v>
      </c>
      <c r="L5025" s="403">
        <v>1080</v>
      </c>
      <c r="M5025" s="403" t="s">
        <v>110</v>
      </c>
      <c r="N5025" s="403">
        <v>1920</v>
      </c>
      <c r="O5025" s="403">
        <v>1080</v>
      </c>
      <c r="P5025" t="str">
        <f t="shared" si="625"/>
        <v>25fps 1080p - 1080p</v>
      </c>
      <c r="Q5025">
        <f t="shared" si="626"/>
        <v>22</v>
      </c>
      <c r="R5025" t="str">
        <f t="shared" si="627"/>
        <v/>
      </c>
      <c r="S5025" t="str">
        <f t="shared" si="628"/>
        <v/>
      </c>
      <c r="T5025" s="403" t="str">
        <f t="shared" si="629"/>
        <v>NDI-4502-A</v>
      </c>
      <c r="U5025" s="403">
        <f t="shared" si="630"/>
        <v>1</v>
      </c>
      <c r="V5025" s="403" t="str">
        <f t="shared" si="631"/>
        <v>CPP_7_3</v>
      </c>
    </row>
    <row r="5026" spans="1:22">
      <c r="A5026" t="str">
        <f t="shared" si="624"/>
        <v>NDI-4502-A</v>
      </c>
      <c r="B5026" s="403" t="s">
        <v>1422</v>
      </c>
      <c r="C5026" s="403" t="s">
        <v>582</v>
      </c>
      <c r="D5026" s="403" t="s">
        <v>1423</v>
      </c>
      <c r="E5026" s="403" t="s">
        <v>778</v>
      </c>
      <c r="F5026" s="403" t="s">
        <v>1287</v>
      </c>
      <c r="G5026" s="403" t="s">
        <v>1466</v>
      </c>
      <c r="H5026" s="403" t="s">
        <v>1282</v>
      </c>
      <c r="I5026" s="403">
        <v>1</v>
      </c>
      <c r="J5026" s="403" t="s">
        <v>110</v>
      </c>
      <c r="K5026" s="403">
        <v>1920</v>
      </c>
      <c r="L5026" s="403">
        <v>1080</v>
      </c>
      <c r="M5026" s="403" t="s">
        <v>109</v>
      </c>
      <c r="N5026" s="403">
        <v>1280</v>
      </c>
      <c r="O5026" s="403">
        <v>720</v>
      </c>
      <c r="P5026" t="str">
        <f t="shared" si="625"/>
        <v>25fps 1080p - 720p</v>
      </c>
      <c r="Q5026">
        <f t="shared" si="626"/>
        <v>22</v>
      </c>
      <c r="R5026" t="str">
        <f t="shared" si="627"/>
        <v/>
      </c>
      <c r="S5026" t="str">
        <f t="shared" si="628"/>
        <v/>
      </c>
      <c r="T5026" s="403" t="str">
        <f t="shared" si="629"/>
        <v>NDI-4502-A</v>
      </c>
      <c r="U5026" s="403">
        <f t="shared" si="630"/>
        <v>1</v>
      </c>
      <c r="V5026" s="403" t="str">
        <f t="shared" si="631"/>
        <v>CPP_7_3</v>
      </c>
    </row>
    <row r="5027" spans="1:22">
      <c r="A5027" t="str">
        <f t="shared" si="624"/>
        <v>NDI-4502-A</v>
      </c>
      <c r="B5027" s="403" t="s">
        <v>1422</v>
      </c>
      <c r="C5027" s="403" t="s">
        <v>582</v>
      </c>
      <c r="D5027" s="403" t="s">
        <v>1423</v>
      </c>
      <c r="E5027" s="403" t="s">
        <v>778</v>
      </c>
      <c r="F5027" s="403" t="s">
        <v>1287</v>
      </c>
      <c r="G5027" s="403" t="s">
        <v>1466</v>
      </c>
      <c r="H5027" s="403" t="s">
        <v>1282</v>
      </c>
      <c r="I5027" s="403">
        <v>1</v>
      </c>
      <c r="J5027" s="403" t="s">
        <v>110</v>
      </c>
      <c r="K5027" s="403">
        <v>1920</v>
      </c>
      <c r="L5027" s="403">
        <v>1080</v>
      </c>
      <c r="M5027" s="403" t="s">
        <v>1285</v>
      </c>
      <c r="N5027" s="403">
        <v>1280</v>
      </c>
      <c r="O5027" s="403">
        <v>1024</v>
      </c>
      <c r="P5027" t="str">
        <f t="shared" si="625"/>
        <v>25fps 1080p - 1280x1024 5:4 (cropped)</v>
      </c>
      <c r="Q5027">
        <f t="shared" si="626"/>
        <v>22</v>
      </c>
      <c r="R5027" t="str">
        <f t="shared" si="627"/>
        <v/>
      </c>
      <c r="S5027" t="str">
        <f t="shared" si="628"/>
        <v/>
      </c>
      <c r="T5027" s="403" t="str">
        <f t="shared" si="629"/>
        <v>NDI-4502-A</v>
      </c>
      <c r="U5027" s="403">
        <f t="shared" si="630"/>
        <v>1</v>
      </c>
      <c r="V5027" s="403" t="str">
        <f t="shared" si="631"/>
        <v>CPP_7_3</v>
      </c>
    </row>
    <row r="5028" spans="1:22">
      <c r="A5028" t="str">
        <f t="shared" si="624"/>
        <v>NDI-4502-A</v>
      </c>
      <c r="B5028" s="403" t="s">
        <v>1422</v>
      </c>
      <c r="C5028" s="403" t="s">
        <v>582</v>
      </c>
      <c r="D5028" s="403" t="s">
        <v>1423</v>
      </c>
      <c r="E5028" s="403" t="s">
        <v>778</v>
      </c>
      <c r="F5028" s="403" t="s">
        <v>1287</v>
      </c>
      <c r="G5028" s="403" t="s">
        <v>1466</v>
      </c>
      <c r="H5028" s="403" t="s">
        <v>1282</v>
      </c>
      <c r="I5028" s="403">
        <v>1</v>
      </c>
      <c r="J5028" s="403" t="s">
        <v>110</v>
      </c>
      <c r="K5028" s="403">
        <v>1920</v>
      </c>
      <c r="L5028" s="403">
        <v>1080</v>
      </c>
      <c r="M5028" s="403" t="s">
        <v>1279</v>
      </c>
      <c r="N5028" s="403">
        <v>768</v>
      </c>
      <c r="O5028" s="403">
        <v>432</v>
      </c>
      <c r="P5028" t="str">
        <f t="shared" si="625"/>
        <v>25fps 1080p - SD ROI PTZ</v>
      </c>
      <c r="Q5028">
        <f t="shared" si="626"/>
        <v>22</v>
      </c>
      <c r="R5028" t="str">
        <f t="shared" si="627"/>
        <v/>
      </c>
      <c r="S5028" t="str">
        <f t="shared" si="628"/>
        <v/>
      </c>
      <c r="T5028" s="403" t="str">
        <f t="shared" si="629"/>
        <v>NDI-4502-A</v>
      </c>
      <c r="U5028" s="403">
        <f t="shared" si="630"/>
        <v>1</v>
      </c>
      <c r="V5028" s="403" t="str">
        <f t="shared" si="631"/>
        <v>CPP_7_3</v>
      </c>
    </row>
    <row r="5029" spans="1:22">
      <c r="A5029" t="str">
        <f t="shared" si="624"/>
        <v>NDI-4502-A</v>
      </c>
      <c r="B5029" s="403" t="s">
        <v>1422</v>
      </c>
      <c r="C5029" s="403" t="s">
        <v>582</v>
      </c>
      <c r="D5029" s="403" t="s">
        <v>1423</v>
      </c>
      <c r="E5029" s="403" t="s">
        <v>778</v>
      </c>
      <c r="F5029" s="403" t="s">
        <v>1287</v>
      </c>
      <c r="G5029" s="403" t="s">
        <v>1466</v>
      </c>
      <c r="H5029" s="403" t="s">
        <v>1282</v>
      </c>
      <c r="I5029" s="403">
        <v>1</v>
      </c>
      <c r="J5029" s="403" t="s">
        <v>110</v>
      </c>
      <c r="K5029" s="403">
        <v>1920</v>
      </c>
      <c r="L5029" s="403">
        <v>1080</v>
      </c>
      <c r="M5029" s="403" t="s">
        <v>1283</v>
      </c>
      <c r="N5029" s="403">
        <v>720</v>
      </c>
      <c r="O5029" s="403">
        <v>576</v>
      </c>
      <c r="P5029" t="str">
        <f t="shared" si="625"/>
        <v>25fps 1080p - SD 4CIF resolution 4:3 format (cropped)</v>
      </c>
      <c r="Q5029">
        <f t="shared" si="626"/>
        <v>22</v>
      </c>
      <c r="R5029" t="str">
        <f t="shared" si="627"/>
        <v/>
      </c>
      <c r="S5029" t="str">
        <f t="shared" si="628"/>
        <v/>
      </c>
      <c r="T5029" s="403" t="str">
        <f t="shared" si="629"/>
        <v>NDI-4502-A</v>
      </c>
      <c r="U5029" s="403">
        <f t="shared" si="630"/>
        <v>1</v>
      </c>
      <c r="V5029" s="403" t="str">
        <f t="shared" si="631"/>
        <v>CPP_7_3</v>
      </c>
    </row>
    <row r="5030" spans="1:22">
      <c r="A5030" t="str">
        <f t="shared" si="624"/>
        <v>NDI-4502-A</v>
      </c>
      <c r="B5030" s="403" t="s">
        <v>1422</v>
      </c>
      <c r="C5030" s="403" t="s">
        <v>582</v>
      </c>
      <c r="D5030" s="403" t="s">
        <v>1423</v>
      </c>
      <c r="E5030" s="403" t="s">
        <v>778</v>
      </c>
      <c r="F5030" s="403" t="s">
        <v>1287</v>
      </c>
      <c r="G5030" s="403" t="s">
        <v>1466</v>
      </c>
      <c r="H5030" s="403" t="s">
        <v>1282</v>
      </c>
      <c r="I5030" s="403">
        <v>1</v>
      </c>
      <c r="J5030" s="403" t="s">
        <v>110</v>
      </c>
      <c r="K5030" s="403">
        <v>1920</v>
      </c>
      <c r="L5030" s="403">
        <v>1080</v>
      </c>
      <c r="M5030" s="403" t="s">
        <v>1284</v>
      </c>
      <c r="N5030" s="403">
        <v>640</v>
      </c>
      <c r="O5030" s="403">
        <v>480</v>
      </c>
      <c r="P5030" t="str">
        <f t="shared" si="625"/>
        <v>25fps 1080p - SD VGA (cropped)</v>
      </c>
      <c r="Q5030">
        <f t="shared" si="626"/>
        <v>22</v>
      </c>
      <c r="R5030" t="str">
        <f t="shared" si="627"/>
        <v/>
      </c>
      <c r="S5030" t="str">
        <f t="shared" si="628"/>
        <v/>
      </c>
      <c r="T5030" s="403" t="str">
        <f t="shared" si="629"/>
        <v>NDI-4502-A</v>
      </c>
      <c r="U5030" s="403">
        <f t="shared" si="630"/>
        <v>1</v>
      </c>
      <c r="V5030" s="403" t="str">
        <f t="shared" si="631"/>
        <v>CPP_7_3</v>
      </c>
    </row>
    <row r="5031" spans="1:22">
      <c r="A5031" t="str">
        <f t="shared" si="624"/>
        <v>NDI-4502-A</v>
      </c>
      <c r="B5031" s="403" t="s">
        <v>1422</v>
      </c>
      <c r="C5031" s="403" t="s">
        <v>582</v>
      </c>
      <c r="D5031" s="403" t="s">
        <v>1423</v>
      </c>
      <c r="E5031" s="403" t="s">
        <v>778</v>
      </c>
      <c r="F5031" s="403" t="s">
        <v>1287</v>
      </c>
      <c r="G5031" s="403" t="s">
        <v>1466</v>
      </c>
      <c r="H5031" s="403" t="s">
        <v>1282</v>
      </c>
      <c r="I5031" s="403">
        <v>1</v>
      </c>
      <c r="J5031" s="403" t="s">
        <v>109</v>
      </c>
      <c r="K5031" s="403">
        <v>1280</v>
      </c>
      <c r="L5031" s="403">
        <v>720</v>
      </c>
      <c r="M5031" s="403" t="s">
        <v>109</v>
      </c>
      <c r="N5031" s="403">
        <v>1280</v>
      </c>
      <c r="O5031" s="403">
        <v>720</v>
      </c>
      <c r="P5031" t="str">
        <f t="shared" si="625"/>
        <v>25fps 720p - 720p</v>
      </c>
      <c r="Q5031">
        <f t="shared" si="626"/>
        <v>22</v>
      </c>
      <c r="R5031" t="str">
        <f t="shared" si="627"/>
        <v/>
      </c>
      <c r="S5031" t="str">
        <f t="shared" si="628"/>
        <v/>
      </c>
      <c r="T5031" s="403" t="str">
        <f t="shared" si="629"/>
        <v>NDI-4502-A</v>
      </c>
      <c r="U5031" s="403">
        <f t="shared" si="630"/>
        <v>1</v>
      </c>
      <c r="V5031" s="403" t="str">
        <f t="shared" si="631"/>
        <v>CPP_7_3</v>
      </c>
    </row>
    <row r="5032" spans="1:22">
      <c r="A5032" t="str">
        <f t="shared" si="624"/>
        <v>NDI-4502-A</v>
      </c>
      <c r="B5032" s="403" t="s">
        <v>1422</v>
      </c>
      <c r="C5032" s="403" t="s">
        <v>582</v>
      </c>
      <c r="D5032" s="403" t="s">
        <v>1423</v>
      </c>
      <c r="E5032" s="403" t="s">
        <v>778</v>
      </c>
      <c r="F5032" s="403" t="s">
        <v>1287</v>
      </c>
      <c r="G5032" s="403" t="s">
        <v>1466</v>
      </c>
      <c r="H5032" s="403" t="s">
        <v>1282</v>
      </c>
      <c r="I5032" s="403">
        <v>1</v>
      </c>
      <c r="J5032" s="403" t="s">
        <v>109</v>
      </c>
      <c r="K5032" s="403">
        <v>1280</v>
      </c>
      <c r="L5032" s="403">
        <v>720</v>
      </c>
      <c r="M5032" s="403" t="s">
        <v>111</v>
      </c>
      <c r="N5032" s="403">
        <v>768</v>
      </c>
      <c r="O5032" s="403">
        <v>432</v>
      </c>
      <c r="P5032" t="str">
        <f t="shared" si="625"/>
        <v>25fps 720p - SD</v>
      </c>
      <c r="Q5032">
        <f t="shared" si="626"/>
        <v>22</v>
      </c>
      <c r="R5032" t="str">
        <f t="shared" si="627"/>
        <v/>
      </c>
      <c r="S5032" t="str">
        <f t="shared" si="628"/>
        <v/>
      </c>
      <c r="T5032" s="403" t="str">
        <f t="shared" si="629"/>
        <v>NDI-4502-A</v>
      </c>
      <c r="U5032" s="403">
        <f t="shared" si="630"/>
        <v>1</v>
      </c>
      <c r="V5032" s="403" t="str">
        <f t="shared" si="631"/>
        <v>CPP_7_3</v>
      </c>
    </row>
    <row r="5033" spans="1:22">
      <c r="A5033" t="str">
        <f t="shared" si="624"/>
        <v>NDI-4502-A</v>
      </c>
      <c r="B5033" s="403" t="s">
        <v>1422</v>
      </c>
      <c r="C5033" s="403" t="s">
        <v>582</v>
      </c>
      <c r="D5033" s="403" t="s">
        <v>1423</v>
      </c>
      <c r="E5033" s="403" t="s">
        <v>778</v>
      </c>
      <c r="F5033" s="403" t="s">
        <v>1287</v>
      </c>
      <c r="G5033" s="403" t="s">
        <v>1466</v>
      </c>
      <c r="H5033" s="403" t="s">
        <v>1282</v>
      </c>
      <c r="I5033" s="403">
        <v>1</v>
      </c>
      <c r="J5033" s="403" t="s">
        <v>109</v>
      </c>
      <c r="K5033" s="403">
        <v>1280</v>
      </c>
      <c r="L5033" s="403">
        <v>720</v>
      </c>
      <c r="M5033" s="403" t="s">
        <v>1279</v>
      </c>
      <c r="N5033" s="403">
        <v>768</v>
      </c>
      <c r="O5033" s="403">
        <v>432</v>
      </c>
      <c r="P5033" t="str">
        <f t="shared" si="625"/>
        <v>25fps 720p - SD ROI PTZ</v>
      </c>
      <c r="Q5033">
        <f t="shared" si="626"/>
        <v>22</v>
      </c>
      <c r="R5033" t="str">
        <f t="shared" si="627"/>
        <v/>
      </c>
      <c r="S5033" t="str">
        <f t="shared" si="628"/>
        <v/>
      </c>
      <c r="T5033" s="403" t="str">
        <f t="shared" si="629"/>
        <v>NDI-4502-A</v>
      </c>
      <c r="U5033" s="403">
        <f t="shared" si="630"/>
        <v>1</v>
      </c>
      <c r="V5033" s="403" t="str">
        <f t="shared" si="631"/>
        <v>CPP_7_3</v>
      </c>
    </row>
    <row r="5034" spans="1:22">
      <c r="A5034" t="str">
        <f t="shared" si="624"/>
        <v>NDI-4502-A</v>
      </c>
      <c r="B5034" s="403" t="s">
        <v>1422</v>
      </c>
      <c r="C5034" s="403" t="s">
        <v>582</v>
      </c>
      <c r="D5034" s="403" t="s">
        <v>1423</v>
      </c>
      <c r="E5034" s="403" t="s">
        <v>778</v>
      </c>
      <c r="F5034" s="403" t="s">
        <v>1287</v>
      </c>
      <c r="G5034" s="403" t="s">
        <v>1466</v>
      </c>
      <c r="H5034" s="403" t="s">
        <v>1282</v>
      </c>
      <c r="I5034" s="403">
        <v>1</v>
      </c>
      <c r="J5034" s="403" t="s">
        <v>109</v>
      </c>
      <c r="K5034" s="403">
        <v>1280</v>
      </c>
      <c r="L5034" s="403">
        <v>720</v>
      </c>
      <c r="M5034" s="403" t="s">
        <v>1283</v>
      </c>
      <c r="N5034" s="403">
        <v>720</v>
      </c>
      <c r="O5034" s="403">
        <v>576</v>
      </c>
      <c r="P5034" t="str">
        <f t="shared" si="625"/>
        <v>25fps 720p - SD 4CIF resolution 4:3 format (cropped)</v>
      </c>
      <c r="Q5034">
        <f t="shared" si="626"/>
        <v>22</v>
      </c>
      <c r="R5034" t="str">
        <f t="shared" si="627"/>
        <v/>
      </c>
      <c r="S5034" t="str">
        <f t="shared" si="628"/>
        <v/>
      </c>
      <c r="T5034" s="403" t="str">
        <f t="shared" si="629"/>
        <v>NDI-4502-A</v>
      </c>
      <c r="U5034" s="403">
        <f t="shared" si="630"/>
        <v>1</v>
      </c>
      <c r="V5034" s="403" t="str">
        <f t="shared" si="631"/>
        <v>CPP_7_3</v>
      </c>
    </row>
    <row r="5035" spans="1:22">
      <c r="A5035" t="str">
        <f t="shared" si="624"/>
        <v>NDI-4502-A</v>
      </c>
      <c r="B5035" s="403" t="s">
        <v>1422</v>
      </c>
      <c r="C5035" s="403" t="s">
        <v>582</v>
      </c>
      <c r="D5035" s="403" t="s">
        <v>1423</v>
      </c>
      <c r="E5035" s="403" t="s">
        <v>778</v>
      </c>
      <c r="F5035" s="403" t="s">
        <v>1287</v>
      </c>
      <c r="G5035" s="403" t="s">
        <v>1466</v>
      </c>
      <c r="H5035" s="403" t="s">
        <v>1282</v>
      </c>
      <c r="I5035" s="403">
        <v>1</v>
      </c>
      <c r="J5035" s="403" t="s">
        <v>109</v>
      </c>
      <c r="K5035" s="403">
        <v>1280</v>
      </c>
      <c r="L5035" s="403">
        <v>720</v>
      </c>
      <c r="M5035" s="403" t="s">
        <v>1284</v>
      </c>
      <c r="N5035" s="403">
        <v>640</v>
      </c>
      <c r="O5035" s="403">
        <v>480</v>
      </c>
      <c r="P5035" t="str">
        <f t="shared" si="625"/>
        <v>25fps 720p - SD VGA (cropped)</v>
      </c>
      <c r="Q5035">
        <f t="shared" si="626"/>
        <v>22</v>
      </c>
      <c r="R5035" t="str">
        <f t="shared" si="627"/>
        <v/>
      </c>
      <c r="S5035" t="str">
        <f t="shared" si="628"/>
        <v/>
      </c>
      <c r="T5035" s="403" t="str">
        <f t="shared" si="629"/>
        <v>NDI-4502-A</v>
      </c>
      <c r="U5035" s="403">
        <f t="shared" si="630"/>
        <v>1</v>
      </c>
      <c r="V5035" s="403" t="str">
        <f t="shared" si="631"/>
        <v>CPP_7_3</v>
      </c>
    </row>
    <row r="5036" spans="1:22">
      <c r="A5036" t="str">
        <f t="shared" si="624"/>
        <v>NDI-4502-A</v>
      </c>
      <c r="B5036" s="403" t="s">
        <v>1422</v>
      </c>
      <c r="C5036" s="403" t="s">
        <v>582</v>
      </c>
      <c r="D5036" s="403" t="s">
        <v>1423</v>
      </c>
      <c r="E5036" s="403" t="s">
        <v>778</v>
      </c>
      <c r="F5036" s="403" t="s">
        <v>1287</v>
      </c>
      <c r="G5036" s="403" t="s">
        <v>1467</v>
      </c>
      <c r="H5036" s="403" t="s">
        <v>1276</v>
      </c>
      <c r="I5036" s="403">
        <v>1</v>
      </c>
      <c r="J5036" s="403" t="s">
        <v>110</v>
      </c>
      <c r="K5036" s="403">
        <v>1080</v>
      </c>
      <c r="L5036" s="403">
        <v>1920</v>
      </c>
      <c r="M5036" s="403" t="s">
        <v>111</v>
      </c>
      <c r="N5036" s="403">
        <v>432</v>
      </c>
      <c r="O5036" s="403">
        <v>768</v>
      </c>
      <c r="P5036" t="str">
        <f t="shared" si="625"/>
        <v>25fps 1080p - SD</v>
      </c>
      <c r="Q5036">
        <f t="shared" si="626"/>
        <v>22</v>
      </c>
      <c r="R5036" t="str">
        <f t="shared" si="627"/>
        <v/>
      </c>
      <c r="S5036" t="str">
        <f t="shared" si="628"/>
        <v/>
      </c>
      <c r="T5036" s="403" t="str">
        <f t="shared" si="629"/>
        <v>NDI-4502-A</v>
      </c>
      <c r="U5036" s="403">
        <f t="shared" si="630"/>
        <v>1</v>
      </c>
      <c r="V5036" s="403" t="str">
        <f t="shared" si="631"/>
        <v>CPP_7_3</v>
      </c>
    </row>
    <row r="5037" spans="1:22">
      <c r="A5037" t="str">
        <f t="shared" si="624"/>
        <v>NDI-4502-A</v>
      </c>
      <c r="B5037" s="403" t="s">
        <v>1422</v>
      </c>
      <c r="C5037" s="403" t="s">
        <v>582</v>
      </c>
      <c r="D5037" s="403" t="s">
        <v>1423</v>
      </c>
      <c r="E5037" s="403" t="s">
        <v>778</v>
      </c>
      <c r="F5037" s="403" t="s">
        <v>1287</v>
      </c>
      <c r="G5037" s="403" t="s">
        <v>1467</v>
      </c>
      <c r="H5037" s="403" t="s">
        <v>1276</v>
      </c>
      <c r="I5037" s="403">
        <v>1</v>
      </c>
      <c r="J5037" s="403" t="s">
        <v>110</v>
      </c>
      <c r="K5037" s="403">
        <v>1080</v>
      </c>
      <c r="L5037" s="403">
        <v>1920</v>
      </c>
      <c r="M5037" s="403" t="s">
        <v>110</v>
      </c>
      <c r="N5037" s="403">
        <v>1080</v>
      </c>
      <c r="O5037" s="403">
        <v>1920</v>
      </c>
      <c r="P5037" t="str">
        <f t="shared" si="625"/>
        <v>25fps 1080p - 1080p</v>
      </c>
      <c r="Q5037">
        <f t="shared" si="626"/>
        <v>22</v>
      </c>
      <c r="R5037" t="str">
        <f t="shared" si="627"/>
        <v/>
      </c>
      <c r="S5037" t="str">
        <f t="shared" si="628"/>
        <v/>
      </c>
      <c r="T5037" s="403" t="str">
        <f t="shared" si="629"/>
        <v>NDI-4502-A</v>
      </c>
      <c r="U5037" s="403">
        <f t="shared" si="630"/>
        <v>1</v>
      </c>
      <c r="V5037" s="403" t="str">
        <f t="shared" si="631"/>
        <v>CPP_7_3</v>
      </c>
    </row>
    <row r="5038" spans="1:22">
      <c r="A5038" t="str">
        <f t="shared" si="624"/>
        <v>NDI-4502-A</v>
      </c>
      <c r="B5038" s="403" t="s">
        <v>1422</v>
      </c>
      <c r="C5038" s="403" t="s">
        <v>582</v>
      </c>
      <c r="D5038" s="403" t="s">
        <v>1423</v>
      </c>
      <c r="E5038" s="403" t="s">
        <v>778</v>
      </c>
      <c r="F5038" s="403" t="s">
        <v>1287</v>
      </c>
      <c r="G5038" s="403" t="s">
        <v>1467</v>
      </c>
      <c r="H5038" s="403" t="s">
        <v>1276</v>
      </c>
      <c r="I5038" s="403">
        <v>1</v>
      </c>
      <c r="J5038" s="403" t="s">
        <v>110</v>
      </c>
      <c r="K5038" s="403">
        <v>1080</v>
      </c>
      <c r="L5038" s="403">
        <v>1920</v>
      </c>
      <c r="M5038" s="403" t="s">
        <v>109</v>
      </c>
      <c r="N5038" s="403">
        <v>720</v>
      </c>
      <c r="O5038" s="403">
        <v>1280</v>
      </c>
      <c r="P5038" t="str">
        <f t="shared" si="625"/>
        <v>25fps 1080p - 720p</v>
      </c>
      <c r="Q5038">
        <f t="shared" si="626"/>
        <v>22</v>
      </c>
      <c r="R5038" t="str">
        <f t="shared" si="627"/>
        <v/>
      </c>
      <c r="S5038" t="str">
        <f t="shared" si="628"/>
        <v/>
      </c>
      <c r="T5038" s="403" t="str">
        <f t="shared" si="629"/>
        <v>NDI-4502-A</v>
      </c>
      <c r="U5038" s="403">
        <f t="shared" si="630"/>
        <v>1</v>
      </c>
      <c r="V5038" s="403" t="str">
        <f t="shared" si="631"/>
        <v>CPP_7_3</v>
      </c>
    </row>
    <row r="5039" spans="1:22">
      <c r="A5039" t="str">
        <f t="shared" si="624"/>
        <v>NDI-4502-A</v>
      </c>
      <c r="B5039" s="403" t="s">
        <v>1422</v>
      </c>
      <c r="C5039" s="403" t="s">
        <v>582</v>
      </c>
      <c r="D5039" s="403" t="s">
        <v>1423</v>
      </c>
      <c r="E5039" s="403" t="s">
        <v>778</v>
      </c>
      <c r="F5039" s="403" t="s">
        <v>1287</v>
      </c>
      <c r="G5039" s="403" t="s">
        <v>1467</v>
      </c>
      <c r="H5039" s="403" t="s">
        <v>1276</v>
      </c>
      <c r="I5039" s="403">
        <v>1</v>
      </c>
      <c r="J5039" s="403" t="s">
        <v>110</v>
      </c>
      <c r="K5039" s="403">
        <v>1080</v>
      </c>
      <c r="L5039" s="403">
        <v>1920</v>
      </c>
      <c r="M5039" s="403" t="s">
        <v>1285</v>
      </c>
      <c r="N5039" s="403">
        <v>1024</v>
      </c>
      <c r="O5039" s="403">
        <v>1280</v>
      </c>
      <c r="P5039" t="str">
        <f t="shared" si="625"/>
        <v>25fps 1080p - 1280x1024 5:4 (cropped)</v>
      </c>
      <c r="Q5039">
        <f t="shared" si="626"/>
        <v>22</v>
      </c>
      <c r="R5039" t="str">
        <f t="shared" si="627"/>
        <v/>
      </c>
      <c r="S5039" t="str">
        <f t="shared" si="628"/>
        <v/>
      </c>
      <c r="T5039" s="403" t="str">
        <f t="shared" si="629"/>
        <v>NDI-4502-A</v>
      </c>
      <c r="U5039" s="403">
        <f t="shared" si="630"/>
        <v>1</v>
      </c>
      <c r="V5039" s="403" t="str">
        <f t="shared" si="631"/>
        <v>CPP_7_3</v>
      </c>
    </row>
    <row r="5040" spans="1:22">
      <c r="A5040" t="str">
        <f t="shared" si="624"/>
        <v>NDI-4502-A</v>
      </c>
      <c r="B5040" s="403" t="s">
        <v>1422</v>
      </c>
      <c r="C5040" s="403" t="s">
        <v>582</v>
      </c>
      <c r="D5040" s="403" t="s">
        <v>1423</v>
      </c>
      <c r="E5040" s="403" t="s">
        <v>778</v>
      </c>
      <c r="F5040" s="403" t="s">
        <v>1287</v>
      </c>
      <c r="G5040" s="403" t="s">
        <v>1467</v>
      </c>
      <c r="H5040" s="403" t="s">
        <v>1276</v>
      </c>
      <c r="I5040" s="403">
        <v>1</v>
      </c>
      <c r="J5040" s="403" t="s">
        <v>110</v>
      </c>
      <c r="K5040" s="403">
        <v>1080</v>
      </c>
      <c r="L5040" s="403">
        <v>1920</v>
      </c>
      <c r="M5040" s="403" t="s">
        <v>1279</v>
      </c>
      <c r="N5040" s="403">
        <v>432</v>
      </c>
      <c r="O5040" s="403">
        <v>768</v>
      </c>
      <c r="P5040" t="str">
        <f t="shared" si="625"/>
        <v>25fps 1080p - SD ROI PTZ</v>
      </c>
      <c r="Q5040">
        <f t="shared" si="626"/>
        <v>22</v>
      </c>
      <c r="R5040" t="str">
        <f t="shared" si="627"/>
        <v/>
      </c>
      <c r="S5040" t="str">
        <f t="shared" si="628"/>
        <v/>
      </c>
      <c r="T5040" s="403" t="str">
        <f t="shared" si="629"/>
        <v>NDI-4502-A</v>
      </c>
      <c r="U5040" s="403">
        <f t="shared" si="630"/>
        <v>1</v>
      </c>
      <c r="V5040" s="403" t="str">
        <f t="shared" si="631"/>
        <v>CPP_7_3</v>
      </c>
    </row>
    <row r="5041" spans="1:22">
      <c r="A5041" t="str">
        <f t="shared" si="624"/>
        <v>NDI-4502-A</v>
      </c>
      <c r="B5041" s="403" t="s">
        <v>1422</v>
      </c>
      <c r="C5041" s="403" t="s">
        <v>582</v>
      </c>
      <c r="D5041" s="403" t="s">
        <v>1423</v>
      </c>
      <c r="E5041" s="403" t="s">
        <v>778</v>
      </c>
      <c r="F5041" s="403" t="s">
        <v>1287</v>
      </c>
      <c r="G5041" s="403" t="s">
        <v>1467</v>
      </c>
      <c r="H5041" s="403" t="s">
        <v>1276</v>
      </c>
      <c r="I5041" s="403">
        <v>1</v>
      </c>
      <c r="J5041" s="403" t="s">
        <v>110</v>
      </c>
      <c r="K5041" s="403">
        <v>1080</v>
      </c>
      <c r="L5041" s="403">
        <v>1920</v>
      </c>
      <c r="M5041" s="403" t="s">
        <v>1283</v>
      </c>
      <c r="N5041" s="403">
        <v>576</v>
      </c>
      <c r="O5041" s="403">
        <v>720</v>
      </c>
      <c r="P5041" t="str">
        <f t="shared" si="625"/>
        <v>25fps 1080p - SD 4CIF resolution 4:3 format (cropped)</v>
      </c>
      <c r="Q5041">
        <f t="shared" si="626"/>
        <v>22</v>
      </c>
      <c r="R5041" t="str">
        <f t="shared" si="627"/>
        <v/>
      </c>
      <c r="S5041" t="str">
        <f t="shared" si="628"/>
        <v/>
      </c>
      <c r="T5041" s="403" t="str">
        <f t="shared" si="629"/>
        <v>NDI-4502-A</v>
      </c>
      <c r="U5041" s="403">
        <f t="shared" si="630"/>
        <v>1</v>
      </c>
      <c r="V5041" s="403" t="str">
        <f t="shared" si="631"/>
        <v>CPP_7_3</v>
      </c>
    </row>
    <row r="5042" spans="1:22">
      <c r="A5042" t="str">
        <f t="shared" si="624"/>
        <v>NDI-4502-A</v>
      </c>
      <c r="B5042" s="403" t="s">
        <v>1422</v>
      </c>
      <c r="C5042" s="403" t="s">
        <v>582</v>
      </c>
      <c r="D5042" s="403" t="s">
        <v>1423</v>
      </c>
      <c r="E5042" s="403" t="s">
        <v>778</v>
      </c>
      <c r="F5042" s="403" t="s">
        <v>1287</v>
      </c>
      <c r="G5042" s="403" t="s">
        <v>1467</v>
      </c>
      <c r="H5042" s="403" t="s">
        <v>1276</v>
      </c>
      <c r="I5042" s="403">
        <v>1</v>
      </c>
      <c r="J5042" s="403" t="s">
        <v>110</v>
      </c>
      <c r="K5042" s="403">
        <v>1080</v>
      </c>
      <c r="L5042" s="403">
        <v>1920</v>
      </c>
      <c r="M5042" s="403" t="s">
        <v>1284</v>
      </c>
      <c r="N5042" s="403">
        <v>480</v>
      </c>
      <c r="O5042" s="403">
        <v>640</v>
      </c>
      <c r="P5042" t="str">
        <f t="shared" si="625"/>
        <v>25fps 1080p - SD VGA (cropped)</v>
      </c>
      <c r="Q5042">
        <f t="shared" si="626"/>
        <v>22</v>
      </c>
      <c r="R5042" t="str">
        <f t="shared" si="627"/>
        <v/>
      </c>
      <c r="S5042" t="str">
        <f t="shared" si="628"/>
        <v/>
      </c>
      <c r="T5042" s="403" t="str">
        <f t="shared" si="629"/>
        <v>NDI-4502-A</v>
      </c>
      <c r="U5042" s="403">
        <f t="shared" si="630"/>
        <v>1</v>
      </c>
      <c r="V5042" s="403" t="str">
        <f t="shared" si="631"/>
        <v>CPP_7_3</v>
      </c>
    </row>
    <row r="5043" spans="1:22">
      <c r="A5043" t="str">
        <f t="shared" si="624"/>
        <v>NDI-4502-A</v>
      </c>
      <c r="B5043" s="403" t="s">
        <v>1422</v>
      </c>
      <c r="C5043" s="403" t="s">
        <v>582</v>
      </c>
      <c r="D5043" s="403" t="s">
        <v>1423</v>
      </c>
      <c r="E5043" s="403" t="s">
        <v>778</v>
      </c>
      <c r="F5043" s="403" t="s">
        <v>1287</v>
      </c>
      <c r="G5043" s="403" t="s">
        <v>1467</v>
      </c>
      <c r="H5043" s="403" t="s">
        <v>1276</v>
      </c>
      <c r="I5043" s="403">
        <v>1</v>
      </c>
      <c r="J5043" s="403" t="s">
        <v>109</v>
      </c>
      <c r="K5043" s="403">
        <v>720</v>
      </c>
      <c r="L5043" s="403">
        <v>1280</v>
      </c>
      <c r="M5043" s="403" t="s">
        <v>109</v>
      </c>
      <c r="N5043" s="403">
        <v>720</v>
      </c>
      <c r="O5043" s="403">
        <v>1280</v>
      </c>
      <c r="P5043" t="str">
        <f t="shared" si="625"/>
        <v>25fps 720p - 720p</v>
      </c>
      <c r="Q5043">
        <f t="shared" si="626"/>
        <v>22</v>
      </c>
      <c r="R5043" t="str">
        <f t="shared" si="627"/>
        <v/>
      </c>
      <c r="S5043" t="str">
        <f t="shared" si="628"/>
        <v/>
      </c>
      <c r="T5043" s="403" t="str">
        <f t="shared" si="629"/>
        <v>NDI-4502-A</v>
      </c>
      <c r="U5043" s="403">
        <f t="shared" si="630"/>
        <v>1</v>
      </c>
      <c r="V5043" s="403" t="str">
        <f t="shared" si="631"/>
        <v>CPP_7_3</v>
      </c>
    </row>
    <row r="5044" spans="1:22">
      <c r="A5044" t="str">
        <f t="shared" si="624"/>
        <v>NDI-4502-A</v>
      </c>
      <c r="B5044" s="403" t="s">
        <v>1422</v>
      </c>
      <c r="C5044" s="403" t="s">
        <v>582</v>
      </c>
      <c r="D5044" s="403" t="s">
        <v>1423</v>
      </c>
      <c r="E5044" s="403" t="s">
        <v>778</v>
      </c>
      <c r="F5044" s="403" t="s">
        <v>1287</v>
      </c>
      <c r="G5044" s="403" t="s">
        <v>1467</v>
      </c>
      <c r="H5044" s="403" t="s">
        <v>1276</v>
      </c>
      <c r="I5044" s="403">
        <v>1</v>
      </c>
      <c r="J5044" s="403" t="s">
        <v>109</v>
      </c>
      <c r="K5044" s="403">
        <v>720</v>
      </c>
      <c r="L5044" s="403">
        <v>1280</v>
      </c>
      <c r="M5044" s="403" t="s">
        <v>111</v>
      </c>
      <c r="N5044" s="403">
        <v>432</v>
      </c>
      <c r="O5044" s="403">
        <v>768</v>
      </c>
      <c r="P5044" t="str">
        <f t="shared" si="625"/>
        <v>25fps 720p - SD</v>
      </c>
      <c r="Q5044">
        <f t="shared" si="626"/>
        <v>22</v>
      </c>
      <c r="R5044" t="str">
        <f t="shared" si="627"/>
        <v/>
      </c>
      <c r="S5044" t="str">
        <f t="shared" si="628"/>
        <v/>
      </c>
      <c r="T5044" s="403" t="str">
        <f t="shared" si="629"/>
        <v>NDI-4502-A</v>
      </c>
      <c r="U5044" s="403">
        <f t="shared" si="630"/>
        <v>1</v>
      </c>
      <c r="V5044" s="403" t="str">
        <f t="shared" si="631"/>
        <v>CPP_7_3</v>
      </c>
    </row>
    <row r="5045" spans="1:22">
      <c r="A5045" t="str">
        <f t="shared" si="624"/>
        <v>NDI-4502-A</v>
      </c>
      <c r="B5045" s="403" t="s">
        <v>1422</v>
      </c>
      <c r="C5045" s="403" t="s">
        <v>582</v>
      </c>
      <c r="D5045" s="403" t="s">
        <v>1423</v>
      </c>
      <c r="E5045" s="403" t="s">
        <v>778</v>
      </c>
      <c r="F5045" s="403" t="s">
        <v>1287</v>
      </c>
      <c r="G5045" s="403" t="s">
        <v>1467</v>
      </c>
      <c r="H5045" s="403" t="s">
        <v>1276</v>
      </c>
      <c r="I5045" s="403">
        <v>1</v>
      </c>
      <c r="J5045" s="403" t="s">
        <v>109</v>
      </c>
      <c r="K5045" s="403">
        <v>720</v>
      </c>
      <c r="L5045" s="403">
        <v>1280</v>
      </c>
      <c r="M5045" s="403" t="s">
        <v>1279</v>
      </c>
      <c r="N5045" s="403">
        <v>432</v>
      </c>
      <c r="O5045" s="403">
        <v>768</v>
      </c>
      <c r="P5045" t="str">
        <f t="shared" si="625"/>
        <v>25fps 720p - SD ROI PTZ</v>
      </c>
      <c r="Q5045">
        <f t="shared" si="626"/>
        <v>22</v>
      </c>
      <c r="R5045" t="str">
        <f t="shared" si="627"/>
        <v/>
      </c>
      <c r="S5045" t="str">
        <f t="shared" si="628"/>
        <v/>
      </c>
      <c r="T5045" s="403" t="str">
        <f t="shared" si="629"/>
        <v>NDI-4502-A</v>
      </c>
      <c r="U5045" s="403">
        <f t="shared" si="630"/>
        <v>1</v>
      </c>
      <c r="V5045" s="403" t="str">
        <f t="shared" si="631"/>
        <v>CPP_7_3</v>
      </c>
    </row>
    <row r="5046" spans="1:22">
      <c r="A5046" t="str">
        <f t="shared" si="624"/>
        <v>NDI-4502-A</v>
      </c>
      <c r="B5046" s="403" t="s">
        <v>1422</v>
      </c>
      <c r="C5046" s="403" t="s">
        <v>582</v>
      </c>
      <c r="D5046" s="403" t="s">
        <v>1423</v>
      </c>
      <c r="E5046" s="403" t="s">
        <v>778</v>
      </c>
      <c r="F5046" s="403" t="s">
        <v>1287</v>
      </c>
      <c r="G5046" s="403" t="s">
        <v>1467</v>
      </c>
      <c r="H5046" s="403" t="s">
        <v>1276</v>
      </c>
      <c r="I5046" s="403">
        <v>1</v>
      </c>
      <c r="J5046" s="403" t="s">
        <v>109</v>
      </c>
      <c r="K5046" s="403">
        <v>720</v>
      </c>
      <c r="L5046" s="403">
        <v>1280</v>
      </c>
      <c r="M5046" s="403" t="s">
        <v>1283</v>
      </c>
      <c r="N5046" s="403">
        <v>576</v>
      </c>
      <c r="O5046" s="403">
        <v>720</v>
      </c>
      <c r="P5046" t="str">
        <f t="shared" si="625"/>
        <v>25fps 720p - SD 4CIF resolution 4:3 format (cropped)</v>
      </c>
      <c r="Q5046">
        <f t="shared" si="626"/>
        <v>22</v>
      </c>
      <c r="R5046" t="str">
        <f t="shared" si="627"/>
        <v/>
      </c>
      <c r="S5046" t="str">
        <f t="shared" si="628"/>
        <v/>
      </c>
      <c r="T5046" s="403" t="str">
        <f t="shared" si="629"/>
        <v>NDI-4502-A</v>
      </c>
      <c r="U5046" s="403">
        <f t="shared" si="630"/>
        <v>1</v>
      </c>
      <c r="V5046" s="403" t="str">
        <f t="shared" si="631"/>
        <v>CPP_7_3</v>
      </c>
    </row>
    <row r="5047" spans="1:22">
      <c r="A5047" t="str">
        <f t="shared" si="624"/>
        <v>NDI-4502-A</v>
      </c>
      <c r="B5047" s="403" t="s">
        <v>1422</v>
      </c>
      <c r="C5047" s="403" t="s">
        <v>582</v>
      </c>
      <c r="D5047" s="403" t="s">
        <v>1423</v>
      </c>
      <c r="E5047" s="403" t="s">
        <v>778</v>
      </c>
      <c r="F5047" s="403" t="s">
        <v>1287</v>
      </c>
      <c r="G5047" s="403" t="s">
        <v>1467</v>
      </c>
      <c r="H5047" s="403" t="s">
        <v>1276</v>
      </c>
      <c r="I5047" s="403">
        <v>1</v>
      </c>
      <c r="J5047" s="403" t="s">
        <v>109</v>
      </c>
      <c r="K5047" s="403">
        <v>720</v>
      </c>
      <c r="L5047" s="403">
        <v>1280</v>
      </c>
      <c r="M5047" s="403" t="s">
        <v>1284</v>
      </c>
      <c r="N5047" s="403">
        <v>480</v>
      </c>
      <c r="O5047" s="403">
        <v>640</v>
      </c>
      <c r="P5047" t="str">
        <f t="shared" si="625"/>
        <v>25fps 720p - SD VGA (cropped)</v>
      </c>
      <c r="Q5047">
        <f t="shared" si="626"/>
        <v>22</v>
      </c>
      <c r="R5047" t="str">
        <f t="shared" si="627"/>
        <v/>
      </c>
      <c r="S5047" t="str">
        <f t="shared" si="628"/>
        <v/>
      </c>
      <c r="T5047" s="403" t="str">
        <f t="shared" si="629"/>
        <v>NDI-4502-A</v>
      </c>
      <c r="U5047" s="403">
        <f t="shared" si="630"/>
        <v>1</v>
      </c>
      <c r="V5047" s="403" t="str">
        <f t="shared" si="631"/>
        <v>CPP_7_3</v>
      </c>
    </row>
    <row r="5048" spans="1:22">
      <c r="A5048" t="str">
        <f t="shared" si="624"/>
        <v>NDI-4502-A</v>
      </c>
      <c r="B5048" s="403" t="s">
        <v>1422</v>
      </c>
      <c r="C5048" s="403" t="s">
        <v>582</v>
      </c>
      <c r="D5048" s="403" t="s">
        <v>1423</v>
      </c>
      <c r="E5048" s="403" t="s">
        <v>778</v>
      </c>
      <c r="F5048" s="403" t="s">
        <v>1287</v>
      </c>
      <c r="G5048" s="403" t="s">
        <v>1467</v>
      </c>
      <c r="H5048" s="403" t="s">
        <v>1281</v>
      </c>
      <c r="I5048" s="403">
        <v>1</v>
      </c>
      <c r="J5048" s="403" t="s">
        <v>110</v>
      </c>
      <c r="K5048" s="403">
        <v>1080</v>
      </c>
      <c r="L5048" s="403">
        <v>1920</v>
      </c>
      <c r="M5048" s="403" t="s">
        <v>111</v>
      </c>
      <c r="N5048" s="403">
        <v>432</v>
      </c>
      <c r="O5048" s="403">
        <v>768</v>
      </c>
      <c r="P5048" t="str">
        <f t="shared" si="625"/>
        <v>25fps 1080p - SD</v>
      </c>
      <c r="Q5048">
        <f t="shared" si="626"/>
        <v>22</v>
      </c>
      <c r="R5048" t="str">
        <f t="shared" si="627"/>
        <v/>
      </c>
      <c r="S5048" t="str">
        <f t="shared" si="628"/>
        <v/>
      </c>
      <c r="T5048" s="403" t="str">
        <f t="shared" si="629"/>
        <v>NDI-4502-A</v>
      </c>
      <c r="U5048" s="403">
        <f t="shared" si="630"/>
        <v>1</v>
      </c>
      <c r="V5048" s="403" t="str">
        <f t="shared" si="631"/>
        <v>CPP_7_3</v>
      </c>
    </row>
    <row r="5049" spans="1:22">
      <c r="A5049" t="str">
        <f t="shared" si="624"/>
        <v>NDI-4502-A</v>
      </c>
      <c r="B5049" s="403" t="s">
        <v>1422</v>
      </c>
      <c r="C5049" s="403" t="s">
        <v>582</v>
      </c>
      <c r="D5049" s="403" t="s">
        <v>1423</v>
      </c>
      <c r="E5049" s="403" t="s">
        <v>778</v>
      </c>
      <c r="F5049" s="403" t="s">
        <v>1287</v>
      </c>
      <c r="G5049" s="403" t="s">
        <v>1467</v>
      </c>
      <c r="H5049" s="403" t="s">
        <v>1281</v>
      </c>
      <c r="I5049" s="403">
        <v>1</v>
      </c>
      <c r="J5049" s="403" t="s">
        <v>110</v>
      </c>
      <c r="K5049" s="403">
        <v>1080</v>
      </c>
      <c r="L5049" s="403">
        <v>1920</v>
      </c>
      <c r="M5049" s="403" t="s">
        <v>110</v>
      </c>
      <c r="N5049" s="403">
        <v>1080</v>
      </c>
      <c r="O5049" s="403">
        <v>1920</v>
      </c>
      <c r="P5049" t="str">
        <f t="shared" si="625"/>
        <v>25fps 1080p - 1080p</v>
      </c>
      <c r="Q5049">
        <f t="shared" si="626"/>
        <v>22</v>
      </c>
      <c r="R5049" t="str">
        <f t="shared" si="627"/>
        <v/>
      </c>
      <c r="S5049" t="str">
        <f t="shared" si="628"/>
        <v/>
      </c>
      <c r="T5049" s="403" t="str">
        <f t="shared" si="629"/>
        <v>NDI-4502-A</v>
      </c>
      <c r="U5049" s="403">
        <f t="shared" si="630"/>
        <v>1</v>
      </c>
      <c r="V5049" s="403" t="str">
        <f t="shared" si="631"/>
        <v>CPP_7_3</v>
      </c>
    </row>
    <row r="5050" spans="1:22">
      <c r="A5050" t="str">
        <f t="shared" si="624"/>
        <v>NDI-4502-A</v>
      </c>
      <c r="B5050" s="403" t="s">
        <v>1422</v>
      </c>
      <c r="C5050" s="403" t="s">
        <v>582</v>
      </c>
      <c r="D5050" s="403" t="s">
        <v>1423</v>
      </c>
      <c r="E5050" s="403" t="s">
        <v>778</v>
      </c>
      <c r="F5050" s="403" t="s">
        <v>1287</v>
      </c>
      <c r="G5050" s="403" t="s">
        <v>1467</v>
      </c>
      <c r="H5050" s="403" t="s">
        <v>1281</v>
      </c>
      <c r="I5050" s="403">
        <v>1</v>
      </c>
      <c r="J5050" s="403" t="s">
        <v>110</v>
      </c>
      <c r="K5050" s="403">
        <v>1080</v>
      </c>
      <c r="L5050" s="403">
        <v>1920</v>
      </c>
      <c r="M5050" s="403" t="s">
        <v>109</v>
      </c>
      <c r="N5050" s="403">
        <v>720</v>
      </c>
      <c r="O5050" s="403">
        <v>1280</v>
      </c>
      <c r="P5050" t="str">
        <f t="shared" si="625"/>
        <v>25fps 1080p - 720p</v>
      </c>
      <c r="Q5050">
        <f t="shared" si="626"/>
        <v>22</v>
      </c>
      <c r="R5050" t="str">
        <f t="shared" si="627"/>
        <v/>
      </c>
      <c r="S5050" t="str">
        <f t="shared" si="628"/>
        <v/>
      </c>
      <c r="T5050" s="403" t="str">
        <f t="shared" si="629"/>
        <v>NDI-4502-A</v>
      </c>
      <c r="U5050" s="403">
        <f t="shared" si="630"/>
        <v>1</v>
      </c>
      <c r="V5050" s="403" t="str">
        <f t="shared" si="631"/>
        <v>CPP_7_3</v>
      </c>
    </row>
    <row r="5051" spans="1:22">
      <c r="A5051" t="str">
        <f t="shared" si="624"/>
        <v>NDI-4502-A</v>
      </c>
      <c r="B5051" s="403" t="s">
        <v>1422</v>
      </c>
      <c r="C5051" s="403" t="s">
        <v>582</v>
      </c>
      <c r="D5051" s="403" t="s">
        <v>1423</v>
      </c>
      <c r="E5051" s="403" t="s">
        <v>778</v>
      </c>
      <c r="F5051" s="403" t="s">
        <v>1287</v>
      </c>
      <c r="G5051" s="403" t="s">
        <v>1467</v>
      </c>
      <c r="H5051" s="403" t="s">
        <v>1281</v>
      </c>
      <c r="I5051" s="403">
        <v>1</v>
      </c>
      <c r="J5051" s="403" t="s">
        <v>110</v>
      </c>
      <c r="K5051" s="403">
        <v>1080</v>
      </c>
      <c r="L5051" s="403">
        <v>1920</v>
      </c>
      <c r="M5051" s="403" t="s">
        <v>1285</v>
      </c>
      <c r="N5051" s="403">
        <v>1024</v>
      </c>
      <c r="O5051" s="403">
        <v>1280</v>
      </c>
      <c r="P5051" t="str">
        <f t="shared" si="625"/>
        <v>25fps 1080p - 1280x1024 5:4 (cropped)</v>
      </c>
      <c r="Q5051">
        <f t="shared" si="626"/>
        <v>22</v>
      </c>
      <c r="R5051" t="str">
        <f t="shared" si="627"/>
        <v/>
      </c>
      <c r="S5051" t="str">
        <f t="shared" si="628"/>
        <v/>
      </c>
      <c r="T5051" s="403" t="str">
        <f t="shared" si="629"/>
        <v>NDI-4502-A</v>
      </c>
      <c r="U5051" s="403">
        <f t="shared" si="630"/>
        <v>1</v>
      </c>
      <c r="V5051" s="403" t="str">
        <f t="shared" si="631"/>
        <v>CPP_7_3</v>
      </c>
    </row>
    <row r="5052" spans="1:22">
      <c r="A5052" t="str">
        <f t="shared" si="624"/>
        <v>NDI-4502-A</v>
      </c>
      <c r="B5052" s="403" t="s">
        <v>1422</v>
      </c>
      <c r="C5052" s="403" t="s">
        <v>582</v>
      </c>
      <c r="D5052" s="403" t="s">
        <v>1423</v>
      </c>
      <c r="E5052" s="403" t="s">
        <v>778</v>
      </c>
      <c r="F5052" s="403" t="s">
        <v>1287</v>
      </c>
      <c r="G5052" s="403" t="s">
        <v>1467</v>
      </c>
      <c r="H5052" s="403" t="s">
        <v>1281</v>
      </c>
      <c r="I5052" s="403">
        <v>1</v>
      </c>
      <c r="J5052" s="403" t="s">
        <v>110</v>
      </c>
      <c r="K5052" s="403">
        <v>1080</v>
      </c>
      <c r="L5052" s="403">
        <v>1920</v>
      </c>
      <c r="M5052" s="403" t="s">
        <v>1279</v>
      </c>
      <c r="N5052" s="403">
        <v>432</v>
      </c>
      <c r="O5052" s="403">
        <v>768</v>
      </c>
      <c r="P5052" t="str">
        <f t="shared" si="625"/>
        <v>25fps 1080p - SD ROI PTZ</v>
      </c>
      <c r="Q5052">
        <f t="shared" si="626"/>
        <v>22</v>
      </c>
      <c r="R5052" t="str">
        <f t="shared" si="627"/>
        <v/>
      </c>
      <c r="S5052" t="str">
        <f t="shared" si="628"/>
        <v/>
      </c>
      <c r="T5052" s="403" t="str">
        <f t="shared" si="629"/>
        <v>NDI-4502-A</v>
      </c>
      <c r="U5052" s="403">
        <f t="shared" si="630"/>
        <v>1</v>
      </c>
      <c r="V5052" s="403" t="str">
        <f t="shared" si="631"/>
        <v>CPP_7_3</v>
      </c>
    </row>
    <row r="5053" spans="1:22">
      <c r="A5053" t="str">
        <f t="shared" si="624"/>
        <v>NDI-4502-A</v>
      </c>
      <c r="B5053" s="403" t="s">
        <v>1422</v>
      </c>
      <c r="C5053" s="403" t="s">
        <v>582</v>
      </c>
      <c r="D5053" s="403" t="s">
        <v>1423</v>
      </c>
      <c r="E5053" s="403" t="s">
        <v>778</v>
      </c>
      <c r="F5053" s="403" t="s">
        <v>1287</v>
      </c>
      <c r="G5053" s="403" t="s">
        <v>1467</v>
      </c>
      <c r="H5053" s="403" t="s">
        <v>1281</v>
      </c>
      <c r="I5053" s="403">
        <v>1</v>
      </c>
      <c r="J5053" s="403" t="s">
        <v>110</v>
      </c>
      <c r="K5053" s="403">
        <v>1080</v>
      </c>
      <c r="L5053" s="403">
        <v>1920</v>
      </c>
      <c r="M5053" s="403" t="s">
        <v>1283</v>
      </c>
      <c r="N5053" s="403">
        <v>576</v>
      </c>
      <c r="O5053" s="403">
        <v>720</v>
      </c>
      <c r="P5053" t="str">
        <f t="shared" si="625"/>
        <v>25fps 1080p - SD 4CIF resolution 4:3 format (cropped)</v>
      </c>
      <c r="Q5053">
        <f t="shared" si="626"/>
        <v>22</v>
      </c>
      <c r="R5053" t="str">
        <f t="shared" si="627"/>
        <v/>
      </c>
      <c r="S5053" t="str">
        <f t="shared" si="628"/>
        <v/>
      </c>
      <c r="T5053" s="403" t="str">
        <f t="shared" si="629"/>
        <v>NDI-4502-A</v>
      </c>
      <c r="U5053" s="403">
        <f t="shared" si="630"/>
        <v>1</v>
      </c>
      <c r="V5053" s="403" t="str">
        <f t="shared" si="631"/>
        <v>CPP_7_3</v>
      </c>
    </row>
    <row r="5054" spans="1:22">
      <c r="A5054" t="str">
        <f t="shared" si="624"/>
        <v>NDI-4502-A</v>
      </c>
      <c r="B5054" s="403" t="s">
        <v>1422</v>
      </c>
      <c r="C5054" s="403" t="s">
        <v>582</v>
      </c>
      <c r="D5054" s="403" t="s">
        <v>1423</v>
      </c>
      <c r="E5054" s="403" t="s">
        <v>778</v>
      </c>
      <c r="F5054" s="403" t="s">
        <v>1287</v>
      </c>
      <c r="G5054" s="403" t="s">
        <v>1467</v>
      </c>
      <c r="H5054" s="403" t="s">
        <v>1281</v>
      </c>
      <c r="I5054" s="403">
        <v>1</v>
      </c>
      <c r="J5054" s="403" t="s">
        <v>110</v>
      </c>
      <c r="K5054" s="403">
        <v>1080</v>
      </c>
      <c r="L5054" s="403">
        <v>1920</v>
      </c>
      <c r="M5054" s="403" t="s">
        <v>1284</v>
      </c>
      <c r="N5054" s="403">
        <v>480</v>
      </c>
      <c r="O5054" s="403">
        <v>640</v>
      </c>
      <c r="P5054" t="str">
        <f t="shared" si="625"/>
        <v>25fps 1080p - SD VGA (cropped)</v>
      </c>
      <c r="Q5054">
        <f t="shared" si="626"/>
        <v>22</v>
      </c>
      <c r="R5054" t="str">
        <f t="shared" si="627"/>
        <v/>
      </c>
      <c r="S5054" t="str">
        <f t="shared" si="628"/>
        <v/>
      </c>
      <c r="T5054" s="403" t="str">
        <f t="shared" si="629"/>
        <v>NDI-4502-A</v>
      </c>
      <c r="U5054" s="403">
        <f t="shared" si="630"/>
        <v>1</v>
      </c>
      <c r="V5054" s="403" t="str">
        <f t="shared" si="631"/>
        <v>CPP_7_3</v>
      </c>
    </row>
    <row r="5055" spans="1:22">
      <c r="A5055" t="str">
        <f t="shared" si="624"/>
        <v>NDI-4502-A</v>
      </c>
      <c r="B5055" s="403" t="s">
        <v>1422</v>
      </c>
      <c r="C5055" s="403" t="s">
        <v>582</v>
      </c>
      <c r="D5055" s="403" t="s">
        <v>1423</v>
      </c>
      <c r="E5055" s="403" t="s">
        <v>778</v>
      </c>
      <c r="F5055" s="403" t="s">
        <v>1287</v>
      </c>
      <c r="G5055" s="403" t="s">
        <v>1467</v>
      </c>
      <c r="H5055" s="403" t="s">
        <v>1281</v>
      </c>
      <c r="I5055" s="403">
        <v>1</v>
      </c>
      <c r="J5055" s="403" t="s">
        <v>109</v>
      </c>
      <c r="K5055" s="403">
        <v>720</v>
      </c>
      <c r="L5055" s="403">
        <v>1280</v>
      </c>
      <c r="M5055" s="403" t="s">
        <v>109</v>
      </c>
      <c r="N5055" s="403">
        <v>720</v>
      </c>
      <c r="O5055" s="403">
        <v>1280</v>
      </c>
      <c r="P5055" t="str">
        <f t="shared" si="625"/>
        <v>25fps 720p - 720p</v>
      </c>
      <c r="Q5055">
        <f t="shared" si="626"/>
        <v>22</v>
      </c>
      <c r="R5055" t="str">
        <f t="shared" si="627"/>
        <v/>
      </c>
      <c r="S5055" t="str">
        <f t="shared" si="628"/>
        <v/>
      </c>
      <c r="T5055" s="403" t="str">
        <f t="shared" si="629"/>
        <v>NDI-4502-A</v>
      </c>
      <c r="U5055" s="403">
        <f t="shared" si="630"/>
        <v>1</v>
      </c>
      <c r="V5055" s="403" t="str">
        <f t="shared" si="631"/>
        <v>CPP_7_3</v>
      </c>
    </row>
    <row r="5056" spans="1:22">
      <c r="A5056" t="str">
        <f t="shared" si="624"/>
        <v>NDI-4502-A</v>
      </c>
      <c r="B5056" s="403" t="s">
        <v>1422</v>
      </c>
      <c r="C5056" s="403" t="s">
        <v>582</v>
      </c>
      <c r="D5056" s="403" t="s">
        <v>1423</v>
      </c>
      <c r="E5056" s="403" t="s">
        <v>778</v>
      </c>
      <c r="F5056" s="403" t="s">
        <v>1287</v>
      </c>
      <c r="G5056" s="403" t="s">
        <v>1467</v>
      </c>
      <c r="H5056" s="403" t="s">
        <v>1281</v>
      </c>
      <c r="I5056" s="403">
        <v>1</v>
      </c>
      <c r="J5056" s="403" t="s">
        <v>109</v>
      </c>
      <c r="K5056" s="403">
        <v>720</v>
      </c>
      <c r="L5056" s="403">
        <v>1280</v>
      </c>
      <c r="M5056" s="403" t="s">
        <v>111</v>
      </c>
      <c r="N5056" s="403">
        <v>432</v>
      </c>
      <c r="O5056" s="403">
        <v>768</v>
      </c>
      <c r="P5056" t="str">
        <f t="shared" si="625"/>
        <v>25fps 720p - SD</v>
      </c>
      <c r="Q5056">
        <f t="shared" si="626"/>
        <v>22</v>
      </c>
      <c r="R5056" t="str">
        <f t="shared" si="627"/>
        <v/>
      </c>
      <c r="S5056" t="str">
        <f t="shared" si="628"/>
        <v/>
      </c>
      <c r="T5056" s="403" t="str">
        <f t="shared" si="629"/>
        <v>NDI-4502-A</v>
      </c>
      <c r="U5056" s="403">
        <f t="shared" si="630"/>
        <v>1</v>
      </c>
      <c r="V5056" s="403" t="str">
        <f t="shared" si="631"/>
        <v>CPP_7_3</v>
      </c>
    </row>
    <row r="5057" spans="1:22">
      <c r="A5057" t="str">
        <f t="shared" si="624"/>
        <v>NDI-4502-A</v>
      </c>
      <c r="B5057" s="403" t="s">
        <v>1422</v>
      </c>
      <c r="C5057" s="403" t="s">
        <v>582</v>
      </c>
      <c r="D5057" s="403" t="s">
        <v>1423</v>
      </c>
      <c r="E5057" s="403" t="s">
        <v>778</v>
      </c>
      <c r="F5057" s="403" t="s">
        <v>1287</v>
      </c>
      <c r="G5057" s="403" t="s">
        <v>1467</v>
      </c>
      <c r="H5057" s="403" t="s">
        <v>1281</v>
      </c>
      <c r="I5057" s="403">
        <v>1</v>
      </c>
      <c r="J5057" s="403" t="s">
        <v>109</v>
      </c>
      <c r="K5057" s="403">
        <v>720</v>
      </c>
      <c r="L5057" s="403">
        <v>1280</v>
      </c>
      <c r="M5057" s="403" t="s">
        <v>1279</v>
      </c>
      <c r="N5057" s="403">
        <v>432</v>
      </c>
      <c r="O5057" s="403">
        <v>768</v>
      </c>
      <c r="P5057" t="str">
        <f t="shared" si="625"/>
        <v>25fps 720p - SD ROI PTZ</v>
      </c>
      <c r="Q5057">
        <f t="shared" si="626"/>
        <v>22</v>
      </c>
      <c r="R5057" t="str">
        <f t="shared" si="627"/>
        <v/>
      </c>
      <c r="S5057" t="str">
        <f t="shared" si="628"/>
        <v/>
      </c>
      <c r="T5057" s="403" t="str">
        <f t="shared" si="629"/>
        <v>NDI-4502-A</v>
      </c>
      <c r="U5057" s="403">
        <f t="shared" si="630"/>
        <v>1</v>
      </c>
      <c r="V5057" s="403" t="str">
        <f t="shared" si="631"/>
        <v>CPP_7_3</v>
      </c>
    </row>
    <row r="5058" spans="1:22">
      <c r="A5058" t="str">
        <f t="shared" ref="A5058:A5121" si="632">IF(AND(G5058&lt;&gt;"rotate 90°"),D5058,"")</f>
        <v>NDI-4502-A</v>
      </c>
      <c r="B5058" s="403" t="s">
        <v>1422</v>
      </c>
      <c r="C5058" s="403" t="s">
        <v>582</v>
      </c>
      <c r="D5058" s="403" t="s">
        <v>1423</v>
      </c>
      <c r="E5058" s="403" t="s">
        <v>778</v>
      </c>
      <c r="F5058" s="403" t="s">
        <v>1287</v>
      </c>
      <c r="G5058" s="403" t="s">
        <v>1467</v>
      </c>
      <c r="H5058" s="403" t="s">
        <v>1281</v>
      </c>
      <c r="I5058" s="403">
        <v>1</v>
      </c>
      <c r="J5058" s="403" t="s">
        <v>109</v>
      </c>
      <c r="K5058" s="403">
        <v>720</v>
      </c>
      <c r="L5058" s="403">
        <v>1280</v>
      </c>
      <c r="M5058" s="403" t="s">
        <v>1283</v>
      </c>
      <c r="N5058" s="403">
        <v>576</v>
      </c>
      <c r="O5058" s="403">
        <v>720</v>
      </c>
      <c r="P5058" t="str">
        <f t="shared" ref="P5058:P5121" si="633">LEFT(F5058,5)&amp;" "&amp;J5058&amp;" - "&amp;M5058</f>
        <v>25fps 720p - SD 4CIF resolution 4:3 format (cropped)</v>
      </c>
      <c r="Q5058">
        <f t="shared" ref="Q5058:Q5121" si="634">IF(A5057=A5058,Q5057,Q5057+1)</f>
        <v>22</v>
      </c>
      <c r="R5058" t="str">
        <f t="shared" ref="R5058:R5121" si="635">IF(Q5057&lt;&gt;Q5058,Q5058,"")</f>
        <v/>
      </c>
      <c r="S5058" t="str">
        <f t="shared" ref="S5058:S5121" si="636">IF(R5058&lt;&gt;"",B5058&amp;" ("&amp;D5058&amp;")","")</f>
        <v/>
      </c>
      <c r="T5058" s="403" t="str">
        <f t="shared" ref="T5058:T5121" si="637">D5058</f>
        <v>NDI-4502-A</v>
      </c>
      <c r="U5058" s="403">
        <f t="shared" ref="U5058:U5121" si="638">I5058</f>
        <v>1</v>
      </c>
      <c r="V5058" s="403" t="str">
        <f t="shared" ref="V5058:V5121" si="639">C5058</f>
        <v>CPP_7_3</v>
      </c>
    </row>
    <row r="5059" spans="1:22">
      <c r="A5059" t="str">
        <f t="shared" si="632"/>
        <v>NDI-4502-A</v>
      </c>
      <c r="B5059" s="403" t="s">
        <v>1422</v>
      </c>
      <c r="C5059" s="403" t="s">
        <v>582</v>
      </c>
      <c r="D5059" s="403" t="s">
        <v>1423</v>
      </c>
      <c r="E5059" s="403" t="s">
        <v>778</v>
      </c>
      <c r="F5059" s="403" t="s">
        <v>1287</v>
      </c>
      <c r="G5059" s="403" t="s">
        <v>1467</v>
      </c>
      <c r="H5059" s="403" t="s">
        <v>1281</v>
      </c>
      <c r="I5059" s="403">
        <v>1</v>
      </c>
      <c r="J5059" s="403" t="s">
        <v>109</v>
      </c>
      <c r="K5059" s="403">
        <v>720</v>
      </c>
      <c r="L5059" s="403">
        <v>1280</v>
      </c>
      <c r="M5059" s="403" t="s">
        <v>1284</v>
      </c>
      <c r="N5059" s="403">
        <v>480</v>
      </c>
      <c r="O5059" s="403">
        <v>640</v>
      </c>
      <c r="P5059" t="str">
        <f t="shared" si="633"/>
        <v>25fps 720p - SD VGA (cropped)</v>
      </c>
      <c r="Q5059">
        <f t="shared" si="634"/>
        <v>22</v>
      </c>
      <c r="R5059" t="str">
        <f t="shared" si="635"/>
        <v/>
      </c>
      <c r="S5059" t="str">
        <f t="shared" si="636"/>
        <v/>
      </c>
      <c r="T5059" s="403" t="str">
        <f t="shared" si="637"/>
        <v>NDI-4502-A</v>
      </c>
      <c r="U5059" s="403">
        <f t="shared" si="638"/>
        <v>1</v>
      </c>
      <c r="V5059" s="403" t="str">
        <f t="shared" si="639"/>
        <v>CPP_7_3</v>
      </c>
    </row>
    <row r="5060" spans="1:22">
      <c r="A5060" t="str">
        <f t="shared" si="632"/>
        <v>NDI-4502-A</v>
      </c>
      <c r="B5060" s="403" t="s">
        <v>1422</v>
      </c>
      <c r="C5060" s="403" t="s">
        <v>582</v>
      </c>
      <c r="D5060" s="403" t="s">
        <v>1423</v>
      </c>
      <c r="E5060" s="403" t="s">
        <v>778</v>
      </c>
      <c r="F5060" s="403" t="s">
        <v>1287</v>
      </c>
      <c r="G5060" s="403" t="s">
        <v>1467</v>
      </c>
      <c r="H5060" s="403" t="s">
        <v>1282</v>
      </c>
      <c r="I5060" s="403">
        <v>1</v>
      </c>
      <c r="J5060" s="403" t="s">
        <v>110</v>
      </c>
      <c r="K5060" s="403">
        <v>1080</v>
      </c>
      <c r="L5060" s="403">
        <v>1920</v>
      </c>
      <c r="M5060" s="403" t="s">
        <v>111</v>
      </c>
      <c r="N5060" s="403">
        <v>432</v>
      </c>
      <c r="O5060" s="403">
        <v>768</v>
      </c>
      <c r="P5060" t="str">
        <f t="shared" si="633"/>
        <v>25fps 1080p - SD</v>
      </c>
      <c r="Q5060">
        <f t="shared" si="634"/>
        <v>22</v>
      </c>
      <c r="R5060" t="str">
        <f t="shared" si="635"/>
        <v/>
      </c>
      <c r="S5060" t="str">
        <f t="shared" si="636"/>
        <v/>
      </c>
      <c r="T5060" s="403" t="str">
        <f t="shared" si="637"/>
        <v>NDI-4502-A</v>
      </c>
      <c r="U5060" s="403">
        <f t="shared" si="638"/>
        <v>1</v>
      </c>
      <c r="V5060" s="403" t="str">
        <f t="shared" si="639"/>
        <v>CPP_7_3</v>
      </c>
    </row>
    <row r="5061" spans="1:22">
      <c r="A5061" t="str">
        <f t="shared" si="632"/>
        <v>NDI-4502-A</v>
      </c>
      <c r="B5061" s="403" t="s">
        <v>1422</v>
      </c>
      <c r="C5061" s="403" t="s">
        <v>582</v>
      </c>
      <c r="D5061" s="403" t="s">
        <v>1423</v>
      </c>
      <c r="E5061" s="403" t="s">
        <v>778</v>
      </c>
      <c r="F5061" s="403" t="s">
        <v>1287</v>
      </c>
      <c r="G5061" s="403" t="s">
        <v>1467</v>
      </c>
      <c r="H5061" s="403" t="s">
        <v>1282</v>
      </c>
      <c r="I5061" s="403">
        <v>1</v>
      </c>
      <c r="J5061" s="403" t="s">
        <v>110</v>
      </c>
      <c r="K5061" s="403">
        <v>1080</v>
      </c>
      <c r="L5061" s="403">
        <v>1920</v>
      </c>
      <c r="M5061" s="403" t="s">
        <v>110</v>
      </c>
      <c r="N5061" s="403">
        <v>1080</v>
      </c>
      <c r="O5061" s="403">
        <v>1920</v>
      </c>
      <c r="P5061" t="str">
        <f t="shared" si="633"/>
        <v>25fps 1080p - 1080p</v>
      </c>
      <c r="Q5061">
        <f t="shared" si="634"/>
        <v>22</v>
      </c>
      <c r="R5061" t="str">
        <f t="shared" si="635"/>
        <v/>
      </c>
      <c r="S5061" t="str">
        <f t="shared" si="636"/>
        <v/>
      </c>
      <c r="T5061" s="403" t="str">
        <f t="shared" si="637"/>
        <v>NDI-4502-A</v>
      </c>
      <c r="U5061" s="403">
        <f t="shared" si="638"/>
        <v>1</v>
      </c>
      <c r="V5061" s="403" t="str">
        <f t="shared" si="639"/>
        <v>CPP_7_3</v>
      </c>
    </row>
    <row r="5062" spans="1:22">
      <c r="A5062" t="str">
        <f t="shared" si="632"/>
        <v>NDI-4502-A</v>
      </c>
      <c r="B5062" s="403" t="s">
        <v>1422</v>
      </c>
      <c r="C5062" s="403" t="s">
        <v>582</v>
      </c>
      <c r="D5062" s="403" t="s">
        <v>1423</v>
      </c>
      <c r="E5062" s="403" t="s">
        <v>778</v>
      </c>
      <c r="F5062" s="403" t="s">
        <v>1287</v>
      </c>
      <c r="G5062" s="403" t="s">
        <v>1467</v>
      </c>
      <c r="H5062" s="403" t="s">
        <v>1282</v>
      </c>
      <c r="I5062" s="403">
        <v>1</v>
      </c>
      <c r="J5062" s="403" t="s">
        <v>110</v>
      </c>
      <c r="K5062" s="403">
        <v>1080</v>
      </c>
      <c r="L5062" s="403">
        <v>1920</v>
      </c>
      <c r="M5062" s="403" t="s">
        <v>109</v>
      </c>
      <c r="N5062" s="403">
        <v>720</v>
      </c>
      <c r="O5062" s="403">
        <v>1280</v>
      </c>
      <c r="P5062" t="str">
        <f t="shared" si="633"/>
        <v>25fps 1080p - 720p</v>
      </c>
      <c r="Q5062">
        <f t="shared" si="634"/>
        <v>22</v>
      </c>
      <c r="R5062" t="str">
        <f t="shared" si="635"/>
        <v/>
      </c>
      <c r="S5062" t="str">
        <f t="shared" si="636"/>
        <v/>
      </c>
      <c r="T5062" s="403" t="str">
        <f t="shared" si="637"/>
        <v>NDI-4502-A</v>
      </c>
      <c r="U5062" s="403">
        <f t="shared" si="638"/>
        <v>1</v>
      </c>
      <c r="V5062" s="403" t="str">
        <f t="shared" si="639"/>
        <v>CPP_7_3</v>
      </c>
    </row>
    <row r="5063" spans="1:22">
      <c r="A5063" t="str">
        <f t="shared" si="632"/>
        <v>NDI-4502-A</v>
      </c>
      <c r="B5063" s="403" t="s">
        <v>1422</v>
      </c>
      <c r="C5063" s="403" t="s">
        <v>582</v>
      </c>
      <c r="D5063" s="403" t="s">
        <v>1423</v>
      </c>
      <c r="E5063" s="403" t="s">
        <v>778</v>
      </c>
      <c r="F5063" s="403" t="s">
        <v>1287</v>
      </c>
      <c r="G5063" s="403" t="s">
        <v>1467</v>
      </c>
      <c r="H5063" s="403" t="s">
        <v>1282</v>
      </c>
      <c r="I5063" s="403">
        <v>1</v>
      </c>
      <c r="J5063" s="403" t="s">
        <v>110</v>
      </c>
      <c r="K5063" s="403">
        <v>1080</v>
      </c>
      <c r="L5063" s="403">
        <v>1920</v>
      </c>
      <c r="M5063" s="403" t="s">
        <v>1285</v>
      </c>
      <c r="N5063" s="403">
        <v>1024</v>
      </c>
      <c r="O5063" s="403">
        <v>1280</v>
      </c>
      <c r="P5063" t="str">
        <f t="shared" si="633"/>
        <v>25fps 1080p - 1280x1024 5:4 (cropped)</v>
      </c>
      <c r="Q5063">
        <f t="shared" si="634"/>
        <v>22</v>
      </c>
      <c r="R5063" t="str">
        <f t="shared" si="635"/>
        <v/>
      </c>
      <c r="S5063" t="str">
        <f t="shared" si="636"/>
        <v/>
      </c>
      <c r="T5063" s="403" t="str">
        <f t="shared" si="637"/>
        <v>NDI-4502-A</v>
      </c>
      <c r="U5063" s="403">
        <f t="shared" si="638"/>
        <v>1</v>
      </c>
      <c r="V5063" s="403" t="str">
        <f t="shared" si="639"/>
        <v>CPP_7_3</v>
      </c>
    </row>
    <row r="5064" spans="1:22">
      <c r="A5064" t="str">
        <f t="shared" si="632"/>
        <v>NDI-4502-A</v>
      </c>
      <c r="B5064" s="403" t="s">
        <v>1422</v>
      </c>
      <c r="C5064" s="403" t="s">
        <v>582</v>
      </c>
      <c r="D5064" s="403" t="s">
        <v>1423</v>
      </c>
      <c r="E5064" s="403" t="s">
        <v>778</v>
      </c>
      <c r="F5064" s="403" t="s">
        <v>1287</v>
      </c>
      <c r="G5064" s="403" t="s">
        <v>1467</v>
      </c>
      <c r="H5064" s="403" t="s">
        <v>1282</v>
      </c>
      <c r="I5064" s="403">
        <v>1</v>
      </c>
      <c r="J5064" s="403" t="s">
        <v>110</v>
      </c>
      <c r="K5064" s="403">
        <v>1080</v>
      </c>
      <c r="L5064" s="403">
        <v>1920</v>
      </c>
      <c r="M5064" s="403" t="s">
        <v>1279</v>
      </c>
      <c r="N5064" s="403">
        <v>432</v>
      </c>
      <c r="O5064" s="403">
        <v>768</v>
      </c>
      <c r="P5064" t="str">
        <f t="shared" si="633"/>
        <v>25fps 1080p - SD ROI PTZ</v>
      </c>
      <c r="Q5064">
        <f t="shared" si="634"/>
        <v>22</v>
      </c>
      <c r="R5064" t="str">
        <f t="shared" si="635"/>
        <v/>
      </c>
      <c r="S5064" t="str">
        <f t="shared" si="636"/>
        <v/>
      </c>
      <c r="T5064" s="403" t="str">
        <f t="shared" si="637"/>
        <v>NDI-4502-A</v>
      </c>
      <c r="U5064" s="403">
        <f t="shared" si="638"/>
        <v>1</v>
      </c>
      <c r="V5064" s="403" t="str">
        <f t="shared" si="639"/>
        <v>CPP_7_3</v>
      </c>
    </row>
    <row r="5065" spans="1:22">
      <c r="A5065" t="str">
        <f t="shared" si="632"/>
        <v>NDI-4502-A</v>
      </c>
      <c r="B5065" s="403" t="s">
        <v>1422</v>
      </c>
      <c r="C5065" s="403" t="s">
        <v>582</v>
      </c>
      <c r="D5065" s="403" t="s">
        <v>1423</v>
      </c>
      <c r="E5065" s="403" t="s">
        <v>778</v>
      </c>
      <c r="F5065" s="403" t="s">
        <v>1287</v>
      </c>
      <c r="G5065" s="403" t="s">
        <v>1467</v>
      </c>
      <c r="H5065" s="403" t="s">
        <v>1282</v>
      </c>
      <c r="I5065" s="403">
        <v>1</v>
      </c>
      <c r="J5065" s="403" t="s">
        <v>110</v>
      </c>
      <c r="K5065" s="403">
        <v>1080</v>
      </c>
      <c r="L5065" s="403">
        <v>1920</v>
      </c>
      <c r="M5065" s="403" t="s">
        <v>1283</v>
      </c>
      <c r="N5065" s="403">
        <v>576</v>
      </c>
      <c r="O5065" s="403">
        <v>720</v>
      </c>
      <c r="P5065" t="str">
        <f t="shared" si="633"/>
        <v>25fps 1080p - SD 4CIF resolution 4:3 format (cropped)</v>
      </c>
      <c r="Q5065">
        <f t="shared" si="634"/>
        <v>22</v>
      </c>
      <c r="R5065" t="str">
        <f t="shared" si="635"/>
        <v/>
      </c>
      <c r="S5065" t="str">
        <f t="shared" si="636"/>
        <v/>
      </c>
      <c r="T5065" s="403" t="str">
        <f t="shared" si="637"/>
        <v>NDI-4502-A</v>
      </c>
      <c r="U5065" s="403">
        <f t="shared" si="638"/>
        <v>1</v>
      </c>
      <c r="V5065" s="403" t="str">
        <f t="shared" si="639"/>
        <v>CPP_7_3</v>
      </c>
    </row>
    <row r="5066" spans="1:22">
      <c r="A5066" t="str">
        <f t="shared" si="632"/>
        <v>NDI-4502-A</v>
      </c>
      <c r="B5066" s="403" t="s">
        <v>1422</v>
      </c>
      <c r="C5066" s="403" t="s">
        <v>582</v>
      </c>
      <c r="D5066" s="403" t="s">
        <v>1423</v>
      </c>
      <c r="E5066" s="403" t="s">
        <v>778</v>
      </c>
      <c r="F5066" s="403" t="s">
        <v>1287</v>
      </c>
      <c r="G5066" s="403" t="s">
        <v>1467</v>
      </c>
      <c r="H5066" s="403" t="s">
        <v>1282</v>
      </c>
      <c r="I5066" s="403">
        <v>1</v>
      </c>
      <c r="J5066" s="403" t="s">
        <v>110</v>
      </c>
      <c r="K5066" s="403">
        <v>1080</v>
      </c>
      <c r="L5066" s="403">
        <v>1920</v>
      </c>
      <c r="M5066" s="403" t="s">
        <v>1284</v>
      </c>
      <c r="N5066" s="403">
        <v>480</v>
      </c>
      <c r="O5066" s="403">
        <v>640</v>
      </c>
      <c r="P5066" t="str">
        <f t="shared" si="633"/>
        <v>25fps 1080p - SD VGA (cropped)</v>
      </c>
      <c r="Q5066">
        <f t="shared" si="634"/>
        <v>22</v>
      </c>
      <c r="R5066" t="str">
        <f t="shared" si="635"/>
        <v/>
      </c>
      <c r="S5066" t="str">
        <f t="shared" si="636"/>
        <v/>
      </c>
      <c r="T5066" s="403" t="str">
        <f t="shared" si="637"/>
        <v>NDI-4502-A</v>
      </c>
      <c r="U5066" s="403">
        <f t="shared" si="638"/>
        <v>1</v>
      </c>
      <c r="V5066" s="403" t="str">
        <f t="shared" si="639"/>
        <v>CPP_7_3</v>
      </c>
    </row>
    <row r="5067" spans="1:22">
      <c r="A5067" t="str">
        <f t="shared" si="632"/>
        <v>NDI-4502-A</v>
      </c>
      <c r="B5067" s="403" t="s">
        <v>1422</v>
      </c>
      <c r="C5067" s="403" t="s">
        <v>582</v>
      </c>
      <c r="D5067" s="403" t="s">
        <v>1423</v>
      </c>
      <c r="E5067" s="403" t="s">
        <v>778</v>
      </c>
      <c r="F5067" s="403" t="s">
        <v>1287</v>
      </c>
      <c r="G5067" s="403" t="s">
        <v>1467</v>
      </c>
      <c r="H5067" s="403" t="s">
        <v>1282</v>
      </c>
      <c r="I5067" s="403">
        <v>1</v>
      </c>
      <c r="J5067" s="403" t="s">
        <v>109</v>
      </c>
      <c r="K5067" s="403">
        <v>720</v>
      </c>
      <c r="L5067" s="403">
        <v>1280</v>
      </c>
      <c r="M5067" s="403" t="s">
        <v>109</v>
      </c>
      <c r="N5067" s="403">
        <v>720</v>
      </c>
      <c r="O5067" s="403">
        <v>1280</v>
      </c>
      <c r="P5067" t="str">
        <f t="shared" si="633"/>
        <v>25fps 720p - 720p</v>
      </c>
      <c r="Q5067">
        <f t="shared" si="634"/>
        <v>22</v>
      </c>
      <c r="R5067" t="str">
        <f t="shared" si="635"/>
        <v/>
      </c>
      <c r="S5067" t="str">
        <f t="shared" si="636"/>
        <v/>
      </c>
      <c r="T5067" s="403" t="str">
        <f t="shared" si="637"/>
        <v>NDI-4502-A</v>
      </c>
      <c r="U5067" s="403">
        <f t="shared" si="638"/>
        <v>1</v>
      </c>
      <c r="V5067" s="403" t="str">
        <f t="shared" si="639"/>
        <v>CPP_7_3</v>
      </c>
    </row>
    <row r="5068" spans="1:22">
      <c r="A5068" t="str">
        <f t="shared" si="632"/>
        <v>NDI-4502-A</v>
      </c>
      <c r="B5068" s="403" t="s">
        <v>1422</v>
      </c>
      <c r="C5068" s="403" t="s">
        <v>582</v>
      </c>
      <c r="D5068" s="403" t="s">
        <v>1423</v>
      </c>
      <c r="E5068" s="403" t="s">
        <v>778</v>
      </c>
      <c r="F5068" s="403" t="s">
        <v>1287</v>
      </c>
      <c r="G5068" s="403" t="s">
        <v>1467</v>
      </c>
      <c r="H5068" s="403" t="s">
        <v>1282</v>
      </c>
      <c r="I5068" s="403">
        <v>1</v>
      </c>
      <c r="J5068" s="403" t="s">
        <v>109</v>
      </c>
      <c r="K5068" s="403">
        <v>720</v>
      </c>
      <c r="L5068" s="403">
        <v>1280</v>
      </c>
      <c r="M5068" s="403" t="s">
        <v>111</v>
      </c>
      <c r="N5068" s="403">
        <v>432</v>
      </c>
      <c r="O5068" s="403">
        <v>768</v>
      </c>
      <c r="P5068" t="str">
        <f t="shared" si="633"/>
        <v>25fps 720p - SD</v>
      </c>
      <c r="Q5068">
        <f t="shared" si="634"/>
        <v>22</v>
      </c>
      <c r="R5068" t="str">
        <f t="shared" si="635"/>
        <v/>
      </c>
      <c r="S5068" t="str">
        <f t="shared" si="636"/>
        <v/>
      </c>
      <c r="T5068" s="403" t="str">
        <f t="shared" si="637"/>
        <v>NDI-4502-A</v>
      </c>
      <c r="U5068" s="403">
        <f t="shared" si="638"/>
        <v>1</v>
      </c>
      <c r="V5068" s="403" t="str">
        <f t="shared" si="639"/>
        <v>CPP_7_3</v>
      </c>
    </row>
    <row r="5069" spans="1:22">
      <c r="A5069" t="str">
        <f t="shared" si="632"/>
        <v>NDI-4502-A</v>
      </c>
      <c r="B5069" s="403" t="s">
        <v>1422</v>
      </c>
      <c r="C5069" s="403" t="s">
        <v>582</v>
      </c>
      <c r="D5069" s="403" t="s">
        <v>1423</v>
      </c>
      <c r="E5069" s="403" t="s">
        <v>778</v>
      </c>
      <c r="F5069" s="403" t="s">
        <v>1287</v>
      </c>
      <c r="G5069" s="403" t="s">
        <v>1467</v>
      </c>
      <c r="H5069" s="403" t="s">
        <v>1282</v>
      </c>
      <c r="I5069" s="403">
        <v>1</v>
      </c>
      <c r="J5069" s="403" t="s">
        <v>109</v>
      </c>
      <c r="K5069" s="403">
        <v>720</v>
      </c>
      <c r="L5069" s="403">
        <v>1280</v>
      </c>
      <c r="M5069" s="403" t="s">
        <v>1279</v>
      </c>
      <c r="N5069" s="403">
        <v>432</v>
      </c>
      <c r="O5069" s="403">
        <v>768</v>
      </c>
      <c r="P5069" t="str">
        <f t="shared" si="633"/>
        <v>25fps 720p - SD ROI PTZ</v>
      </c>
      <c r="Q5069">
        <f t="shared" si="634"/>
        <v>22</v>
      </c>
      <c r="R5069" t="str">
        <f t="shared" si="635"/>
        <v/>
      </c>
      <c r="S5069" t="str">
        <f t="shared" si="636"/>
        <v/>
      </c>
      <c r="T5069" s="403" t="str">
        <f t="shared" si="637"/>
        <v>NDI-4502-A</v>
      </c>
      <c r="U5069" s="403">
        <f t="shared" si="638"/>
        <v>1</v>
      </c>
      <c r="V5069" s="403" t="str">
        <f t="shared" si="639"/>
        <v>CPP_7_3</v>
      </c>
    </row>
    <row r="5070" spans="1:22">
      <c r="A5070" t="str">
        <f t="shared" si="632"/>
        <v>NDI-4502-A</v>
      </c>
      <c r="B5070" s="403" t="s">
        <v>1422</v>
      </c>
      <c r="C5070" s="403" t="s">
        <v>582</v>
      </c>
      <c r="D5070" s="403" t="s">
        <v>1423</v>
      </c>
      <c r="E5070" s="403" t="s">
        <v>778</v>
      </c>
      <c r="F5070" s="403" t="s">
        <v>1287</v>
      </c>
      <c r="G5070" s="403" t="s">
        <v>1467</v>
      </c>
      <c r="H5070" s="403" t="s">
        <v>1282</v>
      </c>
      <c r="I5070" s="403">
        <v>1</v>
      </c>
      <c r="J5070" s="403" t="s">
        <v>109</v>
      </c>
      <c r="K5070" s="403">
        <v>720</v>
      </c>
      <c r="L5070" s="403">
        <v>1280</v>
      </c>
      <c r="M5070" s="403" t="s">
        <v>1283</v>
      </c>
      <c r="N5070" s="403">
        <v>576</v>
      </c>
      <c r="O5070" s="403">
        <v>720</v>
      </c>
      <c r="P5070" t="str">
        <f t="shared" si="633"/>
        <v>25fps 720p - SD 4CIF resolution 4:3 format (cropped)</v>
      </c>
      <c r="Q5070">
        <f t="shared" si="634"/>
        <v>22</v>
      </c>
      <c r="R5070" t="str">
        <f t="shared" si="635"/>
        <v/>
      </c>
      <c r="S5070" t="str">
        <f t="shared" si="636"/>
        <v/>
      </c>
      <c r="T5070" s="403" t="str">
        <f t="shared" si="637"/>
        <v>NDI-4502-A</v>
      </c>
      <c r="U5070" s="403">
        <f t="shared" si="638"/>
        <v>1</v>
      </c>
      <c r="V5070" s="403" t="str">
        <f t="shared" si="639"/>
        <v>CPP_7_3</v>
      </c>
    </row>
    <row r="5071" spans="1:22">
      <c r="A5071" t="str">
        <f t="shared" si="632"/>
        <v>NDI-4502-A</v>
      </c>
      <c r="B5071" s="403" t="s">
        <v>1422</v>
      </c>
      <c r="C5071" s="403" t="s">
        <v>582</v>
      </c>
      <c r="D5071" s="403" t="s">
        <v>1423</v>
      </c>
      <c r="E5071" s="403" t="s">
        <v>778</v>
      </c>
      <c r="F5071" s="403" t="s">
        <v>1287</v>
      </c>
      <c r="G5071" s="403" t="s">
        <v>1467</v>
      </c>
      <c r="H5071" s="403" t="s">
        <v>1282</v>
      </c>
      <c r="I5071" s="403">
        <v>1</v>
      </c>
      <c r="J5071" s="403" t="s">
        <v>109</v>
      </c>
      <c r="K5071" s="403">
        <v>720</v>
      </c>
      <c r="L5071" s="403">
        <v>1280</v>
      </c>
      <c r="M5071" s="403" t="s">
        <v>1284</v>
      </c>
      <c r="N5071" s="403">
        <v>480</v>
      </c>
      <c r="O5071" s="403">
        <v>640</v>
      </c>
      <c r="P5071" t="str">
        <f t="shared" si="633"/>
        <v>25fps 720p - SD VGA (cropped)</v>
      </c>
      <c r="Q5071">
        <f t="shared" si="634"/>
        <v>22</v>
      </c>
      <c r="R5071" t="str">
        <f t="shared" si="635"/>
        <v/>
      </c>
      <c r="S5071" t="str">
        <f t="shared" si="636"/>
        <v/>
      </c>
      <c r="T5071" s="403" t="str">
        <f t="shared" si="637"/>
        <v>NDI-4502-A</v>
      </c>
      <c r="U5071" s="403">
        <f t="shared" si="638"/>
        <v>1</v>
      </c>
      <c r="V5071" s="403" t="str">
        <f t="shared" si="639"/>
        <v>CPP_7_3</v>
      </c>
    </row>
    <row r="5072" spans="1:22">
      <c r="A5072" t="str">
        <f t="shared" si="632"/>
        <v>NDI-5503-AL</v>
      </c>
      <c r="B5072" s="403" t="s">
        <v>1424</v>
      </c>
      <c r="C5072" s="403" t="s">
        <v>582</v>
      </c>
      <c r="D5072" s="403" t="s">
        <v>1425</v>
      </c>
      <c r="E5072" s="403" t="s">
        <v>778</v>
      </c>
      <c r="F5072" s="403" t="s">
        <v>1382</v>
      </c>
      <c r="G5072" s="403" t="s">
        <v>1466</v>
      </c>
      <c r="H5072" s="403" t="s">
        <v>1276</v>
      </c>
      <c r="I5072" s="403">
        <v>1</v>
      </c>
      <c r="J5072" s="403" t="s">
        <v>1376</v>
      </c>
      <c r="K5072" s="403">
        <v>3072</v>
      </c>
      <c r="L5072" s="403">
        <v>1728</v>
      </c>
      <c r="M5072" s="403" t="s">
        <v>111</v>
      </c>
      <c r="N5072" s="403">
        <v>640</v>
      </c>
      <c r="O5072" s="403">
        <v>480</v>
      </c>
      <c r="P5072" t="str">
        <f t="shared" si="633"/>
        <v>30fps 3072x1728 - SD</v>
      </c>
      <c r="Q5072">
        <f t="shared" si="634"/>
        <v>23</v>
      </c>
      <c r="R5072">
        <f t="shared" si="635"/>
        <v>23</v>
      </c>
      <c r="S5072" t="str">
        <f t="shared" si="636"/>
        <v>FLEXIDOME IP 5000i IR (NDI-5503-AL)</v>
      </c>
      <c r="T5072" s="403" t="str">
        <f t="shared" si="637"/>
        <v>NDI-5503-AL</v>
      </c>
      <c r="U5072" s="403">
        <f t="shared" si="638"/>
        <v>1</v>
      </c>
      <c r="V5072" s="403" t="str">
        <f t="shared" si="639"/>
        <v>CPP_7_3</v>
      </c>
    </row>
    <row r="5073" spans="1:22">
      <c r="A5073" t="str">
        <f t="shared" si="632"/>
        <v>NDI-5503-AL</v>
      </c>
      <c r="B5073" s="403" t="s">
        <v>1424</v>
      </c>
      <c r="C5073" s="403" t="s">
        <v>582</v>
      </c>
      <c r="D5073" s="403" t="s">
        <v>1425</v>
      </c>
      <c r="E5073" s="403" t="s">
        <v>778</v>
      </c>
      <c r="F5073" s="403" t="s">
        <v>1382</v>
      </c>
      <c r="G5073" s="403" t="s">
        <v>1466</v>
      </c>
      <c r="H5073" s="403" t="s">
        <v>1276</v>
      </c>
      <c r="I5073" s="403">
        <v>1</v>
      </c>
      <c r="J5073" s="403" t="s">
        <v>1376</v>
      </c>
      <c r="K5073" s="403">
        <v>3072</v>
      </c>
      <c r="L5073" s="403">
        <v>1728</v>
      </c>
      <c r="M5073" s="403" t="s">
        <v>1600</v>
      </c>
      <c r="N5073" s="403">
        <v>3072</v>
      </c>
      <c r="O5073" s="403">
        <v>1728</v>
      </c>
      <c r="P5073" t="str">
        <f t="shared" si="633"/>
        <v>30fps 3072x1728 - 3072x1728 @ SKIP2</v>
      </c>
      <c r="Q5073">
        <f t="shared" si="634"/>
        <v>23</v>
      </c>
      <c r="R5073" t="str">
        <f t="shared" si="635"/>
        <v/>
      </c>
      <c r="S5073" t="str">
        <f t="shared" si="636"/>
        <v/>
      </c>
      <c r="T5073" s="403" t="str">
        <f t="shared" si="637"/>
        <v>NDI-5503-AL</v>
      </c>
      <c r="U5073" s="403">
        <f t="shared" si="638"/>
        <v>1</v>
      </c>
      <c r="V5073" s="403" t="str">
        <f t="shared" si="639"/>
        <v>CPP_7_3</v>
      </c>
    </row>
    <row r="5074" spans="1:22">
      <c r="A5074" t="str">
        <f t="shared" si="632"/>
        <v>NDI-5503-AL</v>
      </c>
      <c r="B5074" s="403" t="s">
        <v>1424</v>
      </c>
      <c r="C5074" s="403" t="s">
        <v>582</v>
      </c>
      <c r="D5074" s="403" t="s">
        <v>1425</v>
      </c>
      <c r="E5074" s="403" t="s">
        <v>778</v>
      </c>
      <c r="F5074" s="403" t="s">
        <v>1382</v>
      </c>
      <c r="G5074" s="403" t="s">
        <v>1466</v>
      </c>
      <c r="H5074" s="403" t="s">
        <v>1276</v>
      </c>
      <c r="I5074" s="403">
        <v>1</v>
      </c>
      <c r="J5074" s="403" t="s">
        <v>1376</v>
      </c>
      <c r="K5074" s="403">
        <v>3072</v>
      </c>
      <c r="L5074" s="403">
        <v>1728</v>
      </c>
      <c r="M5074" s="403" t="s">
        <v>1280</v>
      </c>
      <c r="N5074" s="403">
        <v>3072</v>
      </c>
      <c r="O5074" s="403">
        <v>1728</v>
      </c>
      <c r="P5074" t="str">
        <f t="shared" si="633"/>
        <v>30fps 3072x1728 - copy other stream</v>
      </c>
      <c r="Q5074">
        <f t="shared" si="634"/>
        <v>23</v>
      </c>
      <c r="R5074" t="str">
        <f t="shared" si="635"/>
        <v/>
      </c>
      <c r="S5074" t="str">
        <f t="shared" si="636"/>
        <v/>
      </c>
      <c r="T5074" s="403" t="str">
        <f t="shared" si="637"/>
        <v>NDI-5503-AL</v>
      </c>
      <c r="U5074" s="403">
        <f t="shared" si="638"/>
        <v>1</v>
      </c>
      <c r="V5074" s="403" t="str">
        <f t="shared" si="639"/>
        <v>CPP_7_3</v>
      </c>
    </row>
    <row r="5075" spans="1:22">
      <c r="A5075" t="str">
        <f t="shared" si="632"/>
        <v>NDI-5503-AL</v>
      </c>
      <c r="B5075" s="403" t="s">
        <v>1424</v>
      </c>
      <c r="C5075" s="403" t="s">
        <v>582</v>
      </c>
      <c r="D5075" s="403" t="s">
        <v>1425</v>
      </c>
      <c r="E5075" s="403" t="s">
        <v>778</v>
      </c>
      <c r="F5075" s="403" t="s">
        <v>1382</v>
      </c>
      <c r="G5075" s="403" t="s">
        <v>1466</v>
      </c>
      <c r="H5075" s="403" t="s">
        <v>1276</v>
      </c>
      <c r="I5075" s="403">
        <v>1</v>
      </c>
      <c r="J5075" s="403" t="s">
        <v>1376</v>
      </c>
      <c r="K5075" s="403">
        <v>3072</v>
      </c>
      <c r="L5075" s="403">
        <v>1728</v>
      </c>
      <c r="M5075" s="403" t="s">
        <v>110</v>
      </c>
      <c r="N5075" s="403">
        <v>1920</v>
      </c>
      <c r="O5075" s="403">
        <v>1080</v>
      </c>
      <c r="P5075" t="str">
        <f t="shared" si="633"/>
        <v>30fps 3072x1728 - 1080p</v>
      </c>
      <c r="Q5075">
        <f t="shared" si="634"/>
        <v>23</v>
      </c>
      <c r="R5075" t="str">
        <f t="shared" si="635"/>
        <v/>
      </c>
      <c r="S5075" t="str">
        <f t="shared" si="636"/>
        <v/>
      </c>
      <c r="T5075" s="403" t="str">
        <f t="shared" si="637"/>
        <v>NDI-5503-AL</v>
      </c>
      <c r="U5075" s="403">
        <f t="shared" si="638"/>
        <v>1</v>
      </c>
      <c r="V5075" s="403" t="str">
        <f t="shared" si="639"/>
        <v>CPP_7_3</v>
      </c>
    </row>
    <row r="5076" spans="1:22">
      <c r="A5076" t="str">
        <f t="shared" si="632"/>
        <v>NDI-5503-AL</v>
      </c>
      <c r="B5076" s="403" t="s">
        <v>1424</v>
      </c>
      <c r="C5076" s="403" t="s">
        <v>582</v>
      </c>
      <c r="D5076" s="403" t="s">
        <v>1425</v>
      </c>
      <c r="E5076" s="403" t="s">
        <v>778</v>
      </c>
      <c r="F5076" s="403" t="s">
        <v>1382</v>
      </c>
      <c r="G5076" s="403" t="s">
        <v>1466</v>
      </c>
      <c r="H5076" s="403" t="s">
        <v>1276</v>
      </c>
      <c r="I5076" s="403">
        <v>1</v>
      </c>
      <c r="J5076" s="403" t="s">
        <v>1376</v>
      </c>
      <c r="K5076" s="403">
        <v>3072</v>
      </c>
      <c r="L5076" s="403">
        <v>1728</v>
      </c>
      <c r="M5076" s="403" t="s">
        <v>109</v>
      </c>
      <c r="N5076" s="403">
        <v>1280</v>
      </c>
      <c r="O5076" s="403">
        <v>720</v>
      </c>
      <c r="P5076" t="str">
        <f t="shared" si="633"/>
        <v>30fps 3072x1728 - 720p</v>
      </c>
      <c r="Q5076">
        <f t="shared" si="634"/>
        <v>23</v>
      </c>
      <c r="R5076" t="str">
        <f t="shared" si="635"/>
        <v/>
      </c>
      <c r="S5076" t="str">
        <f t="shared" si="636"/>
        <v/>
      </c>
      <c r="T5076" s="403" t="str">
        <f t="shared" si="637"/>
        <v>NDI-5503-AL</v>
      </c>
      <c r="U5076" s="403">
        <f t="shared" si="638"/>
        <v>1</v>
      </c>
      <c r="V5076" s="403" t="str">
        <f t="shared" si="639"/>
        <v>CPP_7_3</v>
      </c>
    </row>
    <row r="5077" spans="1:22">
      <c r="A5077" t="str">
        <f t="shared" si="632"/>
        <v>NDI-5503-AL</v>
      </c>
      <c r="B5077" s="403" t="s">
        <v>1424</v>
      </c>
      <c r="C5077" s="403" t="s">
        <v>582</v>
      </c>
      <c r="D5077" s="403" t="s">
        <v>1425</v>
      </c>
      <c r="E5077" s="403" t="s">
        <v>778</v>
      </c>
      <c r="F5077" s="403" t="s">
        <v>1382</v>
      </c>
      <c r="G5077" s="403" t="s">
        <v>1466</v>
      </c>
      <c r="H5077" s="403" t="s">
        <v>1276</v>
      </c>
      <c r="I5077" s="403">
        <v>1</v>
      </c>
      <c r="J5077" s="403" t="s">
        <v>1376</v>
      </c>
      <c r="K5077" s="403">
        <v>3072</v>
      </c>
      <c r="L5077" s="403">
        <v>1728</v>
      </c>
      <c r="M5077" s="403" t="s">
        <v>1283</v>
      </c>
      <c r="N5077" s="403">
        <v>720</v>
      </c>
      <c r="O5077" s="403">
        <v>480</v>
      </c>
      <c r="P5077" t="str">
        <f t="shared" si="633"/>
        <v>30fps 3072x1728 - SD 4CIF resolution 4:3 format (cropped)</v>
      </c>
      <c r="Q5077">
        <f t="shared" si="634"/>
        <v>23</v>
      </c>
      <c r="R5077" t="str">
        <f t="shared" si="635"/>
        <v/>
      </c>
      <c r="S5077" t="str">
        <f t="shared" si="636"/>
        <v/>
      </c>
      <c r="T5077" s="403" t="str">
        <f t="shared" si="637"/>
        <v>NDI-5503-AL</v>
      </c>
      <c r="U5077" s="403">
        <f t="shared" si="638"/>
        <v>1</v>
      </c>
      <c r="V5077" s="403" t="str">
        <f t="shared" si="639"/>
        <v>CPP_7_3</v>
      </c>
    </row>
    <row r="5078" spans="1:22">
      <c r="A5078" t="str">
        <f t="shared" si="632"/>
        <v>NDI-5503-AL</v>
      </c>
      <c r="B5078" s="403" t="s">
        <v>1424</v>
      </c>
      <c r="C5078" s="403" t="s">
        <v>582</v>
      </c>
      <c r="D5078" s="403" t="s">
        <v>1425</v>
      </c>
      <c r="E5078" s="403" t="s">
        <v>778</v>
      </c>
      <c r="F5078" s="403" t="s">
        <v>1382</v>
      </c>
      <c r="G5078" s="403" t="s">
        <v>1466</v>
      </c>
      <c r="H5078" s="403" t="s">
        <v>1276</v>
      </c>
      <c r="I5078" s="403">
        <v>1</v>
      </c>
      <c r="J5078" s="403" t="s">
        <v>1376</v>
      </c>
      <c r="K5078" s="403">
        <v>3072</v>
      </c>
      <c r="L5078" s="403">
        <v>1728</v>
      </c>
      <c r="M5078" s="403" t="s">
        <v>1279</v>
      </c>
      <c r="N5078" s="403">
        <v>640</v>
      </c>
      <c r="O5078" s="403">
        <v>480</v>
      </c>
      <c r="P5078" t="str">
        <f t="shared" si="633"/>
        <v>30fps 3072x1728 - SD ROI PTZ</v>
      </c>
      <c r="Q5078">
        <f t="shared" si="634"/>
        <v>23</v>
      </c>
      <c r="R5078" t="str">
        <f t="shared" si="635"/>
        <v/>
      </c>
      <c r="S5078" t="str">
        <f t="shared" si="636"/>
        <v/>
      </c>
      <c r="T5078" s="403" t="str">
        <f t="shared" si="637"/>
        <v>NDI-5503-AL</v>
      </c>
      <c r="U5078" s="403">
        <f t="shared" si="638"/>
        <v>1</v>
      </c>
      <c r="V5078" s="403" t="str">
        <f t="shared" si="639"/>
        <v>CPP_7_3</v>
      </c>
    </row>
    <row r="5079" spans="1:22">
      <c r="A5079" t="str">
        <f t="shared" si="632"/>
        <v>NDI-5503-AL</v>
      </c>
      <c r="B5079" s="403" t="s">
        <v>1424</v>
      </c>
      <c r="C5079" s="403" t="s">
        <v>582</v>
      </c>
      <c r="D5079" s="403" t="s">
        <v>1425</v>
      </c>
      <c r="E5079" s="403" t="s">
        <v>778</v>
      </c>
      <c r="F5079" s="403" t="s">
        <v>1382</v>
      </c>
      <c r="G5079" s="403" t="s">
        <v>1466</v>
      </c>
      <c r="H5079" s="403" t="s">
        <v>1276</v>
      </c>
      <c r="I5079" s="403">
        <v>1</v>
      </c>
      <c r="J5079" s="403" t="s">
        <v>1376</v>
      </c>
      <c r="K5079" s="403">
        <v>3072</v>
      </c>
      <c r="L5079" s="403">
        <v>1728</v>
      </c>
      <c r="M5079" s="403" t="s">
        <v>1284</v>
      </c>
      <c r="N5079" s="403">
        <v>640</v>
      </c>
      <c r="O5079" s="403">
        <v>480</v>
      </c>
      <c r="P5079" t="str">
        <f t="shared" si="633"/>
        <v>30fps 3072x1728 - SD VGA (cropped)</v>
      </c>
      <c r="Q5079">
        <f t="shared" si="634"/>
        <v>23</v>
      </c>
      <c r="R5079" t="str">
        <f t="shared" si="635"/>
        <v/>
      </c>
      <c r="S5079" t="str">
        <f t="shared" si="636"/>
        <v/>
      </c>
      <c r="T5079" s="403" t="str">
        <f t="shared" si="637"/>
        <v>NDI-5503-AL</v>
      </c>
      <c r="U5079" s="403">
        <f t="shared" si="638"/>
        <v>1</v>
      </c>
      <c r="V5079" s="403" t="str">
        <f t="shared" si="639"/>
        <v>CPP_7_3</v>
      </c>
    </row>
    <row r="5080" spans="1:22">
      <c r="A5080" t="str">
        <f t="shared" si="632"/>
        <v>NDI-5503-AL</v>
      </c>
      <c r="B5080" s="403" t="s">
        <v>1424</v>
      </c>
      <c r="C5080" s="403" t="s">
        <v>582</v>
      </c>
      <c r="D5080" s="403" t="s">
        <v>1425</v>
      </c>
      <c r="E5080" s="403" t="s">
        <v>778</v>
      </c>
      <c r="F5080" s="403" t="s">
        <v>1382</v>
      </c>
      <c r="G5080" s="403" t="s">
        <v>1466</v>
      </c>
      <c r="H5080" s="403" t="s">
        <v>1276</v>
      </c>
      <c r="I5080" s="403">
        <v>1</v>
      </c>
      <c r="J5080" s="403" t="s">
        <v>1376</v>
      </c>
      <c r="K5080" s="403">
        <v>3072</v>
      </c>
      <c r="L5080" s="403">
        <v>1728</v>
      </c>
      <c r="M5080" s="403" t="s">
        <v>1285</v>
      </c>
      <c r="N5080" s="403">
        <v>1280</v>
      </c>
      <c r="O5080" s="403">
        <v>1024</v>
      </c>
      <c r="P5080" t="str">
        <f t="shared" si="633"/>
        <v>30fps 3072x1728 - 1280x1024 5:4 (cropped)</v>
      </c>
      <c r="Q5080">
        <f t="shared" si="634"/>
        <v>23</v>
      </c>
      <c r="R5080" t="str">
        <f t="shared" si="635"/>
        <v/>
      </c>
      <c r="S5080" t="str">
        <f t="shared" si="636"/>
        <v/>
      </c>
      <c r="T5080" s="403" t="str">
        <f t="shared" si="637"/>
        <v>NDI-5503-AL</v>
      </c>
      <c r="U5080" s="403">
        <f t="shared" si="638"/>
        <v>1</v>
      </c>
      <c r="V5080" s="403" t="str">
        <f t="shared" si="639"/>
        <v>CPP_7_3</v>
      </c>
    </row>
    <row r="5081" spans="1:22">
      <c r="A5081" t="str">
        <f t="shared" si="632"/>
        <v>NDI-5503-AL</v>
      </c>
      <c r="B5081" s="403" t="s">
        <v>1424</v>
      </c>
      <c r="C5081" s="403" t="s">
        <v>582</v>
      </c>
      <c r="D5081" s="403" t="s">
        <v>1425</v>
      </c>
      <c r="E5081" s="403" t="s">
        <v>778</v>
      </c>
      <c r="F5081" s="403" t="s">
        <v>1382</v>
      </c>
      <c r="G5081" s="403" t="s">
        <v>1466</v>
      </c>
      <c r="H5081" s="403" t="s">
        <v>1276</v>
      </c>
      <c r="I5081" s="403">
        <v>1</v>
      </c>
      <c r="J5081" s="403" t="s">
        <v>1376</v>
      </c>
      <c r="K5081" s="403">
        <v>3072</v>
      </c>
      <c r="L5081" s="403">
        <v>1728</v>
      </c>
      <c r="M5081" s="403" t="s">
        <v>1383</v>
      </c>
      <c r="N5081" s="403">
        <v>1920</v>
      </c>
      <c r="O5081" s="403">
        <v>1440</v>
      </c>
      <c r="P5081" t="str">
        <f t="shared" si="633"/>
        <v>30fps 3072x1728 - 1920x1440_CROP</v>
      </c>
      <c r="Q5081">
        <f t="shared" si="634"/>
        <v>23</v>
      </c>
      <c r="R5081" t="str">
        <f t="shared" si="635"/>
        <v/>
      </c>
      <c r="S5081" t="str">
        <f t="shared" si="636"/>
        <v/>
      </c>
      <c r="T5081" s="403" t="str">
        <f t="shared" si="637"/>
        <v>NDI-5503-AL</v>
      </c>
      <c r="U5081" s="403">
        <f t="shared" si="638"/>
        <v>1</v>
      </c>
      <c r="V5081" s="403" t="str">
        <f t="shared" si="639"/>
        <v>CPP_7_3</v>
      </c>
    </row>
    <row r="5082" spans="1:22">
      <c r="A5082" t="str">
        <f t="shared" si="632"/>
        <v>NDI-5503-AL</v>
      </c>
      <c r="B5082" s="403" t="s">
        <v>1424</v>
      </c>
      <c r="C5082" s="403" t="s">
        <v>582</v>
      </c>
      <c r="D5082" s="403" t="s">
        <v>1425</v>
      </c>
      <c r="E5082" s="403" t="s">
        <v>778</v>
      </c>
      <c r="F5082" s="403" t="s">
        <v>1382</v>
      </c>
      <c r="G5082" s="403" t="s">
        <v>1466</v>
      </c>
      <c r="H5082" s="403" t="s">
        <v>1276</v>
      </c>
      <c r="I5082" s="403">
        <v>1</v>
      </c>
      <c r="J5082" s="403" t="s">
        <v>1373</v>
      </c>
      <c r="K5082" s="403">
        <v>2688</v>
      </c>
      <c r="L5082" s="403">
        <v>1512</v>
      </c>
      <c r="M5082" s="403" t="s">
        <v>110</v>
      </c>
      <c r="N5082" s="403">
        <v>1920</v>
      </c>
      <c r="O5082" s="403">
        <v>1080</v>
      </c>
      <c r="P5082" t="str">
        <f t="shared" si="633"/>
        <v>30fps 2688x1512 - 1080p</v>
      </c>
      <c r="Q5082">
        <f t="shared" si="634"/>
        <v>23</v>
      </c>
      <c r="R5082" t="str">
        <f t="shared" si="635"/>
        <v/>
      </c>
      <c r="S5082" t="str">
        <f t="shared" si="636"/>
        <v/>
      </c>
      <c r="T5082" s="403" t="str">
        <f t="shared" si="637"/>
        <v>NDI-5503-AL</v>
      </c>
      <c r="U5082" s="403">
        <f t="shared" si="638"/>
        <v>1</v>
      </c>
      <c r="V5082" s="403" t="str">
        <f t="shared" si="639"/>
        <v>CPP_7_3</v>
      </c>
    </row>
    <row r="5083" spans="1:22">
      <c r="A5083" t="str">
        <f t="shared" si="632"/>
        <v>NDI-5503-AL</v>
      </c>
      <c r="B5083" s="403" t="s">
        <v>1424</v>
      </c>
      <c r="C5083" s="403" t="s">
        <v>582</v>
      </c>
      <c r="D5083" s="403" t="s">
        <v>1425</v>
      </c>
      <c r="E5083" s="403" t="s">
        <v>778</v>
      </c>
      <c r="F5083" s="403" t="s">
        <v>1382</v>
      </c>
      <c r="G5083" s="403" t="s">
        <v>1466</v>
      </c>
      <c r="H5083" s="403" t="s">
        <v>1276</v>
      </c>
      <c r="I5083" s="403">
        <v>1</v>
      </c>
      <c r="J5083" s="403" t="s">
        <v>1373</v>
      </c>
      <c r="K5083" s="403">
        <v>2688</v>
      </c>
      <c r="L5083" s="403">
        <v>1512</v>
      </c>
      <c r="M5083" s="403" t="s">
        <v>1384</v>
      </c>
      <c r="N5083" s="403">
        <v>2688</v>
      </c>
      <c r="O5083" s="403">
        <v>1512</v>
      </c>
      <c r="P5083" t="str">
        <f t="shared" si="633"/>
        <v>30fps 2688x1512 - 2688x1512 @ SKIP 2</v>
      </c>
      <c r="Q5083">
        <f t="shared" si="634"/>
        <v>23</v>
      </c>
      <c r="R5083" t="str">
        <f t="shared" si="635"/>
        <v/>
      </c>
      <c r="S5083" t="str">
        <f t="shared" si="636"/>
        <v/>
      </c>
      <c r="T5083" s="403" t="str">
        <f t="shared" si="637"/>
        <v>NDI-5503-AL</v>
      </c>
      <c r="U5083" s="403">
        <f t="shared" si="638"/>
        <v>1</v>
      </c>
      <c r="V5083" s="403" t="str">
        <f t="shared" si="639"/>
        <v>CPP_7_3</v>
      </c>
    </row>
    <row r="5084" spans="1:22">
      <c r="A5084" t="str">
        <f t="shared" si="632"/>
        <v>NDI-5503-AL</v>
      </c>
      <c r="B5084" s="403" t="s">
        <v>1424</v>
      </c>
      <c r="C5084" s="403" t="s">
        <v>582</v>
      </c>
      <c r="D5084" s="403" t="s">
        <v>1425</v>
      </c>
      <c r="E5084" s="403" t="s">
        <v>778</v>
      </c>
      <c r="F5084" s="403" t="s">
        <v>1382</v>
      </c>
      <c r="G5084" s="403" t="s">
        <v>1466</v>
      </c>
      <c r="H5084" s="403" t="s">
        <v>1276</v>
      </c>
      <c r="I5084" s="403">
        <v>1</v>
      </c>
      <c r="J5084" s="403" t="s">
        <v>1373</v>
      </c>
      <c r="K5084" s="403">
        <v>2688</v>
      </c>
      <c r="L5084" s="403">
        <v>1512</v>
      </c>
      <c r="M5084" s="403" t="s">
        <v>109</v>
      </c>
      <c r="N5084" s="403">
        <v>1280</v>
      </c>
      <c r="O5084" s="403">
        <v>720</v>
      </c>
      <c r="P5084" t="str">
        <f t="shared" si="633"/>
        <v>30fps 2688x1512 - 720p</v>
      </c>
      <c r="Q5084">
        <f t="shared" si="634"/>
        <v>23</v>
      </c>
      <c r="R5084" t="str">
        <f t="shared" si="635"/>
        <v/>
      </c>
      <c r="S5084" t="str">
        <f t="shared" si="636"/>
        <v/>
      </c>
      <c r="T5084" s="403" t="str">
        <f t="shared" si="637"/>
        <v>NDI-5503-AL</v>
      </c>
      <c r="U5084" s="403">
        <f t="shared" si="638"/>
        <v>1</v>
      </c>
      <c r="V5084" s="403" t="str">
        <f t="shared" si="639"/>
        <v>CPP_7_3</v>
      </c>
    </row>
    <row r="5085" spans="1:22">
      <c r="A5085" t="str">
        <f t="shared" si="632"/>
        <v>NDI-5503-AL</v>
      </c>
      <c r="B5085" s="403" t="s">
        <v>1424</v>
      </c>
      <c r="C5085" s="403" t="s">
        <v>582</v>
      </c>
      <c r="D5085" s="403" t="s">
        <v>1425</v>
      </c>
      <c r="E5085" s="403" t="s">
        <v>778</v>
      </c>
      <c r="F5085" s="403" t="s">
        <v>1382</v>
      </c>
      <c r="G5085" s="403" t="s">
        <v>1466</v>
      </c>
      <c r="H5085" s="403" t="s">
        <v>1276</v>
      </c>
      <c r="I5085" s="403">
        <v>1</v>
      </c>
      <c r="J5085" s="403" t="s">
        <v>1373</v>
      </c>
      <c r="K5085" s="403">
        <v>2688</v>
      </c>
      <c r="L5085" s="403">
        <v>1512</v>
      </c>
      <c r="M5085" s="403" t="s">
        <v>111</v>
      </c>
      <c r="N5085" s="403">
        <v>640</v>
      </c>
      <c r="O5085" s="403">
        <v>480</v>
      </c>
      <c r="P5085" t="str">
        <f t="shared" si="633"/>
        <v>30fps 2688x1512 - SD</v>
      </c>
      <c r="Q5085">
        <f t="shared" si="634"/>
        <v>23</v>
      </c>
      <c r="R5085" t="str">
        <f t="shared" si="635"/>
        <v/>
      </c>
      <c r="S5085" t="str">
        <f t="shared" si="636"/>
        <v/>
      </c>
      <c r="T5085" s="403" t="str">
        <f t="shared" si="637"/>
        <v>NDI-5503-AL</v>
      </c>
      <c r="U5085" s="403">
        <f t="shared" si="638"/>
        <v>1</v>
      </c>
      <c r="V5085" s="403" t="str">
        <f t="shared" si="639"/>
        <v>CPP_7_3</v>
      </c>
    </row>
    <row r="5086" spans="1:22">
      <c r="A5086" t="str">
        <f t="shared" si="632"/>
        <v>NDI-5503-AL</v>
      </c>
      <c r="B5086" s="403" t="s">
        <v>1424</v>
      </c>
      <c r="C5086" s="403" t="s">
        <v>582</v>
      </c>
      <c r="D5086" s="403" t="s">
        <v>1425</v>
      </c>
      <c r="E5086" s="403" t="s">
        <v>778</v>
      </c>
      <c r="F5086" s="403" t="s">
        <v>1382</v>
      </c>
      <c r="G5086" s="403" t="s">
        <v>1466</v>
      </c>
      <c r="H5086" s="403" t="s">
        <v>1276</v>
      </c>
      <c r="I5086" s="403">
        <v>1</v>
      </c>
      <c r="J5086" s="403" t="s">
        <v>1373</v>
      </c>
      <c r="K5086" s="403">
        <v>2688</v>
      </c>
      <c r="L5086" s="403">
        <v>1512</v>
      </c>
      <c r="M5086" s="403" t="s">
        <v>1279</v>
      </c>
      <c r="N5086" s="403">
        <v>640</v>
      </c>
      <c r="O5086" s="403">
        <v>480</v>
      </c>
      <c r="P5086" t="str">
        <f t="shared" si="633"/>
        <v>30fps 2688x1512 - SD ROI PTZ</v>
      </c>
      <c r="Q5086">
        <f t="shared" si="634"/>
        <v>23</v>
      </c>
      <c r="R5086" t="str">
        <f t="shared" si="635"/>
        <v/>
      </c>
      <c r="S5086" t="str">
        <f t="shared" si="636"/>
        <v/>
      </c>
      <c r="T5086" s="403" t="str">
        <f t="shared" si="637"/>
        <v>NDI-5503-AL</v>
      </c>
      <c r="U5086" s="403">
        <f t="shared" si="638"/>
        <v>1</v>
      </c>
      <c r="V5086" s="403" t="str">
        <f t="shared" si="639"/>
        <v>CPP_7_3</v>
      </c>
    </row>
    <row r="5087" spans="1:22">
      <c r="A5087" t="str">
        <f t="shared" si="632"/>
        <v>NDI-5503-AL</v>
      </c>
      <c r="B5087" s="403" t="s">
        <v>1424</v>
      </c>
      <c r="C5087" s="403" t="s">
        <v>582</v>
      </c>
      <c r="D5087" s="403" t="s">
        <v>1425</v>
      </c>
      <c r="E5087" s="403" t="s">
        <v>778</v>
      </c>
      <c r="F5087" s="403" t="s">
        <v>1382</v>
      </c>
      <c r="G5087" s="403" t="s">
        <v>1466</v>
      </c>
      <c r="H5087" s="403" t="s">
        <v>1276</v>
      </c>
      <c r="I5087" s="403">
        <v>1</v>
      </c>
      <c r="J5087" s="403" t="s">
        <v>1373</v>
      </c>
      <c r="K5087" s="403">
        <v>2688</v>
      </c>
      <c r="L5087" s="403">
        <v>1512</v>
      </c>
      <c r="M5087" s="403" t="s">
        <v>1285</v>
      </c>
      <c r="N5087" s="403">
        <v>1280</v>
      </c>
      <c r="O5087" s="403">
        <v>1024</v>
      </c>
      <c r="P5087" t="str">
        <f t="shared" si="633"/>
        <v>30fps 2688x1512 - 1280x1024 5:4 (cropped)</v>
      </c>
      <c r="Q5087">
        <f t="shared" si="634"/>
        <v>23</v>
      </c>
      <c r="R5087" t="str">
        <f t="shared" si="635"/>
        <v/>
      </c>
      <c r="S5087" t="str">
        <f t="shared" si="636"/>
        <v/>
      </c>
      <c r="T5087" s="403" t="str">
        <f t="shared" si="637"/>
        <v>NDI-5503-AL</v>
      </c>
      <c r="U5087" s="403">
        <f t="shared" si="638"/>
        <v>1</v>
      </c>
      <c r="V5087" s="403" t="str">
        <f t="shared" si="639"/>
        <v>CPP_7_3</v>
      </c>
    </row>
    <row r="5088" spans="1:22">
      <c r="A5088" t="str">
        <f t="shared" si="632"/>
        <v>NDI-5503-AL</v>
      </c>
      <c r="B5088" s="403" t="s">
        <v>1424</v>
      </c>
      <c r="C5088" s="403" t="s">
        <v>582</v>
      </c>
      <c r="D5088" s="403" t="s">
        <v>1425</v>
      </c>
      <c r="E5088" s="403" t="s">
        <v>778</v>
      </c>
      <c r="F5088" s="403" t="s">
        <v>1382</v>
      </c>
      <c r="G5088" s="403" t="s">
        <v>1466</v>
      </c>
      <c r="H5088" s="403" t="s">
        <v>1276</v>
      </c>
      <c r="I5088" s="403">
        <v>1</v>
      </c>
      <c r="J5088" s="403" t="s">
        <v>1373</v>
      </c>
      <c r="K5088" s="403">
        <v>2688</v>
      </c>
      <c r="L5088" s="403">
        <v>1512</v>
      </c>
      <c r="M5088" s="403" t="s">
        <v>1283</v>
      </c>
      <c r="N5088" s="403">
        <v>720</v>
      </c>
      <c r="O5088" s="403">
        <v>480</v>
      </c>
      <c r="P5088" t="str">
        <f t="shared" si="633"/>
        <v>30fps 2688x1512 - SD 4CIF resolution 4:3 format (cropped)</v>
      </c>
      <c r="Q5088">
        <f t="shared" si="634"/>
        <v>23</v>
      </c>
      <c r="R5088" t="str">
        <f t="shared" si="635"/>
        <v/>
      </c>
      <c r="S5088" t="str">
        <f t="shared" si="636"/>
        <v/>
      </c>
      <c r="T5088" s="403" t="str">
        <f t="shared" si="637"/>
        <v>NDI-5503-AL</v>
      </c>
      <c r="U5088" s="403">
        <f t="shared" si="638"/>
        <v>1</v>
      </c>
      <c r="V5088" s="403" t="str">
        <f t="shared" si="639"/>
        <v>CPP_7_3</v>
      </c>
    </row>
    <row r="5089" spans="1:22">
      <c r="A5089" t="str">
        <f t="shared" si="632"/>
        <v>NDI-5503-AL</v>
      </c>
      <c r="B5089" s="403" t="s">
        <v>1424</v>
      </c>
      <c r="C5089" s="403" t="s">
        <v>582</v>
      </c>
      <c r="D5089" s="403" t="s">
        <v>1425</v>
      </c>
      <c r="E5089" s="403" t="s">
        <v>778</v>
      </c>
      <c r="F5089" s="403" t="s">
        <v>1382</v>
      </c>
      <c r="G5089" s="403" t="s">
        <v>1466</v>
      </c>
      <c r="H5089" s="403" t="s">
        <v>1276</v>
      </c>
      <c r="I5089" s="403">
        <v>1</v>
      </c>
      <c r="J5089" s="403" t="s">
        <v>1373</v>
      </c>
      <c r="K5089" s="403">
        <v>2688</v>
      </c>
      <c r="L5089" s="403">
        <v>1512</v>
      </c>
      <c r="M5089" s="403" t="s">
        <v>1284</v>
      </c>
      <c r="N5089" s="403">
        <v>640</v>
      </c>
      <c r="O5089" s="403">
        <v>480</v>
      </c>
      <c r="P5089" t="str">
        <f t="shared" si="633"/>
        <v>30fps 2688x1512 - SD VGA (cropped)</v>
      </c>
      <c r="Q5089">
        <f t="shared" si="634"/>
        <v>23</v>
      </c>
      <c r="R5089" t="str">
        <f t="shared" si="635"/>
        <v/>
      </c>
      <c r="S5089" t="str">
        <f t="shared" si="636"/>
        <v/>
      </c>
      <c r="T5089" s="403" t="str">
        <f t="shared" si="637"/>
        <v>NDI-5503-AL</v>
      </c>
      <c r="U5089" s="403">
        <f t="shared" si="638"/>
        <v>1</v>
      </c>
      <c r="V5089" s="403" t="str">
        <f t="shared" si="639"/>
        <v>CPP_7_3</v>
      </c>
    </row>
    <row r="5090" spans="1:22">
      <c r="A5090" t="str">
        <f t="shared" si="632"/>
        <v>NDI-5503-AL</v>
      </c>
      <c r="B5090" s="403" t="s">
        <v>1424</v>
      </c>
      <c r="C5090" s="403" t="s">
        <v>582</v>
      </c>
      <c r="D5090" s="403" t="s">
        <v>1425</v>
      </c>
      <c r="E5090" s="403" t="s">
        <v>778</v>
      </c>
      <c r="F5090" s="403" t="s">
        <v>1382</v>
      </c>
      <c r="G5090" s="403" t="s">
        <v>1466</v>
      </c>
      <c r="H5090" s="403" t="s">
        <v>1276</v>
      </c>
      <c r="I5090" s="403">
        <v>1</v>
      </c>
      <c r="J5090" s="403" t="s">
        <v>1373</v>
      </c>
      <c r="K5090" s="403">
        <v>2688</v>
      </c>
      <c r="L5090" s="403">
        <v>1512</v>
      </c>
      <c r="M5090" s="403" t="s">
        <v>1280</v>
      </c>
      <c r="N5090" s="403">
        <v>2688</v>
      </c>
      <c r="O5090" s="403">
        <v>1512</v>
      </c>
      <c r="P5090" t="str">
        <f t="shared" si="633"/>
        <v>30fps 2688x1512 - copy other stream</v>
      </c>
      <c r="Q5090">
        <f t="shared" si="634"/>
        <v>23</v>
      </c>
      <c r="R5090" t="str">
        <f t="shared" si="635"/>
        <v/>
      </c>
      <c r="S5090" t="str">
        <f t="shared" si="636"/>
        <v/>
      </c>
      <c r="T5090" s="403" t="str">
        <f t="shared" si="637"/>
        <v>NDI-5503-AL</v>
      </c>
      <c r="U5090" s="403">
        <f t="shared" si="638"/>
        <v>1</v>
      </c>
      <c r="V5090" s="403" t="str">
        <f t="shared" si="639"/>
        <v>CPP_7_3</v>
      </c>
    </row>
    <row r="5091" spans="1:22">
      <c r="A5091" t="str">
        <f t="shared" si="632"/>
        <v>NDI-5503-AL</v>
      </c>
      <c r="B5091" s="403" t="s">
        <v>1424</v>
      </c>
      <c r="C5091" s="403" t="s">
        <v>582</v>
      </c>
      <c r="D5091" s="403" t="s">
        <v>1425</v>
      </c>
      <c r="E5091" s="403" t="s">
        <v>778</v>
      </c>
      <c r="F5091" s="403" t="s">
        <v>1382</v>
      </c>
      <c r="G5091" s="403" t="s">
        <v>1466</v>
      </c>
      <c r="H5091" s="403" t="s">
        <v>1276</v>
      </c>
      <c r="I5091" s="403">
        <v>1</v>
      </c>
      <c r="J5091" s="403" t="s">
        <v>1374</v>
      </c>
      <c r="K5091" s="403">
        <v>2304</v>
      </c>
      <c r="L5091" s="403">
        <v>1296</v>
      </c>
      <c r="M5091" s="403" t="s">
        <v>110</v>
      </c>
      <c r="N5091" s="403">
        <v>1920</v>
      </c>
      <c r="O5091" s="403">
        <v>1080</v>
      </c>
      <c r="P5091" t="str">
        <f t="shared" si="633"/>
        <v>30fps 2304x1296 - 1080p</v>
      </c>
      <c r="Q5091">
        <f t="shared" si="634"/>
        <v>23</v>
      </c>
      <c r="R5091" t="str">
        <f t="shared" si="635"/>
        <v/>
      </c>
      <c r="S5091" t="str">
        <f t="shared" si="636"/>
        <v/>
      </c>
      <c r="T5091" s="403" t="str">
        <f t="shared" si="637"/>
        <v>NDI-5503-AL</v>
      </c>
      <c r="U5091" s="403">
        <f t="shared" si="638"/>
        <v>1</v>
      </c>
      <c r="V5091" s="403" t="str">
        <f t="shared" si="639"/>
        <v>CPP_7_3</v>
      </c>
    </row>
    <row r="5092" spans="1:22">
      <c r="A5092" t="str">
        <f t="shared" si="632"/>
        <v>NDI-5503-AL</v>
      </c>
      <c r="B5092" s="403" t="s">
        <v>1424</v>
      </c>
      <c r="C5092" s="403" t="s">
        <v>582</v>
      </c>
      <c r="D5092" s="403" t="s">
        <v>1425</v>
      </c>
      <c r="E5092" s="403" t="s">
        <v>778</v>
      </c>
      <c r="F5092" s="403" t="s">
        <v>1382</v>
      </c>
      <c r="G5092" s="403" t="s">
        <v>1466</v>
      </c>
      <c r="H5092" s="403" t="s">
        <v>1276</v>
      </c>
      <c r="I5092" s="403">
        <v>1</v>
      </c>
      <c r="J5092" s="403" t="s">
        <v>1374</v>
      </c>
      <c r="K5092" s="403">
        <v>2304</v>
      </c>
      <c r="L5092" s="403">
        <v>1296</v>
      </c>
      <c r="M5092" s="403" t="s">
        <v>1374</v>
      </c>
      <c r="N5092" s="403">
        <v>2304</v>
      </c>
      <c r="O5092" s="403">
        <v>1296</v>
      </c>
      <c r="P5092" t="str">
        <f t="shared" si="633"/>
        <v>30fps 2304x1296 - 2304x1296</v>
      </c>
      <c r="Q5092">
        <f t="shared" si="634"/>
        <v>23</v>
      </c>
      <c r="R5092" t="str">
        <f t="shared" si="635"/>
        <v/>
      </c>
      <c r="S5092" t="str">
        <f t="shared" si="636"/>
        <v/>
      </c>
      <c r="T5092" s="403" t="str">
        <f t="shared" si="637"/>
        <v>NDI-5503-AL</v>
      </c>
      <c r="U5092" s="403">
        <f t="shared" si="638"/>
        <v>1</v>
      </c>
      <c r="V5092" s="403" t="str">
        <f t="shared" si="639"/>
        <v>CPP_7_3</v>
      </c>
    </row>
    <row r="5093" spans="1:22">
      <c r="A5093" t="str">
        <f t="shared" si="632"/>
        <v>NDI-5503-AL</v>
      </c>
      <c r="B5093" s="403" t="s">
        <v>1424</v>
      </c>
      <c r="C5093" s="403" t="s">
        <v>582</v>
      </c>
      <c r="D5093" s="403" t="s">
        <v>1425</v>
      </c>
      <c r="E5093" s="403" t="s">
        <v>778</v>
      </c>
      <c r="F5093" s="403" t="s">
        <v>1382</v>
      </c>
      <c r="G5093" s="403" t="s">
        <v>1466</v>
      </c>
      <c r="H5093" s="403" t="s">
        <v>1276</v>
      </c>
      <c r="I5093" s="403">
        <v>1</v>
      </c>
      <c r="J5093" s="403" t="s">
        <v>1374</v>
      </c>
      <c r="K5093" s="403">
        <v>2304</v>
      </c>
      <c r="L5093" s="403">
        <v>1296</v>
      </c>
      <c r="M5093" s="403" t="s">
        <v>109</v>
      </c>
      <c r="N5093" s="403">
        <v>1280</v>
      </c>
      <c r="O5093" s="403">
        <v>720</v>
      </c>
      <c r="P5093" t="str">
        <f t="shared" si="633"/>
        <v>30fps 2304x1296 - 720p</v>
      </c>
      <c r="Q5093">
        <f t="shared" si="634"/>
        <v>23</v>
      </c>
      <c r="R5093" t="str">
        <f t="shared" si="635"/>
        <v/>
      </c>
      <c r="S5093" t="str">
        <f t="shared" si="636"/>
        <v/>
      </c>
      <c r="T5093" s="403" t="str">
        <f t="shared" si="637"/>
        <v>NDI-5503-AL</v>
      </c>
      <c r="U5093" s="403">
        <f t="shared" si="638"/>
        <v>1</v>
      </c>
      <c r="V5093" s="403" t="str">
        <f t="shared" si="639"/>
        <v>CPP_7_3</v>
      </c>
    </row>
    <row r="5094" spans="1:22">
      <c r="A5094" t="str">
        <f t="shared" si="632"/>
        <v>NDI-5503-AL</v>
      </c>
      <c r="B5094" s="403" t="s">
        <v>1424</v>
      </c>
      <c r="C5094" s="403" t="s">
        <v>582</v>
      </c>
      <c r="D5094" s="403" t="s">
        <v>1425</v>
      </c>
      <c r="E5094" s="403" t="s">
        <v>778</v>
      </c>
      <c r="F5094" s="403" t="s">
        <v>1382</v>
      </c>
      <c r="G5094" s="403" t="s">
        <v>1466</v>
      </c>
      <c r="H5094" s="403" t="s">
        <v>1276</v>
      </c>
      <c r="I5094" s="403">
        <v>1</v>
      </c>
      <c r="J5094" s="403" t="s">
        <v>1374</v>
      </c>
      <c r="K5094" s="403">
        <v>2304</v>
      </c>
      <c r="L5094" s="403">
        <v>1296</v>
      </c>
      <c r="M5094" s="403" t="s">
        <v>111</v>
      </c>
      <c r="N5094" s="403">
        <v>640</v>
      </c>
      <c r="O5094" s="403">
        <v>480</v>
      </c>
      <c r="P5094" t="str">
        <f t="shared" si="633"/>
        <v>30fps 2304x1296 - SD</v>
      </c>
      <c r="Q5094">
        <f t="shared" si="634"/>
        <v>23</v>
      </c>
      <c r="R5094" t="str">
        <f t="shared" si="635"/>
        <v/>
      </c>
      <c r="S5094" t="str">
        <f t="shared" si="636"/>
        <v/>
      </c>
      <c r="T5094" s="403" t="str">
        <f t="shared" si="637"/>
        <v>NDI-5503-AL</v>
      </c>
      <c r="U5094" s="403">
        <f t="shared" si="638"/>
        <v>1</v>
      </c>
      <c r="V5094" s="403" t="str">
        <f t="shared" si="639"/>
        <v>CPP_7_3</v>
      </c>
    </row>
    <row r="5095" spans="1:22">
      <c r="A5095" t="str">
        <f t="shared" si="632"/>
        <v>NDI-5503-AL</v>
      </c>
      <c r="B5095" s="403" t="s">
        <v>1424</v>
      </c>
      <c r="C5095" s="403" t="s">
        <v>582</v>
      </c>
      <c r="D5095" s="403" t="s">
        <v>1425</v>
      </c>
      <c r="E5095" s="403" t="s">
        <v>778</v>
      </c>
      <c r="F5095" s="403" t="s">
        <v>1382</v>
      </c>
      <c r="G5095" s="403" t="s">
        <v>1466</v>
      </c>
      <c r="H5095" s="403" t="s">
        <v>1276</v>
      </c>
      <c r="I5095" s="403">
        <v>1</v>
      </c>
      <c r="J5095" s="403" t="s">
        <v>1374</v>
      </c>
      <c r="K5095" s="403">
        <v>2304</v>
      </c>
      <c r="L5095" s="403">
        <v>1296</v>
      </c>
      <c r="M5095" s="403" t="s">
        <v>1279</v>
      </c>
      <c r="N5095" s="403">
        <v>640</v>
      </c>
      <c r="O5095" s="403">
        <v>480</v>
      </c>
      <c r="P5095" t="str">
        <f t="shared" si="633"/>
        <v>30fps 2304x1296 - SD ROI PTZ</v>
      </c>
      <c r="Q5095">
        <f t="shared" si="634"/>
        <v>23</v>
      </c>
      <c r="R5095" t="str">
        <f t="shared" si="635"/>
        <v/>
      </c>
      <c r="S5095" t="str">
        <f t="shared" si="636"/>
        <v/>
      </c>
      <c r="T5095" s="403" t="str">
        <f t="shared" si="637"/>
        <v>NDI-5503-AL</v>
      </c>
      <c r="U5095" s="403">
        <f t="shared" si="638"/>
        <v>1</v>
      </c>
      <c r="V5095" s="403" t="str">
        <f t="shared" si="639"/>
        <v>CPP_7_3</v>
      </c>
    </row>
    <row r="5096" spans="1:22">
      <c r="A5096" t="str">
        <f t="shared" si="632"/>
        <v>NDI-5503-AL</v>
      </c>
      <c r="B5096" s="403" t="s">
        <v>1424</v>
      </c>
      <c r="C5096" s="403" t="s">
        <v>582</v>
      </c>
      <c r="D5096" s="403" t="s">
        <v>1425</v>
      </c>
      <c r="E5096" s="403" t="s">
        <v>778</v>
      </c>
      <c r="F5096" s="403" t="s">
        <v>1382</v>
      </c>
      <c r="G5096" s="403" t="s">
        <v>1466</v>
      </c>
      <c r="H5096" s="403" t="s">
        <v>1276</v>
      </c>
      <c r="I5096" s="403">
        <v>1</v>
      </c>
      <c r="J5096" s="403" t="s">
        <v>1374</v>
      </c>
      <c r="K5096" s="403">
        <v>2304</v>
      </c>
      <c r="L5096" s="403">
        <v>1296</v>
      </c>
      <c r="M5096" s="403" t="s">
        <v>1285</v>
      </c>
      <c r="N5096" s="403">
        <v>1280</v>
      </c>
      <c r="O5096" s="403">
        <v>1024</v>
      </c>
      <c r="P5096" t="str">
        <f t="shared" si="633"/>
        <v>30fps 2304x1296 - 1280x1024 5:4 (cropped)</v>
      </c>
      <c r="Q5096">
        <f t="shared" si="634"/>
        <v>23</v>
      </c>
      <c r="R5096" t="str">
        <f t="shared" si="635"/>
        <v/>
      </c>
      <c r="S5096" t="str">
        <f t="shared" si="636"/>
        <v/>
      </c>
      <c r="T5096" s="403" t="str">
        <f t="shared" si="637"/>
        <v>NDI-5503-AL</v>
      </c>
      <c r="U5096" s="403">
        <f t="shared" si="638"/>
        <v>1</v>
      </c>
      <c r="V5096" s="403" t="str">
        <f t="shared" si="639"/>
        <v>CPP_7_3</v>
      </c>
    </row>
    <row r="5097" spans="1:22">
      <c r="A5097" t="str">
        <f t="shared" si="632"/>
        <v>NDI-5503-AL</v>
      </c>
      <c r="B5097" s="403" t="s">
        <v>1424</v>
      </c>
      <c r="C5097" s="403" t="s">
        <v>582</v>
      </c>
      <c r="D5097" s="403" t="s">
        <v>1425</v>
      </c>
      <c r="E5097" s="403" t="s">
        <v>778</v>
      </c>
      <c r="F5097" s="403" t="s">
        <v>1382</v>
      </c>
      <c r="G5097" s="403" t="s">
        <v>1466</v>
      </c>
      <c r="H5097" s="403" t="s">
        <v>1276</v>
      </c>
      <c r="I5097" s="403">
        <v>1</v>
      </c>
      <c r="J5097" s="403" t="s">
        <v>1374</v>
      </c>
      <c r="K5097" s="403">
        <v>2304</v>
      </c>
      <c r="L5097" s="403">
        <v>1296</v>
      </c>
      <c r="M5097" s="403" t="s">
        <v>1283</v>
      </c>
      <c r="N5097" s="403">
        <v>720</v>
      </c>
      <c r="O5097" s="403">
        <v>480</v>
      </c>
      <c r="P5097" t="str">
        <f t="shared" si="633"/>
        <v>30fps 2304x1296 - SD 4CIF resolution 4:3 format (cropped)</v>
      </c>
      <c r="Q5097">
        <f t="shared" si="634"/>
        <v>23</v>
      </c>
      <c r="R5097" t="str">
        <f t="shared" si="635"/>
        <v/>
      </c>
      <c r="S5097" t="str">
        <f t="shared" si="636"/>
        <v/>
      </c>
      <c r="T5097" s="403" t="str">
        <f t="shared" si="637"/>
        <v>NDI-5503-AL</v>
      </c>
      <c r="U5097" s="403">
        <f t="shared" si="638"/>
        <v>1</v>
      </c>
      <c r="V5097" s="403" t="str">
        <f t="shared" si="639"/>
        <v>CPP_7_3</v>
      </c>
    </row>
    <row r="5098" spans="1:22">
      <c r="A5098" t="str">
        <f t="shared" si="632"/>
        <v>NDI-5503-AL</v>
      </c>
      <c r="B5098" s="403" t="s">
        <v>1424</v>
      </c>
      <c r="C5098" s="403" t="s">
        <v>582</v>
      </c>
      <c r="D5098" s="403" t="s">
        <v>1425</v>
      </c>
      <c r="E5098" s="403" t="s">
        <v>778</v>
      </c>
      <c r="F5098" s="403" t="s">
        <v>1382</v>
      </c>
      <c r="G5098" s="403" t="s">
        <v>1466</v>
      </c>
      <c r="H5098" s="403" t="s">
        <v>1276</v>
      </c>
      <c r="I5098" s="403">
        <v>1</v>
      </c>
      <c r="J5098" s="403" t="s">
        <v>1374</v>
      </c>
      <c r="K5098" s="403">
        <v>2304</v>
      </c>
      <c r="L5098" s="403">
        <v>1296</v>
      </c>
      <c r="M5098" s="403" t="s">
        <v>1284</v>
      </c>
      <c r="N5098" s="403">
        <v>640</v>
      </c>
      <c r="O5098" s="403">
        <v>480</v>
      </c>
      <c r="P5098" t="str">
        <f t="shared" si="633"/>
        <v>30fps 2304x1296 - SD VGA (cropped)</v>
      </c>
      <c r="Q5098">
        <f t="shared" si="634"/>
        <v>23</v>
      </c>
      <c r="R5098" t="str">
        <f t="shared" si="635"/>
        <v/>
      </c>
      <c r="S5098" t="str">
        <f t="shared" si="636"/>
        <v/>
      </c>
      <c r="T5098" s="403" t="str">
        <f t="shared" si="637"/>
        <v>NDI-5503-AL</v>
      </c>
      <c r="U5098" s="403">
        <f t="shared" si="638"/>
        <v>1</v>
      </c>
      <c r="V5098" s="403" t="str">
        <f t="shared" si="639"/>
        <v>CPP_7_3</v>
      </c>
    </row>
    <row r="5099" spans="1:22">
      <c r="A5099" t="str">
        <f t="shared" si="632"/>
        <v>NDI-5503-AL</v>
      </c>
      <c r="B5099" s="403" t="s">
        <v>1424</v>
      </c>
      <c r="C5099" s="403" t="s">
        <v>582</v>
      </c>
      <c r="D5099" s="403" t="s">
        <v>1425</v>
      </c>
      <c r="E5099" s="403" t="s">
        <v>778</v>
      </c>
      <c r="F5099" s="403" t="s">
        <v>1382</v>
      </c>
      <c r="G5099" s="403" t="s">
        <v>1466</v>
      </c>
      <c r="H5099" s="403" t="s">
        <v>1276</v>
      </c>
      <c r="I5099" s="403">
        <v>1</v>
      </c>
      <c r="J5099" s="403" t="s">
        <v>1374</v>
      </c>
      <c r="K5099" s="403">
        <v>2304</v>
      </c>
      <c r="L5099" s="403">
        <v>1296</v>
      </c>
      <c r="M5099" s="403" t="s">
        <v>1280</v>
      </c>
      <c r="N5099" s="403">
        <v>2304</v>
      </c>
      <c r="O5099" s="403">
        <v>1296</v>
      </c>
      <c r="P5099" t="str">
        <f t="shared" si="633"/>
        <v>30fps 2304x1296 - copy other stream</v>
      </c>
      <c r="Q5099">
        <f t="shared" si="634"/>
        <v>23</v>
      </c>
      <c r="R5099" t="str">
        <f t="shared" si="635"/>
        <v/>
      </c>
      <c r="S5099" t="str">
        <f t="shared" si="636"/>
        <v/>
      </c>
      <c r="T5099" s="403" t="str">
        <f t="shared" si="637"/>
        <v>NDI-5503-AL</v>
      </c>
      <c r="U5099" s="403">
        <f t="shared" si="638"/>
        <v>1</v>
      </c>
      <c r="V5099" s="403" t="str">
        <f t="shared" si="639"/>
        <v>CPP_7_3</v>
      </c>
    </row>
    <row r="5100" spans="1:22">
      <c r="A5100" t="str">
        <f t="shared" si="632"/>
        <v>NDI-5503-AL</v>
      </c>
      <c r="B5100" s="403" t="s">
        <v>1424</v>
      </c>
      <c r="C5100" s="403" t="s">
        <v>582</v>
      </c>
      <c r="D5100" s="403" t="s">
        <v>1425</v>
      </c>
      <c r="E5100" s="403" t="s">
        <v>778</v>
      </c>
      <c r="F5100" s="403" t="s">
        <v>1382</v>
      </c>
      <c r="G5100" s="403" t="s">
        <v>1466</v>
      </c>
      <c r="H5100" s="403" t="s">
        <v>1276</v>
      </c>
      <c r="I5100" s="403">
        <v>1</v>
      </c>
      <c r="J5100" s="403" t="s">
        <v>110</v>
      </c>
      <c r="K5100" s="403">
        <v>1920</v>
      </c>
      <c r="L5100" s="403">
        <v>1080</v>
      </c>
      <c r="M5100" s="403" t="s">
        <v>111</v>
      </c>
      <c r="N5100" s="403">
        <v>640</v>
      </c>
      <c r="O5100" s="403">
        <v>480</v>
      </c>
      <c r="P5100" t="str">
        <f t="shared" si="633"/>
        <v>30fps 1080p - SD</v>
      </c>
      <c r="Q5100">
        <f t="shared" si="634"/>
        <v>23</v>
      </c>
      <c r="R5100" t="str">
        <f t="shared" si="635"/>
        <v/>
      </c>
      <c r="S5100" t="str">
        <f t="shared" si="636"/>
        <v/>
      </c>
      <c r="T5100" s="403" t="str">
        <f t="shared" si="637"/>
        <v>NDI-5503-AL</v>
      </c>
      <c r="U5100" s="403">
        <f t="shared" si="638"/>
        <v>1</v>
      </c>
      <c r="V5100" s="403" t="str">
        <f t="shared" si="639"/>
        <v>CPP_7_3</v>
      </c>
    </row>
    <row r="5101" spans="1:22">
      <c r="A5101" t="str">
        <f t="shared" si="632"/>
        <v>NDI-5503-AL</v>
      </c>
      <c r="B5101" s="403" t="s">
        <v>1424</v>
      </c>
      <c r="C5101" s="403" t="s">
        <v>582</v>
      </c>
      <c r="D5101" s="403" t="s">
        <v>1425</v>
      </c>
      <c r="E5101" s="403" t="s">
        <v>778</v>
      </c>
      <c r="F5101" s="403" t="s">
        <v>1382</v>
      </c>
      <c r="G5101" s="403" t="s">
        <v>1466</v>
      </c>
      <c r="H5101" s="403" t="s">
        <v>1276</v>
      </c>
      <c r="I5101" s="403">
        <v>1</v>
      </c>
      <c r="J5101" s="403" t="s">
        <v>110</v>
      </c>
      <c r="K5101" s="403">
        <v>1920</v>
      </c>
      <c r="L5101" s="403">
        <v>1080</v>
      </c>
      <c r="M5101" s="403" t="s">
        <v>110</v>
      </c>
      <c r="N5101" s="403">
        <v>1920</v>
      </c>
      <c r="O5101" s="403">
        <v>1080</v>
      </c>
      <c r="P5101" t="str">
        <f t="shared" si="633"/>
        <v>30fps 1080p - 1080p</v>
      </c>
      <c r="Q5101">
        <f t="shared" si="634"/>
        <v>23</v>
      </c>
      <c r="R5101" t="str">
        <f t="shared" si="635"/>
        <v/>
      </c>
      <c r="S5101" t="str">
        <f t="shared" si="636"/>
        <v/>
      </c>
      <c r="T5101" s="403" t="str">
        <f t="shared" si="637"/>
        <v>NDI-5503-AL</v>
      </c>
      <c r="U5101" s="403">
        <f t="shared" si="638"/>
        <v>1</v>
      </c>
      <c r="V5101" s="403" t="str">
        <f t="shared" si="639"/>
        <v>CPP_7_3</v>
      </c>
    </row>
    <row r="5102" spans="1:22">
      <c r="A5102" t="str">
        <f t="shared" si="632"/>
        <v>NDI-5503-AL</v>
      </c>
      <c r="B5102" s="403" t="s">
        <v>1424</v>
      </c>
      <c r="C5102" s="403" t="s">
        <v>582</v>
      </c>
      <c r="D5102" s="403" t="s">
        <v>1425</v>
      </c>
      <c r="E5102" s="403" t="s">
        <v>778</v>
      </c>
      <c r="F5102" s="403" t="s">
        <v>1382</v>
      </c>
      <c r="G5102" s="403" t="s">
        <v>1466</v>
      </c>
      <c r="H5102" s="403" t="s">
        <v>1276</v>
      </c>
      <c r="I5102" s="403">
        <v>1</v>
      </c>
      <c r="J5102" s="403" t="s">
        <v>110</v>
      </c>
      <c r="K5102" s="403">
        <v>1920</v>
      </c>
      <c r="L5102" s="403">
        <v>1080</v>
      </c>
      <c r="M5102" s="403" t="s">
        <v>109</v>
      </c>
      <c r="N5102" s="403">
        <v>1280</v>
      </c>
      <c r="O5102" s="403">
        <v>720</v>
      </c>
      <c r="P5102" t="str">
        <f t="shared" si="633"/>
        <v>30fps 1080p - 720p</v>
      </c>
      <c r="Q5102">
        <f t="shared" si="634"/>
        <v>23</v>
      </c>
      <c r="R5102" t="str">
        <f t="shared" si="635"/>
        <v/>
      </c>
      <c r="S5102" t="str">
        <f t="shared" si="636"/>
        <v/>
      </c>
      <c r="T5102" s="403" t="str">
        <f t="shared" si="637"/>
        <v>NDI-5503-AL</v>
      </c>
      <c r="U5102" s="403">
        <f t="shared" si="638"/>
        <v>1</v>
      </c>
      <c r="V5102" s="403" t="str">
        <f t="shared" si="639"/>
        <v>CPP_7_3</v>
      </c>
    </row>
    <row r="5103" spans="1:22">
      <c r="A5103" t="str">
        <f t="shared" si="632"/>
        <v>NDI-5503-AL</v>
      </c>
      <c r="B5103" s="403" t="s">
        <v>1424</v>
      </c>
      <c r="C5103" s="403" t="s">
        <v>582</v>
      </c>
      <c r="D5103" s="403" t="s">
        <v>1425</v>
      </c>
      <c r="E5103" s="403" t="s">
        <v>778</v>
      </c>
      <c r="F5103" s="403" t="s">
        <v>1382</v>
      </c>
      <c r="G5103" s="403" t="s">
        <v>1466</v>
      </c>
      <c r="H5103" s="403" t="s">
        <v>1276</v>
      </c>
      <c r="I5103" s="403">
        <v>1</v>
      </c>
      <c r="J5103" s="403" t="s">
        <v>110</v>
      </c>
      <c r="K5103" s="403">
        <v>1920</v>
      </c>
      <c r="L5103" s="403">
        <v>1080</v>
      </c>
      <c r="M5103" s="403" t="s">
        <v>1285</v>
      </c>
      <c r="N5103" s="403">
        <v>1280</v>
      </c>
      <c r="O5103" s="403">
        <v>1024</v>
      </c>
      <c r="P5103" t="str">
        <f t="shared" si="633"/>
        <v>30fps 1080p - 1280x1024 5:4 (cropped)</v>
      </c>
      <c r="Q5103">
        <f t="shared" si="634"/>
        <v>23</v>
      </c>
      <c r="R5103" t="str">
        <f t="shared" si="635"/>
        <v/>
      </c>
      <c r="S5103" t="str">
        <f t="shared" si="636"/>
        <v/>
      </c>
      <c r="T5103" s="403" t="str">
        <f t="shared" si="637"/>
        <v>NDI-5503-AL</v>
      </c>
      <c r="U5103" s="403">
        <f t="shared" si="638"/>
        <v>1</v>
      </c>
      <c r="V5103" s="403" t="str">
        <f t="shared" si="639"/>
        <v>CPP_7_3</v>
      </c>
    </row>
    <row r="5104" spans="1:22">
      <c r="A5104" t="str">
        <f t="shared" si="632"/>
        <v>NDI-5503-AL</v>
      </c>
      <c r="B5104" s="403" t="s">
        <v>1424</v>
      </c>
      <c r="C5104" s="403" t="s">
        <v>582</v>
      </c>
      <c r="D5104" s="403" t="s">
        <v>1425</v>
      </c>
      <c r="E5104" s="403" t="s">
        <v>778</v>
      </c>
      <c r="F5104" s="403" t="s">
        <v>1382</v>
      </c>
      <c r="G5104" s="403" t="s">
        <v>1466</v>
      </c>
      <c r="H5104" s="403" t="s">
        <v>1276</v>
      </c>
      <c r="I5104" s="403">
        <v>1</v>
      </c>
      <c r="J5104" s="403" t="s">
        <v>110</v>
      </c>
      <c r="K5104" s="403">
        <v>1920</v>
      </c>
      <c r="L5104" s="403">
        <v>1080</v>
      </c>
      <c r="M5104" s="403" t="s">
        <v>1279</v>
      </c>
      <c r="N5104" s="403">
        <v>640</v>
      </c>
      <c r="O5104" s="403">
        <v>480</v>
      </c>
      <c r="P5104" t="str">
        <f t="shared" si="633"/>
        <v>30fps 1080p - SD ROI PTZ</v>
      </c>
      <c r="Q5104">
        <f t="shared" si="634"/>
        <v>23</v>
      </c>
      <c r="R5104" t="str">
        <f t="shared" si="635"/>
        <v/>
      </c>
      <c r="S5104" t="str">
        <f t="shared" si="636"/>
        <v/>
      </c>
      <c r="T5104" s="403" t="str">
        <f t="shared" si="637"/>
        <v>NDI-5503-AL</v>
      </c>
      <c r="U5104" s="403">
        <f t="shared" si="638"/>
        <v>1</v>
      </c>
      <c r="V5104" s="403" t="str">
        <f t="shared" si="639"/>
        <v>CPP_7_3</v>
      </c>
    </row>
    <row r="5105" spans="1:22">
      <c r="A5105" t="str">
        <f t="shared" si="632"/>
        <v>NDI-5503-AL</v>
      </c>
      <c r="B5105" s="403" t="s">
        <v>1424</v>
      </c>
      <c r="C5105" s="403" t="s">
        <v>582</v>
      </c>
      <c r="D5105" s="403" t="s">
        <v>1425</v>
      </c>
      <c r="E5105" s="403" t="s">
        <v>778</v>
      </c>
      <c r="F5105" s="403" t="s">
        <v>1382</v>
      </c>
      <c r="G5105" s="403" t="s">
        <v>1466</v>
      </c>
      <c r="H5105" s="403" t="s">
        <v>1276</v>
      </c>
      <c r="I5105" s="403">
        <v>1</v>
      </c>
      <c r="J5105" s="403" t="s">
        <v>110</v>
      </c>
      <c r="K5105" s="403">
        <v>1920</v>
      </c>
      <c r="L5105" s="403">
        <v>1080</v>
      </c>
      <c r="M5105" s="403" t="s">
        <v>1283</v>
      </c>
      <c r="N5105" s="403">
        <v>720</v>
      </c>
      <c r="O5105" s="403">
        <v>480</v>
      </c>
      <c r="P5105" t="str">
        <f t="shared" si="633"/>
        <v>30fps 1080p - SD 4CIF resolution 4:3 format (cropped)</v>
      </c>
      <c r="Q5105">
        <f t="shared" si="634"/>
        <v>23</v>
      </c>
      <c r="R5105" t="str">
        <f t="shared" si="635"/>
        <v/>
      </c>
      <c r="S5105" t="str">
        <f t="shared" si="636"/>
        <v/>
      </c>
      <c r="T5105" s="403" t="str">
        <f t="shared" si="637"/>
        <v>NDI-5503-AL</v>
      </c>
      <c r="U5105" s="403">
        <f t="shared" si="638"/>
        <v>1</v>
      </c>
      <c r="V5105" s="403" t="str">
        <f t="shared" si="639"/>
        <v>CPP_7_3</v>
      </c>
    </row>
    <row r="5106" spans="1:22">
      <c r="A5106" t="str">
        <f t="shared" si="632"/>
        <v>NDI-5503-AL</v>
      </c>
      <c r="B5106" s="403" t="s">
        <v>1424</v>
      </c>
      <c r="C5106" s="403" t="s">
        <v>582</v>
      </c>
      <c r="D5106" s="403" t="s">
        <v>1425</v>
      </c>
      <c r="E5106" s="403" t="s">
        <v>778</v>
      </c>
      <c r="F5106" s="403" t="s">
        <v>1382</v>
      </c>
      <c r="G5106" s="403" t="s">
        <v>1466</v>
      </c>
      <c r="H5106" s="403" t="s">
        <v>1276</v>
      </c>
      <c r="I5106" s="403">
        <v>1</v>
      </c>
      <c r="J5106" s="403" t="s">
        <v>110</v>
      </c>
      <c r="K5106" s="403">
        <v>1920</v>
      </c>
      <c r="L5106" s="403">
        <v>1080</v>
      </c>
      <c r="M5106" s="403" t="s">
        <v>1284</v>
      </c>
      <c r="N5106" s="403">
        <v>640</v>
      </c>
      <c r="O5106" s="403">
        <v>480</v>
      </c>
      <c r="P5106" t="str">
        <f t="shared" si="633"/>
        <v>30fps 1080p - SD VGA (cropped)</v>
      </c>
      <c r="Q5106">
        <f t="shared" si="634"/>
        <v>23</v>
      </c>
      <c r="R5106" t="str">
        <f t="shared" si="635"/>
        <v/>
      </c>
      <c r="S5106" t="str">
        <f t="shared" si="636"/>
        <v/>
      </c>
      <c r="T5106" s="403" t="str">
        <f t="shared" si="637"/>
        <v>NDI-5503-AL</v>
      </c>
      <c r="U5106" s="403">
        <f t="shared" si="638"/>
        <v>1</v>
      </c>
      <c r="V5106" s="403" t="str">
        <f t="shared" si="639"/>
        <v>CPP_7_3</v>
      </c>
    </row>
    <row r="5107" spans="1:22">
      <c r="A5107" t="str">
        <f t="shared" si="632"/>
        <v>NDI-5503-AL</v>
      </c>
      <c r="B5107" s="403" t="s">
        <v>1424</v>
      </c>
      <c r="C5107" s="403" t="s">
        <v>582</v>
      </c>
      <c r="D5107" s="403" t="s">
        <v>1425</v>
      </c>
      <c r="E5107" s="403" t="s">
        <v>778</v>
      </c>
      <c r="F5107" s="403" t="s">
        <v>1382</v>
      </c>
      <c r="G5107" s="403" t="s">
        <v>1466</v>
      </c>
      <c r="H5107" s="403" t="s">
        <v>1276</v>
      </c>
      <c r="I5107" s="403">
        <v>1</v>
      </c>
      <c r="J5107" s="403" t="s">
        <v>109</v>
      </c>
      <c r="K5107" s="403">
        <v>1280</v>
      </c>
      <c r="L5107" s="403">
        <v>720</v>
      </c>
      <c r="M5107" s="403" t="s">
        <v>109</v>
      </c>
      <c r="N5107" s="403">
        <v>1280</v>
      </c>
      <c r="O5107" s="403">
        <v>720</v>
      </c>
      <c r="P5107" t="str">
        <f t="shared" si="633"/>
        <v>30fps 720p - 720p</v>
      </c>
      <c r="Q5107">
        <f t="shared" si="634"/>
        <v>23</v>
      </c>
      <c r="R5107" t="str">
        <f t="shared" si="635"/>
        <v/>
      </c>
      <c r="S5107" t="str">
        <f t="shared" si="636"/>
        <v/>
      </c>
      <c r="T5107" s="403" t="str">
        <f t="shared" si="637"/>
        <v>NDI-5503-AL</v>
      </c>
      <c r="U5107" s="403">
        <f t="shared" si="638"/>
        <v>1</v>
      </c>
      <c r="V5107" s="403" t="str">
        <f t="shared" si="639"/>
        <v>CPP_7_3</v>
      </c>
    </row>
    <row r="5108" spans="1:22">
      <c r="A5108" t="str">
        <f t="shared" si="632"/>
        <v>NDI-5503-AL</v>
      </c>
      <c r="B5108" s="403" t="s">
        <v>1424</v>
      </c>
      <c r="C5108" s="403" t="s">
        <v>582</v>
      </c>
      <c r="D5108" s="403" t="s">
        <v>1425</v>
      </c>
      <c r="E5108" s="403" t="s">
        <v>778</v>
      </c>
      <c r="F5108" s="403" t="s">
        <v>1382</v>
      </c>
      <c r="G5108" s="403" t="s">
        <v>1466</v>
      </c>
      <c r="H5108" s="403" t="s">
        <v>1276</v>
      </c>
      <c r="I5108" s="403">
        <v>1</v>
      </c>
      <c r="J5108" s="403" t="s">
        <v>109</v>
      </c>
      <c r="K5108" s="403">
        <v>1280</v>
      </c>
      <c r="L5108" s="403">
        <v>720</v>
      </c>
      <c r="M5108" s="403" t="s">
        <v>111</v>
      </c>
      <c r="N5108" s="403">
        <v>640</v>
      </c>
      <c r="O5108" s="403">
        <v>480</v>
      </c>
      <c r="P5108" t="str">
        <f t="shared" si="633"/>
        <v>30fps 720p - SD</v>
      </c>
      <c r="Q5108">
        <f t="shared" si="634"/>
        <v>23</v>
      </c>
      <c r="R5108" t="str">
        <f t="shared" si="635"/>
        <v/>
      </c>
      <c r="S5108" t="str">
        <f t="shared" si="636"/>
        <v/>
      </c>
      <c r="T5108" s="403" t="str">
        <f t="shared" si="637"/>
        <v>NDI-5503-AL</v>
      </c>
      <c r="U5108" s="403">
        <f t="shared" si="638"/>
        <v>1</v>
      </c>
      <c r="V5108" s="403" t="str">
        <f t="shared" si="639"/>
        <v>CPP_7_3</v>
      </c>
    </row>
    <row r="5109" spans="1:22">
      <c r="A5109" t="str">
        <f t="shared" si="632"/>
        <v>NDI-5503-AL</v>
      </c>
      <c r="B5109" s="403" t="s">
        <v>1424</v>
      </c>
      <c r="C5109" s="403" t="s">
        <v>582</v>
      </c>
      <c r="D5109" s="403" t="s">
        <v>1425</v>
      </c>
      <c r="E5109" s="403" t="s">
        <v>778</v>
      </c>
      <c r="F5109" s="403" t="s">
        <v>1382</v>
      </c>
      <c r="G5109" s="403" t="s">
        <v>1466</v>
      </c>
      <c r="H5109" s="403" t="s">
        <v>1276</v>
      </c>
      <c r="I5109" s="403">
        <v>1</v>
      </c>
      <c r="J5109" s="403" t="s">
        <v>109</v>
      </c>
      <c r="K5109" s="403">
        <v>1280</v>
      </c>
      <c r="L5109" s="403">
        <v>720</v>
      </c>
      <c r="M5109" s="403" t="s">
        <v>1279</v>
      </c>
      <c r="N5109" s="403">
        <v>640</v>
      </c>
      <c r="O5109" s="403">
        <v>480</v>
      </c>
      <c r="P5109" t="str">
        <f t="shared" si="633"/>
        <v>30fps 720p - SD ROI PTZ</v>
      </c>
      <c r="Q5109">
        <f t="shared" si="634"/>
        <v>23</v>
      </c>
      <c r="R5109" t="str">
        <f t="shared" si="635"/>
        <v/>
      </c>
      <c r="S5109" t="str">
        <f t="shared" si="636"/>
        <v/>
      </c>
      <c r="T5109" s="403" t="str">
        <f t="shared" si="637"/>
        <v>NDI-5503-AL</v>
      </c>
      <c r="U5109" s="403">
        <f t="shared" si="638"/>
        <v>1</v>
      </c>
      <c r="V5109" s="403" t="str">
        <f t="shared" si="639"/>
        <v>CPP_7_3</v>
      </c>
    </row>
    <row r="5110" spans="1:22">
      <c r="A5110" t="str">
        <f t="shared" si="632"/>
        <v>NDI-5503-AL</v>
      </c>
      <c r="B5110" s="403" t="s">
        <v>1424</v>
      </c>
      <c r="C5110" s="403" t="s">
        <v>582</v>
      </c>
      <c r="D5110" s="403" t="s">
        <v>1425</v>
      </c>
      <c r="E5110" s="403" t="s">
        <v>778</v>
      </c>
      <c r="F5110" s="403" t="s">
        <v>1382</v>
      </c>
      <c r="G5110" s="403" t="s">
        <v>1466</v>
      </c>
      <c r="H5110" s="403" t="s">
        <v>1276</v>
      </c>
      <c r="I5110" s="403">
        <v>1</v>
      </c>
      <c r="J5110" s="403" t="s">
        <v>109</v>
      </c>
      <c r="K5110" s="403">
        <v>1280</v>
      </c>
      <c r="L5110" s="403">
        <v>720</v>
      </c>
      <c r="M5110" s="403" t="s">
        <v>1283</v>
      </c>
      <c r="N5110" s="403">
        <v>720</v>
      </c>
      <c r="O5110" s="403">
        <v>480</v>
      </c>
      <c r="P5110" t="str">
        <f t="shared" si="633"/>
        <v>30fps 720p - SD 4CIF resolution 4:3 format (cropped)</v>
      </c>
      <c r="Q5110">
        <f t="shared" si="634"/>
        <v>23</v>
      </c>
      <c r="R5110" t="str">
        <f t="shared" si="635"/>
        <v/>
      </c>
      <c r="S5110" t="str">
        <f t="shared" si="636"/>
        <v/>
      </c>
      <c r="T5110" s="403" t="str">
        <f t="shared" si="637"/>
        <v>NDI-5503-AL</v>
      </c>
      <c r="U5110" s="403">
        <f t="shared" si="638"/>
        <v>1</v>
      </c>
      <c r="V5110" s="403" t="str">
        <f t="shared" si="639"/>
        <v>CPP_7_3</v>
      </c>
    </row>
    <row r="5111" spans="1:22">
      <c r="A5111" t="str">
        <f t="shared" si="632"/>
        <v>NDI-5503-AL</v>
      </c>
      <c r="B5111" s="403" t="s">
        <v>1424</v>
      </c>
      <c r="C5111" s="403" t="s">
        <v>582</v>
      </c>
      <c r="D5111" s="403" t="s">
        <v>1425</v>
      </c>
      <c r="E5111" s="403" t="s">
        <v>778</v>
      </c>
      <c r="F5111" s="403" t="s">
        <v>1382</v>
      </c>
      <c r="G5111" s="403" t="s">
        <v>1466</v>
      </c>
      <c r="H5111" s="403" t="s">
        <v>1276</v>
      </c>
      <c r="I5111" s="403">
        <v>1</v>
      </c>
      <c r="J5111" s="403" t="s">
        <v>109</v>
      </c>
      <c r="K5111" s="403">
        <v>1280</v>
      </c>
      <c r="L5111" s="403">
        <v>720</v>
      </c>
      <c r="M5111" s="403" t="s">
        <v>1284</v>
      </c>
      <c r="N5111" s="403">
        <v>640</v>
      </c>
      <c r="O5111" s="403">
        <v>480</v>
      </c>
      <c r="P5111" t="str">
        <f t="shared" si="633"/>
        <v>30fps 720p - SD VGA (cropped)</v>
      </c>
      <c r="Q5111">
        <f t="shared" si="634"/>
        <v>23</v>
      </c>
      <c r="R5111" t="str">
        <f t="shared" si="635"/>
        <v/>
      </c>
      <c r="S5111" t="str">
        <f t="shared" si="636"/>
        <v/>
      </c>
      <c r="T5111" s="403" t="str">
        <f t="shared" si="637"/>
        <v>NDI-5503-AL</v>
      </c>
      <c r="U5111" s="403">
        <f t="shared" si="638"/>
        <v>1</v>
      </c>
      <c r="V5111" s="403" t="str">
        <f t="shared" si="639"/>
        <v>CPP_7_3</v>
      </c>
    </row>
    <row r="5112" spans="1:22">
      <c r="A5112" t="str">
        <f t="shared" si="632"/>
        <v>NDI-5503-AL</v>
      </c>
      <c r="B5112" s="403" t="s">
        <v>1424</v>
      </c>
      <c r="C5112" s="403" t="s">
        <v>582</v>
      </c>
      <c r="D5112" s="403" t="s">
        <v>1425</v>
      </c>
      <c r="E5112" s="403" t="s">
        <v>778</v>
      </c>
      <c r="F5112" s="403" t="s">
        <v>1382</v>
      </c>
      <c r="G5112" s="403" t="s">
        <v>1466</v>
      </c>
      <c r="H5112" s="403" t="s">
        <v>1281</v>
      </c>
      <c r="I5112" s="403">
        <v>1</v>
      </c>
      <c r="J5112" s="403" t="s">
        <v>1376</v>
      </c>
      <c r="K5112" s="403">
        <v>3072</v>
      </c>
      <c r="L5112" s="403">
        <v>1728</v>
      </c>
      <c r="M5112" s="403" t="s">
        <v>111</v>
      </c>
      <c r="N5112" s="403">
        <v>640</v>
      </c>
      <c r="O5112" s="403">
        <v>480</v>
      </c>
      <c r="P5112" t="str">
        <f t="shared" si="633"/>
        <v>30fps 3072x1728 - SD</v>
      </c>
      <c r="Q5112">
        <f t="shared" si="634"/>
        <v>23</v>
      </c>
      <c r="R5112" t="str">
        <f t="shared" si="635"/>
        <v/>
      </c>
      <c r="S5112" t="str">
        <f t="shared" si="636"/>
        <v/>
      </c>
      <c r="T5112" s="403" t="str">
        <f t="shared" si="637"/>
        <v>NDI-5503-AL</v>
      </c>
      <c r="U5112" s="403">
        <f t="shared" si="638"/>
        <v>1</v>
      </c>
      <c r="V5112" s="403" t="str">
        <f t="shared" si="639"/>
        <v>CPP_7_3</v>
      </c>
    </row>
    <row r="5113" spans="1:22">
      <c r="A5113" t="str">
        <f t="shared" si="632"/>
        <v>NDI-5503-AL</v>
      </c>
      <c r="B5113" s="403" t="s">
        <v>1424</v>
      </c>
      <c r="C5113" s="403" t="s">
        <v>582</v>
      </c>
      <c r="D5113" s="403" t="s">
        <v>1425</v>
      </c>
      <c r="E5113" s="403" t="s">
        <v>778</v>
      </c>
      <c r="F5113" s="403" t="s">
        <v>1382</v>
      </c>
      <c r="G5113" s="403" t="s">
        <v>1466</v>
      </c>
      <c r="H5113" s="403" t="s">
        <v>1281</v>
      </c>
      <c r="I5113" s="403">
        <v>1</v>
      </c>
      <c r="J5113" s="403" t="s">
        <v>1376</v>
      </c>
      <c r="K5113" s="403">
        <v>3072</v>
      </c>
      <c r="L5113" s="403">
        <v>1728</v>
      </c>
      <c r="M5113" s="403" t="s">
        <v>1280</v>
      </c>
      <c r="N5113" s="403">
        <v>3072</v>
      </c>
      <c r="O5113" s="403">
        <v>1728</v>
      </c>
      <c r="P5113" t="str">
        <f t="shared" si="633"/>
        <v>30fps 3072x1728 - copy other stream</v>
      </c>
      <c r="Q5113">
        <f t="shared" si="634"/>
        <v>23</v>
      </c>
      <c r="R5113" t="str">
        <f t="shared" si="635"/>
        <v/>
      </c>
      <c r="S5113" t="str">
        <f t="shared" si="636"/>
        <v/>
      </c>
      <c r="T5113" s="403" t="str">
        <f t="shared" si="637"/>
        <v>NDI-5503-AL</v>
      </c>
      <c r="U5113" s="403">
        <f t="shared" si="638"/>
        <v>1</v>
      </c>
      <c r="V5113" s="403" t="str">
        <f t="shared" si="639"/>
        <v>CPP_7_3</v>
      </c>
    </row>
    <row r="5114" spans="1:22">
      <c r="A5114" t="str">
        <f t="shared" si="632"/>
        <v>NDI-5503-AL</v>
      </c>
      <c r="B5114" s="403" t="s">
        <v>1424</v>
      </c>
      <c r="C5114" s="403" t="s">
        <v>582</v>
      </c>
      <c r="D5114" s="403" t="s">
        <v>1425</v>
      </c>
      <c r="E5114" s="403" t="s">
        <v>778</v>
      </c>
      <c r="F5114" s="403" t="s">
        <v>1382</v>
      </c>
      <c r="G5114" s="403" t="s">
        <v>1466</v>
      </c>
      <c r="H5114" s="403" t="s">
        <v>1281</v>
      </c>
      <c r="I5114" s="403">
        <v>1</v>
      </c>
      <c r="J5114" s="403" t="s">
        <v>1376</v>
      </c>
      <c r="K5114" s="403">
        <v>3072</v>
      </c>
      <c r="L5114" s="403">
        <v>1728</v>
      </c>
      <c r="M5114" s="403" t="s">
        <v>110</v>
      </c>
      <c r="N5114" s="403">
        <v>1920</v>
      </c>
      <c r="O5114" s="403">
        <v>1080</v>
      </c>
      <c r="P5114" t="str">
        <f t="shared" si="633"/>
        <v>30fps 3072x1728 - 1080p</v>
      </c>
      <c r="Q5114">
        <f t="shared" si="634"/>
        <v>23</v>
      </c>
      <c r="R5114" t="str">
        <f t="shared" si="635"/>
        <v/>
      </c>
      <c r="S5114" t="str">
        <f t="shared" si="636"/>
        <v/>
      </c>
      <c r="T5114" s="403" t="str">
        <f t="shared" si="637"/>
        <v>NDI-5503-AL</v>
      </c>
      <c r="U5114" s="403">
        <f t="shared" si="638"/>
        <v>1</v>
      </c>
      <c r="V5114" s="403" t="str">
        <f t="shared" si="639"/>
        <v>CPP_7_3</v>
      </c>
    </row>
    <row r="5115" spans="1:22">
      <c r="A5115" t="str">
        <f t="shared" si="632"/>
        <v>NDI-5503-AL</v>
      </c>
      <c r="B5115" s="403" t="s">
        <v>1424</v>
      </c>
      <c r="C5115" s="403" t="s">
        <v>582</v>
      </c>
      <c r="D5115" s="403" t="s">
        <v>1425</v>
      </c>
      <c r="E5115" s="403" t="s">
        <v>778</v>
      </c>
      <c r="F5115" s="403" t="s">
        <v>1382</v>
      </c>
      <c r="G5115" s="403" t="s">
        <v>1466</v>
      </c>
      <c r="H5115" s="403" t="s">
        <v>1281</v>
      </c>
      <c r="I5115" s="403">
        <v>1</v>
      </c>
      <c r="J5115" s="403" t="s">
        <v>1376</v>
      </c>
      <c r="K5115" s="403">
        <v>3072</v>
      </c>
      <c r="L5115" s="403">
        <v>1728</v>
      </c>
      <c r="M5115" s="403" t="s">
        <v>109</v>
      </c>
      <c r="N5115" s="403">
        <v>1280</v>
      </c>
      <c r="O5115" s="403">
        <v>720</v>
      </c>
      <c r="P5115" t="str">
        <f t="shared" si="633"/>
        <v>30fps 3072x1728 - 720p</v>
      </c>
      <c r="Q5115">
        <f t="shared" si="634"/>
        <v>23</v>
      </c>
      <c r="R5115" t="str">
        <f t="shared" si="635"/>
        <v/>
      </c>
      <c r="S5115" t="str">
        <f t="shared" si="636"/>
        <v/>
      </c>
      <c r="T5115" s="403" t="str">
        <f t="shared" si="637"/>
        <v>NDI-5503-AL</v>
      </c>
      <c r="U5115" s="403">
        <f t="shared" si="638"/>
        <v>1</v>
      </c>
      <c r="V5115" s="403" t="str">
        <f t="shared" si="639"/>
        <v>CPP_7_3</v>
      </c>
    </row>
    <row r="5116" spans="1:22">
      <c r="A5116" t="str">
        <f t="shared" si="632"/>
        <v>NDI-5503-AL</v>
      </c>
      <c r="B5116" s="403" t="s">
        <v>1424</v>
      </c>
      <c r="C5116" s="403" t="s">
        <v>582</v>
      </c>
      <c r="D5116" s="403" t="s">
        <v>1425</v>
      </c>
      <c r="E5116" s="403" t="s">
        <v>778</v>
      </c>
      <c r="F5116" s="403" t="s">
        <v>1382</v>
      </c>
      <c r="G5116" s="403" t="s">
        <v>1466</v>
      </c>
      <c r="H5116" s="403" t="s">
        <v>1281</v>
      </c>
      <c r="I5116" s="403">
        <v>1</v>
      </c>
      <c r="J5116" s="403" t="s">
        <v>1376</v>
      </c>
      <c r="K5116" s="403">
        <v>3072</v>
      </c>
      <c r="L5116" s="403">
        <v>1728</v>
      </c>
      <c r="M5116" s="403" t="s">
        <v>1283</v>
      </c>
      <c r="N5116" s="403">
        <v>720</v>
      </c>
      <c r="O5116" s="403">
        <v>480</v>
      </c>
      <c r="P5116" t="str">
        <f t="shared" si="633"/>
        <v>30fps 3072x1728 - SD 4CIF resolution 4:3 format (cropped)</v>
      </c>
      <c r="Q5116">
        <f t="shared" si="634"/>
        <v>23</v>
      </c>
      <c r="R5116" t="str">
        <f t="shared" si="635"/>
        <v/>
      </c>
      <c r="S5116" t="str">
        <f t="shared" si="636"/>
        <v/>
      </c>
      <c r="T5116" s="403" t="str">
        <f t="shared" si="637"/>
        <v>NDI-5503-AL</v>
      </c>
      <c r="U5116" s="403">
        <f t="shared" si="638"/>
        <v>1</v>
      </c>
      <c r="V5116" s="403" t="str">
        <f t="shared" si="639"/>
        <v>CPP_7_3</v>
      </c>
    </row>
    <row r="5117" spans="1:22">
      <c r="A5117" t="str">
        <f t="shared" si="632"/>
        <v>NDI-5503-AL</v>
      </c>
      <c r="B5117" s="403" t="s">
        <v>1424</v>
      </c>
      <c r="C5117" s="403" t="s">
        <v>582</v>
      </c>
      <c r="D5117" s="403" t="s">
        <v>1425</v>
      </c>
      <c r="E5117" s="403" t="s">
        <v>778</v>
      </c>
      <c r="F5117" s="403" t="s">
        <v>1382</v>
      </c>
      <c r="G5117" s="403" t="s">
        <v>1466</v>
      </c>
      <c r="H5117" s="403" t="s">
        <v>1281</v>
      </c>
      <c r="I5117" s="403">
        <v>1</v>
      </c>
      <c r="J5117" s="403" t="s">
        <v>1376</v>
      </c>
      <c r="K5117" s="403">
        <v>3072</v>
      </c>
      <c r="L5117" s="403">
        <v>1728</v>
      </c>
      <c r="M5117" s="403" t="s">
        <v>1279</v>
      </c>
      <c r="N5117" s="403">
        <v>640</v>
      </c>
      <c r="O5117" s="403">
        <v>480</v>
      </c>
      <c r="P5117" t="str">
        <f t="shared" si="633"/>
        <v>30fps 3072x1728 - SD ROI PTZ</v>
      </c>
      <c r="Q5117">
        <f t="shared" si="634"/>
        <v>23</v>
      </c>
      <c r="R5117" t="str">
        <f t="shared" si="635"/>
        <v/>
      </c>
      <c r="S5117" t="str">
        <f t="shared" si="636"/>
        <v/>
      </c>
      <c r="T5117" s="403" t="str">
        <f t="shared" si="637"/>
        <v>NDI-5503-AL</v>
      </c>
      <c r="U5117" s="403">
        <f t="shared" si="638"/>
        <v>1</v>
      </c>
      <c r="V5117" s="403" t="str">
        <f t="shared" si="639"/>
        <v>CPP_7_3</v>
      </c>
    </row>
    <row r="5118" spans="1:22">
      <c r="A5118" t="str">
        <f t="shared" si="632"/>
        <v>NDI-5503-AL</v>
      </c>
      <c r="B5118" s="403" t="s">
        <v>1424</v>
      </c>
      <c r="C5118" s="403" t="s">
        <v>582</v>
      </c>
      <c r="D5118" s="403" t="s">
        <v>1425</v>
      </c>
      <c r="E5118" s="403" t="s">
        <v>778</v>
      </c>
      <c r="F5118" s="403" t="s">
        <v>1382</v>
      </c>
      <c r="G5118" s="403" t="s">
        <v>1466</v>
      </c>
      <c r="H5118" s="403" t="s">
        <v>1281</v>
      </c>
      <c r="I5118" s="403">
        <v>1</v>
      </c>
      <c r="J5118" s="403" t="s">
        <v>1376</v>
      </c>
      <c r="K5118" s="403">
        <v>3072</v>
      </c>
      <c r="L5118" s="403">
        <v>1728</v>
      </c>
      <c r="M5118" s="403" t="s">
        <v>1284</v>
      </c>
      <c r="N5118" s="403">
        <v>640</v>
      </c>
      <c r="O5118" s="403">
        <v>480</v>
      </c>
      <c r="P5118" t="str">
        <f t="shared" si="633"/>
        <v>30fps 3072x1728 - SD VGA (cropped)</v>
      </c>
      <c r="Q5118">
        <f t="shared" si="634"/>
        <v>23</v>
      </c>
      <c r="R5118" t="str">
        <f t="shared" si="635"/>
        <v/>
      </c>
      <c r="S5118" t="str">
        <f t="shared" si="636"/>
        <v/>
      </c>
      <c r="T5118" s="403" t="str">
        <f t="shared" si="637"/>
        <v>NDI-5503-AL</v>
      </c>
      <c r="U5118" s="403">
        <f t="shared" si="638"/>
        <v>1</v>
      </c>
      <c r="V5118" s="403" t="str">
        <f t="shared" si="639"/>
        <v>CPP_7_3</v>
      </c>
    </row>
    <row r="5119" spans="1:22">
      <c r="A5119" t="str">
        <f t="shared" si="632"/>
        <v>NDI-5503-AL</v>
      </c>
      <c r="B5119" s="403" t="s">
        <v>1424</v>
      </c>
      <c r="C5119" s="403" t="s">
        <v>582</v>
      </c>
      <c r="D5119" s="403" t="s">
        <v>1425</v>
      </c>
      <c r="E5119" s="403" t="s">
        <v>778</v>
      </c>
      <c r="F5119" s="403" t="s">
        <v>1382</v>
      </c>
      <c r="G5119" s="403" t="s">
        <v>1466</v>
      </c>
      <c r="H5119" s="403" t="s">
        <v>1281</v>
      </c>
      <c r="I5119" s="403">
        <v>1</v>
      </c>
      <c r="J5119" s="403" t="s">
        <v>1376</v>
      </c>
      <c r="K5119" s="403">
        <v>3072</v>
      </c>
      <c r="L5119" s="403">
        <v>1728</v>
      </c>
      <c r="M5119" s="403" t="s">
        <v>1285</v>
      </c>
      <c r="N5119" s="403">
        <v>1280</v>
      </c>
      <c r="O5119" s="403">
        <v>1024</v>
      </c>
      <c r="P5119" t="str">
        <f t="shared" si="633"/>
        <v>30fps 3072x1728 - 1280x1024 5:4 (cropped)</v>
      </c>
      <c r="Q5119">
        <f t="shared" si="634"/>
        <v>23</v>
      </c>
      <c r="R5119" t="str">
        <f t="shared" si="635"/>
        <v/>
      </c>
      <c r="S5119" t="str">
        <f t="shared" si="636"/>
        <v/>
      </c>
      <c r="T5119" s="403" t="str">
        <f t="shared" si="637"/>
        <v>NDI-5503-AL</v>
      </c>
      <c r="U5119" s="403">
        <f t="shared" si="638"/>
        <v>1</v>
      </c>
      <c r="V5119" s="403" t="str">
        <f t="shared" si="639"/>
        <v>CPP_7_3</v>
      </c>
    </row>
    <row r="5120" spans="1:22">
      <c r="A5120" t="str">
        <f t="shared" si="632"/>
        <v>NDI-5503-AL</v>
      </c>
      <c r="B5120" s="403" t="s">
        <v>1424</v>
      </c>
      <c r="C5120" s="403" t="s">
        <v>582</v>
      </c>
      <c r="D5120" s="403" t="s">
        <v>1425</v>
      </c>
      <c r="E5120" s="403" t="s">
        <v>778</v>
      </c>
      <c r="F5120" s="403" t="s">
        <v>1382</v>
      </c>
      <c r="G5120" s="403" t="s">
        <v>1466</v>
      </c>
      <c r="H5120" s="403" t="s">
        <v>1281</v>
      </c>
      <c r="I5120" s="403">
        <v>1</v>
      </c>
      <c r="J5120" s="403" t="s">
        <v>1373</v>
      </c>
      <c r="K5120" s="403">
        <v>2688</v>
      </c>
      <c r="L5120" s="403">
        <v>1512</v>
      </c>
      <c r="M5120" s="403" t="s">
        <v>110</v>
      </c>
      <c r="N5120" s="403">
        <v>1920</v>
      </c>
      <c r="O5120" s="403">
        <v>1080</v>
      </c>
      <c r="P5120" t="str">
        <f t="shared" si="633"/>
        <v>30fps 2688x1512 - 1080p</v>
      </c>
      <c r="Q5120">
        <f t="shared" si="634"/>
        <v>23</v>
      </c>
      <c r="R5120" t="str">
        <f t="shared" si="635"/>
        <v/>
      </c>
      <c r="S5120" t="str">
        <f t="shared" si="636"/>
        <v/>
      </c>
      <c r="T5120" s="403" t="str">
        <f t="shared" si="637"/>
        <v>NDI-5503-AL</v>
      </c>
      <c r="U5120" s="403">
        <f t="shared" si="638"/>
        <v>1</v>
      </c>
      <c r="V5120" s="403" t="str">
        <f t="shared" si="639"/>
        <v>CPP_7_3</v>
      </c>
    </row>
    <row r="5121" spans="1:22">
      <c r="A5121" t="str">
        <f t="shared" si="632"/>
        <v>NDI-5503-AL</v>
      </c>
      <c r="B5121" s="403" t="s">
        <v>1424</v>
      </c>
      <c r="C5121" s="403" t="s">
        <v>582</v>
      </c>
      <c r="D5121" s="403" t="s">
        <v>1425</v>
      </c>
      <c r="E5121" s="403" t="s">
        <v>778</v>
      </c>
      <c r="F5121" s="403" t="s">
        <v>1382</v>
      </c>
      <c r="G5121" s="403" t="s">
        <v>1466</v>
      </c>
      <c r="H5121" s="403" t="s">
        <v>1281</v>
      </c>
      <c r="I5121" s="403">
        <v>1</v>
      </c>
      <c r="J5121" s="403" t="s">
        <v>1373</v>
      </c>
      <c r="K5121" s="403">
        <v>2688</v>
      </c>
      <c r="L5121" s="403">
        <v>1512</v>
      </c>
      <c r="M5121" s="403" t="s">
        <v>1384</v>
      </c>
      <c r="N5121" s="403">
        <v>2688</v>
      </c>
      <c r="O5121" s="403">
        <v>1512</v>
      </c>
      <c r="P5121" t="str">
        <f t="shared" si="633"/>
        <v>30fps 2688x1512 - 2688x1512 @ SKIP 2</v>
      </c>
      <c r="Q5121">
        <f t="shared" si="634"/>
        <v>23</v>
      </c>
      <c r="R5121" t="str">
        <f t="shared" si="635"/>
        <v/>
      </c>
      <c r="S5121" t="str">
        <f t="shared" si="636"/>
        <v/>
      </c>
      <c r="T5121" s="403" t="str">
        <f t="shared" si="637"/>
        <v>NDI-5503-AL</v>
      </c>
      <c r="U5121" s="403">
        <f t="shared" si="638"/>
        <v>1</v>
      </c>
      <c r="V5121" s="403" t="str">
        <f t="shared" si="639"/>
        <v>CPP_7_3</v>
      </c>
    </row>
    <row r="5122" spans="1:22">
      <c r="A5122" t="str">
        <f t="shared" ref="A5122:A5185" si="640">IF(AND(G5122&lt;&gt;"rotate 90°"),D5122,"")</f>
        <v>NDI-5503-AL</v>
      </c>
      <c r="B5122" s="403" t="s">
        <v>1424</v>
      </c>
      <c r="C5122" s="403" t="s">
        <v>582</v>
      </c>
      <c r="D5122" s="403" t="s">
        <v>1425</v>
      </c>
      <c r="E5122" s="403" t="s">
        <v>778</v>
      </c>
      <c r="F5122" s="403" t="s">
        <v>1382</v>
      </c>
      <c r="G5122" s="403" t="s">
        <v>1466</v>
      </c>
      <c r="H5122" s="403" t="s">
        <v>1281</v>
      </c>
      <c r="I5122" s="403">
        <v>1</v>
      </c>
      <c r="J5122" s="403" t="s">
        <v>1373</v>
      </c>
      <c r="K5122" s="403">
        <v>2688</v>
      </c>
      <c r="L5122" s="403">
        <v>1512</v>
      </c>
      <c r="M5122" s="403" t="s">
        <v>109</v>
      </c>
      <c r="N5122" s="403">
        <v>1280</v>
      </c>
      <c r="O5122" s="403">
        <v>720</v>
      </c>
      <c r="P5122" t="str">
        <f t="shared" ref="P5122:P5185" si="641">LEFT(F5122,5)&amp;" "&amp;J5122&amp;" - "&amp;M5122</f>
        <v>30fps 2688x1512 - 720p</v>
      </c>
      <c r="Q5122">
        <f t="shared" ref="Q5122:Q5185" si="642">IF(A5121=A5122,Q5121,Q5121+1)</f>
        <v>23</v>
      </c>
      <c r="R5122" t="str">
        <f t="shared" ref="R5122:R5185" si="643">IF(Q5121&lt;&gt;Q5122,Q5122,"")</f>
        <v/>
      </c>
      <c r="S5122" t="str">
        <f t="shared" ref="S5122:S5185" si="644">IF(R5122&lt;&gt;"",B5122&amp;" ("&amp;D5122&amp;")","")</f>
        <v/>
      </c>
      <c r="T5122" s="403" t="str">
        <f t="shared" ref="T5122:T5185" si="645">D5122</f>
        <v>NDI-5503-AL</v>
      </c>
      <c r="U5122" s="403">
        <f t="shared" ref="U5122:U5185" si="646">I5122</f>
        <v>1</v>
      </c>
      <c r="V5122" s="403" t="str">
        <f t="shared" ref="V5122:V5185" si="647">C5122</f>
        <v>CPP_7_3</v>
      </c>
    </row>
    <row r="5123" spans="1:22">
      <c r="A5123" t="str">
        <f t="shared" si="640"/>
        <v>NDI-5503-AL</v>
      </c>
      <c r="B5123" s="403" t="s">
        <v>1424</v>
      </c>
      <c r="C5123" s="403" t="s">
        <v>582</v>
      </c>
      <c r="D5123" s="403" t="s">
        <v>1425</v>
      </c>
      <c r="E5123" s="403" t="s">
        <v>778</v>
      </c>
      <c r="F5123" s="403" t="s">
        <v>1382</v>
      </c>
      <c r="G5123" s="403" t="s">
        <v>1466</v>
      </c>
      <c r="H5123" s="403" t="s">
        <v>1281</v>
      </c>
      <c r="I5123" s="403">
        <v>1</v>
      </c>
      <c r="J5123" s="403" t="s">
        <v>1373</v>
      </c>
      <c r="K5123" s="403">
        <v>2688</v>
      </c>
      <c r="L5123" s="403">
        <v>1512</v>
      </c>
      <c r="M5123" s="403" t="s">
        <v>111</v>
      </c>
      <c r="N5123" s="403">
        <v>640</v>
      </c>
      <c r="O5123" s="403">
        <v>480</v>
      </c>
      <c r="P5123" t="str">
        <f t="shared" si="641"/>
        <v>30fps 2688x1512 - SD</v>
      </c>
      <c r="Q5123">
        <f t="shared" si="642"/>
        <v>23</v>
      </c>
      <c r="R5123" t="str">
        <f t="shared" si="643"/>
        <v/>
      </c>
      <c r="S5123" t="str">
        <f t="shared" si="644"/>
        <v/>
      </c>
      <c r="T5123" s="403" t="str">
        <f t="shared" si="645"/>
        <v>NDI-5503-AL</v>
      </c>
      <c r="U5123" s="403">
        <f t="shared" si="646"/>
        <v>1</v>
      </c>
      <c r="V5123" s="403" t="str">
        <f t="shared" si="647"/>
        <v>CPP_7_3</v>
      </c>
    </row>
    <row r="5124" spans="1:22">
      <c r="A5124" t="str">
        <f t="shared" si="640"/>
        <v>NDI-5503-AL</v>
      </c>
      <c r="B5124" s="403" t="s">
        <v>1424</v>
      </c>
      <c r="C5124" s="403" t="s">
        <v>582</v>
      </c>
      <c r="D5124" s="403" t="s">
        <v>1425</v>
      </c>
      <c r="E5124" s="403" t="s">
        <v>778</v>
      </c>
      <c r="F5124" s="403" t="s">
        <v>1382</v>
      </c>
      <c r="G5124" s="403" t="s">
        <v>1466</v>
      </c>
      <c r="H5124" s="403" t="s">
        <v>1281</v>
      </c>
      <c r="I5124" s="403">
        <v>1</v>
      </c>
      <c r="J5124" s="403" t="s">
        <v>1373</v>
      </c>
      <c r="K5124" s="403">
        <v>2688</v>
      </c>
      <c r="L5124" s="403">
        <v>1512</v>
      </c>
      <c r="M5124" s="403" t="s">
        <v>1279</v>
      </c>
      <c r="N5124" s="403">
        <v>640</v>
      </c>
      <c r="O5124" s="403">
        <v>480</v>
      </c>
      <c r="P5124" t="str">
        <f t="shared" si="641"/>
        <v>30fps 2688x1512 - SD ROI PTZ</v>
      </c>
      <c r="Q5124">
        <f t="shared" si="642"/>
        <v>23</v>
      </c>
      <c r="R5124" t="str">
        <f t="shared" si="643"/>
        <v/>
      </c>
      <c r="S5124" t="str">
        <f t="shared" si="644"/>
        <v/>
      </c>
      <c r="T5124" s="403" t="str">
        <f t="shared" si="645"/>
        <v>NDI-5503-AL</v>
      </c>
      <c r="U5124" s="403">
        <f t="shared" si="646"/>
        <v>1</v>
      </c>
      <c r="V5124" s="403" t="str">
        <f t="shared" si="647"/>
        <v>CPP_7_3</v>
      </c>
    </row>
    <row r="5125" spans="1:22">
      <c r="A5125" t="str">
        <f t="shared" si="640"/>
        <v>NDI-5503-AL</v>
      </c>
      <c r="B5125" s="403" t="s">
        <v>1424</v>
      </c>
      <c r="C5125" s="403" t="s">
        <v>582</v>
      </c>
      <c r="D5125" s="403" t="s">
        <v>1425</v>
      </c>
      <c r="E5125" s="403" t="s">
        <v>778</v>
      </c>
      <c r="F5125" s="403" t="s">
        <v>1382</v>
      </c>
      <c r="G5125" s="403" t="s">
        <v>1466</v>
      </c>
      <c r="H5125" s="403" t="s">
        <v>1281</v>
      </c>
      <c r="I5125" s="403">
        <v>1</v>
      </c>
      <c r="J5125" s="403" t="s">
        <v>1373</v>
      </c>
      <c r="K5125" s="403">
        <v>2688</v>
      </c>
      <c r="L5125" s="403">
        <v>1512</v>
      </c>
      <c r="M5125" s="403" t="s">
        <v>1285</v>
      </c>
      <c r="N5125" s="403">
        <v>1280</v>
      </c>
      <c r="O5125" s="403">
        <v>1024</v>
      </c>
      <c r="P5125" t="str">
        <f t="shared" si="641"/>
        <v>30fps 2688x1512 - 1280x1024 5:4 (cropped)</v>
      </c>
      <c r="Q5125">
        <f t="shared" si="642"/>
        <v>23</v>
      </c>
      <c r="R5125" t="str">
        <f t="shared" si="643"/>
        <v/>
      </c>
      <c r="S5125" t="str">
        <f t="shared" si="644"/>
        <v/>
      </c>
      <c r="T5125" s="403" t="str">
        <f t="shared" si="645"/>
        <v>NDI-5503-AL</v>
      </c>
      <c r="U5125" s="403">
        <f t="shared" si="646"/>
        <v>1</v>
      </c>
      <c r="V5125" s="403" t="str">
        <f t="shared" si="647"/>
        <v>CPP_7_3</v>
      </c>
    </row>
    <row r="5126" spans="1:22">
      <c r="A5126" t="str">
        <f t="shared" si="640"/>
        <v>NDI-5503-AL</v>
      </c>
      <c r="B5126" s="403" t="s">
        <v>1424</v>
      </c>
      <c r="C5126" s="403" t="s">
        <v>582</v>
      </c>
      <c r="D5126" s="403" t="s">
        <v>1425</v>
      </c>
      <c r="E5126" s="403" t="s">
        <v>778</v>
      </c>
      <c r="F5126" s="403" t="s">
        <v>1382</v>
      </c>
      <c r="G5126" s="403" t="s">
        <v>1466</v>
      </c>
      <c r="H5126" s="403" t="s">
        <v>1281</v>
      </c>
      <c r="I5126" s="403">
        <v>1</v>
      </c>
      <c r="J5126" s="403" t="s">
        <v>1373</v>
      </c>
      <c r="K5126" s="403">
        <v>2688</v>
      </c>
      <c r="L5126" s="403">
        <v>1512</v>
      </c>
      <c r="M5126" s="403" t="s">
        <v>1283</v>
      </c>
      <c r="N5126" s="403">
        <v>720</v>
      </c>
      <c r="O5126" s="403">
        <v>480</v>
      </c>
      <c r="P5126" t="str">
        <f t="shared" si="641"/>
        <v>30fps 2688x1512 - SD 4CIF resolution 4:3 format (cropped)</v>
      </c>
      <c r="Q5126">
        <f t="shared" si="642"/>
        <v>23</v>
      </c>
      <c r="R5126" t="str">
        <f t="shared" si="643"/>
        <v/>
      </c>
      <c r="S5126" t="str">
        <f t="shared" si="644"/>
        <v/>
      </c>
      <c r="T5126" s="403" t="str">
        <f t="shared" si="645"/>
        <v>NDI-5503-AL</v>
      </c>
      <c r="U5126" s="403">
        <f t="shared" si="646"/>
        <v>1</v>
      </c>
      <c r="V5126" s="403" t="str">
        <f t="shared" si="647"/>
        <v>CPP_7_3</v>
      </c>
    </row>
    <row r="5127" spans="1:22">
      <c r="A5127" t="str">
        <f t="shared" si="640"/>
        <v>NDI-5503-AL</v>
      </c>
      <c r="B5127" s="403" t="s">
        <v>1424</v>
      </c>
      <c r="C5127" s="403" t="s">
        <v>582</v>
      </c>
      <c r="D5127" s="403" t="s">
        <v>1425</v>
      </c>
      <c r="E5127" s="403" t="s">
        <v>778</v>
      </c>
      <c r="F5127" s="403" t="s">
        <v>1382</v>
      </c>
      <c r="G5127" s="403" t="s">
        <v>1466</v>
      </c>
      <c r="H5127" s="403" t="s">
        <v>1281</v>
      </c>
      <c r="I5127" s="403">
        <v>1</v>
      </c>
      <c r="J5127" s="403" t="s">
        <v>1373</v>
      </c>
      <c r="K5127" s="403">
        <v>2688</v>
      </c>
      <c r="L5127" s="403">
        <v>1512</v>
      </c>
      <c r="M5127" s="403" t="s">
        <v>1284</v>
      </c>
      <c r="N5127" s="403">
        <v>640</v>
      </c>
      <c r="O5127" s="403">
        <v>480</v>
      </c>
      <c r="P5127" t="str">
        <f t="shared" si="641"/>
        <v>30fps 2688x1512 - SD VGA (cropped)</v>
      </c>
      <c r="Q5127">
        <f t="shared" si="642"/>
        <v>23</v>
      </c>
      <c r="R5127" t="str">
        <f t="shared" si="643"/>
        <v/>
      </c>
      <c r="S5127" t="str">
        <f t="shared" si="644"/>
        <v/>
      </c>
      <c r="T5127" s="403" t="str">
        <f t="shared" si="645"/>
        <v>NDI-5503-AL</v>
      </c>
      <c r="U5127" s="403">
        <f t="shared" si="646"/>
        <v>1</v>
      </c>
      <c r="V5127" s="403" t="str">
        <f t="shared" si="647"/>
        <v>CPP_7_3</v>
      </c>
    </row>
    <row r="5128" spans="1:22">
      <c r="A5128" t="str">
        <f t="shared" si="640"/>
        <v>NDI-5503-AL</v>
      </c>
      <c r="B5128" s="403" t="s">
        <v>1424</v>
      </c>
      <c r="C5128" s="403" t="s">
        <v>582</v>
      </c>
      <c r="D5128" s="403" t="s">
        <v>1425</v>
      </c>
      <c r="E5128" s="403" t="s">
        <v>778</v>
      </c>
      <c r="F5128" s="403" t="s">
        <v>1382</v>
      </c>
      <c r="G5128" s="403" t="s">
        <v>1466</v>
      </c>
      <c r="H5128" s="403" t="s">
        <v>1281</v>
      </c>
      <c r="I5128" s="403">
        <v>1</v>
      </c>
      <c r="J5128" s="403" t="s">
        <v>1373</v>
      </c>
      <c r="K5128" s="403">
        <v>2688</v>
      </c>
      <c r="L5128" s="403">
        <v>1512</v>
      </c>
      <c r="M5128" s="403" t="s">
        <v>1280</v>
      </c>
      <c r="N5128" s="403">
        <v>2688</v>
      </c>
      <c r="O5128" s="403">
        <v>1512</v>
      </c>
      <c r="P5128" t="str">
        <f t="shared" si="641"/>
        <v>30fps 2688x1512 - copy other stream</v>
      </c>
      <c r="Q5128">
        <f t="shared" si="642"/>
        <v>23</v>
      </c>
      <c r="R5128" t="str">
        <f t="shared" si="643"/>
        <v/>
      </c>
      <c r="S5128" t="str">
        <f t="shared" si="644"/>
        <v/>
      </c>
      <c r="T5128" s="403" t="str">
        <f t="shared" si="645"/>
        <v>NDI-5503-AL</v>
      </c>
      <c r="U5128" s="403">
        <f t="shared" si="646"/>
        <v>1</v>
      </c>
      <c r="V5128" s="403" t="str">
        <f t="shared" si="647"/>
        <v>CPP_7_3</v>
      </c>
    </row>
    <row r="5129" spans="1:22">
      <c r="A5129" t="str">
        <f t="shared" si="640"/>
        <v>NDI-5503-AL</v>
      </c>
      <c r="B5129" s="403" t="s">
        <v>1424</v>
      </c>
      <c r="C5129" s="403" t="s">
        <v>582</v>
      </c>
      <c r="D5129" s="403" t="s">
        <v>1425</v>
      </c>
      <c r="E5129" s="403" t="s">
        <v>778</v>
      </c>
      <c r="F5129" s="403" t="s">
        <v>1382</v>
      </c>
      <c r="G5129" s="403" t="s">
        <v>1466</v>
      </c>
      <c r="H5129" s="403" t="s">
        <v>1281</v>
      </c>
      <c r="I5129" s="403">
        <v>1</v>
      </c>
      <c r="J5129" s="403" t="s">
        <v>1374</v>
      </c>
      <c r="K5129" s="403">
        <v>2304</v>
      </c>
      <c r="L5129" s="403">
        <v>1296</v>
      </c>
      <c r="M5129" s="403" t="s">
        <v>110</v>
      </c>
      <c r="N5129" s="403">
        <v>1920</v>
      </c>
      <c r="O5129" s="403">
        <v>1080</v>
      </c>
      <c r="P5129" t="str">
        <f t="shared" si="641"/>
        <v>30fps 2304x1296 - 1080p</v>
      </c>
      <c r="Q5129">
        <f t="shared" si="642"/>
        <v>23</v>
      </c>
      <c r="R5129" t="str">
        <f t="shared" si="643"/>
        <v/>
      </c>
      <c r="S5129" t="str">
        <f t="shared" si="644"/>
        <v/>
      </c>
      <c r="T5129" s="403" t="str">
        <f t="shared" si="645"/>
        <v>NDI-5503-AL</v>
      </c>
      <c r="U5129" s="403">
        <f t="shared" si="646"/>
        <v>1</v>
      </c>
      <c r="V5129" s="403" t="str">
        <f t="shared" si="647"/>
        <v>CPP_7_3</v>
      </c>
    </row>
    <row r="5130" spans="1:22">
      <c r="A5130" t="str">
        <f t="shared" si="640"/>
        <v>NDI-5503-AL</v>
      </c>
      <c r="B5130" s="403" t="s">
        <v>1424</v>
      </c>
      <c r="C5130" s="403" t="s">
        <v>582</v>
      </c>
      <c r="D5130" s="403" t="s">
        <v>1425</v>
      </c>
      <c r="E5130" s="403" t="s">
        <v>778</v>
      </c>
      <c r="F5130" s="403" t="s">
        <v>1382</v>
      </c>
      <c r="G5130" s="403" t="s">
        <v>1466</v>
      </c>
      <c r="H5130" s="403" t="s">
        <v>1281</v>
      </c>
      <c r="I5130" s="403">
        <v>1</v>
      </c>
      <c r="J5130" s="403" t="s">
        <v>1374</v>
      </c>
      <c r="K5130" s="403">
        <v>2304</v>
      </c>
      <c r="L5130" s="403">
        <v>1296</v>
      </c>
      <c r="M5130" s="403" t="s">
        <v>1374</v>
      </c>
      <c r="N5130" s="403">
        <v>2304</v>
      </c>
      <c r="O5130" s="403">
        <v>1296</v>
      </c>
      <c r="P5130" t="str">
        <f t="shared" si="641"/>
        <v>30fps 2304x1296 - 2304x1296</v>
      </c>
      <c r="Q5130">
        <f t="shared" si="642"/>
        <v>23</v>
      </c>
      <c r="R5130" t="str">
        <f t="shared" si="643"/>
        <v/>
      </c>
      <c r="S5130" t="str">
        <f t="shared" si="644"/>
        <v/>
      </c>
      <c r="T5130" s="403" t="str">
        <f t="shared" si="645"/>
        <v>NDI-5503-AL</v>
      </c>
      <c r="U5130" s="403">
        <f t="shared" si="646"/>
        <v>1</v>
      </c>
      <c r="V5130" s="403" t="str">
        <f t="shared" si="647"/>
        <v>CPP_7_3</v>
      </c>
    </row>
    <row r="5131" spans="1:22">
      <c r="A5131" t="str">
        <f t="shared" si="640"/>
        <v>NDI-5503-AL</v>
      </c>
      <c r="B5131" s="403" t="s">
        <v>1424</v>
      </c>
      <c r="C5131" s="403" t="s">
        <v>582</v>
      </c>
      <c r="D5131" s="403" t="s">
        <v>1425</v>
      </c>
      <c r="E5131" s="403" t="s">
        <v>778</v>
      </c>
      <c r="F5131" s="403" t="s">
        <v>1382</v>
      </c>
      <c r="G5131" s="403" t="s">
        <v>1466</v>
      </c>
      <c r="H5131" s="403" t="s">
        <v>1281</v>
      </c>
      <c r="I5131" s="403">
        <v>1</v>
      </c>
      <c r="J5131" s="403" t="s">
        <v>1374</v>
      </c>
      <c r="K5131" s="403">
        <v>2304</v>
      </c>
      <c r="L5131" s="403">
        <v>1296</v>
      </c>
      <c r="M5131" s="403" t="s">
        <v>109</v>
      </c>
      <c r="N5131" s="403">
        <v>1280</v>
      </c>
      <c r="O5131" s="403">
        <v>720</v>
      </c>
      <c r="P5131" t="str">
        <f t="shared" si="641"/>
        <v>30fps 2304x1296 - 720p</v>
      </c>
      <c r="Q5131">
        <f t="shared" si="642"/>
        <v>23</v>
      </c>
      <c r="R5131" t="str">
        <f t="shared" si="643"/>
        <v/>
      </c>
      <c r="S5131" t="str">
        <f t="shared" si="644"/>
        <v/>
      </c>
      <c r="T5131" s="403" t="str">
        <f t="shared" si="645"/>
        <v>NDI-5503-AL</v>
      </c>
      <c r="U5131" s="403">
        <f t="shared" si="646"/>
        <v>1</v>
      </c>
      <c r="V5131" s="403" t="str">
        <f t="shared" si="647"/>
        <v>CPP_7_3</v>
      </c>
    </row>
    <row r="5132" spans="1:22">
      <c r="A5132" t="str">
        <f t="shared" si="640"/>
        <v>NDI-5503-AL</v>
      </c>
      <c r="B5132" s="403" t="s">
        <v>1424</v>
      </c>
      <c r="C5132" s="403" t="s">
        <v>582</v>
      </c>
      <c r="D5132" s="403" t="s">
        <v>1425</v>
      </c>
      <c r="E5132" s="403" t="s">
        <v>778</v>
      </c>
      <c r="F5132" s="403" t="s">
        <v>1382</v>
      </c>
      <c r="G5132" s="403" t="s">
        <v>1466</v>
      </c>
      <c r="H5132" s="403" t="s">
        <v>1281</v>
      </c>
      <c r="I5132" s="403">
        <v>1</v>
      </c>
      <c r="J5132" s="403" t="s">
        <v>1374</v>
      </c>
      <c r="K5132" s="403">
        <v>2304</v>
      </c>
      <c r="L5132" s="403">
        <v>1296</v>
      </c>
      <c r="M5132" s="403" t="s">
        <v>111</v>
      </c>
      <c r="N5132" s="403">
        <v>640</v>
      </c>
      <c r="O5132" s="403">
        <v>480</v>
      </c>
      <c r="P5132" t="str">
        <f t="shared" si="641"/>
        <v>30fps 2304x1296 - SD</v>
      </c>
      <c r="Q5132">
        <f t="shared" si="642"/>
        <v>23</v>
      </c>
      <c r="R5132" t="str">
        <f t="shared" si="643"/>
        <v/>
      </c>
      <c r="S5132" t="str">
        <f t="shared" si="644"/>
        <v/>
      </c>
      <c r="T5132" s="403" t="str">
        <f t="shared" si="645"/>
        <v>NDI-5503-AL</v>
      </c>
      <c r="U5132" s="403">
        <f t="shared" si="646"/>
        <v>1</v>
      </c>
      <c r="V5132" s="403" t="str">
        <f t="shared" si="647"/>
        <v>CPP_7_3</v>
      </c>
    </row>
    <row r="5133" spans="1:22">
      <c r="A5133" t="str">
        <f t="shared" si="640"/>
        <v>NDI-5503-AL</v>
      </c>
      <c r="B5133" s="403" t="s">
        <v>1424</v>
      </c>
      <c r="C5133" s="403" t="s">
        <v>582</v>
      </c>
      <c r="D5133" s="403" t="s">
        <v>1425</v>
      </c>
      <c r="E5133" s="403" t="s">
        <v>778</v>
      </c>
      <c r="F5133" s="403" t="s">
        <v>1382</v>
      </c>
      <c r="G5133" s="403" t="s">
        <v>1466</v>
      </c>
      <c r="H5133" s="403" t="s">
        <v>1281</v>
      </c>
      <c r="I5133" s="403">
        <v>1</v>
      </c>
      <c r="J5133" s="403" t="s">
        <v>1374</v>
      </c>
      <c r="K5133" s="403">
        <v>2304</v>
      </c>
      <c r="L5133" s="403">
        <v>1296</v>
      </c>
      <c r="M5133" s="403" t="s">
        <v>1279</v>
      </c>
      <c r="N5133" s="403">
        <v>640</v>
      </c>
      <c r="O5133" s="403">
        <v>480</v>
      </c>
      <c r="P5133" t="str">
        <f t="shared" si="641"/>
        <v>30fps 2304x1296 - SD ROI PTZ</v>
      </c>
      <c r="Q5133">
        <f t="shared" si="642"/>
        <v>23</v>
      </c>
      <c r="R5133" t="str">
        <f t="shared" si="643"/>
        <v/>
      </c>
      <c r="S5133" t="str">
        <f t="shared" si="644"/>
        <v/>
      </c>
      <c r="T5133" s="403" t="str">
        <f t="shared" si="645"/>
        <v>NDI-5503-AL</v>
      </c>
      <c r="U5133" s="403">
        <f t="shared" si="646"/>
        <v>1</v>
      </c>
      <c r="V5133" s="403" t="str">
        <f t="shared" si="647"/>
        <v>CPP_7_3</v>
      </c>
    </row>
    <row r="5134" spans="1:22">
      <c r="A5134" t="str">
        <f t="shared" si="640"/>
        <v>NDI-5503-AL</v>
      </c>
      <c r="B5134" s="403" t="s">
        <v>1424</v>
      </c>
      <c r="C5134" s="403" t="s">
        <v>582</v>
      </c>
      <c r="D5134" s="403" t="s">
        <v>1425</v>
      </c>
      <c r="E5134" s="403" t="s">
        <v>778</v>
      </c>
      <c r="F5134" s="403" t="s">
        <v>1382</v>
      </c>
      <c r="G5134" s="403" t="s">
        <v>1466</v>
      </c>
      <c r="H5134" s="403" t="s">
        <v>1281</v>
      </c>
      <c r="I5134" s="403">
        <v>1</v>
      </c>
      <c r="J5134" s="403" t="s">
        <v>1374</v>
      </c>
      <c r="K5134" s="403">
        <v>2304</v>
      </c>
      <c r="L5134" s="403">
        <v>1296</v>
      </c>
      <c r="M5134" s="403" t="s">
        <v>1285</v>
      </c>
      <c r="N5134" s="403">
        <v>1280</v>
      </c>
      <c r="O5134" s="403">
        <v>1024</v>
      </c>
      <c r="P5134" t="str">
        <f t="shared" si="641"/>
        <v>30fps 2304x1296 - 1280x1024 5:4 (cropped)</v>
      </c>
      <c r="Q5134">
        <f t="shared" si="642"/>
        <v>23</v>
      </c>
      <c r="R5134" t="str">
        <f t="shared" si="643"/>
        <v/>
      </c>
      <c r="S5134" t="str">
        <f t="shared" si="644"/>
        <v/>
      </c>
      <c r="T5134" s="403" t="str">
        <f t="shared" si="645"/>
        <v>NDI-5503-AL</v>
      </c>
      <c r="U5134" s="403">
        <f t="shared" si="646"/>
        <v>1</v>
      </c>
      <c r="V5134" s="403" t="str">
        <f t="shared" si="647"/>
        <v>CPP_7_3</v>
      </c>
    </row>
    <row r="5135" spans="1:22">
      <c r="A5135" t="str">
        <f t="shared" si="640"/>
        <v>NDI-5503-AL</v>
      </c>
      <c r="B5135" s="403" t="s">
        <v>1424</v>
      </c>
      <c r="C5135" s="403" t="s">
        <v>582</v>
      </c>
      <c r="D5135" s="403" t="s">
        <v>1425</v>
      </c>
      <c r="E5135" s="403" t="s">
        <v>778</v>
      </c>
      <c r="F5135" s="403" t="s">
        <v>1382</v>
      </c>
      <c r="G5135" s="403" t="s">
        <v>1466</v>
      </c>
      <c r="H5135" s="403" t="s">
        <v>1281</v>
      </c>
      <c r="I5135" s="403">
        <v>1</v>
      </c>
      <c r="J5135" s="403" t="s">
        <v>1374</v>
      </c>
      <c r="K5135" s="403">
        <v>2304</v>
      </c>
      <c r="L5135" s="403">
        <v>1296</v>
      </c>
      <c r="M5135" s="403" t="s">
        <v>1283</v>
      </c>
      <c r="N5135" s="403">
        <v>720</v>
      </c>
      <c r="O5135" s="403">
        <v>480</v>
      </c>
      <c r="P5135" t="str">
        <f t="shared" si="641"/>
        <v>30fps 2304x1296 - SD 4CIF resolution 4:3 format (cropped)</v>
      </c>
      <c r="Q5135">
        <f t="shared" si="642"/>
        <v>23</v>
      </c>
      <c r="R5135" t="str">
        <f t="shared" si="643"/>
        <v/>
      </c>
      <c r="S5135" t="str">
        <f t="shared" si="644"/>
        <v/>
      </c>
      <c r="T5135" s="403" t="str">
        <f t="shared" si="645"/>
        <v>NDI-5503-AL</v>
      </c>
      <c r="U5135" s="403">
        <f t="shared" si="646"/>
        <v>1</v>
      </c>
      <c r="V5135" s="403" t="str">
        <f t="shared" si="647"/>
        <v>CPP_7_3</v>
      </c>
    </row>
    <row r="5136" spans="1:22">
      <c r="A5136" t="str">
        <f t="shared" si="640"/>
        <v>NDI-5503-AL</v>
      </c>
      <c r="B5136" s="403" t="s">
        <v>1424</v>
      </c>
      <c r="C5136" s="403" t="s">
        <v>582</v>
      </c>
      <c r="D5136" s="403" t="s">
        <v>1425</v>
      </c>
      <c r="E5136" s="403" t="s">
        <v>778</v>
      </c>
      <c r="F5136" s="403" t="s">
        <v>1382</v>
      </c>
      <c r="G5136" s="403" t="s">
        <v>1466</v>
      </c>
      <c r="H5136" s="403" t="s">
        <v>1281</v>
      </c>
      <c r="I5136" s="403">
        <v>1</v>
      </c>
      <c r="J5136" s="403" t="s">
        <v>1374</v>
      </c>
      <c r="K5136" s="403">
        <v>2304</v>
      </c>
      <c r="L5136" s="403">
        <v>1296</v>
      </c>
      <c r="M5136" s="403" t="s">
        <v>1284</v>
      </c>
      <c r="N5136" s="403">
        <v>640</v>
      </c>
      <c r="O5136" s="403">
        <v>480</v>
      </c>
      <c r="P5136" t="str">
        <f t="shared" si="641"/>
        <v>30fps 2304x1296 - SD VGA (cropped)</v>
      </c>
      <c r="Q5136">
        <f t="shared" si="642"/>
        <v>23</v>
      </c>
      <c r="R5136" t="str">
        <f t="shared" si="643"/>
        <v/>
      </c>
      <c r="S5136" t="str">
        <f t="shared" si="644"/>
        <v/>
      </c>
      <c r="T5136" s="403" t="str">
        <f t="shared" si="645"/>
        <v>NDI-5503-AL</v>
      </c>
      <c r="U5136" s="403">
        <f t="shared" si="646"/>
        <v>1</v>
      </c>
      <c r="V5136" s="403" t="str">
        <f t="shared" si="647"/>
        <v>CPP_7_3</v>
      </c>
    </row>
    <row r="5137" spans="1:22">
      <c r="A5137" t="str">
        <f t="shared" si="640"/>
        <v>NDI-5503-AL</v>
      </c>
      <c r="B5137" s="403" t="s">
        <v>1424</v>
      </c>
      <c r="C5137" s="403" t="s">
        <v>582</v>
      </c>
      <c r="D5137" s="403" t="s">
        <v>1425</v>
      </c>
      <c r="E5137" s="403" t="s">
        <v>778</v>
      </c>
      <c r="F5137" s="403" t="s">
        <v>1382</v>
      </c>
      <c r="G5137" s="403" t="s">
        <v>1466</v>
      </c>
      <c r="H5137" s="403" t="s">
        <v>1281</v>
      </c>
      <c r="I5137" s="403">
        <v>1</v>
      </c>
      <c r="J5137" s="403" t="s">
        <v>1374</v>
      </c>
      <c r="K5137" s="403">
        <v>2304</v>
      </c>
      <c r="L5137" s="403">
        <v>1296</v>
      </c>
      <c r="M5137" s="403" t="s">
        <v>1280</v>
      </c>
      <c r="N5137" s="403">
        <v>2304</v>
      </c>
      <c r="O5137" s="403">
        <v>1296</v>
      </c>
      <c r="P5137" t="str">
        <f t="shared" si="641"/>
        <v>30fps 2304x1296 - copy other stream</v>
      </c>
      <c r="Q5137">
        <f t="shared" si="642"/>
        <v>23</v>
      </c>
      <c r="R5137" t="str">
        <f t="shared" si="643"/>
        <v/>
      </c>
      <c r="S5137" t="str">
        <f t="shared" si="644"/>
        <v/>
      </c>
      <c r="T5137" s="403" t="str">
        <f t="shared" si="645"/>
        <v>NDI-5503-AL</v>
      </c>
      <c r="U5137" s="403">
        <f t="shared" si="646"/>
        <v>1</v>
      </c>
      <c r="V5137" s="403" t="str">
        <f t="shared" si="647"/>
        <v>CPP_7_3</v>
      </c>
    </row>
    <row r="5138" spans="1:22">
      <c r="A5138" t="str">
        <f t="shared" si="640"/>
        <v>NDI-5503-AL</v>
      </c>
      <c r="B5138" s="403" t="s">
        <v>1424</v>
      </c>
      <c r="C5138" s="403" t="s">
        <v>582</v>
      </c>
      <c r="D5138" s="403" t="s">
        <v>1425</v>
      </c>
      <c r="E5138" s="403" t="s">
        <v>778</v>
      </c>
      <c r="F5138" s="403" t="s">
        <v>1382</v>
      </c>
      <c r="G5138" s="403" t="s">
        <v>1466</v>
      </c>
      <c r="H5138" s="403" t="s">
        <v>1281</v>
      </c>
      <c r="I5138" s="403">
        <v>1</v>
      </c>
      <c r="J5138" s="403" t="s">
        <v>110</v>
      </c>
      <c r="K5138" s="403">
        <v>1920</v>
      </c>
      <c r="L5138" s="403">
        <v>1080</v>
      </c>
      <c r="M5138" s="403" t="s">
        <v>111</v>
      </c>
      <c r="N5138" s="403">
        <v>640</v>
      </c>
      <c r="O5138" s="403">
        <v>480</v>
      </c>
      <c r="P5138" t="str">
        <f t="shared" si="641"/>
        <v>30fps 1080p - SD</v>
      </c>
      <c r="Q5138">
        <f t="shared" si="642"/>
        <v>23</v>
      </c>
      <c r="R5138" t="str">
        <f t="shared" si="643"/>
        <v/>
      </c>
      <c r="S5138" t="str">
        <f t="shared" si="644"/>
        <v/>
      </c>
      <c r="T5138" s="403" t="str">
        <f t="shared" si="645"/>
        <v>NDI-5503-AL</v>
      </c>
      <c r="U5138" s="403">
        <f t="shared" si="646"/>
        <v>1</v>
      </c>
      <c r="V5138" s="403" t="str">
        <f t="shared" si="647"/>
        <v>CPP_7_3</v>
      </c>
    </row>
    <row r="5139" spans="1:22">
      <c r="A5139" t="str">
        <f t="shared" si="640"/>
        <v>NDI-5503-AL</v>
      </c>
      <c r="B5139" s="403" t="s">
        <v>1424</v>
      </c>
      <c r="C5139" s="403" t="s">
        <v>582</v>
      </c>
      <c r="D5139" s="403" t="s">
        <v>1425</v>
      </c>
      <c r="E5139" s="403" t="s">
        <v>778</v>
      </c>
      <c r="F5139" s="403" t="s">
        <v>1382</v>
      </c>
      <c r="G5139" s="403" t="s">
        <v>1466</v>
      </c>
      <c r="H5139" s="403" t="s">
        <v>1281</v>
      </c>
      <c r="I5139" s="403">
        <v>1</v>
      </c>
      <c r="J5139" s="403" t="s">
        <v>110</v>
      </c>
      <c r="K5139" s="403">
        <v>1920</v>
      </c>
      <c r="L5139" s="403">
        <v>1080</v>
      </c>
      <c r="M5139" s="403" t="s">
        <v>110</v>
      </c>
      <c r="N5139" s="403">
        <v>1920</v>
      </c>
      <c r="O5139" s="403">
        <v>1080</v>
      </c>
      <c r="P5139" t="str">
        <f t="shared" si="641"/>
        <v>30fps 1080p - 1080p</v>
      </c>
      <c r="Q5139">
        <f t="shared" si="642"/>
        <v>23</v>
      </c>
      <c r="R5139" t="str">
        <f t="shared" si="643"/>
        <v/>
      </c>
      <c r="S5139" t="str">
        <f t="shared" si="644"/>
        <v/>
      </c>
      <c r="T5139" s="403" t="str">
        <f t="shared" si="645"/>
        <v>NDI-5503-AL</v>
      </c>
      <c r="U5139" s="403">
        <f t="shared" si="646"/>
        <v>1</v>
      </c>
      <c r="V5139" s="403" t="str">
        <f t="shared" si="647"/>
        <v>CPP_7_3</v>
      </c>
    </row>
    <row r="5140" spans="1:22">
      <c r="A5140" t="str">
        <f t="shared" si="640"/>
        <v>NDI-5503-AL</v>
      </c>
      <c r="B5140" s="403" t="s">
        <v>1424</v>
      </c>
      <c r="C5140" s="403" t="s">
        <v>582</v>
      </c>
      <c r="D5140" s="403" t="s">
        <v>1425</v>
      </c>
      <c r="E5140" s="403" t="s">
        <v>778</v>
      </c>
      <c r="F5140" s="403" t="s">
        <v>1382</v>
      </c>
      <c r="G5140" s="403" t="s">
        <v>1466</v>
      </c>
      <c r="H5140" s="403" t="s">
        <v>1281</v>
      </c>
      <c r="I5140" s="403">
        <v>1</v>
      </c>
      <c r="J5140" s="403" t="s">
        <v>110</v>
      </c>
      <c r="K5140" s="403">
        <v>1920</v>
      </c>
      <c r="L5140" s="403">
        <v>1080</v>
      </c>
      <c r="M5140" s="403" t="s">
        <v>109</v>
      </c>
      <c r="N5140" s="403">
        <v>1280</v>
      </c>
      <c r="O5140" s="403">
        <v>720</v>
      </c>
      <c r="P5140" t="str">
        <f t="shared" si="641"/>
        <v>30fps 1080p - 720p</v>
      </c>
      <c r="Q5140">
        <f t="shared" si="642"/>
        <v>23</v>
      </c>
      <c r="R5140" t="str">
        <f t="shared" si="643"/>
        <v/>
      </c>
      <c r="S5140" t="str">
        <f t="shared" si="644"/>
        <v/>
      </c>
      <c r="T5140" s="403" t="str">
        <f t="shared" si="645"/>
        <v>NDI-5503-AL</v>
      </c>
      <c r="U5140" s="403">
        <f t="shared" si="646"/>
        <v>1</v>
      </c>
      <c r="V5140" s="403" t="str">
        <f t="shared" si="647"/>
        <v>CPP_7_3</v>
      </c>
    </row>
    <row r="5141" spans="1:22">
      <c r="A5141" t="str">
        <f t="shared" si="640"/>
        <v>NDI-5503-AL</v>
      </c>
      <c r="B5141" s="403" t="s">
        <v>1424</v>
      </c>
      <c r="C5141" s="403" t="s">
        <v>582</v>
      </c>
      <c r="D5141" s="403" t="s">
        <v>1425</v>
      </c>
      <c r="E5141" s="403" t="s">
        <v>778</v>
      </c>
      <c r="F5141" s="403" t="s">
        <v>1382</v>
      </c>
      <c r="G5141" s="403" t="s">
        <v>1466</v>
      </c>
      <c r="H5141" s="403" t="s">
        <v>1281</v>
      </c>
      <c r="I5141" s="403">
        <v>1</v>
      </c>
      <c r="J5141" s="403" t="s">
        <v>110</v>
      </c>
      <c r="K5141" s="403">
        <v>1920</v>
      </c>
      <c r="L5141" s="403">
        <v>1080</v>
      </c>
      <c r="M5141" s="403" t="s">
        <v>1285</v>
      </c>
      <c r="N5141" s="403">
        <v>1280</v>
      </c>
      <c r="O5141" s="403">
        <v>1024</v>
      </c>
      <c r="P5141" t="str">
        <f t="shared" si="641"/>
        <v>30fps 1080p - 1280x1024 5:4 (cropped)</v>
      </c>
      <c r="Q5141">
        <f t="shared" si="642"/>
        <v>23</v>
      </c>
      <c r="R5141" t="str">
        <f t="shared" si="643"/>
        <v/>
      </c>
      <c r="S5141" t="str">
        <f t="shared" si="644"/>
        <v/>
      </c>
      <c r="T5141" s="403" t="str">
        <f t="shared" si="645"/>
        <v>NDI-5503-AL</v>
      </c>
      <c r="U5141" s="403">
        <f t="shared" si="646"/>
        <v>1</v>
      </c>
      <c r="V5141" s="403" t="str">
        <f t="shared" si="647"/>
        <v>CPP_7_3</v>
      </c>
    </row>
    <row r="5142" spans="1:22">
      <c r="A5142" t="str">
        <f t="shared" si="640"/>
        <v>NDI-5503-AL</v>
      </c>
      <c r="B5142" s="403" t="s">
        <v>1424</v>
      </c>
      <c r="C5142" s="403" t="s">
        <v>582</v>
      </c>
      <c r="D5142" s="403" t="s">
        <v>1425</v>
      </c>
      <c r="E5142" s="403" t="s">
        <v>778</v>
      </c>
      <c r="F5142" s="403" t="s">
        <v>1382</v>
      </c>
      <c r="G5142" s="403" t="s">
        <v>1466</v>
      </c>
      <c r="H5142" s="403" t="s">
        <v>1281</v>
      </c>
      <c r="I5142" s="403">
        <v>1</v>
      </c>
      <c r="J5142" s="403" t="s">
        <v>110</v>
      </c>
      <c r="K5142" s="403">
        <v>1920</v>
      </c>
      <c r="L5142" s="403">
        <v>1080</v>
      </c>
      <c r="M5142" s="403" t="s">
        <v>1279</v>
      </c>
      <c r="N5142" s="403">
        <v>640</v>
      </c>
      <c r="O5142" s="403">
        <v>480</v>
      </c>
      <c r="P5142" t="str">
        <f t="shared" si="641"/>
        <v>30fps 1080p - SD ROI PTZ</v>
      </c>
      <c r="Q5142">
        <f t="shared" si="642"/>
        <v>23</v>
      </c>
      <c r="R5142" t="str">
        <f t="shared" si="643"/>
        <v/>
      </c>
      <c r="S5142" t="str">
        <f t="shared" si="644"/>
        <v/>
      </c>
      <c r="T5142" s="403" t="str">
        <f t="shared" si="645"/>
        <v>NDI-5503-AL</v>
      </c>
      <c r="U5142" s="403">
        <f t="shared" si="646"/>
        <v>1</v>
      </c>
      <c r="V5142" s="403" t="str">
        <f t="shared" si="647"/>
        <v>CPP_7_3</v>
      </c>
    </row>
    <row r="5143" spans="1:22">
      <c r="A5143" t="str">
        <f t="shared" si="640"/>
        <v>NDI-5503-AL</v>
      </c>
      <c r="B5143" s="403" t="s">
        <v>1424</v>
      </c>
      <c r="C5143" s="403" t="s">
        <v>582</v>
      </c>
      <c r="D5143" s="403" t="s">
        <v>1425</v>
      </c>
      <c r="E5143" s="403" t="s">
        <v>778</v>
      </c>
      <c r="F5143" s="403" t="s">
        <v>1382</v>
      </c>
      <c r="G5143" s="403" t="s">
        <v>1466</v>
      </c>
      <c r="H5143" s="403" t="s">
        <v>1281</v>
      </c>
      <c r="I5143" s="403">
        <v>1</v>
      </c>
      <c r="J5143" s="403" t="s">
        <v>110</v>
      </c>
      <c r="K5143" s="403">
        <v>1920</v>
      </c>
      <c r="L5143" s="403">
        <v>1080</v>
      </c>
      <c r="M5143" s="403" t="s">
        <v>1283</v>
      </c>
      <c r="N5143" s="403">
        <v>720</v>
      </c>
      <c r="O5143" s="403">
        <v>480</v>
      </c>
      <c r="P5143" t="str">
        <f t="shared" si="641"/>
        <v>30fps 1080p - SD 4CIF resolution 4:3 format (cropped)</v>
      </c>
      <c r="Q5143">
        <f t="shared" si="642"/>
        <v>23</v>
      </c>
      <c r="R5143" t="str">
        <f t="shared" si="643"/>
        <v/>
      </c>
      <c r="S5143" t="str">
        <f t="shared" si="644"/>
        <v/>
      </c>
      <c r="T5143" s="403" t="str">
        <f t="shared" si="645"/>
        <v>NDI-5503-AL</v>
      </c>
      <c r="U5143" s="403">
        <f t="shared" si="646"/>
        <v>1</v>
      </c>
      <c r="V5143" s="403" t="str">
        <f t="shared" si="647"/>
        <v>CPP_7_3</v>
      </c>
    </row>
    <row r="5144" spans="1:22">
      <c r="A5144" t="str">
        <f t="shared" si="640"/>
        <v>NDI-5503-AL</v>
      </c>
      <c r="B5144" s="403" t="s">
        <v>1424</v>
      </c>
      <c r="C5144" s="403" t="s">
        <v>582</v>
      </c>
      <c r="D5144" s="403" t="s">
        <v>1425</v>
      </c>
      <c r="E5144" s="403" t="s">
        <v>778</v>
      </c>
      <c r="F5144" s="403" t="s">
        <v>1382</v>
      </c>
      <c r="G5144" s="403" t="s">
        <v>1466</v>
      </c>
      <c r="H5144" s="403" t="s">
        <v>1281</v>
      </c>
      <c r="I5144" s="403">
        <v>1</v>
      </c>
      <c r="J5144" s="403" t="s">
        <v>110</v>
      </c>
      <c r="K5144" s="403">
        <v>1920</v>
      </c>
      <c r="L5144" s="403">
        <v>1080</v>
      </c>
      <c r="M5144" s="403" t="s">
        <v>1284</v>
      </c>
      <c r="N5144" s="403">
        <v>640</v>
      </c>
      <c r="O5144" s="403">
        <v>480</v>
      </c>
      <c r="P5144" t="str">
        <f t="shared" si="641"/>
        <v>30fps 1080p - SD VGA (cropped)</v>
      </c>
      <c r="Q5144">
        <f t="shared" si="642"/>
        <v>23</v>
      </c>
      <c r="R5144" t="str">
        <f t="shared" si="643"/>
        <v/>
      </c>
      <c r="S5144" t="str">
        <f t="shared" si="644"/>
        <v/>
      </c>
      <c r="T5144" s="403" t="str">
        <f t="shared" si="645"/>
        <v>NDI-5503-AL</v>
      </c>
      <c r="U5144" s="403">
        <f t="shared" si="646"/>
        <v>1</v>
      </c>
      <c r="V5144" s="403" t="str">
        <f t="shared" si="647"/>
        <v>CPP_7_3</v>
      </c>
    </row>
    <row r="5145" spans="1:22">
      <c r="A5145" t="str">
        <f t="shared" si="640"/>
        <v>NDI-5503-AL</v>
      </c>
      <c r="B5145" s="403" t="s">
        <v>1424</v>
      </c>
      <c r="C5145" s="403" t="s">
        <v>582</v>
      </c>
      <c r="D5145" s="403" t="s">
        <v>1425</v>
      </c>
      <c r="E5145" s="403" t="s">
        <v>778</v>
      </c>
      <c r="F5145" s="403" t="s">
        <v>1382</v>
      </c>
      <c r="G5145" s="403" t="s">
        <v>1466</v>
      </c>
      <c r="H5145" s="403" t="s">
        <v>1281</v>
      </c>
      <c r="I5145" s="403">
        <v>1</v>
      </c>
      <c r="J5145" s="403" t="s">
        <v>109</v>
      </c>
      <c r="K5145" s="403">
        <v>1280</v>
      </c>
      <c r="L5145" s="403">
        <v>720</v>
      </c>
      <c r="M5145" s="403" t="s">
        <v>109</v>
      </c>
      <c r="N5145" s="403">
        <v>1280</v>
      </c>
      <c r="O5145" s="403">
        <v>720</v>
      </c>
      <c r="P5145" t="str">
        <f t="shared" si="641"/>
        <v>30fps 720p - 720p</v>
      </c>
      <c r="Q5145">
        <f t="shared" si="642"/>
        <v>23</v>
      </c>
      <c r="R5145" t="str">
        <f t="shared" si="643"/>
        <v/>
      </c>
      <c r="S5145" t="str">
        <f t="shared" si="644"/>
        <v/>
      </c>
      <c r="T5145" s="403" t="str">
        <f t="shared" si="645"/>
        <v>NDI-5503-AL</v>
      </c>
      <c r="U5145" s="403">
        <f t="shared" si="646"/>
        <v>1</v>
      </c>
      <c r="V5145" s="403" t="str">
        <f t="shared" si="647"/>
        <v>CPP_7_3</v>
      </c>
    </row>
    <row r="5146" spans="1:22">
      <c r="A5146" t="str">
        <f t="shared" si="640"/>
        <v>NDI-5503-AL</v>
      </c>
      <c r="B5146" s="403" t="s">
        <v>1424</v>
      </c>
      <c r="C5146" s="403" t="s">
        <v>582</v>
      </c>
      <c r="D5146" s="403" t="s">
        <v>1425</v>
      </c>
      <c r="E5146" s="403" t="s">
        <v>778</v>
      </c>
      <c r="F5146" s="403" t="s">
        <v>1382</v>
      </c>
      <c r="G5146" s="403" t="s">
        <v>1466</v>
      </c>
      <c r="H5146" s="403" t="s">
        <v>1281</v>
      </c>
      <c r="I5146" s="403">
        <v>1</v>
      </c>
      <c r="J5146" s="403" t="s">
        <v>109</v>
      </c>
      <c r="K5146" s="403">
        <v>1280</v>
      </c>
      <c r="L5146" s="403">
        <v>720</v>
      </c>
      <c r="M5146" s="403" t="s">
        <v>111</v>
      </c>
      <c r="N5146" s="403">
        <v>640</v>
      </c>
      <c r="O5146" s="403">
        <v>480</v>
      </c>
      <c r="P5146" t="str">
        <f t="shared" si="641"/>
        <v>30fps 720p - SD</v>
      </c>
      <c r="Q5146">
        <f t="shared" si="642"/>
        <v>23</v>
      </c>
      <c r="R5146" t="str">
        <f t="shared" si="643"/>
        <v/>
      </c>
      <c r="S5146" t="str">
        <f t="shared" si="644"/>
        <v/>
      </c>
      <c r="T5146" s="403" t="str">
        <f t="shared" si="645"/>
        <v>NDI-5503-AL</v>
      </c>
      <c r="U5146" s="403">
        <f t="shared" si="646"/>
        <v>1</v>
      </c>
      <c r="V5146" s="403" t="str">
        <f t="shared" si="647"/>
        <v>CPP_7_3</v>
      </c>
    </row>
    <row r="5147" spans="1:22">
      <c r="A5147" t="str">
        <f t="shared" si="640"/>
        <v>NDI-5503-AL</v>
      </c>
      <c r="B5147" s="403" t="s">
        <v>1424</v>
      </c>
      <c r="C5147" s="403" t="s">
        <v>582</v>
      </c>
      <c r="D5147" s="403" t="s">
        <v>1425</v>
      </c>
      <c r="E5147" s="403" t="s">
        <v>778</v>
      </c>
      <c r="F5147" s="403" t="s">
        <v>1382</v>
      </c>
      <c r="G5147" s="403" t="s">
        <v>1466</v>
      </c>
      <c r="H5147" s="403" t="s">
        <v>1281</v>
      </c>
      <c r="I5147" s="403">
        <v>1</v>
      </c>
      <c r="J5147" s="403" t="s">
        <v>109</v>
      </c>
      <c r="K5147" s="403">
        <v>1280</v>
      </c>
      <c r="L5147" s="403">
        <v>720</v>
      </c>
      <c r="M5147" s="403" t="s">
        <v>1279</v>
      </c>
      <c r="N5147" s="403">
        <v>640</v>
      </c>
      <c r="O5147" s="403">
        <v>480</v>
      </c>
      <c r="P5147" t="str">
        <f t="shared" si="641"/>
        <v>30fps 720p - SD ROI PTZ</v>
      </c>
      <c r="Q5147">
        <f t="shared" si="642"/>
        <v>23</v>
      </c>
      <c r="R5147" t="str">
        <f t="shared" si="643"/>
        <v/>
      </c>
      <c r="S5147" t="str">
        <f t="shared" si="644"/>
        <v/>
      </c>
      <c r="T5147" s="403" t="str">
        <f t="shared" si="645"/>
        <v>NDI-5503-AL</v>
      </c>
      <c r="U5147" s="403">
        <f t="shared" si="646"/>
        <v>1</v>
      </c>
      <c r="V5147" s="403" t="str">
        <f t="shared" si="647"/>
        <v>CPP_7_3</v>
      </c>
    </row>
    <row r="5148" spans="1:22">
      <c r="A5148" t="str">
        <f t="shared" si="640"/>
        <v>NDI-5503-AL</v>
      </c>
      <c r="B5148" s="403" t="s">
        <v>1424</v>
      </c>
      <c r="C5148" s="403" t="s">
        <v>582</v>
      </c>
      <c r="D5148" s="403" t="s">
        <v>1425</v>
      </c>
      <c r="E5148" s="403" t="s">
        <v>778</v>
      </c>
      <c r="F5148" s="403" t="s">
        <v>1382</v>
      </c>
      <c r="G5148" s="403" t="s">
        <v>1466</v>
      </c>
      <c r="H5148" s="403" t="s">
        <v>1281</v>
      </c>
      <c r="I5148" s="403">
        <v>1</v>
      </c>
      <c r="J5148" s="403" t="s">
        <v>109</v>
      </c>
      <c r="K5148" s="403">
        <v>1280</v>
      </c>
      <c r="L5148" s="403">
        <v>720</v>
      </c>
      <c r="M5148" s="403" t="s">
        <v>1283</v>
      </c>
      <c r="N5148" s="403">
        <v>720</v>
      </c>
      <c r="O5148" s="403">
        <v>480</v>
      </c>
      <c r="P5148" t="str">
        <f t="shared" si="641"/>
        <v>30fps 720p - SD 4CIF resolution 4:3 format (cropped)</v>
      </c>
      <c r="Q5148">
        <f t="shared" si="642"/>
        <v>23</v>
      </c>
      <c r="R5148" t="str">
        <f t="shared" si="643"/>
        <v/>
      </c>
      <c r="S5148" t="str">
        <f t="shared" si="644"/>
        <v/>
      </c>
      <c r="T5148" s="403" t="str">
        <f t="shared" si="645"/>
        <v>NDI-5503-AL</v>
      </c>
      <c r="U5148" s="403">
        <f t="shared" si="646"/>
        <v>1</v>
      </c>
      <c r="V5148" s="403" t="str">
        <f t="shared" si="647"/>
        <v>CPP_7_3</v>
      </c>
    </row>
    <row r="5149" spans="1:22">
      <c r="A5149" t="str">
        <f t="shared" si="640"/>
        <v>NDI-5503-AL</v>
      </c>
      <c r="B5149" s="403" t="s">
        <v>1424</v>
      </c>
      <c r="C5149" s="403" t="s">
        <v>582</v>
      </c>
      <c r="D5149" s="403" t="s">
        <v>1425</v>
      </c>
      <c r="E5149" s="403" t="s">
        <v>778</v>
      </c>
      <c r="F5149" s="403" t="s">
        <v>1382</v>
      </c>
      <c r="G5149" s="403" t="s">
        <v>1466</v>
      </c>
      <c r="H5149" s="403" t="s">
        <v>1281</v>
      </c>
      <c r="I5149" s="403">
        <v>1</v>
      </c>
      <c r="J5149" s="403" t="s">
        <v>109</v>
      </c>
      <c r="K5149" s="403">
        <v>1280</v>
      </c>
      <c r="L5149" s="403">
        <v>720</v>
      </c>
      <c r="M5149" s="403" t="s">
        <v>1284</v>
      </c>
      <c r="N5149" s="403">
        <v>640</v>
      </c>
      <c r="O5149" s="403">
        <v>480</v>
      </c>
      <c r="P5149" t="str">
        <f t="shared" si="641"/>
        <v>30fps 720p - SD VGA (cropped)</v>
      </c>
      <c r="Q5149">
        <f t="shared" si="642"/>
        <v>23</v>
      </c>
      <c r="R5149" t="str">
        <f t="shared" si="643"/>
        <v/>
      </c>
      <c r="S5149" t="str">
        <f t="shared" si="644"/>
        <v/>
      </c>
      <c r="T5149" s="403" t="str">
        <f t="shared" si="645"/>
        <v>NDI-5503-AL</v>
      </c>
      <c r="U5149" s="403">
        <f t="shared" si="646"/>
        <v>1</v>
      </c>
      <c r="V5149" s="403" t="str">
        <f t="shared" si="647"/>
        <v>CPP_7_3</v>
      </c>
    </row>
    <row r="5150" spans="1:22">
      <c r="A5150" t="str">
        <f t="shared" si="640"/>
        <v>NDI-5503-AL</v>
      </c>
      <c r="B5150" s="403" t="s">
        <v>1424</v>
      </c>
      <c r="C5150" s="403" t="s">
        <v>582</v>
      </c>
      <c r="D5150" s="403" t="s">
        <v>1425</v>
      </c>
      <c r="E5150" s="403" t="s">
        <v>778</v>
      </c>
      <c r="F5150" s="403" t="s">
        <v>1382</v>
      </c>
      <c r="G5150" s="403" t="s">
        <v>1467</v>
      </c>
      <c r="H5150" s="403" t="s">
        <v>1276</v>
      </c>
      <c r="I5150" s="403">
        <v>1</v>
      </c>
      <c r="J5150" s="403" t="s">
        <v>1376</v>
      </c>
      <c r="K5150" s="403">
        <v>1728</v>
      </c>
      <c r="L5150" s="403">
        <v>3072</v>
      </c>
      <c r="M5150" s="403" t="s">
        <v>111</v>
      </c>
      <c r="N5150" s="403">
        <v>480</v>
      </c>
      <c r="O5150" s="403">
        <v>640</v>
      </c>
      <c r="P5150" t="str">
        <f t="shared" si="641"/>
        <v>30fps 3072x1728 - SD</v>
      </c>
      <c r="Q5150">
        <f t="shared" si="642"/>
        <v>23</v>
      </c>
      <c r="R5150" t="str">
        <f t="shared" si="643"/>
        <v/>
      </c>
      <c r="S5150" t="str">
        <f t="shared" si="644"/>
        <v/>
      </c>
      <c r="T5150" s="403" t="str">
        <f t="shared" si="645"/>
        <v>NDI-5503-AL</v>
      </c>
      <c r="U5150" s="403">
        <f t="shared" si="646"/>
        <v>1</v>
      </c>
      <c r="V5150" s="403" t="str">
        <f t="shared" si="647"/>
        <v>CPP_7_3</v>
      </c>
    </row>
    <row r="5151" spans="1:22">
      <c r="A5151" t="str">
        <f t="shared" si="640"/>
        <v>NDI-5503-AL</v>
      </c>
      <c r="B5151" s="403" t="s">
        <v>1424</v>
      </c>
      <c r="C5151" s="403" t="s">
        <v>582</v>
      </c>
      <c r="D5151" s="403" t="s">
        <v>1425</v>
      </c>
      <c r="E5151" s="403" t="s">
        <v>778</v>
      </c>
      <c r="F5151" s="403" t="s">
        <v>1382</v>
      </c>
      <c r="G5151" s="403" t="s">
        <v>1467</v>
      </c>
      <c r="H5151" s="403" t="s">
        <v>1276</v>
      </c>
      <c r="I5151" s="403">
        <v>1</v>
      </c>
      <c r="J5151" s="403" t="s">
        <v>1376</v>
      </c>
      <c r="K5151" s="403">
        <v>1728</v>
      </c>
      <c r="L5151" s="403">
        <v>3072</v>
      </c>
      <c r="M5151" s="403" t="s">
        <v>1280</v>
      </c>
      <c r="N5151" s="403">
        <v>1728</v>
      </c>
      <c r="O5151" s="403">
        <v>3072</v>
      </c>
      <c r="P5151" t="str">
        <f t="shared" si="641"/>
        <v>30fps 3072x1728 - copy other stream</v>
      </c>
      <c r="Q5151">
        <f t="shared" si="642"/>
        <v>23</v>
      </c>
      <c r="R5151" t="str">
        <f t="shared" si="643"/>
        <v/>
      </c>
      <c r="S5151" t="str">
        <f t="shared" si="644"/>
        <v/>
      </c>
      <c r="T5151" s="403" t="str">
        <f t="shared" si="645"/>
        <v>NDI-5503-AL</v>
      </c>
      <c r="U5151" s="403">
        <f t="shared" si="646"/>
        <v>1</v>
      </c>
      <c r="V5151" s="403" t="str">
        <f t="shared" si="647"/>
        <v>CPP_7_3</v>
      </c>
    </row>
    <row r="5152" spans="1:22">
      <c r="A5152" t="str">
        <f t="shared" si="640"/>
        <v>NDI-5503-AL</v>
      </c>
      <c r="B5152" s="403" t="s">
        <v>1424</v>
      </c>
      <c r="C5152" s="403" t="s">
        <v>582</v>
      </c>
      <c r="D5152" s="403" t="s">
        <v>1425</v>
      </c>
      <c r="E5152" s="403" t="s">
        <v>778</v>
      </c>
      <c r="F5152" s="403" t="s">
        <v>1382</v>
      </c>
      <c r="G5152" s="403" t="s">
        <v>1467</v>
      </c>
      <c r="H5152" s="403" t="s">
        <v>1276</v>
      </c>
      <c r="I5152" s="403">
        <v>1</v>
      </c>
      <c r="J5152" s="403" t="s">
        <v>1376</v>
      </c>
      <c r="K5152" s="403">
        <v>1728</v>
      </c>
      <c r="L5152" s="403">
        <v>3072</v>
      </c>
      <c r="M5152" s="403" t="s">
        <v>110</v>
      </c>
      <c r="N5152" s="403">
        <v>1080</v>
      </c>
      <c r="O5152" s="403">
        <v>1920</v>
      </c>
      <c r="P5152" t="str">
        <f t="shared" si="641"/>
        <v>30fps 3072x1728 - 1080p</v>
      </c>
      <c r="Q5152">
        <f t="shared" si="642"/>
        <v>23</v>
      </c>
      <c r="R5152" t="str">
        <f t="shared" si="643"/>
        <v/>
      </c>
      <c r="S5152" t="str">
        <f t="shared" si="644"/>
        <v/>
      </c>
      <c r="T5152" s="403" t="str">
        <f t="shared" si="645"/>
        <v>NDI-5503-AL</v>
      </c>
      <c r="U5152" s="403">
        <f t="shared" si="646"/>
        <v>1</v>
      </c>
      <c r="V5152" s="403" t="str">
        <f t="shared" si="647"/>
        <v>CPP_7_3</v>
      </c>
    </row>
    <row r="5153" spans="1:22">
      <c r="A5153" t="str">
        <f t="shared" si="640"/>
        <v>NDI-5503-AL</v>
      </c>
      <c r="B5153" s="403" t="s">
        <v>1424</v>
      </c>
      <c r="C5153" s="403" t="s">
        <v>582</v>
      </c>
      <c r="D5153" s="403" t="s">
        <v>1425</v>
      </c>
      <c r="E5153" s="403" t="s">
        <v>778</v>
      </c>
      <c r="F5153" s="403" t="s">
        <v>1382</v>
      </c>
      <c r="G5153" s="403" t="s">
        <v>1467</v>
      </c>
      <c r="H5153" s="403" t="s">
        <v>1276</v>
      </c>
      <c r="I5153" s="403">
        <v>1</v>
      </c>
      <c r="J5153" s="403" t="s">
        <v>1376</v>
      </c>
      <c r="K5153" s="403">
        <v>1728</v>
      </c>
      <c r="L5153" s="403">
        <v>3072</v>
      </c>
      <c r="M5153" s="403" t="s">
        <v>109</v>
      </c>
      <c r="N5153" s="403">
        <v>720</v>
      </c>
      <c r="O5153" s="403">
        <v>1280</v>
      </c>
      <c r="P5153" t="str">
        <f t="shared" si="641"/>
        <v>30fps 3072x1728 - 720p</v>
      </c>
      <c r="Q5153">
        <f t="shared" si="642"/>
        <v>23</v>
      </c>
      <c r="R5153" t="str">
        <f t="shared" si="643"/>
        <v/>
      </c>
      <c r="S5153" t="str">
        <f t="shared" si="644"/>
        <v/>
      </c>
      <c r="T5153" s="403" t="str">
        <f t="shared" si="645"/>
        <v>NDI-5503-AL</v>
      </c>
      <c r="U5153" s="403">
        <f t="shared" si="646"/>
        <v>1</v>
      </c>
      <c r="V5153" s="403" t="str">
        <f t="shared" si="647"/>
        <v>CPP_7_3</v>
      </c>
    </row>
    <row r="5154" spans="1:22">
      <c r="A5154" t="str">
        <f t="shared" si="640"/>
        <v>NDI-5503-AL</v>
      </c>
      <c r="B5154" s="403" t="s">
        <v>1424</v>
      </c>
      <c r="C5154" s="403" t="s">
        <v>582</v>
      </c>
      <c r="D5154" s="403" t="s">
        <v>1425</v>
      </c>
      <c r="E5154" s="403" t="s">
        <v>778</v>
      </c>
      <c r="F5154" s="403" t="s">
        <v>1382</v>
      </c>
      <c r="G5154" s="403" t="s">
        <v>1467</v>
      </c>
      <c r="H5154" s="403" t="s">
        <v>1276</v>
      </c>
      <c r="I5154" s="403">
        <v>1</v>
      </c>
      <c r="J5154" s="403" t="s">
        <v>1376</v>
      </c>
      <c r="K5154" s="403">
        <v>1728</v>
      </c>
      <c r="L5154" s="403">
        <v>3072</v>
      </c>
      <c r="M5154" s="403" t="s">
        <v>1283</v>
      </c>
      <c r="N5154" s="403">
        <v>480</v>
      </c>
      <c r="O5154" s="403">
        <v>720</v>
      </c>
      <c r="P5154" t="str">
        <f t="shared" si="641"/>
        <v>30fps 3072x1728 - SD 4CIF resolution 4:3 format (cropped)</v>
      </c>
      <c r="Q5154">
        <f t="shared" si="642"/>
        <v>23</v>
      </c>
      <c r="R5154" t="str">
        <f t="shared" si="643"/>
        <v/>
      </c>
      <c r="S5154" t="str">
        <f t="shared" si="644"/>
        <v/>
      </c>
      <c r="T5154" s="403" t="str">
        <f t="shared" si="645"/>
        <v>NDI-5503-AL</v>
      </c>
      <c r="U5154" s="403">
        <f t="shared" si="646"/>
        <v>1</v>
      </c>
      <c r="V5154" s="403" t="str">
        <f t="shared" si="647"/>
        <v>CPP_7_3</v>
      </c>
    </row>
    <row r="5155" spans="1:22">
      <c r="A5155" t="str">
        <f t="shared" si="640"/>
        <v>NDI-5503-AL</v>
      </c>
      <c r="B5155" s="403" t="s">
        <v>1424</v>
      </c>
      <c r="C5155" s="403" t="s">
        <v>582</v>
      </c>
      <c r="D5155" s="403" t="s">
        <v>1425</v>
      </c>
      <c r="E5155" s="403" t="s">
        <v>778</v>
      </c>
      <c r="F5155" s="403" t="s">
        <v>1382</v>
      </c>
      <c r="G5155" s="403" t="s">
        <v>1467</v>
      </c>
      <c r="H5155" s="403" t="s">
        <v>1276</v>
      </c>
      <c r="I5155" s="403">
        <v>1</v>
      </c>
      <c r="J5155" s="403" t="s">
        <v>1376</v>
      </c>
      <c r="K5155" s="403">
        <v>1728</v>
      </c>
      <c r="L5155" s="403">
        <v>3072</v>
      </c>
      <c r="M5155" s="403" t="s">
        <v>1279</v>
      </c>
      <c r="N5155" s="403">
        <v>480</v>
      </c>
      <c r="O5155" s="403">
        <v>640</v>
      </c>
      <c r="P5155" t="str">
        <f t="shared" si="641"/>
        <v>30fps 3072x1728 - SD ROI PTZ</v>
      </c>
      <c r="Q5155">
        <f t="shared" si="642"/>
        <v>23</v>
      </c>
      <c r="R5155" t="str">
        <f t="shared" si="643"/>
        <v/>
      </c>
      <c r="S5155" t="str">
        <f t="shared" si="644"/>
        <v/>
      </c>
      <c r="T5155" s="403" t="str">
        <f t="shared" si="645"/>
        <v>NDI-5503-AL</v>
      </c>
      <c r="U5155" s="403">
        <f t="shared" si="646"/>
        <v>1</v>
      </c>
      <c r="V5155" s="403" t="str">
        <f t="shared" si="647"/>
        <v>CPP_7_3</v>
      </c>
    </row>
    <row r="5156" spans="1:22">
      <c r="A5156" t="str">
        <f t="shared" si="640"/>
        <v>NDI-5503-AL</v>
      </c>
      <c r="B5156" s="403" t="s">
        <v>1424</v>
      </c>
      <c r="C5156" s="403" t="s">
        <v>582</v>
      </c>
      <c r="D5156" s="403" t="s">
        <v>1425</v>
      </c>
      <c r="E5156" s="403" t="s">
        <v>778</v>
      </c>
      <c r="F5156" s="403" t="s">
        <v>1382</v>
      </c>
      <c r="G5156" s="403" t="s">
        <v>1467</v>
      </c>
      <c r="H5156" s="403" t="s">
        <v>1276</v>
      </c>
      <c r="I5156" s="403">
        <v>1</v>
      </c>
      <c r="J5156" s="403" t="s">
        <v>1376</v>
      </c>
      <c r="K5156" s="403">
        <v>1728</v>
      </c>
      <c r="L5156" s="403">
        <v>3072</v>
      </c>
      <c r="M5156" s="403" t="s">
        <v>1284</v>
      </c>
      <c r="N5156" s="403">
        <v>480</v>
      </c>
      <c r="O5156" s="403">
        <v>640</v>
      </c>
      <c r="P5156" t="str">
        <f t="shared" si="641"/>
        <v>30fps 3072x1728 - SD VGA (cropped)</v>
      </c>
      <c r="Q5156">
        <f t="shared" si="642"/>
        <v>23</v>
      </c>
      <c r="R5156" t="str">
        <f t="shared" si="643"/>
        <v/>
      </c>
      <c r="S5156" t="str">
        <f t="shared" si="644"/>
        <v/>
      </c>
      <c r="T5156" s="403" t="str">
        <f t="shared" si="645"/>
        <v>NDI-5503-AL</v>
      </c>
      <c r="U5156" s="403">
        <f t="shared" si="646"/>
        <v>1</v>
      </c>
      <c r="V5156" s="403" t="str">
        <f t="shared" si="647"/>
        <v>CPP_7_3</v>
      </c>
    </row>
    <row r="5157" spans="1:22">
      <c r="A5157" t="str">
        <f t="shared" si="640"/>
        <v>NDI-5503-AL</v>
      </c>
      <c r="B5157" s="403" t="s">
        <v>1424</v>
      </c>
      <c r="C5157" s="403" t="s">
        <v>582</v>
      </c>
      <c r="D5157" s="403" t="s">
        <v>1425</v>
      </c>
      <c r="E5157" s="403" t="s">
        <v>778</v>
      </c>
      <c r="F5157" s="403" t="s">
        <v>1382</v>
      </c>
      <c r="G5157" s="403" t="s">
        <v>1467</v>
      </c>
      <c r="H5157" s="403" t="s">
        <v>1276</v>
      </c>
      <c r="I5157" s="403">
        <v>1</v>
      </c>
      <c r="J5157" s="403" t="s">
        <v>1376</v>
      </c>
      <c r="K5157" s="403">
        <v>1728</v>
      </c>
      <c r="L5157" s="403">
        <v>3072</v>
      </c>
      <c r="M5157" s="403" t="s">
        <v>1285</v>
      </c>
      <c r="N5157" s="403">
        <v>1024</v>
      </c>
      <c r="O5157" s="403">
        <v>1280</v>
      </c>
      <c r="P5157" t="str">
        <f t="shared" si="641"/>
        <v>30fps 3072x1728 - 1280x1024 5:4 (cropped)</v>
      </c>
      <c r="Q5157">
        <f t="shared" si="642"/>
        <v>23</v>
      </c>
      <c r="R5157" t="str">
        <f t="shared" si="643"/>
        <v/>
      </c>
      <c r="S5157" t="str">
        <f t="shared" si="644"/>
        <v/>
      </c>
      <c r="T5157" s="403" t="str">
        <f t="shared" si="645"/>
        <v>NDI-5503-AL</v>
      </c>
      <c r="U5157" s="403">
        <f t="shared" si="646"/>
        <v>1</v>
      </c>
      <c r="V5157" s="403" t="str">
        <f t="shared" si="647"/>
        <v>CPP_7_3</v>
      </c>
    </row>
    <row r="5158" spans="1:22">
      <c r="A5158" t="str">
        <f t="shared" si="640"/>
        <v>NDI-5503-AL</v>
      </c>
      <c r="B5158" s="403" t="s">
        <v>1424</v>
      </c>
      <c r="C5158" s="403" t="s">
        <v>582</v>
      </c>
      <c r="D5158" s="403" t="s">
        <v>1425</v>
      </c>
      <c r="E5158" s="403" t="s">
        <v>778</v>
      </c>
      <c r="F5158" s="403" t="s">
        <v>1382</v>
      </c>
      <c r="G5158" s="403" t="s">
        <v>1467</v>
      </c>
      <c r="H5158" s="403" t="s">
        <v>1276</v>
      </c>
      <c r="I5158" s="403">
        <v>1</v>
      </c>
      <c r="J5158" s="403" t="s">
        <v>1373</v>
      </c>
      <c r="K5158" s="403">
        <v>1512</v>
      </c>
      <c r="L5158" s="403">
        <v>2688</v>
      </c>
      <c r="M5158" s="403" t="s">
        <v>110</v>
      </c>
      <c r="N5158" s="403">
        <v>1080</v>
      </c>
      <c r="O5158" s="403">
        <v>1920</v>
      </c>
      <c r="P5158" t="str">
        <f t="shared" si="641"/>
        <v>30fps 2688x1512 - 1080p</v>
      </c>
      <c r="Q5158">
        <f t="shared" si="642"/>
        <v>23</v>
      </c>
      <c r="R5158" t="str">
        <f t="shared" si="643"/>
        <v/>
      </c>
      <c r="S5158" t="str">
        <f t="shared" si="644"/>
        <v/>
      </c>
      <c r="T5158" s="403" t="str">
        <f t="shared" si="645"/>
        <v>NDI-5503-AL</v>
      </c>
      <c r="U5158" s="403">
        <f t="shared" si="646"/>
        <v>1</v>
      </c>
      <c r="V5158" s="403" t="str">
        <f t="shared" si="647"/>
        <v>CPP_7_3</v>
      </c>
    </row>
    <row r="5159" spans="1:22">
      <c r="A5159" t="str">
        <f t="shared" si="640"/>
        <v>NDI-5503-AL</v>
      </c>
      <c r="B5159" s="403" t="s">
        <v>1424</v>
      </c>
      <c r="C5159" s="403" t="s">
        <v>582</v>
      </c>
      <c r="D5159" s="403" t="s">
        <v>1425</v>
      </c>
      <c r="E5159" s="403" t="s">
        <v>778</v>
      </c>
      <c r="F5159" s="403" t="s">
        <v>1382</v>
      </c>
      <c r="G5159" s="403" t="s">
        <v>1467</v>
      </c>
      <c r="H5159" s="403" t="s">
        <v>1276</v>
      </c>
      <c r="I5159" s="403">
        <v>1</v>
      </c>
      <c r="J5159" s="403" t="s">
        <v>1373</v>
      </c>
      <c r="K5159" s="403">
        <v>1512</v>
      </c>
      <c r="L5159" s="403">
        <v>2688</v>
      </c>
      <c r="M5159" s="403" t="s">
        <v>1384</v>
      </c>
      <c r="N5159" s="403">
        <v>1512</v>
      </c>
      <c r="O5159" s="403">
        <v>2688</v>
      </c>
      <c r="P5159" t="str">
        <f t="shared" si="641"/>
        <v>30fps 2688x1512 - 2688x1512 @ SKIP 2</v>
      </c>
      <c r="Q5159">
        <f t="shared" si="642"/>
        <v>23</v>
      </c>
      <c r="R5159" t="str">
        <f t="shared" si="643"/>
        <v/>
      </c>
      <c r="S5159" t="str">
        <f t="shared" si="644"/>
        <v/>
      </c>
      <c r="T5159" s="403" t="str">
        <f t="shared" si="645"/>
        <v>NDI-5503-AL</v>
      </c>
      <c r="U5159" s="403">
        <f t="shared" si="646"/>
        <v>1</v>
      </c>
      <c r="V5159" s="403" t="str">
        <f t="shared" si="647"/>
        <v>CPP_7_3</v>
      </c>
    </row>
    <row r="5160" spans="1:22">
      <c r="A5160" t="str">
        <f t="shared" si="640"/>
        <v>NDI-5503-AL</v>
      </c>
      <c r="B5160" s="403" t="s">
        <v>1424</v>
      </c>
      <c r="C5160" s="403" t="s">
        <v>582</v>
      </c>
      <c r="D5160" s="403" t="s">
        <v>1425</v>
      </c>
      <c r="E5160" s="403" t="s">
        <v>778</v>
      </c>
      <c r="F5160" s="403" t="s">
        <v>1382</v>
      </c>
      <c r="G5160" s="403" t="s">
        <v>1467</v>
      </c>
      <c r="H5160" s="403" t="s">
        <v>1276</v>
      </c>
      <c r="I5160" s="403">
        <v>1</v>
      </c>
      <c r="J5160" s="403" t="s">
        <v>1373</v>
      </c>
      <c r="K5160" s="403">
        <v>1512</v>
      </c>
      <c r="L5160" s="403">
        <v>2688</v>
      </c>
      <c r="M5160" s="403" t="s">
        <v>109</v>
      </c>
      <c r="N5160" s="403">
        <v>720</v>
      </c>
      <c r="O5160" s="403">
        <v>1280</v>
      </c>
      <c r="P5160" t="str">
        <f t="shared" si="641"/>
        <v>30fps 2688x1512 - 720p</v>
      </c>
      <c r="Q5160">
        <f t="shared" si="642"/>
        <v>23</v>
      </c>
      <c r="R5160" t="str">
        <f t="shared" si="643"/>
        <v/>
      </c>
      <c r="S5160" t="str">
        <f t="shared" si="644"/>
        <v/>
      </c>
      <c r="T5160" s="403" t="str">
        <f t="shared" si="645"/>
        <v>NDI-5503-AL</v>
      </c>
      <c r="U5160" s="403">
        <f t="shared" si="646"/>
        <v>1</v>
      </c>
      <c r="V5160" s="403" t="str">
        <f t="shared" si="647"/>
        <v>CPP_7_3</v>
      </c>
    </row>
    <row r="5161" spans="1:22">
      <c r="A5161" t="str">
        <f t="shared" si="640"/>
        <v>NDI-5503-AL</v>
      </c>
      <c r="B5161" s="403" t="s">
        <v>1424</v>
      </c>
      <c r="C5161" s="403" t="s">
        <v>582</v>
      </c>
      <c r="D5161" s="403" t="s">
        <v>1425</v>
      </c>
      <c r="E5161" s="403" t="s">
        <v>778</v>
      </c>
      <c r="F5161" s="403" t="s">
        <v>1382</v>
      </c>
      <c r="G5161" s="403" t="s">
        <v>1467</v>
      </c>
      <c r="H5161" s="403" t="s">
        <v>1276</v>
      </c>
      <c r="I5161" s="403">
        <v>1</v>
      </c>
      <c r="J5161" s="403" t="s">
        <v>1373</v>
      </c>
      <c r="K5161" s="403">
        <v>1512</v>
      </c>
      <c r="L5161" s="403">
        <v>2688</v>
      </c>
      <c r="M5161" s="403" t="s">
        <v>111</v>
      </c>
      <c r="N5161" s="403">
        <v>480</v>
      </c>
      <c r="O5161" s="403">
        <v>640</v>
      </c>
      <c r="P5161" t="str">
        <f t="shared" si="641"/>
        <v>30fps 2688x1512 - SD</v>
      </c>
      <c r="Q5161">
        <f t="shared" si="642"/>
        <v>23</v>
      </c>
      <c r="R5161" t="str">
        <f t="shared" si="643"/>
        <v/>
      </c>
      <c r="S5161" t="str">
        <f t="shared" si="644"/>
        <v/>
      </c>
      <c r="T5161" s="403" t="str">
        <f t="shared" si="645"/>
        <v>NDI-5503-AL</v>
      </c>
      <c r="U5161" s="403">
        <f t="shared" si="646"/>
        <v>1</v>
      </c>
      <c r="V5161" s="403" t="str">
        <f t="shared" si="647"/>
        <v>CPP_7_3</v>
      </c>
    </row>
    <row r="5162" spans="1:22">
      <c r="A5162" t="str">
        <f t="shared" si="640"/>
        <v>NDI-5503-AL</v>
      </c>
      <c r="B5162" s="403" t="s">
        <v>1424</v>
      </c>
      <c r="C5162" s="403" t="s">
        <v>582</v>
      </c>
      <c r="D5162" s="403" t="s">
        <v>1425</v>
      </c>
      <c r="E5162" s="403" t="s">
        <v>778</v>
      </c>
      <c r="F5162" s="403" t="s">
        <v>1382</v>
      </c>
      <c r="G5162" s="403" t="s">
        <v>1467</v>
      </c>
      <c r="H5162" s="403" t="s">
        <v>1276</v>
      </c>
      <c r="I5162" s="403">
        <v>1</v>
      </c>
      <c r="J5162" s="403" t="s">
        <v>1373</v>
      </c>
      <c r="K5162" s="403">
        <v>1512</v>
      </c>
      <c r="L5162" s="403">
        <v>2688</v>
      </c>
      <c r="M5162" s="403" t="s">
        <v>1279</v>
      </c>
      <c r="N5162" s="403">
        <v>480</v>
      </c>
      <c r="O5162" s="403">
        <v>640</v>
      </c>
      <c r="P5162" t="str">
        <f t="shared" si="641"/>
        <v>30fps 2688x1512 - SD ROI PTZ</v>
      </c>
      <c r="Q5162">
        <f t="shared" si="642"/>
        <v>23</v>
      </c>
      <c r="R5162" t="str">
        <f t="shared" si="643"/>
        <v/>
      </c>
      <c r="S5162" t="str">
        <f t="shared" si="644"/>
        <v/>
      </c>
      <c r="T5162" s="403" t="str">
        <f t="shared" si="645"/>
        <v>NDI-5503-AL</v>
      </c>
      <c r="U5162" s="403">
        <f t="shared" si="646"/>
        <v>1</v>
      </c>
      <c r="V5162" s="403" t="str">
        <f t="shared" si="647"/>
        <v>CPP_7_3</v>
      </c>
    </row>
    <row r="5163" spans="1:22">
      <c r="A5163" t="str">
        <f t="shared" si="640"/>
        <v>NDI-5503-AL</v>
      </c>
      <c r="B5163" s="403" t="s">
        <v>1424</v>
      </c>
      <c r="C5163" s="403" t="s">
        <v>582</v>
      </c>
      <c r="D5163" s="403" t="s">
        <v>1425</v>
      </c>
      <c r="E5163" s="403" t="s">
        <v>778</v>
      </c>
      <c r="F5163" s="403" t="s">
        <v>1382</v>
      </c>
      <c r="G5163" s="403" t="s">
        <v>1467</v>
      </c>
      <c r="H5163" s="403" t="s">
        <v>1276</v>
      </c>
      <c r="I5163" s="403">
        <v>1</v>
      </c>
      <c r="J5163" s="403" t="s">
        <v>1373</v>
      </c>
      <c r="K5163" s="403">
        <v>1512</v>
      </c>
      <c r="L5163" s="403">
        <v>2688</v>
      </c>
      <c r="M5163" s="403" t="s">
        <v>1285</v>
      </c>
      <c r="N5163" s="403">
        <v>1024</v>
      </c>
      <c r="O5163" s="403">
        <v>1280</v>
      </c>
      <c r="P5163" t="str">
        <f t="shared" si="641"/>
        <v>30fps 2688x1512 - 1280x1024 5:4 (cropped)</v>
      </c>
      <c r="Q5163">
        <f t="shared" si="642"/>
        <v>23</v>
      </c>
      <c r="R5163" t="str">
        <f t="shared" si="643"/>
        <v/>
      </c>
      <c r="S5163" t="str">
        <f t="shared" si="644"/>
        <v/>
      </c>
      <c r="T5163" s="403" t="str">
        <f t="shared" si="645"/>
        <v>NDI-5503-AL</v>
      </c>
      <c r="U5163" s="403">
        <f t="shared" si="646"/>
        <v>1</v>
      </c>
      <c r="V5163" s="403" t="str">
        <f t="shared" si="647"/>
        <v>CPP_7_3</v>
      </c>
    </row>
    <row r="5164" spans="1:22">
      <c r="A5164" t="str">
        <f t="shared" si="640"/>
        <v>NDI-5503-AL</v>
      </c>
      <c r="B5164" s="403" t="s">
        <v>1424</v>
      </c>
      <c r="C5164" s="403" t="s">
        <v>582</v>
      </c>
      <c r="D5164" s="403" t="s">
        <v>1425</v>
      </c>
      <c r="E5164" s="403" t="s">
        <v>778</v>
      </c>
      <c r="F5164" s="403" t="s">
        <v>1382</v>
      </c>
      <c r="G5164" s="403" t="s">
        <v>1467</v>
      </c>
      <c r="H5164" s="403" t="s">
        <v>1276</v>
      </c>
      <c r="I5164" s="403">
        <v>1</v>
      </c>
      <c r="J5164" s="403" t="s">
        <v>1373</v>
      </c>
      <c r="K5164" s="403">
        <v>1512</v>
      </c>
      <c r="L5164" s="403">
        <v>2688</v>
      </c>
      <c r="M5164" s="403" t="s">
        <v>1283</v>
      </c>
      <c r="N5164" s="403">
        <v>480</v>
      </c>
      <c r="O5164" s="403">
        <v>720</v>
      </c>
      <c r="P5164" t="str">
        <f t="shared" si="641"/>
        <v>30fps 2688x1512 - SD 4CIF resolution 4:3 format (cropped)</v>
      </c>
      <c r="Q5164">
        <f t="shared" si="642"/>
        <v>23</v>
      </c>
      <c r="R5164" t="str">
        <f t="shared" si="643"/>
        <v/>
      </c>
      <c r="S5164" t="str">
        <f t="shared" si="644"/>
        <v/>
      </c>
      <c r="T5164" s="403" t="str">
        <f t="shared" si="645"/>
        <v>NDI-5503-AL</v>
      </c>
      <c r="U5164" s="403">
        <f t="shared" si="646"/>
        <v>1</v>
      </c>
      <c r="V5164" s="403" t="str">
        <f t="shared" si="647"/>
        <v>CPP_7_3</v>
      </c>
    </row>
    <row r="5165" spans="1:22">
      <c r="A5165" t="str">
        <f t="shared" si="640"/>
        <v>NDI-5503-AL</v>
      </c>
      <c r="B5165" s="403" t="s">
        <v>1424</v>
      </c>
      <c r="C5165" s="403" t="s">
        <v>582</v>
      </c>
      <c r="D5165" s="403" t="s">
        <v>1425</v>
      </c>
      <c r="E5165" s="403" t="s">
        <v>778</v>
      </c>
      <c r="F5165" s="403" t="s">
        <v>1382</v>
      </c>
      <c r="G5165" s="403" t="s">
        <v>1467</v>
      </c>
      <c r="H5165" s="403" t="s">
        <v>1276</v>
      </c>
      <c r="I5165" s="403">
        <v>1</v>
      </c>
      <c r="J5165" s="403" t="s">
        <v>1373</v>
      </c>
      <c r="K5165" s="403">
        <v>1512</v>
      </c>
      <c r="L5165" s="403">
        <v>2688</v>
      </c>
      <c r="M5165" s="403" t="s">
        <v>1284</v>
      </c>
      <c r="N5165" s="403">
        <v>480</v>
      </c>
      <c r="O5165" s="403">
        <v>640</v>
      </c>
      <c r="P5165" t="str">
        <f t="shared" si="641"/>
        <v>30fps 2688x1512 - SD VGA (cropped)</v>
      </c>
      <c r="Q5165">
        <f t="shared" si="642"/>
        <v>23</v>
      </c>
      <c r="R5165" t="str">
        <f t="shared" si="643"/>
        <v/>
      </c>
      <c r="S5165" t="str">
        <f t="shared" si="644"/>
        <v/>
      </c>
      <c r="T5165" s="403" t="str">
        <f t="shared" si="645"/>
        <v>NDI-5503-AL</v>
      </c>
      <c r="U5165" s="403">
        <f t="shared" si="646"/>
        <v>1</v>
      </c>
      <c r="V5165" s="403" t="str">
        <f t="shared" si="647"/>
        <v>CPP_7_3</v>
      </c>
    </row>
    <row r="5166" spans="1:22">
      <c r="A5166" t="str">
        <f t="shared" si="640"/>
        <v>NDI-5503-AL</v>
      </c>
      <c r="B5166" s="403" t="s">
        <v>1424</v>
      </c>
      <c r="C5166" s="403" t="s">
        <v>582</v>
      </c>
      <c r="D5166" s="403" t="s">
        <v>1425</v>
      </c>
      <c r="E5166" s="403" t="s">
        <v>778</v>
      </c>
      <c r="F5166" s="403" t="s">
        <v>1382</v>
      </c>
      <c r="G5166" s="403" t="s">
        <v>1467</v>
      </c>
      <c r="H5166" s="403" t="s">
        <v>1276</v>
      </c>
      <c r="I5166" s="403">
        <v>1</v>
      </c>
      <c r="J5166" s="403" t="s">
        <v>1373</v>
      </c>
      <c r="K5166" s="403">
        <v>1512</v>
      </c>
      <c r="L5166" s="403">
        <v>2688</v>
      </c>
      <c r="M5166" s="403" t="s">
        <v>1280</v>
      </c>
      <c r="N5166" s="403">
        <v>1512</v>
      </c>
      <c r="O5166" s="403">
        <v>2688</v>
      </c>
      <c r="P5166" t="str">
        <f t="shared" si="641"/>
        <v>30fps 2688x1512 - copy other stream</v>
      </c>
      <c r="Q5166">
        <f t="shared" si="642"/>
        <v>23</v>
      </c>
      <c r="R5166" t="str">
        <f t="shared" si="643"/>
        <v/>
      </c>
      <c r="S5166" t="str">
        <f t="shared" si="644"/>
        <v/>
      </c>
      <c r="T5166" s="403" t="str">
        <f t="shared" si="645"/>
        <v>NDI-5503-AL</v>
      </c>
      <c r="U5166" s="403">
        <f t="shared" si="646"/>
        <v>1</v>
      </c>
      <c r="V5166" s="403" t="str">
        <f t="shared" si="647"/>
        <v>CPP_7_3</v>
      </c>
    </row>
    <row r="5167" spans="1:22">
      <c r="A5167" t="str">
        <f t="shared" si="640"/>
        <v>NDI-5503-AL</v>
      </c>
      <c r="B5167" s="403" t="s">
        <v>1424</v>
      </c>
      <c r="C5167" s="403" t="s">
        <v>582</v>
      </c>
      <c r="D5167" s="403" t="s">
        <v>1425</v>
      </c>
      <c r="E5167" s="403" t="s">
        <v>778</v>
      </c>
      <c r="F5167" s="403" t="s">
        <v>1382</v>
      </c>
      <c r="G5167" s="403" t="s">
        <v>1467</v>
      </c>
      <c r="H5167" s="403" t="s">
        <v>1276</v>
      </c>
      <c r="I5167" s="403">
        <v>1</v>
      </c>
      <c r="J5167" s="403" t="s">
        <v>1374</v>
      </c>
      <c r="K5167" s="403">
        <v>1296</v>
      </c>
      <c r="L5167" s="403">
        <v>2304</v>
      </c>
      <c r="M5167" s="403" t="s">
        <v>110</v>
      </c>
      <c r="N5167" s="403">
        <v>1080</v>
      </c>
      <c r="O5167" s="403">
        <v>1920</v>
      </c>
      <c r="P5167" t="str">
        <f t="shared" si="641"/>
        <v>30fps 2304x1296 - 1080p</v>
      </c>
      <c r="Q5167">
        <f t="shared" si="642"/>
        <v>23</v>
      </c>
      <c r="R5167" t="str">
        <f t="shared" si="643"/>
        <v/>
      </c>
      <c r="S5167" t="str">
        <f t="shared" si="644"/>
        <v/>
      </c>
      <c r="T5167" s="403" t="str">
        <f t="shared" si="645"/>
        <v>NDI-5503-AL</v>
      </c>
      <c r="U5167" s="403">
        <f t="shared" si="646"/>
        <v>1</v>
      </c>
      <c r="V5167" s="403" t="str">
        <f t="shared" si="647"/>
        <v>CPP_7_3</v>
      </c>
    </row>
    <row r="5168" spans="1:22">
      <c r="A5168" t="str">
        <f t="shared" si="640"/>
        <v>NDI-5503-AL</v>
      </c>
      <c r="B5168" s="403" t="s">
        <v>1424</v>
      </c>
      <c r="C5168" s="403" t="s">
        <v>582</v>
      </c>
      <c r="D5168" s="403" t="s">
        <v>1425</v>
      </c>
      <c r="E5168" s="403" t="s">
        <v>778</v>
      </c>
      <c r="F5168" s="403" t="s">
        <v>1382</v>
      </c>
      <c r="G5168" s="403" t="s">
        <v>1467</v>
      </c>
      <c r="H5168" s="403" t="s">
        <v>1276</v>
      </c>
      <c r="I5168" s="403">
        <v>1</v>
      </c>
      <c r="J5168" s="403" t="s">
        <v>1374</v>
      </c>
      <c r="K5168" s="403">
        <v>1296</v>
      </c>
      <c r="L5168" s="403">
        <v>2304</v>
      </c>
      <c r="M5168" s="403" t="s">
        <v>1374</v>
      </c>
      <c r="N5168" s="403">
        <v>1296</v>
      </c>
      <c r="O5168" s="403">
        <v>2304</v>
      </c>
      <c r="P5168" t="str">
        <f t="shared" si="641"/>
        <v>30fps 2304x1296 - 2304x1296</v>
      </c>
      <c r="Q5168">
        <f t="shared" si="642"/>
        <v>23</v>
      </c>
      <c r="R5168" t="str">
        <f t="shared" si="643"/>
        <v/>
      </c>
      <c r="S5168" t="str">
        <f t="shared" si="644"/>
        <v/>
      </c>
      <c r="T5168" s="403" t="str">
        <f t="shared" si="645"/>
        <v>NDI-5503-AL</v>
      </c>
      <c r="U5168" s="403">
        <f t="shared" si="646"/>
        <v>1</v>
      </c>
      <c r="V5168" s="403" t="str">
        <f t="shared" si="647"/>
        <v>CPP_7_3</v>
      </c>
    </row>
    <row r="5169" spans="1:22">
      <c r="A5169" t="str">
        <f t="shared" si="640"/>
        <v>NDI-5503-AL</v>
      </c>
      <c r="B5169" s="403" t="s">
        <v>1424</v>
      </c>
      <c r="C5169" s="403" t="s">
        <v>582</v>
      </c>
      <c r="D5169" s="403" t="s">
        <v>1425</v>
      </c>
      <c r="E5169" s="403" t="s">
        <v>778</v>
      </c>
      <c r="F5169" s="403" t="s">
        <v>1382</v>
      </c>
      <c r="G5169" s="403" t="s">
        <v>1467</v>
      </c>
      <c r="H5169" s="403" t="s">
        <v>1276</v>
      </c>
      <c r="I5169" s="403">
        <v>1</v>
      </c>
      <c r="J5169" s="403" t="s">
        <v>1374</v>
      </c>
      <c r="K5169" s="403">
        <v>1296</v>
      </c>
      <c r="L5169" s="403">
        <v>2304</v>
      </c>
      <c r="M5169" s="403" t="s">
        <v>109</v>
      </c>
      <c r="N5169" s="403">
        <v>720</v>
      </c>
      <c r="O5169" s="403">
        <v>1280</v>
      </c>
      <c r="P5169" t="str">
        <f t="shared" si="641"/>
        <v>30fps 2304x1296 - 720p</v>
      </c>
      <c r="Q5169">
        <f t="shared" si="642"/>
        <v>23</v>
      </c>
      <c r="R5169" t="str">
        <f t="shared" si="643"/>
        <v/>
      </c>
      <c r="S5169" t="str">
        <f t="shared" si="644"/>
        <v/>
      </c>
      <c r="T5169" s="403" t="str">
        <f t="shared" si="645"/>
        <v>NDI-5503-AL</v>
      </c>
      <c r="U5169" s="403">
        <f t="shared" si="646"/>
        <v>1</v>
      </c>
      <c r="V5169" s="403" t="str">
        <f t="shared" si="647"/>
        <v>CPP_7_3</v>
      </c>
    </row>
    <row r="5170" spans="1:22">
      <c r="A5170" t="str">
        <f t="shared" si="640"/>
        <v>NDI-5503-AL</v>
      </c>
      <c r="B5170" s="403" t="s">
        <v>1424</v>
      </c>
      <c r="C5170" s="403" t="s">
        <v>582</v>
      </c>
      <c r="D5170" s="403" t="s">
        <v>1425</v>
      </c>
      <c r="E5170" s="403" t="s">
        <v>778</v>
      </c>
      <c r="F5170" s="403" t="s">
        <v>1382</v>
      </c>
      <c r="G5170" s="403" t="s">
        <v>1467</v>
      </c>
      <c r="H5170" s="403" t="s">
        <v>1276</v>
      </c>
      <c r="I5170" s="403">
        <v>1</v>
      </c>
      <c r="J5170" s="403" t="s">
        <v>1374</v>
      </c>
      <c r="K5170" s="403">
        <v>1296</v>
      </c>
      <c r="L5170" s="403">
        <v>2304</v>
      </c>
      <c r="M5170" s="403" t="s">
        <v>111</v>
      </c>
      <c r="N5170" s="403">
        <v>480</v>
      </c>
      <c r="O5170" s="403">
        <v>640</v>
      </c>
      <c r="P5170" t="str">
        <f t="shared" si="641"/>
        <v>30fps 2304x1296 - SD</v>
      </c>
      <c r="Q5170">
        <f t="shared" si="642"/>
        <v>23</v>
      </c>
      <c r="R5170" t="str">
        <f t="shared" si="643"/>
        <v/>
      </c>
      <c r="S5170" t="str">
        <f t="shared" si="644"/>
        <v/>
      </c>
      <c r="T5170" s="403" t="str">
        <f t="shared" si="645"/>
        <v>NDI-5503-AL</v>
      </c>
      <c r="U5170" s="403">
        <f t="shared" si="646"/>
        <v>1</v>
      </c>
      <c r="V5170" s="403" t="str">
        <f t="shared" si="647"/>
        <v>CPP_7_3</v>
      </c>
    </row>
    <row r="5171" spans="1:22">
      <c r="A5171" t="str">
        <f t="shared" si="640"/>
        <v>NDI-5503-AL</v>
      </c>
      <c r="B5171" s="403" t="s">
        <v>1424</v>
      </c>
      <c r="C5171" s="403" t="s">
        <v>582</v>
      </c>
      <c r="D5171" s="403" t="s">
        <v>1425</v>
      </c>
      <c r="E5171" s="403" t="s">
        <v>778</v>
      </c>
      <c r="F5171" s="403" t="s">
        <v>1382</v>
      </c>
      <c r="G5171" s="403" t="s">
        <v>1467</v>
      </c>
      <c r="H5171" s="403" t="s">
        <v>1276</v>
      </c>
      <c r="I5171" s="403">
        <v>1</v>
      </c>
      <c r="J5171" s="403" t="s">
        <v>1374</v>
      </c>
      <c r="K5171" s="403">
        <v>1296</v>
      </c>
      <c r="L5171" s="403">
        <v>2304</v>
      </c>
      <c r="M5171" s="403" t="s">
        <v>1279</v>
      </c>
      <c r="N5171" s="403">
        <v>480</v>
      </c>
      <c r="O5171" s="403">
        <v>640</v>
      </c>
      <c r="P5171" t="str">
        <f t="shared" si="641"/>
        <v>30fps 2304x1296 - SD ROI PTZ</v>
      </c>
      <c r="Q5171">
        <f t="shared" si="642"/>
        <v>23</v>
      </c>
      <c r="R5171" t="str">
        <f t="shared" si="643"/>
        <v/>
      </c>
      <c r="S5171" t="str">
        <f t="shared" si="644"/>
        <v/>
      </c>
      <c r="T5171" s="403" t="str">
        <f t="shared" si="645"/>
        <v>NDI-5503-AL</v>
      </c>
      <c r="U5171" s="403">
        <f t="shared" si="646"/>
        <v>1</v>
      </c>
      <c r="V5171" s="403" t="str">
        <f t="shared" si="647"/>
        <v>CPP_7_3</v>
      </c>
    </row>
    <row r="5172" spans="1:22">
      <c r="A5172" t="str">
        <f t="shared" si="640"/>
        <v>NDI-5503-AL</v>
      </c>
      <c r="B5172" s="403" t="s">
        <v>1424</v>
      </c>
      <c r="C5172" s="403" t="s">
        <v>582</v>
      </c>
      <c r="D5172" s="403" t="s">
        <v>1425</v>
      </c>
      <c r="E5172" s="403" t="s">
        <v>778</v>
      </c>
      <c r="F5172" s="403" t="s">
        <v>1382</v>
      </c>
      <c r="G5172" s="403" t="s">
        <v>1467</v>
      </c>
      <c r="H5172" s="403" t="s">
        <v>1276</v>
      </c>
      <c r="I5172" s="403">
        <v>1</v>
      </c>
      <c r="J5172" s="403" t="s">
        <v>1374</v>
      </c>
      <c r="K5172" s="403">
        <v>1296</v>
      </c>
      <c r="L5172" s="403">
        <v>2304</v>
      </c>
      <c r="M5172" s="403" t="s">
        <v>1285</v>
      </c>
      <c r="N5172" s="403">
        <v>1024</v>
      </c>
      <c r="O5172" s="403">
        <v>1280</v>
      </c>
      <c r="P5172" t="str">
        <f t="shared" si="641"/>
        <v>30fps 2304x1296 - 1280x1024 5:4 (cropped)</v>
      </c>
      <c r="Q5172">
        <f t="shared" si="642"/>
        <v>23</v>
      </c>
      <c r="R5172" t="str">
        <f t="shared" si="643"/>
        <v/>
      </c>
      <c r="S5172" t="str">
        <f t="shared" si="644"/>
        <v/>
      </c>
      <c r="T5172" s="403" t="str">
        <f t="shared" si="645"/>
        <v>NDI-5503-AL</v>
      </c>
      <c r="U5172" s="403">
        <f t="shared" si="646"/>
        <v>1</v>
      </c>
      <c r="V5172" s="403" t="str">
        <f t="shared" si="647"/>
        <v>CPP_7_3</v>
      </c>
    </row>
    <row r="5173" spans="1:22">
      <c r="A5173" t="str">
        <f t="shared" si="640"/>
        <v>NDI-5503-AL</v>
      </c>
      <c r="B5173" s="403" t="s">
        <v>1424</v>
      </c>
      <c r="C5173" s="403" t="s">
        <v>582</v>
      </c>
      <c r="D5173" s="403" t="s">
        <v>1425</v>
      </c>
      <c r="E5173" s="403" t="s">
        <v>778</v>
      </c>
      <c r="F5173" s="403" t="s">
        <v>1382</v>
      </c>
      <c r="G5173" s="403" t="s">
        <v>1467</v>
      </c>
      <c r="H5173" s="403" t="s">
        <v>1276</v>
      </c>
      <c r="I5173" s="403">
        <v>1</v>
      </c>
      <c r="J5173" s="403" t="s">
        <v>1374</v>
      </c>
      <c r="K5173" s="403">
        <v>1296</v>
      </c>
      <c r="L5173" s="403">
        <v>2304</v>
      </c>
      <c r="M5173" s="403" t="s">
        <v>1283</v>
      </c>
      <c r="N5173" s="403">
        <v>480</v>
      </c>
      <c r="O5173" s="403">
        <v>720</v>
      </c>
      <c r="P5173" t="str">
        <f t="shared" si="641"/>
        <v>30fps 2304x1296 - SD 4CIF resolution 4:3 format (cropped)</v>
      </c>
      <c r="Q5173">
        <f t="shared" si="642"/>
        <v>23</v>
      </c>
      <c r="R5173" t="str">
        <f t="shared" si="643"/>
        <v/>
      </c>
      <c r="S5173" t="str">
        <f t="shared" si="644"/>
        <v/>
      </c>
      <c r="T5173" s="403" t="str">
        <f t="shared" si="645"/>
        <v>NDI-5503-AL</v>
      </c>
      <c r="U5173" s="403">
        <f t="shared" si="646"/>
        <v>1</v>
      </c>
      <c r="V5173" s="403" t="str">
        <f t="shared" si="647"/>
        <v>CPP_7_3</v>
      </c>
    </row>
    <row r="5174" spans="1:22">
      <c r="A5174" t="str">
        <f t="shared" si="640"/>
        <v>NDI-5503-AL</v>
      </c>
      <c r="B5174" s="403" t="s">
        <v>1424</v>
      </c>
      <c r="C5174" s="403" t="s">
        <v>582</v>
      </c>
      <c r="D5174" s="403" t="s">
        <v>1425</v>
      </c>
      <c r="E5174" s="403" t="s">
        <v>778</v>
      </c>
      <c r="F5174" s="403" t="s">
        <v>1382</v>
      </c>
      <c r="G5174" s="403" t="s">
        <v>1467</v>
      </c>
      <c r="H5174" s="403" t="s">
        <v>1276</v>
      </c>
      <c r="I5174" s="403">
        <v>1</v>
      </c>
      <c r="J5174" s="403" t="s">
        <v>1374</v>
      </c>
      <c r="K5174" s="403">
        <v>1296</v>
      </c>
      <c r="L5174" s="403">
        <v>2304</v>
      </c>
      <c r="M5174" s="403" t="s">
        <v>1284</v>
      </c>
      <c r="N5174" s="403">
        <v>480</v>
      </c>
      <c r="O5174" s="403">
        <v>640</v>
      </c>
      <c r="P5174" t="str">
        <f t="shared" si="641"/>
        <v>30fps 2304x1296 - SD VGA (cropped)</v>
      </c>
      <c r="Q5174">
        <f t="shared" si="642"/>
        <v>23</v>
      </c>
      <c r="R5174" t="str">
        <f t="shared" si="643"/>
        <v/>
      </c>
      <c r="S5174" t="str">
        <f t="shared" si="644"/>
        <v/>
      </c>
      <c r="T5174" s="403" t="str">
        <f t="shared" si="645"/>
        <v>NDI-5503-AL</v>
      </c>
      <c r="U5174" s="403">
        <f t="shared" si="646"/>
        <v>1</v>
      </c>
      <c r="V5174" s="403" t="str">
        <f t="shared" si="647"/>
        <v>CPP_7_3</v>
      </c>
    </row>
    <row r="5175" spans="1:22">
      <c r="A5175" t="str">
        <f t="shared" si="640"/>
        <v>NDI-5503-AL</v>
      </c>
      <c r="B5175" s="403" t="s">
        <v>1424</v>
      </c>
      <c r="C5175" s="403" t="s">
        <v>582</v>
      </c>
      <c r="D5175" s="403" t="s">
        <v>1425</v>
      </c>
      <c r="E5175" s="403" t="s">
        <v>778</v>
      </c>
      <c r="F5175" s="403" t="s">
        <v>1382</v>
      </c>
      <c r="G5175" s="403" t="s">
        <v>1467</v>
      </c>
      <c r="H5175" s="403" t="s">
        <v>1276</v>
      </c>
      <c r="I5175" s="403">
        <v>1</v>
      </c>
      <c r="J5175" s="403" t="s">
        <v>1374</v>
      </c>
      <c r="K5175" s="403">
        <v>1296</v>
      </c>
      <c r="L5175" s="403">
        <v>2304</v>
      </c>
      <c r="M5175" s="403" t="s">
        <v>1280</v>
      </c>
      <c r="N5175" s="403">
        <v>1296</v>
      </c>
      <c r="O5175" s="403">
        <v>2304</v>
      </c>
      <c r="P5175" t="str">
        <f t="shared" si="641"/>
        <v>30fps 2304x1296 - copy other stream</v>
      </c>
      <c r="Q5175">
        <f t="shared" si="642"/>
        <v>23</v>
      </c>
      <c r="R5175" t="str">
        <f t="shared" si="643"/>
        <v/>
      </c>
      <c r="S5175" t="str">
        <f t="shared" si="644"/>
        <v/>
      </c>
      <c r="T5175" s="403" t="str">
        <f t="shared" si="645"/>
        <v>NDI-5503-AL</v>
      </c>
      <c r="U5175" s="403">
        <f t="shared" si="646"/>
        <v>1</v>
      </c>
      <c r="V5175" s="403" t="str">
        <f t="shared" si="647"/>
        <v>CPP_7_3</v>
      </c>
    </row>
    <row r="5176" spans="1:22">
      <c r="A5176" t="str">
        <f t="shared" si="640"/>
        <v>NDI-5503-AL</v>
      </c>
      <c r="B5176" s="403" t="s">
        <v>1424</v>
      </c>
      <c r="C5176" s="403" t="s">
        <v>582</v>
      </c>
      <c r="D5176" s="403" t="s">
        <v>1425</v>
      </c>
      <c r="E5176" s="403" t="s">
        <v>778</v>
      </c>
      <c r="F5176" s="403" t="s">
        <v>1382</v>
      </c>
      <c r="G5176" s="403" t="s">
        <v>1467</v>
      </c>
      <c r="H5176" s="403" t="s">
        <v>1276</v>
      </c>
      <c r="I5176" s="403">
        <v>1</v>
      </c>
      <c r="J5176" s="403" t="s">
        <v>110</v>
      </c>
      <c r="K5176" s="403">
        <v>1080</v>
      </c>
      <c r="L5176" s="403">
        <v>1920</v>
      </c>
      <c r="M5176" s="403" t="s">
        <v>111</v>
      </c>
      <c r="N5176" s="403">
        <v>480</v>
      </c>
      <c r="O5176" s="403">
        <v>640</v>
      </c>
      <c r="P5176" t="str">
        <f t="shared" si="641"/>
        <v>30fps 1080p - SD</v>
      </c>
      <c r="Q5176">
        <f t="shared" si="642"/>
        <v>23</v>
      </c>
      <c r="R5176" t="str">
        <f t="shared" si="643"/>
        <v/>
      </c>
      <c r="S5176" t="str">
        <f t="shared" si="644"/>
        <v/>
      </c>
      <c r="T5176" s="403" t="str">
        <f t="shared" si="645"/>
        <v>NDI-5503-AL</v>
      </c>
      <c r="U5176" s="403">
        <f t="shared" si="646"/>
        <v>1</v>
      </c>
      <c r="V5176" s="403" t="str">
        <f t="shared" si="647"/>
        <v>CPP_7_3</v>
      </c>
    </row>
    <row r="5177" spans="1:22">
      <c r="A5177" t="str">
        <f t="shared" si="640"/>
        <v>NDI-5503-AL</v>
      </c>
      <c r="B5177" s="403" t="s">
        <v>1424</v>
      </c>
      <c r="C5177" s="403" t="s">
        <v>582</v>
      </c>
      <c r="D5177" s="403" t="s">
        <v>1425</v>
      </c>
      <c r="E5177" s="403" t="s">
        <v>778</v>
      </c>
      <c r="F5177" s="403" t="s">
        <v>1382</v>
      </c>
      <c r="G5177" s="403" t="s">
        <v>1467</v>
      </c>
      <c r="H5177" s="403" t="s">
        <v>1276</v>
      </c>
      <c r="I5177" s="403">
        <v>1</v>
      </c>
      <c r="J5177" s="403" t="s">
        <v>110</v>
      </c>
      <c r="K5177" s="403">
        <v>1080</v>
      </c>
      <c r="L5177" s="403">
        <v>1920</v>
      </c>
      <c r="M5177" s="403" t="s">
        <v>110</v>
      </c>
      <c r="N5177" s="403">
        <v>1080</v>
      </c>
      <c r="O5177" s="403">
        <v>1920</v>
      </c>
      <c r="P5177" t="str">
        <f t="shared" si="641"/>
        <v>30fps 1080p - 1080p</v>
      </c>
      <c r="Q5177">
        <f t="shared" si="642"/>
        <v>23</v>
      </c>
      <c r="R5177" t="str">
        <f t="shared" si="643"/>
        <v/>
      </c>
      <c r="S5177" t="str">
        <f t="shared" si="644"/>
        <v/>
      </c>
      <c r="T5177" s="403" t="str">
        <f t="shared" si="645"/>
        <v>NDI-5503-AL</v>
      </c>
      <c r="U5177" s="403">
        <f t="shared" si="646"/>
        <v>1</v>
      </c>
      <c r="V5177" s="403" t="str">
        <f t="shared" si="647"/>
        <v>CPP_7_3</v>
      </c>
    </row>
    <row r="5178" spans="1:22">
      <c r="A5178" t="str">
        <f t="shared" si="640"/>
        <v>NDI-5503-AL</v>
      </c>
      <c r="B5178" s="403" t="s">
        <v>1424</v>
      </c>
      <c r="C5178" s="403" t="s">
        <v>582</v>
      </c>
      <c r="D5178" s="403" t="s">
        <v>1425</v>
      </c>
      <c r="E5178" s="403" t="s">
        <v>778</v>
      </c>
      <c r="F5178" s="403" t="s">
        <v>1382</v>
      </c>
      <c r="G5178" s="403" t="s">
        <v>1467</v>
      </c>
      <c r="H5178" s="403" t="s">
        <v>1276</v>
      </c>
      <c r="I5178" s="403">
        <v>1</v>
      </c>
      <c r="J5178" s="403" t="s">
        <v>110</v>
      </c>
      <c r="K5178" s="403">
        <v>1080</v>
      </c>
      <c r="L5178" s="403">
        <v>1920</v>
      </c>
      <c r="M5178" s="403" t="s">
        <v>109</v>
      </c>
      <c r="N5178" s="403">
        <v>720</v>
      </c>
      <c r="O5178" s="403">
        <v>1280</v>
      </c>
      <c r="P5178" t="str">
        <f t="shared" si="641"/>
        <v>30fps 1080p - 720p</v>
      </c>
      <c r="Q5178">
        <f t="shared" si="642"/>
        <v>23</v>
      </c>
      <c r="R5178" t="str">
        <f t="shared" si="643"/>
        <v/>
      </c>
      <c r="S5178" t="str">
        <f t="shared" si="644"/>
        <v/>
      </c>
      <c r="T5178" s="403" t="str">
        <f t="shared" si="645"/>
        <v>NDI-5503-AL</v>
      </c>
      <c r="U5178" s="403">
        <f t="shared" si="646"/>
        <v>1</v>
      </c>
      <c r="V5178" s="403" t="str">
        <f t="shared" si="647"/>
        <v>CPP_7_3</v>
      </c>
    </row>
    <row r="5179" spans="1:22">
      <c r="A5179" t="str">
        <f t="shared" si="640"/>
        <v>NDI-5503-AL</v>
      </c>
      <c r="B5179" s="403" t="s">
        <v>1424</v>
      </c>
      <c r="C5179" s="403" t="s">
        <v>582</v>
      </c>
      <c r="D5179" s="403" t="s">
        <v>1425</v>
      </c>
      <c r="E5179" s="403" t="s">
        <v>778</v>
      </c>
      <c r="F5179" s="403" t="s">
        <v>1382</v>
      </c>
      <c r="G5179" s="403" t="s">
        <v>1467</v>
      </c>
      <c r="H5179" s="403" t="s">
        <v>1276</v>
      </c>
      <c r="I5179" s="403">
        <v>1</v>
      </c>
      <c r="J5179" s="403" t="s">
        <v>110</v>
      </c>
      <c r="K5179" s="403">
        <v>1080</v>
      </c>
      <c r="L5179" s="403">
        <v>1920</v>
      </c>
      <c r="M5179" s="403" t="s">
        <v>1285</v>
      </c>
      <c r="N5179" s="403">
        <v>1024</v>
      </c>
      <c r="O5179" s="403">
        <v>1280</v>
      </c>
      <c r="P5179" t="str">
        <f t="shared" si="641"/>
        <v>30fps 1080p - 1280x1024 5:4 (cropped)</v>
      </c>
      <c r="Q5179">
        <f t="shared" si="642"/>
        <v>23</v>
      </c>
      <c r="R5179" t="str">
        <f t="shared" si="643"/>
        <v/>
      </c>
      <c r="S5179" t="str">
        <f t="shared" si="644"/>
        <v/>
      </c>
      <c r="T5179" s="403" t="str">
        <f t="shared" si="645"/>
        <v>NDI-5503-AL</v>
      </c>
      <c r="U5179" s="403">
        <f t="shared" si="646"/>
        <v>1</v>
      </c>
      <c r="V5179" s="403" t="str">
        <f t="shared" si="647"/>
        <v>CPP_7_3</v>
      </c>
    </row>
    <row r="5180" spans="1:22">
      <c r="A5180" t="str">
        <f t="shared" si="640"/>
        <v>NDI-5503-AL</v>
      </c>
      <c r="B5180" s="403" t="s">
        <v>1424</v>
      </c>
      <c r="C5180" s="403" t="s">
        <v>582</v>
      </c>
      <c r="D5180" s="403" t="s">
        <v>1425</v>
      </c>
      <c r="E5180" s="403" t="s">
        <v>778</v>
      </c>
      <c r="F5180" s="403" t="s">
        <v>1382</v>
      </c>
      <c r="G5180" s="403" t="s">
        <v>1467</v>
      </c>
      <c r="H5180" s="403" t="s">
        <v>1276</v>
      </c>
      <c r="I5180" s="403">
        <v>1</v>
      </c>
      <c r="J5180" s="403" t="s">
        <v>110</v>
      </c>
      <c r="K5180" s="403">
        <v>1080</v>
      </c>
      <c r="L5180" s="403">
        <v>1920</v>
      </c>
      <c r="M5180" s="403" t="s">
        <v>1279</v>
      </c>
      <c r="N5180" s="403">
        <v>480</v>
      </c>
      <c r="O5180" s="403">
        <v>640</v>
      </c>
      <c r="P5180" t="str">
        <f t="shared" si="641"/>
        <v>30fps 1080p - SD ROI PTZ</v>
      </c>
      <c r="Q5180">
        <f t="shared" si="642"/>
        <v>23</v>
      </c>
      <c r="R5180" t="str">
        <f t="shared" si="643"/>
        <v/>
      </c>
      <c r="S5180" t="str">
        <f t="shared" si="644"/>
        <v/>
      </c>
      <c r="T5180" s="403" t="str">
        <f t="shared" si="645"/>
        <v>NDI-5503-AL</v>
      </c>
      <c r="U5180" s="403">
        <f t="shared" si="646"/>
        <v>1</v>
      </c>
      <c r="V5180" s="403" t="str">
        <f t="shared" si="647"/>
        <v>CPP_7_3</v>
      </c>
    </row>
    <row r="5181" spans="1:22">
      <c r="A5181" t="str">
        <f t="shared" si="640"/>
        <v>NDI-5503-AL</v>
      </c>
      <c r="B5181" s="403" t="s">
        <v>1424</v>
      </c>
      <c r="C5181" s="403" t="s">
        <v>582</v>
      </c>
      <c r="D5181" s="403" t="s">
        <v>1425</v>
      </c>
      <c r="E5181" s="403" t="s">
        <v>778</v>
      </c>
      <c r="F5181" s="403" t="s">
        <v>1382</v>
      </c>
      <c r="G5181" s="403" t="s">
        <v>1467</v>
      </c>
      <c r="H5181" s="403" t="s">
        <v>1276</v>
      </c>
      <c r="I5181" s="403">
        <v>1</v>
      </c>
      <c r="J5181" s="403" t="s">
        <v>110</v>
      </c>
      <c r="K5181" s="403">
        <v>1080</v>
      </c>
      <c r="L5181" s="403">
        <v>1920</v>
      </c>
      <c r="M5181" s="403" t="s">
        <v>1283</v>
      </c>
      <c r="N5181" s="403">
        <v>480</v>
      </c>
      <c r="O5181" s="403">
        <v>720</v>
      </c>
      <c r="P5181" t="str">
        <f t="shared" si="641"/>
        <v>30fps 1080p - SD 4CIF resolution 4:3 format (cropped)</v>
      </c>
      <c r="Q5181">
        <f t="shared" si="642"/>
        <v>23</v>
      </c>
      <c r="R5181" t="str">
        <f t="shared" si="643"/>
        <v/>
      </c>
      <c r="S5181" t="str">
        <f t="shared" si="644"/>
        <v/>
      </c>
      <c r="T5181" s="403" t="str">
        <f t="shared" si="645"/>
        <v>NDI-5503-AL</v>
      </c>
      <c r="U5181" s="403">
        <f t="shared" si="646"/>
        <v>1</v>
      </c>
      <c r="V5181" s="403" t="str">
        <f t="shared" si="647"/>
        <v>CPP_7_3</v>
      </c>
    </row>
    <row r="5182" spans="1:22">
      <c r="A5182" t="str">
        <f t="shared" si="640"/>
        <v>NDI-5503-AL</v>
      </c>
      <c r="B5182" s="403" t="s">
        <v>1424</v>
      </c>
      <c r="C5182" s="403" t="s">
        <v>582</v>
      </c>
      <c r="D5182" s="403" t="s">
        <v>1425</v>
      </c>
      <c r="E5182" s="403" t="s">
        <v>778</v>
      </c>
      <c r="F5182" s="403" t="s">
        <v>1382</v>
      </c>
      <c r="G5182" s="403" t="s">
        <v>1467</v>
      </c>
      <c r="H5182" s="403" t="s">
        <v>1276</v>
      </c>
      <c r="I5182" s="403">
        <v>1</v>
      </c>
      <c r="J5182" s="403" t="s">
        <v>110</v>
      </c>
      <c r="K5182" s="403">
        <v>1080</v>
      </c>
      <c r="L5182" s="403">
        <v>1920</v>
      </c>
      <c r="M5182" s="403" t="s">
        <v>1284</v>
      </c>
      <c r="N5182" s="403">
        <v>480</v>
      </c>
      <c r="O5182" s="403">
        <v>640</v>
      </c>
      <c r="P5182" t="str">
        <f t="shared" si="641"/>
        <v>30fps 1080p - SD VGA (cropped)</v>
      </c>
      <c r="Q5182">
        <f t="shared" si="642"/>
        <v>23</v>
      </c>
      <c r="R5182" t="str">
        <f t="shared" si="643"/>
        <v/>
      </c>
      <c r="S5182" t="str">
        <f t="shared" si="644"/>
        <v/>
      </c>
      <c r="T5182" s="403" t="str">
        <f t="shared" si="645"/>
        <v>NDI-5503-AL</v>
      </c>
      <c r="U5182" s="403">
        <f t="shared" si="646"/>
        <v>1</v>
      </c>
      <c r="V5182" s="403" t="str">
        <f t="shared" si="647"/>
        <v>CPP_7_3</v>
      </c>
    </row>
    <row r="5183" spans="1:22">
      <c r="A5183" t="str">
        <f t="shared" si="640"/>
        <v>NDI-5503-AL</v>
      </c>
      <c r="B5183" s="403" t="s">
        <v>1424</v>
      </c>
      <c r="C5183" s="403" t="s">
        <v>582</v>
      </c>
      <c r="D5183" s="403" t="s">
        <v>1425</v>
      </c>
      <c r="E5183" s="403" t="s">
        <v>778</v>
      </c>
      <c r="F5183" s="403" t="s">
        <v>1382</v>
      </c>
      <c r="G5183" s="403" t="s">
        <v>1467</v>
      </c>
      <c r="H5183" s="403" t="s">
        <v>1276</v>
      </c>
      <c r="I5183" s="403">
        <v>1</v>
      </c>
      <c r="J5183" s="403" t="s">
        <v>109</v>
      </c>
      <c r="K5183" s="403">
        <v>720</v>
      </c>
      <c r="L5183" s="403">
        <v>1280</v>
      </c>
      <c r="M5183" s="403" t="s">
        <v>109</v>
      </c>
      <c r="N5183" s="403">
        <v>720</v>
      </c>
      <c r="O5183" s="403">
        <v>1280</v>
      </c>
      <c r="P5183" t="str">
        <f t="shared" si="641"/>
        <v>30fps 720p - 720p</v>
      </c>
      <c r="Q5183">
        <f t="shared" si="642"/>
        <v>23</v>
      </c>
      <c r="R5183" t="str">
        <f t="shared" si="643"/>
        <v/>
      </c>
      <c r="S5183" t="str">
        <f t="shared" si="644"/>
        <v/>
      </c>
      <c r="T5183" s="403" t="str">
        <f t="shared" si="645"/>
        <v>NDI-5503-AL</v>
      </c>
      <c r="U5183" s="403">
        <f t="shared" si="646"/>
        <v>1</v>
      </c>
      <c r="V5183" s="403" t="str">
        <f t="shared" si="647"/>
        <v>CPP_7_3</v>
      </c>
    </row>
    <row r="5184" spans="1:22">
      <c r="A5184" t="str">
        <f t="shared" si="640"/>
        <v>NDI-5503-AL</v>
      </c>
      <c r="B5184" s="403" t="s">
        <v>1424</v>
      </c>
      <c r="C5184" s="403" t="s">
        <v>582</v>
      </c>
      <c r="D5184" s="403" t="s">
        <v>1425</v>
      </c>
      <c r="E5184" s="403" t="s">
        <v>778</v>
      </c>
      <c r="F5184" s="403" t="s">
        <v>1382</v>
      </c>
      <c r="G5184" s="403" t="s">
        <v>1467</v>
      </c>
      <c r="H5184" s="403" t="s">
        <v>1276</v>
      </c>
      <c r="I5184" s="403">
        <v>1</v>
      </c>
      <c r="J5184" s="403" t="s">
        <v>109</v>
      </c>
      <c r="K5184" s="403">
        <v>720</v>
      </c>
      <c r="L5184" s="403">
        <v>1280</v>
      </c>
      <c r="M5184" s="403" t="s">
        <v>111</v>
      </c>
      <c r="N5184" s="403">
        <v>480</v>
      </c>
      <c r="O5184" s="403">
        <v>640</v>
      </c>
      <c r="P5184" t="str">
        <f t="shared" si="641"/>
        <v>30fps 720p - SD</v>
      </c>
      <c r="Q5184">
        <f t="shared" si="642"/>
        <v>23</v>
      </c>
      <c r="R5184" t="str">
        <f t="shared" si="643"/>
        <v/>
      </c>
      <c r="S5184" t="str">
        <f t="shared" si="644"/>
        <v/>
      </c>
      <c r="T5184" s="403" t="str">
        <f t="shared" si="645"/>
        <v>NDI-5503-AL</v>
      </c>
      <c r="U5184" s="403">
        <f t="shared" si="646"/>
        <v>1</v>
      </c>
      <c r="V5184" s="403" t="str">
        <f t="shared" si="647"/>
        <v>CPP_7_3</v>
      </c>
    </row>
    <row r="5185" spans="1:22">
      <c r="A5185" t="str">
        <f t="shared" si="640"/>
        <v>NDI-5503-AL</v>
      </c>
      <c r="B5185" s="403" t="s">
        <v>1424</v>
      </c>
      <c r="C5185" s="403" t="s">
        <v>582</v>
      </c>
      <c r="D5185" s="403" t="s">
        <v>1425</v>
      </c>
      <c r="E5185" s="403" t="s">
        <v>778</v>
      </c>
      <c r="F5185" s="403" t="s">
        <v>1382</v>
      </c>
      <c r="G5185" s="403" t="s">
        <v>1467</v>
      </c>
      <c r="H5185" s="403" t="s">
        <v>1276</v>
      </c>
      <c r="I5185" s="403">
        <v>1</v>
      </c>
      <c r="J5185" s="403" t="s">
        <v>109</v>
      </c>
      <c r="K5185" s="403">
        <v>720</v>
      </c>
      <c r="L5185" s="403">
        <v>1280</v>
      </c>
      <c r="M5185" s="403" t="s">
        <v>1279</v>
      </c>
      <c r="N5185" s="403">
        <v>480</v>
      </c>
      <c r="O5185" s="403">
        <v>640</v>
      </c>
      <c r="P5185" t="str">
        <f t="shared" si="641"/>
        <v>30fps 720p - SD ROI PTZ</v>
      </c>
      <c r="Q5185">
        <f t="shared" si="642"/>
        <v>23</v>
      </c>
      <c r="R5185" t="str">
        <f t="shared" si="643"/>
        <v/>
      </c>
      <c r="S5185" t="str">
        <f t="shared" si="644"/>
        <v/>
      </c>
      <c r="T5185" s="403" t="str">
        <f t="shared" si="645"/>
        <v>NDI-5503-AL</v>
      </c>
      <c r="U5185" s="403">
        <f t="shared" si="646"/>
        <v>1</v>
      </c>
      <c r="V5185" s="403" t="str">
        <f t="shared" si="647"/>
        <v>CPP_7_3</v>
      </c>
    </row>
    <row r="5186" spans="1:22">
      <c r="A5186" t="str">
        <f t="shared" ref="A5186:A5249" si="648">IF(AND(G5186&lt;&gt;"rotate 90°"),D5186,"")</f>
        <v>NDI-5503-AL</v>
      </c>
      <c r="B5186" s="403" t="s">
        <v>1424</v>
      </c>
      <c r="C5186" s="403" t="s">
        <v>582</v>
      </c>
      <c r="D5186" s="403" t="s">
        <v>1425</v>
      </c>
      <c r="E5186" s="403" t="s">
        <v>778</v>
      </c>
      <c r="F5186" s="403" t="s">
        <v>1382</v>
      </c>
      <c r="G5186" s="403" t="s">
        <v>1467</v>
      </c>
      <c r="H5186" s="403" t="s">
        <v>1276</v>
      </c>
      <c r="I5186" s="403">
        <v>1</v>
      </c>
      <c r="J5186" s="403" t="s">
        <v>109</v>
      </c>
      <c r="K5186" s="403">
        <v>720</v>
      </c>
      <c r="L5186" s="403">
        <v>1280</v>
      </c>
      <c r="M5186" s="403" t="s">
        <v>1283</v>
      </c>
      <c r="N5186" s="403">
        <v>480</v>
      </c>
      <c r="O5186" s="403">
        <v>720</v>
      </c>
      <c r="P5186" t="str">
        <f t="shared" ref="P5186:P5249" si="649">LEFT(F5186,5)&amp;" "&amp;J5186&amp;" - "&amp;M5186</f>
        <v>30fps 720p - SD 4CIF resolution 4:3 format (cropped)</v>
      </c>
      <c r="Q5186">
        <f t="shared" ref="Q5186:Q5249" si="650">IF(A5185=A5186,Q5185,Q5185+1)</f>
        <v>23</v>
      </c>
      <c r="R5186" t="str">
        <f t="shared" ref="R5186:R5249" si="651">IF(Q5185&lt;&gt;Q5186,Q5186,"")</f>
        <v/>
      </c>
      <c r="S5186" t="str">
        <f t="shared" ref="S5186:S5249" si="652">IF(R5186&lt;&gt;"",B5186&amp;" ("&amp;D5186&amp;")","")</f>
        <v/>
      </c>
      <c r="T5186" s="403" t="str">
        <f t="shared" ref="T5186:T5249" si="653">D5186</f>
        <v>NDI-5503-AL</v>
      </c>
      <c r="U5186" s="403">
        <f t="shared" ref="U5186:U5249" si="654">I5186</f>
        <v>1</v>
      </c>
      <c r="V5186" s="403" t="str">
        <f t="shared" ref="V5186:V5249" si="655">C5186</f>
        <v>CPP_7_3</v>
      </c>
    </row>
    <row r="5187" spans="1:22">
      <c r="A5187" t="str">
        <f t="shared" si="648"/>
        <v>NDI-5503-AL</v>
      </c>
      <c r="B5187" s="403" t="s">
        <v>1424</v>
      </c>
      <c r="C5187" s="403" t="s">
        <v>582</v>
      </c>
      <c r="D5187" s="403" t="s">
        <v>1425</v>
      </c>
      <c r="E5187" s="403" t="s">
        <v>778</v>
      </c>
      <c r="F5187" s="403" t="s">
        <v>1382</v>
      </c>
      <c r="G5187" s="403" t="s">
        <v>1467</v>
      </c>
      <c r="H5187" s="403" t="s">
        <v>1276</v>
      </c>
      <c r="I5187" s="403">
        <v>1</v>
      </c>
      <c r="J5187" s="403" t="s">
        <v>109</v>
      </c>
      <c r="K5187" s="403">
        <v>720</v>
      </c>
      <c r="L5187" s="403">
        <v>1280</v>
      </c>
      <c r="M5187" s="403" t="s">
        <v>1284</v>
      </c>
      <c r="N5187" s="403">
        <v>480</v>
      </c>
      <c r="O5187" s="403">
        <v>640</v>
      </c>
      <c r="P5187" t="str">
        <f t="shared" si="649"/>
        <v>30fps 720p - SD VGA (cropped)</v>
      </c>
      <c r="Q5187">
        <f t="shared" si="650"/>
        <v>23</v>
      </c>
      <c r="R5187" t="str">
        <f t="shared" si="651"/>
        <v/>
      </c>
      <c r="S5187" t="str">
        <f t="shared" si="652"/>
        <v/>
      </c>
      <c r="T5187" s="403" t="str">
        <f t="shared" si="653"/>
        <v>NDI-5503-AL</v>
      </c>
      <c r="U5187" s="403">
        <f t="shared" si="654"/>
        <v>1</v>
      </c>
      <c r="V5187" s="403" t="str">
        <f t="shared" si="655"/>
        <v>CPP_7_3</v>
      </c>
    </row>
    <row r="5188" spans="1:22">
      <c r="A5188" t="str">
        <f t="shared" si="648"/>
        <v>NDI-5503-AL</v>
      </c>
      <c r="B5188" s="403" t="s">
        <v>1424</v>
      </c>
      <c r="C5188" s="403" t="s">
        <v>582</v>
      </c>
      <c r="D5188" s="403" t="s">
        <v>1425</v>
      </c>
      <c r="E5188" s="403" t="s">
        <v>778</v>
      </c>
      <c r="F5188" s="403" t="s">
        <v>1382</v>
      </c>
      <c r="G5188" s="403" t="s">
        <v>1467</v>
      </c>
      <c r="H5188" s="403" t="s">
        <v>1281</v>
      </c>
      <c r="I5188" s="403">
        <v>1</v>
      </c>
      <c r="J5188" s="403" t="s">
        <v>1376</v>
      </c>
      <c r="K5188" s="403">
        <v>1728</v>
      </c>
      <c r="L5188" s="403">
        <v>3072</v>
      </c>
      <c r="M5188" s="403" t="s">
        <v>111</v>
      </c>
      <c r="N5188" s="403">
        <v>480</v>
      </c>
      <c r="O5188" s="403">
        <v>640</v>
      </c>
      <c r="P5188" t="str">
        <f t="shared" si="649"/>
        <v>30fps 3072x1728 - SD</v>
      </c>
      <c r="Q5188">
        <f t="shared" si="650"/>
        <v>23</v>
      </c>
      <c r="R5188" t="str">
        <f t="shared" si="651"/>
        <v/>
      </c>
      <c r="S5188" t="str">
        <f t="shared" si="652"/>
        <v/>
      </c>
      <c r="T5188" s="403" t="str">
        <f t="shared" si="653"/>
        <v>NDI-5503-AL</v>
      </c>
      <c r="U5188" s="403">
        <f t="shared" si="654"/>
        <v>1</v>
      </c>
      <c r="V5188" s="403" t="str">
        <f t="shared" si="655"/>
        <v>CPP_7_3</v>
      </c>
    </row>
    <row r="5189" spans="1:22">
      <c r="A5189" t="str">
        <f t="shared" si="648"/>
        <v>NDI-5503-AL</v>
      </c>
      <c r="B5189" s="403" t="s">
        <v>1424</v>
      </c>
      <c r="C5189" s="403" t="s">
        <v>582</v>
      </c>
      <c r="D5189" s="403" t="s">
        <v>1425</v>
      </c>
      <c r="E5189" s="403" t="s">
        <v>778</v>
      </c>
      <c r="F5189" s="403" t="s">
        <v>1382</v>
      </c>
      <c r="G5189" s="403" t="s">
        <v>1467</v>
      </c>
      <c r="H5189" s="403" t="s">
        <v>1281</v>
      </c>
      <c r="I5189" s="403">
        <v>1</v>
      </c>
      <c r="J5189" s="403" t="s">
        <v>1376</v>
      </c>
      <c r="K5189" s="403">
        <v>1728</v>
      </c>
      <c r="L5189" s="403">
        <v>3072</v>
      </c>
      <c r="M5189" s="403" t="s">
        <v>1280</v>
      </c>
      <c r="N5189" s="403">
        <v>1728</v>
      </c>
      <c r="O5189" s="403">
        <v>3072</v>
      </c>
      <c r="P5189" t="str">
        <f t="shared" si="649"/>
        <v>30fps 3072x1728 - copy other stream</v>
      </c>
      <c r="Q5189">
        <f t="shared" si="650"/>
        <v>23</v>
      </c>
      <c r="R5189" t="str">
        <f t="shared" si="651"/>
        <v/>
      </c>
      <c r="S5189" t="str">
        <f t="shared" si="652"/>
        <v/>
      </c>
      <c r="T5189" s="403" t="str">
        <f t="shared" si="653"/>
        <v>NDI-5503-AL</v>
      </c>
      <c r="U5189" s="403">
        <f t="shared" si="654"/>
        <v>1</v>
      </c>
      <c r="V5189" s="403" t="str">
        <f t="shared" si="655"/>
        <v>CPP_7_3</v>
      </c>
    </row>
    <row r="5190" spans="1:22">
      <c r="A5190" t="str">
        <f t="shared" si="648"/>
        <v>NDI-5503-AL</v>
      </c>
      <c r="B5190" s="403" t="s">
        <v>1424</v>
      </c>
      <c r="C5190" s="403" t="s">
        <v>582</v>
      </c>
      <c r="D5190" s="403" t="s">
        <v>1425</v>
      </c>
      <c r="E5190" s="403" t="s">
        <v>778</v>
      </c>
      <c r="F5190" s="403" t="s">
        <v>1382</v>
      </c>
      <c r="G5190" s="403" t="s">
        <v>1467</v>
      </c>
      <c r="H5190" s="403" t="s">
        <v>1281</v>
      </c>
      <c r="I5190" s="403">
        <v>1</v>
      </c>
      <c r="J5190" s="403" t="s">
        <v>1376</v>
      </c>
      <c r="K5190" s="403">
        <v>1728</v>
      </c>
      <c r="L5190" s="403">
        <v>3072</v>
      </c>
      <c r="M5190" s="403" t="s">
        <v>110</v>
      </c>
      <c r="N5190" s="403">
        <v>1080</v>
      </c>
      <c r="O5190" s="403">
        <v>1920</v>
      </c>
      <c r="P5190" t="str">
        <f t="shared" si="649"/>
        <v>30fps 3072x1728 - 1080p</v>
      </c>
      <c r="Q5190">
        <f t="shared" si="650"/>
        <v>23</v>
      </c>
      <c r="R5190" t="str">
        <f t="shared" si="651"/>
        <v/>
      </c>
      <c r="S5190" t="str">
        <f t="shared" si="652"/>
        <v/>
      </c>
      <c r="T5190" s="403" t="str">
        <f t="shared" si="653"/>
        <v>NDI-5503-AL</v>
      </c>
      <c r="U5190" s="403">
        <f t="shared" si="654"/>
        <v>1</v>
      </c>
      <c r="V5190" s="403" t="str">
        <f t="shared" si="655"/>
        <v>CPP_7_3</v>
      </c>
    </row>
    <row r="5191" spans="1:22">
      <c r="A5191" t="str">
        <f t="shared" si="648"/>
        <v>NDI-5503-AL</v>
      </c>
      <c r="B5191" s="403" t="s">
        <v>1424</v>
      </c>
      <c r="C5191" s="403" t="s">
        <v>582</v>
      </c>
      <c r="D5191" s="403" t="s">
        <v>1425</v>
      </c>
      <c r="E5191" s="403" t="s">
        <v>778</v>
      </c>
      <c r="F5191" s="403" t="s">
        <v>1382</v>
      </c>
      <c r="G5191" s="403" t="s">
        <v>1467</v>
      </c>
      <c r="H5191" s="403" t="s">
        <v>1281</v>
      </c>
      <c r="I5191" s="403">
        <v>1</v>
      </c>
      <c r="J5191" s="403" t="s">
        <v>1376</v>
      </c>
      <c r="K5191" s="403">
        <v>1728</v>
      </c>
      <c r="L5191" s="403">
        <v>3072</v>
      </c>
      <c r="M5191" s="403" t="s">
        <v>109</v>
      </c>
      <c r="N5191" s="403">
        <v>720</v>
      </c>
      <c r="O5191" s="403">
        <v>1280</v>
      </c>
      <c r="P5191" t="str">
        <f t="shared" si="649"/>
        <v>30fps 3072x1728 - 720p</v>
      </c>
      <c r="Q5191">
        <f t="shared" si="650"/>
        <v>23</v>
      </c>
      <c r="R5191" t="str">
        <f t="shared" si="651"/>
        <v/>
      </c>
      <c r="S5191" t="str">
        <f t="shared" si="652"/>
        <v/>
      </c>
      <c r="T5191" s="403" t="str">
        <f t="shared" si="653"/>
        <v>NDI-5503-AL</v>
      </c>
      <c r="U5191" s="403">
        <f t="shared" si="654"/>
        <v>1</v>
      </c>
      <c r="V5191" s="403" t="str">
        <f t="shared" si="655"/>
        <v>CPP_7_3</v>
      </c>
    </row>
    <row r="5192" spans="1:22">
      <c r="A5192" t="str">
        <f t="shared" si="648"/>
        <v>NDI-5503-AL</v>
      </c>
      <c r="B5192" s="403" t="s">
        <v>1424</v>
      </c>
      <c r="C5192" s="403" t="s">
        <v>582</v>
      </c>
      <c r="D5192" s="403" t="s">
        <v>1425</v>
      </c>
      <c r="E5192" s="403" t="s">
        <v>778</v>
      </c>
      <c r="F5192" s="403" t="s">
        <v>1382</v>
      </c>
      <c r="G5192" s="403" t="s">
        <v>1467</v>
      </c>
      <c r="H5192" s="403" t="s">
        <v>1281</v>
      </c>
      <c r="I5192" s="403">
        <v>1</v>
      </c>
      <c r="J5192" s="403" t="s">
        <v>1376</v>
      </c>
      <c r="K5192" s="403">
        <v>1728</v>
      </c>
      <c r="L5192" s="403">
        <v>3072</v>
      </c>
      <c r="M5192" s="403" t="s">
        <v>1283</v>
      </c>
      <c r="N5192" s="403">
        <v>480</v>
      </c>
      <c r="O5192" s="403">
        <v>720</v>
      </c>
      <c r="P5192" t="str">
        <f t="shared" si="649"/>
        <v>30fps 3072x1728 - SD 4CIF resolution 4:3 format (cropped)</v>
      </c>
      <c r="Q5192">
        <f t="shared" si="650"/>
        <v>23</v>
      </c>
      <c r="R5192" t="str">
        <f t="shared" si="651"/>
        <v/>
      </c>
      <c r="S5192" t="str">
        <f t="shared" si="652"/>
        <v/>
      </c>
      <c r="T5192" s="403" t="str">
        <f t="shared" si="653"/>
        <v>NDI-5503-AL</v>
      </c>
      <c r="U5192" s="403">
        <f t="shared" si="654"/>
        <v>1</v>
      </c>
      <c r="V5192" s="403" t="str">
        <f t="shared" si="655"/>
        <v>CPP_7_3</v>
      </c>
    </row>
    <row r="5193" spans="1:22">
      <c r="A5193" t="str">
        <f t="shared" si="648"/>
        <v>NDI-5503-AL</v>
      </c>
      <c r="B5193" s="403" t="s">
        <v>1424</v>
      </c>
      <c r="C5193" s="403" t="s">
        <v>582</v>
      </c>
      <c r="D5193" s="403" t="s">
        <v>1425</v>
      </c>
      <c r="E5193" s="403" t="s">
        <v>778</v>
      </c>
      <c r="F5193" s="403" t="s">
        <v>1382</v>
      </c>
      <c r="G5193" s="403" t="s">
        <v>1467</v>
      </c>
      <c r="H5193" s="403" t="s">
        <v>1281</v>
      </c>
      <c r="I5193" s="403">
        <v>1</v>
      </c>
      <c r="J5193" s="403" t="s">
        <v>1376</v>
      </c>
      <c r="K5193" s="403">
        <v>1728</v>
      </c>
      <c r="L5193" s="403">
        <v>3072</v>
      </c>
      <c r="M5193" s="403" t="s">
        <v>1279</v>
      </c>
      <c r="N5193" s="403">
        <v>480</v>
      </c>
      <c r="O5193" s="403">
        <v>640</v>
      </c>
      <c r="P5193" t="str">
        <f t="shared" si="649"/>
        <v>30fps 3072x1728 - SD ROI PTZ</v>
      </c>
      <c r="Q5193">
        <f t="shared" si="650"/>
        <v>23</v>
      </c>
      <c r="R5193" t="str">
        <f t="shared" si="651"/>
        <v/>
      </c>
      <c r="S5193" t="str">
        <f t="shared" si="652"/>
        <v/>
      </c>
      <c r="T5193" s="403" t="str">
        <f t="shared" si="653"/>
        <v>NDI-5503-AL</v>
      </c>
      <c r="U5193" s="403">
        <f t="shared" si="654"/>
        <v>1</v>
      </c>
      <c r="V5193" s="403" t="str">
        <f t="shared" si="655"/>
        <v>CPP_7_3</v>
      </c>
    </row>
    <row r="5194" spans="1:22">
      <c r="A5194" t="str">
        <f t="shared" si="648"/>
        <v>NDI-5503-AL</v>
      </c>
      <c r="B5194" s="403" t="s">
        <v>1424</v>
      </c>
      <c r="C5194" s="403" t="s">
        <v>582</v>
      </c>
      <c r="D5194" s="403" t="s">
        <v>1425</v>
      </c>
      <c r="E5194" s="403" t="s">
        <v>778</v>
      </c>
      <c r="F5194" s="403" t="s">
        <v>1382</v>
      </c>
      <c r="G5194" s="403" t="s">
        <v>1467</v>
      </c>
      <c r="H5194" s="403" t="s">
        <v>1281</v>
      </c>
      <c r="I5194" s="403">
        <v>1</v>
      </c>
      <c r="J5194" s="403" t="s">
        <v>1376</v>
      </c>
      <c r="K5194" s="403">
        <v>1728</v>
      </c>
      <c r="L5194" s="403">
        <v>3072</v>
      </c>
      <c r="M5194" s="403" t="s">
        <v>1284</v>
      </c>
      <c r="N5194" s="403">
        <v>480</v>
      </c>
      <c r="O5194" s="403">
        <v>640</v>
      </c>
      <c r="P5194" t="str">
        <f t="shared" si="649"/>
        <v>30fps 3072x1728 - SD VGA (cropped)</v>
      </c>
      <c r="Q5194">
        <f t="shared" si="650"/>
        <v>23</v>
      </c>
      <c r="R5194" t="str">
        <f t="shared" si="651"/>
        <v/>
      </c>
      <c r="S5194" t="str">
        <f t="shared" si="652"/>
        <v/>
      </c>
      <c r="T5194" s="403" t="str">
        <f t="shared" si="653"/>
        <v>NDI-5503-AL</v>
      </c>
      <c r="U5194" s="403">
        <f t="shared" si="654"/>
        <v>1</v>
      </c>
      <c r="V5194" s="403" t="str">
        <f t="shared" si="655"/>
        <v>CPP_7_3</v>
      </c>
    </row>
    <row r="5195" spans="1:22">
      <c r="A5195" t="str">
        <f t="shared" si="648"/>
        <v>NDI-5503-AL</v>
      </c>
      <c r="B5195" s="403" t="s">
        <v>1424</v>
      </c>
      <c r="C5195" s="403" t="s">
        <v>582</v>
      </c>
      <c r="D5195" s="403" t="s">
        <v>1425</v>
      </c>
      <c r="E5195" s="403" t="s">
        <v>778</v>
      </c>
      <c r="F5195" s="403" t="s">
        <v>1382</v>
      </c>
      <c r="G5195" s="403" t="s">
        <v>1467</v>
      </c>
      <c r="H5195" s="403" t="s">
        <v>1281</v>
      </c>
      <c r="I5195" s="403">
        <v>1</v>
      </c>
      <c r="J5195" s="403" t="s">
        <v>1376</v>
      </c>
      <c r="K5195" s="403">
        <v>1728</v>
      </c>
      <c r="L5195" s="403">
        <v>3072</v>
      </c>
      <c r="M5195" s="403" t="s">
        <v>1285</v>
      </c>
      <c r="N5195" s="403">
        <v>1024</v>
      </c>
      <c r="O5195" s="403">
        <v>1280</v>
      </c>
      <c r="P5195" t="str">
        <f t="shared" si="649"/>
        <v>30fps 3072x1728 - 1280x1024 5:4 (cropped)</v>
      </c>
      <c r="Q5195">
        <f t="shared" si="650"/>
        <v>23</v>
      </c>
      <c r="R5195" t="str">
        <f t="shared" si="651"/>
        <v/>
      </c>
      <c r="S5195" t="str">
        <f t="shared" si="652"/>
        <v/>
      </c>
      <c r="T5195" s="403" t="str">
        <f t="shared" si="653"/>
        <v>NDI-5503-AL</v>
      </c>
      <c r="U5195" s="403">
        <f t="shared" si="654"/>
        <v>1</v>
      </c>
      <c r="V5195" s="403" t="str">
        <f t="shared" si="655"/>
        <v>CPP_7_3</v>
      </c>
    </row>
    <row r="5196" spans="1:22">
      <c r="A5196" t="str">
        <f t="shared" si="648"/>
        <v>NDI-5503-AL</v>
      </c>
      <c r="B5196" s="403" t="s">
        <v>1424</v>
      </c>
      <c r="C5196" s="403" t="s">
        <v>582</v>
      </c>
      <c r="D5196" s="403" t="s">
        <v>1425</v>
      </c>
      <c r="E5196" s="403" t="s">
        <v>778</v>
      </c>
      <c r="F5196" s="403" t="s">
        <v>1382</v>
      </c>
      <c r="G5196" s="403" t="s">
        <v>1467</v>
      </c>
      <c r="H5196" s="403" t="s">
        <v>1281</v>
      </c>
      <c r="I5196" s="403">
        <v>1</v>
      </c>
      <c r="J5196" s="403" t="s">
        <v>1373</v>
      </c>
      <c r="K5196" s="403">
        <v>1512</v>
      </c>
      <c r="L5196" s="403">
        <v>2688</v>
      </c>
      <c r="M5196" s="403" t="s">
        <v>110</v>
      </c>
      <c r="N5196" s="403">
        <v>1080</v>
      </c>
      <c r="O5196" s="403">
        <v>1920</v>
      </c>
      <c r="P5196" t="str">
        <f t="shared" si="649"/>
        <v>30fps 2688x1512 - 1080p</v>
      </c>
      <c r="Q5196">
        <f t="shared" si="650"/>
        <v>23</v>
      </c>
      <c r="R5196" t="str">
        <f t="shared" si="651"/>
        <v/>
      </c>
      <c r="S5196" t="str">
        <f t="shared" si="652"/>
        <v/>
      </c>
      <c r="T5196" s="403" t="str">
        <f t="shared" si="653"/>
        <v>NDI-5503-AL</v>
      </c>
      <c r="U5196" s="403">
        <f t="shared" si="654"/>
        <v>1</v>
      </c>
      <c r="V5196" s="403" t="str">
        <f t="shared" si="655"/>
        <v>CPP_7_3</v>
      </c>
    </row>
    <row r="5197" spans="1:22">
      <c r="A5197" t="str">
        <f t="shared" si="648"/>
        <v>NDI-5503-AL</v>
      </c>
      <c r="B5197" s="403" t="s">
        <v>1424</v>
      </c>
      <c r="C5197" s="403" t="s">
        <v>582</v>
      </c>
      <c r="D5197" s="403" t="s">
        <v>1425</v>
      </c>
      <c r="E5197" s="403" t="s">
        <v>778</v>
      </c>
      <c r="F5197" s="403" t="s">
        <v>1382</v>
      </c>
      <c r="G5197" s="403" t="s">
        <v>1467</v>
      </c>
      <c r="H5197" s="403" t="s">
        <v>1281</v>
      </c>
      <c r="I5197" s="403">
        <v>1</v>
      </c>
      <c r="J5197" s="403" t="s">
        <v>1373</v>
      </c>
      <c r="K5197" s="403">
        <v>1512</v>
      </c>
      <c r="L5197" s="403">
        <v>2688</v>
      </c>
      <c r="M5197" s="403" t="s">
        <v>1384</v>
      </c>
      <c r="N5197" s="403">
        <v>1512</v>
      </c>
      <c r="O5197" s="403">
        <v>2688</v>
      </c>
      <c r="P5197" t="str">
        <f t="shared" si="649"/>
        <v>30fps 2688x1512 - 2688x1512 @ SKIP 2</v>
      </c>
      <c r="Q5197">
        <f t="shared" si="650"/>
        <v>23</v>
      </c>
      <c r="R5197" t="str">
        <f t="shared" si="651"/>
        <v/>
      </c>
      <c r="S5197" t="str">
        <f t="shared" si="652"/>
        <v/>
      </c>
      <c r="T5197" s="403" t="str">
        <f t="shared" si="653"/>
        <v>NDI-5503-AL</v>
      </c>
      <c r="U5197" s="403">
        <f t="shared" si="654"/>
        <v>1</v>
      </c>
      <c r="V5197" s="403" t="str">
        <f t="shared" si="655"/>
        <v>CPP_7_3</v>
      </c>
    </row>
    <row r="5198" spans="1:22">
      <c r="A5198" t="str">
        <f t="shared" si="648"/>
        <v>NDI-5503-AL</v>
      </c>
      <c r="B5198" s="403" t="s">
        <v>1424</v>
      </c>
      <c r="C5198" s="403" t="s">
        <v>582</v>
      </c>
      <c r="D5198" s="403" t="s">
        <v>1425</v>
      </c>
      <c r="E5198" s="403" t="s">
        <v>778</v>
      </c>
      <c r="F5198" s="403" t="s">
        <v>1382</v>
      </c>
      <c r="G5198" s="403" t="s">
        <v>1467</v>
      </c>
      <c r="H5198" s="403" t="s">
        <v>1281</v>
      </c>
      <c r="I5198" s="403">
        <v>1</v>
      </c>
      <c r="J5198" s="403" t="s">
        <v>1373</v>
      </c>
      <c r="K5198" s="403">
        <v>1512</v>
      </c>
      <c r="L5198" s="403">
        <v>2688</v>
      </c>
      <c r="M5198" s="403" t="s">
        <v>109</v>
      </c>
      <c r="N5198" s="403">
        <v>720</v>
      </c>
      <c r="O5198" s="403">
        <v>1280</v>
      </c>
      <c r="P5198" t="str">
        <f t="shared" si="649"/>
        <v>30fps 2688x1512 - 720p</v>
      </c>
      <c r="Q5198">
        <f t="shared" si="650"/>
        <v>23</v>
      </c>
      <c r="R5198" t="str">
        <f t="shared" si="651"/>
        <v/>
      </c>
      <c r="S5198" t="str">
        <f t="shared" si="652"/>
        <v/>
      </c>
      <c r="T5198" s="403" t="str">
        <f t="shared" si="653"/>
        <v>NDI-5503-AL</v>
      </c>
      <c r="U5198" s="403">
        <f t="shared" si="654"/>
        <v>1</v>
      </c>
      <c r="V5198" s="403" t="str">
        <f t="shared" si="655"/>
        <v>CPP_7_3</v>
      </c>
    </row>
    <row r="5199" spans="1:22">
      <c r="A5199" t="str">
        <f t="shared" si="648"/>
        <v>NDI-5503-AL</v>
      </c>
      <c r="B5199" s="403" t="s">
        <v>1424</v>
      </c>
      <c r="C5199" s="403" t="s">
        <v>582</v>
      </c>
      <c r="D5199" s="403" t="s">
        <v>1425</v>
      </c>
      <c r="E5199" s="403" t="s">
        <v>778</v>
      </c>
      <c r="F5199" s="403" t="s">
        <v>1382</v>
      </c>
      <c r="G5199" s="403" t="s">
        <v>1467</v>
      </c>
      <c r="H5199" s="403" t="s">
        <v>1281</v>
      </c>
      <c r="I5199" s="403">
        <v>1</v>
      </c>
      <c r="J5199" s="403" t="s">
        <v>1373</v>
      </c>
      <c r="K5199" s="403">
        <v>1512</v>
      </c>
      <c r="L5199" s="403">
        <v>2688</v>
      </c>
      <c r="M5199" s="403" t="s">
        <v>111</v>
      </c>
      <c r="N5199" s="403">
        <v>480</v>
      </c>
      <c r="O5199" s="403">
        <v>640</v>
      </c>
      <c r="P5199" t="str">
        <f t="shared" si="649"/>
        <v>30fps 2688x1512 - SD</v>
      </c>
      <c r="Q5199">
        <f t="shared" si="650"/>
        <v>23</v>
      </c>
      <c r="R5199" t="str">
        <f t="shared" si="651"/>
        <v/>
      </c>
      <c r="S5199" t="str">
        <f t="shared" si="652"/>
        <v/>
      </c>
      <c r="T5199" s="403" t="str">
        <f t="shared" si="653"/>
        <v>NDI-5503-AL</v>
      </c>
      <c r="U5199" s="403">
        <f t="shared" si="654"/>
        <v>1</v>
      </c>
      <c r="V5199" s="403" t="str">
        <f t="shared" si="655"/>
        <v>CPP_7_3</v>
      </c>
    </row>
    <row r="5200" spans="1:22">
      <c r="A5200" t="str">
        <f t="shared" si="648"/>
        <v>NDI-5503-AL</v>
      </c>
      <c r="B5200" s="403" t="s">
        <v>1424</v>
      </c>
      <c r="C5200" s="403" t="s">
        <v>582</v>
      </c>
      <c r="D5200" s="403" t="s">
        <v>1425</v>
      </c>
      <c r="E5200" s="403" t="s">
        <v>778</v>
      </c>
      <c r="F5200" s="403" t="s">
        <v>1382</v>
      </c>
      <c r="G5200" s="403" t="s">
        <v>1467</v>
      </c>
      <c r="H5200" s="403" t="s">
        <v>1281</v>
      </c>
      <c r="I5200" s="403">
        <v>1</v>
      </c>
      <c r="J5200" s="403" t="s">
        <v>1373</v>
      </c>
      <c r="K5200" s="403">
        <v>1512</v>
      </c>
      <c r="L5200" s="403">
        <v>2688</v>
      </c>
      <c r="M5200" s="403" t="s">
        <v>1279</v>
      </c>
      <c r="N5200" s="403">
        <v>480</v>
      </c>
      <c r="O5200" s="403">
        <v>640</v>
      </c>
      <c r="P5200" t="str">
        <f t="shared" si="649"/>
        <v>30fps 2688x1512 - SD ROI PTZ</v>
      </c>
      <c r="Q5200">
        <f t="shared" si="650"/>
        <v>23</v>
      </c>
      <c r="R5200" t="str">
        <f t="shared" si="651"/>
        <v/>
      </c>
      <c r="S5200" t="str">
        <f t="shared" si="652"/>
        <v/>
      </c>
      <c r="T5200" s="403" t="str">
        <f t="shared" si="653"/>
        <v>NDI-5503-AL</v>
      </c>
      <c r="U5200" s="403">
        <f t="shared" si="654"/>
        <v>1</v>
      </c>
      <c r="V5200" s="403" t="str">
        <f t="shared" si="655"/>
        <v>CPP_7_3</v>
      </c>
    </row>
    <row r="5201" spans="1:22">
      <c r="A5201" t="str">
        <f t="shared" si="648"/>
        <v>NDI-5503-AL</v>
      </c>
      <c r="B5201" s="403" t="s">
        <v>1424</v>
      </c>
      <c r="C5201" s="403" t="s">
        <v>582</v>
      </c>
      <c r="D5201" s="403" t="s">
        <v>1425</v>
      </c>
      <c r="E5201" s="403" t="s">
        <v>778</v>
      </c>
      <c r="F5201" s="403" t="s">
        <v>1382</v>
      </c>
      <c r="G5201" s="403" t="s">
        <v>1467</v>
      </c>
      <c r="H5201" s="403" t="s">
        <v>1281</v>
      </c>
      <c r="I5201" s="403">
        <v>1</v>
      </c>
      <c r="J5201" s="403" t="s">
        <v>1373</v>
      </c>
      <c r="K5201" s="403">
        <v>1512</v>
      </c>
      <c r="L5201" s="403">
        <v>2688</v>
      </c>
      <c r="M5201" s="403" t="s">
        <v>1285</v>
      </c>
      <c r="N5201" s="403">
        <v>1024</v>
      </c>
      <c r="O5201" s="403">
        <v>1280</v>
      </c>
      <c r="P5201" t="str">
        <f t="shared" si="649"/>
        <v>30fps 2688x1512 - 1280x1024 5:4 (cropped)</v>
      </c>
      <c r="Q5201">
        <f t="shared" si="650"/>
        <v>23</v>
      </c>
      <c r="R5201" t="str">
        <f t="shared" si="651"/>
        <v/>
      </c>
      <c r="S5201" t="str">
        <f t="shared" si="652"/>
        <v/>
      </c>
      <c r="T5201" s="403" t="str">
        <f t="shared" si="653"/>
        <v>NDI-5503-AL</v>
      </c>
      <c r="U5201" s="403">
        <f t="shared" si="654"/>
        <v>1</v>
      </c>
      <c r="V5201" s="403" t="str">
        <f t="shared" si="655"/>
        <v>CPP_7_3</v>
      </c>
    </row>
    <row r="5202" spans="1:22">
      <c r="A5202" t="str">
        <f t="shared" si="648"/>
        <v>NDI-5503-AL</v>
      </c>
      <c r="B5202" s="403" t="s">
        <v>1424</v>
      </c>
      <c r="C5202" s="403" t="s">
        <v>582</v>
      </c>
      <c r="D5202" s="403" t="s">
        <v>1425</v>
      </c>
      <c r="E5202" s="403" t="s">
        <v>778</v>
      </c>
      <c r="F5202" s="403" t="s">
        <v>1382</v>
      </c>
      <c r="G5202" s="403" t="s">
        <v>1467</v>
      </c>
      <c r="H5202" s="403" t="s">
        <v>1281</v>
      </c>
      <c r="I5202" s="403">
        <v>1</v>
      </c>
      <c r="J5202" s="403" t="s">
        <v>1373</v>
      </c>
      <c r="K5202" s="403">
        <v>1512</v>
      </c>
      <c r="L5202" s="403">
        <v>2688</v>
      </c>
      <c r="M5202" s="403" t="s">
        <v>1283</v>
      </c>
      <c r="N5202" s="403">
        <v>480</v>
      </c>
      <c r="O5202" s="403">
        <v>720</v>
      </c>
      <c r="P5202" t="str">
        <f t="shared" si="649"/>
        <v>30fps 2688x1512 - SD 4CIF resolution 4:3 format (cropped)</v>
      </c>
      <c r="Q5202">
        <f t="shared" si="650"/>
        <v>23</v>
      </c>
      <c r="R5202" t="str">
        <f t="shared" si="651"/>
        <v/>
      </c>
      <c r="S5202" t="str">
        <f t="shared" si="652"/>
        <v/>
      </c>
      <c r="T5202" s="403" t="str">
        <f t="shared" si="653"/>
        <v>NDI-5503-AL</v>
      </c>
      <c r="U5202" s="403">
        <f t="shared" si="654"/>
        <v>1</v>
      </c>
      <c r="V5202" s="403" t="str">
        <f t="shared" si="655"/>
        <v>CPP_7_3</v>
      </c>
    </row>
    <row r="5203" spans="1:22">
      <c r="A5203" t="str">
        <f t="shared" si="648"/>
        <v>NDI-5503-AL</v>
      </c>
      <c r="B5203" s="403" t="s">
        <v>1424</v>
      </c>
      <c r="C5203" s="403" t="s">
        <v>582</v>
      </c>
      <c r="D5203" s="403" t="s">
        <v>1425</v>
      </c>
      <c r="E5203" s="403" t="s">
        <v>778</v>
      </c>
      <c r="F5203" s="403" t="s">
        <v>1382</v>
      </c>
      <c r="G5203" s="403" t="s">
        <v>1467</v>
      </c>
      <c r="H5203" s="403" t="s">
        <v>1281</v>
      </c>
      <c r="I5203" s="403">
        <v>1</v>
      </c>
      <c r="J5203" s="403" t="s">
        <v>1373</v>
      </c>
      <c r="K5203" s="403">
        <v>1512</v>
      </c>
      <c r="L5203" s="403">
        <v>2688</v>
      </c>
      <c r="M5203" s="403" t="s">
        <v>1284</v>
      </c>
      <c r="N5203" s="403">
        <v>480</v>
      </c>
      <c r="O5203" s="403">
        <v>640</v>
      </c>
      <c r="P5203" t="str">
        <f t="shared" si="649"/>
        <v>30fps 2688x1512 - SD VGA (cropped)</v>
      </c>
      <c r="Q5203">
        <f t="shared" si="650"/>
        <v>23</v>
      </c>
      <c r="R5203" t="str">
        <f t="shared" si="651"/>
        <v/>
      </c>
      <c r="S5203" t="str">
        <f t="shared" si="652"/>
        <v/>
      </c>
      <c r="T5203" s="403" t="str">
        <f t="shared" si="653"/>
        <v>NDI-5503-AL</v>
      </c>
      <c r="U5203" s="403">
        <f t="shared" si="654"/>
        <v>1</v>
      </c>
      <c r="V5203" s="403" t="str">
        <f t="shared" si="655"/>
        <v>CPP_7_3</v>
      </c>
    </row>
    <row r="5204" spans="1:22">
      <c r="A5204" t="str">
        <f t="shared" si="648"/>
        <v>NDI-5503-AL</v>
      </c>
      <c r="B5204" s="403" t="s">
        <v>1424</v>
      </c>
      <c r="C5204" s="403" t="s">
        <v>582</v>
      </c>
      <c r="D5204" s="403" t="s">
        <v>1425</v>
      </c>
      <c r="E5204" s="403" t="s">
        <v>778</v>
      </c>
      <c r="F5204" s="403" t="s">
        <v>1382</v>
      </c>
      <c r="G5204" s="403" t="s">
        <v>1467</v>
      </c>
      <c r="H5204" s="403" t="s">
        <v>1281</v>
      </c>
      <c r="I5204" s="403">
        <v>1</v>
      </c>
      <c r="J5204" s="403" t="s">
        <v>1373</v>
      </c>
      <c r="K5204" s="403">
        <v>1512</v>
      </c>
      <c r="L5204" s="403">
        <v>2688</v>
      </c>
      <c r="M5204" s="403" t="s">
        <v>1280</v>
      </c>
      <c r="N5204" s="403">
        <v>1512</v>
      </c>
      <c r="O5204" s="403">
        <v>2688</v>
      </c>
      <c r="P5204" t="str">
        <f t="shared" si="649"/>
        <v>30fps 2688x1512 - copy other stream</v>
      </c>
      <c r="Q5204">
        <f t="shared" si="650"/>
        <v>23</v>
      </c>
      <c r="R5204" t="str">
        <f t="shared" si="651"/>
        <v/>
      </c>
      <c r="S5204" t="str">
        <f t="shared" si="652"/>
        <v/>
      </c>
      <c r="T5204" s="403" t="str">
        <f t="shared" si="653"/>
        <v>NDI-5503-AL</v>
      </c>
      <c r="U5204" s="403">
        <f t="shared" si="654"/>
        <v>1</v>
      </c>
      <c r="V5204" s="403" t="str">
        <f t="shared" si="655"/>
        <v>CPP_7_3</v>
      </c>
    </row>
    <row r="5205" spans="1:22">
      <c r="A5205" t="str">
        <f t="shared" si="648"/>
        <v>NDI-5503-AL</v>
      </c>
      <c r="B5205" s="403" t="s">
        <v>1424</v>
      </c>
      <c r="C5205" s="403" t="s">
        <v>582</v>
      </c>
      <c r="D5205" s="403" t="s">
        <v>1425</v>
      </c>
      <c r="E5205" s="403" t="s">
        <v>778</v>
      </c>
      <c r="F5205" s="403" t="s">
        <v>1382</v>
      </c>
      <c r="G5205" s="403" t="s">
        <v>1467</v>
      </c>
      <c r="H5205" s="403" t="s">
        <v>1281</v>
      </c>
      <c r="I5205" s="403">
        <v>1</v>
      </c>
      <c r="J5205" s="403" t="s">
        <v>1374</v>
      </c>
      <c r="K5205" s="403">
        <v>1296</v>
      </c>
      <c r="L5205" s="403">
        <v>2304</v>
      </c>
      <c r="M5205" s="403" t="s">
        <v>110</v>
      </c>
      <c r="N5205" s="403">
        <v>1080</v>
      </c>
      <c r="O5205" s="403">
        <v>1920</v>
      </c>
      <c r="P5205" t="str">
        <f t="shared" si="649"/>
        <v>30fps 2304x1296 - 1080p</v>
      </c>
      <c r="Q5205">
        <f t="shared" si="650"/>
        <v>23</v>
      </c>
      <c r="R5205" t="str">
        <f t="shared" si="651"/>
        <v/>
      </c>
      <c r="S5205" t="str">
        <f t="shared" si="652"/>
        <v/>
      </c>
      <c r="T5205" s="403" t="str">
        <f t="shared" si="653"/>
        <v>NDI-5503-AL</v>
      </c>
      <c r="U5205" s="403">
        <f t="shared" si="654"/>
        <v>1</v>
      </c>
      <c r="V5205" s="403" t="str">
        <f t="shared" si="655"/>
        <v>CPP_7_3</v>
      </c>
    </row>
    <row r="5206" spans="1:22">
      <c r="A5206" t="str">
        <f t="shared" si="648"/>
        <v>NDI-5503-AL</v>
      </c>
      <c r="B5206" s="403" t="s">
        <v>1424</v>
      </c>
      <c r="C5206" s="403" t="s">
        <v>582</v>
      </c>
      <c r="D5206" s="403" t="s">
        <v>1425</v>
      </c>
      <c r="E5206" s="403" t="s">
        <v>778</v>
      </c>
      <c r="F5206" s="403" t="s">
        <v>1382</v>
      </c>
      <c r="G5206" s="403" t="s">
        <v>1467</v>
      </c>
      <c r="H5206" s="403" t="s">
        <v>1281</v>
      </c>
      <c r="I5206" s="403">
        <v>1</v>
      </c>
      <c r="J5206" s="403" t="s">
        <v>1374</v>
      </c>
      <c r="K5206" s="403">
        <v>1296</v>
      </c>
      <c r="L5206" s="403">
        <v>2304</v>
      </c>
      <c r="M5206" s="403" t="s">
        <v>1374</v>
      </c>
      <c r="N5206" s="403">
        <v>1296</v>
      </c>
      <c r="O5206" s="403">
        <v>2304</v>
      </c>
      <c r="P5206" t="str">
        <f t="shared" si="649"/>
        <v>30fps 2304x1296 - 2304x1296</v>
      </c>
      <c r="Q5206">
        <f t="shared" si="650"/>
        <v>23</v>
      </c>
      <c r="R5206" t="str">
        <f t="shared" si="651"/>
        <v/>
      </c>
      <c r="S5206" t="str">
        <f t="shared" si="652"/>
        <v/>
      </c>
      <c r="T5206" s="403" t="str">
        <f t="shared" si="653"/>
        <v>NDI-5503-AL</v>
      </c>
      <c r="U5206" s="403">
        <f t="shared" si="654"/>
        <v>1</v>
      </c>
      <c r="V5206" s="403" t="str">
        <f t="shared" si="655"/>
        <v>CPP_7_3</v>
      </c>
    </row>
    <row r="5207" spans="1:22">
      <c r="A5207" t="str">
        <f t="shared" si="648"/>
        <v>NDI-5503-AL</v>
      </c>
      <c r="B5207" s="403" t="s">
        <v>1424</v>
      </c>
      <c r="C5207" s="403" t="s">
        <v>582</v>
      </c>
      <c r="D5207" s="403" t="s">
        <v>1425</v>
      </c>
      <c r="E5207" s="403" t="s">
        <v>778</v>
      </c>
      <c r="F5207" s="403" t="s">
        <v>1382</v>
      </c>
      <c r="G5207" s="403" t="s">
        <v>1467</v>
      </c>
      <c r="H5207" s="403" t="s">
        <v>1281</v>
      </c>
      <c r="I5207" s="403">
        <v>1</v>
      </c>
      <c r="J5207" s="403" t="s">
        <v>1374</v>
      </c>
      <c r="K5207" s="403">
        <v>1296</v>
      </c>
      <c r="L5207" s="403">
        <v>2304</v>
      </c>
      <c r="M5207" s="403" t="s">
        <v>109</v>
      </c>
      <c r="N5207" s="403">
        <v>720</v>
      </c>
      <c r="O5207" s="403">
        <v>1280</v>
      </c>
      <c r="P5207" t="str">
        <f t="shared" si="649"/>
        <v>30fps 2304x1296 - 720p</v>
      </c>
      <c r="Q5207">
        <f t="shared" si="650"/>
        <v>23</v>
      </c>
      <c r="R5207" t="str">
        <f t="shared" si="651"/>
        <v/>
      </c>
      <c r="S5207" t="str">
        <f t="shared" si="652"/>
        <v/>
      </c>
      <c r="T5207" s="403" t="str">
        <f t="shared" si="653"/>
        <v>NDI-5503-AL</v>
      </c>
      <c r="U5207" s="403">
        <f t="shared" si="654"/>
        <v>1</v>
      </c>
      <c r="V5207" s="403" t="str">
        <f t="shared" si="655"/>
        <v>CPP_7_3</v>
      </c>
    </row>
    <row r="5208" spans="1:22">
      <c r="A5208" t="str">
        <f t="shared" si="648"/>
        <v>NDI-5503-AL</v>
      </c>
      <c r="B5208" s="403" t="s">
        <v>1424</v>
      </c>
      <c r="C5208" s="403" t="s">
        <v>582</v>
      </c>
      <c r="D5208" s="403" t="s">
        <v>1425</v>
      </c>
      <c r="E5208" s="403" t="s">
        <v>778</v>
      </c>
      <c r="F5208" s="403" t="s">
        <v>1382</v>
      </c>
      <c r="G5208" s="403" t="s">
        <v>1467</v>
      </c>
      <c r="H5208" s="403" t="s">
        <v>1281</v>
      </c>
      <c r="I5208" s="403">
        <v>1</v>
      </c>
      <c r="J5208" s="403" t="s">
        <v>1374</v>
      </c>
      <c r="K5208" s="403">
        <v>1296</v>
      </c>
      <c r="L5208" s="403">
        <v>2304</v>
      </c>
      <c r="M5208" s="403" t="s">
        <v>111</v>
      </c>
      <c r="N5208" s="403">
        <v>480</v>
      </c>
      <c r="O5208" s="403">
        <v>640</v>
      </c>
      <c r="P5208" t="str">
        <f t="shared" si="649"/>
        <v>30fps 2304x1296 - SD</v>
      </c>
      <c r="Q5208">
        <f t="shared" si="650"/>
        <v>23</v>
      </c>
      <c r="R5208" t="str">
        <f t="shared" si="651"/>
        <v/>
      </c>
      <c r="S5208" t="str">
        <f t="shared" si="652"/>
        <v/>
      </c>
      <c r="T5208" s="403" t="str">
        <f t="shared" si="653"/>
        <v>NDI-5503-AL</v>
      </c>
      <c r="U5208" s="403">
        <f t="shared" si="654"/>
        <v>1</v>
      </c>
      <c r="V5208" s="403" t="str">
        <f t="shared" si="655"/>
        <v>CPP_7_3</v>
      </c>
    </row>
    <row r="5209" spans="1:22">
      <c r="A5209" t="str">
        <f t="shared" si="648"/>
        <v>NDI-5503-AL</v>
      </c>
      <c r="B5209" s="403" t="s">
        <v>1424</v>
      </c>
      <c r="C5209" s="403" t="s">
        <v>582</v>
      </c>
      <c r="D5209" s="403" t="s">
        <v>1425</v>
      </c>
      <c r="E5209" s="403" t="s">
        <v>778</v>
      </c>
      <c r="F5209" s="403" t="s">
        <v>1382</v>
      </c>
      <c r="G5209" s="403" t="s">
        <v>1467</v>
      </c>
      <c r="H5209" s="403" t="s">
        <v>1281</v>
      </c>
      <c r="I5209" s="403">
        <v>1</v>
      </c>
      <c r="J5209" s="403" t="s">
        <v>1374</v>
      </c>
      <c r="K5209" s="403">
        <v>1296</v>
      </c>
      <c r="L5209" s="403">
        <v>2304</v>
      </c>
      <c r="M5209" s="403" t="s">
        <v>1279</v>
      </c>
      <c r="N5209" s="403">
        <v>480</v>
      </c>
      <c r="O5209" s="403">
        <v>640</v>
      </c>
      <c r="P5209" t="str">
        <f t="shared" si="649"/>
        <v>30fps 2304x1296 - SD ROI PTZ</v>
      </c>
      <c r="Q5209">
        <f t="shared" si="650"/>
        <v>23</v>
      </c>
      <c r="R5209" t="str">
        <f t="shared" si="651"/>
        <v/>
      </c>
      <c r="S5209" t="str">
        <f t="shared" si="652"/>
        <v/>
      </c>
      <c r="T5209" s="403" t="str">
        <f t="shared" si="653"/>
        <v>NDI-5503-AL</v>
      </c>
      <c r="U5209" s="403">
        <f t="shared" si="654"/>
        <v>1</v>
      </c>
      <c r="V5209" s="403" t="str">
        <f t="shared" si="655"/>
        <v>CPP_7_3</v>
      </c>
    </row>
    <row r="5210" spans="1:22">
      <c r="A5210" t="str">
        <f t="shared" si="648"/>
        <v>NDI-5503-AL</v>
      </c>
      <c r="B5210" s="403" t="s">
        <v>1424</v>
      </c>
      <c r="C5210" s="403" t="s">
        <v>582</v>
      </c>
      <c r="D5210" s="403" t="s">
        <v>1425</v>
      </c>
      <c r="E5210" s="403" t="s">
        <v>778</v>
      </c>
      <c r="F5210" s="403" t="s">
        <v>1382</v>
      </c>
      <c r="G5210" s="403" t="s">
        <v>1467</v>
      </c>
      <c r="H5210" s="403" t="s">
        <v>1281</v>
      </c>
      <c r="I5210" s="403">
        <v>1</v>
      </c>
      <c r="J5210" s="403" t="s">
        <v>1374</v>
      </c>
      <c r="K5210" s="403">
        <v>1296</v>
      </c>
      <c r="L5210" s="403">
        <v>2304</v>
      </c>
      <c r="M5210" s="403" t="s">
        <v>1285</v>
      </c>
      <c r="N5210" s="403">
        <v>1024</v>
      </c>
      <c r="O5210" s="403">
        <v>1280</v>
      </c>
      <c r="P5210" t="str">
        <f t="shared" si="649"/>
        <v>30fps 2304x1296 - 1280x1024 5:4 (cropped)</v>
      </c>
      <c r="Q5210">
        <f t="shared" si="650"/>
        <v>23</v>
      </c>
      <c r="R5210" t="str">
        <f t="shared" si="651"/>
        <v/>
      </c>
      <c r="S5210" t="str">
        <f t="shared" si="652"/>
        <v/>
      </c>
      <c r="T5210" s="403" t="str">
        <f t="shared" si="653"/>
        <v>NDI-5503-AL</v>
      </c>
      <c r="U5210" s="403">
        <f t="shared" si="654"/>
        <v>1</v>
      </c>
      <c r="V5210" s="403" t="str">
        <f t="shared" si="655"/>
        <v>CPP_7_3</v>
      </c>
    </row>
    <row r="5211" spans="1:22">
      <c r="A5211" t="str">
        <f t="shared" si="648"/>
        <v>NDI-5503-AL</v>
      </c>
      <c r="B5211" s="403" t="s">
        <v>1424</v>
      </c>
      <c r="C5211" s="403" t="s">
        <v>582</v>
      </c>
      <c r="D5211" s="403" t="s">
        <v>1425</v>
      </c>
      <c r="E5211" s="403" t="s">
        <v>778</v>
      </c>
      <c r="F5211" s="403" t="s">
        <v>1382</v>
      </c>
      <c r="G5211" s="403" t="s">
        <v>1467</v>
      </c>
      <c r="H5211" s="403" t="s">
        <v>1281</v>
      </c>
      <c r="I5211" s="403">
        <v>1</v>
      </c>
      <c r="J5211" s="403" t="s">
        <v>1374</v>
      </c>
      <c r="K5211" s="403">
        <v>1296</v>
      </c>
      <c r="L5211" s="403">
        <v>2304</v>
      </c>
      <c r="M5211" s="403" t="s">
        <v>1283</v>
      </c>
      <c r="N5211" s="403">
        <v>480</v>
      </c>
      <c r="O5211" s="403">
        <v>720</v>
      </c>
      <c r="P5211" t="str">
        <f t="shared" si="649"/>
        <v>30fps 2304x1296 - SD 4CIF resolution 4:3 format (cropped)</v>
      </c>
      <c r="Q5211">
        <f t="shared" si="650"/>
        <v>23</v>
      </c>
      <c r="R5211" t="str">
        <f t="shared" si="651"/>
        <v/>
      </c>
      <c r="S5211" t="str">
        <f t="shared" si="652"/>
        <v/>
      </c>
      <c r="T5211" s="403" t="str">
        <f t="shared" si="653"/>
        <v>NDI-5503-AL</v>
      </c>
      <c r="U5211" s="403">
        <f t="shared" si="654"/>
        <v>1</v>
      </c>
      <c r="V5211" s="403" t="str">
        <f t="shared" si="655"/>
        <v>CPP_7_3</v>
      </c>
    </row>
    <row r="5212" spans="1:22">
      <c r="A5212" t="str">
        <f t="shared" si="648"/>
        <v>NDI-5503-AL</v>
      </c>
      <c r="B5212" s="403" t="s">
        <v>1424</v>
      </c>
      <c r="C5212" s="403" t="s">
        <v>582</v>
      </c>
      <c r="D5212" s="403" t="s">
        <v>1425</v>
      </c>
      <c r="E5212" s="403" t="s">
        <v>778</v>
      </c>
      <c r="F5212" s="403" t="s">
        <v>1382</v>
      </c>
      <c r="G5212" s="403" t="s">
        <v>1467</v>
      </c>
      <c r="H5212" s="403" t="s">
        <v>1281</v>
      </c>
      <c r="I5212" s="403">
        <v>1</v>
      </c>
      <c r="J5212" s="403" t="s">
        <v>1374</v>
      </c>
      <c r="K5212" s="403">
        <v>1296</v>
      </c>
      <c r="L5212" s="403">
        <v>2304</v>
      </c>
      <c r="M5212" s="403" t="s">
        <v>1284</v>
      </c>
      <c r="N5212" s="403">
        <v>480</v>
      </c>
      <c r="O5212" s="403">
        <v>640</v>
      </c>
      <c r="P5212" t="str">
        <f t="shared" si="649"/>
        <v>30fps 2304x1296 - SD VGA (cropped)</v>
      </c>
      <c r="Q5212">
        <f t="shared" si="650"/>
        <v>23</v>
      </c>
      <c r="R5212" t="str">
        <f t="shared" si="651"/>
        <v/>
      </c>
      <c r="S5212" t="str">
        <f t="shared" si="652"/>
        <v/>
      </c>
      <c r="T5212" s="403" t="str">
        <f t="shared" si="653"/>
        <v>NDI-5503-AL</v>
      </c>
      <c r="U5212" s="403">
        <f t="shared" si="654"/>
        <v>1</v>
      </c>
      <c r="V5212" s="403" t="str">
        <f t="shared" si="655"/>
        <v>CPP_7_3</v>
      </c>
    </row>
    <row r="5213" spans="1:22">
      <c r="A5213" t="str">
        <f t="shared" si="648"/>
        <v>NDI-5503-AL</v>
      </c>
      <c r="B5213" s="403" t="s">
        <v>1424</v>
      </c>
      <c r="C5213" s="403" t="s">
        <v>582</v>
      </c>
      <c r="D5213" s="403" t="s">
        <v>1425</v>
      </c>
      <c r="E5213" s="403" t="s">
        <v>778</v>
      </c>
      <c r="F5213" s="403" t="s">
        <v>1382</v>
      </c>
      <c r="G5213" s="403" t="s">
        <v>1467</v>
      </c>
      <c r="H5213" s="403" t="s">
        <v>1281</v>
      </c>
      <c r="I5213" s="403">
        <v>1</v>
      </c>
      <c r="J5213" s="403" t="s">
        <v>1374</v>
      </c>
      <c r="K5213" s="403">
        <v>1296</v>
      </c>
      <c r="L5213" s="403">
        <v>2304</v>
      </c>
      <c r="M5213" s="403" t="s">
        <v>1280</v>
      </c>
      <c r="N5213" s="403">
        <v>1296</v>
      </c>
      <c r="O5213" s="403">
        <v>2304</v>
      </c>
      <c r="P5213" t="str">
        <f t="shared" si="649"/>
        <v>30fps 2304x1296 - copy other stream</v>
      </c>
      <c r="Q5213">
        <f t="shared" si="650"/>
        <v>23</v>
      </c>
      <c r="R5213" t="str">
        <f t="shared" si="651"/>
        <v/>
      </c>
      <c r="S5213" t="str">
        <f t="shared" si="652"/>
        <v/>
      </c>
      <c r="T5213" s="403" t="str">
        <f t="shared" si="653"/>
        <v>NDI-5503-AL</v>
      </c>
      <c r="U5213" s="403">
        <f t="shared" si="654"/>
        <v>1</v>
      </c>
      <c r="V5213" s="403" t="str">
        <f t="shared" si="655"/>
        <v>CPP_7_3</v>
      </c>
    </row>
    <row r="5214" spans="1:22">
      <c r="A5214" t="str">
        <f t="shared" si="648"/>
        <v>NDI-5503-AL</v>
      </c>
      <c r="B5214" s="403" t="s">
        <v>1424</v>
      </c>
      <c r="C5214" s="403" t="s">
        <v>582</v>
      </c>
      <c r="D5214" s="403" t="s">
        <v>1425</v>
      </c>
      <c r="E5214" s="403" t="s">
        <v>778</v>
      </c>
      <c r="F5214" s="403" t="s">
        <v>1382</v>
      </c>
      <c r="G5214" s="403" t="s">
        <v>1467</v>
      </c>
      <c r="H5214" s="403" t="s">
        <v>1281</v>
      </c>
      <c r="I5214" s="403">
        <v>1</v>
      </c>
      <c r="J5214" s="403" t="s">
        <v>110</v>
      </c>
      <c r="K5214" s="403">
        <v>1080</v>
      </c>
      <c r="L5214" s="403">
        <v>1920</v>
      </c>
      <c r="M5214" s="403" t="s">
        <v>111</v>
      </c>
      <c r="N5214" s="403">
        <v>480</v>
      </c>
      <c r="O5214" s="403">
        <v>640</v>
      </c>
      <c r="P5214" t="str">
        <f t="shared" si="649"/>
        <v>30fps 1080p - SD</v>
      </c>
      <c r="Q5214">
        <f t="shared" si="650"/>
        <v>23</v>
      </c>
      <c r="R5214" t="str">
        <f t="shared" si="651"/>
        <v/>
      </c>
      <c r="S5214" t="str">
        <f t="shared" si="652"/>
        <v/>
      </c>
      <c r="T5214" s="403" t="str">
        <f t="shared" si="653"/>
        <v>NDI-5503-AL</v>
      </c>
      <c r="U5214" s="403">
        <f t="shared" si="654"/>
        <v>1</v>
      </c>
      <c r="V5214" s="403" t="str">
        <f t="shared" si="655"/>
        <v>CPP_7_3</v>
      </c>
    </row>
    <row r="5215" spans="1:22">
      <c r="A5215" t="str">
        <f t="shared" si="648"/>
        <v>NDI-5503-AL</v>
      </c>
      <c r="B5215" s="403" t="s">
        <v>1424</v>
      </c>
      <c r="C5215" s="403" t="s">
        <v>582</v>
      </c>
      <c r="D5215" s="403" t="s">
        <v>1425</v>
      </c>
      <c r="E5215" s="403" t="s">
        <v>778</v>
      </c>
      <c r="F5215" s="403" t="s">
        <v>1382</v>
      </c>
      <c r="G5215" s="403" t="s">
        <v>1467</v>
      </c>
      <c r="H5215" s="403" t="s">
        <v>1281</v>
      </c>
      <c r="I5215" s="403">
        <v>1</v>
      </c>
      <c r="J5215" s="403" t="s">
        <v>110</v>
      </c>
      <c r="K5215" s="403">
        <v>1080</v>
      </c>
      <c r="L5215" s="403">
        <v>1920</v>
      </c>
      <c r="M5215" s="403" t="s">
        <v>110</v>
      </c>
      <c r="N5215" s="403">
        <v>1080</v>
      </c>
      <c r="O5215" s="403">
        <v>1920</v>
      </c>
      <c r="P5215" t="str">
        <f t="shared" si="649"/>
        <v>30fps 1080p - 1080p</v>
      </c>
      <c r="Q5215">
        <f t="shared" si="650"/>
        <v>23</v>
      </c>
      <c r="R5215" t="str">
        <f t="shared" si="651"/>
        <v/>
      </c>
      <c r="S5215" t="str">
        <f t="shared" si="652"/>
        <v/>
      </c>
      <c r="T5215" s="403" t="str">
        <f t="shared" si="653"/>
        <v>NDI-5503-AL</v>
      </c>
      <c r="U5215" s="403">
        <f t="shared" si="654"/>
        <v>1</v>
      </c>
      <c r="V5215" s="403" t="str">
        <f t="shared" si="655"/>
        <v>CPP_7_3</v>
      </c>
    </row>
    <row r="5216" spans="1:22">
      <c r="A5216" t="str">
        <f t="shared" si="648"/>
        <v>NDI-5503-AL</v>
      </c>
      <c r="B5216" s="403" t="s">
        <v>1424</v>
      </c>
      <c r="C5216" s="403" t="s">
        <v>582</v>
      </c>
      <c r="D5216" s="403" t="s">
        <v>1425</v>
      </c>
      <c r="E5216" s="403" t="s">
        <v>778</v>
      </c>
      <c r="F5216" s="403" t="s">
        <v>1382</v>
      </c>
      <c r="G5216" s="403" t="s">
        <v>1467</v>
      </c>
      <c r="H5216" s="403" t="s">
        <v>1281</v>
      </c>
      <c r="I5216" s="403">
        <v>1</v>
      </c>
      <c r="J5216" s="403" t="s">
        <v>110</v>
      </c>
      <c r="K5216" s="403">
        <v>1080</v>
      </c>
      <c r="L5216" s="403">
        <v>1920</v>
      </c>
      <c r="M5216" s="403" t="s">
        <v>109</v>
      </c>
      <c r="N5216" s="403">
        <v>720</v>
      </c>
      <c r="O5216" s="403">
        <v>1280</v>
      </c>
      <c r="P5216" t="str">
        <f t="shared" si="649"/>
        <v>30fps 1080p - 720p</v>
      </c>
      <c r="Q5216">
        <f t="shared" si="650"/>
        <v>23</v>
      </c>
      <c r="R5216" t="str">
        <f t="shared" si="651"/>
        <v/>
      </c>
      <c r="S5216" t="str">
        <f t="shared" si="652"/>
        <v/>
      </c>
      <c r="T5216" s="403" t="str">
        <f t="shared" si="653"/>
        <v>NDI-5503-AL</v>
      </c>
      <c r="U5216" s="403">
        <f t="shared" si="654"/>
        <v>1</v>
      </c>
      <c r="V5216" s="403" t="str">
        <f t="shared" si="655"/>
        <v>CPP_7_3</v>
      </c>
    </row>
    <row r="5217" spans="1:22">
      <c r="A5217" t="str">
        <f t="shared" si="648"/>
        <v>NDI-5503-AL</v>
      </c>
      <c r="B5217" s="403" t="s">
        <v>1424</v>
      </c>
      <c r="C5217" s="403" t="s">
        <v>582</v>
      </c>
      <c r="D5217" s="403" t="s">
        <v>1425</v>
      </c>
      <c r="E5217" s="403" t="s">
        <v>778</v>
      </c>
      <c r="F5217" s="403" t="s">
        <v>1382</v>
      </c>
      <c r="G5217" s="403" t="s">
        <v>1467</v>
      </c>
      <c r="H5217" s="403" t="s">
        <v>1281</v>
      </c>
      <c r="I5217" s="403">
        <v>1</v>
      </c>
      <c r="J5217" s="403" t="s">
        <v>110</v>
      </c>
      <c r="K5217" s="403">
        <v>1080</v>
      </c>
      <c r="L5217" s="403">
        <v>1920</v>
      </c>
      <c r="M5217" s="403" t="s">
        <v>1285</v>
      </c>
      <c r="N5217" s="403">
        <v>1024</v>
      </c>
      <c r="O5217" s="403">
        <v>1280</v>
      </c>
      <c r="P5217" t="str">
        <f t="shared" si="649"/>
        <v>30fps 1080p - 1280x1024 5:4 (cropped)</v>
      </c>
      <c r="Q5217">
        <f t="shared" si="650"/>
        <v>23</v>
      </c>
      <c r="R5217" t="str">
        <f t="shared" si="651"/>
        <v/>
      </c>
      <c r="S5217" t="str">
        <f t="shared" si="652"/>
        <v/>
      </c>
      <c r="T5217" s="403" t="str">
        <f t="shared" si="653"/>
        <v>NDI-5503-AL</v>
      </c>
      <c r="U5217" s="403">
        <f t="shared" si="654"/>
        <v>1</v>
      </c>
      <c r="V5217" s="403" t="str">
        <f t="shared" si="655"/>
        <v>CPP_7_3</v>
      </c>
    </row>
    <row r="5218" spans="1:22">
      <c r="A5218" t="str">
        <f t="shared" si="648"/>
        <v>NDI-5503-AL</v>
      </c>
      <c r="B5218" s="403" t="s">
        <v>1424</v>
      </c>
      <c r="C5218" s="403" t="s">
        <v>582</v>
      </c>
      <c r="D5218" s="403" t="s">
        <v>1425</v>
      </c>
      <c r="E5218" s="403" t="s">
        <v>778</v>
      </c>
      <c r="F5218" s="403" t="s">
        <v>1382</v>
      </c>
      <c r="G5218" s="403" t="s">
        <v>1467</v>
      </c>
      <c r="H5218" s="403" t="s">
        <v>1281</v>
      </c>
      <c r="I5218" s="403">
        <v>1</v>
      </c>
      <c r="J5218" s="403" t="s">
        <v>110</v>
      </c>
      <c r="K5218" s="403">
        <v>1080</v>
      </c>
      <c r="L5218" s="403">
        <v>1920</v>
      </c>
      <c r="M5218" s="403" t="s">
        <v>1279</v>
      </c>
      <c r="N5218" s="403">
        <v>480</v>
      </c>
      <c r="O5218" s="403">
        <v>640</v>
      </c>
      <c r="P5218" t="str">
        <f t="shared" si="649"/>
        <v>30fps 1080p - SD ROI PTZ</v>
      </c>
      <c r="Q5218">
        <f t="shared" si="650"/>
        <v>23</v>
      </c>
      <c r="R5218" t="str">
        <f t="shared" si="651"/>
        <v/>
      </c>
      <c r="S5218" t="str">
        <f t="shared" si="652"/>
        <v/>
      </c>
      <c r="T5218" s="403" t="str">
        <f t="shared" si="653"/>
        <v>NDI-5503-AL</v>
      </c>
      <c r="U5218" s="403">
        <f t="shared" si="654"/>
        <v>1</v>
      </c>
      <c r="V5218" s="403" t="str">
        <f t="shared" si="655"/>
        <v>CPP_7_3</v>
      </c>
    </row>
    <row r="5219" spans="1:22">
      <c r="A5219" t="str">
        <f t="shared" si="648"/>
        <v>NDI-5503-AL</v>
      </c>
      <c r="B5219" s="403" t="s">
        <v>1424</v>
      </c>
      <c r="C5219" s="403" t="s">
        <v>582</v>
      </c>
      <c r="D5219" s="403" t="s">
        <v>1425</v>
      </c>
      <c r="E5219" s="403" t="s">
        <v>778</v>
      </c>
      <c r="F5219" s="403" t="s">
        <v>1382</v>
      </c>
      <c r="G5219" s="403" t="s">
        <v>1467</v>
      </c>
      <c r="H5219" s="403" t="s">
        <v>1281</v>
      </c>
      <c r="I5219" s="403">
        <v>1</v>
      </c>
      <c r="J5219" s="403" t="s">
        <v>110</v>
      </c>
      <c r="K5219" s="403">
        <v>1080</v>
      </c>
      <c r="L5219" s="403">
        <v>1920</v>
      </c>
      <c r="M5219" s="403" t="s">
        <v>1283</v>
      </c>
      <c r="N5219" s="403">
        <v>480</v>
      </c>
      <c r="O5219" s="403">
        <v>720</v>
      </c>
      <c r="P5219" t="str">
        <f t="shared" si="649"/>
        <v>30fps 1080p - SD 4CIF resolution 4:3 format (cropped)</v>
      </c>
      <c r="Q5219">
        <f t="shared" si="650"/>
        <v>23</v>
      </c>
      <c r="R5219" t="str">
        <f t="shared" si="651"/>
        <v/>
      </c>
      <c r="S5219" t="str">
        <f t="shared" si="652"/>
        <v/>
      </c>
      <c r="T5219" s="403" t="str">
        <f t="shared" si="653"/>
        <v>NDI-5503-AL</v>
      </c>
      <c r="U5219" s="403">
        <f t="shared" si="654"/>
        <v>1</v>
      </c>
      <c r="V5219" s="403" t="str">
        <f t="shared" si="655"/>
        <v>CPP_7_3</v>
      </c>
    </row>
    <row r="5220" spans="1:22">
      <c r="A5220" t="str">
        <f t="shared" si="648"/>
        <v>NDI-5503-AL</v>
      </c>
      <c r="B5220" s="403" t="s">
        <v>1424</v>
      </c>
      <c r="C5220" s="403" t="s">
        <v>582</v>
      </c>
      <c r="D5220" s="403" t="s">
        <v>1425</v>
      </c>
      <c r="E5220" s="403" t="s">
        <v>778</v>
      </c>
      <c r="F5220" s="403" t="s">
        <v>1382</v>
      </c>
      <c r="G5220" s="403" t="s">
        <v>1467</v>
      </c>
      <c r="H5220" s="403" t="s">
        <v>1281</v>
      </c>
      <c r="I5220" s="403">
        <v>1</v>
      </c>
      <c r="J5220" s="403" t="s">
        <v>110</v>
      </c>
      <c r="K5220" s="403">
        <v>1080</v>
      </c>
      <c r="L5220" s="403">
        <v>1920</v>
      </c>
      <c r="M5220" s="403" t="s">
        <v>1284</v>
      </c>
      <c r="N5220" s="403">
        <v>480</v>
      </c>
      <c r="O5220" s="403">
        <v>640</v>
      </c>
      <c r="P5220" t="str">
        <f t="shared" si="649"/>
        <v>30fps 1080p - SD VGA (cropped)</v>
      </c>
      <c r="Q5220">
        <f t="shared" si="650"/>
        <v>23</v>
      </c>
      <c r="R5220" t="str">
        <f t="shared" si="651"/>
        <v/>
      </c>
      <c r="S5220" t="str">
        <f t="shared" si="652"/>
        <v/>
      </c>
      <c r="T5220" s="403" t="str">
        <f t="shared" si="653"/>
        <v>NDI-5503-AL</v>
      </c>
      <c r="U5220" s="403">
        <f t="shared" si="654"/>
        <v>1</v>
      </c>
      <c r="V5220" s="403" t="str">
        <f t="shared" si="655"/>
        <v>CPP_7_3</v>
      </c>
    </row>
    <row r="5221" spans="1:22">
      <c r="A5221" t="str">
        <f t="shared" si="648"/>
        <v>NDI-5503-AL</v>
      </c>
      <c r="B5221" s="403" t="s">
        <v>1424</v>
      </c>
      <c r="C5221" s="403" t="s">
        <v>582</v>
      </c>
      <c r="D5221" s="403" t="s">
        <v>1425</v>
      </c>
      <c r="E5221" s="403" t="s">
        <v>778</v>
      </c>
      <c r="F5221" s="403" t="s">
        <v>1382</v>
      </c>
      <c r="G5221" s="403" t="s">
        <v>1467</v>
      </c>
      <c r="H5221" s="403" t="s">
        <v>1281</v>
      </c>
      <c r="I5221" s="403">
        <v>1</v>
      </c>
      <c r="J5221" s="403" t="s">
        <v>109</v>
      </c>
      <c r="K5221" s="403">
        <v>720</v>
      </c>
      <c r="L5221" s="403">
        <v>1280</v>
      </c>
      <c r="M5221" s="403" t="s">
        <v>109</v>
      </c>
      <c r="N5221" s="403">
        <v>720</v>
      </c>
      <c r="O5221" s="403">
        <v>1280</v>
      </c>
      <c r="P5221" t="str">
        <f t="shared" si="649"/>
        <v>30fps 720p - 720p</v>
      </c>
      <c r="Q5221">
        <f t="shared" si="650"/>
        <v>23</v>
      </c>
      <c r="R5221" t="str">
        <f t="shared" si="651"/>
        <v/>
      </c>
      <c r="S5221" t="str">
        <f t="shared" si="652"/>
        <v/>
      </c>
      <c r="T5221" s="403" t="str">
        <f t="shared" si="653"/>
        <v>NDI-5503-AL</v>
      </c>
      <c r="U5221" s="403">
        <f t="shared" si="654"/>
        <v>1</v>
      </c>
      <c r="V5221" s="403" t="str">
        <f t="shared" si="655"/>
        <v>CPP_7_3</v>
      </c>
    </row>
    <row r="5222" spans="1:22">
      <c r="A5222" t="str">
        <f t="shared" si="648"/>
        <v>NDI-5503-AL</v>
      </c>
      <c r="B5222" s="403" t="s">
        <v>1424</v>
      </c>
      <c r="C5222" s="403" t="s">
        <v>582</v>
      </c>
      <c r="D5222" s="403" t="s">
        <v>1425</v>
      </c>
      <c r="E5222" s="403" t="s">
        <v>778</v>
      </c>
      <c r="F5222" s="403" t="s">
        <v>1382</v>
      </c>
      <c r="G5222" s="403" t="s">
        <v>1467</v>
      </c>
      <c r="H5222" s="403" t="s">
        <v>1281</v>
      </c>
      <c r="I5222" s="403">
        <v>1</v>
      </c>
      <c r="J5222" s="403" t="s">
        <v>109</v>
      </c>
      <c r="K5222" s="403">
        <v>720</v>
      </c>
      <c r="L5222" s="403">
        <v>1280</v>
      </c>
      <c r="M5222" s="403" t="s">
        <v>111</v>
      </c>
      <c r="N5222" s="403">
        <v>480</v>
      </c>
      <c r="O5222" s="403">
        <v>640</v>
      </c>
      <c r="P5222" t="str">
        <f t="shared" si="649"/>
        <v>30fps 720p - SD</v>
      </c>
      <c r="Q5222">
        <f t="shared" si="650"/>
        <v>23</v>
      </c>
      <c r="R5222" t="str">
        <f t="shared" si="651"/>
        <v/>
      </c>
      <c r="S5222" t="str">
        <f t="shared" si="652"/>
        <v/>
      </c>
      <c r="T5222" s="403" t="str">
        <f t="shared" si="653"/>
        <v>NDI-5503-AL</v>
      </c>
      <c r="U5222" s="403">
        <f t="shared" si="654"/>
        <v>1</v>
      </c>
      <c r="V5222" s="403" t="str">
        <f t="shared" si="655"/>
        <v>CPP_7_3</v>
      </c>
    </row>
    <row r="5223" spans="1:22">
      <c r="A5223" t="str">
        <f t="shared" si="648"/>
        <v>NDI-5503-AL</v>
      </c>
      <c r="B5223" s="403" t="s">
        <v>1424</v>
      </c>
      <c r="C5223" s="403" t="s">
        <v>582</v>
      </c>
      <c r="D5223" s="403" t="s">
        <v>1425</v>
      </c>
      <c r="E5223" s="403" t="s">
        <v>778</v>
      </c>
      <c r="F5223" s="403" t="s">
        <v>1382</v>
      </c>
      <c r="G5223" s="403" t="s">
        <v>1467</v>
      </c>
      <c r="H5223" s="403" t="s">
        <v>1281</v>
      </c>
      <c r="I5223" s="403">
        <v>1</v>
      </c>
      <c r="J5223" s="403" t="s">
        <v>109</v>
      </c>
      <c r="K5223" s="403">
        <v>720</v>
      </c>
      <c r="L5223" s="403">
        <v>1280</v>
      </c>
      <c r="M5223" s="403" t="s">
        <v>1279</v>
      </c>
      <c r="N5223" s="403">
        <v>480</v>
      </c>
      <c r="O5223" s="403">
        <v>640</v>
      </c>
      <c r="P5223" t="str">
        <f t="shared" si="649"/>
        <v>30fps 720p - SD ROI PTZ</v>
      </c>
      <c r="Q5223">
        <f t="shared" si="650"/>
        <v>23</v>
      </c>
      <c r="R5223" t="str">
        <f t="shared" si="651"/>
        <v/>
      </c>
      <c r="S5223" t="str">
        <f t="shared" si="652"/>
        <v/>
      </c>
      <c r="T5223" s="403" t="str">
        <f t="shared" si="653"/>
        <v>NDI-5503-AL</v>
      </c>
      <c r="U5223" s="403">
        <f t="shared" si="654"/>
        <v>1</v>
      </c>
      <c r="V5223" s="403" t="str">
        <f t="shared" si="655"/>
        <v>CPP_7_3</v>
      </c>
    </row>
    <row r="5224" spans="1:22">
      <c r="A5224" t="str">
        <f t="shared" si="648"/>
        <v>NDI-5503-AL</v>
      </c>
      <c r="B5224" s="403" t="s">
        <v>1424</v>
      </c>
      <c r="C5224" s="403" t="s">
        <v>582</v>
      </c>
      <c r="D5224" s="403" t="s">
        <v>1425</v>
      </c>
      <c r="E5224" s="403" t="s">
        <v>778</v>
      </c>
      <c r="F5224" s="403" t="s">
        <v>1382</v>
      </c>
      <c r="G5224" s="403" t="s">
        <v>1467</v>
      </c>
      <c r="H5224" s="403" t="s">
        <v>1281</v>
      </c>
      <c r="I5224" s="403">
        <v>1</v>
      </c>
      <c r="J5224" s="403" t="s">
        <v>109</v>
      </c>
      <c r="K5224" s="403">
        <v>720</v>
      </c>
      <c r="L5224" s="403">
        <v>1280</v>
      </c>
      <c r="M5224" s="403" t="s">
        <v>1283</v>
      </c>
      <c r="N5224" s="403">
        <v>480</v>
      </c>
      <c r="O5224" s="403">
        <v>720</v>
      </c>
      <c r="P5224" t="str">
        <f t="shared" si="649"/>
        <v>30fps 720p - SD 4CIF resolution 4:3 format (cropped)</v>
      </c>
      <c r="Q5224">
        <f t="shared" si="650"/>
        <v>23</v>
      </c>
      <c r="R5224" t="str">
        <f t="shared" si="651"/>
        <v/>
      </c>
      <c r="S5224" t="str">
        <f t="shared" si="652"/>
        <v/>
      </c>
      <c r="T5224" s="403" t="str">
        <f t="shared" si="653"/>
        <v>NDI-5503-AL</v>
      </c>
      <c r="U5224" s="403">
        <f t="shared" si="654"/>
        <v>1</v>
      </c>
      <c r="V5224" s="403" t="str">
        <f t="shared" si="655"/>
        <v>CPP_7_3</v>
      </c>
    </row>
    <row r="5225" spans="1:22">
      <c r="A5225" t="str">
        <f t="shared" si="648"/>
        <v>NDI-5503-AL</v>
      </c>
      <c r="B5225" s="403" t="s">
        <v>1424</v>
      </c>
      <c r="C5225" s="403" t="s">
        <v>582</v>
      </c>
      <c r="D5225" s="403" t="s">
        <v>1425</v>
      </c>
      <c r="E5225" s="403" t="s">
        <v>778</v>
      </c>
      <c r="F5225" s="403" t="s">
        <v>1382</v>
      </c>
      <c r="G5225" s="403" t="s">
        <v>1467</v>
      </c>
      <c r="H5225" s="403" t="s">
        <v>1281</v>
      </c>
      <c r="I5225" s="403">
        <v>1</v>
      </c>
      <c r="J5225" s="403" t="s">
        <v>109</v>
      </c>
      <c r="K5225" s="403">
        <v>720</v>
      </c>
      <c r="L5225" s="403">
        <v>1280</v>
      </c>
      <c r="M5225" s="403" t="s">
        <v>1284</v>
      </c>
      <c r="N5225" s="403">
        <v>480</v>
      </c>
      <c r="O5225" s="403">
        <v>640</v>
      </c>
      <c r="P5225" t="str">
        <f t="shared" si="649"/>
        <v>30fps 720p - SD VGA (cropped)</v>
      </c>
      <c r="Q5225">
        <f t="shared" si="650"/>
        <v>23</v>
      </c>
      <c r="R5225" t="str">
        <f t="shared" si="651"/>
        <v/>
      </c>
      <c r="S5225" t="str">
        <f t="shared" si="652"/>
        <v/>
      </c>
      <c r="T5225" s="403" t="str">
        <f t="shared" si="653"/>
        <v>NDI-5503-AL</v>
      </c>
      <c r="U5225" s="403">
        <f t="shared" si="654"/>
        <v>1</v>
      </c>
      <c r="V5225" s="403" t="str">
        <f t="shared" si="655"/>
        <v>CPP_7_3</v>
      </c>
    </row>
    <row r="5226" spans="1:22">
      <c r="A5226" t="str">
        <f t="shared" si="648"/>
        <v>NDI-5503-AL</v>
      </c>
      <c r="B5226" s="403" t="s">
        <v>1424</v>
      </c>
      <c r="C5226" s="403" t="s">
        <v>582</v>
      </c>
      <c r="D5226" s="403" t="s">
        <v>1425</v>
      </c>
      <c r="E5226" s="403" t="s">
        <v>778</v>
      </c>
      <c r="F5226" s="403" t="s">
        <v>1385</v>
      </c>
      <c r="G5226" s="403" t="s">
        <v>1466</v>
      </c>
      <c r="H5226" s="403" t="s">
        <v>1276</v>
      </c>
      <c r="I5226" s="403">
        <v>1</v>
      </c>
      <c r="J5226" s="403" t="s">
        <v>1376</v>
      </c>
      <c r="K5226" s="403">
        <v>3072</v>
      </c>
      <c r="L5226" s="403">
        <v>1728</v>
      </c>
      <c r="M5226" s="403" t="s">
        <v>111</v>
      </c>
      <c r="N5226" s="403">
        <v>640</v>
      </c>
      <c r="O5226" s="403">
        <v>480</v>
      </c>
      <c r="P5226" t="str">
        <f t="shared" si="649"/>
        <v>25fps 3072x1728 - SD</v>
      </c>
      <c r="Q5226">
        <f t="shared" si="650"/>
        <v>23</v>
      </c>
      <c r="R5226" t="str">
        <f t="shared" si="651"/>
        <v/>
      </c>
      <c r="S5226" t="str">
        <f t="shared" si="652"/>
        <v/>
      </c>
      <c r="T5226" s="403" t="str">
        <f t="shared" si="653"/>
        <v>NDI-5503-AL</v>
      </c>
      <c r="U5226" s="403">
        <f t="shared" si="654"/>
        <v>1</v>
      </c>
      <c r="V5226" s="403" t="str">
        <f t="shared" si="655"/>
        <v>CPP_7_3</v>
      </c>
    </row>
    <row r="5227" spans="1:22">
      <c r="A5227" t="str">
        <f t="shared" si="648"/>
        <v>NDI-5503-AL</v>
      </c>
      <c r="B5227" s="403" t="s">
        <v>1424</v>
      </c>
      <c r="C5227" s="403" t="s">
        <v>582</v>
      </c>
      <c r="D5227" s="403" t="s">
        <v>1425</v>
      </c>
      <c r="E5227" s="403" t="s">
        <v>778</v>
      </c>
      <c r="F5227" s="403" t="s">
        <v>1385</v>
      </c>
      <c r="G5227" s="403" t="s">
        <v>1466</v>
      </c>
      <c r="H5227" s="403" t="s">
        <v>1276</v>
      </c>
      <c r="I5227" s="403">
        <v>1</v>
      </c>
      <c r="J5227" s="403" t="s">
        <v>1376</v>
      </c>
      <c r="K5227" s="403">
        <v>3072</v>
      </c>
      <c r="L5227" s="403">
        <v>1728</v>
      </c>
      <c r="M5227" s="403" t="s">
        <v>1600</v>
      </c>
      <c r="N5227" s="403">
        <v>3072</v>
      </c>
      <c r="O5227" s="403">
        <v>1728</v>
      </c>
      <c r="P5227" t="str">
        <f t="shared" si="649"/>
        <v>25fps 3072x1728 - 3072x1728 @ SKIP2</v>
      </c>
      <c r="Q5227">
        <f t="shared" si="650"/>
        <v>23</v>
      </c>
      <c r="R5227" t="str">
        <f t="shared" si="651"/>
        <v/>
      </c>
      <c r="S5227" t="str">
        <f t="shared" si="652"/>
        <v/>
      </c>
      <c r="T5227" s="403" t="str">
        <f t="shared" si="653"/>
        <v>NDI-5503-AL</v>
      </c>
      <c r="U5227" s="403">
        <f t="shared" si="654"/>
        <v>1</v>
      </c>
      <c r="V5227" s="403" t="str">
        <f t="shared" si="655"/>
        <v>CPP_7_3</v>
      </c>
    </row>
    <row r="5228" spans="1:22">
      <c r="A5228" t="str">
        <f t="shared" si="648"/>
        <v>NDI-5503-AL</v>
      </c>
      <c r="B5228" s="403" t="s">
        <v>1424</v>
      </c>
      <c r="C5228" s="403" t="s">
        <v>582</v>
      </c>
      <c r="D5228" s="403" t="s">
        <v>1425</v>
      </c>
      <c r="E5228" s="403" t="s">
        <v>778</v>
      </c>
      <c r="F5228" s="403" t="s">
        <v>1385</v>
      </c>
      <c r="G5228" s="403" t="s">
        <v>1466</v>
      </c>
      <c r="H5228" s="403" t="s">
        <v>1276</v>
      </c>
      <c r="I5228" s="403">
        <v>1</v>
      </c>
      <c r="J5228" s="403" t="s">
        <v>1376</v>
      </c>
      <c r="K5228" s="403">
        <v>3072</v>
      </c>
      <c r="L5228" s="403">
        <v>1728</v>
      </c>
      <c r="M5228" s="403" t="s">
        <v>1280</v>
      </c>
      <c r="N5228" s="403">
        <v>3072</v>
      </c>
      <c r="O5228" s="403">
        <v>1728</v>
      </c>
      <c r="P5228" t="str">
        <f t="shared" si="649"/>
        <v>25fps 3072x1728 - copy other stream</v>
      </c>
      <c r="Q5228">
        <f t="shared" si="650"/>
        <v>23</v>
      </c>
      <c r="R5228" t="str">
        <f t="shared" si="651"/>
        <v/>
      </c>
      <c r="S5228" t="str">
        <f t="shared" si="652"/>
        <v/>
      </c>
      <c r="T5228" s="403" t="str">
        <f t="shared" si="653"/>
        <v>NDI-5503-AL</v>
      </c>
      <c r="U5228" s="403">
        <f t="shared" si="654"/>
        <v>1</v>
      </c>
      <c r="V5228" s="403" t="str">
        <f t="shared" si="655"/>
        <v>CPP_7_3</v>
      </c>
    </row>
    <row r="5229" spans="1:22">
      <c r="A5229" t="str">
        <f t="shared" si="648"/>
        <v>NDI-5503-AL</v>
      </c>
      <c r="B5229" s="403" t="s">
        <v>1424</v>
      </c>
      <c r="C5229" s="403" t="s">
        <v>582</v>
      </c>
      <c r="D5229" s="403" t="s">
        <v>1425</v>
      </c>
      <c r="E5229" s="403" t="s">
        <v>778</v>
      </c>
      <c r="F5229" s="403" t="s">
        <v>1385</v>
      </c>
      <c r="G5229" s="403" t="s">
        <v>1466</v>
      </c>
      <c r="H5229" s="403" t="s">
        <v>1276</v>
      </c>
      <c r="I5229" s="403">
        <v>1</v>
      </c>
      <c r="J5229" s="403" t="s">
        <v>1376</v>
      </c>
      <c r="K5229" s="403">
        <v>3072</v>
      </c>
      <c r="L5229" s="403">
        <v>1728</v>
      </c>
      <c r="M5229" s="403" t="s">
        <v>110</v>
      </c>
      <c r="N5229" s="403">
        <v>1920</v>
      </c>
      <c r="O5229" s="403">
        <v>1080</v>
      </c>
      <c r="P5229" t="str">
        <f t="shared" si="649"/>
        <v>25fps 3072x1728 - 1080p</v>
      </c>
      <c r="Q5229">
        <f t="shared" si="650"/>
        <v>23</v>
      </c>
      <c r="R5229" t="str">
        <f t="shared" si="651"/>
        <v/>
      </c>
      <c r="S5229" t="str">
        <f t="shared" si="652"/>
        <v/>
      </c>
      <c r="T5229" s="403" t="str">
        <f t="shared" si="653"/>
        <v>NDI-5503-AL</v>
      </c>
      <c r="U5229" s="403">
        <f t="shared" si="654"/>
        <v>1</v>
      </c>
      <c r="V5229" s="403" t="str">
        <f t="shared" si="655"/>
        <v>CPP_7_3</v>
      </c>
    </row>
    <row r="5230" spans="1:22">
      <c r="A5230" t="str">
        <f t="shared" si="648"/>
        <v>NDI-5503-AL</v>
      </c>
      <c r="B5230" s="403" t="s">
        <v>1424</v>
      </c>
      <c r="C5230" s="403" t="s">
        <v>582</v>
      </c>
      <c r="D5230" s="403" t="s">
        <v>1425</v>
      </c>
      <c r="E5230" s="403" t="s">
        <v>778</v>
      </c>
      <c r="F5230" s="403" t="s">
        <v>1385</v>
      </c>
      <c r="G5230" s="403" t="s">
        <v>1466</v>
      </c>
      <c r="H5230" s="403" t="s">
        <v>1276</v>
      </c>
      <c r="I5230" s="403">
        <v>1</v>
      </c>
      <c r="J5230" s="403" t="s">
        <v>1376</v>
      </c>
      <c r="K5230" s="403">
        <v>3072</v>
      </c>
      <c r="L5230" s="403">
        <v>1728</v>
      </c>
      <c r="M5230" s="403" t="s">
        <v>109</v>
      </c>
      <c r="N5230" s="403">
        <v>1280</v>
      </c>
      <c r="O5230" s="403">
        <v>720</v>
      </c>
      <c r="P5230" t="str">
        <f t="shared" si="649"/>
        <v>25fps 3072x1728 - 720p</v>
      </c>
      <c r="Q5230">
        <f t="shared" si="650"/>
        <v>23</v>
      </c>
      <c r="R5230" t="str">
        <f t="shared" si="651"/>
        <v/>
      </c>
      <c r="S5230" t="str">
        <f t="shared" si="652"/>
        <v/>
      </c>
      <c r="T5230" s="403" t="str">
        <f t="shared" si="653"/>
        <v>NDI-5503-AL</v>
      </c>
      <c r="U5230" s="403">
        <f t="shared" si="654"/>
        <v>1</v>
      </c>
      <c r="V5230" s="403" t="str">
        <f t="shared" si="655"/>
        <v>CPP_7_3</v>
      </c>
    </row>
    <row r="5231" spans="1:22">
      <c r="A5231" t="str">
        <f t="shared" si="648"/>
        <v>NDI-5503-AL</v>
      </c>
      <c r="B5231" s="403" t="s">
        <v>1424</v>
      </c>
      <c r="C5231" s="403" t="s">
        <v>582</v>
      </c>
      <c r="D5231" s="403" t="s">
        <v>1425</v>
      </c>
      <c r="E5231" s="403" t="s">
        <v>778</v>
      </c>
      <c r="F5231" s="403" t="s">
        <v>1385</v>
      </c>
      <c r="G5231" s="403" t="s">
        <v>1466</v>
      </c>
      <c r="H5231" s="403" t="s">
        <v>1276</v>
      </c>
      <c r="I5231" s="403">
        <v>1</v>
      </c>
      <c r="J5231" s="403" t="s">
        <v>1376</v>
      </c>
      <c r="K5231" s="403">
        <v>3072</v>
      </c>
      <c r="L5231" s="403">
        <v>1728</v>
      </c>
      <c r="M5231" s="403" t="s">
        <v>1283</v>
      </c>
      <c r="N5231" s="403">
        <v>720</v>
      </c>
      <c r="O5231" s="403">
        <v>576</v>
      </c>
      <c r="P5231" t="str">
        <f t="shared" si="649"/>
        <v>25fps 3072x1728 - SD 4CIF resolution 4:3 format (cropped)</v>
      </c>
      <c r="Q5231">
        <f t="shared" si="650"/>
        <v>23</v>
      </c>
      <c r="R5231" t="str">
        <f t="shared" si="651"/>
        <v/>
      </c>
      <c r="S5231" t="str">
        <f t="shared" si="652"/>
        <v/>
      </c>
      <c r="T5231" s="403" t="str">
        <f t="shared" si="653"/>
        <v>NDI-5503-AL</v>
      </c>
      <c r="U5231" s="403">
        <f t="shared" si="654"/>
        <v>1</v>
      </c>
      <c r="V5231" s="403" t="str">
        <f t="shared" si="655"/>
        <v>CPP_7_3</v>
      </c>
    </row>
    <row r="5232" spans="1:22">
      <c r="A5232" t="str">
        <f t="shared" si="648"/>
        <v>NDI-5503-AL</v>
      </c>
      <c r="B5232" s="403" t="s">
        <v>1424</v>
      </c>
      <c r="C5232" s="403" t="s">
        <v>582</v>
      </c>
      <c r="D5232" s="403" t="s">
        <v>1425</v>
      </c>
      <c r="E5232" s="403" t="s">
        <v>778</v>
      </c>
      <c r="F5232" s="403" t="s">
        <v>1385</v>
      </c>
      <c r="G5232" s="403" t="s">
        <v>1466</v>
      </c>
      <c r="H5232" s="403" t="s">
        <v>1276</v>
      </c>
      <c r="I5232" s="403">
        <v>1</v>
      </c>
      <c r="J5232" s="403" t="s">
        <v>1376</v>
      </c>
      <c r="K5232" s="403">
        <v>3072</v>
      </c>
      <c r="L5232" s="403">
        <v>1728</v>
      </c>
      <c r="M5232" s="403" t="s">
        <v>1279</v>
      </c>
      <c r="N5232" s="403">
        <v>640</v>
      </c>
      <c r="O5232" s="403">
        <v>480</v>
      </c>
      <c r="P5232" t="str">
        <f t="shared" si="649"/>
        <v>25fps 3072x1728 - SD ROI PTZ</v>
      </c>
      <c r="Q5232">
        <f t="shared" si="650"/>
        <v>23</v>
      </c>
      <c r="R5232" t="str">
        <f t="shared" si="651"/>
        <v/>
      </c>
      <c r="S5232" t="str">
        <f t="shared" si="652"/>
        <v/>
      </c>
      <c r="T5232" s="403" t="str">
        <f t="shared" si="653"/>
        <v>NDI-5503-AL</v>
      </c>
      <c r="U5232" s="403">
        <f t="shared" si="654"/>
        <v>1</v>
      </c>
      <c r="V5232" s="403" t="str">
        <f t="shared" si="655"/>
        <v>CPP_7_3</v>
      </c>
    </row>
    <row r="5233" spans="1:22">
      <c r="A5233" t="str">
        <f t="shared" si="648"/>
        <v>NDI-5503-AL</v>
      </c>
      <c r="B5233" s="403" t="s">
        <v>1424</v>
      </c>
      <c r="C5233" s="403" t="s">
        <v>582</v>
      </c>
      <c r="D5233" s="403" t="s">
        <v>1425</v>
      </c>
      <c r="E5233" s="403" t="s">
        <v>778</v>
      </c>
      <c r="F5233" s="403" t="s">
        <v>1385</v>
      </c>
      <c r="G5233" s="403" t="s">
        <v>1466</v>
      </c>
      <c r="H5233" s="403" t="s">
        <v>1276</v>
      </c>
      <c r="I5233" s="403">
        <v>1</v>
      </c>
      <c r="J5233" s="403" t="s">
        <v>1376</v>
      </c>
      <c r="K5233" s="403">
        <v>3072</v>
      </c>
      <c r="L5233" s="403">
        <v>1728</v>
      </c>
      <c r="M5233" s="403" t="s">
        <v>1284</v>
      </c>
      <c r="N5233" s="403">
        <v>640</v>
      </c>
      <c r="O5233" s="403">
        <v>480</v>
      </c>
      <c r="P5233" t="str">
        <f t="shared" si="649"/>
        <v>25fps 3072x1728 - SD VGA (cropped)</v>
      </c>
      <c r="Q5233">
        <f t="shared" si="650"/>
        <v>23</v>
      </c>
      <c r="R5233" t="str">
        <f t="shared" si="651"/>
        <v/>
      </c>
      <c r="S5233" t="str">
        <f t="shared" si="652"/>
        <v/>
      </c>
      <c r="T5233" s="403" t="str">
        <f t="shared" si="653"/>
        <v>NDI-5503-AL</v>
      </c>
      <c r="U5233" s="403">
        <f t="shared" si="654"/>
        <v>1</v>
      </c>
      <c r="V5233" s="403" t="str">
        <f t="shared" si="655"/>
        <v>CPP_7_3</v>
      </c>
    </row>
    <row r="5234" spans="1:22">
      <c r="A5234" t="str">
        <f t="shared" si="648"/>
        <v>NDI-5503-AL</v>
      </c>
      <c r="B5234" s="403" t="s">
        <v>1424</v>
      </c>
      <c r="C5234" s="403" t="s">
        <v>582</v>
      </c>
      <c r="D5234" s="403" t="s">
        <v>1425</v>
      </c>
      <c r="E5234" s="403" t="s">
        <v>778</v>
      </c>
      <c r="F5234" s="403" t="s">
        <v>1385</v>
      </c>
      <c r="G5234" s="403" t="s">
        <v>1466</v>
      </c>
      <c r="H5234" s="403" t="s">
        <v>1276</v>
      </c>
      <c r="I5234" s="403">
        <v>1</v>
      </c>
      <c r="J5234" s="403" t="s">
        <v>1376</v>
      </c>
      <c r="K5234" s="403">
        <v>3072</v>
      </c>
      <c r="L5234" s="403">
        <v>1728</v>
      </c>
      <c r="M5234" s="403" t="s">
        <v>1285</v>
      </c>
      <c r="N5234" s="403">
        <v>1280</v>
      </c>
      <c r="O5234" s="403">
        <v>1024</v>
      </c>
      <c r="P5234" t="str">
        <f t="shared" si="649"/>
        <v>25fps 3072x1728 - 1280x1024 5:4 (cropped)</v>
      </c>
      <c r="Q5234">
        <f t="shared" si="650"/>
        <v>23</v>
      </c>
      <c r="R5234" t="str">
        <f t="shared" si="651"/>
        <v/>
      </c>
      <c r="S5234" t="str">
        <f t="shared" si="652"/>
        <v/>
      </c>
      <c r="T5234" s="403" t="str">
        <f t="shared" si="653"/>
        <v>NDI-5503-AL</v>
      </c>
      <c r="U5234" s="403">
        <f t="shared" si="654"/>
        <v>1</v>
      </c>
      <c r="V5234" s="403" t="str">
        <f t="shared" si="655"/>
        <v>CPP_7_3</v>
      </c>
    </row>
    <row r="5235" spans="1:22">
      <c r="A5235" t="str">
        <f t="shared" si="648"/>
        <v>NDI-5503-AL</v>
      </c>
      <c r="B5235" s="403" t="s">
        <v>1424</v>
      </c>
      <c r="C5235" s="403" t="s">
        <v>582</v>
      </c>
      <c r="D5235" s="403" t="s">
        <v>1425</v>
      </c>
      <c r="E5235" s="403" t="s">
        <v>778</v>
      </c>
      <c r="F5235" s="403" t="s">
        <v>1385</v>
      </c>
      <c r="G5235" s="403" t="s">
        <v>1466</v>
      </c>
      <c r="H5235" s="403" t="s">
        <v>1276</v>
      </c>
      <c r="I5235" s="403">
        <v>1</v>
      </c>
      <c r="J5235" s="403" t="s">
        <v>1376</v>
      </c>
      <c r="K5235" s="403">
        <v>3072</v>
      </c>
      <c r="L5235" s="403">
        <v>1728</v>
      </c>
      <c r="M5235" s="403" t="s">
        <v>1383</v>
      </c>
      <c r="N5235" s="403">
        <v>1920</v>
      </c>
      <c r="O5235" s="403">
        <v>1440</v>
      </c>
      <c r="P5235" t="str">
        <f t="shared" si="649"/>
        <v>25fps 3072x1728 - 1920x1440_CROP</v>
      </c>
      <c r="Q5235">
        <f t="shared" si="650"/>
        <v>23</v>
      </c>
      <c r="R5235" t="str">
        <f t="shared" si="651"/>
        <v/>
      </c>
      <c r="S5235" t="str">
        <f t="shared" si="652"/>
        <v/>
      </c>
      <c r="T5235" s="403" t="str">
        <f t="shared" si="653"/>
        <v>NDI-5503-AL</v>
      </c>
      <c r="U5235" s="403">
        <f t="shared" si="654"/>
        <v>1</v>
      </c>
      <c r="V5235" s="403" t="str">
        <f t="shared" si="655"/>
        <v>CPP_7_3</v>
      </c>
    </row>
    <row r="5236" spans="1:22">
      <c r="A5236" t="str">
        <f t="shared" si="648"/>
        <v>NDI-5503-AL</v>
      </c>
      <c r="B5236" s="403" t="s">
        <v>1424</v>
      </c>
      <c r="C5236" s="403" t="s">
        <v>582</v>
      </c>
      <c r="D5236" s="403" t="s">
        <v>1425</v>
      </c>
      <c r="E5236" s="403" t="s">
        <v>778</v>
      </c>
      <c r="F5236" s="403" t="s">
        <v>1385</v>
      </c>
      <c r="G5236" s="403" t="s">
        <v>1466</v>
      </c>
      <c r="H5236" s="403" t="s">
        <v>1276</v>
      </c>
      <c r="I5236" s="403">
        <v>1</v>
      </c>
      <c r="J5236" s="403" t="s">
        <v>1373</v>
      </c>
      <c r="K5236" s="403">
        <v>2688</v>
      </c>
      <c r="L5236" s="403">
        <v>1512</v>
      </c>
      <c r="M5236" s="403" t="s">
        <v>110</v>
      </c>
      <c r="N5236" s="403">
        <v>1920</v>
      </c>
      <c r="O5236" s="403">
        <v>1080</v>
      </c>
      <c r="P5236" t="str">
        <f t="shared" si="649"/>
        <v>25fps 2688x1512 - 1080p</v>
      </c>
      <c r="Q5236">
        <f t="shared" si="650"/>
        <v>23</v>
      </c>
      <c r="R5236" t="str">
        <f t="shared" si="651"/>
        <v/>
      </c>
      <c r="S5236" t="str">
        <f t="shared" si="652"/>
        <v/>
      </c>
      <c r="T5236" s="403" t="str">
        <f t="shared" si="653"/>
        <v>NDI-5503-AL</v>
      </c>
      <c r="U5236" s="403">
        <f t="shared" si="654"/>
        <v>1</v>
      </c>
      <c r="V5236" s="403" t="str">
        <f t="shared" si="655"/>
        <v>CPP_7_3</v>
      </c>
    </row>
    <row r="5237" spans="1:22">
      <c r="A5237" t="str">
        <f t="shared" si="648"/>
        <v>NDI-5503-AL</v>
      </c>
      <c r="B5237" s="403" t="s">
        <v>1424</v>
      </c>
      <c r="C5237" s="403" t="s">
        <v>582</v>
      </c>
      <c r="D5237" s="403" t="s">
        <v>1425</v>
      </c>
      <c r="E5237" s="403" t="s">
        <v>778</v>
      </c>
      <c r="F5237" s="403" t="s">
        <v>1385</v>
      </c>
      <c r="G5237" s="403" t="s">
        <v>1466</v>
      </c>
      <c r="H5237" s="403" t="s">
        <v>1276</v>
      </c>
      <c r="I5237" s="403">
        <v>1</v>
      </c>
      <c r="J5237" s="403" t="s">
        <v>1373</v>
      </c>
      <c r="K5237" s="403">
        <v>2688</v>
      </c>
      <c r="L5237" s="403">
        <v>1512</v>
      </c>
      <c r="M5237" s="403" t="s">
        <v>1384</v>
      </c>
      <c r="N5237" s="403">
        <v>2688</v>
      </c>
      <c r="O5237" s="403">
        <v>1512</v>
      </c>
      <c r="P5237" t="str">
        <f t="shared" si="649"/>
        <v>25fps 2688x1512 - 2688x1512 @ SKIP 2</v>
      </c>
      <c r="Q5237">
        <f t="shared" si="650"/>
        <v>23</v>
      </c>
      <c r="R5237" t="str">
        <f t="shared" si="651"/>
        <v/>
      </c>
      <c r="S5237" t="str">
        <f t="shared" si="652"/>
        <v/>
      </c>
      <c r="T5237" s="403" t="str">
        <f t="shared" si="653"/>
        <v>NDI-5503-AL</v>
      </c>
      <c r="U5237" s="403">
        <f t="shared" si="654"/>
        <v>1</v>
      </c>
      <c r="V5237" s="403" t="str">
        <f t="shared" si="655"/>
        <v>CPP_7_3</v>
      </c>
    </row>
    <row r="5238" spans="1:22">
      <c r="A5238" t="str">
        <f t="shared" si="648"/>
        <v>NDI-5503-AL</v>
      </c>
      <c r="B5238" s="403" t="s">
        <v>1424</v>
      </c>
      <c r="C5238" s="403" t="s">
        <v>582</v>
      </c>
      <c r="D5238" s="403" t="s">
        <v>1425</v>
      </c>
      <c r="E5238" s="403" t="s">
        <v>778</v>
      </c>
      <c r="F5238" s="403" t="s">
        <v>1385</v>
      </c>
      <c r="G5238" s="403" t="s">
        <v>1466</v>
      </c>
      <c r="H5238" s="403" t="s">
        <v>1276</v>
      </c>
      <c r="I5238" s="403">
        <v>1</v>
      </c>
      <c r="J5238" s="403" t="s">
        <v>1373</v>
      </c>
      <c r="K5238" s="403">
        <v>2688</v>
      </c>
      <c r="L5238" s="403">
        <v>1512</v>
      </c>
      <c r="M5238" s="403" t="s">
        <v>109</v>
      </c>
      <c r="N5238" s="403">
        <v>1280</v>
      </c>
      <c r="O5238" s="403">
        <v>720</v>
      </c>
      <c r="P5238" t="str">
        <f t="shared" si="649"/>
        <v>25fps 2688x1512 - 720p</v>
      </c>
      <c r="Q5238">
        <f t="shared" si="650"/>
        <v>23</v>
      </c>
      <c r="R5238" t="str">
        <f t="shared" si="651"/>
        <v/>
      </c>
      <c r="S5238" t="str">
        <f t="shared" si="652"/>
        <v/>
      </c>
      <c r="T5238" s="403" t="str">
        <f t="shared" si="653"/>
        <v>NDI-5503-AL</v>
      </c>
      <c r="U5238" s="403">
        <f t="shared" si="654"/>
        <v>1</v>
      </c>
      <c r="V5238" s="403" t="str">
        <f t="shared" si="655"/>
        <v>CPP_7_3</v>
      </c>
    </row>
    <row r="5239" spans="1:22">
      <c r="A5239" t="str">
        <f t="shared" si="648"/>
        <v>NDI-5503-AL</v>
      </c>
      <c r="B5239" s="403" t="s">
        <v>1424</v>
      </c>
      <c r="C5239" s="403" t="s">
        <v>582</v>
      </c>
      <c r="D5239" s="403" t="s">
        <v>1425</v>
      </c>
      <c r="E5239" s="403" t="s">
        <v>778</v>
      </c>
      <c r="F5239" s="403" t="s">
        <v>1385</v>
      </c>
      <c r="G5239" s="403" t="s">
        <v>1466</v>
      </c>
      <c r="H5239" s="403" t="s">
        <v>1276</v>
      </c>
      <c r="I5239" s="403">
        <v>1</v>
      </c>
      <c r="J5239" s="403" t="s">
        <v>1373</v>
      </c>
      <c r="K5239" s="403">
        <v>2688</v>
      </c>
      <c r="L5239" s="403">
        <v>1512</v>
      </c>
      <c r="M5239" s="403" t="s">
        <v>111</v>
      </c>
      <c r="N5239" s="403">
        <v>640</v>
      </c>
      <c r="O5239" s="403">
        <v>480</v>
      </c>
      <c r="P5239" t="str">
        <f t="shared" si="649"/>
        <v>25fps 2688x1512 - SD</v>
      </c>
      <c r="Q5239">
        <f t="shared" si="650"/>
        <v>23</v>
      </c>
      <c r="R5239" t="str">
        <f t="shared" si="651"/>
        <v/>
      </c>
      <c r="S5239" t="str">
        <f t="shared" si="652"/>
        <v/>
      </c>
      <c r="T5239" s="403" t="str">
        <f t="shared" si="653"/>
        <v>NDI-5503-AL</v>
      </c>
      <c r="U5239" s="403">
        <f t="shared" si="654"/>
        <v>1</v>
      </c>
      <c r="V5239" s="403" t="str">
        <f t="shared" si="655"/>
        <v>CPP_7_3</v>
      </c>
    </row>
    <row r="5240" spans="1:22">
      <c r="A5240" t="str">
        <f t="shared" si="648"/>
        <v>NDI-5503-AL</v>
      </c>
      <c r="B5240" s="403" t="s">
        <v>1424</v>
      </c>
      <c r="C5240" s="403" t="s">
        <v>582</v>
      </c>
      <c r="D5240" s="403" t="s">
        <v>1425</v>
      </c>
      <c r="E5240" s="403" t="s">
        <v>778</v>
      </c>
      <c r="F5240" s="403" t="s">
        <v>1385</v>
      </c>
      <c r="G5240" s="403" t="s">
        <v>1466</v>
      </c>
      <c r="H5240" s="403" t="s">
        <v>1276</v>
      </c>
      <c r="I5240" s="403">
        <v>1</v>
      </c>
      <c r="J5240" s="403" t="s">
        <v>1373</v>
      </c>
      <c r="K5240" s="403">
        <v>2688</v>
      </c>
      <c r="L5240" s="403">
        <v>1512</v>
      </c>
      <c r="M5240" s="403" t="s">
        <v>1279</v>
      </c>
      <c r="N5240" s="403">
        <v>640</v>
      </c>
      <c r="O5240" s="403">
        <v>480</v>
      </c>
      <c r="P5240" t="str">
        <f t="shared" si="649"/>
        <v>25fps 2688x1512 - SD ROI PTZ</v>
      </c>
      <c r="Q5240">
        <f t="shared" si="650"/>
        <v>23</v>
      </c>
      <c r="R5240" t="str">
        <f t="shared" si="651"/>
        <v/>
      </c>
      <c r="S5240" t="str">
        <f t="shared" si="652"/>
        <v/>
      </c>
      <c r="T5240" s="403" t="str">
        <f t="shared" si="653"/>
        <v>NDI-5503-AL</v>
      </c>
      <c r="U5240" s="403">
        <f t="shared" si="654"/>
        <v>1</v>
      </c>
      <c r="V5240" s="403" t="str">
        <f t="shared" si="655"/>
        <v>CPP_7_3</v>
      </c>
    </row>
    <row r="5241" spans="1:22">
      <c r="A5241" t="str">
        <f t="shared" si="648"/>
        <v>NDI-5503-AL</v>
      </c>
      <c r="B5241" s="403" t="s">
        <v>1424</v>
      </c>
      <c r="C5241" s="403" t="s">
        <v>582</v>
      </c>
      <c r="D5241" s="403" t="s">
        <v>1425</v>
      </c>
      <c r="E5241" s="403" t="s">
        <v>778</v>
      </c>
      <c r="F5241" s="403" t="s">
        <v>1385</v>
      </c>
      <c r="G5241" s="403" t="s">
        <v>1466</v>
      </c>
      <c r="H5241" s="403" t="s">
        <v>1276</v>
      </c>
      <c r="I5241" s="403">
        <v>1</v>
      </c>
      <c r="J5241" s="403" t="s">
        <v>1373</v>
      </c>
      <c r="K5241" s="403">
        <v>2688</v>
      </c>
      <c r="L5241" s="403">
        <v>1512</v>
      </c>
      <c r="M5241" s="403" t="s">
        <v>1285</v>
      </c>
      <c r="N5241" s="403">
        <v>1280</v>
      </c>
      <c r="O5241" s="403">
        <v>1024</v>
      </c>
      <c r="P5241" t="str">
        <f t="shared" si="649"/>
        <v>25fps 2688x1512 - 1280x1024 5:4 (cropped)</v>
      </c>
      <c r="Q5241">
        <f t="shared" si="650"/>
        <v>23</v>
      </c>
      <c r="R5241" t="str">
        <f t="shared" si="651"/>
        <v/>
      </c>
      <c r="S5241" t="str">
        <f t="shared" si="652"/>
        <v/>
      </c>
      <c r="T5241" s="403" t="str">
        <f t="shared" si="653"/>
        <v>NDI-5503-AL</v>
      </c>
      <c r="U5241" s="403">
        <f t="shared" si="654"/>
        <v>1</v>
      </c>
      <c r="V5241" s="403" t="str">
        <f t="shared" si="655"/>
        <v>CPP_7_3</v>
      </c>
    </row>
    <row r="5242" spans="1:22">
      <c r="A5242" t="str">
        <f t="shared" si="648"/>
        <v>NDI-5503-AL</v>
      </c>
      <c r="B5242" s="403" t="s">
        <v>1424</v>
      </c>
      <c r="C5242" s="403" t="s">
        <v>582</v>
      </c>
      <c r="D5242" s="403" t="s">
        <v>1425</v>
      </c>
      <c r="E5242" s="403" t="s">
        <v>778</v>
      </c>
      <c r="F5242" s="403" t="s">
        <v>1385</v>
      </c>
      <c r="G5242" s="403" t="s">
        <v>1466</v>
      </c>
      <c r="H5242" s="403" t="s">
        <v>1276</v>
      </c>
      <c r="I5242" s="403">
        <v>1</v>
      </c>
      <c r="J5242" s="403" t="s">
        <v>1373</v>
      </c>
      <c r="K5242" s="403">
        <v>2688</v>
      </c>
      <c r="L5242" s="403">
        <v>1512</v>
      </c>
      <c r="M5242" s="403" t="s">
        <v>1283</v>
      </c>
      <c r="N5242" s="403">
        <v>720</v>
      </c>
      <c r="O5242" s="403">
        <v>576</v>
      </c>
      <c r="P5242" t="str">
        <f t="shared" si="649"/>
        <v>25fps 2688x1512 - SD 4CIF resolution 4:3 format (cropped)</v>
      </c>
      <c r="Q5242">
        <f t="shared" si="650"/>
        <v>23</v>
      </c>
      <c r="R5242" t="str">
        <f t="shared" si="651"/>
        <v/>
      </c>
      <c r="S5242" t="str">
        <f t="shared" si="652"/>
        <v/>
      </c>
      <c r="T5242" s="403" t="str">
        <f t="shared" si="653"/>
        <v>NDI-5503-AL</v>
      </c>
      <c r="U5242" s="403">
        <f t="shared" si="654"/>
        <v>1</v>
      </c>
      <c r="V5242" s="403" t="str">
        <f t="shared" si="655"/>
        <v>CPP_7_3</v>
      </c>
    </row>
    <row r="5243" spans="1:22">
      <c r="A5243" t="str">
        <f t="shared" si="648"/>
        <v>NDI-5503-AL</v>
      </c>
      <c r="B5243" s="403" t="s">
        <v>1424</v>
      </c>
      <c r="C5243" s="403" t="s">
        <v>582</v>
      </c>
      <c r="D5243" s="403" t="s">
        <v>1425</v>
      </c>
      <c r="E5243" s="403" t="s">
        <v>778</v>
      </c>
      <c r="F5243" s="403" t="s">
        <v>1385</v>
      </c>
      <c r="G5243" s="403" t="s">
        <v>1466</v>
      </c>
      <c r="H5243" s="403" t="s">
        <v>1276</v>
      </c>
      <c r="I5243" s="403">
        <v>1</v>
      </c>
      <c r="J5243" s="403" t="s">
        <v>1373</v>
      </c>
      <c r="K5243" s="403">
        <v>2688</v>
      </c>
      <c r="L5243" s="403">
        <v>1512</v>
      </c>
      <c r="M5243" s="403" t="s">
        <v>1284</v>
      </c>
      <c r="N5243" s="403">
        <v>640</v>
      </c>
      <c r="O5243" s="403">
        <v>480</v>
      </c>
      <c r="P5243" t="str">
        <f t="shared" si="649"/>
        <v>25fps 2688x1512 - SD VGA (cropped)</v>
      </c>
      <c r="Q5243">
        <f t="shared" si="650"/>
        <v>23</v>
      </c>
      <c r="R5243" t="str">
        <f t="shared" si="651"/>
        <v/>
      </c>
      <c r="S5243" t="str">
        <f t="shared" si="652"/>
        <v/>
      </c>
      <c r="T5243" s="403" t="str">
        <f t="shared" si="653"/>
        <v>NDI-5503-AL</v>
      </c>
      <c r="U5243" s="403">
        <f t="shared" si="654"/>
        <v>1</v>
      </c>
      <c r="V5243" s="403" t="str">
        <f t="shared" si="655"/>
        <v>CPP_7_3</v>
      </c>
    </row>
    <row r="5244" spans="1:22">
      <c r="A5244" t="str">
        <f t="shared" si="648"/>
        <v>NDI-5503-AL</v>
      </c>
      <c r="B5244" s="403" t="s">
        <v>1424</v>
      </c>
      <c r="C5244" s="403" t="s">
        <v>582</v>
      </c>
      <c r="D5244" s="403" t="s">
        <v>1425</v>
      </c>
      <c r="E5244" s="403" t="s">
        <v>778</v>
      </c>
      <c r="F5244" s="403" t="s">
        <v>1385</v>
      </c>
      <c r="G5244" s="403" t="s">
        <v>1466</v>
      </c>
      <c r="H5244" s="403" t="s">
        <v>1276</v>
      </c>
      <c r="I5244" s="403">
        <v>1</v>
      </c>
      <c r="J5244" s="403" t="s">
        <v>1373</v>
      </c>
      <c r="K5244" s="403">
        <v>2688</v>
      </c>
      <c r="L5244" s="403">
        <v>1512</v>
      </c>
      <c r="M5244" s="403" t="s">
        <v>1280</v>
      </c>
      <c r="N5244" s="403">
        <v>2688</v>
      </c>
      <c r="O5244" s="403">
        <v>1512</v>
      </c>
      <c r="P5244" t="str">
        <f t="shared" si="649"/>
        <v>25fps 2688x1512 - copy other stream</v>
      </c>
      <c r="Q5244">
        <f t="shared" si="650"/>
        <v>23</v>
      </c>
      <c r="R5244" t="str">
        <f t="shared" si="651"/>
        <v/>
      </c>
      <c r="S5244" t="str">
        <f t="shared" si="652"/>
        <v/>
      </c>
      <c r="T5244" s="403" t="str">
        <f t="shared" si="653"/>
        <v>NDI-5503-AL</v>
      </c>
      <c r="U5244" s="403">
        <f t="shared" si="654"/>
        <v>1</v>
      </c>
      <c r="V5244" s="403" t="str">
        <f t="shared" si="655"/>
        <v>CPP_7_3</v>
      </c>
    </row>
    <row r="5245" spans="1:22">
      <c r="A5245" t="str">
        <f t="shared" si="648"/>
        <v>NDI-5503-AL</v>
      </c>
      <c r="B5245" s="403" t="s">
        <v>1424</v>
      </c>
      <c r="C5245" s="403" t="s">
        <v>582</v>
      </c>
      <c r="D5245" s="403" t="s">
        <v>1425</v>
      </c>
      <c r="E5245" s="403" t="s">
        <v>778</v>
      </c>
      <c r="F5245" s="403" t="s">
        <v>1385</v>
      </c>
      <c r="G5245" s="403" t="s">
        <v>1466</v>
      </c>
      <c r="H5245" s="403" t="s">
        <v>1276</v>
      </c>
      <c r="I5245" s="403">
        <v>1</v>
      </c>
      <c r="J5245" s="403" t="s">
        <v>1374</v>
      </c>
      <c r="K5245" s="403">
        <v>2304</v>
      </c>
      <c r="L5245" s="403">
        <v>1296</v>
      </c>
      <c r="M5245" s="403" t="s">
        <v>110</v>
      </c>
      <c r="N5245" s="403">
        <v>1920</v>
      </c>
      <c r="O5245" s="403">
        <v>1080</v>
      </c>
      <c r="P5245" t="str">
        <f t="shared" si="649"/>
        <v>25fps 2304x1296 - 1080p</v>
      </c>
      <c r="Q5245">
        <f t="shared" si="650"/>
        <v>23</v>
      </c>
      <c r="R5245" t="str">
        <f t="shared" si="651"/>
        <v/>
      </c>
      <c r="S5245" t="str">
        <f t="shared" si="652"/>
        <v/>
      </c>
      <c r="T5245" s="403" t="str">
        <f t="shared" si="653"/>
        <v>NDI-5503-AL</v>
      </c>
      <c r="U5245" s="403">
        <f t="shared" si="654"/>
        <v>1</v>
      </c>
      <c r="V5245" s="403" t="str">
        <f t="shared" si="655"/>
        <v>CPP_7_3</v>
      </c>
    </row>
    <row r="5246" spans="1:22">
      <c r="A5246" t="str">
        <f t="shared" si="648"/>
        <v>NDI-5503-AL</v>
      </c>
      <c r="B5246" s="403" t="s">
        <v>1424</v>
      </c>
      <c r="C5246" s="403" t="s">
        <v>582</v>
      </c>
      <c r="D5246" s="403" t="s">
        <v>1425</v>
      </c>
      <c r="E5246" s="403" t="s">
        <v>778</v>
      </c>
      <c r="F5246" s="403" t="s">
        <v>1385</v>
      </c>
      <c r="G5246" s="403" t="s">
        <v>1466</v>
      </c>
      <c r="H5246" s="403" t="s">
        <v>1276</v>
      </c>
      <c r="I5246" s="403">
        <v>1</v>
      </c>
      <c r="J5246" s="403" t="s">
        <v>1374</v>
      </c>
      <c r="K5246" s="403">
        <v>2304</v>
      </c>
      <c r="L5246" s="403">
        <v>1296</v>
      </c>
      <c r="M5246" s="403" t="s">
        <v>1374</v>
      </c>
      <c r="N5246" s="403">
        <v>2304</v>
      </c>
      <c r="O5246" s="403">
        <v>1296</v>
      </c>
      <c r="P5246" t="str">
        <f t="shared" si="649"/>
        <v>25fps 2304x1296 - 2304x1296</v>
      </c>
      <c r="Q5246">
        <f t="shared" si="650"/>
        <v>23</v>
      </c>
      <c r="R5246" t="str">
        <f t="shared" si="651"/>
        <v/>
      </c>
      <c r="S5246" t="str">
        <f t="shared" si="652"/>
        <v/>
      </c>
      <c r="T5246" s="403" t="str">
        <f t="shared" si="653"/>
        <v>NDI-5503-AL</v>
      </c>
      <c r="U5246" s="403">
        <f t="shared" si="654"/>
        <v>1</v>
      </c>
      <c r="V5246" s="403" t="str">
        <f t="shared" si="655"/>
        <v>CPP_7_3</v>
      </c>
    </row>
    <row r="5247" spans="1:22">
      <c r="A5247" t="str">
        <f t="shared" si="648"/>
        <v>NDI-5503-AL</v>
      </c>
      <c r="B5247" s="403" t="s">
        <v>1424</v>
      </c>
      <c r="C5247" s="403" t="s">
        <v>582</v>
      </c>
      <c r="D5247" s="403" t="s">
        <v>1425</v>
      </c>
      <c r="E5247" s="403" t="s">
        <v>778</v>
      </c>
      <c r="F5247" s="403" t="s">
        <v>1385</v>
      </c>
      <c r="G5247" s="403" t="s">
        <v>1466</v>
      </c>
      <c r="H5247" s="403" t="s">
        <v>1276</v>
      </c>
      <c r="I5247" s="403">
        <v>1</v>
      </c>
      <c r="J5247" s="403" t="s">
        <v>1374</v>
      </c>
      <c r="K5247" s="403">
        <v>2304</v>
      </c>
      <c r="L5247" s="403">
        <v>1296</v>
      </c>
      <c r="M5247" s="403" t="s">
        <v>109</v>
      </c>
      <c r="N5247" s="403">
        <v>1280</v>
      </c>
      <c r="O5247" s="403">
        <v>720</v>
      </c>
      <c r="P5247" t="str">
        <f t="shared" si="649"/>
        <v>25fps 2304x1296 - 720p</v>
      </c>
      <c r="Q5247">
        <f t="shared" si="650"/>
        <v>23</v>
      </c>
      <c r="R5247" t="str">
        <f t="shared" si="651"/>
        <v/>
      </c>
      <c r="S5247" t="str">
        <f t="shared" si="652"/>
        <v/>
      </c>
      <c r="T5247" s="403" t="str">
        <f t="shared" si="653"/>
        <v>NDI-5503-AL</v>
      </c>
      <c r="U5247" s="403">
        <f t="shared" si="654"/>
        <v>1</v>
      </c>
      <c r="V5247" s="403" t="str">
        <f t="shared" si="655"/>
        <v>CPP_7_3</v>
      </c>
    </row>
    <row r="5248" spans="1:22">
      <c r="A5248" t="str">
        <f t="shared" si="648"/>
        <v>NDI-5503-AL</v>
      </c>
      <c r="B5248" s="403" t="s">
        <v>1424</v>
      </c>
      <c r="C5248" s="403" t="s">
        <v>582</v>
      </c>
      <c r="D5248" s="403" t="s">
        <v>1425</v>
      </c>
      <c r="E5248" s="403" t="s">
        <v>778</v>
      </c>
      <c r="F5248" s="403" t="s">
        <v>1385</v>
      </c>
      <c r="G5248" s="403" t="s">
        <v>1466</v>
      </c>
      <c r="H5248" s="403" t="s">
        <v>1276</v>
      </c>
      <c r="I5248" s="403">
        <v>1</v>
      </c>
      <c r="J5248" s="403" t="s">
        <v>1374</v>
      </c>
      <c r="K5248" s="403">
        <v>2304</v>
      </c>
      <c r="L5248" s="403">
        <v>1296</v>
      </c>
      <c r="M5248" s="403" t="s">
        <v>111</v>
      </c>
      <c r="N5248" s="403">
        <v>640</v>
      </c>
      <c r="O5248" s="403">
        <v>480</v>
      </c>
      <c r="P5248" t="str">
        <f t="shared" si="649"/>
        <v>25fps 2304x1296 - SD</v>
      </c>
      <c r="Q5248">
        <f t="shared" si="650"/>
        <v>23</v>
      </c>
      <c r="R5248" t="str">
        <f t="shared" si="651"/>
        <v/>
      </c>
      <c r="S5248" t="str">
        <f t="shared" si="652"/>
        <v/>
      </c>
      <c r="T5248" s="403" t="str">
        <f t="shared" si="653"/>
        <v>NDI-5503-AL</v>
      </c>
      <c r="U5248" s="403">
        <f t="shared" si="654"/>
        <v>1</v>
      </c>
      <c r="V5248" s="403" t="str">
        <f t="shared" si="655"/>
        <v>CPP_7_3</v>
      </c>
    </row>
    <row r="5249" spans="1:22">
      <c r="A5249" t="str">
        <f t="shared" si="648"/>
        <v>NDI-5503-AL</v>
      </c>
      <c r="B5249" s="403" t="s">
        <v>1424</v>
      </c>
      <c r="C5249" s="403" t="s">
        <v>582</v>
      </c>
      <c r="D5249" s="403" t="s">
        <v>1425</v>
      </c>
      <c r="E5249" s="403" t="s">
        <v>778</v>
      </c>
      <c r="F5249" s="403" t="s">
        <v>1385</v>
      </c>
      <c r="G5249" s="403" t="s">
        <v>1466</v>
      </c>
      <c r="H5249" s="403" t="s">
        <v>1276</v>
      </c>
      <c r="I5249" s="403">
        <v>1</v>
      </c>
      <c r="J5249" s="403" t="s">
        <v>1374</v>
      </c>
      <c r="K5249" s="403">
        <v>2304</v>
      </c>
      <c r="L5249" s="403">
        <v>1296</v>
      </c>
      <c r="M5249" s="403" t="s">
        <v>1279</v>
      </c>
      <c r="N5249" s="403">
        <v>640</v>
      </c>
      <c r="O5249" s="403">
        <v>480</v>
      </c>
      <c r="P5249" t="str">
        <f t="shared" si="649"/>
        <v>25fps 2304x1296 - SD ROI PTZ</v>
      </c>
      <c r="Q5249">
        <f t="shared" si="650"/>
        <v>23</v>
      </c>
      <c r="R5249" t="str">
        <f t="shared" si="651"/>
        <v/>
      </c>
      <c r="S5249" t="str">
        <f t="shared" si="652"/>
        <v/>
      </c>
      <c r="T5249" s="403" t="str">
        <f t="shared" si="653"/>
        <v>NDI-5503-AL</v>
      </c>
      <c r="U5249" s="403">
        <f t="shared" si="654"/>
        <v>1</v>
      </c>
      <c r="V5249" s="403" t="str">
        <f t="shared" si="655"/>
        <v>CPP_7_3</v>
      </c>
    </row>
    <row r="5250" spans="1:22">
      <c r="A5250" t="str">
        <f t="shared" ref="A5250:A5313" si="656">IF(AND(G5250&lt;&gt;"rotate 90°"),D5250,"")</f>
        <v>NDI-5503-AL</v>
      </c>
      <c r="B5250" s="403" t="s">
        <v>1424</v>
      </c>
      <c r="C5250" s="403" t="s">
        <v>582</v>
      </c>
      <c r="D5250" s="403" t="s">
        <v>1425</v>
      </c>
      <c r="E5250" s="403" t="s">
        <v>778</v>
      </c>
      <c r="F5250" s="403" t="s">
        <v>1385</v>
      </c>
      <c r="G5250" s="403" t="s">
        <v>1466</v>
      </c>
      <c r="H5250" s="403" t="s">
        <v>1276</v>
      </c>
      <c r="I5250" s="403">
        <v>1</v>
      </c>
      <c r="J5250" s="403" t="s">
        <v>1374</v>
      </c>
      <c r="K5250" s="403">
        <v>2304</v>
      </c>
      <c r="L5250" s="403">
        <v>1296</v>
      </c>
      <c r="M5250" s="403" t="s">
        <v>1285</v>
      </c>
      <c r="N5250" s="403">
        <v>1280</v>
      </c>
      <c r="O5250" s="403">
        <v>1024</v>
      </c>
      <c r="P5250" t="str">
        <f t="shared" ref="P5250:P5313" si="657">LEFT(F5250,5)&amp;" "&amp;J5250&amp;" - "&amp;M5250</f>
        <v>25fps 2304x1296 - 1280x1024 5:4 (cropped)</v>
      </c>
      <c r="Q5250">
        <f t="shared" ref="Q5250:Q5313" si="658">IF(A5249=A5250,Q5249,Q5249+1)</f>
        <v>23</v>
      </c>
      <c r="R5250" t="str">
        <f t="shared" ref="R5250:R5313" si="659">IF(Q5249&lt;&gt;Q5250,Q5250,"")</f>
        <v/>
      </c>
      <c r="S5250" t="str">
        <f t="shared" ref="S5250:S5313" si="660">IF(R5250&lt;&gt;"",B5250&amp;" ("&amp;D5250&amp;")","")</f>
        <v/>
      </c>
      <c r="T5250" s="403" t="str">
        <f t="shared" ref="T5250:T5313" si="661">D5250</f>
        <v>NDI-5503-AL</v>
      </c>
      <c r="U5250" s="403">
        <f t="shared" ref="U5250:U5313" si="662">I5250</f>
        <v>1</v>
      </c>
      <c r="V5250" s="403" t="str">
        <f t="shared" ref="V5250:V5313" si="663">C5250</f>
        <v>CPP_7_3</v>
      </c>
    </row>
    <row r="5251" spans="1:22">
      <c r="A5251" t="str">
        <f t="shared" si="656"/>
        <v>NDI-5503-AL</v>
      </c>
      <c r="B5251" s="403" t="s">
        <v>1424</v>
      </c>
      <c r="C5251" s="403" t="s">
        <v>582</v>
      </c>
      <c r="D5251" s="403" t="s">
        <v>1425</v>
      </c>
      <c r="E5251" s="403" t="s">
        <v>778</v>
      </c>
      <c r="F5251" s="403" t="s">
        <v>1385</v>
      </c>
      <c r="G5251" s="403" t="s">
        <v>1466</v>
      </c>
      <c r="H5251" s="403" t="s">
        <v>1276</v>
      </c>
      <c r="I5251" s="403">
        <v>1</v>
      </c>
      <c r="J5251" s="403" t="s">
        <v>1374</v>
      </c>
      <c r="K5251" s="403">
        <v>2304</v>
      </c>
      <c r="L5251" s="403">
        <v>1296</v>
      </c>
      <c r="M5251" s="403" t="s">
        <v>1283</v>
      </c>
      <c r="N5251" s="403">
        <v>720</v>
      </c>
      <c r="O5251" s="403">
        <v>576</v>
      </c>
      <c r="P5251" t="str">
        <f t="shared" si="657"/>
        <v>25fps 2304x1296 - SD 4CIF resolution 4:3 format (cropped)</v>
      </c>
      <c r="Q5251">
        <f t="shared" si="658"/>
        <v>23</v>
      </c>
      <c r="R5251" t="str">
        <f t="shared" si="659"/>
        <v/>
      </c>
      <c r="S5251" t="str">
        <f t="shared" si="660"/>
        <v/>
      </c>
      <c r="T5251" s="403" t="str">
        <f t="shared" si="661"/>
        <v>NDI-5503-AL</v>
      </c>
      <c r="U5251" s="403">
        <f t="shared" si="662"/>
        <v>1</v>
      </c>
      <c r="V5251" s="403" t="str">
        <f t="shared" si="663"/>
        <v>CPP_7_3</v>
      </c>
    </row>
    <row r="5252" spans="1:22">
      <c r="A5252" t="str">
        <f t="shared" si="656"/>
        <v>NDI-5503-AL</v>
      </c>
      <c r="B5252" s="403" t="s">
        <v>1424</v>
      </c>
      <c r="C5252" s="403" t="s">
        <v>582</v>
      </c>
      <c r="D5252" s="403" t="s">
        <v>1425</v>
      </c>
      <c r="E5252" s="403" t="s">
        <v>778</v>
      </c>
      <c r="F5252" s="403" t="s">
        <v>1385</v>
      </c>
      <c r="G5252" s="403" t="s">
        <v>1466</v>
      </c>
      <c r="H5252" s="403" t="s">
        <v>1276</v>
      </c>
      <c r="I5252" s="403">
        <v>1</v>
      </c>
      <c r="J5252" s="403" t="s">
        <v>1374</v>
      </c>
      <c r="K5252" s="403">
        <v>2304</v>
      </c>
      <c r="L5252" s="403">
        <v>1296</v>
      </c>
      <c r="M5252" s="403" t="s">
        <v>1284</v>
      </c>
      <c r="N5252" s="403">
        <v>640</v>
      </c>
      <c r="O5252" s="403">
        <v>480</v>
      </c>
      <c r="P5252" t="str">
        <f t="shared" si="657"/>
        <v>25fps 2304x1296 - SD VGA (cropped)</v>
      </c>
      <c r="Q5252">
        <f t="shared" si="658"/>
        <v>23</v>
      </c>
      <c r="R5252" t="str">
        <f t="shared" si="659"/>
        <v/>
      </c>
      <c r="S5252" t="str">
        <f t="shared" si="660"/>
        <v/>
      </c>
      <c r="T5252" s="403" t="str">
        <f t="shared" si="661"/>
        <v>NDI-5503-AL</v>
      </c>
      <c r="U5252" s="403">
        <f t="shared" si="662"/>
        <v>1</v>
      </c>
      <c r="V5252" s="403" t="str">
        <f t="shared" si="663"/>
        <v>CPP_7_3</v>
      </c>
    </row>
    <row r="5253" spans="1:22">
      <c r="A5253" t="str">
        <f t="shared" si="656"/>
        <v>NDI-5503-AL</v>
      </c>
      <c r="B5253" s="403" t="s">
        <v>1424</v>
      </c>
      <c r="C5253" s="403" t="s">
        <v>582</v>
      </c>
      <c r="D5253" s="403" t="s">
        <v>1425</v>
      </c>
      <c r="E5253" s="403" t="s">
        <v>778</v>
      </c>
      <c r="F5253" s="403" t="s">
        <v>1385</v>
      </c>
      <c r="G5253" s="403" t="s">
        <v>1466</v>
      </c>
      <c r="H5253" s="403" t="s">
        <v>1276</v>
      </c>
      <c r="I5253" s="403">
        <v>1</v>
      </c>
      <c r="J5253" s="403" t="s">
        <v>1374</v>
      </c>
      <c r="K5253" s="403">
        <v>2304</v>
      </c>
      <c r="L5253" s="403">
        <v>1296</v>
      </c>
      <c r="M5253" s="403" t="s">
        <v>1280</v>
      </c>
      <c r="N5253" s="403">
        <v>2304</v>
      </c>
      <c r="O5253" s="403">
        <v>1296</v>
      </c>
      <c r="P5253" t="str">
        <f t="shared" si="657"/>
        <v>25fps 2304x1296 - copy other stream</v>
      </c>
      <c r="Q5253">
        <f t="shared" si="658"/>
        <v>23</v>
      </c>
      <c r="R5253" t="str">
        <f t="shared" si="659"/>
        <v/>
      </c>
      <c r="S5253" t="str">
        <f t="shared" si="660"/>
        <v/>
      </c>
      <c r="T5253" s="403" t="str">
        <f t="shared" si="661"/>
        <v>NDI-5503-AL</v>
      </c>
      <c r="U5253" s="403">
        <f t="shared" si="662"/>
        <v>1</v>
      </c>
      <c r="V5253" s="403" t="str">
        <f t="shared" si="663"/>
        <v>CPP_7_3</v>
      </c>
    </row>
    <row r="5254" spans="1:22">
      <c r="A5254" t="str">
        <f t="shared" si="656"/>
        <v>NDI-5503-AL</v>
      </c>
      <c r="B5254" s="403" t="s">
        <v>1424</v>
      </c>
      <c r="C5254" s="403" t="s">
        <v>582</v>
      </c>
      <c r="D5254" s="403" t="s">
        <v>1425</v>
      </c>
      <c r="E5254" s="403" t="s">
        <v>778</v>
      </c>
      <c r="F5254" s="403" t="s">
        <v>1385</v>
      </c>
      <c r="G5254" s="403" t="s">
        <v>1466</v>
      </c>
      <c r="H5254" s="403" t="s">
        <v>1276</v>
      </c>
      <c r="I5254" s="403">
        <v>1</v>
      </c>
      <c r="J5254" s="403" t="s">
        <v>110</v>
      </c>
      <c r="K5254" s="403">
        <v>1920</v>
      </c>
      <c r="L5254" s="403">
        <v>1080</v>
      </c>
      <c r="M5254" s="403" t="s">
        <v>111</v>
      </c>
      <c r="N5254" s="403">
        <v>640</v>
      </c>
      <c r="O5254" s="403">
        <v>480</v>
      </c>
      <c r="P5254" t="str">
        <f t="shared" si="657"/>
        <v>25fps 1080p - SD</v>
      </c>
      <c r="Q5254">
        <f t="shared" si="658"/>
        <v>23</v>
      </c>
      <c r="R5254" t="str">
        <f t="shared" si="659"/>
        <v/>
      </c>
      <c r="S5254" t="str">
        <f t="shared" si="660"/>
        <v/>
      </c>
      <c r="T5254" s="403" t="str">
        <f t="shared" si="661"/>
        <v>NDI-5503-AL</v>
      </c>
      <c r="U5254" s="403">
        <f t="shared" si="662"/>
        <v>1</v>
      </c>
      <c r="V5254" s="403" t="str">
        <f t="shared" si="663"/>
        <v>CPP_7_3</v>
      </c>
    </row>
    <row r="5255" spans="1:22">
      <c r="A5255" t="str">
        <f t="shared" si="656"/>
        <v>NDI-5503-AL</v>
      </c>
      <c r="B5255" s="403" t="s">
        <v>1424</v>
      </c>
      <c r="C5255" s="403" t="s">
        <v>582</v>
      </c>
      <c r="D5255" s="403" t="s">
        <v>1425</v>
      </c>
      <c r="E5255" s="403" t="s">
        <v>778</v>
      </c>
      <c r="F5255" s="403" t="s">
        <v>1385</v>
      </c>
      <c r="G5255" s="403" t="s">
        <v>1466</v>
      </c>
      <c r="H5255" s="403" t="s">
        <v>1276</v>
      </c>
      <c r="I5255" s="403">
        <v>1</v>
      </c>
      <c r="J5255" s="403" t="s">
        <v>110</v>
      </c>
      <c r="K5255" s="403">
        <v>1920</v>
      </c>
      <c r="L5255" s="403">
        <v>1080</v>
      </c>
      <c r="M5255" s="403" t="s">
        <v>110</v>
      </c>
      <c r="N5255" s="403">
        <v>1920</v>
      </c>
      <c r="O5255" s="403">
        <v>1080</v>
      </c>
      <c r="P5255" t="str">
        <f t="shared" si="657"/>
        <v>25fps 1080p - 1080p</v>
      </c>
      <c r="Q5255">
        <f t="shared" si="658"/>
        <v>23</v>
      </c>
      <c r="R5255" t="str">
        <f t="shared" si="659"/>
        <v/>
      </c>
      <c r="S5255" t="str">
        <f t="shared" si="660"/>
        <v/>
      </c>
      <c r="T5255" s="403" t="str">
        <f t="shared" si="661"/>
        <v>NDI-5503-AL</v>
      </c>
      <c r="U5255" s="403">
        <f t="shared" si="662"/>
        <v>1</v>
      </c>
      <c r="V5255" s="403" t="str">
        <f t="shared" si="663"/>
        <v>CPP_7_3</v>
      </c>
    </row>
    <row r="5256" spans="1:22">
      <c r="A5256" t="str">
        <f t="shared" si="656"/>
        <v>NDI-5503-AL</v>
      </c>
      <c r="B5256" s="403" t="s">
        <v>1424</v>
      </c>
      <c r="C5256" s="403" t="s">
        <v>582</v>
      </c>
      <c r="D5256" s="403" t="s">
        <v>1425</v>
      </c>
      <c r="E5256" s="403" t="s">
        <v>778</v>
      </c>
      <c r="F5256" s="403" t="s">
        <v>1385</v>
      </c>
      <c r="G5256" s="403" t="s">
        <v>1466</v>
      </c>
      <c r="H5256" s="403" t="s">
        <v>1276</v>
      </c>
      <c r="I5256" s="403">
        <v>1</v>
      </c>
      <c r="J5256" s="403" t="s">
        <v>110</v>
      </c>
      <c r="K5256" s="403">
        <v>1920</v>
      </c>
      <c r="L5256" s="403">
        <v>1080</v>
      </c>
      <c r="M5256" s="403" t="s">
        <v>109</v>
      </c>
      <c r="N5256" s="403">
        <v>1280</v>
      </c>
      <c r="O5256" s="403">
        <v>720</v>
      </c>
      <c r="P5256" t="str">
        <f t="shared" si="657"/>
        <v>25fps 1080p - 720p</v>
      </c>
      <c r="Q5256">
        <f t="shared" si="658"/>
        <v>23</v>
      </c>
      <c r="R5256" t="str">
        <f t="shared" si="659"/>
        <v/>
      </c>
      <c r="S5256" t="str">
        <f t="shared" si="660"/>
        <v/>
      </c>
      <c r="T5256" s="403" t="str">
        <f t="shared" si="661"/>
        <v>NDI-5503-AL</v>
      </c>
      <c r="U5256" s="403">
        <f t="shared" si="662"/>
        <v>1</v>
      </c>
      <c r="V5256" s="403" t="str">
        <f t="shared" si="663"/>
        <v>CPP_7_3</v>
      </c>
    </row>
    <row r="5257" spans="1:22">
      <c r="A5257" t="str">
        <f t="shared" si="656"/>
        <v>NDI-5503-AL</v>
      </c>
      <c r="B5257" s="403" t="s">
        <v>1424</v>
      </c>
      <c r="C5257" s="403" t="s">
        <v>582</v>
      </c>
      <c r="D5257" s="403" t="s">
        <v>1425</v>
      </c>
      <c r="E5257" s="403" t="s">
        <v>778</v>
      </c>
      <c r="F5257" s="403" t="s">
        <v>1385</v>
      </c>
      <c r="G5257" s="403" t="s">
        <v>1466</v>
      </c>
      <c r="H5257" s="403" t="s">
        <v>1276</v>
      </c>
      <c r="I5257" s="403">
        <v>1</v>
      </c>
      <c r="J5257" s="403" t="s">
        <v>110</v>
      </c>
      <c r="K5257" s="403">
        <v>1920</v>
      </c>
      <c r="L5257" s="403">
        <v>1080</v>
      </c>
      <c r="M5257" s="403" t="s">
        <v>1285</v>
      </c>
      <c r="N5257" s="403">
        <v>1280</v>
      </c>
      <c r="O5257" s="403">
        <v>1024</v>
      </c>
      <c r="P5257" t="str">
        <f t="shared" si="657"/>
        <v>25fps 1080p - 1280x1024 5:4 (cropped)</v>
      </c>
      <c r="Q5257">
        <f t="shared" si="658"/>
        <v>23</v>
      </c>
      <c r="R5257" t="str">
        <f t="shared" si="659"/>
        <v/>
      </c>
      <c r="S5257" t="str">
        <f t="shared" si="660"/>
        <v/>
      </c>
      <c r="T5257" s="403" t="str">
        <f t="shared" si="661"/>
        <v>NDI-5503-AL</v>
      </c>
      <c r="U5257" s="403">
        <f t="shared" si="662"/>
        <v>1</v>
      </c>
      <c r="V5257" s="403" t="str">
        <f t="shared" si="663"/>
        <v>CPP_7_3</v>
      </c>
    </row>
    <row r="5258" spans="1:22">
      <c r="A5258" t="str">
        <f t="shared" si="656"/>
        <v>NDI-5503-AL</v>
      </c>
      <c r="B5258" s="403" t="s">
        <v>1424</v>
      </c>
      <c r="C5258" s="403" t="s">
        <v>582</v>
      </c>
      <c r="D5258" s="403" t="s">
        <v>1425</v>
      </c>
      <c r="E5258" s="403" t="s">
        <v>778</v>
      </c>
      <c r="F5258" s="403" t="s">
        <v>1385</v>
      </c>
      <c r="G5258" s="403" t="s">
        <v>1466</v>
      </c>
      <c r="H5258" s="403" t="s">
        <v>1276</v>
      </c>
      <c r="I5258" s="403">
        <v>1</v>
      </c>
      <c r="J5258" s="403" t="s">
        <v>110</v>
      </c>
      <c r="K5258" s="403">
        <v>1920</v>
      </c>
      <c r="L5258" s="403">
        <v>1080</v>
      </c>
      <c r="M5258" s="403" t="s">
        <v>1279</v>
      </c>
      <c r="N5258" s="403">
        <v>640</v>
      </c>
      <c r="O5258" s="403">
        <v>480</v>
      </c>
      <c r="P5258" t="str">
        <f t="shared" si="657"/>
        <v>25fps 1080p - SD ROI PTZ</v>
      </c>
      <c r="Q5258">
        <f t="shared" si="658"/>
        <v>23</v>
      </c>
      <c r="R5258" t="str">
        <f t="shared" si="659"/>
        <v/>
      </c>
      <c r="S5258" t="str">
        <f t="shared" si="660"/>
        <v/>
      </c>
      <c r="T5258" s="403" t="str">
        <f t="shared" si="661"/>
        <v>NDI-5503-AL</v>
      </c>
      <c r="U5258" s="403">
        <f t="shared" si="662"/>
        <v>1</v>
      </c>
      <c r="V5258" s="403" t="str">
        <f t="shared" si="663"/>
        <v>CPP_7_3</v>
      </c>
    </row>
    <row r="5259" spans="1:22">
      <c r="A5259" t="str">
        <f t="shared" si="656"/>
        <v>NDI-5503-AL</v>
      </c>
      <c r="B5259" s="403" t="s">
        <v>1424</v>
      </c>
      <c r="C5259" s="403" t="s">
        <v>582</v>
      </c>
      <c r="D5259" s="403" t="s">
        <v>1425</v>
      </c>
      <c r="E5259" s="403" t="s">
        <v>778</v>
      </c>
      <c r="F5259" s="403" t="s">
        <v>1385</v>
      </c>
      <c r="G5259" s="403" t="s">
        <v>1466</v>
      </c>
      <c r="H5259" s="403" t="s">
        <v>1276</v>
      </c>
      <c r="I5259" s="403">
        <v>1</v>
      </c>
      <c r="J5259" s="403" t="s">
        <v>110</v>
      </c>
      <c r="K5259" s="403">
        <v>1920</v>
      </c>
      <c r="L5259" s="403">
        <v>1080</v>
      </c>
      <c r="M5259" s="403" t="s">
        <v>1283</v>
      </c>
      <c r="N5259" s="403">
        <v>720</v>
      </c>
      <c r="O5259" s="403">
        <v>576</v>
      </c>
      <c r="P5259" t="str">
        <f t="shared" si="657"/>
        <v>25fps 1080p - SD 4CIF resolution 4:3 format (cropped)</v>
      </c>
      <c r="Q5259">
        <f t="shared" si="658"/>
        <v>23</v>
      </c>
      <c r="R5259" t="str">
        <f t="shared" si="659"/>
        <v/>
      </c>
      <c r="S5259" t="str">
        <f t="shared" si="660"/>
        <v/>
      </c>
      <c r="T5259" s="403" t="str">
        <f t="shared" si="661"/>
        <v>NDI-5503-AL</v>
      </c>
      <c r="U5259" s="403">
        <f t="shared" si="662"/>
        <v>1</v>
      </c>
      <c r="V5259" s="403" t="str">
        <f t="shared" si="663"/>
        <v>CPP_7_3</v>
      </c>
    </row>
    <row r="5260" spans="1:22">
      <c r="A5260" t="str">
        <f t="shared" si="656"/>
        <v>NDI-5503-AL</v>
      </c>
      <c r="B5260" s="403" t="s">
        <v>1424</v>
      </c>
      <c r="C5260" s="403" t="s">
        <v>582</v>
      </c>
      <c r="D5260" s="403" t="s">
        <v>1425</v>
      </c>
      <c r="E5260" s="403" t="s">
        <v>778</v>
      </c>
      <c r="F5260" s="403" t="s">
        <v>1385</v>
      </c>
      <c r="G5260" s="403" t="s">
        <v>1466</v>
      </c>
      <c r="H5260" s="403" t="s">
        <v>1276</v>
      </c>
      <c r="I5260" s="403">
        <v>1</v>
      </c>
      <c r="J5260" s="403" t="s">
        <v>110</v>
      </c>
      <c r="K5260" s="403">
        <v>1920</v>
      </c>
      <c r="L5260" s="403">
        <v>1080</v>
      </c>
      <c r="M5260" s="403" t="s">
        <v>1284</v>
      </c>
      <c r="N5260" s="403">
        <v>640</v>
      </c>
      <c r="O5260" s="403">
        <v>480</v>
      </c>
      <c r="P5260" t="str">
        <f t="shared" si="657"/>
        <v>25fps 1080p - SD VGA (cropped)</v>
      </c>
      <c r="Q5260">
        <f t="shared" si="658"/>
        <v>23</v>
      </c>
      <c r="R5260" t="str">
        <f t="shared" si="659"/>
        <v/>
      </c>
      <c r="S5260" t="str">
        <f t="shared" si="660"/>
        <v/>
      </c>
      <c r="T5260" s="403" t="str">
        <f t="shared" si="661"/>
        <v>NDI-5503-AL</v>
      </c>
      <c r="U5260" s="403">
        <f t="shared" si="662"/>
        <v>1</v>
      </c>
      <c r="V5260" s="403" t="str">
        <f t="shared" si="663"/>
        <v>CPP_7_3</v>
      </c>
    </row>
    <row r="5261" spans="1:22">
      <c r="A5261" t="str">
        <f t="shared" si="656"/>
        <v>NDI-5503-AL</v>
      </c>
      <c r="B5261" s="403" t="s">
        <v>1424</v>
      </c>
      <c r="C5261" s="403" t="s">
        <v>582</v>
      </c>
      <c r="D5261" s="403" t="s">
        <v>1425</v>
      </c>
      <c r="E5261" s="403" t="s">
        <v>778</v>
      </c>
      <c r="F5261" s="403" t="s">
        <v>1385</v>
      </c>
      <c r="G5261" s="403" t="s">
        <v>1466</v>
      </c>
      <c r="H5261" s="403" t="s">
        <v>1276</v>
      </c>
      <c r="I5261" s="403">
        <v>1</v>
      </c>
      <c r="J5261" s="403" t="s">
        <v>109</v>
      </c>
      <c r="K5261" s="403">
        <v>1280</v>
      </c>
      <c r="L5261" s="403">
        <v>720</v>
      </c>
      <c r="M5261" s="403" t="s">
        <v>109</v>
      </c>
      <c r="N5261" s="403">
        <v>1280</v>
      </c>
      <c r="O5261" s="403">
        <v>720</v>
      </c>
      <c r="P5261" t="str">
        <f t="shared" si="657"/>
        <v>25fps 720p - 720p</v>
      </c>
      <c r="Q5261">
        <f t="shared" si="658"/>
        <v>23</v>
      </c>
      <c r="R5261" t="str">
        <f t="shared" si="659"/>
        <v/>
      </c>
      <c r="S5261" t="str">
        <f t="shared" si="660"/>
        <v/>
      </c>
      <c r="T5261" s="403" t="str">
        <f t="shared" si="661"/>
        <v>NDI-5503-AL</v>
      </c>
      <c r="U5261" s="403">
        <f t="shared" si="662"/>
        <v>1</v>
      </c>
      <c r="V5261" s="403" t="str">
        <f t="shared" si="663"/>
        <v>CPP_7_3</v>
      </c>
    </row>
    <row r="5262" spans="1:22">
      <c r="A5262" t="str">
        <f t="shared" si="656"/>
        <v>NDI-5503-AL</v>
      </c>
      <c r="B5262" s="403" t="s">
        <v>1424</v>
      </c>
      <c r="C5262" s="403" t="s">
        <v>582</v>
      </c>
      <c r="D5262" s="403" t="s">
        <v>1425</v>
      </c>
      <c r="E5262" s="403" t="s">
        <v>778</v>
      </c>
      <c r="F5262" s="403" t="s">
        <v>1385</v>
      </c>
      <c r="G5262" s="403" t="s">
        <v>1466</v>
      </c>
      <c r="H5262" s="403" t="s">
        <v>1276</v>
      </c>
      <c r="I5262" s="403">
        <v>1</v>
      </c>
      <c r="J5262" s="403" t="s">
        <v>109</v>
      </c>
      <c r="K5262" s="403">
        <v>1280</v>
      </c>
      <c r="L5262" s="403">
        <v>720</v>
      </c>
      <c r="M5262" s="403" t="s">
        <v>111</v>
      </c>
      <c r="N5262" s="403">
        <v>640</v>
      </c>
      <c r="O5262" s="403">
        <v>480</v>
      </c>
      <c r="P5262" t="str">
        <f t="shared" si="657"/>
        <v>25fps 720p - SD</v>
      </c>
      <c r="Q5262">
        <f t="shared" si="658"/>
        <v>23</v>
      </c>
      <c r="R5262" t="str">
        <f t="shared" si="659"/>
        <v/>
      </c>
      <c r="S5262" t="str">
        <f t="shared" si="660"/>
        <v/>
      </c>
      <c r="T5262" s="403" t="str">
        <f t="shared" si="661"/>
        <v>NDI-5503-AL</v>
      </c>
      <c r="U5262" s="403">
        <f t="shared" si="662"/>
        <v>1</v>
      </c>
      <c r="V5262" s="403" t="str">
        <f t="shared" si="663"/>
        <v>CPP_7_3</v>
      </c>
    </row>
    <row r="5263" spans="1:22">
      <c r="A5263" t="str">
        <f t="shared" si="656"/>
        <v>NDI-5503-AL</v>
      </c>
      <c r="B5263" s="403" t="s">
        <v>1424</v>
      </c>
      <c r="C5263" s="403" t="s">
        <v>582</v>
      </c>
      <c r="D5263" s="403" t="s">
        <v>1425</v>
      </c>
      <c r="E5263" s="403" t="s">
        <v>778</v>
      </c>
      <c r="F5263" s="403" t="s">
        <v>1385</v>
      </c>
      <c r="G5263" s="403" t="s">
        <v>1466</v>
      </c>
      <c r="H5263" s="403" t="s">
        <v>1276</v>
      </c>
      <c r="I5263" s="403">
        <v>1</v>
      </c>
      <c r="J5263" s="403" t="s">
        <v>109</v>
      </c>
      <c r="K5263" s="403">
        <v>1280</v>
      </c>
      <c r="L5263" s="403">
        <v>720</v>
      </c>
      <c r="M5263" s="403" t="s">
        <v>1279</v>
      </c>
      <c r="N5263" s="403">
        <v>640</v>
      </c>
      <c r="O5263" s="403">
        <v>480</v>
      </c>
      <c r="P5263" t="str">
        <f t="shared" si="657"/>
        <v>25fps 720p - SD ROI PTZ</v>
      </c>
      <c r="Q5263">
        <f t="shared" si="658"/>
        <v>23</v>
      </c>
      <c r="R5263" t="str">
        <f t="shared" si="659"/>
        <v/>
      </c>
      <c r="S5263" t="str">
        <f t="shared" si="660"/>
        <v/>
      </c>
      <c r="T5263" s="403" t="str">
        <f t="shared" si="661"/>
        <v>NDI-5503-AL</v>
      </c>
      <c r="U5263" s="403">
        <f t="shared" si="662"/>
        <v>1</v>
      </c>
      <c r="V5263" s="403" t="str">
        <f t="shared" si="663"/>
        <v>CPP_7_3</v>
      </c>
    </row>
    <row r="5264" spans="1:22">
      <c r="A5264" t="str">
        <f t="shared" si="656"/>
        <v>NDI-5503-AL</v>
      </c>
      <c r="B5264" s="403" t="s">
        <v>1424</v>
      </c>
      <c r="C5264" s="403" t="s">
        <v>582</v>
      </c>
      <c r="D5264" s="403" t="s">
        <v>1425</v>
      </c>
      <c r="E5264" s="403" t="s">
        <v>778</v>
      </c>
      <c r="F5264" s="403" t="s">
        <v>1385</v>
      </c>
      <c r="G5264" s="403" t="s">
        <v>1466</v>
      </c>
      <c r="H5264" s="403" t="s">
        <v>1276</v>
      </c>
      <c r="I5264" s="403">
        <v>1</v>
      </c>
      <c r="J5264" s="403" t="s">
        <v>109</v>
      </c>
      <c r="K5264" s="403">
        <v>1280</v>
      </c>
      <c r="L5264" s="403">
        <v>720</v>
      </c>
      <c r="M5264" s="403" t="s">
        <v>1283</v>
      </c>
      <c r="N5264" s="403">
        <v>720</v>
      </c>
      <c r="O5264" s="403">
        <v>576</v>
      </c>
      <c r="P5264" t="str">
        <f t="shared" si="657"/>
        <v>25fps 720p - SD 4CIF resolution 4:3 format (cropped)</v>
      </c>
      <c r="Q5264">
        <f t="shared" si="658"/>
        <v>23</v>
      </c>
      <c r="R5264" t="str">
        <f t="shared" si="659"/>
        <v/>
      </c>
      <c r="S5264" t="str">
        <f t="shared" si="660"/>
        <v/>
      </c>
      <c r="T5264" s="403" t="str">
        <f t="shared" si="661"/>
        <v>NDI-5503-AL</v>
      </c>
      <c r="U5264" s="403">
        <f t="shared" si="662"/>
        <v>1</v>
      </c>
      <c r="V5264" s="403" t="str">
        <f t="shared" si="663"/>
        <v>CPP_7_3</v>
      </c>
    </row>
    <row r="5265" spans="1:22">
      <c r="A5265" t="str">
        <f t="shared" si="656"/>
        <v>NDI-5503-AL</v>
      </c>
      <c r="B5265" s="403" t="s">
        <v>1424</v>
      </c>
      <c r="C5265" s="403" t="s">
        <v>582</v>
      </c>
      <c r="D5265" s="403" t="s">
        <v>1425</v>
      </c>
      <c r="E5265" s="403" t="s">
        <v>778</v>
      </c>
      <c r="F5265" s="403" t="s">
        <v>1385</v>
      </c>
      <c r="G5265" s="403" t="s">
        <v>1466</v>
      </c>
      <c r="H5265" s="403" t="s">
        <v>1276</v>
      </c>
      <c r="I5265" s="403">
        <v>1</v>
      </c>
      <c r="J5265" s="403" t="s">
        <v>109</v>
      </c>
      <c r="K5265" s="403">
        <v>1280</v>
      </c>
      <c r="L5265" s="403">
        <v>720</v>
      </c>
      <c r="M5265" s="403" t="s">
        <v>1284</v>
      </c>
      <c r="N5265" s="403">
        <v>640</v>
      </c>
      <c r="O5265" s="403">
        <v>480</v>
      </c>
      <c r="P5265" t="str">
        <f t="shared" si="657"/>
        <v>25fps 720p - SD VGA (cropped)</v>
      </c>
      <c r="Q5265">
        <f t="shared" si="658"/>
        <v>23</v>
      </c>
      <c r="R5265" t="str">
        <f t="shared" si="659"/>
        <v/>
      </c>
      <c r="S5265" t="str">
        <f t="shared" si="660"/>
        <v/>
      </c>
      <c r="T5265" s="403" t="str">
        <f t="shared" si="661"/>
        <v>NDI-5503-AL</v>
      </c>
      <c r="U5265" s="403">
        <f t="shared" si="662"/>
        <v>1</v>
      </c>
      <c r="V5265" s="403" t="str">
        <f t="shared" si="663"/>
        <v>CPP_7_3</v>
      </c>
    </row>
    <row r="5266" spans="1:22">
      <c r="A5266" t="str">
        <f t="shared" si="656"/>
        <v>NDI-5503-AL</v>
      </c>
      <c r="B5266" s="403" t="s">
        <v>1424</v>
      </c>
      <c r="C5266" s="403" t="s">
        <v>582</v>
      </c>
      <c r="D5266" s="403" t="s">
        <v>1425</v>
      </c>
      <c r="E5266" s="403" t="s">
        <v>778</v>
      </c>
      <c r="F5266" s="403" t="s">
        <v>1385</v>
      </c>
      <c r="G5266" s="403" t="s">
        <v>1466</v>
      </c>
      <c r="H5266" s="403" t="s">
        <v>1281</v>
      </c>
      <c r="I5266" s="403">
        <v>1</v>
      </c>
      <c r="J5266" s="403" t="s">
        <v>1376</v>
      </c>
      <c r="K5266" s="403">
        <v>3072</v>
      </c>
      <c r="L5266" s="403">
        <v>1728</v>
      </c>
      <c r="M5266" s="403" t="s">
        <v>111</v>
      </c>
      <c r="N5266" s="403">
        <v>640</v>
      </c>
      <c r="O5266" s="403">
        <v>480</v>
      </c>
      <c r="P5266" t="str">
        <f t="shared" si="657"/>
        <v>25fps 3072x1728 - SD</v>
      </c>
      <c r="Q5266">
        <f t="shared" si="658"/>
        <v>23</v>
      </c>
      <c r="R5266" t="str">
        <f t="shared" si="659"/>
        <v/>
      </c>
      <c r="S5266" t="str">
        <f t="shared" si="660"/>
        <v/>
      </c>
      <c r="T5266" s="403" t="str">
        <f t="shared" si="661"/>
        <v>NDI-5503-AL</v>
      </c>
      <c r="U5266" s="403">
        <f t="shared" si="662"/>
        <v>1</v>
      </c>
      <c r="V5266" s="403" t="str">
        <f t="shared" si="663"/>
        <v>CPP_7_3</v>
      </c>
    </row>
    <row r="5267" spans="1:22">
      <c r="A5267" t="str">
        <f t="shared" si="656"/>
        <v>NDI-5503-AL</v>
      </c>
      <c r="B5267" s="403" t="s">
        <v>1424</v>
      </c>
      <c r="C5267" s="403" t="s">
        <v>582</v>
      </c>
      <c r="D5267" s="403" t="s">
        <v>1425</v>
      </c>
      <c r="E5267" s="403" t="s">
        <v>778</v>
      </c>
      <c r="F5267" s="403" t="s">
        <v>1385</v>
      </c>
      <c r="G5267" s="403" t="s">
        <v>1466</v>
      </c>
      <c r="H5267" s="403" t="s">
        <v>1281</v>
      </c>
      <c r="I5267" s="403">
        <v>1</v>
      </c>
      <c r="J5267" s="403" t="s">
        <v>1376</v>
      </c>
      <c r="K5267" s="403">
        <v>3072</v>
      </c>
      <c r="L5267" s="403">
        <v>1728</v>
      </c>
      <c r="M5267" s="403" t="s">
        <v>1600</v>
      </c>
      <c r="N5267" s="403">
        <v>3072</v>
      </c>
      <c r="O5267" s="403">
        <v>1728</v>
      </c>
      <c r="P5267" t="str">
        <f t="shared" si="657"/>
        <v>25fps 3072x1728 - 3072x1728 @ SKIP2</v>
      </c>
      <c r="Q5267">
        <f t="shared" si="658"/>
        <v>23</v>
      </c>
      <c r="R5267" t="str">
        <f t="shared" si="659"/>
        <v/>
      </c>
      <c r="S5267" t="str">
        <f t="shared" si="660"/>
        <v/>
      </c>
      <c r="T5267" s="403" t="str">
        <f t="shared" si="661"/>
        <v>NDI-5503-AL</v>
      </c>
      <c r="U5267" s="403">
        <f t="shared" si="662"/>
        <v>1</v>
      </c>
      <c r="V5267" s="403" t="str">
        <f t="shared" si="663"/>
        <v>CPP_7_3</v>
      </c>
    </row>
    <row r="5268" spans="1:22">
      <c r="A5268" t="str">
        <f t="shared" si="656"/>
        <v>NDI-5503-AL</v>
      </c>
      <c r="B5268" s="403" t="s">
        <v>1424</v>
      </c>
      <c r="C5268" s="403" t="s">
        <v>582</v>
      </c>
      <c r="D5268" s="403" t="s">
        <v>1425</v>
      </c>
      <c r="E5268" s="403" t="s">
        <v>778</v>
      </c>
      <c r="F5268" s="403" t="s">
        <v>1385</v>
      </c>
      <c r="G5268" s="403" t="s">
        <v>1466</v>
      </c>
      <c r="H5268" s="403" t="s">
        <v>1281</v>
      </c>
      <c r="I5268" s="403">
        <v>1</v>
      </c>
      <c r="J5268" s="403" t="s">
        <v>1376</v>
      </c>
      <c r="K5268" s="403">
        <v>3072</v>
      </c>
      <c r="L5268" s="403">
        <v>1728</v>
      </c>
      <c r="M5268" s="403" t="s">
        <v>1280</v>
      </c>
      <c r="N5268" s="403">
        <v>3072</v>
      </c>
      <c r="O5268" s="403">
        <v>1728</v>
      </c>
      <c r="P5268" t="str">
        <f t="shared" si="657"/>
        <v>25fps 3072x1728 - copy other stream</v>
      </c>
      <c r="Q5268">
        <f t="shared" si="658"/>
        <v>23</v>
      </c>
      <c r="R5268" t="str">
        <f t="shared" si="659"/>
        <v/>
      </c>
      <c r="S5268" t="str">
        <f t="shared" si="660"/>
        <v/>
      </c>
      <c r="T5268" s="403" t="str">
        <f t="shared" si="661"/>
        <v>NDI-5503-AL</v>
      </c>
      <c r="U5268" s="403">
        <f t="shared" si="662"/>
        <v>1</v>
      </c>
      <c r="V5268" s="403" t="str">
        <f t="shared" si="663"/>
        <v>CPP_7_3</v>
      </c>
    </row>
    <row r="5269" spans="1:22">
      <c r="A5269" t="str">
        <f t="shared" si="656"/>
        <v>NDI-5503-AL</v>
      </c>
      <c r="B5269" s="403" t="s">
        <v>1424</v>
      </c>
      <c r="C5269" s="403" t="s">
        <v>582</v>
      </c>
      <c r="D5269" s="403" t="s">
        <v>1425</v>
      </c>
      <c r="E5269" s="403" t="s">
        <v>778</v>
      </c>
      <c r="F5269" s="403" t="s">
        <v>1385</v>
      </c>
      <c r="G5269" s="403" t="s">
        <v>1466</v>
      </c>
      <c r="H5269" s="403" t="s">
        <v>1281</v>
      </c>
      <c r="I5269" s="403">
        <v>1</v>
      </c>
      <c r="J5269" s="403" t="s">
        <v>1376</v>
      </c>
      <c r="K5269" s="403">
        <v>3072</v>
      </c>
      <c r="L5269" s="403">
        <v>1728</v>
      </c>
      <c r="M5269" s="403" t="s">
        <v>110</v>
      </c>
      <c r="N5269" s="403">
        <v>1920</v>
      </c>
      <c r="O5269" s="403">
        <v>1080</v>
      </c>
      <c r="P5269" t="str">
        <f t="shared" si="657"/>
        <v>25fps 3072x1728 - 1080p</v>
      </c>
      <c r="Q5269">
        <f t="shared" si="658"/>
        <v>23</v>
      </c>
      <c r="R5269" t="str">
        <f t="shared" si="659"/>
        <v/>
      </c>
      <c r="S5269" t="str">
        <f t="shared" si="660"/>
        <v/>
      </c>
      <c r="T5269" s="403" t="str">
        <f t="shared" si="661"/>
        <v>NDI-5503-AL</v>
      </c>
      <c r="U5269" s="403">
        <f t="shared" si="662"/>
        <v>1</v>
      </c>
      <c r="V5269" s="403" t="str">
        <f t="shared" si="663"/>
        <v>CPP_7_3</v>
      </c>
    </row>
    <row r="5270" spans="1:22">
      <c r="A5270" t="str">
        <f t="shared" si="656"/>
        <v>NDI-5503-AL</v>
      </c>
      <c r="B5270" s="403" t="s">
        <v>1424</v>
      </c>
      <c r="C5270" s="403" t="s">
        <v>582</v>
      </c>
      <c r="D5270" s="403" t="s">
        <v>1425</v>
      </c>
      <c r="E5270" s="403" t="s">
        <v>778</v>
      </c>
      <c r="F5270" s="403" t="s">
        <v>1385</v>
      </c>
      <c r="G5270" s="403" t="s">
        <v>1466</v>
      </c>
      <c r="H5270" s="403" t="s">
        <v>1281</v>
      </c>
      <c r="I5270" s="403">
        <v>1</v>
      </c>
      <c r="J5270" s="403" t="s">
        <v>1376</v>
      </c>
      <c r="K5270" s="403">
        <v>3072</v>
      </c>
      <c r="L5270" s="403">
        <v>1728</v>
      </c>
      <c r="M5270" s="403" t="s">
        <v>109</v>
      </c>
      <c r="N5270" s="403">
        <v>1280</v>
      </c>
      <c r="O5270" s="403">
        <v>720</v>
      </c>
      <c r="P5270" t="str">
        <f t="shared" si="657"/>
        <v>25fps 3072x1728 - 720p</v>
      </c>
      <c r="Q5270">
        <f t="shared" si="658"/>
        <v>23</v>
      </c>
      <c r="R5270" t="str">
        <f t="shared" si="659"/>
        <v/>
      </c>
      <c r="S5270" t="str">
        <f t="shared" si="660"/>
        <v/>
      </c>
      <c r="T5270" s="403" t="str">
        <f t="shared" si="661"/>
        <v>NDI-5503-AL</v>
      </c>
      <c r="U5270" s="403">
        <f t="shared" si="662"/>
        <v>1</v>
      </c>
      <c r="V5270" s="403" t="str">
        <f t="shared" si="663"/>
        <v>CPP_7_3</v>
      </c>
    </row>
    <row r="5271" spans="1:22">
      <c r="A5271" t="str">
        <f t="shared" si="656"/>
        <v>NDI-5503-AL</v>
      </c>
      <c r="B5271" s="403" t="s">
        <v>1424</v>
      </c>
      <c r="C5271" s="403" t="s">
        <v>582</v>
      </c>
      <c r="D5271" s="403" t="s">
        <v>1425</v>
      </c>
      <c r="E5271" s="403" t="s">
        <v>778</v>
      </c>
      <c r="F5271" s="403" t="s">
        <v>1385</v>
      </c>
      <c r="G5271" s="403" t="s">
        <v>1466</v>
      </c>
      <c r="H5271" s="403" t="s">
        <v>1281</v>
      </c>
      <c r="I5271" s="403">
        <v>1</v>
      </c>
      <c r="J5271" s="403" t="s">
        <v>1376</v>
      </c>
      <c r="K5271" s="403">
        <v>3072</v>
      </c>
      <c r="L5271" s="403">
        <v>1728</v>
      </c>
      <c r="M5271" s="403" t="s">
        <v>1283</v>
      </c>
      <c r="N5271" s="403">
        <v>720</v>
      </c>
      <c r="O5271" s="403">
        <v>576</v>
      </c>
      <c r="P5271" t="str">
        <f t="shared" si="657"/>
        <v>25fps 3072x1728 - SD 4CIF resolution 4:3 format (cropped)</v>
      </c>
      <c r="Q5271">
        <f t="shared" si="658"/>
        <v>23</v>
      </c>
      <c r="R5271" t="str">
        <f t="shared" si="659"/>
        <v/>
      </c>
      <c r="S5271" t="str">
        <f t="shared" si="660"/>
        <v/>
      </c>
      <c r="T5271" s="403" t="str">
        <f t="shared" si="661"/>
        <v>NDI-5503-AL</v>
      </c>
      <c r="U5271" s="403">
        <f t="shared" si="662"/>
        <v>1</v>
      </c>
      <c r="V5271" s="403" t="str">
        <f t="shared" si="663"/>
        <v>CPP_7_3</v>
      </c>
    </row>
    <row r="5272" spans="1:22">
      <c r="A5272" t="str">
        <f t="shared" si="656"/>
        <v>NDI-5503-AL</v>
      </c>
      <c r="B5272" s="403" t="s">
        <v>1424</v>
      </c>
      <c r="C5272" s="403" t="s">
        <v>582</v>
      </c>
      <c r="D5272" s="403" t="s">
        <v>1425</v>
      </c>
      <c r="E5272" s="403" t="s">
        <v>778</v>
      </c>
      <c r="F5272" s="403" t="s">
        <v>1385</v>
      </c>
      <c r="G5272" s="403" t="s">
        <v>1466</v>
      </c>
      <c r="H5272" s="403" t="s">
        <v>1281</v>
      </c>
      <c r="I5272" s="403">
        <v>1</v>
      </c>
      <c r="J5272" s="403" t="s">
        <v>1376</v>
      </c>
      <c r="K5272" s="403">
        <v>3072</v>
      </c>
      <c r="L5272" s="403">
        <v>1728</v>
      </c>
      <c r="M5272" s="403" t="s">
        <v>1279</v>
      </c>
      <c r="N5272" s="403">
        <v>640</v>
      </c>
      <c r="O5272" s="403">
        <v>480</v>
      </c>
      <c r="P5272" t="str">
        <f t="shared" si="657"/>
        <v>25fps 3072x1728 - SD ROI PTZ</v>
      </c>
      <c r="Q5272">
        <f t="shared" si="658"/>
        <v>23</v>
      </c>
      <c r="R5272" t="str">
        <f t="shared" si="659"/>
        <v/>
      </c>
      <c r="S5272" t="str">
        <f t="shared" si="660"/>
        <v/>
      </c>
      <c r="T5272" s="403" t="str">
        <f t="shared" si="661"/>
        <v>NDI-5503-AL</v>
      </c>
      <c r="U5272" s="403">
        <f t="shared" si="662"/>
        <v>1</v>
      </c>
      <c r="V5272" s="403" t="str">
        <f t="shared" si="663"/>
        <v>CPP_7_3</v>
      </c>
    </row>
    <row r="5273" spans="1:22">
      <c r="A5273" t="str">
        <f t="shared" si="656"/>
        <v>NDI-5503-AL</v>
      </c>
      <c r="B5273" s="403" t="s">
        <v>1424</v>
      </c>
      <c r="C5273" s="403" t="s">
        <v>582</v>
      </c>
      <c r="D5273" s="403" t="s">
        <v>1425</v>
      </c>
      <c r="E5273" s="403" t="s">
        <v>778</v>
      </c>
      <c r="F5273" s="403" t="s">
        <v>1385</v>
      </c>
      <c r="G5273" s="403" t="s">
        <v>1466</v>
      </c>
      <c r="H5273" s="403" t="s">
        <v>1281</v>
      </c>
      <c r="I5273" s="403">
        <v>1</v>
      </c>
      <c r="J5273" s="403" t="s">
        <v>1376</v>
      </c>
      <c r="K5273" s="403">
        <v>3072</v>
      </c>
      <c r="L5273" s="403">
        <v>1728</v>
      </c>
      <c r="M5273" s="403" t="s">
        <v>1284</v>
      </c>
      <c r="N5273" s="403">
        <v>640</v>
      </c>
      <c r="O5273" s="403">
        <v>480</v>
      </c>
      <c r="P5273" t="str">
        <f t="shared" si="657"/>
        <v>25fps 3072x1728 - SD VGA (cropped)</v>
      </c>
      <c r="Q5273">
        <f t="shared" si="658"/>
        <v>23</v>
      </c>
      <c r="R5273" t="str">
        <f t="shared" si="659"/>
        <v/>
      </c>
      <c r="S5273" t="str">
        <f t="shared" si="660"/>
        <v/>
      </c>
      <c r="T5273" s="403" t="str">
        <f t="shared" si="661"/>
        <v>NDI-5503-AL</v>
      </c>
      <c r="U5273" s="403">
        <f t="shared" si="662"/>
        <v>1</v>
      </c>
      <c r="V5273" s="403" t="str">
        <f t="shared" si="663"/>
        <v>CPP_7_3</v>
      </c>
    </row>
    <row r="5274" spans="1:22">
      <c r="A5274" t="str">
        <f t="shared" si="656"/>
        <v>NDI-5503-AL</v>
      </c>
      <c r="B5274" s="403" t="s">
        <v>1424</v>
      </c>
      <c r="C5274" s="403" t="s">
        <v>582</v>
      </c>
      <c r="D5274" s="403" t="s">
        <v>1425</v>
      </c>
      <c r="E5274" s="403" t="s">
        <v>778</v>
      </c>
      <c r="F5274" s="403" t="s">
        <v>1385</v>
      </c>
      <c r="G5274" s="403" t="s">
        <v>1466</v>
      </c>
      <c r="H5274" s="403" t="s">
        <v>1281</v>
      </c>
      <c r="I5274" s="403">
        <v>1</v>
      </c>
      <c r="J5274" s="403" t="s">
        <v>1376</v>
      </c>
      <c r="K5274" s="403">
        <v>3072</v>
      </c>
      <c r="L5274" s="403">
        <v>1728</v>
      </c>
      <c r="M5274" s="403" t="s">
        <v>1285</v>
      </c>
      <c r="N5274" s="403">
        <v>1280</v>
      </c>
      <c r="O5274" s="403">
        <v>1024</v>
      </c>
      <c r="P5274" t="str">
        <f t="shared" si="657"/>
        <v>25fps 3072x1728 - 1280x1024 5:4 (cropped)</v>
      </c>
      <c r="Q5274">
        <f t="shared" si="658"/>
        <v>23</v>
      </c>
      <c r="R5274" t="str">
        <f t="shared" si="659"/>
        <v/>
      </c>
      <c r="S5274" t="str">
        <f t="shared" si="660"/>
        <v/>
      </c>
      <c r="T5274" s="403" t="str">
        <f t="shared" si="661"/>
        <v>NDI-5503-AL</v>
      </c>
      <c r="U5274" s="403">
        <f t="shared" si="662"/>
        <v>1</v>
      </c>
      <c r="V5274" s="403" t="str">
        <f t="shared" si="663"/>
        <v>CPP_7_3</v>
      </c>
    </row>
    <row r="5275" spans="1:22">
      <c r="A5275" t="str">
        <f t="shared" si="656"/>
        <v>NDI-5503-AL</v>
      </c>
      <c r="B5275" s="403" t="s">
        <v>1424</v>
      </c>
      <c r="C5275" s="403" t="s">
        <v>582</v>
      </c>
      <c r="D5275" s="403" t="s">
        <v>1425</v>
      </c>
      <c r="E5275" s="403" t="s">
        <v>778</v>
      </c>
      <c r="F5275" s="403" t="s">
        <v>1385</v>
      </c>
      <c r="G5275" s="403" t="s">
        <v>1466</v>
      </c>
      <c r="H5275" s="403" t="s">
        <v>1281</v>
      </c>
      <c r="I5275" s="403">
        <v>1</v>
      </c>
      <c r="J5275" s="403" t="s">
        <v>1376</v>
      </c>
      <c r="K5275" s="403">
        <v>3072</v>
      </c>
      <c r="L5275" s="403">
        <v>1728</v>
      </c>
      <c r="M5275" s="403" t="s">
        <v>1383</v>
      </c>
      <c r="N5275" s="403">
        <v>1920</v>
      </c>
      <c r="O5275" s="403">
        <v>1440</v>
      </c>
      <c r="P5275" t="str">
        <f t="shared" si="657"/>
        <v>25fps 3072x1728 - 1920x1440_CROP</v>
      </c>
      <c r="Q5275">
        <f t="shared" si="658"/>
        <v>23</v>
      </c>
      <c r="R5275" t="str">
        <f t="shared" si="659"/>
        <v/>
      </c>
      <c r="S5275" t="str">
        <f t="shared" si="660"/>
        <v/>
      </c>
      <c r="T5275" s="403" t="str">
        <f t="shared" si="661"/>
        <v>NDI-5503-AL</v>
      </c>
      <c r="U5275" s="403">
        <f t="shared" si="662"/>
        <v>1</v>
      </c>
      <c r="V5275" s="403" t="str">
        <f t="shared" si="663"/>
        <v>CPP_7_3</v>
      </c>
    </row>
    <row r="5276" spans="1:22">
      <c r="A5276" t="str">
        <f t="shared" si="656"/>
        <v>NDI-5503-AL</v>
      </c>
      <c r="B5276" s="403" t="s">
        <v>1424</v>
      </c>
      <c r="C5276" s="403" t="s">
        <v>582</v>
      </c>
      <c r="D5276" s="403" t="s">
        <v>1425</v>
      </c>
      <c r="E5276" s="403" t="s">
        <v>778</v>
      </c>
      <c r="F5276" s="403" t="s">
        <v>1385</v>
      </c>
      <c r="G5276" s="403" t="s">
        <v>1466</v>
      </c>
      <c r="H5276" s="403" t="s">
        <v>1281</v>
      </c>
      <c r="I5276" s="403">
        <v>1</v>
      </c>
      <c r="J5276" s="403" t="s">
        <v>1373</v>
      </c>
      <c r="K5276" s="403">
        <v>2688</v>
      </c>
      <c r="L5276" s="403">
        <v>1512</v>
      </c>
      <c r="M5276" s="403" t="s">
        <v>110</v>
      </c>
      <c r="N5276" s="403">
        <v>1920</v>
      </c>
      <c r="O5276" s="403">
        <v>1080</v>
      </c>
      <c r="P5276" t="str">
        <f t="shared" si="657"/>
        <v>25fps 2688x1512 - 1080p</v>
      </c>
      <c r="Q5276">
        <f t="shared" si="658"/>
        <v>23</v>
      </c>
      <c r="R5276" t="str">
        <f t="shared" si="659"/>
        <v/>
      </c>
      <c r="S5276" t="str">
        <f t="shared" si="660"/>
        <v/>
      </c>
      <c r="T5276" s="403" t="str">
        <f t="shared" si="661"/>
        <v>NDI-5503-AL</v>
      </c>
      <c r="U5276" s="403">
        <f t="shared" si="662"/>
        <v>1</v>
      </c>
      <c r="V5276" s="403" t="str">
        <f t="shared" si="663"/>
        <v>CPP_7_3</v>
      </c>
    </row>
    <row r="5277" spans="1:22">
      <c r="A5277" t="str">
        <f t="shared" si="656"/>
        <v>NDI-5503-AL</v>
      </c>
      <c r="B5277" s="403" t="s">
        <v>1424</v>
      </c>
      <c r="C5277" s="403" t="s">
        <v>582</v>
      </c>
      <c r="D5277" s="403" t="s">
        <v>1425</v>
      </c>
      <c r="E5277" s="403" t="s">
        <v>778</v>
      </c>
      <c r="F5277" s="403" t="s">
        <v>1385</v>
      </c>
      <c r="G5277" s="403" t="s">
        <v>1466</v>
      </c>
      <c r="H5277" s="403" t="s">
        <v>1281</v>
      </c>
      <c r="I5277" s="403">
        <v>1</v>
      </c>
      <c r="J5277" s="403" t="s">
        <v>1373</v>
      </c>
      <c r="K5277" s="403">
        <v>2688</v>
      </c>
      <c r="L5277" s="403">
        <v>1512</v>
      </c>
      <c r="M5277" s="403" t="s">
        <v>1384</v>
      </c>
      <c r="N5277" s="403">
        <v>2688</v>
      </c>
      <c r="O5277" s="403">
        <v>1512</v>
      </c>
      <c r="P5277" t="str">
        <f t="shared" si="657"/>
        <v>25fps 2688x1512 - 2688x1512 @ SKIP 2</v>
      </c>
      <c r="Q5277">
        <f t="shared" si="658"/>
        <v>23</v>
      </c>
      <c r="R5277" t="str">
        <f t="shared" si="659"/>
        <v/>
      </c>
      <c r="S5277" t="str">
        <f t="shared" si="660"/>
        <v/>
      </c>
      <c r="T5277" s="403" t="str">
        <f t="shared" si="661"/>
        <v>NDI-5503-AL</v>
      </c>
      <c r="U5277" s="403">
        <f t="shared" si="662"/>
        <v>1</v>
      </c>
      <c r="V5277" s="403" t="str">
        <f t="shared" si="663"/>
        <v>CPP_7_3</v>
      </c>
    </row>
    <row r="5278" spans="1:22">
      <c r="A5278" t="str">
        <f t="shared" si="656"/>
        <v>NDI-5503-AL</v>
      </c>
      <c r="B5278" s="403" t="s">
        <v>1424</v>
      </c>
      <c r="C5278" s="403" t="s">
        <v>582</v>
      </c>
      <c r="D5278" s="403" t="s">
        <v>1425</v>
      </c>
      <c r="E5278" s="403" t="s">
        <v>778</v>
      </c>
      <c r="F5278" s="403" t="s">
        <v>1385</v>
      </c>
      <c r="G5278" s="403" t="s">
        <v>1466</v>
      </c>
      <c r="H5278" s="403" t="s">
        <v>1281</v>
      </c>
      <c r="I5278" s="403">
        <v>1</v>
      </c>
      <c r="J5278" s="403" t="s">
        <v>1373</v>
      </c>
      <c r="K5278" s="403">
        <v>2688</v>
      </c>
      <c r="L5278" s="403">
        <v>1512</v>
      </c>
      <c r="M5278" s="403" t="s">
        <v>109</v>
      </c>
      <c r="N5278" s="403">
        <v>1280</v>
      </c>
      <c r="O5278" s="403">
        <v>720</v>
      </c>
      <c r="P5278" t="str">
        <f t="shared" si="657"/>
        <v>25fps 2688x1512 - 720p</v>
      </c>
      <c r="Q5278">
        <f t="shared" si="658"/>
        <v>23</v>
      </c>
      <c r="R5278" t="str">
        <f t="shared" si="659"/>
        <v/>
      </c>
      <c r="S5278" t="str">
        <f t="shared" si="660"/>
        <v/>
      </c>
      <c r="T5278" s="403" t="str">
        <f t="shared" si="661"/>
        <v>NDI-5503-AL</v>
      </c>
      <c r="U5278" s="403">
        <f t="shared" si="662"/>
        <v>1</v>
      </c>
      <c r="V5278" s="403" t="str">
        <f t="shared" si="663"/>
        <v>CPP_7_3</v>
      </c>
    </row>
    <row r="5279" spans="1:22">
      <c r="A5279" t="str">
        <f t="shared" si="656"/>
        <v>NDI-5503-AL</v>
      </c>
      <c r="B5279" s="403" t="s">
        <v>1424</v>
      </c>
      <c r="C5279" s="403" t="s">
        <v>582</v>
      </c>
      <c r="D5279" s="403" t="s">
        <v>1425</v>
      </c>
      <c r="E5279" s="403" t="s">
        <v>778</v>
      </c>
      <c r="F5279" s="403" t="s">
        <v>1385</v>
      </c>
      <c r="G5279" s="403" t="s">
        <v>1466</v>
      </c>
      <c r="H5279" s="403" t="s">
        <v>1281</v>
      </c>
      <c r="I5279" s="403">
        <v>1</v>
      </c>
      <c r="J5279" s="403" t="s">
        <v>1373</v>
      </c>
      <c r="K5279" s="403">
        <v>2688</v>
      </c>
      <c r="L5279" s="403">
        <v>1512</v>
      </c>
      <c r="M5279" s="403" t="s">
        <v>111</v>
      </c>
      <c r="N5279" s="403">
        <v>640</v>
      </c>
      <c r="O5279" s="403">
        <v>480</v>
      </c>
      <c r="P5279" t="str">
        <f t="shared" si="657"/>
        <v>25fps 2688x1512 - SD</v>
      </c>
      <c r="Q5279">
        <f t="shared" si="658"/>
        <v>23</v>
      </c>
      <c r="R5279" t="str">
        <f t="shared" si="659"/>
        <v/>
      </c>
      <c r="S5279" t="str">
        <f t="shared" si="660"/>
        <v/>
      </c>
      <c r="T5279" s="403" t="str">
        <f t="shared" si="661"/>
        <v>NDI-5503-AL</v>
      </c>
      <c r="U5279" s="403">
        <f t="shared" si="662"/>
        <v>1</v>
      </c>
      <c r="V5279" s="403" t="str">
        <f t="shared" si="663"/>
        <v>CPP_7_3</v>
      </c>
    </row>
    <row r="5280" spans="1:22">
      <c r="A5280" t="str">
        <f t="shared" si="656"/>
        <v>NDI-5503-AL</v>
      </c>
      <c r="B5280" s="403" t="s">
        <v>1424</v>
      </c>
      <c r="C5280" s="403" t="s">
        <v>582</v>
      </c>
      <c r="D5280" s="403" t="s">
        <v>1425</v>
      </c>
      <c r="E5280" s="403" t="s">
        <v>778</v>
      </c>
      <c r="F5280" s="403" t="s">
        <v>1385</v>
      </c>
      <c r="G5280" s="403" t="s">
        <v>1466</v>
      </c>
      <c r="H5280" s="403" t="s">
        <v>1281</v>
      </c>
      <c r="I5280" s="403">
        <v>1</v>
      </c>
      <c r="J5280" s="403" t="s">
        <v>1373</v>
      </c>
      <c r="K5280" s="403">
        <v>2688</v>
      </c>
      <c r="L5280" s="403">
        <v>1512</v>
      </c>
      <c r="M5280" s="403" t="s">
        <v>1279</v>
      </c>
      <c r="N5280" s="403">
        <v>640</v>
      </c>
      <c r="O5280" s="403">
        <v>480</v>
      </c>
      <c r="P5280" t="str">
        <f t="shared" si="657"/>
        <v>25fps 2688x1512 - SD ROI PTZ</v>
      </c>
      <c r="Q5280">
        <f t="shared" si="658"/>
        <v>23</v>
      </c>
      <c r="R5280" t="str">
        <f t="shared" si="659"/>
        <v/>
      </c>
      <c r="S5280" t="str">
        <f t="shared" si="660"/>
        <v/>
      </c>
      <c r="T5280" s="403" t="str">
        <f t="shared" si="661"/>
        <v>NDI-5503-AL</v>
      </c>
      <c r="U5280" s="403">
        <f t="shared" si="662"/>
        <v>1</v>
      </c>
      <c r="V5280" s="403" t="str">
        <f t="shared" si="663"/>
        <v>CPP_7_3</v>
      </c>
    </row>
    <row r="5281" spans="1:22">
      <c r="A5281" t="str">
        <f t="shared" si="656"/>
        <v>NDI-5503-AL</v>
      </c>
      <c r="B5281" s="403" t="s">
        <v>1424</v>
      </c>
      <c r="C5281" s="403" t="s">
        <v>582</v>
      </c>
      <c r="D5281" s="403" t="s">
        <v>1425</v>
      </c>
      <c r="E5281" s="403" t="s">
        <v>778</v>
      </c>
      <c r="F5281" s="403" t="s">
        <v>1385</v>
      </c>
      <c r="G5281" s="403" t="s">
        <v>1466</v>
      </c>
      <c r="H5281" s="403" t="s">
        <v>1281</v>
      </c>
      <c r="I5281" s="403">
        <v>1</v>
      </c>
      <c r="J5281" s="403" t="s">
        <v>1373</v>
      </c>
      <c r="K5281" s="403">
        <v>2688</v>
      </c>
      <c r="L5281" s="403">
        <v>1512</v>
      </c>
      <c r="M5281" s="403" t="s">
        <v>1285</v>
      </c>
      <c r="N5281" s="403">
        <v>1280</v>
      </c>
      <c r="O5281" s="403">
        <v>1024</v>
      </c>
      <c r="P5281" t="str">
        <f t="shared" si="657"/>
        <v>25fps 2688x1512 - 1280x1024 5:4 (cropped)</v>
      </c>
      <c r="Q5281">
        <f t="shared" si="658"/>
        <v>23</v>
      </c>
      <c r="R5281" t="str">
        <f t="shared" si="659"/>
        <v/>
      </c>
      <c r="S5281" t="str">
        <f t="shared" si="660"/>
        <v/>
      </c>
      <c r="T5281" s="403" t="str">
        <f t="shared" si="661"/>
        <v>NDI-5503-AL</v>
      </c>
      <c r="U5281" s="403">
        <f t="shared" si="662"/>
        <v>1</v>
      </c>
      <c r="V5281" s="403" t="str">
        <f t="shared" si="663"/>
        <v>CPP_7_3</v>
      </c>
    </row>
    <row r="5282" spans="1:22">
      <c r="A5282" t="str">
        <f t="shared" si="656"/>
        <v>NDI-5503-AL</v>
      </c>
      <c r="B5282" s="403" t="s">
        <v>1424</v>
      </c>
      <c r="C5282" s="403" t="s">
        <v>582</v>
      </c>
      <c r="D5282" s="403" t="s">
        <v>1425</v>
      </c>
      <c r="E5282" s="403" t="s">
        <v>778</v>
      </c>
      <c r="F5282" s="403" t="s">
        <v>1385</v>
      </c>
      <c r="G5282" s="403" t="s">
        <v>1466</v>
      </c>
      <c r="H5282" s="403" t="s">
        <v>1281</v>
      </c>
      <c r="I5282" s="403">
        <v>1</v>
      </c>
      <c r="J5282" s="403" t="s">
        <v>1373</v>
      </c>
      <c r="K5282" s="403">
        <v>2688</v>
      </c>
      <c r="L5282" s="403">
        <v>1512</v>
      </c>
      <c r="M5282" s="403" t="s">
        <v>1283</v>
      </c>
      <c r="N5282" s="403">
        <v>720</v>
      </c>
      <c r="O5282" s="403">
        <v>576</v>
      </c>
      <c r="P5282" t="str">
        <f t="shared" si="657"/>
        <v>25fps 2688x1512 - SD 4CIF resolution 4:3 format (cropped)</v>
      </c>
      <c r="Q5282">
        <f t="shared" si="658"/>
        <v>23</v>
      </c>
      <c r="R5282" t="str">
        <f t="shared" si="659"/>
        <v/>
      </c>
      <c r="S5282" t="str">
        <f t="shared" si="660"/>
        <v/>
      </c>
      <c r="T5282" s="403" t="str">
        <f t="shared" si="661"/>
        <v>NDI-5503-AL</v>
      </c>
      <c r="U5282" s="403">
        <f t="shared" si="662"/>
        <v>1</v>
      </c>
      <c r="V5282" s="403" t="str">
        <f t="shared" si="663"/>
        <v>CPP_7_3</v>
      </c>
    </row>
    <row r="5283" spans="1:22">
      <c r="A5283" t="str">
        <f t="shared" si="656"/>
        <v>NDI-5503-AL</v>
      </c>
      <c r="B5283" s="403" t="s">
        <v>1424</v>
      </c>
      <c r="C5283" s="403" t="s">
        <v>582</v>
      </c>
      <c r="D5283" s="403" t="s">
        <v>1425</v>
      </c>
      <c r="E5283" s="403" t="s">
        <v>778</v>
      </c>
      <c r="F5283" s="403" t="s">
        <v>1385</v>
      </c>
      <c r="G5283" s="403" t="s">
        <v>1466</v>
      </c>
      <c r="H5283" s="403" t="s">
        <v>1281</v>
      </c>
      <c r="I5283" s="403">
        <v>1</v>
      </c>
      <c r="J5283" s="403" t="s">
        <v>1373</v>
      </c>
      <c r="K5283" s="403">
        <v>2688</v>
      </c>
      <c r="L5283" s="403">
        <v>1512</v>
      </c>
      <c r="M5283" s="403" t="s">
        <v>1284</v>
      </c>
      <c r="N5283" s="403">
        <v>640</v>
      </c>
      <c r="O5283" s="403">
        <v>480</v>
      </c>
      <c r="P5283" t="str">
        <f t="shared" si="657"/>
        <v>25fps 2688x1512 - SD VGA (cropped)</v>
      </c>
      <c r="Q5283">
        <f t="shared" si="658"/>
        <v>23</v>
      </c>
      <c r="R5283" t="str">
        <f t="shared" si="659"/>
        <v/>
      </c>
      <c r="S5283" t="str">
        <f t="shared" si="660"/>
        <v/>
      </c>
      <c r="T5283" s="403" t="str">
        <f t="shared" si="661"/>
        <v>NDI-5503-AL</v>
      </c>
      <c r="U5283" s="403">
        <f t="shared" si="662"/>
        <v>1</v>
      </c>
      <c r="V5283" s="403" t="str">
        <f t="shared" si="663"/>
        <v>CPP_7_3</v>
      </c>
    </row>
    <row r="5284" spans="1:22">
      <c r="A5284" t="str">
        <f t="shared" si="656"/>
        <v>NDI-5503-AL</v>
      </c>
      <c r="B5284" s="403" t="s">
        <v>1424</v>
      </c>
      <c r="C5284" s="403" t="s">
        <v>582</v>
      </c>
      <c r="D5284" s="403" t="s">
        <v>1425</v>
      </c>
      <c r="E5284" s="403" t="s">
        <v>778</v>
      </c>
      <c r="F5284" s="403" t="s">
        <v>1385</v>
      </c>
      <c r="G5284" s="403" t="s">
        <v>1466</v>
      </c>
      <c r="H5284" s="403" t="s">
        <v>1281</v>
      </c>
      <c r="I5284" s="403">
        <v>1</v>
      </c>
      <c r="J5284" s="403" t="s">
        <v>1373</v>
      </c>
      <c r="K5284" s="403">
        <v>2688</v>
      </c>
      <c r="L5284" s="403">
        <v>1512</v>
      </c>
      <c r="M5284" s="403" t="s">
        <v>1280</v>
      </c>
      <c r="N5284" s="403">
        <v>2688</v>
      </c>
      <c r="O5284" s="403">
        <v>1512</v>
      </c>
      <c r="P5284" t="str">
        <f t="shared" si="657"/>
        <v>25fps 2688x1512 - copy other stream</v>
      </c>
      <c r="Q5284">
        <f t="shared" si="658"/>
        <v>23</v>
      </c>
      <c r="R5284" t="str">
        <f t="shared" si="659"/>
        <v/>
      </c>
      <c r="S5284" t="str">
        <f t="shared" si="660"/>
        <v/>
      </c>
      <c r="T5284" s="403" t="str">
        <f t="shared" si="661"/>
        <v>NDI-5503-AL</v>
      </c>
      <c r="U5284" s="403">
        <f t="shared" si="662"/>
        <v>1</v>
      </c>
      <c r="V5284" s="403" t="str">
        <f t="shared" si="663"/>
        <v>CPP_7_3</v>
      </c>
    </row>
    <row r="5285" spans="1:22">
      <c r="A5285" t="str">
        <f t="shared" si="656"/>
        <v>NDI-5503-AL</v>
      </c>
      <c r="B5285" s="403" t="s">
        <v>1424</v>
      </c>
      <c r="C5285" s="403" t="s">
        <v>582</v>
      </c>
      <c r="D5285" s="403" t="s">
        <v>1425</v>
      </c>
      <c r="E5285" s="403" t="s">
        <v>778</v>
      </c>
      <c r="F5285" s="403" t="s">
        <v>1385</v>
      </c>
      <c r="G5285" s="403" t="s">
        <v>1466</v>
      </c>
      <c r="H5285" s="403" t="s">
        <v>1281</v>
      </c>
      <c r="I5285" s="403">
        <v>1</v>
      </c>
      <c r="J5285" s="403" t="s">
        <v>1374</v>
      </c>
      <c r="K5285" s="403">
        <v>2304</v>
      </c>
      <c r="L5285" s="403">
        <v>1296</v>
      </c>
      <c r="M5285" s="403" t="s">
        <v>110</v>
      </c>
      <c r="N5285" s="403">
        <v>1920</v>
      </c>
      <c r="O5285" s="403">
        <v>1080</v>
      </c>
      <c r="P5285" t="str">
        <f t="shared" si="657"/>
        <v>25fps 2304x1296 - 1080p</v>
      </c>
      <c r="Q5285">
        <f t="shared" si="658"/>
        <v>23</v>
      </c>
      <c r="R5285" t="str">
        <f t="shared" si="659"/>
        <v/>
      </c>
      <c r="S5285" t="str">
        <f t="shared" si="660"/>
        <v/>
      </c>
      <c r="T5285" s="403" t="str">
        <f t="shared" si="661"/>
        <v>NDI-5503-AL</v>
      </c>
      <c r="U5285" s="403">
        <f t="shared" si="662"/>
        <v>1</v>
      </c>
      <c r="V5285" s="403" t="str">
        <f t="shared" si="663"/>
        <v>CPP_7_3</v>
      </c>
    </row>
    <row r="5286" spans="1:22">
      <c r="A5286" t="str">
        <f t="shared" si="656"/>
        <v>NDI-5503-AL</v>
      </c>
      <c r="B5286" s="403" t="s">
        <v>1424</v>
      </c>
      <c r="C5286" s="403" t="s">
        <v>582</v>
      </c>
      <c r="D5286" s="403" t="s">
        <v>1425</v>
      </c>
      <c r="E5286" s="403" t="s">
        <v>778</v>
      </c>
      <c r="F5286" s="403" t="s">
        <v>1385</v>
      </c>
      <c r="G5286" s="403" t="s">
        <v>1466</v>
      </c>
      <c r="H5286" s="403" t="s">
        <v>1281</v>
      </c>
      <c r="I5286" s="403">
        <v>1</v>
      </c>
      <c r="J5286" s="403" t="s">
        <v>1374</v>
      </c>
      <c r="K5286" s="403">
        <v>2304</v>
      </c>
      <c r="L5286" s="403">
        <v>1296</v>
      </c>
      <c r="M5286" s="403" t="s">
        <v>1374</v>
      </c>
      <c r="N5286" s="403">
        <v>2304</v>
      </c>
      <c r="O5286" s="403">
        <v>1296</v>
      </c>
      <c r="P5286" t="str">
        <f t="shared" si="657"/>
        <v>25fps 2304x1296 - 2304x1296</v>
      </c>
      <c r="Q5286">
        <f t="shared" si="658"/>
        <v>23</v>
      </c>
      <c r="R5286" t="str">
        <f t="shared" si="659"/>
        <v/>
      </c>
      <c r="S5286" t="str">
        <f t="shared" si="660"/>
        <v/>
      </c>
      <c r="T5286" s="403" t="str">
        <f t="shared" si="661"/>
        <v>NDI-5503-AL</v>
      </c>
      <c r="U5286" s="403">
        <f t="shared" si="662"/>
        <v>1</v>
      </c>
      <c r="V5286" s="403" t="str">
        <f t="shared" si="663"/>
        <v>CPP_7_3</v>
      </c>
    </row>
    <row r="5287" spans="1:22">
      <c r="A5287" t="str">
        <f t="shared" si="656"/>
        <v>NDI-5503-AL</v>
      </c>
      <c r="B5287" s="403" t="s">
        <v>1424</v>
      </c>
      <c r="C5287" s="403" t="s">
        <v>582</v>
      </c>
      <c r="D5287" s="403" t="s">
        <v>1425</v>
      </c>
      <c r="E5287" s="403" t="s">
        <v>778</v>
      </c>
      <c r="F5287" s="403" t="s">
        <v>1385</v>
      </c>
      <c r="G5287" s="403" t="s">
        <v>1466</v>
      </c>
      <c r="H5287" s="403" t="s">
        <v>1281</v>
      </c>
      <c r="I5287" s="403">
        <v>1</v>
      </c>
      <c r="J5287" s="403" t="s">
        <v>1374</v>
      </c>
      <c r="K5287" s="403">
        <v>2304</v>
      </c>
      <c r="L5287" s="403">
        <v>1296</v>
      </c>
      <c r="M5287" s="403" t="s">
        <v>109</v>
      </c>
      <c r="N5287" s="403">
        <v>1280</v>
      </c>
      <c r="O5287" s="403">
        <v>720</v>
      </c>
      <c r="P5287" t="str">
        <f t="shared" si="657"/>
        <v>25fps 2304x1296 - 720p</v>
      </c>
      <c r="Q5287">
        <f t="shared" si="658"/>
        <v>23</v>
      </c>
      <c r="R5287" t="str">
        <f t="shared" si="659"/>
        <v/>
      </c>
      <c r="S5287" t="str">
        <f t="shared" si="660"/>
        <v/>
      </c>
      <c r="T5287" s="403" t="str">
        <f t="shared" si="661"/>
        <v>NDI-5503-AL</v>
      </c>
      <c r="U5287" s="403">
        <f t="shared" si="662"/>
        <v>1</v>
      </c>
      <c r="V5287" s="403" t="str">
        <f t="shared" si="663"/>
        <v>CPP_7_3</v>
      </c>
    </row>
    <row r="5288" spans="1:22">
      <c r="A5288" t="str">
        <f t="shared" si="656"/>
        <v>NDI-5503-AL</v>
      </c>
      <c r="B5288" s="403" t="s">
        <v>1424</v>
      </c>
      <c r="C5288" s="403" t="s">
        <v>582</v>
      </c>
      <c r="D5288" s="403" t="s">
        <v>1425</v>
      </c>
      <c r="E5288" s="403" t="s">
        <v>778</v>
      </c>
      <c r="F5288" s="403" t="s">
        <v>1385</v>
      </c>
      <c r="G5288" s="403" t="s">
        <v>1466</v>
      </c>
      <c r="H5288" s="403" t="s">
        <v>1281</v>
      </c>
      <c r="I5288" s="403">
        <v>1</v>
      </c>
      <c r="J5288" s="403" t="s">
        <v>1374</v>
      </c>
      <c r="K5288" s="403">
        <v>2304</v>
      </c>
      <c r="L5288" s="403">
        <v>1296</v>
      </c>
      <c r="M5288" s="403" t="s">
        <v>111</v>
      </c>
      <c r="N5288" s="403">
        <v>640</v>
      </c>
      <c r="O5288" s="403">
        <v>480</v>
      </c>
      <c r="P5288" t="str">
        <f t="shared" si="657"/>
        <v>25fps 2304x1296 - SD</v>
      </c>
      <c r="Q5288">
        <f t="shared" si="658"/>
        <v>23</v>
      </c>
      <c r="R5288" t="str">
        <f t="shared" si="659"/>
        <v/>
      </c>
      <c r="S5288" t="str">
        <f t="shared" si="660"/>
        <v/>
      </c>
      <c r="T5288" s="403" t="str">
        <f t="shared" si="661"/>
        <v>NDI-5503-AL</v>
      </c>
      <c r="U5288" s="403">
        <f t="shared" si="662"/>
        <v>1</v>
      </c>
      <c r="V5288" s="403" t="str">
        <f t="shared" si="663"/>
        <v>CPP_7_3</v>
      </c>
    </row>
    <row r="5289" spans="1:22">
      <c r="A5289" t="str">
        <f t="shared" si="656"/>
        <v>NDI-5503-AL</v>
      </c>
      <c r="B5289" s="403" t="s">
        <v>1424</v>
      </c>
      <c r="C5289" s="403" t="s">
        <v>582</v>
      </c>
      <c r="D5289" s="403" t="s">
        <v>1425</v>
      </c>
      <c r="E5289" s="403" t="s">
        <v>778</v>
      </c>
      <c r="F5289" s="403" t="s">
        <v>1385</v>
      </c>
      <c r="G5289" s="403" t="s">
        <v>1466</v>
      </c>
      <c r="H5289" s="403" t="s">
        <v>1281</v>
      </c>
      <c r="I5289" s="403">
        <v>1</v>
      </c>
      <c r="J5289" s="403" t="s">
        <v>1374</v>
      </c>
      <c r="K5289" s="403">
        <v>2304</v>
      </c>
      <c r="L5289" s="403">
        <v>1296</v>
      </c>
      <c r="M5289" s="403" t="s">
        <v>1279</v>
      </c>
      <c r="N5289" s="403">
        <v>640</v>
      </c>
      <c r="O5289" s="403">
        <v>480</v>
      </c>
      <c r="P5289" t="str">
        <f t="shared" si="657"/>
        <v>25fps 2304x1296 - SD ROI PTZ</v>
      </c>
      <c r="Q5289">
        <f t="shared" si="658"/>
        <v>23</v>
      </c>
      <c r="R5289" t="str">
        <f t="shared" si="659"/>
        <v/>
      </c>
      <c r="S5289" t="str">
        <f t="shared" si="660"/>
        <v/>
      </c>
      <c r="T5289" s="403" t="str">
        <f t="shared" si="661"/>
        <v>NDI-5503-AL</v>
      </c>
      <c r="U5289" s="403">
        <f t="shared" si="662"/>
        <v>1</v>
      </c>
      <c r="V5289" s="403" t="str">
        <f t="shared" si="663"/>
        <v>CPP_7_3</v>
      </c>
    </row>
    <row r="5290" spans="1:22">
      <c r="A5290" t="str">
        <f t="shared" si="656"/>
        <v>NDI-5503-AL</v>
      </c>
      <c r="B5290" s="403" t="s">
        <v>1424</v>
      </c>
      <c r="C5290" s="403" t="s">
        <v>582</v>
      </c>
      <c r="D5290" s="403" t="s">
        <v>1425</v>
      </c>
      <c r="E5290" s="403" t="s">
        <v>778</v>
      </c>
      <c r="F5290" s="403" t="s">
        <v>1385</v>
      </c>
      <c r="G5290" s="403" t="s">
        <v>1466</v>
      </c>
      <c r="H5290" s="403" t="s">
        <v>1281</v>
      </c>
      <c r="I5290" s="403">
        <v>1</v>
      </c>
      <c r="J5290" s="403" t="s">
        <v>1374</v>
      </c>
      <c r="K5290" s="403">
        <v>2304</v>
      </c>
      <c r="L5290" s="403">
        <v>1296</v>
      </c>
      <c r="M5290" s="403" t="s">
        <v>1285</v>
      </c>
      <c r="N5290" s="403">
        <v>1280</v>
      </c>
      <c r="O5290" s="403">
        <v>1024</v>
      </c>
      <c r="P5290" t="str">
        <f t="shared" si="657"/>
        <v>25fps 2304x1296 - 1280x1024 5:4 (cropped)</v>
      </c>
      <c r="Q5290">
        <f t="shared" si="658"/>
        <v>23</v>
      </c>
      <c r="R5290" t="str">
        <f t="shared" si="659"/>
        <v/>
      </c>
      <c r="S5290" t="str">
        <f t="shared" si="660"/>
        <v/>
      </c>
      <c r="T5290" s="403" t="str">
        <f t="shared" si="661"/>
        <v>NDI-5503-AL</v>
      </c>
      <c r="U5290" s="403">
        <f t="shared" si="662"/>
        <v>1</v>
      </c>
      <c r="V5290" s="403" t="str">
        <f t="shared" si="663"/>
        <v>CPP_7_3</v>
      </c>
    </row>
    <row r="5291" spans="1:22">
      <c r="A5291" t="str">
        <f t="shared" si="656"/>
        <v>NDI-5503-AL</v>
      </c>
      <c r="B5291" s="403" t="s">
        <v>1424</v>
      </c>
      <c r="C5291" s="403" t="s">
        <v>582</v>
      </c>
      <c r="D5291" s="403" t="s">
        <v>1425</v>
      </c>
      <c r="E5291" s="403" t="s">
        <v>778</v>
      </c>
      <c r="F5291" s="403" t="s">
        <v>1385</v>
      </c>
      <c r="G5291" s="403" t="s">
        <v>1466</v>
      </c>
      <c r="H5291" s="403" t="s">
        <v>1281</v>
      </c>
      <c r="I5291" s="403">
        <v>1</v>
      </c>
      <c r="J5291" s="403" t="s">
        <v>1374</v>
      </c>
      <c r="K5291" s="403">
        <v>2304</v>
      </c>
      <c r="L5291" s="403">
        <v>1296</v>
      </c>
      <c r="M5291" s="403" t="s">
        <v>1283</v>
      </c>
      <c r="N5291" s="403">
        <v>720</v>
      </c>
      <c r="O5291" s="403">
        <v>576</v>
      </c>
      <c r="P5291" t="str">
        <f t="shared" si="657"/>
        <v>25fps 2304x1296 - SD 4CIF resolution 4:3 format (cropped)</v>
      </c>
      <c r="Q5291">
        <f t="shared" si="658"/>
        <v>23</v>
      </c>
      <c r="R5291" t="str">
        <f t="shared" si="659"/>
        <v/>
      </c>
      <c r="S5291" t="str">
        <f t="shared" si="660"/>
        <v/>
      </c>
      <c r="T5291" s="403" t="str">
        <f t="shared" si="661"/>
        <v>NDI-5503-AL</v>
      </c>
      <c r="U5291" s="403">
        <f t="shared" si="662"/>
        <v>1</v>
      </c>
      <c r="V5291" s="403" t="str">
        <f t="shared" si="663"/>
        <v>CPP_7_3</v>
      </c>
    </row>
    <row r="5292" spans="1:22">
      <c r="A5292" t="str">
        <f t="shared" si="656"/>
        <v>NDI-5503-AL</v>
      </c>
      <c r="B5292" s="403" t="s">
        <v>1424</v>
      </c>
      <c r="C5292" s="403" t="s">
        <v>582</v>
      </c>
      <c r="D5292" s="403" t="s">
        <v>1425</v>
      </c>
      <c r="E5292" s="403" t="s">
        <v>778</v>
      </c>
      <c r="F5292" s="403" t="s">
        <v>1385</v>
      </c>
      <c r="G5292" s="403" t="s">
        <v>1466</v>
      </c>
      <c r="H5292" s="403" t="s">
        <v>1281</v>
      </c>
      <c r="I5292" s="403">
        <v>1</v>
      </c>
      <c r="J5292" s="403" t="s">
        <v>1374</v>
      </c>
      <c r="K5292" s="403">
        <v>2304</v>
      </c>
      <c r="L5292" s="403">
        <v>1296</v>
      </c>
      <c r="M5292" s="403" t="s">
        <v>1284</v>
      </c>
      <c r="N5292" s="403">
        <v>640</v>
      </c>
      <c r="O5292" s="403">
        <v>480</v>
      </c>
      <c r="P5292" t="str">
        <f t="shared" si="657"/>
        <v>25fps 2304x1296 - SD VGA (cropped)</v>
      </c>
      <c r="Q5292">
        <f t="shared" si="658"/>
        <v>23</v>
      </c>
      <c r="R5292" t="str">
        <f t="shared" si="659"/>
        <v/>
      </c>
      <c r="S5292" t="str">
        <f t="shared" si="660"/>
        <v/>
      </c>
      <c r="T5292" s="403" t="str">
        <f t="shared" si="661"/>
        <v>NDI-5503-AL</v>
      </c>
      <c r="U5292" s="403">
        <f t="shared" si="662"/>
        <v>1</v>
      </c>
      <c r="V5292" s="403" t="str">
        <f t="shared" si="663"/>
        <v>CPP_7_3</v>
      </c>
    </row>
    <row r="5293" spans="1:22">
      <c r="A5293" t="str">
        <f t="shared" si="656"/>
        <v>NDI-5503-AL</v>
      </c>
      <c r="B5293" s="403" t="s">
        <v>1424</v>
      </c>
      <c r="C5293" s="403" t="s">
        <v>582</v>
      </c>
      <c r="D5293" s="403" t="s">
        <v>1425</v>
      </c>
      <c r="E5293" s="403" t="s">
        <v>778</v>
      </c>
      <c r="F5293" s="403" t="s">
        <v>1385</v>
      </c>
      <c r="G5293" s="403" t="s">
        <v>1466</v>
      </c>
      <c r="H5293" s="403" t="s">
        <v>1281</v>
      </c>
      <c r="I5293" s="403">
        <v>1</v>
      </c>
      <c r="J5293" s="403" t="s">
        <v>1374</v>
      </c>
      <c r="K5293" s="403">
        <v>2304</v>
      </c>
      <c r="L5293" s="403">
        <v>1296</v>
      </c>
      <c r="M5293" s="403" t="s">
        <v>1280</v>
      </c>
      <c r="N5293" s="403">
        <v>2304</v>
      </c>
      <c r="O5293" s="403">
        <v>1296</v>
      </c>
      <c r="P5293" t="str">
        <f t="shared" si="657"/>
        <v>25fps 2304x1296 - copy other stream</v>
      </c>
      <c r="Q5293">
        <f t="shared" si="658"/>
        <v>23</v>
      </c>
      <c r="R5293" t="str">
        <f t="shared" si="659"/>
        <v/>
      </c>
      <c r="S5293" t="str">
        <f t="shared" si="660"/>
        <v/>
      </c>
      <c r="T5293" s="403" t="str">
        <f t="shared" si="661"/>
        <v>NDI-5503-AL</v>
      </c>
      <c r="U5293" s="403">
        <f t="shared" si="662"/>
        <v>1</v>
      </c>
      <c r="V5293" s="403" t="str">
        <f t="shared" si="663"/>
        <v>CPP_7_3</v>
      </c>
    </row>
    <row r="5294" spans="1:22">
      <c r="A5294" t="str">
        <f t="shared" si="656"/>
        <v>NDI-5503-AL</v>
      </c>
      <c r="B5294" s="403" t="s">
        <v>1424</v>
      </c>
      <c r="C5294" s="403" t="s">
        <v>582</v>
      </c>
      <c r="D5294" s="403" t="s">
        <v>1425</v>
      </c>
      <c r="E5294" s="403" t="s">
        <v>778</v>
      </c>
      <c r="F5294" s="403" t="s">
        <v>1385</v>
      </c>
      <c r="G5294" s="403" t="s">
        <v>1466</v>
      </c>
      <c r="H5294" s="403" t="s">
        <v>1281</v>
      </c>
      <c r="I5294" s="403">
        <v>1</v>
      </c>
      <c r="J5294" s="403" t="s">
        <v>110</v>
      </c>
      <c r="K5294" s="403">
        <v>1920</v>
      </c>
      <c r="L5294" s="403">
        <v>1080</v>
      </c>
      <c r="M5294" s="403" t="s">
        <v>111</v>
      </c>
      <c r="N5294" s="403">
        <v>640</v>
      </c>
      <c r="O5294" s="403">
        <v>480</v>
      </c>
      <c r="P5294" t="str">
        <f t="shared" si="657"/>
        <v>25fps 1080p - SD</v>
      </c>
      <c r="Q5294">
        <f t="shared" si="658"/>
        <v>23</v>
      </c>
      <c r="R5294" t="str">
        <f t="shared" si="659"/>
        <v/>
      </c>
      <c r="S5294" t="str">
        <f t="shared" si="660"/>
        <v/>
      </c>
      <c r="T5294" s="403" t="str">
        <f t="shared" si="661"/>
        <v>NDI-5503-AL</v>
      </c>
      <c r="U5294" s="403">
        <f t="shared" si="662"/>
        <v>1</v>
      </c>
      <c r="V5294" s="403" t="str">
        <f t="shared" si="663"/>
        <v>CPP_7_3</v>
      </c>
    </row>
    <row r="5295" spans="1:22">
      <c r="A5295" t="str">
        <f t="shared" si="656"/>
        <v>NDI-5503-AL</v>
      </c>
      <c r="B5295" s="403" t="s">
        <v>1424</v>
      </c>
      <c r="C5295" s="403" t="s">
        <v>582</v>
      </c>
      <c r="D5295" s="403" t="s">
        <v>1425</v>
      </c>
      <c r="E5295" s="403" t="s">
        <v>778</v>
      </c>
      <c r="F5295" s="403" t="s">
        <v>1385</v>
      </c>
      <c r="G5295" s="403" t="s">
        <v>1466</v>
      </c>
      <c r="H5295" s="403" t="s">
        <v>1281</v>
      </c>
      <c r="I5295" s="403">
        <v>1</v>
      </c>
      <c r="J5295" s="403" t="s">
        <v>110</v>
      </c>
      <c r="K5295" s="403">
        <v>1920</v>
      </c>
      <c r="L5295" s="403">
        <v>1080</v>
      </c>
      <c r="M5295" s="403" t="s">
        <v>110</v>
      </c>
      <c r="N5295" s="403">
        <v>1920</v>
      </c>
      <c r="O5295" s="403">
        <v>1080</v>
      </c>
      <c r="P5295" t="str">
        <f t="shared" si="657"/>
        <v>25fps 1080p - 1080p</v>
      </c>
      <c r="Q5295">
        <f t="shared" si="658"/>
        <v>23</v>
      </c>
      <c r="R5295" t="str">
        <f t="shared" si="659"/>
        <v/>
      </c>
      <c r="S5295" t="str">
        <f t="shared" si="660"/>
        <v/>
      </c>
      <c r="T5295" s="403" t="str">
        <f t="shared" si="661"/>
        <v>NDI-5503-AL</v>
      </c>
      <c r="U5295" s="403">
        <f t="shared" si="662"/>
        <v>1</v>
      </c>
      <c r="V5295" s="403" t="str">
        <f t="shared" si="663"/>
        <v>CPP_7_3</v>
      </c>
    </row>
    <row r="5296" spans="1:22">
      <c r="A5296" t="str">
        <f t="shared" si="656"/>
        <v>NDI-5503-AL</v>
      </c>
      <c r="B5296" s="403" t="s">
        <v>1424</v>
      </c>
      <c r="C5296" s="403" t="s">
        <v>582</v>
      </c>
      <c r="D5296" s="403" t="s">
        <v>1425</v>
      </c>
      <c r="E5296" s="403" t="s">
        <v>778</v>
      </c>
      <c r="F5296" s="403" t="s">
        <v>1385</v>
      </c>
      <c r="G5296" s="403" t="s">
        <v>1466</v>
      </c>
      <c r="H5296" s="403" t="s">
        <v>1281</v>
      </c>
      <c r="I5296" s="403">
        <v>1</v>
      </c>
      <c r="J5296" s="403" t="s">
        <v>110</v>
      </c>
      <c r="K5296" s="403">
        <v>1920</v>
      </c>
      <c r="L5296" s="403">
        <v>1080</v>
      </c>
      <c r="M5296" s="403" t="s">
        <v>109</v>
      </c>
      <c r="N5296" s="403">
        <v>1280</v>
      </c>
      <c r="O5296" s="403">
        <v>720</v>
      </c>
      <c r="P5296" t="str">
        <f t="shared" si="657"/>
        <v>25fps 1080p - 720p</v>
      </c>
      <c r="Q5296">
        <f t="shared" si="658"/>
        <v>23</v>
      </c>
      <c r="R5296" t="str">
        <f t="shared" si="659"/>
        <v/>
      </c>
      <c r="S5296" t="str">
        <f t="shared" si="660"/>
        <v/>
      </c>
      <c r="T5296" s="403" t="str">
        <f t="shared" si="661"/>
        <v>NDI-5503-AL</v>
      </c>
      <c r="U5296" s="403">
        <f t="shared" si="662"/>
        <v>1</v>
      </c>
      <c r="V5296" s="403" t="str">
        <f t="shared" si="663"/>
        <v>CPP_7_3</v>
      </c>
    </row>
    <row r="5297" spans="1:22">
      <c r="A5297" t="str">
        <f t="shared" si="656"/>
        <v>NDI-5503-AL</v>
      </c>
      <c r="B5297" s="403" t="s">
        <v>1424</v>
      </c>
      <c r="C5297" s="403" t="s">
        <v>582</v>
      </c>
      <c r="D5297" s="403" t="s">
        <v>1425</v>
      </c>
      <c r="E5297" s="403" t="s">
        <v>778</v>
      </c>
      <c r="F5297" s="403" t="s">
        <v>1385</v>
      </c>
      <c r="G5297" s="403" t="s">
        <v>1466</v>
      </c>
      <c r="H5297" s="403" t="s">
        <v>1281</v>
      </c>
      <c r="I5297" s="403">
        <v>1</v>
      </c>
      <c r="J5297" s="403" t="s">
        <v>110</v>
      </c>
      <c r="K5297" s="403">
        <v>1920</v>
      </c>
      <c r="L5297" s="403">
        <v>1080</v>
      </c>
      <c r="M5297" s="403" t="s">
        <v>1285</v>
      </c>
      <c r="N5297" s="403">
        <v>1280</v>
      </c>
      <c r="O5297" s="403">
        <v>1024</v>
      </c>
      <c r="P5297" t="str">
        <f t="shared" si="657"/>
        <v>25fps 1080p - 1280x1024 5:4 (cropped)</v>
      </c>
      <c r="Q5297">
        <f t="shared" si="658"/>
        <v>23</v>
      </c>
      <c r="R5297" t="str">
        <f t="shared" si="659"/>
        <v/>
      </c>
      <c r="S5297" t="str">
        <f t="shared" si="660"/>
        <v/>
      </c>
      <c r="T5297" s="403" t="str">
        <f t="shared" si="661"/>
        <v>NDI-5503-AL</v>
      </c>
      <c r="U5297" s="403">
        <f t="shared" si="662"/>
        <v>1</v>
      </c>
      <c r="V5297" s="403" t="str">
        <f t="shared" si="663"/>
        <v>CPP_7_3</v>
      </c>
    </row>
    <row r="5298" spans="1:22">
      <c r="A5298" t="str">
        <f t="shared" si="656"/>
        <v>NDI-5503-AL</v>
      </c>
      <c r="B5298" s="403" t="s">
        <v>1424</v>
      </c>
      <c r="C5298" s="403" t="s">
        <v>582</v>
      </c>
      <c r="D5298" s="403" t="s">
        <v>1425</v>
      </c>
      <c r="E5298" s="403" t="s">
        <v>778</v>
      </c>
      <c r="F5298" s="403" t="s">
        <v>1385</v>
      </c>
      <c r="G5298" s="403" t="s">
        <v>1466</v>
      </c>
      <c r="H5298" s="403" t="s">
        <v>1281</v>
      </c>
      <c r="I5298" s="403">
        <v>1</v>
      </c>
      <c r="J5298" s="403" t="s">
        <v>110</v>
      </c>
      <c r="K5298" s="403">
        <v>1920</v>
      </c>
      <c r="L5298" s="403">
        <v>1080</v>
      </c>
      <c r="M5298" s="403" t="s">
        <v>1279</v>
      </c>
      <c r="N5298" s="403">
        <v>640</v>
      </c>
      <c r="O5298" s="403">
        <v>480</v>
      </c>
      <c r="P5298" t="str">
        <f t="shared" si="657"/>
        <v>25fps 1080p - SD ROI PTZ</v>
      </c>
      <c r="Q5298">
        <f t="shared" si="658"/>
        <v>23</v>
      </c>
      <c r="R5298" t="str">
        <f t="shared" si="659"/>
        <v/>
      </c>
      <c r="S5298" t="str">
        <f t="shared" si="660"/>
        <v/>
      </c>
      <c r="T5298" s="403" t="str">
        <f t="shared" si="661"/>
        <v>NDI-5503-AL</v>
      </c>
      <c r="U5298" s="403">
        <f t="shared" si="662"/>
        <v>1</v>
      </c>
      <c r="V5298" s="403" t="str">
        <f t="shared" si="663"/>
        <v>CPP_7_3</v>
      </c>
    </row>
    <row r="5299" spans="1:22">
      <c r="A5299" t="str">
        <f t="shared" si="656"/>
        <v>NDI-5503-AL</v>
      </c>
      <c r="B5299" s="403" t="s">
        <v>1424</v>
      </c>
      <c r="C5299" s="403" t="s">
        <v>582</v>
      </c>
      <c r="D5299" s="403" t="s">
        <v>1425</v>
      </c>
      <c r="E5299" s="403" t="s">
        <v>778</v>
      </c>
      <c r="F5299" s="403" t="s">
        <v>1385</v>
      </c>
      <c r="G5299" s="403" t="s">
        <v>1466</v>
      </c>
      <c r="H5299" s="403" t="s">
        <v>1281</v>
      </c>
      <c r="I5299" s="403">
        <v>1</v>
      </c>
      <c r="J5299" s="403" t="s">
        <v>110</v>
      </c>
      <c r="K5299" s="403">
        <v>1920</v>
      </c>
      <c r="L5299" s="403">
        <v>1080</v>
      </c>
      <c r="M5299" s="403" t="s">
        <v>1283</v>
      </c>
      <c r="N5299" s="403">
        <v>720</v>
      </c>
      <c r="O5299" s="403">
        <v>576</v>
      </c>
      <c r="P5299" t="str">
        <f t="shared" si="657"/>
        <v>25fps 1080p - SD 4CIF resolution 4:3 format (cropped)</v>
      </c>
      <c r="Q5299">
        <f t="shared" si="658"/>
        <v>23</v>
      </c>
      <c r="R5299" t="str">
        <f t="shared" si="659"/>
        <v/>
      </c>
      <c r="S5299" t="str">
        <f t="shared" si="660"/>
        <v/>
      </c>
      <c r="T5299" s="403" t="str">
        <f t="shared" si="661"/>
        <v>NDI-5503-AL</v>
      </c>
      <c r="U5299" s="403">
        <f t="shared" si="662"/>
        <v>1</v>
      </c>
      <c r="V5299" s="403" t="str">
        <f t="shared" si="663"/>
        <v>CPP_7_3</v>
      </c>
    </row>
    <row r="5300" spans="1:22">
      <c r="A5300" t="str">
        <f t="shared" si="656"/>
        <v>NDI-5503-AL</v>
      </c>
      <c r="B5300" s="403" t="s">
        <v>1424</v>
      </c>
      <c r="C5300" s="403" t="s">
        <v>582</v>
      </c>
      <c r="D5300" s="403" t="s">
        <v>1425</v>
      </c>
      <c r="E5300" s="403" t="s">
        <v>778</v>
      </c>
      <c r="F5300" s="403" t="s">
        <v>1385</v>
      </c>
      <c r="G5300" s="403" t="s">
        <v>1466</v>
      </c>
      <c r="H5300" s="403" t="s">
        <v>1281</v>
      </c>
      <c r="I5300" s="403">
        <v>1</v>
      </c>
      <c r="J5300" s="403" t="s">
        <v>110</v>
      </c>
      <c r="K5300" s="403">
        <v>1920</v>
      </c>
      <c r="L5300" s="403">
        <v>1080</v>
      </c>
      <c r="M5300" s="403" t="s">
        <v>1284</v>
      </c>
      <c r="N5300" s="403">
        <v>640</v>
      </c>
      <c r="O5300" s="403">
        <v>480</v>
      </c>
      <c r="P5300" t="str">
        <f t="shared" si="657"/>
        <v>25fps 1080p - SD VGA (cropped)</v>
      </c>
      <c r="Q5300">
        <f t="shared" si="658"/>
        <v>23</v>
      </c>
      <c r="R5300" t="str">
        <f t="shared" si="659"/>
        <v/>
      </c>
      <c r="S5300" t="str">
        <f t="shared" si="660"/>
        <v/>
      </c>
      <c r="T5300" s="403" t="str">
        <f t="shared" si="661"/>
        <v>NDI-5503-AL</v>
      </c>
      <c r="U5300" s="403">
        <f t="shared" si="662"/>
        <v>1</v>
      </c>
      <c r="V5300" s="403" t="str">
        <f t="shared" si="663"/>
        <v>CPP_7_3</v>
      </c>
    </row>
    <row r="5301" spans="1:22">
      <c r="A5301" t="str">
        <f t="shared" si="656"/>
        <v>NDI-5503-AL</v>
      </c>
      <c r="B5301" s="403" t="s">
        <v>1424</v>
      </c>
      <c r="C5301" s="403" t="s">
        <v>582</v>
      </c>
      <c r="D5301" s="403" t="s">
        <v>1425</v>
      </c>
      <c r="E5301" s="403" t="s">
        <v>778</v>
      </c>
      <c r="F5301" s="403" t="s">
        <v>1385</v>
      </c>
      <c r="G5301" s="403" t="s">
        <v>1466</v>
      </c>
      <c r="H5301" s="403" t="s">
        <v>1281</v>
      </c>
      <c r="I5301" s="403">
        <v>1</v>
      </c>
      <c r="J5301" s="403" t="s">
        <v>109</v>
      </c>
      <c r="K5301" s="403">
        <v>1280</v>
      </c>
      <c r="L5301" s="403">
        <v>720</v>
      </c>
      <c r="M5301" s="403" t="s">
        <v>109</v>
      </c>
      <c r="N5301" s="403">
        <v>1280</v>
      </c>
      <c r="O5301" s="403">
        <v>720</v>
      </c>
      <c r="P5301" t="str">
        <f t="shared" si="657"/>
        <v>25fps 720p - 720p</v>
      </c>
      <c r="Q5301">
        <f t="shared" si="658"/>
        <v>23</v>
      </c>
      <c r="R5301" t="str">
        <f t="shared" si="659"/>
        <v/>
      </c>
      <c r="S5301" t="str">
        <f t="shared" si="660"/>
        <v/>
      </c>
      <c r="T5301" s="403" t="str">
        <f t="shared" si="661"/>
        <v>NDI-5503-AL</v>
      </c>
      <c r="U5301" s="403">
        <f t="shared" si="662"/>
        <v>1</v>
      </c>
      <c r="V5301" s="403" t="str">
        <f t="shared" si="663"/>
        <v>CPP_7_3</v>
      </c>
    </row>
    <row r="5302" spans="1:22">
      <c r="A5302" t="str">
        <f t="shared" si="656"/>
        <v>NDI-5503-AL</v>
      </c>
      <c r="B5302" s="403" t="s">
        <v>1424</v>
      </c>
      <c r="C5302" s="403" t="s">
        <v>582</v>
      </c>
      <c r="D5302" s="403" t="s">
        <v>1425</v>
      </c>
      <c r="E5302" s="403" t="s">
        <v>778</v>
      </c>
      <c r="F5302" s="403" t="s">
        <v>1385</v>
      </c>
      <c r="G5302" s="403" t="s">
        <v>1466</v>
      </c>
      <c r="H5302" s="403" t="s">
        <v>1281</v>
      </c>
      <c r="I5302" s="403">
        <v>1</v>
      </c>
      <c r="J5302" s="403" t="s">
        <v>109</v>
      </c>
      <c r="K5302" s="403">
        <v>1280</v>
      </c>
      <c r="L5302" s="403">
        <v>720</v>
      </c>
      <c r="M5302" s="403" t="s">
        <v>111</v>
      </c>
      <c r="N5302" s="403">
        <v>640</v>
      </c>
      <c r="O5302" s="403">
        <v>480</v>
      </c>
      <c r="P5302" t="str">
        <f t="shared" si="657"/>
        <v>25fps 720p - SD</v>
      </c>
      <c r="Q5302">
        <f t="shared" si="658"/>
        <v>23</v>
      </c>
      <c r="R5302" t="str">
        <f t="shared" si="659"/>
        <v/>
      </c>
      <c r="S5302" t="str">
        <f t="shared" si="660"/>
        <v/>
      </c>
      <c r="T5302" s="403" t="str">
        <f t="shared" si="661"/>
        <v>NDI-5503-AL</v>
      </c>
      <c r="U5302" s="403">
        <f t="shared" si="662"/>
        <v>1</v>
      </c>
      <c r="V5302" s="403" t="str">
        <f t="shared" si="663"/>
        <v>CPP_7_3</v>
      </c>
    </row>
    <row r="5303" spans="1:22">
      <c r="A5303" t="str">
        <f t="shared" si="656"/>
        <v>NDI-5503-AL</v>
      </c>
      <c r="B5303" s="403" t="s">
        <v>1424</v>
      </c>
      <c r="C5303" s="403" t="s">
        <v>582</v>
      </c>
      <c r="D5303" s="403" t="s">
        <v>1425</v>
      </c>
      <c r="E5303" s="403" t="s">
        <v>778</v>
      </c>
      <c r="F5303" s="403" t="s">
        <v>1385</v>
      </c>
      <c r="G5303" s="403" t="s">
        <v>1466</v>
      </c>
      <c r="H5303" s="403" t="s">
        <v>1281</v>
      </c>
      <c r="I5303" s="403">
        <v>1</v>
      </c>
      <c r="J5303" s="403" t="s">
        <v>109</v>
      </c>
      <c r="K5303" s="403">
        <v>1280</v>
      </c>
      <c r="L5303" s="403">
        <v>720</v>
      </c>
      <c r="M5303" s="403" t="s">
        <v>1279</v>
      </c>
      <c r="N5303" s="403">
        <v>640</v>
      </c>
      <c r="O5303" s="403">
        <v>480</v>
      </c>
      <c r="P5303" t="str">
        <f t="shared" si="657"/>
        <v>25fps 720p - SD ROI PTZ</v>
      </c>
      <c r="Q5303">
        <f t="shared" si="658"/>
        <v>23</v>
      </c>
      <c r="R5303" t="str">
        <f t="shared" si="659"/>
        <v/>
      </c>
      <c r="S5303" t="str">
        <f t="shared" si="660"/>
        <v/>
      </c>
      <c r="T5303" s="403" t="str">
        <f t="shared" si="661"/>
        <v>NDI-5503-AL</v>
      </c>
      <c r="U5303" s="403">
        <f t="shared" si="662"/>
        <v>1</v>
      </c>
      <c r="V5303" s="403" t="str">
        <f t="shared" si="663"/>
        <v>CPP_7_3</v>
      </c>
    </row>
    <row r="5304" spans="1:22">
      <c r="A5304" t="str">
        <f t="shared" si="656"/>
        <v>NDI-5503-AL</v>
      </c>
      <c r="B5304" s="403" t="s">
        <v>1424</v>
      </c>
      <c r="C5304" s="403" t="s">
        <v>582</v>
      </c>
      <c r="D5304" s="403" t="s">
        <v>1425</v>
      </c>
      <c r="E5304" s="403" t="s">
        <v>778</v>
      </c>
      <c r="F5304" s="403" t="s">
        <v>1385</v>
      </c>
      <c r="G5304" s="403" t="s">
        <v>1466</v>
      </c>
      <c r="H5304" s="403" t="s">
        <v>1281</v>
      </c>
      <c r="I5304" s="403">
        <v>1</v>
      </c>
      <c r="J5304" s="403" t="s">
        <v>109</v>
      </c>
      <c r="K5304" s="403">
        <v>1280</v>
      </c>
      <c r="L5304" s="403">
        <v>720</v>
      </c>
      <c r="M5304" s="403" t="s">
        <v>1283</v>
      </c>
      <c r="N5304" s="403">
        <v>720</v>
      </c>
      <c r="O5304" s="403">
        <v>576</v>
      </c>
      <c r="P5304" t="str">
        <f t="shared" si="657"/>
        <v>25fps 720p - SD 4CIF resolution 4:3 format (cropped)</v>
      </c>
      <c r="Q5304">
        <f t="shared" si="658"/>
        <v>23</v>
      </c>
      <c r="R5304" t="str">
        <f t="shared" si="659"/>
        <v/>
      </c>
      <c r="S5304" t="str">
        <f t="shared" si="660"/>
        <v/>
      </c>
      <c r="T5304" s="403" t="str">
        <f t="shared" si="661"/>
        <v>NDI-5503-AL</v>
      </c>
      <c r="U5304" s="403">
        <f t="shared" si="662"/>
        <v>1</v>
      </c>
      <c r="V5304" s="403" t="str">
        <f t="shared" si="663"/>
        <v>CPP_7_3</v>
      </c>
    </row>
    <row r="5305" spans="1:22">
      <c r="A5305" t="str">
        <f t="shared" si="656"/>
        <v>NDI-5503-AL</v>
      </c>
      <c r="B5305" s="403" t="s">
        <v>1424</v>
      </c>
      <c r="C5305" s="403" t="s">
        <v>582</v>
      </c>
      <c r="D5305" s="403" t="s">
        <v>1425</v>
      </c>
      <c r="E5305" s="403" t="s">
        <v>778</v>
      </c>
      <c r="F5305" s="403" t="s">
        <v>1385</v>
      </c>
      <c r="G5305" s="403" t="s">
        <v>1466</v>
      </c>
      <c r="H5305" s="403" t="s">
        <v>1281</v>
      </c>
      <c r="I5305" s="403">
        <v>1</v>
      </c>
      <c r="J5305" s="403" t="s">
        <v>109</v>
      </c>
      <c r="K5305" s="403">
        <v>1280</v>
      </c>
      <c r="L5305" s="403">
        <v>720</v>
      </c>
      <c r="M5305" s="403" t="s">
        <v>1284</v>
      </c>
      <c r="N5305" s="403">
        <v>640</v>
      </c>
      <c r="O5305" s="403">
        <v>480</v>
      </c>
      <c r="P5305" t="str">
        <f t="shared" si="657"/>
        <v>25fps 720p - SD VGA (cropped)</v>
      </c>
      <c r="Q5305">
        <f t="shared" si="658"/>
        <v>23</v>
      </c>
      <c r="R5305" t="str">
        <f t="shared" si="659"/>
        <v/>
      </c>
      <c r="S5305" t="str">
        <f t="shared" si="660"/>
        <v/>
      </c>
      <c r="T5305" s="403" t="str">
        <f t="shared" si="661"/>
        <v>NDI-5503-AL</v>
      </c>
      <c r="U5305" s="403">
        <f t="shared" si="662"/>
        <v>1</v>
      </c>
      <c r="V5305" s="403" t="str">
        <f t="shared" si="663"/>
        <v>CPP_7_3</v>
      </c>
    </row>
    <row r="5306" spans="1:22">
      <c r="A5306" t="str">
        <f t="shared" si="656"/>
        <v>NDI-5503-AL</v>
      </c>
      <c r="B5306" s="403" t="s">
        <v>1424</v>
      </c>
      <c r="C5306" s="403" t="s">
        <v>582</v>
      </c>
      <c r="D5306" s="403" t="s">
        <v>1425</v>
      </c>
      <c r="E5306" s="403" t="s">
        <v>778</v>
      </c>
      <c r="F5306" s="403" t="s">
        <v>1385</v>
      </c>
      <c r="G5306" s="403" t="s">
        <v>1467</v>
      </c>
      <c r="H5306" s="403" t="s">
        <v>1276</v>
      </c>
      <c r="I5306" s="403">
        <v>1</v>
      </c>
      <c r="J5306" s="403" t="s">
        <v>1376</v>
      </c>
      <c r="K5306" s="403">
        <v>1728</v>
      </c>
      <c r="L5306" s="403">
        <v>3072</v>
      </c>
      <c r="M5306" s="403" t="s">
        <v>111</v>
      </c>
      <c r="N5306" s="403">
        <v>480</v>
      </c>
      <c r="O5306" s="403">
        <v>640</v>
      </c>
      <c r="P5306" t="str">
        <f t="shared" si="657"/>
        <v>25fps 3072x1728 - SD</v>
      </c>
      <c r="Q5306">
        <f t="shared" si="658"/>
        <v>23</v>
      </c>
      <c r="R5306" t="str">
        <f t="shared" si="659"/>
        <v/>
      </c>
      <c r="S5306" t="str">
        <f t="shared" si="660"/>
        <v/>
      </c>
      <c r="T5306" s="403" t="str">
        <f t="shared" si="661"/>
        <v>NDI-5503-AL</v>
      </c>
      <c r="U5306" s="403">
        <f t="shared" si="662"/>
        <v>1</v>
      </c>
      <c r="V5306" s="403" t="str">
        <f t="shared" si="663"/>
        <v>CPP_7_3</v>
      </c>
    </row>
    <row r="5307" spans="1:22">
      <c r="A5307" t="str">
        <f t="shared" si="656"/>
        <v>NDI-5503-AL</v>
      </c>
      <c r="B5307" s="403" t="s">
        <v>1424</v>
      </c>
      <c r="C5307" s="403" t="s">
        <v>582</v>
      </c>
      <c r="D5307" s="403" t="s">
        <v>1425</v>
      </c>
      <c r="E5307" s="403" t="s">
        <v>778</v>
      </c>
      <c r="F5307" s="403" t="s">
        <v>1385</v>
      </c>
      <c r="G5307" s="403" t="s">
        <v>1467</v>
      </c>
      <c r="H5307" s="403" t="s">
        <v>1276</v>
      </c>
      <c r="I5307" s="403">
        <v>1</v>
      </c>
      <c r="J5307" s="403" t="s">
        <v>1376</v>
      </c>
      <c r="K5307" s="403">
        <v>1728</v>
      </c>
      <c r="L5307" s="403">
        <v>3072</v>
      </c>
      <c r="M5307" s="403" t="s">
        <v>1600</v>
      </c>
      <c r="N5307" s="403">
        <v>1728</v>
      </c>
      <c r="O5307" s="403">
        <v>3072</v>
      </c>
      <c r="P5307" t="str">
        <f t="shared" si="657"/>
        <v>25fps 3072x1728 - 3072x1728 @ SKIP2</v>
      </c>
      <c r="Q5307">
        <f t="shared" si="658"/>
        <v>23</v>
      </c>
      <c r="R5307" t="str">
        <f t="shared" si="659"/>
        <v/>
      </c>
      <c r="S5307" t="str">
        <f t="shared" si="660"/>
        <v/>
      </c>
      <c r="T5307" s="403" t="str">
        <f t="shared" si="661"/>
        <v>NDI-5503-AL</v>
      </c>
      <c r="U5307" s="403">
        <f t="shared" si="662"/>
        <v>1</v>
      </c>
      <c r="V5307" s="403" t="str">
        <f t="shared" si="663"/>
        <v>CPP_7_3</v>
      </c>
    </row>
    <row r="5308" spans="1:22">
      <c r="A5308" t="str">
        <f t="shared" si="656"/>
        <v>NDI-5503-AL</v>
      </c>
      <c r="B5308" s="403" t="s">
        <v>1424</v>
      </c>
      <c r="C5308" s="403" t="s">
        <v>582</v>
      </c>
      <c r="D5308" s="403" t="s">
        <v>1425</v>
      </c>
      <c r="E5308" s="403" t="s">
        <v>778</v>
      </c>
      <c r="F5308" s="403" t="s">
        <v>1385</v>
      </c>
      <c r="G5308" s="403" t="s">
        <v>1467</v>
      </c>
      <c r="H5308" s="403" t="s">
        <v>1276</v>
      </c>
      <c r="I5308" s="403">
        <v>1</v>
      </c>
      <c r="J5308" s="403" t="s">
        <v>1376</v>
      </c>
      <c r="K5308" s="403">
        <v>1728</v>
      </c>
      <c r="L5308" s="403">
        <v>3072</v>
      </c>
      <c r="M5308" s="403" t="s">
        <v>1280</v>
      </c>
      <c r="N5308" s="403">
        <v>1728</v>
      </c>
      <c r="O5308" s="403">
        <v>3072</v>
      </c>
      <c r="P5308" t="str">
        <f t="shared" si="657"/>
        <v>25fps 3072x1728 - copy other stream</v>
      </c>
      <c r="Q5308">
        <f t="shared" si="658"/>
        <v>23</v>
      </c>
      <c r="R5308" t="str">
        <f t="shared" si="659"/>
        <v/>
      </c>
      <c r="S5308" t="str">
        <f t="shared" si="660"/>
        <v/>
      </c>
      <c r="T5308" s="403" t="str">
        <f t="shared" si="661"/>
        <v>NDI-5503-AL</v>
      </c>
      <c r="U5308" s="403">
        <f t="shared" si="662"/>
        <v>1</v>
      </c>
      <c r="V5308" s="403" t="str">
        <f t="shared" si="663"/>
        <v>CPP_7_3</v>
      </c>
    </row>
    <row r="5309" spans="1:22">
      <c r="A5309" t="str">
        <f t="shared" si="656"/>
        <v>NDI-5503-AL</v>
      </c>
      <c r="B5309" s="403" t="s">
        <v>1424</v>
      </c>
      <c r="C5309" s="403" t="s">
        <v>582</v>
      </c>
      <c r="D5309" s="403" t="s">
        <v>1425</v>
      </c>
      <c r="E5309" s="403" t="s">
        <v>778</v>
      </c>
      <c r="F5309" s="403" t="s">
        <v>1385</v>
      </c>
      <c r="G5309" s="403" t="s">
        <v>1467</v>
      </c>
      <c r="H5309" s="403" t="s">
        <v>1276</v>
      </c>
      <c r="I5309" s="403">
        <v>1</v>
      </c>
      <c r="J5309" s="403" t="s">
        <v>1376</v>
      </c>
      <c r="K5309" s="403">
        <v>1728</v>
      </c>
      <c r="L5309" s="403">
        <v>3072</v>
      </c>
      <c r="M5309" s="403" t="s">
        <v>110</v>
      </c>
      <c r="N5309" s="403">
        <v>1080</v>
      </c>
      <c r="O5309" s="403">
        <v>1920</v>
      </c>
      <c r="P5309" t="str">
        <f t="shared" si="657"/>
        <v>25fps 3072x1728 - 1080p</v>
      </c>
      <c r="Q5309">
        <f t="shared" si="658"/>
        <v>23</v>
      </c>
      <c r="R5309" t="str">
        <f t="shared" si="659"/>
        <v/>
      </c>
      <c r="S5309" t="str">
        <f t="shared" si="660"/>
        <v/>
      </c>
      <c r="T5309" s="403" t="str">
        <f t="shared" si="661"/>
        <v>NDI-5503-AL</v>
      </c>
      <c r="U5309" s="403">
        <f t="shared" si="662"/>
        <v>1</v>
      </c>
      <c r="V5309" s="403" t="str">
        <f t="shared" si="663"/>
        <v>CPP_7_3</v>
      </c>
    </row>
    <row r="5310" spans="1:22">
      <c r="A5310" t="str">
        <f t="shared" si="656"/>
        <v>NDI-5503-AL</v>
      </c>
      <c r="B5310" s="403" t="s">
        <v>1424</v>
      </c>
      <c r="C5310" s="403" t="s">
        <v>582</v>
      </c>
      <c r="D5310" s="403" t="s">
        <v>1425</v>
      </c>
      <c r="E5310" s="403" t="s">
        <v>778</v>
      </c>
      <c r="F5310" s="403" t="s">
        <v>1385</v>
      </c>
      <c r="G5310" s="403" t="s">
        <v>1467</v>
      </c>
      <c r="H5310" s="403" t="s">
        <v>1276</v>
      </c>
      <c r="I5310" s="403">
        <v>1</v>
      </c>
      <c r="J5310" s="403" t="s">
        <v>1376</v>
      </c>
      <c r="K5310" s="403">
        <v>1728</v>
      </c>
      <c r="L5310" s="403">
        <v>3072</v>
      </c>
      <c r="M5310" s="403" t="s">
        <v>109</v>
      </c>
      <c r="N5310" s="403">
        <v>720</v>
      </c>
      <c r="O5310" s="403">
        <v>1280</v>
      </c>
      <c r="P5310" t="str">
        <f t="shared" si="657"/>
        <v>25fps 3072x1728 - 720p</v>
      </c>
      <c r="Q5310">
        <f t="shared" si="658"/>
        <v>23</v>
      </c>
      <c r="R5310" t="str">
        <f t="shared" si="659"/>
        <v/>
      </c>
      <c r="S5310" t="str">
        <f t="shared" si="660"/>
        <v/>
      </c>
      <c r="T5310" s="403" t="str">
        <f t="shared" si="661"/>
        <v>NDI-5503-AL</v>
      </c>
      <c r="U5310" s="403">
        <f t="shared" si="662"/>
        <v>1</v>
      </c>
      <c r="V5310" s="403" t="str">
        <f t="shared" si="663"/>
        <v>CPP_7_3</v>
      </c>
    </row>
    <row r="5311" spans="1:22">
      <c r="A5311" t="str">
        <f t="shared" si="656"/>
        <v>NDI-5503-AL</v>
      </c>
      <c r="B5311" s="403" t="s">
        <v>1424</v>
      </c>
      <c r="C5311" s="403" t="s">
        <v>582</v>
      </c>
      <c r="D5311" s="403" t="s">
        <v>1425</v>
      </c>
      <c r="E5311" s="403" t="s">
        <v>778</v>
      </c>
      <c r="F5311" s="403" t="s">
        <v>1385</v>
      </c>
      <c r="G5311" s="403" t="s">
        <v>1467</v>
      </c>
      <c r="H5311" s="403" t="s">
        <v>1276</v>
      </c>
      <c r="I5311" s="403">
        <v>1</v>
      </c>
      <c r="J5311" s="403" t="s">
        <v>1376</v>
      </c>
      <c r="K5311" s="403">
        <v>1728</v>
      </c>
      <c r="L5311" s="403">
        <v>3072</v>
      </c>
      <c r="M5311" s="403" t="s">
        <v>1283</v>
      </c>
      <c r="N5311" s="403">
        <v>576</v>
      </c>
      <c r="O5311" s="403">
        <v>720</v>
      </c>
      <c r="P5311" t="str">
        <f t="shared" si="657"/>
        <v>25fps 3072x1728 - SD 4CIF resolution 4:3 format (cropped)</v>
      </c>
      <c r="Q5311">
        <f t="shared" si="658"/>
        <v>23</v>
      </c>
      <c r="R5311" t="str">
        <f t="shared" si="659"/>
        <v/>
      </c>
      <c r="S5311" t="str">
        <f t="shared" si="660"/>
        <v/>
      </c>
      <c r="T5311" s="403" t="str">
        <f t="shared" si="661"/>
        <v>NDI-5503-AL</v>
      </c>
      <c r="U5311" s="403">
        <f t="shared" si="662"/>
        <v>1</v>
      </c>
      <c r="V5311" s="403" t="str">
        <f t="shared" si="663"/>
        <v>CPP_7_3</v>
      </c>
    </row>
    <row r="5312" spans="1:22">
      <c r="A5312" t="str">
        <f t="shared" si="656"/>
        <v>NDI-5503-AL</v>
      </c>
      <c r="B5312" s="403" t="s">
        <v>1424</v>
      </c>
      <c r="C5312" s="403" t="s">
        <v>582</v>
      </c>
      <c r="D5312" s="403" t="s">
        <v>1425</v>
      </c>
      <c r="E5312" s="403" t="s">
        <v>778</v>
      </c>
      <c r="F5312" s="403" t="s">
        <v>1385</v>
      </c>
      <c r="G5312" s="403" t="s">
        <v>1467</v>
      </c>
      <c r="H5312" s="403" t="s">
        <v>1276</v>
      </c>
      <c r="I5312" s="403">
        <v>1</v>
      </c>
      <c r="J5312" s="403" t="s">
        <v>1376</v>
      </c>
      <c r="K5312" s="403">
        <v>1728</v>
      </c>
      <c r="L5312" s="403">
        <v>3072</v>
      </c>
      <c r="M5312" s="403" t="s">
        <v>1279</v>
      </c>
      <c r="N5312" s="403">
        <v>480</v>
      </c>
      <c r="O5312" s="403">
        <v>640</v>
      </c>
      <c r="P5312" t="str">
        <f t="shared" si="657"/>
        <v>25fps 3072x1728 - SD ROI PTZ</v>
      </c>
      <c r="Q5312">
        <f t="shared" si="658"/>
        <v>23</v>
      </c>
      <c r="R5312" t="str">
        <f t="shared" si="659"/>
        <v/>
      </c>
      <c r="S5312" t="str">
        <f t="shared" si="660"/>
        <v/>
      </c>
      <c r="T5312" s="403" t="str">
        <f t="shared" si="661"/>
        <v>NDI-5503-AL</v>
      </c>
      <c r="U5312" s="403">
        <f t="shared" si="662"/>
        <v>1</v>
      </c>
      <c r="V5312" s="403" t="str">
        <f t="shared" si="663"/>
        <v>CPP_7_3</v>
      </c>
    </row>
    <row r="5313" spans="1:22">
      <c r="A5313" t="str">
        <f t="shared" si="656"/>
        <v>NDI-5503-AL</v>
      </c>
      <c r="B5313" s="403" t="s">
        <v>1424</v>
      </c>
      <c r="C5313" s="403" t="s">
        <v>582</v>
      </c>
      <c r="D5313" s="403" t="s">
        <v>1425</v>
      </c>
      <c r="E5313" s="403" t="s">
        <v>778</v>
      </c>
      <c r="F5313" s="403" t="s">
        <v>1385</v>
      </c>
      <c r="G5313" s="403" t="s">
        <v>1467</v>
      </c>
      <c r="H5313" s="403" t="s">
        <v>1276</v>
      </c>
      <c r="I5313" s="403">
        <v>1</v>
      </c>
      <c r="J5313" s="403" t="s">
        <v>1376</v>
      </c>
      <c r="K5313" s="403">
        <v>1728</v>
      </c>
      <c r="L5313" s="403">
        <v>3072</v>
      </c>
      <c r="M5313" s="403" t="s">
        <v>1284</v>
      </c>
      <c r="N5313" s="403">
        <v>480</v>
      </c>
      <c r="O5313" s="403">
        <v>640</v>
      </c>
      <c r="P5313" t="str">
        <f t="shared" si="657"/>
        <v>25fps 3072x1728 - SD VGA (cropped)</v>
      </c>
      <c r="Q5313">
        <f t="shared" si="658"/>
        <v>23</v>
      </c>
      <c r="R5313" t="str">
        <f t="shared" si="659"/>
        <v/>
      </c>
      <c r="S5313" t="str">
        <f t="shared" si="660"/>
        <v/>
      </c>
      <c r="T5313" s="403" t="str">
        <f t="shared" si="661"/>
        <v>NDI-5503-AL</v>
      </c>
      <c r="U5313" s="403">
        <f t="shared" si="662"/>
        <v>1</v>
      </c>
      <c r="V5313" s="403" t="str">
        <f t="shared" si="663"/>
        <v>CPP_7_3</v>
      </c>
    </row>
    <row r="5314" spans="1:22">
      <c r="A5314" t="str">
        <f t="shared" ref="A5314:A5377" si="664">IF(AND(G5314&lt;&gt;"rotate 90°"),D5314,"")</f>
        <v>NDI-5503-AL</v>
      </c>
      <c r="B5314" s="403" t="s">
        <v>1424</v>
      </c>
      <c r="C5314" s="403" t="s">
        <v>582</v>
      </c>
      <c r="D5314" s="403" t="s">
        <v>1425</v>
      </c>
      <c r="E5314" s="403" t="s">
        <v>778</v>
      </c>
      <c r="F5314" s="403" t="s">
        <v>1385</v>
      </c>
      <c r="G5314" s="403" t="s">
        <v>1467</v>
      </c>
      <c r="H5314" s="403" t="s">
        <v>1276</v>
      </c>
      <c r="I5314" s="403">
        <v>1</v>
      </c>
      <c r="J5314" s="403" t="s">
        <v>1376</v>
      </c>
      <c r="K5314" s="403">
        <v>1728</v>
      </c>
      <c r="L5314" s="403">
        <v>3072</v>
      </c>
      <c r="M5314" s="403" t="s">
        <v>1285</v>
      </c>
      <c r="N5314" s="403">
        <v>1024</v>
      </c>
      <c r="O5314" s="403">
        <v>1280</v>
      </c>
      <c r="P5314" t="str">
        <f t="shared" ref="P5314:P5377" si="665">LEFT(F5314,5)&amp;" "&amp;J5314&amp;" - "&amp;M5314</f>
        <v>25fps 3072x1728 - 1280x1024 5:4 (cropped)</v>
      </c>
      <c r="Q5314">
        <f t="shared" ref="Q5314:Q5377" si="666">IF(A5313=A5314,Q5313,Q5313+1)</f>
        <v>23</v>
      </c>
      <c r="R5314" t="str">
        <f t="shared" ref="R5314:R5377" si="667">IF(Q5313&lt;&gt;Q5314,Q5314,"")</f>
        <v/>
      </c>
      <c r="S5314" t="str">
        <f t="shared" ref="S5314:S5377" si="668">IF(R5314&lt;&gt;"",B5314&amp;" ("&amp;D5314&amp;")","")</f>
        <v/>
      </c>
      <c r="T5314" s="403" t="str">
        <f t="shared" ref="T5314:T5377" si="669">D5314</f>
        <v>NDI-5503-AL</v>
      </c>
      <c r="U5314" s="403">
        <f t="shared" ref="U5314:U5377" si="670">I5314</f>
        <v>1</v>
      </c>
      <c r="V5314" s="403" t="str">
        <f t="shared" ref="V5314:V5377" si="671">C5314</f>
        <v>CPP_7_3</v>
      </c>
    </row>
    <row r="5315" spans="1:22">
      <c r="A5315" t="str">
        <f t="shared" si="664"/>
        <v>NDI-5503-AL</v>
      </c>
      <c r="B5315" s="403" t="s">
        <v>1424</v>
      </c>
      <c r="C5315" s="403" t="s">
        <v>582</v>
      </c>
      <c r="D5315" s="403" t="s">
        <v>1425</v>
      </c>
      <c r="E5315" s="403" t="s">
        <v>778</v>
      </c>
      <c r="F5315" s="403" t="s">
        <v>1385</v>
      </c>
      <c r="G5315" s="403" t="s">
        <v>1467</v>
      </c>
      <c r="H5315" s="403" t="s">
        <v>1276</v>
      </c>
      <c r="I5315" s="403">
        <v>1</v>
      </c>
      <c r="J5315" s="403" t="s">
        <v>1376</v>
      </c>
      <c r="K5315" s="403">
        <v>1728</v>
      </c>
      <c r="L5315" s="403">
        <v>3072</v>
      </c>
      <c r="M5315" s="403" t="s">
        <v>1383</v>
      </c>
      <c r="N5315" s="403">
        <v>1440</v>
      </c>
      <c r="O5315" s="403">
        <v>1920</v>
      </c>
      <c r="P5315" t="str">
        <f t="shared" si="665"/>
        <v>25fps 3072x1728 - 1920x1440_CROP</v>
      </c>
      <c r="Q5315">
        <f t="shared" si="666"/>
        <v>23</v>
      </c>
      <c r="R5315" t="str">
        <f t="shared" si="667"/>
        <v/>
      </c>
      <c r="S5315" t="str">
        <f t="shared" si="668"/>
        <v/>
      </c>
      <c r="T5315" s="403" t="str">
        <f t="shared" si="669"/>
        <v>NDI-5503-AL</v>
      </c>
      <c r="U5315" s="403">
        <f t="shared" si="670"/>
        <v>1</v>
      </c>
      <c r="V5315" s="403" t="str">
        <f t="shared" si="671"/>
        <v>CPP_7_3</v>
      </c>
    </row>
    <row r="5316" spans="1:22">
      <c r="A5316" t="str">
        <f t="shared" si="664"/>
        <v>NDI-5503-AL</v>
      </c>
      <c r="B5316" s="403" t="s">
        <v>1424</v>
      </c>
      <c r="C5316" s="403" t="s">
        <v>582</v>
      </c>
      <c r="D5316" s="403" t="s">
        <v>1425</v>
      </c>
      <c r="E5316" s="403" t="s">
        <v>778</v>
      </c>
      <c r="F5316" s="403" t="s">
        <v>1385</v>
      </c>
      <c r="G5316" s="403" t="s">
        <v>1467</v>
      </c>
      <c r="H5316" s="403" t="s">
        <v>1276</v>
      </c>
      <c r="I5316" s="403">
        <v>1</v>
      </c>
      <c r="J5316" s="403" t="s">
        <v>1373</v>
      </c>
      <c r="K5316" s="403">
        <v>1512</v>
      </c>
      <c r="L5316" s="403">
        <v>2688</v>
      </c>
      <c r="M5316" s="403" t="s">
        <v>110</v>
      </c>
      <c r="N5316" s="403">
        <v>1080</v>
      </c>
      <c r="O5316" s="403">
        <v>1920</v>
      </c>
      <c r="P5316" t="str">
        <f t="shared" si="665"/>
        <v>25fps 2688x1512 - 1080p</v>
      </c>
      <c r="Q5316">
        <f t="shared" si="666"/>
        <v>23</v>
      </c>
      <c r="R5316" t="str">
        <f t="shared" si="667"/>
        <v/>
      </c>
      <c r="S5316" t="str">
        <f t="shared" si="668"/>
        <v/>
      </c>
      <c r="T5316" s="403" t="str">
        <f t="shared" si="669"/>
        <v>NDI-5503-AL</v>
      </c>
      <c r="U5316" s="403">
        <f t="shared" si="670"/>
        <v>1</v>
      </c>
      <c r="V5316" s="403" t="str">
        <f t="shared" si="671"/>
        <v>CPP_7_3</v>
      </c>
    </row>
    <row r="5317" spans="1:22">
      <c r="A5317" t="str">
        <f t="shared" si="664"/>
        <v>NDI-5503-AL</v>
      </c>
      <c r="B5317" s="403" t="s">
        <v>1424</v>
      </c>
      <c r="C5317" s="403" t="s">
        <v>582</v>
      </c>
      <c r="D5317" s="403" t="s">
        <v>1425</v>
      </c>
      <c r="E5317" s="403" t="s">
        <v>778</v>
      </c>
      <c r="F5317" s="403" t="s">
        <v>1385</v>
      </c>
      <c r="G5317" s="403" t="s">
        <v>1467</v>
      </c>
      <c r="H5317" s="403" t="s">
        <v>1276</v>
      </c>
      <c r="I5317" s="403">
        <v>1</v>
      </c>
      <c r="J5317" s="403" t="s">
        <v>1373</v>
      </c>
      <c r="K5317" s="403">
        <v>1512</v>
      </c>
      <c r="L5317" s="403">
        <v>2688</v>
      </c>
      <c r="M5317" s="403" t="s">
        <v>1384</v>
      </c>
      <c r="N5317" s="403">
        <v>1512</v>
      </c>
      <c r="O5317" s="403">
        <v>2688</v>
      </c>
      <c r="P5317" t="str">
        <f t="shared" si="665"/>
        <v>25fps 2688x1512 - 2688x1512 @ SKIP 2</v>
      </c>
      <c r="Q5317">
        <f t="shared" si="666"/>
        <v>23</v>
      </c>
      <c r="R5317" t="str">
        <f t="shared" si="667"/>
        <v/>
      </c>
      <c r="S5317" t="str">
        <f t="shared" si="668"/>
        <v/>
      </c>
      <c r="T5317" s="403" t="str">
        <f t="shared" si="669"/>
        <v>NDI-5503-AL</v>
      </c>
      <c r="U5317" s="403">
        <f t="shared" si="670"/>
        <v>1</v>
      </c>
      <c r="V5317" s="403" t="str">
        <f t="shared" si="671"/>
        <v>CPP_7_3</v>
      </c>
    </row>
    <row r="5318" spans="1:22">
      <c r="A5318" t="str">
        <f t="shared" si="664"/>
        <v>NDI-5503-AL</v>
      </c>
      <c r="B5318" s="403" t="s">
        <v>1424</v>
      </c>
      <c r="C5318" s="403" t="s">
        <v>582</v>
      </c>
      <c r="D5318" s="403" t="s">
        <v>1425</v>
      </c>
      <c r="E5318" s="403" t="s">
        <v>778</v>
      </c>
      <c r="F5318" s="403" t="s">
        <v>1385</v>
      </c>
      <c r="G5318" s="403" t="s">
        <v>1467</v>
      </c>
      <c r="H5318" s="403" t="s">
        <v>1276</v>
      </c>
      <c r="I5318" s="403">
        <v>1</v>
      </c>
      <c r="J5318" s="403" t="s">
        <v>1373</v>
      </c>
      <c r="K5318" s="403">
        <v>1512</v>
      </c>
      <c r="L5318" s="403">
        <v>2688</v>
      </c>
      <c r="M5318" s="403" t="s">
        <v>109</v>
      </c>
      <c r="N5318" s="403">
        <v>720</v>
      </c>
      <c r="O5318" s="403">
        <v>1280</v>
      </c>
      <c r="P5318" t="str">
        <f t="shared" si="665"/>
        <v>25fps 2688x1512 - 720p</v>
      </c>
      <c r="Q5318">
        <f t="shared" si="666"/>
        <v>23</v>
      </c>
      <c r="R5318" t="str">
        <f t="shared" si="667"/>
        <v/>
      </c>
      <c r="S5318" t="str">
        <f t="shared" si="668"/>
        <v/>
      </c>
      <c r="T5318" s="403" t="str">
        <f t="shared" si="669"/>
        <v>NDI-5503-AL</v>
      </c>
      <c r="U5318" s="403">
        <f t="shared" si="670"/>
        <v>1</v>
      </c>
      <c r="V5318" s="403" t="str">
        <f t="shared" si="671"/>
        <v>CPP_7_3</v>
      </c>
    </row>
    <row r="5319" spans="1:22">
      <c r="A5319" t="str">
        <f t="shared" si="664"/>
        <v>NDI-5503-AL</v>
      </c>
      <c r="B5319" s="403" t="s">
        <v>1424</v>
      </c>
      <c r="C5319" s="403" t="s">
        <v>582</v>
      </c>
      <c r="D5319" s="403" t="s">
        <v>1425</v>
      </c>
      <c r="E5319" s="403" t="s">
        <v>778</v>
      </c>
      <c r="F5319" s="403" t="s">
        <v>1385</v>
      </c>
      <c r="G5319" s="403" t="s">
        <v>1467</v>
      </c>
      <c r="H5319" s="403" t="s">
        <v>1276</v>
      </c>
      <c r="I5319" s="403">
        <v>1</v>
      </c>
      <c r="J5319" s="403" t="s">
        <v>1373</v>
      </c>
      <c r="K5319" s="403">
        <v>1512</v>
      </c>
      <c r="L5319" s="403">
        <v>2688</v>
      </c>
      <c r="M5319" s="403" t="s">
        <v>111</v>
      </c>
      <c r="N5319" s="403">
        <v>480</v>
      </c>
      <c r="O5319" s="403">
        <v>640</v>
      </c>
      <c r="P5319" t="str">
        <f t="shared" si="665"/>
        <v>25fps 2688x1512 - SD</v>
      </c>
      <c r="Q5319">
        <f t="shared" si="666"/>
        <v>23</v>
      </c>
      <c r="R5319" t="str">
        <f t="shared" si="667"/>
        <v/>
      </c>
      <c r="S5319" t="str">
        <f t="shared" si="668"/>
        <v/>
      </c>
      <c r="T5319" s="403" t="str">
        <f t="shared" si="669"/>
        <v>NDI-5503-AL</v>
      </c>
      <c r="U5319" s="403">
        <f t="shared" si="670"/>
        <v>1</v>
      </c>
      <c r="V5319" s="403" t="str">
        <f t="shared" si="671"/>
        <v>CPP_7_3</v>
      </c>
    </row>
    <row r="5320" spans="1:22">
      <c r="A5320" t="str">
        <f t="shared" si="664"/>
        <v>NDI-5503-AL</v>
      </c>
      <c r="B5320" s="403" t="s">
        <v>1424</v>
      </c>
      <c r="C5320" s="403" t="s">
        <v>582</v>
      </c>
      <c r="D5320" s="403" t="s">
        <v>1425</v>
      </c>
      <c r="E5320" s="403" t="s">
        <v>778</v>
      </c>
      <c r="F5320" s="403" t="s">
        <v>1385</v>
      </c>
      <c r="G5320" s="403" t="s">
        <v>1467</v>
      </c>
      <c r="H5320" s="403" t="s">
        <v>1276</v>
      </c>
      <c r="I5320" s="403">
        <v>1</v>
      </c>
      <c r="J5320" s="403" t="s">
        <v>1373</v>
      </c>
      <c r="K5320" s="403">
        <v>1512</v>
      </c>
      <c r="L5320" s="403">
        <v>2688</v>
      </c>
      <c r="M5320" s="403" t="s">
        <v>1279</v>
      </c>
      <c r="N5320" s="403">
        <v>480</v>
      </c>
      <c r="O5320" s="403">
        <v>640</v>
      </c>
      <c r="P5320" t="str">
        <f t="shared" si="665"/>
        <v>25fps 2688x1512 - SD ROI PTZ</v>
      </c>
      <c r="Q5320">
        <f t="shared" si="666"/>
        <v>23</v>
      </c>
      <c r="R5320" t="str">
        <f t="shared" si="667"/>
        <v/>
      </c>
      <c r="S5320" t="str">
        <f t="shared" si="668"/>
        <v/>
      </c>
      <c r="T5320" s="403" t="str">
        <f t="shared" si="669"/>
        <v>NDI-5503-AL</v>
      </c>
      <c r="U5320" s="403">
        <f t="shared" si="670"/>
        <v>1</v>
      </c>
      <c r="V5320" s="403" t="str">
        <f t="shared" si="671"/>
        <v>CPP_7_3</v>
      </c>
    </row>
    <row r="5321" spans="1:22">
      <c r="A5321" t="str">
        <f t="shared" si="664"/>
        <v>NDI-5503-AL</v>
      </c>
      <c r="B5321" s="403" t="s">
        <v>1424</v>
      </c>
      <c r="C5321" s="403" t="s">
        <v>582</v>
      </c>
      <c r="D5321" s="403" t="s">
        <v>1425</v>
      </c>
      <c r="E5321" s="403" t="s">
        <v>778</v>
      </c>
      <c r="F5321" s="403" t="s">
        <v>1385</v>
      </c>
      <c r="G5321" s="403" t="s">
        <v>1467</v>
      </c>
      <c r="H5321" s="403" t="s">
        <v>1276</v>
      </c>
      <c r="I5321" s="403">
        <v>1</v>
      </c>
      <c r="J5321" s="403" t="s">
        <v>1373</v>
      </c>
      <c r="K5321" s="403">
        <v>1512</v>
      </c>
      <c r="L5321" s="403">
        <v>2688</v>
      </c>
      <c r="M5321" s="403" t="s">
        <v>1285</v>
      </c>
      <c r="N5321" s="403">
        <v>1024</v>
      </c>
      <c r="O5321" s="403">
        <v>1280</v>
      </c>
      <c r="P5321" t="str">
        <f t="shared" si="665"/>
        <v>25fps 2688x1512 - 1280x1024 5:4 (cropped)</v>
      </c>
      <c r="Q5321">
        <f t="shared" si="666"/>
        <v>23</v>
      </c>
      <c r="R5321" t="str">
        <f t="shared" si="667"/>
        <v/>
      </c>
      <c r="S5321" t="str">
        <f t="shared" si="668"/>
        <v/>
      </c>
      <c r="T5321" s="403" t="str">
        <f t="shared" si="669"/>
        <v>NDI-5503-AL</v>
      </c>
      <c r="U5321" s="403">
        <f t="shared" si="670"/>
        <v>1</v>
      </c>
      <c r="V5321" s="403" t="str">
        <f t="shared" si="671"/>
        <v>CPP_7_3</v>
      </c>
    </row>
    <row r="5322" spans="1:22">
      <c r="A5322" t="str">
        <f t="shared" si="664"/>
        <v>NDI-5503-AL</v>
      </c>
      <c r="B5322" s="403" t="s">
        <v>1424</v>
      </c>
      <c r="C5322" s="403" t="s">
        <v>582</v>
      </c>
      <c r="D5322" s="403" t="s">
        <v>1425</v>
      </c>
      <c r="E5322" s="403" t="s">
        <v>778</v>
      </c>
      <c r="F5322" s="403" t="s">
        <v>1385</v>
      </c>
      <c r="G5322" s="403" t="s">
        <v>1467</v>
      </c>
      <c r="H5322" s="403" t="s">
        <v>1276</v>
      </c>
      <c r="I5322" s="403">
        <v>1</v>
      </c>
      <c r="J5322" s="403" t="s">
        <v>1373</v>
      </c>
      <c r="K5322" s="403">
        <v>1512</v>
      </c>
      <c r="L5322" s="403">
        <v>2688</v>
      </c>
      <c r="M5322" s="403" t="s">
        <v>1283</v>
      </c>
      <c r="N5322" s="403">
        <v>576</v>
      </c>
      <c r="O5322" s="403">
        <v>720</v>
      </c>
      <c r="P5322" t="str">
        <f t="shared" si="665"/>
        <v>25fps 2688x1512 - SD 4CIF resolution 4:3 format (cropped)</v>
      </c>
      <c r="Q5322">
        <f t="shared" si="666"/>
        <v>23</v>
      </c>
      <c r="R5322" t="str">
        <f t="shared" si="667"/>
        <v/>
      </c>
      <c r="S5322" t="str">
        <f t="shared" si="668"/>
        <v/>
      </c>
      <c r="T5322" s="403" t="str">
        <f t="shared" si="669"/>
        <v>NDI-5503-AL</v>
      </c>
      <c r="U5322" s="403">
        <f t="shared" si="670"/>
        <v>1</v>
      </c>
      <c r="V5322" s="403" t="str">
        <f t="shared" si="671"/>
        <v>CPP_7_3</v>
      </c>
    </row>
    <row r="5323" spans="1:22">
      <c r="A5323" t="str">
        <f t="shared" si="664"/>
        <v>NDI-5503-AL</v>
      </c>
      <c r="B5323" s="403" t="s">
        <v>1424</v>
      </c>
      <c r="C5323" s="403" t="s">
        <v>582</v>
      </c>
      <c r="D5323" s="403" t="s">
        <v>1425</v>
      </c>
      <c r="E5323" s="403" t="s">
        <v>778</v>
      </c>
      <c r="F5323" s="403" t="s">
        <v>1385</v>
      </c>
      <c r="G5323" s="403" t="s">
        <v>1467</v>
      </c>
      <c r="H5323" s="403" t="s">
        <v>1276</v>
      </c>
      <c r="I5323" s="403">
        <v>1</v>
      </c>
      <c r="J5323" s="403" t="s">
        <v>1373</v>
      </c>
      <c r="K5323" s="403">
        <v>1512</v>
      </c>
      <c r="L5323" s="403">
        <v>2688</v>
      </c>
      <c r="M5323" s="403" t="s">
        <v>1284</v>
      </c>
      <c r="N5323" s="403">
        <v>480</v>
      </c>
      <c r="O5323" s="403">
        <v>640</v>
      </c>
      <c r="P5323" t="str">
        <f t="shared" si="665"/>
        <v>25fps 2688x1512 - SD VGA (cropped)</v>
      </c>
      <c r="Q5323">
        <f t="shared" si="666"/>
        <v>23</v>
      </c>
      <c r="R5323" t="str">
        <f t="shared" si="667"/>
        <v/>
      </c>
      <c r="S5323" t="str">
        <f t="shared" si="668"/>
        <v/>
      </c>
      <c r="T5323" s="403" t="str">
        <f t="shared" si="669"/>
        <v>NDI-5503-AL</v>
      </c>
      <c r="U5323" s="403">
        <f t="shared" si="670"/>
        <v>1</v>
      </c>
      <c r="V5323" s="403" t="str">
        <f t="shared" si="671"/>
        <v>CPP_7_3</v>
      </c>
    </row>
    <row r="5324" spans="1:22">
      <c r="A5324" t="str">
        <f t="shared" si="664"/>
        <v>NDI-5503-AL</v>
      </c>
      <c r="B5324" s="403" t="s">
        <v>1424</v>
      </c>
      <c r="C5324" s="403" t="s">
        <v>582</v>
      </c>
      <c r="D5324" s="403" t="s">
        <v>1425</v>
      </c>
      <c r="E5324" s="403" t="s">
        <v>778</v>
      </c>
      <c r="F5324" s="403" t="s">
        <v>1385</v>
      </c>
      <c r="G5324" s="403" t="s">
        <v>1467</v>
      </c>
      <c r="H5324" s="403" t="s">
        <v>1276</v>
      </c>
      <c r="I5324" s="403">
        <v>1</v>
      </c>
      <c r="J5324" s="403" t="s">
        <v>1373</v>
      </c>
      <c r="K5324" s="403">
        <v>1512</v>
      </c>
      <c r="L5324" s="403">
        <v>2688</v>
      </c>
      <c r="M5324" s="403" t="s">
        <v>1280</v>
      </c>
      <c r="N5324" s="403">
        <v>1512</v>
      </c>
      <c r="O5324" s="403">
        <v>2688</v>
      </c>
      <c r="P5324" t="str">
        <f t="shared" si="665"/>
        <v>25fps 2688x1512 - copy other stream</v>
      </c>
      <c r="Q5324">
        <f t="shared" si="666"/>
        <v>23</v>
      </c>
      <c r="R5324" t="str">
        <f t="shared" si="667"/>
        <v/>
      </c>
      <c r="S5324" t="str">
        <f t="shared" si="668"/>
        <v/>
      </c>
      <c r="T5324" s="403" t="str">
        <f t="shared" si="669"/>
        <v>NDI-5503-AL</v>
      </c>
      <c r="U5324" s="403">
        <f t="shared" si="670"/>
        <v>1</v>
      </c>
      <c r="V5324" s="403" t="str">
        <f t="shared" si="671"/>
        <v>CPP_7_3</v>
      </c>
    </row>
    <row r="5325" spans="1:22">
      <c r="A5325" t="str">
        <f t="shared" si="664"/>
        <v>NDI-5503-AL</v>
      </c>
      <c r="B5325" s="403" t="s">
        <v>1424</v>
      </c>
      <c r="C5325" s="403" t="s">
        <v>582</v>
      </c>
      <c r="D5325" s="403" t="s">
        <v>1425</v>
      </c>
      <c r="E5325" s="403" t="s">
        <v>778</v>
      </c>
      <c r="F5325" s="403" t="s">
        <v>1385</v>
      </c>
      <c r="G5325" s="403" t="s">
        <v>1467</v>
      </c>
      <c r="H5325" s="403" t="s">
        <v>1276</v>
      </c>
      <c r="I5325" s="403">
        <v>1</v>
      </c>
      <c r="J5325" s="403" t="s">
        <v>1374</v>
      </c>
      <c r="K5325" s="403">
        <v>1296</v>
      </c>
      <c r="L5325" s="403">
        <v>2304</v>
      </c>
      <c r="M5325" s="403" t="s">
        <v>110</v>
      </c>
      <c r="N5325" s="403">
        <v>1080</v>
      </c>
      <c r="O5325" s="403">
        <v>1920</v>
      </c>
      <c r="P5325" t="str">
        <f t="shared" si="665"/>
        <v>25fps 2304x1296 - 1080p</v>
      </c>
      <c r="Q5325">
        <f t="shared" si="666"/>
        <v>23</v>
      </c>
      <c r="R5325" t="str">
        <f t="shared" si="667"/>
        <v/>
      </c>
      <c r="S5325" t="str">
        <f t="shared" si="668"/>
        <v/>
      </c>
      <c r="T5325" s="403" t="str">
        <f t="shared" si="669"/>
        <v>NDI-5503-AL</v>
      </c>
      <c r="U5325" s="403">
        <f t="shared" si="670"/>
        <v>1</v>
      </c>
      <c r="V5325" s="403" t="str">
        <f t="shared" si="671"/>
        <v>CPP_7_3</v>
      </c>
    </row>
    <row r="5326" spans="1:22">
      <c r="A5326" t="str">
        <f t="shared" si="664"/>
        <v>NDI-5503-AL</v>
      </c>
      <c r="B5326" s="403" t="s">
        <v>1424</v>
      </c>
      <c r="C5326" s="403" t="s">
        <v>582</v>
      </c>
      <c r="D5326" s="403" t="s">
        <v>1425</v>
      </c>
      <c r="E5326" s="403" t="s">
        <v>778</v>
      </c>
      <c r="F5326" s="403" t="s">
        <v>1385</v>
      </c>
      <c r="G5326" s="403" t="s">
        <v>1467</v>
      </c>
      <c r="H5326" s="403" t="s">
        <v>1276</v>
      </c>
      <c r="I5326" s="403">
        <v>1</v>
      </c>
      <c r="J5326" s="403" t="s">
        <v>1374</v>
      </c>
      <c r="K5326" s="403">
        <v>1296</v>
      </c>
      <c r="L5326" s="403">
        <v>2304</v>
      </c>
      <c r="M5326" s="403" t="s">
        <v>1374</v>
      </c>
      <c r="N5326" s="403">
        <v>1296</v>
      </c>
      <c r="O5326" s="403">
        <v>2304</v>
      </c>
      <c r="P5326" t="str">
        <f t="shared" si="665"/>
        <v>25fps 2304x1296 - 2304x1296</v>
      </c>
      <c r="Q5326">
        <f t="shared" si="666"/>
        <v>23</v>
      </c>
      <c r="R5326" t="str">
        <f t="shared" si="667"/>
        <v/>
      </c>
      <c r="S5326" t="str">
        <f t="shared" si="668"/>
        <v/>
      </c>
      <c r="T5326" s="403" t="str">
        <f t="shared" si="669"/>
        <v>NDI-5503-AL</v>
      </c>
      <c r="U5326" s="403">
        <f t="shared" si="670"/>
        <v>1</v>
      </c>
      <c r="V5326" s="403" t="str">
        <f t="shared" si="671"/>
        <v>CPP_7_3</v>
      </c>
    </row>
    <row r="5327" spans="1:22">
      <c r="A5327" t="str">
        <f t="shared" si="664"/>
        <v>NDI-5503-AL</v>
      </c>
      <c r="B5327" s="403" t="s">
        <v>1424</v>
      </c>
      <c r="C5327" s="403" t="s">
        <v>582</v>
      </c>
      <c r="D5327" s="403" t="s">
        <v>1425</v>
      </c>
      <c r="E5327" s="403" t="s">
        <v>778</v>
      </c>
      <c r="F5327" s="403" t="s">
        <v>1385</v>
      </c>
      <c r="G5327" s="403" t="s">
        <v>1467</v>
      </c>
      <c r="H5327" s="403" t="s">
        <v>1276</v>
      </c>
      <c r="I5327" s="403">
        <v>1</v>
      </c>
      <c r="J5327" s="403" t="s">
        <v>1374</v>
      </c>
      <c r="K5327" s="403">
        <v>1296</v>
      </c>
      <c r="L5327" s="403">
        <v>2304</v>
      </c>
      <c r="M5327" s="403" t="s">
        <v>109</v>
      </c>
      <c r="N5327" s="403">
        <v>720</v>
      </c>
      <c r="O5327" s="403">
        <v>1280</v>
      </c>
      <c r="P5327" t="str">
        <f t="shared" si="665"/>
        <v>25fps 2304x1296 - 720p</v>
      </c>
      <c r="Q5327">
        <f t="shared" si="666"/>
        <v>23</v>
      </c>
      <c r="R5327" t="str">
        <f t="shared" si="667"/>
        <v/>
      </c>
      <c r="S5327" t="str">
        <f t="shared" si="668"/>
        <v/>
      </c>
      <c r="T5327" s="403" t="str">
        <f t="shared" si="669"/>
        <v>NDI-5503-AL</v>
      </c>
      <c r="U5327" s="403">
        <f t="shared" si="670"/>
        <v>1</v>
      </c>
      <c r="V5327" s="403" t="str">
        <f t="shared" si="671"/>
        <v>CPP_7_3</v>
      </c>
    </row>
    <row r="5328" spans="1:22">
      <c r="A5328" t="str">
        <f t="shared" si="664"/>
        <v>NDI-5503-AL</v>
      </c>
      <c r="B5328" s="403" t="s">
        <v>1424</v>
      </c>
      <c r="C5328" s="403" t="s">
        <v>582</v>
      </c>
      <c r="D5328" s="403" t="s">
        <v>1425</v>
      </c>
      <c r="E5328" s="403" t="s">
        <v>778</v>
      </c>
      <c r="F5328" s="403" t="s">
        <v>1385</v>
      </c>
      <c r="G5328" s="403" t="s">
        <v>1467</v>
      </c>
      <c r="H5328" s="403" t="s">
        <v>1276</v>
      </c>
      <c r="I5328" s="403">
        <v>1</v>
      </c>
      <c r="J5328" s="403" t="s">
        <v>1374</v>
      </c>
      <c r="K5328" s="403">
        <v>1296</v>
      </c>
      <c r="L5328" s="403">
        <v>2304</v>
      </c>
      <c r="M5328" s="403" t="s">
        <v>111</v>
      </c>
      <c r="N5328" s="403">
        <v>480</v>
      </c>
      <c r="O5328" s="403">
        <v>640</v>
      </c>
      <c r="P5328" t="str">
        <f t="shared" si="665"/>
        <v>25fps 2304x1296 - SD</v>
      </c>
      <c r="Q5328">
        <f t="shared" si="666"/>
        <v>23</v>
      </c>
      <c r="R5328" t="str">
        <f t="shared" si="667"/>
        <v/>
      </c>
      <c r="S5328" t="str">
        <f t="shared" si="668"/>
        <v/>
      </c>
      <c r="T5328" s="403" t="str">
        <f t="shared" si="669"/>
        <v>NDI-5503-AL</v>
      </c>
      <c r="U5328" s="403">
        <f t="shared" si="670"/>
        <v>1</v>
      </c>
      <c r="V5328" s="403" t="str">
        <f t="shared" si="671"/>
        <v>CPP_7_3</v>
      </c>
    </row>
    <row r="5329" spans="1:22">
      <c r="A5329" t="str">
        <f t="shared" si="664"/>
        <v>NDI-5503-AL</v>
      </c>
      <c r="B5329" s="403" t="s">
        <v>1424</v>
      </c>
      <c r="C5329" s="403" t="s">
        <v>582</v>
      </c>
      <c r="D5329" s="403" t="s">
        <v>1425</v>
      </c>
      <c r="E5329" s="403" t="s">
        <v>778</v>
      </c>
      <c r="F5329" s="403" t="s">
        <v>1385</v>
      </c>
      <c r="G5329" s="403" t="s">
        <v>1467</v>
      </c>
      <c r="H5329" s="403" t="s">
        <v>1276</v>
      </c>
      <c r="I5329" s="403">
        <v>1</v>
      </c>
      <c r="J5329" s="403" t="s">
        <v>1374</v>
      </c>
      <c r="K5329" s="403">
        <v>1296</v>
      </c>
      <c r="L5329" s="403">
        <v>2304</v>
      </c>
      <c r="M5329" s="403" t="s">
        <v>1279</v>
      </c>
      <c r="N5329" s="403">
        <v>480</v>
      </c>
      <c r="O5329" s="403">
        <v>640</v>
      </c>
      <c r="P5329" t="str">
        <f t="shared" si="665"/>
        <v>25fps 2304x1296 - SD ROI PTZ</v>
      </c>
      <c r="Q5329">
        <f t="shared" si="666"/>
        <v>23</v>
      </c>
      <c r="R5329" t="str">
        <f t="shared" si="667"/>
        <v/>
      </c>
      <c r="S5329" t="str">
        <f t="shared" si="668"/>
        <v/>
      </c>
      <c r="T5329" s="403" t="str">
        <f t="shared" si="669"/>
        <v>NDI-5503-AL</v>
      </c>
      <c r="U5329" s="403">
        <f t="shared" si="670"/>
        <v>1</v>
      </c>
      <c r="V5329" s="403" t="str">
        <f t="shared" si="671"/>
        <v>CPP_7_3</v>
      </c>
    </row>
    <row r="5330" spans="1:22">
      <c r="A5330" t="str">
        <f t="shared" si="664"/>
        <v>NDI-5503-AL</v>
      </c>
      <c r="B5330" s="403" t="s">
        <v>1424</v>
      </c>
      <c r="C5330" s="403" t="s">
        <v>582</v>
      </c>
      <c r="D5330" s="403" t="s">
        <v>1425</v>
      </c>
      <c r="E5330" s="403" t="s">
        <v>778</v>
      </c>
      <c r="F5330" s="403" t="s">
        <v>1385</v>
      </c>
      <c r="G5330" s="403" t="s">
        <v>1467</v>
      </c>
      <c r="H5330" s="403" t="s">
        <v>1276</v>
      </c>
      <c r="I5330" s="403">
        <v>1</v>
      </c>
      <c r="J5330" s="403" t="s">
        <v>1374</v>
      </c>
      <c r="K5330" s="403">
        <v>1296</v>
      </c>
      <c r="L5330" s="403">
        <v>2304</v>
      </c>
      <c r="M5330" s="403" t="s">
        <v>1285</v>
      </c>
      <c r="N5330" s="403">
        <v>1024</v>
      </c>
      <c r="O5330" s="403">
        <v>1280</v>
      </c>
      <c r="P5330" t="str">
        <f t="shared" si="665"/>
        <v>25fps 2304x1296 - 1280x1024 5:4 (cropped)</v>
      </c>
      <c r="Q5330">
        <f t="shared" si="666"/>
        <v>23</v>
      </c>
      <c r="R5330" t="str">
        <f t="shared" si="667"/>
        <v/>
      </c>
      <c r="S5330" t="str">
        <f t="shared" si="668"/>
        <v/>
      </c>
      <c r="T5330" s="403" t="str">
        <f t="shared" si="669"/>
        <v>NDI-5503-AL</v>
      </c>
      <c r="U5330" s="403">
        <f t="shared" si="670"/>
        <v>1</v>
      </c>
      <c r="V5330" s="403" t="str">
        <f t="shared" si="671"/>
        <v>CPP_7_3</v>
      </c>
    </row>
    <row r="5331" spans="1:22">
      <c r="A5331" t="str">
        <f t="shared" si="664"/>
        <v>NDI-5503-AL</v>
      </c>
      <c r="B5331" s="403" t="s">
        <v>1424</v>
      </c>
      <c r="C5331" s="403" t="s">
        <v>582</v>
      </c>
      <c r="D5331" s="403" t="s">
        <v>1425</v>
      </c>
      <c r="E5331" s="403" t="s">
        <v>778</v>
      </c>
      <c r="F5331" s="403" t="s">
        <v>1385</v>
      </c>
      <c r="G5331" s="403" t="s">
        <v>1467</v>
      </c>
      <c r="H5331" s="403" t="s">
        <v>1276</v>
      </c>
      <c r="I5331" s="403">
        <v>1</v>
      </c>
      <c r="J5331" s="403" t="s">
        <v>1374</v>
      </c>
      <c r="K5331" s="403">
        <v>1296</v>
      </c>
      <c r="L5331" s="403">
        <v>2304</v>
      </c>
      <c r="M5331" s="403" t="s">
        <v>1283</v>
      </c>
      <c r="N5331" s="403">
        <v>576</v>
      </c>
      <c r="O5331" s="403">
        <v>720</v>
      </c>
      <c r="P5331" t="str">
        <f t="shared" si="665"/>
        <v>25fps 2304x1296 - SD 4CIF resolution 4:3 format (cropped)</v>
      </c>
      <c r="Q5331">
        <f t="shared" si="666"/>
        <v>23</v>
      </c>
      <c r="R5331" t="str">
        <f t="shared" si="667"/>
        <v/>
      </c>
      <c r="S5331" t="str">
        <f t="shared" si="668"/>
        <v/>
      </c>
      <c r="T5331" s="403" t="str">
        <f t="shared" si="669"/>
        <v>NDI-5503-AL</v>
      </c>
      <c r="U5331" s="403">
        <f t="shared" si="670"/>
        <v>1</v>
      </c>
      <c r="V5331" s="403" t="str">
        <f t="shared" si="671"/>
        <v>CPP_7_3</v>
      </c>
    </row>
    <row r="5332" spans="1:22">
      <c r="A5332" t="str">
        <f t="shared" si="664"/>
        <v>NDI-5503-AL</v>
      </c>
      <c r="B5332" s="403" t="s">
        <v>1424</v>
      </c>
      <c r="C5332" s="403" t="s">
        <v>582</v>
      </c>
      <c r="D5332" s="403" t="s">
        <v>1425</v>
      </c>
      <c r="E5332" s="403" t="s">
        <v>778</v>
      </c>
      <c r="F5332" s="403" t="s">
        <v>1385</v>
      </c>
      <c r="G5332" s="403" t="s">
        <v>1467</v>
      </c>
      <c r="H5332" s="403" t="s">
        <v>1276</v>
      </c>
      <c r="I5332" s="403">
        <v>1</v>
      </c>
      <c r="J5332" s="403" t="s">
        <v>1374</v>
      </c>
      <c r="K5332" s="403">
        <v>1296</v>
      </c>
      <c r="L5332" s="403">
        <v>2304</v>
      </c>
      <c r="M5332" s="403" t="s">
        <v>1284</v>
      </c>
      <c r="N5332" s="403">
        <v>480</v>
      </c>
      <c r="O5332" s="403">
        <v>640</v>
      </c>
      <c r="P5332" t="str">
        <f t="shared" si="665"/>
        <v>25fps 2304x1296 - SD VGA (cropped)</v>
      </c>
      <c r="Q5332">
        <f t="shared" si="666"/>
        <v>23</v>
      </c>
      <c r="R5332" t="str">
        <f t="shared" si="667"/>
        <v/>
      </c>
      <c r="S5332" t="str">
        <f t="shared" si="668"/>
        <v/>
      </c>
      <c r="T5332" s="403" t="str">
        <f t="shared" si="669"/>
        <v>NDI-5503-AL</v>
      </c>
      <c r="U5332" s="403">
        <f t="shared" si="670"/>
        <v>1</v>
      </c>
      <c r="V5332" s="403" t="str">
        <f t="shared" si="671"/>
        <v>CPP_7_3</v>
      </c>
    </row>
    <row r="5333" spans="1:22">
      <c r="A5333" t="str">
        <f t="shared" si="664"/>
        <v>NDI-5503-AL</v>
      </c>
      <c r="B5333" s="403" t="s">
        <v>1424</v>
      </c>
      <c r="C5333" s="403" t="s">
        <v>582</v>
      </c>
      <c r="D5333" s="403" t="s">
        <v>1425</v>
      </c>
      <c r="E5333" s="403" t="s">
        <v>778</v>
      </c>
      <c r="F5333" s="403" t="s">
        <v>1385</v>
      </c>
      <c r="G5333" s="403" t="s">
        <v>1467</v>
      </c>
      <c r="H5333" s="403" t="s">
        <v>1276</v>
      </c>
      <c r="I5333" s="403">
        <v>1</v>
      </c>
      <c r="J5333" s="403" t="s">
        <v>1374</v>
      </c>
      <c r="K5333" s="403">
        <v>1296</v>
      </c>
      <c r="L5333" s="403">
        <v>2304</v>
      </c>
      <c r="M5333" s="403" t="s">
        <v>1280</v>
      </c>
      <c r="N5333" s="403">
        <v>1296</v>
      </c>
      <c r="O5333" s="403">
        <v>2304</v>
      </c>
      <c r="P5333" t="str">
        <f t="shared" si="665"/>
        <v>25fps 2304x1296 - copy other stream</v>
      </c>
      <c r="Q5333">
        <f t="shared" si="666"/>
        <v>23</v>
      </c>
      <c r="R5333" t="str">
        <f t="shared" si="667"/>
        <v/>
      </c>
      <c r="S5333" t="str">
        <f t="shared" si="668"/>
        <v/>
      </c>
      <c r="T5333" s="403" t="str">
        <f t="shared" si="669"/>
        <v>NDI-5503-AL</v>
      </c>
      <c r="U5333" s="403">
        <f t="shared" si="670"/>
        <v>1</v>
      </c>
      <c r="V5333" s="403" t="str">
        <f t="shared" si="671"/>
        <v>CPP_7_3</v>
      </c>
    </row>
    <row r="5334" spans="1:22">
      <c r="A5334" t="str">
        <f t="shared" si="664"/>
        <v>NDI-5503-AL</v>
      </c>
      <c r="B5334" s="403" t="s">
        <v>1424</v>
      </c>
      <c r="C5334" s="403" t="s">
        <v>582</v>
      </c>
      <c r="D5334" s="403" t="s">
        <v>1425</v>
      </c>
      <c r="E5334" s="403" t="s">
        <v>778</v>
      </c>
      <c r="F5334" s="403" t="s">
        <v>1385</v>
      </c>
      <c r="G5334" s="403" t="s">
        <v>1467</v>
      </c>
      <c r="H5334" s="403" t="s">
        <v>1276</v>
      </c>
      <c r="I5334" s="403">
        <v>1</v>
      </c>
      <c r="J5334" s="403" t="s">
        <v>110</v>
      </c>
      <c r="K5334" s="403">
        <v>1080</v>
      </c>
      <c r="L5334" s="403">
        <v>1920</v>
      </c>
      <c r="M5334" s="403" t="s">
        <v>111</v>
      </c>
      <c r="N5334" s="403">
        <v>480</v>
      </c>
      <c r="O5334" s="403">
        <v>640</v>
      </c>
      <c r="P5334" t="str">
        <f t="shared" si="665"/>
        <v>25fps 1080p - SD</v>
      </c>
      <c r="Q5334">
        <f t="shared" si="666"/>
        <v>23</v>
      </c>
      <c r="R5334" t="str">
        <f t="shared" si="667"/>
        <v/>
      </c>
      <c r="S5334" t="str">
        <f t="shared" si="668"/>
        <v/>
      </c>
      <c r="T5334" s="403" t="str">
        <f t="shared" si="669"/>
        <v>NDI-5503-AL</v>
      </c>
      <c r="U5334" s="403">
        <f t="shared" si="670"/>
        <v>1</v>
      </c>
      <c r="V5334" s="403" t="str">
        <f t="shared" si="671"/>
        <v>CPP_7_3</v>
      </c>
    </row>
    <row r="5335" spans="1:22">
      <c r="A5335" t="str">
        <f t="shared" si="664"/>
        <v>NDI-5503-AL</v>
      </c>
      <c r="B5335" s="403" t="s">
        <v>1424</v>
      </c>
      <c r="C5335" s="403" t="s">
        <v>582</v>
      </c>
      <c r="D5335" s="403" t="s">
        <v>1425</v>
      </c>
      <c r="E5335" s="403" t="s">
        <v>778</v>
      </c>
      <c r="F5335" s="403" t="s">
        <v>1385</v>
      </c>
      <c r="G5335" s="403" t="s">
        <v>1467</v>
      </c>
      <c r="H5335" s="403" t="s">
        <v>1276</v>
      </c>
      <c r="I5335" s="403">
        <v>1</v>
      </c>
      <c r="J5335" s="403" t="s">
        <v>110</v>
      </c>
      <c r="K5335" s="403">
        <v>1080</v>
      </c>
      <c r="L5335" s="403">
        <v>1920</v>
      </c>
      <c r="M5335" s="403" t="s">
        <v>110</v>
      </c>
      <c r="N5335" s="403">
        <v>1080</v>
      </c>
      <c r="O5335" s="403">
        <v>1920</v>
      </c>
      <c r="P5335" t="str">
        <f t="shared" si="665"/>
        <v>25fps 1080p - 1080p</v>
      </c>
      <c r="Q5335">
        <f t="shared" si="666"/>
        <v>23</v>
      </c>
      <c r="R5335" t="str">
        <f t="shared" si="667"/>
        <v/>
      </c>
      <c r="S5335" t="str">
        <f t="shared" si="668"/>
        <v/>
      </c>
      <c r="T5335" s="403" t="str">
        <f t="shared" si="669"/>
        <v>NDI-5503-AL</v>
      </c>
      <c r="U5335" s="403">
        <f t="shared" si="670"/>
        <v>1</v>
      </c>
      <c r="V5335" s="403" t="str">
        <f t="shared" si="671"/>
        <v>CPP_7_3</v>
      </c>
    </row>
    <row r="5336" spans="1:22">
      <c r="A5336" t="str">
        <f t="shared" si="664"/>
        <v>NDI-5503-AL</v>
      </c>
      <c r="B5336" s="403" t="s">
        <v>1424</v>
      </c>
      <c r="C5336" s="403" t="s">
        <v>582</v>
      </c>
      <c r="D5336" s="403" t="s">
        <v>1425</v>
      </c>
      <c r="E5336" s="403" t="s">
        <v>778</v>
      </c>
      <c r="F5336" s="403" t="s">
        <v>1385</v>
      </c>
      <c r="G5336" s="403" t="s">
        <v>1467</v>
      </c>
      <c r="H5336" s="403" t="s">
        <v>1276</v>
      </c>
      <c r="I5336" s="403">
        <v>1</v>
      </c>
      <c r="J5336" s="403" t="s">
        <v>110</v>
      </c>
      <c r="K5336" s="403">
        <v>1080</v>
      </c>
      <c r="L5336" s="403">
        <v>1920</v>
      </c>
      <c r="M5336" s="403" t="s">
        <v>109</v>
      </c>
      <c r="N5336" s="403">
        <v>720</v>
      </c>
      <c r="O5336" s="403">
        <v>1280</v>
      </c>
      <c r="P5336" t="str">
        <f t="shared" si="665"/>
        <v>25fps 1080p - 720p</v>
      </c>
      <c r="Q5336">
        <f t="shared" si="666"/>
        <v>23</v>
      </c>
      <c r="R5336" t="str">
        <f t="shared" si="667"/>
        <v/>
      </c>
      <c r="S5336" t="str">
        <f t="shared" si="668"/>
        <v/>
      </c>
      <c r="T5336" s="403" t="str">
        <f t="shared" si="669"/>
        <v>NDI-5503-AL</v>
      </c>
      <c r="U5336" s="403">
        <f t="shared" si="670"/>
        <v>1</v>
      </c>
      <c r="V5336" s="403" t="str">
        <f t="shared" si="671"/>
        <v>CPP_7_3</v>
      </c>
    </row>
    <row r="5337" spans="1:22">
      <c r="A5337" t="str">
        <f t="shared" si="664"/>
        <v>NDI-5503-AL</v>
      </c>
      <c r="B5337" s="403" t="s">
        <v>1424</v>
      </c>
      <c r="C5337" s="403" t="s">
        <v>582</v>
      </c>
      <c r="D5337" s="403" t="s">
        <v>1425</v>
      </c>
      <c r="E5337" s="403" t="s">
        <v>778</v>
      </c>
      <c r="F5337" s="403" t="s">
        <v>1385</v>
      </c>
      <c r="G5337" s="403" t="s">
        <v>1467</v>
      </c>
      <c r="H5337" s="403" t="s">
        <v>1276</v>
      </c>
      <c r="I5337" s="403">
        <v>1</v>
      </c>
      <c r="J5337" s="403" t="s">
        <v>110</v>
      </c>
      <c r="K5337" s="403">
        <v>1080</v>
      </c>
      <c r="L5337" s="403">
        <v>1920</v>
      </c>
      <c r="M5337" s="403" t="s">
        <v>1285</v>
      </c>
      <c r="N5337" s="403">
        <v>1024</v>
      </c>
      <c r="O5337" s="403">
        <v>1280</v>
      </c>
      <c r="P5337" t="str">
        <f t="shared" si="665"/>
        <v>25fps 1080p - 1280x1024 5:4 (cropped)</v>
      </c>
      <c r="Q5337">
        <f t="shared" si="666"/>
        <v>23</v>
      </c>
      <c r="R5337" t="str">
        <f t="shared" si="667"/>
        <v/>
      </c>
      <c r="S5337" t="str">
        <f t="shared" si="668"/>
        <v/>
      </c>
      <c r="T5337" s="403" t="str">
        <f t="shared" si="669"/>
        <v>NDI-5503-AL</v>
      </c>
      <c r="U5337" s="403">
        <f t="shared" si="670"/>
        <v>1</v>
      </c>
      <c r="V5337" s="403" t="str">
        <f t="shared" si="671"/>
        <v>CPP_7_3</v>
      </c>
    </row>
    <row r="5338" spans="1:22">
      <c r="A5338" t="str">
        <f t="shared" si="664"/>
        <v>NDI-5503-AL</v>
      </c>
      <c r="B5338" s="403" t="s">
        <v>1424</v>
      </c>
      <c r="C5338" s="403" t="s">
        <v>582</v>
      </c>
      <c r="D5338" s="403" t="s">
        <v>1425</v>
      </c>
      <c r="E5338" s="403" t="s">
        <v>778</v>
      </c>
      <c r="F5338" s="403" t="s">
        <v>1385</v>
      </c>
      <c r="G5338" s="403" t="s">
        <v>1467</v>
      </c>
      <c r="H5338" s="403" t="s">
        <v>1276</v>
      </c>
      <c r="I5338" s="403">
        <v>1</v>
      </c>
      <c r="J5338" s="403" t="s">
        <v>110</v>
      </c>
      <c r="K5338" s="403">
        <v>1080</v>
      </c>
      <c r="L5338" s="403">
        <v>1920</v>
      </c>
      <c r="M5338" s="403" t="s">
        <v>1279</v>
      </c>
      <c r="N5338" s="403">
        <v>480</v>
      </c>
      <c r="O5338" s="403">
        <v>640</v>
      </c>
      <c r="P5338" t="str">
        <f t="shared" si="665"/>
        <v>25fps 1080p - SD ROI PTZ</v>
      </c>
      <c r="Q5338">
        <f t="shared" si="666"/>
        <v>23</v>
      </c>
      <c r="R5338" t="str">
        <f t="shared" si="667"/>
        <v/>
      </c>
      <c r="S5338" t="str">
        <f t="shared" si="668"/>
        <v/>
      </c>
      <c r="T5338" s="403" t="str">
        <f t="shared" si="669"/>
        <v>NDI-5503-AL</v>
      </c>
      <c r="U5338" s="403">
        <f t="shared" si="670"/>
        <v>1</v>
      </c>
      <c r="V5338" s="403" t="str">
        <f t="shared" si="671"/>
        <v>CPP_7_3</v>
      </c>
    </row>
    <row r="5339" spans="1:22">
      <c r="A5339" t="str">
        <f t="shared" si="664"/>
        <v>NDI-5503-AL</v>
      </c>
      <c r="B5339" s="403" t="s">
        <v>1424</v>
      </c>
      <c r="C5339" s="403" t="s">
        <v>582</v>
      </c>
      <c r="D5339" s="403" t="s">
        <v>1425</v>
      </c>
      <c r="E5339" s="403" t="s">
        <v>778</v>
      </c>
      <c r="F5339" s="403" t="s">
        <v>1385</v>
      </c>
      <c r="G5339" s="403" t="s">
        <v>1467</v>
      </c>
      <c r="H5339" s="403" t="s">
        <v>1276</v>
      </c>
      <c r="I5339" s="403">
        <v>1</v>
      </c>
      <c r="J5339" s="403" t="s">
        <v>110</v>
      </c>
      <c r="K5339" s="403">
        <v>1080</v>
      </c>
      <c r="L5339" s="403">
        <v>1920</v>
      </c>
      <c r="M5339" s="403" t="s">
        <v>1283</v>
      </c>
      <c r="N5339" s="403">
        <v>576</v>
      </c>
      <c r="O5339" s="403">
        <v>720</v>
      </c>
      <c r="P5339" t="str">
        <f t="shared" si="665"/>
        <v>25fps 1080p - SD 4CIF resolution 4:3 format (cropped)</v>
      </c>
      <c r="Q5339">
        <f t="shared" si="666"/>
        <v>23</v>
      </c>
      <c r="R5339" t="str">
        <f t="shared" si="667"/>
        <v/>
      </c>
      <c r="S5339" t="str">
        <f t="shared" si="668"/>
        <v/>
      </c>
      <c r="T5339" s="403" t="str">
        <f t="shared" si="669"/>
        <v>NDI-5503-AL</v>
      </c>
      <c r="U5339" s="403">
        <f t="shared" si="670"/>
        <v>1</v>
      </c>
      <c r="V5339" s="403" t="str">
        <f t="shared" si="671"/>
        <v>CPP_7_3</v>
      </c>
    </row>
    <row r="5340" spans="1:22">
      <c r="A5340" t="str">
        <f t="shared" si="664"/>
        <v>NDI-5503-AL</v>
      </c>
      <c r="B5340" s="403" t="s">
        <v>1424</v>
      </c>
      <c r="C5340" s="403" t="s">
        <v>582</v>
      </c>
      <c r="D5340" s="403" t="s">
        <v>1425</v>
      </c>
      <c r="E5340" s="403" t="s">
        <v>778</v>
      </c>
      <c r="F5340" s="403" t="s">
        <v>1385</v>
      </c>
      <c r="G5340" s="403" t="s">
        <v>1467</v>
      </c>
      <c r="H5340" s="403" t="s">
        <v>1276</v>
      </c>
      <c r="I5340" s="403">
        <v>1</v>
      </c>
      <c r="J5340" s="403" t="s">
        <v>110</v>
      </c>
      <c r="K5340" s="403">
        <v>1080</v>
      </c>
      <c r="L5340" s="403">
        <v>1920</v>
      </c>
      <c r="M5340" s="403" t="s">
        <v>1284</v>
      </c>
      <c r="N5340" s="403">
        <v>480</v>
      </c>
      <c r="O5340" s="403">
        <v>640</v>
      </c>
      <c r="P5340" t="str">
        <f t="shared" si="665"/>
        <v>25fps 1080p - SD VGA (cropped)</v>
      </c>
      <c r="Q5340">
        <f t="shared" si="666"/>
        <v>23</v>
      </c>
      <c r="R5340" t="str">
        <f t="shared" si="667"/>
        <v/>
      </c>
      <c r="S5340" t="str">
        <f t="shared" si="668"/>
        <v/>
      </c>
      <c r="T5340" s="403" t="str">
        <f t="shared" si="669"/>
        <v>NDI-5503-AL</v>
      </c>
      <c r="U5340" s="403">
        <f t="shared" si="670"/>
        <v>1</v>
      </c>
      <c r="V5340" s="403" t="str">
        <f t="shared" si="671"/>
        <v>CPP_7_3</v>
      </c>
    </row>
    <row r="5341" spans="1:22">
      <c r="A5341" t="str">
        <f t="shared" si="664"/>
        <v>NDI-5503-AL</v>
      </c>
      <c r="B5341" s="403" t="s">
        <v>1424</v>
      </c>
      <c r="C5341" s="403" t="s">
        <v>582</v>
      </c>
      <c r="D5341" s="403" t="s">
        <v>1425</v>
      </c>
      <c r="E5341" s="403" t="s">
        <v>778</v>
      </c>
      <c r="F5341" s="403" t="s">
        <v>1385</v>
      </c>
      <c r="G5341" s="403" t="s">
        <v>1467</v>
      </c>
      <c r="H5341" s="403" t="s">
        <v>1276</v>
      </c>
      <c r="I5341" s="403">
        <v>1</v>
      </c>
      <c r="J5341" s="403" t="s">
        <v>109</v>
      </c>
      <c r="K5341" s="403">
        <v>720</v>
      </c>
      <c r="L5341" s="403">
        <v>1280</v>
      </c>
      <c r="M5341" s="403" t="s">
        <v>109</v>
      </c>
      <c r="N5341" s="403">
        <v>720</v>
      </c>
      <c r="O5341" s="403">
        <v>1280</v>
      </c>
      <c r="P5341" t="str">
        <f t="shared" si="665"/>
        <v>25fps 720p - 720p</v>
      </c>
      <c r="Q5341">
        <f t="shared" si="666"/>
        <v>23</v>
      </c>
      <c r="R5341" t="str">
        <f t="shared" si="667"/>
        <v/>
      </c>
      <c r="S5341" t="str">
        <f t="shared" si="668"/>
        <v/>
      </c>
      <c r="T5341" s="403" t="str">
        <f t="shared" si="669"/>
        <v>NDI-5503-AL</v>
      </c>
      <c r="U5341" s="403">
        <f t="shared" si="670"/>
        <v>1</v>
      </c>
      <c r="V5341" s="403" t="str">
        <f t="shared" si="671"/>
        <v>CPP_7_3</v>
      </c>
    </row>
    <row r="5342" spans="1:22">
      <c r="A5342" t="str">
        <f t="shared" si="664"/>
        <v>NDI-5503-AL</v>
      </c>
      <c r="B5342" s="403" t="s">
        <v>1424</v>
      </c>
      <c r="C5342" s="403" t="s">
        <v>582</v>
      </c>
      <c r="D5342" s="403" t="s">
        <v>1425</v>
      </c>
      <c r="E5342" s="403" t="s">
        <v>778</v>
      </c>
      <c r="F5342" s="403" t="s">
        <v>1385</v>
      </c>
      <c r="G5342" s="403" t="s">
        <v>1467</v>
      </c>
      <c r="H5342" s="403" t="s">
        <v>1276</v>
      </c>
      <c r="I5342" s="403">
        <v>1</v>
      </c>
      <c r="J5342" s="403" t="s">
        <v>109</v>
      </c>
      <c r="K5342" s="403">
        <v>720</v>
      </c>
      <c r="L5342" s="403">
        <v>1280</v>
      </c>
      <c r="M5342" s="403" t="s">
        <v>111</v>
      </c>
      <c r="N5342" s="403">
        <v>480</v>
      </c>
      <c r="O5342" s="403">
        <v>640</v>
      </c>
      <c r="P5342" t="str">
        <f t="shared" si="665"/>
        <v>25fps 720p - SD</v>
      </c>
      <c r="Q5342">
        <f t="shared" si="666"/>
        <v>23</v>
      </c>
      <c r="R5342" t="str">
        <f t="shared" si="667"/>
        <v/>
      </c>
      <c r="S5342" t="str">
        <f t="shared" si="668"/>
        <v/>
      </c>
      <c r="T5342" s="403" t="str">
        <f t="shared" si="669"/>
        <v>NDI-5503-AL</v>
      </c>
      <c r="U5342" s="403">
        <f t="shared" si="670"/>
        <v>1</v>
      </c>
      <c r="V5342" s="403" t="str">
        <f t="shared" si="671"/>
        <v>CPP_7_3</v>
      </c>
    </row>
    <row r="5343" spans="1:22">
      <c r="A5343" t="str">
        <f t="shared" si="664"/>
        <v>NDI-5503-AL</v>
      </c>
      <c r="B5343" s="403" t="s">
        <v>1424</v>
      </c>
      <c r="C5343" s="403" t="s">
        <v>582</v>
      </c>
      <c r="D5343" s="403" t="s">
        <v>1425</v>
      </c>
      <c r="E5343" s="403" t="s">
        <v>778</v>
      </c>
      <c r="F5343" s="403" t="s">
        <v>1385</v>
      </c>
      <c r="G5343" s="403" t="s">
        <v>1467</v>
      </c>
      <c r="H5343" s="403" t="s">
        <v>1276</v>
      </c>
      <c r="I5343" s="403">
        <v>1</v>
      </c>
      <c r="J5343" s="403" t="s">
        <v>109</v>
      </c>
      <c r="K5343" s="403">
        <v>720</v>
      </c>
      <c r="L5343" s="403">
        <v>1280</v>
      </c>
      <c r="M5343" s="403" t="s">
        <v>1279</v>
      </c>
      <c r="N5343" s="403">
        <v>480</v>
      </c>
      <c r="O5343" s="403">
        <v>640</v>
      </c>
      <c r="P5343" t="str">
        <f t="shared" si="665"/>
        <v>25fps 720p - SD ROI PTZ</v>
      </c>
      <c r="Q5343">
        <f t="shared" si="666"/>
        <v>23</v>
      </c>
      <c r="R5343" t="str">
        <f t="shared" si="667"/>
        <v/>
      </c>
      <c r="S5343" t="str">
        <f t="shared" si="668"/>
        <v/>
      </c>
      <c r="T5343" s="403" t="str">
        <f t="shared" si="669"/>
        <v>NDI-5503-AL</v>
      </c>
      <c r="U5343" s="403">
        <f t="shared" si="670"/>
        <v>1</v>
      </c>
      <c r="V5343" s="403" t="str">
        <f t="shared" si="671"/>
        <v>CPP_7_3</v>
      </c>
    </row>
    <row r="5344" spans="1:22">
      <c r="A5344" t="str">
        <f t="shared" si="664"/>
        <v>NDI-5503-AL</v>
      </c>
      <c r="B5344" s="403" t="s">
        <v>1424</v>
      </c>
      <c r="C5344" s="403" t="s">
        <v>582</v>
      </c>
      <c r="D5344" s="403" t="s">
        <v>1425</v>
      </c>
      <c r="E5344" s="403" t="s">
        <v>778</v>
      </c>
      <c r="F5344" s="403" t="s">
        <v>1385</v>
      </c>
      <c r="G5344" s="403" t="s">
        <v>1467</v>
      </c>
      <c r="H5344" s="403" t="s">
        <v>1276</v>
      </c>
      <c r="I5344" s="403">
        <v>1</v>
      </c>
      <c r="J5344" s="403" t="s">
        <v>109</v>
      </c>
      <c r="K5344" s="403">
        <v>720</v>
      </c>
      <c r="L5344" s="403">
        <v>1280</v>
      </c>
      <c r="M5344" s="403" t="s">
        <v>1283</v>
      </c>
      <c r="N5344" s="403">
        <v>576</v>
      </c>
      <c r="O5344" s="403">
        <v>720</v>
      </c>
      <c r="P5344" t="str">
        <f t="shared" si="665"/>
        <v>25fps 720p - SD 4CIF resolution 4:3 format (cropped)</v>
      </c>
      <c r="Q5344">
        <f t="shared" si="666"/>
        <v>23</v>
      </c>
      <c r="R5344" t="str">
        <f t="shared" si="667"/>
        <v/>
      </c>
      <c r="S5344" t="str">
        <f t="shared" si="668"/>
        <v/>
      </c>
      <c r="T5344" s="403" t="str">
        <f t="shared" si="669"/>
        <v>NDI-5503-AL</v>
      </c>
      <c r="U5344" s="403">
        <f t="shared" si="670"/>
        <v>1</v>
      </c>
      <c r="V5344" s="403" t="str">
        <f t="shared" si="671"/>
        <v>CPP_7_3</v>
      </c>
    </row>
    <row r="5345" spans="1:22">
      <c r="A5345" t="str">
        <f t="shared" si="664"/>
        <v>NDI-5503-AL</v>
      </c>
      <c r="B5345" s="403" t="s">
        <v>1424</v>
      </c>
      <c r="C5345" s="403" t="s">
        <v>582</v>
      </c>
      <c r="D5345" s="403" t="s">
        <v>1425</v>
      </c>
      <c r="E5345" s="403" t="s">
        <v>778</v>
      </c>
      <c r="F5345" s="403" t="s">
        <v>1385</v>
      </c>
      <c r="G5345" s="403" t="s">
        <v>1467</v>
      </c>
      <c r="H5345" s="403" t="s">
        <v>1276</v>
      </c>
      <c r="I5345" s="403">
        <v>1</v>
      </c>
      <c r="J5345" s="403" t="s">
        <v>109</v>
      </c>
      <c r="K5345" s="403">
        <v>720</v>
      </c>
      <c r="L5345" s="403">
        <v>1280</v>
      </c>
      <c r="M5345" s="403" t="s">
        <v>1284</v>
      </c>
      <c r="N5345" s="403">
        <v>480</v>
      </c>
      <c r="O5345" s="403">
        <v>640</v>
      </c>
      <c r="P5345" t="str">
        <f t="shared" si="665"/>
        <v>25fps 720p - SD VGA (cropped)</v>
      </c>
      <c r="Q5345">
        <f t="shared" si="666"/>
        <v>23</v>
      </c>
      <c r="R5345" t="str">
        <f t="shared" si="667"/>
        <v/>
      </c>
      <c r="S5345" t="str">
        <f t="shared" si="668"/>
        <v/>
      </c>
      <c r="T5345" s="403" t="str">
        <f t="shared" si="669"/>
        <v>NDI-5503-AL</v>
      </c>
      <c r="U5345" s="403">
        <f t="shared" si="670"/>
        <v>1</v>
      </c>
      <c r="V5345" s="403" t="str">
        <f t="shared" si="671"/>
        <v>CPP_7_3</v>
      </c>
    </row>
    <row r="5346" spans="1:22">
      <c r="A5346" t="str">
        <f t="shared" si="664"/>
        <v>NDI-5503-AL</v>
      </c>
      <c r="B5346" s="403" t="s">
        <v>1424</v>
      </c>
      <c r="C5346" s="403" t="s">
        <v>582</v>
      </c>
      <c r="D5346" s="403" t="s">
        <v>1425</v>
      </c>
      <c r="E5346" s="403" t="s">
        <v>778</v>
      </c>
      <c r="F5346" s="403" t="s">
        <v>1385</v>
      </c>
      <c r="G5346" s="403" t="s">
        <v>1467</v>
      </c>
      <c r="H5346" s="403" t="s">
        <v>1281</v>
      </c>
      <c r="I5346" s="403">
        <v>1</v>
      </c>
      <c r="J5346" s="403" t="s">
        <v>1376</v>
      </c>
      <c r="K5346" s="403">
        <v>1728</v>
      </c>
      <c r="L5346" s="403">
        <v>3072</v>
      </c>
      <c r="M5346" s="403" t="s">
        <v>111</v>
      </c>
      <c r="N5346" s="403">
        <v>480</v>
      </c>
      <c r="O5346" s="403">
        <v>640</v>
      </c>
      <c r="P5346" t="str">
        <f t="shared" si="665"/>
        <v>25fps 3072x1728 - SD</v>
      </c>
      <c r="Q5346">
        <f t="shared" si="666"/>
        <v>23</v>
      </c>
      <c r="R5346" t="str">
        <f t="shared" si="667"/>
        <v/>
      </c>
      <c r="S5346" t="str">
        <f t="shared" si="668"/>
        <v/>
      </c>
      <c r="T5346" s="403" t="str">
        <f t="shared" si="669"/>
        <v>NDI-5503-AL</v>
      </c>
      <c r="U5346" s="403">
        <f t="shared" si="670"/>
        <v>1</v>
      </c>
      <c r="V5346" s="403" t="str">
        <f t="shared" si="671"/>
        <v>CPP_7_3</v>
      </c>
    </row>
    <row r="5347" spans="1:22">
      <c r="A5347" t="str">
        <f t="shared" si="664"/>
        <v>NDI-5503-AL</v>
      </c>
      <c r="B5347" s="403" t="s">
        <v>1424</v>
      </c>
      <c r="C5347" s="403" t="s">
        <v>582</v>
      </c>
      <c r="D5347" s="403" t="s">
        <v>1425</v>
      </c>
      <c r="E5347" s="403" t="s">
        <v>778</v>
      </c>
      <c r="F5347" s="403" t="s">
        <v>1385</v>
      </c>
      <c r="G5347" s="403" t="s">
        <v>1467</v>
      </c>
      <c r="H5347" s="403" t="s">
        <v>1281</v>
      </c>
      <c r="I5347" s="403">
        <v>1</v>
      </c>
      <c r="J5347" s="403" t="s">
        <v>1376</v>
      </c>
      <c r="K5347" s="403">
        <v>1728</v>
      </c>
      <c r="L5347" s="403">
        <v>3072</v>
      </c>
      <c r="M5347" s="403" t="s">
        <v>1600</v>
      </c>
      <c r="N5347" s="403">
        <v>1728</v>
      </c>
      <c r="O5347" s="403">
        <v>3072</v>
      </c>
      <c r="P5347" t="str">
        <f t="shared" si="665"/>
        <v>25fps 3072x1728 - 3072x1728 @ SKIP2</v>
      </c>
      <c r="Q5347">
        <f t="shared" si="666"/>
        <v>23</v>
      </c>
      <c r="R5347" t="str">
        <f t="shared" si="667"/>
        <v/>
      </c>
      <c r="S5347" t="str">
        <f t="shared" si="668"/>
        <v/>
      </c>
      <c r="T5347" s="403" t="str">
        <f t="shared" si="669"/>
        <v>NDI-5503-AL</v>
      </c>
      <c r="U5347" s="403">
        <f t="shared" si="670"/>
        <v>1</v>
      </c>
      <c r="V5347" s="403" t="str">
        <f t="shared" si="671"/>
        <v>CPP_7_3</v>
      </c>
    </row>
    <row r="5348" spans="1:22">
      <c r="A5348" t="str">
        <f t="shared" si="664"/>
        <v>NDI-5503-AL</v>
      </c>
      <c r="B5348" s="403" t="s">
        <v>1424</v>
      </c>
      <c r="C5348" s="403" t="s">
        <v>582</v>
      </c>
      <c r="D5348" s="403" t="s">
        <v>1425</v>
      </c>
      <c r="E5348" s="403" t="s">
        <v>778</v>
      </c>
      <c r="F5348" s="403" t="s">
        <v>1385</v>
      </c>
      <c r="G5348" s="403" t="s">
        <v>1467</v>
      </c>
      <c r="H5348" s="403" t="s">
        <v>1281</v>
      </c>
      <c r="I5348" s="403">
        <v>1</v>
      </c>
      <c r="J5348" s="403" t="s">
        <v>1376</v>
      </c>
      <c r="K5348" s="403">
        <v>1728</v>
      </c>
      <c r="L5348" s="403">
        <v>3072</v>
      </c>
      <c r="M5348" s="403" t="s">
        <v>1280</v>
      </c>
      <c r="N5348" s="403">
        <v>1728</v>
      </c>
      <c r="O5348" s="403">
        <v>3072</v>
      </c>
      <c r="P5348" t="str">
        <f t="shared" si="665"/>
        <v>25fps 3072x1728 - copy other stream</v>
      </c>
      <c r="Q5348">
        <f t="shared" si="666"/>
        <v>23</v>
      </c>
      <c r="R5348" t="str">
        <f t="shared" si="667"/>
        <v/>
      </c>
      <c r="S5348" t="str">
        <f t="shared" si="668"/>
        <v/>
      </c>
      <c r="T5348" s="403" t="str">
        <f t="shared" si="669"/>
        <v>NDI-5503-AL</v>
      </c>
      <c r="U5348" s="403">
        <f t="shared" si="670"/>
        <v>1</v>
      </c>
      <c r="V5348" s="403" t="str">
        <f t="shared" si="671"/>
        <v>CPP_7_3</v>
      </c>
    </row>
    <row r="5349" spans="1:22">
      <c r="A5349" t="str">
        <f t="shared" si="664"/>
        <v>NDI-5503-AL</v>
      </c>
      <c r="B5349" s="403" t="s">
        <v>1424</v>
      </c>
      <c r="C5349" s="403" t="s">
        <v>582</v>
      </c>
      <c r="D5349" s="403" t="s">
        <v>1425</v>
      </c>
      <c r="E5349" s="403" t="s">
        <v>778</v>
      </c>
      <c r="F5349" s="403" t="s">
        <v>1385</v>
      </c>
      <c r="G5349" s="403" t="s">
        <v>1467</v>
      </c>
      <c r="H5349" s="403" t="s">
        <v>1281</v>
      </c>
      <c r="I5349" s="403">
        <v>1</v>
      </c>
      <c r="J5349" s="403" t="s">
        <v>1376</v>
      </c>
      <c r="K5349" s="403">
        <v>1728</v>
      </c>
      <c r="L5349" s="403">
        <v>3072</v>
      </c>
      <c r="M5349" s="403" t="s">
        <v>110</v>
      </c>
      <c r="N5349" s="403">
        <v>1080</v>
      </c>
      <c r="O5349" s="403">
        <v>1920</v>
      </c>
      <c r="P5349" t="str">
        <f t="shared" si="665"/>
        <v>25fps 3072x1728 - 1080p</v>
      </c>
      <c r="Q5349">
        <f t="shared" si="666"/>
        <v>23</v>
      </c>
      <c r="R5349" t="str">
        <f t="shared" si="667"/>
        <v/>
      </c>
      <c r="S5349" t="str">
        <f t="shared" si="668"/>
        <v/>
      </c>
      <c r="T5349" s="403" t="str">
        <f t="shared" si="669"/>
        <v>NDI-5503-AL</v>
      </c>
      <c r="U5349" s="403">
        <f t="shared" si="670"/>
        <v>1</v>
      </c>
      <c r="V5349" s="403" t="str">
        <f t="shared" si="671"/>
        <v>CPP_7_3</v>
      </c>
    </row>
    <row r="5350" spans="1:22">
      <c r="A5350" t="str">
        <f t="shared" si="664"/>
        <v>NDI-5503-AL</v>
      </c>
      <c r="B5350" s="403" t="s">
        <v>1424</v>
      </c>
      <c r="C5350" s="403" t="s">
        <v>582</v>
      </c>
      <c r="D5350" s="403" t="s">
        <v>1425</v>
      </c>
      <c r="E5350" s="403" t="s">
        <v>778</v>
      </c>
      <c r="F5350" s="403" t="s">
        <v>1385</v>
      </c>
      <c r="G5350" s="403" t="s">
        <v>1467</v>
      </c>
      <c r="H5350" s="403" t="s">
        <v>1281</v>
      </c>
      <c r="I5350" s="403">
        <v>1</v>
      </c>
      <c r="J5350" s="403" t="s">
        <v>1376</v>
      </c>
      <c r="K5350" s="403">
        <v>1728</v>
      </c>
      <c r="L5350" s="403">
        <v>3072</v>
      </c>
      <c r="M5350" s="403" t="s">
        <v>109</v>
      </c>
      <c r="N5350" s="403">
        <v>720</v>
      </c>
      <c r="O5350" s="403">
        <v>1280</v>
      </c>
      <c r="P5350" t="str">
        <f t="shared" si="665"/>
        <v>25fps 3072x1728 - 720p</v>
      </c>
      <c r="Q5350">
        <f t="shared" si="666"/>
        <v>23</v>
      </c>
      <c r="R5350" t="str">
        <f t="shared" si="667"/>
        <v/>
      </c>
      <c r="S5350" t="str">
        <f t="shared" si="668"/>
        <v/>
      </c>
      <c r="T5350" s="403" t="str">
        <f t="shared" si="669"/>
        <v>NDI-5503-AL</v>
      </c>
      <c r="U5350" s="403">
        <f t="shared" si="670"/>
        <v>1</v>
      </c>
      <c r="V5350" s="403" t="str">
        <f t="shared" si="671"/>
        <v>CPP_7_3</v>
      </c>
    </row>
    <row r="5351" spans="1:22">
      <c r="A5351" t="str">
        <f t="shared" si="664"/>
        <v>NDI-5503-AL</v>
      </c>
      <c r="B5351" s="403" t="s">
        <v>1424</v>
      </c>
      <c r="C5351" s="403" t="s">
        <v>582</v>
      </c>
      <c r="D5351" s="403" t="s">
        <v>1425</v>
      </c>
      <c r="E5351" s="403" t="s">
        <v>778</v>
      </c>
      <c r="F5351" s="403" t="s">
        <v>1385</v>
      </c>
      <c r="G5351" s="403" t="s">
        <v>1467</v>
      </c>
      <c r="H5351" s="403" t="s">
        <v>1281</v>
      </c>
      <c r="I5351" s="403">
        <v>1</v>
      </c>
      <c r="J5351" s="403" t="s">
        <v>1376</v>
      </c>
      <c r="K5351" s="403">
        <v>1728</v>
      </c>
      <c r="L5351" s="403">
        <v>3072</v>
      </c>
      <c r="M5351" s="403" t="s">
        <v>1283</v>
      </c>
      <c r="N5351" s="403">
        <v>576</v>
      </c>
      <c r="O5351" s="403">
        <v>720</v>
      </c>
      <c r="P5351" t="str">
        <f t="shared" si="665"/>
        <v>25fps 3072x1728 - SD 4CIF resolution 4:3 format (cropped)</v>
      </c>
      <c r="Q5351">
        <f t="shared" si="666"/>
        <v>23</v>
      </c>
      <c r="R5351" t="str">
        <f t="shared" si="667"/>
        <v/>
      </c>
      <c r="S5351" t="str">
        <f t="shared" si="668"/>
        <v/>
      </c>
      <c r="T5351" s="403" t="str">
        <f t="shared" si="669"/>
        <v>NDI-5503-AL</v>
      </c>
      <c r="U5351" s="403">
        <f t="shared" si="670"/>
        <v>1</v>
      </c>
      <c r="V5351" s="403" t="str">
        <f t="shared" si="671"/>
        <v>CPP_7_3</v>
      </c>
    </row>
    <row r="5352" spans="1:22">
      <c r="A5352" t="str">
        <f t="shared" si="664"/>
        <v>NDI-5503-AL</v>
      </c>
      <c r="B5352" s="403" t="s">
        <v>1424</v>
      </c>
      <c r="C5352" s="403" t="s">
        <v>582</v>
      </c>
      <c r="D5352" s="403" t="s">
        <v>1425</v>
      </c>
      <c r="E5352" s="403" t="s">
        <v>778</v>
      </c>
      <c r="F5352" s="403" t="s">
        <v>1385</v>
      </c>
      <c r="G5352" s="403" t="s">
        <v>1467</v>
      </c>
      <c r="H5352" s="403" t="s">
        <v>1281</v>
      </c>
      <c r="I5352" s="403">
        <v>1</v>
      </c>
      <c r="J5352" s="403" t="s">
        <v>1376</v>
      </c>
      <c r="K5352" s="403">
        <v>1728</v>
      </c>
      <c r="L5352" s="403">
        <v>3072</v>
      </c>
      <c r="M5352" s="403" t="s">
        <v>1279</v>
      </c>
      <c r="N5352" s="403">
        <v>480</v>
      </c>
      <c r="O5352" s="403">
        <v>640</v>
      </c>
      <c r="P5352" t="str">
        <f t="shared" si="665"/>
        <v>25fps 3072x1728 - SD ROI PTZ</v>
      </c>
      <c r="Q5352">
        <f t="shared" si="666"/>
        <v>23</v>
      </c>
      <c r="R5352" t="str">
        <f t="shared" si="667"/>
        <v/>
      </c>
      <c r="S5352" t="str">
        <f t="shared" si="668"/>
        <v/>
      </c>
      <c r="T5352" s="403" t="str">
        <f t="shared" si="669"/>
        <v>NDI-5503-AL</v>
      </c>
      <c r="U5352" s="403">
        <f t="shared" si="670"/>
        <v>1</v>
      </c>
      <c r="V5352" s="403" t="str">
        <f t="shared" si="671"/>
        <v>CPP_7_3</v>
      </c>
    </row>
    <row r="5353" spans="1:22">
      <c r="A5353" t="str">
        <f t="shared" si="664"/>
        <v>NDI-5503-AL</v>
      </c>
      <c r="B5353" s="403" t="s">
        <v>1424</v>
      </c>
      <c r="C5353" s="403" t="s">
        <v>582</v>
      </c>
      <c r="D5353" s="403" t="s">
        <v>1425</v>
      </c>
      <c r="E5353" s="403" t="s">
        <v>778</v>
      </c>
      <c r="F5353" s="403" t="s">
        <v>1385</v>
      </c>
      <c r="G5353" s="403" t="s">
        <v>1467</v>
      </c>
      <c r="H5353" s="403" t="s">
        <v>1281</v>
      </c>
      <c r="I5353" s="403">
        <v>1</v>
      </c>
      <c r="J5353" s="403" t="s">
        <v>1376</v>
      </c>
      <c r="K5353" s="403">
        <v>1728</v>
      </c>
      <c r="L5353" s="403">
        <v>3072</v>
      </c>
      <c r="M5353" s="403" t="s">
        <v>1284</v>
      </c>
      <c r="N5353" s="403">
        <v>480</v>
      </c>
      <c r="O5353" s="403">
        <v>640</v>
      </c>
      <c r="P5353" t="str">
        <f t="shared" si="665"/>
        <v>25fps 3072x1728 - SD VGA (cropped)</v>
      </c>
      <c r="Q5353">
        <f t="shared" si="666"/>
        <v>23</v>
      </c>
      <c r="R5353" t="str">
        <f t="shared" si="667"/>
        <v/>
      </c>
      <c r="S5353" t="str">
        <f t="shared" si="668"/>
        <v/>
      </c>
      <c r="T5353" s="403" t="str">
        <f t="shared" si="669"/>
        <v>NDI-5503-AL</v>
      </c>
      <c r="U5353" s="403">
        <f t="shared" si="670"/>
        <v>1</v>
      </c>
      <c r="V5353" s="403" t="str">
        <f t="shared" si="671"/>
        <v>CPP_7_3</v>
      </c>
    </row>
    <row r="5354" spans="1:22">
      <c r="A5354" t="str">
        <f t="shared" si="664"/>
        <v>NDI-5503-AL</v>
      </c>
      <c r="B5354" s="403" t="s">
        <v>1424</v>
      </c>
      <c r="C5354" s="403" t="s">
        <v>582</v>
      </c>
      <c r="D5354" s="403" t="s">
        <v>1425</v>
      </c>
      <c r="E5354" s="403" t="s">
        <v>778</v>
      </c>
      <c r="F5354" s="403" t="s">
        <v>1385</v>
      </c>
      <c r="G5354" s="403" t="s">
        <v>1467</v>
      </c>
      <c r="H5354" s="403" t="s">
        <v>1281</v>
      </c>
      <c r="I5354" s="403">
        <v>1</v>
      </c>
      <c r="J5354" s="403" t="s">
        <v>1376</v>
      </c>
      <c r="K5354" s="403">
        <v>1728</v>
      </c>
      <c r="L5354" s="403">
        <v>3072</v>
      </c>
      <c r="M5354" s="403" t="s">
        <v>1285</v>
      </c>
      <c r="N5354" s="403">
        <v>1024</v>
      </c>
      <c r="O5354" s="403">
        <v>1280</v>
      </c>
      <c r="P5354" t="str">
        <f t="shared" si="665"/>
        <v>25fps 3072x1728 - 1280x1024 5:4 (cropped)</v>
      </c>
      <c r="Q5354">
        <f t="shared" si="666"/>
        <v>23</v>
      </c>
      <c r="R5354" t="str">
        <f t="shared" si="667"/>
        <v/>
      </c>
      <c r="S5354" t="str">
        <f t="shared" si="668"/>
        <v/>
      </c>
      <c r="T5354" s="403" t="str">
        <f t="shared" si="669"/>
        <v>NDI-5503-AL</v>
      </c>
      <c r="U5354" s="403">
        <f t="shared" si="670"/>
        <v>1</v>
      </c>
      <c r="V5354" s="403" t="str">
        <f t="shared" si="671"/>
        <v>CPP_7_3</v>
      </c>
    </row>
    <row r="5355" spans="1:22">
      <c r="A5355" t="str">
        <f t="shared" si="664"/>
        <v>NDI-5503-AL</v>
      </c>
      <c r="B5355" s="403" t="s">
        <v>1424</v>
      </c>
      <c r="C5355" s="403" t="s">
        <v>582</v>
      </c>
      <c r="D5355" s="403" t="s">
        <v>1425</v>
      </c>
      <c r="E5355" s="403" t="s">
        <v>778</v>
      </c>
      <c r="F5355" s="403" t="s">
        <v>1385</v>
      </c>
      <c r="G5355" s="403" t="s">
        <v>1467</v>
      </c>
      <c r="H5355" s="403" t="s">
        <v>1281</v>
      </c>
      <c r="I5355" s="403">
        <v>1</v>
      </c>
      <c r="J5355" s="403" t="s">
        <v>1376</v>
      </c>
      <c r="K5355" s="403">
        <v>1728</v>
      </c>
      <c r="L5355" s="403">
        <v>3072</v>
      </c>
      <c r="M5355" s="403" t="s">
        <v>1383</v>
      </c>
      <c r="N5355" s="403">
        <v>1440</v>
      </c>
      <c r="O5355" s="403">
        <v>1920</v>
      </c>
      <c r="P5355" t="str">
        <f t="shared" si="665"/>
        <v>25fps 3072x1728 - 1920x1440_CROP</v>
      </c>
      <c r="Q5355">
        <f t="shared" si="666"/>
        <v>23</v>
      </c>
      <c r="R5355" t="str">
        <f t="shared" si="667"/>
        <v/>
      </c>
      <c r="S5355" t="str">
        <f t="shared" si="668"/>
        <v/>
      </c>
      <c r="T5355" s="403" t="str">
        <f t="shared" si="669"/>
        <v>NDI-5503-AL</v>
      </c>
      <c r="U5355" s="403">
        <f t="shared" si="670"/>
        <v>1</v>
      </c>
      <c r="V5355" s="403" t="str">
        <f t="shared" si="671"/>
        <v>CPP_7_3</v>
      </c>
    </row>
    <row r="5356" spans="1:22">
      <c r="A5356" t="str">
        <f t="shared" si="664"/>
        <v>NDI-5503-AL</v>
      </c>
      <c r="B5356" s="403" t="s">
        <v>1424</v>
      </c>
      <c r="C5356" s="403" t="s">
        <v>582</v>
      </c>
      <c r="D5356" s="403" t="s">
        <v>1425</v>
      </c>
      <c r="E5356" s="403" t="s">
        <v>778</v>
      </c>
      <c r="F5356" s="403" t="s">
        <v>1385</v>
      </c>
      <c r="G5356" s="403" t="s">
        <v>1467</v>
      </c>
      <c r="H5356" s="403" t="s">
        <v>1281</v>
      </c>
      <c r="I5356" s="403">
        <v>1</v>
      </c>
      <c r="J5356" s="403" t="s">
        <v>1373</v>
      </c>
      <c r="K5356" s="403">
        <v>1512</v>
      </c>
      <c r="L5356" s="403">
        <v>2688</v>
      </c>
      <c r="M5356" s="403" t="s">
        <v>110</v>
      </c>
      <c r="N5356" s="403">
        <v>1080</v>
      </c>
      <c r="O5356" s="403">
        <v>1920</v>
      </c>
      <c r="P5356" t="str">
        <f t="shared" si="665"/>
        <v>25fps 2688x1512 - 1080p</v>
      </c>
      <c r="Q5356">
        <f t="shared" si="666"/>
        <v>23</v>
      </c>
      <c r="R5356" t="str">
        <f t="shared" si="667"/>
        <v/>
      </c>
      <c r="S5356" t="str">
        <f t="shared" si="668"/>
        <v/>
      </c>
      <c r="T5356" s="403" t="str">
        <f t="shared" si="669"/>
        <v>NDI-5503-AL</v>
      </c>
      <c r="U5356" s="403">
        <f t="shared" si="670"/>
        <v>1</v>
      </c>
      <c r="V5356" s="403" t="str">
        <f t="shared" si="671"/>
        <v>CPP_7_3</v>
      </c>
    </row>
    <row r="5357" spans="1:22">
      <c r="A5357" t="str">
        <f t="shared" si="664"/>
        <v>NDI-5503-AL</v>
      </c>
      <c r="B5357" s="403" t="s">
        <v>1424</v>
      </c>
      <c r="C5357" s="403" t="s">
        <v>582</v>
      </c>
      <c r="D5357" s="403" t="s">
        <v>1425</v>
      </c>
      <c r="E5357" s="403" t="s">
        <v>778</v>
      </c>
      <c r="F5357" s="403" t="s">
        <v>1385</v>
      </c>
      <c r="G5357" s="403" t="s">
        <v>1467</v>
      </c>
      <c r="H5357" s="403" t="s">
        <v>1281</v>
      </c>
      <c r="I5357" s="403">
        <v>1</v>
      </c>
      <c r="J5357" s="403" t="s">
        <v>1373</v>
      </c>
      <c r="K5357" s="403">
        <v>1512</v>
      </c>
      <c r="L5357" s="403">
        <v>2688</v>
      </c>
      <c r="M5357" s="403" t="s">
        <v>1384</v>
      </c>
      <c r="N5357" s="403">
        <v>1512</v>
      </c>
      <c r="O5357" s="403">
        <v>2688</v>
      </c>
      <c r="P5357" t="str">
        <f t="shared" si="665"/>
        <v>25fps 2688x1512 - 2688x1512 @ SKIP 2</v>
      </c>
      <c r="Q5357">
        <f t="shared" si="666"/>
        <v>23</v>
      </c>
      <c r="R5357" t="str">
        <f t="shared" si="667"/>
        <v/>
      </c>
      <c r="S5357" t="str">
        <f t="shared" si="668"/>
        <v/>
      </c>
      <c r="T5357" s="403" t="str">
        <f t="shared" si="669"/>
        <v>NDI-5503-AL</v>
      </c>
      <c r="U5357" s="403">
        <f t="shared" si="670"/>
        <v>1</v>
      </c>
      <c r="V5357" s="403" t="str">
        <f t="shared" si="671"/>
        <v>CPP_7_3</v>
      </c>
    </row>
    <row r="5358" spans="1:22">
      <c r="A5358" t="str">
        <f t="shared" si="664"/>
        <v>NDI-5503-AL</v>
      </c>
      <c r="B5358" s="403" t="s">
        <v>1424</v>
      </c>
      <c r="C5358" s="403" t="s">
        <v>582</v>
      </c>
      <c r="D5358" s="403" t="s">
        <v>1425</v>
      </c>
      <c r="E5358" s="403" t="s">
        <v>778</v>
      </c>
      <c r="F5358" s="403" t="s">
        <v>1385</v>
      </c>
      <c r="G5358" s="403" t="s">
        <v>1467</v>
      </c>
      <c r="H5358" s="403" t="s">
        <v>1281</v>
      </c>
      <c r="I5358" s="403">
        <v>1</v>
      </c>
      <c r="J5358" s="403" t="s">
        <v>1373</v>
      </c>
      <c r="K5358" s="403">
        <v>1512</v>
      </c>
      <c r="L5358" s="403">
        <v>2688</v>
      </c>
      <c r="M5358" s="403" t="s">
        <v>109</v>
      </c>
      <c r="N5358" s="403">
        <v>720</v>
      </c>
      <c r="O5358" s="403">
        <v>1280</v>
      </c>
      <c r="P5358" t="str">
        <f t="shared" si="665"/>
        <v>25fps 2688x1512 - 720p</v>
      </c>
      <c r="Q5358">
        <f t="shared" si="666"/>
        <v>23</v>
      </c>
      <c r="R5358" t="str">
        <f t="shared" si="667"/>
        <v/>
      </c>
      <c r="S5358" t="str">
        <f t="shared" si="668"/>
        <v/>
      </c>
      <c r="T5358" s="403" t="str">
        <f t="shared" si="669"/>
        <v>NDI-5503-AL</v>
      </c>
      <c r="U5358" s="403">
        <f t="shared" si="670"/>
        <v>1</v>
      </c>
      <c r="V5358" s="403" t="str">
        <f t="shared" si="671"/>
        <v>CPP_7_3</v>
      </c>
    </row>
    <row r="5359" spans="1:22">
      <c r="A5359" t="str">
        <f t="shared" si="664"/>
        <v>NDI-5503-AL</v>
      </c>
      <c r="B5359" s="403" t="s">
        <v>1424</v>
      </c>
      <c r="C5359" s="403" t="s">
        <v>582</v>
      </c>
      <c r="D5359" s="403" t="s">
        <v>1425</v>
      </c>
      <c r="E5359" s="403" t="s">
        <v>778</v>
      </c>
      <c r="F5359" s="403" t="s">
        <v>1385</v>
      </c>
      <c r="G5359" s="403" t="s">
        <v>1467</v>
      </c>
      <c r="H5359" s="403" t="s">
        <v>1281</v>
      </c>
      <c r="I5359" s="403">
        <v>1</v>
      </c>
      <c r="J5359" s="403" t="s">
        <v>1373</v>
      </c>
      <c r="K5359" s="403">
        <v>1512</v>
      </c>
      <c r="L5359" s="403">
        <v>2688</v>
      </c>
      <c r="M5359" s="403" t="s">
        <v>111</v>
      </c>
      <c r="N5359" s="403">
        <v>480</v>
      </c>
      <c r="O5359" s="403">
        <v>640</v>
      </c>
      <c r="P5359" t="str">
        <f t="shared" si="665"/>
        <v>25fps 2688x1512 - SD</v>
      </c>
      <c r="Q5359">
        <f t="shared" si="666"/>
        <v>23</v>
      </c>
      <c r="R5359" t="str">
        <f t="shared" si="667"/>
        <v/>
      </c>
      <c r="S5359" t="str">
        <f t="shared" si="668"/>
        <v/>
      </c>
      <c r="T5359" s="403" t="str">
        <f t="shared" si="669"/>
        <v>NDI-5503-AL</v>
      </c>
      <c r="U5359" s="403">
        <f t="shared" si="670"/>
        <v>1</v>
      </c>
      <c r="V5359" s="403" t="str">
        <f t="shared" si="671"/>
        <v>CPP_7_3</v>
      </c>
    </row>
    <row r="5360" spans="1:22">
      <c r="A5360" t="str">
        <f t="shared" si="664"/>
        <v>NDI-5503-AL</v>
      </c>
      <c r="B5360" s="403" t="s">
        <v>1424</v>
      </c>
      <c r="C5360" s="403" t="s">
        <v>582</v>
      </c>
      <c r="D5360" s="403" t="s">
        <v>1425</v>
      </c>
      <c r="E5360" s="403" t="s">
        <v>778</v>
      </c>
      <c r="F5360" s="403" t="s">
        <v>1385</v>
      </c>
      <c r="G5360" s="403" t="s">
        <v>1467</v>
      </c>
      <c r="H5360" s="403" t="s">
        <v>1281</v>
      </c>
      <c r="I5360" s="403">
        <v>1</v>
      </c>
      <c r="J5360" s="403" t="s">
        <v>1373</v>
      </c>
      <c r="K5360" s="403">
        <v>1512</v>
      </c>
      <c r="L5360" s="403">
        <v>2688</v>
      </c>
      <c r="M5360" s="403" t="s">
        <v>1279</v>
      </c>
      <c r="N5360" s="403">
        <v>480</v>
      </c>
      <c r="O5360" s="403">
        <v>640</v>
      </c>
      <c r="P5360" t="str">
        <f t="shared" si="665"/>
        <v>25fps 2688x1512 - SD ROI PTZ</v>
      </c>
      <c r="Q5360">
        <f t="shared" si="666"/>
        <v>23</v>
      </c>
      <c r="R5360" t="str">
        <f t="shared" si="667"/>
        <v/>
      </c>
      <c r="S5360" t="str">
        <f t="shared" si="668"/>
        <v/>
      </c>
      <c r="T5360" s="403" t="str">
        <f t="shared" si="669"/>
        <v>NDI-5503-AL</v>
      </c>
      <c r="U5360" s="403">
        <f t="shared" si="670"/>
        <v>1</v>
      </c>
      <c r="V5360" s="403" t="str">
        <f t="shared" si="671"/>
        <v>CPP_7_3</v>
      </c>
    </row>
    <row r="5361" spans="1:22">
      <c r="A5361" t="str">
        <f t="shared" si="664"/>
        <v>NDI-5503-AL</v>
      </c>
      <c r="B5361" s="403" t="s">
        <v>1424</v>
      </c>
      <c r="C5361" s="403" t="s">
        <v>582</v>
      </c>
      <c r="D5361" s="403" t="s">
        <v>1425</v>
      </c>
      <c r="E5361" s="403" t="s">
        <v>778</v>
      </c>
      <c r="F5361" s="403" t="s">
        <v>1385</v>
      </c>
      <c r="G5361" s="403" t="s">
        <v>1467</v>
      </c>
      <c r="H5361" s="403" t="s">
        <v>1281</v>
      </c>
      <c r="I5361" s="403">
        <v>1</v>
      </c>
      <c r="J5361" s="403" t="s">
        <v>1373</v>
      </c>
      <c r="K5361" s="403">
        <v>1512</v>
      </c>
      <c r="L5361" s="403">
        <v>2688</v>
      </c>
      <c r="M5361" s="403" t="s">
        <v>1285</v>
      </c>
      <c r="N5361" s="403">
        <v>1024</v>
      </c>
      <c r="O5361" s="403">
        <v>1280</v>
      </c>
      <c r="P5361" t="str">
        <f t="shared" si="665"/>
        <v>25fps 2688x1512 - 1280x1024 5:4 (cropped)</v>
      </c>
      <c r="Q5361">
        <f t="shared" si="666"/>
        <v>23</v>
      </c>
      <c r="R5361" t="str">
        <f t="shared" si="667"/>
        <v/>
      </c>
      <c r="S5361" t="str">
        <f t="shared" si="668"/>
        <v/>
      </c>
      <c r="T5361" s="403" t="str">
        <f t="shared" si="669"/>
        <v>NDI-5503-AL</v>
      </c>
      <c r="U5361" s="403">
        <f t="shared" si="670"/>
        <v>1</v>
      </c>
      <c r="V5361" s="403" t="str">
        <f t="shared" si="671"/>
        <v>CPP_7_3</v>
      </c>
    </row>
    <row r="5362" spans="1:22">
      <c r="A5362" t="str">
        <f t="shared" si="664"/>
        <v>NDI-5503-AL</v>
      </c>
      <c r="B5362" s="403" t="s">
        <v>1424</v>
      </c>
      <c r="C5362" s="403" t="s">
        <v>582</v>
      </c>
      <c r="D5362" s="403" t="s">
        <v>1425</v>
      </c>
      <c r="E5362" s="403" t="s">
        <v>778</v>
      </c>
      <c r="F5362" s="403" t="s">
        <v>1385</v>
      </c>
      <c r="G5362" s="403" t="s">
        <v>1467</v>
      </c>
      <c r="H5362" s="403" t="s">
        <v>1281</v>
      </c>
      <c r="I5362" s="403">
        <v>1</v>
      </c>
      <c r="J5362" s="403" t="s">
        <v>1373</v>
      </c>
      <c r="K5362" s="403">
        <v>1512</v>
      </c>
      <c r="L5362" s="403">
        <v>2688</v>
      </c>
      <c r="M5362" s="403" t="s">
        <v>1283</v>
      </c>
      <c r="N5362" s="403">
        <v>576</v>
      </c>
      <c r="O5362" s="403">
        <v>720</v>
      </c>
      <c r="P5362" t="str">
        <f t="shared" si="665"/>
        <v>25fps 2688x1512 - SD 4CIF resolution 4:3 format (cropped)</v>
      </c>
      <c r="Q5362">
        <f t="shared" si="666"/>
        <v>23</v>
      </c>
      <c r="R5362" t="str">
        <f t="shared" si="667"/>
        <v/>
      </c>
      <c r="S5362" t="str">
        <f t="shared" si="668"/>
        <v/>
      </c>
      <c r="T5362" s="403" t="str">
        <f t="shared" si="669"/>
        <v>NDI-5503-AL</v>
      </c>
      <c r="U5362" s="403">
        <f t="shared" si="670"/>
        <v>1</v>
      </c>
      <c r="V5362" s="403" t="str">
        <f t="shared" si="671"/>
        <v>CPP_7_3</v>
      </c>
    </row>
    <row r="5363" spans="1:22">
      <c r="A5363" t="str">
        <f t="shared" si="664"/>
        <v>NDI-5503-AL</v>
      </c>
      <c r="B5363" s="403" t="s">
        <v>1424</v>
      </c>
      <c r="C5363" s="403" t="s">
        <v>582</v>
      </c>
      <c r="D5363" s="403" t="s">
        <v>1425</v>
      </c>
      <c r="E5363" s="403" t="s">
        <v>778</v>
      </c>
      <c r="F5363" s="403" t="s">
        <v>1385</v>
      </c>
      <c r="G5363" s="403" t="s">
        <v>1467</v>
      </c>
      <c r="H5363" s="403" t="s">
        <v>1281</v>
      </c>
      <c r="I5363" s="403">
        <v>1</v>
      </c>
      <c r="J5363" s="403" t="s">
        <v>1373</v>
      </c>
      <c r="K5363" s="403">
        <v>1512</v>
      </c>
      <c r="L5363" s="403">
        <v>2688</v>
      </c>
      <c r="M5363" s="403" t="s">
        <v>1284</v>
      </c>
      <c r="N5363" s="403">
        <v>480</v>
      </c>
      <c r="O5363" s="403">
        <v>640</v>
      </c>
      <c r="P5363" t="str">
        <f t="shared" si="665"/>
        <v>25fps 2688x1512 - SD VGA (cropped)</v>
      </c>
      <c r="Q5363">
        <f t="shared" si="666"/>
        <v>23</v>
      </c>
      <c r="R5363" t="str">
        <f t="shared" si="667"/>
        <v/>
      </c>
      <c r="S5363" t="str">
        <f t="shared" si="668"/>
        <v/>
      </c>
      <c r="T5363" s="403" t="str">
        <f t="shared" si="669"/>
        <v>NDI-5503-AL</v>
      </c>
      <c r="U5363" s="403">
        <f t="shared" si="670"/>
        <v>1</v>
      </c>
      <c r="V5363" s="403" t="str">
        <f t="shared" si="671"/>
        <v>CPP_7_3</v>
      </c>
    </row>
    <row r="5364" spans="1:22">
      <c r="A5364" t="str">
        <f t="shared" si="664"/>
        <v>NDI-5503-AL</v>
      </c>
      <c r="B5364" s="403" t="s">
        <v>1424</v>
      </c>
      <c r="C5364" s="403" t="s">
        <v>582</v>
      </c>
      <c r="D5364" s="403" t="s">
        <v>1425</v>
      </c>
      <c r="E5364" s="403" t="s">
        <v>778</v>
      </c>
      <c r="F5364" s="403" t="s">
        <v>1385</v>
      </c>
      <c r="G5364" s="403" t="s">
        <v>1467</v>
      </c>
      <c r="H5364" s="403" t="s">
        <v>1281</v>
      </c>
      <c r="I5364" s="403">
        <v>1</v>
      </c>
      <c r="J5364" s="403" t="s">
        <v>1373</v>
      </c>
      <c r="K5364" s="403">
        <v>1512</v>
      </c>
      <c r="L5364" s="403">
        <v>2688</v>
      </c>
      <c r="M5364" s="403" t="s">
        <v>1280</v>
      </c>
      <c r="N5364" s="403">
        <v>1512</v>
      </c>
      <c r="O5364" s="403">
        <v>2688</v>
      </c>
      <c r="P5364" t="str">
        <f t="shared" si="665"/>
        <v>25fps 2688x1512 - copy other stream</v>
      </c>
      <c r="Q5364">
        <f t="shared" si="666"/>
        <v>23</v>
      </c>
      <c r="R5364" t="str">
        <f t="shared" si="667"/>
        <v/>
      </c>
      <c r="S5364" t="str">
        <f t="shared" si="668"/>
        <v/>
      </c>
      <c r="T5364" s="403" t="str">
        <f t="shared" si="669"/>
        <v>NDI-5503-AL</v>
      </c>
      <c r="U5364" s="403">
        <f t="shared" si="670"/>
        <v>1</v>
      </c>
      <c r="V5364" s="403" t="str">
        <f t="shared" si="671"/>
        <v>CPP_7_3</v>
      </c>
    </row>
    <row r="5365" spans="1:22">
      <c r="A5365" t="str">
        <f t="shared" si="664"/>
        <v>NDI-5503-AL</v>
      </c>
      <c r="B5365" s="403" t="s">
        <v>1424</v>
      </c>
      <c r="C5365" s="403" t="s">
        <v>582</v>
      </c>
      <c r="D5365" s="403" t="s">
        <v>1425</v>
      </c>
      <c r="E5365" s="403" t="s">
        <v>778</v>
      </c>
      <c r="F5365" s="403" t="s">
        <v>1385</v>
      </c>
      <c r="G5365" s="403" t="s">
        <v>1467</v>
      </c>
      <c r="H5365" s="403" t="s">
        <v>1281</v>
      </c>
      <c r="I5365" s="403">
        <v>1</v>
      </c>
      <c r="J5365" s="403" t="s">
        <v>1374</v>
      </c>
      <c r="K5365" s="403">
        <v>1296</v>
      </c>
      <c r="L5365" s="403">
        <v>2304</v>
      </c>
      <c r="M5365" s="403" t="s">
        <v>110</v>
      </c>
      <c r="N5365" s="403">
        <v>1080</v>
      </c>
      <c r="O5365" s="403">
        <v>1920</v>
      </c>
      <c r="P5365" t="str">
        <f t="shared" si="665"/>
        <v>25fps 2304x1296 - 1080p</v>
      </c>
      <c r="Q5365">
        <f t="shared" si="666"/>
        <v>23</v>
      </c>
      <c r="R5365" t="str">
        <f t="shared" si="667"/>
        <v/>
      </c>
      <c r="S5365" t="str">
        <f t="shared" si="668"/>
        <v/>
      </c>
      <c r="T5365" s="403" t="str">
        <f t="shared" si="669"/>
        <v>NDI-5503-AL</v>
      </c>
      <c r="U5365" s="403">
        <f t="shared" si="670"/>
        <v>1</v>
      </c>
      <c r="V5365" s="403" t="str">
        <f t="shared" si="671"/>
        <v>CPP_7_3</v>
      </c>
    </row>
    <row r="5366" spans="1:22">
      <c r="A5366" t="str">
        <f t="shared" si="664"/>
        <v>NDI-5503-AL</v>
      </c>
      <c r="B5366" s="403" t="s">
        <v>1424</v>
      </c>
      <c r="C5366" s="403" t="s">
        <v>582</v>
      </c>
      <c r="D5366" s="403" t="s">
        <v>1425</v>
      </c>
      <c r="E5366" s="403" t="s">
        <v>778</v>
      </c>
      <c r="F5366" s="403" t="s">
        <v>1385</v>
      </c>
      <c r="G5366" s="403" t="s">
        <v>1467</v>
      </c>
      <c r="H5366" s="403" t="s">
        <v>1281</v>
      </c>
      <c r="I5366" s="403">
        <v>1</v>
      </c>
      <c r="J5366" s="403" t="s">
        <v>1374</v>
      </c>
      <c r="K5366" s="403">
        <v>1296</v>
      </c>
      <c r="L5366" s="403">
        <v>2304</v>
      </c>
      <c r="M5366" s="403" t="s">
        <v>1374</v>
      </c>
      <c r="N5366" s="403">
        <v>1296</v>
      </c>
      <c r="O5366" s="403">
        <v>2304</v>
      </c>
      <c r="P5366" t="str">
        <f t="shared" si="665"/>
        <v>25fps 2304x1296 - 2304x1296</v>
      </c>
      <c r="Q5366">
        <f t="shared" si="666"/>
        <v>23</v>
      </c>
      <c r="R5366" t="str">
        <f t="shared" si="667"/>
        <v/>
      </c>
      <c r="S5366" t="str">
        <f t="shared" si="668"/>
        <v/>
      </c>
      <c r="T5366" s="403" t="str">
        <f t="shared" si="669"/>
        <v>NDI-5503-AL</v>
      </c>
      <c r="U5366" s="403">
        <f t="shared" si="670"/>
        <v>1</v>
      </c>
      <c r="V5366" s="403" t="str">
        <f t="shared" si="671"/>
        <v>CPP_7_3</v>
      </c>
    </row>
    <row r="5367" spans="1:22">
      <c r="A5367" t="str">
        <f t="shared" si="664"/>
        <v>NDI-5503-AL</v>
      </c>
      <c r="B5367" s="403" t="s">
        <v>1424</v>
      </c>
      <c r="C5367" s="403" t="s">
        <v>582</v>
      </c>
      <c r="D5367" s="403" t="s">
        <v>1425</v>
      </c>
      <c r="E5367" s="403" t="s">
        <v>778</v>
      </c>
      <c r="F5367" s="403" t="s">
        <v>1385</v>
      </c>
      <c r="G5367" s="403" t="s">
        <v>1467</v>
      </c>
      <c r="H5367" s="403" t="s">
        <v>1281</v>
      </c>
      <c r="I5367" s="403">
        <v>1</v>
      </c>
      <c r="J5367" s="403" t="s">
        <v>1374</v>
      </c>
      <c r="K5367" s="403">
        <v>1296</v>
      </c>
      <c r="L5367" s="403">
        <v>2304</v>
      </c>
      <c r="M5367" s="403" t="s">
        <v>109</v>
      </c>
      <c r="N5367" s="403">
        <v>720</v>
      </c>
      <c r="O5367" s="403">
        <v>1280</v>
      </c>
      <c r="P5367" t="str">
        <f t="shared" si="665"/>
        <v>25fps 2304x1296 - 720p</v>
      </c>
      <c r="Q5367">
        <f t="shared" si="666"/>
        <v>23</v>
      </c>
      <c r="R5367" t="str">
        <f t="shared" si="667"/>
        <v/>
      </c>
      <c r="S5367" t="str">
        <f t="shared" si="668"/>
        <v/>
      </c>
      <c r="T5367" s="403" t="str">
        <f t="shared" si="669"/>
        <v>NDI-5503-AL</v>
      </c>
      <c r="U5367" s="403">
        <f t="shared" si="670"/>
        <v>1</v>
      </c>
      <c r="V5367" s="403" t="str">
        <f t="shared" si="671"/>
        <v>CPP_7_3</v>
      </c>
    </row>
    <row r="5368" spans="1:22">
      <c r="A5368" t="str">
        <f t="shared" si="664"/>
        <v>NDI-5503-AL</v>
      </c>
      <c r="B5368" s="403" t="s">
        <v>1424</v>
      </c>
      <c r="C5368" s="403" t="s">
        <v>582</v>
      </c>
      <c r="D5368" s="403" t="s">
        <v>1425</v>
      </c>
      <c r="E5368" s="403" t="s">
        <v>778</v>
      </c>
      <c r="F5368" s="403" t="s">
        <v>1385</v>
      </c>
      <c r="G5368" s="403" t="s">
        <v>1467</v>
      </c>
      <c r="H5368" s="403" t="s">
        <v>1281</v>
      </c>
      <c r="I5368" s="403">
        <v>1</v>
      </c>
      <c r="J5368" s="403" t="s">
        <v>1374</v>
      </c>
      <c r="K5368" s="403">
        <v>1296</v>
      </c>
      <c r="L5368" s="403">
        <v>2304</v>
      </c>
      <c r="M5368" s="403" t="s">
        <v>111</v>
      </c>
      <c r="N5368" s="403">
        <v>480</v>
      </c>
      <c r="O5368" s="403">
        <v>640</v>
      </c>
      <c r="P5368" t="str">
        <f t="shared" si="665"/>
        <v>25fps 2304x1296 - SD</v>
      </c>
      <c r="Q5368">
        <f t="shared" si="666"/>
        <v>23</v>
      </c>
      <c r="R5368" t="str">
        <f t="shared" si="667"/>
        <v/>
      </c>
      <c r="S5368" t="str">
        <f t="shared" si="668"/>
        <v/>
      </c>
      <c r="T5368" s="403" t="str">
        <f t="shared" si="669"/>
        <v>NDI-5503-AL</v>
      </c>
      <c r="U5368" s="403">
        <f t="shared" si="670"/>
        <v>1</v>
      </c>
      <c r="V5368" s="403" t="str">
        <f t="shared" si="671"/>
        <v>CPP_7_3</v>
      </c>
    </row>
    <row r="5369" spans="1:22">
      <c r="A5369" t="str">
        <f t="shared" si="664"/>
        <v>NDI-5503-AL</v>
      </c>
      <c r="B5369" s="403" t="s">
        <v>1424</v>
      </c>
      <c r="C5369" s="403" t="s">
        <v>582</v>
      </c>
      <c r="D5369" s="403" t="s">
        <v>1425</v>
      </c>
      <c r="E5369" s="403" t="s">
        <v>778</v>
      </c>
      <c r="F5369" s="403" t="s">
        <v>1385</v>
      </c>
      <c r="G5369" s="403" t="s">
        <v>1467</v>
      </c>
      <c r="H5369" s="403" t="s">
        <v>1281</v>
      </c>
      <c r="I5369" s="403">
        <v>1</v>
      </c>
      <c r="J5369" s="403" t="s">
        <v>1374</v>
      </c>
      <c r="K5369" s="403">
        <v>1296</v>
      </c>
      <c r="L5369" s="403">
        <v>2304</v>
      </c>
      <c r="M5369" s="403" t="s">
        <v>1279</v>
      </c>
      <c r="N5369" s="403">
        <v>480</v>
      </c>
      <c r="O5369" s="403">
        <v>640</v>
      </c>
      <c r="P5369" t="str">
        <f t="shared" si="665"/>
        <v>25fps 2304x1296 - SD ROI PTZ</v>
      </c>
      <c r="Q5369">
        <f t="shared" si="666"/>
        <v>23</v>
      </c>
      <c r="R5369" t="str">
        <f t="shared" si="667"/>
        <v/>
      </c>
      <c r="S5369" t="str">
        <f t="shared" si="668"/>
        <v/>
      </c>
      <c r="T5369" s="403" t="str">
        <f t="shared" si="669"/>
        <v>NDI-5503-AL</v>
      </c>
      <c r="U5369" s="403">
        <f t="shared" si="670"/>
        <v>1</v>
      </c>
      <c r="V5369" s="403" t="str">
        <f t="shared" si="671"/>
        <v>CPP_7_3</v>
      </c>
    </row>
    <row r="5370" spans="1:22">
      <c r="A5370" t="str">
        <f t="shared" si="664"/>
        <v>NDI-5503-AL</v>
      </c>
      <c r="B5370" s="403" t="s">
        <v>1424</v>
      </c>
      <c r="C5370" s="403" t="s">
        <v>582</v>
      </c>
      <c r="D5370" s="403" t="s">
        <v>1425</v>
      </c>
      <c r="E5370" s="403" t="s">
        <v>778</v>
      </c>
      <c r="F5370" s="403" t="s">
        <v>1385</v>
      </c>
      <c r="G5370" s="403" t="s">
        <v>1467</v>
      </c>
      <c r="H5370" s="403" t="s">
        <v>1281</v>
      </c>
      <c r="I5370" s="403">
        <v>1</v>
      </c>
      <c r="J5370" s="403" t="s">
        <v>1374</v>
      </c>
      <c r="K5370" s="403">
        <v>1296</v>
      </c>
      <c r="L5370" s="403">
        <v>2304</v>
      </c>
      <c r="M5370" s="403" t="s">
        <v>1285</v>
      </c>
      <c r="N5370" s="403">
        <v>1024</v>
      </c>
      <c r="O5370" s="403">
        <v>1280</v>
      </c>
      <c r="P5370" t="str">
        <f t="shared" si="665"/>
        <v>25fps 2304x1296 - 1280x1024 5:4 (cropped)</v>
      </c>
      <c r="Q5370">
        <f t="shared" si="666"/>
        <v>23</v>
      </c>
      <c r="R5370" t="str">
        <f t="shared" si="667"/>
        <v/>
      </c>
      <c r="S5370" t="str">
        <f t="shared" si="668"/>
        <v/>
      </c>
      <c r="T5370" s="403" t="str">
        <f t="shared" si="669"/>
        <v>NDI-5503-AL</v>
      </c>
      <c r="U5370" s="403">
        <f t="shared" si="670"/>
        <v>1</v>
      </c>
      <c r="V5370" s="403" t="str">
        <f t="shared" si="671"/>
        <v>CPP_7_3</v>
      </c>
    </row>
    <row r="5371" spans="1:22">
      <c r="A5371" t="str">
        <f t="shared" si="664"/>
        <v>NDI-5503-AL</v>
      </c>
      <c r="B5371" s="403" t="s">
        <v>1424</v>
      </c>
      <c r="C5371" s="403" t="s">
        <v>582</v>
      </c>
      <c r="D5371" s="403" t="s">
        <v>1425</v>
      </c>
      <c r="E5371" s="403" t="s">
        <v>778</v>
      </c>
      <c r="F5371" s="403" t="s">
        <v>1385</v>
      </c>
      <c r="G5371" s="403" t="s">
        <v>1467</v>
      </c>
      <c r="H5371" s="403" t="s">
        <v>1281</v>
      </c>
      <c r="I5371" s="403">
        <v>1</v>
      </c>
      <c r="J5371" s="403" t="s">
        <v>1374</v>
      </c>
      <c r="K5371" s="403">
        <v>1296</v>
      </c>
      <c r="L5371" s="403">
        <v>2304</v>
      </c>
      <c r="M5371" s="403" t="s">
        <v>1283</v>
      </c>
      <c r="N5371" s="403">
        <v>576</v>
      </c>
      <c r="O5371" s="403">
        <v>720</v>
      </c>
      <c r="P5371" t="str">
        <f t="shared" si="665"/>
        <v>25fps 2304x1296 - SD 4CIF resolution 4:3 format (cropped)</v>
      </c>
      <c r="Q5371">
        <f t="shared" si="666"/>
        <v>23</v>
      </c>
      <c r="R5371" t="str">
        <f t="shared" si="667"/>
        <v/>
      </c>
      <c r="S5371" t="str">
        <f t="shared" si="668"/>
        <v/>
      </c>
      <c r="T5371" s="403" t="str">
        <f t="shared" si="669"/>
        <v>NDI-5503-AL</v>
      </c>
      <c r="U5371" s="403">
        <f t="shared" si="670"/>
        <v>1</v>
      </c>
      <c r="V5371" s="403" t="str">
        <f t="shared" si="671"/>
        <v>CPP_7_3</v>
      </c>
    </row>
    <row r="5372" spans="1:22">
      <c r="A5372" t="str">
        <f t="shared" si="664"/>
        <v>NDI-5503-AL</v>
      </c>
      <c r="B5372" s="403" t="s">
        <v>1424</v>
      </c>
      <c r="C5372" s="403" t="s">
        <v>582</v>
      </c>
      <c r="D5372" s="403" t="s">
        <v>1425</v>
      </c>
      <c r="E5372" s="403" t="s">
        <v>778</v>
      </c>
      <c r="F5372" s="403" t="s">
        <v>1385</v>
      </c>
      <c r="G5372" s="403" t="s">
        <v>1467</v>
      </c>
      <c r="H5372" s="403" t="s">
        <v>1281</v>
      </c>
      <c r="I5372" s="403">
        <v>1</v>
      </c>
      <c r="J5372" s="403" t="s">
        <v>1374</v>
      </c>
      <c r="K5372" s="403">
        <v>1296</v>
      </c>
      <c r="L5372" s="403">
        <v>2304</v>
      </c>
      <c r="M5372" s="403" t="s">
        <v>1284</v>
      </c>
      <c r="N5372" s="403">
        <v>480</v>
      </c>
      <c r="O5372" s="403">
        <v>640</v>
      </c>
      <c r="P5372" t="str">
        <f t="shared" si="665"/>
        <v>25fps 2304x1296 - SD VGA (cropped)</v>
      </c>
      <c r="Q5372">
        <f t="shared" si="666"/>
        <v>23</v>
      </c>
      <c r="R5372" t="str">
        <f t="shared" si="667"/>
        <v/>
      </c>
      <c r="S5372" t="str">
        <f t="shared" si="668"/>
        <v/>
      </c>
      <c r="T5372" s="403" t="str">
        <f t="shared" si="669"/>
        <v>NDI-5503-AL</v>
      </c>
      <c r="U5372" s="403">
        <f t="shared" si="670"/>
        <v>1</v>
      </c>
      <c r="V5372" s="403" t="str">
        <f t="shared" si="671"/>
        <v>CPP_7_3</v>
      </c>
    </row>
    <row r="5373" spans="1:22">
      <c r="A5373" t="str">
        <f t="shared" si="664"/>
        <v>NDI-5503-AL</v>
      </c>
      <c r="B5373" s="403" t="s">
        <v>1424</v>
      </c>
      <c r="C5373" s="403" t="s">
        <v>582</v>
      </c>
      <c r="D5373" s="403" t="s">
        <v>1425</v>
      </c>
      <c r="E5373" s="403" t="s">
        <v>778</v>
      </c>
      <c r="F5373" s="403" t="s">
        <v>1385</v>
      </c>
      <c r="G5373" s="403" t="s">
        <v>1467</v>
      </c>
      <c r="H5373" s="403" t="s">
        <v>1281</v>
      </c>
      <c r="I5373" s="403">
        <v>1</v>
      </c>
      <c r="J5373" s="403" t="s">
        <v>1374</v>
      </c>
      <c r="K5373" s="403">
        <v>1296</v>
      </c>
      <c r="L5373" s="403">
        <v>2304</v>
      </c>
      <c r="M5373" s="403" t="s">
        <v>1280</v>
      </c>
      <c r="N5373" s="403">
        <v>1296</v>
      </c>
      <c r="O5373" s="403">
        <v>2304</v>
      </c>
      <c r="P5373" t="str">
        <f t="shared" si="665"/>
        <v>25fps 2304x1296 - copy other stream</v>
      </c>
      <c r="Q5373">
        <f t="shared" si="666"/>
        <v>23</v>
      </c>
      <c r="R5373" t="str">
        <f t="shared" si="667"/>
        <v/>
      </c>
      <c r="S5373" t="str">
        <f t="shared" si="668"/>
        <v/>
      </c>
      <c r="T5373" s="403" t="str">
        <f t="shared" si="669"/>
        <v>NDI-5503-AL</v>
      </c>
      <c r="U5373" s="403">
        <f t="shared" si="670"/>
        <v>1</v>
      </c>
      <c r="V5373" s="403" t="str">
        <f t="shared" si="671"/>
        <v>CPP_7_3</v>
      </c>
    </row>
    <row r="5374" spans="1:22">
      <c r="A5374" t="str">
        <f t="shared" si="664"/>
        <v>NDI-5503-AL</v>
      </c>
      <c r="B5374" s="403" t="s">
        <v>1424</v>
      </c>
      <c r="C5374" s="403" t="s">
        <v>582</v>
      </c>
      <c r="D5374" s="403" t="s">
        <v>1425</v>
      </c>
      <c r="E5374" s="403" t="s">
        <v>778</v>
      </c>
      <c r="F5374" s="403" t="s">
        <v>1385</v>
      </c>
      <c r="G5374" s="403" t="s">
        <v>1467</v>
      </c>
      <c r="H5374" s="403" t="s">
        <v>1281</v>
      </c>
      <c r="I5374" s="403">
        <v>1</v>
      </c>
      <c r="J5374" s="403" t="s">
        <v>110</v>
      </c>
      <c r="K5374" s="403">
        <v>1080</v>
      </c>
      <c r="L5374" s="403">
        <v>1920</v>
      </c>
      <c r="M5374" s="403" t="s">
        <v>111</v>
      </c>
      <c r="N5374" s="403">
        <v>480</v>
      </c>
      <c r="O5374" s="403">
        <v>640</v>
      </c>
      <c r="P5374" t="str">
        <f t="shared" si="665"/>
        <v>25fps 1080p - SD</v>
      </c>
      <c r="Q5374">
        <f t="shared" si="666"/>
        <v>23</v>
      </c>
      <c r="R5374" t="str">
        <f t="shared" si="667"/>
        <v/>
      </c>
      <c r="S5374" t="str">
        <f t="shared" si="668"/>
        <v/>
      </c>
      <c r="T5374" s="403" t="str">
        <f t="shared" si="669"/>
        <v>NDI-5503-AL</v>
      </c>
      <c r="U5374" s="403">
        <f t="shared" si="670"/>
        <v>1</v>
      </c>
      <c r="V5374" s="403" t="str">
        <f t="shared" si="671"/>
        <v>CPP_7_3</v>
      </c>
    </row>
    <row r="5375" spans="1:22">
      <c r="A5375" t="str">
        <f t="shared" si="664"/>
        <v>NDI-5503-AL</v>
      </c>
      <c r="B5375" s="403" t="s">
        <v>1424</v>
      </c>
      <c r="C5375" s="403" t="s">
        <v>582</v>
      </c>
      <c r="D5375" s="403" t="s">
        <v>1425</v>
      </c>
      <c r="E5375" s="403" t="s">
        <v>778</v>
      </c>
      <c r="F5375" s="403" t="s">
        <v>1385</v>
      </c>
      <c r="G5375" s="403" t="s">
        <v>1467</v>
      </c>
      <c r="H5375" s="403" t="s">
        <v>1281</v>
      </c>
      <c r="I5375" s="403">
        <v>1</v>
      </c>
      <c r="J5375" s="403" t="s">
        <v>110</v>
      </c>
      <c r="K5375" s="403">
        <v>1080</v>
      </c>
      <c r="L5375" s="403">
        <v>1920</v>
      </c>
      <c r="M5375" s="403" t="s">
        <v>110</v>
      </c>
      <c r="N5375" s="403">
        <v>1080</v>
      </c>
      <c r="O5375" s="403">
        <v>1920</v>
      </c>
      <c r="P5375" t="str">
        <f t="shared" si="665"/>
        <v>25fps 1080p - 1080p</v>
      </c>
      <c r="Q5375">
        <f t="shared" si="666"/>
        <v>23</v>
      </c>
      <c r="R5375" t="str">
        <f t="shared" si="667"/>
        <v/>
      </c>
      <c r="S5375" t="str">
        <f t="shared" si="668"/>
        <v/>
      </c>
      <c r="T5375" s="403" t="str">
        <f t="shared" si="669"/>
        <v>NDI-5503-AL</v>
      </c>
      <c r="U5375" s="403">
        <f t="shared" si="670"/>
        <v>1</v>
      </c>
      <c r="V5375" s="403" t="str">
        <f t="shared" si="671"/>
        <v>CPP_7_3</v>
      </c>
    </row>
    <row r="5376" spans="1:22">
      <c r="A5376" t="str">
        <f t="shared" si="664"/>
        <v>NDI-5503-AL</v>
      </c>
      <c r="B5376" s="403" t="s">
        <v>1424</v>
      </c>
      <c r="C5376" s="403" t="s">
        <v>582</v>
      </c>
      <c r="D5376" s="403" t="s">
        <v>1425</v>
      </c>
      <c r="E5376" s="403" t="s">
        <v>778</v>
      </c>
      <c r="F5376" s="403" t="s">
        <v>1385</v>
      </c>
      <c r="G5376" s="403" t="s">
        <v>1467</v>
      </c>
      <c r="H5376" s="403" t="s">
        <v>1281</v>
      </c>
      <c r="I5376" s="403">
        <v>1</v>
      </c>
      <c r="J5376" s="403" t="s">
        <v>110</v>
      </c>
      <c r="K5376" s="403">
        <v>1080</v>
      </c>
      <c r="L5376" s="403">
        <v>1920</v>
      </c>
      <c r="M5376" s="403" t="s">
        <v>109</v>
      </c>
      <c r="N5376" s="403">
        <v>720</v>
      </c>
      <c r="O5376" s="403">
        <v>1280</v>
      </c>
      <c r="P5376" t="str">
        <f t="shared" si="665"/>
        <v>25fps 1080p - 720p</v>
      </c>
      <c r="Q5376">
        <f t="shared" si="666"/>
        <v>23</v>
      </c>
      <c r="R5376" t="str">
        <f t="shared" si="667"/>
        <v/>
      </c>
      <c r="S5376" t="str">
        <f t="shared" si="668"/>
        <v/>
      </c>
      <c r="T5376" s="403" t="str">
        <f t="shared" si="669"/>
        <v>NDI-5503-AL</v>
      </c>
      <c r="U5376" s="403">
        <f t="shared" si="670"/>
        <v>1</v>
      </c>
      <c r="V5376" s="403" t="str">
        <f t="shared" si="671"/>
        <v>CPP_7_3</v>
      </c>
    </row>
    <row r="5377" spans="1:22">
      <c r="A5377" t="str">
        <f t="shared" si="664"/>
        <v>NDI-5503-AL</v>
      </c>
      <c r="B5377" s="403" t="s">
        <v>1424</v>
      </c>
      <c r="C5377" s="403" t="s">
        <v>582</v>
      </c>
      <c r="D5377" s="403" t="s">
        <v>1425</v>
      </c>
      <c r="E5377" s="403" t="s">
        <v>778</v>
      </c>
      <c r="F5377" s="403" t="s">
        <v>1385</v>
      </c>
      <c r="G5377" s="403" t="s">
        <v>1467</v>
      </c>
      <c r="H5377" s="403" t="s">
        <v>1281</v>
      </c>
      <c r="I5377" s="403">
        <v>1</v>
      </c>
      <c r="J5377" s="403" t="s">
        <v>110</v>
      </c>
      <c r="K5377" s="403">
        <v>1080</v>
      </c>
      <c r="L5377" s="403">
        <v>1920</v>
      </c>
      <c r="M5377" s="403" t="s">
        <v>1285</v>
      </c>
      <c r="N5377" s="403">
        <v>1024</v>
      </c>
      <c r="O5377" s="403">
        <v>1280</v>
      </c>
      <c r="P5377" t="str">
        <f t="shared" si="665"/>
        <v>25fps 1080p - 1280x1024 5:4 (cropped)</v>
      </c>
      <c r="Q5377">
        <f t="shared" si="666"/>
        <v>23</v>
      </c>
      <c r="R5377" t="str">
        <f t="shared" si="667"/>
        <v/>
      </c>
      <c r="S5377" t="str">
        <f t="shared" si="668"/>
        <v/>
      </c>
      <c r="T5377" s="403" t="str">
        <f t="shared" si="669"/>
        <v>NDI-5503-AL</v>
      </c>
      <c r="U5377" s="403">
        <f t="shared" si="670"/>
        <v>1</v>
      </c>
      <c r="V5377" s="403" t="str">
        <f t="shared" si="671"/>
        <v>CPP_7_3</v>
      </c>
    </row>
    <row r="5378" spans="1:22">
      <c r="A5378" t="str">
        <f t="shared" ref="A5378:A5441" si="672">IF(AND(G5378&lt;&gt;"rotate 90°"),D5378,"")</f>
        <v>NDI-5503-AL</v>
      </c>
      <c r="B5378" s="403" t="s">
        <v>1424</v>
      </c>
      <c r="C5378" s="403" t="s">
        <v>582</v>
      </c>
      <c r="D5378" s="403" t="s">
        <v>1425</v>
      </c>
      <c r="E5378" s="403" t="s">
        <v>778</v>
      </c>
      <c r="F5378" s="403" t="s">
        <v>1385</v>
      </c>
      <c r="G5378" s="403" t="s">
        <v>1467</v>
      </c>
      <c r="H5378" s="403" t="s">
        <v>1281</v>
      </c>
      <c r="I5378" s="403">
        <v>1</v>
      </c>
      <c r="J5378" s="403" t="s">
        <v>110</v>
      </c>
      <c r="K5378" s="403">
        <v>1080</v>
      </c>
      <c r="L5378" s="403">
        <v>1920</v>
      </c>
      <c r="M5378" s="403" t="s">
        <v>1279</v>
      </c>
      <c r="N5378" s="403">
        <v>480</v>
      </c>
      <c r="O5378" s="403">
        <v>640</v>
      </c>
      <c r="P5378" t="str">
        <f t="shared" ref="P5378:P5441" si="673">LEFT(F5378,5)&amp;" "&amp;J5378&amp;" - "&amp;M5378</f>
        <v>25fps 1080p - SD ROI PTZ</v>
      </c>
      <c r="Q5378">
        <f t="shared" ref="Q5378:Q5441" si="674">IF(A5377=A5378,Q5377,Q5377+1)</f>
        <v>23</v>
      </c>
      <c r="R5378" t="str">
        <f t="shared" ref="R5378:R5441" si="675">IF(Q5377&lt;&gt;Q5378,Q5378,"")</f>
        <v/>
      </c>
      <c r="S5378" t="str">
        <f t="shared" ref="S5378:S5441" si="676">IF(R5378&lt;&gt;"",B5378&amp;" ("&amp;D5378&amp;")","")</f>
        <v/>
      </c>
      <c r="T5378" s="403" t="str">
        <f t="shared" ref="T5378:T5441" si="677">D5378</f>
        <v>NDI-5503-AL</v>
      </c>
      <c r="U5378" s="403">
        <f t="shared" ref="U5378:U5441" si="678">I5378</f>
        <v>1</v>
      </c>
      <c r="V5378" s="403" t="str">
        <f t="shared" ref="V5378:V5441" si="679">C5378</f>
        <v>CPP_7_3</v>
      </c>
    </row>
    <row r="5379" spans="1:22">
      <c r="A5379" t="str">
        <f t="shared" si="672"/>
        <v>NDI-5503-AL</v>
      </c>
      <c r="B5379" s="403" t="s">
        <v>1424</v>
      </c>
      <c r="C5379" s="403" t="s">
        <v>582</v>
      </c>
      <c r="D5379" s="403" t="s">
        <v>1425</v>
      </c>
      <c r="E5379" s="403" t="s">
        <v>778</v>
      </c>
      <c r="F5379" s="403" t="s">
        <v>1385</v>
      </c>
      <c r="G5379" s="403" t="s">
        <v>1467</v>
      </c>
      <c r="H5379" s="403" t="s">
        <v>1281</v>
      </c>
      <c r="I5379" s="403">
        <v>1</v>
      </c>
      <c r="J5379" s="403" t="s">
        <v>110</v>
      </c>
      <c r="K5379" s="403">
        <v>1080</v>
      </c>
      <c r="L5379" s="403">
        <v>1920</v>
      </c>
      <c r="M5379" s="403" t="s">
        <v>1283</v>
      </c>
      <c r="N5379" s="403">
        <v>576</v>
      </c>
      <c r="O5379" s="403">
        <v>720</v>
      </c>
      <c r="P5379" t="str">
        <f t="shared" si="673"/>
        <v>25fps 1080p - SD 4CIF resolution 4:3 format (cropped)</v>
      </c>
      <c r="Q5379">
        <f t="shared" si="674"/>
        <v>23</v>
      </c>
      <c r="R5379" t="str">
        <f t="shared" si="675"/>
        <v/>
      </c>
      <c r="S5379" t="str">
        <f t="shared" si="676"/>
        <v/>
      </c>
      <c r="T5379" s="403" t="str">
        <f t="shared" si="677"/>
        <v>NDI-5503-AL</v>
      </c>
      <c r="U5379" s="403">
        <f t="shared" si="678"/>
        <v>1</v>
      </c>
      <c r="V5379" s="403" t="str">
        <f t="shared" si="679"/>
        <v>CPP_7_3</v>
      </c>
    </row>
    <row r="5380" spans="1:22">
      <c r="A5380" t="str">
        <f t="shared" si="672"/>
        <v>NDI-5503-AL</v>
      </c>
      <c r="B5380" s="403" t="s">
        <v>1424</v>
      </c>
      <c r="C5380" s="403" t="s">
        <v>582</v>
      </c>
      <c r="D5380" s="403" t="s">
        <v>1425</v>
      </c>
      <c r="E5380" s="403" t="s">
        <v>778</v>
      </c>
      <c r="F5380" s="403" t="s">
        <v>1385</v>
      </c>
      <c r="G5380" s="403" t="s">
        <v>1467</v>
      </c>
      <c r="H5380" s="403" t="s">
        <v>1281</v>
      </c>
      <c r="I5380" s="403">
        <v>1</v>
      </c>
      <c r="J5380" s="403" t="s">
        <v>110</v>
      </c>
      <c r="K5380" s="403">
        <v>1080</v>
      </c>
      <c r="L5380" s="403">
        <v>1920</v>
      </c>
      <c r="M5380" s="403" t="s">
        <v>1284</v>
      </c>
      <c r="N5380" s="403">
        <v>480</v>
      </c>
      <c r="O5380" s="403">
        <v>640</v>
      </c>
      <c r="P5380" t="str">
        <f t="shared" si="673"/>
        <v>25fps 1080p - SD VGA (cropped)</v>
      </c>
      <c r="Q5380">
        <f t="shared" si="674"/>
        <v>23</v>
      </c>
      <c r="R5380" t="str">
        <f t="shared" si="675"/>
        <v/>
      </c>
      <c r="S5380" t="str">
        <f t="shared" si="676"/>
        <v/>
      </c>
      <c r="T5380" s="403" t="str">
        <f t="shared" si="677"/>
        <v>NDI-5503-AL</v>
      </c>
      <c r="U5380" s="403">
        <f t="shared" si="678"/>
        <v>1</v>
      </c>
      <c r="V5380" s="403" t="str">
        <f t="shared" si="679"/>
        <v>CPP_7_3</v>
      </c>
    </row>
    <row r="5381" spans="1:22">
      <c r="A5381" t="str">
        <f t="shared" si="672"/>
        <v>NDI-5503-AL</v>
      </c>
      <c r="B5381" s="403" t="s">
        <v>1424</v>
      </c>
      <c r="C5381" s="403" t="s">
        <v>582</v>
      </c>
      <c r="D5381" s="403" t="s">
        <v>1425</v>
      </c>
      <c r="E5381" s="403" t="s">
        <v>778</v>
      </c>
      <c r="F5381" s="403" t="s">
        <v>1385</v>
      </c>
      <c r="G5381" s="403" t="s">
        <v>1467</v>
      </c>
      <c r="H5381" s="403" t="s">
        <v>1281</v>
      </c>
      <c r="I5381" s="403">
        <v>1</v>
      </c>
      <c r="J5381" s="403" t="s">
        <v>109</v>
      </c>
      <c r="K5381" s="403">
        <v>720</v>
      </c>
      <c r="L5381" s="403">
        <v>1280</v>
      </c>
      <c r="M5381" s="403" t="s">
        <v>109</v>
      </c>
      <c r="N5381" s="403">
        <v>720</v>
      </c>
      <c r="O5381" s="403">
        <v>1280</v>
      </c>
      <c r="P5381" t="str">
        <f t="shared" si="673"/>
        <v>25fps 720p - 720p</v>
      </c>
      <c r="Q5381">
        <f t="shared" si="674"/>
        <v>23</v>
      </c>
      <c r="R5381" t="str">
        <f t="shared" si="675"/>
        <v/>
      </c>
      <c r="S5381" t="str">
        <f t="shared" si="676"/>
        <v/>
      </c>
      <c r="T5381" s="403" t="str">
        <f t="shared" si="677"/>
        <v>NDI-5503-AL</v>
      </c>
      <c r="U5381" s="403">
        <f t="shared" si="678"/>
        <v>1</v>
      </c>
      <c r="V5381" s="403" t="str">
        <f t="shared" si="679"/>
        <v>CPP_7_3</v>
      </c>
    </row>
    <row r="5382" spans="1:22">
      <c r="A5382" t="str">
        <f t="shared" si="672"/>
        <v>NDI-5503-AL</v>
      </c>
      <c r="B5382" s="403" t="s">
        <v>1424</v>
      </c>
      <c r="C5382" s="403" t="s">
        <v>582</v>
      </c>
      <c r="D5382" s="403" t="s">
        <v>1425</v>
      </c>
      <c r="E5382" s="403" t="s">
        <v>778</v>
      </c>
      <c r="F5382" s="403" t="s">
        <v>1385</v>
      </c>
      <c r="G5382" s="403" t="s">
        <v>1467</v>
      </c>
      <c r="H5382" s="403" t="s">
        <v>1281</v>
      </c>
      <c r="I5382" s="403">
        <v>1</v>
      </c>
      <c r="J5382" s="403" t="s">
        <v>109</v>
      </c>
      <c r="K5382" s="403">
        <v>720</v>
      </c>
      <c r="L5382" s="403">
        <v>1280</v>
      </c>
      <c r="M5382" s="403" t="s">
        <v>111</v>
      </c>
      <c r="N5382" s="403">
        <v>480</v>
      </c>
      <c r="O5382" s="403">
        <v>640</v>
      </c>
      <c r="P5382" t="str">
        <f t="shared" si="673"/>
        <v>25fps 720p - SD</v>
      </c>
      <c r="Q5382">
        <f t="shared" si="674"/>
        <v>23</v>
      </c>
      <c r="R5382" t="str">
        <f t="shared" si="675"/>
        <v/>
      </c>
      <c r="S5382" t="str">
        <f t="shared" si="676"/>
        <v/>
      </c>
      <c r="T5382" s="403" t="str">
        <f t="shared" si="677"/>
        <v>NDI-5503-AL</v>
      </c>
      <c r="U5382" s="403">
        <f t="shared" si="678"/>
        <v>1</v>
      </c>
      <c r="V5382" s="403" t="str">
        <f t="shared" si="679"/>
        <v>CPP_7_3</v>
      </c>
    </row>
    <row r="5383" spans="1:22">
      <c r="A5383" t="str">
        <f t="shared" si="672"/>
        <v>NDI-5503-AL</v>
      </c>
      <c r="B5383" s="403" t="s">
        <v>1424</v>
      </c>
      <c r="C5383" s="403" t="s">
        <v>582</v>
      </c>
      <c r="D5383" s="403" t="s">
        <v>1425</v>
      </c>
      <c r="E5383" s="403" t="s">
        <v>778</v>
      </c>
      <c r="F5383" s="403" t="s">
        <v>1385</v>
      </c>
      <c r="G5383" s="403" t="s">
        <v>1467</v>
      </c>
      <c r="H5383" s="403" t="s">
        <v>1281</v>
      </c>
      <c r="I5383" s="403">
        <v>1</v>
      </c>
      <c r="J5383" s="403" t="s">
        <v>109</v>
      </c>
      <c r="K5383" s="403">
        <v>720</v>
      </c>
      <c r="L5383" s="403">
        <v>1280</v>
      </c>
      <c r="M5383" s="403" t="s">
        <v>1279</v>
      </c>
      <c r="N5383" s="403">
        <v>480</v>
      </c>
      <c r="O5383" s="403">
        <v>640</v>
      </c>
      <c r="P5383" t="str">
        <f t="shared" si="673"/>
        <v>25fps 720p - SD ROI PTZ</v>
      </c>
      <c r="Q5383">
        <f t="shared" si="674"/>
        <v>23</v>
      </c>
      <c r="R5383" t="str">
        <f t="shared" si="675"/>
        <v/>
      </c>
      <c r="S5383" t="str">
        <f t="shared" si="676"/>
        <v/>
      </c>
      <c r="T5383" s="403" t="str">
        <f t="shared" si="677"/>
        <v>NDI-5503-AL</v>
      </c>
      <c r="U5383" s="403">
        <f t="shared" si="678"/>
        <v>1</v>
      </c>
      <c r="V5383" s="403" t="str">
        <f t="shared" si="679"/>
        <v>CPP_7_3</v>
      </c>
    </row>
    <row r="5384" spans="1:22">
      <c r="A5384" t="str">
        <f t="shared" si="672"/>
        <v>NDI-5503-AL</v>
      </c>
      <c r="B5384" s="403" t="s">
        <v>1424</v>
      </c>
      <c r="C5384" s="403" t="s">
        <v>582</v>
      </c>
      <c r="D5384" s="403" t="s">
        <v>1425</v>
      </c>
      <c r="E5384" s="403" t="s">
        <v>778</v>
      </c>
      <c r="F5384" s="403" t="s">
        <v>1385</v>
      </c>
      <c r="G5384" s="403" t="s">
        <v>1467</v>
      </c>
      <c r="H5384" s="403" t="s">
        <v>1281</v>
      </c>
      <c r="I5384" s="403">
        <v>1</v>
      </c>
      <c r="J5384" s="403" t="s">
        <v>109</v>
      </c>
      <c r="K5384" s="403">
        <v>720</v>
      </c>
      <c r="L5384" s="403">
        <v>1280</v>
      </c>
      <c r="M5384" s="403" t="s">
        <v>1283</v>
      </c>
      <c r="N5384" s="403">
        <v>576</v>
      </c>
      <c r="O5384" s="403">
        <v>720</v>
      </c>
      <c r="P5384" t="str">
        <f t="shared" si="673"/>
        <v>25fps 720p - SD 4CIF resolution 4:3 format (cropped)</v>
      </c>
      <c r="Q5384">
        <f t="shared" si="674"/>
        <v>23</v>
      </c>
      <c r="R5384" t="str">
        <f t="shared" si="675"/>
        <v/>
      </c>
      <c r="S5384" t="str">
        <f t="shared" si="676"/>
        <v/>
      </c>
      <c r="T5384" s="403" t="str">
        <f t="shared" si="677"/>
        <v>NDI-5503-AL</v>
      </c>
      <c r="U5384" s="403">
        <f t="shared" si="678"/>
        <v>1</v>
      </c>
      <c r="V5384" s="403" t="str">
        <f t="shared" si="679"/>
        <v>CPP_7_3</v>
      </c>
    </row>
    <row r="5385" spans="1:22">
      <c r="A5385" t="str">
        <f t="shared" si="672"/>
        <v>NDI-5503-AL</v>
      </c>
      <c r="B5385" s="403" t="s">
        <v>1424</v>
      </c>
      <c r="C5385" s="403" t="s">
        <v>582</v>
      </c>
      <c r="D5385" s="403" t="s">
        <v>1425</v>
      </c>
      <c r="E5385" s="403" t="s">
        <v>778</v>
      </c>
      <c r="F5385" s="403" t="s">
        <v>1385</v>
      </c>
      <c r="G5385" s="403" t="s">
        <v>1467</v>
      </c>
      <c r="H5385" s="403" t="s">
        <v>1281</v>
      </c>
      <c r="I5385" s="403">
        <v>1</v>
      </c>
      <c r="J5385" s="403" t="s">
        <v>109</v>
      </c>
      <c r="K5385" s="403">
        <v>720</v>
      </c>
      <c r="L5385" s="403">
        <v>1280</v>
      </c>
      <c r="M5385" s="403" t="s">
        <v>1284</v>
      </c>
      <c r="N5385" s="403">
        <v>480</v>
      </c>
      <c r="O5385" s="403">
        <v>640</v>
      </c>
      <c r="P5385" t="str">
        <f t="shared" si="673"/>
        <v>25fps 720p - SD VGA (cropped)</v>
      </c>
      <c r="Q5385">
        <f t="shared" si="674"/>
        <v>23</v>
      </c>
      <c r="R5385" t="str">
        <f t="shared" si="675"/>
        <v/>
      </c>
      <c r="S5385" t="str">
        <f t="shared" si="676"/>
        <v/>
      </c>
      <c r="T5385" s="403" t="str">
        <f t="shared" si="677"/>
        <v>NDI-5503-AL</v>
      </c>
      <c r="U5385" s="403">
        <f t="shared" si="678"/>
        <v>1</v>
      </c>
      <c r="V5385" s="403" t="str">
        <f t="shared" si="679"/>
        <v>CPP_7_3</v>
      </c>
    </row>
    <row r="5386" spans="1:22">
      <c r="A5386" t="str">
        <f t="shared" si="672"/>
        <v>NDI-5503-A</v>
      </c>
      <c r="B5386" s="403" t="s">
        <v>1426</v>
      </c>
      <c r="C5386" s="403" t="s">
        <v>582</v>
      </c>
      <c r="D5386" s="403" t="s">
        <v>1427</v>
      </c>
      <c r="E5386" s="403" t="s">
        <v>778</v>
      </c>
      <c r="F5386" s="403" t="s">
        <v>1382</v>
      </c>
      <c r="G5386" s="403" t="s">
        <v>1466</v>
      </c>
      <c r="H5386" s="403" t="s">
        <v>1276</v>
      </c>
      <c r="I5386" s="403">
        <v>1</v>
      </c>
      <c r="J5386" s="403" t="s">
        <v>1376</v>
      </c>
      <c r="K5386" s="403">
        <v>3072</v>
      </c>
      <c r="L5386" s="403">
        <v>1728</v>
      </c>
      <c r="M5386" s="403" t="s">
        <v>111</v>
      </c>
      <c r="N5386" s="403">
        <v>768</v>
      </c>
      <c r="O5386" s="403">
        <v>432</v>
      </c>
      <c r="P5386" t="str">
        <f t="shared" si="673"/>
        <v>30fps 3072x1728 - SD</v>
      </c>
      <c r="Q5386">
        <f t="shared" si="674"/>
        <v>24</v>
      </c>
      <c r="R5386">
        <f t="shared" si="675"/>
        <v>24</v>
      </c>
      <c r="S5386" t="str">
        <f t="shared" si="676"/>
        <v>FLEXIDOME IP 5000i (NDI-5503-A)</v>
      </c>
      <c r="T5386" s="403" t="str">
        <f t="shared" si="677"/>
        <v>NDI-5503-A</v>
      </c>
      <c r="U5386" s="403">
        <f t="shared" si="678"/>
        <v>1</v>
      </c>
      <c r="V5386" s="403" t="str">
        <f t="shared" si="679"/>
        <v>CPP_7_3</v>
      </c>
    </row>
    <row r="5387" spans="1:22">
      <c r="A5387" t="str">
        <f t="shared" si="672"/>
        <v>NDI-5503-A</v>
      </c>
      <c r="B5387" s="403" t="s">
        <v>1426</v>
      </c>
      <c r="C5387" s="403" t="s">
        <v>582</v>
      </c>
      <c r="D5387" s="403" t="s">
        <v>1427</v>
      </c>
      <c r="E5387" s="403" t="s">
        <v>778</v>
      </c>
      <c r="F5387" s="403" t="s">
        <v>1382</v>
      </c>
      <c r="G5387" s="403" t="s">
        <v>1466</v>
      </c>
      <c r="H5387" s="403" t="s">
        <v>1276</v>
      </c>
      <c r="I5387" s="403">
        <v>1</v>
      </c>
      <c r="J5387" s="403" t="s">
        <v>1376</v>
      </c>
      <c r="K5387" s="403">
        <v>3072</v>
      </c>
      <c r="L5387" s="403">
        <v>1728</v>
      </c>
      <c r="M5387" s="403" t="s">
        <v>1600</v>
      </c>
      <c r="N5387" s="403">
        <v>3072</v>
      </c>
      <c r="O5387" s="403">
        <v>1728</v>
      </c>
      <c r="P5387" t="str">
        <f t="shared" si="673"/>
        <v>30fps 3072x1728 - 3072x1728 @ SKIP2</v>
      </c>
      <c r="Q5387">
        <f t="shared" si="674"/>
        <v>24</v>
      </c>
      <c r="R5387" t="str">
        <f t="shared" si="675"/>
        <v/>
      </c>
      <c r="S5387" t="str">
        <f t="shared" si="676"/>
        <v/>
      </c>
      <c r="T5387" s="403" t="str">
        <f t="shared" si="677"/>
        <v>NDI-5503-A</v>
      </c>
      <c r="U5387" s="403">
        <f t="shared" si="678"/>
        <v>1</v>
      </c>
      <c r="V5387" s="403" t="str">
        <f t="shared" si="679"/>
        <v>CPP_7_3</v>
      </c>
    </row>
    <row r="5388" spans="1:22">
      <c r="A5388" t="str">
        <f t="shared" si="672"/>
        <v>NDI-5503-A</v>
      </c>
      <c r="B5388" s="403" t="s">
        <v>1426</v>
      </c>
      <c r="C5388" s="403" t="s">
        <v>582</v>
      </c>
      <c r="D5388" s="403" t="s">
        <v>1427</v>
      </c>
      <c r="E5388" s="403" t="s">
        <v>778</v>
      </c>
      <c r="F5388" s="403" t="s">
        <v>1382</v>
      </c>
      <c r="G5388" s="403" t="s">
        <v>1466</v>
      </c>
      <c r="H5388" s="403" t="s">
        <v>1276</v>
      </c>
      <c r="I5388" s="403">
        <v>1</v>
      </c>
      <c r="J5388" s="403" t="s">
        <v>1376</v>
      </c>
      <c r="K5388" s="403">
        <v>3072</v>
      </c>
      <c r="L5388" s="403">
        <v>1728</v>
      </c>
      <c r="M5388" s="403" t="s">
        <v>1280</v>
      </c>
      <c r="N5388" s="403">
        <v>3072</v>
      </c>
      <c r="O5388" s="403">
        <v>1728</v>
      </c>
      <c r="P5388" t="str">
        <f t="shared" si="673"/>
        <v>30fps 3072x1728 - copy other stream</v>
      </c>
      <c r="Q5388">
        <f t="shared" si="674"/>
        <v>24</v>
      </c>
      <c r="R5388" t="str">
        <f t="shared" si="675"/>
        <v/>
      </c>
      <c r="S5388" t="str">
        <f t="shared" si="676"/>
        <v/>
      </c>
      <c r="T5388" s="403" t="str">
        <f t="shared" si="677"/>
        <v>NDI-5503-A</v>
      </c>
      <c r="U5388" s="403">
        <f t="shared" si="678"/>
        <v>1</v>
      </c>
      <c r="V5388" s="403" t="str">
        <f t="shared" si="679"/>
        <v>CPP_7_3</v>
      </c>
    </row>
    <row r="5389" spans="1:22">
      <c r="A5389" t="str">
        <f t="shared" si="672"/>
        <v>NDI-5503-A</v>
      </c>
      <c r="B5389" s="403" t="s">
        <v>1426</v>
      </c>
      <c r="C5389" s="403" t="s">
        <v>582</v>
      </c>
      <c r="D5389" s="403" t="s">
        <v>1427</v>
      </c>
      <c r="E5389" s="403" t="s">
        <v>778</v>
      </c>
      <c r="F5389" s="403" t="s">
        <v>1382</v>
      </c>
      <c r="G5389" s="403" t="s">
        <v>1466</v>
      </c>
      <c r="H5389" s="403" t="s">
        <v>1276</v>
      </c>
      <c r="I5389" s="403">
        <v>1</v>
      </c>
      <c r="J5389" s="403" t="s">
        <v>1376</v>
      </c>
      <c r="K5389" s="403">
        <v>3072</v>
      </c>
      <c r="L5389" s="403">
        <v>1728</v>
      </c>
      <c r="M5389" s="403" t="s">
        <v>110</v>
      </c>
      <c r="N5389" s="403">
        <v>1920</v>
      </c>
      <c r="O5389" s="403">
        <v>1080</v>
      </c>
      <c r="P5389" t="str">
        <f t="shared" si="673"/>
        <v>30fps 3072x1728 - 1080p</v>
      </c>
      <c r="Q5389">
        <f t="shared" si="674"/>
        <v>24</v>
      </c>
      <c r="R5389" t="str">
        <f t="shared" si="675"/>
        <v/>
      </c>
      <c r="S5389" t="str">
        <f t="shared" si="676"/>
        <v/>
      </c>
      <c r="T5389" s="403" t="str">
        <f t="shared" si="677"/>
        <v>NDI-5503-A</v>
      </c>
      <c r="U5389" s="403">
        <f t="shared" si="678"/>
        <v>1</v>
      </c>
      <c r="V5389" s="403" t="str">
        <f t="shared" si="679"/>
        <v>CPP_7_3</v>
      </c>
    </row>
    <row r="5390" spans="1:22">
      <c r="A5390" t="str">
        <f t="shared" si="672"/>
        <v>NDI-5503-A</v>
      </c>
      <c r="B5390" s="403" t="s">
        <v>1426</v>
      </c>
      <c r="C5390" s="403" t="s">
        <v>582</v>
      </c>
      <c r="D5390" s="403" t="s">
        <v>1427</v>
      </c>
      <c r="E5390" s="403" t="s">
        <v>778</v>
      </c>
      <c r="F5390" s="403" t="s">
        <v>1382</v>
      </c>
      <c r="G5390" s="403" t="s">
        <v>1466</v>
      </c>
      <c r="H5390" s="403" t="s">
        <v>1276</v>
      </c>
      <c r="I5390" s="403">
        <v>1</v>
      </c>
      <c r="J5390" s="403" t="s">
        <v>1376</v>
      </c>
      <c r="K5390" s="403">
        <v>3072</v>
      </c>
      <c r="L5390" s="403">
        <v>1728</v>
      </c>
      <c r="M5390" s="403" t="s">
        <v>109</v>
      </c>
      <c r="N5390" s="403">
        <v>1280</v>
      </c>
      <c r="O5390" s="403">
        <v>720</v>
      </c>
      <c r="P5390" t="str">
        <f t="shared" si="673"/>
        <v>30fps 3072x1728 - 720p</v>
      </c>
      <c r="Q5390">
        <f t="shared" si="674"/>
        <v>24</v>
      </c>
      <c r="R5390" t="str">
        <f t="shared" si="675"/>
        <v/>
      </c>
      <c r="S5390" t="str">
        <f t="shared" si="676"/>
        <v/>
      </c>
      <c r="T5390" s="403" t="str">
        <f t="shared" si="677"/>
        <v>NDI-5503-A</v>
      </c>
      <c r="U5390" s="403">
        <f t="shared" si="678"/>
        <v>1</v>
      </c>
      <c r="V5390" s="403" t="str">
        <f t="shared" si="679"/>
        <v>CPP_7_3</v>
      </c>
    </row>
    <row r="5391" spans="1:22">
      <c r="A5391" t="str">
        <f t="shared" si="672"/>
        <v>NDI-5503-A</v>
      </c>
      <c r="B5391" s="403" t="s">
        <v>1426</v>
      </c>
      <c r="C5391" s="403" t="s">
        <v>582</v>
      </c>
      <c r="D5391" s="403" t="s">
        <v>1427</v>
      </c>
      <c r="E5391" s="403" t="s">
        <v>778</v>
      </c>
      <c r="F5391" s="403" t="s">
        <v>1382</v>
      </c>
      <c r="G5391" s="403" t="s">
        <v>1466</v>
      </c>
      <c r="H5391" s="403" t="s">
        <v>1276</v>
      </c>
      <c r="I5391" s="403">
        <v>1</v>
      </c>
      <c r="J5391" s="403" t="s">
        <v>1376</v>
      </c>
      <c r="K5391" s="403">
        <v>3072</v>
      </c>
      <c r="L5391" s="403">
        <v>1728</v>
      </c>
      <c r="M5391" s="403" t="s">
        <v>1283</v>
      </c>
      <c r="N5391" s="403">
        <v>720</v>
      </c>
      <c r="O5391" s="403">
        <v>480</v>
      </c>
      <c r="P5391" t="str">
        <f t="shared" si="673"/>
        <v>30fps 3072x1728 - SD 4CIF resolution 4:3 format (cropped)</v>
      </c>
      <c r="Q5391">
        <f t="shared" si="674"/>
        <v>24</v>
      </c>
      <c r="R5391" t="str">
        <f t="shared" si="675"/>
        <v/>
      </c>
      <c r="S5391" t="str">
        <f t="shared" si="676"/>
        <v/>
      </c>
      <c r="T5391" s="403" t="str">
        <f t="shared" si="677"/>
        <v>NDI-5503-A</v>
      </c>
      <c r="U5391" s="403">
        <f t="shared" si="678"/>
        <v>1</v>
      </c>
      <c r="V5391" s="403" t="str">
        <f t="shared" si="679"/>
        <v>CPP_7_3</v>
      </c>
    </row>
    <row r="5392" spans="1:22">
      <c r="A5392" t="str">
        <f t="shared" si="672"/>
        <v>NDI-5503-A</v>
      </c>
      <c r="B5392" s="403" t="s">
        <v>1426</v>
      </c>
      <c r="C5392" s="403" t="s">
        <v>582</v>
      </c>
      <c r="D5392" s="403" t="s">
        <v>1427</v>
      </c>
      <c r="E5392" s="403" t="s">
        <v>778</v>
      </c>
      <c r="F5392" s="403" t="s">
        <v>1382</v>
      </c>
      <c r="G5392" s="403" t="s">
        <v>1466</v>
      </c>
      <c r="H5392" s="403" t="s">
        <v>1276</v>
      </c>
      <c r="I5392" s="403">
        <v>1</v>
      </c>
      <c r="J5392" s="403" t="s">
        <v>1376</v>
      </c>
      <c r="K5392" s="403">
        <v>3072</v>
      </c>
      <c r="L5392" s="403">
        <v>1728</v>
      </c>
      <c r="M5392" s="403" t="s">
        <v>1279</v>
      </c>
      <c r="N5392" s="403">
        <v>768</v>
      </c>
      <c r="O5392" s="403">
        <v>432</v>
      </c>
      <c r="P5392" t="str">
        <f t="shared" si="673"/>
        <v>30fps 3072x1728 - SD ROI PTZ</v>
      </c>
      <c r="Q5392">
        <f t="shared" si="674"/>
        <v>24</v>
      </c>
      <c r="R5392" t="str">
        <f t="shared" si="675"/>
        <v/>
      </c>
      <c r="S5392" t="str">
        <f t="shared" si="676"/>
        <v/>
      </c>
      <c r="T5392" s="403" t="str">
        <f t="shared" si="677"/>
        <v>NDI-5503-A</v>
      </c>
      <c r="U5392" s="403">
        <f t="shared" si="678"/>
        <v>1</v>
      </c>
      <c r="V5392" s="403" t="str">
        <f t="shared" si="679"/>
        <v>CPP_7_3</v>
      </c>
    </row>
    <row r="5393" spans="1:22">
      <c r="A5393" t="str">
        <f t="shared" si="672"/>
        <v>NDI-5503-A</v>
      </c>
      <c r="B5393" s="403" t="s">
        <v>1426</v>
      </c>
      <c r="C5393" s="403" t="s">
        <v>582</v>
      </c>
      <c r="D5393" s="403" t="s">
        <v>1427</v>
      </c>
      <c r="E5393" s="403" t="s">
        <v>778</v>
      </c>
      <c r="F5393" s="403" t="s">
        <v>1382</v>
      </c>
      <c r="G5393" s="403" t="s">
        <v>1466</v>
      </c>
      <c r="H5393" s="403" t="s">
        <v>1276</v>
      </c>
      <c r="I5393" s="403">
        <v>1</v>
      </c>
      <c r="J5393" s="403" t="s">
        <v>1376</v>
      </c>
      <c r="K5393" s="403">
        <v>3072</v>
      </c>
      <c r="L5393" s="403">
        <v>1728</v>
      </c>
      <c r="M5393" s="403" t="s">
        <v>1284</v>
      </c>
      <c r="N5393" s="403">
        <v>640</v>
      </c>
      <c r="O5393" s="403">
        <v>480</v>
      </c>
      <c r="P5393" t="str">
        <f t="shared" si="673"/>
        <v>30fps 3072x1728 - SD VGA (cropped)</v>
      </c>
      <c r="Q5393">
        <f t="shared" si="674"/>
        <v>24</v>
      </c>
      <c r="R5393" t="str">
        <f t="shared" si="675"/>
        <v/>
      </c>
      <c r="S5393" t="str">
        <f t="shared" si="676"/>
        <v/>
      </c>
      <c r="T5393" s="403" t="str">
        <f t="shared" si="677"/>
        <v>NDI-5503-A</v>
      </c>
      <c r="U5393" s="403">
        <f t="shared" si="678"/>
        <v>1</v>
      </c>
      <c r="V5393" s="403" t="str">
        <f t="shared" si="679"/>
        <v>CPP_7_3</v>
      </c>
    </row>
    <row r="5394" spans="1:22">
      <c r="A5394" t="str">
        <f t="shared" si="672"/>
        <v>NDI-5503-A</v>
      </c>
      <c r="B5394" s="403" t="s">
        <v>1426</v>
      </c>
      <c r="C5394" s="403" t="s">
        <v>582</v>
      </c>
      <c r="D5394" s="403" t="s">
        <v>1427</v>
      </c>
      <c r="E5394" s="403" t="s">
        <v>778</v>
      </c>
      <c r="F5394" s="403" t="s">
        <v>1382</v>
      </c>
      <c r="G5394" s="403" t="s">
        <v>1466</v>
      </c>
      <c r="H5394" s="403" t="s">
        <v>1276</v>
      </c>
      <c r="I5394" s="403">
        <v>1</v>
      </c>
      <c r="J5394" s="403" t="s">
        <v>1376</v>
      </c>
      <c r="K5394" s="403">
        <v>3072</v>
      </c>
      <c r="L5394" s="403">
        <v>1728</v>
      </c>
      <c r="M5394" s="403" t="s">
        <v>1285</v>
      </c>
      <c r="N5394" s="403">
        <v>1280</v>
      </c>
      <c r="O5394" s="403">
        <v>1024</v>
      </c>
      <c r="P5394" t="str">
        <f t="shared" si="673"/>
        <v>30fps 3072x1728 - 1280x1024 5:4 (cropped)</v>
      </c>
      <c r="Q5394">
        <f t="shared" si="674"/>
        <v>24</v>
      </c>
      <c r="R5394" t="str">
        <f t="shared" si="675"/>
        <v/>
      </c>
      <c r="S5394" t="str">
        <f t="shared" si="676"/>
        <v/>
      </c>
      <c r="T5394" s="403" t="str">
        <f t="shared" si="677"/>
        <v>NDI-5503-A</v>
      </c>
      <c r="U5394" s="403">
        <f t="shared" si="678"/>
        <v>1</v>
      </c>
      <c r="V5394" s="403" t="str">
        <f t="shared" si="679"/>
        <v>CPP_7_3</v>
      </c>
    </row>
    <row r="5395" spans="1:22">
      <c r="A5395" t="str">
        <f t="shared" si="672"/>
        <v>NDI-5503-A</v>
      </c>
      <c r="B5395" s="403" t="s">
        <v>1426</v>
      </c>
      <c r="C5395" s="403" t="s">
        <v>582</v>
      </c>
      <c r="D5395" s="403" t="s">
        <v>1427</v>
      </c>
      <c r="E5395" s="403" t="s">
        <v>778</v>
      </c>
      <c r="F5395" s="403" t="s">
        <v>1382</v>
      </c>
      <c r="G5395" s="403" t="s">
        <v>1466</v>
      </c>
      <c r="H5395" s="403" t="s">
        <v>1276</v>
      </c>
      <c r="I5395" s="403">
        <v>1</v>
      </c>
      <c r="J5395" s="403" t="s">
        <v>1376</v>
      </c>
      <c r="K5395" s="403">
        <v>3072</v>
      </c>
      <c r="L5395" s="403">
        <v>1728</v>
      </c>
      <c r="M5395" s="403" t="s">
        <v>1383</v>
      </c>
      <c r="N5395" s="403">
        <v>1920</v>
      </c>
      <c r="O5395" s="403">
        <v>1440</v>
      </c>
      <c r="P5395" t="str">
        <f t="shared" si="673"/>
        <v>30fps 3072x1728 - 1920x1440_CROP</v>
      </c>
      <c r="Q5395">
        <f t="shared" si="674"/>
        <v>24</v>
      </c>
      <c r="R5395" t="str">
        <f t="shared" si="675"/>
        <v/>
      </c>
      <c r="S5395" t="str">
        <f t="shared" si="676"/>
        <v/>
      </c>
      <c r="T5395" s="403" t="str">
        <f t="shared" si="677"/>
        <v>NDI-5503-A</v>
      </c>
      <c r="U5395" s="403">
        <f t="shared" si="678"/>
        <v>1</v>
      </c>
      <c r="V5395" s="403" t="str">
        <f t="shared" si="679"/>
        <v>CPP_7_3</v>
      </c>
    </row>
    <row r="5396" spans="1:22">
      <c r="A5396" t="str">
        <f t="shared" si="672"/>
        <v>NDI-5503-A</v>
      </c>
      <c r="B5396" s="403" t="s">
        <v>1426</v>
      </c>
      <c r="C5396" s="403" t="s">
        <v>582</v>
      </c>
      <c r="D5396" s="403" t="s">
        <v>1427</v>
      </c>
      <c r="E5396" s="403" t="s">
        <v>778</v>
      </c>
      <c r="F5396" s="403" t="s">
        <v>1382</v>
      </c>
      <c r="G5396" s="403" t="s">
        <v>1466</v>
      </c>
      <c r="H5396" s="403" t="s">
        <v>1276</v>
      </c>
      <c r="I5396" s="403">
        <v>1</v>
      </c>
      <c r="J5396" s="403" t="s">
        <v>1373</v>
      </c>
      <c r="K5396" s="403">
        <v>2688</v>
      </c>
      <c r="L5396" s="403">
        <v>1512</v>
      </c>
      <c r="M5396" s="403" t="s">
        <v>110</v>
      </c>
      <c r="N5396" s="403">
        <v>1920</v>
      </c>
      <c r="O5396" s="403">
        <v>1080</v>
      </c>
      <c r="P5396" t="str">
        <f t="shared" si="673"/>
        <v>30fps 2688x1512 - 1080p</v>
      </c>
      <c r="Q5396">
        <f t="shared" si="674"/>
        <v>24</v>
      </c>
      <c r="R5396" t="str">
        <f t="shared" si="675"/>
        <v/>
      </c>
      <c r="S5396" t="str">
        <f t="shared" si="676"/>
        <v/>
      </c>
      <c r="T5396" s="403" t="str">
        <f t="shared" si="677"/>
        <v>NDI-5503-A</v>
      </c>
      <c r="U5396" s="403">
        <f t="shared" si="678"/>
        <v>1</v>
      </c>
      <c r="V5396" s="403" t="str">
        <f t="shared" si="679"/>
        <v>CPP_7_3</v>
      </c>
    </row>
    <row r="5397" spans="1:22">
      <c r="A5397" t="str">
        <f t="shared" si="672"/>
        <v>NDI-5503-A</v>
      </c>
      <c r="B5397" s="403" t="s">
        <v>1426</v>
      </c>
      <c r="C5397" s="403" t="s">
        <v>582</v>
      </c>
      <c r="D5397" s="403" t="s">
        <v>1427</v>
      </c>
      <c r="E5397" s="403" t="s">
        <v>778</v>
      </c>
      <c r="F5397" s="403" t="s">
        <v>1382</v>
      </c>
      <c r="G5397" s="403" t="s">
        <v>1466</v>
      </c>
      <c r="H5397" s="403" t="s">
        <v>1276</v>
      </c>
      <c r="I5397" s="403">
        <v>1</v>
      </c>
      <c r="J5397" s="403" t="s">
        <v>1373</v>
      </c>
      <c r="K5397" s="403">
        <v>2688</v>
      </c>
      <c r="L5397" s="403">
        <v>1512</v>
      </c>
      <c r="M5397" s="403" t="s">
        <v>1384</v>
      </c>
      <c r="N5397" s="403">
        <v>2688</v>
      </c>
      <c r="O5397" s="403">
        <v>1512</v>
      </c>
      <c r="P5397" t="str">
        <f t="shared" si="673"/>
        <v>30fps 2688x1512 - 2688x1512 @ SKIP 2</v>
      </c>
      <c r="Q5397">
        <f t="shared" si="674"/>
        <v>24</v>
      </c>
      <c r="R5397" t="str">
        <f t="shared" si="675"/>
        <v/>
      </c>
      <c r="S5397" t="str">
        <f t="shared" si="676"/>
        <v/>
      </c>
      <c r="T5397" s="403" t="str">
        <f t="shared" si="677"/>
        <v>NDI-5503-A</v>
      </c>
      <c r="U5397" s="403">
        <f t="shared" si="678"/>
        <v>1</v>
      </c>
      <c r="V5397" s="403" t="str">
        <f t="shared" si="679"/>
        <v>CPP_7_3</v>
      </c>
    </row>
    <row r="5398" spans="1:22">
      <c r="A5398" t="str">
        <f t="shared" si="672"/>
        <v>NDI-5503-A</v>
      </c>
      <c r="B5398" s="403" t="s">
        <v>1426</v>
      </c>
      <c r="C5398" s="403" t="s">
        <v>582</v>
      </c>
      <c r="D5398" s="403" t="s">
        <v>1427</v>
      </c>
      <c r="E5398" s="403" t="s">
        <v>778</v>
      </c>
      <c r="F5398" s="403" t="s">
        <v>1382</v>
      </c>
      <c r="G5398" s="403" t="s">
        <v>1466</v>
      </c>
      <c r="H5398" s="403" t="s">
        <v>1276</v>
      </c>
      <c r="I5398" s="403">
        <v>1</v>
      </c>
      <c r="J5398" s="403" t="s">
        <v>1373</v>
      </c>
      <c r="K5398" s="403">
        <v>2688</v>
      </c>
      <c r="L5398" s="403">
        <v>1512</v>
      </c>
      <c r="M5398" s="403" t="s">
        <v>109</v>
      </c>
      <c r="N5398" s="403">
        <v>1280</v>
      </c>
      <c r="O5398" s="403">
        <v>720</v>
      </c>
      <c r="P5398" t="str">
        <f t="shared" si="673"/>
        <v>30fps 2688x1512 - 720p</v>
      </c>
      <c r="Q5398">
        <f t="shared" si="674"/>
        <v>24</v>
      </c>
      <c r="R5398" t="str">
        <f t="shared" si="675"/>
        <v/>
      </c>
      <c r="S5398" t="str">
        <f t="shared" si="676"/>
        <v/>
      </c>
      <c r="T5398" s="403" t="str">
        <f t="shared" si="677"/>
        <v>NDI-5503-A</v>
      </c>
      <c r="U5398" s="403">
        <f t="shared" si="678"/>
        <v>1</v>
      </c>
      <c r="V5398" s="403" t="str">
        <f t="shared" si="679"/>
        <v>CPP_7_3</v>
      </c>
    </row>
    <row r="5399" spans="1:22">
      <c r="A5399" t="str">
        <f t="shared" si="672"/>
        <v>NDI-5503-A</v>
      </c>
      <c r="B5399" s="403" t="s">
        <v>1426</v>
      </c>
      <c r="C5399" s="403" t="s">
        <v>582</v>
      </c>
      <c r="D5399" s="403" t="s">
        <v>1427</v>
      </c>
      <c r="E5399" s="403" t="s">
        <v>778</v>
      </c>
      <c r="F5399" s="403" t="s">
        <v>1382</v>
      </c>
      <c r="G5399" s="403" t="s">
        <v>1466</v>
      </c>
      <c r="H5399" s="403" t="s">
        <v>1276</v>
      </c>
      <c r="I5399" s="403">
        <v>1</v>
      </c>
      <c r="J5399" s="403" t="s">
        <v>1373</v>
      </c>
      <c r="K5399" s="403">
        <v>2688</v>
      </c>
      <c r="L5399" s="403">
        <v>1512</v>
      </c>
      <c r="M5399" s="403" t="s">
        <v>111</v>
      </c>
      <c r="N5399" s="403">
        <v>768</v>
      </c>
      <c r="O5399" s="403">
        <v>432</v>
      </c>
      <c r="P5399" t="str">
        <f t="shared" si="673"/>
        <v>30fps 2688x1512 - SD</v>
      </c>
      <c r="Q5399">
        <f t="shared" si="674"/>
        <v>24</v>
      </c>
      <c r="R5399" t="str">
        <f t="shared" si="675"/>
        <v/>
      </c>
      <c r="S5399" t="str">
        <f t="shared" si="676"/>
        <v/>
      </c>
      <c r="T5399" s="403" t="str">
        <f t="shared" si="677"/>
        <v>NDI-5503-A</v>
      </c>
      <c r="U5399" s="403">
        <f t="shared" si="678"/>
        <v>1</v>
      </c>
      <c r="V5399" s="403" t="str">
        <f t="shared" si="679"/>
        <v>CPP_7_3</v>
      </c>
    </row>
    <row r="5400" spans="1:22">
      <c r="A5400" t="str">
        <f t="shared" si="672"/>
        <v>NDI-5503-A</v>
      </c>
      <c r="B5400" s="403" t="s">
        <v>1426</v>
      </c>
      <c r="C5400" s="403" t="s">
        <v>582</v>
      </c>
      <c r="D5400" s="403" t="s">
        <v>1427</v>
      </c>
      <c r="E5400" s="403" t="s">
        <v>778</v>
      </c>
      <c r="F5400" s="403" t="s">
        <v>1382</v>
      </c>
      <c r="G5400" s="403" t="s">
        <v>1466</v>
      </c>
      <c r="H5400" s="403" t="s">
        <v>1276</v>
      </c>
      <c r="I5400" s="403">
        <v>1</v>
      </c>
      <c r="J5400" s="403" t="s">
        <v>1373</v>
      </c>
      <c r="K5400" s="403">
        <v>2688</v>
      </c>
      <c r="L5400" s="403">
        <v>1512</v>
      </c>
      <c r="M5400" s="403" t="s">
        <v>1279</v>
      </c>
      <c r="N5400" s="403">
        <v>768</v>
      </c>
      <c r="O5400" s="403">
        <v>432</v>
      </c>
      <c r="P5400" t="str">
        <f t="shared" si="673"/>
        <v>30fps 2688x1512 - SD ROI PTZ</v>
      </c>
      <c r="Q5400">
        <f t="shared" si="674"/>
        <v>24</v>
      </c>
      <c r="R5400" t="str">
        <f t="shared" si="675"/>
        <v/>
      </c>
      <c r="S5400" t="str">
        <f t="shared" si="676"/>
        <v/>
      </c>
      <c r="T5400" s="403" t="str">
        <f t="shared" si="677"/>
        <v>NDI-5503-A</v>
      </c>
      <c r="U5400" s="403">
        <f t="shared" si="678"/>
        <v>1</v>
      </c>
      <c r="V5400" s="403" t="str">
        <f t="shared" si="679"/>
        <v>CPP_7_3</v>
      </c>
    </row>
    <row r="5401" spans="1:22">
      <c r="A5401" t="str">
        <f t="shared" si="672"/>
        <v>NDI-5503-A</v>
      </c>
      <c r="B5401" s="403" t="s">
        <v>1426</v>
      </c>
      <c r="C5401" s="403" t="s">
        <v>582</v>
      </c>
      <c r="D5401" s="403" t="s">
        <v>1427</v>
      </c>
      <c r="E5401" s="403" t="s">
        <v>778</v>
      </c>
      <c r="F5401" s="403" t="s">
        <v>1382</v>
      </c>
      <c r="G5401" s="403" t="s">
        <v>1466</v>
      </c>
      <c r="H5401" s="403" t="s">
        <v>1276</v>
      </c>
      <c r="I5401" s="403">
        <v>1</v>
      </c>
      <c r="J5401" s="403" t="s">
        <v>1373</v>
      </c>
      <c r="K5401" s="403">
        <v>2688</v>
      </c>
      <c r="L5401" s="403">
        <v>1512</v>
      </c>
      <c r="M5401" s="403" t="s">
        <v>1285</v>
      </c>
      <c r="N5401" s="403">
        <v>1280</v>
      </c>
      <c r="O5401" s="403">
        <v>1024</v>
      </c>
      <c r="P5401" t="str">
        <f t="shared" si="673"/>
        <v>30fps 2688x1512 - 1280x1024 5:4 (cropped)</v>
      </c>
      <c r="Q5401">
        <f t="shared" si="674"/>
        <v>24</v>
      </c>
      <c r="R5401" t="str">
        <f t="shared" si="675"/>
        <v/>
      </c>
      <c r="S5401" t="str">
        <f t="shared" si="676"/>
        <v/>
      </c>
      <c r="T5401" s="403" t="str">
        <f t="shared" si="677"/>
        <v>NDI-5503-A</v>
      </c>
      <c r="U5401" s="403">
        <f t="shared" si="678"/>
        <v>1</v>
      </c>
      <c r="V5401" s="403" t="str">
        <f t="shared" si="679"/>
        <v>CPP_7_3</v>
      </c>
    </row>
    <row r="5402" spans="1:22">
      <c r="A5402" t="str">
        <f t="shared" si="672"/>
        <v>NDI-5503-A</v>
      </c>
      <c r="B5402" s="403" t="s">
        <v>1426</v>
      </c>
      <c r="C5402" s="403" t="s">
        <v>582</v>
      </c>
      <c r="D5402" s="403" t="s">
        <v>1427</v>
      </c>
      <c r="E5402" s="403" t="s">
        <v>778</v>
      </c>
      <c r="F5402" s="403" t="s">
        <v>1382</v>
      </c>
      <c r="G5402" s="403" t="s">
        <v>1466</v>
      </c>
      <c r="H5402" s="403" t="s">
        <v>1276</v>
      </c>
      <c r="I5402" s="403">
        <v>1</v>
      </c>
      <c r="J5402" s="403" t="s">
        <v>1373</v>
      </c>
      <c r="K5402" s="403">
        <v>2688</v>
      </c>
      <c r="L5402" s="403">
        <v>1512</v>
      </c>
      <c r="M5402" s="403" t="s">
        <v>1283</v>
      </c>
      <c r="N5402" s="403">
        <v>720</v>
      </c>
      <c r="O5402" s="403">
        <v>480</v>
      </c>
      <c r="P5402" t="str">
        <f t="shared" si="673"/>
        <v>30fps 2688x1512 - SD 4CIF resolution 4:3 format (cropped)</v>
      </c>
      <c r="Q5402">
        <f t="shared" si="674"/>
        <v>24</v>
      </c>
      <c r="R5402" t="str">
        <f t="shared" si="675"/>
        <v/>
      </c>
      <c r="S5402" t="str">
        <f t="shared" si="676"/>
        <v/>
      </c>
      <c r="T5402" s="403" t="str">
        <f t="shared" si="677"/>
        <v>NDI-5503-A</v>
      </c>
      <c r="U5402" s="403">
        <f t="shared" si="678"/>
        <v>1</v>
      </c>
      <c r="V5402" s="403" t="str">
        <f t="shared" si="679"/>
        <v>CPP_7_3</v>
      </c>
    </row>
    <row r="5403" spans="1:22">
      <c r="A5403" t="str">
        <f t="shared" si="672"/>
        <v>NDI-5503-A</v>
      </c>
      <c r="B5403" s="403" t="s">
        <v>1426</v>
      </c>
      <c r="C5403" s="403" t="s">
        <v>582</v>
      </c>
      <c r="D5403" s="403" t="s">
        <v>1427</v>
      </c>
      <c r="E5403" s="403" t="s">
        <v>778</v>
      </c>
      <c r="F5403" s="403" t="s">
        <v>1382</v>
      </c>
      <c r="G5403" s="403" t="s">
        <v>1466</v>
      </c>
      <c r="H5403" s="403" t="s">
        <v>1276</v>
      </c>
      <c r="I5403" s="403">
        <v>1</v>
      </c>
      <c r="J5403" s="403" t="s">
        <v>1373</v>
      </c>
      <c r="K5403" s="403">
        <v>2688</v>
      </c>
      <c r="L5403" s="403">
        <v>1512</v>
      </c>
      <c r="M5403" s="403" t="s">
        <v>1284</v>
      </c>
      <c r="N5403" s="403">
        <v>640</v>
      </c>
      <c r="O5403" s="403">
        <v>480</v>
      </c>
      <c r="P5403" t="str">
        <f t="shared" si="673"/>
        <v>30fps 2688x1512 - SD VGA (cropped)</v>
      </c>
      <c r="Q5403">
        <f t="shared" si="674"/>
        <v>24</v>
      </c>
      <c r="R5403" t="str">
        <f t="shared" si="675"/>
        <v/>
      </c>
      <c r="S5403" t="str">
        <f t="shared" si="676"/>
        <v/>
      </c>
      <c r="T5403" s="403" t="str">
        <f t="shared" si="677"/>
        <v>NDI-5503-A</v>
      </c>
      <c r="U5403" s="403">
        <f t="shared" si="678"/>
        <v>1</v>
      </c>
      <c r="V5403" s="403" t="str">
        <f t="shared" si="679"/>
        <v>CPP_7_3</v>
      </c>
    </row>
    <row r="5404" spans="1:22">
      <c r="A5404" t="str">
        <f t="shared" si="672"/>
        <v>NDI-5503-A</v>
      </c>
      <c r="B5404" s="403" t="s">
        <v>1426</v>
      </c>
      <c r="C5404" s="403" t="s">
        <v>582</v>
      </c>
      <c r="D5404" s="403" t="s">
        <v>1427</v>
      </c>
      <c r="E5404" s="403" t="s">
        <v>778</v>
      </c>
      <c r="F5404" s="403" t="s">
        <v>1382</v>
      </c>
      <c r="G5404" s="403" t="s">
        <v>1466</v>
      </c>
      <c r="H5404" s="403" t="s">
        <v>1276</v>
      </c>
      <c r="I5404" s="403">
        <v>1</v>
      </c>
      <c r="J5404" s="403" t="s">
        <v>1373</v>
      </c>
      <c r="K5404" s="403">
        <v>2688</v>
      </c>
      <c r="L5404" s="403">
        <v>1512</v>
      </c>
      <c r="M5404" s="403" t="s">
        <v>1280</v>
      </c>
      <c r="N5404" s="403">
        <v>2688</v>
      </c>
      <c r="O5404" s="403">
        <v>1512</v>
      </c>
      <c r="P5404" t="str">
        <f t="shared" si="673"/>
        <v>30fps 2688x1512 - copy other stream</v>
      </c>
      <c r="Q5404">
        <f t="shared" si="674"/>
        <v>24</v>
      </c>
      <c r="R5404" t="str">
        <f t="shared" si="675"/>
        <v/>
      </c>
      <c r="S5404" t="str">
        <f t="shared" si="676"/>
        <v/>
      </c>
      <c r="T5404" s="403" t="str">
        <f t="shared" si="677"/>
        <v>NDI-5503-A</v>
      </c>
      <c r="U5404" s="403">
        <f t="shared" si="678"/>
        <v>1</v>
      </c>
      <c r="V5404" s="403" t="str">
        <f t="shared" si="679"/>
        <v>CPP_7_3</v>
      </c>
    </row>
    <row r="5405" spans="1:22">
      <c r="A5405" t="str">
        <f t="shared" si="672"/>
        <v>NDI-5503-A</v>
      </c>
      <c r="B5405" s="403" t="s">
        <v>1426</v>
      </c>
      <c r="C5405" s="403" t="s">
        <v>582</v>
      </c>
      <c r="D5405" s="403" t="s">
        <v>1427</v>
      </c>
      <c r="E5405" s="403" t="s">
        <v>778</v>
      </c>
      <c r="F5405" s="403" t="s">
        <v>1382</v>
      </c>
      <c r="G5405" s="403" t="s">
        <v>1466</v>
      </c>
      <c r="H5405" s="403" t="s">
        <v>1276</v>
      </c>
      <c r="I5405" s="403">
        <v>1</v>
      </c>
      <c r="J5405" s="403" t="s">
        <v>1374</v>
      </c>
      <c r="K5405" s="403">
        <v>2304</v>
      </c>
      <c r="L5405" s="403">
        <v>1296</v>
      </c>
      <c r="M5405" s="403" t="s">
        <v>110</v>
      </c>
      <c r="N5405" s="403">
        <v>1920</v>
      </c>
      <c r="O5405" s="403">
        <v>1080</v>
      </c>
      <c r="P5405" t="str">
        <f t="shared" si="673"/>
        <v>30fps 2304x1296 - 1080p</v>
      </c>
      <c r="Q5405">
        <f t="shared" si="674"/>
        <v>24</v>
      </c>
      <c r="R5405" t="str">
        <f t="shared" si="675"/>
        <v/>
      </c>
      <c r="S5405" t="str">
        <f t="shared" si="676"/>
        <v/>
      </c>
      <c r="T5405" s="403" t="str">
        <f t="shared" si="677"/>
        <v>NDI-5503-A</v>
      </c>
      <c r="U5405" s="403">
        <f t="shared" si="678"/>
        <v>1</v>
      </c>
      <c r="V5405" s="403" t="str">
        <f t="shared" si="679"/>
        <v>CPP_7_3</v>
      </c>
    </row>
    <row r="5406" spans="1:22">
      <c r="A5406" t="str">
        <f t="shared" si="672"/>
        <v>NDI-5503-A</v>
      </c>
      <c r="B5406" s="403" t="s">
        <v>1426</v>
      </c>
      <c r="C5406" s="403" t="s">
        <v>582</v>
      </c>
      <c r="D5406" s="403" t="s">
        <v>1427</v>
      </c>
      <c r="E5406" s="403" t="s">
        <v>778</v>
      </c>
      <c r="F5406" s="403" t="s">
        <v>1382</v>
      </c>
      <c r="G5406" s="403" t="s">
        <v>1466</v>
      </c>
      <c r="H5406" s="403" t="s">
        <v>1276</v>
      </c>
      <c r="I5406" s="403">
        <v>1</v>
      </c>
      <c r="J5406" s="403" t="s">
        <v>1374</v>
      </c>
      <c r="K5406" s="403">
        <v>2304</v>
      </c>
      <c r="L5406" s="403">
        <v>1296</v>
      </c>
      <c r="M5406" s="403" t="s">
        <v>1374</v>
      </c>
      <c r="N5406" s="403">
        <v>2304</v>
      </c>
      <c r="O5406" s="403">
        <v>1296</v>
      </c>
      <c r="P5406" t="str">
        <f t="shared" si="673"/>
        <v>30fps 2304x1296 - 2304x1296</v>
      </c>
      <c r="Q5406">
        <f t="shared" si="674"/>
        <v>24</v>
      </c>
      <c r="R5406" t="str">
        <f t="shared" si="675"/>
        <v/>
      </c>
      <c r="S5406" t="str">
        <f t="shared" si="676"/>
        <v/>
      </c>
      <c r="T5406" s="403" t="str">
        <f t="shared" si="677"/>
        <v>NDI-5503-A</v>
      </c>
      <c r="U5406" s="403">
        <f t="shared" si="678"/>
        <v>1</v>
      </c>
      <c r="V5406" s="403" t="str">
        <f t="shared" si="679"/>
        <v>CPP_7_3</v>
      </c>
    </row>
    <row r="5407" spans="1:22">
      <c r="A5407" t="str">
        <f t="shared" si="672"/>
        <v>NDI-5503-A</v>
      </c>
      <c r="B5407" s="403" t="s">
        <v>1426</v>
      </c>
      <c r="C5407" s="403" t="s">
        <v>582</v>
      </c>
      <c r="D5407" s="403" t="s">
        <v>1427</v>
      </c>
      <c r="E5407" s="403" t="s">
        <v>778</v>
      </c>
      <c r="F5407" s="403" t="s">
        <v>1382</v>
      </c>
      <c r="G5407" s="403" t="s">
        <v>1466</v>
      </c>
      <c r="H5407" s="403" t="s">
        <v>1276</v>
      </c>
      <c r="I5407" s="403">
        <v>1</v>
      </c>
      <c r="J5407" s="403" t="s">
        <v>1374</v>
      </c>
      <c r="K5407" s="403">
        <v>2304</v>
      </c>
      <c r="L5407" s="403">
        <v>1296</v>
      </c>
      <c r="M5407" s="403" t="s">
        <v>109</v>
      </c>
      <c r="N5407" s="403">
        <v>1280</v>
      </c>
      <c r="O5407" s="403">
        <v>720</v>
      </c>
      <c r="P5407" t="str">
        <f t="shared" si="673"/>
        <v>30fps 2304x1296 - 720p</v>
      </c>
      <c r="Q5407">
        <f t="shared" si="674"/>
        <v>24</v>
      </c>
      <c r="R5407" t="str">
        <f t="shared" si="675"/>
        <v/>
      </c>
      <c r="S5407" t="str">
        <f t="shared" si="676"/>
        <v/>
      </c>
      <c r="T5407" s="403" t="str">
        <f t="shared" si="677"/>
        <v>NDI-5503-A</v>
      </c>
      <c r="U5407" s="403">
        <f t="shared" si="678"/>
        <v>1</v>
      </c>
      <c r="V5407" s="403" t="str">
        <f t="shared" si="679"/>
        <v>CPP_7_3</v>
      </c>
    </row>
    <row r="5408" spans="1:22">
      <c r="A5408" t="str">
        <f t="shared" si="672"/>
        <v>NDI-5503-A</v>
      </c>
      <c r="B5408" s="403" t="s">
        <v>1426</v>
      </c>
      <c r="C5408" s="403" t="s">
        <v>582</v>
      </c>
      <c r="D5408" s="403" t="s">
        <v>1427</v>
      </c>
      <c r="E5408" s="403" t="s">
        <v>778</v>
      </c>
      <c r="F5408" s="403" t="s">
        <v>1382</v>
      </c>
      <c r="G5408" s="403" t="s">
        <v>1466</v>
      </c>
      <c r="H5408" s="403" t="s">
        <v>1276</v>
      </c>
      <c r="I5408" s="403">
        <v>1</v>
      </c>
      <c r="J5408" s="403" t="s">
        <v>1374</v>
      </c>
      <c r="K5408" s="403">
        <v>2304</v>
      </c>
      <c r="L5408" s="403">
        <v>1296</v>
      </c>
      <c r="M5408" s="403" t="s">
        <v>111</v>
      </c>
      <c r="N5408" s="403">
        <v>768</v>
      </c>
      <c r="O5408" s="403">
        <v>432</v>
      </c>
      <c r="P5408" t="str">
        <f t="shared" si="673"/>
        <v>30fps 2304x1296 - SD</v>
      </c>
      <c r="Q5408">
        <f t="shared" si="674"/>
        <v>24</v>
      </c>
      <c r="R5408" t="str">
        <f t="shared" si="675"/>
        <v/>
      </c>
      <c r="S5408" t="str">
        <f t="shared" si="676"/>
        <v/>
      </c>
      <c r="T5408" s="403" t="str">
        <f t="shared" si="677"/>
        <v>NDI-5503-A</v>
      </c>
      <c r="U5408" s="403">
        <f t="shared" si="678"/>
        <v>1</v>
      </c>
      <c r="V5408" s="403" t="str">
        <f t="shared" si="679"/>
        <v>CPP_7_3</v>
      </c>
    </row>
    <row r="5409" spans="1:22">
      <c r="A5409" t="str">
        <f t="shared" si="672"/>
        <v>NDI-5503-A</v>
      </c>
      <c r="B5409" s="403" t="s">
        <v>1426</v>
      </c>
      <c r="C5409" s="403" t="s">
        <v>582</v>
      </c>
      <c r="D5409" s="403" t="s">
        <v>1427</v>
      </c>
      <c r="E5409" s="403" t="s">
        <v>778</v>
      </c>
      <c r="F5409" s="403" t="s">
        <v>1382</v>
      </c>
      <c r="G5409" s="403" t="s">
        <v>1466</v>
      </c>
      <c r="H5409" s="403" t="s">
        <v>1276</v>
      </c>
      <c r="I5409" s="403">
        <v>1</v>
      </c>
      <c r="J5409" s="403" t="s">
        <v>1374</v>
      </c>
      <c r="K5409" s="403">
        <v>2304</v>
      </c>
      <c r="L5409" s="403">
        <v>1296</v>
      </c>
      <c r="M5409" s="403" t="s">
        <v>1279</v>
      </c>
      <c r="N5409" s="403">
        <v>768</v>
      </c>
      <c r="O5409" s="403">
        <v>432</v>
      </c>
      <c r="P5409" t="str">
        <f t="shared" si="673"/>
        <v>30fps 2304x1296 - SD ROI PTZ</v>
      </c>
      <c r="Q5409">
        <f t="shared" si="674"/>
        <v>24</v>
      </c>
      <c r="R5409" t="str">
        <f t="shared" si="675"/>
        <v/>
      </c>
      <c r="S5409" t="str">
        <f t="shared" si="676"/>
        <v/>
      </c>
      <c r="T5409" s="403" t="str">
        <f t="shared" si="677"/>
        <v>NDI-5503-A</v>
      </c>
      <c r="U5409" s="403">
        <f t="shared" si="678"/>
        <v>1</v>
      </c>
      <c r="V5409" s="403" t="str">
        <f t="shared" si="679"/>
        <v>CPP_7_3</v>
      </c>
    </row>
    <row r="5410" spans="1:22">
      <c r="A5410" t="str">
        <f t="shared" si="672"/>
        <v>NDI-5503-A</v>
      </c>
      <c r="B5410" s="403" t="s">
        <v>1426</v>
      </c>
      <c r="C5410" s="403" t="s">
        <v>582</v>
      </c>
      <c r="D5410" s="403" t="s">
        <v>1427</v>
      </c>
      <c r="E5410" s="403" t="s">
        <v>778</v>
      </c>
      <c r="F5410" s="403" t="s">
        <v>1382</v>
      </c>
      <c r="G5410" s="403" t="s">
        <v>1466</v>
      </c>
      <c r="H5410" s="403" t="s">
        <v>1276</v>
      </c>
      <c r="I5410" s="403">
        <v>1</v>
      </c>
      <c r="J5410" s="403" t="s">
        <v>1374</v>
      </c>
      <c r="K5410" s="403">
        <v>2304</v>
      </c>
      <c r="L5410" s="403">
        <v>1296</v>
      </c>
      <c r="M5410" s="403" t="s">
        <v>1285</v>
      </c>
      <c r="N5410" s="403">
        <v>1280</v>
      </c>
      <c r="O5410" s="403">
        <v>1024</v>
      </c>
      <c r="P5410" t="str">
        <f t="shared" si="673"/>
        <v>30fps 2304x1296 - 1280x1024 5:4 (cropped)</v>
      </c>
      <c r="Q5410">
        <f t="shared" si="674"/>
        <v>24</v>
      </c>
      <c r="R5410" t="str">
        <f t="shared" si="675"/>
        <v/>
      </c>
      <c r="S5410" t="str">
        <f t="shared" si="676"/>
        <v/>
      </c>
      <c r="T5410" s="403" t="str">
        <f t="shared" si="677"/>
        <v>NDI-5503-A</v>
      </c>
      <c r="U5410" s="403">
        <f t="shared" si="678"/>
        <v>1</v>
      </c>
      <c r="V5410" s="403" t="str">
        <f t="shared" si="679"/>
        <v>CPP_7_3</v>
      </c>
    </row>
    <row r="5411" spans="1:22">
      <c r="A5411" t="str">
        <f t="shared" si="672"/>
        <v>NDI-5503-A</v>
      </c>
      <c r="B5411" s="403" t="s">
        <v>1426</v>
      </c>
      <c r="C5411" s="403" t="s">
        <v>582</v>
      </c>
      <c r="D5411" s="403" t="s">
        <v>1427</v>
      </c>
      <c r="E5411" s="403" t="s">
        <v>778</v>
      </c>
      <c r="F5411" s="403" t="s">
        <v>1382</v>
      </c>
      <c r="G5411" s="403" t="s">
        <v>1466</v>
      </c>
      <c r="H5411" s="403" t="s">
        <v>1276</v>
      </c>
      <c r="I5411" s="403">
        <v>1</v>
      </c>
      <c r="J5411" s="403" t="s">
        <v>1374</v>
      </c>
      <c r="K5411" s="403">
        <v>2304</v>
      </c>
      <c r="L5411" s="403">
        <v>1296</v>
      </c>
      <c r="M5411" s="403" t="s">
        <v>1283</v>
      </c>
      <c r="N5411" s="403">
        <v>720</v>
      </c>
      <c r="O5411" s="403">
        <v>480</v>
      </c>
      <c r="P5411" t="str">
        <f t="shared" si="673"/>
        <v>30fps 2304x1296 - SD 4CIF resolution 4:3 format (cropped)</v>
      </c>
      <c r="Q5411">
        <f t="shared" si="674"/>
        <v>24</v>
      </c>
      <c r="R5411" t="str">
        <f t="shared" si="675"/>
        <v/>
      </c>
      <c r="S5411" t="str">
        <f t="shared" si="676"/>
        <v/>
      </c>
      <c r="T5411" s="403" t="str">
        <f t="shared" si="677"/>
        <v>NDI-5503-A</v>
      </c>
      <c r="U5411" s="403">
        <f t="shared" si="678"/>
        <v>1</v>
      </c>
      <c r="V5411" s="403" t="str">
        <f t="shared" si="679"/>
        <v>CPP_7_3</v>
      </c>
    </row>
    <row r="5412" spans="1:22">
      <c r="A5412" t="str">
        <f t="shared" si="672"/>
        <v>NDI-5503-A</v>
      </c>
      <c r="B5412" s="403" t="s">
        <v>1426</v>
      </c>
      <c r="C5412" s="403" t="s">
        <v>582</v>
      </c>
      <c r="D5412" s="403" t="s">
        <v>1427</v>
      </c>
      <c r="E5412" s="403" t="s">
        <v>778</v>
      </c>
      <c r="F5412" s="403" t="s">
        <v>1382</v>
      </c>
      <c r="G5412" s="403" t="s">
        <v>1466</v>
      </c>
      <c r="H5412" s="403" t="s">
        <v>1276</v>
      </c>
      <c r="I5412" s="403">
        <v>1</v>
      </c>
      <c r="J5412" s="403" t="s">
        <v>1374</v>
      </c>
      <c r="K5412" s="403">
        <v>2304</v>
      </c>
      <c r="L5412" s="403">
        <v>1296</v>
      </c>
      <c r="M5412" s="403" t="s">
        <v>1284</v>
      </c>
      <c r="N5412" s="403">
        <v>640</v>
      </c>
      <c r="O5412" s="403">
        <v>480</v>
      </c>
      <c r="P5412" t="str">
        <f t="shared" si="673"/>
        <v>30fps 2304x1296 - SD VGA (cropped)</v>
      </c>
      <c r="Q5412">
        <f t="shared" si="674"/>
        <v>24</v>
      </c>
      <c r="R5412" t="str">
        <f t="shared" si="675"/>
        <v/>
      </c>
      <c r="S5412" t="str">
        <f t="shared" si="676"/>
        <v/>
      </c>
      <c r="T5412" s="403" t="str">
        <f t="shared" si="677"/>
        <v>NDI-5503-A</v>
      </c>
      <c r="U5412" s="403">
        <f t="shared" si="678"/>
        <v>1</v>
      </c>
      <c r="V5412" s="403" t="str">
        <f t="shared" si="679"/>
        <v>CPP_7_3</v>
      </c>
    </row>
    <row r="5413" spans="1:22">
      <c r="A5413" t="str">
        <f t="shared" si="672"/>
        <v>NDI-5503-A</v>
      </c>
      <c r="B5413" s="403" t="s">
        <v>1426</v>
      </c>
      <c r="C5413" s="403" t="s">
        <v>582</v>
      </c>
      <c r="D5413" s="403" t="s">
        <v>1427</v>
      </c>
      <c r="E5413" s="403" t="s">
        <v>778</v>
      </c>
      <c r="F5413" s="403" t="s">
        <v>1382</v>
      </c>
      <c r="G5413" s="403" t="s">
        <v>1466</v>
      </c>
      <c r="H5413" s="403" t="s">
        <v>1276</v>
      </c>
      <c r="I5413" s="403">
        <v>1</v>
      </c>
      <c r="J5413" s="403" t="s">
        <v>1374</v>
      </c>
      <c r="K5413" s="403">
        <v>2304</v>
      </c>
      <c r="L5413" s="403">
        <v>1296</v>
      </c>
      <c r="M5413" s="403" t="s">
        <v>1280</v>
      </c>
      <c r="N5413" s="403">
        <v>2304</v>
      </c>
      <c r="O5413" s="403">
        <v>1296</v>
      </c>
      <c r="P5413" t="str">
        <f t="shared" si="673"/>
        <v>30fps 2304x1296 - copy other stream</v>
      </c>
      <c r="Q5413">
        <f t="shared" si="674"/>
        <v>24</v>
      </c>
      <c r="R5413" t="str">
        <f t="shared" si="675"/>
        <v/>
      </c>
      <c r="S5413" t="str">
        <f t="shared" si="676"/>
        <v/>
      </c>
      <c r="T5413" s="403" t="str">
        <f t="shared" si="677"/>
        <v>NDI-5503-A</v>
      </c>
      <c r="U5413" s="403">
        <f t="shared" si="678"/>
        <v>1</v>
      </c>
      <c r="V5413" s="403" t="str">
        <f t="shared" si="679"/>
        <v>CPP_7_3</v>
      </c>
    </row>
    <row r="5414" spans="1:22">
      <c r="A5414" t="str">
        <f t="shared" si="672"/>
        <v>NDI-5503-A</v>
      </c>
      <c r="B5414" s="403" t="s">
        <v>1426</v>
      </c>
      <c r="C5414" s="403" t="s">
        <v>582</v>
      </c>
      <c r="D5414" s="403" t="s">
        <v>1427</v>
      </c>
      <c r="E5414" s="403" t="s">
        <v>778</v>
      </c>
      <c r="F5414" s="403" t="s">
        <v>1382</v>
      </c>
      <c r="G5414" s="403" t="s">
        <v>1466</v>
      </c>
      <c r="H5414" s="403" t="s">
        <v>1276</v>
      </c>
      <c r="I5414" s="403">
        <v>1</v>
      </c>
      <c r="J5414" s="403" t="s">
        <v>110</v>
      </c>
      <c r="K5414" s="403">
        <v>1920</v>
      </c>
      <c r="L5414" s="403">
        <v>1080</v>
      </c>
      <c r="M5414" s="403" t="s">
        <v>111</v>
      </c>
      <c r="N5414" s="403">
        <v>768</v>
      </c>
      <c r="O5414" s="403">
        <v>432</v>
      </c>
      <c r="P5414" t="str">
        <f t="shared" si="673"/>
        <v>30fps 1080p - SD</v>
      </c>
      <c r="Q5414">
        <f t="shared" si="674"/>
        <v>24</v>
      </c>
      <c r="R5414" t="str">
        <f t="shared" si="675"/>
        <v/>
      </c>
      <c r="S5414" t="str">
        <f t="shared" si="676"/>
        <v/>
      </c>
      <c r="T5414" s="403" t="str">
        <f t="shared" si="677"/>
        <v>NDI-5503-A</v>
      </c>
      <c r="U5414" s="403">
        <f t="shared" si="678"/>
        <v>1</v>
      </c>
      <c r="V5414" s="403" t="str">
        <f t="shared" si="679"/>
        <v>CPP_7_3</v>
      </c>
    </row>
    <row r="5415" spans="1:22">
      <c r="A5415" t="str">
        <f t="shared" si="672"/>
        <v>NDI-5503-A</v>
      </c>
      <c r="B5415" s="403" t="s">
        <v>1426</v>
      </c>
      <c r="C5415" s="403" t="s">
        <v>582</v>
      </c>
      <c r="D5415" s="403" t="s">
        <v>1427</v>
      </c>
      <c r="E5415" s="403" t="s">
        <v>778</v>
      </c>
      <c r="F5415" s="403" t="s">
        <v>1382</v>
      </c>
      <c r="G5415" s="403" t="s">
        <v>1466</v>
      </c>
      <c r="H5415" s="403" t="s">
        <v>1276</v>
      </c>
      <c r="I5415" s="403">
        <v>1</v>
      </c>
      <c r="J5415" s="403" t="s">
        <v>110</v>
      </c>
      <c r="K5415" s="403">
        <v>1920</v>
      </c>
      <c r="L5415" s="403">
        <v>1080</v>
      </c>
      <c r="M5415" s="403" t="s">
        <v>110</v>
      </c>
      <c r="N5415" s="403">
        <v>1920</v>
      </c>
      <c r="O5415" s="403">
        <v>1080</v>
      </c>
      <c r="P5415" t="str">
        <f t="shared" si="673"/>
        <v>30fps 1080p - 1080p</v>
      </c>
      <c r="Q5415">
        <f t="shared" si="674"/>
        <v>24</v>
      </c>
      <c r="R5415" t="str">
        <f t="shared" si="675"/>
        <v/>
      </c>
      <c r="S5415" t="str">
        <f t="shared" si="676"/>
        <v/>
      </c>
      <c r="T5415" s="403" t="str">
        <f t="shared" si="677"/>
        <v>NDI-5503-A</v>
      </c>
      <c r="U5415" s="403">
        <f t="shared" si="678"/>
        <v>1</v>
      </c>
      <c r="V5415" s="403" t="str">
        <f t="shared" si="679"/>
        <v>CPP_7_3</v>
      </c>
    </row>
    <row r="5416" spans="1:22">
      <c r="A5416" t="str">
        <f t="shared" si="672"/>
        <v>NDI-5503-A</v>
      </c>
      <c r="B5416" s="403" t="s">
        <v>1426</v>
      </c>
      <c r="C5416" s="403" t="s">
        <v>582</v>
      </c>
      <c r="D5416" s="403" t="s">
        <v>1427</v>
      </c>
      <c r="E5416" s="403" t="s">
        <v>778</v>
      </c>
      <c r="F5416" s="403" t="s">
        <v>1382</v>
      </c>
      <c r="G5416" s="403" t="s">
        <v>1466</v>
      </c>
      <c r="H5416" s="403" t="s">
        <v>1276</v>
      </c>
      <c r="I5416" s="403">
        <v>1</v>
      </c>
      <c r="J5416" s="403" t="s">
        <v>110</v>
      </c>
      <c r="K5416" s="403">
        <v>1920</v>
      </c>
      <c r="L5416" s="403">
        <v>1080</v>
      </c>
      <c r="M5416" s="403" t="s">
        <v>109</v>
      </c>
      <c r="N5416" s="403">
        <v>1280</v>
      </c>
      <c r="O5416" s="403">
        <v>720</v>
      </c>
      <c r="P5416" t="str">
        <f t="shared" si="673"/>
        <v>30fps 1080p - 720p</v>
      </c>
      <c r="Q5416">
        <f t="shared" si="674"/>
        <v>24</v>
      </c>
      <c r="R5416" t="str">
        <f t="shared" si="675"/>
        <v/>
      </c>
      <c r="S5416" t="str">
        <f t="shared" si="676"/>
        <v/>
      </c>
      <c r="T5416" s="403" t="str">
        <f t="shared" si="677"/>
        <v>NDI-5503-A</v>
      </c>
      <c r="U5416" s="403">
        <f t="shared" si="678"/>
        <v>1</v>
      </c>
      <c r="V5416" s="403" t="str">
        <f t="shared" si="679"/>
        <v>CPP_7_3</v>
      </c>
    </row>
    <row r="5417" spans="1:22">
      <c r="A5417" t="str">
        <f t="shared" si="672"/>
        <v>NDI-5503-A</v>
      </c>
      <c r="B5417" s="403" t="s">
        <v>1426</v>
      </c>
      <c r="C5417" s="403" t="s">
        <v>582</v>
      </c>
      <c r="D5417" s="403" t="s">
        <v>1427</v>
      </c>
      <c r="E5417" s="403" t="s">
        <v>778</v>
      </c>
      <c r="F5417" s="403" t="s">
        <v>1382</v>
      </c>
      <c r="G5417" s="403" t="s">
        <v>1466</v>
      </c>
      <c r="H5417" s="403" t="s">
        <v>1276</v>
      </c>
      <c r="I5417" s="403">
        <v>1</v>
      </c>
      <c r="J5417" s="403" t="s">
        <v>110</v>
      </c>
      <c r="K5417" s="403">
        <v>1920</v>
      </c>
      <c r="L5417" s="403">
        <v>1080</v>
      </c>
      <c r="M5417" s="403" t="s">
        <v>1285</v>
      </c>
      <c r="N5417" s="403">
        <v>1280</v>
      </c>
      <c r="O5417" s="403">
        <v>1024</v>
      </c>
      <c r="P5417" t="str">
        <f t="shared" si="673"/>
        <v>30fps 1080p - 1280x1024 5:4 (cropped)</v>
      </c>
      <c r="Q5417">
        <f t="shared" si="674"/>
        <v>24</v>
      </c>
      <c r="R5417" t="str">
        <f t="shared" si="675"/>
        <v/>
      </c>
      <c r="S5417" t="str">
        <f t="shared" si="676"/>
        <v/>
      </c>
      <c r="T5417" s="403" t="str">
        <f t="shared" si="677"/>
        <v>NDI-5503-A</v>
      </c>
      <c r="U5417" s="403">
        <f t="shared" si="678"/>
        <v>1</v>
      </c>
      <c r="V5417" s="403" t="str">
        <f t="shared" si="679"/>
        <v>CPP_7_3</v>
      </c>
    </row>
    <row r="5418" spans="1:22">
      <c r="A5418" t="str">
        <f t="shared" si="672"/>
        <v>NDI-5503-A</v>
      </c>
      <c r="B5418" s="403" t="s">
        <v>1426</v>
      </c>
      <c r="C5418" s="403" t="s">
        <v>582</v>
      </c>
      <c r="D5418" s="403" t="s">
        <v>1427</v>
      </c>
      <c r="E5418" s="403" t="s">
        <v>778</v>
      </c>
      <c r="F5418" s="403" t="s">
        <v>1382</v>
      </c>
      <c r="G5418" s="403" t="s">
        <v>1466</v>
      </c>
      <c r="H5418" s="403" t="s">
        <v>1276</v>
      </c>
      <c r="I5418" s="403">
        <v>1</v>
      </c>
      <c r="J5418" s="403" t="s">
        <v>110</v>
      </c>
      <c r="K5418" s="403">
        <v>1920</v>
      </c>
      <c r="L5418" s="403">
        <v>1080</v>
      </c>
      <c r="M5418" s="403" t="s">
        <v>1279</v>
      </c>
      <c r="N5418" s="403">
        <v>768</v>
      </c>
      <c r="O5418" s="403">
        <v>432</v>
      </c>
      <c r="P5418" t="str">
        <f t="shared" si="673"/>
        <v>30fps 1080p - SD ROI PTZ</v>
      </c>
      <c r="Q5418">
        <f t="shared" si="674"/>
        <v>24</v>
      </c>
      <c r="R5418" t="str">
        <f t="shared" si="675"/>
        <v/>
      </c>
      <c r="S5418" t="str">
        <f t="shared" si="676"/>
        <v/>
      </c>
      <c r="T5418" s="403" t="str">
        <f t="shared" si="677"/>
        <v>NDI-5503-A</v>
      </c>
      <c r="U5418" s="403">
        <f t="shared" si="678"/>
        <v>1</v>
      </c>
      <c r="V5418" s="403" t="str">
        <f t="shared" si="679"/>
        <v>CPP_7_3</v>
      </c>
    </row>
    <row r="5419" spans="1:22">
      <c r="A5419" t="str">
        <f t="shared" si="672"/>
        <v>NDI-5503-A</v>
      </c>
      <c r="B5419" s="403" t="s">
        <v>1426</v>
      </c>
      <c r="C5419" s="403" t="s">
        <v>582</v>
      </c>
      <c r="D5419" s="403" t="s">
        <v>1427</v>
      </c>
      <c r="E5419" s="403" t="s">
        <v>778</v>
      </c>
      <c r="F5419" s="403" t="s">
        <v>1382</v>
      </c>
      <c r="G5419" s="403" t="s">
        <v>1466</v>
      </c>
      <c r="H5419" s="403" t="s">
        <v>1276</v>
      </c>
      <c r="I5419" s="403">
        <v>1</v>
      </c>
      <c r="J5419" s="403" t="s">
        <v>110</v>
      </c>
      <c r="K5419" s="403">
        <v>1920</v>
      </c>
      <c r="L5419" s="403">
        <v>1080</v>
      </c>
      <c r="M5419" s="403" t="s">
        <v>1283</v>
      </c>
      <c r="N5419" s="403">
        <v>720</v>
      </c>
      <c r="O5419" s="403">
        <v>480</v>
      </c>
      <c r="P5419" t="str">
        <f t="shared" si="673"/>
        <v>30fps 1080p - SD 4CIF resolution 4:3 format (cropped)</v>
      </c>
      <c r="Q5419">
        <f t="shared" si="674"/>
        <v>24</v>
      </c>
      <c r="R5419" t="str">
        <f t="shared" si="675"/>
        <v/>
      </c>
      <c r="S5419" t="str">
        <f t="shared" si="676"/>
        <v/>
      </c>
      <c r="T5419" s="403" t="str">
        <f t="shared" si="677"/>
        <v>NDI-5503-A</v>
      </c>
      <c r="U5419" s="403">
        <f t="shared" si="678"/>
        <v>1</v>
      </c>
      <c r="V5419" s="403" t="str">
        <f t="shared" si="679"/>
        <v>CPP_7_3</v>
      </c>
    </row>
    <row r="5420" spans="1:22">
      <c r="A5420" t="str">
        <f t="shared" si="672"/>
        <v>NDI-5503-A</v>
      </c>
      <c r="B5420" s="403" t="s">
        <v>1426</v>
      </c>
      <c r="C5420" s="403" t="s">
        <v>582</v>
      </c>
      <c r="D5420" s="403" t="s">
        <v>1427</v>
      </c>
      <c r="E5420" s="403" t="s">
        <v>778</v>
      </c>
      <c r="F5420" s="403" t="s">
        <v>1382</v>
      </c>
      <c r="G5420" s="403" t="s">
        <v>1466</v>
      </c>
      <c r="H5420" s="403" t="s">
        <v>1276</v>
      </c>
      <c r="I5420" s="403">
        <v>1</v>
      </c>
      <c r="J5420" s="403" t="s">
        <v>110</v>
      </c>
      <c r="K5420" s="403">
        <v>1920</v>
      </c>
      <c r="L5420" s="403">
        <v>1080</v>
      </c>
      <c r="M5420" s="403" t="s">
        <v>1284</v>
      </c>
      <c r="N5420" s="403">
        <v>640</v>
      </c>
      <c r="O5420" s="403">
        <v>480</v>
      </c>
      <c r="P5420" t="str">
        <f t="shared" si="673"/>
        <v>30fps 1080p - SD VGA (cropped)</v>
      </c>
      <c r="Q5420">
        <f t="shared" si="674"/>
        <v>24</v>
      </c>
      <c r="R5420" t="str">
        <f t="shared" si="675"/>
        <v/>
      </c>
      <c r="S5420" t="str">
        <f t="shared" si="676"/>
        <v/>
      </c>
      <c r="T5420" s="403" t="str">
        <f t="shared" si="677"/>
        <v>NDI-5503-A</v>
      </c>
      <c r="U5420" s="403">
        <f t="shared" si="678"/>
        <v>1</v>
      </c>
      <c r="V5420" s="403" t="str">
        <f t="shared" si="679"/>
        <v>CPP_7_3</v>
      </c>
    </row>
    <row r="5421" spans="1:22">
      <c r="A5421" t="str">
        <f t="shared" si="672"/>
        <v>NDI-5503-A</v>
      </c>
      <c r="B5421" s="403" t="s">
        <v>1426</v>
      </c>
      <c r="C5421" s="403" t="s">
        <v>582</v>
      </c>
      <c r="D5421" s="403" t="s">
        <v>1427</v>
      </c>
      <c r="E5421" s="403" t="s">
        <v>778</v>
      </c>
      <c r="F5421" s="403" t="s">
        <v>1382</v>
      </c>
      <c r="G5421" s="403" t="s">
        <v>1466</v>
      </c>
      <c r="H5421" s="403" t="s">
        <v>1276</v>
      </c>
      <c r="I5421" s="403">
        <v>1</v>
      </c>
      <c r="J5421" s="403" t="s">
        <v>109</v>
      </c>
      <c r="K5421" s="403">
        <v>1280</v>
      </c>
      <c r="L5421" s="403">
        <v>720</v>
      </c>
      <c r="M5421" s="403" t="s">
        <v>109</v>
      </c>
      <c r="N5421" s="403">
        <v>1280</v>
      </c>
      <c r="O5421" s="403">
        <v>720</v>
      </c>
      <c r="P5421" t="str">
        <f t="shared" si="673"/>
        <v>30fps 720p - 720p</v>
      </c>
      <c r="Q5421">
        <f t="shared" si="674"/>
        <v>24</v>
      </c>
      <c r="R5421" t="str">
        <f t="shared" si="675"/>
        <v/>
      </c>
      <c r="S5421" t="str">
        <f t="shared" si="676"/>
        <v/>
      </c>
      <c r="T5421" s="403" t="str">
        <f t="shared" si="677"/>
        <v>NDI-5503-A</v>
      </c>
      <c r="U5421" s="403">
        <f t="shared" si="678"/>
        <v>1</v>
      </c>
      <c r="V5421" s="403" t="str">
        <f t="shared" si="679"/>
        <v>CPP_7_3</v>
      </c>
    </row>
    <row r="5422" spans="1:22">
      <c r="A5422" t="str">
        <f t="shared" si="672"/>
        <v>NDI-5503-A</v>
      </c>
      <c r="B5422" s="403" t="s">
        <v>1426</v>
      </c>
      <c r="C5422" s="403" t="s">
        <v>582</v>
      </c>
      <c r="D5422" s="403" t="s">
        <v>1427</v>
      </c>
      <c r="E5422" s="403" t="s">
        <v>778</v>
      </c>
      <c r="F5422" s="403" t="s">
        <v>1382</v>
      </c>
      <c r="G5422" s="403" t="s">
        <v>1466</v>
      </c>
      <c r="H5422" s="403" t="s">
        <v>1276</v>
      </c>
      <c r="I5422" s="403">
        <v>1</v>
      </c>
      <c r="J5422" s="403" t="s">
        <v>109</v>
      </c>
      <c r="K5422" s="403">
        <v>1280</v>
      </c>
      <c r="L5422" s="403">
        <v>720</v>
      </c>
      <c r="M5422" s="403" t="s">
        <v>111</v>
      </c>
      <c r="N5422" s="403">
        <v>768</v>
      </c>
      <c r="O5422" s="403">
        <v>432</v>
      </c>
      <c r="P5422" t="str">
        <f t="shared" si="673"/>
        <v>30fps 720p - SD</v>
      </c>
      <c r="Q5422">
        <f t="shared" si="674"/>
        <v>24</v>
      </c>
      <c r="R5422" t="str">
        <f t="shared" si="675"/>
        <v/>
      </c>
      <c r="S5422" t="str">
        <f t="shared" si="676"/>
        <v/>
      </c>
      <c r="T5422" s="403" t="str">
        <f t="shared" si="677"/>
        <v>NDI-5503-A</v>
      </c>
      <c r="U5422" s="403">
        <f t="shared" si="678"/>
        <v>1</v>
      </c>
      <c r="V5422" s="403" t="str">
        <f t="shared" si="679"/>
        <v>CPP_7_3</v>
      </c>
    </row>
    <row r="5423" spans="1:22">
      <c r="A5423" t="str">
        <f t="shared" si="672"/>
        <v>NDI-5503-A</v>
      </c>
      <c r="B5423" s="403" t="s">
        <v>1426</v>
      </c>
      <c r="C5423" s="403" t="s">
        <v>582</v>
      </c>
      <c r="D5423" s="403" t="s">
        <v>1427</v>
      </c>
      <c r="E5423" s="403" t="s">
        <v>778</v>
      </c>
      <c r="F5423" s="403" t="s">
        <v>1382</v>
      </c>
      <c r="G5423" s="403" t="s">
        <v>1466</v>
      </c>
      <c r="H5423" s="403" t="s">
        <v>1276</v>
      </c>
      <c r="I5423" s="403">
        <v>1</v>
      </c>
      <c r="J5423" s="403" t="s">
        <v>109</v>
      </c>
      <c r="K5423" s="403">
        <v>1280</v>
      </c>
      <c r="L5423" s="403">
        <v>720</v>
      </c>
      <c r="M5423" s="403" t="s">
        <v>1279</v>
      </c>
      <c r="N5423" s="403">
        <v>768</v>
      </c>
      <c r="O5423" s="403">
        <v>432</v>
      </c>
      <c r="P5423" t="str">
        <f t="shared" si="673"/>
        <v>30fps 720p - SD ROI PTZ</v>
      </c>
      <c r="Q5423">
        <f t="shared" si="674"/>
        <v>24</v>
      </c>
      <c r="R5423" t="str">
        <f t="shared" si="675"/>
        <v/>
      </c>
      <c r="S5423" t="str">
        <f t="shared" si="676"/>
        <v/>
      </c>
      <c r="T5423" s="403" t="str">
        <f t="shared" si="677"/>
        <v>NDI-5503-A</v>
      </c>
      <c r="U5423" s="403">
        <f t="shared" si="678"/>
        <v>1</v>
      </c>
      <c r="V5423" s="403" t="str">
        <f t="shared" si="679"/>
        <v>CPP_7_3</v>
      </c>
    </row>
    <row r="5424" spans="1:22">
      <c r="A5424" t="str">
        <f t="shared" si="672"/>
        <v>NDI-5503-A</v>
      </c>
      <c r="B5424" s="403" t="s">
        <v>1426</v>
      </c>
      <c r="C5424" s="403" t="s">
        <v>582</v>
      </c>
      <c r="D5424" s="403" t="s">
        <v>1427</v>
      </c>
      <c r="E5424" s="403" t="s">
        <v>778</v>
      </c>
      <c r="F5424" s="403" t="s">
        <v>1382</v>
      </c>
      <c r="G5424" s="403" t="s">
        <v>1466</v>
      </c>
      <c r="H5424" s="403" t="s">
        <v>1276</v>
      </c>
      <c r="I5424" s="403">
        <v>1</v>
      </c>
      <c r="J5424" s="403" t="s">
        <v>109</v>
      </c>
      <c r="K5424" s="403">
        <v>1280</v>
      </c>
      <c r="L5424" s="403">
        <v>720</v>
      </c>
      <c r="M5424" s="403" t="s">
        <v>1283</v>
      </c>
      <c r="N5424" s="403">
        <v>720</v>
      </c>
      <c r="O5424" s="403">
        <v>480</v>
      </c>
      <c r="P5424" t="str">
        <f t="shared" si="673"/>
        <v>30fps 720p - SD 4CIF resolution 4:3 format (cropped)</v>
      </c>
      <c r="Q5424">
        <f t="shared" si="674"/>
        <v>24</v>
      </c>
      <c r="R5424" t="str">
        <f t="shared" si="675"/>
        <v/>
      </c>
      <c r="S5424" t="str">
        <f t="shared" si="676"/>
        <v/>
      </c>
      <c r="T5424" s="403" t="str">
        <f t="shared" si="677"/>
        <v>NDI-5503-A</v>
      </c>
      <c r="U5424" s="403">
        <f t="shared" si="678"/>
        <v>1</v>
      </c>
      <c r="V5424" s="403" t="str">
        <f t="shared" si="679"/>
        <v>CPP_7_3</v>
      </c>
    </row>
    <row r="5425" spans="1:22">
      <c r="A5425" t="str">
        <f t="shared" si="672"/>
        <v>NDI-5503-A</v>
      </c>
      <c r="B5425" s="403" t="s">
        <v>1426</v>
      </c>
      <c r="C5425" s="403" t="s">
        <v>582</v>
      </c>
      <c r="D5425" s="403" t="s">
        <v>1427</v>
      </c>
      <c r="E5425" s="403" t="s">
        <v>778</v>
      </c>
      <c r="F5425" s="403" t="s">
        <v>1382</v>
      </c>
      <c r="G5425" s="403" t="s">
        <v>1466</v>
      </c>
      <c r="H5425" s="403" t="s">
        <v>1276</v>
      </c>
      <c r="I5425" s="403">
        <v>1</v>
      </c>
      <c r="J5425" s="403" t="s">
        <v>109</v>
      </c>
      <c r="K5425" s="403">
        <v>1280</v>
      </c>
      <c r="L5425" s="403">
        <v>720</v>
      </c>
      <c r="M5425" s="403" t="s">
        <v>1284</v>
      </c>
      <c r="N5425" s="403">
        <v>640</v>
      </c>
      <c r="O5425" s="403">
        <v>480</v>
      </c>
      <c r="P5425" t="str">
        <f t="shared" si="673"/>
        <v>30fps 720p - SD VGA (cropped)</v>
      </c>
      <c r="Q5425">
        <f t="shared" si="674"/>
        <v>24</v>
      </c>
      <c r="R5425" t="str">
        <f t="shared" si="675"/>
        <v/>
      </c>
      <c r="S5425" t="str">
        <f t="shared" si="676"/>
        <v/>
      </c>
      <c r="T5425" s="403" t="str">
        <f t="shared" si="677"/>
        <v>NDI-5503-A</v>
      </c>
      <c r="U5425" s="403">
        <f t="shared" si="678"/>
        <v>1</v>
      </c>
      <c r="V5425" s="403" t="str">
        <f t="shared" si="679"/>
        <v>CPP_7_3</v>
      </c>
    </row>
    <row r="5426" spans="1:22">
      <c r="A5426" t="str">
        <f t="shared" si="672"/>
        <v>NDI-5503-A</v>
      </c>
      <c r="B5426" s="403" t="s">
        <v>1426</v>
      </c>
      <c r="C5426" s="403" t="s">
        <v>582</v>
      </c>
      <c r="D5426" s="403" t="s">
        <v>1427</v>
      </c>
      <c r="E5426" s="403" t="s">
        <v>778</v>
      </c>
      <c r="F5426" s="403" t="s">
        <v>1382</v>
      </c>
      <c r="G5426" s="403" t="s">
        <v>1466</v>
      </c>
      <c r="H5426" s="403" t="s">
        <v>1281</v>
      </c>
      <c r="I5426" s="403">
        <v>1</v>
      </c>
      <c r="J5426" s="403" t="s">
        <v>1376</v>
      </c>
      <c r="K5426" s="403">
        <v>3072</v>
      </c>
      <c r="L5426" s="403">
        <v>1728</v>
      </c>
      <c r="M5426" s="403" t="s">
        <v>111</v>
      </c>
      <c r="N5426" s="403">
        <v>768</v>
      </c>
      <c r="O5426" s="403">
        <v>432</v>
      </c>
      <c r="P5426" t="str">
        <f t="shared" si="673"/>
        <v>30fps 3072x1728 - SD</v>
      </c>
      <c r="Q5426">
        <f t="shared" si="674"/>
        <v>24</v>
      </c>
      <c r="R5426" t="str">
        <f t="shared" si="675"/>
        <v/>
      </c>
      <c r="S5426" t="str">
        <f t="shared" si="676"/>
        <v/>
      </c>
      <c r="T5426" s="403" t="str">
        <f t="shared" si="677"/>
        <v>NDI-5503-A</v>
      </c>
      <c r="U5426" s="403">
        <f t="shared" si="678"/>
        <v>1</v>
      </c>
      <c r="V5426" s="403" t="str">
        <f t="shared" si="679"/>
        <v>CPP_7_3</v>
      </c>
    </row>
    <row r="5427" spans="1:22">
      <c r="A5427" t="str">
        <f t="shared" si="672"/>
        <v>NDI-5503-A</v>
      </c>
      <c r="B5427" s="403" t="s">
        <v>1426</v>
      </c>
      <c r="C5427" s="403" t="s">
        <v>582</v>
      </c>
      <c r="D5427" s="403" t="s">
        <v>1427</v>
      </c>
      <c r="E5427" s="403" t="s">
        <v>778</v>
      </c>
      <c r="F5427" s="403" t="s">
        <v>1382</v>
      </c>
      <c r="G5427" s="403" t="s">
        <v>1466</v>
      </c>
      <c r="H5427" s="403" t="s">
        <v>1281</v>
      </c>
      <c r="I5427" s="403">
        <v>1</v>
      </c>
      <c r="J5427" s="403" t="s">
        <v>1376</v>
      </c>
      <c r="K5427" s="403">
        <v>3072</v>
      </c>
      <c r="L5427" s="403">
        <v>1728</v>
      </c>
      <c r="M5427" s="403" t="s">
        <v>1280</v>
      </c>
      <c r="N5427" s="403">
        <v>3072</v>
      </c>
      <c r="O5427" s="403">
        <v>1728</v>
      </c>
      <c r="P5427" t="str">
        <f t="shared" si="673"/>
        <v>30fps 3072x1728 - copy other stream</v>
      </c>
      <c r="Q5427">
        <f t="shared" si="674"/>
        <v>24</v>
      </c>
      <c r="R5427" t="str">
        <f t="shared" si="675"/>
        <v/>
      </c>
      <c r="S5427" t="str">
        <f t="shared" si="676"/>
        <v/>
      </c>
      <c r="T5427" s="403" t="str">
        <f t="shared" si="677"/>
        <v>NDI-5503-A</v>
      </c>
      <c r="U5427" s="403">
        <f t="shared" si="678"/>
        <v>1</v>
      </c>
      <c r="V5427" s="403" t="str">
        <f t="shared" si="679"/>
        <v>CPP_7_3</v>
      </c>
    </row>
    <row r="5428" spans="1:22">
      <c r="A5428" t="str">
        <f t="shared" si="672"/>
        <v>NDI-5503-A</v>
      </c>
      <c r="B5428" s="403" t="s">
        <v>1426</v>
      </c>
      <c r="C5428" s="403" t="s">
        <v>582</v>
      </c>
      <c r="D5428" s="403" t="s">
        <v>1427</v>
      </c>
      <c r="E5428" s="403" t="s">
        <v>778</v>
      </c>
      <c r="F5428" s="403" t="s">
        <v>1382</v>
      </c>
      <c r="G5428" s="403" t="s">
        <v>1466</v>
      </c>
      <c r="H5428" s="403" t="s">
        <v>1281</v>
      </c>
      <c r="I5428" s="403">
        <v>1</v>
      </c>
      <c r="J5428" s="403" t="s">
        <v>1376</v>
      </c>
      <c r="K5428" s="403">
        <v>3072</v>
      </c>
      <c r="L5428" s="403">
        <v>1728</v>
      </c>
      <c r="M5428" s="403" t="s">
        <v>110</v>
      </c>
      <c r="N5428" s="403">
        <v>1920</v>
      </c>
      <c r="O5428" s="403">
        <v>1080</v>
      </c>
      <c r="P5428" t="str">
        <f t="shared" si="673"/>
        <v>30fps 3072x1728 - 1080p</v>
      </c>
      <c r="Q5428">
        <f t="shared" si="674"/>
        <v>24</v>
      </c>
      <c r="R5428" t="str">
        <f t="shared" si="675"/>
        <v/>
      </c>
      <c r="S5428" t="str">
        <f t="shared" si="676"/>
        <v/>
      </c>
      <c r="T5428" s="403" t="str">
        <f t="shared" si="677"/>
        <v>NDI-5503-A</v>
      </c>
      <c r="U5428" s="403">
        <f t="shared" si="678"/>
        <v>1</v>
      </c>
      <c r="V5428" s="403" t="str">
        <f t="shared" si="679"/>
        <v>CPP_7_3</v>
      </c>
    </row>
    <row r="5429" spans="1:22">
      <c r="A5429" t="str">
        <f t="shared" si="672"/>
        <v>NDI-5503-A</v>
      </c>
      <c r="B5429" s="403" t="s">
        <v>1426</v>
      </c>
      <c r="C5429" s="403" t="s">
        <v>582</v>
      </c>
      <c r="D5429" s="403" t="s">
        <v>1427</v>
      </c>
      <c r="E5429" s="403" t="s">
        <v>778</v>
      </c>
      <c r="F5429" s="403" t="s">
        <v>1382</v>
      </c>
      <c r="G5429" s="403" t="s">
        <v>1466</v>
      </c>
      <c r="H5429" s="403" t="s">
        <v>1281</v>
      </c>
      <c r="I5429" s="403">
        <v>1</v>
      </c>
      <c r="J5429" s="403" t="s">
        <v>1376</v>
      </c>
      <c r="K5429" s="403">
        <v>3072</v>
      </c>
      <c r="L5429" s="403">
        <v>1728</v>
      </c>
      <c r="M5429" s="403" t="s">
        <v>109</v>
      </c>
      <c r="N5429" s="403">
        <v>1280</v>
      </c>
      <c r="O5429" s="403">
        <v>720</v>
      </c>
      <c r="P5429" t="str">
        <f t="shared" si="673"/>
        <v>30fps 3072x1728 - 720p</v>
      </c>
      <c r="Q5429">
        <f t="shared" si="674"/>
        <v>24</v>
      </c>
      <c r="R5429" t="str">
        <f t="shared" si="675"/>
        <v/>
      </c>
      <c r="S5429" t="str">
        <f t="shared" si="676"/>
        <v/>
      </c>
      <c r="T5429" s="403" t="str">
        <f t="shared" si="677"/>
        <v>NDI-5503-A</v>
      </c>
      <c r="U5429" s="403">
        <f t="shared" si="678"/>
        <v>1</v>
      </c>
      <c r="V5429" s="403" t="str">
        <f t="shared" si="679"/>
        <v>CPP_7_3</v>
      </c>
    </row>
    <row r="5430" spans="1:22">
      <c r="A5430" t="str">
        <f t="shared" si="672"/>
        <v>NDI-5503-A</v>
      </c>
      <c r="B5430" s="403" t="s">
        <v>1426</v>
      </c>
      <c r="C5430" s="403" t="s">
        <v>582</v>
      </c>
      <c r="D5430" s="403" t="s">
        <v>1427</v>
      </c>
      <c r="E5430" s="403" t="s">
        <v>778</v>
      </c>
      <c r="F5430" s="403" t="s">
        <v>1382</v>
      </c>
      <c r="G5430" s="403" t="s">
        <v>1466</v>
      </c>
      <c r="H5430" s="403" t="s">
        <v>1281</v>
      </c>
      <c r="I5430" s="403">
        <v>1</v>
      </c>
      <c r="J5430" s="403" t="s">
        <v>1376</v>
      </c>
      <c r="K5430" s="403">
        <v>3072</v>
      </c>
      <c r="L5430" s="403">
        <v>1728</v>
      </c>
      <c r="M5430" s="403" t="s">
        <v>1283</v>
      </c>
      <c r="N5430" s="403">
        <v>720</v>
      </c>
      <c r="O5430" s="403">
        <v>480</v>
      </c>
      <c r="P5430" t="str">
        <f t="shared" si="673"/>
        <v>30fps 3072x1728 - SD 4CIF resolution 4:3 format (cropped)</v>
      </c>
      <c r="Q5430">
        <f t="shared" si="674"/>
        <v>24</v>
      </c>
      <c r="R5430" t="str">
        <f t="shared" si="675"/>
        <v/>
      </c>
      <c r="S5430" t="str">
        <f t="shared" si="676"/>
        <v/>
      </c>
      <c r="T5430" s="403" t="str">
        <f t="shared" si="677"/>
        <v>NDI-5503-A</v>
      </c>
      <c r="U5430" s="403">
        <f t="shared" si="678"/>
        <v>1</v>
      </c>
      <c r="V5430" s="403" t="str">
        <f t="shared" si="679"/>
        <v>CPP_7_3</v>
      </c>
    </row>
    <row r="5431" spans="1:22">
      <c r="A5431" t="str">
        <f t="shared" si="672"/>
        <v>NDI-5503-A</v>
      </c>
      <c r="B5431" s="403" t="s">
        <v>1426</v>
      </c>
      <c r="C5431" s="403" t="s">
        <v>582</v>
      </c>
      <c r="D5431" s="403" t="s">
        <v>1427</v>
      </c>
      <c r="E5431" s="403" t="s">
        <v>778</v>
      </c>
      <c r="F5431" s="403" t="s">
        <v>1382</v>
      </c>
      <c r="G5431" s="403" t="s">
        <v>1466</v>
      </c>
      <c r="H5431" s="403" t="s">
        <v>1281</v>
      </c>
      <c r="I5431" s="403">
        <v>1</v>
      </c>
      <c r="J5431" s="403" t="s">
        <v>1376</v>
      </c>
      <c r="K5431" s="403">
        <v>3072</v>
      </c>
      <c r="L5431" s="403">
        <v>1728</v>
      </c>
      <c r="M5431" s="403" t="s">
        <v>1279</v>
      </c>
      <c r="N5431" s="403">
        <v>768</v>
      </c>
      <c r="O5431" s="403">
        <v>432</v>
      </c>
      <c r="P5431" t="str">
        <f t="shared" si="673"/>
        <v>30fps 3072x1728 - SD ROI PTZ</v>
      </c>
      <c r="Q5431">
        <f t="shared" si="674"/>
        <v>24</v>
      </c>
      <c r="R5431" t="str">
        <f t="shared" si="675"/>
        <v/>
      </c>
      <c r="S5431" t="str">
        <f t="shared" si="676"/>
        <v/>
      </c>
      <c r="T5431" s="403" t="str">
        <f t="shared" si="677"/>
        <v>NDI-5503-A</v>
      </c>
      <c r="U5431" s="403">
        <f t="shared" si="678"/>
        <v>1</v>
      </c>
      <c r="V5431" s="403" t="str">
        <f t="shared" si="679"/>
        <v>CPP_7_3</v>
      </c>
    </row>
    <row r="5432" spans="1:22">
      <c r="A5432" t="str">
        <f t="shared" si="672"/>
        <v>NDI-5503-A</v>
      </c>
      <c r="B5432" s="403" t="s">
        <v>1426</v>
      </c>
      <c r="C5432" s="403" t="s">
        <v>582</v>
      </c>
      <c r="D5432" s="403" t="s">
        <v>1427</v>
      </c>
      <c r="E5432" s="403" t="s">
        <v>778</v>
      </c>
      <c r="F5432" s="403" t="s">
        <v>1382</v>
      </c>
      <c r="G5432" s="403" t="s">
        <v>1466</v>
      </c>
      <c r="H5432" s="403" t="s">
        <v>1281</v>
      </c>
      <c r="I5432" s="403">
        <v>1</v>
      </c>
      <c r="J5432" s="403" t="s">
        <v>1376</v>
      </c>
      <c r="K5432" s="403">
        <v>3072</v>
      </c>
      <c r="L5432" s="403">
        <v>1728</v>
      </c>
      <c r="M5432" s="403" t="s">
        <v>1284</v>
      </c>
      <c r="N5432" s="403">
        <v>640</v>
      </c>
      <c r="O5432" s="403">
        <v>480</v>
      </c>
      <c r="P5432" t="str">
        <f t="shared" si="673"/>
        <v>30fps 3072x1728 - SD VGA (cropped)</v>
      </c>
      <c r="Q5432">
        <f t="shared" si="674"/>
        <v>24</v>
      </c>
      <c r="R5432" t="str">
        <f t="shared" si="675"/>
        <v/>
      </c>
      <c r="S5432" t="str">
        <f t="shared" si="676"/>
        <v/>
      </c>
      <c r="T5432" s="403" t="str">
        <f t="shared" si="677"/>
        <v>NDI-5503-A</v>
      </c>
      <c r="U5432" s="403">
        <f t="shared" si="678"/>
        <v>1</v>
      </c>
      <c r="V5432" s="403" t="str">
        <f t="shared" si="679"/>
        <v>CPP_7_3</v>
      </c>
    </row>
    <row r="5433" spans="1:22">
      <c r="A5433" t="str">
        <f t="shared" si="672"/>
        <v>NDI-5503-A</v>
      </c>
      <c r="B5433" s="403" t="s">
        <v>1426</v>
      </c>
      <c r="C5433" s="403" t="s">
        <v>582</v>
      </c>
      <c r="D5433" s="403" t="s">
        <v>1427</v>
      </c>
      <c r="E5433" s="403" t="s">
        <v>778</v>
      </c>
      <c r="F5433" s="403" t="s">
        <v>1382</v>
      </c>
      <c r="G5433" s="403" t="s">
        <v>1466</v>
      </c>
      <c r="H5433" s="403" t="s">
        <v>1281</v>
      </c>
      <c r="I5433" s="403">
        <v>1</v>
      </c>
      <c r="J5433" s="403" t="s">
        <v>1376</v>
      </c>
      <c r="K5433" s="403">
        <v>3072</v>
      </c>
      <c r="L5433" s="403">
        <v>1728</v>
      </c>
      <c r="M5433" s="403" t="s">
        <v>1285</v>
      </c>
      <c r="N5433" s="403">
        <v>1280</v>
      </c>
      <c r="O5433" s="403">
        <v>1024</v>
      </c>
      <c r="P5433" t="str">
        <f t="shared" si="673"/>
        <v>30fps 3072x1728 - 1280x1024 5:4 (cropped)</v>
      </c>
      <c r="Q5433">
        <f t="shared" si="674"/>
        <v>24</v>
      </c>
      <c r="R5433" t="str">
        <f t="shared" si="675"/>
        <v/>
      </c>
      <c r="S5433" t="str">
        <f t="shared" si="676"/>
        <v/>
      </c>
      <c r="T5433" s="403" t="str">
        <f t="shared" si="677"/>
        <v>NDI-5503-A</v>
      </c>
      <c r="U5433" s="403">
        <f t="shared" si="678"/>
        <v>1</v>
      </c>
      <c r="V5433" s="403" t="str">
        <f t="shared" si="679"/>
        <v>CPP_7_3</v>
      </c>
    </row>
    <row r="5434" spans="1:22">
      <c r="A5434" t="str">
        <f t="shared" si="672"/>
        <v>NDI-5503-A</v>
      </c>
      <c r="B5434" s="403" t="s">
        <v>1426</v>
      </c>
      <c r="C5434" s="403" t="s">
        <v>582</v>
      </c>
      <c r="D5434" s="403" t="s">
        <v>1427</v>
      </c>
      <c r="E5434" s="403" t="s">
        <v>778</v>
      </c>
      <c r="F5434" s="403" t="s">
        <v>1382</v>
      </c>
      <c r="G5434" s="403" t="s">
        <v>1466</v>
      </c>
      <c r="H5434" s="403" t="s">
        <v>1281</v>
      </c>
      <c r="I5434" s="403">
        <v>1</v>
      </c>
      <c r="J5434" s="403" t="s">
        <v>1373</v>
      </c>
      <c r="K5434" s="403">
        <v>2688</v>
      </c>
      <c r="L5434" s="403">
        <v>1512</v>
      </c>
      <c r="M5434" s="403" t="s">
        <v>110</v>
      </c>
      <c r="N5434" s="403">
        <v>1920</v>
      </c>
      <c r="O5434" s="403">
        <v>1080</v>
      </c>
      <c r="P5434" t="str">
        <f t="shared" si="673"/>
        <v>30fps 2688x1512 - 1080p</v>
      </c>
      <c r="Q5434">
        <f t="shared" si="674"/>
        <v>24</v>
      </c>
      <c r="R5434" t="str">
        <f t="shared" si="675"/>
        <v/>
      </c>
      <c r="S5434" t="str">
        <f t="shared" si="676"/>
        <v/>
      </c>
      <c r="T5434" s="403" t="str">
        <f t="shared" si="677"/>
        <v>NDI-5503-A</v>
      </c>
      <c r="U5434" s="403">
        <f t="shared" si="678"/>
        <v>1</v>
      </c>
      <c r="V5434" s="403" t="str">
        <f t="shared" si="679"/>
        <v>CPP_7_3</v>
      </c>
    </row>
    <row r="5435" spans="1:22">
      <c r="A5435" t="str">
        <f t="shared" si="672"/>
        <v>NDI-5503-A</v>
      </c>
      <c r="B5435" s="403" t="s">
        <v>1426</v>
      </c>
      <c r="C5435" s="403" t="s">
        <v>582</v>
      </c>
      <c r="D5435" s="403" t="s">
        <v>1427</v>
      </c>
      <c r="E5435" s="403" t="s">
        <v>778</v>
      </c>
      <c r="F5435" s="403" t="s">
        <v>1382</v>
      </c>
      <c r="G5435" s="403" t="s">
        <v>1466</v>
      </c>
      <c r="H5435" s="403" t="s">
        <v>1281</v>
      </c>
      <c r="I5435" s="403">
        <v>1</v>
      </c>
      <c r="J5435" s="403" t="s">
        <v>1373</v>
      </c>
      <c r="K5435" s="403">
        <v>2688</v>
      </c>
      <c r="L5435" s="403">
        <v>1512</v>
      </c>
      <c r="M5435" s="403" t="s">
        <v>1384</v>
      </c>
      <c r="N5435" s="403">
        <v>2688</v>
      </c>
      <c r="O5435" s="403">
        <v>1512</v>
      </c>
      <c r="P5435" t="str">
        <f t="shared" si="673"/>
        <v>30fps 2688x1512 - 2688x1512 @ SKIP 2</v>
      </c>
      <c r="Q5435">
        <f t="shared" si="674"/>
        <v>24</v>
      </c>
      <c r="R5435" t="str">
        <f t="shared" si="675"/>
        <v/>
      </c>
      <c r="S5435" t="str">
        <f t="shared" si="676"/>
        <v/>
      </c>
      <c r="T5435" s="403" t="str">
        <f t="shared" si="677"/>
        <v>NDI-5503-A</v>
      </c>
      <c r="U5435" s="403">
        <f t="shared" si="678"/>
        <v>1</v>
      </c>
      <c r="V5435" s="403" t="str">
        <f t="shared" si="679"/>
        <v>CPP_7_3</v>
      </c>
    </row>
    <row r="5436" spans="1:22">
      <c r="A5436" t="str">
        <f t="shared" si="672"/>
        <v>NDI-5503-A</v>
      </c>
      <c r="B5436" s="403" t="s">
        <v>1426</v>
      </c>
      <c r="C5436" s="403" t="s">
        <v>582</v>
      </c>
      <c r="D5436" s="403" t="s">
        <v>1427</v>
      </c>
      <c r="E5436" s="403" t="s">
        <v>778</v>
      </c>
      <c r="F5436" s="403" t="s">
        <v>1382</v>
      </c>
      <c r="G5436" s="403" t="s">
        <v>1466</v>
      </c>
      <c r="H5436" s="403" t="s">
        <v>1281</v>
      </c>
      <c r="I5436" s="403">
        <v>1</v>
      </c>
      <c r="J5436" s="403" t="s">
        <v>1373</v>
      </c>
      <c r="K5436" s="403">
        <v>2688</v>
      </c>
      <c r="L5436" s="403">
        <v>1512</v>
      </c>
      <c r="M5436" s="403" t="s">
        <v>109</v>
      </c>
      <c r="N5436" s="403">
        <v>1280</v>
      </c>
      <c r="O5436" s="403">
        <v>720</v>
      </c>
      <c r="P5436" t="str">
        <f t="shared" si="673"/>
        <v>30fps 2688x1512 - 720p</v>
      </c>
      <c r="Q5436">
        <f t="shared" si="674"/>
        <v>24</v>
      </c>
      <c r="R5436" t="str">
        <f t="shared" si="675"/>
        <v/>
      </c>
      <c r="S5436" t="str">
        <f t="shared" si="676"/>
        <v/>
      </c>
      <c r="T5436" s="403" t="str">
        <f t="shared" si="677"/>
        <v>NDI-5503-A</v>
      </c>
      <c r="U5436" s="403">
        <f t="shared" si="678"/>
        <v>1</v>
      </c>
      <c r="V5436" s="403" t="str">
        <f t="shared" si="679"/>
        <v>CPP_7_3</v>
      </c>
    </row>
    <row r="5437" spans="1:22">
      <c r="A5437" t="str">
        <f t="shared" si="672"/>
        <v>NDI-5503-A</v>
      </c>
      <c r="B5437" s="403" t="s">
        <v>1426</v>
      </c>
      <c r="C5437" s="403" t="s">
        <v>582</v>
      </c>
      <c r="D5437" s="403" t="s">
        <v>1427</v>
      </c>
      <c r="E5437" s="403" t="s">
        <v>778</v>
      </c>
      <c r="F5437" s="403" t="s">
        <v>1382</v>
      </c>
      <c r="G5437" s="403" t="s">
        <v>1466</v>
      </c>
      <c r="H5437" s="403" t="s">
        <v>1281</v>
      </c>
      <c r="I5437" s="403">
        <v>1</v>
      </c>
      <c r="J5437" s="403" t="s">
        <v>1373</v>
      </c>
      <c r="K5437" s="403">
        <v>2688</v>
      </c>
      <c r="L5437" s="403">
        <v>1512</v>
      </c>
      <c r="M5437" s="403" t="s">
        <v>111</v>
      </c>
      <c r="N5437" s="403">
        <v>768</v>
      </c>
      <c r="O5437" s="403">
        <v>432</v>
      </c>
      <c r="P5437" t="str">
        <f t="shared" si="673"/>
        <v>30fps 2688x1512 - SD</v>
      </c>
      <c r="Q5437">
        <f t="shared" si="674"/>
        <v>24</v>
      </c>
      <c r="R5437" t="str">
        <f t="shared" si="675"/>
        <v/>
      </c>
      <c r="S5437" t="str">
        <f t="shared" si="676"/>
        <v/>
      </c>
      <c r="T5437" s="403" t="str">
        <f t="shared" si="677"/>
        <v>NDI-5503-A</v>
      </c>
      <c r="U5437" s="403">
        <f t="shared" si="678"/>
        <v>1</v>
      </c>
      <c r="V5437" s="403" t="str">
        <f t="shared" si="679"/>
        <v>CPP_7_3</v>
      </c>
    </row>
    <row r="5438" spans="1:22">
      <c r="A5438" t="str">
        <f t="shared" si="672"/>
        <v>NDI-5503-A</v>
      </c>
      <c r="B5438" s="403" t="s">
        <v>1426</v>
      </c>
      <c r="C5438" s="403" t="s">
        <v>582</v>
      </c>
      <c r="D5438" s="403" t="s">
        <v>1427</v>
      </c>
      <c r="E5438" s="403" t="s">
        <v>778</v>
      </c>
      <c r="F5438" s="403" t="s">
        <v>1382</v>
      </c>
      <c r="G5438" s="403" t="s">
        <v>1466</v>
      </c>
      <c r="H5438" s="403" t="s">
        <v>1281</v>
      </c>
      <c r="I5438" s="403">
        <v>1</v>
      </c>
      <c r="J5438" s="403" t="s">
        <v>1373</v>
      </c>
      <c r="K5438" s="403">
        <v>2688</v>
      </c>
      <c r="L5438" s="403">
        <v>1512</v>
      </c>
      <c r="M5438" s="403" t="s">
        <v>1279</v>
      </c>
      <c r="N5438" s="403">
        <v>768</v>
      </c>
      <c r="O5438" s="403">
        <v>432</v>
      </c>
      <c r="P5438" t="str">
        <f t="shared" si="673"/>
        <v>30fps 2688x1512 - SD ROI PTZ</v>
      </c>
      <c r="Q5438">
        <f t="shared" si="674"/>
        <v>24</v>
      </c>
      <c r="R5438" t="str">
        <f t="shared" si="675"/>
        <v/>
      </c>
      <c r="S5438" t="str">
        <f t="shared" si="676"/>
        <v/>
      </c>
      <c r="T5438" s="403" t="str">
        <f t="shared" si="677"/>
        <v>NDI-5503-A</v>
      </c>
      <c r="U5438" s="403">
        <f t="shared" si="678"/>
        <v>1</v>
      </c>
      <c r="V5438" s="403" t="str">
        <f t="shared" si="679"/>
        <v>CPP_7_3</v>
      </c>
    </row>
    <row r="5439" spans="1:22">
      <c r="A5439" t="str">
        <f t="shared" si="672"/>
        <v>NDI-5503-A</v>
      </c>
      <c r="B5439" s="403" t="s">
        <v>1426</v>
      </c>
      <c r="C5439" s="403" t="s">
        <v>582</v>
      </c>
      <c r="D5439" s="403" t="s">
        <v>1427</v>
      </c>
      <c r="E5439" s="403" t="s">
        <v>778</v>
      </c>
      <c r="F5439" s="403" t="s">
        <v>1382</v>
      </c>
      <c r="G5439" s="403" t="s">
        <v>1466</v>
      </c>
      <c r="H5439" s="403" t="s">
        <v>1281</v>
      </c>
      <c r="I5439" s="403">
        <v>1</v>
      </c>
      <c r="J5439" s="403" t="s">
        <v>1373</v>
      </c>
      <c r="K5439" s="403">
        <v>2688</v>
      </c>
      <c r="L5439" s="403">
        <v>1512</v>
      </c>
      <c r="M5439" s="403" t="s">
        <v>1285</v>
      </c>
      <c r="N5439" s="403">
        <v>1280</v>
      </c>
      <c r="O5439" s="403">
        <v>1024</v>
      </c>
      <c r="P5439" t="str">
        <f t="shared" si="673"/>
        <v>30fps 2688x1512 - 1280x1024 5:4 (cropped)</v>
      </c>
      <c r="Q5439">
        <f t="shared" si="674"/>
        <v>24</v>
      </c>
      <c r="R5439" t="str">
        <f t="shared" si="675"/>
        <v/>
      </c>
      <c r="S5439" t="str">
        <f t="shared" si="676"/>
        <v/>
      </c>
      <c r="T5439" s="403" t="str">
        <f t="shared" si="677"/>
        <v>NDI-5503-A</v>
      </c>
      <c r="U5439" s="403">
        <f t="shared" si="678"/>
        <v>1</v>
      </c>
      <c r="V5439" s="403" t="str">
        <f t="shared" si="679"/>
        <v>CPP_7_3</v>
      </c>
    </row>
    <row r="5440" spans="1:22">
      <c r="A5440" t="str">
        <f t="shared" si="672"/>
        <v>NDI-5503-A</v>
      </c>
      <c r="B5440" s="403" t="s">
        <v>1426</v>
      </c>
      <c r="C5440" s="403" t="s">
        <v>582</v>
      </c>
      <c r="D5440" s="403" t="s">
        <v>1427</v>
      </c>
      <c r="E5440" s="403" t="s">
        <v>778</v>
      </c>
      <c r="F5440" s="403" t="s">
        <v>1382</v>
      </c>
      <c r="G5440" s="403" t="s">
        <v>1466</v>
      </c>
      <c r="H5440" s="403" t="s">
        <v>1281</v>
      </c>
      <c r="I5440" s="403">
        <v>1</v>
      </c>
      <c r="J5440" s="403" t="s">
        <v>1373</v>
      </c>
      <c r="K5440" s="403">
        <v>2688</v>
      </c>
      <c r="L5440" s="403">
        <v>1512</v>
      </c>
      <c r="M5440" s="403" t="s">
        <v>1283</v>
      </c>
      <c r="N5440" s="403">
        <v>720</v>
      </c>
      <c r="O5440" s="403">
        <v>480</v>
      </c>
      <c r="P5440" t="str">
        <f t="shared" si="673"/>
        <v>30fps 2688x1512 - SD 4CIF resolution 4:3 format (cropped)</v>
      </c>
      <c r="Q5440">
        <f t="shared" si="674"/>
        <v>24</v>
      </c>
      <c r="R5440" t="str">
        <f t="shared" si="675"/>
        <v/>
      </c>
      <c r="S5440" t="str">
        <f t="shared" si="676"/>
        <v/>
      </c>
      <c r="T5440" s="403" t="str">
        <f t="shared" si="677"/>
        <v>NDI-5503-A</v>
      </c>
      <c r="U5440" s="403">
        <f t="shared" si="678"/>
        <v>1</v>
      </c>
      <c r="V5440" s="403" t="str">
        <f t="shared" si="679"/>
        <v>CPP_7_3</v>
      </c>
    </row>
    <row r="5441" spans="1:22">
      <c r="A5441" t="str">
        <f t="shared" si="672"/>
        <v>NDI-5503-A</v>
      </c>
      <c r="B5441" s="403" t="s">
        <v>1426</v>
      </c>
      <c r="C5441" s="403" t="s">
        <v>582</v>
      </c>
      <c r="D5441" s="403" t="s">
        <v>1427</v>
      </c>
      <c r="E5441" s="403" t="s">
        <v>778</v>
      </c>
      <c r="F5441" s="403" t="s">
        <v>1382</v>
      </c>
      <c r="G5441" s="403" t="s">
        <v>1466</v>
      </c>
      <c r="H5441" s="403" t="s">
        <v>1281</v>
      </c>
      <c r="I5441" s="403">
        <v>1</v>
      </c>
      <c r="J5441" s="403" t="s">
        <v>1373</v>
      </c>
      <c r="K5441" s="403">
        <v>2688</v>
      </c>
      <c r="L5441" s="403">
        <v>1512</v>
      </c>
      <c r="M5441" s="403" t="s">
        <v>1284</v>
      </c>
      <c r="N5441" s="403">
        <v>640</v>
      </c>
      <c r="O5441" s="403">
        <v>480</v>
      </c>
      <c r="P5441" t="str">
        <f t="shared" si="673"/>
        <v>30fps 2688x1512 - SD VGA (cropped)</v>
      </c>
      <c r="Q5441">
        <f t="shared" si="674"/>
        <v>24</v>
      </c>
      <c r="R5441" t="str">
        <f t="shared" si="675"/>
        <v/>
      </c>
      <c r="S5441" t="str">
        <f t="shared" si="676"/>
        <v/>
      </c>
      <c r="T5441" s="403" t="str">
        <f t="shared" si="677"/>
        <v>NDI-5503-A</v>
      </c>
      <c r="U5441" s="403">
        <f t="shared" si="678"/>
        <v>1</v>
      </c>
      <c r="V5441" s="403" t="str">
        <f t="shared" si="679"/>
        <v>CPP_7_3</v>
      </c>
    </row>
    <row r="5442" spans="1:22">
      <c r="A5442" t="str">
        <f t="shared" ref="A5442:A5505" si="680">IF(AND(G5442&lt;&gt;"rotate 90°"),D5442,"")</f>
        <v>NDI-5503-A</v>
      </c>
      <c r="B5442" s="403" t="s">
        <v>1426</v>
      </c>
      <c r="C5442" s="403" t="s">
        <v>582</v>
      </c>
      <c r="D5442" s="403" t="s">
        <v>1427</v>
      </c>
      <c r="E5442" s="403" t="s">
        <v>778</v>
      </c>
      <c r="F5442" s="403" t="s">
        <v>1382</v>
      </c>
      <c r="G5442" s="403" t="s">
        <v>1466</v>
      </c>
      <c r="H5442" s="403" t="s">
        <v>1281</v>
      </c>
      <c r="I5442" s="403">
        <v>1</v>
      </c>
      <c r="J5442" s="403" t="s">
        <v>1373</v>
      </c>
      <c r="K5442" s="403">
        <v>2688</v>
      </c>
      <c r="L5442" s="403">
        <v>1512</v>
      </c>
      <c r="M5442" s="403" t="s">
        <v>1280</v>
      </c>
      <c r="N5442" s="403">
        <v>2688</v>
      </c>
      <c r="O5442" s="403">
        <v>1512</v>
      </c>
      <c r="P5442" t="str">
        <f t="shared" ref="P5442:P5505" si="681">LEFT(F5442,5)&amp;" "&amp;J5442&amp;" - "&amp;M5442</f>
        <v>30fps 2688x1512 - copy other stream</v>
      </c>
      <c r="Q5442">
        <f t="shared" ref="Q5442:Q5505" si="682">IF(A5441=A5442,Q5441,Q5441+1)</f>
        <v>24</v>
      </c>
      <c r="R5442" t="str">
        <f t="shared" ref="R5442:R5505" si="683">IF(Q5441&lt;&gt;Q5442,Q5442,"")</f>
        <v/>
      </c>
      <c r="S5442" t="str">
        <f t="shared" ref="S5442:S5505" si="684">IF(R5442&lt;&gt;"",B5442&amp;" ("&amp;D5442&amp;")","")</f>
        <v/>
      </c>
      <c r="T5442" s="403" t="str">
        <f t="shared" ref="T5442:T5505" si="685">D5442</f>
        <v>NDI-5503-A</v>
      </c>
      <c r="U5442" s="403">
        <f t="shared" ref="U5442:U5505" si="686">I5442</f>
        <v>1</v>
      </c>
      <c r="V5442" s="403" t="str">
        <f t="shared" ref="V5442:V5505" si="687">C5442</f>
        <v>CPP_7_3</v>
      </c>
    </row>
    <row r="5443" spans="1:22">
      <c r="A5443" t="str">
        <f t="shared" si="680"/>
        <v>NDI-5503-A</v>
      </c>
      <c r="B5443" s="403" t="s">
        <v>1426</v>
      </c>
      <c r="C5443" s="403" t="s">
        <v>582</v>
      </c>
      <c r="D5443" s="403" t="s">
        <v>1427</v>
      </c>
      <c r="E5443" s="403" t="s">
        <v>778</v>
      </c>
      <c r="F5443" s="403" t="s">
        <v>1382</v>
      </c>
      <c r="G5443" s="403" t="s">
        <v>1466</v>
      </c>
      <c r="H5443" s="403" t="s">
        <v>1281</v>
      </c>
      <c r="I5443" s="403">
        <v>1</v>
      </c>
      <c r="J5443" s="403" t="s">
        <v>1374</v>
      </c>
      <c r="K5443" s="403">
        <v>2304</v>
      </c>
      <c r="L5443" s="403">
        <v>1296</v>
      </c>
      <c r="M5443" s="403" t="s">
        <v>110</v>
      </c>
      <c r="N5443" s="403">
        <v>1920</v>
      </c>
      <c r="O5443" s="403">
        <v>1080</v>
      </c>
      <c r="P5443" t="str">
        <f t="shared" si="681"/>
        <v>30fps 2304x1296 - 1080p</v>
      </c>
      <c r="Q5443">
        <f t="shared" si="682"/>
        <v>24</v>
      </c>
      <c r="R5443" t="str">
        <f t="shared" si="683"/>
        <v/>
      </c>
      <c r="S5443" t="str">
        <f t="shared" si="684"/>
        <v/>
      </c>
      <c r="T5443" s="403" t="str">
        <f t="shared" si="685"/>
        <v>NDI-5503-A</v>
      </c>
      <c r="U5443" s="403">
        <f t="shared" si="686"/>
        <v>1</v>
      </c>
      <c r="V5443" s="403" t="str">
        <f t="shared" si="687"/>
        <v>CPP_7_3</v>
      </c>
    </row>
    <row r="5444" spans="1:22">
      <c r="A5444" t="str">
        <f t="shared" si="680"/>
        <v>NDI-5503-A</v>
      </c>
      <c r="B5444" s="403" t="s">
        <v>1426</v>
      </c>
      <c r="C5444" s="403" t="s">
        <v>582</v>
      </c>
      <c r="D5444" s="403" t="s">
        <v>1427</v>
      </c>
      <c r="E5444" s="403" t="s">
        <v>778</v>
      </c>
      <c r="F5444" s="403" t="s">
        <v>1382</v>
      </c>
      <c r="G5444" s="403" t="s">
        <v>1466</v>
      </c>
      <c r="H5444" s="403" t="s">
        <v>1281</v>
      </c>
      <c r="I5444" s="403">
        <v>1</v>
      </c>
      <c r="J5444" s="403" t="s">
        <v>1374</v>
      </c>
      <c r="K5444" s="403">
        <v>2304</v>
      </c>
      <c r="L5444" s="403">
        <v>1296</v>
      </c>
      <c r="M5444" s="403" t="s">
        <v>1374</v>
      </c>
      <c r="N5444" s="403">
        <v>2304</v>
      </c>
      <c r="O5444" s="403">
        <v>1296</v>
      </c>
      <c r="P5444" t="str">
        <f t="shared" si="681"/>
        <v>30fps 2304x1296 - 2304x1296</v>
      </c>
      <c r="Q5444">
        <f t="shared" si="682"/>
        <v>24</v>
      </c>
      <c r="R5444" t="str">
        <f t="shared" si="683"/>
        <v/>
      </c>
      <c r="S5444" t="str">
        <f t="shared" si="684"/>
        <v/>
      </c>
      <c r="T5444" s="403" t="str">
        <f t="shared" si="685"/>
        <v>NDI-5503-A</v>
      </c>
      <c r="U5444" s="403">
        <f t="shared" si="686"/>
        <v>1</v>
      </c>
      <c r="V5444" s="403" t="str">
        <f t="shared" si="687"/>
        <v>CPP_7_3</v>
      </c>
    </row>
    <row r="5445" spans="1:22">
      <c r="A5445" t="str">
        <f t="shared" si="680"/>
        <v>NDI-5503-A</v>
      </c>
      <c r="B5445" s="403" t="s">
        <v>1426</v>
      </c>
      <c r="C5445" s="403" t="s">
        <v>582</v>
      </c>
      <c r="D5445" s="403" t="s">
        <v>1427</v>
      </c>
      <c r="E5445" s="403" t="s">
        <v>778</v>
      </c>
      <c r="F5445" s="403" t="s">
        <v>1382</v>
      </c>
      <c r="G5445" s="403" t="s">
        <v>1466</v>
      </c>
      <c r="H5445" s="403" t="s">
        <v>1281</v>
      </c>
      <c r="I5445" s="403">
        <v>1</v>
      </c>
      <c r="J5445" s="403" t="s">
        <v>1374</v>
      </c>
      <c r="K5445" s="403">
        <v>2304</v>
      </c>
      <c r="L5445" s="403">
        <v>1296</v>
      </c>
      <c r="M5445" s="403" t="s">
        <v>109</v>
      </c>
      <c r="N5445" s="403">
        <v>1280</v>
      </c>
      <c r="O5445" s="403">
        <v>720</v>
      </c>
      <c r="P5445" t="str">
        <f t="shared" si="681"/>
        <v>30fps 2304x1296 - 720p</v>
      </c>
      <c r="Q5445">
        <f t="shared" si="682"/>
        <v>24</v>
      </c>
      <c r="R5445" t="str">
        <f t="shared" si="683"/>
        <v/>
      </c>
      <c r="S5445" t="str">
        <f t="shared" si="684"/>
        <v/>
      </c>
      <c r="T5445" s="403" t="str">
        <f t="shared" si="685"/>
        <v>NDI-5503-A</v>
      </c>
      <c r="U5445" s="403">
        <f t="shared" si="686"/>
        <v>1</v>
      </c>
      <c r="V5445" s="403" t="str">
        <f t="shared" si="687"/>
        <v>CPP_7_3</v>
      </c>
    </row>
    <row r="5446" spans="1:22">
      <c r="A5446" t="str">
        <f t="shared" si="680"/>
        <v>NDI-5503-A</v>
      </c>
      <c r="B5446" s="403" t="s">
        <v>1426</v>
      </c>
      <c r="C5446" s="403" t="s">
        <v>582</v>
      </c>
      <c r="D5446" s="403" t="s">
        <v>1427</v>
      </c>
      <c r="E5446" s="403" t="s">
        <v>778</v>
      </c>
      <c r="F5446" s="403" t="s">
        <v>1382</v>
      </c>
      <c r="G5446" s="403" t="s">
        <v>1466</v>
      </c>
      <c r="H5446" s="403" t="s">
        <v>1281</v>
      </c>
      <c r="I5446" s="403">
        <v>1</v>
      </c>
      <c r="J5446" s="403" t="s">
        <v>1374</v>
      </c>
      <c r="K5446" s="403">
        <v>2304</v>
      </c>
      <c r="L5446" s="403">
        <v>1296</v>
      </c>
      <c r="M5446" s="403" t="s">
        <v>111</v>
      </c>
      <c r="N5446" s="403">
        <v>768</v>
      </c>
      <c r="O5446" s="403">
        <v>432</v>
      </c>
      <c r="P5446" t="str">
        <f t="shared" si="681"/>
        <v>30fps 2304x1296 - SD</v>
      </c>
      <c r="Q5446">
        <f t="shared" si="682"/>
        <v>24</v>
      </c>
      <c r="R5446" t="str">
        <f t="shared" si="683"/>
        <v/>
      </c>
      <c r="S5446" t="str">
        <f t="shared" si="684"/>
        <v/>
      </c>
      <c r="T5446" s="403" t="str">
        <f t="shared" si="685"/>
        <v>NDI-5503-A</v>
      </c>
      <c r="U5446" s="403">
        <f t="shared" si="686"/>
        <v>1</v>
      </c>
      <c r="V5446" s="403" t="str">
        <f t="shared" si="687"/>
        <v>CPP_7_3</v>
      </c>
    </row>
    <row r="5447" spans="1:22">
      <c r="A5447" t="str">
        <f t="shared" si="680"/>
        <v>NDI-5503-A</v>
      </c>
      <c r="B5447" s="403" t="s">
        <v>1426</v>
      </c>
      <c r="C5447" s="403" t="s">
        <v>582</v>
      </c>
      <c r="D5447" s="403" t="s">
        <v>1427</v>
      </c>
      <c r="E5447" s="403" t="s">
        <v>778</v>
      </c>
      <c r="F5447" s="403" t="s">
        <v>1382</v>
      </c>
      <c r="G5447" s="403" t="s">
        <v>1466</v>
      </c>
      <c r="H5447" s="403" t="s">
        <v>1281</v>
      </c>
      <c r="I5447" s="403">
        <v>1</v>
      </c>
      <c r="J5447" s="403" t="s">
        <v>1374</v>
      </c>
      <c r="K5447" s="403">
        <v>2304</v>
      </c>
      <c r="L5447" s="403">
        <v>1296</v>
      </c>
      <c r="M5447" s="403" t="s">
        <v>1279</v>
      </c>
      <c r="N5447" s="403">
        <v>768</v>
      </c>
      <c r="O5447" s="403">
        <v>432</v>
      </c>
      <c r="P5447" t="str">
        <f t="shared" si="681"/>
        <v>30fps 2304x1296 - SD ROI PTZ</v>
      </c>
      <c r="Q5447">
        <f t="shared" si="682"/>
        <v>24</v>
      </c>
      <c r="R5447" t="str">
        <f t="shared" si="683"/>
        <v/>
      </c>
      <c r="S5447" t="str">
        <f t="shared" si="684"/>
        <v/>
      </c>
      <c r="T5447" s="403" t="str">
        <f t="shared" si="685"/>
        <v>NDI-5503-A</v>
      </c>
      <c r="U5447" s="403">
        <f t="shared" si="686"/>
        <v>1</v>
      </c>
      <c r="V5447" s="403" t="str">
        <f t="shared" si="687"/>
        <v>CPP_7_3</v>
      </c>
    </row>
    <row r="5448" spans="1:22">
      <c r="A5448" t="str">
        <f t="shared" si="680"/>
        <v>NDI-5503-A</v>
      </c>
      <c r="B5448" s="403" t="s">
        <v>1426</v>
      </c>
      <c r="C5448" s="403" t="s">
        <v>582</v>
      </c>
      <c r="D5448" s="403" t="s">
        <v>1427</v>
      </c>
      <c r="E5448" s="403" t="s">
        <v>778</v>
      </c>
      <c r="F5448" s="403" t="s">
        <v>1382</v>
      </c>
      <c r="G5448" s="403" t="s">
        <v>1466</v>
      </c>
      <c r="H5448" s="403" t="s">
        <v>1281</v>
      </c>
      <c r="I5448" s="403">
        <v>1</v>
      </c>
      <c r="J5448" s="403" t="s">
        <v>1374</v>
      </c>
      <c r="K5448" s="403">
        <v>2304</v>
      </c>
      <c r="L5448" s="403">
        <v>1296</v>
      </c>
      <c r="M5448" s="403" t="s">
        <v>1285</v>
      </c>
      <c r="N5448" s="403">
        <v>1280</v>
      </c>
      <c r="O5448" s="403">
        <v>1024</v>
      </c>
      <c r="P5448" t="str">
        <f t="shared" si="681"/>
        <v>30fps 2304x1296 - 1280x1024 5:4 (cropped)</v>
      </c>
      <c r="Q5448">
        <f t="shared" si="682"/>
        <v>24</v>
      </c>
      <c r="R5448" t="str">
        <f t="shared" si="683"/>
        <v/>
      </c>
      <c r="S5448" t="str">
        <f t="shared" si="684"/>
        <v/>
      </c>
      <c r="T5448" s="403" t="str">
        <f t="shared" si="685"/>
        <v>NDI-5503-A</v>
      </c>
      <c r="U5448" s="403">
        <f t="shared" si="686"/>
        <v>1</v>
      </c>
      <c r="V5448" s="403" t="str">
        <f t="shared" si="687"/>
        <v>CPP_7_3</v>
      </c>
    </row>
    <row r="5449" spans="1:22">
      <c r="A5449" t="str">
        <f t="shared" si="680"/>
        <v>NDI-5503-A</v>
      </c>
      <c r="B5449" s="403" t="s">
        <v>1426</v>
      </c>
      <c r="C5449" s="403" t="s">
        <v>582</v>
      </c>
      <c r="D5449" s="403" t="s">
        <v>1427</v>
      </c>
      <c r="E5449" s="403" t="s">
        <v>778</v>
      </c>
      <c r="F5449" s="403" t="s">
        <v>1382</v>
      </c>
      <c r="G5449" s="403" t="s">
        <v>1466</v>
      </c>
      <c r="H5449" s="403" t="s">
        <v>1281</v>
      </c>
      <c r="I5449" s="403">
        <v>1</v>
      </c>
      <c r="J5449" s="403" t="s">
        <v>1374</v>
      </c>
      <c r="K5449" s="403">
        <v>2304</v>
      </c>
      <c r="L5449" s="403">
        <v>1296</v>
      </c>
      <c r="M5449" s="403" t="s">
        <v>1283</v>
      </c>
      <c r="N5449" s="403">
        <v>720</v>
      </c>
      <c r="O5449" s="403">
        <v>480</v>
      </c>
      <c r="P5449" t="str">
        <f t="shared" si="681"/>
        <v>30fps 2304x1296 - SD 4CIF resolution 4:3 format (cropped)</v>
      </c>
      <c r="Q5449">
        <f t="shared" si="682"/>
        <v>24</v>
      </c>
      <c r="R5449" t="str">
        <f t="shared" si="683"/>
        <v/>
      </c>
      <c r="S5449" t="str">
        <f t="shared" si="684"/>
        <v/>
      </c>
      <c r="T5449" s="403" t="str">
        <f t="shared" si="685"/>
        <v>NDI-5503-A</v>
      </c>
      <c r="U5449" s="403">
        <f t="shared" si="686"/>
        <v>1</v>
      </c>
      <c r="V5449" s="403" t="str">
        <f t="shared" si="687"/>
        <v>CPP_7_3</v>
      </c>
    </row>
    <row r="5450" spans="1:22">
      <c r="A5450" t="str">
        <f t="shared" si="680"/>
        <v>NDI-5503-A</v>
      </c>
      <c r="B5450" s="403" t="s">
        <v>1426</v>
      </c>
      <c r="C5450" s="403" t="s">
        <v>582</v>
      </c>
      <c r="D5450" s="403" t="s">
        <v>1427</v>
      </c>
      <c r="E5450" s="403" t="s">
        <v>778</v>
      </c>
      <c r="F5450" s="403" t="s">
        <v>1382</v>
      </c>
      <c r="G5450" s="403" t="s">
        <v>1466</v>
      </c>
      <c r="H5450" s="403" t="s">
        <v>1281</v>
      </c>
      <c r="I5450" s="403">
        <v>1</v>
      </c>
      <c r="J5450" s="403" t="s">
        <v>1374</v>
      </c>
      <c r="K5450" s="403">
        <v>2304</v>
      </c>
      <c r="L5450" s="403">
        <v>1296</v>
      </c>
      <c r="M5450" s="403" t="s">
        <v>1284</v>
      </c>
      <c r="N5450" s="403">
        <v>640</v>
      </c>
      <c r="O5450" s="403">
        <v>480</v>
      </c>
      <c r="P5450" t="str">
        <f t="shared" si="681"/>
        <v>30fps 2304x1296 - SD VGA (cropped)</v>
      </c>
      <c r="Q5450">
        <f t="shared" si="682"/>
        <v>24</v>
      </c>
      <c r="R5450" t="str">
        <f t="shared" si="683"/>
        <v/>
      </c>
      <c r="S5450" t="str">
        <f t="shared" si="684"/>
        <v/>
      </c>
      <c r="T5450" s="403" t="str">
        <f t="shared" si="685"/>
        <v>NDI-5503-A</v>
      </c>
      <c r="U5450" s="403">
        <f t="shared" si="686"/>
        <v>1</v>
      </c>
      <c r="V5450" s="403" t="str">
        <f t="shared" si="687"/>
        <v>CPP_7_3</v>
      </c>
    </row>
    <row r="5451" spans="1:22">
      <c r="A5451" t="str">
        <f t="shared" si="680"/>
        <v>NDI-5503-A</v>
      </c>
      <c r="B5451" s="403" t="s">
        <v>1426</v>
      </c>
      <c r="C5451" s="403" t="s">
        <v>582</v>
      </c>
      <c r="D5451" s="403" t="s">
        <v>1427</v>
      </c>
      <c r="E5451" s="403" t="s">
        <v>778</v>
      </c>
      <c r="F5451" s="403" t="s">
        <v>1382</v>
      </c>
      <c r="G5451" s="403" t="s">
        <v>1466</v>
      </c>
      <c r="H5451" s="403" t="s">
        <v>1281</v>
      </c>
      <c r="I5451" s="403">
        <v>1</v>
      </c>
      <c r="J5451" s="403" t="s">
        <v>1374</v>
      </c>
      <c r="K5451" s="403">
        <v>2304</v>
      </c>
      <c r="L5451" s="403">
        <v>1296</v>
      </c>
      <c r="M5451" s="403" t="s">
        <v>1280</v>
      </c>
      <c r="N5451" s="403">
        <v>2304</v>
      </c>
      <c r="O5451" s="403">
        <v>1296</v>
      </c>
      <c r="P5451" t="str">
        <f t="shared" si="681"/>
        <v>30fps 2304x1296 - copy other stream</v>
      </c>
      <c r="Q5451">
        <f t="shared" si="682"/>
        <v>24</v>
      </c>
      <c r="R5451" t="str">
        <f t="shared" si="683"/>
        <v/>
      </c>
      <c r="S5451" t="str">
        <f t="shared" si="684"/>
        <v/>
      </c>
      <c r="T5451" s="403" t="str">
        <f t="shared" si="685"/>
        <v>NDI-5503-A</v>
      </c>
      <c r="U5451" s="403">
        <f t="shared" si="686"/>
        <v>1</v>
      </c>
      <c r="V5451" s="403" t="str">
        <f t="shared" si="687"/>
        <v>CPP_7_3</v>
      </c>
    </row>
    <row r="5452" spans="1:22">
      <c r="A5452" t="str">
        <f t="shared" si="680"/>
        <v>NDI-5503-A</v>
      </c>
      <c r="B5452" s="403" t="s">
        <v>1426</v>
      </c>
      <c r="C5452" s="403" t="s">
        <v>582</v>
      </c>
      <c r="D5452" s="403" t="s">
        <v>1427</v>
      </c>
      <c r="E5452" s="403" t="s">
        <v>778</v>
      </c>
      <c r="F5452" s="403" t="s">
        <v>1382</v>
      </c>
      <c r="G5452" s="403" t="s">
        <v>1466</v>
      </c>
      <c r="H5452" s="403" t="s">
        <v>1281</v>
      </c>
      <c r="I5452" s="403">
        <v>1</v>
      </c>
      <c r="J5452" s="403" t="s">
        <v>110</v>
      </c>
      <c r="K5452" s="403">
        <v>1920</v>
      </c>
      <c r="L5452" s="403">
        <v>1080</v>
      </c>
      <c r="M5452" s="403" t="s">
        <v>111</v>
      </c>
      <c r="N5452" s="403">
        <v>768</v>
      </c>
      <c r="O5452" s="403">
        <v>432</v>
      </c>
      <c r="P5452" t="str">
        <f t="shared" si="681"/>
        <v>30fps 1080p - SD</v>
      </c>
      <c r="Q5452">
        <f t="shared" si="682"/>
        <v>24</v>
      </c>
      <c r="R5452" t="str">
        <f t="shared" si="683"/>
        <v/>
      </c>
      <c r="S5452" t="str">
        <f t="shared" si="684"/>
        <v/>
      </c>
      <c r="T5452" s="403" t="str">
        <f t="shared" si="685"/>
        <v>NDI-5503-A</v>
      </c>
      <c r="U5452" s="403">
        <f t="shared" si="686"/>
        <v>1</v>
      </c>
      <c r="V5452" s="403" t="str">
        <f t="shared" si="687"/>
        <v>CPP_7_3</v>
      </c>
    </row>
    <row r="5453" spans="1:22">
      <c r="A5453" t="str">
        <f t="shared" si="680"/>
        <v>NDI-5503-A</v>
      </c>
      <c r="B5453" s="403" t="s">
        <v>1426</v>
      </c>
      <c r="C5453" s="403" t="s">
        <v>582</v>
      </c>
      <c r="D5453" s="403" t="s">
        <v>1427</v>
      </c>
      <c r="E5453" s="403" t="s">
        <v>778</v>
      </c>
      <c r="F5453" s="403" t="s">
        <v>1382</v>
      </c>
      <c r="G5453" s="403" t="s">
        <v>1466</v>
      </c>
      <c r="H5453" s="403" t="s">
        <v>1281</v>
      </c>
      <c r="I5453" s="403">
        <v>1</v>
      </c>
      <c r="J5453" s="403" t="s">
        <v>110</v>
      </c>
      <c r="K5453" s="403">
        <v>1920</v>
      </c>
      <c r="L5453" s="403">
        <v>1080</v>
      </c>
      <c r="M5453" s="403" t="s">
        <v>110</v>
      </c>
      <c r="N5453" s="403">
        <v>1920</v>
      </c>
      <c r="O5453" s="403">
        <v>1080</v>
      </c>
      <c r="P5453" t="str">
        <f t="shared" si="681"/>
        <v>30fps 1080p - 1080p</v>
      </c>
      <c r="Q5453">
        <f t="shared" si="682"/>
        <v>24</v>
      </c>
      <c r="R5453" t="str">
        <f t="shared" si="683"/>
        <v/>
      </c>
      <c r="S5453" t="str">
        <f t="shared" si="684"/>
        <v/>
      </c>
      <c r="T5453" s="403" t="str">
        <f t="shared" si="685"/>
        <v>NDI-5503-A</v>
      </c>
      <c r="U5453" s="403">
        <f t="shared" si="686"/>
        <v>1</v>
      </c>
      <c r="V5453" s="403" t="str">
        <f t="shared" si="687"/>
        <v>CPP_7_3</v>
      </c>
    </row>
    <row r="5454" spans="1:22">
      <c r="A5454" t="str">
        <f t="shared" si="680"/>
        <v>NDI-5503-A</v>
      </c>
      <c r="B5454" s="403" t="s">
        <v>1426</v>
      </c>
      <c r="C5454" s="403" t="s">
        <v>582</v>
      </c>
      <c r="D5454" s="403" t="s">
        <v>1427</v>
      </c>
      <c r="E5454" s="403" t="s">
        <v>778</v>
      </c>
      <c r="F5454" s="403" t="s">
        <v>1382</v>
      </c>
      <c r="G5454" s="403" t="s">
        <v>1466</v>
      </c>
      <c r="H5454" s="403" t="s">
        <v>1281</v>
      </c>
      <c r="I5454" s="403">
        <v>1</v>
      </c>
      <c r="J5454" s="403" t="s">
        <v>110</v>
      </c>
      <c r="K5454" s="403">
        <v>1920</v>
      </c>
      <c r="L5454" s="403">
        <v>1080</v>
      </c>
      <c r="M5454" s="403" t="s">
        <v>109</v>
      </c>
      <c r="N5454" s="403">
        <v>1280</v>
      </c>
      <c r="O5454" s="403">
        <v>720</v>
      </c>
      <c r="P5454" t="str">
        <f t="shared" si="681"/>
        <v>30fps 1080p - 720p</v>
      </c>
      <c r="Q5454">
        <f t="shared" si="682"/>
        <v>24</v>
      </c>
      <c r="R5454" t="str">
        <f t="shared" si="683"/>
        <v/>
      </c>
      <c r="S5454" t="str">
        <f t="shared" si="684"/>
        <v/>
      </c>
      <c r="T5454" s="403" t="str">
        <f t="shared" si="685"/>
        <v>NDI-5503-A</v>
      </c>
      <c r="U5454" s="403">
        <f t="shared" si="686"/>
        <v>1</v>
      </c>
      <c r="V5454" s="403" t="str">
        <f t="shared" si="687"/>
        <v>CPP_7_3</v>
      </c>
    </row>
    <row r="5455" spans="1:22">
      <c r="A5455" t="str">
        <f t="shared" si="680"/>
        <v>NDI-5503-A</v>
      </c>
      <c r="B5455" s="403" t="s">
        <v>1426</v>
      </c>
      <c r="C5455" s="403" t="s">
        <v>582</v>
      </c>
      <c r="D5455" s="403" t="s">
        <v>1427</v>
      </c>
      <c r="E5455" s="403" t="s">
        <v>778</v>
      </c>
      <c r="F5455" s="403" t="s">
        <v>1382</v>
      </c>
      <c r="G5455" s="403" t="s">
        <v>1466</v>
      </c>
      <c r="H5455" s="403" t="s">
        <v>1281</v>
      </c>
      <c r="I5455" s="403">
        <v>1</v>
      </c>
      <c r="J5455" s="403" t="s">
        <v>110</v>
      </c>
      <c r="K5455" s="403">
        <v>1920</v>
      </c>
      <c r="L5455" s="403">
        <v>1080</v>
      </c>
      <c r="M5455" s="403" t="s">
        <v>1285</v>
      </c>
      <c r="N5455" s="403">
        <v>1280</v>
      </c>
      <c r="O5455" s="403">
        <v>1024</v>
      </c>
      <c r="P5455" t="str">
        <f t="shared" si="681"/>
        <v>30fps 1080p - 1280x1024 5:4 (cropped)</v>
      </c>
      <c r="Q5455">
        <f t="shared" si="682"/>
        <v>24</v>
      </c>
      <c r="R5455" t="str">
        <f t="shared" si="683"/>
        <v/>
      </c>
      <c r="S5455" t="str">
        <f t="shared" si="684"/>
        <v/>
      </c>
      <c r="T5455" s="403" t="str">
        <f t="shared" si="685"/>
        <v>NDI-5503-A</v>
      </c>
      <c r="U5455" s="403">
        <f t="shared" si="686"/>
        <v>1</v>
      </c>
      <c r="V5455" s="403" t="str">
        <f t="shared" si="687"/>
        <v>CPP_7_3</v>
      </c>
    </row>
    <row r="5456" spans="1:22">
      <c r="A5456" t="str">
        <f t="shared" si="680"/>
        <v>NDI-5503-A</v>
      </c>
      <c r="B5456" s="403" t="s">
        <v>1426</v>
      </c>
      <c r="C5456" s="403" t="s">
        <v>582</v>
      </c>
      <c r="D5456" s="403" t="s">
        <v>1427</v>
      </c>
      <c r="E5456" s="403" t="s">
        <v>778</v>
      </c>
      <c r="F5456" s="403" t="s">
        <v>1382</v>
      </c>
      <c r="G5456" s="403" t="s">
        <v>1466</v>
      </c>
      <c r="H5456" s="403" t="s">
        <v>1281</v>
      </c>
      <c r="I5456" s="403">
        <v>1</v>
      </c>
      <c r="J5456" s="403" t="s">
        <v>110</v>
      </c>
      <c r="K5456" s="403">
        <v>1920</v>
      </c>
      <c r="L5456" s="403">
        <v>1080</v>
      </c>
      <c r="M5456" s="403" t="s">
        <v>1279</v>
      </c>
      <c r="N5456" s="403">
        <v>768</v>
      </c>
      <c r="O5456" s="403">
        <v>432</v>
      </c>
      <c r="P5456" t="str">
        <f t="shared" si="681"/>
        <v>30fps 1080p - SD ROI PTZ</v>
      </c>
      <c r="Q5456">
        <f t="shared" si="682"/>
        <v>24</v>
      </c>
      <c r="R5456" t="str">
        <f t="shared" si="683"/>
        <v/>
      </c>
      <c r="S5456" t="str">
        <f t="shared" si="684"/>
        <v/>
      </c>
      <c r="T5456" s="403" t="str">
        <f t="shared" si="685"/>
        <v>NDI-5503-A</v>
      </c>
      <c r="U5456" s="403">
        <f t="shared" si="686"/>
        <v>1</v>
      </c>
      <c r="V5456" s="403" t="str">
        <f t="shared" si="687"/>
        <v>CPP_7_3</v>
      </c>
    </row>
    <row r="5457" spans="1:22">
      <c r="A5457" t="str">
        <f t="shared" si="680"/>
        <v>NDI-5503-A</v>
      </c>
      <c r="B5457" s="403" t="s">
        <v>1426</v>
      </c>
      <c r="C5457" s="403" t="s">
        <v>582</v>
      </c>
      <c r="D5457" s="403" t="s">
        <v>1427</v>
      </c>
      <c r="E5457" s="403" t="s">
        <v>778</v>
      </c>
      <c r="F5457" s="403" t="s">
        <v>1382</v>
      </c>
      <c r="G5457" s="403" t="s">
        <v>1466</v>
      </c>
      <c r="H5457" s="403" t="s">
        <v>1281</v>
      </c>
      <c r="I5457" s="403">
        <v>1</v>
      </c>
      <c r="J5457" s="403" t="s">
        <v>110</v>
      </c>
      <c r="K5457" s="403">
        <v>1920</v>
      </c>
      <c r="L5457" s="403">
        <v>1080</v>
      </c>
      <c r="M5457" s="403" t="s">
        <v>1283</v>
      </c>
      <c r="N5457" s="403">
        <v>720</v>
      </c>
      <c r="O5457" s="403">
        <v>480</v>
      </c>
      <c r="P5457" t="str">
        <f t="shared" si="681"/>
        <v>30fps 1080p - SD 4CIF resolution 4:3 format (cropped)</v>
      </c>
      <c r="Q5457">
        <f t="shared" si="682"/>
        <v>24</v>
      </c>
      <c r="R5457" t="str">
        <f t="shared" si="683"/>
        <v/>
      </c>
      <c r="S5457" t="str">
        <f t="shared" si="684"/>
        <v/>
      </c>
      <c r="T5457" s="403" t="str">
        <f t="shared" si="685"/>
        <v>NDI-5503-A</v>
      </c>
      <c r="U5457" s="403">
        <f t="shared" si="686"/>
        <v>1</v>
      </c>
      <c r="V5457" s="403" t="str">
        <f t="shared" si="687"/>
        <v>CPP_7_3</v>
      </c>
    </row>
    <row r="5458" spans="1:22">
      <c r="A5458" t="str">
        <f t="shared" si="680"/>
        <v>NDI-5503-A</v>
      </c>
      <c r="B5458" s="403" t="s">
        <v>1426</v>
      </c>
      <c r="C5458" s="403" t="s">
        <v>582</v>
      </c>
      <c r="D5458" s="403" t="s">
        <v>1427</v>
      </c>
      <c r="E5458" s="403" t="s">
        <v>778</v>
      </c>
      <c r="F5458" s="403" t="s">
        <v>1382</v>
      </c>
      <c r="G5458" s="403" t="s">
        <v>1466</v>
      </c>
      <c r="H5458" s="403" t="s">
        <v>1281</v>
      </c>
      <c r="I5458" s="403">
        <v>1</v>
      </c>
      <c r="J5458" s="403" t="s">
        <v>110</v>
      </c>
      <c r="K5458" s="403">
        <v>1920</v>
      </c>
      <c r="L5458" s="403">
        <v>1080</v>
      </c>
      <c r="M5458" s="403" t="s">
        <v>1284</v>
      </c>
      <c r="N5458" s="403">
        <v>640</v>
      </c>
      <c r="O5458" s="403">
        <v>480</v>
      </c>
      <c r="P5458" t="str">
        <f t="shared" si="681"/>
        <v>30fps 1080p - SD VGA (cropped)</v>
      </c>
      <c r="Q5458">
        <f t="shared" si="682"/>
        <v>24</v>
      </c>
      <c r="R5458" t="str">
        <f t="shared" si="683"/>
        <v/>
      </c>
      <c r="S5458" t="str">
        <f t="shared" si="684"/>
        <v/>
      </c>
      <c r="T5458" s="403" t="str">
        <f t="shared" si="685"/>
        <v>NDI-5503-A</v>
      </c>
      <c r="U5458" s="403">
        <f t="shared" si="686"/>
        <v>1</v>
      </c>
      <c r="V5458" s="403" t="str">
        <f t="shared" si="687"/>
        <v>CPP_7_3</v>
      </c>
    </row>
    <row r="5459" spans="1:22">
      <c r="A5459" t="str">
        <f t="shared" si="680"/>
        <v>NDI-5503-A</v>
      </c>
      <c r="B5459" s="403" t="s">
        <v>1426</v>
      </c>
      <c r="C5459" s="403" t="s">
        <v>582</v>
      </c>
      <c r="D5459" s="403" t="s">
        <v>1427</v>
      </c>
      <c r="E5459" s="403" t="s">
        <v>778</v>
      </c>
      <c r="F5459" s="403" t="s">
        <v>1382</v>
      </c>
      <c r="G5459" s="403" t="s">
        <v>1466</v>
      </c>
      <c r="H5459" s="403" t="s">
        <v>1281</v>
      </c>
      <c r="I5459" s="403">
        <v>1</v>
      </c>
      <c r="J5459" s="403" t="s">
        <v>109</v>
      </c>
      <c r="K5459" s="403">
        <v>1280</v>
      </c>
      <c r="L5459" s="403">
        <v>720</v>
      </c>
      <c r="M5459" s="403" t="s">
        <v>109</v>
      </c>
      <c r="N5459" s="403">
        <v>1280</v>
      </c>
      <c r="O5459" s="403">
        <v>720</v>
      </c>
      <c r="P5459" t="str">
        <f t="shared" si="681"/>
        <v>30fps 720p - 720p</v>
      </c>
      <c r="Q5459">
        <f t="shared" si="682"/>
        <v>24</v>
      </c>
      <c r="R5459" t="str">
        <f t="shared" si="683"/>
        <v/>
      </c>
      <c r="S5459" t="str">
        <f t="shared" si="684"/>
        <v/>
      </c>
      <c r="T5459" s="403" t="str">
        <f t="shared" si="685"/>
        <v>NDI-5503-A</v>
      </c>
      <c r="U5459" s="403">
        <f t="shared" si="686"/>
        <v>1</v>
      </c>
      <c r="V5459" s="403" t="str">
        <f t="shared" si="687"/>
        <v>CPP_7_3</v>
      </c>
    </row>
    <row r="5460" spans="1:22">
      <c r="A5460" t="str">
        <f t="shared" si="680"/>
        <v>NDI-5503-A</v>
      </c>
      <c r="B5460" s="403" t="s">
        <v>1426</v>
      </c>
      <c r="C5460" s="403" t="s">
        <v>582</v>
      </c>
      <c r="D5460" s="403" t="s">
        <v>1427</v>
      </c>
      <c r="E5460" s="403" t="s">
        <v>778</v>
      </c>
      <c r="F5460" s="403" t="s">
        <v>1382</v>
      </c>
      <c r="G5460" s="403" t="s">
        <v>1466</v>
      </c>
      <c r="H5460" s="403" t="s">
        <v>1281</v>
      </c>
      <c r="I5460" s="403">
        <v>1</v>
      </c>
      <c r="J5460" s="403" t="s">
        <v>109</v>
      </c>
      <c r="K5460" s="403">
        <v>1280</v>
      </c>
      <c r="L5460" s="403">
        <v>720</v>
      </c>
      <c r="M5460" s="403" t="s">
        <v>111</v>
      </c>
      <c r="N5460" s="403">
        <v>768</v>
      </c>
      <c r="O5460" s="403">
        <v>432</v>
      </c>
      <c r="P5460" t="str">
        <f t="shared" si="681"/>
        <v>30fps 720p - SD</v>
      </c>
      <c r="Q5460">
        <f t="shared" si="682"/>
        <v>24</v>
      </c>
      <c r="R5460" t="str">
        <f t="shared" si="683"/>
        <v/>
      </c>
      <c r="S5460" t="str">
        <f t="shared" si="684"/>
        <v/>
      </c>
      <c r="T5460" s="403" t="str">
        <f t="shared" si="685"/>
        <v>NDI-5503-A</v>
      </c>
      <c r="U5460" s="403">
        <f t="shared" si="686"/>
        <v>1</v>
      </c>
      <c r="V5460" s="403" t="str">
        <f t="shared" si="687"/>
        <v>CPP_7_3</v>
      </c>
    </row>
    <row r="5461" spans="1:22">
      <c r="A5461" t="str">
        <f t="shared" si="680"/>
        <v>NDI-5503-A</v>
      </c>
      <c r="B5461" s="403" t="s">
        <v>1426</v>
      </c>
      <c r="C5461" s="403" t="s">
        <v>582</v>
      </c>
      <c r="D5461" s="403" t="s">
        <v>1427</v>
      </c>
      <c r="E5461" s="403" t="s">
        <v>778</v>
      </c>
      <c r="F5461" s="403" t="s">
        <v>1382</v>
      </c>
      <c r="G5461" s="403" t="s">
        <v>1466</v>
      </c>
      <c r="H5461" s="403" t="s">
        <v>1281</v>
      </c>
      <c r="I5461" s="403">
        <v>1</v>
      </c>
      <c r="J5461" s="403" t="s">
        <v>109</v>
      </c>
      <c r="K5461" s="403">
        <v>1280</v>
      </c>
      <c r="L5461" s="403">
        <v>720</v>
      </c>
      <c r="M5461" s="403" t="s">
        <v>1279</v>
      </c>
      <c r="N5461" s="403">
        <v>768</v>
      </c>
      <c r="O5461" s="403">
        <v>432</v>
      </c>
      <c r="P5461" t="str">
        <f t="shared" si="681"/>
        <v>30fps 720p - SD ROI PTZ</v>
      </c>
      <c r="Q5461">
        <f t="shared" si="682"/>
        <v>24</v>
      </c>
      <c r="R5461" t="str">
        <f t="shared" si="683"/>
        <v/>
      </c>
      <c r="S5461" t="str">
        <f t="shared" si="684"/>
        <v/>
      </c>
      <c r="T5461" s="403" t="str">
        <f t="shared" si="685"/>
        <v>NDI-5503-A</v>
      </c>
      <c r="U5461" s="403">
        <f t="shared" si="686"/>
        <v>1</v>
      </c>
      <c r="V5461" s="403" t="str">
        <f t="shared" si="687"/>
        <v>CPP_7_3</v>
      </c>
    </row>
    <row r="5462" spans="1:22">
      <c r="A5462" t="str">
        <f t="shared" si="680"/>
        <v>NDI-5503-A</v>
      </c>
      <c r="B5462" s="403" t="s">
        <v>1426</v>
      </c>
      <c r="C5462" s="403" t="s">
        <v>582</v>
      </c>
      <c r="D5462" s="403" t="s">
        <v>1427</v>
      </c>
      <c r="E5462" s="403" t="s">
        <v>778</v>
      </c>
      <c r="F5462" s="403" t="s">
        <v>1382</v>
      </c>
      <c r="G5462" s="403" t="s">
        <v>1466</v>
      </c>
      <c r="H5462" s="403" t="s">
        <v>1281</v>
      </c>
      <c r="I5462" s="403">
        <v>1</v>
      </c>
      <c r="J5462" s="403" t="s">
        <v>109</v>
      </c>
      <c r="K5462" s="403">
        <v>1280</v>
      </c>
      <c r="L5462" s="403">
        <v>720</v>
      </c>
      <c r="M5462" s="403" t="s">
        <v>1283</v>
      </c>
      <c r="N5462" s="403">
        <v>720</v>
      </c>
      <c r="O5462" s="403">
        <v>480</v>
      </c>
      <c r="P5462" t="str">
        <f t="shared" si="681"/>
        <v>30fps 720p - SD 4CIF resolution 4:3 format (cropped)</v>
      </c>
      <c r="Q5462">
        <f t="shared" si="682"/>
        <v>24</v>
      </c>
      <c r="R5462" t="str">
        <f t="shared" si="683"/>
        <v/>
      </c>
      <c r="S5462" t="str">
        <f t="shared" si="684"/>
        <v/>
      </c>
      <c r="T5462" s="403" t="str">
        <f t="shared" si="685"/>
        <v>NDI-5503-A</v>
      </c>
      <c r="U5462" s="403">
        <f t="shared" si="686"/>
        <v>1</v>
      </c>
      <c r="V5462" s="403" t="str">
        <f t="shared" si="687"/>
        <v>CPP_7_3</v>
      </c>
    </row>
    <row r="5463" spans="1:22">
      <c r="A5463" t="str">
        <f t="shared" si="680"/>
        <v>NDI-5503-A</v>
      </c>
      <c r="B5463" s="403" t="s">
        <v>1426</v>
      </c>
      <c r="C5463" s="403" t="s">
        <v>582</v>
      </c>
      <c r="D5463" s="403" t="s">
        <v>1427</v>
      </c>
      <c r="E5463" s="403" t="s">
        <v>778</v>
      </c>
      <c r="F5463" s="403" t="s">
        <v>1382</v>
      </c>
      <c r="G5463" s="403" t="s">
        <v>1466</v>
      </c>
      <c r="H5463" s="403" t="s">
        <v>1281</v>
      </c>
      <c r="I5463" s="403">
        <v>1</v>
      </c>
      <c r="J5463" s="403" t="s">
        <v>109</v>
      </c>
      <c r="K5463" s="403">
        <v>1280</v>
      </c>
      <c r="L5463" s="403">
        <v>720</v>
      </c>
      <c r="M5463" s="403" t="s">
        <v>1284</v>
      </c>
      <c r="N5463" s="403">
        <v>640</v>
      </c>
      <c r="O5463" s="403">
        <v>480</v>
      </c>
      <c r="P5463" t="str">
        <f t="shared" si="681"/>
        <v>30fps 720p - SD VGA (cropped)</v>
      </c>
      <c r="Q5463">
        <f t="shared" si="682"/>
        <v>24</v>
      </c>
      <c r="R5463" t="str">
        <f t="shared" si="683"/>
        <v/>
      </c>
      <c r="S5463" t="str">
        <f t="shared" si="684"/>
        <v/>
      </c>
      <c r="T5463" s="403" t="str">
        <f t="shared" si="685"/>
        <v>NDI-5503-A</v>
      </c>
      <c r="U5463" s="403">
        <f t="shared" si="686"/>
        <v>1</v>
      </c>
      <c r="V5463" s="403" t="str">
        <f t="shared" si="687"/>
        <v>CPP_7_3</v>
      </c>
    </row>
    <row r="5464" spans="1:22">
      <c r="A5464" t="str">
        <f t="shared" si="680"/>
        <v>NDI-5503-A</v>
      </c>
      <c r="B5464" s="403" t="s">
        <v>1426</v>
      </c>
      <c r="C5464" s="403" t="s">
        <v>582</v>
      </c>
      <c r="D5464" s="403" t="s">
        <v>1427</v>
      </c>
      <c r="E5464" s="403" t="s">
        <v>778</v>
      </c>
      <c r="F5464" s="403" t="s">
        <v>1382</v>
      </c>
      <c r="G5464" s="403" t="s">
        <v>1467</v>
      </c>
      <c r="H5464" s="403" t="s">
        <v>1276</v>
      </c>
      <c r="I5464" s="403">
        <v>1</v>
      </c>
      <c r="J5464" s="403" t="s">
        <v>1376</v>
      </c>
      <c r="K5464" s="403">
        <v>1728</v>
      </c>
      <c r="L5464" s="403">
        <v>3072</v>
      </c>
      <c r="M5464" s="403" t="s">
        <v>111</v>
      </c>
      <c r="N5464" s="403">
        <v>432</v>
      </c>
      <c r="O5464" s="403">
        <v>768</v>
      </c>
      <c r="P5464" t="str">
        <f t="shared" si="681"/>
        <v>30fps 3072x1728 - SD</v>
      </c>
      <c r="Q5464">
        <f t="shared" si="682"/>
        <v>24</v>
      </c>
      <c r="R5464" t="str">
        <f t="shared" si="683"/>
        <v/>
      </c>
      <c r="S5464" t="str">
        <f t="shared" si="684"/>
        <v/>
      </c>
      <c r="T5464" s="403" t="str">
        <f t="shared" si="685"/>
        <v>NDI-5503-A</v>
      </c>
      <c r="U5464" s="403">
        <f t="shared" si="686"/>
        <v>1</v>
      </c>
      <c r="V5464" s="403" t="str">
        <f t="shared" si="687"/>
        <v>CPP_7_3</v>
      </c>
    </row>
    <row r="5465" spans="1:22">
      <c r="A5465" t="str">
        <f t="shared" si="680"/>
        <v>NDI-5503-A</v>
      </c>
      <c r="B5465" s="403" t="s">
        <v>1426</v>
      </c>
      <c r="C5465" s="403" t="s">
        <v>582</v>
      </c>
      <c r="D5465" s="403" t="s">
        <v>1427</v>
      </c>
      <c r="E5465" s="403" t="s">
        <v>778</v>
      </c>
      <c r="F5465" s="403" t="s">
        <v>1382</v>
      </c>
      <c r="G5465" s="403" t="s">
        <v>1467</v>
      </c>
      <c r="H5465" s="403" t="s">
        <v>1276</v>
      </c>
      <c r="I5465" s="403">
        <v>1</v>
      </c>
      <c r="J5465" s="403" t="s">
        <v>1376</v>
      </c>
      <c r="K5465" s="403">
        <v>1728</v>
      </c>
      <c r="L5465" s="403">
        <v>3072</v>
      </c>
      <c r="M5465" s="403" t="s">
        <v>1280</v>
      </c>
      <c r="N5465" s="403">
        <v>1728</v>
      </c>
      <c r="O5465" s="403">
        <v>3072</v>
      </c>
      <c r="P5465" t="str">
        <f t="shared" si="681"/>
        <v>30fps 3072x1728 - copy other stream</v>
      </c>
      <c r="Q5465">
        <f t="shared" si="682"/>
        <v>24</v>
      </c>
      <c r="R5465" t="str">
        <f t="shared" si="683"/>
        <v/>
      </c>
      <c r="S5465" t="str">
        <f t="shared" si="684"/>
        <v/>
      </c>
      <c r="T5465" s="403" t="str">
        <f t="shared" si="685"/>
        <v>NDI-5503-A</v>
      </c>
      <c r="U5465" s="403">
        <f t="shared" si="686"/>
        <v>1</v>
      </c>
      <c r="V5465" s="403" t="str">
        <f t="shared" si="687"/>
        <v>CPP_7_3</v>
      </c>
    </row>
    <row r="5466" spans="1:22">
      <c r="A5466" t="str">
        <f t="shared" si="680"/>
        <v>NDI-5503-A</v>
      </c>
      <c r="B5466" s="403" t="s">
        <v>1426</v>
      </c>
      <c r="C5466" s="403" t="s">
        <v>582</v>
      </c>
      <c r="D5466" s="403" t="s">
        <v>1427</v>
      </c>
      <c r="E5466" s="403" t="s">
        <v>778</v>
      </c>
      <c r="F5466" s="403" t="s">
        <v>1382</v>
      </c>
      <c r="G5466" s="403" t="s">
        <v>1467</v>
      </c>
      <c r="H5466" s="403" t="s">
        <v>1276</v>
      </c>
      <c r="I5466" s="403">
        <v>1</v>
      </c>
      <c r="J5466" s="403" t="s">
        <v>1376</v>
      </c>
      <c r="K5466" s="403">
        <v>1728</v>
      </c>
      <c r="L5466" s="403">
        <v>3072</v>
      </c>
      <c r="M5466" s="403" t="s">
        <v>110</v>
      </c>
      <c r="N5466" s="403">
        <v>1080</v>
      </c>
      <c r="O5466" s="403">
        <v>1920</v>
      </c>
      <c r="P5466" t="str">
        <f t="shared" si="681"/>
        <v>30fps 3072x1728 - 1080p</v>
      </c>
      <c r="Q5466">
        <f t="shared" si="682"/>
        <v>24</v>
      </c>
      <c r="R5466" t="str">
        <f t="shared" si="683"/>
        <v/>
      </c>
      <c r="S5466" t="str">
        <f t="shared" si="684"/>
        <v/>
      </c>
      <c r="T5466" s="403" t="str">
        <f t="shared" si="685"/>
        <v>NDI-5503-A</v>
      </c>
      <c r="U5466" s="403">
        <f t="shared" si="686"/>
        <v>1</v>
      </c>
      <c r="V5466" s="403" t="str">
        <f t="shared" si="687"/>
        <v>CPP_7_3</v>
      </c>
    </row>
    <row r="5467" spans="1:22">
      <c r="A5467" t="str">
        <f t="shared" si="680"/>
        <v>NDI-5503-A</v>
      </c>
      <c r="B5467" s="403" t="s">
        <v>1426</v>
      </c>
      <c r="C5467" s="403" t="s">
        <v>582</v>
      </c>
      <c r="D5467" s="403" t="s">
        <v>1427</v>
      </c>
      <c r="E5467" s="403" t="s">
        <v>778</v>
      </c>
      <c r="F5467" s="403" t="s">
        <v>1382</v>
      </c>
      <c r="G5467" s="403" t="s">
        <v>1467</v>
      </c>
      <c r="H5467" s="403" t="s">
        <v>1276</v>
      </c>
      <c r="I5467" s="403">
        <v>1</v>
      </c>
      <c r="J5467" s="403" t="s">
        <v>1376</v>
      </c>
      <c r="K5467" s="403">
        <v>1728</v>
      </c>
      <c r="L5467" s="403">
        <v>3072</v>
      </c>
      <c r="M5467" s="403" t="s">
        <v>109</v>
      </c>
      <c r="N5467" s="403">
        <v>720</v>
      </c>
      <c r="O5467" s="403">
        <v>1280</v>
      </c>
      <c r="P5467" t="str">
        <f t="shared" si="681"/>
        <v>30fps 3072x1728 - 720p</v>
      </c>
      <c r="Q5467">
        <f t="shared" si="682"/>
        <v>24</v>
      </c>
      <c r="R5467" t="str">
        <f t="shared" si="683"/>
        <v/>
      </c>
      <c r="S5467" t="str">
        <f t="shared" si="684"/>
        <v/>
      </c>
      <c r="T5467" s="403" t="str">
        <f t="shared" si="685"/>
        <v>NDI-5503-A</v>
      </c>
      <c r="U5467" s="403">
        <f t="shared" si="686"/>
        <v>1</v>
      </c>
      <c r="V5467" s="403" t="str">
        <f t="shared" si="687"/>
        <v>CPP_7_3</v>
      </c>
    </row>
    <row r="5468" spans="1:22">
      <c r="A5468" t="str">
        <f t="shared" si="680"/>
        <v>NDI-5503-A</v>
      </c>
      <c r="B5468" s="403" t="s">
        <v>1426</v>
      </c>
      <c r="C5468" s="403" t="s">
        <v>582</v>
      </c>
      <c r="D5468" s="403" t="s">
        <v>1427</v>
      </c>
      <c r="E5468" s="403" t="s">
        <v>778</v>
      </c>
      <c r="F5468" s="403" t="s">
        <v>1382</v>
      </c>
      <c r="G5468" s="403" t="s">
        <v>1467</v>
      </c>
      <c r="H5468" s="403" t="s">
        <v>1276</v>
      </c>
      <c r="I5468" s="403">
        <v>1</v>
      </c>
      <c r="J5468" s="403" t="s">
        <v>1376</v>
      </c>
      <c r="K5468" s="403">
        <v>1728</v>
      </c>
      <c r="L5468" s="403">
        <v>3072</v>
      </c>
      <c r="M5468" s="403" t="s">
        <v>1283</v>
      </c>
      <c r="N5468" s="403">
        <v>480</v>
      </c>
      <c r="O5468" s="403">
        <v>720</v>
      </c>
      <c r="P5468" t="str">
        <f t="shared" si="681"/>
        <v>30fps 3072x1728 - SD 4CIF resolution 4:3 format (cropped)</v>
      </c>
      <c r="Q5468">
        <f t="shared" si="682"/>
        <v>24</v>
      </c>
      <c r="R5468" t="str">
        <f t="shared" si="683"/>
        <v/>
      </c>
      <c r="S5468" t="str">
        <f t="shared" si="684"/>
        <v/>
      </c>
      <c r="T5468" s="403" t="str">
        <f t="shared" si="685"/>
        <v>NDI-5503-A</v>
      </c>
      <c r="U5468" s="403">
        <f t="shared" si="686"/>
        <v>1</v>
      </c>
      <c r="V5468" s="403" t="str">
        <f t="shared" si="687"/>
        <v>CPP_7_3</v>
      </c>
    </row>
    <row r="5469" spans="1:22">
      <c r="A5469" t="str">
        <f t="shared" si="680"/>
        <v>NDI-5503-A</v>
      </c>
      <c r="B5469" s="403" t="s">
        <v>1426</v>
      </c>
      <c r="C5469" s="403" t="s">
        <v>582</v>
      </c>
      <c r="D5469" s="403" t="s">
        <v>1427</v>
      </c>
      <c r="E5469" s="403" t="s">
        <v>778</v>
      </c>
      <c r="F5469" s="403" t="s">
        <v>1382</v>
      </c>
      <c r="G5469" s="403" t="s">
        <v>1467</v>
      </c>
      <c r="H5469" s="403" t="s">
        <v>1276</v>
      </c>
      <c r="I5469" s="403">
        <v>1</v>
      </c>
      <c r="J5469" s="403" t="s">
        <v>1376</v>
      </c>
      <c r="K5469" s="403">
        <v>1728</v>
      </c>
      <c r="L5469" s="403">
        <v>3072</v>
      </c>
      <c r="M5469" s="403" t="s">
        <v>1279</v>
      </c>
      <c r="N5469" s="403">
        <v>432</v>
      </c>
      <c r="O5469" s="403">
        <v>768</v>
      </c>
      <c r="P5469" t="str">
        <f t="shared" si="681"/>
        <v>30fps 3072x1728 - SD ROI PTZ</v>
      </c>
      <c r="Q5469">
        <f t="shared" si="682"/>
        <v>24</v>
      </c>
      <c r="R5469" t="str">
        <f t="shared" si="683"/>
        <v/>
      </c>
      <c r="S5469" t="str">
        <f t="shared" si="684"/>
        <v/>
      </c>
      <c r="T5469" s="403" t="str">
        <f t="shared" si="685"/>
        <v>NDI-5503-A</v>
      </c>
      <c r="U5469" s="403">
        <f t="shared" si="686"/>
        <v>1</v>
      </c>
      <c r="V5469" s="403" t="str">
        <f t="shared" si="687"/>
        <v>CPP_7_3</v>
      </c>
    </row>
    <row r="5470" spans="1:22">
      <c r="A5470" t="str">
        <f t="shared" si="680"/>
        <v>NDI-5503-A</v>
      </c>
      <c r="B5470" s="403" t="s">
        <v>1426</v>
      </c>
      <c r="C5470" s="403" t="s">
        <v>582</v>
      </c>
      <c r="D5470" s="403" t="s">
        <v>1427</v>
      </c>
      <c r="E5470" s="403" t="s">
        <v>778</v>
      </c>
      <c r="F5470" s="403" t="s">
        <v>1382</v>
      </c>
      <c r="G5470" s="403" t="s">
        <v>1467</v>
      </c>
      <c r="H5470" s="403" t="s">
        <v>1276</v>
      </c>
      <c r="I5470" s="403">
        <v>1</v>
      </c>
      <c r="J5470" s="403" t="s">
        <v>1376</v>
      </c>
      <c r="K5470" s="403">
        <v>1728</v>
      </c>
      <c r="L5470" s="403">
        <v>3072</v>
      </c>
      <c r="M5470" s="403" t="s">
        <v>1284</v>
      </c>
      <c r="N5470" s="403">
        <v>480</v>
      </c>
      <c r="O5470" s="403">
        <v>640</v>
      </c>
      <c r="P5470" t="str">
        <f t="shared" si="681"/>
        <v>30fps 3072x1728 - SD VGA (cropped)</v>
      </c>
      <c r="Q5470">
        <f t="shared" si="682"/>
        <v>24</v>
      </c>
      <c r="R5470" t="str">
        <f t="shared" si="683"/>
        <v/>
      </c>
      <c r="S5470" t="str">
        <f t="shared" si="684"/>
        <v/>
      </c>
      <c r="T5470" s="403" t="str">
        <f t="shared" si="685"/>
        <v>NDI-5503-A</v>
      </c>
      <c r="U5470" s="403">
        <f t="shared" si="686"/>
        <v>1</v>
      </c>
      <c r="V5470" s="403" t="str">
        <f t="shared" si="687"/>
        <v>CPP_7_3</v>
      </c>
    </row>
    <row r="5471" spans="1:22">
      <c r="A5471" t="str">
        <f t="shared" si="680"/>
        <v>NDI-5503-A</v>
      </c>
      <c r="B5471" s="403" t="s">
        <v>1426</v>
      </c>
      <c r="C5471" s="403" t="s">
        <v>582</v>
      </c>
      <c r="D5471" s="403" t="s">
        <v>1427</v>
      </c>
      <c r="E5471" s="403" t="s">
        <v>778</v>
      </c>
      <c r="F5471" s="403" t="s">
        <v>1382</v>
      </c>
      <c r="G5471" s="403" t="s">
        <v>1467</v>
      </c>
      <c r="H5471" s="403" t="s">
        <v>1276</v>
      </c>
      <c r="I5471" s="403">
        <v>1</v>
      </c>
      <c r="J5471" s="403" t="s">
        <v>1376</v>
      </c>
      <c r="K5471" s="403">
        <v>1728</v>
      </c>
      <c r="L5471" s="403">
        <v>3072</v>
      </c>
      <c r="M5471" s="403" t="s">
        <v>1285</v>
      </c>
      <c r="N5471" s="403">
        <v>1024</v>
      </c>
      <c r="O5471" s="403">
        <v>1280</v>
      </c>
      <c r="P5471" t="str">
        <f t="shared" si="681"/>
        <v>30fps 3072x1728 - 1280x1024 5:4 (cropped)</v>
      </c>
      <c r="Q5471">
        <f t="shared" si="682"/>
        <v>24</v>
      </c>
      <c r="R5471" t="str">
        <f t="shared" si="683"/>
        <v/>
      </c>
      <c r="S5471" t="str">
        <f t="shared" si="684"/>
        <v/>
      </c>
      <c r="T5471" s="403" t="str">
        <f t="shared" si="685"/>
        <v>NDI-5503-A</v>
      </c>
      <c r="U5471" s="403">
        <f t="shared" si="686"/>
        <v>1</v>
      </c>
      <c r="V5471" s="403" t="str">
        <f t="shared" si="687"/>
        <v>CPP_7_3</v>
      </c>
    </row>
    <row r="5472" spans="1:22">
      <c r="A5472" t="str">
        <f t="shared" si="680"/>
        <v>NDI-5503-A</v>
      </c>
      <c r="B5472" s="403" t="s">
        <v>1426</v>
      </c>
      <c r="C5472" s="403" t="s">
        <v>582</v>
      </c>
      <c r="D5472" s="403" t="s">
        <v>1427</v>
      </c>
      <c r="E5472" s="403" t="s">
        <v>778</v>
      </c>
      <c r="F5472" s="403" t="s">
        <v>1382</v>
      </c>
      <c r="G5472" s="403" t="s">
        <v>1467</v>
      </c>
      <c r="H5472" s="403" t="s">
        <v>1276</v>
      </c>
      <c r="I5472" s="403">
        <v>1</v>
      </c>
      <c r="J5472" s="403" t="s">
        <v>1373</v>
      </c>
      <c r="K5472" s="403">
        <v>1512</v>
      </c>
      <c r="L5472" s="403">
        <v>2688</v>
      </c>
      <c r="M5472" s="403" t="s">
        <v>110</v>
      </c>
      <c r="N5472" s="403">
        <v>1080</v>
      </c>
      <c r="O5472" s="403">
        <v>1920</v>
      </c>
      <c r="P5472" t="str">
        <f t="shared" si="681"/>
        <v>30fps 2688x1512 - 1080p</v>
      </c>
      <c r="Q5472">
        <f t="shared" si="682"/>
        <v>24</v>
      </c>
      <c r="R5472" t="str">
        <f t="shared" si="683"/>
        <v/>
      </c>
      <c r="S5472" t="str">
        <f t="shared" si="684"/>
        <v/>
      </c>
      <c r="T5472" s="403" t="str">
        <f t="shared" si="685"/>
        <v>NDI-5503-A</v>
      </c>
      <c r="U5472" s="403">
        <f t="shared" si="686"/>
        <v>1</v>
      </c>
      <c r="V5472" s="403" t="str">
        <f t="shared" si="687"/>
        <v>CPP_7_3</v>
      </c>
    </row>
    <row r="5473" spans="1:22">
      <c r="A5473" t="str">
        <f t="shared" si="680"/>
        <v>NDI-5503-A</v>
      </c>
      <c r="B5473" s="403" t="s">
        <v>1426</v>
      </c>
      <c r="C5473" s="403" t="s">
        <v>582</v>
      </c>
      <c r="D5473" s="403" t="s">
        <v>1427</v>
      </c>
      <c r="E5473" s="403" t="s">
        <v>778</v>
      </c>
      <c r="F5473" s="403" t="s">
        <v>1382</v>
      </c>
      <c r="G5473" s="403" t="s">
        <v>1467</v>
      </c>
      <c r="H5473" s="403" t="s">
        <v>1276</v>
      </c>
      <c r="I5473" s="403">
        <v>1</v>
      </c>
      <c r="J5473" s="403" t="s">
        <v>1373</v>
      </c>
      <c r="K5473" s="403">
        <v>1512</v>
      </c>
      <c r="L5473" s="403">
        <v>2688</v>
      </c>
      <c r="M5473" s="403" t="s">
        <v>1384</v>
      </c>
      <c r="N5473" s="403">
        <v>1512</v>
      </c>
      <c r="O5473" s="403">
        <v>2688</v>
      </c>
      <c r="P5473" t="str">
        <f t="shared" si="681"/>
        <v>30fps 2688x1512 - 2688x1512 @ SKIP 2</v>
      </c>
      <c r="Q5473">
        <f t="shared" si="682"/>
        <v>24</v>
      </c>
      <c r="R5473" t="str">
        <f t="shared" si="683"/>
        <v/>
      </c>
      <c r="S5473" t="str">
        <f t="shared" si="684"/>
        <v/>
      </c>
      <c r="T5473" s="403" t="str">
        <f t="shared" si="685"/>
        <v>NDI-5503-A</v>
      </c>
      <c r="U5473" s="403">
        <f t="shared" si="686"/>
        <v>1</v>
      </c>
      <c r="V5473" s="403" t="str">
        <f t="shared" si="687"/>
        <v>CPP_7_3</v>
      </c>
    </row>
    <row r="5474" spans="1:22">
      <c r="A5474" t="str">
        <f t="shared" si="680"/>
        <v>NDI-5503-A</v>
      </c>
      <c r="B5474" s="403" t="s">
        <v>1426</v>
      </c>
      <c r="C5474" s="403" t="s">
        <v>582</v>
      </c>
      <c r="D5474" s="403" t="s">
        <v>1427</v>
      </c>
      <c r="E5474" s="403" t="s">
        <v>778</v>
      </c>
      <c r="F5474" s="403" t="s">
        <v>1382</v>
      </c>
      <c r="G5474" s="403" t="s">
        <v>1467</v>
      </c>
      <c r="H5474" s="403" t="s">
        <v>1276</v>
      </c>
      <c r="I5474" s="403">
        <v>1</v>
      </c>
      <c r="J5474" s="403" t="s">
        <v>1373</v>
      </c>
      <c r="K5474" s="403">
        <v>1512</v>
      </c>
      <c r="L5474" s="403">
        <v>2688</v>
      </c>
      <c r="M5474" s="403" t="s">
        <v>109</v>
      </c>
      <c r="N5474" s="403">
        <v>720</v>
      </c>
      <c r="O5474" s="403">
        <v>1280</v>
      </c>
      <c r="P5474" t="str">
        <f t="shared" si="681"/>
        <v>30fps 2688x1512 - 720p</v>
      </c>
      <c r="Q5474">
        <f t="shared" si="682"/>
        <v>24</v>
      </c>
      <c r="R5474" t="str">
        <f t="shared" si="683"/>
        <v/>
      </c>
      <c r="S5474" t="str">
        <f t="shared" si="684"/>
        <v/>
      </c>
      <c r="T5474" s="403" t="str">
        <f t="shared" si="685"/>
        <v>NDI-5503-A</v>
      </c>
      <c r="U5474" s="403">
        <f t="shared" si="686"/>
        <v>1</v>
      </c>
      <c r="V5474" s="403" t="str">
        <f t="shared" si="687"/>
        <v>CPP_7_3</v>
      </c>
    </row>
    <row r="5475" spans="1:22">
      <c r="A5475" t="str">
        <f t="shared" si="680"/>
        <v>NDI-5503-A</v>
      </c>
      <c r="B5475" s="403" t="s">
        <v>1426</v>
      </c>
      <c r="C5475" s="403" t="s">
        <v>582</v>
      </c>
      <c r="D5475" s="403" t="s">
        <v>1427</v>
      </c>
      <c r="E5475" s="403" t="s">
        <v>778</v>
      </c>
      <c r="F5475" s="403" t="s">
        <v>1382</v>
      </c>
      <c r="G5475" s="403" t="s">
        <v>1467</v>
      </c>
      <c r="H5475" s="403" t="s">
        <v>1276</v>
      </c>
      <c r="I5475" s="403">
        <v>1</v>
      </c>
      <c r="J5475" s="403" t="s">
        <v>1373</v>
      </c>
      <c r="K5475" s="403">
        <v>1512</v>
      </c>
      <c r="L5475" s="403">
        <v>2688</v>
      </c>
      <c r="M5475" s="403" t="s">
        <v>111</v>
      </c>
      <c r="N5475" s="403">
        <v>432</v>
      </c>
      <c r="O5475" s="403">
        <v>768</v>
      </c>
      <c r="P5475" t="str">
        <f t="shared" si="681"/>
        <v>30fps 2688x1512 - SD</v>
      </c>
      <c r="Q5475">
        <f t="shared" si="682"/>
        <v>24</v>
      </c>
      <c r="R5475" t="str">
        <f t="shared" si="683"/>
        <v/>
      </c>
      <c r="S5475" t="str">
        <f t="shared" si="684"/>
        <v/>
      </c>
      <c r="T5475" s="403" t="str">
        <f t="shared" si="685"/>
        <v>NDI-5503-A</v>
      </c>
      <c r="U5475" s="403">
        <f t="shared" si="686"/>
        <v>1</v>
      </c>
      <c r="V5475" s="403" t="str">
        <f t="shared" si="687"/>
        <v>CPP_7_3</v>
      </c>
    </row>
    <row r="5476" spans="1:22">
      <c r="A5476" t="str">
        <f t="shared" si="680"/>
        <v>NDI-5503-A</v>
      </c>
      <c r="B5476" s="403" t="s">
        <v>1426</v>
      </c>
      <c r="C5476" s="403" t="s">
        <v>582</v>
      </c>
      <c r="D5476" s="403" t="s">
        <v>1427</v>
      </c>
      <c r="E5476" s="403" t="s">
        <v>778</v>
      </c>
      <c r="F5476" s="403" t="s">
        <v>1382</v>
      </c>
      <c r="G5476" s="403" t="s">
        <v>1467</v>
      </c>
      <c r="H5476" s="403" t="s">
        <v>1276</v>
      </c>
      <c r="I5476" s="403">
        <v>1</v>
      </c>
      <c r="J5476" s="403" t="s">
        <v>1373</v>
      </c>
      <c r="K5476" s="403">
        <v>1512</v>
      </c>
      <c r="L5476" s="403">
        <v>2688</v>
      </c>
      <c r="M5476" s="403" t="s">
        <v>1279</v>
      </c>
      <c r="N5476" s="403">
        <v>432</v>
      </c>
      <c r="O5476" s="403">
        <v>768</v>
      </c>
      <c r="P5476" t="str">
        <f t="shared" si="681"/>
        <v>30fps 2688x1512 - SD ROI PTZ</v>
      </c>
      <c r="Q5476">
        <f t="shared" si="682"/>
        <v>24</v>
      </c>
      <c r="R5476" t="str">
        <f t="shared" si="683"/>
        <v/>
      </c>
      <c r="S5476" t="str">
        <f t="shared" si="684"/>
        <v/>
      </c>
      <c r="T5476" s="403" t="str">
        <f t="shared" si="685"/>
        <v>NDI-5503-A</v>
      </c>
      <c r="U5476" s="403">
        <f t="shared" si="686"/>
        <v>1</v>
      </c>
      <c r="V5476" s="403" t="str">
        <f t="shared" si="687"/>
        <v>CPP_7_3</v>
      </c>
    </row>
    <row r="5477" spans="1:22">
      <c r="A5477" t="str">
        <f t="shared" si="680"/>
        <v>NDI-5503-A</v>
      </c>
      <c r="B5477" s="403" t="s">
        <v>1426</v>
      </c>
      <c r="C5477" s="403" t="s">
        <v>582</v>
      </c>
      <c r="D5477" s="403" t="s">
        <v>1427</v>
      </c>
      <c r="E5477" s="403" t="s">
        <v>778</v>
      </c>
      <c r="F5477" s="403" t="s">
        <v>1382</v>
      </c>
      <c r="G5477" s="403" t="s">
        <v>1467</v>
      </c>
      <c r="H5477" s="403" t="s">
        <v>1276</v>
      </c>
      <c r="I5477" s="403">
        <v>1</v>
      </c>
      <c r="J5477" s="403" t="s">
        <v>1373</v>
      </c>
      <c r="K5477" s="403">
        <v>1512</v>
      </c>
      <c r="L5477" s="403">
        <v>2688</v>
      </c>
      <c r="M5477" s="403" t="s">
        <v>1285</v>
      </c>
      <c r="N5477" s="403">
        <v>1024</v>
      </c>
      <c r="O5477" s="403">
        <v>1280</v>
      </c>
      <c r="P5477" t="str">
        <f t="shared" si="681"/>
        <v>30fps 2688x1512 - 1280x1024 5:4 (cropped)</v>
      </c>
      <c r="Q5477">
        <f t="shared" si="682"/>
        <v>24</v>
      </c>
      <c r="R5477" t="str">
        <f t="shared" si="683"/>
        <v/>
      </c>
      <c r="S5477" t="str">
        <f t="shared" si="684"/>
        <v/>
      </c>
      <c r="T5477" s="403" t="str">
        <f t="shared" si="685"/>
        <v>NDI-5503-A</v>
      </c>
      <c r="U5477" s="403">
        <f t="shared" si="686"/>
        <v>1</v>
      </c>
      <c r="V5477" s="403" t="str">
        <f t="shared" si="687"/>
        <v>CPP_7_3</v>
      </c>
    </row>
    <row r="5478" spans="1:22">
      <c r="A5478" t="str">
        <f t="shared" si="680"/>
        <v>NDI-5503-A</v>
      </c>
      <c r="B5478" s="403" t="s">
        <v>1426</v>
      </c>
      <c r="C5478" s="403" t="s">
        <v>582</v>
      </c>
      <c r="D5478" s="403" t="s">
        <v>1427</v>
      </c>
      <c r="E5478" s="403" t="s">
        <v>778</v>
      </c>
      <c r="F5478" s="403" t="s">
        <v>1382</v>
      </c>
      <c r="G5478" s="403" t="s">
        <v>1467</v>
      </c>
      <c r="H5478" s="403" t="s">
        <v>1276</v>
      </c>
      <c r="I5478" s="403">
        <v>1</v>
      </c>
      <c r="J5478" s="403" t="s">
        <v>1373</v>
      </c>
      <c r="K5478" s="403">
        <v>1512</v>
      </c>
      <c r="L5478" s="403">
        <v>2688</v>
      </c>
      <c r="M5478" s="403" t="s">
        <v>1283</v>
      </c>
      <c r="N5478" s="403">
        <v>480</v>
      </c>
      <c r="O5478" s="403">
        <v>720</v>
      </c>
      <c r="P5478" t="str">
        <f t="shared" si="681"/>
        <v>30fps 2688x1512 - SD 4CIF resolution 4:3 format (cropped)</v>
      </c>
      <c r="Q5478">
        <f t="shared" si="682"/>
        <v>24</v>
      </c>
      <c r="R5478" t="str">
        <f t="shared" si="683"/>
        <v/>
      </c>
      <c r="S5478" t="str">
        <f t="shared" si="684"/>
        <v/>
      </c>
      <c r="T5478" s="403" t="str">
        <f t="shared" si="685"/>
        <v>NDI-5503-A</v>
      </c>
      <c r="U5478" s="403">
        <f t="shared" si="686"/>
        <v>1</v>
      </c>
      <c r="V5478" s="403" t="str">
        <f t="shared" si="687"/>
        <v>CPP_7_3</v>
      </c>
    </row>
    <row r="5479" spans="1:22">
      <c r="A5479" t="str">
        <f t="shared" si="680"/>
        <v>NDI-5503-A</v>
      </c>
      <c r="B5479" s="403" t="s">
        <v>1426</v>
      </c>
      <c r="C5479" s="403" t="s">
        <v>582</v>
      </c>
      <c r="D5479" s="403" t="s">
        <v>1427</v>
      </c>
      <c r="E5479" s="403" t="s">
        <v>778</v>
      </c>
      <c r="F5479" s="403" t="s">
        <v>1382</v>
      </c>
      <c r="G5479" s="403" t="s">
        <v>1467</v>
      </c>
      <c r="H5479" s="403" t="s">
        <v>1276</v>
      </c>
      <c r="I5479" s="403">
        <v>1</v>
      </c>
      <c r="J5479" s="403" t="s">
        <v>1373</v>
      </c>
      <c r="K5479" s="403">
        <v>1512</v>
      </c>
      <c r="L5479" s="403">
        <v>2688</v>
      </c>
      <c r="M5479" s="403" t="s">
        <v>1284</v>
      </c>
      <c r="N5479" s="403">
        <v>480</v>
      </c>
      <c r="O5479" s="403">
        <v>640</v>
      </c>
      <c r="P5479" t="str">
        <f t="shared" si="681"/>
        <v>30fps 2688x1512 - SD VGA (cropped)</v>
      </c>
      <c r="Q5479">
        <f t="shared" si="682"/>
        <v>24</v>
      </c>
      <c r="R5479" t="str">
        <f t="shared" si="683"/>
        <v/>
      </c>
      <c r="S5479" t="str">
        <f t="shared" si="684"/>
        <v/>
      </c>
      <c r="T5479" s="403" t="str">
        <f t="shared" si="685"/>
        <v>NDI-5503-A</v>
      </c>
      <c r="U5479" s="403">
        <f t="shared" si="686"/>
        <v>1</v>
      </c>
      <c r="V5479" s="403" t="str">
        <f t="shared" si="687"/>
        <v>CPP_7_3</v>
      </c>
    </row>
    <row r="5480" spans="1:22">
      <c r="A5480" t="str">
        <f t="shared" si="680"/>
        <v>NDI-5503-A</v>
      </c>
      <c r="B5480" s="403" t="s">
        <v>1426</v>
      </c>
      <c r="C5480" s="403" t="s">
        <v>582</v>
      </c>
      <c r="D5480" s="403" t="s">
        <v>1427</v>
      </c>
      <c r="E5480" s="403" t="s">
        <v>778</v>
      </c>
      <c r="F5480" s="403" t="s">
        <v>1382</v>
      </c>
      <c r="G5480" s="403" t="s">
        <v>1467</v>
      </c>
      <c r="H5480" s="403" t="s">
        <v>1276</v>
      </c>
      <c r="I5480" s="403">
        <v>1</v>
      </c>
      <c r="J5480" s="403" t="s">
        <v>1373</v>
      </c>
      <c r="K5480" s="403">
        <v>1512</v>
      </c>
      <c r="L5480" s="403">
        <v>2688</v>
      </c>
      <c r="M5480" s="403" t="s">
        <v>1280</v>
      </c>
      <c r="N5480" s="403">
        <v>1512</v>
      </c>
      <c r="O5480" s="403">
        <v>2688</v>
      </c>
      <c r="P5480" t="str">
        <f t="shared" si="681"/>
        <v>30fps 2688x1512 - copy other stream</v>
      </c>
      <c r="Q5480">
        <f t="shared" si="682"/>
        <v>24</v>
      </c>
      <c r="R5480" t="str">
        <f t="shared" si="683"/>
        <v/>
      </c>
      <c r="S5480" t="str">
        <f t="shared" si="684"/>
        <v/>
      </c>
      <c r="T5480" s="403" t="str">
        <f t="shared" si="685"/>
        <v>NDI-5503-A</v>
      </c>
      <c r="U5480" s="403">
        <f t="shared" si="686"/>
        <v>1</v>
      </c>
      <c r="V5480" s="403" t="str">
        <f t="shared" si="687"/>
        <v>CPP_7_3</v>
      </c>
    </row>
    <row r="5481" spans="1:22">
      <c r="A5481" t="str">
        <f t="shared" si="680"/>
        <v>NDI-5503-A</v>
      </c>
      <c r="B5481" s="403" t="s">
        <v>1426</v>
      </c>
      <c r="C5481" s="403" t="s">
        <v>582</v>
      </c>
      <c r="D5481" s="403" t="s">
        <v>1427</v>
      </c>
      <c r="E5481" s="403" t="s">
        <v>778</v>
      </c>
      <c r="F5481" s="403" t="s">
        <v>1382</v>
      </c>
      <c r="G5481" s="403" t="s">
        <v>1467</v>
      </c>
      <c r="H5481" s="403" t="s">
        <v>1276</v>
      </c>
      <c r="I5481" s="403">
        <v>1</v>
      </c>
      <c r="J5481" s="403" t="s">
        <v>1374</v>
      </c>
      <c r="K5481" s="403">
        <v>1296</v>
      </c>
      <c r="L5481" s="403">
        <v>2304</v>
      </c>
      <c r="M5481" s="403" t="s">
        <v>110</v>
      </c>
      <c r="N5481" s="403">
        <v>1080</v>
      </c>
      <c r="O5481" s="403">
        <v>1920</v>
      </c>
      <c r="P5481" t="str">
        <f t="shared" si="681"/>
        <v>30fps 2304x1296 - 1080p</v>
      </c>
      <c r="Q5481">
        <f t="shared" si="682"/>
        <v>24</v>
      </c>
      <c r="R5481" t="str">
        <f t="shared" si="683"/>
        <v/>
      </c>
      <c r="S5481" t="str">
        <f t="shared" si="684"/>
        <v/>
      </c>
      <c r="T5481" s="403" t="str">
        <f t="shared" si="685"/>
        <v>NDI-5503-A</v>
      </c>
      <c r="U5481" s="403">
        <f t="shared" si="686"/>
        <v>1</v>
      </c>
      <c r="V5481" s="403" t="str">
        <f t="shared" si="687"/>
        <v>CPP_7_3</v>
      </c>
    </row>
    <row r="5482" spans="1:22">
      <c r="A5482" t="str">
        <f t="shared" si="680"/>
        <v>NDI-5503-A</v>
      </c>
      <c r="B5482" s="403" t="s">
        <v>1426</v>
      </c>
      <c r="C5482" s="403" t="s">
        <v>582</v>
      </c>
      <c r="D5482" s="403" t="s">
        <v>1427</v>
      </c>
      <c r="E5482" s="403" t="s">
        <v>778</v>
      </c>
      <c r="F5482" s="403" t="s">
        <v>1382</v>
      </c>
      <c r="G5482" s="403" t="s">
        <v>1467</v>
      </c>
      <c r="H5482" s="403" t="s">
        <v>1276</v>
      </c>
      <c r="I5482" s="403">
        <v>1</v>
      </c>
      <c r="J5482" s="403" t="s">
        <v>1374</v>
      </c>
      <c r="K5482" s="403">
        <v>1296</v>
      </c>
      <c r="L5482" s="403">
        <v>2304</v>
      </c>
      <c r="M5482" s="403" t="s">
        <v>1374</v>
      </c>
      <c r="N5482" s="403">
        <v>1296</v>
      </c>
      <c r="O5482" s="403">
        <v>2304</v>
      </c>
      <c r="P5482" t="str">
        <f t="shared" si="681"/>
        <v>30fps 2304x1296 - 2304x1296</v>
      </c>
      <c r="Q5482">
        <f t="shared" si="682"/>
        <v>24</v>
      </c>
      <c r="R5482" t="str">
        <f t="shared" si="683"/>
        <v/>
      </c>
      <c r="S5482" t="str">
        <f t="shared" si="684"/>
        <v/>
      </c>
      <c r="T5482" s="403" t="str">
        <f t="shared" si="685"/>
        <v>NDI-5503-A</v>
      </c>
      <c r="U5482" s="403">
        <f t="shared" si="686"/>
        <v>1</v>
      </c>
      <c r="V5482" s="403" t="str">
        <f t="shared" si="687"/>
        <v>CPP_7_3</v>
      </c>
    </row>
    <row r="5483" spans="1:22">
      <c r="A5483" t="str">
        <f t="shared" si="680"/>
        <v>NDI-5503-A</v>
      </c>
      <c r="B5483" s="403" t="s">
        <v>1426</v>
      </c>
      <c r="C5483" s="403" t="s">
        <v>582</v>
      </c>
      <c r="D5483" s="403" t="s">
        <v>1427</v>
      </c>
      <c r="E5483" s="403" t="s">
        <v>778</v>
      </c>
      <c r="F5483" s="403" t="s">
        <v>1382</v>
      </c>
      <c r="G5483" s="403" t="s">
        <v>1467</v>
      </c>
      <c r="H5483" s="403" t="s">
        <v>1276</v>
      </c>
      <c r="I5483" s="403">
        <v>1</v>
      </c>
      <c r="J5483" s="403" t="s">
        <v>1374</v>
      </c>
      <c r="K5483" s="403">
        <v>1296</v>
      </c>
      <c r="L5483" s="403">
        <v>2304</v>
      </c>
      <c r="M5483" s="403" t="s">
        <v>109</v>
      </c>
      <c r="N5483" s="403">
        <v>720</v>
      </c>
      <c r="O5483" s="403">
        <v>1280</v>
      </c>
      <c r="P5483" t="str">
        <f t="shared" si="681"/>
        <v>30fps 2304x1296 - 720p</v>
      </c>
      <c r="Q5483">
        <f t="shared" si="682"/>
        <v>24</v>
      </c>
      <c r="R5483" t="str">
        <f t="shared" si="683"/>
        <v/>
      </c>
      <c r="S5483" t="str">
        <f t="shared" si="684"/>
        <v/>
      </c>
      <c r="T5483" s="403" t="str">
        <f t="shared" si="685"/>
        <v>NDI-5503-A</v>
      </c>
      <c r="U5483" s="403">
        <f t="shared" si="686"/>
        <v>1</v>
      </c>
      <c r="V5483" s="403" t="str">
        <f t="shared" si="687"/>
        <v>CPP_7_3</v>
      </c>
    </row>
    <row r="5484" spans="1:22">
      <c r="A5484" t="str">
        <f t="shared" si="680"/>
        <v>NDI-5503-A</v>
      </c>
      <c r="B5484" s="403" t="s">
        <v>1426</v>
      </c>
      <c r="C5484" s="403" t="s">
        <v>582</v>
      </c>
      <c r="D5484" s="403" t="s">
        <v>1427</v>
      </c>
      <c r="E5484" s="403" t="s">
        <v>778</v>
      </c>
      <c r="F5484" s="403" t="s">
        <v>1382</v>
      </c>
      <c r="G5484" s="403" t="s">
        <v>1467</v>
      </c>
      <c r="H5484" s="403" t="s">
        <v>1276</v>
      </c>
      <c r="I5484" s="403">
        <v>1</v>
      </c>
      <c r="J5484" s="403" t="s">
        <v>1374</v>
      </c>
      <c r="K5484" s="403">
        <v>1296</v>
      </c>
      <c r="L5484" s="403">
        <v>2304</v>
      </c>
      <c r="M5484" s="403" t="s">
        <v>111</v>
      </c>
      <c r="N5484" s="403">
        <v>432</v>
      </c>
      <c r="O5484" s="403">
        <v>768</v>
      </c>
      <c r="P5484" t="str">
        <f t="shared" si="681"/>
        <v>30fps 2304x1296 - SD</v>
      </c>
      <c r="Q5484">
        <f t="shared" si="682"/>
        <v>24</v>
      </c>
      <c r="R5484" t="str">
        <f t="shared" si="683"/>
        <v/>
      </c>
      <c r="S5484" t="str">
        <f t="shared" si="684"/>
        <v/>
      </c>
      <c r="T5484" s="403" t="str">
        <f t="shared" si="685"/>
        <v>NDI-5503-A</v>
      </c>
      <c r="U5484" s="403">
        <f t="shared" si="686"/>
        <v>1</v>
      </c>
      <c r="V5484" s="403" t="str">
        <f t="shared" si="687"/>
        <v>CPP_7_3</v>
      </c>
    </row>
    <row r="5485" spans="1:22">
      <c r="A5485" t="str">
        <f t="shared" si="680"/>
        <v>NDI-5503-A</v>
      </c>
      <c r="B5485" s="403" t="s">
        <v>1426</v>
      </c>
      <c r="C5485" s="403" t="s">
        <v>582</v>
      </c>
      <c r="D5485" s="403" t="s">
        <v>1427</v>
      </c>
      <c r="E5485" s="403" t="s">
        <v>778</v>
      </c>
      <c r="F5485" s="403" t="s">
        <v>1382</v>
      </c>
      <c r="G5485" s="403" t="s">
        <v>1467</v>
      </c>
      <c r="H5485" s="403" t="s">
        <v>1276</v>
      </c>
      <c r="I5485" s="403">
        <v>1</v>
      </c>
      <c r="J5485" s="403" t="s">
        <v>1374</v>
      </c>
      <c r="K5485" s="403">
        <v>1296</v>
      </c>
      <c r="L5485" s="403">
        <v>2304</v>
      </c>
      <c r="M5485" s="403" t="s">
        <v>1279</v>
      </c>
      <c r="N5485" s="403">
        <v>432</v>
      </c>
      <c r="O5485" s="403">
        <v>768</v>
      </c>
      <c r="P5485" t="str">
        <f t="shared" si="681"/>
        <v>30fps 2304x1296 - SD ROI PTZ</v>
      </c>
      <c r="Q5485">
        <f t="shared" si="682"/>
        <v>24</v>
      </c>
      <c r="R5485" t="str">
        <f t="shared" si="683"/>
        <v/>
      </c>
      <c r="S5485" t="str">
        <f t="shared" si="684"/>
        <v/>
      </c>
      <c r="T5485" s="403" t="str">
        <f t="shared" si="685"/>
        <v>NDI-5503-A</v>
      </c>
      <c r="U5485" s="403">
        <f t="shared" si="686"/>
        <v>1</v>
      </c>
      <c r="V5485" s="403" t="str">
        <f t="shared" si="687"/>
        <v>CPP_7_3</v>
      </c>
    </row>
    <row r="5486" spans="1:22">
      <c r="A5486" t="str">
        <f t="shared" si="680"/>
        <v>NDI-5503-A</v>
      </c>
      <c r="B5486" s="403" t="s">
        <v>1426</v>
      </c>
      <c r="C5486" s="403" t="s">
        <v>582</v>
      </c>
      <c r="D5486" s="403" t="s">
        <v>1427</v>
      </c>
      <c r="E5486" s="403" t="s">
        <v>778</v>
      </c>
      <c r="F5486" s="403" t="s">
        <v>1382</v>
      </c>
      <c r="G5486" s="403" t="s">
        <v>1467</v>
      </c>
      <c r="H5486" s="403" t="s">
        <v>1276</v>
      </c>
      <c r="I5486" s="403">
        <v>1</v>
      </c>
      <c r="J5486" s="403" t="s">
        <v>1374</v>
      </c>
      <c r="K5486" s="403">
        <v>1296</v>
      </c>
      <c r="L5486" s="403">
        <v>2304</v>
      </c>
      <c r="M5486" s="403" t="s">
        <v>1285</v>
      </c>
      <c r="N5486" s="403">
        <v>1024</v>
      </c>
      <c r="O5486" s="403">
        <v>1280</v>
      </c>
      <c r="P5486" t="str">
        <f t="shared" si="681"/>
        <v>30fps 2304x1296 - 1280x1024 5:4 (cropped)</v>
      </c>
      <c r="Q5486">
        <f t="shared" si="682"/>
        <v>24</v>
      </c>
      <c r="R5486" t="str">
        <f t="shared" si="683"/>
        <v/>
      </c>
      <c r="S5486" t="str">
        <f t="shared" si="684"/>
        <v/>
      </c>
      <c r="T5486" s="403" t="str">
        <f t="shared" si="685"/>
        <v>NDI-5503-A</v>
      </c>
      <c r="U5486" s="403">
        <f t="shared" si="686"/>
        <v>1</v>
      </c>
      <c r="V5486" s="403" t="str">
        <f t="shared" si="687"/>
        <v>CPP_7_3</v>
      </c>
    </row>
    <row r="5487" spans="1:22">
      <c r="A5487" t="str">
        <f t="shared" si="680"/>
        <v>NDI-5503-A</v>
      </c>
      <c r="B5487" s="403" t="s">
        <v>1426</v>
      </c>
      <c r="C5487" s="403" t="s">
        <v>582</v>
      </c>
      <c r="D5487" s="403" t="s">
        <v>1427</v>
      </c>
      <c r="E5487" s="403" t="s">
        <v>778</v>
      </c>
      <c r="F5487" s="403" t="s">
        <v>1382</v>
      </c>
      <c r="G5487" s="403" t="s">
        <v>1467</v>
      </c>
      <c r="H5487" s="403" t="s">
        <v>1276</v>
      </c>
      <c r="I5487" s="403">
        <v>1</v>
      </c>
      <c r="J5487" s="403" t="s">
        <v>1374</v>
      </c>
      <c r="K5487" s="403">
        <v>1296</v>
      </c>
      <c r="L5487" s="403">
        <v>2304</v>
      </c>
      <c r="M5487" s="403" t="s">
        <v>1283</v>
      </c>
      <c r="N5487" s="403">
        <v>480</v>
      </c>
      <c r="O5487" s="403">
        <v>720</v>
      </c>
      <c r="P5487" t="str">
        <f t="shared" si="681"/>
        <v>30fps 2304x1296 - SD 4CIF resolution 4:3 format (cropped)</v>
      </c>
      <c r="Q5487">
        <f t="shared" si="682"/>
        <v>24</v>
      </c>
      <c r="R5487" t="str">
        <f t="shared" si="683"/>
        <v/>
      </c>
      <c r="S5487" t="str">
        <f t="shared" si="684"/>
        <v/>
      </c>
      <c r="T5487" s="403" t="str">
        <f t="shared" si="685"/>
        <v>NDI-5503-A</v>
      </c>
      <c r="U5487" s="403">
        <f t="shared" si="686"/>
        <v>1</v>
      </c>
      <c r="V5487" s="403" t="str">
        <f t="shared" si="687"/>
        <v>CPP_7_3</v>
      </c>
    </row>
    <row r="5488" spans="1:22">
      <c r="A5488" t="str">
        <f t="shared" si="680"/>
        <v>NDI-5503-A</v>
      </c>
      <c r="B5488" s="403" t="s">
        <v>1426</v>
      </c>
      <c r="C5488" s="403" t="s">
        <v>582</v>
      </c>
      <c r="D5488" s="403" t="s">
        <v>1427</v>
      </c>
      <c r="E5488" s="403" t="s">
        <v>778</v>
      </c>
      <c r="F5488" s="403" t="s">
        <v>1382</v>
      </c>
      <c r="G5488" s="403" t="s">
        <v>1467</v>
      </c>
      <c r="H5488" s="403" t="s">
        <v>1276</v>
      </c>
      <c r="I5488" s="403">
        <v>1</v>
      </c>
      <c r="J5488" s="403" t="s">
        <v>1374</v>
      </c>
      <c r="K5488" s="403">
        <v>1296</v>
      </c>
      <c r="L5488" s="403">
        <v>2304</v>
      </c>
      <c r="M5488" s="403" t="s">
        <v>1284</v>
      </c>
      <c r="N5488" s="403">
        <v>480</v>
      </c>
      <c r="O5488" s="403">
        <v>640</v>
      </c>
      <c r="P5488" t="str">
        <f t="shared" si="681"/>
        <v>30fps 2304x1296 - SD VGA (cropped)</v>
      </c>
      <c r="Q5488">
        <f t="shared" si="682"/>
        <v>24</v>
      </c>
      <c r="R5488" t="str">
        <f t="shared" si="683"/>
        <v/>
      </c>
      <c r="S5488" t="str">
        <f t="shared" si="684"/>
        <v/>
      </c>
      <c r="T5488" s="403" t="str">
        <f t="shared" si="685"/>
        <v>NDI-5503-A</v>
      </c>
      <c r="U5488" s="403">
        <f t="shared" si="686"/>
        <v>1</v>
      </c>
      <c r="V5488" s="403" t="str">
        <f t="shared" si="687"/>
        <v>CPP_7_3</v>
      </c>
    </row>
    <row r="5489" spans="1:22">
      <c r="A5489" t="str">
        <f t="shared" si="680"/>
        <v>NDI-5503-A</v>
      </c>
      <c r="B5489" s="403" t="s">
        <v>1426</v>
      </c>
      <c r="C5489" s="403" t="s">
        <v>582</v>
      </c>
      <c r="D5489" s="403" t="s">
        <v>1427</v>
      </c>
      <c r="E5489" s="403" t="s">
        <v>778</v>
      </c>
      <c r="F5489" s="403" t="s">
        <v>1382</v>
      </c>
      <c r="G5489" s="403" t="s">
        <v>1467</v>
      </c>
      <c r="H5489" s="403" t="s">
        <v>1276</v>
      </c>
      <c r="I5489" s="403">
        <v>1</v>
      </c>
      <c r="J5489" s="403" t="s">
        <v>1374</v>
      </c>
      <c r="K5489" s="403">
        <v>1296</v>
      </c>
      <c r="L5489" s="403">
        <v>2304</v>
      </c>
      <c r="M5489" s="403" t="s">
        <v>1280</v>
      </c>
      <c r="N5489" s="403">
        <v>1296</v>
      </c>
      <c r="O5489" s="403">
        <v>2304</v>
      </c>
      <c r="P5489" t="str">
        <f t="shared" si="681"/>
        <v>30fps 2304x1296 - copy other stream</v>
      </c>
      <c r="Q5489">
        <f t="shared" si="682"/>
        <v>24</v>
      </c>
      <c r="R5489" t="str">
        <f t="shared" si="683"/>
        <v/>
      </c>
      <c r="S5489" t="str">
        <f t="shared" si="684"/>
        <v/>
      </c>
      <c r="T5489" s="403" t="str">
        <f t="shared" si="685"/>
        <v>NDI-5503-A</v>
      </c>
      <c r="U5489" s="403">
        <f t="shared" si="686"/>
        <v>1</v>
      </c>
      <c r="V5489" s="403" t="str">
        <f t="shared" si="687"/>
        <v>CPP_7_3</v>
      </c>
    </row>
    <row r="5490" spans="1:22">
      <c r="A5490" t="str">
        <f t="shared" si="680"/>
        <v>NDI-5503-A</v>
      </c>
      <c r="B5490" s="403" t="s">
        <v>1426</v>
      </c>
      <c r="C5490" s="403" t="s">
        <v>582</v>
      </c>
      <c r="D5490" s="403" t="s">
        <v>1427</v>
      </c>
      <c r="E5490" s="403" t="s">
        <v>778</v>
      </c>
      <c r="F5490" s="403" t="s">
        <v>1382</v>
      </c>
      <c r="G5490" s="403" t="s">
        <v>1467</v>
      </c>
      <c r="H5490" s="403" t="s">
        <v>1276</v>
      </c>
      <c r="I5490" s="403">
        <v>1</v>
      </c>
      <c r="J5490" s="403" t="s">
        <v>110</v>
      </c>
      <c r="K5490" s="403">
        <v>1080</v>
      </c>
      <c r="L5490" s="403">
        <v>1920</v>
      </c>
      <c r="M5490" s="403" t="s">
        <v>111</v>
      </c>
      <c r="N5490" s="403">
        <v>432</v>
      </c>
      <c r="O5490" s="403">
        <v>768</v>
      </c>
      <c r="P5490" t="str">
        <f t="shared" si="681"/>
        <v>30fps 1080p - SD</v>
      </c>
      <c r="Q5490">
        <f t="shared" si="682"/>
        <v>24</v>
      </c>
      <c r="R5490" t="str">
        <f t="shared" si="683"/>
        <v/>
      </c>
      <c r="S5490" t="str">
        <f t="shared" si="684"/>
        <v/>
      </c>
      <c r="T5490" s="403" t="str">
        <f t="shared" si="685"/>
        <v>NDI-5503-A</v>
      </c>
      <c r="U5490" s="403">
        <f t="shared" si="686"/>
        <v>1</v>
      </c>
      <c r="V5490" s="403" t="str">
        <f t="shared" si="687"/>
        <v>CPP_7_3</v>
      </c>
    </row>
    <row r="5491" spans="1:22">
      <c r="A5491" t="str">
        <f t="shared" si="680"/>
        <v>NDI-5503-A</v>
      </c>
      <c r="B5491" s="403" t="s">
        <v>1426</v>
      </c>
      <c r="C5491" s="403" t="s">
        <v>582</v>
      </c>
      <c r="D5491" s="403" t="s">
        <v>1427</v>
      </c>
      <c r="E5491" s="403" t="s">
        <v>778</v>
      </c>
      <c r="F5491" s="403" t="s">
        <v>1382</v>
      </c>
      <c r="G5491" s="403" t="s">
        <v>1467</v>
      </c>
      <c r="H5491" s="403" t="s">
        <v>1276</v>
      </c>
      <c r="I5491" s="403">
        <v>1</v>
      </c>
      <c r="J5491" s="403" t="s">
        <v>110</v>
      </c>
      <c r="K5491" s="403">
        <v>1080</v>
      </c>
      <c r="L5491" s="403">
        <v>1920</v>
      </c>
      <c r="M5491" s="403" t="s">
        <v>110</v>
      </c>
      <c r="N5491" s="403">
        <v>1080</v>
      </c>
      <c r="O5491" s="403">
        <v>1920</v>
      </c>
      <c r="P5491" t="str">
        <f t="shared" si="681"/>
        <v>30fps 1080p - 1080p</v>
      </c>
      <c r="Q5491">
        <f t="shared" si="682"/>
        <v>24</v>
      </c>
      <c r="R5491" t="str">
        <f t="shared" si="683"/>
        <v/>
      </c>
      <c r="S5491" t="str">
        <f t="shared" si="684"/>
        <v/>
      </c>
      <c r="T5491" s="403" t="str">
        <f t="shared" si="685"/>
        <v>NDI-5503-A</v>
      </c>
      <c r="U5491" s="403">
        <f t="shared" si="686"/>
        <v>1</v>
      </c>
      <c r="V5491" s="403" t="str">
        <f t="shared" si="687"/>
        <v>CPP_7_3</v>
      </c>
    </row>
    <row r="5492" spans="1:22">
      <c r="A5492" t="str">
        <f t="shared" si="680"/>
        <v>NDI-5503-A</v>
      </c>
      <c r="B5492" s="403" t="s">
        <v>1426</v>
      </c>
      <c r="C5492" s="403" t="s">
        <v>582</v>
      </c>
      <c r="D5492" s="403" t="s">
        <v>1427</v>
      </c>
      <c r="E5492" s="403" t="s">
        <v>778</v>
      </c>
      <c r="F5492" s="403" t="s">
        <v>1382</v>
      </c>
      <c r="G5492" s="403" t="s">
        <v>1467</v>
      </c>
      <c r="H5492" s="403" t="s">
        <v>1276</v>
      </c>
      <c r="I5492" s="403">
        <v>1</v>
      </c>
      <c r="J5492" s="403" t="s">
        <v>110</v>
      </c>
      <c r="K5492" s="403">
        <v>1080</v>
      </c>
      <c r="L5492" s="403">
        <v>1920</v>
      </c>
      <c r="M5492" s="403" t="s">
        <v>109</v>
      </c>
      <c r="N5492" s="403">
        <v>720</v>
      </c>
      <c r="O5492" s="403">
        <v>1280</v>
      </c>
      <c r="P5492" t="str">
        <f t="shared" si="681"/>
        <v>30fps 1080p - 720p</v>
      </c>
      <c r="Q5492">
        <f t="shared" si="682"/>
        <v>24</v>
      </c>
      <c r="R5492" t="str">
        <f t="shared" si="683"/>
        <v/>
      </c>
      <c r="S5492" t="str">
        <f t="shared" si="684"/>
        <v/>
      </c>
      <c r="T5492" s="403" t="str">
        <f t="shared" si="685"/>
        <v>NDI-5503-A</v>
      </c>
      <c r="U5492" s="403">
        <f t="shared" si="686"/>
        <v>1</v>
      </c>
      <c r="V5492" s="403" t="str">
        <f t="shared" si="687"/>
        <v>CPP_7_3</v>
      </c>
    </row>
    <row r="5493" spans="1:22">
      <c r="A5493" t="str">
        <f t="shared" si="680"/>
        <v>NDI-5503-A</v>
      </c>
      <c r="B5493" s="403" t="s">
        <v>1426</v>
      </c>
      <c r="C5493" s="403" t="s">
        <v>582</v>
      </c>
      <c r="D5493" s="403" t="s">
        <v>1427</v>
      </c>
      <c r="E5493" s="403" t="s">
        <v>778</v>
      </c>
      <c r="F5493" s="403" t="s">
        <v>1382</v>
      </c>
      <c r="G5493" s="403" t="s">
        <v>1467</v>
      </c>
      <c r="H5493" s="403" t="s">
        <v>1276</v>
      </c>
      <c r="I5493" s="403">
        <v>1</v>
      </c>
      <c r="J5493" s="403" t="s">
        <v>110</v>
      </c>
      <c r="K5493" s="403">
        <v>1080</v>
      </c>
      <c r="L5493" s="403">
        <v>1920</v>
      </c>
      <c r="M5493" s="403" t="s">
        <v>1285</v>
      </c>
      <c r="N5493" s="403">
        <v>1024</v>
      </c>
      <c r="O5493" s="403">
        <v>1280</v>
      </c>
      <c r="P5493" t="str">
        <f t="shared" si="681"/>
        <v>30fps 1080p - 1280x1024 5:4 (cropped)</v>
      </c>
      <c r="Q5493">
        <f t="shared" si="682"/>
        <v>24</v>
      </c>
      <c r="R5493" t="str">
        <f t="shared" si="683"/>
        <v/>
      </c>
      <c r="S5493" t="str">
        <f t="shared" si="684"/>
        <v/>
      </c>
      <c r="T5493" s="403" t="str">
        <f t="shared" si="685"/>
        <v>NDI-5503-A</v>
      </c>
      <c r="U5493" s="403">
        <f t="shared" si="686"/>
        <v>1</v>
      </c>
      <c r="V5493" s="403" t="str">
        <f t="shared" si="687"/>
        <v>CPP_7_3</v>
      </c>
    </row>
    <row r="5494" spans="1:22">
      <c r="A5494" t="str">
        <f t="shared" si="680"/>
        <v>NDI-5503-A</v>
      </c>
      <c r="B5494" s="403" t="s">
        <v>1426</v>
      </c>
      <c r="C5494" s="403" t="s">
        <v>582</v>
      </c>
      <c r="D5494" s="403" t="s">
        <v>1427</v>
      </c>
      <c r="E5494" s="403" t="s">
        <v>778</v>
      </c>
      <c r="F5494" s="403" t="s">
        <v>1382</v>
      </c>
      <c r="G5494" s="403" t="s">
        <v>1467</v>
      </c>
      <c r="H5494" s="403" t="s">
        <v>1276</v>
      </c>
      <c r="I5494" s="403">
        <v>1</v>
      </c>
      <c r="J5494" s="403" t="s">
        <v>110</v>
      </c>
      <c r="K5494" s="403">
        <v>1080</v>
      </c>
      <c r="L5494" s="403">
        <v>1920</v>
      </c>
      <c r="M5494" s="403" t="s">
        <v>1279</v>
      </c>
      <c r="N5494" s="403">
        <v>432</v>
      </c>
      <c r="O5494" s="403">
        <v>768</v>
      </c>
      <c r="P5494" t="str">
        <f t="shared" si="681"/>
        <v>30fps 1080p - SD ROI PTZ</v>
      </c>
      <c r="Q5494">
        <f t="shared" si="682"/>
        <v>24</v>
      </c>
      <c r="R5494" t="str">
        <f t="shared" si="683"/>
        <v/>
      </c>
      <c r="S5494" t="str">
        <f t="shared" si="684"/>
        <v/>
      </c>
      <c r="T5494" s="403" t="str">
        <f t="shared" si="685"/>
        <v>NDI-5503-A</v>
      </c>
      <c r="U5494" s="403">
        <f t="shared" si="686"/>
        <v>1</v>
      </c>
      <c r="V5494" s="403" t="str">
        <f t="shared" si="687"/>
        <v>CPP_7_3</v>
      </c>
    </row>
    <row r="5495" spans="1:22">
      <c r="A5495" t="str">
        <f t="shared" si="680"/>
        <v>NDI-5503-A</v>
      </c>
      <c r="B5495" s="403" t="s">
        <v>1426</v>
      </c>
      <c r="C5495" s="403" t="s">
        <v>582</v>
      </c>
      <c r="D5495" s="403" t="s">
        <v>1427</v>
      </c>
      <c r="E5495" s="403" t="s">
        <v>778</v>
      </c>
      <c r="F5495" s="403" t="s">
        <v>1382</v>
      </c>
      <c r="G5495" s="403" t="s">
        <v>1467</v>
      </c>
      <c r="H5495" s="403" t="s">
        <v>1276</v>
      </c>
      <c r="I5495" s="403">
        <v>1</v>
      </c>
      <c r="J5495" s="403" t="s">
        <v>110</v>
      </c>
      <c r="K5495" s="403">
        <v>1080</v>
      </c>
      <c r="L5495" s="403">
        <v>1920</v>
      </c>
      <c r="M5495" s="403" t="s">
        <v>1283</v>
      </c>
      <c r="N5495" s="403">
        <v>480</v>
      </c>
      <c r="O5495" s="403">
        <v>720</v>
      </c>
      <c r="P5495" t="str">
        <f t="shared" si="681"/>
        <v>30fps 1080p - SD 4CIF resolution 4:3 format (cropped)</v>
      </c>
      <c r="Q5495">
        <f t="shared" si="682"/>
        <v>24</v>
      </c>
      <c r="R5495" t="str">
        <f t="shared" si="683"/>
        <v/>
      </c>
      <c r="S5495" t="str">
        <f t="shared" si="684"/>
        <v/>
      </c>
      <c r="T5495" s="403" t="str">
        <f t="shared" si="685"/>
        <v>NDI-5503-A</v>
      </c>
      <c r="U5495" s="403">
        <f t="shared" si="686"/>
        <v>1</v>
      </c>
      <c r="V5495" s="403" t="str">
        <f t="shared" si="687"/>
        <v>CPP_7_3</v>
      </c>
    </row>
    <row r="5496" spans="1:22">
      <c r="A5496" t="str">
        <f t="shared" si="680"/>
        <v>NDI-5503-A</v>
      </c>
      <c r="B5496" s="403" t="s">
        <v>1426</v>
      </c>
      <c r="C5496" s="403" t="s">
        <v>582</v>
      </c>
      <c r="D5496" s="403" t="s">
        <v>1427</v>
      </c>
      <c r="E5496" s="403" t="s">
        <v>778</v>
      </c>
      <c r="F5496" s="403" t="s">
        <v>1382</v>
      </c>
      <c r="G5496" s="403" t="s">
        <v>1467</v>
      </c>
      <c r="H5496" s="403" t="s">
        <v>1276</v>
      </c>
      <c r="I5496" s="403">
        <v>1</v>
      </c>
      <c r="J5496" s="403" t="s">
        <v>110</v>
      </c>
      <c r="K5496" s="403">
        <v>1080</v>
      </c>
      <c r="L5496" s="403">
        <v>1920</v>
      </c>
      <c r="M5496" s="403" t="s">
        <v>1284</v>
      </c>
      <c r="N5496" s="403">
        <v>480</v>
      </c>
      <c r="O5496" s="403">
        <v>640</v>
      </c>
      <c r="P5496" t="str">
        <f t="shared" si="681"/>
        <v>30fps 1080p - SD VGA (cropped)</v>
      </c>
      <c r="Q5496">
        <f t="shared" si="682"/>
        <v>24</v>
      </c>
      <c r="R5496" t="str">
        <f t="shared" si="683"/>
        <v/>
      </c>
      <c r="S5496" t="str">
        <f t="shared" si="684"/>
        <v/>
      </c>
      <c r="T5496" s="403" t="str">
        <f t="shared" si="685"/>
        <v>NDI-5503-A</v>
      </c>
      <c r="U5496" s="403">
        <f t="shared" si="686"/>
        <v>1</v>
      </c>
      <c r="V5496" s="403" t="str">
        <f t="shared" si="687"/>
        <v>CPP_7_3</v>
      </c>
    </row>
    <row r="5497" spans="1:22">
      <c r="A5497" t="str">
        <f t="shared" si="680"/>
        <v>NDI-5503-A</v>
      </c>
      <c r="B5497" s="403" t="s">
        <v>1426</v>
      </c>
      <c r="C5497" s="403" t="s">
        <v>582</v>
      </c>
      <c r="D5497" s="403" t="s">
        <v>1427</v>
      </c>
      <c r="E5497" s="403" t="s">
        <v>778</v>
      </c>
      <c r="F5497" s="403" t="s">
        <v>1382</v>
      </c>
      <c r="G5497" s="403" t="s">
        <v>1467</v>
      </c>
      <c r="H5497" s="403" t="s">
        <v>1276</v>
      </c>
      <c r="I5497" s="403">
        <v>1</v>
      </c>
      <c r="J5497" s="403" t="s">
        <v>109</v>
      </c>
      <c r="K5497" s="403">
        <v>720</v>
      </c>
      <c r="L5497" s="403">
        <v>1280</v>
      </c>
      <c r="M5497" s="403" t="s">
        <v>109</v>
      </c>
      <c r="N5497" s="403">
        <v>720</v>
      </c>
      <c r="O5497" s="403">
        <v>1280</v>
      </c>
      <c r="P5497" t="str">
        <f t="shared" si="681"/>
        <v>30fps 720p - 720p</v>
      </c>
      <c r="Q5497">
        <f t="shared" si="682"/>
        <v>24</v>
      </c>
      <c r="R5497" t="str">
        <f t="shared" si="683"/>
        <v/>
      </c>
      <c r="S5497" t="str">
        <f t="shared" si="684"/>
        <v/>
      </c>
      <c r="T5497" s="403" t="str">
        <f t="shared" si="685"/>
        <v>NDI-5503-A</v>
      </c>
      <c r="U5497" s="403">
        <f t="shared" si="686"/>
        <v>1</v>
      </c>
      <c r="V5497" s="403" t="str">
        <f t="shared" si="687"/>
        <v>CPP_7_3</v>
      </c>
    </row>
    <row r="5498" spans="1:22">
      <c r="A5498" t="str">
        <f t="shared" si="680"/>
        <v>NDI-5503-A</v>
      </c>
      <c r="B5498" s="403" t="s">
        <v>1426</v>
      </c>
      <c r="C5498" s="403" t="s">
        <v>582</v>
      </c>
      <c r="D5498" s="403" t="s">
        <v>1427</v>
      </c>
      <c r="E5498" s="403" t="s">
        <v>778</v>
      </c>
      <c r="F5498" s="403" t="s">
        <v>1382</v>
      </c>
      <c r="G5498" s="403" t="s">
        <v>1467</v>
      </c>
      <c r="H5498" s="403" t="s">
        <v>1276</v>
      </c>
      <c r="I5498" s="403">
        <v>1</v>
      </c>
      <c r="J5498" s="403" t="s">
        <v>109</v>
      </c>
      <c r="K5498" s="403">
        <v>720</v>
      </c>
      <c r="L5498" s="403">
        <v>1280</v>
      </c>
      <c r="M5498" s="403" t="s">
        <v>111</v>
      </c>
      <c r="N5498" s="403">
        <v>432</v>
      </c>
      <c r="O5498" s="403">
        <v>768</v>
      </c>
      <c r="P5498" t="str">
        <f t="shared" si="681"/>
        <v>30fps 720p - SD</v>
      </c>
      <c r="Q5498">
        <f t="shared" si="682"/>
        <v>24</v>
      </c>
      <c r="R5498" t="str">
        <f t="shared" si="683"/>
        <v/>
      </c>
      <c r="S5498" t="str">
        <f t="shared" si="684"/>
        <v/>
      </c>
      <c r="T5498" s="403" t="str">
        <f t="shared" si="685"/>
        <v>NDI-5503-A</v>
      </c>
      <c r="U5498" s="403">
        <f t="shared" si="686"/>
        <v>1</v>
      </c>
      <c r="V5498" s="403" t="str">
        <f t="shared" si="687"/>
        <v>CPP_7_3</v>
      </c>
    </row>
    <row r="5499" spans="1:22">
      <c r="A5499" t="str">
        <f t="shared" si="680"/>
        <v>NDI-5503-A</v>
      </c>
      <c r="B5499" s="403" t="s">
        <v>1426</v>
      </c>
      <c r="C5499" s="403" t="s">
        <v>582</v>
      </c>
      <c r="D5499" s="403" t="s">
        <v>1427</v>
      </c>
      <c r="E5499" s="403" t="s">
        <v>778</v>
      </c>
      <c r="F5499" s="403" t="s">
        <v>1382</v>
      </c>
      <c r="G5499" s="403" t="s">
        <v>1467</v>
      </c>
      <c r="H5499" s="403" t="s">
        <v>1276</v>
      </c>
      <c r="I5499" s="403">
        <v>1</v>
      </c>
      <c r="J5499" s="403" t="s">
        <v>109</v>
      </c>
      <c r="K5499" s="403">
        <v>720</v>
      </c>
      <c r="L5499" s="403">
        <v>1280</v>
      </c>
      <c r="M5499" s="403" t="s">
        <v>1279</v>
      </c>
      <c r="N5499" s="403">
        <v>432</v>
      </c>
      <c r="O5499" s="403">
        <v>768</v>
      </c>
      <c r="P5499" t="str">
        <f t="shared" si="681"/>
        <v>30fps 720p - SD ROI PTZ</v>
      </c>
      <c r="Q5499">
        <f t="shared" si="682"/>
        <v>24</v>
      </c>
      <c r="R5499" t="str">
        <f t="shared" si="683"/>
        <v/>
      </c>
      <c r="S5499" t="str">
        <f t="shared" si="684"/>
        <v/>
      </c>
      <c r="T5499" s="403" t="str">
        <f t="shared" si="685"/>
        <v>NDI-5503-A</v>
      </c>
      <c r="U5499" s="403">
        <f t="shared" si="686"/>
        <v>1</v>
      </c>
      <c r="V5499" s="403" t="str">
        <f t="shared" si="687"/>
        <v>CPP_7_3</v>
      </c>
    </row>
    <row r="5500" spans="1:22">
      <c r="A5500" t="str">
        <f t="shared" si="680"/>
        <v>NDI-5503-A</v>
      </c>
      <c r="B5500" s="403" t="s">
        <v>1426</v>
      </c>
      <c r="C5500" s="403" t="s">
        <v>582</v>
      </c>
      <c r="D5500" s="403" t="s">
        <v>1427</v>
      </c>
      <c r="E5500" s="403" t="s">
        <v>778</v>
      </c>
      <c r="F5500" s="403" t="s">
        <v>1382</v>
      </c>
      <c r="G5500" s="403" t="s">
        <v>1467</v>
      </c>
      <c r="H5500" s="403" t="s">
        <v>1276</v>
      </c>
      <c r="I5500" s="403">
        <v>1</v>
      </c>
      <c r="J5500" s="403" t="s">
        <v>109</v>
      </c>
      <c r="K5500" s="403">
        <v>720</v>
      </c>
      <c r="L5500" s="403">
        <v>1280</v>
      </c>
      <c r="M5500" s="403" t="s">
        <v>1283</v>
      </c>
      <c r="N5500" s="403">
        <v>480</v>
      </c>
      <c r="O5500" s="403">
        <v>720</v>
      </c>
      <c r="P5500" t="str">
        <f t="shared" si="681"/>
        <v>30fps 720p - SD 4CIF resolution 4:3 format (cropped)</v>
      </c>
      <c r="Q5500">
        <f t="shared" si="682"/>
        <v>24</v>
      </c>
      <c r="R5500" t="str">
        <f t="shared" si="683"/>
        <v/>
      </c>
      <c r="S5500" t="str">
        <f t="shared" si="684"/>
        <v/>
      </c>
      <c r="T5500" s="403" t="str">
        <f t="shared" si="685"/>
        <v>NDI-5503-A</v>
      </c>
      <c r="U5500" s="403">
        <f t="shared" si="686"/>
        <v>1</v>
      </c>
      <c r="V5500" s="403" t="str">
        <f t="shared" si="687"/>
        <v>CPP_7_3</v>
      </c>
    </row>
    <row r="5501" spans="1:22">
      <c r="A5501" t="str">
        <f t="shared" si="680"/>
        <v>NDI-5503-A</v>
      </c>
      <c r="B5501" s="403" t="s">
        <v>1426</v>
      </c>
      <c r="C5501" s="403" t="s">
        <v>582</v>
      </c>
      <c r="D5501" s="403" t="s">
        <v>1427</v>
      </c>
      <c r="E5501" s="403" t="s">
        <v>778</v>
      </c>
      <c r="F5501" s="403" t="s">
        <v>1382</v>
      </c>
      <c r="G5501" s="403" t="s">
        <v>1467</v>
      </c>
      <c r="H5501" s="403" t="s">
        <v>1276</v>
      </c>
      <c r="I5501" s="403">
        <v>1</v>
      </c>
      <c r="J5501" s="403" t="s">
        <v>109</v>
      </c>
      <c r="K5501" s="403">
        <v>720</v>
      </c>
      <c r="L5501" s="403">
        <v>1280</v>
      </c>
      <c r="M5501" s="403" t="s">
        <v>1284</v>
      </c>
      <c r="N5501" s="403">
        <v>480</v>
      </c>
      <c r="O5501" s="403">
        <v>640</v>
      </c>
      <c r="P5501" t="str">
        <f t="shared" si="681"/>
        <v>30fps 720p - SD VGA (cropped)</v>
      </c>
      <c r="Q5501">
        <f t="shared" si="682"/>
        <v>24</v>
      </c>
      <c r="R5501" t="str">
        <f t="shared" si="683"/>
        <v/>
      </c>
      <c r="S5501" t="str">
        <f t="shared" si="684"/>
        <v/>
      </c>
      <c r="T5501" s="403" t="str">
        <f t="shared" si="685"/>
        <v>NDI-5503-A</v>
      </c>
      <c r="U5501" s="403">
        <f t="shared" si="686"/>
        <v>1</v>
      </c>
      <c r="V5501" s="403" t="str">
        <f t="shared" si="687"/>
        <v>CPP_7_3</v>
      </c>
    </row>
    <row r="5502" spans="1:22">
      <c r="A5502" t="str">
        <f t="shared" si="680"/>
        <v>NDI-5503-A</v>
      </c>
      <c r="B5502" s="403" t="s">
        <v>1426</v>
      </c>
      <c r="C5502" s="403" t="s">
        <v>582</v>
      </c>
      <c r="D5502" s="403" t="s">
        <v>1427</v>
      </c>
      <c r="E5502" s="403" t="s">
        <v>778</v>
      </c>
      <c r="F5502" s="403" t="s">
        <v>1382</v>
      </c>
      <c r="G5502" s="403" t="s">
        <v>1467</v>
      </c>
      <c r="H5502" s="403" t="s">
        <v>1281</v>
      </c>
      <c r="I5502" s="403">
        <v>1</v>
      </c>
      <c r="J5502" s="403" t="s">
        <v>1376</v>
      </c>
      <c r="K5502" s="403">
        <v>1728</v>
      </c>
      <c r="L5502" s="403">
        <v>3072</v>
      </c>
      <c r="M5502" s="403" t="s">
        <v>111</v>
      </c>
      <c r="N5502" s="403">
        <v>432</v>
      </c>
      <c r="O5502" s="403">
        <v>768</v>
      </c>
      <c r="P5502" t="str">
        <f t="shared" si="681"/>
        <v>30fps 3072x1728 - SD</v>
      </c>
      <c r="Q5502">
        <f t="shared" si="682"/>
        <v>24</v>
      </c>
      <c r="R5502" t="str">
        <f t="shared" si="683"/>
        <v/>
      </c>
      <c r="S5502" t="str">
        <f t="shared" si="684"/>
        <v/>
      </c>
      <c r="T5502" s="403" t="str">
        <f t="shared" si="685"/>
        <v>NDI-5503-A</v>
      </c>
      <c r="U5502" s="403">
        <f t="shared" si="686"/>
        <v>1</v>
      </c>
      <c r="V5502" s="403" t="str">
        <f t="shared" si="687"/>
        <v>CPP_7_3</v>
      </c>
    </row>
    <row r="5503" spans="1:22">
      <c r="A5503" t="str">
        <f t="shared" si="680"/>
        <v>NDI-5503-A</v>
      </c>
      <c r="B5503" s="403" t="s">
        <v>1426</v>
      </c>
      <c r="C5503" s="403" t="s">
        <v>582</v>
      </c>
      <c r="D5503" s="403" t="s">
        <v>1427</v>
      </c>
      <c r="E5503" s="403" t="s">
        <v>778</v>
      </c>
      <c r="F5503" s="403" t="s">
        <v>1382</v>
      </c>
      <c r="G5503" s="403" t="s">
        <v>1467</v>
      </c>
      <c r="H5503" s="403" t="s">
        <v>1281</v>
      </c>
      <c r="I5503" s="403">
        <v>1</v>
      </c>
      <c r="J5503" s="403" t="s">
        <v>1376</v>
      </c>
      <c r="K5503" s="403">
        <v>1728</v>
      </c>
      <c r="L5503" s="403">
        <v>3072</v>
      </c>
      <c r="M5503" s="403" t="s">
        <v>1280</v>
      </c>
      <c r="N5503" s="403">
        <v>1728</v>
      </c>
      <c r="O5503" s="403">
        <v>3072</v>
      </c>
      <c r="P5503" t="str">
        <f t="shared" si="681"/>
        <v>30fps 3072x1728 - copy other stream</v>
      </c>
      <c r="Q5503">
        <f t="shared" si="682"/>
        <v>24</v>
      </c>
      <c r="R5503" t="str">
        <f t="shared" si="683"/>
        <v/>
      </c>
      <c r="S5503" t="str">
        <f t="shared" si="684"/>
        <v/>
      </c>
      <c r="T5503" s="403" t="str">
        <f t="shared" si="685"/>
        <v>NDI-5503-A</v>
      </c>
      <c r="U5503" s="403">
        <f t="shared" si="686"/>
        <v>1</v>
      </c>
      <c r="V5503" s="403" t="str">
        <f t="shared" si="687"/>
        <v>CPP_7_3</v>
      </c>
    </row>
    <row r="5504" spans="1:22">
      <c r="A5504" t="str">
        <f t="shared" si="680"/>
        <v>NDI-5503-A</v>
      </c>
      <c r="B5504" s="403" t="s">
        <v>1426</v>
      </c>
      <c r="C5504" s="403" t="s">
        <v>582</v>
      </c>
      <c r="D5504" s="403" t="s">
        <v>1427</v>
      </c>
      <c r="E5504" s="403" t="s">
        <v>778</v>
      </c>
      <c r="F5504" s="403" t="s">
        <v>1382</v>
      </c>
      <c r="G5504" s="403" t="s">
        <v>1467</v>
      </c>
      <c r="H5504" s="403" t="s">
        <v>1281</v>
      </c>
      <c r="I5504" s="403">
        <v>1</v>
      </c>
      <c r="J5504" s="403" t="s">
        <v>1376</v>
      </c>
      <c r="K5504" s="403">
        <v>1728</v>
      </c>
      <c r="L5504" s="403">
        <v>3072</v>
      </c>
      <c r="M5504" s="403" t="s">
        <v>110</v>
      </c>
      <c r="N5504" s="403">
        <v>1080</v>
      </c>
      <c r="O5504" s="403">
        <v>1920</v>
      </c>
      <c r="P5504" t="str">
        <f t="shared" si="681"/>
        <v>30fps 3072x1728 - 1080p</v>
      </c>
      <c r="Q5504">
        <f t="shared" si="682"/>
        <v>24</v>
      </c>
      <c r="R5504" t="str">
        <f t="shared" si="683"/>
        <v/>
      </c>
      <c r="S5504" t="str">
        <f t="shared" si="684"/>
        <v/>
      </c>
      <c r="T5504" s="403" t="str">
        <f t="shared" si="685"/>
        <v>NDI-5503-A</v>
      </c>
      <c r="U5504" s="403">
        <f t="shared" si="686"/>
        <v>1</v>
      </c>
      <c r="V5504" s="403" t="str">
        <f t="shared" si="687"/>
        <v>CPP_7_3</v>
      </c>
    </row>
    <row r="5505" spans="1:22">
      <c r="A5505" t="str">
        <f t="shared" si="680"/>
        <v>NDI-5503-A</v>
      </c>
      <c r="B5505" s="403" t="s">
        <v>1426</v>
      </c>
      <c r="C5505" s="403" t="s">
        <v>582</v>
      </c>
      <c r="D5505" s="403" t="s">
        <v>1427</v>
      </c>
      <c r="E5505" s="403" t="s">
        <v>778</v>
      </c>
      <c r="F5505" s="403" t="s">
        <v>1382</v>
      </c>
      <c r="G5505" s="403" t="s">
        <v>1467</v>
      </c>
      <c r="H5505" s="403" t="s">
        <v>1281</v>
      </c>
      <c r="I5505" s="403">
        <v>1</v>
      </c>
      <c r="J5505" s="403" t="s">
        <v>1376</v>
      </c>
      <c r="K5505" s="403">
        <v>1728</v>
      </c>
      <c r="L5505" s="403">
        <v>3072</v>
      </c>
      <c r="M5505" s="403" t="s">
        <v>109</v>
      </c>
      <c r="N5505" s="403">
        <v>720</v>
      </c>
      <c r="O5505" s="403">
        <v>1280</v>
      </c>
      <c r="P5505" t="str">
        <f t="shared" si="681"/>
        <v>30fps 3072x1728 - 720p</v>
      </c>
      <c r="Q5505">
        <f t="shared" si="682"/>
        <v>24</v>
      </c>
      <c r="R5505" t="str">
        <f t="shared" si="683"/>
        <v/>
      </c>
      <c r="S5505" t="str">
        <f t="shared" si="684"/>
        <v/>
      </c>
      <c r="T5505" s="403" t="str">
        <f t="shared" si="685"/>
        <v>NDI-5503-A</v>
      </c>
      <c r="U5505" s="403">
        <f t="shared" si="686"/>
        <v>1</v>
      </c>
      <c r="V5505" s="403" t="str">
        <f t="shared" si="687"/>
        <v>CPP_7_3</v>
      </c>
    </row>
    <row r="5506" spans="1:22">
      <c r="A5506" t="str">
        <f t="shared" ref="A5506:A5569" si="688">IF(AND(G5506&lt;&gt;"rotate 90°"),D5506,"")</f>
        <v>NDI-5503-A</v>
      </c>
      <c r="B5506" s="403" t="s">
        <v>1426</v>
      </c>
      <c r="C5506" s="403" t="s">
        <v>582</v>
      </c>
      <c r="D5506" s="403" t="s">
        <v>1427</v>
      </c>
      <c r="E5506" s="403" t="s">
        <v>778</v>
      </c>
      <c r="F5506" s="403" t="s">
        <v>1382</v>
      </c>
      <c r="G5506" s="403" t="s">
        <v>1467</v>
      </c>
      <c r="H5506" s="403" t="s">
        <v>1281</v>
      </c>
      <c r="I5506" s="403">
        <v>1</v>
      </c>
      <c r="J5506" s="403" t="s">
        <v>1376</v>
      </c>
      <c r="K5506" s="403">
        <v>1728</v>
      </c>
      <c r="L5506" s="403">
        <v>3072</v>
      </c>
      <c r="M5506" s="403" t="s">
        <v>1283</v>
      </c>
      <c r="N5506" s="403">
        <v>480</v>
      </c>
      <c r="O5506" s="403">
        <v>720</v>
      </c>
      <c r="P5506" t="str">
        <f t="shared" ref="P5506:P5569" si="689">LEFT(F5506,5)&amp;" "&amp;J5506&amp;" - "&amp;M5506</f>
        <v>30fps 3072x1728 - SD 4CIF resolution 4:3 format (cropped)</v>
      </c>
      <c r="Q5506">
        <f t="shared" ref="Q5506:Q5569" si="690">IF(A5505=A5506,Q5505,Q5505+1)</f>
        <v>24</v>
      </c>
      <c r="R5506" t="str">
        <f t="shared" ref="R5506:R5569" si="691">IF(Q5505&lt;&gt;Q5506,Q5506,"")</f>
        <v/>
      </c>
      <c r="S5506" t="str">
        <f t="shared" ref="S5506:S5569" si="692">IF(R5506&lt;&gt;"",B5506&amp;" ("&amp;D5506&amp;")","")</f>
        <v/>
      </c>
      <c r="T5506" s="403" t="str">
        <f t="shared" ref="T5506:T5569" si="693">D5506</f>
        <v>NDI-5503-A</v>
      </c>
      <c r="U5506" s="403">
        <f t="shared" ref="U5506:U5569" si="694">I5506</f>
        <v>1</v>
      </c>
      <c r="V5506" s="403" t="str">
        <f t="shared" ref="V5506:V5569" si="695">C5506</f>
        <v>CPP_7_3</v>
      </c>
    </row>
    <row r="5507" spans="1:22">
      <c r="A5507" t="str">
        <f t="shared" si="688"/>
        <v>NDI-5503-A</v>
      </c>
      <c r="B5507" s="403" t="s">
        <v>1426</v>
      </c>
      <c r="C5507" s="403" t="s">
        <v>582</v>
      </c>
      <c r="D5507" s="403" t="s">
        <v>1427</v>
      </c>
      <c r="E5507" s="403" t="s">
        <v>778</v>
      </c>
      <c r="F5507" s="403" t="s">
        <v>1382</v>
      </c>
      <c r="G5507" s="403" t="s">
        <v>1467</v>
      </c>
      <c r="H5507" s="403" t="s">
        <v>1281</v>
      </c>
      <c r="I5507" s="403">
        <v>1</v>
      </c>
      <c r="J5507" s="403" t="s">
        <v>1376</v>
      </c>
      <c r="K5507" s="403">
        <v>1728</v>
      </c>
      <c r="L5507" s="403">
        <v>3072</v>
      </c>
      <c r="M5507" s="403" t="s">
        <v>1279</v>
      </c>
      <c r="N5507" s="403">
        <v>432</v>
      </c>
      <c r="O5507" s="403">
        <v>768</v>
      </c>
      <c r="P5507" t="str">
        <f t="shared" si="689"/>
        <v>30fps 3072x1728 - SD ROI PTZ</v>
      </c>
      <c r="Q5507">
        <f t="shared" si="690"/>
        <v>24</v>
      </c>
      <c r="R5507" t="str">
        <f t="shared" si="691"/>
        <v/>
      </c>
      <c r="S5507" t="str">
        <f t="shared" si="692"/>
        <v/>
      </c>
      <c r="T5507" s="403" t="str">
        <f t="shared" si="693"/>
        <v>NDI-5503-A</v>
      </c>
      <c r="U5507" s="403">
        <f t="shared" si="694"/>
        <v>1</v>
      </c>
      <c r="V5507" s="403" t="str">
        <f t="shared" si="695"/>
        <v>CPP_7_3</v>
      </c>
    </row>
    <row r="5508" spans="1:22">
      <c r="A5508" t="str">
        <f t="shared" si="688"/>
        <v>NDI-5503-A</v>
      </c>
      <c r="B5508" s="403" t="s">
        <v>1426</v>
      </c>
      <c r="C5508" s="403" t="s">
        <v>582</v>
      </c>
      <c r="D5508" s="403" t="s">
        <v>1427</v>
      </c>
      <c r="E5508" s="403" t="s">
        <v>778</v>
      </c>
      <c r="F5508" s="403" t="s">
        <v>1382</v>
      </c>
      <c r="G5508" s="403" t="s">
        <v>1467</v>
      </c>
      <c r="H5508" s="403" t="s">
        <v>1281</v>
      </c>
      <c r="I5508" s="403">
        <v>1</v>
      </c>
      <c r="J5508" s="403" t="s">
        <v>1376</v>
      </c>
      <c r="K5508" s="403">
        <v>1728</v>
      </c>
      <c r="L5508" s="403">
        <v>3072</v>
      </c>
      <c r="M5508" s="403" t="s">
        <v>1284</v>
      </c>
      <c r="N5508" s="403">
        <v>480</v>
      </c>
      <c r="O5508" s="403">
        <v>640</v>
      </c>
      <c r="P5508" t="str">
        <f t="shared" si="689"/>
        <v>30fps 3072x1728 - SD VGA (cropped)</v>
      </c>
      <c r="Q5508">
        <f t="shared" si="690"/>
        <v>24</v>
      </c>
      <c r="R5508" t="str">
        <f t="shared" si="691"/>
        <v/>
      </c>
      <c r="S5508" t="str">
        <f t="shared" si="692"/>
        <v/>
      </c>
      <c r="T5508" s="403" t="str">
        <f t="shared" si="693"/>
        <v>NDI-5503-A</v>
      </c>
      <c r="U5508" s="403">
        <f t="shared" si="694"/>
        <v>1</v>
      </c>
      <c r="V5508" s="403" t="str">
        <f t="shared" si="695"/>
        <v>CPP_7_3</v>
      </c>
    </row>
    <row r="5509" spans="1:22">
      <c r="A5509" t="str">
        <f t="shared" si="688"/>
        <v>NDI-5503-A</v>
      </c>
      <c r="B5509" s="403" t="s">
        <v>1426</v>
      </c>
      <c r="C5509" s="403" t="s">
        <v>582</v>
      </c>
      <c r="D5509" s="403" t="s">
        <v>1427</v>
      </c>
      <c r="E5509" s="403" t="s">
        <v>778</v>
      </c>
      <c r="F5509" s="403" t="s">
        <v>1382</v>
      </c>
      <c r="G5509" s="403" t="s">
        <v>1467</v>
      </c>
      <c r="H5509" s="403" t="s">
        <v>1281</v>
      </c>
      <c r="I5509" s="403">
        <v>1</v>
      </c>
      <c r="J5509" s="403" t="s">
        <v>1376</v>
      </c>
      <c r="K5509" s="403">
        <v>1728</v>
      </c>
      <c r="L5509" s="403">
        <v>3072</v>
      </c>
      <c r="M5509" s="403" t="s">
        <v>1285</v>
      </c>
      <c r="N5509" s="403">
        <v>1024</v>
      </c>
      <c r="O5509" s="403">
        <v>1280</v>
      </c>
      <c r="P5509" t="str">
        <f t="shared" si="689"/>
        <v>30fps 3072x1728 - 1280x1024 5:4 (cropped)</v>
      </c>
      <c r="Q5509">
        <f t="shared" si="690"/>
        <v>24</v>
      </c>
      <c r="R5509" t="str">
        <f t="shared" si="691"/>
        <v/>
      </c>
      <c r="S5509" t="str">
        <f t="shared" si="692"/>
        <v/>
      </c>
      <c r="T5509" s="403" t="str">
        <f t="shared" si="693"/>
        <v>NDI-5503-A</v>
      </c>
      <c r="U5509" s="403">
        <f t="shared" si="694"/>
        <v>1</v>
      </c>
      <c r="V5509" s="403" t="str">
        <f t="shared" si="695"/>
        <v>CPP_7_3</v>
      </c>
    </row>
    <row r="5510" spans="1:22">
      <c r="A5510" t="str">
        <f t="shared" si="688"/>
        <v>NDI-5503-A</v>
      </c>
      <c r="B5510" s="403" t="s">
        <v>1426</v>
      </c>
      <c r="C5510" s="403" t="s">
        <v>582</v>
      </c>
      <c r="D5510" s="403" t="s">
        <v>1427</v>
      </c>
      <c r="E5510" s="403" t="s">
        <v>778</v>
      </c>
      <c r="F5510" s="403" t="s">
        <v>1382</v>
      </c>
      <c r="G5510" s="403" t="s">
        <v>1467</v>
      </c>
      <c r="H5510" s="403" t="s">
        <v>1281</v>
      </c>
      <c r="I5510" s="403">
        <v>1</v>
      </c>
      <c r="J5510" s="403" t="s">
        <v>1373</v>
      </c>
      <c r="K5510" s="403">
        <v>1512</v>
      </c>
      <c r="L5510" s="403">
        <v>2688</v>
      </c>
      <c r="M5510" s="403" t="s">
        <v>110</v>
      </c>
      <c r="N5510" s="403">
        <v>1080</v>
      </c>
      <c r="O5510" s="403">
        <v>1920</v>
      </c>
      <c r="P5510" t="str">
        <f t="shared" si="689"/>
        <v>30fps 2688x1512 - 1080p</v>
      </c>
      <c r="Q5510">
        <f t="shared" si="690"/>
        <v>24</v>
      </c>
      <c r="R5510" t="str">
        <f t="shared" si="691"/>
        <v/>
      </c>
      <c r="S5510" t="str">
        <f t="shared" si="692"/>
        <v/>
      </c>
      <c r="T5510" s="403" t="str">
        <f t="shared" si="693"/>
        <v>NDI-5503-A</v>
      </c>
      <c r="U5510" s="403">
        <f t="shared" si="694"/>
        <v>1</v>
      </c>
      <c r="V5510" s="403" t="str">
        <f t="shared" si="695"/>
        <v>CPP_7_3</v>
      </c>
    </row>
    <row r="5511" spans="1:22">
      <c r="A5511" t="str">
        <f t="shared" si="688"/>
        <v>NDI-5503-A</v>
      </c>
      <c r="B5511" s="403" t="s">
        <v>1426</v>
      </c>
      <c r="C5511" s="403" t="s">
        <v>582</v>
      </c>
      <c r="D5511" s="403" t="s">
        <v>1427</v>
      </c>
      <c r="E5511" s="403" t="s">
        <v>778</v>
      </c>
      <c r="F5511" s="403" t="s">
        <v>1382</v>
      </c>
      <c r="G5511" s="403" t="s">
        <v>1467</v>
      </c>
      <c r="H5511" s="403" t="s">
        <v>1281</v>
      </c>
      <c r="I5511" s="403">
        <v>1</v>
      </c>
      <c r="J5511" s="403" t="s">
        <v>1373</v>
      </c>
      <c r="K5511" s="403">
        <v>1512</v>
      </c>
      <c r="L5511" s="403">
        <v>2688</v>
      </c>
      <c r="M5511" s="403" t="s">
        <v>1384</v>
      </c>
      <c r="N5511" s="403">
        <v>1512</v>
      </c>
      <c r="O5511" s="403">
        <v>2688</v>
      </c>
      <c r="P5511" t="str">
        <f t="shared" si="689"/>
        <v>30fps 2688x1512 - 2688x1512 @ SKIP 2</v>
      </c>
      <c r="Q5511">
        <f t="shared" si="690"/>
        <v>24</v>
      </c>
      <c r="R5511" t="str">
        <f t="shared" si="691"/>
        <v/>
      </c>
      <c r="S5511" t="str">
        <f t="shared" si="692"/>
        <v/>
      </c>
      <c r="T5511" s="403" t="str">
        <f t="shared" si="693"/>
        <v>NDI-5503-A</v>
      </c>
      <c r="U5511" s="403">
        <f t="shared" si="694"/>
        <v>1</v>
      </c>
      <c r="V5511" s="403" t="str">
        <f t="shared" si="695"/>
        <v>CPP_7_3</v>
      </c>
    </row>
    <row r="5512" spans="1:22">
      <c r="A5512" t="str">
        <f t="shared" si="688"/>
        <v>NDI-5503-A</v>
      </c>
      <c r="B5512" s="403" t="s">
        <v>1426</v>
      </c>
      <c r="C5512" s="403" t="s">
        <v>582</v>
      </c>
      <c r="D5512" s="403" t="s">
        <v>1427</v>
      </c>
      <c r="E5512" s="403" t="s">
        <v>778</v>
      </c>
      <c r="F5512" s="403" t="s">
        <v>1382</v>
      </c>
      <c r="G5512" s="403" t="s">
        <v>1467</v>
      </c>
      <c r="H5512" s="403" t="s">
        <v>1281</v>
      </c>
      <c r="I5512" s="403">
        <v>1</v>
      </c>
      <c r="J5512" s="403" t="s">
        <v>1373</v>
      </c>
      <c r="K5512" s="403">
        <v>1512</v>
      </c>
      <c r="L5512" s="403">
        <v>2688</v>
      </c>
      <c r="M5512" s="403" t="s">
        <v>109</v>
      </c>
      <c r="N5512" s="403">
        <v>720</v>
      </c>
      <c r="O5512" s="403">
        <v>1280</v>
      </c>
      <c r="P5512" t="str">
        <f t="shared" si="689"/>
        <v>30fps 2688x1512 - 720p</v>
      </c>
      <c r="Q5512">
        <f t="shared" si="690"/>
        <v>24</v>
      </c>
      <c r="R5512" t="str">
        <f t="shared" si="691"/>
        <v/>
      </c>
      <c r="S5512" t="str">
        <f t="shared" si="692"/>
        <v/>
      </c>
      <c r="T5512" s="403" t="str">
        <f t="shared" si="693"/>
        <v>NDI-5503-A</v>
      </c>
      <c r="U5512" s="403">
        <f t="shared" si="694"/>
        <v>1</v>
      </c>
      <c r="V5512" s="403" t="str">
        <f t="shared" si="695"/>
        <v>CPP_7_3</v>
      </c>
    </row>
    <row r="5513" spans="1:22">
      <c r="A5513" t="str">
        <f t="shared" si="688"/>
        <v>NDI-5503-A</v>
      </c>
      <c r="B5513" s="403" t="s">
        <v>1426</v>
      </c>
      <c r="C5513" s="403" t="s">
        <v>582</v>
      </c>
      <c r="D5513" s="403" t="s">
        <v>1427</v>
      </c>
      <c r="E5513" s="403" t="s">
        <v>778</v>
      </c>
      <c r="F5513" s="403" t="s">
        <v>1382</v>
      </c>
      <c r="G5513" s="403" t="s">
        <v>1467</v>
      </c>
      <c r="H5513" s="403" t="s">
        <v>1281</v>
      </c>
      <c r="I5513" s="403">
        <v>1</v>
      </c>
      <c r="J5513" s="403" t="s">
        <v>1373</v>
      </c>
      <c r="K5513" s="403">
        <v>1512</v>
      </c>
      <c r="L5513" s="403">
        <v>2688</v>
      </c>
      <c r="M5513" s="403" t="s">
        <v>111</v>
      </c>
      <c r="N5513" s="403">
        <v>432</v>
      </c>
      <c r="O5513" s="403">
        <v>768</v>
      </c>
      <c r="P5513" t="str">
        <f t="shared" si="689"/>
        <v>30fps 2688x1512 - SD</v>
      </c>
      <c r="Q5513">
        <f t="shared" si="690"/>
        <v>24</v>
      </c>
      <c r="R5513" t="str">
        <f t="shared" si="691"/>
        <v/>
      </c>
      <c r="S5513" t="str">
        <f t="shared" si="692"/>
        <v/>
      </c>
      <c r="T5513" s="403" t="str">
        <f t="shared" si="693"/>
        <v>NDI-5503-A</v>
      </c>
      <c r="U5513" s="403">
        <f t="shared" si="694"/>
        <v>1</v>
      </c>
      <c r="V5513" s="403" t="str">
        <f t="shared" si="695"/>
        <v>CPP_7_3</v>
      </c>
    </row>
    <row r="5514" spans="1:22">
      <c r="A5514" t="str">
        <f t="shared" si="688"/>
        <v>NDI-5503-A</v>
      </c>
      <c r="B5514" s="403" t="s">
        <v>1426</v>
      </c>
      <c r="C5514" s="403" t="s">
        <v>582</v>
      </c>
      <c r="D5514" s="403" t="s">
        <v>1427</v>
      </c>
      <c r="E5514" s="403" t="s">
        <v>778</v>
      </c>
      <c r="F5514" s="403" t="s">
        <v>1382</v>
      </c>
      <c r="G5514" s="403" t="s">
        <v>1467</v>
      </c>
      <c r="H5514" s="403" t="s">
        <v>1281</v>
      </c>
      <c r="I5514" s="403">
        <v>1</v>
      </c>
      <c r="J5514" s="403" t="s">
        <v>1373</v>
      </c>
      <c r="K5514" s="403">
        <v>1512</v>
      </c>
      <c r="L5514" s="403">
        <v>2688</v>
      </c>
      <c r="M5514" s="403" t="s">
        <v>1279</v>
      </c>
      <c r="N5514" s="403">
        <v>432</v>
      </c>
      <c r="O5514" s="403">
        <v>768</v>
      </c>
      <c r="P5514" t="str">
        <f t="shared" si="689"/>
        <v>30fps 2688x1512 - SD ROI PTZ</v>
      </c>
      <c r="Q5514">
        <f t="shared" si="690"/>
        <v>24</v>
      </c>
      <c r="R5514" t="str">
        <f t="shared" si="691"/>
        <v/>
      </c>
      <c r="S5514" t="str">
        <f t="shared" si="692"/>
        <v/>
      </c>
      <c r="T5514" s="403" t="str">
        <f t="shared" si="693"/>
        <v>NDI-5503-A</v>
      </c>
      <c r="U5514" s="403">
        <f t="shared" si="694"/>
        <v>1</v>
      </c>
      <c r="V5514" s="403" t="str">
        <f t="shared" si="695"/>
        <v>CPP_7_3</v>
      </c>
    </row>
    <row r="5515" spans="1:22">
      <c r="A5515" t="str">
        <f t="shared" si="688"/>
        <v>NDI-5503-A</v>
      </c>
      <c r="B5515" s="403" t="s">
        <v>1426</v>
      </c>
      <c r="C5515" s="403" t="s">
        <v>582</v>
      </c>
      <c r="D5515" s="403" t="s">
        <v>1427</v>
      </c>
      <c r="E5515" s="403" t="s">
        <v>778</v>
      </c>
      <c r="F5515" s="403" t="s">
        <v>1382</v>
      </c>
      <c r="G5515" s="403" t="s">
        <v>1467</v>
      </c>
      <c r="H5515" s="403" t="s">
        <v>1281</v>
      </c>
      <c r="I5515" s="403">
        <v>1</v>
      </c>
      <c r="J5515" s="403" t="s">
        <v>1373</v>
      </c>
      <c r="K5515" s="403">
        <v>1512</v>
      </c>
      <c r="L5515" s="403">
        <v>2688</v>
      </c>
      <c r="M5515" s="403" t="s">
        <v>1285</v>
      </c>
      <c r="N5515" s="403">
        <v>1024</v>
      </c>
      <c r="O5515" s="403">
        <v>1280</v>
      </c>
      <c r="P5515" t="str">
        <f t="shared" si="689"/>
        <v>30fps 2688x1512 - 1280x1024 5:4 (cropped)</v>
      </c>
      <c r="Q5515">
        <f t="shared" si="690"/>
        <v>24</v>
      </c>
      <c r="R5515" t="str">
        <f t="shared" si="691"/>
        <v/>
      </c>
      <c r="S5515" t="str">
        <f t="shared" si="692"/>
        <v/>
      </c>
      <c r="T5515" s="403" t="str">
        <f t="shared" si="693"/>
        <v>NDI-5503-A</v>
      </c>
      <c r="U5515" s="403">
        <f t="shared" si="694"/>
        <v>1</v>
      </c>
      <c r="V5515" s="403" t="str">
        <f t="shared" si="695"/>
        <v>CPP_7_3</v>
      </c>
    </row>
    <row r="5516" spans="1:22">
      <c r="A5516" t="str">
        <f t="shared" si="688"/>
        <v>NDI-5503-A</v>
      </c>
      <c r="B5516" s="403" t="s">
        <v>1426</v>
      </c>
      <c r="C5516" s="403" t="s">
        <v>582</v>
      </c>
      <c r="D5516" s="403" t="s">
        <v>1427</v>
      </c>
      <c r="E5516" s="403" t="s">
        <v>778</v>
      </c>
      <c r="F5516" s="403" t="s">
        <v>1382</v>
      </c>
      <c r="G5516" s="403" t="s">
        <v>1467</v>
      </c>
      <c r="H5516" s="403" t="s">
        <v>1281</v>
      </c>
      <c r="I5516" s="403">
        <v>1</v>
      </c>
      <c r="J5516" s="403" t="s">
        <v>1373</v>
      </c>
      <c r="K5516" s="403">
        <v>1512</v>
      </c>
      <c r="L5516" s="403">
        <v>2688</v>
      </c>
      <c r="M5516" s="403" t="s">
        <v>1283</v>
      </c>
      <c r="N5516" s="403">
        <v>480</v>
      </c>
      <c r="O5516" s="403">
        <v>720</v>
      </c>
      <c r="P5516" t="str">
        <f t="shared" si="689"/>
        <v>30fps 2688x1512 - SD 4CIF resolution 4:3 format (cropped)</v>
      </c>
      <c r="Q5516">
        <f t="shared" si="690"/>
        <v>24</v>
      </c>
      <c r="R5516" t="str">
        <f t="shared" si="691"/>
        <v/>
      </c>
      <c r="S5516" t="str">
        <f t="shared" si="692"/>
        <v/>
      </c>
      <c r="T5516" s="403" t="str">
        <f t="shared" si="693"/>
        <v>NDI-5503-A</v>
      </c>
      <c r="U5516" s="403">
        <f t="shared" si="694"/>
        <v>1</v>
      </c>
      <c r="V5516" s="403" t="str">
        <f t="shared" si="695"/>
        <v>CPP_7_3</v>
      </c>
    </row>
    <row r="5517" spans="1:22">
      <c r="A5517" t="str">
        <f t="shared" si="688"/>
        <v>NDI-5503-A</v>
      </c>
      <c r="B5517" s="403" t="s">
        <v>1426</v>
      </c>
      <c r="C5517" s="403" t="s">
        <v>582</v>
      </c>
      <c r="D5517" s="403" t="s">
        <v>1427</v>
      </c>
      <c r="E5517" s="403" t="s">
        <v>778</v>
      </c>
      <c r="F5517" s="403" t="s">
        <v>1382</v>
      </c>
      <c r="G5517" s="403" t="s">
        <v>1467</v>
      </c>
      <c r="H5517" s="403" t="s">
        <v>1281</v>
      </c>
      <c r="I5517" s="403">
        <v>1</v>
      </c>
      <c r="J5517" s="403" t="s">
        <v>1373</v>
      </c>
      <c r="K5517" s="403">
        <v>1512</v>
      </c>
      <c r="L5517" s="403">
        <v>2688</v>
      </c>
      <c r="M5517" s="403" t="s">
        <v>1284</v>
      </c>
      <c r="N5517" s="403">
        <v>480</v>
      </c>
      <c r="O5517" s="403">
        <v>640</v>
      </c>
      <c r="P5517" t="str">
        <f t="shared" si="689"/>
        <v>30fps 2688x1512 - SD VGA (cropped)</v>
      </c>
      <c r="Q5517">
        <f t="shared" si="690"/>
        <v>24</v>
      </c>
      <c r="R5517" t="str">
        <f t="shared" si="691"/>
        <v/>
      </c>
      <c r="S5517" t="str">
        <f t="shared" si="692"/>
        <v/>
      </c>
      <c r="T5517" s="403" t="str">
        <f t="shared" si="693"/>
        <v>NDI-5503-A</v>
      </c>
      <c r="U5517" s="403">
        <f t="shared" si="694"/>
        <v>1</v>
      </c>
      <c r="V5517" s="403" t="str">
        <f t="shared" si="695"/>
        <v>CPP_7_3</v>
      </c>
    </row>
    <row r="5518" spans="1:22">
      <c r="A5518" t="str">
        <f t="shared" si="688"/>
        <v>NDI-5503-A</v>
      </c>
      <c r="B5518" s="403" t="s">
        <v>1426</v>
      </c>
      <c r="C5518" s="403" t="s">
        <v>582</v>
      </c>
      <c r="D5518" s="403" t="s">
        <v>1427</v>
      </c>
      <c r="E5518" s="403" t="s">
        <v>778</v>
      </c>
      <c r="F5518" s="403" t="s">
        <v>1382</v>
      </c>
      <c r="G5518" s="403" t="s">
        <v>1467</v>
      </c>
      <c r="H5518" s="403" t="s">
        <v>1281</v>
      </c>
      <c r="I5518" s="403">
        <v>1</v>
      </c>
      <c r="J5518" s="403" t="s">
        <v>1373</v>
      </c>
      <c r="K5518" s="403">
        <v>1512</v>
      </c>
      <c r="L5518" s="403">
        <v>2688</v>
      </c>
      <c r="M5518" s="403" t="s">
        <v>1280</v>
      </c>
      <c r="N5518" s="403">
        <v>1512</v>
      </c>
      <c r="O5518" s="403">
        <v>2688</v>
      </c>
      <c r="P5518" t="str">
        <f t="shared" si="689"/>
        <v>30fps 2688x1512 - copy other stream</v>
      </c>
      <c r="Q5518">
        <f t="shared" si="690"/>
        <v>24</v>
      </c>
      <c r="R5518" t="str">
        <f t="shared" si="691"/>
        <v/>
      </c>
      <c r="S5518" t="str">
        <f t="shared" si="692"/>
        <v/>
      </c>
      <c r="T5518" s="403" t="str">
        <f t="shared" si="693"/>
        <v>NDI-5503-A</v>
      </c>
      <c r="U5518" s="403">
        <f t="shared" si="694"/>
        <v>1</v>
      </c>
      <c r="V5518" s="403" t="str">
        <f t="shared" si="695"/>
        <v>CPP_7_3</v>
      </c>
    </row>
    <row r="5519" spans="1:22">
      <c r="A5519" t="str">
        <f t="shared" si="688"/>
        <v>NDI-5503-A</v>
      </c>
      <c r="B5519" s="403" t="s">
        <v>1426</v>
      </c>
      <c r="C5519" s="403" t="s">
        <v>582</v>
      </c>
      <c r="D5519" s="403" t="s">
        <v>1427</v>
      </c>
      <c r="E5519" s="403" t="s">
        <v>778</v>
      </c>
      <c r="F5519" s="403" t="s">
        <v>1382</v>
      </c>
      <c r="G5519" s="403" t="s">
        <v>1467</v>
      </c>
      <c r="H5519" s="403" t="s">
        <v>1281</v>
      </c>
      <c r="I5519" s="403">
        <v>1</v>
      </c>
      <c r="J5519" s="403" t="s">
        <v>1374</v>
      </c>
      <c r="K5519" s="403">
        <v>1296</v>
      </c>
      <c r="L5519" s="403">
        <v>2304</v>
      </c>
      <c r="M5519" s="403" t="s">
        <v>110</v>
      </c>
      <c r="N5519" s="403">
        <v>1080</v>
      </c>
      <c r="O5519" s="403">
        <v>1920</v>
      </c>
      <c r="P5519" t="str">
        <f t="shared" si="689"/>
        <v>30fps 2304x1296 - 1080p</v>
      </c>
      <c r="Q5519">
        <f t="shared" si="690"/>
        <v>24</v>
      </c>
      <c r="R5519" t="str">
        <f t="shared" si="691"/>
        <v/>
      </c>
      <c r="S5519" t="str">
        <f t="shared" si="692"/>
        <v/>
      </c>
      <c r="T5519" s="403" t="str">
        <f t="shared" si="693"/>
        <v>NDI-5503-A</v>
      </c>
      <c r="U5519" s="403">
        <f t="shared" si="694"/>
        <v>1</v>
      </c>
      <c r="V5519" s="403" t="str">
        <f t="shared" si="695"/>
        <v>CPP_7_3</v>
      </c>
    </row>
    <row r="5520" spans="1:22">
      <c r="A5520" t="str">
        <f t="shared" si="688"/>
        <v>NDI-5503-A</v>
      </c>
      <c r="B5520" s="403" t="s">
        <v>1426</v>
      </c>
      <c r="C5520" s="403" t="s">
        <v>582</v>
      </c>
      <c r="D5520" s="403" t="s">
        <v>1427</v>
      </c>
      <c r="E5520" s="403" t="s">
        <v>778</v>
      </c>
      <c r="F5520" s="403" t="s">
        <v>1382</v>
      </c>
      <c r="G5520" s="403" t="s">
        <v>1467</v>
      </c>
      <c r="H5520" s="403" t="s">
        <v>1281</v>
      </c>
      <c r="I5520" s="403">
        <v>1</v>
      </c>
      <c r="J5520" s="403" t="s">
        <v>1374</v>
      </c>
      <c r="K5520" s="403">
        <v>1296</v>
      </c>
      <c r="L5520" s="403">
        <v>2304</v>
      </c>
      <c r="M5520" s="403" t="s">
        <v>1374</v>
      </c>
      <c r="N5520" s="403">
        <v>1296</v>
      </c>
      <c r="O5520" s="403">
        <v>2304</v>
      </c>
      <c r="P5520" t="str">
        <f t="shared" si="689"/>
        <v>30fps 2304x1296 - 2304x1296</v>
      </c>
      <c r="Q5520">
        <f t="shared" si="690"/>
        <v>24</v>
      </c>
      <c r="R5520" t="str">
        <f t="shared" si="691"/>
        <v/>
      </c>
      <c r="S5520" t="str">
        <f t="shared" si="692"/>
        <v/>
      </c>
      <c r="T5520" s="403" t="str">
        <f t="shared" si="693"/>
        <v>NDI-5503-A</v>
      </c>
      <c r="U5520" s="403">
        <f t="shared" si="694"/>
        <v>1</v>
      </c>
      <c r="V5520" s="403" t="str">
        <f t="shared" si="695"/>
        <v>CPP_7_3</v>
      </c>
    </row>
    <row r="5521" spans="1:22">
      <c r="A5521" t="str">
        <f t="shared" si="688"/>
        <v>NDI-5503-A</v>
      </c>
      <c r="B5521" s="403" t="s">
        <v>1426</v>
      </c>
      <c r="C5521" s="403" t="s">
        <v>582</v>
      </c>
      <c r="D5521" s="403" t="s">
        <v>1427</v>
      </c>
      <c r="E5521" s="403" t="s">
        <v>778</v>
      </c>
      <c r="F5521" s="403" t="s">
        <v>1382</v>
      </c>
      <c r="G5521" s="403" t="s">
        <v>1467</v>
      </c>
      <c r="H5521" s="403" t="s">
        <v>1281</v>
      </c>
      <c r="I5521" s="403">
        <v>1</v>
      </c>
      <c r="J5521" s="403" t="s">
        <v>1374</v>
      </c>
      <c r="K5521" s="403">
        <v>1296</v>
      </c>
      <c r="L5521" s="403">
        <v>2304</v>
      </c>
      <c r="M5521" s="403" t="s">
        <v>109</v>
      </c>
      <c r="N5521" s="403">
        <v>720</v>
      </c>
      <c r="O5521" s="403">
        <v>1280</v>
      </c>
      <c r="P5521" t="str">
        <f t="shared" si="689"/>
        <v>30fps 2304x1296 - 720p</v>
      </c>
      <c r="Q5521">
        <f t="shared" si="690"/>
        <v>24</v>
      </c>
      <c r="R5521" t="str">
        <f t="shared" si="691"/>
        <v/>
      </c>
      <c r="S5521" t="str">
        <f t="shared" si="692"/>
        <v/>
      </c>
      <c r="T5521" s="403" t="str">
        <f t="shared" si="693"/>
        <v>NDI-5503-A</v>
      </c>
      <c r="U5521" s="403">
        <f t="shared" si="694"/>
        <v>1</v>
      </c>
      <c r="V5521" s="403" t="str">
        <f t="shared" si="695"/>
        <v>CPP_7_3</v>
      </c>
    </row>
    <row r="5522" spans="1:22">
      <c r="A5522" t="str">
        <f t="shared" si="688"/>
        <v>NDI-5503-A</v>
      </c>
      <c r="B5522" s="403" t="s">
        <v>1426</v>
      </c>
      <c r="C5522" s="403" t="s">
        <v>582</v>
      </c>
      <c r="D5522" s="403" t="s">
        <v>1427</v>
      </c>
      <c r="E5522" s="403" t="s">
        <v>778</v>
      </c>
      <c r="F5522" s="403" t="s">
        <v>1382</v>
      </c>
      <c r="G5522" s="403" t="s">
        <v>1467</v>
      </c>
      <c r="H5522" s="403" t="s">
        <v>1281</v>
      </c>
      <c r="I5522" s="403">
        <v>1</v>
      </c>
      <c r="J5522" s="403" t="s">
        <v>1374</v>
      </c>
      <c r="K5522" s="403">
        <v>1296</v>
      </c>
      <c r="L5522" s="403">
        <v>2304</v>
      </c>
      <c r="M5522" s="403" t="s">
        <v>111</v>
      </c>
      <c r="N5522" s="403">
        <v>432</v>
      </c>
      <c r="O5522" s="403">
        <v>768</v>
      </c>
      <c r="P5522" t="str">
        <f t="shared" si="689"/>
        <v>30fps 2304x1296 - SD</v>
      </c>
      <c r="Q5522">
        <f t="shared" si="690"/>
        <v>24</v>
      </c>
      <c r="R5522" t="str">
        <f t="shared" si="691"/>
        <v/>
      </c>
      <c r="S5522" t="str">
        <f t="shared" si="692"/>
        <v/>
      </c>
      <c r="T5522" s="403" t="str">
        <f t="shared" si="693"/>
        <v>NDI-5503-A</v>
      </c>
      <c r="U5522" s="403">
        <f t="shared" si="694"/>
        <v>1</v>
      </c>
      <c r="V5522" s="403" t="str">
        <f t="shared" si="695"/>
        <v>CPP_7_3</v>
      </c>
    </row>
    <row r="5523" spans="1:22">
      <c r="A5523" t="str">
        <f t="shared" si="688"/>
        <v>NDI-5503-A</v>
      </c>
      <c r="B5523" s="403" t="s">
        <v>1426</v>
      </c>
      <c r="C5523" s="403" t="s">
        <v>582</v>
      </c>
      <c r="D5523" s="403" t="s">
        <v>1427</v>
      </c>
      <c r="E5523" s="403" t="s">
        <v>778</v>
      </c>
      <c r="F5523" s="403" t="s">
        <v>1382</v>
      </c>
      <c r="G5523" s="403" t="s">
        <v>1467</v>
      </c>
      <c r="H5523" s="403" t="s">
        <v>1281</v>
      </c>
      <c r="I5523" s="403">
        <v>1</v>
      </c>
      <c r="J5523" s="403" t="s">
        <v>1374</v>
      </c>
      <c r="K5523" s="403">
        <v>1296</v>
      </c>
      <c r="L5523" s="403">
        <v>2304</v>
      </c>
      <c r="M5523" s="403" t="s">
        <v>1279</v>
      </c>
      <c r="N5523" s="403">
        <v>432</v>
      </c>
      <c r="O5523" s="403">
        <v>768</v>
      </c>
      <c r="P5523" t="str">
        <f t="shared" si="689"/>
        <v>30fps 2304x1296 - SD ROI PTZ</v>
      </c>
      <c r="Q5523">
        <f t="shared" si="690"/>
        <v>24</v>
      </c>
      <c r="R5523" t="str">
        <f t="shared" si="691"/>
        <v/>
      </c>
      <c r="S5523" t="str">
        <f t="shared" si="692"/>
        <v/>
      </c>
      <c r="T5523" s="403" t="str">
        <f t="shared" si="693"/>
        <v>NDI-5503-A</v>
      </c>
      <c r="U5523" s="403">
        <f t="shared" si="694"/>
        <v>1</v>
      </c>
      <c r="V5523" s="403" t="str">
        <f t="shared" si="695"/>
        <v>CPP_7_3</v>
      </c>
    </row>
    <row r="5524" spans="1:22">
      <c r="A5524" t="str">
        <f t="shared" si="688"/>
        <v>NDI-5503-A</v>
      </c>
      <c r="B5524" s="403" t="s">
        <v>1426</v>
      </c>
      <c r="C5524" s="403" t="s">
        <v>582</v>
      </c>
      <c r="D5524" s="403" t="s">
        <v>1427</v>
      </c>
      <c r="E5524" s="403" t="s">
        <v>778</v>
      </c>
      <c r="F5524" s="403" t="s">
        <v>1382</v>
      </c>
      <c r="G5524" s="403" t="s">
        <v>1467</v>
      </c>
      <c r="H5524" s="403" t="s">
        <v>1281</v>
      </c>
      <c r="I5524" s="403">
        <v>1</v>
      </c>
      <c r="J5524" s="403" t="s">
        <v>1374</v>
      </c>
      <c r="K5524" s="403">
        <v>1296</v>
      </c>
      <c r="L5524" s="403">
        <v>2304</v>
      </c>
      <c r="M5524" s="403" t="s">
        <v>1285</v>
      </c>
      <c r="N5524" s="403">
        <v>1024</v>
      </c>
      <c r="O5524" s="403">
        <v>1280</v>
      </c>
      <c r="P5524" t="str">
        <f t="shared" si="689"/>
        <v>30fps 2304x1296 - 1280x1024 5:4 (cropped)</v>
      </c>
      <c r="Q5524">
        <f t="shared" si="690"/>
        <v>24</v>
      </c>
      <c r="R5524" t="str">
        <f t="shared" si="691"/>
        <v/>
      </c>
      <c r="S5524" t="str">
        <f t="shared" si="692"/>
        <v/>
      </c>
      <c r="T5524" s="403" t="str">
        <f t="shared" si="693"/>
        <v>NDI-5503-A</v>
      </c>
      <c r="U5524" s="403">
        <f t="shared" si="694"/>
        <v>1</v>
      </c>
      <c r="V5524" s="403" t="str">
        <f t="shared" si="695"/>
        <v>CPP_7_3</v>
      </c>
    </row>
    <row r="5525" spans="1:22">
      <c r="A5525" t="str">
        <f t="shared" si="688"/>
        <v>NDI-5503-A</v>
      </c>
      <c r="B5525" s="403" t="s">
        <v>1426</v>
      </c>
      <c r="C5525" s="403" t="s">
        <v>582</v>
      </c>
      <c r="D5525" s="403" t="s">
        <v>1427</v>
      </c>
      <c r="E5525" s="403" t="s">
        <v>778</v>
      </c>
      <c r="F5525" s="403" t="s">
        <v>1382</v>
      </c>
      <c r="G5525" s="403" t="s">
        <v>1467</v>
      </c>
      <c r="H5525" s="403" t="s">
        <v>1281</v>
      </c>
      <c r="I5525" s="403">
        <v>1</v>
      </c>
      <c r="J5525" s="403" t="s">
        <v>1374</v>
      </c>
      <c r="K5525" s="403">
        <v>1296</v>
      </c>
      <c r="L5525" s="403">
        <v>2304</v>
      </c>
      <c r="M5525" s="403" t="s">
        <v>1283</v>
      </c>
      <c r="N5525" s="403">
        <v>480</v>
      </c>
      <c r="O5525" s="403">
        <v>720</v>
      </c>
      <c r="P5525" t="str">
        <f t="shared" si="689"/>
        <v>30fps 2304x1296 - SD 4CIF resolution 4:3 format (cropped)</v>
      </c>
      <c r="Q5525">
        <f t="shared" si="690"/>
        <v>24</v>
      </c>
      <c r="R5525" t="str">
        <f t="shared" si="691"/>
        <v/>
      </c>
      <c r="S5525" t="str">
        <f t="shared" si="692"/>
        <v/>
      </c>
      <c r="T5525" s="403" t="str">
        <f t="shared" si="693"/>
        <v>NDI-5503-A</v>
      </c>
      <c r="U5525" s="403">
        <f t="shared" si="694"/>
        <v>1</v>
      </c>
      <c r="V5525" s="403" t="str">
        <f t="shared" si="695"/>
        <v>CPP_7_3</v>
      </c>
    </row>
    <row r="5526" spans="1:22">
      <c r="A5526" t="str">
        <f t="shared" si="688"/>
        <v>NDI-5503-A</v>
      </c>
      <c r="B5526" s="403" t="s">
        <v>1426</v>
      </c>
      <c r="C5526" s="403" t="s">
        <v>582</v>
      </c>
      <c r="D5526" s="403" t="s">
        <v>1427</v>
      </c>
      <c r="E5526" s="403" t="s">
        <v>778</v>
      </c>
      <c r="F5526" s="403" t="s">
        <v>1382</v>
      </c>
      <c r="G5526" s="403" t="s">
        <v>1467</v>
      </c>
      <c r="H5526" s="403" t="s">
        <v>1281</v>
      </c>
      <c r="I5526" s="403">
        <v>1</v>
      </c>
      <c r="J5526" s="403" t="s">
        <v>1374</v>
      </c>
      <c r="K5526" s="403">
        <v>1296</v>
      </c>
      <c r="L5526" s="403">
        <v>2304</v>
      </c>
      <c r="M5526" s="403" t="s">
        <v>1284</v>
      </c>
      <c r="N5526" s="403">
        <v>480</v>
      </c>
      <c r="O5526" s="403">
        <v>640</v>
      </c>
      <c r="P5526" t="str">
        <f t="shared" si="689"/>
        <v>30fps 2304x1296 - SD VGA (cropped)</v>
      </c>
      <c r="Q5526">
        <f t="shared" si="690"/>
        <v>24</v>
      </c>
      <c r="R5526" t="str">
        <f t="shared" si="691"/>
        <v/>
      </c>
      <c r="S5526" t="str">
        <f t="shared" si="692"/>
        <v/>
      </c>
      <c r="T5526" s="403" t="str">
        <f t="shared" si="693"/>
        <v>NDI-5503-A</v>
      </c>
      <c r="U5526" s="403">
        <f t="shared" si="694"/>
        <v>1</v>
      </c>
      <c r="V5526" s="403" t="str">
        <f t="shared" si="695"/>
        <v>CPP_7_3</v>
      </c>
    </row>
    <row r="5527" spans="1:22">
      <c r="A5527" t="str">
        <f t="shared" si="688"/>
        <v>NDI-5503-A</v>
      </c>
      <c r="B5527" s="403" t="s">
        <v>1426</v>
      </c>
      <c r="C5527" s="403" t="s">
        <v>582</v>
      </c>
      <c r="D5527" s="403" t="s">
        <v>1427</v>
      </c>
      <c r="E5527" s="403" t="s">
        <v>778</v>
      </c>
      <c r="F5527" s="403" t="s">
        <v>1382</v>
      </c>
      <c r="G5527" s="403" t="s">
        <v>1467</v>
      </c>
      <c r="H5527" s="403" t="s">
        <v>1281</v>
      </c>
      <c r="I5527" s="403">
        <v>1</v>
      </c>
      <c r="J5527" s="403" t="s">
        <v>1374</v>
      </c>
      <c r="K5527" s="403">
        <v>1296</v>
      </c>
      <c r="L5527" s="403">
        <v>2304</v>
      </c>
      <c r="M5527" s="403" t="s">
        <v>1280</v>
      </c>
      <c r="N5527" s="403">
        <v>1296</v>
      </c>
      <c r="O5527" s="403">
        <v>2304</v>
      </c>
      <c r="P5527" t="str">
        <f t="shared" si="689"/>
        <v>30fps 2304x1296 - copy other stream</v>
      </c>
      <c r="Q5527">
        <f t="shared" si="690"/>
        <v>24</v>
      </c>
      <c r="R5527" t="str">
        <f t="shared" si="691"/>
        <v/>
      </c>
      <c r="S5527" t="str">
        <f t="shared" si="692"/>
        <v/>
      </c>
      <c r="T5527" s="403" t="str">
        <f t="shared" si="693"/>
        <v>NDI-5503-A</v>
      </c>
      <c r="U5527" s="403">
        <f t="shared" si="694"/>
        <v>1</v>
      </c>
      <c r="V5527" s="403" t="str">
        <f t="shared" si="695"/>
        <v>CPP_7_3</v>
      </c>
    </row>
    <row r="5528" spans="1:22">
      <c r="A5528" t="str">
        <f t="shared" si="688"/>
        <v>NDI-5503-A</v>
      </c>
      <c r="B5528" s="403" t="s">
        <v>1426</v>
      </c>
      <c r="C5528" s="403" t="s">
        <v>582</v>
      </c>
      <c r="D5528" s="403" t="s">
        <v>1427</v>
      </c>
      <c r="E5528" s="403" t="s">
        <v>778</v>
      </c>
      <c r="F5528" s="403" t="s">
        <v>1382</v>
      </c>
      <c r="G5528" s="403" t="s">
        <v>1467</v>
      </c>
      <c r="H5528" s="403" t="s">
        <v>1281</v>
      </c>
      <c r="I5528" s="403">
        <v>1</v>
      </c>
      <c r="J5528" s="403" t="s">
        <v>110</v>
      </c>
      <c r="K5528" s="403">
        <v>1080</v>
      </c>
      <c r="L5528" s="403">
        <v>1920</v>
      </c>
      <c r="M5528" s="403" t="s">
        <v>111</v>
      </c>
      <c r="N5528" s="403">
        <v>432</v>
      </c>
      <c r="O5528" s="403">
        <v>768</v>
      </c>
      <c r="P5528" t="str">
        <f t="shared" si="689"/>
        <v>30fps 1080p - SD</v>
      </c>
      <c r="Q5528">
        <f t="shared" si="690"/>
        <v>24</v>
      </c>
      <c r="R5528" t="str">
        <f t="shared" si="691"/>
        <v/>
      </c>
      <c r="S5528" t="str">
        <f t="shared" si="692"/>
        <v/>
      </c>
      <c r="T5528" s="403" t="str">
        <f t="shared" si="693"/>
        <v>NDI-5503-A</v>
      </c>
      <c r="U5528" s="403">
        <f t="shared" si="694"/>
        <v>1</v>
      </c>
      <c r="V5528" s="403" t="str">
        <f t="shared" si="695"/>
        <v>CPP_7_3</v>
      </c>
    </row>
    <row r="5529" spans="1:22">
      <c r="A5529" t="str">
        <f t="shared" si="688"/>
        <v>NDI-5503-A</v>
      </c>
      <c r="B5529" s="403" t="s">
        <v>1426</v>
      </c>
      <c r="C5529" s="403" t="s">
        <v>582</v>
      </c>
      <c r="D5529" s="403" t="s">
        <v>1427</v>
      </c>
      <c r="E5529" s="403" t="s">
        <v>778</v>
      </c>
      <c r="F5529" s="403" t="s">
        <v>1382</v>
      </c>
      <c r="G5529" s="403" t="s">
        <v>1467</v>
      </c>
      <c r="H5529" s="403" t="s">
        <v>1281</v>
      </c>
      <c r="I5529" s="403">
        <v>1</v>
      </c>
      <c r="J5529" s="403" t="s">
        <v>110</v>
      </c>
      <c r="K5529" s="403">
        <v>1080</v>
      </c>
      <c r="L5529" s="403">
        <v>1920</v>
      </c>
      <c r="M5529" s="403" t="s">
        <v>110</v>
      </c>
      <c r="N5529" s="403">
        <v>1080</v>
      </c>
      <c r="O5529" s="403">
        <v>1920</v>
      </c>
      <c r="P5529" t="str">
        <f t="shared" si="689"/>
        <v>30fps 1080p - 1080p</v>
      </c>
      <c r="Q5529">
        <f t="shared" si="690"/>
        <v>24</v>
      </c>
      <c r="R5529" t="str">
        <f t="shared" si="691"/>
        <v/>
      </c>
      <c r="S5529" t="str">
        <f t="shared" si="692"/>
        <v/>
      </c>
      <c r="T5529" s="403" t="str">
        <f t="shared" si="693"/>
        <v>NDI-5503-A</v>
      </c>
      <c r="U5529" s="403">
        <f t="shared" si="694"/>
        <v>1</v>
      </c>
      <c r="V5529" s="403" t="str">
        <f t="shared" si="695"/>
        <v>CPP_7_3</v>
      </c>
    </row>
    <row r="5530" spans="1:22">
      <c r="A5530" t="str">
        <f t="shared" si="688"/>
        <v>NDI-5503-A</v>
      </c>
      <c r="B5530" s="403" t="s">
        <v>1426</v>
      </c>
      <c r="C5530" s="403" t="s">
        <v>582</v>
      </c>
      <c r="D5530" s="403" t="s">
        <v>1427</v>
      </c>
      <c r="E5530" s="403" t="s">
        <v>778</v>
      </c>
      <c r="F5530" s="403" t="s">
        <v>1382</v>
      </c>
      <c r="G5530" s="403" t="s">
        <v>1467</v>
      </c>
      <c r="H5530" s="403" t="s">
        <v>1281</v>
      </c>
      <c r="I5530" s="403">
        <v>1</v>
      </c>
      <c r="J5530" s="403" t="s">
        <v>110</v>
      </c>
      <c r="K5530" s="403">
        <v>1080</v>
      </c>
      <c r="L5530" s="403">
        <v>1920</v>
      </c>
      <c r="M5530" s="403" t="s">
        <v>109</v>
      </c>
      <c r="N5530" s="403">
        <v>720</v>
      </c>
      <c r="O5530" s="403">
        <v>1280</v>
      </c>
      <c r="P5530" t="str">
        <f t="shared" si="689"/>
        <v>30fps 1080p - 720p</v>
      </c>
      <c r="Q5530">
        <f t="shared" si="690"/>
        <v>24</v>
      </c>
      <c r="R5530" t="str">
        <f t="shared" si="691"/>
        <v/>
      </c>
      <c r="S5530" t="str">
        <f t="shared" si="692"/>
        <v/>
      </c>
      <c r="T5530" s="403" t="str">
        <f t="shared" si="693"/>
        <v>NDI-5503-A</v>
      </c>
      <c r="U5530" s="403">
        <f t="shared" si="694"/>
        <v>1</v>
      </c>
      <c r="V5530" s="403" t="str">
        <f t="shared" si="695"/>
        <v>CPP_7_3</v>
      </c>
    </row>
    <row r="5531" spans="1:22">
      <c r="A5531" t="str">
        <f t="shared" si="688"/>
        <v>NDI-5503-A</v>
      </c>
      <c r="B5531" s="403" t="s">
        <v>1426</v>
      </c>
      <c r="C5531" s="403" t="s">
        <v>582</v>
      </c>
      <c r="D5531" s="403" t="s">
        <v>1427</v>
      </c>
      <c r="E5531" s="403" t="s">
        <v>778</v>
      </c>
      <c r="F5531" s="403" t="s">
        <v>1382</v>
      </c>
      <c r="G5531" s="403" t="s">
        <v>1467</v>
      </c>
      <c r="H5531" s="403" t="s">
        <v>1281</v>
      </c>
      <c r="I5531" s="403">
        <v>1</v>
      </c>
      <c r="J5531" s="403" t="s">
        <v>110</v>
      </c>
      <c r="K5531" s="403">
        <v>1080</v>
      </c>
      <c r="L5531" s="403">
        <v>1920</v>
      </c>
      <c r="M5531" s="403" t="s">
        <v>1285</v>
      </c>
      <c r="N5531" s="403">
        <v>1024</v>
      </c>
      <c r="O5531" s="403">
        <v>1280</v>
      </c>
      <c r="P5531" t="str">
        <f t="shared" si="689"/>
        <v>30fps 1080p - 1280x1024 5:4 (cropped)</v>
      </c>
      <c r="Q5531">
        <f t="shared" si="690"/>
        <v>24</v>
      </c>
      <c r="R5531" t="str">
        <f t="shared" si="691"/>
        <v/>
      </c>
      <c r="S5531" t="str">
        <f t="shared" si="692"/>
        <v/>
      </c>
      <c r="T5531" s="403" t="str">
        <f t="shared" si="693"/>
        <v>NDI-5503-A</v>
      </c>
      <c r="U5531" s="403">
        <f t="shared" si="694"/>
        <v>1</v>
      </c>
      <c r="V5531" s="403" t="str">
        <f t="shared" si="695"/>
        <v>CPP_7_3</v>
      </c>
    </row>
    <row r="5532" spans="1:22">
      <c r="A5532" t="str">
        <f t="shared" si="688"/>
        <v>NDI-5503-A</v>
      </c>
      <c r="B5532" s="403" t="s">
        <v>1426</v>
      </c>
      <c r="C5532" s="403" t="s">
        <v>582</v>
      </c>
      <c r="D5532" s="403" t="s">
        <v>1427</v>
      </c>
      <c r="E5532" s="403" t="s">
        <v>778</v>
      </c>
      <c r="F5532" s="403" t="s">
        <v>1382</v>
      </c>
      <c r="G5532" s="403" t="s">
        <v>1467</v>
      </c>
      <c r="H5532" s="403" t="s">
        <v>1281</v>
      </c>
      <c r="I5532" s="403">
        <v>1</v>
      </c>
      <c r="J5532" s="403" t="s">
        <v>110</v>
      </c>
      <c r="K5532" s="403">
        <v>1080</v>
      </c>
      <c r="L5532" s="403">
        <v>1920</v>
      </c>
      <c r="M5532" s="403" t="s">
        <v>1279</v>
      </c>
      <c r="N5532" s="403">
        <v>432</v>
      </c>
      <c r="O5532" s="403">
        <v>768</v>
      </c>
      <c r="P5532" t="str">
        <f t="shared" si="689"/>
        <v>30fps 1080p - SD ROI PTZ</v>
      </c>
      <c r="Q5532">
        <f t="shared" si="690"/>
        <v>24</v>
      </c>
      <c r="R5532" t="str">
        <f t="shared" si="691"/>
        <v/>
      </c>
      <c r="S5532" t="str">
        <f t="shared" si="692"/>
        <v/>
      </c>
      <c r="T5532" s="403" t="str">
        <f t="shared" si="693"/>
        <v>NDI-5503-A</v>
      </c>
      <c r="U5532" s="403">
        <f t="shared" si="694"/>
        <v>1</v>
      </c>
      <c r="V5532" s="403" t="str">
        <f t="shared" si="695"/>
        <v>CPP_7_3</v>
      </c>
    </row>
    <row r="5533" spans="1:22">
      <c r="A5533" t="str">
        <f t="shared" si="688"/>
        <v>NDI-5503-A</v>
      </c>
      <c r="B5533" s="403" t="s">
        <v>1426</v>
      </c>
      <c r="C5533" s="403" t="s">
        <v>582</v>
      </c>
      <c r="D5533" s="403" t="s">
        <v>1427</v>
      </c>
      <c r="E5533" s="403" t="s">
        <v>778</v>
      </c>
      <c r="F5533" s="403" t="s">
        <v>1382</v>
      </c>
      <c r="G5533" s="403" t="s">
        <v>1467</v>
      </c>
      <c r="H5533" s="403" t="s">
        <v>1281</v>
      </c>
      <c r="I5533" s="403">
        <v>1</v>
      </c>
      <c r="J5533" s="403" t="s">
        <v>110</v>
      </c>
      <c r="K5533" s="403">
        <v>1080</v>
      </c>
      <c r="L5533" s="403">
        <v>1920</v>
      </c>
      <c r="M5533" s="403" t="s">
        <v>1283</v>
      </c>
      <c r="N5533" s="403">
        <v>480</v>
      </c>
      <c r="O5533" s="403">
        <v>720</v>
      </c>
      <c r="P5533" t="str">
        <f t="shared" si="689"/>
        <v>30fps 1080p - SD 4CIF resolution 4:3 format (cropped)</v>
      </c>
      <c r="Q5533">
        <f t="shared" si="690"/>
        <v>24</v>
      </c>
      <c r="R5533" t="str">
        <f t="shared" si="691"/>
        <v/>
      </c>
      <c r="S5533" t="str">
        <f t="shared" si="692"/>
        <v/>
      </c>
      <c r="T5533" s="403" t="str">
        <f t="shared" si="693"/>
        <v>NDI-5503-A</v>
      </c>
      <c r="U5533" s="403">
        <f t="shared" si="694"/>
        <v>1</v>
      </c>
      <c r="V5533" s="403" t="str">
        <f t="shared" si="695"/>
        <v>CPP_7_3</v>
      </c>
    </row>
    <row r="5534" spans="1:22">
      <c r="A5534" t="str">
        <f t="shared" si="688"/>
        <v>NDI-5503-A</v>
      </c>
      <c r="B5534" s="403" t="s">
        <v>1426</v>
      </c>
      <c r="C5534" s="403" t="s">
        <v>582</v>
      </c>
      <c r="D5534" s="403" t="s">
        <v>1427</v>
      </c>
      <c r="E5534" s="403" t="s">
        <v>778</v>
      </c>
      <c r="F5534" s="403" t="s">
        <v>1382</v>
      </c>
      <c r="G5534" s="403" t="s">
        <v>1467</v>
      </c>
      <c r="H5534" s="403" t="s">
        <v>1281</v>
      </c>
      <c r="I5534" s="403">
        <v>1</v>
      </c>
      <c r="J5534" s="403" t="s">
        <v>110</v>
      </c>
      <c r="K5534" s="403">
        <v>1080</v>
      </c>
      <c r="L5534" s="403">
        <v>1920</v>
      </c>
      <c r="M5534" s="403" t="s">
        <v>1284</v>
      </c>
      <c r="N5534" s="403">
        <v>480</v>
      </c>
      <c r="O5534" s="403">
        <v>640</v>
      </c>
      <c r="P5534" t="str">
        <f t="shared" si="689"/>
        <v>30fps 1080p - SD VGA (cropped)</v>
      </c>
      <c r="Q5534">
        <f t="shared" si="690"/>
        <v>24</v>
      </c>
      <c r="R5534" t="str">
        <f t="shared" si="691"/>
        <v/>
      </c>
      <c r="S5534" t="str">
        <f t="shared" si="692"/>
        <v/>
      </c>
      <c r="T5534" s="403" t="str">
        <f t="shared" si="693"/>
        <v>NDI-5503-A</v>
      </c>
      <c r="U5534" s="403">
        <f t="shared" si="694"/>
        <v>1</v>
      </c>
      <c r="V5534" s="403" t="str">
        <f t="shared" si="695"/>
        <v>CPP_7_3</v>
      </c>
    </row>
    <row r="5535" spans="1:22">
      <c r="A5535" t="str">
        <f t="shared" si="688"/>
        <v>NDI-5503-A</v>
      </c>
      <c r="B5535" s="403" t="s">
        <v>1426</v>
      </c>
      <c r="C5535" s="403" t="s">
        <v>582</v>
      </c>
      <c r="D5535" s="403" t="s">
        <v>1427</v>
      </c>
      <c r="E5535" s="403" t="s">
        <v>778</v>
      </c>
      <c r="F5535" s="403" t="s">
        <v>1382</v>
      </c>
      <c r="G5535" s="403" t="s">
        <v>1467</v>
      </c>
      <c r="H5535" s="403" t="s">
        <v>1281</v>
      </c>
      <c r="I5535" s="403">
        <v>1</v>
      </c>
      <c r="J5535" s="403" t="s">
        <v>109</v>
      </c>
      <c r="K5535" s="403">
        <v>720</v>
      </c>
      <c r="L5535" s="403">
        <v>1280</v>
      </c>
      <c r="M5535" s="403" t="s">
        <v>109</v>
      </c>
      <c r="N5535" s="403">
        <v>720</v>
      </c>
      <c r="O5535" s="403">
        <v>1280</v>
      </c>
      <c r="P5535" t="str">
        <f t="shared" si="689"/>
        <v>30fps 720p - 720p</v>
      </c>
      <c r="Q5535">
        <f t="shared" si="690"/>
        <v>24</v>
      </c>
      <c r="R5535" t="str">
        <f t="shared" si="691"/>
        <v/>
      </c>
      <c r="S5535" t="str">
        <f t="shared" si="692"/>
        <v/>
      </c>
      <c r="T5535" s="403" t="str">
        <f t="shared" si="693"/>
        <v>NDI-5503-A</v>
      </c>
      <c r="U5535" s="403">
        <f t="shared" si="694"/>
        <v>1</v>
      </c>
      <c r="V5535" s="403" t="str">
        <f t="shared" si="695"/>
        <v>CPP_7_3</v>
      </c>
    </row>
    <row r="5536" spans="1:22">
      <c r="A5536" t="str">
        <f t="shared" si="688"/>
        <v>NDI-5503-A</v>
      </c>
      <c r="B5536" s="403" t="s">
        <v>1426</v>
      </c>
      <c r="C5536" s="403" t="s">
        <v>582</v>
      </c>
      <c r="D5536" s="403" t="s">
        <v>1427</v>
      </c>
      <c r="E5536" s="403" t="s">
        <v>778</v>
      </c>
      <c r="F5536" s="403" t="s">
        <v>1382</v>
      </c>
      <c r="G5536" s="403" t="s">
        <v>1467</v>
      </c>
      <c r="H5536" s="403" t="s">
        <v>1281</v>
      </c>
      <c r="I5536" s="403">
        <v>1</v>
      </c>
      <c r="J5536" s="403" t="s">
        <v>109</v>
      </c>
      <c r="K5536" s="403">
        <v>720</v>
      </c>
      <c r="L5536" s="403">
        <v>1280</v>
      </c>
      <c r="M5536" s="403" t="s">
        <v>111</v>
      </c>
      <c r="N5536" s="403">
        <v>432</v>
      </c>
      <c r="O5536" s="403">
        <v>768</v>
      </c>
      <c r="P5536" t="str">
        <f t="shared" si="689"/>
        <v>30fps 720p - SD</v>
      </c>
      <c r="Q5536">
        <f t="shared" si="690"/>
        <v>24</v>
      </c>
      <c r="R5536" t="str">
        <f t="shared" si="691"/>
        <v/>
      </c>
      <c r="S5536" t="str">
        <f t="shared" si="692"/>
        <v/>
      </c>
      <c r="T5536" s="403" t="str">
        <f t="shared" si="693"/>
        <v>NDI-5503-A</v>
      </c>
      <c r="U5536" s="403">
        <f t="shared" si="694"/>
        <v>1</v>
      </c>
      <c r="V5536" s="403" t="str">
        <f t="shared" si="695"/>
        <v>CPP_7_3</v>
      </c>
    </row>
    <row r="5537" spans="1:22">
      <c r="A5537" t="str">
        <f t="shared" si="688"/>
        <v>NDI-5503-A</v>
      </c>
      <c r="B5537" s="403" t="s">
        <v>1426</v>
      </c>
      <c r="C5537" s="403" t="s">
        <v>582</v>
      </c>
      <c r="D5537" s="403" t="s">
        <v>1427</v>
      </c>
      <c r="E5537" s="403" t="s">
        <v>778</v>
      </c>
      <c r="F5537" s="403" t="s">
        <v>1382</v>
      </c>
      <c r="G5537" s="403" t="s">
        <v>1467</v>
      </c>
      <c r="H5537" s="403" t="s">
        <v>1281</v>
      </c>
      <c r="I5537" s="403">
        <v>1</v>
      </c>
      <c r="J5537" s="403" t="s">
        <v>109</v>
      </c>
      <c r="K5537" s="403">
        <v>720</v>
      </c>
      <c r="L5537" s="403">
        <v>1280</v>
      </c>
      <c r="M5537" s="403" t="s">
        <v>1279</v>
      </c>
      <c r="N5537" s="403">
        <v>432</v>
      </c>
      <c r="O5537" s="403">
        <v>768</v>
      </c>
      <c r="P5537" t="str">
        <f t="shared" si="689"/>
        <v>30fps 720p - SD ROI PTZ</v>
      </c>
      <c r="Q5537">
        <f t="shared" si="690"/>
        <v>24</v>
      </c>
      <c r="R5537" t="str">
        <f t="shared" si="691"/>
        <v/>
      </c>
      <c r="S5537" t="str">
        <f t="shared" si="692"/>
        <v/>
      </c>
      <c r="T5537" s="403" t="str">
        <f t="shared" si="693"/>
        <v>NDI-5503-A</v>
      </c>
      <c r="U5537" s="403">
        <f t="shared" si="694"/>
        <v>1</v>
      </c>
      <c r="V5537" s="403" t="str">
        <f t="shared" si="695"/>
        <v>CPP_7_3</v>
      </c>
    </row>
    <row r="5538" spans="1:22">
      <c r="A5538" t="str">
        <f t="shared" si="688"/>
        <v>NDI-5503-A</v>
      </c>
      <c r="B5538" s="403" t="s">
        <v>1426</v>
      </c>
      <c r="C5538" s="403" t="s">
        <v>582</v>
      </c>
      <c r="D5538" s="403" t="s">
        <v>1427</v>
      </c>
      <c r="E5538" s="403" t="s">
        <v>778</v>
      </c>
      <c r="F5538" s="403" t="s">
        <v>1382</v>
      </c>
      <c r="G5538" s="403" t="s">
        <v>1467</v>
      </c>
      <c r="H5538" s="403" t="s">
        <v>1281</v>
      </c>
      <c r="I5538" s="403">
        <v>1</v>
      </c>
      <c r="J5538" s="403" t="s">
        <v>109</v>
      </c>
      <c r="K5538" s="403">
        <v>720</v>
      </c>
      <c r="L5538" s="403">
        <v>1280</v>
      </c>
      <c r="M5538" s="403" t="s">
        <v>1283</v>
      </c>
      <c r="N5538" s="403">
        <v>480</v>
      </c>
      <c r="O5538" s="403">
        <v>720</v>
      </c>
      <c r="P5538" t="str">
        <f t="shared" si="689"/>
        <v>30fps 720p - SD 4CIF resolution 4:3 format (cropped)</v>
      </c>
      <c r="Q5538">
        <f t="shared" si="690"/>
        <v>24</v>
      </c>
      <c r="R5538" t="str">
        <f t="shared" si="691"/>
        <v/>
      </c>
      <c r="S5538" t="str">
        <f t="shared" si="692"/>
        <v/>
      </c>
      <c r="T5538" s="403" t="str">
        <f t="shared" si="693"/>
        <v>NDI-5503-A</v>
      </c>
      <c r="U5538" s="403">
        <f t="shared" si="694"/>
        <v>1</v>
      </c>
      <c r="V5538" s="403" t="str">
        <f t="shared" si="695"/>
        <v>CPP_7_3</v>
      </c>
    </row>
    <row r="5539" spans="1:22">
      <c r="A5539" t="str">
        <f t="shared" si="688"/>
        <v>NDI-5503-A</v>
      </c>
      <c r="B5539" s="403" t="s">
        <v>1426</v>
      </c>
      <c r="C5539" s="403" t="s">
        <v>582</v>
      </c>
      <c r="D5539" s="403" t="s">
        <v>1427</v>
      </c>
      <c r="E5539" s="403" t="s">
        <v>778</v>
      </c>
      <c r="F5539" s="403" t="s">
        <v>1382</v>
      </c>
      <c r="G5539" s="403" t="s">
        <v>1467</v>
      </c>
      <c r="H5539" s="403" t="s">
        <v>1281</v>
      </c>
      <c r="I5539" s="403">
        <v>1</v>
      </c>
      <c r="J5539" s="403" t="s">
        <v>109</v>
      </c>
      <c r="K5539" s="403">
        <v>720</v>
      </c>
      <c r="L5539" s="403">
        <v>1280</v>
      </c>
      <c r="M5539" s="403" t="s">
        <v>1284</v>
      </c>
      <c r="N5539" s="403">
        <v>480</v>
      </c>
      <c r="O5539" s="403">
        <v>640</v>
      </c>
      <c r="P5539" t="str">
        <f t="shared" si="689"/>
        <v>30fps 720p - SD VGA (cropped)</v>
      </c>
      <c r="Q5539">
        <f t="shared" si="690"/>
        <v>24</v>
      </c>
      <c r="R5539" t="str">
        <f t="shared" si="691"/>
        <v/>
      </c>
      <c r="S5539" t="str">
        <f t="shared" si="692"/>
        <v/>
      </c>
      <c r="T5539" s="403" t="str">
        <f t="shared" si="693"/>
        <v>NDI-5503-A</v>
      </c>
      <c r="U5539" s="403">
        <f t="shared" si="694"/>
        <v>1</v>
      </c>
      <c r="V5539" s="403" t="str">
        <f t="shared" si="695"/>
        <v>CPP_7_3</v>
      </c>
    </row>
    <row r="5540" spans="1:22">
      <c r="A5540" t="str">
        <f t="shared" si="688"/>
        <v>NDI-5503-A</v>
      </c>
      <c r="B5540" s="403" t="s">
        <v>1426</v>
      </c>
      <c r="C5540" s="403" t="s">
        <v>582</v>
      </c>
      <c r="D5540" s="403" t="s">
        <v>1427</v>
      </c>
      <c r="E5540" s="403" t="s">
        <v>778</v>
      </c>
      <c r="F5540" s="403" t="s">
        <v>1385</v>
      </c>
      <c r="G5540" s="403" t="s">
        <v>1466</v>
      </c>
      <c r="H5540" s="403" t="s">
        <v>1276</v>
      </c>
      <c r="I5540" s="403">
        <v>1</v>
      </c>
      <c r="J5540" s="403" t="s">
        <v>1376</v>
      </c>
      <c r="K5540" s="403">
        <v>3072</v>
      </c>
      <c r="L5540" s="403">
        <v>1728</v>
      </c>
      <c r="M5540" s="403" t="s">
        <v>111</v>
      </c>
      <c r="N5540" s="403">
        <v>768</v>
      </c>
      <c r="O5540" s="403">
        <v>432</v>
      </c>
      <c r="P5540" t="str">
        <f t="shared" si="689"/>
        <v>25fps 3072x1728 - SD</v>
      </c>
      <c r="Q5540">
        <f t="shared" si="690"/>
        <v>24</v>
      </c>
      <c r="R5540" t="str">
        <f t="shared" si="691"/>
        <v/>
      </c>
      <c r="S5540" t="str">
        <f t="shared" si="692"/>
        <v/>
      </c>
      <c r="T5540" s="403" t="str">
        <f t="shared" si="693"/>
        <v>NDI-5503-A</v>
      </c>
      <c r="U5540" s="403">
        <f t="shared" si="694"/>
        <v>1</v>
      </c>
      <c r="V5540" s="403" t="str">
        <f t="shared" si="695"/>
        <v>CPP_7_3</v>
      </c>
    </row>
    <row r="5541" spans="1:22">
      <c r="A5541" t="str">
        <f t="shared" si="688"/>
        <v>NDI-5503-A</v>
      </c>
      <c r="B5541" s="403" t="s">
        <v>1426</v>
      </c>
      <c r="C5541" s="403" t="s">
        <v>582</v>
      </c>
      <c r="D5541" s="403" t="s">
        <v>1427</v>
      </c>
      <c r="E5541" s="403" t="s">
        <v>778</v>
      </c>
      <c r="F5541" s="403" t="s">
        <v>1385</v>
      </c>
      <c r="G5541" s="403" t="s">
        <v>1466</v>
      </c>
      <c r="H5541" s="403" t="s">
        <v>1276</v>
      </c>
      <c r="I5541" s="403">
        <v>1</v>
      </c>
      <c r="J5541" s="403" t="s">
        <v>1376</v>
      </c>
      <c r="K5541" s="403">
        <v>3072</v>
      </c>
      <c r="L5541" s="403">
        <v>1728</v>
      </c>
      <c r="M5541" s="403" t="s">
        <v>1600</v>
      </c>
      <c r="N5541" s="403">
        <v>3072</v>
      </c>
      <c r="O5541" s="403">
        <v>1728</v>
      </c>
      <c r="P5541" t="str">
        <f t="shared" si="689"/>
        <v>25fps 3072x1728 - 3072x1728 @ SKIP2</v>
      </c>
      <c r="Q5541">
        <f t="shared" si="690"/>
        <v>24</v>
      </c>
      <c r="R5541" t="str">
        <f t="shared" si="691"/>
        <v/>
      </c>
      <c r="S5541" t="str">
        <f t="shared" si="692"/>
        <v/>
      </c>
      <c r="T5541" s="403" t="str">
        <f t="shared" si="693"/>
        <v>NDI-5503-A</v>
      </c>
      <c r="U5541" s="403">
        <f t="shared" si="694"/>
        <v>1</v>
      </c>
      <c r="V5541" s="403" t="str">
        <f t="shared" si="695"/>
        <v>CPP_7_3</v>
      </c>
    </row>
    <row r="5542" spans="1:22">
      <c r="A5542" t="str">
        <f t="shared" si="688"/>
        <v>NDI-5503-A</v>
      </c>
      <c r="B5542" s="403" t="s">
        <v>1426</v>
      </c>
      <c r="C5542" s="403" t="s">
        <v>582</v>
      </c>
      <c r="D5542" s="403" t="s">
        <v>1427</v>
      </c>
      <c r="E5542" s="403" t="s">
        <v>778</v>
      </c>
      <c r="F5542" s="403" t="s">
        <v>1385</v>
      </c>
      <c r="G5542" s="403" t="s">
        <v>1466</v>
      </c>
      <c r="H5542" s="403" t="s">
        <v>1276</v>
      </c>
      <c r="I5542" s="403">
        <v>1</v>
      </c>
      <c r="J5542" s="403" t="s">
        <v>1376</v>
      </c>
      <c r="K5542" s="403">
        <v>3072</v>
      </c>
      <c r="L5542" s="403">
        <v>1728</v>
      </c>
      <c r="M5542" s="403" t="s">
        <v>1280</v>
      </c>
      <c r="N5542" s="403">
        <v>3072</v>
      </c>
      <c r="O5542" s="403">
        <v>1728</v>
      </c>
      <c r="P5542" t="str">
        <f t="shared" si="689"/>
        <v>25fps 3072x1728 - copy other stream</v>
      </c>
      <c r="Q5542">
        <f t="shared" si="690"/>
        <v>24</v>
      </c>
      <c r="R5542" t="str">
        <f t="shared" si="691"/>
        <v/>
      </c>
      <c r="S5542" t="str">
        <f t="shared" si="692"/>
        <v/>
      </c>
      <c r="T5542" s="403" t="str">
        <f t="shared" si="693"/>
        <v>NDI-5503-A</v>
      </c>
      <c r="U5542" s="403">
        <f t="shared" si="694"/>
        <v>1</v>
      </c>
      <c r="V5542" s="403" t="str">
        <f t="shared" si="695"/>
        <v>CPP_7_3</v>
      </c>
    </row>
    <row r="5543" spans="1:22">
      <c r="A5543" t="str">
        <f t="shared" si="688"/>
        <v>NDI-5503-A</v>
      </c>
      <c r="B5543" s="403" t="s">
        <v>1426</v>
      </c>
      <c r="C5543" s="403" t="s">
        <v>582</v>
      </c>
      <c r="D5543" s="403" t="s">
        <v>1427</v>
      </c>
      <c r="E5543" s="403" t="s">
        <v>778</v>
      </c>
      <c r="F5543" s="403" t="s">
        <v>1385</v>
      </c>
      <c r="G5543" s="403" t="s">
        <v>1466</v>
      </c>
      <c r="H5543" s="403" t="s">
        <v>1276</v>
      </c>
      <c r="I5543" s="403">
        <v>1</v>
      </c>
      <c r="J5543" s="403" t="s">
        <v>1376</v>
      </c>
      <c r="K5543" s="403">
        <v>3072</v>
      </c>
      <c r="L5543" s="403">
        <v>1728</v>
      </c>
      <c r="M5543" s="403" t="s">
        <v>110</v>
      </c>
      <c r="N5543" s="403">
        <v>1920</v>
      </c>
      <c r="O5543" s="403">
        <v>1080</v>
      </c>
      <c r="P5543" t="str">
        <f t="shared" si="689"/>
        <v>25fps 3072x1728 - 1080p</v>
      </c>
      <c r="Q5543">
        <f t="shared" si="690"/>
        <v>24</v>
      </c>
      <c r="R5543" t="str">
        <f t="shared" si="691"/>
        <v/>
      </c>
      <c r="S5543" t="str">
        <f t="shared" si="692"/>
        <v/>
      </c>
      <c r="T5543" s="403" t="str">
        <f t="shared" si="693"/>
        <v>NDI-5503-A</v>
      </c>
      <c r="U5543" s="403">
        <f t="shared" si="694"/>
        <v>1</v>
      </c>
      <c r="V5543" s="403" t="str">
        <f t="shared" si="695"/>
        <v>CPP_7_3</v>
      </c>
    </row>
    <row r="5544" spans="1:22">
      <c r="A5544" t="str">
        <f t="shared" si="688"/>
        <v>NDI-5503-A</v>
      </c>
      <c r="B5544" s="403" t="s">
        <v>1426</v>
      </c>
      <c r="C5544" s="403" t="s">
        <v>582</v>
      </c>
      <c r="D5544" s="403" t="s">
        <v>1427</v>
      </c>
      <c r="E5544" s="403" t="s">
        <v>778</v>
      </c>
      <c r="F5544" s="403" t="s">
        <v>1385</v>
      </c>
      <c r="G5544" s="403" t="s">
        <v>1466</v>
      </c>
      <c r="H5544" s="403" t="s">
        <v>1276</v>
      </c>
      <c r="I5544" s="403">
        <v>1</v>
      </c>
      <c r="J5544" s="403" t="s">
        <v>1376</v>
      </c>
      <c r="K5544" s="403">
        <v>3072</v>
      </c>
      <c r="L5544" s="403">
        <v>1728</v>
      </c>
      <c r="M5544" s="403" t="s">
        <v>109</v>
      </c>
      <c r="N5544" s="403">
        <v>1280</v>
      </c>
      <c r="O5544" s="403">
        <v>720</v>
      </c>
      <c r="P5544" t="str">
        <f t="shared" si="689"/>
        <v>25fps 3072x1728 - 720p</v>
      </c>
      <c r="Q5544">
        <f t="shared" si="690"/>
        <v>24</v>
      </c>
      <c r="R5544" t="str">
        <f t="shared" si="691"/>
        <v/>
      </c>
      <c r="S5544" t="str">
        <f t="shared" si="692"/>
        <v/>
      </c>
      <c r="T5544" s="403" t="str">
        <f t="shared" si="693"/>
        <v>NDI-5503-A</v>
      </c>
      <c r="U5544" s="403">
        <f t="shared" si="694"/>
        <v>1</v>
      </c>
      <c r="V5544" s="403" t="str">
        <f t="shared" si="695"/>
        <v>CPP_7_3</v>
      </c>
    </row>
    <row r="5545" spans="1:22">
      <c r="A5545" t="str">
        <f t="shared" si="688"/>
        <v>NDI-5503-A</v>
      </c>
      <c r="B5545" s="403" t="s">
        <v>1426</v>
      </c>
      <c r="C5545" s="403" t="s">
        <v>582</v>
      </c>
      <c r="D5545" s="403" t="s">
        <v>1427</v>
      </c>
      <c r="E5545" s="403" t="s">
        <v>778</v>
      </c>
      <c r="F5545" s="403" t="s">
        <v>1385</v>
      </c>
      <c r="G5545" s="403" t="s">
        <v>1466</v>
      </c>
      <c r="H5545" s="403" t="s">
        <v>1276</v>
      </c>
      <c r="I5545" s="403">
        <v>1</v>
      </c>
      <c r="J5545" s="403" t="s">
        <v>1376</v>
      </c>
      <c r="K5545" s="403">
        <v>3072</v>
      </c>
      <c r="L5545" s="403">
        <v>1728</v>
      </c>
      <c r="M5545" s="403" t="s">
        <v>1283</v>
      </c>
      <c r="N5545" s="403">
        <v>720</v>
      </c>
      <c r="O5545" s="403">
        <v>576</v>
      </c>
      <c r="P5545" t="str">
        <f t="shared" si="689"/>
        <v>25fps 3072x1728 - SD 4CIF resolution 4:3 format (cropped)</v>
      </c>
      <c r="Q5545">
        <f t="shared" si="690"/>
        <v>24</v>
      </c>
      <c r="R5545" t="str">
        <f t="shared" si="691"/>
        <v/>
      </c>
      <c r="S5545" t="str">
        <f t="shared" si="692"/>
        <v/>
      </c>
      <c r="T5545" s="403" t="str">
        <f t="shared" si="693"/>
        <v>NDI-5503-A</v>
      </c>
      <c r="U5545" s="403">
        <f t="shared" si="694"/>
        <v>1</v>
      </c>
      <c r="V5545" s="403" t="str">
        <f t="shared" si="695"/>
        <v>CPP_7_3</v>
      </c>
    </row>
    <row r="5546" spans="1:22">
      <c r="A5546" t="str">
        <f t="shared" si="688"/>
        <v>NDI-5503-A</v>
      </c>
      <c r="B5546" s="403" t="s">
        <v>1426</v>
      </c>
      <c r="C5546" s="403" t="s">
        <v>582</v>
      </c>
      <c r="D5546" s="403" t="s">
        <v>1427</v>
      </c>
      <c r="E5546" s="403" t="s">
        <v>778</v>
      </c>
      <c r="F5546" s="403" t="s">
        <v>1385</v>
      </c>
      <c r="G5546" s="403" t="s">
        <v>1466</v>
      </c>
      <c r="H5546" s="403" t="s">
        <v>1276</v>
      </c>
      <c r="I5546" s="403">
        <v>1</v>
      </c>
      <c r="J5546" s="403" t="s">
        <v>1376</v>
      </c>
      <c r="K5546" s="403">
        <v>3072</v>
      </c>
      <c r="L5546" s="403">
        <v>1728</v>
      </c>
      <c r="M5546" s="403" t="s">
        <v>1279</v>
      </c>
      <c r="N5546" s="403">
        <v>768</v>
      </c>
      <c r="O5546" s="403">
        <v>432</v>
      </c>
      <c r="P5546" t="str">
        <f t="shared" si="689"/>
        <v>25fps 3072x1728 - SD ROI PTZ</v>
      </c>
      <c r="Q5546">
        <f t="shared" si="690"/>
        <v>24</v>
      </c>
      <c r="R5546" t="str">
        <f t="shared" si="691"/>
        <v/>
      </c>
      <c r="S5546" t="str">
        <f t="shared" si="692"/>
        <v/>
      </c>
      <c r="T5546" s="403" t="str">
        <f t="shared" si="693"/>
        <v>NDI-5503-A</v>
      </c>
      <c r="U5546" s="403">
        <f t="shared" si="694"/>
        <v>1</v>
      </c>
      <c r="V5546" s="403" t="str">
        <f t="shared" si="695"/>
        <v>CPP_7_3</v>
      </c>
    </row>
    <row r="5547" spans="1:22">
      <c r="A5547" t="str">
        <f t="shared" si="688"/>
        <v>NDI-5503-A</v>
      </c>
      <c r="B5547" s="403" t="s">
        <v>1426</v>
      </c>
      <c r="C5547" s="403" t="s">
        <v>582</v>
      </c>
      <c r="D5547" s="403" t="s">
        <v>1427</v>
      </c>
      <c r="E5547" s="403" t="s">
        <v>778</v>
      </c>
      <c r="F5547" s="403" t="s">
        <v>1385</v>
      </c>
      <c r="G5547" s="403" t="s">
        <v>1466</v>
      </c>
      <c r="H5547" s="403" t="s">
        <v>1276</v>
      </c>
      <c r="I5547" s="403">
        <v>1</v>
      </c>
      <c r="J5547" s="403" t="s">
        <v>1376</v>
      </c>
      <c r="K5547" s="403">
        <v>3072</v>
      </c>
      <c r="L5547" s="403">
        <v>1728</v>
      </c>
      <c r="M5547" s="403" t="s">
        <v>1284</v>
      </c>
      <c r="N5547" s="403">
        <v>640</v>
      </c>
      <c r="O5547" s="403">
        <v>480</v>
      </c>
      <c r="P5547" t="str">
        <f t="shared" si="689"/>
        <v>25fps 3072x1728 - SD VGA (cropped)</v>
      </c>
      <c r="Q5547">
        <f t="shared" si="690"/>
        <v>24</v>
      </c>
      <c r="R5547" t="str">
        <f t="shared" si="691"/>
        <v/>
      </c>
      <c r="S5547" t="str">
        <f t="shared" si="692"/>
        <v/>
      </c>
      <c r="T5547" s="403" t="str">
        <f t="shared" si="693"/>
        <v>NDI-5503-A</v>
      </c>
      <c r="U5547" s="403">
        <f t="shared" si="694"/>
        <v>1</v>
      </c>
      <c r="V5547" s="403" t="str">
        <f t="shared" si="695"/>
        <v>CPP_7_3</v>
      </c>
    </row>
    <row r="5548" spans="1:22">
      <c r="A5548" t="str">
        <f t="shared" si="688"/>
        <v>NDI-5503-A</v>
      </c>
      <c r="B5548" s="403" t="s">
        <v>1426</v>
      </c>
      <c r="C5548" s="403" t="s">
        <v>582</v>
      </c>
      <c r="D5548" s="403" t="s">
        <v>1427</v>
      </c>
      <c r="E5548" s="403" t="s">
        <v>778</v>
      </c>
      <c r="F5548" s="403" t="s">
        <v>1385</v>
      </c>
      <c r="G5548" s="403" t="s">
        <v>1466</v>
      </c>
      <c r="H5548" s="403" t="s">
        <v>1276</v>
      </c>
      <c r="I5548" s="403">
        <v>1</v>
      </c>
      <c r="J5548" s="403" t="s">
        <v>1376</v>
      </c>
      <c r="K5548" s="403">
        <v>3072</v>
      </c>
      <c r="L5548" s="403">
        <v>1728</v>
      </c>
      <c r="M5548" s="403" t="s">
        <v>1285</v>
      </c>
      <c r="N5548" s="403">
        <v>1280</v>
      </c>
      <c r="O5548" s="403">
        <v>1024</v>
      </c>
      <c r="P5548" t="str">
        <f t="shared" si="689"/>
        <v>25fps 3072x1728 - 1280x1024 5:4 (cropped)</v>
      </c>
      <c r="Q5548">
        <f t="shared" si="690"/>
        <v>24</v>
      </c>
      <c r="R5548" t="str">
        <f t="shared" si="691"/>
        <v/>
      </c>
      <c r="S5548" t="str">
        <f t="shared" si="692"/>
        <v/>
      </c>
      <c r="T5548" s="403" t="str">
        <f t="shared" si="693"/>
        <v>NDI-5503-A</v>
      </c>
      <c r="U5548" s="403">
        <f t="shared" si="694"/>
        <v>1</v>
      </c>
      <c r="V5548" s="403" t="str">
        <f t="shared" si="695"/>
        <v>CPP_7_3</v>
      </c>
    </row>
    <row r="5549" spans="1:22">
      <c r="A5549" t="str">
        <f t="shared" si="688"/>
        <v>NDI-5503-A</v>
      </c>
      <c r="B5549" s="403" t="s">
        <v>1426</v>
      </c>
      <c r="C5549" s="403" t="s">
        <v>582</v>
      </c>
      <c r="D5549" s="403" t="s">
        <v>1427</v>
      </c>
      <c r="E5549" s="403" t="s">
        <v>778</v>
      </c>
      <c r="F5549" s="403" t="s">
        <v>1385</v>
      </c>
      <c r="G5549" s="403" t="s">
        <v>1466</v>
      </c>
      <c r="H5549" s="403" t="s">
        <v>1276</v>
      </c>
      <c r="I5549" s="403">
        <v>1</v>
      </c>
      <c r="J5549" s="403" t="s">
        <v>1376</v>
      </c>
      <c r="K5549" s="403">
        <v>3072</v>
      </c>
      <c r="L5549" s="403">
        <v>1728</v>
      </c>
      <c r="M5549" s="403" t="s">
        <v>1383</v>
      </c>
      <c r="N5549" s="403">
        <v>1920</v>
      </c>
      <c r="O5549" s="403">
        <v>1440</v>
      </c>
      <c r="P5549" t="str">
        <f t="shared" si="689"/>
        <v>25fps 3072x1728 - 1920x1440_CROP</v>
      </c>
      <c r="Q5549">
        <f t="shared" si="690"/>
        <v>24</v>
      </c>
      <c r="R5549" t="str">
        <f t="shared" si="691"/>
        <v/>
      </c>
      <c r="S5549" t="str">
        <f t="shared" si="692"/>
        <v/>
      </c>
      <c r="T5549" s="403" t="str">
        <f t="shared" si="693"/>
        <v>NDI-5503-A</v>
      </c>
      <c r="U5549" s="403">
        <f t="shared" si="694"/>
        <v>1</v>
      </c>
      <c r="V5549" s="403" t="str">
        <f t="shared" si="695"/>
        <v>CPP_7_3</v>
      </c>
    </row>
    <row r="5550" spans="1:22">
      <c r="A5550" t="str">
        <f t="shared" si="688"/>
        <v>NDI-5503-A</v>
      </c>
      <c r="B5550" s="403" t="s">
        <v>1426</v>
      </c>
      <c r="C5550" s="403" t="s">
        <v>582</v>
      </c>
      <c r="D5550" s="403" t="s">
        <v>1427</v>
      </c>
      <c r="E5550" s="403" t="s">
        <v>778</v>
      </c>
      <c r="F5550" s="403" t="s">
        <v>1385</v>
      </c>
      <c r="G5550" s="403" t="s">
        <v>1466</v>
      </c>
      <c r="H5550" s="403" t="s">
        <v>1276</v>
      </c>
      <c r="I5550" s="403">
        <v>1</v>
      </c>
      <c r="J5550" s="403" t="s">
        <v>1373</v>
      </c>
      <c r="K5550" s="403">
        <v>2688</v>
      </c>
      <c r="L5550" s="403">
        <v>1512</v>
      </c>
      <c r="M5550" s="403" t="s">
        <v>110</v>
      </c>
      <c r="N5550" s="403">
        <v>1920</v>
      </c>
      <c r="O5550" s="403">
        <v>1080</v>
      </c>
      <c r="P5550" t="str">
        <f t="shared" si="689"/>
        <v>25fps 2688x1512 - 1080p</v>
      </c>
      <c r="Q5550">
        <f t="shared" si="690"/>
        <v>24</v>
      </c>
      <c r="R5550" t="str">
        <f t="shared" si="691"/>
        <v/>
      </c>
      <c r="S5550" t="str">
        <f t="shared" si="692"/>
        <v/>
      </c>
      <c r="T5550" s="403" t="str">
        <f t="shared" si="693"/>
        <v>NDI-5503-A</v>
      </c>
      <c r="U5550" s="403">
        <f t="shared" si="694"/>
        <v>1</v>
      </c>
      <c r="V5550" s="403" t="str">
        <f t="shared" si="695"/>
        <v>CPP_7_3</v>
      </c>
    </row>
    <row r="5551" spans="1:22">
      <c r="A5551" t="str">
        <f t="shared" si="688"/>
        <v>NDI-5503-A</v>
      </c>
      <c r="B5551" s="403" t="s">
        <v>1426</v>
      </c>
      <c r="C5551" s="403" t="s">
        <v>582</v>
      </c>
      <c r="D5551" s="403" t="s">
        <v>1427</v>
      </c>
      <c r="E5551" s="403" t="s">
        <v>778</v>
      </c>
      <c r="F5551" s="403" t="s">
        <v>1385</v>
      </c>
      <c r="G5551" s="403" t="s">
        <v>1466</v>
      </c>
      <c r="H5551" s="403" t="s">
        <v>1276</v>
      </c>
      <c r="I5551" s="403">
        <v>1</v>
      </c>
      <c r="J5551" s="403" t="s">
        <v>1373</v>
      </c>
      <c r="K5551" s="403">
        <v>2688</v>
      </c>
      <c r="L5551" s="403">
        <v>1512</v>
      </c>
      <c r="M5551" s="403" t="s">
        <v>1384</v>
      </c>
      <c r="N5551" s="403">
        <v>2688</v>
      </c>
      <c r="O5551" s="403">
        <v>1512</v>
      </c>
      <c r="P5551" t="str">
        <f t="shared" si="689"/>
        <v>25fps 2688x1512 - 2688x1512 @ SKIP 2</v>
      </c>
      <c r="Q5551">
        <f t="shared" si="690"/>
        <v>24</v>
      </c>
      <c r="R5551" t="str">
        <f t="shared" si="691"/>
        <v/>
      </c>
      <c r="S5551" t="str">
        <f t="shared" si="692"/>
        <v/>
      </c>
      <c r="T5551" s="403" t="str">
        <f t="shared" si="693"/>
        <v>NDI-5503-A</v>
      </c>
      <c r="U5551" s="403">
        <f t="shared" si="694"/>
        <v>1</v>
      </c>
      <c r="V5551" s="403" t="str">
        <f t="shared" si="695"/>
        <v>CPP_7_3</v>
      </c>
    </row>
    <row r="5552" spans="1:22">
      <c r="A5552" t="str">
        <f t="shared" si="688"/>
        <v>NDI-5503-A</v>
      </c>
      <c r="B5552" s="403" t="s">
        <v>1426</v>
      </c>
      <c r="C5552" s="403" t="s">
        <v>582</v>
      </c>
      <c r="D5552" s="403" t="s">
        <v>1427</v>
      </c>
      <c r="E5552" s="403" t="s">
        <v>778</v>
      </c>
      <c r="F5552" s="403" t="s">
        <v>1385</v>
      </c>
      <c r="G5552" s="403" t="s">
        <v>1466</v>
      </c>
      <c r="H5552" s="403" t="s">
        <v>1276</v>
      </c>
      <c r="I5552" s="403">
        <v>1</v>
      </c>
      <c r="J5552" s="403" t="s">
        <v>1373</v>
      </c>
      <c r="K5552" s="403">
        <v>2688</v>
      </c>
      <c r="L5552" s="403">
        <v>1512</v>
      </c>
      <c r="M5552" s="403" t="s">
        <v>109</v>
      </c>
      <c r="N5552" s="403">
        <v>1280</v>
      </c>
      <c r="O5552" s="403">
        <v>720</v>
      </c>
      <c r="P5552" t="str">
        <f t="shared" si="689"/>
        <v>25fps 2688x1512 - 720p</v>
      </c>
      <c r="Q5552">
        <f t="shared" si="690"/>
        <v>24</v>
      </c>
      <c r="R5552" t="str">
        <f t="shared" si="691"/>
        <v/>
      </c>
      <c r="S5552" t="str">
        <f t="shared" si="692"/>
        <v/>
      </c>
      <c r="T5552" s="403" t="str">
        <f t="shared" si="693"/>
        <v>NDI-5503-A</v>
      </c>
      <c r="U5552" s="403">
        <f t="shared" si="694"/>
        <v>1</v>
      </c>
      <c r="V5552" s="403" t="str">
        <f t="shared" si="695"/>
        <v>CPP_7_3</v>
      </c>
    </row>
    <row r="5553" spans="1:22">
      <c r="A5553" t="str">
        <f t="shared" si="688"/>
        <v>NDI-5503-A</v>
      </c>
      <c r="B5553" s="403" t="s">
        <v>1426</v>
      </c>
      <c r="C5553" s="403" t="s">
        <v>582</v>
      </c>
      <c r="D5553" s="403" t="s">
        <v>1427</v>
      </c>
      <c r="E5553" s="403" t="s">
        <v>778</v>
      </c>
      <c r="F5553" s="403" t="s">
        <v>1385</v>
      </c>
      <c r="G5553" s="403" t="s">
        <v>1466</v>
      </c>
      <c r="H5553" s="403" t="s">
        <v>1276</v>
      </c>
      <c r="I5553" s="403">
        <v>1</v>
      </c>
      <c r="J5553" s="403" t="s">
        <v>1373</v>
      </c>
      <c r="K5553" s="403">
        <v>2688</v>
      </c>
      <c r="L5553" s="403">
        <v>1512</v>
      </c>
      <c r="M5553" s="403" t="s">
        <v>111</v>
      </c>
      <c r="N5553" s="403">
        <v>768</v>
      </c>
      <c r="O5553" s="403">
        <v>432</v>
      </c>
      <c r="P5553" t="str">
        <f t="shared" si="689"/>
        <v>25fps 2688x1512 - SD</v>
      </c>
      <c r="Q5553">
        <f t="shared" si="690"/>
        <v>24</v>
      </c>
      <c r="R5553" t="str">
        <f t="shared" si="691"/>
        <v/>
      </c>
      <c r="S5553" t="str">
        <f t="shared" si="692"/>
        <v/>
      </c>
      <c r="T5553" s="403" t="str">
        <f t="shared" si="693"/>
        <v>NDI-5503-A</v>
      </c>
      <c r="U5553" s="403">
        <f t="shared" si="694"/>
        <v>1</v>
      </c>
      <c r="V5553" s="403" t="str">
        <f t="shared" si="695"/>
        <v>CPP_7_3</v>
      </c>
    </row>
    <row r="5554" spans="1:22">
      <c r="A5554" t="str">
        <f t="shared" si="688"/>
        <v>NDI-5503-A</v>
      </c>
      <c r="B5554" s="403" t="s">
        <v>1426</v>
      </c>
      <c r="C5554" s="403" t="s">
        <v>582</v>
      </c>
      <c r="D5554" s="403" t="s">
        <v>1427</v>
      </c>
      <c r="E5554" s="403" t="s">
        <v>778</v>
      </c>
      <c r="F5554" s="403" t="s">
        <v>1385</v>
      </c>
      <c r="G5554" s="403" t="s">
        <v>1466</v>
      </c>
      <c r="H5554" s="403" t="s">
        <v>1276</v>
      </c>
      <c r="I5554" s="403">
        <v>1</v>
      </c>
      <c r="J5554" s="403" t="s">
        <v>1373</v>
      </c>
      <c r="K5554" s="403">
        <v>2688</v>
      </c>
      <c r="L5554" s="403">
        <v>1512</v>
      </c>
      <c r="M5554" s="403" t="s">
        <v>1279</v>
      </c>
      <c r="N5554" s="403">
        <v>768</v>
      </c>
      <c r="O5554" s="403">
        <v>432</v>
      </c>
      <c r="P5554" t="str">
        <f t="shared" si="689"/>
        <v>25fps 2688x1512 - SD ROI PTZ</v>
      </c>
      <c r="Q5554">
        <f t="shared" si="690"/>
        <v>24</v>
      </c>
      <c r="R5554" t="str">
        <f t="shared" si="691"/>
        <v/>
      </c>
      <c r="S5554" t="str">
        <f t="shared" si="692"/>
        <v/>
      </c>
      <c r="T5554" s="403" t="str">
        <f t="shared" si="693"/>
        <v>NDI-5503-A</v>
      </c>
      <c r="U5554" s="403">
        <f t="shared" si="694"/>
        <v>1</v>
      </c>
      <c r="V5554" s="403" t="str">
        <f t="shared" si="695"/>
        <v>CPP_7_3</v>
      </c>
    </row>
    <row r="5555" spans="1:22">
      <c r="A5555" t="str">
        <f t="shared" si="688"/>
        <v>NDI-5503-A</v>
      </c>
      <c r="B5555" s="403" t="s">
        <v>1426</v>
      </c>
      <c r="C5555" s="403" t="s">
        <v>582</v>
      </c>
      <c r="D5555" s="403" t="s">
        <v>1427</v>
      </c>
      <c r="E5555" s="403" t="s">
        <v>778</v>
      </c>
      <c r="F5555" s="403" t="s">
        <v>1385</v>
      </c>
      <c r="G5555" s="403" t="s">
        <v>1466</v>
      </c>
      <c r="H5555" s="403" t="s">
        <v>1276</v>
      </c>
      <c r="I5555" s="403">
        <v>1</v>
      </c>
      <c r="J5555" s="403" t="s">
        <v>1373</v>
      </c>
      <c r="K5555" s="403">
        <v>2688</v>
      </c>
      <c r="L5555" s="403">
        <v>1512</v>
      </c>
      <c r="M5555" s="403" t="s">
        <v>1285</v>
      </c>
      <c r="N5555" s="403">
        <v>1280</v>
      </c>
      <c r="O5555" s="403">
        <v>1024</v>
      </c>
      <c r="P5555" t="str">
        <f t="shared" si="689"/>
        <v>25fps 2688x1512 - 1280x1024 5:4 (cropped)</v>
      </c>
      <c r="Q5555">
        <f t="shared" si="690"/>
        <v>24</v>
      </c>
      <c r="R5555" t="str">
        <f t="shared" si="691"/>
        <v/>
      </c>
      <c r="S5555" t="str">
        <f t="shared" si="692"/>
        <v/>
      </c>
      <c r="T5555" s="403" t="str">
        <f t="shared" si="693"/>
        <v>NDI-5503-A</v>
      </c>
      <c r="U5555" s="403">
        <f t="shared" si="694"/>
        <v>1</v>
      </c>
      <c r="V5555" s="403" t="str">
        <f t="shared" si="695"/>
        <v>CPP_7_3</v>
      </c>
    </row>
    <row r="5556" spans="1:22">
      <c r="A5556" t="str">
        <f t="shared" si="688"/>
        <v>NDI-5503-A</v>
      </c>
      <c r="B5556" s="403" t="s">
        <v>1426</v>
      </c>
      <c r="C5556" s="403" t="s">
        <v>582</v>
      </c>
      <c r="D5556" s="403" t="s">
        <v>1427</v>
      </c>
      <c r="E5556" s="403" t="s">
        <v>778</v>
      </c>
      <c r="F5556" s="403" t="s">
        <v>1385</v>
      </c>
      <c r="G5556" s="403" t="s">
        <v>1466</v>
      </c>
      <c r="H5556" s="403" t="s">
        <v>1276</v>
      </c>
      <c r="I5556" s="403">
        <v>1</v>
      </c>
      <c r="J5556" s="403" t="s">
        <v>1373</v>
      </c>
      <c r="K5556" s="403">
        <v>2688</v>
      </c>
      <c r="L5556" s="403">
        <v>1512</v>
      </c>
      <c r="M5556" s="403" t="s">
        <v>1283</v>
      </c>
      <c r="N5556" s="403">
        <v>720</v>
      </c>
      <c r="O5556" s="403">
        <v>576</v>
      </c>
      <c r="P5556" t="str">
        <f t="shared" si="689"/>
        <v>25fps 2688x1512 - SD 4CIF resolution 4:3 format (cropped)</v>
      </c>
      <c r="Q5556">
        <f t="shared" si="690"/>
        <v>24</v>
      </c>
      <c r="R5556" t="str">
        <f t="shared" si="691"/>
        <v/>
      </c>
      <c r="S5556" t="str">
        <f t="shared" si="692"/>
        <v/>
      </c>
      <c r="T5556" s="403" t="str">
        <f t="shared" si="693"/>
        <v>NDI-5503-A</v>
      </c>
      <c r="U5556" s="403">
        <f t="shared" si="694"/>
        <v>1</v>
      </c>
      <c r="V5556" s="403" t="str">
        <f t="shared" si="695"/>
        <v>CPP_7_3</v>
      </c>
    </row>
    <row r="5557" spans="1:22">
      <c r="A5557" t="str">
        <f t="shared" si="688"/>
        <v>NDI-5503-A</v>
      </c>
      <c r="B5557" s="403" t="s">
        <v>1426</v>
      </c>
      <c r="C5557" s="403" t="s">
        <v>582</v>
      </c>
      <c r="D5557" s="403" t="s">
        <v>1427</v>
      </c>
      <c r="E5557" s="403" t="s">
        <v>778</v>
      </c>
      <c r="F5557" s="403" t="s">
        <v>1385</v>
      </c>
      <c r="G5557" s="403" t="s">
        <v>1466</v>
      </c>
      <c r="H5557" s="403" t="s">
        <v>1276</v>
      </c>
      <c r="I5557" s="403">
        <v>1</v>
      </c>
      <c r="J5557" s="403" t="s">
        <v>1373</v>
      </c>
      <c r="K5557" s="403">
        <v>2688</v>
      </c>
      <c r="L5557" s="403">
        <v>1512</v>
      </c>
      <c r="M5557" s="403" t="s">
        <v>1284</v>
      </c>
      <c r="N5557" s="403">
        <v>640</v>
      </c>
      <c r="O5557" s="403">
        <v>480</v>
      </c>
      <c r="P5557" t="str">
        <f t="shared" si="689"/>
        <v>25fps 2688x1512 - SD VGA (cropped)</v>
      </c>
      <c r="Q5557">
        <f t="shared" si="690"/>
        <v>24</v>
      </c>
      <c r="R5557" t="str">
        <f t="shared" si="691"/>
        <v/>
      </c>
      <c r="S5557" t="str">
        <f t="shared" si="692"/>
        <v/>
      </c>
      <c r="T5557" s="403" t="str">
        <f t="shared" si="693"/>
        <v>NDI-5503-A</v>
      </c>
      <c r="U5557" s="403">
        <f t="shared" si="694"/>
        <v>1</v>
      </c>
      <c r="V5557" s="403" t="str">
        <f t="shared" si="695"/>
        <v>CPP_7_3</v>
      </c>
    </row>
    <row r="5558" spans="1:22">
      <c r="A5558" t="str">
        <f t="shared" si="688"/>
        <v>NDI-5503-A</v>
      </c>
      <c r="B5558" s="403" t="s">
        <v>1426</v>
      </c>
      <c r="C5558" s="403" t="s">
        <v>582</v>
      </c>
      <c r="D5558" s="403" t="s">
        <v>1427</v>
      </c>
      <c r="E5558" s="403" t="s">
        <v>778</v>
      </c>
      <c r="F5558" s="403" t="s">
        <v>1385</v>
      </c>
      <c r="G5558" s="403" t="s">
        <v>1466</v>
      </c>
      <c r="H5558" s="403" t="s">
        <v>1276</v>
      </c>
      <c r="I5558" s="403">
        <v>1</v>
      </c>
      <c r="J5558" s="403" t="s">
        <v>1373</v>
      </c>
      <c r="K5558" s="403">
        <v>2688</v>
      </c>
      <c r="L5558" s="403">
        <v>1512</v>
      </c>
      <c r="M5558" s="403" t="s">
        <v>1280</v>
      </c>
      <c r="N5558" s="403">
        <v>2688</v>
      </c>
      <c r="O5558" s="403">
        <v>1512</v>
      </c>
      <c r="P5558" t="str">
        <f t="shared" si="689"/>
        <v>25fps 2688x1512 - copy other stream</v>
      </c>
      <c r="Q5558">
        <f t="shared" si="690"/>
        <v>24</v>
      </c>
      <c r="R5558" t="str">
        <f t="shared" si="691"/>
        <v/>
      </c>
      <c r="S5558" t="str">
        <f t="shared" si="692"/>
        <v/>
      </c>
      <c r="T5558" s="403" t="str">
        <f t="shared" si="693"/>
        <v>NDI-5503-A</v>
      </c>
      <c r="U5558" s="403">
        <f t="shared" si="694"/>
        <v>1</v>
      </c>
      <c r="V5558" s="403" t="str">
        <f t="shared" si="695"/>
        <v>CPP_7_3</v>
      </c>
    </row>
    <row r="5559" spans="1:22">
      <c r="A5559" t="str">
        <f t="shared" si="688"/>
        <v>NDI-5503-A</v>
      </c>
      <c r="B5559" s="403" t="s">
        <v>1426</v>
      </c>
      <c r="C5559" s="403" t="s">
        <v>582</v>
      </c>
      <c r="D5559" s="403" t="s">
        <v>1427</v>
      </c>
      <c r="E5559" s="403" t="s">
        <v>778</v>
      </c>
      <c r="F5559" s="403" t="s">
        <v>1385</v>
      </c>
      <c r="G5559" s="403" t="s">
        <v>1466</v>
      </c>
      <c r="H5559" s="403" t="s">
        <v>1276</v>
      </c>
      <c r="I5559" s="403">
        <v>1</v>
      </c>
      <c r="J5559" s="403" t="s">
        <v>1374</v>
      </c>
      <c r="K5559" s="403">
        <v>2304</v>
      </c>
      <c r="L5559" s="403">
        <v>1296</v>
      </c>
      <c r="M5559" s="403" t="s">
        <v>110</v>
      </c>
      <c r="N5559" s="403">
        <v>1920</v>
      </c>
      <c r="O5559" s="403">
        <v>1080</v>
      </c>
      <c r="P5559" t="str">
        <f t="shared" si="689"/>
        <v>25fps 2304x1296 - 1080p</v>
      </c>
      <c r="Q5559">
        <f t="shared" si="690"/>
        <v>24</v>
      </c>
      <c r="R5559" t="str">
        <f t="shared" si="691"/>
        <v/>
      </c>
      <c r="S5559" t="str">
        <f t="shared" si="692"/>
        <v/>
      </c>
      <c r="T5559" s="403" t="str">
        <f t="shared" si="693"/>
        <v>NDI-5503-A</v>
      </c>
      <c r="U5559" s="403">
        <f t="shared" si="694"/>
        <v>1</v>
      </c>
      <c r="V5559" s="403" t="str">
        <f t="shared" si="695"/>
        <v>CPP_7_3</v>
      </c>
    </row>
    <row r="5560" spans="1:22">
      <c r="A5560" t="str">
        <f t="shared" si="688"/>
        <v>NDI-5503-A</v>
      </c>
      <c r="B5560" s="403" t="s">
        <v>1426</v>
      </c>
      <c r="C5560" s="403" t="s">
        <v>582</v>
      </c>
      <c r="D5560" s="403" t="s">
        <v>1427</v>
      </c>
      <c r="E5560" s="403" t="s">
        <v>778</v>
      </c>
      <c r="F5560" s="403" t="s">
        <v>1385</v>
      </c>
      <c r="G5560" s="403" t="s">
        <v>1466</v>
      </c>
      <c r="H5560" s="403" t="s">
        <v>1276</v>
      </c>
      <c r="I5560" s="403">
        <v>1</v>
      </c>
      <c r="J5560" s="403" t="s">
        <v>1374</v>
      </c>
      <c r="K5560" s="403">
        <v>2304</v>
      </c>
      <c r="L5560" s="403">
        <v>1296</v>
      </c>
      <c r="M5560" s="403" t="s">
        <v>1374</v>
      </c>
      <c r="N5560" s="403">
        <v>2304</v>
      </c>
      <c r="O5560" s="403">
        <v>1296</v>
      </c>
      <c r="P5560" t="str">
        <f t="shared" si="689"/>
        <v>25fps 2304x1296 - 2304x1296</v>
      </c>
      <c r="Q5560">
        <f t="shared" si="690"/>
        <v>24</v>
      </c>
      <c r="R5560" t="str">
        <f t="shared" si="691"/>
        <v/>
      </c>
      <c r="S5560" t="str">
        <f t="shared" si="692"/>
        <v/>
      </c>
      <c r="T5560" s="403" t="str">
        <f t="shared" si="693"/>
        <v>NDI-5503-A</v>
      </c>
      <c r="U5560" s="403">
        <f t="shared" si="694"/>
        <v>1</v>
      </c>
      <c r="V5560" s="403" t="str">
        <f t="shared" si="695"/>
        <v>CPP_7_3</v>
      </c>
    </row>
    <row r="5561" spans="1:22">
      <c r="A5561" t="str">
        <f t="shared" si="688"/>
        <v>NDI-5503-A</v>
      </c>
      <c r="B5561" s="403" t="s">
        <v>1426</v>
      </c>
      <c r="C5561" s="403" t="s">
        <v>582</v>
      </c>
      <c r="D5561" s="403" t="s">
        <v>1427</v>
      </c>
      <c r="E5561" s="403" t="s">
        <v>778</v>
      </c>
      <c r="F5561" s="403" t="s">
        <v>1385</v>
      </c>
      <c r="G5561" s="403" t="s">
        <v>1466</v>
      </c>
      <c r="H5561" s="403" t="s">
        <v>1276</v>
      </c>
      <c r="I5561" s="403">
        <v>1</v>
      </c>
      <c r="J5561" s="403" t="s">
        <v>1374</v>
      </c>
      <c r="K5561" s="403">
        <v>2304</v>
      </c>
      <c r="L5561" s="403">
        <v>1296</v>
      </c>
      <c r="M5561" s="403" t="s">
        <v>109</v>
      </c>
      <c r="N5561" s="403">
        <v>1280</v>
      </c>
      <c r="O5561" s="403">
        <v>720</v>
      </c>
      <c r="P5561" t="str">
        <f t="shared" si="689"/>
        <v>25fps 2304x1296 - 720p</v>
      </c>
      <c r="Q5561">
        <f t="shared" si="690"/>
        <v>24</v>
      </c>
      <c r="R5561" t="str">
        <f t="shared" si="691"/>
        <v/>
      </c>
      <c r="S5561" t="str">
        <f t="shared" si="692"/>
        <v/>
      </c>
      <c r="T5561" s="403" t="str">
        <f t="shared" si="693"/>
        <v>NDI-5503-A</v>
      </c>
      <c r="U5561" s="403">
        <f t="shared" si="694"/>
        <v>1</v>
      </c>
      <c r="V5561" s="403" t="str">
        <f t="shared" si="695"/>
        <v>CPP_7_3</v>
      </c>
    </row>
    <row r="5562" spans="1:22">
      <c r="A5562" t="str">
        <f t="shared" si="688"/>
        <v>NDI-5503-A</v>
      </c>
      <c r="B5562" s="403" t="s">
        <v>1426</v>
      </c>
      <c r="C5562" s="403" t="s">
        <v>582</v>
      </c>
      <c r="D5562" s="403" t="s">
        <v>1427</v>
      </c>
      <c r="E5562" s="403" t="s">
        <v>778</v>
      </c>
      <c r="F5562" s="403" t="s">
        <v>1385</v>
      </c>
      <c r="G5562" s="403" t="s">
        <v>1466</v>
      </c>
      <c r="H5562" s="403" t="s">
        <v>1276</v>
      </c>
      <c r="I5562" s="403">
        <v>1</v>
      </c>
      <c r="J5562" s="403" t="s">
        <v>1374</v>
      </c>
      <c r="K5562" s="403">
        <v>2304</v>
      </c>
      <c r="L5562" s="403">
        <v>1296</v>
      </c>
      <c r="M5562" s="403" t="s">
        <v>111</v>
      </c>
      <c r="N5562" s="403">
        <v>768</v>
      </c>
      <c r="O5562" s="403">
        <v>432</v>
      </c>
      <c r="P5562" t="str">
        <f t="shared" si="689"/>
        <v>25fps 2304x1296 - SD</v>
      </c>
      <c r="Q5562">
        <f t="shared" si="690"/>
        <v>24</v>
      </c>
      <c r="R5562" t="str">
        <f t="shared" si="691"/>
        <v/>
      </c>
      <c r="S5562" t="str">
        <f t="shared" si="692"/>
        <v/>
      </c>
      <c r="T5562" s="403" t="str">
        <f t="shared" si="693"/>
        <v>NDI-5503-A</v>
      </c>
      <c r="U5562" s="403">
        <f t="shared" si="694"/>
        <v>1</v>
      </c>
      <c r="V5562" s="403" t="str">
        <f t="shared" si="695"/>
        <v>CPP_7_3</v>
      </c>
    </row>
    <row r="5563" spans="1:22">
      <c r="A5563" t="str">
        <f t="shared" si="688"/>
        <v>NDI-5503-A</v>
      </c>
      <c r="B5563" s="403" t="s">
        <v>1426</v>
      </c>
      <c r="C5563" s="403" t="s">
        <v>582</v>
      </c>
      <c r="D5563" s="403" t="s">
        <v>1427</v>
      </c>
      <c r="E5563" s="403" t="s">
        <v>778</v>
      </c>
      <c r="F5563" s="403" t="s">
        <v>1385</v>
      </c>
      <c r="G5563" s="403" t="s">
        <v>1466</v>
      </c>
      <c r="H5563" s="403" t="s">
        <v>1276</v>
      </c>
      <c r="I5563" s="403">
        <v>1</v>
      </c>
      <c r="J5563" s="403" t="s">
        <v>1374</v>
      </c>
      <c r="K5563" s="403">
        <v>2304</v>
      </c>
      <c r="L5563" s="403">
        <v>1296</v>
      </c>
      <c r="M5563" s="403" t="s">
        <v>1279</v>
      </c>
      <c r="N5563" s="403">
        <v>768</v>
      </c>
      <c r="O5563" s="403">
        <v>432</v>
      </c>
      <c r="P5563" t="str">
        <f t="shared" si="689"/>
        <v>25fps 2304x1296 - SD ROI PTZ</v>
      </c>
      <c r="Q5563">
        <f t="shared" si="690"/>
        <v>24</v>
      </c>
      <c r="R5563" t="str">
        <f t="shared" si="691"/>
        <v/>
      </c>
      <c r="S5563" t="str">
        <f t="shared" si="692"/>
        <v/>
      </c>
      <c r="T5563" s="403" t="str">
        <f t="shared" si="693"/>
        <v>NDI-5503-A</v>
      </c>
      <c r="U5563" s="403">
        <f t="shared" si="694"/>
        <v>1</v>
      </c>
      <c r="V5563" s="403" t="str">
        <f t="shared" si="695"/>
        <v>CPP_7_3</v>
      </c>
    </row>
    <row r="5564" spans="1:22">
      <c r="A5564" t="str">
        <f t="shared" si="688"/>
        <v>NDI-5503-A</v>
      </c>
      <c r="B5564" s="403" t="s">
        <v>1426</v>
      </c>
      <c r="C5564" s="403" t="s">
        <v>582</v>
      </c>
      <c r="D5564" s="403" t="s">
        <v>1427</v>
      </c>
      <c r="E5564" s="403" t="s">
        <v>778</v>
      </c>
      <c r="F5564" s="403" t="s">
        <v>1385</v>
      </c>
      <c r="G5564" s="403" t="s">
        <v>1466</v>
      </c>
      <c r="H5564" s="403" t="s">
        <v>1276</v>
      </c>
      <c r="I5564" s="403">
        <v>1</v>
      </c>
      <c r="J5564" s="403" t="s">
        <v>1374</v>
      </c>
      <c r="K5564" s="403">
        <v>2304</v>
      </c>
      <c r="L5564" s="403">
        <v>1296</v>
      </c>
      <c r="M5564" s="403" t="s">
        <v>1285</v>
      </c>
      <c r="N5564" s="403">
        <v>1280</v>
      </c>
      <c r="O5564" s="403">
        <v>1024</v>
      </c>
      <c r="P5564" t="str">
        <f t="shared" si="689"/>
        <v>25fps 2304x1296 - 1280x1024 5:4 (cropped)</v>
      </c>
      <c r="Q5564">
        <f t="shared" si="690"/>
        <v>24</v>
      </c>
      <c r="R5564" t="str">
        <f t="shared" si="691"/>
        <v/>
      </c>
      <c r="S5564" t="str">
        <f t="shared" si="692"/>
        <v/>
      </c>
      <c r="T5564" s="403" t="str">
        <f t="shared" si="693"/>
        <v>NDI-5503-A</v>
      </c>
      <c r="U5564" s="403">
        <f t="shared" si="694"/>
        <v>1</v>
      </c>
      <c r="V5564" s="403" t="str">
        <f t="shared" si="695"/>
        <v>CPP_7_3</v>
      </c>
    </row>
    <row r="5565" spans="1:22">
      <c r="A5565" t="str">
        <f t="shared" si="688"/>
        <v>NDI-5503-A</v>
      </c>
      <c r="B5565" s="403" t="s">
        <v>1426</v>
      </c>
      <c r="C5565" s="403" t="s">
        <v>582</v>
      </c>
      <c r="D5565" s="403" t="s">
        <v>1427</v>
      </c>
      <c r="E5565" s="403" t="s">
        <v>778</v>
      </c>
      <c r="F5565" s="403" t="s">
        <v>1385</v>
      </c>
      <c r="G5565" s="403" t="s">
        <v>1466</v>
      </c>
      <c r="H5565" s="403" t="s">
        <v>1276</v>
      </c>
      <c r="I5565" s="403">
        <v>1</v>
      </c>
      <c r="J5565" s="403" t="s">
        <v>1374</v>
      </c>
      <c r="K5565" s="403">
        <v>2304</v>
      </c>
      <c r="L5565" s="403">
        <v>1296</v>
      </c>
      <c r="M5565" s="403" t="s">
        <v>1283</v>
      </c>
      <c r="N5565" s="403">
        <v>720</v>
      </c>
      <c r="O5565" s="403">
        <v>576</v>
      </c>
      <c r="P5565" t="str">
        <f t="shared" si="689"/>
        <v>25fps 2304x1296 - SD 4CIF resolution 4:3 format (cropped)</v>
      </c>
      <c r="Q5565">
        <f t="shared" si="690"/>
        <v>24</v>
      </c>
      <c r="R5565" t="str">
        <f t="shared" si="691"/>
        <v/>
      </c>
      <c r="S5565" t="str">
        <f t="shared" si="692"/>
        <v/>
      </c>
      <c r="T5565" s="403" t="str">
        <f t="shared" si="693"/>
        <v>NDI-5503-A</v>
      </c>
      <c r="U5565" s="403">
        <f t="shared" si="694"/>
        <v>1</v>
      </c>
      <c r="V5565" s="403" t="str">
        <f t="shared" si="695"/>
        <v>CPP_7_3</v>
      </c>
    </row>
    <row r="5566" spans="1:22">
      <c r="A5566" t="str">
        <f t="shared" si="688"/>
        <v>NDI-5503-A</v>
      </c>
      <c r="B5566" s="403" t="s">
        <v>1426</v>
      </c>
      <c r="C5566" s="403" t="s">
        <v>582</v>
      </c>
      <c r="D5566" s="403" t="s">
        <v>1427</v>
      </c>
      <c r="E5566" s="403" t="s">
        <v>778</v>
      </c>
      <c r="F5566" s="403" t="s">
        <v>1385</v>
      </c>
      <c r="G5566" s="403" t="s">
        <v>1466</v>
      </c>
      <c r="H5566" s="403" t="s">
        <v>1276</v>
      </c>
      <c r="I5566" s="403">
        <v>1</v>
      </c>
      <c r="J5566" s="403" t="s">
        <v>1374</v>
      </c>
      <c r="K5566" s="403">
        <v>2304</v>
      </c>
      <c r="L5566" s="403">
        <v>1296</v>
      </c>
      <c r="M5566" s="403" t="s">
        <v>1284</v>
      </c>
      <c r="N5566" s="403">
        <v>640</v>
      </c>
      <c r="O5566" s="403">
        <v>480</v>
      </c>
      <c r="P5566" t="str">
        <f t="shared" si="689"/>
        <v>25fps 2304x1296 - SD VGA (cropped)</v>
      </c>
      <c r="Q5566">
        <f t="shared" si="690"/>
        <v>24</v>
      </c>
      <c r="R5566" t="str">
        <f t="shared" si="691"/>
        <v/>
      </c>
      <c r="S5566" t="str">
        <f t="shared" si="692"/>
        <v/>
      </c>
      <c r="T5566" s="403" t="str">
        <f t="shared" si="693"/>
        <v>NDI-5503-A</v>
      </c>
      <c r="U5566" s="403">
        <f t="shared" si="694"/>
        <v>1</v>
      </c>
      <c r="V5566" s="403" t="str">
        <f t="shared" si="695"/>
        <v>CPP_7_3</v>
      </c>
    </row>
    <row r="5567" spans="1:22">
      <c r="A5567" t="str">
        <f t="shared" si="688"/>
        <v>NDI-5503-A</v>
      </c>
      <c r="B5567" s="403" t="s">
        <v>1426</v>
      </c>
      <c r="C5567" s="403" t="s">
        <v>582</v>
      </c>
      <c r="D5567" s="403" t="s">
        <v>1427</v>
      </c>
      <c r="E5567" s="403" t="s">
        <v>778</v>
      </c>
      <c r="F5567" s="403" t="s">
        <v>1385</v>
      </c>
      <c r="G5567" s="403" t="s">
        <v>1466</v>
      </c>
      <c r="H5567" s="403" t="s">
        <v>1276</v>
      </c>
      <c r="I5567" s="403">
        <v>1</v>
      </c>
      <c r="J5567" s="403" t="s">
        <v>1374</v>
      </c>
      <c r="K5567" s="403">
        <v>2304</v>
      </c>
      <c r="L5567" s="403">
        <v>1296</v>
      </c>
      <c r="M5567" s="403" t="s">
        <v>1280</v>
      </c>
      <c r="N5567" s="403">
        <v>2304</v>
      </c>
      <c r="O5567" s="403">
        <v>1296</v>
      </c>
      <c r="P5567" t="str">
        <f t="shared" si="689"/>
        <v>25fps 2304x1296 - copy other stream</v>
      </c>
      <c r="Q5567">
        <f t="shared" si="690"/>
        <v>24</v>
      </c>
      <c r="R5567" t="str">
        <f t="shared" si="691"/>
        <v/>
      </c>
      <c r="S5567" t="str">
        <f t="shared" si="692"/>
        <v/>
      </c>
      <c r="T5567" s="403" t="str">
        <f t="shared" si="693"/>
        <v>NDI-5503-A</v>
      </c>
      <c r="U5567" s="403">
        <f t="shared" si="694"/>
        <v>1</v>
      </c>
      <c r="V5567" s="403" t="str">
        <f t="shared" si="695"/>
        <v>CPP_7_3</v>
      </c>
    </row>
    <row r="5568" spans="1:22">
      <c r="A5568" t="str">
        <f t="shared" si="688"/>
        <v>NDI-5503-A</v>
      </c>
      <c r="B5568" s="403" t="s">
        <v>1426</v>
      </c>
      <c r="C5568" s="403" t="s">
        <v>582</v>
      </c>
      <c r="D5568" s="403" t="s">
        <v>1427</v>
      </c>
      <c r="E5568" s="403" t="s">
        <v>778</v>
      </c>
      <c r="F5568" s="403" t="s">
        <v>1385</v>
      </c>
      <c r="G5568" s="403" t="s">
        <v>1466</v>
      </c>
      <c r="H5568" s="403" t="s">
        <v>1276</v>
      </c>
      <c r="I5568" s="403">
        <v>1</v>
      </c>
      <c r="J5568" s="403" t="s">
        <v>110</v>
      </c>
      <c r="K5568" s="403">
        <v>1920</v>
      </c>
      <c r="L5568" s="403">
        <v>1080</v>
      </c>
      <c r="M5568" s="403" t="s">
        <v>111</v>
      </c>
      <c r="N5568" s="403">
        <v>768</v>
      </c>
      <c r="O5568" s="403">
        <v>432</v>
      </c>
      <c r="P5568" t="str">
        <f t="shared" si="689"/>
        <v>25fps 1080p - SD</v>
      </c>
      <c r="Q5568">
        <f t="shared" si="690"/>
        <v>24</v>
      </c>
      <c r="R5568" t="str">
        <f t="shared" si="691"/>
        <v/>
      </c>
      <c r="S5568" t="str">
        <f t="shared" si="692"/>
        <v/>
      </c>
      <c r="T5568" s="403" t="str">
        <f t="shared" si="693"/>
        <v>NDI-5503-A</v>
      </c>
      <c r="U5568" s="403">
        <f t="shared" si="694"/>
        <v>1</v>
      </c>
      <c r="V5568" s="403" t="str">
        <f t="shared" si="695"/>
        <v>CPP_7_3</v>
      </c>
    </row>
    <row r="5569" spans="1:22">
      <c r="A5569" t="str">
        <f t="shared" si="688"/>
        <v>NDI-5503-A</v>
      </c>
      <c r="B5569" s="403" t="s">
        <v>1426</v>
      </c>
      <c r="C5569" s="403" t="s">
        <v>582</v>
      </c>
      <c r="D5569" s="403" t="s">
        <v>1427</v>
      </c>
      <c r="E5569" s="403" t="s">
        <v>778</v>
      </c>
      <c r="F5569" s="403" t="s">
        <v>1385</v>
      </c>
      <c r="G5569" s="403" t="s">
        <v>1466</v>
      </c>
      <c r="H5569" s="403" t="s">
        <v>1276</v>
      </c>
      <c r="I5569" s="403">
        <v>1</v>
      </c>
      <c r="J5569" s="403" t="s">
        <v>110</v>
      </c>
      <c r="K5569" s="403">
        <v>1920</v>
      </c>
      <c r="L5569" s="403">
        <v>1080</v>
      </c>
      <c r="M5569" s="403" t="s">
        <v>110</v>
      </c>
      <c r="N5569" s="403">
        <v>1920</v>
      </c>
      <c r="O5569" s="403">
        <v>1080</v>
      </c>
      <c r="P5569" t="str">
        <f t="shared" si="689"/>
        <v>25fps 1080p - 1080p</v>
      </c>
      <c r="Q5569">
        <f t="shared" si="690"/>
        <v>24</v>
      </c>
      <c r="R5569" t="str">
        <f t="shared" si="691"/>
        <v/>
      </c>
      <c r="S5569" t="str">
        <f t="shared" si="692"/>
        <v/>
      </c>
      <c r="T5569" s="403" t="str">
        <f t="shared" si="693"/>
        <v>NDI-5503-A</v>
      </c>
      <c r="U5569" s="403">
        <f t="shared" si="694"/>
        <v>1</v>
      </c>
      <c r="V5569" s="403" t="str">
        <f t="shared" si="695"/>
        <v>CPP_7_3</v>
      </c>
    </row>
    <row r="5570" spans="1:22">
      <c r="A5570" t="str">
        <f t="shared" ref="A5570:A5633" si="696">IF(AND(G5570&lt;&gt;"rotate 90°"),D5570,"")</f>
        <v>NDI-5503-A</v>
      </c>
      <c r="B5570" s="403" t="s">
        <v>1426</v>
      </c>
      <c r="C5570" s="403" t="s">
        <v>582</v>
      </c>
      <c r="D5570" s="403" t="s">
        <v>1427</v>
      </c>
      <c r="E5570" s="403" t="s">
        <v>778</v>
      </c>
      <c r="F5570" s="403" t="s">
        <v>1385</v>
      </c>
      <c r="G5570" s="403" t="s">
        <v>1466</v>
      </c>
      <c r="H5570" s="403" t="s">
        <v>1276</v>
      </c>
      <c r="I5570" s="403">
        <v>1</v>
      </c>
      <c r="J5570" s="403" t="s">
        <v>110</v>
      </c>
      <c r="K5570" s="403">
        <v>1920</v>
      </c>
      <c r="L5570" s="403">
        <v>1080</v>
      </c>
      <c r="M5570" s="403" t="s">
        <v>109</v>
      </c>
      <c r="N5570" s="403">
        <v>1280</v>
      </c>
      <c r="O5570" s="403">
        <v>720</v>
      </c>
      <c r="P5570" t="str">
        <f t="shared" ref="P5570:P5633" si="697">LEFT(F5570,5)&amp;" "&amp;J5570&amp;" - "&amp;M5570</f>
        <v>25fps 1080p - 720p</v>
      </c>
      <c r="Q5570">
        <f t="shared" ref="Q5570:Q5633" si="698">IF(A5569=A5570,Q5569,Q5569+1)</f>
        <v>24</v>
      </c>
      <c r="R5570" t="str">
        <f t="shared" ref="R5570:R5633" si="699">IF(Q5569&lt;&gt;Q5570,Q5570,"")</f>
        <v/>
      </c>
      <c r="S5570" t="str">
        <f t="shared" ref="S5570:S5633" si="700">IF(R5570&lt;&gt;"",B5570&amp;" ("&amp;D5570&amp;")","")</f>
        <v/>
      </c>
      <c r="T5570" s="403" t="str">
        <f t="shared" ref="T5570:T5633" si="701">D5570</f>
        <v>NDI-5503-A</v>
      </c>
      <c r="U5570" s="403">
        <f t="shared" ref="U5570:U5633" si="702">I5570</f>
        <v>1</v>
      </c>
      <c r="V5570" s="403" t="str">
        <f t="shared" ref="V5570:V5633" si="703">C5570</f>
        <v>CPP_7_3</v>
      </c>
    </row>
    <row r="5571" spans="1:22">
      <c r="A5571" t="str">
        <f t="shared" si="696"/>
        <v>NDI-5503-A</v>
      </c>
      <c r="B5571" s="403" t="s">
        <v>1426</v>
      </c>
      <c r="C5571" s="403" t="s">
        <v>582</v>
      </c>
      <c r="D5571" s="403" t="s">
        <v>1427</v>
      </c>
      <c r="E5571" s="403" t="s">
        <v>778</v>
      </c>
      <c r="F5571" s="403" t="s">
        <v>1385</v>
      </c>
      <c r="G5571" s="403" t="s">
        <v>1466</v>
      </c>
      <c r="H5571" s="403" t="s">
        <v>1276</v>
      </c>
      <c r="I5571" s="403">
        <v>1</v>
      </c>
      <c r="J5571" s="403" t="s">
        <v>110</v>
      </c>
      <c r="K5571" s="403">
        <v>1920</v>
      </c>
      <c r="L5571" s="403">
        <v>1080</v>
      </c>
      <c r="M5571" s="403" t="s">
        <v>1285</v>
      </c>
      <c r="N5571" s="403">
        <v>1280</v>
      </c>
      <c r="O5571" s="403">
        <v>1024</v>
      </c>
      <c r="P5571" t="str">
        <f t="shared" si="697"/>
        <v>25fps 1080p - 1280x1024 5:4 (cropped)</v>
      </c>
      <c r="Q5571">
        <f t="shared" si="698"/>
        <v>24</v>
      </c>
      <c r="R5571" t="str">
        <f t="shared" si="699"/>
        <v/>
      </c>
      <c r="S5571" t="str">
        <f t="shared" si="700"/>
        <v/>
      </c>
      <c r="T5571" s="403" t="str">
        <f t="shared" si="701"/>
        <v>NDI-5503-A</v>
      </c>
      <c r="U5571" s="403">
        <f t="shared" si="702"/>
        <v>1</v>
      </c>
      <c r="V5571" s="403" t="str">
        <f t="shared" si="703"/>
        <v>CPP_7_3</v>
      </c>
    </row>
    <row r="5572" spans="1:22">
      <c r="A5572" t="str">
        <f t="shared" si="696"/>
        <v>NDI-5503-A</v>
      </c>
      <c r="B5572" s="403" t="s">
        <v>1426</v>
      </c>
      <c r="C5572" s="403" t="s">
        <v>582</v>
      </c>
      <c r="D5572" s="403" t="s">
        <v>1427</v>
      </c>
      <c r="E5572" s="403" t="s">
        <v>778</v>
      </c>
      <c r="F5572" s="403" t="s">
        <v>1385</v>
      </c>
      <c r="G5572" s="403" t="s">
        <v>1466</v>
      </c>
      <c r="H5572" s="403" t="s">
        <v>1276</v>
      </c>
      <c r="I5572" s="403">
        <v>1</v>
      </c>
      <c r="J5572" s="403" t="s">
        <v>110</v>
      </c>
      <c r="K5572" s="403">
        <v>1920</v>
      </c>
      <c r="L5572" s="403">
        <v>1080</v>
      </c>
      <c r="M5572" s="403" t="s">
        <v>1279</v>
      </c>
      <c r="N5572" s="403">
        <v>768</v>
      </c>
      <c r="O5572" s="403">
        <v>432</v>
      </c>
      <c r="P5572" t="str">
        <f t="shared" si="697"/>
        <v>25fps 1080p - SD ROI PTZ</v>
      </c>
      <c r="Q5572">
        <f t="shared" si="698"/>
        <v>24</v>
      </c>
      <c r="R5572" t="str">
        <f t="shared" si="699"/>
        <v/>
      </c>
      <c r="S5572" t="str">
        <f t="shared" si="700"/>
        <v/>
      </c>
      <c r="T5572" s="403" t="str">
        <f t="shared" si="701"/>
        <v>NDI-5503-A</v>
      </c>
      <c r="U5572" s="403">
        <f t="shared" si="702"/>
        <v>1</v>
      </c>
      <c r="V5572" s="403" t="str">
        <f t="shared" si="703"/>
        <v>CPP_7_3</v>
      </c>
    </row>
    <row r="5573" spans="1:22">
      <c r="A5573" t="str">
        <f t="shared" si="696"/>
        <v>NDI-5503-A</v>
      </c>
      <c r="B5573" s="403" t="s">
        <v>1426</v>
      </c>
      <c r="C5573" s="403" t="s">
        <v>582</v>
      </c>
      <c r="D5573" s="403" t="s">
        <v>1427</v>
      </c>
      <c r="E5573" s="403" t="s">
        <v>778</v>
      </c>
      <c r="F5573" s="403" t="s">
        <v>1385</v>
      </c>
      <c r="G5573" s="403" t="s">
        <v>1466</v>
      </c>
      <c r="H5573" s="403" t="s">
        <v>1276</v>
      </c>
      <c r="I5573" s="403">
        <v>1</v>
      </c>
      <c r="J5573" s="403" t="s">
        <v>110</v>
      </c>
      <c r="K5573" s="403">
        <v>1920</v>
      </c>
      <c r="L5573" s="403">
        <v>1080</v>
      </c>
      <c r="M5573" s="403" t="s">
        <v>1283</v>
      </c>
      <c r="N5573" s="403">
        <v>720</v>
      </c>
      <c r="O5573" s="403">
        <v>576</v>
      </c>
      <c r="P5573" t="str">
        <f t="shared" si="697"/>
        <v>25fps 1080p - SD 4CIF resolution 4:3 format (cropped)</v>
      </c>
      <c r="Q5573">
        <f t="shared" si="698"/>
        <v>24</v>
      </c>
      <c r="R5573" t="str">
        <f t="shared" si="699"/>
        <v/>
      </c>
      <c r="S5573" t="str">
        <f t="shared" si="700"/>
        <v/>
      </c>
      <c r="T5573" s="403" t="str">
        <f t="shared" si="701"/>
        <v>NDI-5503-A</v>
      </c>
      <c r="U5573" s="403">
        <f t="shared" si="702"/>
        <v>1</v>
      </c>
      <c r="V5573" s="403" t="str">
        <f t="shared" si="703"/>
        <v>CPP_7_3</v>
      </c>
    </row>
    <row r="5574" spans="1:22">
      <c r="A5574" t="str">
        <f t="shared" si="696"/>
        <v>NDI-5503-A</v>
      </c>
      <c r="B5574" s="403" t="s">
        <v>1426</v>
      </c>
      <c r="C5574" s="403" t="s">
        <v>582</v>
      </c>
      <c r="D5574" s="403" t="s">
        <v>1427</v>
      </c>
      <c r="E5574" s="403" t="s">
        <v>778</v>
      </c>
      <c r="F5574" s="403" t="s">
        <v>1385</v>
      </c>
      <c r="G5574" s="403" t="s">
        <v>1466</v>
      </c>
      <c r="H5574" s="403" t="s">
        <v>1276</v>
      </c>
      <c r="I5574" s="403">
        <v>1</v>
      </c>
      <c r="J5574" s="403" t="s">
        <v>110</v>
      </c>
      <c r="K5574" s="403">
        <v>1920</v>
      </c>
      <c r="L5574" s="403">
        <v>1080</v>
      </c>
      <c r="M5574" s="403" t="s">
        <v>1284</v>
      </c>
      <c r="N5574" s="403">
        <v>640</v>
      </c>
      <c r="O5574" s="403">
        <v>480</v>
      </c>
      <c r="P5574" t="str">
        <f t="shared" si="697"/>
        <v>25fps 1080p - SD VGA (cropped)</v>
      </c>
      <c r="Q5574">
        <f t="shared" si="698"/>
        <v>24</v>
      </c>
      <c r="R5574" t="str">
        <f t="shared" si="699"/>
        <v/>
      </c>
      <c r="S5574" t="str">
        <f t="shared" si="700"/>
        <v/>
      </c>
      <c r="T5574" s="403" t="str">
        <f t="shared" si="701"/>
        <v>NDI-5503-A</v>
      </c>
      <c r="U5574" s="403">
        <f t="shared" si="702"/>
        <v>1</v>
      </c>
      <c r="V5574" s="403" t="str">
        <f t="shared" si="703"/>
        <v>CPP_7_3</v>
      </c>
    </row>
    <row r="5575" spans="1:22">
      <c r="A5575" t="str">
        <f t="shared" si="696"/>
        <v>NDI-5503-A</v>
      </c>
      <c r="B5575" s="403" t="s">
        <v>1426</v>
      </c>
      <c r="C5575" s="403" t="s">
        <v>582</v>
      </c>
      <c r="D5575" s="403" t="s">
        <v>1427</v>
      </c>
      <c r="E5575" s="403" t="s">
        <v>778</v>
      </c>
      <c r="F5575" s="403" t="s">
        <v>1385</v>
      </c>
      <c r="G5575" s="403" t="s">
        <v>1466</v>
      </c>
      <c r="H5575" s="403" t="s">
        <v>1276</v>
      </c>
      <c r="I5575" s="403">
        <v>1</v>
      </c>
      <c r="J5575" s="403" t="s">
        <v>109</v>
      </c>
      <c r="K5575" s="403">
        <v>1280</v>
      </c>
      <c r="L5575" s="403">
        <v>720</v>
      </c>
      <c r="M5575" s="403" t="s">
        <v>109</v>
      </c>
      <c r="N5575" s="403">
        <v>1280</v>
      </c>
      <c r="O5575" s="403">
        <v>720</v>
      </c>
      <c r="P5575" t="str">
        <f t="shared" si="697"/>
        <v>25fps 720p - 720p</v>
      </c>
      <c r="Q5575">
        <f t="shared" si="698"/>
        <v>24</v>
      </c>
      <c r="R5575" t="str">
        <f t="shared" si="699"/>
        <v/>
      </c>
      <c r="S5575" t="str">
        <f t="shared" si="700"/>
        <v/>
      </c>
      <c r="T5575" s="403" t="str">
        <f t="shared" si="701"/>
        <v>NDI-5503-A</v>
      </c>
      <c r="U5575" s="403">
        <f t="shared" si="702"/>
        <v>1</v>
      </c>
      <c r="V5575" s="403" t="str">
        <f t="shared" si="703"/>
        <v>CPP_7_3</v>
      </c>
    </row>
    <row r="5576" spans="1:22">
      <c r="A5576" t="str">
        <f t="shared" si="696"/>
        <v>NDI-5503-A</v>
      </c>
      <c r="B5576" s="403" t="s">
        <v>1426</v>
      </c>
      <c r="C5576" s="403" t="s">
        <v>582</v>
      </c>
      <c r="D5576" s="403" t="s">
        <v>1427</v>
      </c>
      <c r="E5576" s="403" t="s">
        <v>778</v>
      </c>
      <c r="F5576" s="403" t="s">
        <v>1385</v>
      </c>
      <c r="G5576" s="403" t="s">
        <v>1466</v>
      </c>
      <c r="H5576" s="403" t="s">
        <v>1276</v>
      </c>
      <c r="I5576" s="403">
        <v>1</v>
      </c>
      <c r="J5576" s="403" t="s">
        <v>109</v>
      </c>
      <c r="K5576" s="403">
        <v>1280</v>
      </c>
      <c r="L5576" s="403">
        <v>720</v>
      </c>
      <c r="M5576" s="403" t="s">
        <v>111</v>
      </c>
      <c r="N5576" s="403">
        <v>768</v>
      </c>
      <c r="O5576" s="403">
        <v>432</v>
      </c>
      <c r="P5576" t="str">
        <f t="shared" si="697"/>
        <v>25fps 720p - SD</v>
      </c>
      <c r="Q5576">
        <f t="shared" si="698"/>
        <v>24</v>
      </c>
      <c r="R5576" t="str">
        <f t="shared" si="699"/>
        <v/>
      </c>
      <c r="S5576" t="str">
        <f t="shared" si="700"/>
        <v/>
      </c>
      <c r="T5576" s="403" t="str">
        <f t="shared" si="701"/>
        <v>NDI-5503-A</v>
      </c>
      <c r="U5576" s="403">
        <f t="shared" si="702"/>
        <v>1</v>
      </c>
      <c r="V5576" s="403" t="str">
        <f t="shared" si="703"/>
        <v>CPP_7_3</v>
      </c>
    </row>
    <row r="5577" spans="1:22">
      <c r="A5577" t="str">
        <f t="shared" si="696"/>
        <v>NDI-5503-A</v>
      </c>
      <c r="B5577" s="403" t="s">
        <v>1426</v>
      </c>
      <c r="C5577" s="403" t="s">
        <v>582</v>
      </c>
      <c r="D5577" s="403" t="s">
        <v>1427</v>
      </c>
      <c r="E5577" s="403" t="s">
        <v>778</v>
      </c>
      <c r="F5577" s="403" t="s">
        <v>1385</v>
      </c>
      <c r="G5577" s="403" t="s">
        <v>1466</v>
      </c>
      <c r="H5577" s="403" t="s">
        <v>1276</v>
      </c>
      <c r="I5577" s="403">
        <v>1</v>
      </c>
      <c r="J5577" s="403" t="s">
        <v>109</v>
      </c>
      <c r="K5577" s="403">
        <v>1280</v>
      </c>
      <c r="L5577" s="403">
        <v>720</v>
      </c>
      <c r="M5577" s="403" t="s">
        <v>1279</v>
      </c>
      <c r="N5577" s="403">
        <v>768</v>
      </c>
      <c r="O5577" s="403">
        <v>432</v>
      </c>
      <c r="P5577" t="str">
        <f t="shared" si="697"/>
        <v>25fps 720p - SD ROI PTZ</v>
      </c>
      <c r="Q5577">
        <f t="shared" si="698"/>
        <v>24</v>
      </c>
      <c r="R5577" t="str">
        <f t="shared" si="699"/>
        <v/>
      </c>
      <c r="S5577" t="str">
        <f t="shared" si="700"/>
        <v/>
      </c>
      <c r="T5577" s="403" t="str">
        <f t="shared" si="701"/>
        <v>NDI-5503-A</v>
      </c>
      <c r="U5577" s="403">
        <f t="shared" si="702"/>
        <v>1</v>
      </c>
      <c r="V5577" s="403" t="str">
        <f t="shared" si="703"/>
        <v>CPP_7_3</v>
      </c>
    </row>
    <row r="5578" spans="1:22">
      <c r="A5578" t="str">
        <f t="shared" si="696"/>
        <v>NDI-5503-A</v>
      </c>
      <c r="B5578" s="403" t="s">
        <v>1426</v>
      </c>
      <c r="C5578" s="403" t="s">
        <v>582</v>
      </c>
      <c r="D5578" s="403" t="s">
        <v>1427</v>
      </c>
      <c r="E5578" s="403" t="s">
        <v>778</v>
      </c>
      <c r="F5578" s="403" t="s">
        <v>1385</v>
      </c>
      <c r="G5578" s="403" t="s">
        <v>1466</v>
      </c>
      <c r="H5578" s="403" t="s">
        <v>1276</v>
      </c>
      <c r="I5578" s="403">
        <v>1</v>
      </c>
      <c r="J5578" s="403" t="s">
        <v>109</v>
      </c>
      <c r="K5578" s="403">
        <v>1280</v>
      </c>
      <c r="L5578" s="403">
        <v>720</v>
      </c>
      <c r="M5578" s="403" t="s">
        <v>1283</v>
      </c>
      <c r="N5578" s="403">
        <v>720</v>
      </c>
      <c r="O5578" s="403">
        <v>576</v>
      </c>
      <c r="P5578" t="str">
        <f t="shared" si="697"/>
        <v>25fps 720p - SD 4CIF resolution 4:3 format (cropped)</v>
      </c>
      <c r="Q5578">
        <f t="shared" si="698"/>
        <v>24</v>
      </c>
      <c r="R5578" t="str">
        <f t="shared" si="699"/>
        <v/>
      </c>
      <c r="S5578" t="str">
        <f t="shared" si="700"/>
        <v/>
      </c>
      <c r="T5578" s="403" t="str">
        <f t="shared" si="701"/>
        <v>NDI-5503-A</v>
      </c>
      <c r="U5578" s="403">
        <f t="shared" si="702"/>
        <v>1</v>
      </c>
      <c r="V5578" s="403" t="str">
        <f t="shared" si="703"/>
        <v>CPP_7_3</v>
      </c>
    </row>
    <row r="5579" spans="1:22">
      <c r="A5579" t="str">
        <f t="shared" si="696"/>
        <v>NDI-5503-A</v>
      </c>
      <c r="B5579" s="403" t="s">
        <v>1426</v>
      </c>
      <c r="C5579" s="403" t="s">
        <v>582</v>
      </c>
      <c r="D5579" s="403" t="s">
        <v>1427</v>
      </c>
      <c r="E5579" s="403" t="s">
        <v>778</v>
      </c>
      <c r="F5579" s="403" t="s">
        <v>1385</v>
      </c>
      <c r="G5579" s="403" t="s">
        <v>1466</v>
      </c>
      <c r="H5579" s="403" t="s">
        <v>1276</v>
      </c>
      <c r="I5579" s="403">
        <v>1</v>
      </c>
      <c r="J5579" s="403" t="s">
        <v>109</v>
      </c>
      <c r="K5579" s="403">
        <v>1280</v>
      </c>
      <c r="L5579" s="403">
        <v>720</v>
      </c>
      <c r="M5579" s="403" t="s">
        <v>1284</v>
      </c>
      <c r="N5579" s="403">
        <v>640</v>
      </c>
      <c r="O5579" s="403">
        <v>480</v>
      </c>
      <c r="P5579" t="str">
        <f t="shared" si="697"/>
        <v>25fps 720p - SD VGA (cropped)</v>
      </c>
      <c r="Q5579">
        <f t="shared" si="698"/>
        <v>24</v>
      </c>
      <c r="R5579" t="str">
        <f t="shared" si="699"/>
        <v/>
      </c>
      <c r="S5579" t="str">
        <f t="shared" si="700"/>
        <v/>
      </c>
      <c r="T5579" s="403" t="str">
        <f t="shared" si="701"/>
        <v>NDI-5503-A</v>
      </c>
      <c r="U5579" s="403">
        <f t="shared" si="702"/>
        <v>1</v>
      </c>
      <c r="V5579" s="403" t="str">
        <f t="shared" si="703"/>
        <v>CPP_7_3</v>
      </c>
    </row>
    <row r="5580" spans="1:22">
      <c r="A5580" t="str">
        <f t="shared" si="696"/>
        <v>NDI-5503-A</v>
      </c>
      <c r="B5580" s="403" t="s">
        <v>1426</v>
      </c>
      <c r="C5580" s="403" t="s">
        <v>582</v>
      </c>
      <c r="D5580" s="403" t="s">
        <v>1427</v>
      </c>
      <c r="E5580" s="403" t="s">
        <v>778</v>
      </c>
      <c r="F5580" s="403" t="s">
        <v>1385</v>
      </c>
      <c r="G5580" s="403" t="s">
        <v>1466</v>
      </c>
      <c r="H5580" s="403" t="s">
        <v>1281</v>
      </c>
      <c r="I5580" s="403">
        <v>1</v>
      </c>
      <c r="J5580" s="403" t="s">
        <v>1376</v>
      </c>
      <c r="K5580" s="403">
        <v>3072</v>
      </c>
      <c r="L5580" s="403">
        <v>1728</v>
      </c>
      <c r="M5580" s="403" t="s">
        <v>111</v>
      </c>
      <c r="N5580" s="403">
        <v>768</v>
      </c>
      <c r="O5580" s="403">
        <v>432</v>
      </c>
      <c r="P5580" t="str">
        <f t="shared" si="697"/>
        <v>25fps 3072x1728 - SD</v>
      </c>
      <c r="Q5580">
        <f t="shared" si="698"/>
        <v>24</v>
      </c>
      <c r="R5580" t="str">
        <f t="shared" si="699"/>
        <v/>
      </c>
      <c r="S5580" t="str">
        <f t="shared" si="700"/>
        <v/>
      </c>
      <c r="T5580" s="403" t="str">
        <f t="shared" si="701"/>
        <v>NDI-5503-A</v>
      </c>
      <c r="U5580" s="403">
        <f t="shared" si="702"/>
        <v>1</v>
      </c>
      <c r="V5580" s="403" t="str">
        <f t="shared" si="703"/>
        <v>CPP_7_3</v>
      </c>
    </row>
    <row r="5581" spans="1:22">
      <c r="A5581" t="str">
        <f t="shared" si="696"/>
        <v>NDI-5503-A</v>
      </c>
      <c r="B5581" s="403" t="s">
        <v>1426</v>
      </c>
      <c r="C5581" s="403" t="s">
        <v>582</v>
      </c>
      <c r="D5581" s="403" t="s">
        <v>1427</v>
      </c>
      <c r="E5581" s="403" t="s">
        <v>778</v>
      </c>
      <c r="F5581" s="403" t="s">
        <v>1385</v>
      </c>
      <c r="G5581" s="403" t="s">
        <v>1466</v>
      </c>
      <c r="H5581" s="403" t="s">
        <v>1281</v>
      </c>
      <c r="I5581" s="403">
        <v>1</v>
      </c>
      <c r="J5581" s="403" t="s">
        <v>1376</v>
      </c>
      <c r="K5581" s="403">
        <v>3072</v>
      </c>
      <c r="L5581" s="403">
        <v>1728</v>
      </c>
      <c r="M5581" s="403" t="s">
        <v>1600</v>
      </c>
      <c r="N5581" s="403">
        <v>3072</v>
      </c>
      <c r="O5581" s="403">
        <v>1728</v>
      </c>
      <c r="P5581" t="str">
        <f t="shared" si="697"/>
        <v>25fps 3072x1728 - 3072x1728 @ SKIP2</v>
      </c>
      <c r="Q5581">
        <f t="shared" si="698"/>
        <v>24</v>
      </c>
      <c r="R5581" t="str">
        <f t="shared" si="699"/>
        <v/>
      </c>
      <c r="S5581" t="str">
        <f t="shared" si="700"/>
        <v/>
      </c>
      <c r="T5581" s="403" t="str">
        <f t="shared" si="701"/>
        <v>NDI-5503-A</v>
      </c>
      <c r="U5581" s="403">
        <f t="shared" si="702"/>
        <v>1</v>
      </c>
      <c r="V5581" s="403" t="str">
        <f t="shared" si="703"/>
        <v>CPP_7_3</v>
      </c>
    </row>
    <row r="5582" spans="1:22">
      <c r="A5582" t="str">
        <f t="shared" si="696"/>
        <v>NDI-5503-A</v>
      </c>
      <c r="B5582" s="403" t="s">
        <v>1426</v>
      </c>
      <c r="C5582" s="403" t="s">
        <v>582</v>
      </c>
      <c r="D5582" s="403" t="s">
        <v>1427</v>
      </c>
      <c r="E5582" s="403" t="s">
        <v>778</v>
      </c>
      <c r="F5582" s="403" t="s">
        <v>1385</v>
      </c>
      <c r="G5582" s="403" t="s">
        <v>1466</v>
      </c>
      <c r="H5582" s="403" t="s">
        <v>1281</v>
      </c>
      <c r="I5582" s="403">
        <v>1</v>
      </c>
      <c r="J5582" s="403" t="s">
        <v>1376</v>
      </c>
      <c r="K5582" s="403">
        <v>3072</v>
      </c>
      <c r="L5582" s="403">
        <v>1728</v>
      </c>
      <c r="M5582" s="403" t="s">
        <v>1280</v>
      </c>
      <c r="N5582" s="403">
        <v>3072</v>
      </c>
      <c r="O5582" s="403">
        <v>1728</v>
      </c>
      <c r="P5582" t="str">
        <f t="shared" si="697"/>
        <v>25fps 3072x1728 - copy other stream</v>
      </c>
      <c r="Q5582">
        <f t="shared" si="698"/>
        <v>24</v>
      </c>
      <c r="R5582" t="str">
        <f t="shared" si="699"/>
        <v/>
      </c>
      <c r="S5582" t="str">
        <f t="shared" si="700"/>
        <v/>
      </c>
      <c r="T5582" s="403" t="str">
        <f t="shared" si="701"/>
        <v>NDI-5503-A</v>
      </c>
      <c r="U5582" s="403">
        <f t="shared" si="702"/>
        <v>1</v>
      </c>
      <c r="V5582" s="403" t="str">
        <f t="shared" si="703"/>
        <v>CPP_7_3</v>
      </c>
    </row>
    <row r="5583" spans="1:22">
      <c r="A5583" t="str">
        <f t="shared" si="696"/>
        <v>NDI-5503-A</v>
      </c>
      <c r="B5583" s="403" t="s">
        <v>1426</v>
      </c>
      <c r="C5583" s="403" t="s">
        <v>582</v>
      </c>
      <c r="D5583" s="403" t="s">
        <v>1427</v>
      </c>
      <c r="E5583" s="403" t="s">
        <v>778</v>
      </c>
      <c r="F5583" s="403" t="s">
        <v>1385</v>
      </c>
      <c r="G5583" s="403" t="s">
        <v>1466</v>
      </c>
      <c r="H5583" s="403" t="s">
        <v>1281</v>
      </c>
      <c r="I5583" s="403">
        <v>1</v>
      </c>
      <c r="J5583" s="403" t="s">
        <v>1376</v>
      </c>
      <c r="K5583" s="403">
        <v>3072</v>
      </c>
      <c r="L5583" s="403">
        <v>1728</v>
      </c>
      <c r="M5583" s="403" t="s">
        <v>110</v>
      </c>
      <c r="N5583" s="403">
        <v>1920</v>
      </c>
      <c r="O5583" s="403">
        <v>1080</v>
      </c>
      <c r="P5583" t="str">
        <f t="shared" si="697"/>
        <v>25fps 3072x1728 - 1080p</v>
      </c>
      <c r="Q5583">
        <f t="shared" si="698"/>
        <v>24</v>
      </c>
      <c r="R5583" t="str">
        <f t="shared" si="699"/>
        <v/>
      </c>
      <c r="S5583" t="str">
        <f t="shared" si="700"/>
        <v/>
      </c>
      <c r="T5583" s="403" t="str">
        <f t="shared" si="701"/>
        <v>NDI-5503-A</v>
      </c>
      <c r="U5583" s="403">
        <f t="shared" si="702"/>
        <v>1</v>
      </c>
      <c r="V5583" s="403" t="str">
        <f t="shared" si="703"/>
        <v>CPP_7_3</v>
      </c>
    </row>
    <row r="5584" spans="1:22">
      <c r="A5584" t="str">
        <f t="shared" si="696"/>
        <v>NDI-5503-A</v>
      </c>
      <c r="B5584" s="403" t="s">
        <v>1426</v>
      </c>
      <c r="C5584" s="403" t="s">
        <v>582</v>
      </c>
      <c r="D5584" s="403" t="s">
        <v>1427</v>
      </c>
      <c r="E5584" s="403" t="s">
        <v>778</v>
      </c>
      <c r="F5584" s="403" t="s">
        <v>1385</v>
      </c>
      <c r="G5584" s="403" t="s">
        <v>1466</v>
      </c>
      <c r="H5584" s="403" t="s">
        <v>1281</v>
      </c>
      <c r="I5584" s="403">
        <v>1</v>
      </c>
      <c r="J5584" s="403" t="s">
        <v>1376</v>
      </c>
      <c r="K5584" s="403">
        <v>3072</v>
      </c>
      <c r="L5584" s="403">
        <v>1728</v>
      </c>
      <c r="M5584" s="403" t="s">
        <v>109</v>
      </c>
      <c r="N5584" s="403">
        <v>1280</v>
      </c>
      <c r="O5584" s="403">
        <v>720</v>
      </c>
      <c r="P5584" t="str">
        <f t="shared" si="697"/>
        <v>25fps 3072x1728 - 720p</v>
      </c>
      <c r="Q5584">
        <f t="shared" si="698"/>
        <v>24</v>
      </c>
      <c r="R5584" t="str">
        <f t="shared" si="699"/>
        <v/>
      </c>
      <c r="S5584" t="str">
        <f t="shared" si="700"/>
        <v/>
      </c>
      <c r="T5584" s="403" t="str">
        <f t="shared" si="701"/>
        <v>NDI-5503-A</v>
      </c>
      <c r="U5584" s="403">
        <f t="shared" si="702"/>
        <v>1</v>
      </c>
      <c r="V5584" s="403" t="str">
        <f t="shared" si="703"/>
        <v>CPP_7_3</v>
      </c>
    </row>
    <row r="5585" spans="1:22">
      <c r="A5585" t="str">
        <f t="shared" si="696"/>
        <v>NDI-5503-A</v>
      </c>
      <c r="B5585" s="403" t="s">
        <v>1426</v>
      </c>
      <c r="C5585" s="403" t="s">
        <v>582</v>
      </c>
      <c r="D5585" s="403" t="s">
        <v>1427</v>
      </c>
      <c r="E5585" s="403" t="s">
        <v>778</v>
      </c>
      <c r="F5585" s="403" t="s">
        <v>1385</v>
      </c>
      <c r="G5585" s="403" t="s">
        <v>1466</v>
      </c>
      <c r="H5585" s="403" t="s">
        <v>1281</v>
      </c>
      <c r="I5585" s="403">
        <v>1</v>
      </c>
      <c r="J5585" s="403" t="s">
        <v>1376</v>
      </c>
      <c r="K5585" s="403">
        <v>3072</v>
      </c>
      <c r="L5585" s="403">
        <v>1728</v>
      </c>
      <c r="M5585" s="403" t="s">
        <v>1283</v>
      </c>
      <c r="N5585" s="403">
        <v>720</v>
      </c>
      <c r="O5585" s="403">
        <v>576</v>
      </c>
      <c r="P5585" t="str">
        <f t="shared" si="697"/>
        <v>25fps 3072x1728 - SD 4CIF resolution 4:3 format (cropped)</v>
      </c>
      <c r="Q5585">
        <f t="shared" si="698"/>
        <v>24</v>
      </c>
      <c r="R5585" t="str">
        <f t="shared" si="699"/>
        <v/>
      </c>
      <c r="S5585" t="str">
        <f t="shared" si="700"/>
        <v/>
      </c>
      <c r="T5585" s="403" t="str">
        <f t="shared" si="701"/>
        <v>NDI-5503-A</v>
      </c>
      <c r="U5585" s="403">
        <f t="shared" si="702"/>
        <v>1</v>
      </c>
      <c r="V5585" s="403" t="str">
        <f t="shared" si="703"/>
        <v>CPP_7_3</v>
      </c>
    </row>
    <row r="5586" spans="1:22">
      <c r="A5586" t="str">
        <f t="shared" si="696"/>
        <v>NDI-5503-A</v>
      </c>
      <c r="B5586" s="403" t="s">
        <v>1426</v>
      </c>
      <c r="C5586" s="403" t="s">
        <v>582</v>
      </c>
      <c r="D5586" s="403" t="s">
        <v>1427</v>
      </c>
      <c r="E5586" s="403" t="s">
        <v>778</v>
      </c>
      <c r="F5586" s="403" t="s">
        <v>1385</v>
      </c>
      <c r="G5586" s="403" t="s">
        <v>1466</v>
      </c>
      <c r="H5586" s="403" t="s">
        <v>1281</v>
      </c>
      <c r="I5586" s="403">
        <v>1</v>
      </c>
      <c r="J5586" s="403" t="s">
        <v>1376</v>
      </c>
      <c r="K5586" s="403">
        <v>3072</v>
      </c>
      <c r="L5586" s="403">
        <v>1728</v>
      </c>
      <c r="M5586" s="403" t="s">
        <v>1279</v>
      </c>
      <c r="N5586" s="403">
        <v>768</v>
      </c>
      <c r="O5586" s="403">
        <v>432</v>
      </c>
      <c r="P5586" t="str">
        <f t="shared" si="697"/>
        <v>25fps 3072x1728 - SD ROI PTZ</v>
      </c>
      <c r="Q5586">
        <f t="shared" si="698"/>
        <v>24</v>
      </c>
      <c r="R5586" t="str">
        <f t="shared" si="699"/>
        <v/>
      </c>
      <c r="S5586" t="str">
        <f t="shared" si="700"/>
        <v/>
      </c>
      <c r="T5586" s="403" t="str">
        <f t="shared" si="701"/>
        <v>NDI-5503-A</v>
      </c>
      <c r="U5586" s="403">
        <f t="shared" si="702"/>
        <v>1</v>
      </c>
      <c r="V5586" s="403" t="str">
        <f t="shared" si="703"/>
        <v>CPP_7_3</v>
      </c>
    </row>
    <row r="5587" spans="1:22">
      <c r="A5587" t="str">
        <f t="shared" si="696"/>
        <v>NDI-5503-A</v>
      </c>
      <c r="B5587" s="403" t="s">
        <v>1426</v>
      </c>
      <c r="C5587" s="403" t="s">
        <v>582</v>
      </c>
      <c r="D5587" s="403" t="s">
        <v>1427</v>
      </c>
      <c r="E5587" s="403" t="s">
        <v>778</v>
      </c>
      <c r="F5587" s="403" t="s">
        <v>1385</v>
      </c>
      <c r="G5587" s="403" t="s">
        <v>1466</v>
      </c>
      <c r="H5587" s="403" t="s">
        <v>1281</v>
      </c>
      <c r="I5587" s="403">
        <v>1</v>
      </c>
      <c r="J5587" s="403" t="s">
        <v>1376</v>
      </c>
      <c r="K5587" s="403">
        <v>3072</v>
      </c>
      <c r="L5587" s="403">
        <v>1728</v>
      </c>
      <c r="M5587" s="403" t="s">
        <v>1284</v>
      </c>
      <c r="N5587" s="403">
        <v>640</v>
      </c>
      <c r="O5587" s="403">
        <v>480</v>
      </c>
      <c r="P5587" t="str">
        <f t="shared" si="697"/>
        <v>25fps 3072x1728 - SD VGA (cropped)</v>
      </c>
      <c r="Q5587">
        <f t="shared" si="698"/>
        <v>24</v>
      </c>
      <c r="R5587" t="str">
        <f t="shared" si="699"/>
        <v/>
      </c>
      <c r="S5587" t="str">
        <f t="shared" si="700"/>
        <v/>
      </c>
      <c r="T5587" s="403" t="str">
        <f t="shared" si="701"/>
        <v>NDI-5503-A</v>
      </c>
      <c r="U5587" s="403">
        <f t="shared" si="702"/>
        <v>1</v>
      </c>
      <c r="V5587" s="403" t="str">
        <f t="shared" si="703"/>
        <v>CPP_7_3</v>
      </c>
    </row>
    <row r="5588" spans="1:22">
      <c r="A5588" t="str">
        <f t="shared" si="696"/>
        <v>NDI-5503-A</v>
      </c>
      <c r="B5588" s="403" t="s">
        <v>1426</v>
      </c>
      <c r="C5588" s="403" t="s">
        <v>582</v>
      </c>
      <c r="D5588" s="403" t="s">
        <v>1427</v>
      </c>
      <c r="E5588" s="403" t="s">
        <v>778</v>
      </c>
      <c r="F5588" s="403" t="s">
        <v>1385</v>
      </c>
      <c r="G5588" s="403" t="s">
        <v>1466</v>
      </c>
      <c r="H5588" s="403" t="s">
        <v>1281</v>
      </c>
      <c r="I5588" s="403">
        <v>1</v>
      </c>
      <c r="J5588" s="403" t="s">
        <v>1376</v>
      </c>
      <c r="K5588" s="403">
        <v>3072</v>
      </c>
      <c r="L5588" s="403">
        <v>1728</v>
      </c>
      <c r="M5588" s="403" t="s">
        <v>1285</v>
      </c>
      <c r="N5588" s="403">
        <v>1280</v>
      </c>
      <c r="O5588" s="403">
        <v>1024</v>
      </c>
      <c r="P5588" t="str">
        <f t="shared" si="697"/>
        <v>25fps 3072x1728 - 1280x1024 5:4 (cropped)</v>
      </c>
      <c r="Q5588">
        <f t="shared" si="698"/>
        <v>24</v>
      </c>
      <c r="R5588" t="str">
        <f t="shared" si="699"/>
        <v/>
      </c>
      <c r="S5588" t="str">
        <f t="shared" si="700"/>
        <v/>
      </c>
      <c r="T5588" s="403" t="str">
        <f t="shared" si="701"/>
        <v>NDI-5503-A</v>
      </c>
      <c r="U5588" s="403">
        <f t="shared" si="702"/>
        <v>1</v>
      </c>
      <c r="V5588" s="403" t="str">
        <f t="shared" si="703"/>
        <v>CPP_7_3</v>
      </c>
    </row>
    <row r="5589" spans="1:22">
      <c r="A5589" t="str">
        <f t="shared" si="696"/>
        <v>NDI-5503-A</v>
      </c>
      <c r="B5589" s="403" t="s">
        <v>1426</v>
      </c>
      <c r="C5589" s="403" t="s">
        <v>582</v>
      </c>
      <c r="D5589" s="403" t="s">
        <v>1427</v>
      </c>
      <c r="E5589" s="403" t="s">
        <v>778</v>
      </c>
      <c r="F5589" s="403" t="s">
        <v>1385</v>
      </c>
      <c r="G5589" s="403" t="s">
        <v>1466</v>
      </c>
      <c r="H5589" s="403" t="s">
        <v>1281</v>
      </c>
      <c r="I5589" s="403">
        <v>1</v>
      </c>
      <c r="J5589" s="403" t="s">
        <v>1376</v>
      </c>
      <c r="K5589" s="403">
        <v>3072</v>
      </c>
      <c r="L5589" s="403">
        <v>1728</v>
      </c>
      <c r="M5589" s="403" t="s">
        <v>1383</v>
      </c>
      <c r="N5589" s="403">
        <v>1920</v>
      </c>
      <c r="O5589" s="403">
        <v>1440</v>
      </c>
      <c r="P5589" t="str">
        <f t="shared" si="697"/>
        <v>25fps 3072x1728 - 1920x1440_CROP</v>
      </c>
      <c r="Q5589">
        <f t="shared" si="698"/>
        <v>24</v>
      </c>
      <c r="R5589" t="str">
        <f t="shared" si="699"/>
        <v/>
      </c>
      <c r="S5589" t="str">
        <f t="shared" si="700"/>
        <v/>
      </c>
      <c r="T5589" s="403" t="str">
        <f t="shared" si="701"/>
        <v>NDI-5503-A</v>
      </c>
      <c r="U5589" s="403">
        <f t="shared" si="702"/>
        <v>1</v>
      </c>
      <c r="V5589" s="403" t="str">
        <f t="shared" si="703"/>
        <v>CPP_7_3</v>
      </c>
    </row>
    <row r="5590" spans="1:22">
      <c r="A5590" t="str">
        <f t="shared" si="696"/>
        <v>NDI-5503-A</v>
      </c>
      <c r="B5590" s="403" t="s">
        <v>1426</v>
      </c>
      <c r="C5590" s="403" t="s">
        <v>582</v>
      </c>
      <c r="D5590" s="403" t="s">
        <v>1427</v>
      </c>
      <c r="E5590" s="403" t="s">
        <v>778</v>
      </c>
      <c r="F5590" s="403" t="s">
        <v>1385</v>
      </c>
      <c r="G5590" s="403" t="s">
        <v>1466</v>
      </c>
      <c r="H5590" s="403" t="s">
        <v>1281</v>
      </c>
      <c r="I5590" s="403">
        <v>1</v>
      </c>
      <c r="J5590" s="403" t="s">
        <v>1373</v>
      </c>
      <c r="K5590" s="403">
        <v>2688</v>
      </c>
      <c r="L5590" s="403">
        <v>1512</v>
      </c>
      <c r="M5590" s="403" t="s">
        <v>110</v>
      </c>
      <c r="N5590" s="403">
        <v>1920</v>
      </c>
      <c r="O5590" s="403">
        <v>1080</v>
      </c>
      <c r="P5590" t="str">
        <f t="shared" si="697"/>
        <v>25fps 2688x1512 - 1080p</v>
      </c>
      <c r="Q5590">
        <f t="shared" si="698"/>
        <v>24</v>
      </c>
      <c r="R5590" t="str">
        <f t="shared" si="699"/>
        <v/>
      </c>
      <c r="S5590" t="str">
        <f t="shared" si="700"/>
        <v/>
      </c>
      <c r="T5590" s="403" t="str">
        <f t="shared" si="701"/>
        <v>NDI-5503-A</v>
      </c>
      <c r="U5590" s="403">
        <f t="shared" si="702"/>
        <v>1</v>
      </c>
      <c r="V5590" s="403" t="str">
        <f t="shared" si="703"/>
        <v>CPP_7_3</v>
      </c>
    </row>
    <row r="5591" spans="1:22">
      <c r="A5591" t="str">
        <f t="shared" si="696"/>
        <v>NDI-5503-A</v>
      </c>
      <c r="B5591" s="403" t="s">
        <v>1426</v>
      </c>
      <c r="C5591" s="403" t="s">
        <v>582</v>
      </c>
      <c r="D5591" s="403" t="s">
        <v>1427</v>
      </c>
      <c r="E5591" s="403" t="s">
        <v>778</v>
      </c>
      <c r="F5591" s="403" t="s">
        <v>1385</v>
      </c>
      <c r="G5591" s="403" t="s">
        <v>1466</v>
      </c>
      <c r="H5591" s="403" t="s">
        <v>1281</v>
      </c>
      <c r="I5591" s="403">
        <v>1</v>
      </c>
      <c r="J5591" s="403" t="s">
        <v>1373</v>
      </c>
      <c r="K5591" s="403">
        <v>2688</v>
      </c>
      <c r="L5591" s="403">
        <v>1512</v>
      </c>
      <c r="M5591" s="403" t="s">
        <v>1384</v>
      </c>
      <c r="N5591" s="403">
        <v>2688</v>
      </c>
      <c r="O5591" s="403">
        <v>1512</v>
      </c>
      <c r="P5591" t="str">
        <f t="shared" si="697"/>
        <v>25fps 2688x1512 - 2688x1512 @ SKIP 2</v>
      </c>
      <c r="Q5591">
        <f t="shared" si="698"/>
        <v>24</v>
      </c>
      <c r="R5591" t="str">
        <f t="shared" si="699"/>
        <v/>
      </c>
      <c r="S5591" t="str">
        <f t="shared" si="700"/>
        <v/>
      </c>
      <c r="T5591" s="403" t="str">
        <f t="shared" si="701"/>
        <v>NDI-5503-A</v>
      </c>
      <c r="U5591" s="403">
        <f t="shared" si="702"/>
        <v>1</v>
      </c>
      <c r="V5591" s="403" t="str">
        <f t="shared" si="703"/>
        <v>CPP_7_3</v>
      </c>
    </row>
    <row r="5592" spans="1:22">
      <c r="A5592" t="str">
        <f t="shared" si="696"/>
        <v>NDI-5503-A</v>
      </c>
      <c r="B5592" s="403" t="s">
        <v>1426</v>
      </c>
      <c r="C5592" s="403" t="s">
        <v>582</v>
      </c>
      <c r="D5592" s="403" t="s">
        <v>1427</v>
      </c>
      <c r="E5592" s="403" t="s">
        <v>778</v>
      </c>
      <c r="F5592" s="403" t="s">
        <v>1385</v>
      </c>
      <c r="G5592" s="403" t="s">
        <v>1466</v>
      </c>
      <c r="H5592" s="403" t="s">
        <v>1281</v>
      </c>
      <c r="I5592" s="403">
        <v>1</v>
      </c>
      <c r="J5592" s="403" t="s">
        <v>1373</v>
      </c>
      <c r="K5592" s="403">
        <v>2688</v>
      </c>
      <c r="L5592" s="403">
        <v>1512</v>
      </c>
      <c r="M5592" s="403" t="s">
        <v>109</v>
      </c>
      <c r="N5592" s="403">
        <v>1280</v>
      </c>
      <c r="O5592" s="403">
        <v>720</v>
      </c>
      <c r="P5592" t="str">
        <f t="shared" si="697"/>
        <v>25fps 2688x1512 - 720p</v>
      </c>
      <c r="Q5592">
        <f t="shared" si="698"/>
        <v>24</v>
      </c>
      <c r="R5592" t="str">
        <f t="shared" si="699"/>
        <v/>
      </c>
      <c r="S5592" t="str">
        <f t="shared" si="700"/>
        <v/>
      </c>
      <c r="T5592" s="403" t="str">
        <f t="shared" si="701"/>
        <v>NDI-5503-A</v>
      </c>
      <c r="U5592" s="403">
        <f t="shared" si="702"/>
        <v>1</v>
      </c>
      <c r="V5592" s="403" t="str">
        <f t="shared" si="703"/>
        <v>CPP_7_3</v>
      </c>
    </row>
    <row r="5593" spans="1:22">
      <c r="A5593" t="str">
        <f t="shared" si="696"/>
        <v>NDI-5503-A</v>
      </c>
      <c r="B5593" s="403" t="s">
        <v>1426</v>
      </c>
      <c r="C5593" s="403" t="s">
        <v>582</v>
      </c>
      <c r="D5593" s="403" t="s">
        <v>1427</v>
      </c>
      <c r="E5593" s="403" t="s">
        <v>778</v>
      </c>
      <c r="F5593" s="403" t="s">
        <v>1385</v>
      </c>
      <c r="G5593" s="403" t="s">
        <v>1466</v>
      </c>
      <c r="H5593" s="403" t="s">
        <v>1281</v>
      </c>
      <c r="I5593" s="403">
        <v>1</v>
      </c>
      <c r="J5593" s="403" t="s">
        <v>1373</v>
      </c>
      <c r="K5593" s="403">
        <v>2688</v>
      </c>
      <c r="L5593" s="403">
        <v>1512</v>
      </c>
      <c r="M5593" s="403" t="s">
        <v>111</v>
      </c>
      <c r="N5593" s="403">
        <v>768</v>
      </c>
      <c r="O5593" s="403">
        <v>432</v>
      </c>
      <c r="P5593" t="str">
        <f t="shared" si="697"/>
        <v>25fps 2688x1512 - SD</v>
      </c>
      <c r="Q5593">
        <f t="shared" si="698"/>
        <v>24</v>
      </c>
      <c r="R5593" t="str">
        <f t="shared" si="699"/>
        <v/>
      </c>
      <c r="S5593" t="str">
        <f t="shared" si="700"/>
        <v/>
      </c>
      <c r="T5593" s="403" t="str">
        <f t="shared" si="701"/>
        <v>NDI-5503-A</v>
      </c>
      <c r="U5593" s="403">
        <f t="shared" si="702"/>
        <v>1</v>
      </c>
      <c r="V5593" s="403" t="str">
        <f t="shared" si="703"/>
        <v>CPP_7_3</v>
      </c>
    </row>
    <row r="5594" spans="1:22">
      <c r="A5594" t="str">
        <f t="shared" si="696"/>
        <v>NDI-5503-A</v>
      </c>
      <c r="B5594" s="403" t="s">
        <v>1426</v>
      </c>
      <c r="C5594" s="403" t="s">
        <v>582</v>
      </c>
      <c r="D5594" s="403" t="s">
        <v>1427</v>
      </c>
      <c r="E5594" s="403" t="s">
        <v>778</v>
      </c>
      <c r="F5594" s="403" t="s">
        <v>1385</v>
      </c>
      <c r="G5594" s="403" t="s">
        <v>1466</v>
      </c>
      <c r="H5594" s="403" t="s">
        <v>1281</v>
      </c>
      <c r="I5594" s="403">
        <v>1</v>
      </c>
      <c r="J5594" s="403" t="s">
        <v>1373</v>
      </c>
      <c r="K5594" s="403">
        <v>2688</v>
      </c>
      <c r="L5594" s="403">
        <v>1512</v>
      </c>
      <c r="M5594" s="403" t="s">
        <v>1279</v>
      </c>
      <c r="N5594" s="403">
        <v>768</v>
      </c>
      <c r="O5594" s="403">
        <v>432</v>
      </c>
      <c r="P5594" t="str">
        <f t="shared" si="697"/>
        <v>25fps 2688x1512 - SD ROI PTZ</v>
      </c>
      <c r="Q5594">
        <f t="shared" si="698"/>
        <v>24</v>
      </c>
      <c r="R5594" t="str">
        <f t="shared" si="699"/>
        <v/>
      </c>
      <c r="S5594" t="str">
        <f t="shared" si="700"/>
        <v/>
      </c>
      <c r="T5594" s="403" t="str">
        <f t="shared" si="701"/>
        <v>NDI-5503-A</v>
      </c>
      <c r="U5594" s="403">
        <f t="shared" si="702"/>
        <v>1</v>
      </c>
      <c r="V5594" s="403" t="str">
        <f t="shared" si="703"/>
        <v>CPP_7_3</v>
      </c>
    </row>
    <row r="5595" spans="1:22">
      <c r="A5595" t="str">
        <f t="shared" si="696"/>
        <v>NDI-5503-A</v>
      </c>
      <c r="B5595" s="403" t="s">
        <v>1426</v>
      </c>
      <c r="C5595" s="403" t="s">
        <v>582</v>
      </c>
      <c r="D5595" s="403" t="s">
        <v>1427</v>
      </c>
      <c r="E5595" s="403" t="s">
        <v>778</v>
      </c>
      <c r="F5595" s="403" t="s">
        <v>1385</v>
      </c>
      <c r="G5595" s="403" t="s">
        <v>1466</v>
      </c>
      <c r="H5595" s="403" t="s">
        <v>1281</v>
      </c>
      <c r="I5595" s="403">
        <v>1</v>
      </c>
      <c r="J5595" s="403" t="s">
        <v>1373</v>
      </c>
      <c r="K5595" s="403">
        <v>2688</v>
      </c>
      <c r="L5595" s="403">
        <v>1512</v>
      </c>
      <c r="M5595" s="403" t="s">
        <v>1285</v>
      </c>
      <c r="N5595" s="403">
        <v>1280</v>
      </c>
      <c r="O5595" s="403">
        <v>1024</v>
      </c>
      <c r="P5595" t="str">
        <f t="shared" si="697"/>
        <v>25fps 2688x1512 - 1280x1024 5:4 (cropped)</v>
      </c>
      <c r="Q5595">
        <f t="shared" si="698"/>
        <v>24</v>
      </c>
      <c r="R5595" t="str">
        <f t="shared" si="699"/>
        <v/>
      </c>
      <c r="S5595" t="str">
        <f t="shared" si="700"/>
        <v/>
      </c>
      <c r="T5595" s="403" t="str">
        <f t="shared" si="701"/>
        <v>NDI-5503-A</v>
      </c>
      <c r="U5595" s="403">
        <f t="shared" si="702"/>
        <v>1</v>
      </c>
      <c r="V5595" s="403" t="str">
        <f t="shared" si="703"/>
        <v>CPP_7_3</v>
      </c>
    </row>
    <row r="5596" spans="1:22">
      <c r="A5596" t="str">
        <f t="shared" si="696"/>
        <v>NDI-5503-A</v>
      </c>
      <c r="B5596" s="403" t="s">
        <v>1426</v>
      </c>
      <c r="C5596" s="403" t="s">
        <v>582</v>
      </c>
      <c r="D5596" s="403" t="s">
        <v>1427</v>
      </c>
      <c r="E5596" s="403" t="s">
        <v>778</v>
      </c>
      <c r="F5596" s="403" t="s">
        <v>1385</v>
      </c>
      <c r="G5596" s="403" t="s">
        <v>1466</v>
      </c>
      <c r="H5596" s="403" t="s">
        <v>1281</v>
      </c>
      <c r="I5596" s="403">
        <v>1</v>
      </c>
      <c r="J5596" s="403" t="s">
        <v>1373</v>
      </c>
      <c r="K5596" s="403">
        <v>2688</v>
      </c>
      <c r="L5596" s="403">
        <v>1512</v>
      </c>
      <c r="M5596" s="403" t="s">
        <v>1283</v>
      </c>
      <c r="N5596" s="403">
        <v>720</v>
      </c>
      <c r="O5596" s="403">
        <v>576</v>
      </c>
      <c r="P5596" t="str">
        <f t="shared" si="697"/>
        <v>25fps 2688x1512 - SD 4CIF resolution 4:3 format (cropped)</v>
      </c>
      <c r="Q5596">
        <f t="shared" si="698"/>
        <v>24</v>
      </c>
      <c r="R5596" t="str">
        <f t="shared" si="699"/>
        <v/>
      </c>
      <c r="S5596" t="str">
        <f t="shared" si="700"/>
        <v/>
      </c>
      <c r="T5596" s="403" t="str">
        <f t="shared" si="701"/>
        <v>NDI-5503-A</v>
      </c>
      <c r="U5596" s="403">
        <f t="shared" si="702"/>
        <v>1</v>
      </c>
      <c r="V5596" s="403" t="str">
        <f t="shared" si="703"/>
        <v>CPP_7_3</v>
      </c>
    </row>
    <row r="5597" spans="1:22">
      <c r="A5597" t="str">
        <f t="shared" si="696"/>
        <v>NDI-5503-A</v>
      </c>
      <c r="B5597" s="403" t="s">
        <v>1426</v>
      </c>
      <c r="C5597" s="403" t="s">
        <v>582</v>
      </c>
      <c r="D5597" s="403" t="s">
        <v>1427</v>
      </c>
      <c r="E5597" s="403" t="s">
        <v>778</v>
      </c>
      <c r="F5597" s="403" t="s">
        <v>1385</v>
      </c>
      <c r="G5597" s="403" t="s">
        <v>1466</v>
      </c>
      <c r="H5597" s="403" t="s">
        <v>1281</v>
      </c>
      <c r="I5597" s="403">
        <v>1</v>
      </c>
      <c r="J5597" s="403" t="s">
        <v>1373</v>
      </c>
      <c r="K5597" s="403">
        <v>2688</v>
      </c>
      <c r="L5597" s="403">
        <v>1512</v>
      </c>
      <c r="M5597" s="403" t="s">
        <v>1284</v>
      </c>
      <c r="N5597" s="403">
        <v>640</v>
      </c>
      <c r="O5597" s="403">
        <v>480</v>
      </c>
      <c r="P5597" t="str">
        <f t="shared" si="697"/>
        <v>25fps 2688x1512 - SD VGA (cropped)</v>
      </c>
      <c r="Q5597">
        <f t="shared" si="698"/>
        <v>24</v>
      </c>
      <c r="R5597" t="str">
        <f t="shared" si="699"/>
        <v/>
      </c>
      <c r="S5597" t="str">
        <f t="shared" si="700"/>
        <v/>
      </c>
      <c r="T5597" s="403" t="str">
        <f t="shared" si="701"/>
        <v>NDI-5503-A</v>
      </c>
      <c r="U5597" s="403">
        <f t="shared" si="702"/>
        <v>1</v>
      </c>
      <c r="V5597" s="403" t="str">
        <f t="shared" si="703"/>
        <v>CPP_7_3</v>
      </c>
    </row>
    <row r="5598" spans="1:22">
      <c r="A5598" t="str">
        <f t="shared" si="696"/>
        <v>NDI-5503-A</v>
      </c>
      <c r="B5598" s="403" t="s">
        <v>1426</v>
      </c>
      <c r="C5598" s="403" t="s">
        <v>582</v>
      </c>
      <c r="D5598" s="403" t="s">
        <v>1427</v>
      </c>
      <c r="E5598" s="403" t="s">
        <v>778</v>
      </c>
      <c r="F5598" s="403" t="s">
        <v>1385</v>
      </c>
      <c r="G5598" s="403" t="s">
        <v>1466</v>
      </c>
      <c r="H5598" s="403" t="s">
        <v>1281</v>
      </c>
      <c r="I5598" s="403">
        <v>1</v>
      </c>
      <c r="J5598" s="403" t="s">
        <v>1373</v>
      </c>
      <c r="K5598" s="403">
        <v>2688</v>
      </c>
      <c r="L5598" s="403">
        <v>1512</v>
      </c>
      <c r="M5598" s="403" t="s">
        <v>1280</v>
      </c>
      <c r="N5598" s="403">
        <v>2688</v>
      </c>
      <c r="O5598" s="403">
        <v>1512</v>
      </c>
      <c r="P5598" t="str">
        <f t="shared" si="697"/>
        <v>25fps 2688x1512 - copy other stream</v>
      </c>
      <c r="Q5598">
        <f t="shared" si="698"/>
        <v>24</v>
      </c>
      <c r="R5598" t="str">
        <f t="shared" si="699"/>
        <v/>
      </c>
      <c r="S5598" t="str">
        <f t="shared" si="700"/>
        <v/>
      </c>
      <c r="T5598" s="403" t="str">
        <f t="shared" si="701"/>
        <v>NDI-5503-A</v>
      </c>
      <c r="U5598" s="403">
        <f t="shared" si="702"/>
        <v>1</v>
      </c>
      <c r="V5598" s="403" t="str">
        <f t="shared" si="703"/>
        <v>CPP_7_3</v>
      </c>
    </row>
    <row r="5599" spans="1:22">
      <c r="A5599" t="str">
        <f t="shared" si="696"/>
        <v>NDI-5503-A</v>
      </c>
      <c r="B5599" s="403" t="s">
        <v>1426</v>
      </c>
      <c r="C5599" s="403" t="s">
        <v>582</v>
      </c>
      <c r="D5599" s="403" t="s">
        <v>1427</v>
      </c>
      <c r="E5599" s="403" t="s">
        <v>778</v>
      </c>
      <c r="F5599" s="403" t="s">
        <v>1385</v>
      </c>
      <c r="G5599" s="403" t="s">
        <v>1466</v>
      </c>
      <c r="H5599" s="403" t="s">
        <v>1281</v>
      </c>
      <c r="I5599" s="403">
        <v>1</v>
      </c>
      <c r="J5599" s="403" t="s">
        <v>1374</v>
      </c>
      <c r="K5599" s="403">
        <v>2304</v>
      </c>
      <c r="L5599" s="403">
        <v>1296</v>
      </c>
      <c r="M5599" s="403" t="s">
        <v>110</v>
      </c>
      <c r="N5599" s="403">
        <v>1920</v>
      </c>
      <c r="O5599" s="403">
        <v>1080</v>
      </c>
      <c r="P5599" t="str">
        <f t="shared" si="697"/>
        <v>25fps 2304x1296 - 1080p</v>
      </c>
      <c r="Q5599">
        <f t="shared" si="698"/>
        <v>24</v>
      </c>
      <c r="R5599" t="str">
        <f t="shared" si="699"/>
        <v/>
      </c>
      <c r="S5599" t="str">
        <f t="shared" si="700"/>
        <v/>
      </c>
      <c r="T5599" s="403" t="str">
        <f t="shared" si="701"/>
        <v>NDI-5503-A</v>
      </c>
      <c r="U5599" s="403">
        <f t="shared" si="702"/>
        <v>1</v>
      </c>
      <c r="V5599" s="403" t="str">
        <f t="shared" si="703"/>
        <v>CPP_7_3</v>
      </c>
    </row>
    <row r="5600" spans="1:22">
      <c r="A5600" t="str">
        <f t="shared" si="696"/>
        <v>NDI-5503-A</v>
      </c>
      <c r="B5600" s="403" t="s">
        <v>1426</v>
      </c>
      <c r="C5600" s="403" t="s">
        <v>582</v>
      </c>
      <c r="D5600" s="403" t="s">
        <v>1427</v>
      </c>
      <c r="E5600" s="403" t="s">
        <v>778</v>
      </c>
      <c r="F5600" s="403" t="s">
        <v>1385</v>
      </c>
      <c r="G5600" s="403" t="s">
        <v>1466</v>
      </c>
      <c r="H5600" s="403" t="s">
        <v>1281</v>
      </c>
      <c r="I5600" s="403">
        <v>1</v>
      </c>
      <c r="J5600" s="403" t="s">
        <v>1374</v>
      </c>
      <c r="K5600" s="403">
        <v>2304</v>
      </c>
      <c r="L5600" s="403">
        <v>1296</v>
      </c>
      <c r="M5600" s="403" t="s">
        <v>1374</v>
      </c>
      <c r="N5600" s="403">
        <v>2304</v>
      </c>
      <c r="O5600" s="403">
        <v>1296</v>
      </c>
      <c r="P5600" t="str">
        <f t="shared" si="697"/>
        <v>25fps 2304x1296 - 2304x1296</v>
      </c>
      <c r="Q5600">
        <f t="shared" si="698"/>
        <v>24</v>
      </c>
      <c r="R5600" t="str">
        <f t="shared" si="699"/>
        <v/>
      </c>
      <c r="S5600" t="str">
        <f t="shared" si="700"/>
        <v/>
      </c>
      <c r="T5600" s="403" t="str">
        <f t="shared" si="701"/>
        <v>NDI-5503-A</v>
      </c>
      <c r="U5600" s="403">
        <f t="shared" si="702"/>
        <v>1</v>
      </c>
      <c r="V5600" s="403" t="str">
        <f t="shared" si="703"/>
        <v>CPP_7_3</v>
      </c>
    </row>
    <row r="5601" spans="1:22">
      <c r="A5601" t="str">
        <f t="shared" si="696"/>
        <v>NDI-5503-A</v>
      </c>
      <c r="B5601" s="403" t="s">
        <v>1426</v>
      </c>
      <c r="C5601" s="403" t="s">
        <v>582</v>
      </c>
      <c r="D5601" s="403" t="s">
        <v>1427</v>
      </c>
      <c r="E5601" s="403" t="s">
        <v>778</v>
      </c>
      <c r="F5601" s="403" t="s">
        <v>1385</v>
      </c>
      <c r="G5601" s="403" t="s">
        <v>1466</v>
      </c>
      <c r="H5601" s="403" t="s">
        <v>1281</v>
      </c>
      <c r="I5601" s="403">
        <v>1</v>
      </c>
      <c r="J5601" s="403" t="s">
        <v>1374</v>
      </c>
      <c r="K5601" s="403">
        <v>2304</v>
      </c>
      <c r="L5601" s="403">
        <v>1296</v>
      </c>
      <c r="M5601" s="403" t="s">
        <v>109</v>
      </c>
      <c r="N5601" s="403">
        <v>1280</v>
      </c>
      <c r="O5601" s="403">
        <v>720</v>
      </c>
      <c r="P5601" t="str">
        <f t="shared" si="697"/>
        <v>25fps 2304x1296 - 720p</v>
      </c>
      <c r="Q5601">
        <f t="shared" si="698"/>
        <v>24</v>
      </c>
      <c r="R5601" t="str">
        <f t="shared" si="699"/>
        <v/>
      </c>
      <c r="S5601" t="str">
        <f t="shared" si="700"/>
        <v/>
      </c>
      <c r="T5601" s="403" t="str">
        <f t="shared" si="701"/>
        <v>NDI-5503-A</v>
      </c>
      <c r="U5601" s="403">
        <f t="shared" si="702"/>
        <v>1</v>
      </c>
      <c r="V5601" s="403" t="str">
        <f t="shared" si="703"/>
        <v>CPP_7_3</v>
      </c>
    </row>
    <row r="5602" spans="1:22">
      <c r="A5602" t="str">
        <f t="shared" si="696"/>
        <v>NDI-5503-A</v>
      </c>
      <c r="B5602" s="403" t="s">
        <v>1426</v>
      </c>
      <c r="C5602" s="403" t="s">
        <v>582</v>
      </c>
      <c r="D5602" s="403" t="s">
        <v>1427</v>
      </c>
      <c r="E5602" s="403" t="s">
        <v>778</v>
      </c>
      <c r="F5602" s="403" t="s">
        <v>1385</v>
      </c>
      <c r="G5602" s="403" t="s">
        <v>1466</v>
      </c>
      <c r="H5602" s="403" t="s">
        <v>1281</v>
      </c>
      <c r="I5602" s="403">
        <v>1</v>
      </c>
      <c r="J5602" s="403" t="s">
        <v>1374</v>
      </c>
      <c r="K5602" s="403">
        <v>2304</v>
      </c>
      <c r="L5602" s="403">
        <v>1296</v>
      </c>
      <c r="M5602" s="403" t="s">
        <v>111</v>
      </c>
      <c r="N5602" s="403">
        <v>768</v>
      </c>
      <c r="O5602" s="403">
        <v>432</v>
      </c>
      <c r="P5602" t="str">
        <f t="shared" si="697"/>
        <v>25fps 2304x1296 - SD</v>
      </c>
      <c r="Q5602">
        <f t="shared" si="698"/>
        <v>24</v>
      </c>
      <c r="R5602" t="str">
        <f t="shared" si="699"/>
        <v/>
      </c>
      <c r="S5602" t="str">
        <f t="shared" si="700"/>
        <v/>
      </c>
      <c r="T5602" s="403" t="str">
        <f t="shared" si="701"/>
        <v>NDI-5503-A</v>
      </c>
      <c r="U5602" s="403">
        <f t="shared" si="702"/>
        <v>1</v>
      </c>
      <c r="V5602" s="403" t="str">
        <f t="shared" si="703"/>
        <v>CPP_7_3</v>
      </c>
    </row>
    <row r="5603" spans="1:22">
      <c r="A5603" t="str">
        <f t="shared" si="696"/>
        <v>NDI-5503-A</v>
      </c>
      <c r="B5603" s="403" t="s">
        <v>1426</v>
      </c>
      <c r="C5603" s="403" t="s">
        <v>582</v>
      </c>
      <c r="D5603" s="403" t="s">
        <v>1427</v>
      </c>
      <c r="E5603" s="403" t="s">
        <v>778</v>
      </c>
      <c r="F5603" s="403" t="s">
        <v>1385</v>
      </c>
      <c r="G5603" s="403" t="s">
        <v>1466</v>
      </c>
      <c r="H5603" s="403" t="s">
        <v>1281</v>
      </c>
      <c r="I5603" s="403">
        <v>1</v>
      </c>
      <c r="J5603" s="403" t="s">
        <v>1374</v>
      </c>
      <c r="K5603" s="403">
        <v>2304</v>
      </c>
      <c r="L5603" s="403">
        <v>1296</v>
      </c>
      <c r="M5603" s="403" t="s">
        <v>1279</v>
      </c>
      <c r="N5603" s="403">
        <v>768</v>
      </c>
      <c r="O5603" s="403">
        <v>432</v>
      </c>
      <c r="P5603" t="str">
        <f t="shared" si="697"/>
        <v>25fps 2304x1296 - SD ROI PTZ</v>
      </c>
      <c r="Q5603">
        <f t="shared" si="698"/>
        <v>24</v>
      </c>
      <c r="R5603" t="str">
        <f t="shared" si="699"/>
        <v/>
      </c>
      <c r="S5603" t="str">
        <f t="shared" si="700"/>
        <v/>
      </c>
      <c r="T5603" s="403" t="str">
        <f t="shared" si="701"/>
        <v>NDI-5503-A</v>
      </c>
      <c r="U5603" s="403">
        <f t="shared" si="702"/>
        <v>1</v>
      </c>
      <c r="V5603" s="403" t="str">
        <f t="shared" si="703"/>
        <v>CPP_7_3</v>
      </c>
    </row>
    <row r="5604" spans="1:22">
      <c r="A5604" t="str">
        <f t="shared" si="696"/>
        <v>NDI-5503-A</v>
      </c>
      <c r="B5604" s="403" t="s">
        <v>1426</v>
      </c>
      <c r="C5604" s="403" t="s">
        <v>582</v>
      </c>
      <c r="D5604" s="403" t="s">
        <v>1427</v>
      </c>
      <c r="E5604" s="403" t="s">
        <v>778</v>
      </c>
      <c r="F5604" s="403" t="s">
        <v>1385</v>
      </c>
      <c r="G5604" s="403" t="s">
        <v>1466</v>
      </c>
      <c r="H5604" s="403" t="s">
        <v>1281</v>
      </c>
      <c r="I5604" s="403">
        <v>1</v>
      </c>
      <c r="J5604" s="403" t="s">
        <v>1374</v>
      </c>
      <c r="K5604" s="403">
        <v>2304</v>
      </c>
      <c r="L5604" s="403">
        <v>1296</v>
      </c>
      <c r="M5604" s="403" t="s">
        <v>1285</v>
      </c>
      <c r="N5604" s="403">
        <v>1280</v>
      </c>
      <c r="O5604" s="403">
        <v>1024</v>
      </c>
      <c r="P5604" t="str">
        <f t="shared" si="697"/>
        <v>25fps 2304x1296 - 1280x1024 5:4 (cropped)</v>
      </c>
      <c r="Q5604">
        <f t="shared" si="698"/>
        <v>24</v>
      </c>
      <c r="R5604" t="str">
        <f t="shared" si="699"/>
        <v/>
      </c>
      <c r="S5604" t="str">
        <f t="shared" si="700"/>
        <v/>
      </c>
      <c r="T5604" s="403" t="str">
        <f t="shared" si="701"/>
        <v>NDI-5503-A</v>
      </c>
      <c r="U5604" s="403">
        <f t="shared" si="702"/>
        <v>1</v>
      </c>
      <c r="V5604" s="403" t="str">
        <f t="shared" si="703"/>
        <v>CPP_7_3</v>
      </c>
    </row>
    <row r="5605" spans="1:22">
      <c r="A5605" t="str">
        <f t="shared" si="696"/>
        <v>NDI-5503-A</v>
      </c>
      <c r="B5605" s="403" t="s">
        <v>1426</v>
      </c>
      <c r="C5605" s="403" t="s">
        <v>582</v>
      </c>
      <c r="D5605" s="403" t="s">
        <v>1427</v>
      </c>
      <c r="E5605" s="403" t="s">
        <v>778</v>
      </c>
      <c r="F5605" s="403" t="s">
        <v>1385</v>
      </c>
      <c r="G5605" s="403" t="s">
        <v>1466</v>
      </c>
      <c r="H5605" s="403" t="s">
        <v>1281</v>
      </c>
      <c r="I5605" s="403">
        <v>1</v>
      </c>
      <c r="J5605" s="403" t="s">
        <v>1374</v>
      </c>
      <c r="K5605" s="403">
        <v>2304</v>
      </c>
      <c r="L5605" s="403">
        <v>1296</v>
      </c>
      <c r="M5605" s="403" t="s">
        <v>1283</v>
      </c>
      <c r="N5605" s="403">
        <v>720</v>
      </c>
      <c r="O5605" s="403">
        <v>576</v>
      </c>
      <c r="P5605" t="str">
        <f t="shared" si="697"/>
        <v>25fps 2304x1296 - SD 4CIF resolution 4:3 format (cropped)</v>
      </c>
      <c r="Q5605">
        <f t="shared" si="698"/>
        <v>24</v>
      </c>
      <c r="R5605" t="str">
        <f t="shared" si="699"/>
        <v/>
      </c>
      <c r="S5605" t="str">
        <f t="shared" si="700"/>
        <v/>
      </c>
      <c r="T5605" s="403" t="str">
        <f t="shared" si="701"/>
        <v>NDI-5503-A</v>
      </c>
      <c r="U5605" s="403">
        <f t="shared" si="702"/>
        <v>1</v>
      </c>
      <c r="V5605" s="403" t="str">
        <f t="shared" si="703"/>
        <v>CPP_7_3</v>
      </c>
    </row>
    <row r="5606" spans="1:22">
      <c r="A5606" t="str">
        <f t="shared" si="696"/>
        <v>NDI-5503-A</v>
      </c>
      <c r="B5606" s="403" t="s">
        <v>1426</v>
      </c>
      <c r="C5606" s="403" t="s">
        <v>582</v>
      </c>
      <c r="D5606" s="403" t="s">
        <v>1427</v>
      </c>
      <c r="E5606" s="403" t="s">
        <v>778</v>
      </c>
      <c r="F5606" s="403" t="s">
        <v>1385</v>
      </c>
      <c r="G5606" s="403" t="s">
        <v>1466</v>
      </c>
      <c r="H5606" s="403" t="s">
        <v>1281</v>
      </c>
      <c r="I5606" s="403">
        <v>1</v>
      </c>
      <c r="J5606" s="403" t="s">
        <v>1374</v>
      </c>
      <c r="K5606" s="403">
        <v>2304</v>
      </c>
      <c r="L5606" s="403">
        <v>1296</v>
      </c>
      <c r="M5606" s="403" t="s">
        <v>1284</v>
      </c>
      <c r="N5606" s="403">
        <v>640</v>
      </c>
      <c r="O5606" s="403">
        <v>480</v>
      </c>
      <c r="P5606" t="str">
        <f t="shared" si="697"/>
        <v>25fps 2304x1296 - SD VGA (cropped)</v>
      </c>
      <c r="Q5606">
        <f t="shared" si="698"/>
        <v>24</v>
      </c>
      <c r="R5606" t="str">
        <f t="shared" si="699"/>
        <v/>
      </c>
      <c r="S5606" t="str">
        <f t="shared" si="700"/>
        <v/>
      </c>
      <c r="T5606" s="403" t="str">
        <f t="shared" si="701"/>
        <v>NDI-5503-A</v>
      </c>
      <c r="U5606" s="403">
        <f t="shared" si="702"/>
        <v>1</v>
      </c>
      <c r="V5606" s="403" t="str">
        <f t="shared" si="703"/>
        <v>CPP_7_3</v>
      </c>
    </row>
    <row r="5607" spans="1:22">
      <c r="A5607" t="str">
        <f t="shared" si="696"/>
        <v>NDI-5503-A</v>
      </c>
      <c r="B5607" s="403" t="s">
        <v>1426</v>
      </c>
      <c r="C5607" s="403" t="s">
        <v>582</v>
      </c>
      <c r="D5607" s="403" t="s">
        <v>1427</v>
      </c>
      <c r="E5607" s="403" t="s">
        <v>778</v>
      </c>
      <c r="F5607" s="403" t="s">
        <v>1385</v>
      </c>
      <c r="G5607" s="403" t="s">
        <v>1466</v>
      </c>
      <c r="H5607" s="403" t="s">
        <v>1281</v>
      </c>
      <c r="I5607" s="403">
        <v>1</v>
      </c>
      <c r="J5607" s="403" t="s">
        <v>1374</v>
      </c>
      <c r="K5607" s="403">
        <v>2304</v>
      </c>
      <c r="L5607" s="403">
        <v>1296</v>
      </c>
      <c r="M5607" s="403" t="s">
        <v>1280</v>
      </c>
      <c r="N5607" s="403">
        <v>2304</v>
      </c>
      <c r="O5607" s="403">
        <v>1296</v>
      </c>
      <c r="P5607" t="str">
        <f t="shared" si="697"/>
        <v>25fps 2304x1296 - copy other stream</v>
      </c>
      <c r="Q5607">
        <f t="shared" si="698"/>
        <v>24</v>
      </c>
      <c r="R5607" t="str">
        <f t="shared" si="699"/>
        <v/>
      </c>
      <c r="S5607" t="str">
        <f t="shared" si="700"/>
        <v/>
      </c>
      <c r="T5607" s="403" t="str">
        <f t="shared" si="701"/>
        <v>NDI-5503-A</v>
      </c>
      <c r="U5607" s="403">
        <f t="shared" si="702"/>
        <v>1</v>
      </c>
      <c r="V5607" s="403" t="str">
        <f t="shared" si="703"/>
        <v>CPP_7_3</v>
      </c>
    </row>
    <row r="5608" spans="1:22">
      <c r="A5608" t="str">
        <f t="shared" si="696"/>
        <v>NDI-5503-A</v>
      </c>
      <c r="B5608" s="403" t="s">
        <v>1426</v>
      </c>
      <c r="C5608" s="403" t="s">
        <v>582</v>
      </c>
      <c r="D5608" s="403" t="s">
        <v>1427</v>
      </c>
      <c r="E5608" s="403" t="s">
        <v>778</v>
      </c>
      <c r="F5608" s="403" t="s">
        <v>1385</v>
      </c>
      <c r="G5608" s="403" t="s">
        <v>1466</v>
      </c>
      <c r="H5608" s="403" t="s">
        <v>1281</v>
      </c>
      <c r="I5608" s="403">
        <v>1</v>
      </c>
      <c r="J5608" s="403" t="s">
        <v>110</v>
      </c>
      <c r="K5608" s="403">
        <v>1920</v>
      </c>
      <c r="L5608" s="403">
        <v>1080</v>
      </c>
      <c r="M5608" s="403" t="s">
        <v>111</v>
      </c>
      <c r="N5608" s="403">
        <v>768</v>
      </c>
      <c r="O5608" s="403">
        <v>432</v>
      </c>
      <c r="P5608" t="str">
        <f t="shared" si="697"/>
        <v>25fps 1080p - SD</v>
      </c>
      <c r="Q5608">
        <f t="shared" si="698"/>
        <v>24</v>
      </c>
      <c r="R5608" t="str">
        <f t="shared" si="699"/>
        <v/>
      </c>
      <c r="S5608" t="str">
        <f t="shared" si="700"/>
        <v/>
      </c>
      <c r="T5608" s="403" t="str">
        <f t="shared" si="701"/>
        <v>NDI-5503-A</v>
      </c>
      <c r="U5608" s="403">
        <f t="shared" si="702"/>
        <v>1</v>
      </c>
      <c r="V5608" s="403" t="str">
        <f t="shared" si="703"/>
        <v>CPP_7_3</v>
      </c>
    </row>
    <row r="5609" spans="1:22">
      <c r="A5609" t="str">
        <f t="shared" si="696"/>
        <v>NDI-5503-A</v>
      </c>
      <c r="B5609" s="403" t="s">
        <v>1426</v>
      </c>
      <c r="C5609" s="403" t="s">
        <v>582</v>
      </c>
      <c r="D5609" s="403" t="s">
        <v>1427</v>
      </c>
      <c r="E5609" s="403" t="s">
        <v>778</v>
      </c>
      <c r="F5609" s="403" t="s">
        <v>1385</v>
      </c>
      <c r="G5609" s="403" t="s">
        <v>1466</v>
      </c>
      <c r="H5609" s="403" t="s">
        <v>1281</v>
      </c>
      <c r="I5609" s="403">
        <v>1</v>
      </c>
      <c r="J5609" s="403" t="s">
        <v>110</v>
      </c>
      <c r="K5609" s="403">
        <v>1920</v>
      </c>
      <c r="L5609" s="403">
        <v>1080</v>
      </c>
      <c r="M5609" s="403" t="s">
        <v>110</v>
      </c>
      <c r="N5609" s="403">
        <v>1920</v>
      </c>
      <c r="O5609" s="403">
        <v>1080</v>
      </c>
      <c r="P5609" t="str">
        <f t="shared" si="697"/>
        <v>25fps 1080p - 1080p</v>
      </c>
      <c r="Q5609">
        <f t="shared" si="698"/>
        <v>24</v>
      </c>
      <c r="R5609" t="str">
        <f t="shared" si="699"/>
        <v/>
      </c>
      <c r="S5609" t="str">
        <f t="shared" si="700"/>
        <v/>
      </c>
      <c r="T5609" s="403" t="str">
        <f t="shared" si="701"/>
        <v>NDI-5503-A</v>
      </c>
      <c r="U5609" s="403">
        <f t="shared" si="702"/>
        <v>1</v>
      </c>
      <c r="V5609" s="403" t="str">
        <f t="shared" si="703"/>
        <v>CPP_7_3</v>
      </c>
    </row>
    <row r="5610" spans="1:22">
      <c r="A5610" t="str">
        <f t="shared" si="696"/>
        <v>NDI-5503-A</v>
      </c>
      <c r="B5610" s="403" t="s">
        <v>1426</v>
      </c>
      <c r="C5610" s="403" t="s">
        <v>582</v>
      </c>
      <c r="D5610" s="403" t="s">
        <v>1427</v>
      </c>
      <c r="E5610" s="403" t="s">
        <v>778</v>
      </c>
      <c r="F5610" s="403" t="s">
        <v>1385</v>
      </c>
      <c r="G5610" s="403" t="s">
        <v>1466</v>
      </c>
      <c r="H5610" s="403" t="s">
        <v>1281</v>
      </c>
      <c r="I5610" s="403">
        <v>1</v>
      </c>
      <c r="J5610" s="403" t="s">
        <v>110</v>
      </c>
      <c r="K5610" s="403">
        <v>1920</v>
      </c>
      <c r="L5610" s="403">
        <v>1080</v>
      </c>
      <c r="M5610" s="403" t="s">
        <v>109</v>
      </c>
      <c r="N5610" s="403">
        <v>1280</v>
      </c>
      <c r="O5610" s="403">
        <v>720</v>
      </c>
      <c r="P5610" t="str">
        <f t="shared" si="697"/>
        <v>25fps 1080p - 720p</v>
      </c>
      <c r="Q5610">
        <f t="shared" si="698"/>
        <v>24</v>
      </c>
      <c r="R5610" t="str">
        <f t="shared" si="699"/>
        <v/>
      </c>
      <c r="S5610" t="str">
        <f t="shared" si="700"/>
        <v/>
      </c>
      <c r="T5610" s="403" t="str">
        <f t="shared" si="701"/>
        <v>NDI-5503-A</v>
      </c>
      <c r="U5610" s="403">
        <f t="shared" si="702"/>
        <v>1</v>
      </c>
      <c r="V5610" s="403" t="str">
        <f t="shared" si="703"/>
        <v>CPP_7_3</v>
      </c>
    </row>
    <row r="5611" spans="1:22">
      <c r="A5611" t="str">
        <f t="shared" si="696"/>
        <v>NDI-5503-A</v>
      </c>
      <c r="B5611" s="403" t="s">
        <v>1426</v>
      </c>
      <c r="C5611" s="403" t="s">
        <v>582</v>
      </c>
      <c r="D5611" s="403" t="s">
        <v>1427</v>
      </c>
      <c r="E5611" s="403" t="s">
        <v>778</v>
      </c>
      <c r="F5611" s="403" t="s">
        <v>1385</v>
      </c>
      <c r="G5611" s="403" t="s">
        <v>1466</v>
      </c>
      <c r="H5611" s="403" t="s">
        <v>1281</v>
      </c>
      <c r="I5611" s="403">
        <v>1</v>
      </c>
      <c r="J5611" s="403" t="s">
        <v>110</v>
      </c>
      <c r="K5611" s="403">
        <v>1920</v>
      </c>
      <c r="L5611" s="403">
        <v>1080</v>
      </c>
      <c r="M5611" s="403" t="s">
        <v>1285</v>
      </c>
      <c r="N5611" s="403">
        <v>1280</v>
      </c>
      <c r="O5611" s="403">
        <v>1024</v>
      </c>
      <c r="P5611" t="str">
        <f t="shared" si="697"/>
        <v>25fps 1080p - 1280x1024 5:4 (cropped)</v>
      </c>
      <c r="Q5611">
        <f t="shared" si="698"/>
        <v>24</v>
      </c>
      <c r="R5611" t="str">
        <f t="shared" si="699"/>
        <v/>
      </c>
      <c r="S5611" t="str">
        <f t="shared" si="700"/>
        <v/>
      </c>
      <c r="T5611" s="403" t="str">
        <f t="shared" si="701"/>
        <v>NDI-5503-A</v>
      </c>
      <c r="U5611" s="403">
        <f t="shared" si="702"/>
        <v>1</v>
      </c>
      <c r="V5611" s="403" t="str">
        <f t="shared" si="703"/>
        <v>CPP_7_3</v>
      </c>
    </row>
    <row r="5612" spans="1:22">
      <c r="A5612" t="str">
        <f t="shared" si="696"/>
        <v>NDI-5503-A</v>
      </c>
      <c r="B5612" s="403" t="s">
        <v>1426</v>
      </c>
      <c r="C5612" s="403" t="s">
        <v>582</v>
      </c>
      <c r="D5612" s="403" t="s">
        <v>1427</v>
      </c>
      <c r="E5612" s="403" t="s">
        <v>778</v>
      </c>
      <c r="F5612" s="403" t="s">
        <v>1385</v>
      </c>
      <c r="G5612" s="403" t="s">
        <v>1466</v>
      </c>
      <c r="H5612" s="403" t="s">
        <v>1281</v>
      </c>
      <c r="I5612" s="403">
        <v>1</v>
      </c>
      <c r="J5612" s="403" t="s">
        <v>110</v>
      </c>
      <c r="K5612" s="403">
        <v>1920</v>
      </c>
      <c r="L5612" s="403">
        <v>1080</v>
      </c>
      <c r="M5612" s="403" t="s">
        <v>1279</v>
      </c>
      <c r="N5612" s="403">
        <v>768</v>
      </c>
      <c r="O5612" s="403">
        <v>432</v>
      </c>
      <c r="P5612" t="str">
        <f t="shared" si="697"/>
        <v>25fps 1080p - SD ROI PTZ</v>
      </c>
      <c r="Q5612">
        <f t="shared" si="698"/>
        <v>24</v>
      </c>
      <c r="R5612" t="str">
        <f t="shared" si="699"/>
        <v/>
      </c>
      <c r="S5612" t="str">
        <f t="shared" si="700"/>
        <v/>
      </c>
      <c r="T5612" s="403" t="str">
        <f t="shared" si="701"/>
        <v>NDI-5503-A</v>
      </c>
      <c r="U5612" s="403">
        <f t="shared" si="702"/>
        <v>1</v>
      </c>
      <c r="V5612" s="403" t="str">
        <f t="shared" si="703"/>
        <v>CPP_7_3</v>
      </c>
    </row>
    <row r="5613" spans="1:22">
      <c r="A5613" t="str">
        <f t="shared" si="696"/>
        <v>NDI-5503-A</v>
      </c>
      <c r="B5613" s="403" t="s">
        <v>1426</v>
      </c>
      <c r="C5613" s="403" t="s">
        <v>582</v>
      </c>
      <c r="D5613" s="403" t="s">
        <v>1427</v>
      </c>
      <c r="E5613" s="403" t="s">
        <v>778</v>
      </c>
      <c r="F5613" s="403" t="s">
        <v>1385</v>
      </c>
      <c r="G5613" s="403" t="s">
        <v>1466</v>
      </c>
      <c r="H5613" s="403" t="s">
        <v>1281</v>
      </c>
      <c r="I5613" s="403">
        <v>1</v>
      </c>
      <c r="J5613" s="403" t="s">
        <v>110</v>
      </c>
      <c r="K5613" s="403">
        <v>1920</v>
      </c>
      <c r="L5613" s="403">
        <v>1080</v>
      </c>
      <c r="M5613" s="403" t="s">
        <v>1283</v>
      </c>
      <c r="N5613" s="403">
        <v>720</v>
      </c>
      <c r="O5613" s="403">
        <v>576</v>
      </c>
      <c r="P5613" t="str">
        <f t="shared" si="697"/>
        <v>25fps 1080p - SD 4CIF resolution 4:3 format (cropped)</v>
      </c>
      <c r="Q5613">
        <f t="shared" si="698"/>
        <v>24</v>
      </c>
      <c r="R5613" t="str">
        <f t="shared" si="699"/>
        <v/>
      </c>
      <c r="S5613" t="str">
        <f t="shared" si="700"/>
        <v/>
      </c>
      <c r="T5613" s="403" t="str">
        <f t="shared" si="701"/>
        <v>NDI-5503-A</v>
      </c>
      <c r="U5613" s="403">
        <f t="shared" si="702"/>
        <v>1</v>
      </c>
      <c r="V5613" s="403" t="str">
        <f t="shared" si="703"/>
        <v>CPP_7_3</v>
      </c>
    </row>
    <row r="5614" spans="1:22">
      <c r="A5614" t="str">
        <f t="shared" si="696"/>
        <v>NDI-5503-A</v>
      </c>
      <c r="B5614" s="403" t="s">
        <v>1426</v>
      </c>
      <c r="C5614" s="403" t="s">
        <v>582</v>
      </c>
      <c r="D5614" s="403" t="s">
        <v>1427</v>
      </c>
      <c r="E5614" s="403" t="s">
        <v>778</v>
      </c>
      <c r="F5614" s="403" t="s">
        <v>1385</v>
      </c>
      <c r="G5614" s="403" t="s">
        <v>1466</v>
      </c>
      <c r="H5614" s="403" t="s">
        <v>1281</v>
      </c>
      <c r="I5614" s="403">
        <v>1</v>
      </c>
      <c r="J5614" s="403" t="s">
        <v>110</v>
      </c>
      <c r="K5614" s="403">
        <v>1920</v>
      </c>
      <c r="L5614" s="403">
        <v>1080</v>
      </c>
      <c r="M5614" s="403" t="s">
        <v>1284</v>
      </c>
      <c r="N5614" s="403">
        <v>640</v>
      </c>
      <c r="O5614" s="403">
        <v>480</v>
      </c>
      <c r="P5614" t="str">
        <f t="shared" si="697"/>
        <v>25fps 1080p - SD VGA (cropped)</v>
      </c>
      <c r="Q5614">
        <f t="shared" si="698"/>
        <v>24</v>
      </c>
      <c r="R5614" t="str">
        <f t="shared" si="699"/>
        <v/>
      </c>
      <c r="S5614" t="str">
        <f t="shared" si="700"/>
        <v/>
      </c>
      <c r="T5614" s="403" t="str">
        <f t="shared" si="701"/>
        <v>NDI-5503-A</v>
      </c>
      <c r="U5614" s="403">
        <f t="shared" si="702"/>
        <v>1</v>
      </c>
      <c r="V5614" s="403" t="str">
        <f t="shared" si="703"/>
        <v>CPP_7_3</v>
      </c>
    </row>
    <row r="5615" spans="1:22">
      <c r="A5615" t="str">
        <f t="shared" si="696"/>
        <v>NDI-5503-A</v>
      </c>
      <c r="B5615" s="403" t="s">
        <v>1426</v>
      </c>
      <c r="C5615" s="403" t="s">
        <v>582</v>
      </c>
      <c r="D5615" s="403" t="s">
        <v>1427</v>
      </c>
      <c r="E5615" s="403" t="s">
        <v>778</v>
      </c>
      <c r="F5615" s="403" t="s">
        <v>1385</v>
      </c>
      <c r="G5615" s="403" t="s">
        <v>1466</v>
      </c>
      <c r="H5615" s="403" t="s">
        <v>1281</v>
      </c>
      <c r="I5615" s="403">
        <v>1</v>
      </c>
      <c r="J5615" s="403" t="s">
        <v>109</v>
      </c>
      <c r="K5615" s="403">
        <v>1280</v>
      </c>
      <c r="L5615" s="403">
        <v>720</v>
      </c>
      <c r="M5615" s="403" t="s">
        <v>109</v>
      </c>
      <c r="N5615" s="403">
        <v>1280</v>
      </c>
      <c r="O5615" s="403">
        <v>720</v>
      </c>
      <c r="P5615" t="str">
        <f t="shared" si="697"/>
        <v>25fps 720p - 720p</v>
      </c>
      <c r="Q5615">
        <f t="shared" si="698"/>
        <v>24</v>
      </c>
      <c r="R5615" t="str">
        <f t="shared" si="699"/>
        <v/>
      </c>
      <c r="S5615" t="str">
        <f t="shared" si="700"/>
        <v/>
      </c>
      <c r="T5615" s="403" t="str">
        <f t="shared" si="701"/>
        <v>NDI-5503-A</v>
      </c>
      <c r="U5615" s="403">
        <f t="shared" si="702"/>
        <v>1</v>
      </c>
      <c r="V5615" s="403" t="str">
        <f t="shared" si="703"/>
        <v>CPP_7_3</v>
      </c>
    </row>
    <row r="5616" spans="1:22">
      <c r="A5616" t="str">
        <f t="shared" si="696"/>
        <v>NDI-5503-A</v>
      </c>
      <c r="B5616" s="403" t="s">
        <v>1426</v>
      </c>
      <c r="C5616" s="403" t="s">
        <v>582</v>
      </c>
      <c r="D5616" s="403" t="s">
        <v>1427</v>
      </c>
      <c r="E5616" s="403" t="s">
        <v>778</v>
      </c>
      <c r="F5616" s="403" t="s">
        <v>1385</v>
      </c>
      <c r="G5616" s="403" t="s">
        <v>1466</v>
      </c>
      <c r="H5616" s="403" t="s">
        <v>1281</v>
      </c>
      <c r="I5616" s="403">
        <v>1</v>
      </c>
      <c r="J5616" s="403" t="s">
        <v>109</v>
      </c>
      <c r="K5616" s="403">
        <v>1280</v>
      </c>
      <c r="L5616" s="403">
        <v>720</v>
      </c>
      <c r="M5616" s="403" t="s">
        <v>111</v>
      </c>
      <c r="N5616" s="403">
        <v>768</v>
      </c>
      <c r="O5616" s="403">
        <v>432</v>
      </c>
      <c r="P5616" t="str">
        <f t="shared" si="697"/>
        <v>25fps 720p - SD</v>
      </c>
      <c r="Q5616">
        <f t="shared" si="698"/>
        <v>24</v>
      </c>
      <c r="R5616" t="str">
        <f t="shared" si="699"/>
        <v/>
      </c>
      <c r="S5616" t="str">
        <f t="shared" si="700"/>
        <v/>
      </c>
      <c r="T5616" s="403" t="str">
        <f t="shared" si="701"/>
        <v>NDI-5503-A</v>
      </c>
      <c r="U5616" s="403">
        <f t="shared" si="702"/>
        <v>1</v>
      </c>
      <c r="V5616" s="403" t="str">
        <f t="shared" si="703"/>
        <v>CPP_7_3</v>
      </c>
    </row>
    <row r="5617" spans="1:22">
      <c r="A5617" t="str">
        <f t="shared" si="696"/>
        <v>NDI-5503-A</v>
      </c>
      <c r="B5617" s="403" t="s">
        <v>1426</v>
      </c>
      <c r="C5617" s="403" t="s">
        <v>582</v>
      </c>
      <c r="D5617" s="403" t="s">
        <v>1427</v>
      </c>
      <c r="E5617" s="403" t="s">
        <v>778</v>
      </c>
      <c r="F5617" s="403" t="s">
        <v>1385</v>
      </c>
      <c r="G5617" s="403" t="s">
        <v>1466</v>
      </c>
      <c r="H5617" s="403" t="s">
        <v>1281</v>
      </c>
      <c r="I5617" s="403">
        <v>1</v>
      </c>
      <c r="J5617" s="403" t="s">
        <v>109</v>
      </c>
      <c r="K5617" s="403">
        <v>1280</v>
      </c>
      <c r="L5617" s="403">
        <v>720</v>
      </c>
      <c r="M5617" s="403" t="s">
        <v>1279</v>
      </c>
      <c r="N5617" s="403">
        <v>768</v>
      </c>
      <c r="O5617" s="403">
        <v>432</v>
      </c>
      <c r="P5617" t="str">
        <f t="shared" si="697"/>
        <v>25fps 720p - SD ROI PTZ</v>
      </c>
      <c r="Q5617">
        <f t="shared" si="698"/>
        <v>24</v>
      </c>
      <c r="R5617" t="str">
        <f t="shared" si="699"/>
        <v/>
      </c>
      <c r="S5617" t="str">
        <f t="shared" si="700"/>
        <v/>
      </c>
      <c r="T5617" s="403" t="str">
        <f t="shared" si="701"/>
        <v>NDI-5503-A</v>
      </c>
      <c r="U5617" s="403">
        <f t="shared" si="702"/>
        <v>1</v>
      </c>
      <c r="V5617" s="403" t="str">
        <f t="shared" si="703"/>
        <v>CPP_7_3</v>
      </c>
    </row>
    <row r="5618" spans="1:22">
      <c r="A5618" t="str">
        <f t="shared" si="696"/>
        <v>NDI-5503-A</v>
      </c>
      <c r="B5618" s="403" t="s">
        <v>1426</v>
      </c>
      <c r="C5618" s="403" t="s">
        <v>582</v>
      </c>
      <c r="D5618" s="403" t="s">
        <v>1427</v>
      </c>
      <c r="E5618" s="403" t="s">
        <v>778</v>
      </c>
      <c r="F5618" s="403" t="s">
        <v>1385</v>
      </c>
      <c r="G5618" s="403" t="s">
        <v>1466</v>
      </c>
      <c r="H5618" s="403" t="s">
        <v>1281</v>
      </c>
      <c r="I5618" s="403">
        <v>1</v>
      </c>
      <c r="J5618" s="403" t="s">
        <v>109</v>
      </c>
      <c r="K5618" s="403">
        <v>1280</v>
      </c>
      <c r="L5618" s="403">
        <v>720</v>
      </c>
      <c r="M5618" s="403" t="s">
        <v>1283</v>
      </c>
      <c r="N5618" s="403">
        <v>720</v>
      </c>
      <c r="O5618" s="403">
        <v>576</v>
      </c>
      <c r="P5618" t="str">
        <f t="shared" si="697"/>
        <v>25fps 720p - SD 4CIF resolution 4:3 format (cropped)</v>
      </c>
      <c r="Q5618">
        <f t="shared" si="698"/>
        <v>24</v>
      </c>
      <c r="R5618" t="str">
        <f t="shared" si="699"/>
        <v/>
      </c>
      <c r="S5618" t="str">
        <f t="shared" si="700"/>
        <v/>
      </c>
      <c r="T5618" s="403" t="str">
        <f t="shared" si="701"/>
        <v>NDI-5503-A</v>
      </c>
      <c r="U5618" s="403">
        <f t="shared" si="702"/>
        <v>1</v>
      </c>
      <c r="V5618" s="403" t="str">
        <f t="shared" si="703"/>
        <v>CPP_7_3</v>
      </c>
    </row>
    <row r="5619" spans="1:22">
      <c r="A5619" t="str">
        <f t="shared" si="696"/>
        <v>NDI-5503-A</v>
      </c>
      <c r="B5619" s="403" t="s">
        <v>1426</v>
      </c>
      <c r="C5619" s="403" t="s">
        <v>582</v>
      </c>
      <c r="D5619" s="403" t="s">
        <v>1427</v>
      </c>
      <c r="E5619" s="403" t="s">
        <v>778</v>
      </c>
      <c r="F5619" s="403" t="s">
        <v>1385</v>
      </c>
      <c r="G5619" s="403" t="s">
        <v>1466</v>
      </c>
      <c r="H5619" s="403" t="s">
        <v>1281</v>
      </c>
      <c r="I5619" s="403">
        <v>1</v>
      </c>
      <c r="J5619" s="403" t="s">
        <v>109</v>
      </c>
      <c r="K5619" s="403">
        <v>1280</v>
      </c>
      <c r="L5619" s="403">
        <v>720</v>
      </c>
      <c r="M5619" s="403" t="s">
        <v>1284</v>
      </c>
      <c r="N5619" s="403">
        <v>640</v>
      </c>
      <c r="O5619" s="403">
        <v>480</v>
      </c>
      <c r="P5619" t="str">
        <f t="shared" si="697"/>
        <v>25fps 720p - SD VGA (cropped)</v>
      </c>
      <c r="Q5619">
        <f t="shared" si="698"/>
        <v>24</v>
      </c>
      <c r="R5619" t="str">
        <f t="shared" si="699"/>
        <v/>
      </c>
      <c r="S5619" t="str">
        <f t="shared" si="700"/>
        <v/>
      </c>
      <c r="T5619" s="403" t="str">
        <f t="shared" si="701"/>
        <v>NDI-5503-A</v>
      </c>
      <c r="U5619" s="403">
        <f t="shared" si="702"/>
        <v>1</v>
      </c>
      <c r="V5619" s="403" t="str">
        <f t="shared" si="703"/>
        <v>CPP_7_3</v>
      </c>
    </row>
    <row r="5620" spans="1:22">
      <c r="A5620" t="str">
        <f t="shared" si="696"/>
        <v>NDI-5503-A</v>
      </c>
      <c r="B5620" s="403" t="s">
        <v>1426</v>
      </c>
      <c r="C5620" s="403" t="s">
        <v>582</v>
      </c>
      <c r="D5620" s="403" t="s">
        <v>1427</v>
      </c>
      <c r="E5620" s="403" t="s">
        <v>778</v>
      </c>
      <c r="F5620" s="403" t="s">
        <v>1385</v>
      </c>
      <c r="G5620" s="403" t="s">
        <v>1467</v>
      </c>
      <c r="H5620" s="403" t="s">
        <v>1276</v>
      </c>
      <c r="I5620" s="403">
        <v>1</v>
      </c>
      <c r="J5620" s="403" t="s">
        <v>1376</v>
      </c>
      <c r="K5620" s="403">
        <v>1728</v>
      </c>
      <c r="L5620" s="403">
        <v>3072</v>
      </c>
      <c r="M5620" s="403" t="s">
        <v>111</v>
      </c>
      <c r="N5620" s="403">
        <v>432</v>
      </c>
      <c r="O5620" s="403">
        <v>768</v>
      </c>
      <c r="P5620" t="str">
        <f t="shared" si="697"/>
        <v>25fps 3072x1728 - SD</v>
      </c>
      <c r="Q5620">
        <f t="shared" si="698"/>
        <v>24</v>
      </c>
      <c r="R5620" t="str">
        <f t="shared" si="699"/>
        <v/>
      </c>
      <c r="S5620" t="str">
        <f t="shared" si="700"/>
        <v/>
      </c>
      <c r="T5620" s="403" t="str">
        <f t="shared" si="701"/>
        <v>NDI-5503-A</v>
      </c>
      <c r="U5620" s="403">
        <f t="shared" si="702"/>
        <v>1</v>
      </c>
      <c r="V5620" s="403" t="str">
        <f t="shared" si="703"/>
        <v>CPP_7_3</v>
      </c>
    </row>
    <row r="5621" spans="1:22">
      <c r="A5621" t="str">
        <f t="shared" si="696"/>
        <v>NDI-5503-A</v>
      </c>
      <c r="B5621" s="403" t="s">
        <v>1426</v>
      </c>
      <c r="C5621" s="403" t="s">
        <v>582</v>
      </c>
      <c r="D5621" s="403" t="s">
        <v>1427</v>
      </c>
      <c r="E5621" s="403" t="s">
        <v>778</v>
      </c>
      <c r="F5621" s="403" t="s">
        <v>1385</v>
      </c>
      <c r="G5621" s="403" t="s">
        <v>1467</v>
      </c>
      <c r="H5621" s="403" t="s">
        <v>1276</v>
      </c>
      <c r="I5621" s="403">
        <v>1</v>
      </c>
      <c r="J5621" s="403" t="s">
        <v>1376</v>
      </c>
      <c r="K5621" s="403">
        <v>1728</v>
      </c>
      <c r="L5621" s="403">
        <v>3072</v>
      </c>
      <c r="M5621" s="403" t="s">
        <v>1600</v>
      </c>
      <c r="N5621" s="403">
        <v>1728</v>
      </c>
      <c r="O5621" s="403">
        <v>3072</v>
      </c>
      <c r="P5621" t="str">
        <f t="shared" si="697"/>
        <v>25fps 3072x1728 - 3072x1728 @ SKIP2</v>
      </c>
      <c r="Q5621">
        <f t="shared" si="698"/>
        <v>24</v>
      </c>
      <c r="R5621" t="str">
        <f t="shared" si="699"/>
        <v/>
      </c>
      <c r="S5621" t="str">
        <f t="shared" si="700"/>
        <v/>
      </c>
      <c r="T5621" s="403" t="str">
        <f t="shared" si="701"/>
        <v>NDI-5503-A</v>
      </c>
      <c r="U5621" s="403">
        <f t="shared" si="702"/>
        <v>1</v>
      </c>
      <c r="V5621" s="403" t="str">
        <f t="shared" si="703"/>
        <v>CPP_7_3</v>
      </c>
    </row>
    <row r="5622" spans="1:22">
      <c r="A5622" t="str">
        <f t="shared" si="696"/>
        <v>NDI-5503-A</v>
      </c>
      <c r="B5622" s="403" t="s">
        <v>1426</v>
      </c>
      <c r="C5622" s="403" t="s">
        <v>582</v>
      </c>
      <c r="D5622" s="403" t="s">
        <v>1427</v>
      </c>
      <c r="E5622" s="403" t="s">
        <v>778</v>
      </c>
      <c r="F5622" s="403" t="s">
        <v>1385</v>
      </c>
      <c r="G5622" s="403" t="s">
        <v>1467</v>
      </c>
      <c r="H5622" s="403" t="s">
        <v>1276</v>
      </c>
      <c r="I5622" s="403">
        <v>1</v>
      </c>
      <c r="J5622" s="403" t="s">
        <v>1376</v>
      </c>
      <c r="K5622" s="403">
        <v>1728</v>
      </c>
      <c r="L5622" s="403">
        <v>3072</v>
      </c>
      <c r="M5622" s="403" t="s">
        <v>1280</v>
      </c>
      <c r="N5622" s="403">
        <v>1728</v>
      </c>
      <c r="O5622" s="403">
        <v>3072</v>
      </c>
      <c r="P5622" t="str">
        <f t="shared" si="697"/>
        <v>25fps 3072x1728 - copy other stream</v>
      </c>
      <c r="Q5622">
        <f t="shared" si="698"/>
        <v>24</v>
      </c>
      <c r="R5622" t="str">
        <f t="shared" si="699"/>
        <v/>
      </c>
      <c r="S5622" t="str">
        <f t="shared" si="700"/>
        <v/>
      </c>
      <c r="T5622" s="403" t="str">
        <f t="shared" si="701"/>
        <v>NDI-5503-A</v>
      </c>
      <c r="U5622" s="403">
        <f t="shared" si="702"/>
        <v>1</v>
      </c>
      <c r="V5622" s="403" t="str">
        <f t="shared" si="703"/>
        <v>CPP_7_3</v>
      </c>
    </row>
    <row r="5623" spans="1:22">
      <c r="A5623" t="str">
        <f t="shared" si="696"/>
        <v>NDI-5503-A</v>
      </c>
      <c r="B5623" s="403" t="s">
        <v>1426</v>
      </c>
      <c r="C5623" s="403" t="s">
        <v>582</v>
      </c>
      <c r="D5623" s="403" t="s">
        <v>1427</v>
      </c>
      <c r="E5623" s="403" t="s">
        <v>778</v>
      </c>
      <c r="F5623" s="403" t="s">
        <v>1385</v>
      </c>
      <c r="G5623" s="403" t="s">
        <v>1467</v>
      </c>
      <c r="H5623" s="403" t="s">
        <v>1276</v>
      </c>
      <c r="I5623" s="403">
        <v>1</v>
      </c>
      <c r="J5623" s="403" t="s">
        <v>1376</v>
      </c>
      <c r="K5623" s="403">
        <v>1728</v>
      </c>
      <c r="L5623" s="403">
        <v>3072</v>
      </c>
      <c r="M5623" s="403" t="s">
        <v>110</v>
      </c>
      <c r="N5623" s="403">
        <v>1080</v>
      </c>
      <c r="O5623" s="403">
        <v>1920</v>
      </c>
      <c r="P5623" t="str">
        <f t="shared" si="697"/>
        <v>25fps 3072x1728 - 1080p</v>
      </c>
      <c r="Q5623">
        <f t="shared" si="698"/>
        <v>24</v>
      </c>
      <c r="R5623" t="str">
        <f t="shared" si="699"/>
        <v/>
      </c>
      <c r="S5623" t="str">
        <f t="shared" si="700"/>
        <v/>
      </c>
      <c r="T5623" s="403" t="str">
        <f t="shared" si="701"/>
        <v>NDI-5503-A</v>
      </c>
      <c r="U5623" s="403">
        <f t="shared" si="702"/>
        <v>1</v>
      </c>
      <c r="V5623" s="403" t="str">
        <f t="shared" si="703"/>
        <v>CPP_7_3</v>
      </c>
    </row>
    <row r="5624" spans="1:22">
      <c r="A5624" t="str">
        <f t="shared" si="696"/>
        <v>NDI-5503-A</v>
      </c>
      <c r="B5624" s="403" t="s">
        <v>1426</v>
      </c>
      <c r="C5624" s="403" t="s">
        <v>582</v>
      </c>
      <c r="D5624" s="403" t="s">
        <v>1427</v>
      </c>
      <c r="E5624" s="403" t="s">
        <v>778</v>
      </c>
      <c r="F5624" s="403" t="s">
        <v>1385</v>
      </c>
      <c r="G5624" s="403" t="s">
        <v>1467</v>
      </c>
      <c r="H5624" s="403" t="s">
        <v>1276</v>
      </c>
      <c r="I5624" s="403">
        <v>1</v>
      </c>
      <c r="J5624" s="403" t="s">
        <v>1376</v>
      </c>
      <c r="K5624" s="403">
        <v>1728</v>
      </c>
      <c r="L5624" s="403">
        <v>3072</v>
      </c>
      <c r="M5624" s="403" t="s">
        <v>109</v>
      </c>
      <c r="N5624" s="403">
        <v>720</v>
      </c>
      <c r="O5624" s="403">
        <v>1280</v>
      </c>
      <c r="P5624" t="str">
        <f t="shared" si="697"/>
        <v>25fps 3072x1728 - 720p</v>
      </c>
      <c r="Q5624">
        <f t="shared" si="698"/>
        <v>24</v>
      </c>
      <c r="R5624" t="str">
        <f t="shared" si="699"/>
        <v/>
      </c>
      <c r="S5624" t="str">
        <f t="shared" si="700"/>
        <v/>
      </c>
      <c r="T5624" s="403" t="str">
        <f t="shared" si="701"/>
        <v>NDI-5503-A</v>
      </c>
      <c r="U5624" s="403">
        <f t="shared" si="702"/>
        <v>1</v>
      </c>
      <c r="V5624" s="403" t="str">
        <f t="shared" si="703"/>
        <v>CPP_7_3</v>
      </c>
    </row>
    <row r="5625" spans="1:22">
      <c r="A5625" t="str">
        <f t="shared" si="696"/>
        <v>NDI-5503-A</v>
      </c>
      <c r="B5625" s="403" t="s">
        <v>1426</v>
      </c>
      <c r="C5625" s="403" t="s">
        <v>582</v>
      </c>
      <c r="D5625" s="403" t="s">
        <v>1427</v>
      </c>
      <c r="E5625" s="403" t="s">
        <v>778</v>
      </c>
      <c r="F5625" s="403" t="s">
        <v>1385</v>
      </c>
      <c r="G5625" s="403" t="s">
        <v>1467</v>
      </c>
      <c r="H5625" s="403" t="s">
        <v>1276</v>
      </c>
      <c r="I5625" s="403">
        <v>1</v>
      </c>
      <c r="J5625" s="403" t="s">
        <v>1376</v>
      </c>
      <c r="K5625" s="403">
        <v>1728</v>
      </c>
      <c r="L5625" s="403">
        <v>3072</v>
      </c>
      <c r="M5625" s="403" t="s">
        <v>1283</v>
      </c>
      <c r="N5625" s="403">
        <v>576</v>
      </c>
      <c r="O5625" s="403">
        <v>720</v>
      </c>
      <c r="P5625" t="str">
        <f t="shared" si="697"/>
        <v>25fps 3072x1728 - SD 4CIF resolution 4:3 format (cropped)</v>
      </c>
      <c r="Q5625">
        <f t="shared" si="698"/>
        <v>24</v>
      </c>
      <c r="R5625" t="str">
        <f t="shared" si="699"/>
        <v/>
      </c>
      <c r="S5625" t="str">
        <f t="shared" si="700"/>
        <v/>
      </c>
      <c r="T5625" s="403" t="str">
        <f t="shared" si="701"/>
        <v>NDI-5503-A</v>
      </c>
      <c r="U5625" s="403">
        <f t="shared" si="702"/>
        <v>1</v>
      </c>
      <c r="V5625" s="403" t="str">
        <f t="shared" si="703"/>
        <v>CPP_7_3</v>
      </c>
    </row>
    <row r="5626" spans="1:22">
      <c r="A5626" t="str">
        <f t="shared" si="696"/>
        <v>NDI-5503-A</v>
      </c>
      <c r="B5626" s="403" t="s">
        <v>1426</v>
      </c>
      <c r="C5626" s="403" t="s">
        <v>582</v>
      </c>
      <c r="D5626" s="403" t="s">
        <v>1427</v>
      </c>
      <c r="E5626" s="403" t="s">
        <v>778</v>
      </c>
      <c r="F5626" s="403" t="s">
        <v>1385</v>
      </c>
      <c r="G5626" s="403" t="s">
        <v>1467</v>
      </c>
      <c r="H5626" s="403" t="s">
        <v>1276</v>
      </c>
      <c r="I5626" s="403">
        <v>1</v>
      </c>
      <c r="J5626" s="403" t="s">
        <v>1376</v>
      </c>
      <c r="K5626" s="403">
        <v>1728</v>
      </c>
      <c r="L5626" s="403">
        <v>3072</v>
      </c>
      <c r="M5626" s="403" t="s">
        <v>1279</v>
      </c>
      <c r="N5626" s="403">
        <v>432</v>
      </c>
      <c r="O5626" s="403">
        <v>768</v>
      </c>
      <c r="P5626" t="str">
        <f t="shared" si="697"/>
        <v>25fps 3072x1728 - SD ROI PTZ</v>
      </c>
      <c r="Q5626">
        <f t="shared" si="698"/>
        <v>24</v>
      </c>
      <c r="R5626" t="str">
        <f t="shared" si="699"/>
        <v/>
      </c>
      <c r="S5626" t="str">
        <f t="shared" si="700"/>
        <v/>
      </c>
      <c r="T5626" s="403" t="str">
        <f t="shared" si="701"/>
        <v>NDI-5503-A</v>
      </c>
      <c r="U5626" s="403">
        <f t="shared" si="702"/>
        <v>1</v>
      </c>
      <c r="V5626" s="403" t="str">
        <f t="shared" si="703"/>
        <v>CPP_7_3</v>
      </c>
    </row>
    <row r="5627" spans="1:22">
      <c r="A5627" t="str">
        <f t="shared" si="696"/>
        <v>NDI-5503-A</v>
      </c>
      <c r="B5627" s="403" t="s">
        <v>1426</v>
      </c>
      <c r="C5627" s="403" t="s">
        <v>582</v>
      </c>
      <c r="D5627" s="403" t="s">
        <v>1427</v>
      </c>
      <c r="E5627" s="403" t="s">
        <v>778</v>
      </c>
      <c r="F5627" s="403" t="s">
        <v>1385</v>
      </c>
      <c r="G5627" s="403" t="s">
        <v>1467</v>
      </c>
      <c r="H5627" s="403" t="s">
        <v>1276</v>
      </c>
      <c r="I5627" s="403">
        <v>1</v>
      </c>
      <c r="J5627" s="403" t="s">
        <v>1376</v>
      </c>
      <c r="K5627" s="403">
        <v>1728</v>
      </c>
      <c r="L5627" s="403">
        <v>3072</v>
      </c>
      <c r="M5627" s="403" t="s">
        <v>1284</v>
      </c>
      <c r="N5627" s="403">
        <v>480</v>
      </c>
      <c r="O5627" s="403">
        <v>640</v>
      </c>
      <c r="P5627" t="str">
        <f t="shared" si="697"/>
        <v>25fps 3072x1728 - SD VGA (cropped)</v>
      </c>
      <c r="Q5627">
        <f t="shared" si="698"/>
        <v>24</v>
      </c>
      <c r="R5627" t="str">
        <f t="shared" si="699"/>
        <v/>
      </c>
      <c r="S5627" t="str">
        <f t="shared" si="700"/>
        <v/>
      </c>
      <c r="T5627" s="403" t="str">
        <f t="shared" si="701"/>
        <v>NDI-5503-A</v>
      </c>
      <c r="U5627" s="403">
        <f t="shared" si="702"/>
        <v>1</v>
      </c>
      <c r="V5627" s="403" t="str">
        <f t="shared" si="703"/>
        <v>CPP_7_3</v>
      </c>
    </row>
    <row r="5628" spans="1:22">
      <c r="A5628" t="str">
        <f t="shared" si="696"/>
        <v>NDI-5503-A</v>
      </c>
      <c r="B5628" s="403" t="s">
        <v>1426</v>
      </c>
      <c r="C5628" s="403" t="s">
        <v>582</v>
      </c>
      <c r="D5628" s="403" t="s">
        <v>1427</v>
      </c>
      <c r="E5628" s="403" t="s">
        <v>778</v>
      </c>
      <c r="F5628" s="403" t="s">
        <v>1385</v>
      </c>
      <c r="G5628" s="403" t="s">
        <v>1467</v>
      </c>
      <c r="H5628" s="403" t="s">
        <v>1276</v>
      </c>
      <c r="I5628" s="403">
        <v>1</v>
      </c>
      <c r="J5628" s="403" t="s">
        <v>1376</v>
      </c>
      <c r="K5628" s="403">
        <v>1728</v>
      </c>
      <c r="L5628" s="403">
        <v>3072</v>
      </c>
      <c r="M5628" s="403" t="s">
        <v>1285</v>
      </c>
      <c r="N5628" s="403">
        <v>1024</v>
      </c>
      <c r="O5628" s="403">
        <v>1280</v>
      </c>
      <c r="P5628" t="str">
        <f t="shared" si="697"/>
        <v>25fps 3072x1728 - 1280x1024 5:4 (cropped)</v>
      </c>
      <c r="Q5628">
        <f t="shared" si="698"/>
        <v>24</v>
      </c>
      <c r="R5628" t="str">
        <f t="shared" si="699"/>
        <v/>
      </c>
      <c r="S5628" t="str">
        <f t="shared" si="700"/>
        <v/>
      </c>
      <c r="T5628" s="403" t="str">
        <f t="shared" si="701"/>
        <v>NDI-5503-A</v>
      </c>
      <c r="U5628" s="403">
        <f t="shared" si="702"/>
        <v>1</v>
      </c>
      <c r="V5628" s="403" t="str">
        <f t="shared" si="703"/>
        <v>CPP_7_3</v>
      </c>
    </row>
    <row r="5629" spans="1:22">
      <c r="A5629" t="str">
        <f t="shared" si="696"/>
        <v>NDI-5503-A</v>
      </c>
      <c r="B5629" s="403" t="s">
        <v>1426</v>
      </c>
      <c r="C5629" s="403" t="s">
        <v>582</v>
      </c>
      <c r="D5629" s="403" t="s">
        <v>1427</v>
      </c>
      <c r="E5629" s="403" t="s">
        <v>778</v>
      </c>
      <c r="F5629" s="403" t="s">
        <v>1385</v>
      </c>
      <c r="G5629" s="403" t="s">
        <v>1467</v>
      </c>
      <c r="H5629" s="403" t="s">
        <v>1276</v>
      </c>
      <c r="I5629" s="403">
        <v>1</v>
      </c>
      <c r="J5629" s="403" t="s">
        <v>1376</v>
      </c>
      <c r="K5629" s="403">
        <v>1728</v>
      </c>
      <c r="L5629" s="403">
        <v>3072</v>
      </c>
      <c r="M5629" s="403" t="s">
        <v>1383</v>
      </c>
      <c r="N5629" s="403">
        <v>1440</v>
      </c>
      <c r="O5629" s="403">
        <v>1920</v>
      </c>
      <c r="P5629" t="str">
        <f t="shared" si="697"/>
        <v>25fps 3072x1728 - 1920x1440_CROP</v>
      </c>
      <c r="Q5629">
        <f t="shared" si="698"/>
        <v>24</v>
      </c>
      <c r="R5629" t="str">
        <f t="shared" si="699"/>
        <v/>
      </c>
      <c r="S5629" t="str">
        <f t="shared" si="700"/>
        <v/>
      </c>
      <c r="T5629" s="403" t="str">
        <f t="shared" si="701"/>
        <v>NDI-5503-A</v>
      </c>
      <c r="U5629" s="403">
        <f t="shared" si="702"/>
        <v>1</v>
      </c>
      <c r="V5629" s="403" t="str">
        <f t="shared" si="703"/>
        <v>CPP_7_3</v>
      </c>
    </row>
    <row r="5630" spans="1:22">
      <c r="A5630" t="str">
        <f t="shared" si="696"/>
        <v>NDI-5503-A</v>
      </c>
      <c r="B5630" s="403" t="s">
        <v>1426</v>
      </c>
      <c r="C5630" s="403" t="s">
        <v>582</v>
      </c>
      <c r="D5630" s="403" t="s">
        <v>1427</v>
      </c>
      <c r="E5630" s="403" t="s">
        <v>778</v>
      </c>
      <c r="F5630" s="403" t="s">
        <v>1385</v>
      </c>
      <c r="G5630" s="403" t="s">
        <v>1467</v>
      </c>
      <c r="H5630" s="403" t="s">
        <v>1276</v>
      </c>
      <c r="I5630" s="403">
        <v>1</v>
      </c>
      <c r="J5630" s="403" t="s">
        <v>1373</v>
      </c>
      <c r="K5630" s="403">
        <v>1512</v>
      </c>
      <c r="L5630" s="403">
        <v>2688</v>
      </c>
      <c r="M5630" s="403" t="s">
        <v>110</v>
      </c>
      <c r="N5630" s="403">
        <v>1080</v>
      </c>
      <c r="O5630" s="403">
        <v>1920</v>
      </c>
      <c r="P5630" t="str">
        <f t="shared" si="697"/>
        <v>25fps 2688x1512 - 1080p</v>
      </c>
      <c r="Q5630">
        <f t="shared" si="698"/>
        <v>24</v>
      </c>
      <c r="R5630" t="str">
        <f t="shared" si="699"/>
        <v/>
      </c>
      <c r="S5630" t="str">
        <f t="shared" si="700"/>
        <v/>
      </c>
      <c r="T5630" s="403" t="str">
        <f t="shared" si="701"/>
        <v>NDI-5503-A</v>
      </c>
      <c r="U5630" s="403">
        <f t="shared" si="702"/>
        <v>1</v>
      </c>
      <c r="V5630" s="403" t="str">
        <f t="shared" si="703"/>
        <v>CPP_7_3</v>
      </c>
    </row>
    <row r="5631" spans="1:22">
      <c r="A5631" t="str">
        <f t="shared" si="696"/>
        <v>NDI-5503-A</v>
      </c>
      <c r="B5631" s="403" t="s">
        <v>1426</v>
      </c>
      <c r="C5631" s="403" t="s">
        <v>582</v>
      </c>
      <c r="D5631" s="403" t="s">
        <v>1427</v>
      </c>
      <c r="E5631" s="403" t="s">
        <v>778</v>
      </c>
      <c r="F5631" s="403" t="s">
        <v>1385</v>
      </c>
      <c r="G5631" s="403" t="s">
        <v>1467</v>
      </c>
      <c r="H5631" s="403" t="s">
        <v>1276</v>
      </c>
      <c r="I5631" s="403">
        <v>1</v>
      </c>
      <c r="J5631" s="403" t="s">
        <v>1373</v>
      </c>
      <c r="K5631" s="403">
        <v>1512</v>
      </c>
      <c r="L5631" s="403">
        <v>2688</v>
      </c>
      <c r="M5631" s="403" t="s">
        <v>1384</v>
      </c>
      <c r="N5631" s="403">
        <v>1512</v>
      </c>
      <c r="O5631" s="403">
        <v>2688</v>
      </c>
      <c r="P5631" t="str">
        <f t="shared" si="697"/>
        <v>25fps 2688x1512 - 2688x1512 @ SKIP 2</v>
      </c>
      <c r="Q5631">
        <f t="shared" si="698"/>
        <v>24</v>
      </c>
      <c r="R5631" t="str">
        <f t="shared" si="699"/>
        <v/>
      </c>
      <c r="S5631" t="str">
        <f t="shared" si="700"/>
        <v/>
      </c>
      <c r="T5631" s="403" t="str">
        <f t="shared" si="701"/>
        <v>NDI-5503-A</v>
      </c>
      <c r="U5631" s="403">
        <f t="shared" si="702"/>
        <v>1</v>
      </c>
      <c r="V5631" s="403" t="str">
        <f t="shared" si="703"/>
        <v>CPP_7_3</v>
      </c>
    </row>
    <row r="5632" spans="1:22">
      <c r="A5632" t="str">
        <f t="shared" si="696"/>
        <v>NDI-5503-A</v>
      </c>
      <c r="B5632" s="403" t="s">
        <v>1426</v>
      </c>
      <c r="C5632" s="403" t="s">
        <v>582</v>
      </c>
      <c r="D5632" s="403" t="s">
        <v>1427</v>
      </c>
      <c r="E5632" s="403" t="s">
        <v>778</v>
      </c>
      <c r="F5632" s="403" t="s">
        <v>1385</v>
      </c>
      <c r="G5632" s="403" t="s">
        <v>1467</v>
      </c>
      <c r="H5632" s="403" t="s">
        <v>1276</v>
      </c>
      <c r="I5632" s="403">
        <v>1</v>
      </c>
      <c r="J5632" s="403" t="s">
        <v>1373</v>
      </c>
      <c r="K5632" s="403">
        <v>1512</v>
      </c>
      <c r="L5632" s="403">
        <v>2688</v>
      </c>
      <c r="M5632" s="403" t="s">
        <v>109</v>
      </c>
      <c r="N5632" s="403">
        <v>720</v>
      </c>
      <c r="O5632" s="403">
        <v>1280</v>
      </c>
      <c r="P5632" t="str">
        <f t="shared" si="697"/>
        <v>25fps 2688x1512 - 720p</v>
      </c>
      <c r="Q5632">
        <f t="shared" si="698"/>
        <v>24</v>
      </c>
      <c r="R5632" t="str">
        <f t="shared" si="699"/>
        <v/>
      </c>
      <c r="S5632" t="str">
        <f t="shared" si="700"/>
        <v/>
      </c>
      <c r="T5632" s="403" t="str">
        <f t="shared" si="701"/>
        <v>NDI-5503-A</v>
      </c>
      <c r="U5632" s="403">
        <f t="shared" si="702"/>
        <v>1</v>
      </c>
      <c r="V5632" s="403" t="str">
        <f t="shared" si="703"/>
        <v>CPP_7_3</v>
      </c>
    </row>
    <row r="5633" spans="1:22">
      <c r="A5633" t="str">
        <f t="shared" si="696"/>
        <v>NDI-5503-A</v>
      </c>
      <c r="B5633" s="403" t="s">
        <v>1426</v>
      </c>
      <c r="C5633" s="403" t="s">
        <v>582</v>
      </c>
      <c r="D5633" s="403" t="s">
        <v>1427</v>
      </c>
      <c r="E5633" s="403" t="s">
        <v>778</v>
      </c>
      <c r="F5633" s="403" t="s">
        <v>1385</v>
      </c>
      <c r="G5633" s="403" t="s">
        <v>1467</v>
      </c>
      <c r="H5633" s="403" t="s">
        <v>1276</v>
      </c>
      <c r="I5633" s="403">
        <v>1</v>
      </c>
      <c r="J5633" s="403" t="s">
        <v>1373</v>
      </c>
      <c r="K5633" s="403">
        <v>1512</v>
      </c>
      <c r="L5633" s="403">
        <v>2688</v>
      </c>
      <c r="M5633" s="403" t="s">
        <v>111</v>
      </c>
      <c r="N5633" s="403">
        <v>432</v>
      </c>
      <c r="O5633" s="403">
        <v>768</v>
      </c>
      <c r="P5633" t="str">
        <f t="shared" si="697"/>
        <v>25fps 2688x1512 - SD</v>
      </c>
      <c r="Q5633">
        <f t="shared" si="698"/>
        <v>24</v>
      </c>
      <c r="R5633" t="str">
        <f t="shared" si="699"/>
        <v/>
      </c>
      <c r="S5633" t="str">
        <f t="shared" si="700"/>
        <v/>
      </c>
      <c r="T5633" s="403" t="str">
        <f t="shared" si="701"/>
        <v>NDI-5503-A</v>
      </c>
      <c r="U5633" s="403">
        <f t="shared" si="702"/>
        <v>1</v>
      </c>
      <c r="V5633" s="403" t="str">
        <f t="shared" si="703"/>
        <v>CPP_7_3</v>
      </c>
    </row>
    <row r="5634" spans="1:22">
      <c r="A5634" t="str">
        <f t="shared" ref="A5634:A5697" si="704">IF(AND(G5634&lt;&gt;"rotate 90°"),D5634,"")</f>
        <v>NDI-5503-A</v>
      </c>
      <c r="B5634" s="403" t="s">
        <v>1426</v>
      </c>
      <c r="C5634" s="403" t="s">
        <v>582</v>
      </c>
      <c r="D5634" s="403" t="s">
        <v>1427</v>
      </c>
      <c r="E5634" s="403" t="s">
        <v>778</v>
      </c>
      <c r="F5634" s="403" t="s">
        <v>1385</v>
      </c>
      <c r="G5634" s="403" t="s">
        <v>1467</v>
      </c>
      <c r="H5634" s="403" t="s">
        <v>1276</v>
      </c>
      <c r="I5634" s="403">
        <v>1</v>
      </c>
      <c r="J5634" s="403" t="s">
        <v>1373</v>
      </c>
      <c r="K5634" s="403">
        <v>1512</v>
      </c>
      <c r="L5634" s="403">
        <v>2688</v>
      </c>
      <c r="M5634" s="403" t="s">
        <v>1279</v>
      </c>
      <c r="N5634" s="403">
        <v>432</v>
      </c>
      <c r="O5634" s="403">
        <v>768</v>
      </c>
      <c r="P5634" t="str">
        <f t="shared" ref="P5634:P5697" si="705">LEFT(F5634,5)&amp;" "&amp;J5634&amp;" - "&amp;M5634</f>
        <v>25fps 2688x1512 - SD ROI PTZ</v>
      </c>
      <c r="Q5634">
        <f t="shared" ref="Q5634:Q5697" si="706">IF(A5633=A5634,Q5633,Q5633+1)</f>
        <v>24</v>
      </c>
      <c r="R5634" t="str">
        <f t="shared" ref="R5634:R5697" si="707">IF(Q5633&lt;&gt;Q5634,Q5634,"")</f>
        <v/>
      </c>
      <c r="S5634" t="str">
        <f t="shared" ref="S5634:S5697" si="708">IF(R5634&lt;&gt;"",B5634&amp;" ("&amp;D5634&amp;")","")</f>
        <v/>
      </c>
      <c r="T5634" s="403" t="str">
        <f t="shared" ref="T5634:T5697" si="709">D5634</f>
        <v>NDI-5503-A</v>
      </c>
      <c r="U5634" s="403">
        <f t="shared" ref="U5634:U5697" si="710">I5634</f>
        <v>1</v>
      </c>
      <c r="V5634" s="403" t="str">
        <f t="shared" ref="V5634:V5697" si="711">C5634</f>
        <v>CPP_7_3</v>
      </c>
    </row>
    <row r="5635" spans="1:22">
      <c r="A5635" t="str">
        <f t="shared" si="704"/>
        <v>NDI-5503-A</v>
      </c>
      <c r="B5635" s="403" t="s">
        <v>1426</v>
      </c>
      <c r="C5635" s="403" t="s">
        <v>582</v>
      </c>
      <c r="D5635" s="403" t="s">
        <v>1427</v>
      </c>
      <c r="E5635" s="403" t="s">
        <v>778</v>
      </c>
      <c r="F5635" s="403" t="s">
        <v>1385</v>
      </c>
      <c r="G5635" s="403" t="s">
        <v>1467</v>
      </c>
      <c r="H5635" s="403" t="s">
        <v>1276</v>
      </c>
      <c r="I5635" s="403">
        <v>1</v>
      </c>
      <c r="J5635" s="403" t="s">
        <v>1373</v>
      </c>
      <c r="K5635" s="403">
        <v>1512</v>
      </c>
      <c r="L5635" s="403">
        <v>2688</v>
      </c>
      <c r="M5635" s="403" t="s">
        <v>1285</v>
      </c>
      <c r="N5635" s="403">
        <v>1024</v>
      </c>
      <c r="O5635" s="403">
        <v>1280</v>
      </c>
      <c r="P5635" t="str">
        <f t="shared" si="705"/>
        <v>25fps 2688x1512 - 1280x1024 5:4 (cropped)</v>
      </c>
      <c r="Q5635">
        <f t="shared" si="706"/>
        <v>24</v>
      </c>
      <c r="R5635" t="str">
        <f t="shared" si="707"/>
        <v/>
      </c>
      <c r="S5635" t="str">
        <f t="shared" si="708"/>
        <v/>
      </c>
      <c r="T5635" s="403" t="str">
        <f t="shared" si="709"/>
        <v>NDI-5503-A</v>
      </c>
      <c r="U5635" s="403">
        <f t="shared" si="710"/>
        <v>1</v>
      </c>
      <c r="V5635" s="403" t="str">
        <f t="shared" si="711"/>
        <v>CPP_7_3</v>
      </c>
    </row>
    <row r="5636" spans="1:22">
      <c r="A5636" t="str">
        <f t="shared" si="704"/>
        <v>NDI-5503-A</v>
      </c>
      <c r="B5636" s="403" t="s">
        <v>1426</v>
      </c>
      <c r="C5636" s="403" t="s">
        <v>582</v>
      </c>
      <c r="D5636" s="403" t="s">
        <v>1427</v>
      </c>
      <c r="E5636" s="403" t="s">
        <v>778</v>
      </c>
      <c r="F5636" s="403" t="s">
        <v>1385</v>
      </c>
      <c r="G5636" s="403" t="s">
        <v>1467</v>
      </c>
      <c r="H5636" s="403" t="s">
        <v>1276</v>
      </c>
      <c r="I5636" s="403">
        <v>1</v>
      </c>
      <c r="J5636" s="403" t="s">
        <v>1373</v>
      </c>
      <c r="K5636" s="403">
        <v>1512</v>
      </c>
      <c r="L5636" s="403">
        <v>2688</v>
      </c>
      <c r="M5636" s="403" t="s">
        <v>1283</v>
      </c>
      <c r="N5636" s="403">
        <v>576</v>
      </c>
      <c r="O5636" s="403">
        <v>720</v>
      </c>
      <c r="P5636" t="str">
        <f t="shared" si="705"/>
        <v>25fps 2688x1512 - SD 4CIF resolution 4:3 format (cropped)</v>
      </c>
      <c r="Q5636">
        <f t="shared" si="706"/>
        <v>24</v>
      </c>
      <c r="R5636" t="str">
        <f t="shared" si="707"/>
        <v/>
      </c>
      <c r="S5636" t="str">
        <f t="shared" si="708"/>
        <v/>
      </c>
      <c r="T5636" s="403" t="str">
        <f t="shared" si="709"/>
        <v>NDI-5503-A</v>
      </c>
      <c r="U5636" s="403">
        <f t="shared" si="710"/>
        <v>1</v>
      </c>
      <c r="V5636" s="403" t="str">
        <f t="shared" si="711"/>
        <v>CPP_7_3</v>
      </c>
    </row>
    <row r="5637" spans="1:22">
      <c r="A5637" t="str">
        <f t="shared" si="704"/>
        <v>NDI-5503-A</v>
      </c>
      <c r="B5637" s="403" t="s">
        <v>1426</v>
      </c>
      <c r="C5637" s="403" t="s">
        <v>582</v>
      </c>
      <c r="D5637" s="403" t="s">
        <v>1427</v>
      </c>
      <c r="E5637" s="403" t="s">
        <v>778</v>
      </c>
      <c r="F5637" s="403" t="s">
        <v>1385</v>
      </c>
      <c r="G5637" s="403" t="s">
        <v>1467</v>
      </c>
      <c r="H5637" s="403" t="s">
        <v>1276</v>
      </c>
      <c r="I5637" s="403">
        <v>1</v>
      </c>
      <c r="J5637" s="403" t="s">
        <v>1373</v>
      </c>
      <c r="K5637" s="403">
        <v>1512</v>
      </c>
      <c r="L5637" s="403">
        <v>2688</v>
      </c>
      <c r="M5637" s="403" t="s">
        <v>1284</v>
      </c>
      <c r="N5637" s="403">
        <v>480</v>
      </c>
      <c r="O5637" s="403">
        <v>640</v>
      </c>
      <c r="P5637" t="str">
        <f t="shared" si="705"/>
        <v>25fps 2688x1512 - SD VGA (cropped)</v>
      </c>
      <c r="Q5637">
        <f t="shared" si="706"/>
        <v>24</v>
      </c>
      <c r="R5637" t="str">
        <f t="shared" si="707"/>
        <v/>
      </c>
      <c r="S5637" t="str">
        <f t="shared" si="708"/>
        <v/>
      </c>
      <c r="T5637" s="403" t="str">
        <f t="shared" si="709"/>
        <v>NDI-5503-A</v>
      </c>
      <c r="U5637" s="403">
        <f t="shared" si="710"/>
        <v>1</v>
      </c>
      <c r="V5637" s="403" t="str">
        <f t="shared" si="711"/>
        <v>CPP_7_3</v>
      </c>
    </row>
    <row r="5638" spans="1:22">
      <c r="A5638" t="str">
        <f t="shared" si="704"/>
        <v>NDI-5503-A</v>
      </c>
      <c r="B5638" s="403" t="s">
        <v>1426</v>
      </c>
      <c r="C5638" s="403" t="s">
        <v>582</v>
      </c>
      <c r="D5638" s="403" t="s">
        <v>1427</v>
      </c>
      <c r="E5638" s="403" t="s">
        <v>778</v>
      </c>
      <c r="F5638" s="403" t="s">
        <v>1385</v>
      </c>
      <c r="G5638" s="403" t="s">
        <v>1467</v>
      </c>
      <c r="H5638" s="403" t="s">
        <v>1276</v>
      </c>
      <c r="I5638" s="403">
        <v>1</v>
      </c>
      <c r="J5638" s="403" t="s">
        <v>1373</v>
      </c>
      <c r="K5638" s="403">
        <v>1512</v>
      </c>
      <c r="L5638" s="403">
        <v>2688</v>
      </c>
      <c r="M5638" s="403" t="s">
        <v>1280</v>
      </c>
      <c r="N5638" s="403">
        <v>1512</v>
      </c>
      <c r="O5638" s="403">
        <v>2688</v>
      </c>
      <c r="P5638" t="str">
        <f t="shared" si="705"/>
        <v>25fps 2688x1512 - copy other stream</v>
      </c>
      <c r="Q5638">
        <f t="shared" si="706"/>
        <v>24</v>
      </c>
      <c r="R5638" t="str">
        <f t="shared" si="707"/>
        <v/>
      </c>
      <c r="S5638" t="str">
        <f t="shared" si="708"/>
        <v/>
      </c>
      <c r="T5638" s="403" t="str">
        <f t="shared" si="709"/>
        <v>NDI-5503-A</v>
      </c>
      <c r="U5638" s="403">
        <f t="shared" si="710"/>
        <v>1</v>
      </c>
      <c r="V5638" s="403" t="str">
        <f t="shared" si="711"/>
        <v>CPP_7_3</v>
      </c>
    </row>
    <row r="5639" spans="1:22">
      <c r="A5639" t="str">
        <f t="shared" si="704"/>
        <v>NDI-5503-A</v>
      </c>
      <c r="B5639" s="403" t="s">
        <v>1426</v>
      </c>
      <c r="C5639" s="403" t="s">
        <v>582</v>
      </c>
      <c r="D5639" s="403" t="s">
        <v>1427</v>
      </c>
      <c r="E5639" s="403" t="s">
        <v>778</v>
      </c>
      <c r="F5639" s="403" t="s">
        <v>1385</v>
      </c>
      <c r="G5639" s="403" t="s">
        <v>1467</v>
      </c>
      <c r="H5639" s="403" t="s">
        <v>1276</v>
      </c>
      <c r="I5639" s="403">
        <v>1</v>
      </c>
      <c r="J5639" s="403" t="s">
        <v>1374</v>
      </c>
      <c r="K5639" s="403">
        <v>1296</v>
      </c>
      <c r="L5639" s="403">
        <v>2304</v>
      </c>
      <c r="M5639" s="403" t="s">
        <v>110</v>
      </c>
      <c r="N5639" s="403">
        <v>1080</v>
      </c>
      <c r="O5639" s="403">
        <v>1920</v>
      </c>
      <c r="P5639" t="str">
        <f t="shared" si="705"/>
        <v>25fps 2304x1296 - 1080p</v>
      </c>
      <c r="Q5639">
        <f t="shared" si="706"/>
        <v>24</v>
      </c>
      <c r="R5639" t="str">
        <f t="shared" si="707"/>
        <v/>
      </c>
      <c r="S5639" t="str">
        <f t="shared" si="708"/>
        <v/>
      </c>
      <c r="T5639" s="403" t="str">
        <f t="shared" si="709"/>
        <v>NDI-5503-A</v>
      </c>
      <c r="U5639" s="403">
        <f t="shared" si="710"/>
        <v>1</v>
      </c>
      <c r="V5639" s="403" t="str">
        <f t="shared" si="711"/>
        <v>CPP_7_3</v>
      </c>
    </row>
    <row r="5640" spans="1:22">
      <c r="A5640" t="str">
        <f t="shared" si="704"/>
        <v>NDI-5503-A</v>
      </c>
      <c r="B5640" s="403" t="s">
        <v>1426</v>
      </c>
      <c r="C5640" s="403" t="s">
        <v>582</v>
      </c>
      <c r="D5640" s="403" t="s">
        <v>1427</v>
      </c>
      <c r="E5640" s="403" t="s">
        <v>778</v>
      </c>
      <c r="F5640" s="403" t="s">
        <v>1385</v>
      </c>
      <c r="G5640" s="403" t="s">
        <v>1467</v>
      </c>
      <c r="H5640" s="403" t="s">
        <v>1276</v>
      </c>
      <c r="I5640" s="403">
        <v>1</v>
      </c>
      <c r="J5640" s="403" t="s">
        <v>1374</v>
      </c>
      <c r="K5640" s="403">
        <v>1296</v>
      </c>
      <c r="L5640" s="403">
        <v>2304</v>
      </c>
      <c r="M5640" s="403" t="s">
        <v>1374</v>
      </c>
      <c r="N5640" s="403">
        <v>1296</v>
      </c>
      <c r="O5640" s="403">
        <v>2304</v>
      </c>
      <c r="P5640" t="str">
        <f t="shared" si="705"/>
        <v>25fps 2304x1296 - 2304x1296</v>
      </c>
      <c r="Q5640">
        <f t="shared" si="706"/>
        <v>24</v>
      </c>
      <c r="R5640" t="str">
        <f t="shared" si="707"/>
        <v/>
      </c>
      <c r="S5640" t="str">
        <f t="shared" si="708"/>
        <v/>
      </c>
      <c r="T5640" s="403" t="str">
        <f t="shared" si="709"/>
        <v>NDI-5503-A</v>
      </c>
      <c r="U5640" s="403">
        <f t="shared" si="710"/>
        <v>1</v>
      </c>
      <c r="V5640" s="403" t="str">
        <f t="shared" si="711"/>
        <v>CPP_7_3</v>
      </c>
    </row>
    <row r="5641" spans="1:22">
      <c r="A5641" t="str">
        <f t="shared" si="704"/>
        <v>NDI-5503-A</v>
      </c>
      <c r="B5641" s="403" t="s">
        <v>1426</v>
      </c>
      <c r="C5641" s="403" t="s">
        <v>582</v>
      </c>
      <c r="D5641" s="403" t="s">
        <v>1427</v>
      </c>
      <c r="E5641" s="403" t="s">
        <v>778</v>
      </c>
      <c r="F5641" s="403" t="s">
        <v>1385</v>
      </c>
      <c r="G5641" s="403" t="s">
        <v>1467</v>
      </c>
      <c r="H5641" s="403" t="s">
        <v>1276</v>
      </c>
      <c r="I5641" s="403">
        <v>1</v>
      </c>
      <c r="J5641" s="403" t="s">
        <v>1374</v>
      </c>
      <c r="K5641" s="403">
        <v>1296</v>
      </c>
      <c r="L5641" s="403">
        <v>2304</v>
      </c>
      <c r="M5641" s="403" t="s">
        <v>109</v>
      </c>
      <c r="N5641" s="403">
        <v>720</v>
      </c>
      <c r="O5641" s="403">
        <v>1280</v>
      </c>
      <c r="P5641" t="str">
        <f t="shared" si="705"/>
        <v>25fps 2304x1296 - 720p</v>
      </c>
      <c r="Q5641">
        <f t="shared" si="706"/>
        <v>24</v>
      </c>
      <c r="R5641" t="str">
        <f t="shared" si="707"/>
        <v/>
      </c>
      <c r="S5641" t="str">
        <f t="shared" si="708"/>
        <v/>
      </c>
      <c r="T5641" s="403" t="str">
        <f t="shared" si="709"/>
        <v>NDI-5503-A</v>
      </c>
      <c r="U5641" s="403">
        <f t="shared" si="710"/>
        <v>1</v>
      </c>
      <c r="V5641" s="403" t="str">
        <f t="shared" si="711"/>
        <v>CPP_7_3</v>
      </c>
    </row>
    <row r="5642" spans="1:22">
      <c r="A5642" t="str">
        <f t="shared" si="704"/>
        <v>NDI-5503-A</v>
      </c>
      <c r="B5642" s="403" t="s">
        <v>1426</v>
      </c>
      <c r="C5642" s="403" t="s">
        <v>582</v>
      </c>
      <c r="D5642" s="403" t="s">
        <v>1427</v>
      </c>
      <c r="E5642" s="403" t="s">
        <v>778</v>
      </c>
      <c r="F5642" s="403" t="s">
        <v>1385</v>
      </c>
      <c r="G5642" s="403" t="s">
        <v>1467</v>
      </c>
      <c r="H5642" s="403" t="s">
        <v>1276</v>
      </c>
      <c r="I5642" s="403">
        <v>1</v>
      </c>
      <c r="J5642" s="403" t="s">
        <v>1374</v>
      </c>
      <c r="K5642" s="403">
        <v>1296</v>
      </c>
      <c r="L5642" s="403">
        <v>2304</v>
      </c>
      <c r="M5642" s="403" t="s">
        <v>111</v>
      </c>
      <c r="N5642" s="403">
        <v>432</v>
      </c>
      <c r="O5642" s="403">
        <v>768</v>
      </c>
      <c r="P5642" t="str">
        <f t="shared" si="705"/>
        <v>25fps 2304x1296 - SD</v>
      </c>
      <c r="Q5642">
        <f t="shared" si="706"/>
        <v>24</v>
      </c>
      <c r="R5642" t="str">
        <f t="shared" si="707"/>
        <v/>
      </c>
      <c r="S5642" t="str">
        <f t="shared" si="708"/>
        <v/>
      </c>
      <c r="T5642" s="403" t="str">
        <f t="shared" si="709"/>
        <v>NDI-5503-A</v>
      </c>
      <c r="U5642" s="403">
        <f t="shared" si="710"/>
        <v>1</v>
      </c>
      <c r="V5642" s="403" t="str">
        <f t="shared" si="711"/>
        <v>CPP_7_3</v>
      </c>
    </row>
    <row r="5643" spans="1:22">
      <c r="A5643" t="str">
        <f t="shared" si="704"/>
        <v>NDI-5503-A</v>
      </c>
      <c r="B5643" s="403" t="s">
        <v>1426</v>
      </c>
      <c r="C5643" s="403" t="s">
        <v>582</v>
      </c>
      <c r="D5643" s="403" t="s">
        <v>1427</v>
      </c>
      <c r="E5643" s="403" t="s">
        <v>778</v>
      </c>
      <c r="F5643" s="403" t="s">
        <v>1385</v>
      </c>
      <c r="G5643" s="403" t="s">
        <v>1467</v>
      </c>
      <c r="H5643" s="403" t="s">
        <v>1276</v>
      </c>
      <c r="I5643" s="403">
        <v>1</v>
      </c>
      <c r="J5643" s="403" t="s">
        <v>1374</v>
      </c>
      <c r="K5643" s="403">
        <v>1296</v>
      </c>
      <c r="L5643" s="403">
        <v>2304</v>
      </c>
      <c r="M5643" s="403" t="s">
        <v>1279</v>
      </c>
      <c r="N5643" s="403">
        <v>432</v>
      </c>
      <c r="O5643" s="403">
        <v>768</v>
      </c>
      <c r="P5643" t="str">
        <f t="shared" si="705"/>
        <v>25fps 2304x1296 - SD ROI PTZ</v>
      </c>
      <c r="Q5643">
        <f t="shared" si="706"/>
        <v>24</v>
      </c>
      <c r="R5643" t="str">
        <f t="shared" si="707"/>
        <v/>
      </c>
      <c r="S5643" t="str">
        <f t="shared" si="708"/>
        <v/>
      </c>
      <c r="T5643" s="403" t="str">
        <f t="shared" si="709"/>
        <v>NDI-5503-A</v>
      </c>
      <c r="U5643" s="403">
        <f t="shared" si="710"/>
        <v>1</v>
      </c>
      <c r="V5643" s="403" t="str">
        <f t="shared" si="711"/>
        <v>CPP_7_3</v>
      </c>
    </row>
    <row r="5644" spans="1:22">
      <c r="A5644" t="str">
        <f t="shared" si="704"/>
        <v>NDI-5503-A</v>
      </c>
      <c r="B5644" s="403" t="s">
        <v>1426</v>
      </c>
      <c r="C5644" s="403" t="s">
        <v>582</v>
      </c>
      <c r="D5644" s="403" t="s">
        <v>1427</v>
      </c>
      <c r="E5644" s="403" t="s">
        <v>778</v>
      </c>
      <c r="F5644" s="403" t="s">
        <v>1385</v>
      </c>
      <c r="G5644" s="403" t="s">
        <v>1467</v>
      </c>
      <c r="H5644" s="403" t="s">
        <v>1276</v>
      </c>
      <c r="I5644" s="403">
        <v>1</v>
      </c>
      <c r="J5644" s="403" t="s">
        <v>1374</v>
      </c>
      <c r="K5644" s="403">
        <v>1296</v>
      </c>
      <c r="L5644" s="403">
        <v>2304</v>
      </c>
      <c r="M5644" s="403" t="s">
        <v>1285</v>
      </c>
      <c r="N5644" s="403">
        <v>1024</v>
      </c>
      <c r="O5644" s="403">
        <v>1280</v>
      </c>
      <c r="P5644" t="str">
        <f t="shared" si="705"/>
        <v>25fps 2304x1296 - 1280x1024 5:4 (cropped)</v>
      </c>
      <c r="Q5644">
        <f t="shared" si="706"/>
        <v>24</v>
      </c>
      <c r="R5644" t="str">
        <f t="shared" si="707"/>
        <v/>
      </c>
      <c r="S5644" t="str">
        <f t="shared" si="708"/>
        <v/>
      </c>
      <c r="T5644" s="403" t="str">
        <f t="shared" si="709"/>
        <v>NDI-5503-A</v>
      </c>
      <c r="U5644" s="403">
        <f t="shared" si="710"/>
        <v>1</v>
      </c>
      <c r="V5644" s="403" t="str">
        <f t="shared" si="711"/>
        <v>CPP_7_3</v>
      </c>
    </row>
    <row r="5645" spans="1:22">
      <c r="A5645" t="str">
        <f t="shared" si="704"/>
        <v>NDI-5503-A</v>
      </c>
      <c r="B5645" s="403" t="s">
        <v>1426</v>
      </c>
      <c r="C5645" s="403" t="s">
        <v>582</v>
      </c>
      <c r="D5645" s="403" t="s">
        <v>1427</v>
      </c>
      <c r="E5645" s="403" t="s">
        <v>778</v>
      </c>
      <c r="F5645" s="403" t="s">
        <v>1385</v>
      </c>
      <c r="G5645" s="403" t="s">
        <v>1467</v>
      </c>
      <c r="H5645" s="403" t="s">
        <v>1276</v>
      </c>
      <c r="I5645" s="403">
        <v>1</v>
      </c>
      <c r="J5645" s="403" t="s">
        <v>1374</v>
      </c>
      <c r="K5645" s="403">
        <v>1296</v>
      </c>
      <c r="L5645" s="403">
        <v>2304</v>
      </c>
      <c r="M5645" s="403" t="s">
        <v>1283</v>
      </c>
      <c r="N5645" s="403">
        <v>576</v>
      </c>
      <c r="O5645" s="403">
        <v>720</v>
      </c>
      <c r="P5645" t="str">
        <f t="shared" si="705"/>
        <v>25fps 2304x1296 - SD 4CIF resolution 4:3 format (cropped)</v>
      </c>
      <c r="Q5645">
        <f t="shared" si="706"/>
        <v>24</v>
      </c>
      <c r="R5645" t="str">
        <f t="shared" si="707"/>
        <v/>
      </c>
      <c r="S5645" t="str">
        <f t="shared" si="708"/>
        <v/>
      </c>
      <c r="T5645" s="403" t="str">
        <f t="shared" si="709"/>
        <v>NDI-5503-A</v>
      </c>
      <c r="U5645" s="403">
        <f t="shared" si="710"/>
        <v>1</v>
      </c>
      <c r="V5645" s="403" t="str">
        <f t="shared" si="711"/>
        <v>CPP_7_3</v>
      </c>
    </row>
    <row r="5646" spans="1:22">
      <c r="A5646" t="str">
        <f t="shared" si="704"/>
        <v>NDI-5503-A</v>
      </c>
      <c r="B5646" s="403" t="s">
        <v>1426</v>
      </c>
      <c r="C5646" s="403" t="s">
        <v>582</v>
      </c>
      <c r="D5646" s="403" t="s">
        <v>1427</v>
      </c>
      <c r="E5646" s="403" t="s">
        <v>778</v>
      </c>
      <c r="F5646" s="403" t="s">
        <v>1385</v>
      </c>
      <c r="G5646" s="403" t="s">
        <v>1467</v>
      </c>
      <c r="H5646" s="403" t="s">
        <v>1276</v>
      </c>
      <c r="I5646" s="403">
        <v>1</v>
      </c>
      <c r="J5646" s="403" t="s">
        <v>1374</v>
      </c>
      <c r="K5646" s="403">
        <v>1296</v>
      </c>
      <c r="L5646" s="403">
        <v>2304</v>
      </c>
      <c r="M5646" s="403" t="s">
        <v>1284</v>
      </c>
      <c r="N5646" s="403">
        <v>480</v>
      </c>
      <c r="O5646" s="403">
        <v>640</v>
      </c>
      <c r="P5646" t="str">
        <f t="shared" si="705"/>
        <v>25fps 2304x1296 - SD VGA (cropped)</v>
      </c>
      <c r="Q5646">
        <f t="shared" si="706"/>
        <v>24</v>
      </c>
      <c r="R5646" t="str">
        <f t="shared" si="707"/>
        <v/>
      </c>
      <c r="S5646" t="str">
        <f t="shared" si="708"/>
        <v/>
      </c>
      <c r="T5646" s="403" t="str">
        <f t="shared" si="709"/>
        <v>NDI-5503-A</v>
      </c>
      <c r="U5646" s="403">
        <f t="shared" si="710"/>
        <v>1</v>
      </c>
      <c r="V5646" s="403" t="str">
        <f t="shared" si="711"/>
        <v>CPP_7_3</v>
      </c>
    </row>
    <row r="5647" spans="1:22">
      <c r="A5647" t="str">
        <f t="shared" si="704"/>
        <v>NDI-5503-A</v>
      </c>
      <c r="B5647" s="403" t="s">
        <v>1426</v>
      </c>
      <c r="C5647" s="403" t="s">
        <v>582</v>
      </c>
      <c r="D5647" s="403" t="s">
        <v>1427</v>
      </c>
      <c r="E5647" s="403" t="s">
        <v>778</v>
      </c>
      <c r="F5647" s="403" t="s">
        <v>1385</v>
      </c>
      <c r="G5647" s="403" t="s">
        <v>1467</v>
      </c>
      <c r="H5647" s="403" t="s">
        <v>1276</v>
      </c>
      <c r="I5647" s="403">
        <v>1</v>
      </c>
      <c r="J5647" s="403" t="s">
        <v>1374</v>
      </c>
      <c r="K5647" s="403">
        <v>1296</v>
      </c>
      <c r="L5647" s="403">
        <v>2304</v>
      </c>
      <c r="M5647" s="403" t="s">
        <v>1280</v>
      </c>
      <c r="N5647" s="403">
        <v>1296</v>
      </c>
      <c r="O5647" s="403">
        <v>2304</v>
      </c>
      <c r="P5647" t="str">
        <f t="shared" si="705"/>
        <v>25fps 2304x1296 - copy other stream</v>
      </c>
      <c r="Q5647">
        <f t="shared" si="706"/>
        <v>24</v>
      </c>
      <c r="R5647" t="str">
        <f t="shared" si="707"/>
        <v/>
      </c>
      <c r="S5647" t="str">
        <f t="shared" si="708"/>
        <v/>
      </c>
      <c r="T5647" s="403" t="str">
        <f t="shared" si="709"/>
        <v>NDI-5503-A</v>
      </c>
      <c r="U5647" s="403">
        <f t="shared" si="710"/>
        <v>1</v>
      </c>
      <c r="V5647" s="403" t="str">
        <f t="shared" si="711"/>
        <v>CPP_7_3</v>
      </c>
    </row>
    <row r="5648" spans="1:22">
      <c r="A5648" t="str">
        <f t="shared" si="704"/>
        <v>NDI-5503-A</v>
      </c>
      <c r="B5648" s="403" t="s">
        <v>1426</v>
      </c>
      <c r="C5648" s="403" t="s">
        <v>582</v>
      </c>
      <c r="D5648" s="403" t="s">
        <v>1427</v>
      </c>
      <c r="E5648" s="403" t="s">
        <v>778</v>
      </c>
      <c r="F5648" s="403" t="s">
        <v>1385</v>
      </c>
      <c r="G5648" s="403" t="s">
        <v>1467</v>
      </c>
      <c r="H5648" s="403" t="s">
        <v>1276</v>
      </c>
      <c r="I5648" s="403">
        <v>1</v>
      </c>
      <c r="J5648" s="403" t="s">
        <v>110</v>
      </c>
      <c r="K5648" s="403">
        <v>1080</v>
      </c>
      <c r="L5648" s="403">
        <v>1920</v>
      </c>
      <c r="M5648" s="403" t="s">
        <v>111</v>
      </c>
      <c r="N5648" s="403">
        <v>432</v>
      </c>
      <c r="O5648" s="403">
        <v>768</v>
      </c>
      <c r="P5648" t="str">
        <f t="shared" si="705"/>
        <v>25fps 1080p - SD</v>
      </c>
      <c r="Q5648">
        <f t="shared" si="706"/>
        <v>24</v>
      </c>
      <c r="R5648" t="str">
        <f t="shared" si="707"/>
        <v/>
      </c>
      <c r="S5648" t="str">
        <f t="shared" si="708"/>
        <v/>
      </c>
      <c r="T5648" s="403" t="str">
        <f t="shared" si="709"/>
        <v>NDI-5503-A</v>
      </c>
      <c r="U5648" s="403">
        <f t="shared" si="710"/>
        <v>1</v>
      </c>
      <c r="V5648" s="403" t="str">
        <f t="shared" si="711"/>
        <v>CPP_7_3</v>
      </c>
    </row>
    <row r="5649" spans="1:22">
      <c r="A5649" t="str">
        <f t="shared" si="704"/>
        <v>NDI-5503-A</v>
      </c>
      <c r="B5649" s="403" t="s">
        <v>1426</v>
      </c>
      <c r="C5649" s="403" t="s">
        <v>582</v>
      </c>
      <c r="D5649" s="403" t="s">
        <v>1427</v>
      </c>
      <c r="E5649" s="403" t="s">
        <v>778</v>
      </c>
      <c r="F5649" s="403" t="s">
        <v>1385</v>
      </c>
      <c r="G5649" s="403" t="s">
        <v>1467</v>
      </c>
      <c r="H5649" s="403" t="s">
        <v>1276</v>
      </c>
      <c r="I5649" s="403">
        <v>1</v>
      </c>
      <c r="J5649" s="403" t="s">
        <v>110</v>
      </c>
      <c r="K5649" s="403">
        <v>1080</v>
      </c>
      <c r="L5649" s="403">
        <v>1920</v>
      </c>
      <c r="M5649" s="403" t="s">
        <v>110</v>
      </c>
      <c r="N5649" s="403">
        <v>1080</v>
      </c>
      <c r="O5649" s="403">
        <v>1920</v>
      </c>
      <c r="P5649" t="str">
        <f t="shared" si="705"/>
        <v>25fps 1080p - 1080p</v>
      </c>
      <c r="Q5649">
        <f t="shared" si="706"/>
        <v>24</v>
      </c>
      <c r="R5649" t="str">
        <f t="shared" si="707"/>
        <v/>
      </c>
      <c r="S5649" t="str">
        <f t="shared" si="708"/>
        <v/>
      </c>
      <c r="T5649" s="403" t="str">
        <f t="shared" si="709"/>
        <v>NDI-5503-A</v>
      </c>
      <c r="U5649" s="403">
        <f t="shared" si="710"/>
        <v>1</v>
      </c>
      <c r="V5649" s="403" t="str">
        <f t="shared" si="711"/>
        <v>CPP_7_3</v>
      </c>
    </row>
    <row r="5650" spans="1:22">
      <c r="A5650" t="str">
        <f t="shared" si="704"/>
        <v>NDI-5503-A</v>
      </c>
      <c r="B5650" s="403" t="s">
        <v>1426</v>
      </c>
      <c r="C5650" s="403" t="s">
        <v>582</v>
      </c>
      <c r="D5650" s="403" t="s">
        <v>1427</v>
      </c>
      <c r="E5650" s="403" t="s">
        <v>778</v>
      </c>
      <c r="F5650" s="403" t="s">
        <v>1385</v>
      </c>
      <c r="G5650" s="403" t="s">
        <v>1467</v>
      </c>
      <c r="H5650" s="403" t="s">
        <v>1276</v>
      </c>
      <c r="I5650" s="403">
        <v>1</v>
      </c>
      <c r="J5650" s="403" t="s">
        <v>110</v>
      </c>
      <c r="K5650" s="403">
        <v>1080</v>
      </c>
      <c r="L5650" s="403">
        <v>1920</v>
      </c>
      <c r="M5650" s="403" t="s">
        <v>109</v>
      </c>
      <c r="N5650" s="403">
        <v>720</v>
      </c>
      <c r="O5650" s="403">
        <v>1280</v>
      </c>
      <c r="P5650" t="str">
        <f t="shared" si="705"/>
        <v>25fps 1080p - 720p</v>
      </c>
      <c r="Q5650">
        <f t="shared" si="706"/>
        <v>24</v>
      </c>
      <c r="R5650" t="str">
        <f t="shared" si="707"/>
        <v/>
      </c>
      <c r="S5650" t="str">
        <f t="shared" si="708"/>
        <v/>
      </c>
      <c r="T5650" s="403" t="str">
        <f t="shared" si="709"/>
        <v>NDI-5503-A</v>
      </c>
      <c r="U5650" s="403">
        <f t="shared" si="710"/>
        <v>1</v>
      </c>
      <c r="V5650" s="403" t="str">
        <f t="shared" si="711"/>
        <v>CPP_7_3</v>
      </c>
    </row>
    <row r="5651" spans="1:22">
      <c r="A5651" t="str">
        <f t="shared" si="704"/>
        <v>NDI-5503-A</v>
      </c>
      <c r="B5651" s="403" t="s">
        <v>1426</v>
      </c>
      <c r="C5651" s="403" t="s">
        <v>582</v>
      </c>
      <c r="D5651" s="403" t="s">
        <v>1427</v>
      </c>
      <c r="E5651" s="403" t="s">
        <v>778</v>
      </c>
      <c r="F5651" s="403" t="s">
        <v>1385</v>
      </c>
      <c r="G5651" s="403" t="s">
        <v>1467</v>
      </c>
      <c r="H5651" s="403" t="s">
        <v>1276</v>
      </c>
      <c r="I5651" s="403">
        <v>1</v>
      </c>
      <c r="J5651" s="403" t="s">
        <v>110</v>
      </c>
      <c r="K5651" s="403">
        <v>1080</v>
      </c>
      <c r="L5651" s="403">
        <v>1920</v>
      </c>
      <c r="M5651" s="403" t="s">
        <v>1285</v>
      </c>
      <c r="N5651" s="403">
        <v>1024</v>
      </c>
      <c r="O5651" s="403">
        <v>1280</v>
      </c>
      <c r="P5651" t="str">
        <f t="shared" si="705"/>
        <v>25fps 1080p - 1280x1024 5:4 (cropped)</v>
      </c>
      <c r="Q5651">
        <f t="shared" si="706"/>
        <v>24</v>
      </c>
      <c r="R5651" t="str">
        <f t="shared" si="707"/>
        <v/>
      </c>
      <c r="S5651" t="str">
        <f t="shared" si="708"/>
        <v/>
      </c>
      <c r="T5651" s="403" t="str">
        <f t="shared" si="709"/>
        <v>NDI-5503-A</v>
      </c>
      <c r="U5651" s="403">
        <f t="shared" si="710"/>
        <v>1</v>
      </c>
      <c r="V5651" s="403" t="str">
        <f t="shared" si="711"/>
        <v>CPP_7_3</v>
      </c>
    </row>
    <row r="5652" spans="1:22">
      <c r="A5652" t="str">
        <f t="shared" si="704"/>
        <v>NDI-5503-A</v>
      </c>
      <c r="B5652" s="403" t="s">
        <v>1426</v>
      </c>
      <c r="C5652" s="403" t="s">
        <v>582</v>
      </c>
      <c r="D5652" s="403" t="s">
        <v>1427</v>
      </c>
      <c r="E5652" s="403" t="s">
        <v>778</v>
      </c>
      <c r="F5652" s="403" t="s">
        <v>1385</v>
      </c>
      <c r="G5652" s="403" t="s">
        <v>1467</v>
      </c>
      <c r="H5652" s="403" t="s">
        <v>1276</v>
      </c>
      <c r="I5652" s="403">
        <v>1</v>
      </c>
      <c r="J5652" s="403" t="s">
        <v>110</v>
      </c>
      <c r="K5652" s="403">
        <v>1080</v>
      </c>
      <c r="L5652" s="403">
        <v>1920</v>
      </c>
      <c r="M5652" s="403" t="s">
        <v>1279</v>
      </c>
      <c r="N5652" s="403">
        <v>432</v>
      </c>
      <c r="O5652" s="403">
        <v>768</v>
      </c>
      <c r="P5652" t="str">
        <f t="shared" si="705"/>
        <v>25fps 1080p - SD ROI PTZ</v>
      </c>
      <c r="Q5652">
        <f t="shared" si="706"/>
        <v>24</v>
      </c>
      <c r="R5652" t="str">
        <f t="shared" si="707"/>
        <v/>
      </c>
      <c r="S5652" t="str">
        <f t="shared" si="708"/>
        <v/>
      </c>
      <c r="T5652" s="403" t="str">
        <f t="shared" si="709"/>
        <v>NDI-5503-A</v>
      </c>
      <c r="U5652" s="403">
        <f t="shared" si="710"/>
        <v>1</v>
      </c>
      <c r="V5652" s="403" t="str">
        <f t="shared" si="711"/>
        <v>CPP_7_3</v>
      </c>
    </row>
    <row r="5653" spans="1:22">
      <c r="A5653" t="str">
        <f t="shared" si="704"/>
        <v>NDI-5503-A</v>
      </c>
      <c r="B5653" s="403" t="s">
        <v>1426</v>
      </c>
      <c r="C5653" s="403" t="s">
        <v>582</v>
      </c>
      <c r="D5653" s="403" t="s">
        <v>1427</v>
      </c>
      <c r="E5653" s="403" t="s">
        <v>778</v>
      </c>
      <c r="F5653" s="403" t="s">
        <v>1385</v>
      </c>
      <c r="G5653" s="403" t="s">
        <v>1467</v>
      </c>
      <c r="H5653" s="403" t="s">
        <v>1276</v>
      </c>
      <c r="I5653" s="403">
        <v>1</v>
      </c>
      <c r="J5653" s="403" t="s">
        <v>110</v>
      </c>
      <c r="K5653" s="403">
        <v>1080</v>
      </c>
      <c r="L5653" s="403">
        <v>1920</v>
      </c>
      <c r="M5653" s="403" t="s">
        <v>1283</v>
      </c>
      <c r="N5653" s="403">
        <v>576</v>
      </c>
      <c r="O5653" s="403">
        <v>720</v>
      </c>
      <c r="P5653" t="str">
        <f t="shared" si="705"/>
        <v>25fps 1080p - SD 4CIF resolution 4:3 format (cropped)</v>
      </c>
      <c r="Q5653">
        <f t="shared" si="706"/>
        <v>24</v>
      </c>
      <c r="R5653" t="str">
        <f t="shared" si="707"/>
        <v/>
      </c>
      <c r="S5653" t="str">
        <f t="shared" si="708"/>
        <v/>
      </c>
      <c r="T5653" s="403" t="str">
        <f t="shared" si="709"/>
        <v>NDI-5503-A</v>
      </c>
      <c r="U5653" s="403">
        <f t="shared" si="710"/>
        <v>1</v>
      </c>
      <c r="V5653" s="403" t="str">
        <f t="shared" si="711"/>
        <v>CPP_7_3</v>
      </c>
    </row>
    <row r="5654" spans="1:22">
      <c r="A5654" t="str">
        <f t="shared" si="704"/>
        <v>NDI-5503-A</v>
      </c>
      <c r="B5654" s="403" t="s">
        <v>1426</v>
      </c>
      <c r="C5654" s="403" t="s">
        <v>582</v>
      </c>
      <c r="D5654" s="403" t="s">
        <v>1427</v>
      </c>
      <c r="E5654" s="403" t="s">
        <v>778</v>
      </c>
      <c r="F5654" s="403" t="s">
        <v>1385</v>
      </c>
      <c r="G5654" s="403" t="s">
        <v>1467</v>
      </c>
      <c r="H5654" s="403" t="s">
        <v>1276</v>
      </c>
      <c r="I5654" s="403">
        <v>1</v>
      </c>
      <c r="J5654" s="403" t="s">
        <v>110</v>
      </c>
      <c r="K5654" s="403">
        <v>1080</v>
      </c>
      <c r="L5654" s="403">
        <v>1920</v>
      </c>
      <c r="M5654" s="403" t="s">
        <v>1284</v>
      </c>
      <c r="N5654" s="403">
        <v>480</v>
      </c>
      <c r="O5654" s="403">
        <v>640</v>
      </c>
      <c r="P5654" t="str">
        <f t="shared" si="705"/>
        <v>25fps 1080p - SD VGA (cropped)</v>
      </c>
      <c r="Q5654">
        <f t="shared" si="706"/>
        <v>24</v>
      </c>
      <c r="R5654" t="str">
        <f t="shared" si="707"/>
        <v/>
      </c>
      <c r="S5654" t="str">
        <f t="shared" si="708"/>
        <v/>
      </c>
      <c r="T5654" s="403" t="str">
        <f t="shared" si="709"/>
        <v>NDI-5503-A</v>
      </c>
      <c r="U5654" s="403">
        <f t="shared" si="710"/>
        <v>1</v>
      </c>
      <c r="V5654" s="403" t="str">
        <f t="shared" si="711"/>
        <v>CPP_7_3</v>
      </c>
    </row>
    <row r="5655" spans="1:22">
      <c r="A5655" t="str">
        <f t="shared" si="704"/>
        <v>NDI-5503-A</v>
      </c>
      <c r="B5655" s="403" t="s">
        <v>1426</v>
      </c>
      <c r="C5655" s="403" t="s">
        <v>582</v>
      </c>
      <c r="D5655" s="403" t="s">
        <v>1427</v>
      </c>
      <c r="E5655" s="403" t="s">
        <v>778</v>
      </c>
      <c r="F5655" s="403" t="s">
        <v>1385</v>
      </c>
      <c r="G5655" s="403" t="s">
        <v>1467</v>
      </c>
      <c r="H5655" s="403" t="s">
        <v>1276</v>
      </c>
      <c r="I5655" s="403">
        <v>1</v>
      </c>
      <c r="J5655" s="403" t="s">
        <v>109</v>
      </c>
      <c r="K5655" s="403">
        <v>720</v>
      </c>
      <c r="L5655" s="403">
        <v>1280</v>
      </c>
      <c r="M5655" s="403" t="s">
        <v>109</v>
      </c>
      <c r="N5655" s="403">
        <v>720</v>
      </c>
      <c r="O5655" s="403">
        <v>1280</v>
      </c>
      <c r="P5655" t="str">
        <f t="shared" si="705"/>
        <v>25fps 720p - 720p</v>
      </c>
      <c r="Q5655">
        <f t="shared" si="706"/>
        <v>24</v>
      </c>
      <c r="R5655" t="str">
        <f t="shared" si="707"/>
        <v/>
      </c>
      <c r="S5655" t="str">
        <f t="shared" si="708"/>
        <v/>
      </c>
      <c r="T5655" s="403" t="str">
        <f t="shared" si="709"/>
        <v>NDI-5503-A</v>
      </c>
      <c r="U5655" s="403">
        <f t="shared" si="710"/>
        <v>1</v>
      </c>
      <c r="V5655" s="403" t="str">
        <f t="shared" si="711"/>
        <v>CPP_7_3</v>
      </c>
    </row>
    <row r="5656" spans="1:22">
      <c r="A5656" t="str">
        <f t="shared" si="704"/>
        <v>NDI-5503-A</v>
      </c>
      <c r="B5656" s="403" t="s">
        <v>1426</v>
      </c>
      <c r="C5656" s="403" t="s">
        <v>582</v>
      </c>
      <c r="D5656" s="403" t="s">
        <v>1427</v>
      </c>
      <c r="E5656" s="403" t="s">
        <v>778</v>
      </c>
      <c r="F5656" s="403" t="s">
        <v>1385</v>
      </c>
      <c r="G5656" s="403" t="s">
        <v>1467</v>
      </c>
      <c r="H5656" s="403" t="s">
        <v>1276</v>
      </c>
      <c r="I5656" s="403">
        <v>1</v>
      </c>
      <c r="J5656" s="403" t="s">
        <v>109</v>
      </c>
      <c r="K5656" s="403">
        <v>720</v>
      </c>
      <c r="L5656" s="403">
        <v>1280</v>
      </c>
      <c r="M5656" s="403" t="s">
        <v>111</v>
      </c>
      <c r="N5656" s="403">
        <v>432</v>
      </c>
      <c r="O5656" s="403">
        <v>768</v>
      </c>
      <c r="P5656" t="str">
        <f t="shared" si="705"/>
        <v>25fps 720p - SD</v>
      </c>
      <c r="Q5656">
        <f t="shared" si="706"/>
        <v>24</v>
      </c>
      <c r="R5656" t="str">
        <f t="shared" si="707"/>
        <v/>
      </c>
      <c r="S5656" t="str">
        <f t="shared" si="708"/>
        <v/>
      </c>
      <c r="T5656" s="403" t="str">
        <f t="shared" si="709"/>
        <v>NDI-5503-A</v>
      </c>
      <c r="U5656" s="403">
        <f t="shared" si="710"/>
        <v>1</v>
      </c>
      <c r="V5656" s="403" t="str">
        <f t="shared" si="711"/>
        <v>CPP_7_3</v>
      </c>
    </row>
    <row r="5657" spans="1:22">
      <c r="A5657" t="str">
        <f t="shared" si="704"/>
        <v>NDI-5503-A</v>
      </c>
      <c r="B5657" s="403" t="s">
        <v>1426</v>
      </c>
      <c r="C5657" s="403" t="s">
        <v>582</v>
      </c>
      <c r="D5657" s="403" t="s">
        <v>1427</v>
      </c>
      <c r="E5657" s="403" t="s">
        <v>778</v>
      </c>
      <c r="F5657" s="403" t="s">
        <v>1385</v>
      </c>
      <c r="G5657" s="403" t="s">
        <v>1467</v>
      </c>
      <c r="H5657" s="403" t="s">
        <v>1276</v>
      </c>
      <c r="I5657" s="403">
        <v>1</v>
      </c>
      <c r="J5657" s="403" t="s">
        <v>109</v>
      </c>
      <c r="K5657" s="403">
        <v>720</v>
      </c>
      <c r="L5657" s="403">
        <v>1280</v>
      </c>
      <c r="M5657" s="403" t="s">
        <v>1279</v>
      </c>
      <c r="N5657" s="403">
        <v>432</v>
      </c>
      <c r="O5657" s="403">
        <v>768</v>
      </c>
      <c r="P5657" t="str">
        <f t="shared" si="705"/>
        <v>25fps 720p - SD ROI PTZ</v>
      </c>
      <c r="Q5657">
        <f t="shared" si="706"/>
        <v>24</v>
      </c>
      <c r="R5657" t="str">
        <f t="shared" si="707"/>
        <v/>
      </c>
      <c r="S5657" t="str">
        <f t="shared" si="708"/>
        <v/>
      </c>
      <c r="T5657" s="403" t="str">
        <f t="shared" si="709"/>
        <v>NDI-5503-A</v>
      </c>
      <c r="U5657" s="403">
        <f t="shared" si="710"/>
        <v>1</v>
      </c>
      <c r="V5657" s="403" t="str">
        <f t="shared" si="711"/>
        <v>CPP_7_3</v>
      </c>
    </row>
    <row r="5658" spans="1:22">
      <c r="A5658" t="str">
        <f t="shared" si="704"/>
        <v>NDI-5503-A</v>
      </c>
      <c r="B5658" s="403" t="s">
        <v>1426</v>
      </c>
      <c r="C5658" s="403" t="s">
        <v>582</v>
      </c>
      <c r="D5658" s="403" t="s">
        <v>1427</v>
      </c>
      <c r="E5658" s="403" t="s">
        <v>778</v>
      </c>
      <c r="F5658" s="403" t="s">
        <v>1385</v>
      </c>
      <c r="G5658" s="403" t="s">
        <v>1467</v>
      </c>
      <c r="H5658" s="403" t="s">
        <v>1276</v>
      </c>
      <c r="I5658" s="403">
        <v>1</v>
      </c>
      <c r="J5658" s="403" t="s">
        <v>109</v>
      </c>
      <c r="K5658" s="403">
        <v>720</v>
      </c>
      <c r="L5658" s="403">
        <v>1280</v>
      </c>
      <c r="M5658" s="403" t="s">
        <v>1283</v>
      </c>
      <c r="N5658" s="403">
        <v>576</v>
      </c>
      <c r="O5658" s="403">
        <v>720</v>
      </c>
      <c r="P5658" t="str">
        <f t="shared" si="705"/>
        <v>25fps 720p - SD 4CIF resolution 4:3 format (cropped)</v>
      </c>
      <c r="Q5658">
        <f t="shared" si="706"/>
        <v>24</v>
      </c>
      <c r="R5658" t="str">
        <f t="shared" si="707"/>
        <v/>
      </c>
      <c r="S5658" t="str">
        <f t="shared" si="708"/>
        <v/>
      </c>
      <c r="T5658" s="403" t="str">
        <f t="shared" si="709"/>
        <v>NDI-5503-A</v>
      </c>
      <c r="U5658" s="403">
        <f t="shared" si="710"/>
        <v>1</v>
      </c>
      <c r="V5658" s="403" t="str">
        <f t="shared" si="711"/>
        <v>CPP_7_3</v>
      </c>
    </row>
    <row r="5659" spans="1:22">
      <c r="A5659" t="str">
        <f t="shared" si="704"/>
        <v>NDI-5503-A</v>
      </c>
      <c r="B5659" s="403" t="s">
        <v>1426</v>
      </c>
      <c r="C5659" s="403" t="s">
        <v>582</v>
      </c>
      <c r="D5659" s="403" t="s">
        <v>1427</v>
      </c>
      <c r="E5659" s="403" t="s">
        <v>778</v>
      </c>
      <c r="F5659" s="403" t="s">
        <v>1385</v>
      </c>
      <c r="G5659" s="403" t="s">
        <v>1467</v>
      </c>
      <c r="H5659" s="403" t="s">
        <v>1276</v>
      </c>
      <c r="I5659" s="403">
        <v>1</v>
      </c>
      <c r="J5659" s="403" t="s">
        <v>109</v>
      </c>
      <c r="K5659" s="403">
        <v>720</v>
      </c>
      <c r="L5659" s="403">
        <v>1280</v>
      </c>
      <c r="M5659" s="403" t="s">
        <v>1284</v>
      </c>
      <c r="N5659" s="403">
        <v>480</v>
      </c>
      <c r="O5659" s="403">
        <v>640</v>
      </c>
      <c r="P5659" t="str">
        <f t="shared" si="705"/>
        <v>25fps 720p - SD VGA (cropped)</v>
      </c>
      <c r="Q5659">
        <f t="shared" si="706"/>
        <v>24</v>
      </c>
      <c r="R5659" t="str">
        <f t="shared" si="707"/>
        <v/>
      </c>
      <c r="S5659" t="str">
        <f t="shared" si="708"/>
        <v/>
      </c>
      <c r="T5659" s="403" t="str">
        <f t="shared" si="709"/>
        <v>NDI-5503-A</v>
      </c>
      <c r="U5659" s="403">
        <f t="shared" si="710"/>
        <v>1</v>
      </c>
      <c r="V5659" s="403" t="str">
        <f t="shared" si="711"/>
        <v>CPP_7_3</v>
      </c>
    </row>
    <row r="5660" spans="1:22">
      <c r="A5660" t="str">
        <f t="shared" si="704"/>
        <v>NDI-5503-A</v>
      </c>
      <c r="B5660" s="403" t="s">
        <v>1426</v>
      </c>
      <c r="C5660" s="403" t="s">
        <v>582</v>
      </c>
      <c r="D5660" s="403" t="s">
        <v>1427</v>
      </c>
      <c r="E5660" s="403" t="s">
        <v>778</v>
      </c>
      <c r="F5660" s="403" t="s">
        <v>1385</v>
      </c>
      <c r="G5660" s="403" t="s">
        <v>1467</v>
      </c>
      <c r="H5660" s="403" t="s">
        <v>1281</v>
      </c>
      <c r="I5660" s="403">
        <v>1</v>
      </c>
      <c r="J5660" s="403" t="s">
        <v>1376</v>
      </c>
      <c r="K5660" s="403">
        <v>1728</v>
      </c>
      <c r="L5660" s="403">
        <v>3072</v>
      </c>
      <c r="M5660" s="403" t="s">
        <v>111</v>
      </c>
      <c r="N5660" s="403">
        <v>432</v>
      </c>
      <c r="O5660" s="403">
        <v>768</v>
      </c>
      <c r="P5660" t="str">
        <f t="shared" si="705"/>
        <v>25fps 3072x1728 - SD</v>
      </c>
      <c r="Q5660">
        <f t="shared" si="706"/>
        <v>24</v>
      </c>
      <c r="R5660" t="str">
        <f t="shared" si="707"/>
        <v/>
      </c>
      <c r="S5660" t="str">
        <f t="shared" si="708"/>
        <v/>
      </c>
      <c r="T5660" s="403" t="str">
        <f t="shared" si="709"/>
        <v>NDI-5503-A</v>
      </c>
      <c r="U5660" s="403">
        <f t="shared" si="710"/>
        <v>1</v>
      </c>
      <c r="V5660" s="403" t="str">
        <f t="shared" si="711"/>
        <v>CPP_7_3</v>
      </c>
    </row>
    <row r="5661" spans="1:22">
      <c r="A5661" t="str">
        <f t="shared" si="704"/>
        <v>NDI-5503-A</v>
      </c>
      <c r="B5661" s="403" t="s">
        <v>1426</v>
      </c>
      <c r="C5661" s="403" t="s">
        <v>582</v>
      </c>
      <c r="D5661" s="403" t="s">
        <v>1427</v>
      </c>
      <c r="E5661" s="403" t="s">
        <v>778</v>
      </c>
      <c r="F5661" s="403" t="s">
        <v>1385</v>
      </c>
      <c r="G5661" s="403" t="s">
        <v>1467</v>
      </c>
      <c r="H5661" s="403" t="s">
        <v>1281</v>
      </c>
      <c r="I5661" s="403">
        <v>1</v>
      </c>
      <c r="J5661" s="403" t="s">
        <v>1376</v>
      </c>
      <c r="K5661" s="403">
        <v>1728</v>
      </c>
      <c r="L5661" s="403">
        <v>3072</v>
      </c>
      <c r="M5661" s="403" t="s">
        <v>1600</v>
      </c>
      <c r="N5661" s="403">
        <v>1728</v>
      </c>
      <c r="O5661" s="403">
        <v>3072</v>
      </c>
      <c r="P5661" t="str">
        <f t="shared" si="705"/>
        <v>25fps 3072x1728 - 3072x1728 @ SKIP2</v>
      </c>
      <c r="Q5661">
        <f t="shared" si="706"/>
        <v>24</v>
      </c>
      <c r="R5661" t="str">
        <f t="shared" si="707"/>
        <v/>
      </c>
      <c r="S5661" t="str">
        <f t="shared" si="708"/>
        <v/>
      </c>
      <c r="T5661" s="403" t="str">
        <f t="shared" si="709"/>
        <v>NDI-5503-A</v>
      </c>
      <c r="U5661" s="403">
        <f t="shared" si="710"/>
        <v>1</v>
      </c>
      <c r="V5661" s="403" t="str">
        <f t="shared" si="711"/>
        <v>CPP_7_3</v>
      </c>
    </row>
    <row r="5662" spans="1:22">
      <c r="A5662" t="str">
        <f t="shared" si="704"/>
        <v>NDI-5503-A</v>
      </c>
      <c r="B5662" s="403" t="s">
        <v>1426</v>
      </c>
      <c r="C5662" s="403" t="s">
        <v>582</v>
      </c>
      <c r="D5662" s="403" t="s">
        <v>1427</v>
      </c>
      <c r="E5662" s="403" t="s">
        <v>778</v>
      </c>
      <c r="F5662" s="403" t="s">
        <v>1385</v>
      </c>
      <c r="G5662" s="403" t="s">
        <v>1467</v>
      </c>
      <c r="H5662" s="403" t="s">
        <v>1281</v>
      </c>
      <c r="I5662" s="403">
        <v>1</v>
      </c>
      <c r="J5662" s="403" t="s">
        <v>1376</v>
      </c>
      <c r="K5662" s="403">
        <v>1728</v>
      </c>
      <c r="L5662" s="403">
        <v>3072</v>
      </c>
      <c r="M5662" s="403" t="s">
        <v>1280</v>
      </c>
      <c r="N5662" s="403">
        <v>1728</v>
      </c>
      <c r="O5662" s="403">
        <v>3072</v>
      </c>
      <c r="P5662" t="str">
        <f t="shared" si="705"/>
        <v>25fps 3072x1728 - copy other stream</v>
      </c>
      <c r="Q5662">
        <f t="shared" si="706"/>
        <v>24</v>
      </c>
      <c r="R5662" t="str">
        <f t="shared" si="707"/>
        <v/>
      </c>
      <c r="S5662" t="str">
        <f t="shared" si="708"/>
        <v/>
      </c>
      <c r="T5662" s="403" t="str">
        <f t="shared" si="709"/>
        <v>NDI-5503-A</v>
      </c>
      <c r="U5662" s="403">
        <f t="shared" si="710"/>
        <v>1</v>
      </c>
      <c r="V5662" s="403" t="str">
        <f t="shared" si="711"/>
        <v>CPP_7_3</v>
      </c>
    </row>
    <row r="5663" spans="1:22">
      <c r="A5663" t="str">
        <f t="shared" si="704"/>
        <v>NDI-5503-A</v>
      </c>
      <c r="B5663" s="403" t="s">
        <v>1426</v>
      </c>
      <c r="C5663" s="403" t="s">
        <v>582</v>
      </c>
      <c r="D5663" s="403" t="s">
        <v>1427</v>
      </c>
      <c r="E5663" s="403" t="s">
        <v>778</v>
      </c>
      <c r="F5663" s="403" t="s">
        <v>1385</v>
      </c>
      <c r="G5663" s="403" t="s">
        <v>1467</v>
      </c>
      <c r="H5663" s="403" t="s">
        <v>1281</v>
      </c>
      <c r="I5663" s="403">
        <v>1</v>
      </c>
      <c r="J5663" s="403" t="s">
        <v>1376</v>
      </c>
      <c r="K5663" s="403">
        <v>1728</v>
      </c>
      <c r="L5663" s="403">
        <v>3072</v>
      </c>
      <c r="M5663" s="403" t="s">
        <v>110</v>
      </c>
      <c r="N5663" s="403">
        <v>1080</v>
      </c>
      <c r="O5663" s="403">
        <v>1920</v>
      </c>
      <c r="P5663" t="str">
        <f t="shared" si="705"/>
        <v>25fps 3072x1728 - 1080p</v>
      </c>
      <c r="Q5663">
        <f t="shared" si="706"/>
        <v>24</v>
      </c>
      <c r="R5663" t="str">
        <f t="shared" si="707"/>
        <v/>
      </c>
      <c r="S5663" t="str">
        <f t="shared" si="708"/>
        <v/>
      </c>
      <c r="T5663" s="403" t="str">
        <f t="shared" si="709"/>
        <v>NDI-5503-A</v>
      </c>
      <c r="U5663" s="403">
        <f t="shared" si="710"/>
        <v>1</v>
      </c>
      <c r="V5663" s="403" t="str">
        <f t="shared" si="711"/>
        <v>CPP_7_3</v>
      </c>
    </row>
    <row r="5664" spans="1:22">
      <c r="A5664" t="str">
        <f t="shared" si="704"/>
        <v>NDI-5503-A</v>
      </c>
      <c r="B5664" s="403" t="s">
        <v>1426</v>
      </c>
      <c r="C5664" s="403" t="s">
        <v>582</v>
      </c>
      <c r="D5664" s="403" t="s">
        <v>1427</v>
      </c>
      <c r="E5664" s="403" t="s">
        <v>778</v>
      </c>
      <c r="F5664" s="403" t="s">
        <v>1385</v>
      </c>
      <c r="G5664" s="403" t="s">
        <v>1467</v>
      </c>
      <c r="H5664" s="403" t="s">
        <v>1281</v>
      </c>
      <c r="I5664" s="403">
        <v>1</v>
      </c>
      <c r="J5664" s="403" t="s">
        <v>1376</v>
      </c>
      <c r="K5664" s="403">
        <v>1728</v>
      </c>
      <c r="L5664" s="403">
        <v>3072</v>
      </c>
      <c r="M5664" s="403" t="s">
        <v>109</v>
      </c>
      <c r="N5664" s="403">
        <v>720</v>
      </c>
      <c r="O5664" s="403">
        <v>1280</v>
      </c>
      <c r="P5664" t="str">
        <f t="shared" si="705"/>
        <v>25fps 3072x1728 - 720p</v>
      </c>
      <c r="Q5664">
        <f t="shared" si="706"/>
        <v>24</v>
      </c>
      <c r="R5664" t="str">
        <f t="shared" si="707"/>
        <v/>
      </c>
      <c r="S5664" t="str">
        <f t="shared" si="708"/>
        <v/>
      </c>
      <c r="T5664" s="403" t="str">
        <f t="shared" si="709"/>
        <v>NDI-5503-A</v>
      </c>
      <c r="U5664" s="403">
        <f t="shared" si="710"/>
        <v>1</v>
      </c>
      <c r="V5664" s="403" t="str">
        <f t="shared" si="711"/>
        <v>CPP_7_3</v>
      </c>
    </row>
    <row r="5665" spans="1:22">
      <c r="A5665" t="str">
        <f t="shared" si="704"/>
        <v>NDI-5503-A</v>
      </c>
      <c r="B5665" s="403" t="s">
        <v>1426</v>
      </c>
      <c r="C5665" s="403" t="s">
        <v>582</v>
      </c>
      <c r="D5665" s="403" t="s">
        <v>1427</v>
      </c>
      <c r="E5665" s="403" t="s">
        <v>778</v>
      </c>
      <c r="F5665" s="403" t="s">
        <v>1385</v>
      </c>
      <c r="G5665" s="403" t="s">
        <v>1467</v>
      </c>
      <c r="H5665" s="403" t="s">
        <v>1281</v>
      </c>
      <c r="I5665" s="403">
        <v>1</v>
      </c>
      <c r="J5665" s="403" t="s">
        <v>1376</v>
      </c>
      <c r="K5665" s="403">
        <v>1728</v>
      </c>
      <c r="L5665" s="403">
        <v>3072</v>
      </c>
      <c r="M5665" s="403" t="s">
        <v>1283</v>
      </c>
      <c r="N5665" s="403">
        <v>576</v>
      </c>
      <c r="O5665" s="403">
        <v>720</v>
      </c>
      <c r="P5665" t="str">
        <f t="shared" si="705"/>
        <v>25fps 3072x1728 - SD 4CIF resolution 4:3 format (cropped)</v>
      </c>
      <c r="Q5665">
        <f t="shared" si="706"/>
        <v>24</v>
      </c>
      <c r="R5665" t="str">
        <f t="shared" si="707"/>
        <v/>
      </c>
      <c r="S5665" t="str">
        <f t="shared" si="708"/>
        <v/>
      </c>
      <c r="T5665" s="403" t="str">
        <f t="shared" si="709"/>
        <v>NDI-5503-A</v>
      </c>
      <c r="U5665" s="403">
        <f t="shared" si="710"/>
        <v>1</v>
      </c>
      <c r="V5665" s="403" t="str">
        <f t="shared" si="711"/>
        <v>CPP_7_3</v>
      </c>
    </row>
    <row r="5666" spans="1:22">
      <c r="A5666" t="str">
        <f t="shared" si="704"/>
        <v>NDI-5503-A</v>
      </c>
      <c r="B5666" s="403" t="s">
        <v>1426</v>
      </c>
      <c r="C5666" s="403" t="s">
        <v>582</v>
      </c>
      <c r="D5666" s="403" t="s">
        <v>1427</v>
      </c>
      <c r="E5666" s="403" t="s">
        <v>778</v>
      </c>
      <c r="F5666" s="403" t="s">
        <v>1385</v>
      </c>
      <c r="G5666" s="403" t="s">
        <v>1467</v>
      </c>
      <c r="H5666" s="403" t="s">
        <v>1281</v>
      </c>
      <c r="I5666" s="403">
        <v>1</v>
      </c>
      <c r="J5666" s="403" t="s">
        <v>1376</v>
      </c>
      <c r="K5666" s="403">
        <v>1728</v>
      </c>
      <c r="L5666" s="403">
        <v>3072</v>
      </c>
      <c r="M5666" s="403" t="s">
        <v>1279</v>
      </c>
      <c r="N5666" s="403">
        <v>432</v>
      </c>
      <c r="O5666" s="403">
        <v>768</v>
      </c>
      <c r="P5666" t="str">
        <f t="shared" si="705"/>
        <v>25fps 3072x1728 - SD ROI PTZ</v>
      </c>
      <c r="Q5666">
        <f t="shared" si="706"/>
        <v>24</v>
      </c>
      <c r="R5666" t="str">
        <f t="shared" si="707"/>
        <v/>
      </c>
      <c r="S5666" t="str">
        <f t="shared" si="708"/>
        <v/>
      </c>
      <c r="T5666" s="403" t="str">
        <f t="shared" si="709"/>
        <v>NDI-5503-A</v>
      </c>
      <c r="U5666" s="403">
        <f t="shared" si="710"/>
        <v>1</v>
      </c>
      <c r="V5666" s="403" t="str">
        <f t="shared" si="711"/>
        <v>CPP_7_3</v>
      </c>
    </row>
    <row r="5667" spans="1:22">
      <c r="A5667" t="str">
        <f t="shared" si="704"/>
        <v>NDI-5503-A</v>
      </c>
      <c r="B5667" s="403" t="s">
        <v>1426</v>
      </c>
      <c r="C5667" s="403" t="s">
        <v>582</v>
      </c>
      <c r="D5667" s="403" t="s">
        <v>1427</v>
      </c>
      <c r="E5667" s="403" t="s">
        <v>778</v>
      </c>
      <c r="F5667" s="403" t="s">
        <v>1385</v>
      </c>
      <c r="G5667" s="403" t="s">
        <v>1467</v>
      </c>
      <c r="H5667" s="403" t="s">
        <v>1281</v>
      </c>
      <c r="I5667" s="403">
        <v>1</v>
      </c>
      <c r="J5667" s="403" t="s">
        <v>1376</v>
      </c>
      <c r="K5667" s="403">
        <v>1728</v>
      </c>
      <c r="L5667" s="403">
        <v>3072</v>
      </c>
      <c r="M5667" s="403" t="s">
        <v>1284</v>
      </c>
      <c r="N5667" s="403">
        <v>480</v>
      </c>
      <c r="O5667" s="403">
        <v>640</v>
      </c>
      <c r="P5667" t="str">
        <f t="shared" si="705"/>
        <v>25fps 3072x1728 - SD VGA (cropped)</v>
      </c>
      <c r="Q5667">
        <f t="shared" si="706"/>
        <v>24</v>
      </c>
      <c r="R5667" t="str">
        <f t="shared" si="707"/>
        <v/>
      </c>
      <c r="S5667" t="str">
        <f t="shared" si="708"/>
        <v/>
      </c>
      <c r="T5667" s="403" t="str">
        <f t="shared" si="709"/>
        <v>NDI-5503-A</v>
      </c>
      <c r="U5667" s="403">
        <f t="shared" si="710"/>
        <v>1</v>
      </c>
      <c r="V5667" s="403" t="str">
        <f t="shared" si="711"/>
        <v>CPP_7_3</v>
      </c>
    </row>
    <row r="5668" spans="1:22">
      <c r="A5668" t="str">
        <f t="shared" si="704"/>
        <v>NDI-5503-A</v>
      </c>
      <c r="B5668" s="403" t="s">
        <v>1426</v>
      </c>
      <c r="C5668" s="403" t="s">
        <v>582</v>
      </c>
      <c r="D5668" s="403" t="s">
        <v>1427</v>
      </c>
      <c r="E5668" s="403" t="s">
        <v>778</v>
      </c>
      <c r="F5668" s="403" t="s">
        <v>1385</v>
      </c>
      <c r="G5668" s="403" t="s">
        <v>1467</v>
      </c>
      <c r="H5668" s="403" t="s">
        <v>1281</v>
      </c>
      <c r="I5668" s="403">
        <v>1</v>
      </c>
      <c r="J5668" s="403" t="s">
        <v>1376</v>
      </c>
      <c r="K5668" s="403">
        <v>1728</v>
      </c>
      <c r="L5668" s="403">
        <v>3072</v>
      </c>
      <c r="M5668" s="403" t="s">
        <v>1285</v>
      </c>
      <c r="N5668" s="403">
        <v>1024</v>
      </c>
      <c r="O5668" s="403">
        <v>1280</v>
      </c>
      <c r="P5668" t="str">
        <f t="shared" si="705"/>
        <v>25fps 3072x1728 - 1280x1024 5:4 (cropped)</v>
      </c>
      <c r="Q5668">
        <f t="shared" si="706"/>
        <v>24</v>
      </c>
      <c r="R5668" t="str">
        <f t="shared" si="707"/>
        <v/>
      </c>
      <c r="S5668" t="str">
        <f t="shared" si="708"/>
        <v/>
      </c>
      <c r="T5668" s="403" t="str">
        <f t="shared" si="709"/>
        <v>NDI-5503-A</v>
      </c>
      <c r="U5668" s="403">
        <f t="shared" si="710"/>
        <v>1</v>
      </c>
      <c r="V5668" s="403" t="str">
        <f t="shared" si="711"/>
        <v>CPP_7_3</v>
      </c>
    </row>
    <row r="5669" spans="1:22">
      <c r="A5669" t="str">
        <f t="shared" si="704"/>
        <v>NDI-5503-A</v>
      </c>
      <c r="B5669" s="403" t="s">
        <v>1426</v>
      </c>
      <c r="C5669" s="403" t="s">
        <v>582</v>
      </c>
      <c r="D5669" s="403" t="s">
        <v>1427</v>
      </c>
      <c r="E5669" s="403" t="s">
        <v>778</v>
      </c>
      <c r="F5669" s="403" t="s">
        <v>1385</v>
      </c>
      <c r="G5669" s="403" t="s">
        <v>1467</v>
      </c>
      <c r="H5669" s="403" t="s">
        <v>1281</v>
      </c>
      <c r="I5669" s="403">
        <v>1</v>
      </c>
      <c r="J5669" s="403" t="s">
        <v>1376</v>
      </c>
      <c r="K5669" s="403">
        <v>1728</v>
      </c>
      <c r="L5669" s="403">
        <v>3072</v>
      </c>
      <c r="M5669" s="403" t="s">
        <v>1383</v>
      </c>
      <c r="N5669" s="403">
        <v>1440</v>
      </c>
      <c r="O5669" s="403">
        <v>1920</v>
      </c>
      <c r="P5669" t="str">
        <f t="shared" si="705"/>
        <v>25fps 3072x1728 - 1920x1440_CROP</v>
      </c>
      <c r="Q5669">
        <f t="shared" si="706"/>
        <v>24</v>
      </c>
      <c r="R5669" t="str">
        <f t="shared" si="707"/>
        <v/>
      </c>
      <c r="S5669" t="str">
        <f t="shared" si="708"/>
        <v/>
      </c>
      <c r="T5669" s="403" t="str">
        <f t="shared" si="709"/>
        <v>NDI-5503-A</v>
      </c>
      <c r="U5669" s="403">
        <f t="shared" si="710"/>
        <v>1</v>
      </c>
      <c r="V5669" s="403" t="str">
        <f t="shared" si="711"/>
        <v>CPP_7_3</v>
      </c>
    </row>
    <row r="5670" spans="1:22">
      <c r="A5670" t="str">
        <f t="shared" si="704"/>
        <v>NDI-5503-A</v>
      </c>
      <c r="B5670" s="403" t="s">
        <v>1426</v>
      </c>
      <c r="C5670" s="403" t="s">
        <v>582</v>
      </c>
      <c r="D5670" s="403" t="s">
        <v>1427</v>
      </c>
      <c r="E5670" s="403" t="s">
        <v>778</v>
      </c>
      <c r="F5670" s="403" t="s">
        <v>1385</v>
      </c>
      <c r="G5670" s="403" t="s">
        <v>1467</v>
      </c>
      <c r="H5670" s="403" t="s">
        <v>1281</v>
      </c>
      <c r="I5670" s="403">
        <v>1</v>
      </c>
      <c r="J5670" s="403" t="s">
        <v>1373</v>
      </c>
      <c r="K5670" s="403">
        <v>1512</v>
      </c>
      <c r="L5670" s="403">
        <v>2688</v>
      </c>
      <c r="M5670" s="403" t="s">
        <v>110</v>
      </c>
      <c r="N5670" s="403">
        <v>1080</v>
      </c>
      <c r="O5670" s="403">
        <v>1920</v>
      </c>
      <c r="P5670" t="str">
        <f t="shared" si="705"/>
        <v>25fps 2688x1512 - 1080p</v>
      </c>
      <c r="Q5670">
        <f t="shared" si="706"/>
        <v>24</v>
      </c>
      <c r="R5670" t="str">
        <f t="shared" si="707"/>
        <v/>
      </c>
      <c r="S5670" t="str">
        <f t="shared" si="708"/>
        <v/>
      </c>
      <c r="T5670" s="403" t="str">
        <f t="shared" si="709"/>
        <v>NDI-5503-A</v>
      </c>
      <c r="U5670" s="403">
        <f t="shared" si="710"/>
        <v>1</v>
      </c>
      <c r="V5670" s="403" t="str">
        <f t="shared" si="711"/>
        <v>CPP_7_3</v>
      </c>
    </row>
    <row r="5671" spans="1:22">
      <c r="A5671" t="str">
        <f t="shared" si="704"/>
        <v>NDI-5503-A</v>
      </c>
      <c r="B5671" s="403" t="s">
        <v>1426</v>
      </c>
      <c r="C5671" s="403" t="s">
        <v>582</v>
      </c>
      <c r="D5671" s="403" t="s">
        <v>1427</v>
      </c>
      <c r="E5671" s="403" t="s">
        <v>778</v>
      </c>
      <c r="F5671" s="403" t="s">
        <v>1385</v>
      </c>
      <c r="G5671" s="403" t="s">
        <v>1467</v>
      </c>
      <c r="H5671" s="403" t="s">
        <v>1281</v>
      </c>
      <c r="I5671" s="403">
        <v>1</v>
      </c>
      <c r="J5671" s="403" t="s">
        <v>1373</v>
      </c>
      <c r="K5671" s="403">
        <v>1512</v>
      </c>
      <c r="L5671" s="403">
        <v>2688</v>
      </c>
      <c r="M5671" s="403" t="s">
        <v>1384</v>
      </c>
      <c r="N5671" s="403">
        <v>1512</v>
      </c>
      <c r="O5671" s="403">
        <v>2688</v>
      </c>
      <c r="P5671" t="str">
        <f t="shared" si="705"/>
        <v>25fps 2688x1512 - 2688x1512 @ SKIP 2</v>
      </c>
      <c r="Q5671">
        <f t="shared" si="706"/>
        <v>24</v>
      </c>
      <c r="R5671" t="str">
        <f t="shared" si="707"/>
        <v/>
      </c>
      <c r="S5671" t="str">
        <f t="shared" si="708"/>
        <v/>
      </c>
      <c r="T5671" s="403" t="str">
        <f t="shared" si="709"/>
        <v>NDI-5503-A</v>
      </c>
      <c r="U5671" s="403">
        <f t="shared" si="710"/>
        <v>1</v>
      </c>
      <c r="V5671" s="403" t="str">
        <f t="shared" si="711"/>
        <v>CPP_7_3</v>
      </c>
    </row>
    <row r="5672" spans="1:22">
      <c r="A5672" t="str">
        <f t="shared" si="704"/>
        <v>NDI-5503-A</v>
      </c>
      <c r="B5672" s="403" t="s">
        <v>1426</v>
      </c>
      <c r="C5672" s="403" t="s">
        <v>582</v>
      </c>
      <c r="D5672" s="403" t="s">
        <v>1427</v>
      </c>
      <c r="E5672" s="403" t="s">
        <v>778</v>
      </c>
      <c r="F5672" s="403" t="s">
        <v>1385</v>
      </c>
      <c r="G5672" s="403" t="s">
        <v>1467</v>
      </c>
      <c r="H5672" s="403" t="s">
        <v>1281</v>
      </c>
      <c r="I5672" s="403">
        <v>1</v>
      </c>
      <c r="J5672" s="403" t="s">
        <v>1373</v>
      </c>
      <c r="K5672" s="403">
        <v>1512</v>
      </c>
      <c r="L5672" s="403">
        <v>2688</v>
      </c>
      <c r="M5672" s="403" t="s">
        <v>109</v>
      </c>
      <c r="N5672" s="403">
        <v>720</v>
      </c>
      <c r="O5672" s="403">
        <v>1280</v>
      </c>
      <c r="P5672" t="str">
        <f t="shared" si="705"/>
        <v>25fps 2688x1512 - 720p</v>
      </c>
      <c r="Q5672">
        <f t="shared" si="706"/>
        <v>24</v>
      </c>
      <c r="R5672" t="str">
        <f t="shared" si="707"/>
        <v/>
      </c>
      <c r="S5672" t="str">
        <f t="shared" si="708"/>
        <v/>
      </c>
      <c r="T5672" s="403" t="str">
        <f t="shared" si="709"/>
        <v>NDI-5503-A</v>
      </c>
      <c r="U5672" s="403">
        <f t="shared" si="710"/>
        <v>1</v>
      </c>
      <c r="V5672" s="403" t="str">
        <f t="shared" si="711"/>
        <v>CPP_7_3</v>
      </c>
    </row>
    <row r="5673" spans="1:22">
      <c r="A5673" t="str">
        <f t="shared" si="704"/>
        <v>NDI-5503-A</v>
      </c>
      <c r="B5673" s="403" t="s">
        <v>1426</v>
      </c>
      <c r="C5673" s="403" t="s">
        <v>582</v>
      </c>
      <c r="D5673" s="403" t="s">
        <v>1427</v>
      </c>
      <c r="E5673" s="403" t="s">
        <v>778</v>
      </c>
      <c r="F5673" s="403" t="s">
        <v>1385</v>
      </c>
      <c r="G5673" s="403" t="s">
        <v>1467</v>
      </c>
      <c r="H5673" s="403" t="s">
        <v>1281</v>
      </c>
      <c r="I5673" s="403">
        <v>1</v>
      </c>
      <c r="J5673" s="403" t="s">
        <v>1373</v>
      </c>
      <c r="K5673" s="403">
        <v>1512</v>
      </c>
      <c r="L5673" s="403">
        <v>2688</v>
      </c>
      <c r="M5673" s="403" t="s">
        <v>111</v>
      </c>
      <c r="N5673" s="403">
        <v>432</v>
      </c>
      <c r="O5673" s="403">
        <v>768</v>
      </c>
      <c r="P5673" t="str">
        <f t="shared" si="705"/>
        <v>25fps 2688x1512 - SD</v>
      </c>
      <c r="Q5673">
        <f t="shared" si="706"/>
        <v>24</v>
      </c>
      <c r="R5673" t="str">
        <f t="shared" si="707"/>
        <v/>
      </c>
      <c r="S5673" t="str">
        <f t="shared" si="708"/>
        <v/>
      </c>
      <c r="T5673" s="403" t="str">
        <f t="shared" si="709"/>
        <v>NDI-5503-A</v>
      </c>
      <c r="U5673" s="403">
        <f t="shared" si="710"/>
        <v>1</v>
      </c>
      <c r="V5673" s="403" t="str">
        <f t="shared" si="711"/>
        <v>CPP_7_3</v>
      </c>
    </row>
    <row r="5674" spans="1:22">
      <c r="A5674" t="str">
        <f t="shared" si="704"/>
        <v>NDI-5503-A</v>
      </c>
      <c r="B5674" s="403" t="s">
        <v>1426</v>
      </c>
      <c r="C5674" s="403" t="s">
        <v>582</v>
      </c>
      <c r="D5674" s="403" t="s">
        <v>1427</v>
      </c>
      <c r="E5674" s="403" t="s">
        <v>778</v>
      </c>
      <c r="F5674" s="403" t="s">
        <v>1385</v>
      </c>
      <c r="G5674" s="403" t="s">
        <v>1467</v>
      </c>
      <c r="H5674" s="403" t="s">
        <v>1281</v>
      </c>
      <c r="I5674" s="403">
        <v>1</v>
      </c>
      <c r="J5674" s="403" t="s">
        <v>1373</v>
      </c>
      <c r="K5674" s="403">
        <v>1512</v>
      </c>
      <c r="L5674" s="403">
        <v>2688</v>
      </c>
      <c r="M5674" s="403" t="s">
        <v>1279</v>
      </c>
      <c r="N5674" s="403">
        <v>432</v>
      </c>
      <c r="O5674" s="403">
        <v>768</v>
      </c>
      <c r="P5674" t="str">
        <f t="shared" si="705"/>
        <v>25fps 2688x1512 - SD ROI PTZ</v>
      </c>
      <c r="Q5674">
        <f t="shared" si="706"/>
        <v>24</v>
      </c>
      <c r="R5674" t="str">
        <f t="shared" si="707"/>
        <v/>
      </c>
      <c r="S5674" t="str">
        <f t="shared" si="708"/>
        <v/>
      </c>
      <c r="T5674" s="403" t="str">
        <f t="shared" si="709"/>
        <v>NDI-5503-A</v>
      </c>
      <c r="U5674" s="403">
        <f t="shared" si="710"/>
        <v>1</v>
      </c>
      <c r="V5674" s="403" t="str">
        <f t="shared" si="711"/>
        <v>CPP_7_3</v>
      </c>
    </row>
    <row r="5675" spans="1:22">
      <c r="A5675" t="str">
        <f t="shared" si="704"/>
        <v>NDI-5503-A</v>
      </c>
      <c r="B5675" s="403" t="s">
        <v>1426</v>
      </c>
      <c r="C5675" s="403" t="s">
        <v>582</v>
      </c>
      <c r="D5675" s="403" t="s">
        <v>1427</v>
      </c>
      <c r="E5675" s="403" t="s">
        <v>778</v>
      </c>
      <c r="F5675" s="403" t="s">
        <v>1385</v>
      </c>
      <c r="G5675" s="403" t="s">
        <v>1467</v>
      </c>
      <c r="H5675" s="403" t="s">
        <v>1281</v>
      </c>
      <c r="I5675" s="403">
        <v>1</v>
      </c>
      <c r="J5675" s="403" t="s">
        <v>1373</v>
      </c>
      <c r="K5675" s="403">
        <v>1512</v>
      </c>
      <c r="L5675" s="403">
        <v>2688</v>
      </c>
      <c r="M5675" s="403" t="s">
        <v>1285</v>
      </c>
      <c r="N5675" s="403">
        <v>1024</v>
      </c>
      <c r="O5675" s="403">
        <v>1280</v>
      </c>
      <c r="P5675" t="str">
        <f t="shared" si="705"/>
        <v>25fps 2688x1512 - 1280x1024 5:4 (cropped)</v>
      </c>
      <c r="Q5675">
        <f t="shared" si="706"/>
        <v>24</v>
      </c>
      <c r="R5675" t="str">
        <f t="shared" si="707"/>
        <v/>
      </c>
      <c r="S5675" t="str">
        <f t="shared" si="708"/>
        <v/>
      </c>
      <c r="T5675" s="403" t="str">
        <f t="shared" si="709"/>
        <v>NDI-5503-A</v>
      </c>
      <c r="U5675" s="403">
        <f t="shared" si="710"/>
        <v>1</v>
      </c>
      <c r="V5675" s="403" t="str">
        <f t="shared" si="711"/>
        <v>CPP_7_3</v>
      </c>
    </row>
    <row r="5676" spans="1:22">
      <c r="A5676" t="str">
        <f t="shared" si="704"/>
        <v>NDI-5503-A</v>
      </c>
      <c r="B5676" s="403" t="s">
        <v>1426</v>
      </c>
      <c r="C5676" s="403" t="s">
        <v>582</v>
      </c>
      <c r="D5676" s="403" t="s">
        <v>1427</v>
      </c>
      <c r="E5676" s="403" t="s">
        <v>778</v>
      </c>
      <c r="F5676" s="403" t="s">
        <v>1385</v>
      </c>
      <c r="G5676" s="403" t="s">
        <v>1467</v>
      </c>
      <c r="H5676" s="403" t="s">
        <v>1281</v>
      </c>
      <c r="I5676" s="403">
        <v>1</v>
      </c>
      <c r="J5676" s="403" t="s">
        <v>1373</v>
      </c>
      <c r="K5676" s="403">
        <v>1512</v>
      </c>
      <c r="L5676" s="403">
        <v>2688</v>
      </c>
      <c r="M5676" s="403" t="s">
        <v>1283</v>
      </c>
      <c r="N5676" s="403">
        <v>576</v>
      </c>
      <c r="O5676" s="403">
        <v>720</v>
      </c>
      <c r="P5676" t="str">
        <f t="shared" si="705"/>
        <v>25fps 2688x1512 - SD 4CIF resolution 4:3 format (cropped)</v>
      </c>
      <c r="Q5676">
        <f t="shared" si="706"/>
        <v>24</v>
      </c>
      <c r="R5676" t="str">
        <f t="shared" si="707"/>
        <v/>
      </c>
      <c r="S5676" t="str">
        <f t="shared" si="708"/>
        <v/>
      </c>
      <c r="T5676" s="403" t="str">
        <f t="shared" si="709"/>
        <v>NDI-5503-A</v>
      </c>
      <c r="U5676" s="403">
        <f t="shared" si="710"/>
        <v>1</v>
      </c>
      <c r="V5676" s="403" t="str">
        <f t="shared" si="711"/>
        <v>CPP_7_3</v>
      </c>
    </row>
    <row r="5677" spans="1:22">
      <c r="A5677" t="str">
        <f t="shared" si="704"/>
        <v>NDI-5503-A</v>
      </c>
      <c r="B5677" s="403" t="s">
        <v>1426</v>
      </c>
      <c r="C5677" s="403" t="s">
        <v>582</v>
      </c>
      <c r="D5677" s="403" t="s">
        <v>1427</v>
      </c>
      <c r="E5677" s="403" t="s">
        <v>778</v>
      </c>
      <c r="F5677" s="403" t="s">
        <v>1385</v>
      </c>
      <c r="G5677" s="403" t="s">
        <v>1467</v>
      </c>
      <c r="H5677" s="403" t="s">
        <v>1281</v>
      </c>
      <c r="I5677" s="403">
        <v>1</v>
      </c>
      <c r="J5677" s="403" t="s">
        <v>1373</v>
      </c>
      <c r="K5677" s="403">
        <v>1512</v>
      </c>
      <c r="L5677" s="403">
        <v>2688</v>
      </c>
      <c r="M5677" s="403" t="s">
        <v>1284</v>
      </c>
      <c r="N5677" s="403">
        <v>480</v>
      </c>
      <c r="O5677" s="403">
        <v>640</v>
      </c>
      <c r="P5677" t="str">
        <f t="shared" si="705"/>
        <v>25fps 2688x1512 - SD VGA (cropped)</v>
      </c>
      <c r="Q5677">
        <f t="shared" si="706"/>
        <v>24</v>
      </c>
      <c r="R5677" t="str">
        <f t="shared" si="707"/>
        <v/>
      </c>
      <c r="S5677" t="str">
        <f t="shared" si="708"/>
        <v/>
      </c>
      <c r="T5677" s="403" t="str">
        <f t="shared" si="709"/>
        <v>NDI-5503-A</v>
      </c>
      <c r="U5677" s="403">
        <f t="shared" si="710"/>
        <v>1</v>
      </c>
      <c r="V5677" s="403" t="str">
        <f t="shared" si="711"/>
        <v>CPP_7_3</v>
      </c>
    </row>
    <row r="5678" spans="1:22">
      <c r="A5678" t="str">
        <f t="shared" si="704"/>
        <v>NDI-5503-A</v>
      </c>
      <c r="B5678" s="403" t="s">
        <v>1426</v>
      </c>
      <c r="C5678" s="403" t="s">
        <v>582</v>
      </c>
      <c r="D5678" s="403" t="s">
        <v>1427</v>
      </c>
      <c r="E5678" s="403" t="s">
        <v>778</v>
      </c>
      <c r="F5678" s="403" t="s">
        <v>1385</v>
      </c>
      <c r="G5678" s="403" t="s">
        <v>1467</v>
      </c>
      <c r="H5678" s="403" t="s">
        <v>1281</v>
      </c>
      <c r="I5678" s="403">
        <v>1</v>
      </c>
      <c r="J5678" s="403" t="s">
        <v>1373</v>
      </c>
      <c r="K5678" s="403">
        <v>1512</v>
      </c>
      <c r="L5678" s="403">
        <v>2688</v>
      </c>
      <c r="M5678" s="403" t="s">
        <v>1280</v>
      </c>
      <c r="N5678" s="403">
        <v>1512</v>
      </c>
      <c r="O5678" s="403">
        <v>2688</v>
      </c>
      <c r="P5678" t="str">
        <f t="shared" si="705"/>
        <v>25fps 2688x1512 - copy other stream</v>
      </c>
      <c r="Q5678">
        <f t="shared" si="706"/>
        <v>24</v>
      </c>
      <c r="R5678" t="str">
        <f t="shared" si="707"/>
        <v/>
      </c>
      <c r="S5678" t="str">
        <f t="shared" si="708"/>
        <v/>
      </c>
      <c r="T5678" s="403" t="str">
        <f t="shared" si="709"/>
        <v>NDI-5503-A</v>
      </c>
      <c r="U5678" s="403">
        <f t="shared" si="710"/>
        <v>1</v>
      </c>
      <c r="V5678" s="403" t="str">
        <f t="shared" si="711"/>
        <v>CPP_7_3</v>
      </c>
    </row>
    <row r="5679" spans="1:22">
      <c r="A5679" t="str">
        <f t="shared" si="704"/>
        <v>NDI-5503-A</v>
      </c>
      <c r="B5679" s="403" t="s">
        <v>1426</v>
      </c>
      <c r="C5679" s="403" t="s">
        <v>582</v>
      </c>
      <c r="D5679" s="403" t="s">
        <v>1427</v>
      </c>
      <c r="E5679" s="403" t="s">
        <v>778</v>
      </c>
      <c r="F5679" s="403" t="s">
        <v>1385</v>
      </c>
      <c r="G5679" s="403" t="s">
        <v>1467</v>
      </c>
      <c r="H5679" s="403" t="s">
        <v>1281</v>
      </c>
      <c r="I5679" s="403">
        <v>1</v>
      </c>
      <c r="J5679" s="403" t="s">
        <v>1374</v>
      </c>
      <c r="K5679" s="403">
        <v>1296</v>
      </c>
      <c r="L5679" s="403">
        <v>2304</v>
      </c>
      <c r="M5679" s="403" t="s">
        <v>110</v>
      </c>
      <c r="N5679" s="403">
        <v>1080</v>
      </c>
      <c r="O5679" s="403">
        <v>1920</v>
      </c>
      <c r="P5679" t="str">
        <f t="shared" si="705"/>
        <v>25fps 2304x1296 - 1080p</v>
      </c>
      <c r="Q5679">
        <f t="shared" si="706"/>
        <v>24</v>
      </c>
      <c r="R5679" t="str">
        <f t="shared" si="707"/>
        <v/>
      </c>
      <c r="S5679" t="str">
        <f t="shared" si="708"/>
        <v/>
      </c>
      <c r="T5679" s="403" t="str">
        <f t="shared" si="709"/>
        <v>NDI-5503-A</v>
      </c>
      <c r="U5679" s="403">
        <f t="shared" si="710"/>
        <v>1</v>
      </c>
      <c r="V5679" s="403" t="str">
        <f t="shared" si="711"/>
        <v>CPP_7_3</v>
      </c>
    </row>
    <row r="5680" spans="1:22">
      <c r="A5680" t="str">
        <f t="shared" si="704"/>
        <v>NDI-5503-A</v>
      </c>
      <c r="B5680" s="403" t="s">
        <v>1426</v>
      </c>
      <c r="C5680" s="403" t="s">
        <v>582</v>
      </c>
      <c r="D5680" s="403" t="s">
        <v>1427</v>
      </c>
      <c r="E5680" s="403" t="s">
        <v>778</v>
      </c>
      <c r="F5680" s="403" t="s">
        <v>1385</v>
      </c>
      <c r="G5680" s="403" t="s">
        <v>1467</v>
      </c>
      <c r="H5680" s="403" t="s">
        <v>1281</v>
      </c>
      <c r="I5680" s="403">
        <v>1</v>
      </c>
      <c r="J5680" s="403" t="s">
        <v>1374</v>
      </c>
      <c r="K5680" s="403">
        <v>1296</v>
      </c>
      <c r="L5680" s="403">
        <v>2304</v>
      </c>
      <c r="M5680" s="403" t="s">
        <v>1374</v>
      </c>
      <c r="N5680" s="403">
        <v>1296</v>
      </c>
      <c r="O5680" s="403">
        <v>2304</v>
      </c>
      <c r="P5680" t="str">
        <f t="shared" si="705"/>
        <v>25fps 2304x1296 - 2304x1296</v>
      </c>
      <c r="Q5680">
        <f t="shared" si="706"/>
        <v>24</v>
      </c>
      <c r="R5680" t="str">
        <f t="shared" si="707"/>
        <v/>
      </c>
      <c r="S5680" t="str">
        <f t="shared" si="708"/>
        <v/>
      </c>
      <c r="T5680" s="403" t="str">
        <f t="shared" si="709"/>
        <v>NDI-5503-A</v>
      </c>
      <c r="U5680" s="403">
        <f t="shared" si="710"/>
        <v>1</v>
      </c>
      <c r="V5680" s="403" t="str">
        <f t="shared" si="711"/>
        <v>CPP_7_3</v>
      </c>
    </row>
    <row r="5681" spans="1:22">
      <c r="A5681" t="str">
        <f t="shared" si="704"/>
        <v>NDI-5503-A</v>
      </c>
      <c r="B5681" s="403" t="s">
        <v>1426</v>
      </c>
      <c r="C5681" s="403" t="s">
        <v>582</v>
      </c>
      <c r="D5681" s="403" t="s">
        <v>1427</v>
      </c>
      <c r="E5681" s="403" t="s">
        <v>778</v>
      </c>
      <c r="F5681" s="403" t="s">
        <v>1385</v>
      </c>
      <c r="G5681" s="403" t="s">
        <v>1467</v>
      </c>
      <c r="H5681" s="403" t="s">
        <v>1281</v>
      </c>
      <c r="I5681" s="403">
        <v>1</v>
      </c>
      <c r="J5681" s="403" t="s">
        <v>1374</v>
      </c>
      <c r="K5681" s="403">
        <v>1296</v>
      </c>
      <c r="L5681" s="403">
        <v>2304</v>
      </c>
      <c r="M5681" s="403" t="s">
        <v>109</v>
      </c>
      <c r="N5681" s="403">
        <v>720</v>
      </c>
      <c r="O5681" s="403">
        <v>1280</v>
      </c>
      <c r="P5681" t="str">
        <f t="shared" si="705"/>
        <v>25fps 2304x1296 - 720p</v>
      </c>
      <c r="Q5681">
        <f t="shared" si="706"/>
        <v>24</v>
      </c>
      <c r="R5681" t="str">
        <f t="shared" si="707"/>
        <v/>
      </c>
      <c r="S5681" t="str">
        <f t="shared" si="708"/>
        <v/>
      </c>
      <c r="T5681" s="403" t="str">
        <f t="shared" si="709"/>
        <v>NDI-5503-A</v>
      </c>
      <c r="U5681" s="403">
        <f t="shared" si="710"/>
        <v>1</v>
      </c>
      <c r="V5681" s="403" t="str">
        <f t="shared" si="711"/>
        <v>CPP_7_3</v>
      </c>
    </row>
    <row r="5682" spans="1:22">
      <c r="A5682" t="str">
        <f t="shared" si="704"/>
        <v>NDI-5503-A</v>
      </c>
      <c r="B5682" s="403" t="s">
        <v>1426</v>
      </c>
      <c r="C5682" s="403" t="s">
        <v>582</v>
      </c>
      <c r="D5682" s="403" t="s">
        <v>1427</v>
      </c>
      <c r="E5682" s="403" t="s">
        <v>778</v>
      </c>
      <c r="F5682" s="403" t="s">
        <v>1385</v>
      </c>
      <c r="G5682" s="403" t="s">
        <v>1467</v>
      </c>
      <c r="H5682" s="403" t="s">
        <v>1281</v>
      </c>
      <c r="I5682" s="403">
        <v>1</v>
      </c>
      <c r="J5682" s="403" t="s">
        <v>1374</v>
      </c>
      <c r="K5682" s="403">
        <v>1296</v>
      </c>
      <c r="L5682" s="403">
        <v>2304</v>
      </c>
      <c r="M5682" s="403" t="s">
        <v>111</v>
      </c>
      <c r="N5682" s="403">
        <v>432</v>
      </c>
      <c r="O5682" s="403">
        <v>768</v>
      </c>
      <c r="P5682" t="str">
        <f t="shared" si="705"/>
        <v>25fps 2304x1296 - SD</v>
      </c>
      <c r="Q5682">
        <f t="shared" si="706"/>
        <v>24</v>
      </c>
      <c r="R5682" t="str">
        <f t="shared" si="707"/>
        <v/>
      </c>
      <c r="S5682" t="str">
        <f t="shared" si="708"/>
        <v/>
      </c>
      <c r="T5682" s="403" t="str">
        <f t="shared" si="709"/>
        <v>NDI-5503-A</v>
      </c>
      <c r="U5682" s="403">
        <f t="shared" si="710"/>
        <v>1</v>
      </c>
      <c r="V5682" s="403" t="str">
        <f t="shared" si="711"/>
        <v>CPP_7_3</v>
      </c>
    </row>
    <row r="5683" spans="1:22">
      <c r="A5683" t="str">
        <f t="shared" si="704"/>
        <v>NDI-5503-A</v>
      </c>
      <c r="B5683" s="403" t="s">
        <v>1426</v>
      </c>
      <c r="C5683" s="403" t="s">
        <v>582</v>
      </c>
      <c r="D5683" s="403" t="s">
        <v>1427</v>
      </c>
      <c r="E5683" s="403" t="s">
        <v>778</v>
      </c>
      <c r="F5683" s="403" t="s">
        <v>1385</v>
      </c>
      <c r="G5683" s="403" t="s">
        <v>1467</v>
      </c>
      <c r="H5683" s="403" t="s">
        <v>1281</v>
      </c>
      <c r="I5683" s="403">
        <v>1</v>
      </c>
      <c r="J5683" s="403" t="s">
        <v>1374</v>
      </c>
      <c r="K5683" s="403">
        <v>1296</v>
      </c>
      <c r="L5683" s="403">
        <v>2304</v>
      </c>
      <c r="M5683" s="403" t="s">
        <v>1279</v>
      </c>
      <c r="N5683" s="403">
        <v>432</v>
      </c>
      <c r="O5683" s="403">
        <v>768</v>
      </c>
      <c r="P5683" t="str">
        <f t="shared" si="705"/>
        <v>25fps 2304x1296 - SD ROI PTZ</v>
      </c>
      <c r="Q5683">
        <f t="shared" si="706"/>
        <v>24</v>
      </c>
      <c r="R5683" t="str">
        <f t="shared" si="707"/>
        <v/>
      </c>
      <c r="S5683" t="str">
        <f t="shared" si="708"/>
        <v/>
      </c>
      <c r="T5683" s="403" t="str">
        <f t="shared" si="709"/>
        <v>NDI-5503-A</v>
      </c>
      <c r="U5683" s="403">
        <f t="shared" si="710"/>
        <v>1</v>
      </c>
      <c r="V5683" s="403" t="str">
        <f t="shared" si="711"/>
        <v>CPP_7_3</v>
      </c>
    </row>
    <row r="5684" spans="1:22">
      <c r="A5684" t="str">
        <f t="shared" si="704"/>
        <v>NDI-5503-A</v>
      </c>
      <c r="B5684" s="403" t="s">
        <v>1426</v>
      </c>
      <c r="C5684" s="403" t="s">
        <v>582</v>
      </c>
      <c r="D5684" s="403" t="s">
        <v>1427</v>
      </c>
      <c r="E5684" s="403" t="s">
        <v>778</v>
      </c>
      <c r="F5684" s="403" t="s">
        <v>1385</v>
      </c>
      <c r="G5684" s="403" t="s">
        <v>1467</v>
      </c>
      <c r="H5684" s="403" t="s">
        <v>1281</v>
      </c>
      <c r="I5684" s="403">
        <v>1</v>
      </c>
      <c r="J5684" s="403" t="s">
        <v>1374</v>
      </c>
      <c r="K5684" s="403">
        <v>1296</v>
      </c>
      <c r="L5684" s="403">
        <v>2304</v>
      </c>
      <c r="M5684" s="403" t="s">
        <v>1285</v>
      </c>
      <c r="N5684" s="403">
        <v>1024</v>
      </c>
      <c r="O5684" s="403">
        <v>1280</v>
      </c>
      <c r="P5684" t="str">
        <f t="shared" si="705"/>
        <v>25fps 2304x1296 - 1280x1024 5:4 (cropped)</v>
      </c>
      <c r="Q5684">
        <f t="shared" si="706"/>
        <v>24</v>
      </c>
      <c r="R5684" t="str">
        <f t="shared" si="707"/>
        <v/>
      </c>
      <c r="S5684" t="str">
        <f t="shared" si="708"/>
        <v/>
      </c>
      <c r="T5684" s="403" t="str">
        <f t="shared" si="709"/>
        <v>NDI-5503-A</v>
      </c>
      <c r="U5684" s="403">
        <f t="shared" si="710"/>
        <v>1</v>
      </c>
      <c r="V5684" s="403" t="str">
        <f t="shared" si="711"/>
        <v>CPP_7_3</v>
      </c>
    </row>
    <row r="5685" spans="1:22">
      <c r="A5685" t="str">
        <f t="shared" si="704"/>
        <v>NDI-5503-A</v>
      </c>
      <c r="B5685" s="403" t="s">
        <v>1426</v>
      </c>
      <c r="C5685" s="403" t="s">
        <v>582</v>
      </c>
      <c r="D5685" s="403" t="s">
        <v>1427</v>
      </c>
      <c r="E5685" s="403" t="s">
        <v>778</v>
      </c>
      <c r="F5685" s="403" t="s">
        <v>1385</v>
      </c>
      <c r="G5685" s="403" t="s">
        <v>1467</v>
      </c>
      <c r="H5685" s="403" t="s">
        <v>1281</v>
      </c>
      <c r="I5685" s="403">
        <v>1</v>
      </c>
      <c r="J5685" s="403" t="s">
        <v>1374</v>
      </c>
      <c r="K5685" s="403">
        <v>1296</v>
      </c>
      <c r="L5685" s="403">
        <v>2304</v>
      </c>
      <c r="M5685" s="403" t="s">
        <v>1283</v>
      </c>
      <c r="N5685" s="403">
        <v>576</v>
      </c>
      <c r="O5685" s="403">
        <v>720</v>
      </c>
      <c r="P5685" t="str">
        <f t="shared" si="705"/>
        <v>25fps 2304x1296 - SD 4CIF resolution 4:3 format (cropped)</v>
      </c>
      <c r="Q5685">
        <f t="shared" si="706"/>
        <v>24</v>
      </c>
      <c r="R5685" t="str">
        <f t="shared" si="707"/>
        <v/>
      </c>
      <c r="S5685" t="str">
        <f t="shared" si="708"/>
        <v/>
      </c>
      <c r="T5685" s="403" t="str">
        <f t="shared" si="709"/>
        <v>NDI-5503-A</v>
      </c>
      <c r="U5685" s="403">
        <f t="shared" si="710"/>
        <v>1</v>
      </c>
      <c r="V5685" s="403" t="str">
        <f t="shared" si="711"/>
        <v>CPP_7_3</v>
      </c>
    </row>
    <row r="5686" spans="1:22">
      <c r="A5686" t="str">
        <f t="shared" si="704"/>
        <v>NDI-5503-A</v>
      </c>
      <c r="B5686" s="403" t="s">
        <v>1426</v>
      </c>
      <c r="C5686" s="403" t="s">
        <v>582</v>
      </c>
      <c r="D5686" s="403" t="s">
        <v>1427</v>
      </c>
      <c r="E5686" s="403" t="s">
        <v>778</v>
      </c>
      <c r="F5686" s="403" t="s">
        <v>1385</v>
      </c>
      <c r="G5686" s="403" t="s">
        <v>1467</v>
      </c>
      <c r="H5686" s="403" t="s">
        <v>1281</v>
      </c>
      <c r="I5686" s="403">
        <v>1</v>
      </c>
      <c r="J5686" s="403" t="s">
        <v>1374</v>
      </c>
      <c r="K5686" s="403">
        <v>1296</v>
      </c>
      <c r="L5686" s="403">
        <v>2304</v>
      </c>
      <c r="M5686" s="403" t="s">
        <v>1284</v>
      </c>
      <c r="N5686" s="403">
        <v>480</v>
      </c>
      <c r="O5686" s="403">
        <v>640</v>
      </c>
      <c r="P5686" t="str">
        <f t="shared" si="705"/>
        <v>25fps 2304x1296 - SD VGA (cropped)</v>
      </c>
      <c r="Q5686">
        <f t="shared" si="706"/>
        <v>24</v>
      </c>
      <c r="R5686" t="str">
        <f t="shared" si="707"/>
        <v/>
      </c>
      <c r="S5686" t="str">
        <f t="shared" si="708"/>
        <v/>
      </c>
      <c r="T5686" s="403" t="str">
        <f t="shared" si="709"/>
        <v>NDI-5503-A</v>
      </c>
      <c r="U5686" s="403">
        <f t="shared" si="710"/>
        <v>1</v>
      </c>
      <c r="V5686" s="403" t="str">
        <f t="shared" si="711"/>
        <v>CPP_7_3</v>
      </c>
    </row>
    <row r="5687" spans="1:22">
      <c r="A5687" t="str">
        <f t="shared" si="704"/>
        <v>NDI-5503-A</v>
      </c>
      <c r="B5687" s="403" t="s">
        <v>1426</v>
      </c>
      <c r="C5687" s="403" t="s">
        <v>582</v>
      </c>
      <c r="D5687" s="403" t="s">
        <v>1427</v>
      </c>
      <c r="E5687" s="403" t="s">
        <v>778</v>
      </c>
      <c r="F5687" s="403" t="s">
        <v>1385</v>
      </c>
      <c r="G5687" s="403" t="s">
        <v>1467</v>
      </c>
      <c r="H5687" s="403" t="s">
        <v>1281</v>
      </c>
      <c r="I5687" s="403">
        <v>1</v>
      </c>
      <c r="J5687" s="403" t="s">
        <v>1374</v>
      </c>
      <c r="K5687" s="403">
        <v>1296</v>
      </c>
      <c r="L5687" s="403">
        <v>2304</v>
      </c>
      <c r="M5687" s="403" t="s">
        <v>1280</v>
      </c>
      <c r="N5687" s="403">
        <v>1296</v>
      </c>
      <c r="O5687" s="403">
        <v>2304</v>
      </c>
      <c r="P5687" t="str">
        <f t="shared" si="705"/>
        <v>25fps 2304x1296 - copy other stream</v>
      </c>
      <c r="Q5687">
        <f t="shared" si="706"/>
        <v>24</v>
      </c>
      <c r="R5687" t="str">
        <f t="shared" si="707"/>
        <v/>
      </c>
      <c r="S5687" t="str">
        <f t="shared" si="708"/>
        <v/>
      </c>
      <c r="T5687" s="403" t="str">
        <f t="shared" si="709"/>
        <v>NDI-5503-A</v>
      </c>
      <c r="U5687" s="403">
        <f t="shared" si="710"/>
        <v>1</v>
      </c>
      <c r="V5687" s="403" t="str">
        <f t="shared" si="711"/>
        <v>CPP_7_3</v>
      </c>
    </row>
    <row r="5688" spans="1:22">
      <c r="A5688" t="str">
        <f t="shared" si="704"/>
        <v>NDI-5503-A</v>
      </c>
      <c r="B5688" s="403" t="s">
        <v>1426</v>
      </c>
      <c r="C5688" s="403" t="s">
        <v>582</v>
      </c>
      <c r="D5688" s="403" t="s">
        <v>1427</v>
      </c>
      <c r="E5688" s="403" t="s">
        <v>778</v>
      </c>
      <c r="F5688" s="403" t="s">
        <v>1385</v>
      </c>
      <c r="G5688" s="403" t="s">
        <v>1467</v>
      </c>
      <c r="H5688" s="403" t="s">
        <v>1281</v>
      </c>
      <c r="I5688" s="403">
        <v>1</v>
      </c>
      <c r="J5688" s="403" t="s">
        <v>110</v>
      </c>
      <c r="K5688" s="403">
        <v>1080</v>
      </c>
      <c r="L5688" s="403">
        <v>1920</v>
      </c>
      <c r="M5688" s="403" t="s">
        <v>111</v>
      </c>
      <c r="N5688" s="403">
        <v>432</v>
      </c>
      <c r="O5688" s="403">
        <v>768</v>
      </c>
      <c r="P5688" t="str">
        <f t="shared" si="705"/>
        <v>25fps 1080p - SD</v>
      </c>
      <c r="Q5688">
        <f t="shared" si="706"/>
        <v>24</v>
      </c>
      <c r="R5688" t="str">
        <f t="shared" si="707"/>
        <v/>
      </c>
      <c r="S5688" t="str">
        <f t="shared" si="708"/>
        <v/>
      </c>
      <c r="T5688" s="403" t="str">
        <f t="shared" si="709"/>
        <v>NDI-5503-A</v>
      </c>
      <c r="U5688" s="403">
        <f t="shared" si="710"/>
        <v>1</v>
      </c>
      <c r="V5688" s="403" t="str">
        <f t="shared" si="711"/>
        <v>CPP_7_3</v>
      </c>
    </row>
    <row r="5689" spans="1:22">
      <c r="A5689" t="str">
        <f t="shared" si="704"/>
        <v>NDI-5503-A</v>
      </c>
      <c r="B5689" s="403" t="s">
        <v>1426</v>
      </c>
      <c r="C5689" s="403" t="s">
        <v>582</v>
      </c>
      <c r="D5689" s="403" t="s">
        <v>1427</v>
      </c>
      <c r="E5689" s="403" t="s">
        <v>778</v>
      </c>
      <c r="F5689" s="403" t="s">
        <v>1385</v>
      </c>
      <c r="G5689" s="403" t="s">
        <v>1467</v>
      </c>
      <c r="H5689" s="403" t="s">
        <v>1281</v>
      </c>
      <c r="I5689" s="403">
        <v>1</v>
      </c>
      <c r="J5689" s="403" t="s">
        <v>110</v>
      </c>
      <c r="K5689" s="403">
        <v>1080</v>
      </c>
      <c r="L5689" s="403">
        <v>1920</v>
      </c>
      <c r="M5689" s="403" t="s">
        <v>110</v>
      </c>
      <c r="N5689" s="403">
        <v>1080</v>
      </c>
      <c r="O5689" s="403">
        <v>1920</v>
      </c>
      <c r="P5689" t="str">
        <f t="shared" si="705"/>
        <v>25fps 1080p - 1080p</v>
      </c>
      <c r="Q5689">
        <f t="shared" si="706"/>
        <v>24</v>
      </c>
      <c r="R5689" t="str">
        <f t="shared" si="707"/>
        <v/>
      </c>
      <c r="S5689" t="str">
        <f t="shared" si="708"/>
        <v/>
      </c>
      <c r="T5689" s="403" t="str">
        <f t="shared" si="709"/>
        <v>NDI-5503-A</v>
      </c>
      <c r="U5689" s="403">
        <f t="shared" si="710"/>
        <v>1</v>
      </c>
      <c r="V5689" s="403" t="str">
        <f t="shared" si="711"/>
        <v>CPP_7_3</v>
      </c>
    </row>
    <row r="5690" spans="1:22">
      <c r="A5690" t="str">
        <f t="shared" si="704"/>
        <v>NDI-5503-A</v>
      </c>
      <c r="B5690" s="403" t="s">
        <v>1426</v>
      </c>
      <c r="C5690" s="403" t="s">
        <v>582</v>
      </c>
      <c r="D5690" s="403" t="s">
        <v>1427</v>
      </c>
      <c r="E5690" s="403" t="s">
        <v>778</v>
      </c>
      <c r="F5690" s="403" t="s">
        <v>1385</v>
      </c>
      <c r="G5690" s="403" t="s">
        <v>1467</v>
      </c>
      <c r="H5690" s="403" t="s">
        <v>1281</v>
      </c>
      <c r="I5690" s="403">
        <v>1</v>
      </c>
      <c r="J5690" s="403" t="s">
        <v>110</v>
      </c>
      <c r="K5690" s="403">
        <v>1080</v>
      </c>
      <c r="L5690" s="403">
        <v>1920</v>
      </c>
      <c r="M5690" s="403" t="s">
        <v>109</v>
      </c>
      <c r="N5690" s="403">
        <v>720</v>
      </c>
      <c r="O5690" s="403">
        <v>1280</v>
      </c>
      <c r="P5690" t="str">
        <f t="shared" si="705"/>
        <v>25fps 1080p - 720p</v>
      </c>
      <c r="Q5690">
        <f t="shared" si="706"/>
        <v>24</v>
      </c>
      <c r="R5690" t="str">
        <f t="shared" si="707"/>
        <v/>
      </c>
      <c r="S5690" t="str">
        <f t="shared" si="708"/>
        <v/>
      </c>
      <c r="T5690" s="403" t="str">
        <f t="shared" si="709"/>
        <v>NDI-5503-A</v>
      </c>
      <c r="U5690" s="403">
        <f t="shared" si="710"/>
        <v>1</v>
      </c>
      <c r="V5690" s="403" t="str">
        <f t="shared" si="711"/>
        <v>CPP_7_3</v>
      </c>
    </row>
    <row r="5691" spans="1:22">
      <c r="A5691" t="str">
        <f t="shared" si="704"/>
        <v>NDI-5503-A</v>
      </c>
      <c r="B5691" s="403" t="s">
        <v>1426</v>
      </c>
      <c r="C5691" s="403" t="s">
        <v>582</v>
      </c>
      <c r="D5691" s="403" t="s">
        <v>1427</v>
      </c>
      <c r="E5691" s="403" t="s">
        <v>778</v>
      </c>
      <c r="F5691" s="403" t="s">
        <v>1385</v>
      </c>
      <c r="G5691" s="403" t="s">
        <v>1467</v>
      </c>
      <c r="H5691" s="403" t="s">
        <v>1281</v>
      </c>
      <c r="I5691" s="403">
        <v>1</v>
      </c>
      <c r="J5691" s="403" t="s">
        <v>110</v>
      </c>
      <c r="K5691" s="403">
        <v>1080</v>
      </c>
      <c r="L5691" s="403">
        <v>1920</v>
      </c>
      <c r="M5691" s="403" t="s">
        <v>1285</v>
      </c>
      <c r="N5691" s="403">
        <v>1024</v>
      </c>
      <c r="O5691" s="403">
        <v>1280</v>
      </c>
      <c r="P5691" t="str">
        <f t="shared" si="705"/>
        <v>25fps 1080p - 1280x1024 5:4 (cropped)</v>
      </c>
      <c r="Q5691">
        <f t="shared" si="706"/>
        <v>24</v>
      </c>
      <c r="R5691" t="str">
        <f t="shared" si="707"/>
        <v/>
      </c>
      <c r="S5691" t="str">
        <f t="shared" si="708"/>
        <v/>
      </c>
      <c r="T5691" s="403" t="str">
        <f t="shared" si="709"/>
        <v>NDI-5503-A</v>
      </c>
      <c r="U5691" s="403">
        <f t="shared" si="710"/>
        <v>1</v>
      </c>
      <c r="V5691" s="403" t="str">
        <f t="shared" si="711"/>
        <v>CPP_7_3</v>
      </c>
    </row>
    <row r="5692" spans="1:22">
      <c r="A5692" t="str">
        <f t="shared" si="704"/>
        <v>NDI-5503-A</v>
      </c>
      <c r="B5692" s="403" t="s">
        <v>1426</v>
      </c>
      <c r="C5692" s="403" t="s">
        <v>582</v>
      </c>
      <c r="D5692" s="403" t="s">
        <v>1427</v>
      </c>
      <c r="E5692" s="403" t="s">
        <v>778</v>
      </c>
      <c r="F5692" s="403" t="s">
        <v>1385</v>
      </c>
      <c r="G5692" s="403" t="s">
        <v>1467</v>
      </c>
      <c r="H5692" s="403" t="s">
        <v>1281</v>
      </c>
      <c r="I5692" s="403">
        <v>1</v>
      </c>
      <c r="J5692" s="403" t="s">
        <v>110</v>
      </c>
      <c r="K5692" s="403">
        <v>1080</v>
      </c>
      <c r="L5692" s="403">
        <v>1920</v>
      </c>
      <c r="M5692" s="403" t="s">
        <v>1279</v>
      </c>
      <c r="N5692" s="403">
        <v>432</v>
      </c>
      <c r="O5692" s="403">
        <v>768</v>
      </c>
      <c r="P5692" t="str">
        <f t="shared" si="705"/>
        <v>25fps 1080p - SD ROI PTZ</v>
      </c>
      <c r="Q5692">
        <f t="shared" si="706"/>
        <v>24</v>
      </c>
      <c r="R5692" t="str">
        <f t="shared" si="707"/>
        <v/>
      </c>
      <c r="S5692" t="str">
        <f t="shared" si="708"/>
        <v/>
      </c>
      <c r="T5692" s="403" t="str">
        <f t="shared" si="709"/>
        <v>NDI-5503-A</v>
      </c>
      <c r="U5692" s="403">
        <f t="shared" si="710"/>
        <v>1</v>
      </c>
      <c r="V5692" s="403" t="str">
        <f t="shared" si="711"/>
        <v>CPP_7_3</v>
      </c>
    </row>
    <row r="5693" spans="1:22">
      <c r="A5693" t="str">
        <f t="shared" si="704"/>
        <v>NDI-5503-A</v>
      </c>
      <c r="B5693" s="403" t="s">
        <v>1426</v>
      </c>
      <c r="C5693" s="403" t="s">
        <v>582</v>
      </c>
      <c r="D5693" s="403" t="s">
        <v>1427</v>
      </c>
      <c r="E5693" s="403" t="s">
        <v>778</v>
      </c>
      <c r="F5693" s="403" t="s">
        <v>1385</v>
      </c>
      <c r="G5693" s="403" t="s">
        <v>1467</v>
      </c>
      <c r="H5693" s="403" t="s">
        <v>1281</v>
      </c>
      <c r="I5693" s="403">
        <v>1</v>
      </c>
      <c r="J5693" s="403" t="s">
        <v>110</v>
      </c>
      <c r="K5693" s="403">
        <v>1080</v>
      </c>
      <c r="L5693" s="403">
        <v>1920</v>
      </c>
      <c r="M5693" s="403" t="s">
        <v>1283</v>
      </c>
      <c r="N5693" s="403">
        <v>576</v>
      </c>
      <c r="O5693" s="403">
        <v>720</v>
      </c>
      <c r="P5693" t="str">
        <f t="shared" si="705"/>
        <v>25fps 1080p - SD 4CIF resolution 4:3 format (cropped)</v>
      </c>
      <c r="Q5693">
        <f t="shared" si="706"/>
        <v>24</v>
      </c>
      <c r="R5693" t="str">
        <f t="shared" si="707"/>
        <v/>
      </c>
      <c r="S5693" t="str">
        <f t="shared" si="708"/>
        <v/>
      </c>
      <c r="T5693" s="403" t="str">
        <f t="shared" si="709"/>
        <v>NDI-5503-A</v>
      </c>
      <c r="U5693" s="403">
        <f t="shared" si="710"/>
        <v>1</v>
      </c>
      <c r="V5693" s="403" t="str">
        <f t="shared" si="711"/>
        <v>CPP_7_3</v>
      </c>
    </row>
    <row r="5694" spans="1:22">
      <c r="A5694" t="str">
        <f t="shared" si="704"/>
        <v>NDI-5503-A</v>
      </c>
      <c r="B5694" s="403" t="s">
        <v>1426</v>
      </c>
      <c r="C5694" s="403" t="s">
        <v>582</v>
      </c>
      <c r="D5694" s="403" t="s">
        <v>1427</v>
      </c>
      <c r="E5694" s="403" t="s">
        <v>778</v>
      </c>
      <c r="F5694" s="403" t="s">
        <v>1385</v>
      </c>
      <c r="G5694" s="403" t="s">
        <v>1467</v>
      </c>
      <c r="H5694" s="403" t="s">
        <v>1281</v>
      </c>
      <c r="I5694" s="403">
        <v>1</v>
      </c>
      <c r="J5694" s="403" t="s">
        <v>110</v>
      </c>
      <c r="K5694" s="403">
        <v>1080</v>
      </c>
      <c r="L5694" s="403">
        <v>1920</v>
      </c>
      <c r="M5694" s="403" t="s">
        <v>1284</v>
      </c>
      <c r="N5694" s="403">
        <v>480</v>
      </c>
      <c r="O5694" s="403">
        <v>640</v>
      </c>
      <c r="P5694" t="str">
        <f t="shared" si="705"/>
        <v>25fps 1080p - SD VGA (cropped)</v>
      </c>
      <c r="Q5694">
        <f t="shared" si="706"/>
        <v>24</v>
      </c>
      <c r="R5694" t="str">
        <f t="shared" si="707"/>
        <v/>
      </c>
      <c r="S5694" t="str">
        <f t="shared" si="708"/>
        <v/>
      </c>
      <c r="T5694" s="403" t="str">
        <f t="shared" si="709"/>
        <v>NDI-5503-A</v>
      </c>
      <c r="U5694" s="403">
        <f t="shared" si="710"/>
        <v>1</v>
      </c>
      <c r="V5694" s="403" t="str">
        <f t="shared" si="711"/>
        <v>CPP_7_3</v>
      </c>
    </row>
    <row r="5695" spans="1:22">
      <c r="A5695" t="str">
        <f t="shared" si="704"/>
        <v>NDI-5503-A</v>
      </c>
      <c r="B5695" s="403" t="s">
        <v>1426</v>
      </c>
      <c r="C5695" s="403" t="s">
        <v>582</v>
      </c>
      <c r="D5695" s="403" t="s">
        <v>1427</v>
      </c>
      <c r="E5695" s="403" t="s">
        <v>778</v>
      </c>
      <c r="F5695" s="403" t="s">
        <v>1385</v>
      </c>
      <c r="G5695" s="403" t="s">
        <v>1467</v>
      </c>
      <c r="H5695" s="403" t="s">
        <v>1281</v>
      </c>
      <c r="I5695" s="403">
        <v>1</v>
      </c>
      <c r="J5695" s="403" t="s">
        <v>109</v>
      </c>
      <c r="K5695" s="403">
        <v>720</v>
      </c>
      <c r="L5695" s="403">
        <v>1280</v>
      </c>
      <c r="M5695" s="403" t="s">
        <v>109</v>
      </c>
      <c r="N5695" s="403">
        <v>720</v>
      </c>
      <c r="O5695" s="403">
        <v>1280</v>
      </c>
      <c r="P5695" t="str">
        <f t="shared" si="705"/>
        <v>25fps 720p - 720p</v>
      </c>
      <c r="Q5695">
        <f t="shared" si="706"/>
        <v>24</v>
      </c>
      <c r="R5695" t="str">
        <f t="shared" si="707"/>
        <v/>
      </c>
      <c r="S5695" t="str">
        <f t="shared" si="708"/>
        <v/>
      </c>
      <c r="T5695" s="403" t="str">
        <f t="shared" si="709"/>
        <v>NDI-5503-A</v>
      </c>
      <c r="U5695" s="403">
        <f t="shared" si="710"/>
        <v>1</v>
      </c>
      <c r="V5695" s="403" t="str">
        <f t="shared" si="711"/>
        <v>CPP_7_3</v>
      </c>
    </row>
    <row r="5696" spans="1:22">
      <c r="A5696" t="str">
        <f t="shared" si="704"/>
        <v>NDI-5503-A</v>
      </c>
      <c r="B5696" s="403" t="s">
        <v>1426</v>
      </c>
      <c r="C5696" s="403" t="s">
        <v>582</v>
      </c>
      <c r="D5696" s="403" t="s">
        <v>1427</v>
      </c>
      <c r="E5696" s="403" t="s">
        <v>778</v>
      </c>
      <c r="F5696" s="403" t="s">
        <v>1385</v>
      </c>
      <c r="G5696" s="403" t="s">
        <v>1467</v>
      </c>
      <c r="H5696" s="403" t="s">
        <v>1281</v>
      </c>
      <c r="I5696" s="403">
        <v>1</v>
      </c>
      <c r="J5696" s="403" t="s">
        <v>109</v>
      </c>
      <c r="K5696" s="403">
        <v>720</v>
      </c>
      <c r="L5696" s="403">
        <v>1280</v>
      </c>
      <c r="M5696" s="403" t="s">
        <v>111</v>
      </c>
      <c r="N5696" s="403">
        <v>432</v>
      </c>
      <c r="O5696" s="403">
        <v>768</v>
      </c>
      <c r="P5696" t="str">
        <f t="shared" si="705"/>
        <v>25fps 720p - SD</v>
      </c>
      <c r="Q5696">
        <f t="shared" si="706"/>
        <v>24</v>
      </c>
      <c r="R5696" t="str">
        <f t="shared" si="707"/>
        <v/>
      </c>
      <c r="S5696" t="str">
        <f t="shared" si="708"/>
        <v/>
      </c>
      <c r="T5696" s="403" t="str">
        <f t="shared" si="709"/>
        <v>NDI-5503-A</v>
      </c>
      <c r="U5696" s="403">
        <f t="shared" si="710"/>
        <v>1</v>
      </c>
      <c r="V5696" s="403" t="str">
        <f t="shared" si="711"/>
        <v>CPP_7_3</v>
      </c>
    </row>
    <row r="5697" spans="1:22">
      <c r="A5697" t="str">
        <f t="shared" si="704"/>
        <v>NDI-5503-A</v>
      </c>
      <c r="B5697" s="403" t="s">
        <v>1426</v>
      </c>
      <c r="C5697" s="403" t="s">
        <v>582</v>
      </c>
      <c r="D5697" s="403" t="s">
        <v>1427</v>
      </c>
      <c r="E5697" s="403" t="s">
        <v>778</v>
      </c>
      <c r="F5697" s="403" t="s">
        <v>1385</v>
      </c>
      <c r="G5697" s="403" t="s">
        <v>1467</v>
      </c>
      <c r="H5697" s="403" t="s">
        <v>1281</v>
      </c>
      <c r="I5697" s="403">
        <v>1</v>
      </c>
      <c r="J5697" s="403" t="s">
        <v>109</v>
      </c>
      <c r="K5697" s="403">
        <v>720</v>
      </c>
      <c r="L5697" s="403">
        <v>1280</v>
      </c>
      <c r="M5697" s="403" t="s">
        <v>1279</v>
      </c>
      <c r="N5697" s="403">
        <v>432</v>
      </c>
      <c r="O5697" s="403">
        <v>768</v>
      </c>
      <c r="P5697" t="str">
        <f t="shared" si="705"/>
        <v>25fps 720p - SD ROI PTZ</v>
      </c>
      <c r="Q5697">
        <f t="shared" si="706"/>
        <v>24</v>
      </c>
      <c r="R5697" t="str">
        <f t="shared" si="707"/>
        <v/>
      </c>
      <c r="S5697" t="str">
        <f t="shared" si="708"/>
        <v/>
      </c>
      <c r="T5697" s="403" t="str">
        <f t="shared" si="709"/>
        <v>NDI-5503-A</v>
      </c>
      <c r="U5697" s="403">
        <f t="shared" si="710"/>
        <v>1</v>
      </c>
      <c r="V5697" s="403" t="str">
        <f t="shared" si="711"/>
        <v>CPP_7_3</v>
      </c>
    </row>
    <row r="5698" spans="1:22">
      <c r="A5698" t="str">
        <f t="shared" ref="A5698:A5761" si="712">IF(AND(G5698&lt;&gt;"rotate 90°"),D5698,"")</f>
        <v>NDI-5503-A</v>
      </c>
      <c r="B5698" s="403" t="s">
        <v>1426</v>
      </c>
      <c r="C5698" s="403" t="s">
        <v>582</v>
      </c>
      <c r="D5698" s="403" t="s">
        <v>1427</v>
      </c>
      <c r="E5698" s="403" t="s">
        <v>778</v>
      </c>
      <c r="F5698" s="403" t="s">
        <v>1385</v>
      </c>
      <c r="G5698" s="403" t="s">
        <v>1467</v>
      </c>
      <c r="H5698" s="403" t="s">
        <v>1281</v>
      </c>
      <c r="I5698" s="403">
        <v>1</v>
      </c>
      <c r="J5698" s="403" t="s">
        <v>109</v>
      </c>
      <c r="K5698" s="403">
        <v>720</v>
      </c>
      <c r="L5698" s="403">
        <v>1280</v>
      </c>
      <c r="M5698" s="403" t="s">
        <v>1283</v>
      </c>
      <c r="N5698" s="403">
        <v>576</v>
      </c>
      <c r="O5698" s="403">
        <v>720</v>
      </c>
      <c r="P5698" t="str">
        <f t="shared" ref="P5698:P5761" si="713">LEFT(F5698,5)&amp;" "&amp;J5698&amp;" - "&amp;M5698</f>
        <v>25fps 720p - SD 4CIF resolution 4:3 format (cropped)</v>
      </c>
      <c r="Q5698">
        <f t="shared" ref="Q5698:Q5761" si="714">IF(A5697=A5698,Q5697,Q5697+1)</f>
        <v>24</v>
      </c>
      <c r="R5698" t="str">
        <f t="shared" ref="R5698:R5761" si="715">IF(Q5697&lt;&gt;Q5698,Q5698,"")</f>
        <v/>
      </c>
      <c r="S5698" t="str">
        <f t="shared" ref="S5698:S5761" si="716">IF(R5698&lt;&gt;"",B5698&amp;" ("&amp;D5698&amp;")","")</f>
        <v/>
      </c>
      <c r="T5698" s="403" t="str">
        <f t="shared" ref="T5698:T5761" si="717">D5698</f>
        <v>NDI-5503-A</v>
      </c>
      <c r="U5698" s="403">
        <f t="shared" ref="U5698:U5761" si="718">I5698</f>
        <v>1</v>
      </c>
      <c r="V5698" s="403" t="str">
        <f t="shared" ref="V5698:V5761" si="719">C5698</f>
        <v>CPP_7_3</v>
      </c>
    </row>
    <row r="5699" spans="1:22">
      <c r="A5699" t="str">
        <f t="shared" si="712"/>
        <v>NDI-5503-A</v>
      </c>
      <c r="B5699" s="403" t="s">
        <v>1426</v>
      </c>
      <c r="C5699" s="403" t="s">
        <v>582</v>
      </c>
      <c r="D5699" s="403" t="s">
        <v>1427</v>
      </c>
      <c r="E5699" s="403" t="s">
        <v>778</v>
      </c>
      <c r="F5699" s="403" t="s">
        <v>1385</v>
      </c>
      <c r="G5699" s="403" t="s">
        <v>1467</v>
      </c>
      <c r="H5699" s="403" t="s">
        <v>1281</v>
      </c>
      <c r="I5699" s="403">
        <v>1</v>
      </c>
      <c r="J5699" s="403" t="s">
        <v>109</v>
      </c>
      <c r="K5699" s="403">
        <v>720</v>
      </c>
      <c r="L5699" s="403">
        <v>1280</v>
      </c>
      <c r="M5699" s="403" t="s">
        <v>1284</v>
      </c>
      <c r="N5699" s="403">
        <v>480</v>
      </c>
      <c r="O5699" s="403">
        <v>640</v>
      </c>
      <c r="P5699" t="str">
        <f t="shared" si="713"/>
        <v>25fps 720p - SD VGA (cropped)</v>
      </c>
      <c r="Q5699">
        <f t="shared" si="714"/>
        <v>24</v>
      </c>
      <c r="R5699" t="str">
        <f t="shared" si="715"/>
        <v/>
      </c>
      <c r="S5699" t="str">
        <f t="shared" si="716"/>
        <v/>
      </c>
      <c r="T5699" s="403" t="str">
        <f t="shared" si="717"/>
        <v>NDI-5503-A</v>
      </c>
      <c r="U5699" s="403">
        <f t="shared" si="718"/>
        <v>1</v>
      </c>
      <c r="V5699" s="403" t="str">
        <f t="shared" si="719"/>
        <v>CPP_7_3</v>
      </c>
    </row>
    <row r="5700" spans="1:22">
      <c r="A5700" t="str">
        <f t="shared" si="712"/>
        <v>NDP-4502-Z12C</v>
      </c>
      <c r="B5700" s="403" t="s">
        <v>1428</v>
      </c>
      <c r="C5700" s="403" t="s">
        <v>582</v>
      </c>
      <c r="D5700" s="403" t="s">
        <v>1429</v>
      </c>
      <c r="E5700" s="403" t="s">
        <v>778</v>
      </c>
      <c r="F5700" s="403" t="s">
        <v>1286</v>
      </c>
      <c r="G5700" s="403" t="s">
        <v>1466</v>
      </c>
      <c r="H5700" s="403" t="s">
        <v>1276</v>
      </c>
      <c r="I5700" s="403">
        <v>1</v>
      </c>
      <c r="J5700" s="403" t="s">
        <v>110</v>
      </c>
      <c r="K5700" s="403">
        <v>1920</v>
      </c>
      <c r="L5700" s="403">
        <v>1080</v>
      </c>
      <c r="M5700" s="403" t="s">
        <v>111</v>
      </c>
      <c r="N5700" s="403">
        <v>768</v>
      </c>
      <c r="O5700" s="403">
        <v>432</v>
      </c>
      <c r="P5700" t="str">
        <f t="shared" si="713"/>
        <v>30fps 1080p - SD</v>
      </c>
      <c r="Q5700">
        <f t="shared" si="714"/>
        <v>25</v>
      </c>
      <c r="R5700">
        <f t="shared" si="715"/>
        <v>25</v>
      </c>
      <c r="S5700" t="str">
        <f t="shared" si="716"/>
        <v>AUTODOME IP 4000i (NDP-4502-Z12C)</v>
      </c>
      <c r="T5700" s="403" t="str">
        <f t="shared" si="717"/>
        <v>NDP-4502-Z12C</v>
      </c>
      <c r="U5700" s="403">
        <f t="shared" si="718"/>
        <v>1</v>
      </c>
      <c r="V5700" s="403" t="str">
        <f t="shared" si="719"/>
        <v>CPP_7_3</v>
      </c>
    </row>
    <row r="5701" spans="1:22">
      <c r="A5701" t="str">
        <f t="shared" si="712"/>
        <v>NDP-4502-Z12C</v>
      </c>
      <c r="B5701" s="403" t="s">
        <v>1428</v>
      </c>
      <c r="C5701" s="403" t="s">
        <v>582</v>
      </c>
      <c r="D5701" s="403" t="s">
        <v>1429</v>
      </c>
      <c r="E5701" s="403" t="s">
        <v>778</v>
      </c>
      <c r="F5701" s="403" t="s">
        <v>1286</v>
      </c>
      <c r="G5701" s="403" t="s">
        <v>1466</v>
      </c>
      <c r="H5701" s="403" t="s">
        <v>1276</v>
      </c>
      <c r="I5701" s="403">
        <v>1</v>
      </c>
      <c r="J5701" s="403" t="s">
        <v>110</v>
      </c>
      <c r="K5701" s="403">
        <v>1920</v>
      </c>
      <c r="L5701" s="403">
        <v>1080</v>
      </c>
      <c r="M5701" s="403" t="s">
        <v>110</v>
      </c>
      <c r="N5701" s="403">
        <v>1920</v>
      </c>
      <c r="O5701" s="403">
        <v>1080</v>
      </c>
      <c r="P5701" t="str">
        <f t="shared" si="713"/>
        <v>30fps 1080p - 1080p</v>
      </c>
      <c r="Q5701">
        <f t="shared" si="714"/>
        <v>25</v>
      </c>
      <c r="R5701" t="str">
        <f t="shared" si="715"/>
        <v/>
      </c>
      <c r="S5701" t="str">
        <f t="shared" si="716"/>
        <v/>
      </c>
      <c r="T5701" s="403" t="str">
        <f t="shared" si="717"/>
        <v>NDP-4502-Z12C</v>
      </c>
      <c r="U5701" s="403">
        <f t="shared" si="718"/>
        <v>1</v>
      </c>
      <c r="V5701" s="403" t="str">
        <f t="shared" si="719"/>
        <v>CPP_7_3</v>
      </c>
    </row>
    <row r="5702" spans="1:22">
      <c r="A5702" t="str">
        <f t="shared" si="712"/>
        <v>NDP-4502-Z12C</v>
      </c>
      <c r="B5702" s="403" t="s">
        <v>1428</v>
      </c>
      <c r="C5702" s="403" t="s">
        <v>582</v>
      </c>
      <c r="D5702" s="403" t="s">
        <v>1429</v>
      </c>
      <c r="E5702" s="403" t="s">
        <v>778</v>
      </c>
      <c r="F5702" s="403" t="s">
        <v>1286</v>
      </c>
      <c r="G5702" s="403" t="s">
        <v>1466</v>
      </c>
      <c r="H5702" s="403" t="s">
        <v>1276</v>
      </c>
      <c r="I5702" s="403">
        <v>1</v>
      </c>
      <c r="J5702" s="403" t="s">
        <v>110</v>
      </c>
      <c r="K5702" s="403">
        <v>1920</v>
      </c>
      <c r="L5702" s="403">
        <v>1080</v>
      </c>
      <c r="M5702" s="403" t="s">
        <v>109</v>
      </c>
      <c r="N5702" s="403">
        <v>1280</v>
      </c>
      <c r="O5702" s="403">
        <v>720</v>
      </c>
      <c r="P5702" t="str">
        <f t="shared" si="713"/>
        <v>30fps 1080p - 720p</v>
      </c>
      <c r="Q5702">
        <f t="shared" si="714"/>
        <v>25</v>
      </c>
      <c r="R5702" t="str">
        <f t="shared" si="715"/>
        <v/>
      </c>
      <c r="S5702" t="str">
        <f t="shared" si="716"/>
        <v/>
      </c>
      <c r="T5702" s="403" t="str">
        <f t="shared" si="717"/>
        <v>NDP-4502-Z12C</v>
      </c>
      <c r="U5702" s="403">
        <f t="shared" si="718"/>
        <v>1</v>
      </c>
      <c r="V5702" s="403" t="str">
        <f t="shared" si="719"/>
        <v>CPP_7_3</v>
      </c>
    </row>
    <row r="5703" spans="1:22">
      <c r="A5703" t="str">
        <f t="shared" si="712"/>
        <v>NDP-4502-Z12C</v>
      </c>
      <c r="B5703" s="403" t="s">
        <v>1428</v>
      </c>
      <c r="C5703" s="403" t="s">
        <v>582</v>
      </c>
      <c r="D5703" s="403" t="s">
        <v>1429</v>
      </c>
      <c r="E5703" s="403" t="s">
        <v>778</v>
      </c>
      <c r="F5703" s="403" t="s">
        <v>1286</v>
      </c>
      <c r="G5703" s="403" t="s">
        <v>1466</v>
      </c>
      <c r="H5703" s="403" t="s">
        <v>1276</v>
      </c>
      <c r="I5703" s="403">
        <v>1</v>
      </c>
      <c r="J5703" s="403" t="s">
        <v>110</v>
      </c>
      <c r="K5703" s="403">
        <v>1920</v>
      </c>
      <c r="L5703" s="403">
        <v>1080</v>
      </c>
      <c r="M5703" s="403" t="s">
        <v>1285</v>
      </c>
      <c r="N5703" s="403">
        <v>1280</v>
      </c>
      <c r="O5703" s="403">
        <v>1024</v>
      </c>
      <c r="P5703" t="str">
        <f t="shared" si="713"/>
        <v>30fps 1080p - 1280x1024 5:4 (cropped)</v>
      </c>
      <c r="Q5703">
        <f t="shared" si="714"/>
        <v>25</v>
      </c>
      <c r="R5703" t="str">
        <f t="shared" si="715"/>
        <v/>
      </c>
      <c r="S5703" t="str">
        <f t="shared" si="716"/>
        <v/>
      </c>
      <c r="T5703" s="403" t="str">
        <f t="shared" si="717"/>
        <v>NDP-4502-Z12C</v>
      </c>
      <c r="U5703" s="403">
        <f t="shared" si="718"/>
        <v>1</v>
      </c>
      <c r="V5703" s="403" t="str">
        <f t="shared" si="719"/>
        <v>CPP_7_3</v>
      </c>
    </row>
    <row r="5704" spans="1:22">
      <c r="A5704" t="str">
        <f t="shared" si="712"/>
        <v>NDP-4502-Z12C</v>
      </c>
      <c r="B5704" s="403" t="s">
        <v>1428</v>
      </c>
      <c r="C5704" s="403" t="s">
        <v>582</v>
      </c>
      <c r="D5704" s="403" t="s">
        <v>1429</v>
      </c>
      <c r="E5704" s="403" t="s">
        <v>778</v>
      </c>
      <c r="F5704" s="403" t="s">
        <v>1286</v>
      </c>
      <c r="G5704" s="403" t="s">
        <v>1466</v>
      </c>
      <c r="H5704" s="403" t="s">
        <v>1276</v>
      </c>
      <c r="I5704" s="403">
        <v>1</v>
      </c>
      <c r="J5704" s="403" t="s">
        <v>110</v>
      </c>
      <c r="K5704" s="403">
        <v>1920</v>
      </c>
      <c r="L5704" s="403">
        <v>1080</v>
      </c>
      <c r="M5704" s="403" t="s">
        <v>1283</v>
      </c>
      <c r="N5704" s="403">
        <v>720</v>
      </c>
      <c r="O5704" s="403">
        <v>480</v>
      </c>
      <c r="P5704" t="str">
        <f t="shared" si="713"/>
        <v>30fps 1080p - SD 4CIF resolution 4:3 format (cropped)</v>
      </c>
      <c r="Q5704">
        <f t="shared" si="714"/>
        <v>25</v>
      </c>
      <c r="R5704" t="str">
        <f t="shared" si="715"/>
        <v/>
      </c>
      <c r="S5704" t="str">
        <f t="shared" si="716"/>
        <v/>
      </c>
      <c r="T5704" s="403" t="str">
        <f t="shared" si="717"/>
        <v>NDP-4502-Z12C</v>
      </c>
      <c r="U5704" s="403">
        <f t="shared" si="718"/>
        <v>1</v>
      </c>
      <c r="V5704" s="403" t="str">
        <f t="shared" si="719"/>
        <v>CPP_7_3</v>
      </c>
    </row>
    <row r="5705" spans="1:22">
      <c r="A5705" t="str">
        <f t="shared" si="712"/>
        <v>NDP-4502-Z12C</v>
      </c>
      <c r="B5705" s="403" t="s">
        <v>1428</v>
      </c>
      <c r="C5705" s="403" t="s">
        <v>582</v>
      </c>
      <c r="D5705" s="403" t="s">
        <v>1429</v>
      </c>
      <c r="E5705" s="403" t="s">
        <v>778</v>
      </c>
      <c r="F5705" s="403" t="s">
        <v>1286</v>
      </c>
      <c r="G5705" s="403" t="s">
        <v>1466</v>
      </c>
      <c r="H5705" s="403" t="s">
        <v>1276</v>
      </c>
      <c r="I5705" s="403">
        <v>1</v>
      </c>
      <c r="J5705" s="403" t="s">
        <v>110</v>
      </c>
      <c r="K5705" s="403">
        <v>1920</v>
      </c>
      <c r="L5705" s="403">
        <v>1080</v>
      </c>
      <c r="M5705" s="403" t="s">
        <v>1284</v>
      </c>
      <c r="N5705" s="403">
        <v>640</v>
      </c>
      <c r="O5705" s="403">
        <v>480</v>
      </c>
      <c r="P5705" t="str">
        <f t="shared" si="713"/>
        <v>30fps 1080p - SD VGA (cropped)</v>
      </c>
      <c r="Q5705">
        <f t="shared" si="714"/>
        <v>25</v>
      </c>
      <c r="R5705" t="str">
        <f t="shared" si="715"/>
        <v/>
      </c>
      <c r="S5705" t="str">
        <f t="shared" si="716"/>
        <v/>
      </c>
      <c r="T5705" s="403" t="str">
        <f t="shared" si="717"/>
        <v>NDP-4502-Z12C</v>
      </c>
      <c r="U5705" s="403">
        <f t="shared" si="718"/>
        <v>1</v>
      </c>
      <c r="V5705" s="403" t="str">
        <f t="shared" si="719"/>
        <v>CPP_7_3</v>
      </c>
    </row>
    <row r="5706" spans="1:22">
      <c r="A5706" t="str">
        <f t="shared" si="712"/>
        <v>NDP-4502-Z12C</v>
      </c>
      <c r="B5706" s="403" t="s">
        <v>1428</v>
      </c>
      <c r="C5706" s="403" t="s">
        <v>582</v>
      </c>
      <c r="D5706" s="403" t="s">
        <v>1429</v>
      </c>
      <c r="E5706" s="403" t="s">
        <v>778</v>
      </c>
      <c r="F5706" s="403" t="s">
        <v>1286</v>
      </c>
      <c r="G5706" s="403" t="s">
        <v>1466</v>
      </c>
      <c r="H5706" s="403" t="s">
        <v>1276</v>
      </c>
      <c r="I5706" s="403">
        <v>1</v>
      </c>
      <c r="J5706" s="403" t="s">
        <v>109</v>
      </c>
      <c r="K5706" s="403">
        <v>1280</v>
      </c>
      <c r="L5706" s="403">
        <v>720</v>
      </c>
      <c r="M5706" s="403" t="s">
        <v>109</v>
      </c>
      <c r="N5706" s="403">
        <v>1280</v>
      </c>
      <c r="O5706" s="403">
        <v>720</v>
      </c>
      <c r="P5706" t="str">
        <f t="shared" si="713"/>
        <v>30fps 720p - 720p</v>
      </c>
      <c r="Q5706">
        <f t="shared" si="714"/>
        <v>25</v>
      </c>
      <c r="R5706" t="str">
        <f t="shared" si="715"/>
        <v/>
      </c>
      <c r="S5706" t="str">
        <f t="shared" si="716"/>
        <v/>
      </c>
      <c r="T5706" s="403" t="str">
        <f t="shared" si="717"/>
        <v>NDP-4502-Z12C</v>
      </c>
      <c r="U5706" s="403">
        <f t="shared" si="718"/>
        <v>1</v>
      </c>
      <c r="V5706" s="403" t="str">
        <f t="shared" si="719"/>
        <v>CPP_7_3</v>
      </c>
    </row>
    <row r="5707" spans="1:22">
      <c r="A5707" t="str">
        <f t="shared" si="712"/>
        <v>NDP-4502-Z12C</v>
      </c>
      <c r="B5707" s="403" t="s">
        <v>1428</v>
      </c>
      <c r="C5707" s="403" t="s">
        <v>582</v>
      </c>
      <c r="D5707" s="403" t="s">
        <v>1429</v>
      </c>
      <c r="E5707" s="403" t="s">
        <v>778</v>
      </c>
      <c r="F5707" s="403" t="s">
        <v>1286</v>
      </c>
      <c r="G5707" s="403" t="s">
        <v>1466</v>
      </c>
      <c r="H5707" s="403" t="s">
        <v>1276</v>
      </c>
      <c r="I5707" s="403">
        <v>1</v>
      </c>
      <c r="J5707" s="403" t="s">
        <v>109</v>
      </c>
      <c r="K5707" s="403">
        <v>1280</v>
      </c>
      <c r="L5707" s="403">
        <v>720</v>
      </c>
      <c r="M5707" s="403" t="s">
        <v>111</v>
      </c>
      <c r="N5707" s="403">
        <v>768</v>
      </c>
      <c r="O5707" s="403">
        <v>432</v>
      </c>
      <c r="P5707" t="str">
        <f t="shared" si="713"/>
        <v>30fps 720p - SD</v>
      </c>
      <c r="Q5707">
        <f t="shared" si="714"/>
        <v>25</v>
      </c>
      <c r="R5707" t="str">
        <f t="shared" si="715"/>
        <v/>
      </c>
      <c r="S5707" t="str">
        <f t="shared" si="716"/>
        <v/>
      </c>
      <c r="T5707" s="403" t="str">
        <f t="shared" si="717"/>
        <v>NDP-4502-Z12C</v>
      </c>
      <c r="U5707" s="403">
        <f t="shared" si="718"/>
        <v>1</v>
      </c>
      <c r="V5707" s="403" t="str">
        <f t="shared" si="719"/>
        <v>CPP_7_3</v>
      </c>
    </row>
    <row r="5708" spans="1:22">
      <c r="A5708" t="str">
        <f t="shared" si="712"/>
        <v>NDP-4502-Z12C</v>
      </c>
      <c r="B5708" s="403" t="s">
        <v>1428</v>
      </c>
      <c r="C5708" s="403" t="s">
        <v>582</v>
      </c>
      <c r="D5708" s="403" t="s">
        <v>1429</v>
      </c>
      <c r="E5708" s="403" t="s">
        <v>778</v>
      </c>
      <c r="F5708" s="403" t="s">
        <v>1286</v>
      </c>
      <c r="G5708" s="403" t="s">
        <v>1466</v>
      </c>
      <c r="H5708" s="403" t="s">
        <v>1276</v>
      </c>
      <c r="I5708" s="403">
        <v>1</v>
      </c>
      <c r="J5708" s="403" t="s">
        <v>109</v>
      </c>
      <c r="K5708" s="403">
        <v>1280</v>
      </c>
      <c r="L5708" s="403">
        <v>720</v>
      </c>
      <c r="M5708" s="403" t="s">
        <v>1283</v>
      </c>
      <c r="N5708" s="403">
        <v>720</v>
      </c>
      <c r="O5708" s="403">
        <v>480</v>
      </c>
      <c r="P5708" t="str">
        <f t="shared" si="713"/>
        <v>30fps 720p - SD 4CIF resolution 4:3 format (cropped)</v>
      </c>
      <c r="Q5708">
        <f t="shared" si="714"/>
        <v>25</v>
      </c>
      <c r="R5708" t="str">
        <f t="shared" si="715"/>
        <v/>
      </c>
      <c r="S5708" t="str">
        <f t="shared" si="716"/>
        <v/>
      </c>
      <c r="T5708" s="403" t="str">
        <f t="shared" si="717"/>
        <v>NDP-4502-Z12C</v>
      </c>
      <c r="U5708" s="403">
        <f t="shared" si="718"/>
        <v>1</v>
      </c>
      <c r="V5708" s="403" t="str">
        <f t="shared" si="719"/>
        <v>CPP_7_3</v>
      </c>
    </row>
    <row r="5709" spans="1:22">
      <c r="A5709" t="str">
        <f t="shared" si="712"/>
        <v>NDP-4502-Z12C</v>
      </c>
      <c r="B5709" s="403" t="s">
        <v>1428</v>
      </c>
      <c r="C5709" s="403" t="s">
        <v>582</v>
      </c>
      <c r="D5709" s="403" t="s">
        <v>1429</v>
      </c>
      <c r="E5709" s="403" t="s">
        <v>778</v>
      </c>
      <c r="F5709" s="403" t="s">
        <v>1286</v>
      </c>
      <c r="G5709" s="403" t="s">
        <v>1466</v>
      </c>
      <c r="H5709" s="403" t="s">
        <v>1276</v>
      </c>
      <c r="I5709" s="403">
        <v>1</v>
      </c>
      <c r="J5709" s="403" t="s">
        <v>109</v>
      </c>
      <c r="K5709" s="403">
        <v>1280</v>
      </c>
      <c r="L5709" s="403">
        <v>720</v>
      </c>
      <c r="M5709" s="403" t="s">
        <v>1284</v>
      </c>
      <c r="N5709" s="403">
        <v>640</v>
      </c>
      <c r="O5709" s="403">
        <v>480</v>
      </c>
      <c r="P5709" t="str">
        <f t="shared" si="713"/>
        <v>30fps 720p - SD VGA (cropped)</v>
      </c>
      <c r="Q5709">
        <f t="shared" si="714"/>
        <v>25</v>
      </c>
      <c r="R5709" t="str">
        <f t="shared" si="715"/>
        <v/>
      </c>
      <c r="S5709" t="str">
        <f t="shared" si="716"/>
        <v/>
      </c>
      <c r="T5709" s="403" t="str">
        <f t="shared" si="717"/>
        <v>NDP-4502-Z12C</v>
      </c>
      <c r="U5709" s="403">
        <f t="shared" si="718"/>
        <v>1</v>
      </c>
      <c r="V5709" s="403" t="str">
        <f t="shared" si="719"/>
        <v>CPP_7_3</v>
      </c>
    </row>
    <row r="5710" spans="1:22">
      <c r="A5710" t="str">
        <f t="shared" si="712"/>
        <v>NDP-4502-Z12C</v>
      </c>
      <c r="B5710" s="403" t="s">
        <v>1428</v>
      </c>
      <c r="C5710" s="403" t="s">
        <v>582</v>
      </c>
      <c r="D5710" s="403" t="s">
        <v>1429</v>
      </c>
      <c r="E5710" s="403" t="s">
        <v>778</v>
      </c>
      <c r="F5710" s="403" t="s">
        <v>1286</v>
      </c>
      <c r="G5710" s="403" t="s">
        <v>1466</v>
      </c>
      <c r="H5710" s="403" t="s">
        <v>1281</v>
      </c>
      <c r="I5710" s="403">
        <v>1</v>
      </c>
      <c r="J5710" s="403" t="s">
        <v>110</v>
      </c>
      <c r="K5710" s="403">
        <v>1920</v>
      </c>
      <c r="L5710" s="403">
        <v>1080</v>
      </c>
      <c r="M5710" s="403" t="s">
        <v>111</v>
      </c>
      <c r="N5710" s="403">
        <v>768</v>
      </c>
      <c r="O5710" s="403">
        <v>432</v>
      </c>
      <c r="P5710" t="str">
        <f t="shared" si="713"/>
        <v>30fps 1080p - SD</v>
      </c>
      <c r="Q5710">
        <f t="shared" si="714"/>
        <v>25</v>
      </c>
      <c r="R5710" t="str">
        <f t="shared" si="715"/>
        <v/>
      </c>
      <c r="S5710" t="str">
        <f t="shared" si="716"/>
        <v/>
      </c>
      <c r="T5710" s="403" t="str">
        <f t="shared" si="717"/>
        <v>NDP-4502-Z12C</v>
      </c>
      <c r="U5710" s="403">
        <f t="shared" si="718"/>
        <v>1</v>
      </c>
      <c r="V5710" s="403" t="str">
        <f t="shared" si="719"/>
        <v>CPP_7_3</v>
      </c>
    </row>
    <row r="5711" spans="1:22">
      <c r="A5711" t="str">
        <f t="shared" si="712"/>
        <v>NDP-4502-Z12C</v>
      </c>
      <c r="B5711" s="403" t="s">
        <v>1428</v>
      </c>
      <c r="C5711" s="403" t="s">
        <v>582</v>
      </c>
      <c r="D5711" s="403" t="s">
        <v>1429</v>
      </c>
      <c r="E5711" s="403" t="s">
        <v>778</v>
      </c>
      <c r="F5711" s="403" t="s">
        <v>1286</v>
      </c>
      <c r="G5711" s="403" t="s">
        <v>1466</v>
      </c>
      <c r="H5711" s="403" t="s">
        <v>1281</v>
      </c>
      <c r="I5711" s="403">
        <v>1</v>
      </c>
      <c r="J5711" s="403" t="s">
        <v>110</v>
      </c>
      <c r="K5711" s="403">
        <v>1920</v>
      </c>
      <c r="L5711" s="403">
        <v>1080</v>
      </c>
      <c r="M5711" s="403" t="s">
        <v>110</v>
      </c>
      <c r="N5711" s="403">
        <v>1920</v>
      </c>
      <c r="O5711" s="403">
        <v>1080</v>
      </c>
      <c r="P5711" t="str">
        <f t="shared" si="713"/>
        <v>30fps 1080p - 1080p</v>
      </c>
      <c r="Q5711">
        <f t="shared" si="714"/>
        <v>25</v>
      </c>
      <c r="R5711" t="str">
        <f t="shared" si="715"/>
        <v/>
      </c>
      <c r="S5711" t="str">
        <f t="shared" si="716"/>
        <v/>
      </c>
      <c r="T5711" s="403" t="str">
        <f t="shared" si="717"/>
        <v>NDP-4502-Z12C</v>
      </c>
      <c r="U5711" s="403">
        <f t="shared" si="718"/>
        <v>1</v>
      </c>
      <c r="V5711" s="403" t="str">
        <f t="shared" si="719"/>
        <v>CPP_7_3</v>
      </c>
    </row>
    <row r="5712" spans="1:22">
      <c r="A5712" t="str">
        <f t="shared" si="712"/>
        <v>NDP-4502-Z12C</v>
      </c>
      <c r="B5712" s="403" t="s">
        <v>1428</v>
      </c>
      <c r="C5712" s="403" t="s">
        <v>582</v>
      </c>
      <c r="D5712" s="403" t="s">
        <v>1429</v>
      </c>
      <c r="E5712" s="403" t="s">
        <v>778</v>
      </c>
      <c r="F5712" s="403" t="s">
        <v>1286</v>
      </c>
      <c r="G5712" s="403" t="s">
        <v>1466</v>
      </c>
      <c r="H5712" s="403" t="s">
        <v>1281</v>
      </c>
      <c r="I5712" s="403">
        <v>1</v>
      </c>
      <c r="J5712" s="403" t="s">
        <v>110</v>
      </c>
      <c r="K5712" s="403">
        <v>1920</v>
      </c>
      <c r="L5712" s="403">
        <v>1080</v>
      </c>
      <c r="M5712" s="403" t="s">
        <v>109</v>
      </c>
      <c r="N5712" s="403">
        <v>1280</v>
      </c>
      <c r="O5712" s="403">
        <v>720</v>
      </c>
      <c r="P5712" t="str">
        <f t="shared" si="713"/>
        <v>30fps 1080p - 720p</v>
      </c>
      <c r="Q5712">
        <f t="shared" si="714"/>
        <v>25</v>
      </c>
      <c r="R5712" t="str">
        <f t="shared" si="715"/>
        <v/>
      </c>
      <c r="S5712" t="str">
        <f t="shared" si="716"/>
        <v/>
      </c>
      <c r="T5712" s="403" t="str">
        <f t="shared" si="717"/>
        <v>NDP-4502-Z12C</v>
      </c>
      <c r="U5712" s="403">
        <f t="shared" si="718"/>
        <v>1</v>
      </c>
      <c r="V5712" s="403" t="str">
        <f t="shared" si="719"/>
        <v>CPP_7_3</v>
      </c>
    </row>
    <row r="5713" spans="1:22">
      <c r="A5713" t="str">
        <f t="shared" si="712"/>
        <v>NDP-4502-Z12C</v>
      </c>
      <c r="B5713" s="403" t="s">
        <v>1428</v>
      </c>
      <c r="C5713" s="403" t="s">
        <v>582</v>
      </c>
      <c r="D5713" s="403" t="s">
        <v>1429</v>
      </c>
      <c r="E5713" s="403" t="s">
        <v>778</v>
      </c>
      <c r="F5713" s="403" t="s">
        <v>1286</v>
      </c>
      <c r="G5713" s="403" t="s">
        <v>1466</v>
      </c>
      <c r="H5713" s="403" t="s">
        <v>1281</v>
      </c>
      <c r="I5713" s="403">
        <v>1</v>
      </c>
      <c r="J5713" s="403" t="s">
        <v>110</v>
      </c>
      <c r="K5713" s="403">
        <v>1920</v>
      </c>
      <c r="L5713" s="403">
        <v>1080</v>
      </c>
      <c r="M5713" s="403" t="s">
        <v>1285</v>
      </c>
      <c r="N5713" s="403">
        <v>1280</v>
      </c>
      <c r="O5713" s="403">
        <v>1024</v>
      </c>
      <c r="P5713" t="str">
        <f t="shared" si="713"/>
        <v>30fps 1080p - 1280x1024 5:4 (cropped)</v>
      </c>
      <c r="Q5713">
        <f t="shared" si="714"/>
        <v>25</v>
      </c>
      <c r="R5713" t="str">
        <f t="shared" si="715"/>
        <v/>
      </c>
      <c r="S5713" t="str">
        <f t="shared" si="716"/>
        <v/>
      </c>
      <c r="T5713" s="403" t="str">
        <f t="shared" si="717"/>
        <v>NDP-4502-Z12C</v>
      </c>
      <c r="U5713" s="403">
        <f t="shared" si="718"/>
        <v>1</v>
      </c>
      <c r="V5713" s="403" t="str">
        <f t="shared" si="719"/>
        <v>CPP_7_3</v>
      </c>
    </row>
    <row r="5714" spans="1:22">
      <c r="A5714" t="str">
        <f t="shared" si="712"/>
        <v>NDP-4502-Z12C</v>
      </c>
      <c r="B5714" s="403" t="s">
        <v>1428</v>
      </c>
      <c r="C5714" s="403" t="s">
        <v>582</v>
      </c>
      <c r="D5714" s="403" t="s">
        <v>1429</v>
      </c>
      <c r="E5714" s="403" t="s">
        <v>778</v>
      </c>
      <c r="F5714" s="403" t="s">
        <v>1286</v>
      </c>
      <c r="G5714" s="403" t="s">
        <v>1466</v>
      </c>
      <c r="H5714" s="403" t="s">
        <v>1281</v>
      </c>
      <c r="I5714" s="403">
        <v>1</v>
      </c>
      <c r="J5714" s="403" t="s">
        <v>110</v>
      </c>
      <c r="K5714" s="403">
        <v>1920</v>
      </c>
      <c r="L5714" s="403">
        <v>1080</v>
      </c>
      <c r="M5714" s="403" t="s">
        <v>1283</v>
      </c>
      <c r="N5714" s="403">
        <v>720</v>
      </c>
      <c r="O5714" s="403">
        <v>480</v>
      </c>
      <c r="P5714" t="str">
        <f t="shared" si="713"/>
        <v>30fps 1080p - SD 4CIF resolution 4:3 format (cropped)</v>
      </c>
      <c r="Q5714">
        <f t="shared" si="714"/>
        <v>25</v>
      </c>
      <c r="R5714" t="str">
        <f t="shared" si="715"/>
        <v/>
      </c>
      <c r="S5714" t="str">
        <f t="shared" si="716"/>
        <v/>
      </c>
      <c r="T5714" s="403" t="str">
        <f t="shared" si="717"/>
        <v>NDP-4502-Z12C</v>
      </c>
      <c r="U5714" s="403">
        <f t="shared" si="718"/>
        <v>1</v>
      </c>
      <c r="V5714" s="403" t="str">
        <f t="shared" si="719"/>
        <v>CPP_7_3</v>
      </c>
    </row>
    <row r="5715" spans="1:22">
      <c r="A5715" t="str">
        <f t="shared" si="712"/>
        <v>NDP-4502-Z12C</v>
      </c>
      <c r="B5715" s="403" t="s">
        <v>1428</v>
      </c>
      <c r="C5715" s="403" t="s">
        <v>582</v>
      </c>
      <c r="D5715" s="403" t="s">
        <v>1429</v>
      </c>
      <c r="E5715" s="403" t="s">
        <v>778</v>
      </c>
      <c r="F5715" s="403" t="s">
        <v>1286</v>
      </c>
      <c r="G5715" s="403" t="s">
        <v>1466</v>
      </c>
      <c r="H5715" s="403" t="s">
        <v>1281</v>
      </c>
      <c r="I5715" s="403">
        <v>1</v>
      </c>
      <c r="J5715" s="403" t="s">
        <v>110</v>
      </c>
      <c r="K5715" s="403">
        <v>1920</v>
      </c>
      <c r="L5715" s="403">
        <v>1080</v>
      </c>
      <c r="M5715" s="403" t="s">
        <v>1284</v>
      </c>
      <c r="N5715" s="403">
        <v>640</v>
      </c>
      <c r="O5715" s="403">
        <v>480</v>
      </c>
      <c r="P5715" t="str">
        <f t="shared" si="713"/>
        <v>30fps 1080p - SD VGA (cropped)</v>
      </c>
      <c r="Q5715">
        <f t="shared" si="714"/>
        <v>25</v>
      </c>
      <c r="R5715" t="str">
        <f t="shared" si="715"/>
        <v/>
      </c>
      <c r="S5715" t="str">
        <f t="shared" si="716"/>
        <v/>
      </c>
      <c r="T5715" s="403" t="str">
        <f t="shared" si="717"/>
        <v>NDP-4502-Z12C</v>
      </c>
      <c r="U5715" s="403">
        <f t="shared" si="718"/>
        <v>1</v>
      </c>
      <c r="V5715" s="403" t="str">
        <f t="shared" si="719"/>
        <v>CPP_7_3</v>
      </c>
    </row>
    <row r="5716" spans="1:22">
      <c r="A5716" t="str">
        <f t="shared" si="712"/>
        <v>NDP-4502-Z12C</v>
      </c>
      <c r="B5716" s="403" t="s">
        <v>1428</v>
      </c>
      <c r="C5716" s="403" t="s">
        <v>582</v>
      </c>
      <c r="D5716" s="403" t="s">
        <v>1429</v>
      </c>
      <c r="E5716" s="403" t="s">
        <v>778</v>
      </c>
      <c r="F5716" s="403" t="s">
        <v>1286</v>
      </c>
      <c r="G5716" s="403" t="s">
        <v>1466</v>
      </c>
      <c r="H5716" s="403" t="s">
        <v>1281</v>
      </c>
      <c r="I5716" s="403">
        <v>1</v>
      </c>
      <c r="J5716" s="403" t="s">
        <v>109</v>
      </c>
      <c r="K5716" s="403">
        <v>1280</v>
      </c>
      <c r="L5716" s="403">
        <v>720</v>
      </c>
      <c r="M5716" s="403" t="s">
        <v>109</v>
      </c>
      <c r="N5716" s="403">
        <v>1280</v>
      </c>
      <c r="O5716" s="403">
        <v>720</v>
      </c>
      <c r="P5716" t="str">
        <f t="shared" si="713"/>
        <v>30fps 720p - 720p</v>
      </c>
      <c r="Q5716">
        <f t="shared" si="714"/>
        <v>25</v>
      </c>
      <c r="R5716" t="str">
        <f t="shared" si="715"/>
        <v/>
      </c>
      <c r="S5716" t="str">
        <f t="shared" si="716"/>
        <v/>
      </c>
      <c r="T5716" s="403" t="str">
        <f t="shared" si="717"/>
        <v>NDP-4502-Z12C</v>
      </c>
      <c r="U5716" s="403">
        <f t="shared" si="718"/>
        <v>1</v>
      </c>
      <c r="V5716" s="403" t="str">
        <f t="shared" si="719"/>
        <v>CPP_7_3</v>
      </c>
    </row>
    <row r="5717" spans="1:22">
      <c r="A5717" t="str">
        <f t="shared" si="712"/>
        <v>NDP-4502-Z12C</v>
      </c>
      <c r="B5717" s="403" t="s">
        <v>1428</v>
      </c>
      <c r="C5717" s="403" t="s">
        <v>582</v>
      </c>
      <c r="D5717" s="403" t="s">
        <v>1429</v>
      </c>
      <c r="E5717" s="403" t="s">
        <v>778</v>
      </c>
      <c r="F5717" s="403" t="s">
        <v>1286</v>
      </c>
      <c r="G5717" s="403" t="s">
        <v>1466</v>
      </c>
      <c r="H5717" s="403" t="s">
        <v>1281</v>
      </c>
      <c r="I5717" s="403">
        <v>1</v>
      </c>
      <c r="J5717" s="403" t="s">
        <v>109</v>
      </c>
      <c r="K5717" s="403">
        <v>1280</v>
      </c>
      <c r="L5717" s="403">
        <v>720</v>
      </c>
      <c r="M5717" s="403" t="s">
        <v>111</v>
      </c>
      <c r="N5717" s="403">
        <v>768</v>
      </c>
      <c r="O5717" s="403">
        <v>432</v>
      </c>
      <c r="P5717" t="str">
        <f t="shared" si="713"/>
        <v>30fps 720p - SD</v>
      </c>
      <c r="Q5717">
        <f t="shared" si="714"/>
        <v>25</v>
      </c>
      <c r="R5717" t="str">
        <f t="shared" si="715"/>
        <v/>
      </c>
      <c r="S5717" t="str">
        <f t="shared" si="716"/>
        <v/>
      </c>
      <c r="T5717" s="403" t="str">
        <f t="shared" si="717"/>
        <v>NDP-4502-Z12C</v>
      </c>
      <c r="U5717" s="403">
        <f t="shared" si="718"/>
        <v>1</v>
      </c>
      <c r="V5717" s="403" t="str">
        <f t="shared" si="719"/>
        <v>CPP_7_3</v>
      </c>
    </row>
    <row r="5718" spans="1:22">
      <c r="A5718" t="str">
        <f t="shared" si="712"/>
        <v>NDP-4502-Z12C</v>
      </c>
      <c r="B5718" s="403" t="s">
        <v>1428</v>
      </c>
      <c r="C5718" s="403" t="s">
        <v>582</v>
      </c>
      <c r="D5718" s="403" t="s">
        <v>1429</v>
      </c>
      <c r="E5718" s="403" t="s">
        <v>778</v>
      </c>
      <c r="F5718" s="403" t="s">
        <v>1286</v>
      </c>
      <c r="G5718" s="403" t="s">
        <v>1466</v>
      </c>
      <c r="H5718" s="403" t="s">
        <v>1281</v>
      </c>
      <c r="I5718" s="403">
        <v>1</v>
      </c>
      <c r="J5718" s="403" t="s">
        <v>109</v>
      </c>
      <c r="K5718" s="403">
        <v>1280</v>
      </c>
      <c r="L5718" s="403">
        <v>720</v>
      </c>
      <c r="M5718" s="403" t="s">
        <v>1283</v>
      </c>
      <c r="N5718" s="403">
        <v>720</v>
      </c>
      <c r="O5718" s="403">
        <v>480</v>
      </c>
      <c r="P5718" t="str">
        <f t="shared" si="713"/>
        <v>30fps 720p - SD 4CIF resolution 4:3 format (cropped)</v>
      </c>
      <c r="Q5718">
        <f t="shared" si="714"/>
        <v>25</v>
      </c>
      <c r="R5718" t="str">
        <f t="shared" si="715"/>
        <v/>
      </c>
      <c r="S5718" t="str">
        <f t="shared" si="716"/>
        <v/>
      </c>
      <c r="T5718" s="403" t="str">
        <f t="shared" si="717"/>
        <v>NDP-4502-Z12C</v>
      </c>
      <c r="U5718" s="403">
        <f t="shared" si="718"/>
        <v>1</v>
      </c>
      <c r="V5718" s="403" t="str">
        <f t="shared" si="719"/>
        <v>CPP_7_3</v>
      </c>
    </row>
    <row r="5719" spans="1:22">
      <c r="A5719" t="str">
        <f t="shared" si="712"/>
        <v>NDP-4502-Z12C</v>
      </c>
      <c r="B5719" s="403" t="s">
        <v>1428</v>
      </c>
      <c r="C5719" s="403" t="s">
        <v>582</v>
      </c>
      <c r="D5719" s="403" t="s">
        <v>1429</v>
      </c>
      <c r="E5719" s="403" t="s">
        <v>778</v>
      </c>
      <c r="F5719" s="403" t="s">
        <v>1286</v>
      </c>
      <c r="G5719" s="403" t="s">
        <v>1466</v>
      </c>
      <c r="H5719" s="403" t="s">
        <v>1281</v>
      </c>
      <c r="I5719" s="403">
        <v>1</v>
      </c>
      <c r="J5719" s="403" t="s">
        <v>109</v>
      </c>
      <c r="K5719" s="403">
        <v>1280</v>
      </c>
      <c r="L5719" s="403">
        <v>720</v>
      </c>
      <c r="M5719" s="403" t="s">
        <v>1284</v>
      </c>
      <c r="N5719" s="403">
        <v>640</v>
      </c>
      <c r="O5719" s="403">
        <v>480</v>
      </c>
      <c r="P5719" t="str">
        <f t="shared" si="713"/>
        <v>30fps 720p - SD VGA (cropped)</v>
      </c>
      <c r="Q5719">
        <f t="shared" si="714"/>
        <v>25</v>
      </c>
      <c r="R5719" t="str">
        <f t="shared" si="715"/>
        <v/>
      </c>
      <c r="S5719" t="str">
        <f t="shared" si="716"/>
        <v/>
      </c>
      <c r="T5719" s="403" t="str">
        <f t="shared" si="717"/>
        <v>NDP-4502-Z12C</v>
      </c>
      <c r="U5719" s="403">
        <f t="shared" si="718"/>
        <v>1</v>
      </c>
      <c r="V5719" s="403" t="str">
        <f t="shared" si="719"/>
        <v>CPP_7_3</v>
      </c>
    </row>
    <row r="5720" spans="1:22">
      <c r="A5720" t="str">
        <f t="shared" si="712"/>
        <v>NDP-4502-Z12C</v>
      </c>
      <c r="B5720" s="403" t="s">
        <v>1428</v>
      </c>
      <c r="C5720" s="403" t="s">
        <v>582</v>
      </c>
      <c r="D5720" s="403" t="s">
        <v>1429</v>
      </c>
      <c r="E5720" s="403" t="s">
        <v>778</v>
      </c>
      <c r="F5720" s="403" t="s">
        <v>1286</v>
      </c>
      <c r="G5720" s="403" t="s">
        <v>1466</v>
      </c>
      <c r="H5720" s="403" t="s">
        <v>1282</v>
      </c>
      <c r="I5720" s="403">
        <v>1</v>
      </c>
      <c r="J5720" s="403" t="s">
        <v>110</v>
      </c>
      <c r="K5720" s="403">
        <v>1920</v>
      </c>
      <c r="L5720" s="403">
        <v>1080</v>
      </c>
      <c r="M5720" s="403" t="s">
        <v>111</v>
      </c>
      <c r="N5720" s="403">
        <v>768</v>
      </c>
      <c r="O5720" s="403">
        <v>432</v>
      </c>
      <c r="P5720" t="str">
        <f t="shared" si="713"/>
        <v>30fps 1080p - SD</v>
      </c>
      <c r="Q5720">
        <f t="shared" si="714"/>
        <v>25</v>
      </c>
      <c r="R5720" t="str">
        <f t="shared" si="715"/>
        <v/>
      </c>
      <c r="S5720" t="str">
        <f t="shared" si="716"/>
        <v/>
      </c>
      <c r="T5720" s="403" t="str">
        <f t="shared" si="717"/>
        <v>NDP-4502-Z12C</v>
      </c>
      <c r="U5720" s="403">
        <f t="shared" si="718"/>
        <v>1</v>
      </c>
      <c r="V5720" s="403" t="str">
        <f t="shared" si="719"/>
        <v>CPP_7_3</v>
      </c>
    </row>
    <row r="5721" spans="1:22">
      <c r="A5721" t="str">
        <f t="shared" si="712"/>
        <v>NDP-4502-Z12C</v>
      </c>
      <c r="B5721" s="403" t="s">
        <v>1428</v>
      </c>
      <c r="C5721" s="403" t="s">
        <v>582</v>
      </c>
      <c r="D5721" s="403" t="s">
        <v>1429</v>
      </c>
      <c r="E5721" s="403" t="s">
        <v>778</v>
      </c>
      <c r="F5721" s="403" t="s">
        <v>1286</v>
      </c>
      <c r="G5721" s="403" t="s">
        <v>1466</v>
      </c>
      <c r="H5721" s="403" t="s">
        <v>1282</v>
      </c>
      <c r="I5721" s="403">
        <v>1</v>
      </c>
      <c r="J5721" s="403" t="s">
        <v>110</v>
      </c>
      <c r="K5721" s="403">
        <v>1920</v>
      </c>
      <c r="L5721" s="403">
        <v>1080</v>
      </c>
      <c r="M5721" s="403" t="s">
        <v>110</v>
      </c>
      <c r="N5721" s="403">
        <v>1920</v>
      </c>
      <c r="O5721" s="403">
        <v>1080</v>
      </c>
      <c r="P5721" t="str">
        <f t="shared" si="713"/>
        <v>30fps 1080p - 1080p</v>
      </c>
      <c r="Q5721">
        <f t="shared" si="714"/>
        <v>25</v>
      </c>
      <c r="R5721" t="str">
        <f t="shared" si="715"/>
        <v/>
      </c>
      <c r="S5721" t="str">
        <f t="shared" si="716"/>
        <v/>
      </c>
      <c r="T5721" s="403" t="str">
        <f t="shared" si="717"/>
        <v>NDP-4502-Z12C</v>
      </c>
      <c r="U5721" s="403">
        <f t="shared" si="718"/>
        <v>1</v>
      </c>
      <c r="V5721" s="403" t="str">
        <f t="shared" si="719"/>
        <v>CPP_7_3</v>
      </c>
    </row>
    <row r="5722" spans="1:22">
      <c r="A5722" t="str">
        <f t="shared" si="712"/>
        <v>NDP-4502-Z12C</v>
      </c>
      <c r="B5722" s="403" t="s">
        <v>1428</v>
      </c>
      <c r="C5722" s="403" t="s">
        <v>582</v>
      </c>
      <c r="D5722" s="403" t="s">
        <v>1429</v>
      </c>
      <c r="E5722" s="403" t="s">
        <v>778</v>
      </c>
      <c r="F5722" s="403" t="s">
        <v>1286</v>
      </c>
      <c r="G5722" s="403" t="s">
        <v>1466</v>
      </c>
      <c r="H5722" s="403" t="s">
        <v>1282</v>
      </c>
      <c r="I5722" s="403">
        <v>1</v>
      </c>
      <c r="J5722" s="403" t="s">
        <v>110</v>
      </c>
      <c r="K5722" s="403">
        <v>1920</v>
      </c>
      <c r="L5722" s="403">
        <v>1080</v>
      </c>
      <c r="M5722" s="403" t="s">
        <v>109</v>
      </c>
      <c r="N5722" s="403">
        <v>1280</v>
      </c>
      <c r="O5722" s="403">
        <v>720</v>
      </c>
      <c r="P5722" t="str">
        <f t="shared" si="713"/>
        <v>30fps 1080p - 720p</v>
      </c>
      <c r="Q5722">
        <f t="shared" si="714"/>
        <v>25</v>
      </c>
      <c r="R5722" t="str">
        <f t="shared" si="715"/>
        <v/>
      </c>
      <c r="S5722" t="str">
        <f t="shared" si="716"/>
        <v/>
      </c>
      <c r="T5722" s="403" t="str">
        <f t="shared" si="717"/>
        <v>NDP-4502-Z12C</v>
      </c>
      <c r="U5722" s="403">
        <f t="shared" si="718"/>
        <v>1</v>
      </c>
      <c r="V5722" s="403" t="str">
        <f t="shared" si="719"/>
        <v>CPP_7_3</v>
      </c>
    </row>
    <row r="5723" spans="1:22">
      <c r="A5723" t="str">
        <f t="shared" si="712"/>
        <v>NDP-4502-Z12C</v>
      </c>
      <c r="B5723" s="403" t="s">
        <v>1428</v>
      </c>
      <c r="C5723" s="403" t="s">
        <v>582</v>
      </c>
      <c r="D5723" s="403" t="s">
        <v>1429</v>
      </c>
      <c r="E5723" s="403" t="s">
        <v>778</v>
      </c>
      <c r="F5723" s="403" t="s">
        <v>1286</v>
      </c>
      <c r="G5723" s="403" t="s">
        <v>1466</v>
      </c>
      <c r="H5723" s="403" t="s">
        <v>1282</v>
      </c>
      <c r="I5723" s="403">
        <v>1</v>
      </c>
      <c r="J5723" s="403" t="s">
        <v>110</v>
      </c>
      <c r="K5723" s="403">
        <v>1920</v>
      </c>
      <c r="L5723" s="403">
        <v>1080</v>
      </c>
      <c r="M5723" s="403" t="s">
        <v>1285</v>
      </c>
      <c r="N5723" s="403">
        <v>1280</v>
      </c>
      <c r="O5723" s="403">
        <v>1024</v>
      </c>
      <c r="P5723" t="str">
        <f t="shared" si="713"/>
        <v>30fps 1080p - 1280x1024 5:4 (cropped)</v>
      </c>
      <c r="Q5723">
        <f t="shared" si="714"/>
        <v>25</v>
      </c>
      <c r="R5723" t="str">
        <f t="shared" si="715"/>
        <v/>
      </c>
      <c r="S5723" t="str">
        <f t="shared" si="716"/>
        <v/>
      </c>
      <c r="T5723" s="403" t="str">
        <f t="shared" si="717"/>
        <v>NDP-4502-Z12C</v>
      </c>
      <c r="U5723" s="403">
        <f t="shared" si="718"/>
        <v>1</v>
      </c>
      <c r="V5723" s="403" t="str">
        <f t="shared" si="719"/>
        <v>CPP_7_3</v>
      </c>
    </row>
    <row r="5724" spans="1:22">
      <c r="A5724" t="str">
        <f t="shared" si="712"/>
        <v>NDP-4502-Z12C</v>
      </c>
      <c r="B5724" s="403" t="s">
        <v>1428</v>
      </c>
      <c r="C5724" s="403" t="s">
        <v>582</v>
      </c>
      <c r="D5724" s="403" t="s">
        <v>1429</v>
      </c>
      <c r="E5724" s="403" t="s">
        <v>778</v>
      </c>
      <c r="F5724" s="403" t="s">
        <v>1286</v>
      </c>
      <c r="G5724" s="403" t="s">
        <v>1466</v>
      </c>
      <c r="H5724" s="403" t="s">
        <v>1282</v>
      </c>
      <c r="I5724" s="403">
        <v>1</v>
      </c>
      <c r="J5724" s="403" t="s">
        <v>110</v>
      </c>
      <c r="K5724" s="403">
        <v>1920</v>
      </c>
      <c r="L5724" s="403">
        <v>1080</v>
      </c>
      <c r="M5724" s="403" t="s">
        <v>1283</v>
      </c>
      <c r="N5724" s="403">
        <v>720</v>
      </c>
      <c r="O5724" s="403">
        <v>480</v>
      </c>
      <c r="P5724" t="str">
        <f t="shared" si="713"/>
        <v>30fps 1080p - SD 4CIF resolution 4:3 format (cropped)</v>
      </c>
      <c r="Q5724">
        <f t="shared" si="714"/>
        <v>25</v>
      </c>
      <c r="R5724" t="str">
        <f t="shared" si="715"/>
        <v/>
      </c>
      <c r="S5724" t="str">
        <f t="shared" si="716"/>
        <v/>
      </c>
      <c r="T5724" s="403" t="str">
        <f t="shared" si="717"/>
        <v>NDP-4502-Z12C</v>
      </c>
      <c r="U5724" s="403">
        <f t="shared" si="718"/>
        <v>1</v>
      </c>
      <c r="V5724" s="403" t="str">
        <f t="shared" si="719"/>
        <v>CPP_7_3</v>
      </c>
    </row>
    <row r="5725" spans="1:22">
      <c r="A5725" t="str">
        <f t="shared" si="712"/>
        <v>NDP-4502-Z12C</v>
      </c>
      <c r="B5725" s="403" t="s">
        <v>1428</v>
      </c>
      <c r="C5725" s="403" t="s">
        <v>582</v>
      </c>
      <c r="D5725" s="403" t="s">
        <v>1429</v>
      </c>
      <c r="E5725" s="403" t="s">
        <v>778</v>
      </c>
      <c r="F5725" s="403" t="s">
        <v>1286</v>
      </c>
      <c r="G5725" s="403" t="s">
        <v>1466</v>
      </c>
      <c r="H5725" s="403" t="s">
        <v>1282</v>
      </c>
      <c r="I5725" s="403">
        <v>1</v>
      </c>
      <c r="J5725" s="403" t="s">
        <v>110</v>
      </c>
      <c r="K5725" s="403">
        <v>1920</v>
      </c>
      <c r="L5725" s="403">
        <v>1080</v>
      </c>
      <c r="M5725" s="403" t="s">
        <v>1284</v>
      </c>
      <c r="N5725" s="403">
        <v>640</v>
      </c>
      <c r="O5725" s="403">
        <v>480</v>
      </c>
      <c r="P5725" t="str">
        <f t="shared" si="713"/>
        <v>30fps 1080p - SD VGA (cropped)</v>
      </c>
      <c r="Q5725">
        <f t="shared" si="714"/>
        <v>25</v>
      </c>
      <c r="R5725" t="str">
        <f t="shared" si="715"/>
        <v/>
      </c>
      <c r="S5725" t="str">
        <f t="shared" si="716"/>
        <v/>
      </c>
      <c r="T5725" s="403" t="str">
        <f t="shared" si="717"/>
        <v>NDP-4502-Z12C</v>
      </c>
      <c r="U5725" s="403">
        <f t="shared" si="718"/>
        <v>1</v>
      </c>
      <c r="V5725" s="403" t="str">
        <f t="shared" si="719"/>
        <v>CPP_7_3</v>
      </c>
    </row>
    <row r="5726" spans="1:22">
      <c r="A5726" t="str">
        <f t="shared" si="712"/>
        <v>NDP-4502-Z12C</v>
      </c>
      <c r="B5726" s="403" t="s">
        <v>1428</v>
      </c>
      <c r="C5726" s="403" t="s">
        <v>582</v>
      </c>
      <c r="D5726" s="403" t="s">
        <v>1429</v>
      </c>
      <c r="E5726" s="403" t="s">
        <v>778</v>
      </c>
      <c r="F5726" s="403" t="s">
        <v>1286</v>
      </c>
      <c r="G5726" s="403" t="s">
        <v>1466</v>
      </c>
      <c r="H5726" s="403" t="s">
        <v>1282</v>
      </c>
      <c r="I5726" s="403">
        <v>1</v>
      </c>
      <c r="J5726" s="403" t="s">
        <v>109</v>
      </c>
      <c r="K5726" s="403">
        <v>1280</v>
      </c>
      <c r="L5726" s="403">
        <v>720</v>
      </c>
      <c r="M5726" s="403" t="s">
        <v>109</v>
      </c>
      <c r="N5726" s="403">
        <v>1280</v>
      </c>
      <c r="O5726" s="403">
        <v>720</v>
      </c>
      <c r="P5726" t="str">
        <f t="shared" si="713"/>
        <v>30fps 720p - 720p</v>
      </c>
      <c r="Q5726">
        <f t="shared" si="714"/>
        <v>25</v>
      </c>
      <c r="R5726" t="str">
        <f t="shared" si="715"/>
        <v/>
      </c>
      <c r="S5726" t="str">
        <f t="shared" si="716"/>
        <v/>
      </c>
      <c r="T5726" s="403" t="str">
        <f t="shared" si="717"/>
        <v>NDP-4502-Z12C</v>
      </c>
      <c r="U5726" s="403">
        <f t="shared" si="718"/>
        <v>1</v>
      </c>
      <c r="V5726" s="403" t="str">
        <f t="shared" si="719"/>
        <v>CPP_7_3</v>
      </c>
    </row>
    <row r="5727" spans="1:22">
      <c r="A5727" t="str">
        <f t="shared" si="712"/>
        <v>NDP-4502-Z12C</v>
      </c>
      <c r="B5727" s="403" t="s">
        <v>1428</v>
      </c>
      <c r="C5727" s="403" t="s">
        <v>582</v>
      </c>
      <c r="D5727" s="403" t="s">
        <v>1429</v>
      </c>
      <c r="E5727" s="403" t="s">
        <v>778</v>
      </c>
      <c r="F5727" s="403" t="s">
        <v>1286</v>
      </c>
      <c r="G5727" s="403" t="s">
        <v>1466</v>
      </c>
      <c r="H5727" s="403" t="s">
        <v>1282</v>
      </c>
      <c r="I5727" s="403">
        <v>1</v>
      </c>
      <c r="J5727" s="403" t="s">
        <v>109</v>
      </c>
      <c r="K5727" s="403">
        <v>1280</v>
      </c>
      <c r="L5727" s="403">
        <v>720</v>
      </c>
      <c r="M5727" s="403" t="s">
        <v>111</v>
      </c>
      <c r="N5727" s="403">
        <v>768</v>
      </c>
      <c r="O5727" s="403">
        <v>432</v>
      </c>
      <c r="P5727" t="str">
        <f t="shared" si="713"/>
        <v>30fps 720p - SD</v>
      </c>
      <c r="Q5727">
        <f t="shared" si="714"/>
        <v>25</v>
      </c>
      <c r="R5727" t="str">
        <f t="shared" si="715"/>
        <v/>
      </c>
      <c r="S5727" t="str">
        <f t="shared" si="716"/>
        <v/>
      </c>
      <c r="T5727" s="403" t="str">
        <f t="shared" si="717"/>
        <v>NDP-4502-Z12C</v>
      </c>
      <c r="U5727" s="403">
        <f t="shared" si="718"/>
        <v>1</v>
      </c>
      <c r="V5727" s="403" t="str">
        <f t="shared" si="719"/>
        <v>CPP_7_3</v>
      </c>
    </row>
    <row r="5728" spans="1:22">
      <c r="A5728" t="str">
        <f t="shared" si="712"/>
        <v>NDP-4502-Z12C</v>
      </c>
      <c r="B5728" s="403" t="s">
        <v>1428</v>
      </c>
      <c r="C5728" s="403" t="s">
        <v>582</v>
      </c>
      <c r="D5728" s="403" t="s">
        <v>1429</v>
      </c>
      <c r="E5728" s="403" t="s">
        <v>778</v>
      </c>
      <c r="F5728" s="403" t="s">
        <v>1286</v>
      </c>
      <c r="G5728" s="403" t="s">
        <v>1466</v>
      </c>
      <c r="H5728" s="403" t="s">
        <v>1282</v>
      </c>
      <c r="I5728" s="403">
        <v>1</v>
      </c>
      <c r="J5728" s="403" t="s">
        <v>109</v>
      </c>
      <c r="K5728" s="403">
        <v>1280</v>
      </c>
      <c r="L5728" s="403">
        <v>720</v>
      </c>
      <c r="M5728" s="403" t="s">
        <v>1283</v>
      </c>
      <c r="N5728" s="403">
        <v>720</v>
      </c>
      <c r="O5728" s="403">
        <v>480</v>
      </c>
      <c r="P5728" t="str">
        <f t="shared" si="713"/>
        <v>30fps 720p - SD 4CIF resolution 4:3 format (cropped)</v>
      </c>
      <c r="Q5728">
        <f t="shared" si="714"/>
        <v>25</v>
      </c>
      <c r="R5728" t="str">
        <f t="shared" si="715"/>
        <v/>
      </c>
      <c r="S5728" t="str">
        <f t="shared" si="716"/>
        <v/>
      </c>
      <c r="T5728" s="403" t="str">
        <f t="shared" si="717"/>
        <v>NDP-4502-Z12C</v>
      </c>
      <c r="U5728" s="403">
        <f t="shared" si="718"/>
        <v>1</v>
      </c>
      <c r="V5728" s="403" t="str">
        <f t="shared" si="719"/>
        <v>CPP_7_3</v>
      </c>
    </row>
    <row r="5729" spans="1:22">
      <c r="A5729" t="str">
        <f t="shared" si="712"/>
        <v>NDP-4502-Z12C</v>
      </c>
      <c r="B5729" s="403" t="s">
        <v>1428</v>
      </c>
      <c r="C5729" s="403" t="s">
        <v>582</v>
      </c>
      <c r="D5729" s="403" t="s">
        <v>1429</v>
      </c>
      <c r="E5729" s="403" t="s">
        <v>778</v>
      </c>
      <c r="F5729" s="403" t="s">
        <v>1286</v>
      </c>
      <c r="G5729" s="403" t="s">
        <v>1466</v>
      </c>
      <c r="H5729" s="403" t="s">
        <v>1282</v>
      </c>
      <c r="I5729" s="403">
        <v>1</v>
      </c>
      <c r="J5729" s="403" t="s">
        <v>109</v>
      </c>
      <c r="K5729" s="403">
        <v>1280</v>
      </c>
      <c r="L5729" s="403">
        <v>720</v>
      </c>
      <c r="M5729" s="403" t="s">
        <v>1284</v>
      </c>
      <c r="N5729" s="403">
        <v>640</v>
      </c>
      <c r="O5729" s="403">
        <v>480</v>
      </c>
      <c r="P5729" t="str">
        <f t="shared" si="713"/>
        <v>30fps 720p - SD VGA (cropped)</v>
      </c>
      <c r="Q5729">
        <f t="shared" si="714"/>
        <v>25</v>
      </c>
      <c r="R5729" t="str">
        <f t="shared" si="715"/>
        <v/>
      </c>
      <c r="S5729" t="str">
        <f t="shared" si="716"/>
        <v/>
      </c>
      <c r="T5729" s="403" t="str">
        <f t="shared" si="717"/>
        <v>NDP-4502-Z12C</v>
      </c>
      <c r="U5729" s="403">
        <f t="shared" si="718"/>
        <v>1</v>
      </c>
      <c r="V5729" s="403" t="str">
        <f t="shared" si="719"/>
        <v>CPP_7_3</v>
      </c>
    </row>
    <row r="5730" spans="1:22">
      <c r="A5730" t="str">
        <f t="shared" si="712"/>
        <v>NDP-4502-Z12C</v>
      </c>
      <c r="B5730" s="403" t="s">
        <v>1428</v>
      </c>
      <c r="C5730" s="403" t="s">
        <v>582</v>
      </c>
      <c r="D5730" s="403" t="s">
        <v>1429</v>
      </c>
      <c r="E5730" s="403" t="s">
        <v>778</v>
      </c>
      <c r="F5730" s="403" t="s">
        <v>1287</v>
      </c>
      <c r="G5730" s="403" t="s">
        <v>1466</v>
      </c>
      <c r="H5730" s="403" t="s">
        <v>1276</v>
      </c>
      <c r="I5730" s="403">
        <v>1</v>
      </c>
      <c r="J5730" s="403" t="s">
        <v>110</v>
      </c>
      <c r="K5730" s="403">
        <v>1920</v>
      </c>
      <c r="L5730" s="403">
        <v>1080</v>
      </c>
      <c r="M5730" s="403" t="s">
        <v>111</v>
      </c>
      <c r="N5730" s="403">
        <v>768</v>
      </c>
      <c r="O5730" s="403">
        <v>432</v>
      </c>
      <c r="P5730" t="str">
        <f t="shared" si="713"/>
        <v>25fps 1080p - SD</v>
      </c>
      <c r="Q5730">
        <f t="shared" si="714"/>
        <v>25</v>
      </c>
      <c r="R5730" t="str">
        <f t="shared" si="715"/>
        <v/>
      </c>
      <c r="S5730" t="str">
        <f t="shared" si="716"/>
        <v/>
      </c>
      <c r="T5730" s="403" t="str">
        <f t="shared" si="717"/>
        <v>NDP-4502-Z12C</v>
      </c>
      <c r="U5730" s="403">
        <f t="shared" si="718"/>
        <v>1</v>
      </c>
      <c r="V5730" s="403" t="str">
        <f t="shared" si="719"/>
        <v>CPP_7_3</v>
      </c>
    </row>
    <row r="5731" spans="1:22">
      <c r="A5731" t="str">
        <f t="shared" si="712"/>
        <v>NDP-4502-Z12C</v>
      </c>
      <c r="B5731" s="403" t="s">
        <v>1428</v>
      </c>
      <c r="C5731" s="403" t="s">
        <v>582</v>
      </c>
      <c r="D5731" s="403" t="s">
        <v>1429</v>
      </c>
      <c r="E5731" s="403" t="s">
        <v>778</v>
      </c>
      <c r="F5731" s="403" t="s">
        <v>1287</v>
      </c>
      <c r="G5731" s="403" t="s">
        <v>1466</v>
      </c>
      <c r="H5731" s="403" t="s">
        <v>1276</v>
      </c>
      <c r="I5731" s="403">
        <v>1</v>
      </c>
      <c r="J5731" s="403" t="s">
        <v>110</v>
      </c>
      <c r="K5731" s="403">
        <v>1920</v>
      </c>
      <c r="L5731" s="403">
        <v>1080</v>
      </c>
      <c r="M5731" s="403" t="s">
        <v>110</v>
      </c>
      <c r="N5731" s="403">
        <v>1920</v>
      </c>
      <c r="O5731" s="403">
        <v>1080</v>
      </c>
      <c r="P5731" t="str">
        <f t="shared" si="713"/>
        <v>25fps 1080p - 1080p</v>
      </c>
      <c r="Q5731">
        <f t="shared" si="714"/>
        <v>25</v>
      </c>
      <c r="R5731" t="str">
        <f t="shared" si="715"/>
        <v/>
      </c>
      <c r="S5731" t="str">
        <f t="shared" si="716"/>
        <v/>
      </c>
      <c r="T5731" s="403" t="str">
        <f t="shared" si="717"/>
        <v>NDP-4502-Z12C</v>
      </c>
      <c r="U5731" s="403">
        <f t="shared" si="718"/>
        <v>1</v>
      </c>
      <c r="V5731" s="403" t="str">
        <f t="shared" si="719"/>
        <v>CPP_7_3</v>
      </c>
    </row>
    <row r="5732" spans="1:22">
      <c r="A5732" t="str">
        <f t="shared" si="712"/>
        <v>NDP-4502-Z12C</v>
      </c>
      <c r="B5732" s="403" t="s">
        <v>1428</v>
      </c>
      <c r="C5732" s="403" t="s">
        <v>582</v>
      </c>
      <c r="D5732" s="403" t="s">
        <v>1429</v>
      </c>
      <c r="E5732" s="403" t="s">
        <v>778</v>
      </c>
      <c r="F5732" s="403" t="s">
        <v>1287</v>
      </c>
      <c r="G5732" s="403" t="s">
        <v>1466</v>
      </c>
      <c r="H5732" s="403" t="s">
        <v>1276</v>
      </c>
      <c r="I5732" s="403">
        <v>1</v>
      </c>
      <c r="J5732" s="403" t="s">
        <v>110</v>
      </c>
      <c r="K5732" s="403">
        <v>1920</v>
      </c>
      <c r="L5732" s="403">
        <v>1080</v>
      </c>
      <c r="M5732" s="403" t="s">
        <v>109</v>
      </c>
      <c r="N5732" s="403">
        <v>1280</v>
      </c>
      <c r="O5732" s="403">
        <v>720</v>
      </c>
      <c r="P5732" t="str">
        <f t="shared" si="713"/>
        <v>25fps 1080p - 720p</v>
      </c>
      <c r="Q5732">
        <f t="shared" si="714"/>
        <v>25</v>
      </c>
      <c r="R5732" t="str">
        <f t="shared" si="715"/>
        <v/>
      </c>
      <c r="S5732" t="str">
        <f t="shared" si="716"/>
        <v/>
      </c>
      <c r="T5732" s="403" t="str">
        <f t="shared" si="717"/>
        <v>NDP-4502-Z12C</v>
      </c>
      <c r="U5732" s="403">
        <f t="shared" si="718"/>
        <v>1</v>
      </c>
      <c r="V5732" s="403" t="str">
        <f t="shared" si="719"/>
        <v>CPP_7_3</v>
      </c>
    </row>
    <row r="5733" spans="1:22">
      <c r="A5733" t="str">
        <f t="shared" si="712"/>
        <v>NDP-4502-Z12C</v>
      </c>
      <c r="B5733" s="403" t="s">
        <v>1428</v>
      </c>
      <c r="C5733" s="403" t="s">
        <v>582</v>
      </c>
      <c r="D5733" s="403" t="s">
        <v>1429</v>
      </c>
      <c r="E5733" s="403" t="s">
        <v>778</v>
      </c>
      <c r="F5733" s="403" t="s">
        <v>1287</v>
      </c>
      <c r="G5733" s="403" t="s">
        <v>1466</v>
      </c>
      <c r="H5733" s="403" t="s">
        <v>1276</v>
      </c>
      <c r="I5733" s="403">
        <v>1</v>
      </c>
      <c r="J5733" s="403" t="s">
        <v>110</v>
      </c>
      <c r="K5733" s="403">
        <v>1920</v>
      </c>
      <c r="L5733" s="403">
        <v>1080</v>
      </c>
      <c r="M5733" s="403" t="s">
        <v>1285</v>
      </c>
      <c r="N5733" s="403">
        <v>1280</v>
      </c>
      <c r="O5733" s="403">
        <v>1024</v>
      </c>
      <c r="P5733" t="str">
        <f t="shared" si="713"/>
        <v>25fps 1080p - 1280x1024 5:4 (cropped)</v>
      </c>
      <c r="Q5733">
        <f t="shared" si="714"/>
        <v>25</v>
      </c>
      <c r="R5733" t="str">
        <f t="shared" si="715"/>
        <v/>
      </c>
      <c r="S5733" t="str">
        <f t="shared" si="716"/>
        <v/>
      </c>
      <c r="T5733" s="403" t="str">
        <f t="shared" si="717"/>
        <v>NDP-4502-Z12C</v>
      </c>
      <c r="U5733" s="403">
        <f t="shared" si="718"/>
        <v>1</v>
      </c>
      <c r="V5733" s="403" t="str">
        <f t="shared" si="719"/>
        <v>CPP_7_3</v>
      </c>
    </row>
    <row r="5734" spans="1:22">
      <c r="A5734" t="str">
        <f t="shared" si="712"/>
        <v>NDP-4502-Z12C</v>
      </c>
      <c r="B5734" s="403" t="s">
        <v>1428</v>
      </c>
      <c r="C5734" s="403" t="s">
        <v>582</v>
      </c>
      <c r="D5734" s="403" t="s">
        <v>1429</v>
      </c>
      <c r="E5734" s="403" t="s">
        <v>778</v>
      </c>
      <c r="F5734" s="403" t="s">
        <v>1287</v>
      </c>
      <c r="G5734" s="403" t="s">
        <v>1466</v>
      </c>
      <c r="H5734" s="403" t="s">
        <v>1276</v>
      </c>
      <c r="I5734" s="403">
        <v>1</v>
      </c>
      <c r="J5734" s="403" t="s">
        <v>110</v>
      </c>
      <c r="K5734" s="403">
        <v>1920</v>
      </c>
      <c r="L5734" s="403">
        <v>1080</v>
      </c>
      <c r="M5734" s="403" t="s">
        <v>1283</v>
      </c>
      <c r="N5734" s="403">
        <v>720</v>
      </c>
      <c r="O5734" s="403">
        <v>576</v>
      </c>
      <c r="P5734" t="str">
        <f t="shared" si="713"/>
        <v>25fps 1080p - SD 4CIF resolution 4:3 format (cropped)</v>
      </c>
      <c r="Q5734">
        <f t="shared" si="714"/>
        <v>25</v>
      </c>
      <c r="R5734" t="str">
        <f t="shared" si="715"/>
        <v/>
      </c>
      <c r="S5734" t="str">
        <f t="shared" si="716"/>
        <v/>
      </c>
      <c r="T5734" s="403" t="str">
        <f t="shared" si="717"/>
        <v>NDP-4502-Z12C</v>
      </c>
      <c r="U5734" s="403">
        <f t="shared" si="718"/>
        <v>1</v>
      </c>
      <c r="V5734" s="403" t="str">
        <f t="shared" si="719"/>
        <v>CPP_7_3</v>
      </c>
    </row>
    <row r="5735" spans="1:22">
      <c r="A5735" t="str">
        <f t="shared" si="712"/>
        <v>NDP-4502-Z12C</v>
      </c>
      <c r="B5735" s="403" t="s">
        <v>1428</v>
      </c>
      <c r="C5735" s="403" t="s">
        <v>582</v>
      </c>
      <c r="D5735" s="403" t="s">
        <v>1429</v>
      </c>
      <c r="E5735" s="403" t="s">
        <v>778</v>
      </c>
      <c r="F5735" s="403" t="s">
        <v>1287</v>
      </c>
      <c r="G5735" s="403" t="s">
        <v>1466</v>
      </c>
      <c r="H5735" s="403" t="s">
        <v>1276</v>
      </c>
      <c r="I5735" s="403">
        <v>1</v>
      </c>
      <c r="J5735" s="403" t="s">
        <v>110</v>
      </c>
      <c r="K5735" s="403">
        <v>1920</v>
      </c>
      <c r="L5735" s="403">
        <v>1080</v>
      </c>
      <c r="M5735" s="403" t="s">
        <v>1284</v>
      </c>
      <c r="N5735" s="403">
        <v>640</v>
      </c>
      <c r="O5735" s="403">
        <v>480</v>
      </c>
      <c r="P5735" t="str">
        <f t="shared" si="713"/>
        <v>25fps 1080p - SD VGA (cropped)</v>
      </c>
      <c r="Q5735">
        <f t="shared" si="714"/>
        <v>25</v>
      </c>
      <c r="R5735" t="str">
        <f t="shared" si="715"/>
        <v/>
      </c>
      <c r="S5735" t="str">
        <f t="shared" si="716"/>
        <v/>
      </c>
      <c r="T5735" s="403" t="str">
        <f t="shared" si="717"/>
        <v>NDP-4502-Z12C</v>
      </c>
      <c r="U5735" s="403">
        <f t="shared" si="718"/>
        <v>1</v>
      </c>
      <c r="V5735" s="403" t="str">
        <f t="shared" si="719"/>
        <v>CPP_7_3</v>
      </c>
    </row>
    <row r="5736" spans="1:22">
      <c r="A5736" t="str">
        <f t="shared" si="712"/>
        <v>NDP-4502-Z12C</v>
      </c>
      <c r="B5736" s="403" t="s">
        <v>1428</v>
      </c>
      <c r="C5736" s="403" t="s">
        <v>582</v>
      </c>
      <c r="D5736" s="403" t="s">
        <v>1429</v>
      </c>
      <c r="E5736" s="403" t="s">
        <v>778</v>
      </c>
      <c r="F5736" s="403" t="s">
        <v>1287</v>
      </c>
      <c r="G5736" s="403" t="s">
        <v>1466</v>
      </c>
      <c r="H5736" s="403" t="s">
        <v>1276</v>
      </c>
      <c r="I5736" s="403">
        <v>1</v>
      </c>
      <c r="J5736" s="403" t="s">
        <v>109</v>
      </c>
      <c r="K5736" s="403">
        <v>1280</v>
      </c>
      <c r="L5736" s="403">
        <v>720</v>
      </c>
      <c r="M5736" s="403" t="s">
        <v>109</v>
      </c>
      <c r="N5736" s="403">
        <v>1280</v>
      </c>
      <c r="O5736" s="403">
        <v>720</v>
      </c>
      <c r="P5736" t="str">
        <f t="shared" si="713"/>
        <v>25fps 720p - 720p</v>
      </c>
      <c r="Q5736">
        <f t="shared" si="714"/>
        <v>25</v>
      </c>
      <c r="R5736" t="str">
        <f t="shared" si="715"/>
        <v/>
      </c>
      <c r="S5736" t="str">
        <f t="shared" si="716"/>
        <v/>
      </c>
      <c r="T5736" s="403" t="str">
        <f t="shared" si="717"/>
        <v>NDP-4502-Z12C</v>
      </c>
      <c r="U5736" s="403">
        <f t="shared" si="718"/>
        <v>1</v>
      </c>
      <c r="V5736" s="403" t="str">
        <f t="shared" si="719"/>
        <v>CPP_7_3</v>
      </c>
    </row>
    <row r="5737" spans="1:22">
      <c r="A5737" t="str">
        <f t="shared" si="712"/>
        <v>NDP-4502-Z12C</v>
      </c>
      <c r="B5737" s="403" t="s">
        <v>1428</v>
      </c>
      <c r="C5737" s="403" t="s">
        <v>582</v>
      </c>
      <c r="D5737" s="403" t="s">
        <v>1429</v>
      </c>
      <c r="E5737" s="403" t="s">
        <v>778</v>
      </c>
      <c r="F5737" s="403" t="s">
        <v>1287</v>
      </c>
      <c r="G5737" s="403" t="s">
        <v>1466</v>
      </c>
      <c r="H5737" s="403" t="s">
        <v>1276</v>
      </c>
      <c r="I5737" s="403">
        <v>1</v>
      </c>
      <c r="J5737" s="403" t="s">
        <v>109</v>
      </c>
      <c r="K5737" s="403">
        <v>1280</v>
      </c>
      <c r="L5737" s="403">
        <v>720</v>
      </c>
      <c r="M5737" s="403" t="s">
        <v>111</v>
      </c>
      <c r="N5737" s="403">
        <v>768</v>
      </c>
      <c r="O5737" s="403">
        <v>432</v>
      </c>
      <c r="P5737" t="str">
        <f t="shared" si="713"/>
        <v>25fps 720p - SD</v>
      </c>
      <c r="Q5737">
        <f t="shared" si="714"/>
        <v>25</v>
      </c>
      <c r="R5737" t="str">
        <f t="shared" si="715"/>
        <v/>
      </c>
      <c r="S5737" t="str">
        <f t="shared" si="716"/>
        <v/>
      </c>
      <c r="T5737" s="403" t="str">
        <f t="shared" si="717"/>
        <v>NDP-4502-Z12C</v>
      </c>
      <c r="U5737" s="403">
        <f t="shared" si="718"/>
        <v>1</v>
      </c>
      <c r="V5737" s="403" t="str">
        <f t="shared" si="719"/>
        <v>CPP_7_3</v>
      </c>
    </row>
    <row r="5738" spans="1:22">
      <c r="A5738" t="str">
        <f t="shared" si="712"/>
        <v>NDP-4502-Z12C</v>
      </c>
      <c r="B5738" s="403" t="s">
        <v>1428</v>
      </c>
      <c r="C5738" s="403" t="s">
        <v>582</v>
      </c>
      <c r="D5738" s="403" t="s">
        <v>1429</v>
      </c>
      <c r="E5738" s="403" t="s">
        <v>778</v>
      </c>
      <c r="F5738" s="403" t="s">
        <v>1287</v>
      </c>
      <c r="G5738" s="403" t="s">
        <v>1466</v>
      </c>
      <c r="H5738" s="403" t="s">
        <v>1276</v>
      </c>
      <c r="I5738" s="403">
        <v>1</v>
      </c>
      <c r="J5738" s="403" t="s">
        <v>109</v>
      </c>
      <c r="K5738" s="403">
        <v>1280</v>
      </c>
      <c r="L5738" s="403">
        <v>720</v>
      </c>
      <c r="M5738" s="403" t="s">
        <v>1283</v>
      </c>
      <c r="N5738" s="403">
        <v>720</v>
      </c>
      <c r="O5738" s="403">
        <v>576</v>
      </c>
      <c r="P5738" t="str">
        <f t="shared" si="713"/>
        <v>25fps 720p - SD 4CIF resolution 4:3 format (cropped)</v>
      </c>
      <c r="Q5738">
        <f t="shared" si="714"/>
        <v>25</v>
      </c>
      <c r="R5738" t="str">
        <f t="shared" si="715"/>
        <v/>
      </c>
      <c r="S5738" t="str">
        <f t="shared" si="716"/>
        <v/>
      </c>
      <c r="T5738" s="403" t="str">
        <f t="shared" si="717"/>
        <v>NDP-4502-Z12C</v>
      </c>
      <c r="U5738" s="403">
        <f t="shared" si="718"/>
        <v>1</v>
      </c>
      <c r="V5738" s="403" t="str">
        <f t="shared" si="719"/>
        <v>CPP_7_3</v>
      </c>
    </row>
    <row r="5739" spans="1:22">
      <c r="A5739" t="str">
        <f t="shared" si="712"/>
        <v>NDP-4502-Z12C</v>
      </c>
      <c r="B5739" s="403" t="s">
        <v>1428</v>
      </c>
      <c r="C5739" s="403" t="s">
        <v>582</v>
      </c>
      <c r="D5739" s="403" t="s">
        <v>1429</v>
      </c>
      <c r="E5739" s="403" t="s">
        <v>778</v>
      </c>
      <c r="F5739" s="403" t="s">
        <v>1287</v>
      </c>
      <c r="G5739" s="403" t="s">
        <v>1466</v>
      </c>
      <c r="H5739" s="403" t="s">
        <v>1276</v>
      </c>
      <c r="I5739" s="403">
        <v>1</v>
      </c>
      <c r="J5739" s="403" t="s">
        <v>109</v>
      </c>
      <c r="K5739" s="403">
        <v>1280</v>
      </c>
      <c r="L5739" s="403">
        <v>720</v>
      </c>
      <c r="M5739" s="403" t="s">
        <v>1284</v>
      </c>
      <c r="N5739" s="403">
        <v>640</v>
      </c>
      <c r="O5739" s="403">
        <v>480</v>
      </c>
      <c r="P5739" t="str">
        <f t="shared" si="713"/>
        <v>25fps 720p - SD VGA (cropped)</v>
      </c>
      <c r="Q5739">
        <f t="shared" si="714"/>
        <v>25</v>
      </c>
      <c r="R5739" t="str">
        <f t="shared" si="715"/>
        <v/>
      </c>
      <c r="S5739" t="str">
        <f t="shared" si="716"/>
        <v/>
      </c>
      <c r="T5739" s="403" t="str">
        <f t="shared" si="717"/>
        <v>NDP-4502-Z12C</v>
      </c>
      <c r="U5739" s="403">
        <f t="shared" si="718"/>
        <v>1</v>
      </c>
      <c r="V5739" s="403" t="str">
        <f t="shared" si="719"/>
        <v>CPP_7_3</v>
      </c>
    </row>
    <row r="5740" spans="1:22">
      <c r="A5740" t="str">
        <f t="shared" si="712"/>
        <v>NDP-4502-Z12C</v>
      </c>
      <c r="B5740" s="403" t="s">
        <v>1428</v>
      </c>
      <c r="C5740" s="403" t="s">
        <v>582</v>
      </c>
      <c r="D5740" s="403" t="s">
        <v>1429</v>
      </c>
      <c r="E5740" s="403" t="s">
        <v>778</v>
      </c>
      <c r="F5740" s="403" t="s">
        <v>1287</v>
      </c>
      <c r="G5740" s="403" t="s">
        <v>1466</v>
      </c>
      <c r="H5740" s="403" t="s">
        <v>1281</v>
      </c>
      <c r="I5740" s="403">
        <v>1</v>
      </c>
      <c r="J5740" s="403" t="s">
        <v>110</v>
      </c>
      <c r="K5740" s="403">
        <v>1920</v>
      </c>
      <c r="L5740" s="403">
        <v>1080</v>
      </c>
      <c r="M5740" s="403" t="s">
        <v>111</v>
      </c>
      <c r="N5740" s="403">
        <v>768</v>
      </c>
      <c r="O5740" s="403">
        <v>432</v>
      </c>
      <c r="P5740" t="str">
        <f t="shared" si="713"/>
        <v>25fps 1080p - SD</v>
      </c>
      <c r="Q5740">
        <f t="shared" si="714"/>
        <v>25</v>
      </c>
      <c r="R5740" t="str">
        <f t="shared" si="715"/>
        <v/>
      </c>
      <c r="S5740" t="str">
        <f t="shared" si="716"/>
        <v/>
      </c>
      <c r="T5740" s="403" t="str">
        <f t="shared" si="717"/>
        <v>NDP-4502-Z12C</v>
      </c>
      <c r="U5740" s="403">
        <f t="shared" si="718"/>
        <v>1</v>
      </c>
      <c r="V5740" s="403" t="str">
        <f t="shared" si="719"/>
        <v>CPP_7_3</v>
      </c>
    </row>
    <row r="5741" spans="1:22">
      <c r="A5741" t="str">
        <f t="shared" si="712"/>
        <v>NDP-4502-Z12C</v>
      </c>
      <c r="B5741" s="403" t="s">
        <v>1428</v>
      </c>
      <c r="C5741" s="403" t="s">
        <v>582</v>
      </c>
      <c r="D5741" s="403" t="s">
        <v>1429</v>
      </c>
      <c r="E5741" s="403" t="s">
        <v>778</v>
      </c>
      <c r="F5741" s="403" t="s">
        <v>1287</v>
      </c>
      <c r="G5741" s="403" t="s">
        <v>1466</v>
      </c>
      <c r="H5741" s="403" t="s">
        <v>1281</v>
      </c>
      <c r="I5741" s="403">
        <v>1</v>
      </c>
      <c r="J5741" s="403" t="s">
        <v>110</v>
      </c>
      <c r="K5741" s="403">
        <v>1920</v>
      </c>
      <c r="L5741" s="403">
        <v>1080</v>
      </c>
      <c r="M5741" s="403" t="s">
        <v>110</v>
      </c>
      <c r="N5741" s="403">
        <v>1920</v>
      </c>
      <c r="O5741" s="403">
        <v>1080</v>
      </c>
      <c r="P5741" t="str">
        <f t="shared" si="713"/>
        <v>25fps 1080p - 1080p</v>
      </c>
      <c r="Q5741">
        <f t="shared" si="714"/>
        <v>25</v>
      </c>
      <c r="R5741" t="str">
        <f t="shared" si="715"/>
        <v/>
      </c>
      <c r="S5741" t="str">
        <f t="shared" si="716"/>
        <v/>
      </c>
      <c r="T5741" s="403" t="str">
        <f t="shared" si="717"/>
        <v>NDP-4502-Z12C</v>
      </c>
      <c r="U5741" s="403">
        <f t="shared" si="718"/>
        <v>1</v>
      </c>
      <c r="V5741" s="403" t="str">
        <f t="shared" si="719"/>
        <v>CPP_7_3</v>
      </c>
    </row>
    <row r="5742" spans="1:22">
      <c r="A5742" t="str">
        <f t="shared" si="712"/>
        <v>NDP-4502-Z12C</v>
      </c>
      <c r="B5742" s="403" t="s">
        <v>1428</v>
      </c>
      <c r="C5742" s="403" t="s">
        <v>582</v>
      </c>
      <c r="D5742" s="403" t="s">
        <v>1429</v>
      </c>
      <c r="E5742" s="403" t="s">
        <v>778</v>
      </c>
      <c r="F5742" s="403" t="s">
        <v>1287</v>
      </c>
      <c r="G5742" s="403" t="s">
        <v>1466</v>
      </c>
      <c r="H5742" s="403" t="s">
        <v>1281</v>
      </c>
      <c r="I5742" s="403">
        <v>1</v>
      </c>
      <c r="J5742" s="403" t="s">
        <v>110</v>
      </c>
      <c r="K5742" s="403">
        <v>1920</v>
      </c>
      <c r="L5742" s="403">
        <v>1080</v>
      </c>
      <c r="M5742" s="403" t="s">
        <v>109</v>
      </c>
      <c r="N5742" s="403">
        <v>1280</v>
      </c>
      <c r="O5742" s="403">
        <v>720</v>
      </c>
      <c r="P5742" t="str">
        <f t="shared" si="713"/>
        <v>25fps 1080p - 720p</v>
      </c>
      <c r="Q5742">
        <f t="shared" si="714"/>
        <v>25</v>
      </c>
      <c r="R5742" t="str">
        <f t="shared" si="715"/>
        <v/>
      </c>
      <c r="S5742" t="str">
        <f t="shared" si="716"/>
        <v/>
      </c>
      <c r="T5742" s="403" t="str">
        <f t="shared" si="717"/>
        <v>NDP-4502-Z12C</v>
      </c>
      <c r="U5742" s="403">
        <f t="shared" si="718"/>
        <v>1</v>
      </c>
      <c r="V5742" s="403" t="str">
        <f t="shared" si="719"/>
        <v>CPP_7_3</v>
      </c>
    </row>
    <row r="5743" spans="1:22">
      <c r="A5743" t="str">
        <f t="shared" si="712"/>
        <v>NDP-4502-Z12C</v>
      </c>
      <c r="B5743" s="403" t="s">
        <v>1428</v>
      </c>
      <c r="C5743" s="403" t="s">
        <v>582</v>
      </c>
      <c r="D5743" s="403" t="s">
        <v>1429</v>
      </c>
      <c r="E5743" s="403" t="s">
        <v>778</v>
      </c>
      <c r="F5743" s="403" t="s">
        <v>1287</v>
      </c>
      <c r="G5743" s="403" t="s">
        <v>1466</v>
      </c>
      <c r="H5743" s="403" t="s">
        <v>1281</v>
      </c>
      <c r="I5743" s="403">
        <v>1</v>
      </c>
      <c r="J5743" s="403" t="s">
        <v>110</v>
      </c>
      <c r="K5743" s="403">
        <v>1920</v>
      </c>
      <c r="L5743" s="403">
        <v>1080</v>
      </c>
      <c r="M5743" s="403" t="s">
        <v>1285</v>
      </c>
      <c r="N5743" s="403">
        <v>1280</v>
      </c>
      <c r="O5743" s="403">
        <v>1024</v>
      </c>
      <c r="P5743" t="str">
        <f t="shared" si="713"/>
        <v>25fps 1080p - 1280x1024 5:4 (cropped)</v>
      </c>
      <c r="Q5743">
        <f t="shared" si="714"/>
        <v>25</v>
      </c>
      <c r="R5743" t="str">
        <f t="shared" si="715"/>
        <v/>
      </c>
      <c r="S5743" t="str">
        <f t="shared" si="716"/>
        <v/>
      </c>
      <c r="T5743" s="403" t="str">
        <f t="shared" si="717"/>
        <v>NDP-4502-Z12C</v>
      </c>
      <c r="U5743" s="403">
        <f t="shared" si="718"/>
        <v>1</v>
      </c>
      <c r="V5743" s="403" t="str">
        <f t="shared" si="719"/>
        <v>CPP_7_3</v>
      </c>
    </row>
    <row r="5744" spans="1:22">
      <c r="A5744" t="str">
        <f t="shared" si="712"/>
        <v>NDP-4502-Z12C</v>
      </c>
      <c r="B5744" s="403" t="s">
        <v>1428</v>
      </c>
      <c r="C5744" s="403" t="s">
        <v>582</v>
      </c>
      <c r="D5744" s="403" t="s">
        <v>1429</v>
      </c>
      <c r="E5744" s="403" t="s">
        <v>778</v>
      </c>
      <c r="F5744" s="403" t="s">
        <v>1287</v>
      </c>
      <c r="G5744" s="403" t="s">
        <v>1466</v>
      </c>
      <c r="H5744" s="403" t="s">
        <v>1281</v>
      </c>
      <c r="I5744" s="403">
        <v>1</v>
      </c>
      <c r="J5744" s="403" t="s">
        <v>110</v>
      </c>
      <c r="K5744" s="403">
        <v>1920</v>
      </c>
      <c r="L5744" s="403">
        <v>1080</v>
      </c>
      <c r="M5744" s="403" t="s">
        <v>1283</v>
      </c>
      <c r="N5744" s="403">
        <v>720</v>
      </c>
      <c r="O5744" s="403">
        <v>576</v>
      </c>
      <c r="P5744" t="str">
        <f t="shared" si="713"/>
        <v>25fps 1080p - SD 4CIF resolution 4:3 format (cropped)</v>
      </c>
      <c r="Q5744">
        <f t="shared" si="714"/>
        <v>25</v>
      </c>
      <c r="R5744" t="str">
        <f t="shared" si="715"/>
        <v/>
      </c>
      <c r="S5744" t="str">
        <f t="shared" si="716"/>
        <v/>
      </c>
      <c r="T5744" s="403" t="str">
        <f t="shared" si="717"/>
        <v>NDP-4502-Z12C</v>
      </c>
      <c r="U5744" s="403">
        <f t="shared" si="718"/>
        <v>1</v>
      </c>
      <c r="V5744" s="403" t="str">
        <f t="shared" si="719"/>
        <v>CPP_7_3</v>
      </c>
    </row>
    <row r="5745" spans="1:22">
      <c r="A5745" t="str">
        <f t="shared" si="712"/>
        <v>NDP-4502-Z12C</v>
      </c>
      <c r="B5745" s="403" t="s">
        <v>1428</v>
      </c>
      <c r="C5745" s="403" t="s">
        <v>582</v>
      </c>
      <c r="D5745" s="403" t="s">
        <v>1429</v>
      </c>
      <c r="E5745" s="403" t="s">
        <v>778</v>
      </c>
      <c r="F5745" s="403" t="s">
        <v>1287</v>
      </c>
      <c r="G5745" s="403" t="s">
        <v>1466</v>
      </c>
      <c r="H5745" s="403" t="s">
        <v>1281</v>
      </c>
      <c r="I5745" s="403">
        <v>1</v>
      </c>
      <c r="J5745" s="403" t="s">
        <v>110</v>
      </c>
      <c r="K5745" s="403">
        <v>1920</v>
      </c>
      <c r="L5745" s="403">
        <v>1080</v>
      </c>
      <c r="M5745" s="403" t="s">
        <v>1284</v>
      </c>
      <c r="N5745" s="403">
        <v>640</v>
      </c>
      <c r="O5745" s="403">
        <v>480</v>
      </c>
      <c r="P5745" t="str">
        <f t="shared" si="713"/>
        <v>25fps 1080p - SD VGA (cropped)</v>
      </c>
      <c r="Q5745">
        <f t="shared" si="714"/>
        <v>25</v>
      </c>
      <c r="R5745" t="str">
        <f t="shared" si="715"/>
        <v/>
      </c>
      <c r="S5745" t="str">
        <f t="shared" si="716"/>
        <v/>
      </c>
      <c r="T5745" s="403" t="str">
        <f t="shared" si="717"/>
        <v>NDP-4502-Z12C</v>
      </c>
      <c r="U5745" s="403">
        <f t="shared" si="718"/>
        <v>1</v>
      </c>
      <c r="V5745" s="403" t="str">
        <f t="shared" si="719"/>
        <v>CPP_7_3</v>
      </c>
    </row>
    <row r="5746" spans="1:22">
      <c r="A5746" t="str">
        <f t="shared" si="712"/>
        <v>NDP-4502-Z12C</v>
      </c>
      <c r="B5746" s="403" t="s">
        <v>1428</v>
      </c>
      <c r="C5746" s="403" t="s">
        <v>582</v>
      </c>
      <c r="D5746" s="403" t="s">
        <v>1429</v>
      </c>
      <c r="E5746" s="403" t="s">
        <v>778</v>
      </c>
      <c r="F5746" s="403" t="s">
        <v>1287</v>
      </c>
      <c r="G5746" s="403" t="s">
        <v>1466</v>
      </c>
      <c r="H5746" s="403" t="s">
        <v>1281</v>
      </c>
      <c r="I5746" s="403">
        <v>1</v>
      </c>
      <c r="J5746" s="403" t="s">
        <v>109</v>
      </c>
      <c r="K5746" s="403">
        <v>1280</v>
      </c>
      <c r="L5746" s="403">
        <v>720</v>
      </c>
      <c r="M5746" s="403" t="s">
        <v>109</v>
      </c>
      <c r="N5746" s="403">
        <v>1280</v>
      </c>
      <c r="O5746" s="403">
        <v>720</v>
      </c>
      <c r="P5746" t="str">
        <f t="shared" si="713"/>
        <v>25fps 720p - 720p</v>
      </c>
      <c r="Q5746">
        <f t="shared" si="714"/>
        <v>25</v>
      </c>
      <c r="R5746" t="str">
        <f t="shared" si="715"/>
        <v/>
      </c>
      <c r="S5746" t="str">
        <f t="shared" si="716"/>
        <v/>
      </c>
      <c r="T5746" s="403" t="str">
        <f t="shared" si="717"/>
        <v>NDP-4502-Z12C</v>
      </c>
      <c r="U5746" s="403">
        <f t="shared" si="718"/>
        <v>1</v>
      </c>
      <c r="V5746" s="403" t="str">
        <f t="shared" si="719"/>
        <v>CPP_7_3</v>
      </c>
    </row>
    <row r="5747" spans="1:22">
      <c r="A5747" t="str">
        <f t="shared" si="712"/>
        <v>NDP-4502-Z12C</v>
      </c>
      <c r="B5747" s="403" t="s">
        <v>1428</v>
      </c>
      <c r="C5747" s="403" t="s">
        <v>582</v>
      </c>
      <c r="D5747" s="403" t="s">
        <v>1429</v>
      </c>
      <c r="E5747" s="403" t="s">
        <v>778</v>
      </c>
      <c r="F5747" s="403" t="s">
        <v>1287</v>
      </c>
      <c r="G5747" s="403" t="s">
        <v>1466</v>
      </c>
      <c r="H5747" s="403" t="s">
        <v>1281</v>
      </c>
      <c r="I5747" s="403">
        <v>1</v>
      </c>
      <c r="J5747" s="403" t="s">
        <v>109</v>
      </c>
      <c r="K5747" s="403">
        <v>1280</v>
      </c>
      <c r="L5747" s="403">
        <v>720</v>
      </c>
      <c r="M5747" s="403" t="s">
        <v>111</v>
      </c>
      <c r="N5747" s="403">
        <v>768</v>
      </c>
      <c r="O5747" s="403">
        <v>432</v>
      </c>
      <c r="P5747" t="str">
        <f t="shared" si="713"/>
        <v>25fps 720p - SD</v>
      </c>
      <c r="Q5747">
        <f t="shared" si="714"/>
        <v>25</v>
      </c>
      <c r="R5747" t="str">
        <f t="shared" si="715"/>
        <v/>
      </c>
      <c r="S5747" t="str">
        <f t="shared" si="716"/>
        <v/>
      </c>
      <c r="T5747" s="403" t="str">
        <f t="shared" si="717"/>
        <v>NDP-4502-Z12C</v>
      </c>
      <c r="U5747" s="403">
        <f t="shared" si="718"/>
        <v>1</v>
      </c>
      <c r="V5747" s="403" t="str">
        <f t="shared" si="719"/>
        <v>CPP_7_3</v>
      </c>
    </row>
    <row r="5748" spans="1:22">
      <c r="A5748" t="str">
        <f t="shared" si="712"/>
        <v>NDP-4502-Z12C</v>
      </c>
      <c r="B5748" s="403" t="s">
        <v>1428</v>
      </c>
      <c r="C5748" s="403" t="s">
        <v>582</v>
      </c>
      <c r="D5748" s="403" t="s">
        <v>1429</v>
      </c>
      <c r="E5748" s="403" t="s">
        <v>778</v>
      </c>
      <c r="F5748" s="403" t="s">
        <v>1287</v>
      </c>
      <c r="G5748" s="403" t="s">
        <v>1466</v>
      </c>
      <c r="H5748" s="403" t="s">
        <v>1281</v>
      </c>
      <c r="I5748" s="403">
        <v>1</v>
      </c>
      <c r="J5748" s="403" t="s">
        <v>109</v>
      </c>
      <c r="K5748" s="403">
        <v>1280</v>
      </c>
      <c r="L5748" s="403">
        <v>720</v>
      </c>
      <c r="M5748" s="403" t="s">
        <v>1283</v>
      </c>
      <c r="N5748" s="403">
        <v>720</v>
      </c>
      <c r="O5748" s="403">
        <v>576</v>
      </c>
      <c r="P5748" t="str">
        <f t="shared" si="713"/>
        <v>25fps 720p - SD 4CIF resolution 4:3 format (cropped)</v>
      </c>
      <c r="Q5748">
        <f t="shared" si="714"/>
        <v>25</v>
      </c>
      <c r="R5748" t="str">
        <f t="shared" si="715"/>
        <v/>
      </c>
      <c r="S5748" t="str">
        <f t="shared" si="716"/>
        <v/>
      </c>
      <c r="T5748" s="403" t="str">
        <f t="shared" si="717"/>
        <v>NDP-4502-Z12C</v>
      </c>
      <c r="U5748" s="403">
        <f t="shared" si="718"/>
        <v>1</v>
      </c>
      <c r="V5748" s="403" t="str">
        <f t="shared" si="719"/>
        <v>CPP_7_3</v>
      </c>
    </row>
    <row r="5749" spans="1:22">
      <c r="A5749" t="str">
        <f t="shared" si="712"/>
        <v>NDP-4502-Z12C</v>
      </c>
      <c r="B5749" s="403" t="s">
        <v>1428</v>
      </c>
      <c r="C5749" s="403" t="s">
        <v>582</v>
      </c>
      <c r="D5749" s="403" t="s">
        <v>1429</v>
      </c>
      <c r="E5749" s="403" t="s">
        <v>778</v>
      </c>
      <c r="F5749" s="403" t="s">
        <v>1287</v>
      </c>
      <c r="G5749" s="403" t="s">
        <v>1466</v>
      </c>
      <c r="H5749" s="403" t="s">
        <v>1281</v>
      </c>
      <c r="I5749" s="403">
        <v>1</v>
      </c>
      <c r="J5749" s="403" t="s">
        <v>109</v>
      </c>
      <c r="K5749" s="403">
        <v>1280</v>
      </c>
      <c r="L5749" s="403">
        <v>720</v>
      </c>
      <c r="M5749" s="403" t="s">
        <v>1284</v>
      </c>
      <c r="N5749" s="403">
        <v>640</v>
      </c>
      <c r="O5749" s="403">
        <v>480</v>
      </c>
      <c r="P5749" t="str">
        <f t="shared" si="713"/>
        <v>25fps 720p - SD VGA (cropped)</v>
      </c>
      <c r="Q5749">
        <f t="shared" si="714"/>
        <v>25</v>
      </c>
      <c r="R5749" t="str">
        <f t="shared" si="715"/>
        <v/>
      </c>
      <c r="S5749" t="str">
        <f t="shared" si="716"/>
        <v/>
      </c>
      <c r="T5749" s="403" t="str">
        <f t="shared" si="717"/>
        <v>NDP-4502-Z12C</v>
      </c>
      <c r="U5749" s="403">
        <f t="shared" si="718"/>
        <v>1</v>
      </c>
      <c r="V5749" s="403" t="str">
        <f t="shared" si="719"/>
        <v>CPP_7_3</v>
      </c>
    </row>
    <row r="5750" spans="1:22">
      <c r="A5750" t="str">
        <f t="shared" si="712"/>
        <v>NDP-4502-Z12C</v>
      </c>
      <c r="B5750" s="403" t="s">
        <v>1428</v>
      </c>
      <c r="C5750" s="403" t="s">
        <v>582</v>
      </c>
      <c r="D5750" s="403" t="s">
        <v>1429</v>
      </c>
      <c r="E5750" s="403" t="s">
        <v>778</v>
      </c>
      <c r="F5750" s="403" t="s">
        <v>1287</v>
      </c>
      <c r="G5750" s="403" t="s">
        <v>1466</v>
      </c>
      <c r="H5750" s="403" t="s">
        <v>1282</v>
      </c>
      <c r="I5750" s="403">
        <v>1</v>
      </c>
      <c r="J5750" s="403" t="s">
        <v>110</v>
      </c>
      <c r="K5750" s="403">
        <v>1920</v>
      </c>
      <c r="L5750" s="403">
        <v>1080</v>
      </c>
      <c r="M5750" s="403" t="s">
        <v>111</v>
      </c>
      <c r="N5750" s="403">
        <v>768</v>
      </c>
      <c r="O5750" s="403">
        <v>432</v>
      </c>
      <c r="P5750" t="str">
        <f t="shared" si="713"/>
        <v>25fps 1080p - SD</v>
      </c>
      <c r="Q5750">
        <f t="shared" si="714"/>
        <v>25</v>
      </c>
      <c r="R5750" t="str">
        <f t="shared" si="715"/>
        <v/>
      </c>
      <c r="S5750" t="str">
        <f t="shared" si="716"/>
        <v/>
      </c>
      <c r="T5750" s="403" t="str">
        <f t="shared" si="717"/>
        <v>NDP-4502-Z12C</v>
      </c>
      <c r="U5750" s="403">
        <f t="shared" si="718"/>
        <v>1</v>
      </c>
      <c r="V5750" s="403" t="str">
        <f t="shared" si="719"/>
        <v>CPP_7_3</v>
      </c>
    </row>
    <row r="5751" spans="1:22">
      <c r="A5751" t="str">
        <f t="shared" si="712"/>
        <v>NDP-4502-Z12C</v>
      </c>
      <c r="B5751" s="403" t="s">
        <v>1428</v>
      </c>
      <c r="C5751" s="403" t="s">
        <v>582</v>
      </c>
      <c r="D5751" s="403" t="s">
        <v>1429</v>
      </c>
      <c r="E5751" s="403" t="s">
        <v>778</v>
      </c>
      <c r="F5751" s="403" t="s">
        <v>1287</v>
      </c>
      <c r="G5751" s="403" t="s">
        <v>1466</v>
      </c>
      <c r="H5751" s="403" t="s">
        <v>1282</v>
      </c>
      <c r="I5751" s="403">
        <v>1</v>
      </c>
      <c r="J5751" s="403" t="s">
        <v>110</v>
      </c>
      <c r="K5751" s="403">
        <v>1920</v>
      </c>
      <c r="L5751" s="403">
        <v>1080</v>
      </c>
      <c r="M5751" s="403" t="s">
        <v>110</v>
      </c>
      <c r="N5751" s="403">
        <v>1920</v>
      </c>
      <c r="O5751" s="403">
        <v>1080</v>
      </c>
      <c r="P5751" t="str">
        <f t="shared" si="713"/>
        <v>25fps 1080p - 1080p</v>
      </c>
      <c r="Q5751">
        <f t="shared" si="714"/>
        <v>25</v>
      </c>
      <c r="R5751" t="str">
        <f t="shared" si="715"/>
        <v/>
      </c>
      <c r="S5751" t="str">
        <f t="shared" si="716"/>
        <v/>
      </c>
      <c r="T5751" s="403" t="str">
        <f t="shared" si="717"/>
        <v>NDP-4502-Z12C</v>
      </c>
      <c r="U5751" s="403">
        <f t="shared" si="718"/>
        <v>1</v>
      </c>
      <c r="V5751" s="403" t="str">
        <f t="shared" si="719"/>
        <v>CPP_7_3</v>
      </c>
    </row>
    <row r="5752" spans="1:22">
      <c r="A5752" t="str">
        <f t="shared" si="712"/>
        <v>NDP-4502-Z12C</v>
      </c>
      <c r="B5752" s="403" t="s">
        <v>1428</v>
      </c>
      <c r="C5752" s="403" t="s">
        <v>582</v>
      </c>
      <c r="D5752" s="403" t="s">
        <v>1429</v>
      </c>
      <c r="E5752" s="403" t="s">
        <v>778</v>
      </c>
      <c r="F5752" s="403" t="s">
        <v>1287</v>
      </c>
      <c r="G5752" s="403" t="s">
        <v>1466</v>
      </c>
      <c r="H5752" s="403" t="s">
        <v>1282</v>
      </c>
      <c r="I5752" s="403">
        <v>1</v>
      </c>
      <c r="J5752" s="403" t="s">
        <v>110</v>
      </c>
      <c r="K5752" s="403">
        <v>1920</v>
      </c>
      <c r="L5752" s="403">
        <v>1080</v>
      </c>
      <c r="M5752" s="403" t="s">
        <v>109</v>
      </c>
      <c r="N5752" s="403">
        <v>1280</v>
      </c>
      <c r="O5752" s="403">
        <v>720</v>
      </c>
      <c r="P5752" t="str">
        <f t="shared" si="713"/>
        <v>25fps 1080p - 720p</v>
      </c>
      <c r="Q5752">
        <f t="shared" si="714"/>
        <v>25</v>
      </c>
      <c r="R5752" t="str">
        <f t="shared" si="715"/>
        <v/>
      </c>
      <c r="S5752" t="str">
        <f t="shared" si="716"/>
        <v/>
      </c>
      <c r="T5752" s="403" t="str">
        <f t="shared" si="717"/>
        <v>NDP-4502-Z12C</v>
      </c>
      <c r="U5752" s="403">
        <f t="shared" si="718"/>
        <v>1</v>
      </c>
      <c r="V5752" s="403" t="str">
        <f t="shared" si="719"/>
        <v>CPP_7_3</v>
      </c>
    </row>
    <row r="5753" spans="1:22">
      <c r="A5753" t="str">
        <f t="shared" si="712"/>
        <v>NDP-4502-Z12C</v>
      </c>
      <c r="B5753" s="403" t="s">
        <v>1428</v>
      </c>
      <c r="C5753" s="403" t="s">
        <v>582</v>
      </c>
      <c r="D5753" s="403" t="s">
        <v>1429</v>
      </c>
      <c r="E5753" s="403" t="s">
        <v>778</v>
      </c>
      <c r="F5753" s="403" t="s">
        <v>1287</v>
      </c>
      <c r="G5753" s="403" t="s">
        <v>1466</v>
      </c>
      <c r="H5753" s="403" t="s">
        <v>1282</v>
      </c>
      <c r="I5753" s="403">
        <v>1</v>
      </c>
      <c r="J5753" s="403" t="s">
        <v>110</v>
      </c>
      <c r="K5753" s="403">
        <v>1920</v>
      </c>
      <c r="L5753" s="403">
        <v>1080</v>
      </c>
      <c r="M5753" s="403" t="s">
        <v>1285</v>
      </c>
      <c r="N5753" s="403">
        <v>1280</v>
      </c>
      <c r="O5753" s="403">
        <v>1024</v>
      </c>
      <c r="P5753" t="str">
        <f t="shared" si="713"/>
        <v>25fps 1080p - 1280x1024 5:4 (cropped)</v>
      </c>
      <c r="Q5753">
        <f t="shared" si="714"/>
        <v>25</v>
      </c>
      <c r="R5753" t="str">
        <f t="shared" si="715"/>
        <v/>
      </c>
      <c r="S5753" t="str">
        <f t="shared" si="716"/>
        <v/>
      </c>
      <c r="T5753" s="403" t="str">
        <f t="shared" si="717"/>
        <v>NDP-4502-Z12C</v>
      </c>
      <c r="U5753" s="403">
        <f t="shared" si="718"/>
        <v>1</v>
      </c>
      <c r="V5753" s="403" t="str">
        <f t="shared" si="719"/>
        <v>CPP_7_3</v>
      </c>
    </row>
    <row r="5754" spans="1:22">
      <c r="A5754" t="str">
        <f t="shared" si="712"/>
        <v>NDP-4502-Z12C</v>
      </c>
      <c r="B5754" s="403" t="s">
        <v>1428</v>
      </c>
      <c r="C5754" s="403" t="s">
        <v>582</v>
      </c>
      <c r="D5754" s="403" t="s">
        <v>1429</v>
      </c>
      <c r="E5754" s="403" t="s">
        <v>778</v>
      </c>
      <c r="F5754" s="403" t="s">
        <v>1287</v>
      </c>
      <c r="G5754" s="403" t="s">
        <v>1466</v>
      </c>
      <c r="H5754" s="403" t="s">
        <v>1282</v>
      </c>
      <c r="I5754" s="403">
        <v>1</v>
      </c>
      <c r="J5754" s="403" t="s">
        <v>110</v>
      </c>
      <c r="K5754" s="403">
        <v>1920</v>
      </c>
      <c r="L5754" s="403">
        <v>1080</v>
      </c>
      <c r="M5754" s="403" t="s">
        <v>1283</v>
      </c>
      <c r="N5754" s="403">
        <v>720</v>
      </c>
      <c r="O5754" s="403">
        <v>576</v>
      </c>
      <c r="P5754" t="str">
        <f t="shared" si="713"/>
        <v>25fps 1080p - SD 4CIF resolution 4:3 format (cropped)</v>
      </c>
      <c r="Q5754">
        <f t="shared" si="714"/>
        <v>25</v>
      </c>
      <c r="R5754" t="str">
        <f t="shared" si="715"/>
        <v/>
      </c>
      <c r="S5754" t="str">
        <f t="shared" si="716"/>
        <v/>
      </c>
      <c r="T5754" s="403" t="str">
        <f t="shared" si="717"/>
        <v>NDP-4502-Z12C</v>
      </c>
      <c r="U5754" s="403">
        <f t="shared" si="718"/>
        <v>1</v>
      </c>
      <c r="V5754" s="403" t="str">
        <f t="shared" si="719"/>
        <v>CPP_7_3</v>
      </c>
    </row>
    <row r="5755" spans="1:22">
      <c r="A5755" t="str">
        <f t="shared" si="712"/>
        <v>NDP-4502-Z12C</v>
      </c>
      <c r="B5755" s="403" t="s">
        <v>1428</v>
      </c>
      <c r="C5755" s="403" t="s">
        <v>582</v>
      </c>
      <c r="D5755" s="403" t="s">
        <v>1429</v>
      </c>
      <c r="E5755" s="403" t="s">
        <v>778</v>
      </c>
      <c r="F5755" s="403" t="s">
        <v>1287</v>
      </c>
      <c r="G5755" s="403" t="s">
        <v>1466</v>
      </c>
      <c r="H5755" s="403" t="s">
        <v>1282</v>
      </c>
      <c r="I5755" s="403">
        <v>1</v>
      </c>
      <c r="J5755" s="403" t="s">
        <v>110</v>
      </c>
      <c r="K5755" s="403">
        <v>1920</v>
      </c>
      <c r="L5755" s="403">
        <v>1080</v>
      </c>
      <c r="M5755" s="403" t="s">
        <v>1284</v>
      </c>
      <c r="N5755" s="403">
        <v>640</v>
      </c>
      <c r="O5755" s="403">
        <v>480</v>
      </c>
      <c r="P5755" t="str">
        <f t="shared" si="713"/>
        <v>25fps 1080p - SD VGA (cropped)</v>
      </c>
      <c r="Q5755">
        <f t="shared" si="714"/>
        <v>25</v>
      </c>
      <c r="R5755" t="str">
        <f t="shared" si="715"/>
        <v/>
      </c>
      <c r="S5755" t="str">
        <f t="shared" si="716"/>
        <v/>
      </c>
      <c r="T5755" s="403" t="str">
        <f t="shared" si="717"/>
        <v>NDP-4502-Z12C</v>
      </c>
      <c r="U5755" s="403">
        <f t="shared" si="718"/>
        <v>1</v>
      </c>
      <c r="V5755" s="403" t="str">
        <f t="shared" si="719"/>
        <v>CPP_7_3</v>
      </c>
    </row>
    <row r="5756" spans="1:22">
      <c r="A5756" t="str">
        <f t="shared" si="712"/>
        <v>NDP-4502-Z12C</v>
      </c>
      <c r="B5756" s="403" t="s">
        <v>1428</v>
      </c>
      <c r="C5756" s="403" t="s">
        <v>582</v>
      </c>
      <c r="D5756" s="403" t="s">
        <v>1429</v>
      </c>
      <c r="E5756" s="403" t="s">
        <v>778</v>
      </c>
      <c r="F5756" s="403" t="s">
        <v>1287</v>
      </c>
      <c r="G5756" s="403" t="s">
        <v>1466</v>
      </c>
      <c r="H5756" s="403" t="s">
        <v>1282</v>
      </c>
      <c r="I5756" s="403">
        <v>1</v>
      </c>
      <c r="J5756" s="403" t="s">
        <v>109</v>
      </c>
      <c r="K5756" s="403">
        <v>1280</v>
      </c>
      <c r="L5756" s="403">
        <v>720</v>
      </c>
      <c r="M5756" s="403" t="s">
        <v>109</v>
      </c>
      <c r="N5756" s="403">
        <v>1280</v>
      </c>
      <c r="O5756" s="403">
        <v>720</v>
      </c>
      <c r="P5756" t="str">
        <f t="shared" si="713"/>
        <v>25fps 720p - 720p</v>
      </c>
      <c r="Q5756">
        <f t="shared" si="714"/>
        <v>25</v>
      </c>
      <c r="R5756" t="str">
        <f t="shared" si="715"/>
        <v/>
      </c>
      <c r="S5756" t="str">
        <f t="shared" si="716"/>
        <v/>
      </c>
      <c r="T5756" s="403" t="str">
        <f t="shared" si="717"/>
        <v>NDP-4502-Z12C</v>
      </c>
      <c r="U5756" s="403">
        <f t="shared" si="718"/>
        <v>1</v>
      </c>
      <c r="V5756" s="403" t="str">
        <f t="shared" si="719"/>
        <v>CPP_7_3</v>
      </c>
    </row>
    <row r="5757" spans="1:22">
      <c r="A5757" t="str">
        <f t="shared" si="712"/>
        <v>NDP-4502-Z12C</v>
      </c>
      <c r="B5757" s="403" t="s">
        <v>1428</v>
      </c>
      <c r="C5757" s="403" t="s">
        <v>582</v>
      </c>
      <c r="D5757" s="403" t="s">
        <v>1429</v>
      </c>
      <c r="E5757" s="403" t="s">
        <v>778</v>
      </c>
      <c r="F5757" s="403" t="s">
        <v>1287</v>
      </c>
      <c r="G5757" s="403" t="s">
        <v>1466</v>
      </c>
      <c r="H5757" s="403" t="s">
        <v>1282</v>
      </c>
      <c r="I5757" s="403">
        <v>1</v>
      </c>
      <c r="J5757" s="403" t="s">
        <v>109</v>
      </c>
      <c r="K5757" s="403">
        <v>1280</v>
      </c>
      <c r="L5757" s="403">
        <v>720</v>
      </c>
      <c r="M5757" s="403" t="s">
        <v>111</v>
      </c>
      <c r="N5757" s="403">
        <v>768</v>
      </c>
      <c r="O5757" s="403">
        <v>432</v>
      </c>
      <c r="P5757" t="str">
        <f t="shared" si="713"/>
        <v>25fps 720p - SD</v>
      </c>
      <c r="Q5757">
        <f t="shared" si="714"/>
        <v>25</v>
      </c>
      <c r="R5757" t="str">
        <f t="shared" si="715"/>
        <v/>
      </c>
      <c r="S5757" t="str">
        <f t="shared" si="716"/>
        <v/>
      </c>
      <c r="T5757" s="403" t="str">
        <f t="shared" si="717"/>
        <v>NDP-4502-Z12C</v>
      </c>
      <c r="U5757" s="403">
        <f t="shared" si="718"/>
        <v>1</v>
      </c>
      <c r="V5757" s="403" t="str">
        <f t="shared" si="719"/>
        <v>CPP_7_3</v>
      </c>
    </row>
    <row r="5758" spans="1:22">
      <c r="A5758" t="str">
        <f t="shared" si="712"/>
        <v>NDP-4502-Z12C</v>
      </c>
      <c r="B5758" s="403" t="s">
        <v>1428</v>
      </c>
      <c r="C5758" s="403" t="s">
        <v>582</v>
      </c>
      <c r="D5758" s="403" t="s">
        <v>1429</v>
      </c>
      <c r="E5758" s="403" t="s">
        <v>778</v>
      </c>
      <c r="F5758" s="403" t="s">
        <v>1287</v>
      </c>
      <c r="G5758" s="403" t="s">
        <v>1466</v>
      </c>
      <c r="H5758" s="403" t="s">
        <v>1282</v>
      </c>
      <c r="I5758" s="403">
        <v>1</v>
      </c>
      <c r="J5758" s="403" t="s">
        <v>109</v>
      </c>
      <c r="K5758" s="403">
        <v>1280</v>
      </c>
      <c r="L5758" s="403">
        <v>720</v>
      </c>
      <c r="M5758" s="403" t="s">
        <v>1283</v>
      </c>
      <c r="N5758" s="403">
        <v>720</v>
      </c>
      <c r="O5758" s="403">
        <v>576</v>
      </c>
      <c r="P5758" t="str">
        <f t="shared" si="713"/>
        <v>25fps 720p - SD 4CIF resolution 4:3 format (cropped)</v>
      </c>
      <c r="Q5758">
        <f t="shared" si="714"/>
        <v>25</v>
      </c>
      <c r="R5758" t="str">
        <f t="shared" si="715"/>
        <v/>
      </c>
      <c r="S5758" t="str">
        <f t="shared" si="716"/>
        <v/>
      </c>
      <c r="T5758" s="403" t="str">
        <f t="shared" si="717"/>
        <v>NDP-4502-Z12C</v>
      </c>
      <c r="U5758" s="403">
        <f t="shared" si="718"/>
        <v>1</v>
      </c>
      <c r="V5758" s="403" t="str">
        <f t="shared" si="719"/>
        <v>CPP_7_3</v>
      </c>
    </row>
    <row r="5759" spans="1:22">
      <c r="A5759" t="str">
        <f t="shared" si="712"/>
        <v>NDP-4502-Z12C</v>
      </c>
      <c r="B5759" s="403" t="s">
        <v>1428</v>
      </c>
      <c r="C5759" s="403" t="s">
        <v>582</v>
      </c>
      <c r="D5759" s="403" t="s">
        <v>1429</v>
      </c>
      <c r="E5759" s="403" t="s">
        <v>778</v>
      </c>
      <c r="F5759" s="403" t="s">
        <v>1287</v>
      </c>
      <c r="G5759" s="403" t="s">
        <v>1466</v>
      </c>
      <c r="H5759" s="403" t="s">
        <v>1282</v>
      </c>
      <c r="I5759" s="403">
        <v>1</v>
      </c>
      <c r="J5759" s="403" t="s">
        <v>109</v>
      </c>
      <c r="K5759" s="403">
        <v>1280</v>
      </c>
      <c r="L5759" s="403">
        <v>720</v>
      </c>
      <c r="M5759" s="403" t="s">
        <v>1284</v>
      </c>
      <c r="N5759" s="403">
        <v>640</v>
      </c>
      <c r="O5759" s="403">
        <v>480</v>
      </c>
      <c r="P5759" t="str">
        <f t="shared" si="713"/>
        <v>25fps 720p - SD VGA (cropped)</v>
      </c>
      <c r="Q5759">
        <f t="shared" si="714"/>
        <v>25</v>
      </c>
      <c r="R5759" t="str">
        <f t="shared" si="715"/>
        <v/>
      </c>
      <c r="S5759" t="str">
        <f t="shared" si="716"/>
        <v/>
      </c>
      <c r="T5759" s="403" t="str">
        <f t="shared" si="717"/>
        <v>NDP-4502-Z12C</v>
      </c>
      <c r="U5759" s="403">
        <f t="shared" si="718"/>
        <v>1</v>
      </c>
      <c r="V5759" s="403" t="str">
        <f t="shared" si="719"/>
        <v>CPP_7_3</v>
      </c>
    </row>
    <row r="5760" spans="1:22">
      <c r="A5760" t="str">
        <f t="shared" si="712"/>
        <v>NDP-4502-Z12C</v>
      </c>
      <c r="B5760" s="403" t="s">
        <v>1428</v>
      </c>
      <c r="C5760" s="403" t="s">
        <v>582</v>
      </c>
      <c r="D5760" s="403" t="s">
        <v>1429</v>
      </c>
      <c r="E5760" s="403" t="s">
        <v>778</v>
      </c>
      <c r="F5760" s="403" t="s">
        <v>1288</v>
      </c>
      <c r="G5760" s="403" t="s">
        <v>1466</v>
      </c>
      <c r="H5760" s="403" t="s">
        <v>1276</v>
      </c>
      <c r="I5760" s="403">
        <v>1</v>
      </c>
      <c r="J5760" s="403" t="s">
        <v>110</v>
      </c>
      <c r="K5760" s="403">
        <v>1920</v>
      </c>
      <c r="L5760" s="403">
        <v>1080</v>
      </c>
      <c r="M5760" s="403" t="s">
        <v>111</v>
      </c>
      <c r="N5760" s="403">
        <v>768</v>
      </c>
      <c r="O5760" s="403">
        <v>432</v>
      </c>
      <c r="P5760" t="str">
        <f t="shared" si="713"/>
        <v>60fps 1080p - SD</v>
      </c>
      <c r="Q5760">
        <f t="shared" si="714"/>
        <v>25</v>
      </c>
      <c r="R5760" t="str">
        <f t="shared" si="715"/>
        <v/>
      </c>
      <c r="S5760" t="str">
        <f t="shared" si="716"/>
        <v/>
      </c>
      <c r="T5760" s="403" t="str">
        <f t="shared" si="717"/>
        <v>NDP-4502-Z12C</v>
      </c>
      <c r="U5760" s="403">
        <f t="shared" si="718"/>
        <v>1</v>
      </c>
      <c r="V5760" s="403" t="str">
        <f t="shared" si="719"/>
        <v>CPP_7_3</v>
      </c>
    </row>
    <row r="5761" spans="1:22">
      <c r="A5761" t="str">
        <f t="shared" si="712"/>
        <v>NDP-4502-Z12C</v>
      </c>
      <c r="B5761" s="403" t="s">
        <v>1428</v>
      </c>
      <c r="C5761" s="403" t="s">
        <v>582</v>
      </c>
      <c r="D5761" s="403" t="s">
        <v>1429</v>
      </c>
      <c r="E5761" s="403" t="s">
        <v>778</v>
      </c>
      <c r="F5761" s="403" t="s">
        <v>1288</v>
      </c>
      <c r="G5761" s="403" t="s">
        <v>1466</v>
      </c>
      <c r="H5761" s="403" t="s">
        <v>1276</v>
      </c>
      <c r="I5761" s="403">
        <v>1</v>
      </c>
      <c r="J5761" s="403" t="s">
        <v>110</v>
      </c>
      <c r="K5761" s="403">
        <v>1920</v>
      </c>
      <c r="L5761" s="403">
        <v>1080</v>
      </c>
      <c r="M5761" s="403" t="s">
        <v>110</v>
      </c>
      <c r="N5761" s="403">
        <v>1920</v>
      </c>
      <c r="O5761" s="403">
        <v>1080</v>
      </c>
      <c r="P5761" t="str">
        <f t="shared" si="713"/>
        <v>60fps 1080p - 1080p</v>
      </c>
      <c r="Q5761">
        <f t="shared" si="714"/>
        <v>25</v>
      </c>
      <c r="R5761" t="str">
        <f t="shared" si="715"/>
        <v/>
      </c>
      <c r="S5761" t="str">
        <f t="shared" si="716"/>
        <v/>
      </c>
      <c r="T5761" s="403" t="str">
        <f t="shared" si="717"/>
        <v>NDP-4502-Z12C</v>
      </c>
      <c r="U5761" s="403">
        <f t="shared" si="718"/>
        <v>1</v>
      </c>
      <c r="V5761" s="403" t="str">
        <f t="shared" si="719"/>
        <v>CPP_7_3</v>
      </c>
    </row>
    <row r="5762" spans="1:22">
      <c r="A5762" t="str">
        <f t="shared" ref="A5762:A5825" si="720">IF(AND(G5762&lt;&gt;"rotate 90°"),D5762,"")</f>
        <v>NDP-4502-Z12C</v>
      </c>
      <c r="B5762" s="403" t="s">
        <v>1428</v>
      </c>
      <c r="C5762" s="403" t="s">
        <v>582</v>
      </c>
      <c r="D5762" s="403" t="s">
        <v>1429</v>
      </c>
      <c r="E5762" s="403" t="s">
        <v>778</v>
      </c>
      <c r="F5762" s="403" t="s">
        <v>1288</v>
      </c>
      <c r="G5762" s="403" t="s">
        <v>1466</v>
      </c>
      <c r="H5762" s="403" t="s">
        <v>1276</v>
      </c>
      <c r="I5762" s="403">
        <v>1</v>
      </c>
      <c r="J5762" s="403" t="s">
        <v>110</v>
      </c>
      <c r="K5762" s="403">
        <v>1920</v>
      </c>
      <c r="L5762" s="403">
        <v>1080</v>
      </c>
      <c r="M5762" s="403" t="s">
        <v>1289</v>
      </c>
      <c r="N5762" s="403">
        <v>1280</v>
      </c>
      <c r="O5762" s="403">
        <v>720</v>
      </c>
      <c r="P5762" t="str">
        <f t="shared" ref="P5762:P5825" si="721">LEFT(F5762,5)&amp;" "&amp;J5762&amp;" - "&amp;M5762</f>
        <v>60fps 1080p - 720p full frame rate</v>
      </c>
      <c r="Q5762">
        <f t="shared" ref="Q5762:Q5825" si="722">IF(A5761=A5762,Q5761,Q5761+1)</f>
        <v>25</v>
      </c>
      <c r="R5762" t="str">
        <f t="shared" ref="R5762:R5825" si="723">IF(Q5761&lt;&gt;Q5762,Q5762,"")</f>
        <v/>
      </c>
      <c r="S5762" t="str">
        <f t="shared" ref="S5762:S5825" si="724">IF(R5762&lt;&gt;"",B5762&amp;" ("&amp;D5762&amp;")","")</f>
        <v/>
      </c>
      <c r="T5762" s="403" t="str">
        <f t="shared" ref="T5762:T5825" si="725">D5762</f>
        <v>NDP-4502-Z12C</v>
      </c>
      <c r="U5762" s="403">
        <f t="shared" ref="U5762:U5825" si="726">I5762</f>
        <v>1</v>
      </c>
      <c r="V5762" s="403" t="str">
        <f t="shared" ref="V5762:V5825" si="727">C5762</f>
        <v>CPP_7_3</v>
      </c>
    </row>
    <row r="5763" spans="1:22">
      <c r="A5763" t="str">
        <f t="shared" si="720"/>
        <v>NDP-4502-Z12C</v>
      </c>
      <c r="B5763" s="403" t="s">
        <v>1428</v>
      </c>
      <c r="C5763" s="403" t="s">
        <v>582</v>
      </c>
      <c r="D5763" s="403" t="s">
        <v>1429</v>
      </c>
      <c r="E5763" s="403" t="s">
        <v>778</v>
      </c>
      <c r="F5763" s="403" t="s">
        <v>1288</v>
      </c>
      <c r="G5763" s="403" t="s">
        <v>1466</v>
      </c>
      <c r="H5763" s="403" t="s">
        <v>1276</v>
      </c>
      <c r="I5763" s="403">
        <v>1</v>
      </c>
      <c r="J5763" s="403" t="s">
        <v>110</v>
      </c>
      <c r="K5763" s="403">
        <v>1920</v>
      </c>
      <c r="L5763" s="403">
        <v>1080</v>
      </c>
      <c r="M5763" s="403" t="s">
        <v>1285</v>
      </c>
      <c r="N5763" s="403">
        <v>1280</v>
      </c>
      <c r="O5763" s="403">
        <v>1024</v>
      </c>
      <c r="P5763" t="str">
        <f t="shared" si="721"/>
        <v>60fps 1080p - 1280x1024 5:4 (cropped)</v>
      </c>
      <c r="Q5763">
        <f t="shared" si="722"/>
        <v>25</v>
      </c>
      <c r="R5763" t="str">
        <f t="shared" si="723"/>
        <v/>
      </c>
      <c r="S5763" t="str">
        <f t="shared" si="724"/>
        <v/>
      </c>
      <c r="T5763" s="403" t="str">
        <f t="shared" si="725"/>
        <v>NDP-4502-Z12C</v>
      </c>
      <c r="U5763" s="403">
        <f t="shared" si="726"/>
        <v>1</v>
      </c>
      <c r="V5763" s="403" t="str">
        <f t="shared" si="727"/>
        <v>CPP_7_3</v>
      </c>
    </row>
    <row r="5764" spans="1:22">
      <c r="A5764" t="str">
        <f t="shared" si="720"/>
        <v>NDP-4502-Z12C</v>
      </c>
      <c r="B5764" s="403" t="s">
        <v>1428</v>
      </c>
      <c r="C5764" s="403" t="s">
        <v>582</v>
      </c>
      <c r="D5764" s="403" t="s">
        <v>1429</v>
      </c>
      <c r="E5764" s="403" t="s">
        <v>778</v>
      </c>
      <c r="F5764" s="403" t="s">
        <v>1288</v>
      </c>
      <c r="G5764" s="403" t="s">
        <v>1466</v>
      </c>
      <c r="H5764" s="403" t="s">
        <v>1276</v>
      </c>
      <c r="I5764" s="403">
        <v>1</v>
      </c>
      <c r="J5764" s="403" t="s">
        <v>110</v>
      </c>
      <c r="K5764" s="403">
        <v>1920</v>
      </c>
      <c r="L5764" s="403">
        <v>1080</v>
      </c>
      <c r="M5764" s="403" t="s">
        <v>1283</v>
      </c>
      <c r="N5764" s="403">
        <v>720</v>
      </c>
      <c r="O5764" s="403">
        <v>480</v>
      </c>
      <c r="P5764" t="str">
        <f t="shared" si="721"/>
        <v>60fps 1080p - SD 4CIF resolution 4:3 format (cropped)</v>
      </c>
      <c r="Q5764">
        <f t="shared" si="722"/>
        <v>25</v>
      </c>
      <c r="R5764" t="str">
        <f t="shared" si="723"/>
        <v/>
      </c>
      <c r="S5764" t="str">
        <f t="shared" si="724"/>
        <v/>
      </c>
      <c r="T5764" s="403" t="str">
        <f t="shared" si="725"/>
        <v>NDP-4502-Z12C</v>
      </c>
      <c r="U5764" s="403">
        <f t="shared" si="726"/>
        <v>1</v>
      </c>
      <c r="V5764" s="403" t="str">
        <f t="shared" si="727"/>
        <v>CPP_7_3</v>
      </c>
    </row>
    <row r="5765" spans="1:22">
      <c r="A5765" t="str">
        <f t="shared" si="720"/>
        <v>NDP-4502-Z12C</v>
      </c>
      <c r="B5765" s="403" t="s">
        <v>1428</v>
      </c>
      <c r="C5765" s="403" t="s">
        <v>582</v>
      </c>
      <c r="D5765" s="403" t="s">
        <v>1429</v>
      </c>
      <c r="E5765" s="403" t="s">
        <v>778</v>
      </c>
      <c r="F5765" s="403" t="s">
        <v>1288</v>
      </c>
      <c r="G5765" s="403" t="s">
        <v>1466</v>
      </c>
      <c r="H5765" s="403" t="s">
        <v>1276</v>
      </c>
      <c r="I5765" s="403">
        <v>1</v>
      </c>
      <c r="J5765" s="403" t="s">
        <v>110</v>
      </c>
      <c r="K5765" s="403">
        <v>1920</v>
      </c>
      <c r="L5765" s="403">
        <v>1080</v>
      </c>
      <c r="M5765" s="403" t="s">
        <v>1284</v>
      </c>
      <c r="N5765" s="403">
        <v>640</v>
      </c>
      <c r="O5765" s="403">
        <v>480</v>
      </c>
      <c r="P5765" t="str">
        <f t="shared" si="721"/>
        <v>60fps 1080p - SD VGA (cropped)</v>
      </c>
      <c r="Q5765">
        <f t="shared" si="722"/>
        <v>25</v>
      </c>
      <c r="R5765" t="str">
        <f t="shared" si="723"/>
        <v/>
      </c>
      <c r="S5765" t="str">
        <f t="shared" si="724"/>
        <v/>
      </c>
      <c r="T5765" s="403" t="str">
        <f t="shared" si="725"/>
        <v>NDP-4502-Z12C</v>
      </c>
      <c r="U5765" s="403">
        <f t="shared" si="726"/>
        <v>1</v>
      </c>
      <c r="V5765" s="403" t="str">
        <f t="shared" si="727"/>
        <v>CPP_7_3</v>
      </c>
    </row>
    <row r="5766" spans="1:22">
      <c r="A5766" t="str">
        <f t="shared" si="720"/>
        <v>NDP-4502-Z12C</v>
      </c>
      <c r="B5766" s="403" t="s">
        <v>1428</v>
      </c>
      <c r="C5766" s="403" t="s">
        <v>582</v>
      </c>
      <c r="D5766" s="403" t="s">
        <v>1429</v>
      </c>
      <c r="E5766" s="403" t="s">
        <v>778</v>
      </c>
      <c r="F5766" s="403" t="s">
        <v>1288</v>
      </c>
      <c r="G5766" s="403" t="s">
        <v>1466</v>
      </c>
      <c r="H5766" s="403" t="s">
        <v>1276</v>
      </c>
      <c r="I5766" s="403">
        <v>1</v>
      </c>
      <c r="J5766" s="403" t="s">
        <v>1289</v>
      </c>
      <c r="K5766" s="403">
        <v>1280</v>
      </c>
      <c r="L5766" s="403">
        <v>720</v>
      </c>
      <c r="M5766" s="403" t="s">
        <v>1289</v>
      </c>
      <c r="N5766" s="403">
        <v>1280</v>
      </c>
      <c r="O5766" s="403">
        <v>720</v>
      </c>
      <c r="P5766" t="str">
        <f t="shared" si="721"/>
        <v>60fps 720p full frame rate - 720p full frame rate</v>
      </c>
      <c r="Q5766">
        <f t="shared" si="722"/>
        <v>25</v>
      </c>
      <c r="R5766" t="str">
        <f t="shared" si="723"/>
        <v/>
      </c>
      <c r="S5766" t="str">
        <f t="shared" si="724"/>
        <v/>
      </c>
      <c r="T5766" s="403" t="str">
        <f t="shared" si="725"/>
        <v>NDP-4502-Z12C</v>
      </c>
      <c r="U5766" s="403">
        <f t="shared" si="726"/>
        <v>1</v>
      </c>
      <c r="V5766" s="403" t="str">
        <f t="shared" si="727"/>
        <v>CPP_7_3</v>
      </c>
    </row>
    <row r="5767" spans="1:22">
      <c r="A5767" t="str">
        <f t="shared" si="720"/>
        <v>NDP-4502-Z12C</v>
      </c>
      <c r="B5767" s="403" t="s">
        <v>1428</v>
      </c>
      <c r="C5767" s="403" t="s">
        <v>582</v>
      </c>
      <c r="D5767" s="403" t="s">
        <v>1429</v>
      </c>
      <c r="E5767" s="403" t="s">
        <v>778</v>
      </c>
      <c r="F5767" s="403" t="s">
        <v>1288</v>
      </c>
      <c r="G5767" s="403" t="s">
        <v>1466</v>
      </c>
      <c r="H5767" s="403" t="s">
        <v>1276</v>
      </c>
      <c r="I5767" s="403">
        <v>1</v>
      </c>
      <c r="J5767" s="403" t="s">
        <v>1289</v>
      </c>
      <c r="K5767" s="403">
        <v>1280</v>
      </c>
      <c r="L5767" s="403">
        <v>720</v>
      </c>
      <c r="M5767" s="403" t="s">
        <v>111</v>
      </c>
      <c r="N5767" s="403">
        <v>768</v>
      </c>
      <c r="O5767" s="403">
        <v>432</v>
      </c>
      <c r="P5767" t="str">
        <f t="shared" si="721"/>
        <v>60fps 720p full frame rate - SD</v>
      </c>
      <c r="Q5767">
        <f t="shared" si="722"/>
        <v>25</v>
      </c>
      <c r="R5767" t="str">
        <f t="shared" si="723"/>
        <v/>
      </c>
      <c r="S5767" t="str">
        <f t="shared" si="724"/>
        <v/>
      </c>
      <c r="T5767" s="403" t="str">
        <f t="shared" si="725"/>
        <v>NDP-4502-Z12C</v>
      </c>
      <c r="U5767" s="403">
        <f t="shared" si="726"/>
        <v>1</v>
      </c>
      <c r="V5767" s="403" t="str">
        <f t="shared" si="727"/>
        <v>CPP_7_3</v>
      </c>
    </row>
    <row r="5768" spans="1:22">
      <c r="A5768" t="str">
        <f t="shared" si="720"/>
        <v>NDP-4502-Z12C</v>
      </c>
      <c r="B5768" s="403" t="s">
        <v>1428</v>
      </c>
      <c r="C5768" s="403" t="s">
        <v>582</v>
      </c>
      <c r="D5768" s="403" t="s">
        <v>1429</v>
      </c>
      <c r="E5768" s="403" t="s">
        <v>778</v>
      </c>
      <c r="F5768" s="403" t="s">
        <v>1288</v>
      </c>
      <c r="G5768" s="403" t="s">
        <v>1466</v>
      </c>
      <c r="H5768" s="403" t="s">
        <v>1276</v>
      </c>
      <c r="I5768" s="403">
        <v>1</v>
      </c>
      <c r="J5768" s="403" t="s">
        <v>1289</v>
      </c>
      <c r="K5768" s="403">
        <v>1280</v>
      </c>
      <c r="L5768" s="403">
        <v>720</v>
      </c>
      <c r="M5768" s="403" t="s">
        <v>1283</v>
      </c>
      <c r="N5768" s="403">
        <v>720</v>
      </c>
      <c r="O5768" s="403">
        <v>480</v>
      </c>
      <c r="P5768" t="str">
        <f t="shared" si="721"/>
        <v>60fps 720p full frame rate - SD 4CIF resolution 4:3 format (cropped)</v>
      </c>
      <c r="Q5768">
        <f t="shared" si="722"/>
        <v>25</v>
      </c>
      <c r="R5768" t="str">
        <f t="shared" si="723"/>
        <v/>
      </c>
      <c r="S5768" t="str">
        <f t="shared" si="724"/>
        <v/>
      </c>
      <c r="T5768" s="403" t="str">
        <f t="shared" si="725"/>
        <v>NDP-4502-Z12C</v>
      </c>
      <c r="U5768" s="403">
        <f t="shared" si="726"/>
        <v>1</v>
      </c>
      <c r="V5768" s="403" t="str">
        <f t="shared" si="727"/>
        <v>CPP_7_3</v>
      </c>
    </row>
    <row r="5769" spans="1:22">
      <c r="A5769" t="str">
        <f t="shared" si="720"/>
        <v>NDP-4502-Z12C</v>
      </c>
      <c r="B5769" s="403" t="s">
        <v>1428</v>
      </c>
      <c r="C5769" s="403" t="s">
        <v>582</v>
      </c>
      <c r="D5769" s="403" t="s">
        <v>1429</v>
      </c>
      <c r="E5769" s="403" t="s">
        <v>778</v>
      </c>
      <c r="F5769" s="403" t="s">
        <v>1288</v>
      </c>
      <c r="G5769" s="403" t="s">
        <v>1466</v>
      </c>
      <c r="H5769" s="403" t="s">
        <v>1276</v>
      </c>
      <c r="I5769" s="403">
        <v>1</v>
      </c>
      <c r="J5769" s="403" t="s">
        <v>1289</v>
      </c>
      <c r="K5769" s="403">
        <v>1280</v>
      </c>
      <c r="L5769" s="403">
        <v>720</v>
      </c>
      <c r="M5769" s="403" t="s">
        <v>1284</v>
      </c>
      <c r="N5769" s="403">
        <v>640</v>
      </c>
      <c r="O5769" s="403">
        <v>480</v>
      </c>
      <c r="P5769" t="str">
        <f t="shared" si="721"/>
        <v>60fps 720p full frame rate - SD VGA (cropped)</v>
      </c>
      <c r="Q5769">
        <f t="shared" si="722"/>
        <v>25</v>
      </c>
      <c r="R5769" t="str">
        <f t="shared" si="723"/>
        <v/>
      </c>
      <c r="S5769" t="str">
        <f t="shared" si="724"/>
        <v/>
      </c>
      <c r="T5769" s="403" t="str">
        <f t="shared" si="725"/>
        <v>NDP-4502-Z12C</v>
      </c>
      <c r="U5769" s="403">
        <f t="shared" si="726"/>
        <v>1</v>
      </c>
      <c r="V5769" s="403" t="str">
        <f t="shared" si="727"/>
        <v>CPP_7_3</v>
      </c>
    </row>
    <row r="5770" spans="1:22">
      <c r="A5770" t="str">
        <f t="shared" si="720"/>
        <v>NDP-4502-Z12C</v>
      </c>
      <c r="B5770" s="403" t="s">
        <v>1428</v>
      </c>
      <c r="C5770" s="403" t="s">
        <v>582</v>
      </c>
      <c r="D5770" s="403" t="s">
        <v>1429</v>
      </c>
      <c r="E5770" s="403" t="s">
        <v>778</v>
      </c>
      <c r="F5770" s="403" t="s">
        <v>1288</v>
      </c>
      <c r="G5770" s="403" t="s">
        <v>1466</v>
      </c>
      <c r="H5770" s="403" t="s">
        <v>1281</v>
      </c>
      <c r="I5770" s="403">
        <v>1</v>
      </c>
      <c r="J5770" s="403" t="s">
        <v>110</v>
      </c>
      <c r="K5770" s="403">
        <v>1920</v>
      </c>
      <c r="L5770" s="403">
        <v>1080</v>
      </c>
      <c r="M5770" s="403" t="s">
        <v>111</v>
      </c>
      <c r="N5770" s="403">
        <v>768</v>
      </c>
      <c r="O5770" s="403">
        <v>432</v>
      </c>
      <c r="P5770" t="str">
        <f t="shared" si="721"/>
        <v>60fps 1080p - SD</v>
      </c>
      <c r="Q5770">
        <f t="shared" si="722"/>
        <v>25</v>
      </c>
      <c r="R5770" t="str">
        <f t="shared" si="723"/>
        <v/>
      </c>
      <c r="S5770" t="str">
        <f t="shared" si="724"/>
        <v/>
      </c>
      <c r="T5770" s="403" t="str">
        <f t="shared" si="725"/>
        <v>NDP-4502-Z12C</v>
      </c>
      <c r="U5770" s="403">
        <f t="shared" si="726"/>
        <v>1</v>
      </c>
      <c r="V5770" s="403" t="str">
        <f t="shared" si="727"/>
        <v>CPP_7_3</v>
      </c>
    </row>
    <row r="5771" spans="1:22">
      <c r="A5771" t="str">
        <f t="shared" si="720"/>
        <v>NDP-4502-Z12C</v>
      </c>
      <c r="B5771" s="403" t="s">
        <v>1428</v>
      </c>
      <c r="C5771" s="403" t="s">
        <v>582</v>
      </c>
      <c r="D5771" s="403" t="s">
        <v>1429</v>
      </c>
      <c r="E5771" s="403" t="s">
        <v>778</v>
      </c>
      <c r="F5771" s="403" t="s">
        <v>1288</v>
      </c>
      <c r="G5771" s="403" t="s">
        <v>1466</v>
      </c>
      <c r="H5771" s="403" t="s">
        <v>1281</v>
      </c>
      <c r="I5771" s="403">
        <v>1</v>
      </c>
      <c r="J5771" s="403" t="s">
        <v>110</v>
      </c>
      <c r="K5771" s="403">
        <v>1920</v>
      </c>
      <c r="L5771" s="403">
        <v>1080</v>
      </c>
      <c r="M5771" s="403" t="s">
        <v>1283</v>
      </c>
      <c r="N5771" s="403">
        <v>720</v>
      </c>
      <c r="O5771" s="403">
        <v>480</v>
      </c>
      <c r="P5771" t="str">
        <f t="shared" si="721"/>
        <v>60fps 1080p - SD 4CIF resolution 4:3 format (cropped)</v>
      </c>
      <c r="Q5771">
        <f t="shared" si="722"/>
        <v>25</v>
      </c>
      <c r="R5771" t="str">
        <f t="shared" si="723"/>
        <v/>
      </c>
      <c r="S5771" t="str">
        <f t="shared" si="724"/>
        <v/>
      </c>
      <c r="T5771" s="403" t="str">
        <f t="shared" si="725"/>
        <v>NDP-4502-Z12C</v>
      </c>
      <c r="U5771" s="403">
        <f t="shared" si="726"/>
        <v>1</v>
      </c>
      <c r="V5771" s="403" t="str">
        <f t="shared" si="727"/>
        <v>CPP_7_3</v>
      </c>
    </row>
    <row r="5772" spans="1:22">
      <c r="A5772" t="str">
        <f t="shared" si="720"/>
        <v>NDP-4502-Z12C</v>
      </c>
      <c r="B5772" s="403" t="s">
        <v>1428</v>
      </c>
      <c r="C5772" s="403" t="s">
        <v>582</v>
      </c>
      <c r="D5772" s="403" t="s">
        <v>1429</v>
      </c>
      <c r="E5772" s="403" t="s">
        <v>778</v>
      </c>
      <c r="F5772" s="403" t="s">
        <v>1288</v>
      </c>
      <c r="G5772" s="403" t="s">
        <v>1466</v>
      </c>
      <c r="H5772" s="403" t="s">
        <v>1281</v>
      </c>
      <c r="I5772" s="403">
        <v>1</v>
      </c>
      <c r="J5772" s="403" t="s">
        <v>110</v>
      </c>
      <c r="K5772" s="403">
        <v>1920</v>
      </c>
      <c r="L5772" s="403">
        <v>1080</v>
      </c>
      <c r="M5772" s="403" t="s">
        <v>1284</v>
      </c>
      <c r="N5772" s="403">
        <v>640</v>
      </c>
      <c r="O5772" s="403">
        <v>480</v>
      </c>
      <c r="P5772" t="str">
        <f t="shared" si="721"/>
        <v>60fps 1080p - SD VGA (cropped)</v>
      </c>
      <c r="Q5772">
        <f t="shared" si="722"/>
        <v>25</v>
      </c>
      <c r="R5772" t="str">
        <f t="shared" si="723"/>
        <v/>
      </c>
      <c r="S5772" t="str">
        <f t="shared" si="724"/>
        <v/>
      </c>
      <c r="T5772" s="403" t="str">
        <f t="shared" si="725"/>
        <v>NDP-4502-Z12C</v>
      </c>
      <c r="U5772" s="403">
        <f t="shared" si="726"/>
        <v>1</v>
      </c>
      <c r="V5772" s="403" t="str">
        <f t="shared" si="727"/>
        <v>CPP_7_3</v>
      </c>
    </row>
    <row r="5773" spans="1:22">
      <c r="A5773" t="str">
        <f t="shared" si="720"/>
        <v>NDP-4502-Z12C</v>
      </c>
      <c r="B5773" s="403" t="s">
        <v>1428</v>
      </c>
      <c r="C5773" s="403" t="s">
        <v>582</v>
      </c>
      <c r="D5773" s="403" t="s">
        <v>1429</v>
      </c>
      <c r="E5773" s="403" t="s">
        <v>778</v>
      </c>
      <c r="F5773" s="403" t="s">
        <v>1288</v>
      </c>
      <c r="G5773" s="403" t="s">
        <v>1466</v>
      </c>
      <c r="H5773" s="403" t="s">
        <v>1281</v>
      </c>
      <c r="I5773" s="403">
        <v>1</v>
      </c>
      <c r="J5773" s="403" t="s">
        <v>1289</v>
      </c>
      <c r="K5773" s="403">
        <v>1280</v>
      </c>
      <c r="L5773" s="403">
        <v>720</v>
      </c>
      <c r="M5773" s="403" t="s">
        <v>1289</v>
      </c>
      <c r="N5773" s="403">
        <v>1280</v>
      </c>
      <c r="O5773" s="403">
        <v>720</v>
      </c>
      <c r="P5773" t="str">
        <f t="shared" si="721"/>
        <v>60fps 720p full frame rate - 720p full frame rate</v>
      </c>
      <c r="Q5773">
        <f t="shared" si="722"/>
        <v>25</v>
      </c>
      <c r="R5773" t="str">
        <f t="shared" si="723"/>
        <v/>
      </c>
      <c r="S5773" t="str">
        <f t="shared" si="724"/>
        <v/>
      </c>
      <c r="T5773" s="403" t="str">
        <f t="shared" si="725"/>
        <v>NDP-4502-Z12C</v>
      </c>
      <c r="U5773" s="403">
        <f t="shared" si="726"/>
        <v>1</v>
      </c>
      <c r="V5773" s="403" t="str">
        <f t="shared" si="727"/>
        <v>CPP_7_3</v>
      </c>
    </row>
    <row r="5774" spans="1:22">
      <c r="A5774" t="str">
        <f t="shared" si="720"/>
        <v>NDP-4502-Z12C</v>
      </c>
      <c r="B5774" s="403" t="s">
        <v>1428</v>
      </c>
      <c r="C5774" s="403" t="s">
        <v>582</v>
      </c>
      <c r="D5774" s="403" t="s">
        <v>1429</v>
      </c>
      <c r="E5774" s="403" t="s">
        <v>778</v>
      </c>
      <c r="F5774" s="403" t="s">
        <v>1288</v>
      </c>
      <c r="G5774" s="403" t="s">
        <v>1466</v>
      </c>
      <c r="H5774" s="403" t="s">
        <v>1281</v>
      </c>
      <c r="I5774" s="403">
        <v>1</v>
      </c>
      <c r="J5774" s="403" t="s">
        <v>1289</v>
      </c>
      <c r="K5774" s="403">
        <v>1280</v>
      </c>
      <c r="L5774" s="403">
        <v>720</v>
      </c>
      <c r="M5774" s="403" t="s">
        <v>111</v>
      </c>
      <c r="N5774" s="403">
        <v>768</v>
      </c>
      <c r="O5774" s="403">
        <v>432</v>
      </c>
      <c r="P5774" t="str">
        <f t="shared" si="721"/>
        <v>60fps 720p full frame rate - SD</v>
      </c>
      <c r="Q5774">
        <f t="shared" si="722"/>
        <v>25</v>
      </c>
      <c r="R5774" t="str">
        <f t="shared" si="723"/>
        <v/>
      </c>
      <c r="S5774" t="str">
        <f t="shared" si="724"/>
        <v/>
      </c>
      <c r="T5774" s="403" t="str">
        <f t="shared" si="725"/>
        <v>NDP-4502-Z12C</v>
      </c>
      <c r="U5774" s="403">
        <f t="shared" si="726"/>
        <v>1</v>
      </c>
      <c r="V5774" s="403" t="str">
        <f t="shared" si="727"/>
        <v>CPP_7_3</v>
      </c>
    </row>
    <row r="5775" spans="1:22">
      <c r="A5775" t="str">
        <f t="shared" si="720"/>
        <v>NDP-4502-Z12C</v>
      </c>
      <c r="B5775" s="403" t="s">
        <v>1428</v>
      </c>
      <c r="C5775" s="403" t="s">
        <v>582</v>
      </c>
      <c r="D5775" s="403" t="s">
        <v>1429</v>
      </c>
      <c r="E5775" s="403" t="s">
        <v>778</v>
      </c>
      <c r="F5775" s="403" t="s">
        <v>1288</v>
      </c>
      <c r="G5775" s="403" t="s">
        <v>1466</v>
      </c>
      <c r="H5775" s="403" t="s">
        <v>1281</v>
      </c>
      <c r="I5775" s="403">
        <v>1</v>
      </c>
      <c r="J5775" s="403" t="s">
        <v>1289</v>
      </c>
      <c r="K5775" s="403">
        <v>1280</v>
      </c>
      <c r="L5775" s="403">
        <v>720</v>
      </c>
      <c r="M5775" s="403" t="s">
        <v>1283</v>
      </c>
      <c r="N5775" s="403">
        <v>720</v>
      </c>
      <c r="O5775" s="403">
        <v>480</v>
      </c>
      <c r="P5775" t="str">
        <f t="shared" si="721"/>
        <v>60fps 720p full frame rate - SD 4CIF resolution 4:3 format (cropped)</v>
      </c>
      <c r="Q5775">
        <f t="shared" si="722"/>
        <v>25</v>
      </c>
      <c r="R5775" t="str">
        <f t="shared" si="723"/>
        <v/>
      </c>
      <c r="S5775" t="str">
        <f t="shared" si="724"/>
        <v/>
      </c>
      <c r="T5775" s="403" t="str">
        <f t="shared" si="725"/>
        <v>NDP-4502-Z12C</v>
      </c>
      <c r="U5775" s="403">
        <f t="shared" si="726"/>
        <v>1</v>
      </c>
      <c r="V5775" s="403" t="str">
        <f t="shared" si="727"/>
        <v>CPP_7_3</v>
      </c>
    </row>
    <row r="5776" spans="1:22">
      <c r="A5776" t="str">
        <f t="shared" si="720"/>
        <v>NDP-4502-Z12C</v>
      </c>
      <c r="B5776" s="403" t="s">
        <v>1428</v>
      </c>
      <c r="C5776" s="403" t="s">
        <v>582</v>
      </c>
      <c r="D5776" s="403" t="s">
        <v>1429</v>
      </c>
      <c r="E5776" s="403" t="s">
        <v>778</v>
      </c>
      <c r="F5776" s="403" t="s">
        <v>1288</v>
      </c>
      <c r="G5776" s="403" t="s">
        <v>1466</v>
      </c>
      <c r="H5776" s="403" t="s">
        <v>1281</v>
      </c>
      <c r="I5776" s="403">
        <v>1</v>
      </c>
      <c r="J5776" s="403" t="s">
        <v>1289</v>
      </c>
      <c r="K5776" s="403">
        <v>1280</v>
      </c>
      <c r="L5776" s="403">
        <v>720</v>
      </c>
      <c r="M5776" s="403" t="s">
        <v>1284</v>
      </c>
      <c r="N5776" s="403">
        <v>640</v>
      </c>
      <c r="O5776" s="403">
        <v>480</v>
      </c>
      <c r="P5776" t="str">
        <f t="shared" si="721"/>
        <v>60fps 720p full frame rate - SD VGA (cropped)</v>
      </c>
      <c r="Q5776">
        <f t="shared" si="722"/>
        <v>25</v>
      </c>
      <c r="R5776" t="str">
        <f t="shared" si="723"/>
        <v/>
      </c>
      <c r="S5776" t="str">
        <f t="shared" si="724"/>
        <v/>
      </c>
      <c r="T5776" s="403" t="str">
        <f t="shared" si="725"/>
        <v>NDP-4502-Z12C</v>
      </c>
      <c r="U5776" s="403">
        <f t="shared" si="726"/>
        <v>1</v>
      </c>
      <c r="V5776" s="403" t="str">
        <f t="shared" si="727"/>
        <v>CPP_7_3</v>
      </c>
    </row>
    <row r="5777" spans="1:22">
      <c r="A5777" t="str">
        <f t="shared" si="720"/>
        <v>NDP-4502-Z12C</v>
      </c>
      <c r="B5777" s="403" t="s">
        <v>1428</v>
      </c>
      <c r="C5777" s="403" t="s">
        <v>582</v>
      </c>
      <c r="D5777" s="403" t="s">
        <v>1429</v>
      </c>
      <c r="E5777" s="403" t="s">
        <v>778</v>
      </c>
      <c r="F5777" s="403" t="s">
        <v>1288</v>
      </c>
      <c r="G5777" s="403" t="s">
        <v>1466</v>
      </c>
      <c r="H5777" s="403" t="s">
        <v>1282</v>
      </c>
      <c r="I5777" s="403">
        <v>1</v>
      </c>
      <c r="J5777" s="403" t="s">
        <v>110</v>
      </c>
      <c r="K5777" s="403">
        <v>1920</v>
      </c>
      <c r="L5777" s="403">
        <v>1080</v>
      </c>
      <c r="M5777" s="403" t="s">
        <v>111</v>
      </c>
      <c r="N5777" s="403">
        <v>768</v>
      </c>
      <c r="O5777" s="403">
        <v>432</v>
      </c>
      <c r="P5777" t="str">
        <f t="shared" si="721"/>
        <v>60fps 1080p - SD</v>
      </c>
      <c r="Q5777">
        <f t="shared" si="722"/>
        <v>25</v>
      </c>
      <c r="R5777" t="str">
        <f t="shared" si="723"/>
        <v/>
      </c>
      <c r="S5777" t="str">
        <f t="shared" si="724"/>
        <v/>
      </c>
      <c r="T5777" s="403" t="str">
        <f t="shared" si="725"/>
        <v>NDP-4502-Z12C</v>
      </c>
      <c r="U5777" s="403">
        <f t="shared" si="726"/>
        <v>1</v>
      </c>
      <c r="V5777" s="403" t="str">
        <f t="shared" si="727"/>
        <v>CPP_7_3</v>
      </c>
    </row>
    <row r="5778" spans="1:22">
      <c r="A5778" t="str">
        <f t="shared" si="720"/>
        <v>NDP-4502-Z12C</v>
      </c>
      <c r="B5778" s="403" t="s">
        <v>1428</v>
      </c>
      <c r="C5778" s="403" t="s">
        <v>582</v>
      </c>
      <c r="D5778" s="403" t="s">
        <v>1429</v>
      </c>
      <c r="E5778" s="403" t="s">
        <v>778</v>
      </c>
      <c r="F5778" s="403" t="s">
        <v>1288</v>
      </c>
      <c r="G5778" s="403" t="s">
        <v>1466</v>
      </c>
      <c r="H5778" s="403" t="s">
        <v>1282</v>
      </c>
      <c r="I5778" s="403">
        <v>1</v>
      </c>
      <c r="J5778" s="403" t="s">
        <v>110</v>
      </c>
      <c r="K5778" s="403">
        <v>1920</v>
      </c>
      <c r="L5778" s="403">
        <v>1080</v>
      </c>
      <c r="M5778" s="403" t="s">
        <v>1289</v>
      </c>
      <c r="N5778" s="403">
        <v>1280</v>
      </c>
      <c r="O5778" s="403">
        <v>720</v>
      </c>
      <c r="P5778" t="str">
        <f t="shared" si="721"/>
        <v>60fps 1080p - 720p full frame rate</v>
      </c>
      <c r="Q5778">
        <f t="shared" si="722"/>
        <v>25</v>
      </c>
      <c r="R5778" t="str">
        <f t="shared" si="723"/>
        <v/>
      </c>
      <c r="S5778" t="str">
        <f t="shared" si="724"/>
        <v/>
      </c>
      <c r="T5778" s="403" t="str">
        <f t="shared" si="725"/>
        <v>NDP-4502-Z12C</v>
      </c>
      <c r="U5778" s="403">
        <f t="shared" si="726"/>
        <v>1</v>
      </c>
      <c r="V5778" s="403" t="str">
        <f t="shared" si="727"/>
        <v>CPP_7_3</v>
      </c>
    </row>
    <row r="5779" spans="1:22">
      <c r="A5779" t="str">
        <f t="shared" si="720"/>
        <v>NDP-4502-Z12C</v>
      </c>
      <c r="B5779" s="403" t="s">
        <v>1428</v>
      </c>
      <c r="C5779" s="403" t="s">
        <v>582</v>
      </c>
      <c r="D5779" s="403" t="s">
        <v>1429</v>
      </c>
      <c r="E5779" s="403" t="s">
        <v>778</v>
      </c>
      <c r="F5779" s="403" t="s">
        <v>1288</v>
      </c>
      <c r="G5779" s="403" t="s">
        <v>1466</v>
      </c>
      <c r="H5779" s="403" t="s">
        <v>1282</v>
      </c>
      <c r="I5779" s="403">
        <v>1</v>
      </c>
      <c r="J5779" s="403" t="s">
        <v>110</v>
      </c>
      <c r="K5779" s="403">
        <v>1920</v>
      </c>
      <c r="L5779" s="403">
        <v>1080</v>
      </c>
      <c r="M5779" s="403" t="s">
        <v>1285</v>
      </c>
      <c r="N5779" s="403">
        <v>1280</v>
      </c>
      <c r="O5779" s="403">
        <v>1024</v>
      </c>
      <c r="P5779" t="str">
        <f t="shared" si="721"/>
        <v>60fps 1080p - 1280x1024 5:4 (cropped)</v>
      </c>
      <c r="Q5779">
        <f t="shared" si="722"/>
        <v>25</v>
      </c>
      <c r="R5779" t="str">
        <f t="shared" si="723"/>
        <v/>
      </c>
      <c r="S5779" t="str">
        <f t="shared" si="724"/>
        <v/>
      </c>
      <c r="T5779" s="403" t="str">
        <f t="shared" si="725"/>
        <v>NDP-4502-Z12C</v>
      </c>
      <c r="U5779" s="403">
        <f t="shared" si="726"/>
        <v>1</v>
      </c>
      <c r="V5779" s="403" t="str">
        <f t="shared" si="727"/>
        <v>CPP_7_3</v>
      </c>
    </row>
    <row r="5780" spans="1:22">
      <c r="A5780" t="str">
        <f t="shared" si="720"/>
        <v>NDP-4502-Z12C</v>
      </c>
      <c r="B5780" s="403" t="s">
        <v>1428</v>
      </c>
      <c r="C5780" s="403" t="s">
        <v>582</v>
      </c>
      <c r="D5780" s="403" t="s">
        <v>1429</v>
      </c>
      <c r="E5780" s="403" t="s">
        <v>778</v>
      </c>
      <c r="F5780" s="403" t="s">
        <v>1288</v>
      </c>
      <c r="G5780" s="403" t="s">
        <v>1466</v>
      </c>
      <c r="H5780" s="403" t="s">
        <v>1282</v>
      </c>
      <c r="I5780" s="403">
        <v>1</v>
      </c>
      <c r="J5780" s="403" t="s">
        <v>110</v>
      </c>
      <c r="K5780" s="403">
        <v>1920</v>
      </c>
      <c r="L5780" s="403">
        <v>1080</v>
      </c>
      <c r="M5780" s="403" t="s">
        <v>1283</v>
      </c>
      <c r="N5780" s="403">
        <v>720</v>
      </c>
      <c r="O5780" s="403">
        <v>480</v>
      </c>
      <c r="P5780" t="str">
        <f t="shared" si="721"/>
        <v>60fps 1080p - SD 4CIF resolution 4:3 format (cropped)</v>
      </c>
      <c r="Q5780">
        <f t="shared" si="722"/>
        <v>25</v>
      </c>
      <c r="R5780" t="str">
        <f t="shared" si="723"/>
        <v/>
      </c>
      <c r="S5780" t="str">
        <f t="shared" si="724"/>
        <v/>
      </c>
      <c r="T5780" s="403" t="str">
        <f t="shared" si="725"/>
        <v>NDP-4502-Z12C</v>
      </c>
      <c r="U5780" s="403">
        <f t="shared" si="726"/>
        <v>1</v>
      </c>
      <c r="V5780" s="403" t="str">
        <f t="shared" si="727"/>
        <v>CPP_7_3</v>
      </c>
    </row>
    <row r="5781" spans="1:22">
      <c r="A5781" t="str">
        <f t="shared" si="720"/>
        <v>NDP-4502-Z12C</v>
      </c>
      <c r="B5781" s="403" t="s">
        <v>1428</v>
      </c>
      <c r="C5781" s="403" t="s">
        <v>582</v>
      </c>
      <c r="D5781" s="403" t="s">
        <v>1429</v>
      </c>
      <c r="E5781" s="403" t="s">
        <v>778</v>
      </c>
      <c r="F5781" s="403" t="s">
        <v>1288</v>
      </c>
      <c r="G5781" s="403" t="s">
        <v>1466</v>
      </c>
      <c r="H5781" s="403" t="s">
        <v>1282</v>
      </c>
      <c r="I5781" s="403">
        <v>1</v>
      </c>
      <c r="J5781" s="403" t="s">
        <v>110</v>
      </c>
      <c r="K5781" s="403">
        <v>1920</v>
      </c>
      <c r="L5781" s="403">
        <v>1080</v>
      </c>
      <c r="M5781" s="403" t="s">
        <v>1284</v>
      </c>
      <c r="N5781" s="403">
        <v>640</v>
      </c>
      <c r="O5781" s="403">
        <v>480</v>
      </c>
      <c r="P5781" t="str">
        <f t="shared" si="721"/>
        <v>60fps 1080p - SD VGA (cropped)</v>
      </c>
      <c r="Q5781">
        <f t="shared" si="722"/>
        <v>25</v>
      </c>
      <c r="R5781" t="str">
        <f t="shared" si="723"/>
        <v/>
      </c>
      <c r="S5781" t="str">
        <f t="shared" si="724"/>
        <v/>
      </c>
      <c r="T5781" s="403" t="str">
        <f t="shared" si="725"/>
        <v>NDP-4502-Z12C</v>
      </c>
      <c r="U5781" s="403">
        <f t="shared" si="726"/>
        <v>1</v>
      </c>
      <c r="V5781" s="403" t="str">
        <f t="shared" si="727"/>
        <v>CPP_7_3</v>
      </c>
    </row>
    <row r="5782" spans="1:22">
      <c r="A5782" t="str">
        <f t="shared" si="720"/>
        <v>NDP-4502-Z12C</v>
      </c>
      <c r="B5782" s="403" t="s">
        <v>1428</v>
      </c>
      <c r="C5782" s="403" t="s">
        <v>582</v>
      </c>
      <c r="D5782" s="403" t="s">
        <v>1429</v>
      </c>
      <c r="E5782" s="403" t="s">
        <v>778</v>
      </c>
      <c r="F5782" s="403" t="s">
        <v>1288</v>
      </c>
      <c r="G5782" s="403" t="s">
        <v>1466</v>
      </c>
      <c r="H5782" s="403" t="s">
        <v>1282</v>
      </c>
      <c r="I5782" s="403">
        <v>1</v>
      </c>
      <c r="J5782" s="403" t="s">
        <v>1289</v>
      </c>
      <c r="K5782" s="403">
        <v>1280</v>
      </c>
      <c r="L5782" s="403">
        <v>720</v>
      </c>
      <c r="M5782" s="403" t="s">
        <v>1289</v>
      </c>
      <c r="N5782" s="403">
        <v>1280</v>
      </c>
      <c r="O5782" s="403">
        <v>720</v>
      </c>
      <c r="P5782" t="str">
        <f t="shared" si="721"/>
        <v>60fps 720p full frame rate - 720p full frame rate</v>
      </c>
      <c r="Q5782">
        <f t="shared" si="722"/>
        <v>25</v>
      </c>
      <c r="R5782" t="str">
        <f t="shared" si="723"/>
        <v/>
      </c>
      <c r="S5782" t="str">
        <f t="shared" si="724"/>
        <v/>
      </c>
      <c r="T5782" s="403" t="str">
        <f t="shared" si="725"/>
        <v>NDP-4502-Z12C</v>
      </c>
      <c r="U5782" s="403">
        <f t="shared" si="726"/>
        <v>1</v>
      </c>
      <c r="V5782" s="403" t="str">
        <f t="shared" si="727"/>
        <v>CPP_7_3</v>
      </c>
    </row>
    <row r="5783" spans="1:22">
      <c r="A5783" t="str">
        <f t="shared" si="720"/>
        <v>NDP-4502-Z12C</v>
      </c>
      <c r="B5783" s="403" t="s">
        <v>1428</v>
      </c>
      <c r="C5783" s="403" t="s">
        <v>582</v>
      </c>
      <c r="D5783" s="403" t="s">
        <v>1429</v>
      </c>
      <c r="E5783" s="403" t="s">
        <v>778</v>
      </c>
      <c r="F5783" s="403" t="s">
        <v>1288</v>
      </c>
      <c r="G5783" s="403" t="s">
        <v>1466</v>
      </c>
      <c r="H5783" s="403" t="s">
        <v>1282</v>
      </c>
      <c r="I5783" s="403">
        <v>1</v>
      </c>
      <c r="J5783" s="403" t="s">
        <v>1289</v>
      </c>
      <c r="K5783" s="403">
        <v>1280</v>
      </c>
      <c r="L5783" s="403">
        <v>720</v>
      </c>
      <c r="M5783" s="403" t="s">
        <v>111</v>
      </c>
      <c r="N5783" s="403">
        <v>768</v>
      </c>
      <c r="O5783" s="403">
        <v>432</v>
      </c>
      <c r="P5783" t="str">
        <f t="shared" si="721"/>
        <v>60fps 720p full frame rate - SD</v>
      </c>
      <c r="Q5783">
        <f t="shared" si="722"/>
        <v>25</v>
      </c>
      <c r="R5783" t="str">
        <f t="shared" si="723"/>
        <v/>
      </c>
      <c r="S5783" t="str">
        <f t="shared" si="724"/>
        <v/>
      </c>
      <c r="T5783" s="403" t="str">
        <f t="shared" si="725"/>
        <v>NDP-4502-Z12C</v>
      </c>
      <c r="U5783" s="403">
        <f t="shared" si="726"/>
        <v>1</v>
      </c>
      <c r="V5783" s="403" t="str">
        <f t="shared" si="727"/>
        <v>CPP_7_3</v>
      </c>
    </row>
    <row r="5784" spans="1:22">
      <c r="A5784" t="str">
        <f t="shared" si="720"/>
        <v>NDP-4502-Z12C</v>
      </c>
      <c r="B5784" s="403" t="s">
        <v>1428</v>
      </c>
      <c r="C5784" s="403" t="s">
        <v>582</v>
      </c>
      <c r="D5784" s="403" t="s">
        <v>1429</v>
      </c>
      <c r="E5784" s="403" t="s">
        <v>778</v>
      </c>
      <c r="F5784" s="403" t="s">
        <v>1288</v>
      </c>
      <c r="G5784" s="403" t="s">
        <v>1466</v>
      </c>
      <c r="H5784" s="403" t="s">
        <v>1282</v>
      </c>
      <c r="I5784" s="403">
        <v>1</v>
      </c>
      <c r="J5784" s="403" t="s">
        <v>1289</v>
      </c>
      <c r="K5784" s="403">
        <v>1280</v>
      </c>
      <c r="L5784" s="403">
        <v>720</v>
      </c>
      <c r="M5784" s="403" t="s">
        <v>1283</v>
      </c>
      <c r="N5784" s="403">
        <v>720</v>
      </c>
      <c r="O5784" s="403">
        <v>480</v>
      </c>
      <c r="P5784" t="str">
        <f t="shared" si="721"/>
        <v>60fps 720p full frame rate - SD 4CIF resolution 4:3 format (cropped)</v>
      </c>
      <c r="Q5784">
        <f t="shared" si="722"/>
        <v>25</v>
      </c>
      <c r="R5784" t="str">
        <f t="shared" si="723"/>
        <v/>
      </c>
      <c r="S5784" t="str">
        <f t="shared" si="724"/>
        <v/>
      </c>
      <c r="T5784" s="403" t="str">
        <f t="shared" si="725"/>
        <v>NDP-4502-Z12C</v>
      </c>
      <c r="U5784" s="403">
        <f t="shared" si="726"/>
        <v>1</v>
      </c>
      <c r="V5784" s="403" t="str">
        <f t="shared" si="727"/>
        <v>CPP_7_3</v>
      </c>
    </row>
    <row r="5785" spans="1:22">
      <c r="A5785" t="str">
        <f t="shared" si="720"/>
        <v>NDP-4502-Z12C</v>
      </c>
      <c r="B5785" s="403" t="s">
        <v>1428</v>
      </c>
      <c r="C5785" s="403" t="s">
        <v>582</v>
      </c>
      <c r="D5785" s="403" t="s">
        <v>1429</v>
      </c>
      <c r="E5785" s="403" t="s">
        <v>778</v>
      </c>
      <c r="F5785" s="403" t="s">
        <v>1288</v>
      </c>
      <c r="G5785" s="403" t="s">
        <v>1466</v>
      </c>
      <c r="H5785" s="403" t="s">
        <v>1282</v>
      </c>
      <c r="I5785" s="403">
        <v>1</v>
      </c>
      <c r="J5785" s="403" t="s">
        <v>1289</v>
      </c>
      <c r="K5785" s="403">
        <v>1280</v>
      </c>
      <c r="L5785" s="403">
        <v>720</v>
      </c>
      <c r="M5785" s="403" t="s">
        <v>1284</v>
      </c>
      <c r="N5785" s="403">
        <v>640</v>
      </c>
      <c r="O5785" s="403">
        <v>480</v>
      </c>
      <c r="P5785" t="str">
        <f t="shared" si="721"/>
        <v>60fps 720p full frame rate - SD VGA (cropped)</v>
      </c>
      <c r="Q5785">
        <f t="shared" si="722"/>
        <v>25</v>
      </c>
      <c r="R5785" t="str">
        <f t="shared" si="723"/>
        <v/>
      </c>
      <c r="S5785" t="str">
        <f t="shared" si="724"/>
        <v/>
      </c>
      <c r="T5785" s="403" t="str">
        <f t="shared" si="725"/>
        <v>NDP-4502-Z12C</v>
      </c>
      <c r="U5785" s="403">
        <f t="shared" si="726"/>
        <v>1</v>
      </c>
      <c r="V5785" s="403" t="str">
        <f t="shared" si="727"/>
        <v>CPP_7_3</v>
      </c>
    </row>
    <row r="5786" spans="1:22">
      <c r="A5786" t="str">
        <f t="shared" si="720"/>
        <v>NDP-4502-Z12C</v>
      </c>
      <c r="B5786" s="403" t="s">
        <v>1428</v>
      </c>
      <c r="C5786" s="403" t="s">
        <v>582</v>
      </c>
      <c r="D5786" s="403" t="s">
        <v>1429</v>
      </c>
      <c r="E5786" s="403" t="s">
        <v>778</v>
      </c>
      <c r="F5786" s="403" t="s">
        <v>1290</v>
      </c>
      <c r="G5786" s="403" t="s">
        <v>1466</v>
      </c>
      <c r="H5786" s="403" t="s">
        <v>1276</v>
      </c>
      <c r="I5786" s="403">
        <v>1</v>
      </c>
      <c r="J5786" s="403" t="s">
        <v>110</v>
      </c>
      <c r="K5786" s="403">
        <v>1920</v>
      </c>
      <c r="L5786" s="403">
        <v>1080</v>
      </c>
      <c r="M5786" s="403" t="s">
        <v>111</v>
      </c>
      <c r="N5786" s="403">
        <v>768</v>
      </c>
      <c r="O5786" s="403">
        <v>432</v>
      </c>
      <c r="P5786" t="str">
        <f t="shared" si="721"/>
        <v>50fps 1080p - SD</v>
      </c>
      <c r="Q5786">
        <f t="shared" si="722"/>
        <v>25</v>
      </c>
      <c r="R5786" t="str">
        <f t="shared" si="723"/>
        <v/>
      </c>
      <c r="S5786" t="str">
        <f t="shared" si="724"/>
        <v/>
      </c>
      <c r="T5786" s="403" t="str">
        <f t="shared" si="725"/>
        <v>NDP-4502-Z12C</v>
      </c>
      <c r="U5786" s="403">
        <f t="shared" si="726"/>
        <v>1</v>
      </c>
      <c r="V5786" s="403" t="str">
        <f t="shared" si="727"/>
        <v>CPP_7_3</v>
      </c>
    </row>
    <row r="5787" spans="1:22">
      <c r="A5787" t="str">
        <f t="shared" si="720"/>
        <v>NDP-4502-Z12C</v>
      </c>
      <c r="B5787" s="403" t="s">
        <v>1428</v>
      </c>
      <c r="C5787" s="403" t="s">
        <v>582</v>
      </c>
      <c r="D5787" s="403" t="s">
        <v>1429</v>
      </c>
      <c r="E5787" s="403" t="s">
        <v>778</v>
      </c>
      <c r="F5787" s="403" t="s">
        <v>1290</v>
      </c>
      <c r="G5787" s="403" t="s">
        <v>1466</v>
      </c>
      <c r="H5787" s="403" t="s">
        <v>1276</v>
      </c>
      <c r="I5787" s="403">
        <v>1</v>
      </c>
      <c r="J5787" s="403" t="s">
        <v>110</v>
      </c>
      <c r="K5787" s="403">
        <v>1920</v>
      </c>
      <c r="L5787" s="403">
        <v>1080</v>
      </c>
      <c r="M5787" s="403" t="s">
        <v>110</v>
      </c>
      <c r="N5787" s="403">
        <v>1920</v>
      </c>
      <c r="O5787" s="403">
        <v>1080</v>
      </c>
      <c r="P5787" t="str">
        <f t="shared" si="721"/>
        <v>50fps 1080p - 1080p</v>
      </c>
      <c r="Q5787">
        <f t="shared" si="722"/>
        <v>25</v>
      </c>
      <c r="R5787" t="str">
        <f t="shared" si="723"/>
        <v/>
      </c>
      <c r="S5787" t="str">
        <f t="shared" si="724"/>
        <v/>
      </c>
      <c r="T5787" s="403" t="str">
        <f t="shared" si="725"/>
        <v>NDP-4502-Z12C</v>
      </c>
      <c r="U5787" s="403">
        <f t="shared" si="726"/>
        <v>1</v>
      </c>
      <c r="V5787" s="403" t="str">
        <f t="shared" si="727"/>
        <v>CPP_7_3</v>
      </c>
    </row>
    <row r="5788" spans="1:22">
      <c r="A5788" t="str">
        <f t="shared" si="720"/>
        <v>NDP-4502-Z12C</v>
      </c>
      <c r="B5788" s="403" t="s">
        <v>1428</v>
      </c>
      <c r="C5788" s="403" t="s">
        <v>582</v>
      </c>
      <c r="D5788" s="403" t="s">
        <v>1429</v>
      </c>
      <c r="E5788" s="403" t="s">
        <v>778</v>
      </c>
      <c r="F5788" s="403" t="s">
        <v>1290</v>
      </c>
      <c r="G5788" s="403" t="s">
        <v>1466</v>
      </c>
      <c r="H5788" s="403" t="s">
        <v>1276</v>
      </c>
      <c r="I5788" s="403">
        <v>1</v>
      </c>
      <c r="J5788" s="403" t="s">
        <v>110</v>
      </c>
      <c r="K5788" s="403">
        <v>1920</v>
      </c>
      <c r="L5788" s="403">
        <v>1080</v>
      </c>
      <c r="M5788" s="403" t="s">
        <v>1289</v>
      </c>
      <c r="N5788" s="403">
        <v>1280</v>
      </c>
      <c r="O5788" s="403">
        <v>720</v>
      </c>
      <c r="P5788" t="str">
        <f t="shared" si="721"/>
        <v>50fps 1080p - 720p full frame rate</v>
      </c>
      <c r="Q5788">
        <f t="shared" si="722"/>
        <v>25</v>
      </c>
      <c r="R5788" t="str">
        <f t="shared" si="723"/>
        <v/>
      </c>
      <c r="S5788" t="str">
        <f t="shared" si="724"/>
        <v/>
      </c>
      <c r="T5788" s="403" t="str">
        <f t="shared" si="725"/>
        <v>NDP-4502-Z12C</v>
      </c>
      <c r="U5788" s="403">
        <f t="shared" si="726"/>
        <v>1</v>
      </c>
      <c r="V5788" s="403" t="str">
        <f t="shared" si="727"/>
        <v>CPP_7_3</v>
      </c>
    </row>
    <row r="5789" spans="1:22">
      <c r="A5789" t="str">
        <f t="shared" si="720"/>
        <v>NDP-4502-Z12C</v>
      </c>
      <c r="B5789" s="403" t="s">
        <v>1428</v>
      </c>
      <c r="C5789" s="403" t="s">
        <v>582</v>
      </c>
      <c r="D5789" s="403" t="s">
        <v>1429</v>
      </c>
      <c r="E5789" s="403" t="s">
        <v>778</v>
      </c>
      <c r="F5789" s="403" t="s">
        <v>1290</v>
      </c>
      <c r="G5789" s="403" t="s">
        <v>1466</v>
      </c>
      <c r="H5789" s="403" t="s">
        <v>1276</v>
      </c>
      <c r="I5789" s="403">
        <v>1</v>
      </c>
      <c r="J5789" s="403" t="s">
        <v>110</v>
      </c>
      <c r="K5789" s="403">
        <v>1920</v>
      </c>
      <c r="L5789" s="403">
        <v>1080</v>
      </c>
      <c r="M5789" s="403" t="s">
        <v>1285</v>
      </c>
      <c r="N5789" s="403">
        <v>1280</v>
      </c>
      <c r="O5789" s="403">
        <v>1024</v>
      </c>
      <c r="P5789" t="str">
        <f t="shared" si="721"/>
        <v>50fps 1080p - 1280x1024 5:4 (cropped)</v>
      </c>
      <c r="Q5789">
        <f t="shared" si="722"/>
        <v>25</v>
      </c>
      <c r="R5789" t="str">
        <f t="shared" si="723"/>
        <v/>
      </c>
      <c r="S5789" t="str">
        <f t="shared" si="724"/>
        <v/>
      </c>
      <c r="T5789" s="403" t="str">
        <f t="shared" si="725"/>
        <v>NDP-4502-Z12C</v>
      </c>
      <c r="U5789" s="403">
        <f t="shared" si="726"/>
        <v>1</v>
      </c>
      <c r="V5789" s="403" t="str">
        <f t="shared" si="727"/>
        <v>CPP_7_3</v>
      </c>
    </row>
    <row r="5790" spans="1:22">
      <c r="A5790" t="str">
        <f t="shared" si="720"/>
        <v>NDP-4502-Z12C</v>
      </c>
      <c r="B5790" s="403" t="s">
        <v>1428</v>
      </c>
      <c r="C5790" s="403" t="s">
        <v>582</v>
      </c>
      <c r="D5790" s="403" t="s">
        <v>1429</v>
      </c>
      <c r="E5790" s="403" t="s">
        <v>778</v>
      </c>
      <c r="F5790" s="403" t="s">
        <v>1290</v>
      </c>
      <c r="G5790" s="403" t="s">
        <v>1466</v>
      </c>
      <c r="H5790" s="403" t="s">
        <v>1276</v>
      </c>
      <c r="I5790" s="403">
        <v>1</v>
      </c>
      <c r="J5790" s="403" t="s">
        <v>110</v>
      </c>
      <c r="K5790" s="403">
        <v>1920</v>
      </c>
      <c r="L5790" s="403">
        <v>1080</v>
      </c>
      <c r="M5790" s="403" t="s">
        <v>1283</v>
      </c>
      <c r="N5790" s="403">
        <v>720</v>
      </c>
      <c r="O5790" s="403">
        <v>576</v>
      </c>
      <c r="P5790" t="str">
        <f t="shared" si="721"/>
        <v>50fps 1080p - SD 4CIF resolution 4:3 format (cropped)</v>
      </c>
      <c r="Q5790">
        <f t="shared" si="722"/>
        <v>25</v>
      </c>
      <c r="R5790" t="str">
        <f t="shared" si="723"/>
        <v/>
      </c>
      <c r="S5790" t="str">
        <f t="shared" si="724"/>
        <v/>
      </c>
      <c r="T5790" s="403" t="str">
        <f t="shared" si="725"/>
        <v>NDP-4502-Z12C</v>
      </c>
      <c r="U5790" s="403">
        <f t="shared" si="726"/>
        <v>1</v>
      </c>
      <c r="V5790" s="403" t="str">
        <f t="shared" si="727"/>
        <v>CPP_7_3</v>
      </c>
    </row>
    <row r="5791" spans="1:22">
      <c r="A5791" t="str">
        <f t="shared" si="720"/>
        <v>NDP-4502-Z12C</v>
      </c>
      <c r="B5791" s="403" t="s">
        <v>1428</v>
      </c>
      <c r="C5791" s="403" t="s">
        <v>582</v>
      </c>
      <c r="D5791" s="403" t="s">
        <v>1429</v>
      </c>
      <c r="E5791" s="403" t="s">
        <v>778</v>
      </c>
      <c r="F5791" s="403" t="s">
        <v>1290</v>
      </c>
      <c r="G5791" s="403" t="s">
        <v>1466</v>
      </c>
      <c r="H5791" s="403" t="s">
        <v>1276</v>
      </c>
      <c r="I5791" s="403">
        <v>1</v>
      </c>
      <c r="J5791" s="403" t="s">
        <v>110</v>
      </c>
      <c r="K5791" s="403">
        <v>1920</v>
      </c>
      <c r="L5791" s="403">
        <v>1080</v>
      </c>
      <c r="M5791" s="403" t="s">
        <v>1284</v>
      </c>
      <c r="N5791" s="403">
        <v>640</v>
      </c>
      <c r="O5791" s="403">
        <v>480</v>
      </c>
      <c r="P5791" t="str">
        <f t="shared" si="721"/>
        <v>50fps 1080p - SD VGA (cropped)</v>
      </c>
      <c r="Q5791">
        <f t="shared" si="722"/>
        <v>25</v>
      </c>
      <c r="R5791" t="str">
        <f t="shared" si="723"/>
        <v/>
      </c>
      <c r="S5791" t="str">
        <f t="shared" si="724"/>
        <v/>
      </c>
      <c r="T5791" s="403" t="str">
        <f t="shared" si="725"/>
        <v>NDP-4502-Z12C</v>
      </c>
      <c r="U5791" s="403">
        <f t="shared" si="726"/>
        <v>1</v>
      </c>
      <c r="V5791" s="403" t="str">
        <f t="shared" si="727"/>
        <v>CPP_7_3</v>
      </c>
    </row>
    <row r="5792" spans="1:22">
      <c r="A5792" t="str">
        <f t="shared" si="720"/>
        <v>NDP-4502-Z12C</v>
      </c>
      <c r="B5792" s="403" t="s">
        <v>1428</v>
      </c>
      <c r="C5792" s="403" t="s">
        <v>582</v>
      </c>
      <c r="D5792" s="403" t="s">
        <v>1429</v>
      </c>
      <c r="E5792" s="403" t="s">
        <v>778</v>
      </c>
      <c r="F5792" s="403" t="s">
        <v>1290</v>
      </c>
      <c r="G5792" s="403" t="s">
        <v>1466</v>
      </c>
      <c r="H5792" s="403" t="s">
        <v>1276</v>
      </c>
      <c r="I5792" s="403">
        <v>1</v>
      </c>
      <c r="J5792" s="403" t="s">
        <v>1289</v>
      </c>
      <c r="K5792" s="403">
        <v>1280</v>
      </c>
      <c r="L5792" s="403">
        <v>720</v>
      </c>
      <c r="M5792" s="403" t="s">
        <v>1289</v>
      </c>
      <c r="N5792" s="403">
        <v>1280</v>
      </c>
      <c r="O5792" s="403">
        <v>720</v>
      </c>
      <c r="P5792" t="str">
        <f t="shared" si="721"/>
        <v>50fps 720p full frame rate - 720p full frame rate</v>
      </c>
      <c r="Q5792">
        <f t="shared" si="722"/>
        <v>25</v>
      </c>
      <c r="R5792" t="str">
        <f t="shared" si="723"/>
        <v/>
      </c>
      <c r="S5792" t="str">
        <f t="shared" si="724"/>
        <v/>
      </c>
      <c r="T5792" s="403" t="str">
        <f t="shared" si="725"/>
        <v>NDP-4502-Z12C</v>
      </c>
      <c r="U5792" s="403">
        <f t="shared" si="726"/>
        <v>1</v>
      </c>
      <c r="V5792" s="403" t="str">
        <f t="shared" si="727"/>
        <v>CPP_7_3</v>
      </c>
    </row>
    <row r="5793" spans="1:22">
      <c r="A5793" t="str">
        <f t="shared" si="720"/>
        <v>NDP-4502-Z12C</v>
      </c>
      <c r="B5793" s="403" t="s">
        <v>1428</v>
      </c>
      <c r="C5793" s="403" t="s">
        <v>582</v>
      </c>
      <c r="D5793" s="403" t="s">
        <v>1429</v>
      </c>
      <c r="E5793" s="403" t="s">
        <v>778</v>
      </c>
      <c r="F5793" s="403" t="s">
        <v>1290</v>
      </c>
      <c r="G5793" s="403" t="s">
        <v>1466</v>
      </c>
      <c r="H5793" s="403" t="s">
        <v>1276</v>
      </c>
      <c r="I5793" s="403">
        <v>1</v>
      </c>
      <c r="J5793" s="403" t="s">
        <v>1289</v>
      </c>
      <c r="K5793" s="403">
        <v>1280</v>
      </c>
      <c r="L5793" s="403">
        <v>720</v>
      </c>
      <c r="M5793" s="403" t="s">
        <v>111</v>
      </c>
      <c r="N5793" s="403">
        <v>768</v>
      </c>
      <c r="O5793" s="403">
        <v>432</v>
      </c>
      <c r="P5793" t="str">
        <f t="shared" si="721"/>
        <v>50fps 720p full frame rate - SD</v>
      </c>
      <c r="Q5793">
        <f t="shared" si="722"/>
        <v>25</v>
      </c>
      <c r="R5793" t="str">
        <f t="shared" si="723"/>
        <v/>
      </c>
      <c r="S5793" t="str">
        <f t="shared" si="724"/>
        <v/>
      </c>
      <c r="T5793" s="403" t="str">
        <f t="shared" si="725"/>
        <v>NDP-4502-Z12C</v>
      </c>
      <c r="U5793" s="403">
        <f t="shared" si="726"/>
        <v>1</v>
      </c>
      <c r="V5793" s="403" t="str">
        <f t="shared" si="727"/>
        <v>CPP_7_3</v>
      </c>
    </row>
    <row r="5794" spans="1:22">
      <c r="A5794" t="str">
        <f t="shared" si="720"/>
        <v>NDP-4502-Z12C</v>
      </c>
      <c r="B5794" s="403" t="s">
        <v>1428</v>
      </c>
      <c r="C5794" s="403" t="s">
        <v>582</v>
      </c>
      <c r="D5794" s="403" t="s">
        <v>1429</v>
      </c>
      <c r="E5794" s="403" t="s">
        <v>778</v>
      </c>
      <c r="F5794" s="403" t="s">
        <v>1290</v>
      </c>
      <c r="G5794" s="403" t="s">
        <v>1466</v>
      </c>
      <c r="H5794" s="403" t="s">
        <v>1276</v>
      </c>
      <c r="I5794" s="403">
        <v>1</v>
      </c>
      <c r="J5794" s="403" t="s">
        <v>1289</v>
      </c>
      <c r="K5794" s="403">
        <v>1280</v>
      </c>
      <c r="L5794" s="403">
        <v>720</v>
      </c>
      <c r="M5794" s="403" t="s">
        <v>1283</v>
      </c>
      <c r="N5794" s="403">
        <v>720</v>
      </c>
      <c r="O5794" s="403">
        <v>576</v>
      </c>
      <c r="P5794" t="str">
        <f t="shared" si="721"/>
        <v>50fps 720p full frame rate - SD 4CIF resolution 4:3 format (cropped)</v>
      </c>
      <c r="Q5794">
        <f t="shared" si="722"/>
        <v>25</v>
      </c>
      <c r="R5794" t="str">
        <f t="shared" si="723"/>
        <v/>
      </c>
      <c r="S5794" t="str">
        <f t="shared" si="724"/>
        <v/>
      </c>
      <c r="T5794" s="403" t="str">
        <f t="shared" si="725"/>
        <v>NDP-4502-Z12C</v>
      </c>
      <c r="U5794" s="403">
        <f t="shared" si="726"/>
        <v>1</v>
      </c>
      <c r="V5794" s="403" t="str">
        <f t="shared" si="727"/>
        <v>CPP_7_3</v>
      </c>
    </row>
    <row r="5795" spans="1:22">
      <c r="A5795" t="str">
        <f t="shared" si="720"/>
        <v>NDP-4502-Z12C</v>
      </c>
      <c r="B5795" s="403" t="s">
        <v>1428</v>
      </c>
      <c r="C5795" s="403" t="s">
        <v>582</v>
      </c>
      <c r="D5795" s="403" t="s">
        <v>1429</v>
      </c>
      <c r="E5795" s="403" t="s">
        <v>778</v>
      </c>
      <c r="F5795" s="403" t="s">
        <v>1290</v>
      </c>
      <c r="G5795" s="403" t="s">
        <v>1466</v>
      </c>
      <c r="H5795" s="403" t="s">
        <v>1276</v>
      </c>
      <c r="I5795" s="403">
        <v>1</v>
      </c>
      <c r="J5795" s="403" t="s">
        <v>1289</v>
      </c>
      <c r="K5795" s="403">
        <v>1280</v>
      </c>
      <c r="L5795" s="403">
        <v>720</v>
      </c>
      <c r="M5795" s="403" t="s">
        <v>1284</v>
      </c>
      <c r="N5795" s="403">
        <v>640</v>
      </c>
      <c r="O5795" s="403">
        <v>480</v>
      </c>
      <c r="P5795" t="str">
        <f t="shared" si="721"/>
        <v>50fps 720p full frame rate - SD VGA (cropped)</v>
      </c>
      <c r="Q5795">
        <f t="shared" si="722"/>
        <v>25</v>
      </c>
      <c r="R5795" t="str">
        <f t="shared" si="723"/>
        <v/>
      </c>
      <c r="S5795" t="str">
        <f t="shared" si="724"/>
        <v/>
      </c>
      <c r="T5795" s="403" t="str">
        <f t="shared" si="725"/>
        <v>NDP-4502-Z12C</v>
      </c>
      <c r="U5795" s="403">
        <f t="shared" si="726"/>
        <v>1</v>
      </c>
      <c r="V5795" s="403" t="str">
        <f t="shared" si="727"/>
        <v>CPP_7_3</v>
      </c>
    </row>
    <row r="5796" spans="1:22">
      <c r="A5796" t="str">
        <f t="shared" si="720"/>
        <v>NDP-4502-Z12C</v>
      </c>
      <c r="B5796" s="403" t="s">
        <v>1428</v>
      </c>
      <c r="C5796" s="403" t="s">
        <v>582</v>
      </c>
      <c r="D5796" s="403" t="s">
        <v>1429</v>
      </c>
      <c r="E5796" s="403" t="s">
        <v>778</v>
      </c>
      <c r="F5796" s="403" t="s">
        <v>1290</v>
      </c>
      <c r="G5796" s="403" t="s">
        <v>1466</v>
      </c>
      <c r="H5796" s="403" t="s">
        <v>1281</v>
      </c>
      <c r="I5796" s="403">
        <v>1</v>
      </c>
      <c r="J5796" s="403" t="s">
        <v>110</v>
      </c>
      <c r="K5796" s="403">
        <v>1920</v>
      </c>
      <c r="L5796" s="403">
        <v>1080</v>
      </c>
      <c r="M5796" s="403" t="s">
        <v>111</v>
      </c>
      <c r="N5796" s="403">
        <v>768</v>
      </c>
      <c r="O5796" s="403">
        <v>432</v>
      </c>
      <c r="P5796" t="str">
        <f t="shared" si="721"/>
        <v>50fps 1080p - SD</v>
      </c>
      <c r="Q5796">
        <f t="shared" si="722"/>
        <v>25</v>
      </c>
      <c r="R5796" t="str">
        <f t="shared" si="723"/>
        <v/>
      </c>
      <c r="S5796" t="str">
        <f t="shared" si="724"/>
        <v/>
      </c>
      <c r="T5796" s="403" t="str">
        <f t="shared" si="725"/>
        <v>NDP-4502-Z12C</v>
      </c>
      <c r="U5796" s="403">
        <f t="shared" si="726"/>
        <v>1</v>
      </c>
      <c r="V5796" s="403" t="str">
        <f t="shared" si="727"/>
        <v>CPP_7_3</v>
      </c>
    </row>
    <row r="5797" spans="1:22">
      <c r="A5797" t="str">
        <f t="shared" si="720"/>
        <v>NDP-4502-Z12C</v>
      </c>
      <c r="B5797" s="403" t="s">
        <v>1428</v>
      </c>
      <c r="C5797" s="403" t="s">
        <v>582</v>
      </c>
      <c r="D5797" s="403" t="s">
        <v>1429</v>
      </c>
      <c r="E5797" s="403" t="s">
        <v>778</v>
      </c>
      <c r="F5797" s="403" t="s">
        <v>1290</v>
      </c>
      <c r="G5797" s="403" t="s">
        <v>1466</v>
      </c>
      <c r="H5797" s="403" t="s">
        <v>1281</v>
      </c>
      <c r="I5797" s="403">
        <v>1</v>
      </c>
      <c r="J5797" s="403" t="s">
        <v>110</v>
      </c>
      <c r="K5797" s="403">
        <v>1920</v>
      </c>
      <c r="L5797" s="403">
        <v>1080</v>
      </c>
      <c r="M5797" s="403" t="s">
        <v>1289</v>
      </c>
      <c r="N5797" s="403">
        <v>1280</v>
      </c>
      <c r="O5797" s="403">
        <v>720</v>
      </c>
      <c r="P5797" t="str">
        <f t="shared" si="721"/>
        <v>50fps 1080p - 720p full frame rate</v>
      </c>
      <c r="Q5797">
        <f t="shared" si="722"/>
        <v>25</v>
      </c>
      <c r="R5797" t="str">
        <f t="shared" si="723"/>
        <v/>
      </c>
      <c r="S5797" t="str">
        <f t="shared" si="724"/>
        <v/>
      </c>
      <c r="T5797" s="403" t="str">
        <f t="shared" si="725"/>
        <v>NDP-4502-Z12C</v>
      </c>
      <c r="U5797" s="403">
        <f t="shared" si="726"/>
        <v>1</v>
      </c>
      <c r="V5797" s="403" t="str">
        <f t="shared" si="727"/>
        <v>CPP_7_3</v>
      </c>
    </row>
    <row r="5798" spans="1:22">
      <c r="A5798" t="str">
        <f t="shared" si="720"/>
        <v>NDP-4502-Z12C</v>
      </c>
      <c r="B5798" s="403" t="s">
        <v>1428</v>
      </c>
      <c r="C5798" s="403" t="s">
        <v>582</v>
      </c>
      <c r="D5798" s="403" t="s">
        <v>1429</v>
      </c>
      <c r="E5798" s="403" t="s">
        <v>778</v>
      </c>
      <c r="F5798" s="403" t="s">
        <v>1290</v>
      </c>
      <c r="G5798" s="403" t="s">
        <v>1466</v>
      </c>
      <c r="H5798" s="403" t="s">
        <v>1281</v>
      </c>
      <c r="I5798" s="403">
        <v>1</v>
      </c>
      <c r="J5798" s="403" t="s">
        <v>110</v>
      </c>
      <c r="K5798" s="403">
        <v>1920</v>
      </c>
      <c r="L5798" s="403">
        <v>1080</v>
      </c>
      <c r="M5798" s="403" t="s">
        <v>1283</v>
      </c>
      <c r="N5798" s="403">
        <v>720</v>
      </c>
      <c r="O5798" s="403">
        <v>576</v>
      </c>
      <c r="P5798" t="str">
        <f t="shared" si="721"/>
        <v>50fps 1080p - SD 4CIF resolution 4:3 format (cropped)</v>
      </c>
      <c r="Q5798">
        <f t="shared" si="722"/>
        <v>25</v>
      </c>
      <c r="R5798" t="str">
        <f t="shared" si="723"/>
        <v/>
      </c>
      <c r="S5798" t="str">
        <f t="shared" si="724"/>
        <v/>
      </c>
      <c r="T5798" s="403" t="str">
        <f t="shared" si="725"/>
        <v>NDP-4502-Z12C</v>
      </c>
      <c r="U5798" s="403">
        <f t="shared" si="726"/>
        <v>1</v>
      </c>
      <c r="V5798" s="403" t="str">
        <f t="shared" si="727"/>
        <v>CPP_7_3</v>
      </c>
    </row>
    <row r="5799" spans="1:22">
      <c r="A5799" t="str">
        <f t="shared" si="720"/>
        <v>NDP-4502-Z12C</v>
      </c>
      <c r="B5799" s="403" t="s">
        <v>1428</v>
      </c>
      <c r="C5799" s="403" t="s">
        <v>582</v>
      </c>
      <c r="D5799" s="403" t="s">
        <v>1429</v>
      </c>
      <c r="E5799" s="403" t="s">
        <v>778</v>
      </c>
      <c r="F5799" s="403" t="s">
        <v>1290</v>
      </c>
      <c r="G5799" s="403" t="s">
        <v>1466</v>
      </c>
      <c r="H5799" s="403" t="s">
        <v>1281</v>
      </c>
      <c r="I5799" s="403">
        <v>1</v>
      </c>
      <c r="J5799" s="403" t="s">
        <v>110</v>
      </c>
      <c r="K5799" s="403">
        <v>1920</v>
      </c>
      <c r="L5799" s="403">
        <v>1080</v>
      </c>
      <c r="M5799" s="403" t="s">
        <v>1284</v>
      </c>
      <c r="N5799" s="403">
        <v>640</v>
      </c>
      <c r="O5799" s="403">
        <v>480</v>
      </c>
      <c r="P5799" t="str">
        <f t="shared" si="721"/>
        <v>50fps 1080p - SD VGA (cropped)</v>
      </c>
      <c r="Q5799">
        <f t="shared" si="722"/>
        <v>25</v>
      </c>
      <c r="R5799" t="str">
        <f t="shared" si="723"/>
        <v/>
      </c>
      <c r="S5799" t="str">
        <f t="shared" si="724"/>
        <v/>
      </c>
      <c r="T5799" s="403" t="str">
        <f t="shared" si="725"/>
        <v>NDP-4502-Z12C</v>
      </c>
      <c r="U5799" s="403">
        <f t="shared" si="726"/>
        <v>1</v>
      </c>
      <c r="V5799" s="403" t="str">
        <f t="shared" si="727"/>
        <v>CPP_7_3</v>
      </c>
    </row>
    <row r="5800" spans="1:22">
      <c r="A5800" t="str">
        <f t="shared" si="720"/>
        <v>NDP-4502-Z12C</v>
      </c>
      <c r="B5800" s="403" t="s">
        <v>1428</v>
      </c>
      <c r="C5800" s="403" t="s">
        <v>582</v>
      </c>
      <c r="D5800" s="403" t="s">
        <v>1429</v>
      </c>
      <c r="E5800" s="403" t="s">
        <v>778</v>
      </c>
      <c r="F5800" s="403" t="s">
        <v>1290</v>
      </c>
      <c r="G5800" s="403" t="s">
        <v>1466</v>
      </c>
      <c r="H5800" s="403" t="s">
        <v>1281</v>
      </c>
      <c r="I5800" s="403">
        <v>1</v>
      </c>
      <c r="J5800" s="403" t="s">
        <v>1289</v>
      </c>
      <c r="K5800" s="403">
        <v>1280</v>
      </c>
      <c r="L5800" s="403">
        <v>720</v>
      </c>
      <c r="M5800" s="403" t="s">
        <v>1289</v>
      </c>
      <c r="N5800" s="403">
        <v>1280</v>
      </c>
      <c r="O5800" s="403">
        <v>720</v>
      </c>
      <c r="P5800" t="str">
        <f t="shared" si="721"/>
        <v>50fps 720p full frame rate - 720p full frame rate</v>
      </c>
      <c r="Q5800">
        <f t="shared" si="722"/>
        <v>25</v>
      </c>
      <c r="R5800" t="str">
        <f t="shared" si="723"/>
        <v/>
      </c>
      <c r="S5800" t="str">
        <f t="shared" si="724"/>
        <v/>
      </c>
      <c r="T5800" s="403" t="str">
        <f t="shared" si="725"/>
        <v>NDP-4502-Z12C</v>
      </c>
      <c r="U5800" s="403">
        <f t="shared" si="726"/>
        <v>1</v>
      </c>
      <c r="V5800" s="403" t="str">
        <f t="shared" si="727"/>
        <v>CPP_7_3</v>
      </c>
    </row>
    <row r="5801" spans="1:22">
      <c r="A5801" t="str">
        <f t="shared" si="720"/>
        <v>NDP-4502-Z12C</v>
      </c>
      <c r="B5801" s="403" t="s">
        <v>1428</v>
      </c>
      <c r="C5801" s="403" t="s">
        <v>582</v>
      </c>
      <c r="D5801" s="403" t="s">
        <v>1429</v>
      </c>
      <c r="E5801" s="403" t="s">
        <v>778</v>
      </c>
      <c r="F5801" s="403" t="s">
        <v>1290</v>
      </c>
      <c r="G5801" s="403" t="s">
        <v>1466</v>
      </c>
      <c r="H5801" s="403" t="s">
        <v>1281</v>
      </c>
      <c r="I5801" s="403">
        <v>1</v>
      </c>
      <c r="J5801" s="403" t="s">
        <v>1289</v>
      </c>
      <c r="K5801" s="403">
        <v>1280</v>
      </c>
      <c r="L5801" s="403">
        <v>720</v>
      </c>
      <c r="M5801" s="403" t="s">
        <v>111</v>
      </c>
      <c r="N5801" s="403">
        <v>768</v>
      </c>
      <c r="O5801" s="403">
        <v>432</v>
      </c>
      <c r="P5801" t="str">
        <f t="shared" si="721"/>
        <v>50fps 720p full frame rate - SD</v>
      </c>
      <c r="Q5801">
        <f t="shared" si="722"/>
        <v>25</v>
      </c>
      <c r="R5801" t="str">
        <f t="shared" si="723"/>
        <v/>
      </c>
      <c r="S5801" t="str">
        <f t="shared" si="724"/>
        <v/>
      </c>
      <c r="T5801" s="403" t="str">
        <f t="shared" si="725"/>
        <v>NDP-4502-Z12C</v>
      </c>
      <c r="U5801" s="403">
        <f t="shared" si="726"/>
        <v>1</v>
      </c>
      <c r="V5801" s="403" t="str">
        <f t="shared" si="727"/>
        <v>CPP_7_3</v>
      </c>
    </row>
    <row r="5802" spans="1:22">
      <c r="A5802" t="str">
        <f t="shared" si="720"/>
        <v>NDP-4502-Z12C</v>
      </c>
      <c r="B5802" s="403" t="s">
        <v>1428</v>
      </c>
      <c r="C5802" s="403" t="s">
        <v>582</v>
      </c>
      <c r="D5802" s="403" t="s">
        <v>1429</v>
      </c>
      <c r="E5802" s="403" t="s">
        <v>778</v>
      </c>
      <c r="F5802" s="403" t="s">
        <v>1290</v>
      </c>
      <c r="G5802" s="403" t="s">
        <v>1466</v>
      </c>
      <c r="H5802" s="403" t="s">
        <v>1281</v>
      </c>
      <c r="I5802" s="403">
        <v>1</v>
      </c>
      <c r="J5802" s="403" t="s">
        <v>1289</v>
      </c>
      <c r="K5802" s="403">
        <v>1280</v>
      </c>
      <c r="L5802" s="403">
        <v>720</v>
      </c>
      <c r="M5802" s="403" t="s">
        <v>1283</v>
      </c>
      <c r="N5802" s="403">
        <v>720</v>
      </c>
      <c r="O5802" s="403">
        <v>576</v>
      </c>
      <c r="P5802" t="str">
        <f t="shared" si="721"/>
        <v>50fps 720p full frame rate - SD 4CIF resolution 4:3 format (cropped)</v>
      </c>
      <c r="Q5802">
        <f t="shared" si="722"/>
        <v>25</v>
      </c>
      <c r="R5802" t="str">
        <f t="shared" si="723"/>
        <v/>
      </c>
      <c r="S5802" t="str">
        <f t="shared" si="724"/>
        <v/>
      </c>
      <c r="T5802" s="403" t="str">
        <f t="shared" si="725"/>
        <v>NDP-4502-Z12C</v>
      </c>
      <c r="U5802" s="403">
        <f t="shared" si="726"/>
        <v>1</v>
      </c>
      <c r="V5802" s="403" t="str">
        <f t="shared" si="727"/>
        <v>CPP_7_3</v>
      </c>
    </row>
    <row r="5803" spans="1:22">
      <c r="A5803" t="str">
        <f t="shared" si="720"/>
        <v>NDP-4502-Z12C</v>
      </c>
      <c r="B5803" s="403" t="s">
        <v>1428</v>
      </c>
      <c r="C5803" s="403" t="s">
        <v>582</v>
      </c>
      <c r="D5803" s="403" t="s">
        <v>1429</v>
      </c>
      <c r="E5803" s="403" t="s">
        <v>778</v>
      </c>
      <c r="F5803" s="403" t="s">
        <v>1290</v>
      </c>
      <c r="G5803" s="403" t="s">
        <v>1466</v>
      </c>
      <c r="H5803" s="403" t="s">
        <v>1281</v>
      </c>
      <c r="I5803" s="403">
        <v>1</v>
      </c>
      <c r="J5803" s="403" t="s">
        <v>1289</v>
      </c>
      <c r="K5803" s="403">
        <v>1280</v>
      </c>
      <c r="L5803" s="403">
        <v>720</v>
      </c>
      <c r="M5803" s="403" t="s">
        <v>1284</v>
      </c>
      <c r="N5803" s="403">
        <v>640</v>
      </c>
      <c r="O5803" s="403">
        <v>480</v>
      </c>
      <c r="P5803" t="str">
        <f t="shared" si="721"/>
        <v>50fps 720p full frame rate - SD VGA (cropped)</v>
      </c>
      <c r="Q5803">
        <f t="shared" si="722"/>
        <v>25</v>
      </c>
      <c r="R5803" t="str">
        <f t="shared" si="723"/>
        <v/>
      </c>
      <c r="S5803" t="str">
        <f t="shared" si="724"/>
        <v/>
      </c>
      <c r="T5803" s="403" t="str">
        <f t="shared" si="725"/>
        <v>NDP-4502-Z12C</v>
      </c>
      <c r="U5803" s="403">
        <f t="shared" si="726"/>
        <v>1</v>
      </c>
      <c r="V5803" s="403" t="str">
        <f t="shared" si="727"/>
        <v>CPP_7_3</v>
      </c>
    </row>
    <row r="5804" spans="1:22">
      <c r="A5804" t="str">
        <f t="shared" si="720"/>
        <v>NDP-4502-Z12C</v>
      </c>
      <c r="B5804" s="403" t="s">
        <v>1428</v>
      </c>
      <c r="C5804" s="403" t="s">
        <v>582</v>
      </c>
      <c r="D5804" s="403" t="s">
        <v>1429</v>
      </c>
      <c r="E5804" s="403" t="s">
        <v>778</v>
      </c>
      <c r="F5804" s="403" t="s">
        <v>1290</v>
      </c>
      <c r="G5804" s="403" t="s">
        <v>1466</v>
      </c>
      <c r="H5804" s="403" t="s">
        <v>1282</v>
      </c>
      <c r="I5804" s="403">
        <v>1</v>
      </c>
      <c r="J5804" s="403" t="s">
        <v>110</v>
      </c>
      <c r="K5804" s="403">
        <v>1920</v>
      </c>
      <c r="L5804" s="403">
        <v>1080</v>
      </c>
      <c r="M5804" s="403" t="s">
        <v>111</v>
      </c>
      <c r="N5804" s="403">
        <v>768</v>
      </c>
      <c r="O5804" s="403">
        <v>432</v>
      </c>
      <c r="P5804" t="str">
        <f t="shared" si="721"/>
        <v>50fps 1080p - SD</v>
      </c>
      <c r="Q5804">
        <f t="shared" si="722"/>
        <v>25</v>
      </c>
      <c r="R5804" t="str">
        <f t="shared" si="723"/>
        <v/>
      </c>
      <c r="S5804" t="str">
        <f t="shared" si="724"/>
        <v/>
      </c>
      <c r="T5804" s="403" t="str">
        <f t="shared" si="725"/>
        <v>NDP-4502-Z12C</v>
      </c>
      <c r="U5804" s="403">
        <f t="shared" si="726"/>
        <v>1</v>
      </c>
      <c r="V5804" s="403" t="str">
        <f t="shared" si="727"/>
        <v>CPP_7_3</v>
      </c>
    </row>
    <row r="5805" spans="1:22">
      <c r="A5805" t="str">
        <f t="shared" si="720"/>
        <v>NDP-4502-Z12C</v>
      </c>
      <c r="B5805" s="403" t="s">
        <v>1428</v>
      </c>
      <c r="C5805" s="403" t="s">
        <v>582</v>
      </c>
      <c r="D5805" s="403" t="s">
        <v>1429</v>
      </c>
      <c r="E5805" s="403" t="s">
        <v>778</v>
      </c>
      <c r="F5805" s="403" t="s">
        <v>1290</v>
      </c>
      <c r="G5805" s="403" t="s">
        <v>1466</v>
      </c>
      <c r="H5805" s="403" t="s">
        <v>1282</v>
      </c>
      <c r="I5805" s="403">
        <v>1</v>
      </c>
      <c r="J5805" s="403" t="s">
        <v>110</v>
      </c>
      <c r="K5805" s="403">
        <v>1920</v>
      </c>
      <c r="L5805" s="403">
        <v>1080</v>
      </c>
      <c r="M5805" s="403" t="s">
        <v>110</v>
      </c>
      <c r="N5805" s="403">
        <v>1920</v>
      </c>
      <c r="O5805" s="403">
        <v>1080</v>
      </c>
      <c r="P5805" t="str">
        <f t="shared" si="721"/>
        <v>50fps 1080p - 1080p</v>
      </c>
      <c r="Q5805">
        <f t="shared" si="722"/>
        <v>25</v>
      </c>
      <c r="R5805" t="str">
        <f t="shared" si="723"/>
        <v/>
      </c>
      <c r="S5805" t="str">
        <f t="shared" si="724"/>
        <v/>
      </c>
      <c r="T5805" s="403" t="str">
        <f t="shared" si="725"/>
        <v>NDP-4502-Z12C</v>
      </c>
      <c r="U5805" s="403">
        <f t="shared" si="726"/>
        <v>1</v>
      </c>
      <c r="V5805" s="403" t="str">
        <f t="shared" si="727"/>
        <v>CPP_7_3</v>
      </c>
    </row>
    <row r="5806" spans="1:22">
      <c r="A5806" t="str">
        <f t="shared" si="720"/>
        <v>NDP-4502-Z12C</v>
      </c>
      <c r="B5806" s="403" t="s">
        <v>1428</v>
      </c>
      <c r="C5806" s="403" t="s">
        <v>582</v>
      </c>
      <c r="D5806" s="403" t="s">
        <v>1429</v>
      </c>
      <c r="E5806" s="403" t="s">
        <v>778</v>
      </c>
      <c r="F5806" s="403" t="s">
        <v>1290</v>
      </c>
      <c r="G5806" s="403" t="s">
        <v>1466</v>
      </c>
      <c r="H5806" s="403" t="s">
        <v>1282</v>
      </c>
      <c r="I5806" s="403">
        <v>1</v>
      </c>
      <c r="J5806" s="403" t="s">
        <v>110</v>
      </c>
      <c r="K5806" s="403">
        <v>1920</v>
      </c>
      <c r="L5806" s="403">
        <v>1080</v>
      </c>
      <c r="M5806" s="403" t="s">
        <v>1289</v>
      </c>
      <c r="N5806" s="403">
        <v>1280</v>
      </c>
      <c r="O5806" s="403">
        <v>720</v>
      </c>
      <c r="P5806" t="str">
        <f t="shared" si="721"/>
        <v>50fps 1080p - 720p full frame rate</v>
      </c>
      <c r="Q5806">
        <f t="shared" si="722"/>
        <v>25</v>
      </c>
      <c r="R5806" t="str">
        <f t="shared" si="723"/>
        <v/>
      </c>
      <c r="S5806" t="str">
        <f t="shared" si="724"/>
        <v/>
      </c>
      <c r="T5806" s="403" t="str">
        <f t="shared" si="725"/>
        <v>NDP-4502-Z12C</v>
      </c>
      <c r="U5806" s="403">
        <f t="shared" si="726"/>
        <v>1</v>
      </c>
      <c r="V5806" s="403" t="str">
        <f t="shared" si="727"/>
        <v>CPP_7_3</v>
      </c>
    </row>
    <row r="5807" spans="1:22">
      <c r="A5807" t="str">
        <f t="shared" si="720"/>
        <v>NDP-4502-Z12C</v>
      </c>
      <c r="B5807" s="403" t="s">
        <v>1428</v>
      </c>
      <c r="C5807" s="403" t="s">
        <v>582</v>
      </c>
      <c r="D5807" s="403" t="s">
        <v>1429</v>
      </c>
      <c r="E5807" s="403" t="s">
        <v>778</v>
      </c>
      <c r="F5807" s="403" t="s">
        <v>1290</v>
      </c>
      <c r="G5807" s="403" t="s">
        <v>1466</v>
      </c>
      <c r="H5807" s="403" t="s">
        <v>1282</v>
      </c>
      <c r="I5807" s="403">
        <v>1</v>
      </c>
      <c r="J5807" s="403" t="s">
        <v>110</v>
      </c>
      <c r="K5807" s="403">
        <v>1920</v>
      </c>
      <c r="L5807" s="403">
        <v>1080</v>
      </c>
      <c r="M5807" s="403" t="s">
        <v>1285</v>
      </c>
      <c r="N5807" s="403">
        <v>1280</v>
      </c>
      <c r="O5807" s="403">
        <v>1024</v>
      </c>
      <c r="P5807" t="str">
        <f t="shared" si="721"/>
        <v>50fps 1080p - 1280x1024 5:4 (cropped)</v>
      </c>
      <c r="Q5807">
        <f t="shared" si="722"/>
        <v>25</v>
      </c>
      <c r="R5807" t="str">
        <f t="shared" si="723"/>
        <v/>
      </c>
      <c r="S5807" t="str">
        <f t="shared" si="724"/>
        <v/>
      </c>
      <c r="T5807" s="403" t="str">
        <f t="shared" si="725"/>
        <v>NDP-4502-Z12C</v>
      </c>
      <c r="U5807" s="403">
        <f t="shared" si="726"/>
        <v>1</v>
      </c>
      <c r="V5807" s="403" t="str">
        <f t="shared" si="727"/>
        <v>CPP_7_3</v>
      </c>
    </row>
    <row r="5808" spans="1:22">
      <c r="A5808" t="str">
        <f t="shared" si="720"/>
        <v>NDP-4502-Z12C</v>
      </c>
      <c r="B5808" s="403" t="s">
        <v>1428</v>
      </c>
      <c r="C5808" s="403" t="s">
        <v>582</v>
      </c>
      <c r="D5808" s="403" t="s">
        <v>1429</v>
      </c>
      <c r="E5808" s="403" t="s">
        <v>778</v>
      </c>
      <c r="F5808" s="403" t="s">
        <v>1290</v>
      </c>
      <c r="G5808" s="403" t="s">
        <v>1466</v>
      </c>
      <c r="H5808" s="403" t="s">
        <v>1282</v>
      </c>
      <c r="I5808" s="403">
        <v>1</v>
      </c>
      <c r="J5808" s="403" t="s">
        <v>110</v>
      </c>
      <c r="K5808" s="403">
        <v>1920</v>
      </c>
      <c r="L5808" s="403">
        <v>1080</v>
      </c>
      <c r="M5808" s="403" t="s">
        <v>1283</v>
      </c>
      <c r="N5808" s="403">
        <v>720</v>
      </c>
      <c r="O5808" s="403">
        <v>576</v>
      </c>
      <c r="P5808" t="str">
        <f t="shared" si="721"/>
        <v>50fps 1080p - SD 4CIF resolution 4:3 format (cropped)</v>
      </c>
      <c r="Q5808">
        <f t="shared" si="722"/>
        <v>25</v>
      </c>
      <c r="R5808" t="str">
        <f t="shared" si="723"/>
        <v/>
      </c>
      <c r="S5808" t="str">
        <f t="shared" si="724"/>
        <v/>
      </c>
      <c r="T5808" s="403" t="str">
        <f t="shared" si="725"/>
        <v>NDP-4502-Z12C</v>
      </c>
      <c r="U5808" s="403">
        <f t="shared" si="726"/>
        <v>1</v>
      </c>
      <c r="V5808" s="403" t="str">
        <f t="shared" si="727"/>
        <v>CPP_7_3</v>
      </c>
    </row>
    <row r="5809" spans="1:22">
      <c r="A5809" t="str">
        <f t="shared" si="720"/>
        <v>NDP-4502-Z12C</v>
      </c>
      <c r="B5809" s="403" t="s">
        <v>1428</v>
      </c>
      <c r="C5809" s="403" t="s">
        <v>582</v>
      </c>
      <c r="D5809" s="403" t="s">
        <v>1429</v>
      </c>
      <c r="E5809" s="403" t="s">
        <v>778</v>
      </c>
      <c r="F5809" s="403" t="s">
        <v>1290</v>
      </c>
      <c r="G5809" s="403" t="s">
        <v>1466</v>
      </c>
      <c r="H5809" s="403" t="s">
        <v>1282</v>
      </c>
      <c r="I5809" s="403">
        <v>1</v>
      </c>
      <c r="J5809" s="403" t="s">
        <v>110</v>
      </c>
      <c r="K5809" s="403">
        <v>1920</v>
      </c>
      <c r="L5809" s="403">
        <v>1080</v>
      </c>
      <c r="M5809" s="403" t="s">
        <v>1284</v>
      </c>
      <c r="N5809" s="403">
        <v>640</v>
      </c>
      <c r="O5809" s="403">
        <v>480</v>
      </c>
      <c r="P5809" t="str">
        <f t="shared" si="721"/>
        <v>50fps 1080p - SD VGA (cropped)</v>
      </c>
      <c r="Q5809">
        <f t="shared" si="722"/>
        <v>25</v>
      </c>
      <c r="R5809" t="str">
        <f t="shared" si="723"/>
        <v/>
      </c>
      <c r="S5809" t="str">
        <f t="shared" si="724"/>
        <v/>
      </c>
      <c r="T5809" s="403" t="str">
        <f t="shared" si="725"/>
        <v>NDP-4502-Z12C</v>
      </c>
      <c r="U5809" s="403">
        <f t="shared" si="726"/>
        <v>1</v>
      </c>
      <c r="V5809" s="403" t="str">
        <f t="shared" si="727"/>
        <v>CPP_7_3</v>
      </c>
    </row>
    <row r="5810" spans="1:22">
      <c r="A5810" t="str">
        <f t="shared" si="720"/>
        <v>NDP-4502-Z12C</v>
      </c>
      <c r="B5810" s="403" t="s">
        <v>1428</v>
      </c>
      <c r="C5810" s="403" t="s">
        <v>582</v>
      </c>
      <c r="D5810" s="403" t="s">
        <v>1429</v>
      </c>
      <c r="E5810" s="403" t="s">
        <v>778</v>
      </c>
      <c r="F5810" s="403" t="s">
        <v>1290</v>
      </c>
      <c r="G5810" s="403" t="s">
        <v>1466</v>
      </c>
      <c r="H5810" s="403" t="s">
        <v>1282</v>
      </c>
      <c r="I5810" s="403">
        <v>1</v>
      </c>
      <c r="J5810" s="403" t="s">
        <v>1289</v>
      </c>
      <c r="K5810" s="403">
        <v>1280</v>
      </c>
      <c r="L5810" s="403">
        <v>720</v>
      </c>
      <c r="M5810" s="403" t="s">
        <v>1289</v>
      </c>
      <c r="N5810" s="403">
        <v>1280</v>
      </c>
      <c r="O5810" s="403">
        <v>720</v>
      </c>
      <c r="P5810" t="str">
        <f t="shared" si="721"/>
        <v>50fps 720p full frame rate - 720p full frame rate</v>
      </c>
      <c r="Q5810">
        <f t="shared" si="722"/>
        <v>25</v>
      </c>
      <c r="R5810" t="str">
        <f t="shared" si="723"/>
        <v/>
      </c>
      <c r="S5810" t="str">
        <f t="shared" si="724"/>
        <v/>
      </c>
      <c r="T5810" s="403" t="str">
        <f t="shared" si="725"/>
        <v>NDP-4502-Z12C</v>
      </c>
      <c r="U5810" s="403">
        <f t="shared" si="726"/>
        <v>1</v>
      </c>
      <c r="V5810" s="403" t="str">
        <f t="shared" si="727"/>
        <v>CPP_7_3</v>
      </c>
    </row>
    <row r="5811" spans="1:22">
      <c r="A5811" t="str">
        <f t="shared" si="720"/>
        <v>NDP-4502-Z12C</v>
      </c>
      <c r="B5811" s="403" t="s">
        <v>1428</v>
      </c>
      <c r="C5811" s="403" t="s">
        <v>582</v>
      </c>
      <c r="D5811" s="403" t="s">
        <v>1429</v>
      </c>
      <c r="E5811" s="403" t="s">
        <v>778</v>
      </c>
      <c r="F5811" s="403" t="s">
        <v>1290</v>
      </c>
      <c r="G5811" s="403" t="s">
        <v>1466</v>
      </c>
      <c r="H5811" s="403" t="s">
        <v>1282</v>
      </c>
      <c r="I5811" s="403">
        <v>1</v>
      </c>
      <c r="J5811" s="403" t="s">
        <v>1289</v>
      </c>
      <c r="K5811" s="403">
        <v>1280</v>
      </c>
      <c r="L5811" s="403">
        <v>720</v>
      </c>
      <c r="M5811" s="403" t="s">
        <v>111</v>
      </c>
      <c r="N5811" s="403">
        <v>768</v>
      </c>
      <c r="O5811" s="403">
        <v>432</v>
      </c>
      <c r="P5811" t="str">
        <f t="shared" si="721"/>
        <v>50fps 720p full frame rate - SD</v>
      </c>
      <c r="Q5811">
        <f t="shared" si="722"/>
        <v>25</v>
      </c>
      <c r="R5811" t="str">
        <f t="shared" si="723"/>
        <v/>
      </c>
      <c r="S5811" t="str">
        <f t="shared" si="724"/>
        <v/>
      </c>
      <c r="T5811" s="403" t="str">
        <f t="shared" si="725"/>
        <v>NDP-4502-Z12C</v>
      </c>
      <c r="U5811" s="403">
        <f t="shared" si="726"/>
        <v>1</v>
      </c>
      <c r="V5811" s="403" t="str">
        <f t="shared" si="727"/>
        <v>CPP_7_3</v>
      </c>
    </row>
    <row r="5812" spans="1:22">
      <c r="A5812" t="str">
        <f t="shared" si="720"/>
        <v>NDP-4502-Z12C</v>
      </c>
      <c r="B5812" s="403" t="s">
        <v>1428</v>
      </c>
      <c r="C5812" s="403" t="s">
        <v>582</v>
      </c>
      <c r="D5812" s="403" t="s">
        <v>1429</v>
      </c>
      <c r="E5812" s="403" t="s">
        <v>778</v>
      </c>
      <c r="F5812" s="403" t="s">
        <v>1290</v>
      </c>
      <c r="G5812" s="403" t="s">
        <v>1466</v>
      </c>
      <c r="H5812" s="403" t="s">
        <v>1282</v>
      </c>
      <c r="I5812" s="403">
        <v>1</v>
      </c>
      <c r="J5812" s="403" t="s">
        <v>1289</v>
      </c>
      <c r="K5812" s="403">
        <v>1280</v>
      </c>
      <c r="L5812" s="403">
        <v>720</v>
      </c>
      <c r="M5812" s="403" t="s">
        <v>1283</v>
      </c>
      <c r="N5812" s="403">
        <v>720</v>
      </c>
      <c r="O5812" s="403">
        <v>576</v>
      </c>
      <c r="P5812" t="str">
        <f t="shared" si="721"/>
        <v>50fps 720p full frame rate - SD 4CIF resolution 4:3 format (cropped)</v>
      </c>
      <c r="Q5812">
        <f t="shared" si="722"/>
        <v>25</v>
      </c>
      <c r="R5812" t="str">
        <f t="shared" si="723"/>
        <v/>
      </c>
      <c r="S5812" t="str">
        <f t="shared" si="724"/>
        <v/>
      </c>
      <c r="T5812" s="403" t="str">
        <f t="shared" si="725"/>
        <v>NDP-4502-Z12C</v>
      </c>
      <c r="U5812" s="403">
        <f t="shared" si="726"/>
        <v>1</v>
      </c>
      <c r="V5812" s="403" t="str">
        <f t="shared" si="727"/>
        <v>CPP_7_3</v>
      </c>
    </row>
    <row r="5813" spans="1:22">
      <c r="A5813" t="str">
        <f t="shared" si="720"/>
        <v>NDP-4502-Z12C</v>
      </c>
      <c r="B5813" s="403" t="s">
        <v>1428</v>
      </c>
      <c r="C5813" s="403" t="s">
        <v>582</v>
      </c>
      <c r="D5813" s="403" t="s">
        <v>1429</v>
      </c>
      <c r="E5813" s="403" t="s">
        <v>778</v>
      </c>
      <c r="F5813" s="403" t="s">
        <v>1290</v>
      </c>
      <c r="G5813" s="403" t="s">
        <v>1466</v>
      </c>
      <c r="H5813" s="403" t="s">
        <v>1282</v>
      </c>
      <c r="I5813" s="403">
        <v>1</v>
      </c>
      <c r="J5813" s="403" t="s">
        <v>1289</v>
      </c>
      <c r="K5813" s="403">
        <v>1280</v>
      </c>
      <c r="L5813" s="403">
        <v>720</v>
      </c>
      <c r="M5813" s="403" t="s">
        <v>1284</v>
      </c>
      <c r="N5813" s="403">
        <v>640</v>
      </c>
      <c r="O5813" s="403">
        <v>480</v>
      </c>
      <c r="P5813" t="str">
        <f t="shared" si="721"/>
        <v>50fps 720p full frame rate - SD VGA (cropped)</v>
      </c>
      <c r="Q5813">
        <f t="shared" si="722"/>
        <v>25</v>
      </c>
      <c r="R5813" t="str">
        <f t="shared" si="723"/>
        <v/>
      </c>
      <c r="S5813" t="str">
        <f t="shared" si="724"/>
        <v/>
      </c>
      <c r="T5813" s="403" t="str">
        <f t="shared" si="725"/>
        <v>NDP-4502-Z12C</v>
      </c>
      <c r="U5813" s="403">
        <f t="shared" si="726"/>
        <v>1</v>
      </c>
      <c r="V5813" s="403" t="str">
        <f t="shared" si="727"/>
        <v>CPP_7_3</v>
      </c>
    </row>
    <row r="5814" spans="1:22">
      <c r="A5814" t="str">
        <f t="shared" si="720"/>
        <v>NDP-5502-Z30</v>
      </c>
      <c r="B5814" s="403" t="s">
        <v>1430</v>
      </c>
      <c r="C5814" s="403" t="s">
        <v>582</v>
      </c>
      <c r="D5814" s="403" t="s">
        <v>1294</v>
      </c>
      <c r="E5814" s="403" t="s">
        <v>778</v>
      </c>
      <c r="F5814" s="403" t="s">
        <v>1286</v>
      </c>
      <c r="G5814" s="403" t="s">
        <v>1466</v>
      </c>
      <c r="H5814" s="403" t="s">
        <v>1276</v>
      </c>
      <c r="I5814" s="403">
        <v>1</v>
      </c>
      <c r="J5814" s="403" t="s">
        <v>110</v>
      </c>
      <c r="K5814" s="403">
        <v>1920</v>
      </c>
      <c r="L5814" s="403">
        <v>1080</v>
      </c>
      <c r="M5814" s="403" t="s">
        <v>111</v>
      </c>
      <c r="N5814" s="403">
        <v>768</v>
      </c>
      <c r="O5814" s="403">
        <v>432</v>
      </c>
      <c r="P5814" t="str">
        <f t="shared" si="721"/>
        <v>30fps 1080p - SD</v>
      </c>
      <c r="Q5814">
        <f t="shared" si="722"/>
        <v>26</v>
      </c>
      <c r="R5814">
        <f t="shared" si="723"/>
        <v>26</v>
      </c>
      <c r="S5814" t="str">
        <f t="shared" si="724"/>
        <v>AUTODOME IP 5000i (NDP-5502-Z30)</v>
      </c>
      <c r="T5814" s="403" t="str">
        <f t="shared" si="725"/>
        <v>NDP-5502-Z30</v>
      </c>
      <c r="U5814" s="403">
        <f t="shared" si="726"/>
        <v>1</v>
      </c>
      <c r="V5814" s="403" t="str">
        <f t="shared" si="727"/>
        <v>CPP_7_3</v>
      </c>
    </row>
    <row r="5815" spans="1:22">
      <c r="A5815" t="str">
        <f t="shared" si="720"/>
        <v>NDP-5502-Z30</v>
      </c>
      <c r="B5815" s="403" t="s">
        <v>1430</v>
      </c>
      <c r="C5815" s="403" t="s">
        <v>582</v>
      </c>
      <c r="D5815" s="403" t="s">
        <v>1294</v>
      </c>
      <c r="E5815" s="403" t="s">
        <v>778</v>
      </c>
      <c r="F5815" s="403" t="s">
        <v>1286</v>
      </c>
      <c r="G5815" s="403" t="s">
        <v>1466</v>
      </c>
      <c r="H5815" s="403" t="s">
        <v>1276</v>
      </c>
      <c r="I5815" s="403">
        <v>1</v>
      </c>
      <c r="J5815" s="403" t="s">
        <v>110</v>
      </c>
      <c r="K5815" s="403">
        <v>1920</v>
      </c>
      <c r="L5815" s="403">
        <v>1080</v>
      </c>
      <c r="M5815" s="403" t="s">
        <v>110</v>
      </c>
      <c r="N5815" s="403">
        <v>1920</v>
      </c>
      <c r="O5815" s="403">
        <v>1080</v>
      </c>
      <c r="P5815" t="str">
        <f t="shared" si="721"/>
        <v>30fps 1080p - 1080p</v>
      </c>
      <c r="Q5815">
        <f t="shared" si="722"/>
        <v>26</v>
      </c>
      <c r="R5815" t="str">
        <f t="shared" si="723"/>
        <v/>
      </c>
      <c r="S5815" t="str">
        <f t="shared" si="724"/>
        <v/>
      </c>
      <c r="T5815" s="403" t="str">
        <f t="shared" si="725"/>
        <v>NDP-5502-Z30</v>
      </c>
      <c r="U5815" s="403">
        <f t="shared" si="726"/>
        <v>1</v>
      </c>
      <c r="V5815" s="403" t="str">
        <f t="shared" si="727"/>
        <v>CPP_7_3</v>
      </c>
    </row>
    <row r="5816" spans="1:22">
      <c r="A5816" t="str">
        <f t="shared" si="720"/>
        <v>NDP-5502-Z30</v>
      </c>
      <c r="B5816" s="403" t="s">
        <v>1430</v>
      </c>
      <c r="C5816" s="403" t="s">
        <v>582</v>
      </c>
      <c r="D5816" s="403" t="s">
        <v>1294</v>
      </c>
      <c r="E5816" s="403" t="s">
        <v>778</v>
      </c>
      <c r="F5816" s="403" t="s">
        <v>1286</v>
      </c>
      <c r="G5816" s="403" t="s">
        <v>1466</v>
      </c>
      <c r="H5816" s="403" t="s">
        <v>1276</v>
      </c>
      <c r="I5816" s="403">
        <v>1</v>
      </c>
      <c r="J5816" s="403" t="s">
        <v>110</v>
      </c>
      <c r="K5816" s="403">
        <v>1920</v>
      </c>
      <c r="L5816" s="403">
        <v>1080</v>
      </c>
      <c r="M5816" s="403" t="s">
        <v>109</v>
      </c>
      <c r="N5816" s="403">
        <v>1280</v>
      </c>
      <c r="O5816" s="403">
        <v>720</v>
      </c>
      <c r="P5816" t="str">
        <f t="shared" si="721"/>
        <v>30fps 1080p - 720p</v>
      </c>
      <c r="Q5816">
        <f t="shared" si="722"/>
        <v>26</v>
      </c>
      <c r="R5816" t="str">
        <f t="shared" si="723"/>
        <v/>
      </c>
      <c r="S5816" t="str">
        <f t="shared" si="724"/>
        <v/>
      </c>
      <c r="T5816" s="403" t="str">
        <f t="shared" si="725"/>
        <v>NDP-5502-Z30</v>
      </c>
      <c r="U5816" s="403">
        <f t="shared" si="726"/>
        <v>1</v>
      </c>
      <c r="V5816" s="403" t="str">
        <f t="shared" si="727"/>
        <v>CPP_7_3</v>
      </c>
    </row>
    <row r="5817" spans="1:22">
      <c r="A5817" t="str">
        <f t="shared" si="720"/>
        <v>NDP-5502-Z30</v>
      </c>
      <c r="B5817" s="403" t="s">
        <v>1430</v>
      </c>
      <c r="C5817" s="403" t="s">
        <v>582</v>
      </c>
      <c r="D5817" s="403" t="s">
        <v>1294</v>
      </c>
      <c r="E5817" s="403" t="s">
        <v>778</v>
      </c>
      <c r="F5817" s="403" t="s">
        <v>1286</v>
      </c>
      <c r="G5817" s="403" t="s">
        <v>1466</v>
      </c>
      <c r="H5817" s="403" t="s">
        <v>1276</v>
      </c>
      <c r="I5817" s="403">
        <v>1</v>
      </c>
      <c r="J5817" s="403" t="s">
        <v>110</v>
      </c>
      <c r="K5817" s="403">
        <v>1920</v>
      </c>
      <c r="L5817" s="403">
        <v>1080</v>
      </c>
      <c r="M5817" s="403" t="s">
        <v>1285</v>
      </c>
      <c r="N5817" s="403">
        <v>1280</v>
      </c>
      <c r="O5817" s="403">
        <v>1024</v>
      </c>
      <c r="P5817" t="str">
        <f t="shared" si="721"/>
        <v>30fps 1080p - 1280x1024 5:4 (cropped)</v>
      </c>
      <c r="Q5817">
        <f t="shared" si="722"/>
        <v>26</v>
      </c>
      <c r="R5817" t="str">
        <f t="shared" si="723"/>
        <v/>
      </c>
      <c r="S5817" t="str">
        <f t="shared" si="724"/>
        <v/>
      </c>
      <c r="T5817" s="403" t="str">
        <f t="shared" si="725"/>
        <v>NDP-5502-Z30</v>
      </c>
      <c r="U5817" s="403">
        <f t="shared" si="726"/>
        <v>1</v>
      </c>
      <c r="V5817" s="403" t="str">
        <f t="shared" si="727"/>
        <v>CPP_7_3</v>
      </c>
    </row>
    <row r="5818" spans="1:22">
      <c r="A5818" t="str">
        <f t="shared" si="720"/>
        <v>NDP-5502-Z30</v>
      </c>
      <c r="B5818" s="403" t="s">
        <v>1430</v>
      </c>
      <c r="C5818" s="403" t="s">
        <v>582</v>
      </c>
      <c r="D5818" s="403" t="s">
        <v>1294</v>
      </c>
      <c r="E5818" s="403" t="s">
        <v>778</v>
      </c>
      <c r="F5818" s="403" t="s">
        <v>1286</v>
      </c>
      <c r="G5818" s="403" t="s">
        <v>1466</v>
      </c>
      <c r="H5818" s="403" t="s">
        <v>1276</v>
      </c>
      <c r="I5818" s="403">
        <v>1</v>
      </c>
      <c r="J5818" s="403" t="s">
        <v>110</v>
      </c>
      <c r="K5818" s="403">
        <v>1920</v>
      </c>
      <c r="L5818" s="403">
        <v>1080</v>
      </c>
      <c r="M5818" s="403" t="s">
        <v>1283</v>
      </c>
      <c r="N5818" s="403">
        <v>720</v>
      </c>
      <c r="O5818" s="403">
        <v>480</v>
      </c>
      <c r="P5818" t="str">
        <f t="shared" si="721"/>
        <v>30fps 1080p - SD 4CIF resolution 4:3 format (cropped)</v>
      </c>
      <c r="Q5818">
        <f t="shared" si="722"/>
        <v>26</v>
      </c>
      <c r="R5818" t="str">
        <f t="shared" si="723"/>
        <v/>
      </c>
      <c r="S5818" t="str">
        <f t="shared" si="724"/>
        <v/>
      </c>
      <c r="T5818" s="403" t="str">
        <f t="shared" si="725"/>
        <v>NDP-5502-Z30</v>
      </c>
      <c r="U5818" s="403">
        <f t="shared" si="726"/>
        <v>1</v>
      </c>
      <c r="V5818" s="403" t="str">
        <f t="shared" si="727"/>
        <v>CPP_7_3</v>
      </c>
    </row>
    <row r="5819" spans="1:22">
      <c r="A5819" t="str">
        <f t="shared" si="720"/>
        <v>NDP-5502-Z30</v>
      </c>
      <c r="B5819" s="403" t="s">
        <v>1430</v>
      </c>
      <c r="C5819" s="403" t="s">
        <v>582</v>
      </c>
      <c r="D5819" s="403" t="s">
        <v>1294</v>
      </c>
      <c r="E5819" s="403" t="s">
        <v>778</v>
      </c>
      <c r="F5819" s="403" t="s">
        <v>1286</v>
      </c>
      <c r="G5819" s="403" t="s">
        <v>1466</v>
      </c>
      <c r="H5819" s="403" t="s">
        <v>1276</v>
      </c>
      <c r="I5819" s="403">
        <v>1</v>
      </c>
      <c r="J5819" s="403" t="s">
        <v>110</v>
      </c>
      <c r="K5819" s="403">
        <v>1920</v>
      </c>
      <c r="L5819" s="403">
        <v>1080</v>
      </c>
      <c r="M5819" s="403" t="s">
        <v>1284</v>
      </c>
      <c r="N5819" s="403">
        <v>640</v>
      </c>
      <c r="O5819" s="403">
        <v>480</v>
      </c>
      <c r="P5819" t="str">
        <f t="shared" si="721"/>
        <v>30fps 1080p - SD VGA (cropped)</v>
      </c>
      <c r="Q5819">
        <f t="shared" si="722"/>
        <v>26</v>
      </c>
      <c r="R5819" t="str">
        <f t="shared" si="723"/>
        <v/>
      </c>
      <c r="S5819" t="str">
        <f t="shared" si="724"/>
        <v/>
      </c>
      <c r="T5819" s="403" t="str">
        <f t="shared" si="725"/>
        <v>NDP-5502-Z30</v>
      </c>
      <c r="U5819" s="403">
        <f t="shared" si="726"/>
        <v>1</v>
      </c>
      <c r="V5819" s="403" t="str">
        <f t="shared" si="727"/>
        <v>CPP_7_3</v>
      </c>
    </row>
    <row r="5820" spans="1:22">
      <c r="A5820" t="str">
        <f t="shared" si="720"/>
        <v>NDP-5502-Z30</v>
      </c>
      <c r="B5820" s="403" t="s">
        <v>1430</v>
      </c>
      <c r="C5820" s="403" t="s">
        <v>582</v>
      </c>
      <c r="D5820" s="403" t="s">
        <v>1294</v>
      </c>
      <c r="E5820" s="403" t="s">
        <v>778</v>
      </c>
      <c r="F5820" s="403" t="s">
        <v>1286</v>
      </c>
      <c r="G5820" s="403" t="s">
        <v>1466</v>
      </c>
      <c r="H5820" s="403" t="s">
        <v>1276</v>
      </c>
      <c r="I5820" s="403">
        <v>1</v>
      </c>
      <c r="J5820" s="403" t="s">
        <v>109</v>
      </c>
      <c r="K5820" s="403">
        <v>1280</v>
      </c>
      <c r="L5820" s="403">
        <v>720</v>
      </c>
      <c r="M5820" s="403" t="s">
        <v>109</v>
      </c>
      <c r="N5820" s="403">
        <v>1280</v>
      </c>
      <c r="O5820" s="403">
        <v>720</v>
      </c>
      <c r="P5820" t="str">
        <f t="shared" si="721"/>
        <v>30fps 720p - 720p</v>
      </c>
      <c r="Q5820">
        <f t="shared" si="722"/>
        <v>26</v>
      </c>
      <c r="R5820" t="str">
        <f t="shared" si="723"/>
        <v/>
      </c>
      <c r="S5820" t="str">
        <f t="shared" si="724"/>
        <v/>
      </c>
      <c r="T5820" s="403" t="str">
        <f t="shared" si="725"/>
        <v>NDP-5502-Z30</v>
      </c>
      <c r="U5820" s="403">
        <f t="shared" si="726"/>
        <v>1</v>
      </c>
      <c r="V5820" s="403" t="str">
        <f t="shared" si="727"/>
        <v>CPP_7_3</v>
      </c>
    </row>
    <row r="5821" spans="1:22">
      <c r="A5821" t="str">
        <f t="shared" si="720"/>
        <v>NDP-5502-Z30</v>
      </c>
      <c r="B5821" s="403" t="s">
        <v>1430</v>
      </c>
      <c r="C5821" s="403" t="s">
        <v>582</v>
      </c>
      <c r="D5821" s="403" t="s">
        <v>1294</v>
      </c>
      <c r="E5821" s="403" t="s">
        <v>778</v>
      </c>
      <c r="F5821" s="403" t="s">
        <v>1286</v>
      </c>
      <c r="G5821" s="403" t="s">
        <v>1466</v>
      </c>
      <c r="H5821" s="403" t="s">
        <v>1276</v>
      </c>
      <c r="I5821" s="403">
        <v>1</v>
      </c>
      <c r="J5821" s="403" t="s">
        <v>109</v>
      </c>
      <c r="K5821" s="403">
        <v>1280</v>
      </c>
      <c r="L5821" s="403">
        <v>720</v>
      </c>
      <c r="M5821" s="403" t="s">
        <v>111</v>
      </c>
      <c r="N5821" s="403">
        <v>768</v>
      </c>
      <c r="O5821" s="403">
        <v>432</v>
      </c>
      <c r="P5821" t="str">
        <f t="shared" si="721"/>
        <v>30fps 720p - SD</v>
      </c>
      <c r="Q5821">
        <f t="shared" si="722"/>
        <v>26</v>
      </c>
      <c r="R5821" t="str">
        <f t="shared" si="723"/>
        <v/>
      </c>
      <c r="S5821" t="str">
        <f t="shared" si="724"/>
        <v/>
      </c>
      <c r="T5821" s="403" t="str">
        <f t="shared" si="725"/>
        <v>NDP-5502-Z30</v>
      </c>
      <c r="U5821" s="403">
        <f t="shared" si="726"/>
        <v>1</v>
      </c>
      <c r="V5821" s="403" t="str">
        <f t="shared" si="727"/>
        <v>CPP_7_3</v>
      </c>
    </row>
    <row r="5822" spans="1:22">
      <c r="A5822" t="str">
        <f t="shared" si="720"/>
        <v>NDP-5502-Z30</v>
      </c>
      <c r="B5822" s="403" t="s">
        <v>1430</v>
      </c>
      <c r="C5822" s="403" t="s">
        <v>582</v>
      </c>
      <c r="D5822" s="403" t="s">
        <v>1294</v>
      </c>
      <c r="E5822" s="403" t="s">
        <v>778</v>
      </c>
      <c r="F5822" s="403" t="s">
        <v>1286</v>
      </c>
      <c r="G5822" s="403" t="s">
        <v>1466</v>
      </c>
      <c r="H5822" s="403" t="s">
        <v>1276</v>
      </c>
      <c r="I5822" s="403">
        <v>1</v>
      </c>
      <c r="J5822" s="403" t="s">
        <v>109</v>
      </c>
      <c r="K5822" s="403">
        <v>1280</v>
      </c>
      <c r="L5822" s="403">
        <v>720</v>
      </c>
      <c r="M5822" s="403" t="s">
        <v>1283</v>
      </c>
      <c r="N5822" s="403">
        <v>720</v>
      </c>
      <c r="O5822" s="403">
        <v>480</v>
      </c>
      <c r="P5822" t="str">
        <f t="shared" si="721"/>
        <v>30fps 720p - SD 4CIF resolution 4:3 format (cropped)</v>
      </c>
      <c r="Q5822">
        <f t="shared" si="722"/>
        <v>26</v>
      </c>
      <c r="R5822" t="str">
        <f t="shared" si="723"/>
        <v/>
      </c>
      <c r="S5822" t="str">
        <f t="shared" si="724"/>
        <v/>
      </c>
      <c r="T5822" s="403" t="str">
        <f t="shared" si="725"/>
        <v>NDP-5502-Z30</v>
      </c>
      <c r="U5822" s="403">
        <f t="shared" si="726"/>
        <v>1</v>
      </c>
      <c r="V5822" s="403" t="str">
        <f t="shared" si="727"/>
        <v>CPP_7_3</v>
      </c>
    </row>
    <row r="5823" spans="1:22">
      <c r="A5823" t="str">
        <f t="shared" si="720"/>
        <v>NDP-5502-Z30</v>
      </c>
      <c r="B5823" s="403" t="s">
        <v>1430</v>
      </c>
      <c r="C5823" s="403" t="s">
        <v>582</v>
      </c>
      <c r="D5823" s="403" t="s">
        <v>1294</v>
      </c>
      <c r="E5823" s="403" t="s">
        <v>778</v>
      </c>
      <c r="F5823" s="403" t="s">
        <v>1286</v>
      </c>
      <c r="G5823" s="403" t="s">
        <v>1466</v>
      </c>
      <c r="H5823" s="403" t="s">
        <v>1276</v>
      </c>
      <c r="I5823" s="403">
        <v>1</v>
      </c>
      <c r="J5823" s="403" t="s">
        <v>109</v>
      </c>
      <c r="K5823" s="403">
        <v>1280</v>
      </c>
      <c r="L5823" s="403">
        <v>720</v>
      </c>
      <c r="M5823" s="403" t="s">
        <v>1284</v>
      </c>
      <c r="N5823" s="403">
        <v>640</v>
      </c>
      <c r="O5823" s="403">
        <v>480</v>
      </c>
      <c r="P5823" t="str">
        <f t="shared" si="721"/>
        <v>30fps 720p - SD VGA (cropped)</v>
      </c>
      <c r="Q5823">
        <f t="shared" si="722"/>
        <v>26</v>
      </c>
      <c r="R5823" t="str">
        <f t="shared" si="723"/>
        <v/>
      </c>
      <c r="S5823" t="str">
        <f t="shared" si="724"/>
        <v/>
      </c>
      <c r="T5823" s="403" t="str">
        <f t="shared" si="725"/>
        <v>NDP-5502-Z30</v>
      </c>
      <c r="U5823" s="403">
        <f t="shared" si="726"/>
        <v>1</v>
      </c>
      <c r="V5823" s="403" t="str">
        <f t="shared" si="727"/>
        <v>CPP_7_3</v>
      </c>
    </row>
    <row r="5824" spans="1:22">
      <c r="A5824" t="str">
        <f t="shared" si="720"/>
        <v>NDP-5502-Z30</v>
      </c>
      <c r="B5824" s="403" t="s">
        <v>1430</v>
      </c>
      <c r="C5824" s="403" t="s">
        <v>582</v>
      </c>
      <c r="D5824" s="403" t="s">
        <v>1294</v>
      </c>
      <c r="E5824" s="403" t="s">
        <v>778</v>
      </c>
      <c r="F5824" s="403" t="s">
        <v>1286</v>
      </c>
      <c r="G5824" s="403" t="s">
        <v>1466</v>
      </c>
      <c r="H5824" s="403" t="s">
        <v>1281</v>
      </c>
      <c r="I5824" s="403">
        <v>1</v>
      </c>
      <c r="J5824" s="403" t="s">
        <v>110</v>
      </c>
      <c r="K5824" s="403">
        <v>1920</v>
      </c>
      <c r="L5824" s="403">
        <v>1080</v>
      </c>
      <c r="M5824" s="403" t="s">
        <v>111</v>
      </c>
      <c r="N5824" s="403">
        <v>768</v>
      </c>
      <c r="O5824" s="403">
        <v>432</v>
      </c>
      <c r="P5824" t="str">
        <f t="shared" si="721"/>
        <v>30fps 1080p - SD</v>
      </c>
      <c r="Q5824">
        <f t="shared" si="722"/>
        <v>26</v>
      </c>
      <c r="R5824" t="str">
        <f t="shared" si="723"/>
        <v/>
      </c>
      <c r="S5824" t="str">
        <f t="shared" si="724"/>
        <v/>
      </c>
      <c r="T5824" s="403" t="str">
        <f t="shared" si="725"/>
        <v>NDP-5502-Z30</v>
      </c>
      <c r="U5824" s="403">
        <f t="shared" si="726"/>
        <v>1</v>
      </c>
      <c r="V5824" s="403" t="str">
        <f t="shared" si="727"/>
        <v>CPP_7_3</v>
      </c>
    </row>
    <row r="5825" spans="1:22">
      <c r="A5825" t="str">
        <f t="shared" si="720"/>
        <v>NDP-5502-Z30</v>
      </c>
      <c r="B5825" s="403" t="s">
        <v>1430</v>
      </c>
      <c r="C5825" s="403" t="s">
        <v>582</v>
      </c>
      <c r="D5825" s="403" t="s">
        <v>1294</v>
      </c>
      <c r="E5825" s="403" t="s">
        <v>778</v>
      </c>
      <c r="F5825" s="403" t="s">
        <v>1286</v>
      </c>
      <c r="G5825" s="403" t="s">
        <v>1466</v>
      </c>
      <c r="H5825" s="403" t="s">
        <v>1281</v>
      </c>
      <c r="I5825" s="403">
        <v>1</v>
      </c>
      <c r="J5825" s="403" t="s">
        <v>110</v>
      </c>
      <c r="K5825" s="403">
        <v>1920</v>
      </c>
      <c r="L5825" s="403">
        <v>1080</v>
      </c>
      <c r="M5825" s="403" t="s">
        <v>110</v>
      </c>
      <c r="N5825" s="403">
        <v>1920</v>
      </c>
      <c r="O5825" s="403">
        <v>1080</v>
      </c>
      <c r="P5825" t="str">
        <f t="shared" si="721"/>
        <v>30fps 1080p - 1080p</v>
      </c>
      <c r="Q5825">
        <f t="shared" si="722"/>
        <v>26</v>
      </c>
      <c r="R5825" t="str">
        <f t="shared" si="723"/>
        <v/>
      </c>
      <c r="S5825" t="str">
        <f t="shared" si="724"/>
        <v/>
      </c>
      <c r="T5825" s="403" t="str">
        <f t="shared" si="725"/>
        <v>NDP-5502-Z30</v>
      </c>
      <c r="U5825" s="403">
        <f t="shared" si="726"/>
        <v>1</v>
      </c>
      <c r="V5825" s="403" t="str">
        <f t="shared" si="727"/>
        <v>CPP_7_3</v>
      </c>
    </row>
    <row r="5826" spans="1:22">
      <c r="A5826" t="str">
        <f t="shared" ref="A5826:A5889" si="728">IF(AND(G5826&lt;&gt;"rotate 90°"),D5826,"")</f>
        <v>NDP-5502-Z30</v>
      </c>
      <c r="B5826" s="403" t="s">
        <v>1430</v>
      </c>
      <c r="C5826" s="403" t="s">
        <v>582</v>
      </c>
      <c r="D5826" s="403" t="s">
        <v>1294</v>
      </c>
      <c r="E5826" s="403" t="s">
        <v>778</v>
      </c>
      <c r="F5826" s="403" t="s">
        <v>1286</v>
      </c>
      <c r="G5826" s="403" t="s">
        <v>1466</v>
      </c>
      <c r="H5826" s="403" t="s">
        <v>1281</v>
      </c>
      <c r="I5826" s="403">
        <v>1</v>
      </c>
      <c r="J5826" s="403" t="s">
        <v>110</v>
      </c>
      <c r="K5826" s="403">
        <v>1920</v>
      </c>
      <c r="L5826" s="403">
        <v>1080</v>
      </c>
      <c r="M5826" s="403" t="s">
        <v>109</v>
      </c>
      <c r="N5826" s="403">
        <v>1280</v>
      </c>
      <c r="O5826" s="403">
        <v>720</v>
      </c>
      <c r="P5826" t="str">
        <f t="shared" ref="P5826:P5889" si="729">LEFT(F5826,5)&amp;" "&amp;J5826&amp;" - "&amp;M5826</f>
        <v>30fps 1080p - 720p</v>
      </c>
      <c r="Q5826">
        <f t="shared" ref="Q5826:Q5889" si="730">IF(A5825=A5826,Q5825,Q5825+1)</f>
        <v>26</v>
      </c>
      <c r="R5826" t="str">
        <f t="shared" ref="R5826:R5889" si="731">IF(Q5825&lt;&gt;Q5826,Q5826,"")</f>
        <v/>
      </c>
      <c r="S5826" t="str">
        <f t="shared" ref="S5826:S5889" si="732">IF(R5826&lt;&gt;"",B5826&amp;" ("&amp;D5826&amp;")","")</f>
        <v/>
      </c>
      <c r="T5826" s="403" t="str">
        <f t="shared" ref="T5826:T5889" si="733">D5826</f>
        <v>NDP-5502-Z30</v>
      </c>
      <c r="U5826" s="403">
        <f t="shared" ref="U5826:U5889" si="734">I5826</f>
        <v>1</v>
      </c>
      <c r="V5826" s="403" t="str">
        <f t="shared" ref="V5826:V5889" si="735">C5826</f>
        <v>CPP_7_3</v>
      </c>
    </row>
    <row r="5827" spans="1:22">
      <c r="A5827" t="str">
        <f t="shared" si="728"/>
        <v>NDP-5502-Z30</v>
      </c>
      <c r="B5827" s="403" t="s">
        <v>1430</v>
      </c>
      <c r="C5827" s="403" t="s">
        <v>582</v>
      </c>
      <c r="D5827" s="403" t="s">
        <v>1294</v>
      </c>
      <c r="E5827" s="403" t="s">
        <v>778</v>
      </c>
      <c r="F5827" s="403" t="s">
        <v>1286</v>
      </c>
      <c r="G5827" s="403" t="s">
        <v>1466</v>
      </c>
      <c r="H5827" s="403" t="s">
        <v>1281</v>
      </c>
      <c r="I5827" s="403">
        <v>1</v>
      </c>
      <c r="J5827" s="403" t="s">
        <v>110</v>
      </c>
      <c r="K5827" s="403">
        <v>1920</v>
      </c>
      <c r="L5827" s="403">
        <v>1080</v>
      </c>
      <c r="M5827" s="403" t="s">
        <v>1285</v>
      </c>
      <c r="N5827" s="403">
        <v>1280</v>
      </c>
      <c r="O5827" s="403">
        <v>1024</v>
      </c>
      <c r="P5827" t="str">
        <f t="shared" si="729"/>
        <v>30fps 1080p - 1280x1024 5:4 (cropped)</v>
      </c>
      <c r="Q5827">
        <f t="shared" si="730"/>
        <v>26</v>
      </c>
      <c r="R5827" t="str">
        <f t="shared" si="731"/>
        <v/>
      </c>
      <c r="S5827" t="str">
        <f t="shared" si="732"/>
        <v/>
      </c>
      <c r="T5827" s="403" t="str">
        <f t="shared" si="733"/>
        <v>NDP-5502-Z30</v>
      </c>
      <c r="U5827" s="403">
        <f t="shared" si="734"/>
        <v>1</v>
      </c>
      <c r="V5827" s="403" t="str">
        <f t="shared" si="735"/>
        <v>CPP_7_3</v>
      </c>
    </row>
    <row r="5828" spans="1:22">
      <c r="A5828" t="str">
        <f t="shared" si="728"/>
        <v>NDP-5502-Z30</v>
      </c>
      <c r="B5828" s="403" t="s">
        <v>1430</v>
      </c>
      <c r="C5828" s="403" t="s">
        <v>582</v>
      </c>
      <c r="D5828" s="403" t="s">
        <v>1294</v>
      </c>
      <c r="E5828" s="403" t="s">
        <v>778</v>
      </c>
      <c r="F5828" s="403" t="s">
        <v>1286</v>
      </c>
      <c r="G5828" s="403" t="s">
        <v>1466</v>
      </c>
      <c r="H5828" s="403" t="s">
        <v>1281</v>
      </c>
      <c r="I5828" s="403">
        <v>1</v>
      </c>
      <c r="J5828" s="403" t="s">
        <v>110</v>
      </c>
      <c r="K5828" s="403">
        <v>1920</v>
      </c>
      <c r="L5828" s="403">
        <v>1080</v>
      </c>
      <c r="M5828" s="403" t="s">
        <v>1283</v>
      </c>
      <c r="N5828" s="403">
        <v>720</v>
      </c>
      <c r="O5828" s="403">
        <v>480</v>
      </c>
      <c r="P5828" t="str">
        <f t="shared" si="729"/>
        <v>30fps 1080p - SD 4CIF resolution 4:3 format (cropped)</v>
      </c>
      <c r="Q5828">
        <f t="shared" si="730"/>
        <v>26</v>
      </c>
      <c r="R5828" t="str">
        <f t="shared" si="731"/>
        <v/>
      </c>
      <c r="S5828" t="str">
        <f t="shared" si="732"/>
        <v/>
      </c>
      <c r="T5828" s="403" t="str">
        <f t="shared" si="733"/>
        <v>NDP-5502-Z30</v>
      </c>
      <c r="U5828" s="403">
        <f t="shared" si="734"/>
        <v>1</v>
      </c>
      <c r="V5828" s="403" t="str">
        <f t="shared" si="735"/>
        <v>CPP_7_3</v>
      </c>
    </row>
    <row r="5829" spans="1:22">
      <c r="A5829" t="str">
        <f t="shared" si="728"/>
        <v>NDP-5502-Z30</v>
      </c>
      <c r="B5829" s="403" t="s">
        <v>1430</v>
      </c>
      <c r="C5829" s="403" t="s">
        <v>582</v>
      </c>
      <c r="D5829" s="403" t="s">
        <v>1294</v>
      </c>
      <c r="E5829" s="403" t="s">
        <v>778</v>
      </c>
      <c r="F5829" s="403" t="s">
        <v>1286</v>
      </c>
      <c r="G5829" s="403" t="s">
        <v>1466</v>
      </c>
      <c r="H5829" s="403" t="s">
        <v>1281</v>
      </c>
      <c r="I5829" s="403">
        <v>1</v>
      </c>
      <c r="J5829" s="403" t="s">
        <v>110</v>
      </c>
      <c r="K5829" s="403">
        <v>1920</v>
      </c>
      <c r="L5829" s="403">
        <v>1080</v>
      </c>
      <c r="M5829" s="403" t="s">
        <v>1284</v>
      </c>
      <c r="N5829" s="403">
        <v>640</v>
      </c>
      <c r="O5829" s="403">
        <v>480</v>
      </c>
      <c r="P5829" t="str">
        <f t="shared" si="729"/>
        <v>30fps 1080p - SD VGA (cropped)</v>
      </c>
      <c r="Q5829">
        <f t="shared" si="730"/>
        <v>26</v>
      </c>
      <c r="R5829" t="str">
        <f t="shared" si="731"/>
        <v/>
      </c>
      <c r="S5829" t="str">
        <f t="shared" si="732"/>
        <v/>
      </c>
      <c r="T5829" s="403" t="str">
        <f t="shared" si="733"/>
        <v>NDP-5502-Z30</v>
      </c>
      <c r="U5829" s="403">
        <f t="shared" si="734"/>
        <v>1</v>
      </c>
      <c r="V5829" s="403" t="str">
        <f t="shared" si="735"/>
        <v>CPP_7_3</v>
      </c>
    </row>
    <row r="5830" spans="1:22">
      <c r="A5830" t="str">
        <f t="shared" si="728"/>
        <v>NDP-5502-Z30</v>
      </c>
      <c r="B5830" s="403" t="s">
        <v>1430</v>
      </c>
      <c r="C5830" s="403" t="s">
        <v>582</v>
      </c>
      <c r="D5830" s="403" t="s">
        <v>1294</v>
      </c>
      <c r="E5830" s="403" t="s">
        <v>778</v>
      </c>
      <c r="F5830" s="403" t="s">
        <v>1286</v>
      </c>
      <c r="G5830" s="403" t="s">
        <v>1466</v>
      </c>
      <c r="H5830" s="403" t="s">
        <v>1281</v>
      </c>
      <c r="I5830" s="403">
        <v>1</v>
      </c>
      <c r="J5830" s="403" t="s">
        <v>109</v>
      </c>
      <c r="K5830" s="403">
        <v>1280</v>
      </c>
      <c r="L5830" s="403">
        <v>720</v>
      </c>
      <c r="M5830" s="403" t="s">
        <v>109</v>
      </c>
      <c r="N5830" s="403">
        <v>1280</v>
      </c>
      <c r="O5830" s="403">
        <v>720</v>
      </c>
      <c r="P5830" t="str">
        <f t="shared" si="729"/>
        <v>30fps 720p - 720p</v>
      </c>
      <c r="Q5830">
        <f t="shared" si="730"/>
        <v>26</v>
      </c>
      <c r="R5830" t="str">
        <f t="shared" si="731"/>
        <v/>
      </c>
      <c r="S5830" t="str">
        <f t="shared" si="732"/>
        <v/>
      </c>
      <c r="T5830" s="403" t="str">
        <f t="shared" si="733"/>
        <v>NDP-5502-Z30</v>
      </c>
      <c r="U5830" s="403">
        <f t="shared" si="734"/>
        <v>1</v>
      </c>
      <c r="V5830" s="403" t="str">
        <f t="shared" si="735"/>
        <v>CPP_7_3</v>
      </c>
    </row>
    <row r="5831" spans="1:22">
      <c r="A5831" t="str">
        <f t="shared" si="728"/>
        <v>NDP-5502-Z30</v>
      </c>
      <c r="B5831" s="403" t="s">
        <v>1430</v>
      </c>
      <c r="C5831" s="403" t="s">
        <v>582</v>
      </c>
      <c r="D5831" s="403" t="s">
        <v>1294</v>
      </c>
      <c r="E5831" s="403" t="s">
        <v>778</v>
      </c>
      <c r="F5831" s="403" t="s">
        <v>1286</v>
      </c>
      <c r="G5831" s="403" t="s">
        <v>1466</v>
      </c>
      <c r="H5831" s="403" t="s">
        <v>1281</v>
      </c>
      <c r="I5831" s="403">
        <v>1</v>
      </c>
      <c r="J5831" s="403" t="s">
        <v>109</v>
      </c>
      <c r="K5831" s="403">
        <v>1280</v>
      </c>
      <c r="L5831" s="403">
        <v>720</v>
      </c>
      <c r="M5831" s="403" t="s">
        <v>111</v>
      </c>
      <c r="N5831" s="403">
        <v>768</v>
      </c>
      <c r="O5831" s="403">
        <v>432</v>
      </c>
      <c r="P5831" t="str">
        <f t="shared" si="729"/>
        <v>30fps 720p - SD</v>
      </c>
      <c r="Q5831">
        <f t="shared" si="730"/>
        <v>26</v>
      </c>
      <c r="R5831" t="str">
        <f t="shared" si="731"/>
        <v/>
      </c>
      <c r="S5831" t="str">
        <f t="shared" si="732"/>
        <v/>
      </c>
      <c r="T5831" s="403" t="str">
        <f t="shared" si="733"/>
        <v>NDP-5502-Z30</v>
      </c>
      <c r="U5831" s="403">
        <f t="shared" si="734"/>
        <v>1</v>
      </c>
      <c r="V5831" s="403" t="str">
        <f t="shared" si="735"/>
        <v>CPP_7_3</v>
      </c>
    </row>
    <row r="5832" spans="1:22">
      <c r="A5832" t="str">
        <f t="shared" si="728"/>
        <v>NDP-5502-Z30</v>
      </c>
      <c r="B5832" s="403" t="s">
        <v>1430</v>
      </c>
      <c r="C5832" s="403" t="s">
        <v>582</v>
      </c>
      <c r="D5832" s="403" t="s">
        <v>1294</v>
      </c>
      <c r="E5832" s="403" t="s">
        <v>778</v>
      </c>
      <c r="F5832" s="403" t="s">
        <v>1286</v>
      </c>
      <c r="G5832" s="403" t="s">
        <v>1466</v>
      </c>
      <c r="H5832" s="403" t="s">
        <v>1281</v>
      </c>
      <c r="I5832" s="403">
        <v>1</v>
      </c>
      <c r="J5832" s="403" t="s">
        <v>109</v>
      </c>
      <c r="K5832" s="403">
        <v>1280</v>
      </c>
      <c r="L5832" s="403">
        <v>720</v>
      </c>
      <c r="M5832" s="403" t="s">
        <v>1283</v>
      </c>
      <c r="N5832" s="403">
        <v>720</v>
      </c>
      <c r="O5832" s="403">
        <v>480</v>
      </c>
      <c r="P5832" t="str">
        <f t="shared" si="729"/>
        <v>30fps 720p - SD 4CIF resolution 4:3 format (cropped)</v>
      </c>
      <c r="Q5832">
        <f t="shared" si="730"/>
        <v>26</v>
      </c>
      <c r="R5832" t="str">
        <f t="shared" si="731"/>
        <v/>
      </c>
      <c r="S5832" t="str">
        <f t="shared" si="732"/>
        <v/>
      </c>
      <c r="T5832" s="403" t="str">
        <f t="shared" si="733"/>
        <v>NDP-5502-Z30</v>
      </c>
      <c r="U5832" s="403">
        <f t="shared" si="734"/>
        <v>1</v>
      </c>
      <c r="V5832" s="403" t="str">
        <f t="shared" si="735"/>
        <v>CPP_7_3</v>
      </c>
    </row>
    <row r="5833" spans="1:22">
      <c r="A5833" t="str">
        <f t="shared" si="728"/>
        <v>NDP-5502-Z30</v>
      </c>
      <c r="B5833" s="403" t="s">
        <v>1430</v>
      </c>
      <c r="C5833" s="403" t="s">
        <v>582</v>
      </c>
      <c r="D5833" s="403" t="s">
        <v>1294</v>
      </c>
      <c r="E5833" s="403" t="s">
        <v>778</v>
      </c>
      <c r="F5833" s="403" t="s">
        <v>1286</v>
      </c>
      <c r="G5833" s="403" t="s">
        <v>1466</v>
      </c>
      <c r="H5833" s="403" t="s">
        <v>1281</v>
      </c>
      <c r="I5833" s="403">
        <v>1</v>
      </c>
      <c r="J5833" s="403" t="s">
        <v>109</v>
      </c>
      <c r="K5833" s="403">
        <v>1280</v>
      </c>
      <c r="L5833" s="403">
        <v>720</v>
      </c>
      <c r="M5833" s="403" t="s">
        <v>1284</v>
      </c>
      <c r="N5833" s="403">
        <v>640</v>
      </c>
      <c r="O5833" s="403">
        <v>480</v>
      </c>
      <c r="P5833" t="str">
        <f t="shared" si="729"/>
        <v>30fps 720p - SD VGA (cropped)</v>
      </c>
      <c r="Q5833">
        <f t="shared" si="730"/>
        <v>26</v>
      </c>
      <c r="R5833" t="str">
        <f t="shared" si="731"/>
        <v/>
      </c>
      <c r="S5833" t="str">
        <f t="shared" si="732"/>
        <v/>
      </c>
      <c r="T5833" s="403" t="str">
        <f t="shared" si="733"/>
        <v>NDP-5502-Z30</v>
      </c>
      <c r="U5833" s="403">
        <f t="shared" si="734"/>
        <v>1</v>
      </c>
      <c r="V5833" s="403" t="str">
        <f t="shared" si="735"/>
        <v>CPP_7_3</v>
      </c>
    </row>
    <row r="5834" spans="1:22">
      <c r="A5834" t="str">
        <f t="shared" si="728"/>
        <v>NDP-5502-Z30</v>
      </c>
      <c r="B5834" s="403" t="s">
        <v>1430</v>
      </c>
      <c r="C5834" s="403" t="s">
        <v>582</v>
      </c>
      <c r="D5834" s="403" t="s">
        <v>1294</v>
      </c>
      <c r="E5834" s="403" t="s">
        <v>778</v>
      </c>
      <c r="F5834" s="403" t="s">
        <v>1286</v>
      </c>
      <c r="G5834" s="403" t="s">
        <v>1466</v>
      </c>
      <c r="H5834" s="403" t="s">
        <v>1282</v>
      </c>
      <c r="I5834" s="403">
        <v>1</v>
      </c>
      <c r="J5834" s="403" t="s">
        <v>110</v>
      </c>
      <c r="K5834" s="403">
        <v>1920</v>
      </c>
      <c r="L5834" s="403">
        <v>1080</v>
      </c>
      <c r="M5834" s="403" t="s">
        <v>111</v>
      </c>
      <c r="N5834" s="403">
        <v>768</v>
      </c>
      <c r="O5834" s="403">
        <v>432</v>
      </c>
      <c r="P5834" t="str">
        <f t="shared" si="729"/>
        <v>30fps 1080p - SD</v>
      </c>
      <c r="Q5834">
        <f t="shared" si="730"/>
        <v>26</v>
      </c>
      <c r="R5834" t="str">
        <f t="shared" si="731"/>
        <v/>
      </c>
      <c r="S5834" t="str">
        <f t="shared" si="732"/>
        <v/>
      </c>
      <c r="T5834" s="403" t="str">
        <f t="shared" si="733"/>
        <v>NDP-5502-Z30</v>
      </c>
      <c r="U5834" s="403">
        <f t="shared" si="734"/>
        <v>1</v>
      </c>
      <c r="V5834" s="403" t="str">
        <f t="shared" si="735"/>
        <v>CPP_7_3</v>
      </c>
    </row>
    <row r="5835" spans="1:22">
      <c r="A5835" t="str">
        <f t="shared" si="728"/>
        <v>NDP-5502-Z30</v>
      </c>
      <c r="B5835" s="403" t="s">
        <v>1430</v>
      </c>
      <c r="C5835" s="403" t="s">
        <v>582</v>
      </c>
      <c r="D5835" s="403" t="s">
        <v>1294</v>
      </c>
      <c r="E5835" s="403" t="s">
        <v>778</v>
      </c>
      <c r="F5835" s="403" t="s">
        <v>1286</v>
      </c>
      <c r="G5835" s="403" t="s">
        <v>1466</v>
      </c>
      <c r="H5835" s="403" t="s">
        <v>1282</v>
      </c>
      <c r="I5835" s="403">
        <v>1</v>
      </c>
      <c r="J5835" s="403" t="s">
        <v>110</v>
      </c>
      <c r="K5835" s="403">
        <v>1920</v>
      </c>
      <c r="L5835" s="403">
        <v>1080</v>
      </c>
      <c r="M5835" s="403" t="s">
        <v>110</v>
      </c>
      <c r="N5835" s="403">
        <v>1920</v>
      </c>
      <c r="O5835" s="403">
        <v>1080</v>
      </c>
      <c r="P5835" t="str">
        <f t="shared" si="729"/>
        <v>30fps 1080p - 1080p</v>
      </c>
      <c r="Q5835">
        <f t="shared" si="730"/>
        <v>26</v>
      </c>
      <c r="R5835" t="str">
        <f t="shared" si="731"/>
        <v/>
      </c>
      <c r="S5835" t="str">
        <f t="shared" si="732"/>
        <v/>
      </c>
      <c r="T5835" s="403" t="str">
        <f t="shared" si="733"/>
        <v>NDP-5502-Z30</v>
      </c>
      <c r="U5835" s="403">
        <f t="shared" si="734"/>
        <v>1</v>
      </c>
      <c r="V5835" s="403" t="str">
        <f t="shared" si="735"/>
        <v>CPP_7_3</v>
      </c>
    </row>
    <row r="5836" spans="1:22">
      <c r="A5836" t="str">
        <f t="shared" si="728"/>
        <v>NDP-5502-Z30</v>
      </c>
      <c r="B5836" s="403" t="s">
        <v>1430</v>
      </c>
      <c r="C5836" s="403" t="s">
        <v>582</v>
      </c>
      <c r="D5836" s="403" t="s">
        <v>1294</v>
      </c>
      <c r="E5836" s="403" t="s">
        <v>778</v>
      </c>
      <c r="F5836" s="403" t="s">
        <v>1286</v>
      </c>
      <c r="G5836" s="403" t="s">
        <v>1466</v>
      </c>
      <c r="H5836" s="403" t="s">
        <v>1282</v>
      </c>
      <c r="I5836" s="403">
        <v>1</v>
      </c>
      <c r="J5836" s="403" t="s">
        <v>110</v>
      </c>
      <c r="K5836" s="403">
        <v>1920</v>
      </c>
      <c r="L5836" s="403">
        <v>1080</v>
      </c>
      <c r="M5836" s="403" t="s">
        <v>109</v>
      </c>
      <c r="N5836" s="403">
        <v>1280</v>
      </c>
      <c r="O5836" s="403">
        <v>720</v>
      </c>
      <c r="P5836" t="str">
        <f t="shared" si="729"/>
        <v>30fps 1080p - 720p</v>
      </c>
      <c r="Q5836">
        <f t="shared" si="730"/>
        <v>26</v>
      </c>
      <c r="R5836" t="str">
        <f t="shared" si="731"/>
        <v/>
      </c>
      <c r="S5836" t="str">
        <f t="shared" si="732"/>
        <v/>
      </c>
      <c r="T5836" s="403" t="str">
        <f t="shared" si="733"/>
        <v>NDP-5502-Z30</v>
      </c>
      <c r="U5836" s="403">
        <f t="shared" si="734"/>
        <v>1</v>
      </c>
      <c r="V5836" s="403" t="str">
        <f t="shared" si="735"/>
        <v>CPP_7_3</v>
      </c>
    </row>
    <row r="5837" spans="1:22">
      <c r="A5837" t="str">
        <f t="shared" si="728"/>
        <v>NDP-5502-Z30</v>
      </c>
      <c r="B5837" s="403" t="s">
        <v>1430</v>
      </c>
      <c r="C5837" s="403" t="s">
        <v>582</v>
      </c>
      <c r="D5837" s="403" t="s">
        <v>1294</v>
      </c>
      <c r="E5837" s="403" t="s">
        <v>778</v>
      </c>
      <c r="F5837" s="403" t="s">
        <v>1286</v>
      </c>
      <c r="G5837" s="403" t="s">
        <v>1466</v>
      </c>
      <c r="H5837" s="403" t="s">
        <v>1282</v>
      </c>
      <c r="I5837" s="403">
        <v>1</v>
      </c>
      <c r="J5837" s="403" t="s">
        <v>110</v>
      </c>
      <c r="K5837" s="403">
        <v>1920</v>
      </c>
      <c r="L5837" s="403">
        <v>1080</v>
      </c>
      <c r="M5837" s="403" t="s">
        <v>1285</v>
      </c>
      <c r="N5837" s="403">
        <v>1280</v>
      </c>
      <c r="O5837" s="403">
        <v>1024</v>
      </c>
      <c r="P5837" t="str">
        <f t="shared" si="729"/>
        <v>30fps 1080p - 1280x1024 5:4 (cropped)</v>
      </c>
      <c r="Q5837">
        <f t="shared" si="730"/>
        <v>26</v>
      </c>
      <c r="R5837" t="str">
        <f t="shared" si="731"/>
        <v/>
      </c>
      <c r="S5837" t="str">
        <f t="shared" si="732"/>
        <v/>
      </c>
      <c r="T5837" s="403" t="str">
        <f t="shared" si="733"/>
        <v>NDP-5502-Z30</v>
      </c>
      <c r="U5837" s="403">
        <f t="shared" si="734"/>
        <v>1</v>
      </c>
      <c r="V5837" s="403" t="str">
        <f t="shared" si="735"/>
        <v>CPP_7_3</v>
      </c>
    </row>
    <row r="5838" spans="1:22">
      <c r="A5838" t="str">
        <f t="shared" si="728"/>
        <v>NDP-5502-Z30</v>
      </c>
      <c r="B5838" s="403" t="s">
        <v>1430</v>
      </c>
      <c r="C5838" s="403" t="s">
        <v>582</v>
      </c>
      <c r="D5838" s="403" t="s">
        <v>1294</v>
      </c>
      <c r="E5838" s="403" t="s">
        <v>778</v>
      </c>
      <c r="F5838" s="403" t="s">
        <v>1286</v>
      </c>
      <c r="G5838" s="403" t="s">
        <v>1466</v>
      </c>
      <c r="H5838" s="403" t="s">
        <v>1282</v>
      </c>
      <c r="I5838" s="403">
        <v>1</v>
      </c>
      <c r="J5838" s="403" t="s">
        <v>110</v>
      </c>
      <c r="K5838" s="403">
        <v>1920</v>
      </c>
      <c r="L5838" s="403">
        <v>1080</v>
      </c>
      <c r="M5838" s="403" t="s">
        <v>1283</v>
      </c>
      <c r="N5838" s="403">
        <v>720</v>
      </c>
      <c r="O5838" s="403">
        <v>480</v>
      </c>
      <c r="P5838" t="str">
        <f t="shared" si="729"/>
        <v>30fps 1080p - SD 4CIF resolution 4:3 format (cropped)</v>
      </c>
      <c r="Q5838">
        <f t="shared" si="730"/>
        <v>26</v>
      </c>
      <c r="R5838" t="str">
        <f t="shared" si="731"/>
        <v/>
      </c>
      <c r="S5838" t="str">
        <f t="shared" si="732"/>
        <v/>
      </c>
      <c r="T5838" s="403" t="str">
        <f t="shared" si="733"/>
        <v>NDP-5502-Z30</v>
      </c>
      <c r="U5838" s="403">
        <f t="shared" si="734"/>
        <v>1</v>
      </c>
      <c r="V5838" s="403" t="str">
        <f t="shared" si="735"/>
        <v>CPP_7_3</v>
      </c>
    </row>
    <row r="5839" spans="1:22">
      <c r="A5839" t="str">
        <f t="shared" si="728"/>
        <v>NDP-5502-Z30</v>
      </c>
      <c r="B5839" s="403" t="s">
        <v>1430</v>
      </c>
      <c r="C5839" s="403" t="s">
        <v>582</v>
      </c>
      <c r="D5839" s="403" t="s">
        <v>1294</v>
      </c>
      <c r="E5839" s="403" t="s">
        <v>778</v>
      </c>
      <c r="F5839" s="403" t="s">
        <v>1286</v>
      </c>
      <c r="G5839" s="403" t="s">
        <v>1466</v>
      </c>
      <c r="H5839" s="403" t="s">
        <v>1282</v>
      </c>
      <c r="I5839" s="403">
        <v>1</v>
      </c>
      <c r="J5839" s="403" t="s">
        <v>110</v>
      </c>
      <c r="K5839" s="403">
        <v>1920</v>
      </c>
      <c r="L5839" s="403">
        <v>1080</v>
      </c>
      <c r="M5839" s="403" t="s">
        <v>1284</v>
      </c>
      <c r="N5839" s="403">
        <v>640</v>
      </c>
      <c r="O5839" s="403">
        <v>480</v>
      </c>
      <c r="P5839" t="str">
        <f t="shared" si="729"/>
        <v>30fps 1080p - SD VGA (cropped)</v>
      </c>
      <c r="Q5839">
        <f t="shared" si="730"/>
        <v>26</v>
      </c>
      <c r="R5839" t="str">
        <f t="shared" si="731"/>
        <v/>
      </c>
      <c r="S5839" t="str">
        <f t="shared" si="732"/>
        <v/>
      </c>
      <c r="T5839" s="403" t="str">
        <f t="shared" si="733"/>
        <v>NDP-5502-Z30</v>
      </c>
      <c r="U5839" s="403">
        <f t="shared" si="734"/>
        <v>1</v>
      </c>
      <c r="V5839" s="403" t="str">
        <f t="shared" si="735"/>
        <v>CPP_7_3</v>
      </c>
    </row>
    <row r="5840" spans="1:22">
      <c r="A5840" t="str">
        <f t="shared" si="728"/>
        <v>NDP-5502-Z30</v>
      </c>
      <c r="B5840" s="403" t="s">
        <v>1430</v>
      </c>
      <c r="C5840" s="403" t="s">
        <v>582</v>
      </c>
      <c r="D5840" s="403" t="s">
        <v>1294</v>
      </c>
      <c r="E5840" s="403" t="s">
        <v>778</v>
      </c>
      <c r="F5840" s="403" t="s">
        <v>1286</v>
      </c>
      <c r="G5840" s="403" t="s">
        <v>1466</v>
      </c>
      <c r="H5840" s="403" t="s">
        <v>1282</v>
      </c>
      <c r="I5840" s="403">
        <v>1</v>
      </c>
      <c r="J5840" s="403" t="s">
        <v>109</v>
      </c>
      <c r="K5840" s="403">
        <v>1280</v>
      </c>
      <c r="L5840" s="403">
        <v>720</v>
      </c>
      <c r="M5840" s="403" t="s">
        <v>109</v>
      </c>
      <c r="N5840" s="403">
        <v>1280</v>
      </c>
      <c r="O5840" s="403">
        <v>720</v>
      </c>
      <c r="P5840" t="str">
        <f t="shared" si="729"/>
        <v>30fps 720p - 720p</v>
      </c>
      <c r="Q5840">
        <f t="shared" si="730"/>
        <v>26</v>
      </c>
      <c r="R5840" t="str">
        <f t="shared" si="731"/>
        <v/>
      </c>
      <c r="S5840" t="str">
        <f t="shared" si="732"/>
        <v/>
      </c>
      <c r="T5840" s="403" t="str">
        <f t="shared" si="733"/>
        <v>NDP-5502-Z30</v>
      </c>
      <c r="U5840" s="403">
        <f t="shared" si="734"/>
        <v>1</v>
      </c>
      <c r="V5840" s="403" t="str">
        <f t="shared" si="735"/>
        <v>CPP_7_3</v>
      </c>
    </row>
    <row r="5841" spans="1:22">
      <c r="A5841" t="str">
        <f t="shared" si="728"/>
        <v>NDP-5502-Z30</v>
      </c>
      <c r="B5841" s="403" t="s">
        <v>1430</v>
      </c>
      <c r="C5841" s="403" t="s">
        <v>582</v>
      </c>
      <c r="D5841" s="403" t="s">
        <v>1294</v>
      </c>
      <c r="E5841" s="403" t="s">
        <v>778</v>
      </c>
      <c r="F5841" s="403" t="s">
        <v>1286</v>
      </c>
      <c r="G5841" s="403" t="s">
        <v>1466</v>
      </c>
      <c r="H5841" s="403" t="s">
        <v>1282</v>
      </c>
      <c r="I5841" s="403">
        <v>1</v>
      </c>
      <c r="J5841" s="403" t="s">
        <v>109</v>
      </c>
      <c r="K5841" s="403">
        <v>1280</v>
      </c>
      <c r="L5841" s="403">
        <v>720</v>
      </c>
      <c r="M5841" s="403" t="s">
        <v>111</v>
      </c>
      <c r="N5841" s="403">
        <v>768</v>
      </c>
      <c r="O5841" s="403">
        <v>432</v>
      </c>
      <c r="P5841" t="str">
        <f t="shared" si="729"/>
        <v>30fps 720p - SD</v>
      </c>
      <c r="Q5841">
        <f t="shared" si="730"/>
        <v>26</v>
      </c>
      <c r="R5841" t="str">
        <f t="shared" si="731"/>
        <v/>
      </c>
      <c r="S5841" t="str">
        <f t="shared" si="732"/>
        <v/>
      </c>
      <c r="T5841" s="403" t="str">
        <f t="shared" si="733"/>
        <v>NDP-5502-Z30</v>
      </c>
      <c r="U5841" s="403">
        <f t="shared" si="734"/>
        <v>1</v>
      </c>
      <c r="V5841" s="403" t="str">
        <f t="shared" si="735"/>
        <v>CPP_7_3</v>
      </c>
    </row>
    <row r="5842" spans="1:22">
      <c r="A5842" t="str">
        <f t="shared" si="728"/>
        <v>NDP-5502-Z30</v>
      </c>
      <c r="B5842" s="403" t="s">
        <v>1430</v>
      </c>
      <c r="C5842" s="403" t="s">
        <v>582</v>
      </c>
      <c r="D5842" s="403" t="s">
        <v>1294</v>
      </c>
      <c r="E5842" s="403" t="s">
        <v>778</v>
      </c>
      <c r="F5842" s="403" t="s">
        <v>1286</v>
      </c>
      <c r="G5842" s="403" t="s">
        <v>1466</v>
      </c>
      <c r="H5842" s="403" t="s">
        <v>1282</v>
      </c>
      <c r="I5842" s="403">
        <v>1</v>
      </c>
      <c r="J5842" s="403" t="s">
        <v>109</v>
      </c>
      <c r="K5842" s="403">
        <v>1280</v>
      </c>
      <c r="L5842" s="403">
        <v>720</v>
      </c>
      <c r="M5842" s="403" t="s">
        <v>1283</v>
      </c>
      <c r="N5842" s="403">
        <v>720</v>
      </c>
      <c r="O5842" s="403">
        <v>480</v>
      </c>
      <c r="P5842" t="str">
        <f t="shared" si="729"/>
        <v>30fps 720p - SD 4CIF resolution 4:3 format (cropped)</v>
      </c>
      <c r="Q5842">
        <f t="shared" si="730"/>
        <v>26</v>
      </c>
      <c r="R5842" t="str">
        <f t="shared" si="731"/>
        <v/>
      </c>
      <c r="S5842" t="str">
        <f t="shared" si="732"/>
        <v/>
      </c>
      <c r="T5842" s="403" t="str">
        <f t="shared" si="733"/>
        <v>NDP-5502-Z30</v>
      </c>
      <c r="U5842" s="403">
        <f t="shared" si="734"/>
        <v>1</v>
      </c>
      <c r="V5842" s="403" t="str">
        <f t="shared" si="735"/>
        <v>CPP_7_3</v>
      </c>
    </row>
    <row r="5843" spans="1:22">
      <c r="A5843" t="str">
        <f t="shared" si="728"/>
        <v>NDP-5502-Z30</v>
      </c>
      <c r="B5843" s="403" t="s">
        <v>1430</v>
      </c>
      <c r="C5843" s="403" t="s">
        <v>582</v>
      </c>
      <c r="D5843" s="403" t="s">
        <v>1294</v>
      </c>
      <c r="E5843" s="403" t="s">
        <v>778</v>
      </c>
      <c r="F5843" s="403" t="s">
        <v>1286</v>
      </c>
      <c r="G5843" s="403" t="s">
        <v>1466</v>
      </c>
      <c r="H5843" s="403" t="s">
        <v>1282</v>
      </c>
      <c r="I5843" s="403">
        <v>1</v>
      </c>
      <c r="J5843" s="403" t="s">
        <v>109</v>
      </c>
      <c r="K5843" s="403">
        <v>1280</v>
      </c>
      <c r="L5843" s="403">
        <v>720</v>
      </c>
      <c r="M5843" s="403" t="s">
        <v>1284</v>
      </c>
      <c r="N5843" s="403">
        <v>640</v>
      </c>
      <c r="O5843" s="403">
        <v>480</v>
      </c>
      <c r="P5843" t="str">
        <f t="shared" si="729"/>
        <v>30fps 720p - SD VGA (cropped)</v>
      </c>
      <c r="Q5843">
        <f t="shared" si="730"/>
        <v>26</v>
      </c>
      <c r="R5843" t="str">
        <f t="shared" si="731"/>
        <v/>
      </c>
      <c r="S5843" t="str">
        <f t="shared" si="732"/>
        <v/>
      </c>
      <c r="T5843" s="403" t="str">
        <f t="shared" si="733"/>
        <v>NDP-5502-Z30</v>
      </c>
      <c r="U5843" s="403">
        <f t="shared" si="734"/>
        <v>1</v>
      </c>
      <c r="V5843" s="403" t="str">
        <f t="shared" si="735"/>
        <v>CPP_7_3</v>
      </c>
    </row>
    <row r="5844" spans="1:22">
      <c r="A5844" t="str">
        <f t="shared" si="728"/>
        <v>NDP-5502-Z30</v>
      </c>
      <c r="B5844" s="403" t="s">
        <v>1430</v>
      </c>
      <c r="C5844" s="403" t="s">
        <v>582</v>
      </c>
      <c r="D5844" s="403" t="s">
        <v>1294</v>
      </c>
      <c r="E5844" s="403" t="s">
        <v>778</v>
      </c>
      <c r="F5844" s="403" t="s">
        <v>1287</v>
      </c>
      <c r="G5844" s="403" t="s">
        <v>1466</v>
      </c>
      <c r="H5844" s="403" t="s">
        <v>1276</v>
      </c>
      <c r="I5844" s="403">
        <v>1</v>
      </c>
      <c r="J5844" s="403" t="s">
        <v>110</v>
      </c>
      <c r="K5844" s="403">
        <v>1920</v>
      </c>
      <c r="L5844" s="403">
        <v>1080</v>
      </c>
      <c r="M5844" s="403" t="s">
        <v>111</v>
      </c>
      <c r="N5844" s="403">
        <v>768</v>
      </c>
      <c r="O5844" s="403">
        <v>432</v>
      </c>
      <c r="P5844" t="str">
        <f t="shared" si="729"/>
        <v>25fps 1080p - SD</v>
      </c>
      <c r="Q5844">
        <f t="shared" si="730"/>
        <v>26</v>
      </c>
      <c r="R5844" t="str">
        <f t="shared" si="731"/>
        <v/>
      </c>
      <c r="S5844" t="str">
        <f t="shared" si="732"/>
        <v/>
      </c>
      <c r="T5844" s="403" t="str">
        <f t="shared" si="733"/>
        <v>NDP-5502-Z30</v>
      </c>
      <c r="U5844" s="403">
        <f t="shared" si="734"/>
        <v>1</v>
      </c>
      <c r="V5844" s="403" t="str">
        <f t="shared" si="735"/>
        <v>CPP_7_3</v>
      </c>
    </row>
    <row r="5845" spans="1:22">
      <c r="A5845" t="str">
        <f t="shared" si="728"/>
        <v>NDP-5502-Z30</v>
      </c>
      <c r="B5845" s="403" t="s">
        <v>1430</v>
      </c>
      <c r="C5845" s="403" t="s">
        <v>582</v>
      </c>
      <c r="D5845" s="403" t="s">
        <v>1294</v>
      </c>
      <c r="E5845" s="403" t="s">
        <v>778</v>
      </c>
      <c r="F5845" s="403" t="s">
        <v>1287</v>
      </c>
      <c r="G5845" s="403" t="s">
        <v>1466</v>
      </c>
      <c r="H5845" s="403" t="s">
        <v>1276</v>
      </c>
      <c r="I5845" s="403">
        <v>1</v>
      </c>
      <c r="J5845" s="403" t="s">
        <v>110</v>
      </c>
      <c r="K5845" s="403">
        <v>1920</v>
      </c>
      <c r="L5845" s="403">
        <v>1080</v>
      </c>
      <c r="M5845" s="403" t="s">
        <v>110</v>
      </c>
      <c r="N5845" s="403">
        <v>1920</v>
      </c>
      <c r="O5845" s="403">
        <v>1080</v>
      </c>
      <c r="P5845" t="str">
        <f t="shared" si="729"/>
        <v>25fps 1080p - 1080p</v>
      </c>
      <c r="Q5845">
        <f t="shared" si="730"/>
        <v>26</v>
      </c>
      <c r="R5845" t="str">
        <f t="shared" si="731"/>
        <v/>
      </c>
      <c r="S5845" t="str">
        <f t="shared" si="732"/>
        <v/>
      </c>
      <c r="T5845" s="403" t="str">
        <f t="shared" si="733"/>
        <v>NDP-5502-Z30</v>
      </c>
      <c r="U5845" s="403">
        <f t="shared" si="734"/>
        <v>1</v>
      </c>
      <c r="V5845" s="403" t="str">
        <f t="shared" si="735"/>
        <v>CPP_7_3</v>
      </c>
    </row>
    <row r="5846" spans="1:22">
      <c r="A5846" t="str">
        <f t="shared" si="728"/>
        <v>NDP-5502-Z30</v>
      </c>
      <c r="B5846" s="403" t="s">
        <v>1430</v>
      </c>
      <c r="C5846" s="403" t="s">
        <v>582</v>
      </c>
      <c r="D5846" s="403" t="s">
        <v>1294</v>
      </c>
      <c r="E5846" s="403" t="s">
        <v>778</v>
      </c>
      <c r="F5846" s="403" t="s">
        <v>1287</v>
      </c>
      <c r="G5846" s="403" t="s">
        <v>1466</v>
      </c>
      <c r="H5846" s="403" t="s">
        <v>1276</v>
      </c>
      <c r="I5846" s="403">
        <v>1</v>
      </c>
      <c r="J5846" s="403" t="s">
        <v>110</v>
      </c>
      <c r="K5846" s="403">
        <v>1920</v>
      </c>
      <c r="L5846" s="403">
        <v>1080</v>
      </c>
      <c r="M5846" s="403" t="s">
        <v>109</v>
      </c>
      <c r="N5846" s="403">
        <v>1280</v>
      </c>
      <c r="O5846" s="403">
        <v>720</v>
      </c>
      <c r="P5846" t="str">
        <f t="shared" si="729"/>
        <v>25fps 1080p - 720p</v>
      </c>
      <c r="Q5846">
        <f t="shared" si="730"/>
        <v>26</v>
      </c>
      <c r="R5846" t="str">
        <f t="shared" si="731"/>
        <v/>
      </c>
      <c r="S5846" t="str">
        <f t="shared" si="732"/>
        <v/>
      </c>
      <c r="T5846" s="403" t="str">
        <f t="shared" si="733"/>
        <v>NDP-5502-Z30</v>
      </c>
      <c r="U5846" s="403">
        <f t="shared" si="734"/>
        <v>1</v>
      </c>
      <c r="V5846" s="403" t="str">
        <f t="shared" si="735"/>
        <v>CPP_7_3</v>
      </c>
    </row>
    <row r="5847" spans="1:22">
      <c r="A5847" t="str">
        <f t="shared" si="728"/>
        <v>NDP-5502-Z30</v>
      </c>
      <c r="B5847" s="403" t="s">
        <v>1430</v>
      </c>
      <c r="C5847" s="403" t="s">
        <v>582</v>
      </c>
      <c r="D5847" s="403" t="s">
        <v>1294</v>
      </c>
      <c r="E5847" s="403" t="s">
        <v>778</v>
      </c>
      <c r="F5847" s="403" t="s">
        <v>1287</v>
      </c>
      <c r="G5847" s="403" t="s">
        <v>1466</v>
      </c>
      <c r="H5847" s="403" t="s">
        <v>1276</v>
      </c>
      <c r="I5847" s="403">
        <v>1</v>
      </c>
      <c r="J5847" s="403" t="s">
        <v>110</v>
      </c>
      <c r="K5847" s="403">
        <v>1920</v>
      </c>
      <c r="L5847" s="403">
        <v>1080</v>
      </c>
      <c r="M5847" s="403" t="s">
        <v>1285</v>
      </c>
      <c r="N5847" s="403">
        <v>1280</v>
      </c>
      <c r="O5847" s="403">
        <v>1024</v>
      </c>
      <c r="P5847" t="str">
        <f t="shared" si="729"/>
        <v>25fps 1080p - 1280x1024 5:4 (cropped)</v>
      </c>
      <c r="Q5847">
        <f t="shared" si="730"/>
        <v>26</v>
      </c>
      <c r="R5847" t="str">
        <f t="shared" si="731"/>
        <v/>
      </c>
      <c r="S5847" t="str">
        <f t="shared" si="732"/>
        <v/>
      </c>
      <c r="T5847" s="403" t="str">
        <f t="shared" si="733"/>
        <v>NDP-5502-Z30</v>
      </c>
      <c r="U5847" s="403">
        <f t="shared" si="734"/>
        <v>1</v>
      </c>
      <c r="V5847" s="403" t="str">
        <f t="shared" si="735"/>
        <v>CPP_7_3</v>
      </c>
    </row>
    <row r="5848" spans="1:22">
      <c r="A5848" t="str">
        <f t="shared" si="728"/>
        <v>NDP-5502-Z30</v>
      </c>
      <c r="B5848" s="403" t="s">
        <v>1430</v>
      </c>
      <c r="C5848" s="403" t="s">
        <v>582</v>
      </c>
      <c r="D5848" s="403" t="s">
        <v>1294</v>
      </c>
      <c r="E5848" s="403" t="s">
        <v>778</v>
      </c>
      <c r="F5848" s="403" t="s">
        <v>1287</v>
      </c>
      <c r="G5848" s="403" t="s">
        <v>1466</v>
      </c>
      <c r="H5848" s="403" t="s">
        <v>1276</v>
      </c>
      <c r="I5848" s="403">
        <v>1</v>
      </c>
      <c r="J5848" s="403" t="s">
        <v>110</v>
      </c>
      <c r="K5848" s="403">
        <v>1920</v>
      </c>
      <c r="L5848" s="403">
        <v>1080</v>
      </c>
      <c r="M5848" s="403" t="s">
        <v>1283</v>
      </c>
      <c r="N5848" s="403">
        <v>720</v>
      </c>
      <c r="O5848" s="403">
        <v>576</v>
      </c>
      <c r="P5848" t="str">
        <f t="shared" si="729"/>
        <v>25fps 1080p - SD 4CIF resolution 4:3 format (cropped)</v>
      </c>
      <c r="Q5848">
        <f t="shared" si="730"/>
        <v>26</v>
      </c>
      <c r="R5848" t="str">
        <f t="shared" si="731"/>
        <v/>
      </c>
      <c r="S5848" t="str">
        <f t="shared" si="732"/>
        <v/>
      </c>
      <c r="T5848" s="403" t="str">
        <f t="shared" si="733"/>
        <v>NDP-5502-Z30</v>
      </c>
      <c r="U5848" s="403">
        <f t="shared" si="734"/>
        <v>1</v>
      </c>
      <c r="V5848" s="403" t="str">
        <f t="shared" si="735"/>
        <v>CPP_7_3</v>
      </c>
    </row>
    <row r="5849" spans="1:22">
      <c r="A5849" t="str">
        <f t="shared" si="728"/>
        <v>NDP-5502-Z30</v>
      </c>
      <c r="B5849" s="403" t="s">
        <v>1430</v>
      </c>
      <c r="C5849" s="403" t="s">
        <v>582</v>
      </c>
      <c r="D5849" s="403" t="s">
        <v>1294</v>
      </c>
      <c r="E5849" s="403" t="s">
        <v>778</v>
      </c>
      <c r="F5849" s="403" t="s">
        <v>1287</v>
      </c>
      <c r="G5849" s="403" t="s">
        <v>1466</v>
      </c>
      <c r="H5849" s="403" t="s">
        <v>1276</v>
      </c>
      <c r="I5849" s="403">
        <v>1</v>
      </c>
      <c r="J5849" s="403" t="s">
        <v>110</v>
      </c>
      <c r="K5849" s="403">
        <v>1920</v>
      </c>
      <c r="L5849" s="403">
        <v>1080</v>
      </c>
      <c r="M5849" s="403" t="s">
        <v>1284</v>
      </c>
      <c r="N5849" s="403">
        <v>640</v>
      </c>
      <c r="O5849" s="403">
        <v>480</v>
      </c>
      <c r="P5849" t="str">
        <f t="shared" si="729"/>
        <v>25fps 1080p - SD VGA (cropped)</v>
      </c>
      <c r="Q5849">
        <f t="shared" si="730"/>
        <v>26</v>
      </c>
      <c r="R5849" t="str">
        <f t="shared" si="731"/>
        <v/>
      </c>
      <c r="S5849" t="str">
        <f t="shared" si="732"/>
        <v/>
      </c>
      <c r="T5849" s="403" t="str">
        <f t="shared" si="733"/>
        <v>NDP-5502-Z30</v>
      </c>
      <c r="U5849" s="403">
        <f t="shared" si="734"/>
        <v>1</v>
      </c>
      <c r="V5849" s="403" t="str">
        <f t="shared" si="735"/>
        <v>CPP_7_3</v>
      </c>
    </row>
    <row r="5850" spans="1:22">
      <c r="A5850" t="str">
        <f t="shared" si="728"/>
        <v>NDP-5502-Z30</v>
      </c>
      <c r="B5850" s="403" t="s">
        <v>1430</v>
      </c>
      <c r="C5850" s="403" t="s">
        <v>582</v>
      </c>
      <c r="D5850" s="403" t="s">
        <v>1294</v>
      </c>
      <c r="E5850" s="403" t="s">
        <v>778</v>
      </c>
      <c r="F5850" s="403" t="s">
        <v>1287</v>
      </c>
      <c r="G5850" s="403" t="s">
        <v>1466</v>
      </c>
      <c r="H5850" s="403" t="s">
        <v>1276</v>
      </c>
      <c r="I5850" s="403">
        <v>1</v>
      </c>
      <c r="J5850" s="403" t="s">
        <v>109</v>
      </c>
      <c r="K5850" s="403">
        <v>1280</v>
      </c>
      <c r="L5850" s="403">
        <v>720</v>
      </c>
      <c r="M5850" s="403" t="s">
        <v>109</v>
      </c>
      <c r="N5850" s="403">
        <v>1280</v>
      </c>
      <c r="O5850" s="403">
        <v>720</v>
      </c>
      <c r="P5850" t="str">
        <f t="shared" si="729"/>
        <v>25fps 720p - 720p</v>
      </c>
      <c r="Q5850">
        <f t="shared" si="730"/>
        <v>26</v>
      </c>
      <c r="R5850" t="str">
        <f t="shared" si="731"/>
        <v/>
      </c>
      <c r="S5850" t="str">
        <f t="shared" si="732"/>
        <v/>
      </c>
      <c r="T5850" s="403" t="str">
        <f t="shared" si="733"/>
        <v>NDP-5502-Z30</v>
      </c>
      <c r="U5850" s="403">
        <f t="shared" si="734"/>
        <v>1</v>
      </c>
      <c r="V5850" s="403" t="str">
        <f t="shared" si="735"/>
        <v>CPP_7_3</v>
      </c>
    </row>
    <row r="5851" spans="1:22">
      <c r="A5851" t="str">
        <f t="shared" si="728"/>
        <v>NDP-5502-Z30</v>
      </c>
      <c r="B5851" s="403" t="s">
        <v>1430</v>
      </c>
      <c r="C5851" s="403" t="s">
        <v>582</v>
      </c>
      <c r="D5851" s="403" t="s">
        <v>1294</v>
      </c>
      <c r="E5851" s="403" t="s">
        <v>778</v>
      </c>
      <c r="F5851" s="403" t="s">
        <v>1287</v>
      </c>
      <c r="G5851" s="403" t="s">
        <v>1466</v>
      </c>
      <c r="H5851" s="403" t="s">
        <v>1276</v>
      </c>
      <c r="I5851" s="403">
        <v>1</v>
      </c>
      <c r="J5851" s="403" t="s">
        <v>109</v>
      </c>
      <c r="K5851" s="403">
        <v>1280</v>
      </c>
      <c r="L5851" s="403">
        <v>720</v>
      </c>
      <c r="M5851" s="403" t="s">
        <v>111</v>
      </c>
      <c r="N5851" s="403">
        <v>768</v>
      </c>
      <c r="O5851" s="403">
        <v>432</v>
      </c>
      <c r="P5851" t="str">
        <f t="shared" si="729"/>
        <v>25fps 720p - SD</v>
      </c>
      <c r="Q5851">
        <f t="shared" si="730"/>
        <v>26</v>
      </c>
      <c r="R5851" t="str">
        <f t="shared" si="731"/>
        <v/>
      </c>
      <c r="S5851" t="str">
        <f t="shared" si="732"/>
        <v/>
      </c>
      <c r="T5851" s="403" t="str">
        <f t="shared" si="733"/>
        <v>NDP-5502-Z30</v>
      </c>
      <c r="U5851" s="403">
        <f t="shared" si="734"/>
        <v>1</v>
      </c>
      <c r="V5851" s="403" t="str">
        <f t="shared" si="735"/>
        <v>CPP_7_3</v>
      </c>
    </row>
    <row r="5852" spans="1:22">
      <c r="A5852" t="str">
        <f t="shared" si="728"/>
        <v>NDP-5502-Z30</v>
      </c>
      <c r="B5852" s="403" t="s">
        <v>1430</v>
      </c>
      <c r="C5852" s="403" t="s">
        <v>582</v>
      </c>
      <c r="D5852" s="403" t="s">
        <v>1294</v>
      </c>
      <c r="E5852" s="403" t="s">
        <v>778</v>
      </c>
      <c r="F5852" s="403" t="s">
        <v>1287</v>
      </c>
      <c r="G5852" s="403" t="s">
        <v>1466</v>
      </c>
      <c r="H5852" s="403" t="s">
        <v>1276</v>
      </c>
      <c r="I5852" s="403">
        <v>1</v>
      </c>
      <c r="J5852" s="403" t="s">
        <v>109</v>
      </c>
      <c r="K5852" s="403">
        <v>1280</v>
      </c>
      <c r="L5852" s="403">
        <v>720</v>
      </c>
      <c r="M5852" s="403" t="s">
        <v>1283</v>
      </c>
      <c r="N5852" s="403">
        <v>720</v>
      </c>
      <c r="O5852" s="403">
        <v>576</v>
      </c>
      <c r="P5852" t="str">
        <f t="shared" si="729"/>
        <v>25fps 720p - SD 4CIF resolution 4:3 format (cropped)</v>
      </c>
      <c r="Q5852">
        <f t="shared" si="730"/>
        <v>26</v>
      </c>
      <c r="R5852" t="str">
        <f t="shared" si="731"/>
        <v/>
      </c>
      <c r="S5852" t="str">
        <f t="shared" si="732"/>
        <v/>
      </c>
      <c r="T5852" s="403" t="str">
        <f t="shared" si="733"/>
        <v>NDP-5502-Z30</v>
      </c>
      <c r="U5852" s="403">
        <f t="shared" si="734"/>
        <v>1</v>
      </c>
      <c r="V5852" s="403" t="str">
        <f t="shared" si="735"/>
        <v>CPP_7_3</v>
      </c>
    </row>
    <row r="5853" spans="1:22">
      <c r="A5853" t="str">
        <f t="shared" si="728"/>
        <v>NDP-5502-Z30</v>
      </c>
      <c r="B5853" s="403" t="s">
        <v>1430</v>
      </c>
      <c r="C5853" s="403" t="s">
        <v>582</v>
      </c>
      <c r="D5853" s="403" t="s">
        <v>1294</v>
      </c>
      <c r="E5853" s="403" t="s">
        <v>778</v>
      </c>
      <c r="F5853" s="403" t="s">
        <v>1287</v>
      </c>
      <c r="G5853" s="403" t="s">
        <v>1466</v>
      </c>
      <c r="H5853" s="403" t="s">
        <v>1276</v>
      </c>
      <c r="I5853" s="403">
        <v>1</v>
      </c>
      <c r="J5853" s="403" t="s">
        <v>109</v>
      </c>
      <c r="K5853" s="403">
        <v>1280</v>
      </c>
      <c r="L5853" s="403">
        <v>720</v>
      </c>
      <c r="M5853" s="403" t="s">
        <v>1284</v>
      </c>
      <c r="N5853" s="403">
        <v>640</v>
      </c>
      <c r="O5853" s="403">
        <v>480</v>
      </c>
      <c r="P5853" t="str">
        <f t="shared" si="729"/>
        <v>25fps 720p - SD VGA (cropped)</v>
      </c>
      <c r="Q5853">
        <f t="shared" si="730"/>
        <v>26</v>
      </c>
      <c r="R5853" t="str">
        <f t="shared" si="731"/>
        <v/>
      </c>
      <c r="S5853" t="str">
        <f t="shared" si="732"/>
        <v/>
      </c>
      <c r="T5853" s="403" t="str">
        <f t="shared" si="733"/>
        <v>NDP-5502-Z30</v>
      </c>
      <c r="U5853" s="403">
        <f t="shared" si="734"/>
        <v>1</v>
      </c>
      <c r="V5853" s="403" t="str">
        <f t="shared" si="735"/>
        <v>CPP_7_3</v>
      </c>
    </row>
    <row r="5854" spans="1:22">
      <c r="A5854" t="str">
        <f t="shared" si="728"/>
        <v>NDP-5502-Z30</v>
      </c>
      <c r="B5854" s="403" t="s">
        <v>1430</v>
      </c>
      <c r="C5854" s="403" t="s">
        <v>582</v>
      </c>
      <c r="D5854" s="403" t="s">
        <v>1294</v>
      </c>
      <c r="E5854" s="403" t="s">
        <v>778</v>
      </c>
      <c r="F5854" s="403" t="s">
        <v>1287</v>
      </c>
      <c r="G5854" s="403" t="s">
        <v>1466</v>
      </c>
      <c r="H5854" s="403" t="s">
        <v>1281</v>
      </c>
      <c r="I5854" s="403">
        <v>1</v>
      </c>
      <c r="J5854" s="403" t="s">
        <v>110</v>
      </c>
      <c r="K5854" s="403">
        <v>1920</v>
      </c>
      <c r="L5854" s="403">
        <v>1080</v>
      </c>
      <c r="M5854" s="403" t="s">
        <v>111</v>
      </c>
      <c r="N5854" s="403">
        <v>768</v>
      </c>
      <c r="O5854" s="403">
        <v>432</v>
      </c>
      <c r="P5854" t="str">
        <f t="shared" si="729"/>
        <v>25fps 1080p - SD</v>
      </c>
      <c r="Q5854">
        <f t="shared" si="730"/>
        <v>26</v>
      </c>
      <c r="R5854" t="str">
        <f t="shared" si="731"/>
        <v/>
      </c>
      <c r="S5854" t="str">
        <f t="shared" si="732"/>
        <v/>
      </c>
      <c r="T5854" s="403" t="str">
        <f t="shared" si="733"/>
        <v>NDP-5502-Z30</v>
      </c>
      <c r="U5854" s="403">
        <f t="shared" si="734"/>
        <v>1</v>
      </c>
      <c r="V5854" s="403" t="str">
        <f t="shared" si="735"/>
        <v>CPP_7_3</v>
      </c>
    </row>
    <row r="5855" spans="1:22">
      <c r="A5855" t="str">
        <f t="shared" si="728"/>
        <v>NDP-5502-Z30</v>
      </c>
      <c r="B5855" s="403" t="s">
        <v>1430</v>
      </c>
      <c r="C5855" s="403" t="s">
        <v>582</v>
      </c>
      <c r="D5855" s="403" t="s">
        <v>1294</v>
      </c>
      <c r="E5855" s="403" t="s">
        <v>778</v>
      </c>
      <c r="F5855" s="403" t="s">
        <v>1287</v>
      </c>
      <c r="G5855" s="403" t="s">
        <v>1466</v>
      </c>
      <c r="H5855" s="403" t="s">
        <v>1281</v>
      </c>
      <c r="I5855" s="403">
        <v>1</v>
      </c>
      <c r="J5855" s="403" t="s">
        <v>110</v>
      </c>
      <c r="K5855" s="403">
        <v>1920</v>
      </c>
      <c r="L5855" s="403">
        <v>1080</v>
      </c>
      <c r="M5855" s="403" t="s">
        <v>110</v>
      </c>
      <c r="N5855" s="403">
        <v>1920</v>
      </c>
      <c r="O5855" s="403">
        <v>1080</v>
      </c>
      <c r="P5855" t="str">
        <f t="shared" si="729"/>
        <v>25fps 1080p - 1080p</v>
      </c>
      <c r="Q5855">
        <f t="shared" si="730"/>
        <v>26</v>
      </c>
      <c r="R5855" t="str">
        <f t="shared" si="731"/>
        <v/>
      </c>
      <c r="S5855" t="str">
        <f t="shared" si="732"/>
        <v/>
      </c>
      <c r="T5855" s="403" t="str">
        <f t="shared" si="733"/>
        <v>NDP-5502-Z30</v>
      </c>
      <c r="U5855" s="403">
        <f t="shared" si="734"/>
        <v>1</v>
      </c>
      <c r="V5855" s="403" t="str">
        <f t="shared" si="735"/>
        <v>CPP_7_3</v>
      </c>
    </row>
    <row r="5856" spans="1:22">
      <c r="A5856" t="str">
        <f t="shared" si="728"/>
        <v>NDP-5502-Z30</v>
      </c>
      <c r="B5856" s="403" t="s">
        <v>1430</v>
      </c>
      <c r="C5856" s="403" t="s">
        <v>582</v>
      </c>
      <c r="D5856" s="403" t="s">
        <v>1294</v>
      </c>
      <c r="E5856" s="403" t="s">
        <v>778</v>
      </c>
      <c r="F5856" s="403" t="s">
        <v>1287</v>
      </c>
      <c r="G5856" s="403" t="s">
        <v>1466</v>
      </c>
      <c r="H5856" s="403" t="s">
        <v>1281</v>
      </c>
      <c r="I5856" s="403">
        <v>1</v>
      </c>
      <c r="J5856" s="403" t="s">
        <v>110</v>
      </c>
      <c r="K5856" s="403">
        <v>1920</v>
      </c>
      <c r="L5856" s="403">
        <v>1080</v>
      </c>
      <c r="M5856" s="403" t="s">
        <v>109</v>
      </c>
      <c r="N5856" s="403">
        <v>1280</v>
      </c>
      <c r="O5856" s="403">
        <v>720</v>
      </c>
      <c r="P5856" t="str">
        <f t="shared" si="729"/>
        <v>25fps 1080p - 720p</v>
      </c>
      <c r="Q5856">
        <f t="shared" si="730"/>
        <v>26</v>
      </c>
      <c r="R5856" t="str">
        <f t="shared" si="731"/>
        <v/>
      </c>
      <c r="S5856" t="str">
        <f t="shared" si="732"/>
        <v/>
      </c>
      <c r="T5856" s="403" t="str">
        <f t="shared" si="733"/>
        <v>NDP-5502-Z30</v>
      </c>
      <c r="U5856" s="403">
        <f t="shared" si="734"/>
        <v>1</v>
      </c>
      <c r="V5856" s="403" t="str">
        <f t="shared" si="735"/>
        <v>CPP_7_3</v>
      </c>
    </row>
    <row r="5857" spans="1:22">
      <c r="A5857" t="str">
        <f t="shared" si="728"/>
        <v>NDP-5502-Z30</v>
      </c>
      <c r="B5857" s="403" t="s">
        <v>1430</v>
      </c>
      <c r="C5857" s="403" t="s">
        <v>582</v>
      </c>
      <c r="D5857" s="403" t="s">
        <v>1294</v>
      </c>
      <c r="E5857" s="403" t="s">
        <v>778</v>
      </c>
      <c r="F5857" s="403" t="s">
        <v>1287</v>
      </c>
      <c r="G5857" s="403" t="s">
        <v>1466</v>
      </c>
      <c r="H5857" s="403" t="s">
        <v>1281</v>
      </c>
      <c r="I5857" s="403">
        <v>1</v>
      </c>
      <c r="J5857" s="403" t="s">
        <v>110</v>
      </c>
      <c r="K5857" s="403">
        <v>1920</v>
      </c>
      <c r="L5857" s="403">
        <v>1080</v>
      </c>
      <c r="M5857" s="403" t="s">
        <v>1285</v>
      </c>
      <c r="N5857" s="403">
        <v>1280</v>
      </c>
      <c r="O5857" s="403">
        <v>1024</v>
      </c>
      <c r="P5857" t="str">
        <f t="shared" si="729"/>
        <v>25fps 1080p - 1280x1024 5:4 (cropped)</v>
      </c>
      <c r="Q5857">
        <f t="shared" si="730"/>
        <v>26</v>
      </c>
      <c r="R5857" t="str">
        <f t="shared" si="731"/>
        <v/>
      </c>
      <c r="S5857" t="str">
        <f t="shared" si="732"/>
        <v/>
      </c>
      <c r="T5857" s="403" t="str">
        <f t="shared" si="733"/>
        <v>NDP-5502-Z30</v>
      </c>
      <c r="U5857" s="403">
        <f t="shared" si="734"/>
        <v>1</v>
      </c>
      <c r="V5857" s="403" t="str">
        <f t="shared" si="735"/>
        <v>CPP_7_3</v>
      </c>
    </row>
    <row r="5858" spans="1:22">
      <c r="A5858" t="str">
        <f t="shared" si="728"/>
        <v>NDP-5502-Z30</v>
      </c>
      <c r="B5858" s="403" t="s">
        <v>1430</v>
      </c>
      <c r="C5858" s="403" t="s">
        <v>582</v>
      </c>
      <c r="D5858" s="403" t="s">
        <v>1294</v>
      </c>
      <c r="E5858" s="403" t="s">
        <v>778</v>
      </c>
      <c r="F5858" s="403" t="s">
        <v>1287</v>
      </c>
      <c r="G5858" s="403" t="s">
        <v>1466</v>
      </c>
      <c r="H5858" s="403" t="s">
        <v>1281</v>
      </c>
      <c r="I5858" s="403">
        <v>1</v>
      </c>
      <c r="J5858" s="403" t="s">
        <v>110</v>
      </c>
      <c r="K5858" s="403">
        <v>1920</v>
      </c>
      <c r="L5858" s="403">
        <v>1080</v>
      </c>
      <c r="M5858" s="403" t="s">
        <v>1283</v>
      </c>
      <c r="N5858" s="403">
        <v>720</v>
      </c>
      <c r="O5858" s="403">
        <v>576</v>
      </c>
      <c r="P5858" t="str">
        <f t="shared" si="729"/>
        <v>25fps 1080p - SD 4CIF resolution 4:3 format (cropped)</v>
      </c>
      <c r="Q5858">
        <f t="shared" si="730"/>
        <v>26</v>
      </c>
      <c r="R5858" t="str">
        <f t="shared" si="731"/>
        <v/>
      </c>
      <c r="S5858" t="str">
        <f t="shared" si="732"/>
        <v/>
      </c>
      <c r="T5858" s="403" t="str">
        <f t="shared" si="733"/>
        <v>NDP-5502-Z30</v>
      </c>
      <c r="U5858" s="403">
        <f t="shared" si="734"/>
        <v>1</v>
      </c>
      <c r="V5858" s="403" t="str">
        <f t="shared" si="735"/>
        <v>CPP_7_3</v>
      </c>
    </row>
    <row r="5859" spans="1:22">
      <c r="A5859" t="str">
        <f t="shared" si="728"/>
        <v>NDP-5502-Z30</v>
      </c>
      <c r="B5859" s="403" t="s">
        <v>1430</v>
      </c>
      <c r="C5859" s="403" t="s">
        <v>582</v>
      </c>
      <c r="D5859" s="403" t="s">
        <v>1294</v>
      </c>
      <c r="E5859" s="403" t="s">
        <v>778</v>
      </c>
      <c r="F5859" s="403" t="s">
        <v>1287</v>
      </c>
      <c r="G5859" s="403" t="s">
        <v>1466</v>
      </c>
      <c r="H5859" s="403" t="s">
        <v>1281</v>
      </c>
      <c r="I5859" s="403">
        <v>1</v>
      </c>
      <c r="J5859" s="403" t="s">
        <v>110</v>
      </c>
      <c r="K5859" s="403">
        <v>1920</v>
      </c>
      <c r="L5859" s="403">
        <v>1080</v>
      </c>
      <c r="M5859" s="403" t="s">
        <v>1284</v>
      </c>
      <c r="N5859" s="403">
        <v>640</v>
      </c>
      <c r="O5859" s="403">
        <v>480</v>
      </c>
      <c r="P5859" t="str">
        <f t="shared" si="729"/>
        <v>25fps 1080p - SD VGA (cropped)</v>
      </c>
      <c r="Q5859">
        <f t="shared" si="730"/>
        <v>26</v>
      </c>
      <c r="R5859" t="str">
        <f t="shared" si="731"/>
        <v/>
      </c>
      <c r="S5859" t="str">
        <f t="shared" si="732"/>
        <v/>
      </c>
      <c r="T5859" s="403" t="str">
        <f t="shared" si="733"/>
        <v>NDP-5502-Z30</v>
      </c>
      <c r="U5859" s="403">
        <f t="shared" si="734"/>
        <v>1</v>
      </c>
      <c r="V5859" s="403" t="str">
        <f t="shared" si="735"/>
        <v>CPP_7_3</v>
      </c>
    </row>
    <row r="5860" spans="1:22">
      <c r="A5860" t="str">
        <f t="shared" si="728"/>
        <v>NDP-5502-Z30</v>
      </c>
      <c r="B5860" s="403" t="s">
        <v>1430</v>
      </c>
      <c r="C5860" s="403" t="s">
        <v>582</v>
      </c>
      <c r="D5860" s="403" t="s">
        <v>1294</v>
      </c>
      <c r="E5860" s="403" t="s">
        <v>778</v>
      </c>
      <c r="F5860" s="403" t="s">
        <v>1287</v>
      </c>
      <c r="G5860" s="403" t="s">
        <v>1466</v>
      </c>
      <c r="H5860" s="403" t="s">
        <v>1281</v>
      </c>
      <c r="I5860" s="403">
        <v>1</v>
      </c>
      <c r="J5860" s="403" t="s">
        <v>109</v>
      </c>
      <c r="K5860" s="403">
        <v>1280</v>
      </c>
      <c r="L5860" s="403">
        <v>720</v>
      </c>
      <c r="M5860" s="403" t="s">
        <v>109</v>
      </c>
      <c r="N5860" s="403">
        <v>1280</v>
      </c>
      <c r="O5860" s="403">
        <v>720</v>
      </c>
      <c r="P5860" t="str">
        <f t="shared" si="729"/>
        <v>25fps 720p - 720p</v>
      </c>
      <c r="Q5860">
        <f t="shared" si="730"/>
        <v>26</v>
      </c>
      <c r="R5860" t="str">
        <f t="shared" si="731"/>
        <v/>
      </c>
      <c r="S5860" t="str">
        <f t="shared" si="732"/>
        <v/>
      </c>
      <c r="T5860" s="403" t="str">
        <f t="shared" si="733"/>
        <v>NDP-5502-Z30</v>
      </c>
      <c r="U5860" s="403">
        <f t="shared" si="734"/>
        <v>1</v>
      </c>
      <c r="V5860" s="403" t="str">
        <f t="shared" si="735"/>
        <v>CPP_7_3</v>
      </c>
    </row>
    <row r="5861" spans="1:22">
      <c r="A5861" t="str">
        <f t="shared" si="728"/>
        <v>NDP-5502-Z30</v>
      </c>
      <c r="B5861" s="403" t="s">
        <v>1430</v>
      </c>
      <c r="C5861" s="403" t="s">
        <v>582</v>
      </c>
      <c r="D5861" s="403" t="s">
        <v>1294</v>
      </c>
      <c r="E5861" s="403" t="s">
        <v>778</v>
      </c>
      <c r="F5861" s="403" t="s">
        <v>1287</v>
      </c>
      <c r="G5861" s="403" t="s">
        <v>1466</v>
      </c>
      <c r="H5861" s="403" t="s">
        <v>1281</v>
      </c>
      <c r="I5861" s="403">
        <v>1</v>
      </c>
      <c r="J5861" s="403" t="s">
        <v>109</v>
      </c>
      <c r="K5861" s="403">
        <v>1280</v>
      </c>
      <c r="L5861" s="403">
        <v>720</v>
      </c>
      <c r="M5861" s="403" t="s">
        <v>111</v>
      </c>
      <c r="N5861" s="403">
        <v>768</v>
      </c>
      <c r="O5861" s="403">
        <v>432</v>
      </c>
      <c r="P5861" t="str">
        <f t="shared" si="729"/>
        <v>25fps 720p - SD</v>
      </c>
      <c r="Q5861">
        <f t="shared" si="730"/>
        <v>26</v>
      </c>
      <c r="R5861" t="str">
        <f t="shared" si="731"/>
        <v/>
      </c>
      <c r="S5861" t="str">
        <f t="shared" si="732"/>
        <v/>
      </c>
      <c r="T5861" s="403" t="str">
        <f t="shared" si="733"/>
        <v>NDP-5502-Z30</v>
      </c>
      <c r="U5861" s="403">
        <f t="shared" si="734"/>
        <v>1</v>
      </c>
      <c r="V5861" s="403" t="str">
        <f t="shared" si="735"/>
        <v>CPP_7_3</v>
      </c>
    </row>
    <row r="5862" spans="1:22">
      <c r="A5862" t="str">
        <f t="shared" si="728"/>
        <v>NDP-5502-Z30</v>
      </c>
      <c r="B5862" s="403" t="s">
        <v>1430</v>
      </c>
      <c r="C5862" s="403" t="s">
        <v>582</v>
      </c>
      <c r="D5862" s="403" t="s">
        <v>1294</v>
      </c>
      <c r="E5862" s="403" t="s">
        <v>778</v>
      </c>
      <c r="F5862" s="403" t="s">
        <v>1287</v>
      </c>
      <c r="G5862" s="403" t="s">
        <v>1466</v>
      </c>
      <c r="H5862" s="403" t="s">
        <v>1281</v>
      </c>
      <c r="I5862" s="403">
        <v>1</v>
      </c>
      <c r="J5862" s="403" t="s">
        <v>109</v>
      </c>
      <c r="K5862" s="403">
        <v>1280</v>
      </c>
      <c r="L5862" s="403">
        <v>720</v>
      </c>
      <c r="M5862" s="403" t="s">
        <v>1283</v>
      </c>
      <c r="N5862" s="403">
        <v>720</v>
      </c>
      <c r="O5862" s="403">
        <v>576</v>
      </c>
      <c r="P5862" t="str">
        <f t="shared" si="729"/>
        <v>25fps 720p - SD 4CIF resolution 4:3 format (cropped)</v>
      </c>
      <c r="Q5862">
        <f t="shared" si="730"/>
        <v>26</v>
      </c>
      <c r="R5862" t="str">
        <f t="shared" si="731"/>
        <v/>
      </c>
      <c r="S5862" t="str">
        <f t="shared" si="732"/>
        <v/>
      </c>
      <c r="T5862" s="403" t="str">
        <f t="shared" si="733"/>
        <v>NDP-5502-Z30</v>
      </c>
      <c r="U5862" s="403">
        <f t="shared" si="734"/>
        <v>1</v>
      </c>
      <c r="V5862" s="403" t="str">
        <f t="shared" si="735"/>
        <v>CPP_7_3</v>
      </c>
    </row>
    <row r="5863" spans="1:22">
      <c r="A5863" t="str">
        <f t="shared" si="728"/>
        <v>NDP-5502-Z30</v>
      </c>
      <c r="B5863" s="403" t="s">
        <v>1430</v>
      </c>
      <c r="C5863" s="403" t="s">
        <v>582</v>
      </c>
      <c r="D5863" s="403" t="s">
        <v>1294</v>
      </c>
      <c r="E5863" s="403" t="s">
        <v>778</v>
      </c>
      <c r="F5863" s="403" t="s">
        <v>1287</v>
      </c>
      <c r="G5863" s="403" t="s">
        <v>1466</v>
      </c>
      <c r="H5863" s="403" t="s">
        <v>1281</v>
      </c>
      <c r="I5863" s="403">
        <v>1</v>
      </c>
      <c r="J5863" s="403" t="s">
        <v>109</v>
      </c>
      <c r="K5863" s="403">
        <v>1280</v>
      </c>
      <c r="L5863" s="403">
        <v>720</v>
      </c>
      <c r="M5863" s="403" t="s">
        <v>1284</v>
      </c>
      <c r="N5863" s="403">
        <v>640</v>
      </c>
      <c r="O5863" s="403">
        <v>480</v>
      </c>
      <c r="P5863" t="str">
        <f t="shared" si="729"/>
        <v>25fps 720p - SD VGA (cropped)</v>
      </c>
      <c r="Q5863">
        <f t="shared" si="730"/>
        <v>26</v>
      </c>
      <c r="R5863" t="str">
        <f t="shared" si="731"/>
        <v/>
      </c>
      <c r="S5863" t="str">
        <f t="shared" si="732"/>
        <v/>
      </c>
      <c r="T5863" s="403" t="str">
        <f t="shared" si="733"/>
        <v>NDP-5502-Z30</v>
      </c>
      <c r="U5863" s="403">
        <f t="shared" si="734"/>
        <v>1</v>
      </c>
      <c r="V5863" s="403" t="str">
        <f t="shared" si="735"/>
        <v>CPP_7_3</v>
      </c>
    </row>
    <row r="5864" spans="1:22">
      <c r="A5864" t="str">
        <f t="shared" si="728"/>
        <v>NDP-5502-Z30</v>
      </c>
      <c r="B5864" s="403" t="s">
        <v>1430</v>
      </c>
      <c r="C5864" s="403" t="s">
        <v>582</v>
      </c>
      <c r="D5864" s="403" t="s">
        <v>1294</v>
      </c>
      <c r="E5864" s="403" t="s">
        <v>778</v>
      </c>
      <c r="F5864" s="403" t="s">
        <v>1287</v>
      </c>
      <c r="G5864" s="403" t="s">
        <v>1466</v>
      </c>
      <c r="H5864" s="403" t="s">
        <v>1282</v>
      </c>
      <c r="I5864" s="403">
        <v>1</v>
      </c>
      <c r="J5864" s="403" t="s">
        <v>110</v>
      </c>
      <c r="K5864" s="403">
        <v>1920</v>
      </c>
      <c r="L5864" s="403">
        <v>1080</v>
      </c>
      <c r="M5864" s="403" t="s">
        <v>111</v>
      </c>
      <c r="N5864" s="403">
        <v>768</v>
      </c>
      <c r="O5864" s="403">
        <v>432</v>
      </c>
      <c r="P5864" t="str">
        <f t="shared" si="729"/>
        <v>25fps 1080p - SD</v>
      </c>
      <c r="Q5864">
        <f t="shared" si="730"/>
        <v>26</v>
      </c>
      <c r="R5864" t="str">
        <f t="shared" si="731"/>
        <v/>
      </c>
      <c r="S5864" t="str">
        <f t="shared" si="732"/>
        <v/>
      </c>
      <c r="T5864" s="403" t="str">
        <f t="shared" si="733"/>
        <v>NDP-5502-Z30</v>
      </c>
      <c r="U5864" s="403">
        <f t="shared" si="734"/>
        <v>1</v>
      </c>
      <c r="V5864" s="403" t="str">
        <f t="shared" si="735"/>
        <v>CPP_7_3</v>
      </c>
    </row>
    <row r="5865" spans="1:22">
      <c r="A5865" t="str">
        <f t="shared" si="728"/>
        <v>NDP-5502-Z30</v>
      </c>
      <c r="B5865" s="403" t="s">
        <v>1430</v>
      </c>
      <c r="C5865" s="403" t="s">
        <v>582</v>
      </c>
      <c r="D5865" s="403" t="s">
        <v>1294</v>
      </c>
      <c r="E5865" s="403" t="s">
        <v>778</v>
      </c>
      <c r="F5865" s="403" t="s">
        <v>1287</v>
      </c>
      <c r="G5865" s="403" t="s">
        <v>1466</v>
      </c>
      <c r="H5865" s="403" t="s">
        <v>1282</v>
      </c>
      <c r="I5865" s="403">
        <v>1</v>
      </c>
      <c r="J5865" s="403" t="s">
        <v>110</v>
      </c>
      <c r="K5865" s="403">
        <v>1920</v>
      </c>
      <c r="L5865" s="403">
        <v>1080</v>
      </c>
      <c r="M5865" s="403" t="s">
        <v>110</v>
      </c>
      <c r="N5865" s="403">
        <v>1920</v>
      </c>
      <c r="O5865" s="403">
        <v>1080</v>
      </c>
      <c r="P5865" t="str">
        <f t="shared" si="729"/>
        <v>25fps 1080p - 1080p</v>
      </c>
      <c r="Q5865">
        <f t="shared" si="730"/>
        <v>26</v>
      </c>
      <c r="R5865" t="str">
        <f t="shared" si="731"/>
        <v/>
      </c>
      <c r="S5865" t="str">
        <f t="shared" si="732"/>
        <v/>
      </c>
      <c r="T5865" s="403" t="str">
        <f t="shared" si="733"/>
        <v>NDP-5502-Z30</v>
      </c>
      <c r="U5865" s="403">
        <f t="shared" si="734"/>
        <v>1</v>
      </c>
      <c r="V5865" s="403" t="str">
        <f t="shared" si="735"/>
        <v>CPP_7_3</v>
      </c>
    </row>
    <row r="5866" spans="1:22">
      <c r="A5866" t="str">
        <f t="shared" si="728"/>
        <v>NDP-5502-Z30</v>
      </c>
      <c r="B5866" s="403" t="s">
        <v>1430</v>
      </c>
      <c r="C5866" s="403" t="s">
        <v>582</v>
      </c>
      <c r="D5866" s="403" t="s">
        <v>1294</v>
      </c>
      <c r="E5866" s="403" t="s">
        <v>778</v>
      </c>
      <c r="F5866" s="403" t="s">
        <v>1287</v>
      </c>
      <c r="G5866" s="403" t="s">
        <v>1466</v>
      </c>
      <c r="H5866" s="403" t="s">
        <v>1282</v>
      </c>
      <c r="I5866" s="403">
        <v>1</v>
      </c>
      <c r="J5866" s="403" t="s">
        <v>110</v>
      </c>
      <c r="K5866" s="403">
        <v>1920</v>
      </c>
      <c r="L5866" s="403">
        <v>1080</v>
      </c>
      <c r="M5866" s="403" t="s">
        <v>109</v>
      </c>
      <c r="N5866" s="403">
        <v>1280</v>
      </c>
      <c r="O5866" s="403">
        <v>720</v>
      </c>
      <c r="P5866" t="str">
        <f t="shared" si="729"/>
        <v>25fps 1080p - 720p</v>
      </c>
      <c r="Q5866">
        <f t="shared" si="730"/>
        <v>26</v>
      </c>
      <c r="R5866" t="str">
        <f t="shared" si="731"/>
        <v/>
      </c>
      <c r="S5866" t="str">
        <f t="shared" si="732"/>
        <v/>
      </c>
      <c r="T5866" s="403" t="str">
        <f t="shared" si="733"/>
        <v>NDP-5502-Z30</v>
      </c>
      <c r="U5866" s="403">
        <f t="shared" si="734"/>
        <v>1</v>
      </c>
      <c r="V5866" s="403" t="str">
        <f t="shared" si="735"/>
        <v>CPP_7_3</v>
      </c>
    </row>
    <row r="5867" spans="1:22">
      <c r="A5867" t="str">
        <f t="shared" si="728"/>
        <v>NDP-5502-Z30</v>
      </c>
      <c r="B5867" s="403" t="s">
        <v>1430</v>
      </c>
      <c r="C5867" s="403" t="s">
        <v>582</v>
      </c>
      <c r="D5867" s="403" t="s">
        <v>1294</v>
      </c>
      <c r="E5867" s="403" t="s">
        <v>778</v>
      </c>
      <c r="F5867" s="403" t="s">
        <v>1287</v>
      </c>
      <c r="G5867" s="403" t="s">
        <v>1466</v>
      </c>
      <c r="H5867" s="403" t="s">
        <v>1282</v>
      </c>
      <c r="I5867" s="403">
        <v>1</v>
      </c>
      <c r="J5867" s="403" t="s">
        <v>110</v>
      </c>
      <c r="K5867" s="403">
        <v>1920</v>
      </c>
      <c r="L5867" s="403">
        <v>1080</v>
      </c>
      <c r="M5867" s="403" t="s">
        <v>1285</v>
      </c>
      <c r="N5867" s="403">
        <v>1280</v>
      </c>
      <c r="O5867" s="403">
        <v>1024</v>
      </c>
      <c r="P5867" t="str">
        <f t="shared" si="729"/>
        <v>25fps 1080p - 1280x1024 5:4 (cropped)</v>
      </c>
      <c r="Q5867">
        <f t="shared" si="730"/>
        <v>26</v>
      </c>
      <c r="R5867" t="str">
        <f t="shared" si="731"/>
        <v/>
      </c>
      <c r="S5867" t="str">
        <f t="shared" si="732"/>
        <v/>
      </c>
      <c r="T5867" s="403" t="str">
        <f t="shared" si="733"/>
        <v>NDP-5502-Z30</v>
      </c>
      <c r="U5867" s="403">
        <f t="shared" si="734"/>
        <v>1</v>
      </c>
      <c r="V5867" s="403" t="str">
        <f t="shared" si="735"/>
        <v>CPP_7_3</v>
      </c>
    </row>
    <row r="5868" spans="1:22">
      <c r="A5868" t="str">
        <f t="shared" si="728"/>
        <v>NDP-5502-Z30</v>
      </c>
      <c r="B5868" s="403" t="s">
        <v>1430</v>
      </c>
      <c r="C5868" s="403" t="s">
        <v>582</v>
      </c>
      <c r="D5868" s="403" t="s">
        <v>1294</v>
      </c>
      <c r="E5868" s="403" t="s">
        <v>778</v>
      </c>
      <c r="F5868" s="403" t="s">
        <v>1287</v>
      </c>
      <c r="G5868" s="403" t="s">
        <v>1466</v>
      </c>
      <c r="H5868" s="403" t="s">
        <v>1282</v>
      </c>
      <c r="I5868" s="403">
        <v>1</v>
      </c>
      <c r="J5868" s="403" t="s">
        <v>110</v>
      </c>
      <c r="K5868" s="403">
        <v>1920</v>
      </c>
      <c r="L5868" s="403">
        <v>1080</v>
      </c>
      <c r="M5868" s="403" t="s">
        <v>1283</v>
      </c>
      <c r="N5868" s="403">
        <v>720</v>
      </c>
      <c r="O5868" s="403">
        <v>576</v>
      </c>
      <c r="P5868" t="str">
        <f t="shared" si="729"/>
        <v>25fps 1080p - SD 4CIF resolution 4:3 format (cropped)</v>
      </c>
      <c r="Q5868">
        <f t="shared" si="730"/>
        <v>26</v>
      </c>
      <c r="R5868" t="str">
        <f t="shared" si="731"/>
        <v/>
      </c>
      <c r="S5868" t="str">
        <f t="shared" si="732"/>
        <v/>
      </c>
      <c r="T5868" s="403" t="str">
        <f t="shared" si="733"/>
        <v>NDP-5502-Z30</v>
      </c>
      <c r="U5868" s="403">
        <f t="shared" si="734"/>
        <v>1</v>
      </c>
      <c r="V5868" s="403" t="str">
        <f t="shared" si="735"/>
        <v>CPP_7_3</v>
      </c>
    </row>
    <row r="5869" spans="1:22">
      <c r="A5869" t="str">
        <f t="shared" si="728"/>
        <v>NDP-5502-Z30</v>
      </c>
      <c r="B5869" s="403" t="s">
        <v>1430</v>
      </c>
      <c r="C5869" s="403" t="s">
        <v>582</v>
      </c>
      <c r="D5869" s="403" t="s">
        <v>1294</v>
      </c>
      <c r="E5869" s="403" t="s">
        <v>778</v>
      </c>
      <c r="F5869" s="403" t="s">
        <v>1287</v>
      </c>
      <c r="G5869" s="403" t="s">
        <v>1466</v>
      </c>
      <c r="H5869" s="403" t="s">
        <v>1282</v>
      </c>
      <c r="I5869" s="403">
        <v>1</v>
      </c>
      <c r="J5869" s="403" t="s">
        <v>110</v>
      </c>
      <c r="K5869" s="403">
        <v>1920</v>
      </c>
      <c r="L5869" s="403">
        <v>1080</v>
      </c>
      <c r="M5869" s="403" t="s">
        <v>1284</v>
      </c>
      <c r="N5869" s="403">
        <v>640</v>
      </c>
      <c r="O5869" s="403">
        <v>480</v>
      </c>
      <c r="P5869" t="str">
        <f t="shared" si="729"/>
        <v>25fps 1080p - SD VGA (cropped)</v>
      </c>
      <c r="Q5869">
        <f t="shared" si="730"/>
        <v>26</v>
      </c>
      <c r="R5869" t="str">
        <f t="shared" si="731"/>
        <v/>
      </c>
      <c r="S5869" t="str">
        <f t="shared" si="732"/>
        <v/>
      </c>
      <c r="T5869" s="403" t="str">
        <f t="shared" si="733"/>
        <v>NDP-5502-Z30</v>
      </c>
      <c r="U5869" s="403">
        <f t="shared" si="734"/>
        <v>1</v>
      </c>
      <c r="V5869" s="403" t="str">
        <f t="shared" si="735"/>
        <v>CPP_7_3</v>
      </c>
    </row>
    <row r="5870" spans="1:22">
      <c r="A5870" t="str">
        <f t="shared" si="728"/>
        <v>NDP-5502-Z30</v>
      </c>
      <c r="B5870" s="403" t="s">
        <v>1430</v>
      </c>
      <c r="C5870" s="403" t="s">
        <v>582</v>
      </c>
      <c r="D5870" s="403" t="s">
        <v>1294</v>
      </c>
      <c r="E5870" s="403" t="s">
        <v>778</v>
      </c>
      <c r="F5870" s="403" t="s">
        <v>1287</v>
      </c>
      <c r="G5870" s="403" t="s">
        <v>1466</v>
      </c>
      <c r="H5870" s="403" t="s">
        <v>1282</v>
      </c>
      <c r="I5870" s="403">
        <v>1</v>
      </c>
      <c r="J5870" s="403" t="s">
        <v>109</v>
      </c>
      <c r="K5870" s="403">
        <v>1280</v>
      </c>
      <c r="L5870" s="403">
        <v>720</v>
      </c>
      <c r="M5870" s="403" t="s">
        <v>109</v>
      </c>
      <c r="N5870" s="403">
        <v>1280</v>
      </c>
      <c r="O5870" s="403">
        <v>720</v>
      </c>
      <c r="P5870" t="str">
        <f t="shared" si="729"/>
        <v>25fps 720p - 720p</v>
      </c>
      <c r="Q5870">
        <f t="shared" si="730"/>
        <v>26</v>
      </c>
      <c r="R5870" t="str">
        <f t="shared" si="731"/>
        <v/>
      </c>
      <c r="S5870" t="str">
        <f t="shared" si="732"/>
        <v/>
      </c>
      <c r="T5870" s="403" t="str">
        <f t="shared" si="733"/>
        <v>NDP-5502-Z30</v>
      </c>
      <c r="U5870" s="403">
        <f t="shared" si="734"/>
        <v>1</v>
      </c>
      <c r="V5870" s="403" t="str">
        <f t="shared" si="735"/>
        <v>CPP_7_3</v>
      </c>
    </row>
    <row r="5871" spans="1:22">
      <c r="A5871" t="str">
        <f t="shared" si="728"/>
        <v>NDP-5502-Z30</v>
      </c>
      <c r="B5871" s="403" t="s">
        <v>1430</v>
      </c>
      <c r="C5871" s="403" t="s">
        <v>582</v>
      </c>
      <c r="D5871" s="403" t="s">
        <v>1294</v>
      </c>
      <c r="E5871" s="403" t="s">
        <v>778</v>
      </c>
      <c r="F5871" s="403" t="s">
        <v>1287</v>
      </c>
      <c r="G5871" s="403" t="s">
        <v>1466</v>
      </c>
      <c r="H5871" s="403" t="s">
        <v>1282</v>
      </c>
      <c r="I5871" s="403">
        <v>1</v>
      </c>
      <c r="J5871" s="403" t="s">
        <v>109</v>
      </c>
      <c r="K5871" s="403">
        <v>1280</v>
      </c>
      <c r="L5871" s="403">
        <v>720</v>
      </c>
      <c r="M5871" s="403" t="s">
        <v>111</v>
      </c>
      <c r="N5871" s="403">
        <v>768</v>
      </c>
      <c r="O5871" s="403">
        <v>432</v>
      </c>
      <c r="P5871" t="str">
        <f t="shared" si="729"/>
        <v>25fps 720p - SD</v>
      </c>
      <c r="Q5871">
        <f t="shared" si="730"/>
        <v>26</v>
      </c>
      <c r="R5871" t="str">
        <f t="shared" si="731"/>
        <v/>
      </c>
      <c r="S5871" t="str">
        <f t="shared" si="732"/>
        <v/>
      </c>
      <c r="T5871" s="403" t="str">
        <f t="shared" si="733"/>
        <v>NDP-5502-Z30</v>
      </c>
      <c r="U5871" s="403">
        <f t="shared" si="734"/>
        <v>1</v>
      </c>
      <c r="V5871" s="403" t="str">
        <f t="shared" si="735"/>
        <v>CPP_7_3</v>
      </c>
    </row>
    <row r="5872" spans="1:22">
      <c r="A5872" t="str">
        <f t="shared" si="728"/>
        <v>NDP-5502-Z30</v>
      </c>
      <c r="B5872" s="403" t="s">
        <v>1430</v>
      </c>
      <c r="C5872" s="403" t="s">
        <v>582</v>
      </c>
      <c r="D5872" s="403" t="s">
        <v>1294</v>
      </c>
      <c r="E5872" s="403" t="s">
        <v>778</v>
      </c>
      <c r="F5872" s="403" t="s">
        <v>1287</v>
      </c>
      <c r="G5872" s="403" t="s">
        <v>1466</v>
      </c>
      <c r="H5872" s="403" t="s">
        <v>1282</v>
      </c>
      <c r="I5872" s="403">
        <v>1</v>
      </c>
      <c r="J5872" s="403" t="s">
        <v>109</v>
      </c>
      <c r="K5872" s="403">
        <v>1280</v>
      </c>
      <c r="L5872" s="403">
        <v>720</v>
      </c>
      <c r="M5872" s="403" t="s">
        <v>1283</v>
      </c>
      <c r="N5872" s="403">
        <v>720</v>
      </c>
      <c r="O5872" s="403">
        <v>576</v>
      </c>
      <c r="P5872" t="str">
        <f t="shared" si="729"/>
        <v>25fps 720p - SD 4CIF resolution 4:3 format (cropped)</v>
      </c>
      <c r="Q5872">
        <f t="shared" si="730"/>
        <v>26</v>
      </c>
      <c r="R5872" t="str">
        <f t="shared" si="731"/>
        <v/>
      </c>
      <c r="S5872" t="str">
        <f t="shared" si="732"/>
        <v/>
      </c>
      <c r="T5872" s="403" t="str">
        <f t="shared" si="733"/>
        <v>NDP-5502-Z30</v>
      </c>
      <c r="U5872" s="403">
        <f t="shared" si="734"/>
        <v>1</v>
      </c>
      <c r="V5872" s="403" t="str">
        <f t="shared" si="735"/>
        <v>CPP_7_3</v>
      </c>
    </row>
    <row r="5873" spans="1:22">
      <c r="A5873" t="str">
        <f t="shared" si="728"/>
        <v>NDP-5502-Z30</v>
      </c>
      <c r="B5873" s="403" t="s">
        <v>1430</v>
      </c>
      <c r="C5873" s="403" t="s">
        <v>582</v>
      </c>
      <c r="D5873" s="403" t="s">
        <v>1294</v>
      </c>
      <c r="E5873" s="403" t="s">
        <v>778</v>
      </c>
      <c r="F5873" s="403" t="s">
        <v>1287</v>
      </c>
      <c r="G5873" s="403" t="s">
        <v>1466</v>
      </c>
      <c r="H5873" s="403" t="s">
        <v>1282</v>
      </c>
      <c r="I5873" s="403">
        <v>1</v>
      </c>
      <c r="J5873" s="403" t="s">
        <v>109</v>
      </c>
      <c r="K5873" s="403">
        <v>1280</v>
      </c>
      <c r="L5873" s="403">
        <v>720</v>
      </c>
      <c r="M5873" s="403" t="s">
        <v>1284</v>
      </c>
      <c r="N5873" s="403">
        <v>640</v>
      </c>
      <c r="O5873" s="403">
        <v>480</v>
      </c>
      <c r="P5873" t="str">
        <f t="shared" si="729"/>
        <v>25fps 720p - SD VGA (cropped)</v>
      </c>
      <c r="Q5873">
        <f t="shared" si="730"/>
        <v>26</v>
      </c>
      <c r="R5873" t="str">
        <f t="shared" si="731"/>
        <v/>
      </c>
      <c r="S5873" t="str">
        <f t="shared" si="732"/>
        <v/>
      </c>
      <c r="T5873" s="403" t="str">
        <f t="shared" si="733"/>
        <v>NDP-5502-Z30</v>
      </c>
      <c r="U5873" s="403">
        <f t="shared" si="734"/>
        <v>1</v>
      </c>
      <c r="V5873" s="403" t="str">
        <f t="shared" si="735"/>
        <v>CPP_7_3</v>
      </c>
    </row>
    <row r="5874" spans="1:22">
      <c r="A5874" t="str">
        <f t="shared" si="728"/>
        <v>NDP-5502-Z30</v>
      </c>
      <c r="B5874" s="403" t="s">
        <v>1430</v>
      </c>
      <c r="C5874" s="403" t="s">
        <v>582</v>
      </c>
      <c r="D5874" s="403" t="s">
        <v>1294</v>
      </c>
      <c r="E5874" s="403" t="s">
        <v>778</v>
      </c>
      <c r="F5874" s="403" t="s">
        <v>1288</v>
      </c>
      <c r="G5874" s="403" t="s">
        <v>1466</v>
      </c>
      <c r="H5874" s="403" t="s">
        <v>1276</v>
      </c>
      <c r="I5874" s="403">
        <v>1</v>
      </c>
      <c r="J5874" s="403" t="s">
        <v>110</v>
      </c>
      <c r="K5874" s="403">
        <v>1920</v>
      </c>
      <c r="L5874" s="403">
        <v>1080</v>
      </c>
      <c r="M5874" s="403" t="s">
        <v>111</v>
      </c>
      <c r="N5874" s="403">
        <v>768</v>
      </c>
      <c r="O5874" s="403">
        <v>432</v>
      </c>
      <c r="P5874" t="str">
        <f t="shared" si="729"/>
        <v>60fps 1080p - SD</v>
      </c>
      <c r="Q5874">
        <f t="shared" si="730"/>
        <v>26</v>
      </c>
      <c r="R5874" t="str">
        <f t="shared" si="731"/>
        <v/>
      </c>
      <c r="S5874" t="str">
        <f t="shared" si="732"/>
        <v/>
      </c>
      <c r="T5874" s="403" t="str">
        <f t="shared" si="733"/>
        <v>NDP-5502-Z30</v>
      </c>
      <c r="U5874" s="403">
        <f t="shared" si="734"/>
        <v>1</v>
      </c>
      <c r="V5874" s="403" t="str">
        <f t="shared" si="735"/>
        <v>CPP_7_3</v>
      </c>
    </row>
    <row r="5875" spans="1:22">
      <c r="A5875" t="str">
        <f t="shared" si="728"/>
        <v>NDP-5502-Z30</v>
      </c>
      <c r="B5875" s="403" t="s">
        <v>1430</v>
      </c>
      <c r="C5875" s="403" t="s">
        <v>582</v>
      </c>
      <c r="D5875" s="403" t="s">
        <v>1294</v>
      </c>
      <c r="E5875" s="403" t="s">
        <v>778</v>
      </c>
      <c r="F5875" s="403" t="s">
        <v>1288</v>
      </c>
      <c r="G5875" s="403" t="s">
        <v>1466</v>
      </c>
      <c r="H5875" s="403" t="s">
        <v>1276</v>
      </c>
      <c r="I5875" s="403">
        <v>1</v>
      </c>
      <c r="J5875" s="403" t="s">
        <v>110</v>
      </c>
      <c r="K5875" s="403">
        <v>1920</v>
      </c>
      <c r="L5875" s="403">
        <v>1080</v>
      </c>
      <c r="M5875" s="403" t="s">
        <v>110</v>
      </c>
      <c r="N5875" s="403">
        <v>1920</v>
      </c>
      <c r="O5875" s="403">
        <v>1080</v>
      </c>
      <c r="P5875" t="str">
        <f t="shared" si="729"/>
        <v>60fps 1080p - 1080p</v>
      </c>
      <c r="Q5875">
        <f t="shared" si="730"/>
        <v>26</v>
      </c>
      <c r="R5875" t="str">
        <f t="shared" si="731"/>
        <v/>
      </c>
      <c r="S5875" t="str">
        <f t="shared" si="732"/>
        <v/>
      </c>
      <c r="T5875" s="403" t="str">
        <f t="shared" si="733"/>
        <v>NDP-5502-Z30</v>
      </c>
      <c r="U5875" s="403">
        <f t="shared" si="734"/>
        <v>1</v>
      </c>
      <c r="V5875" s="403" t="str">
        <f t="shared" si="735"/>
        <v>CPP_7_3</v>
      </c>
    </row>
    <row r="5876" spans="1:22">
      <c r="A5876" t="str">
        <f t="shared" si="728"/>
        <v>NDP-5502-Z30</v>
      </c>
      <c r="B5876" s="403" t="s">
        <v>1430</v>
      </c>
      <c r="C5876" s="403" t="s">
        <v>582</v>
      </c>
      <c r="D5876" s="403" t="s">
        <v>1294</v>
      </c>
      <c r="E5876" s="403" t="s">
        <v>778</v>
      </c>
      <c r="F5876" s="403" t="s">
        <v>1288</v>
      </c>
      <c r="G5876" s="403" t="s">
        <v>1466</v>
      </c>
      <c r="H5876" s="403" t="s">
        <v>1276</v>
      </c>
      <c r="I5876" s="403">
        <v>1</v>
      </c>
      <c r="J5876" s="403" t="s">
        <v>110</v>
      </c>
      <c r="K5876" s="403">
        <v>1920</v>
      </c>
      <c r="L5876" s="403">
        <v>1080</v>
      </c>
      <c r="M5876" s="403" t="s">
        <v>1289</v>
      </c>
      <c r="N5876" s="403">
        <v>1280</v>
      </c>
      <c r="O5876" s="403">
        <v>720</v>
      </c>
      <c r="P5876" t="str">
        <f t="shared" si="729"/>
        <v>60fps 1080p - 720p full frame rate</v>
      </c>
      <c r="Q5876">
        <f t="shared" si="730"/>
        <v>26</v>
      </c>
      <c r="R5876" t="str">
        <f t="shared" si="731"/>
        <v/>
      </c>
      <c r="S5876" t="str">
        <f t="shared" si="732"/>
        <v/>
      </c>
      <c r="T5876" s="403" t="str">
        <f t="shared" si="733"/>
        <v>NDP-5502-Z30</v>
      </c>
      <c r="U5876" s="403">
        <f t="shared" si="734"/>
        <v>1</v>
      </c>
      <c r="V5876" s="403" t="str">
        <f t="shared" si="735"/>
        <v>CPP_7_3</v>
      </c>
    </row>
    <row r="5877" spans="1:22">
      <c r="A5877" t="str">
        <f t="shared" si="728"/>
        <v>NDP-5502-Z30</v>
      </c>
      <c r="B5877" s="403" t="s">
        <v>1430</v>
      </c>
      <c r="C5877" s="403" t="s">
        <v>582</v>
      </c>
      <c r="D5877" s="403" t="s">
        <v>1294</v>
      </c>
      <c r="E5877" s="403" t="s">
        <v>778</v>
      </c>
      <c r="F5877" s="403" t="s">
        <v>1288</v>
      </c>
      <c r="G5877" s="403" t="s">
        <v>1466</v>
      </c>
      <c r="H5877" s="403" t="s">
        <v>1276</v>
      </c>
      <c r="I5877" s="403">
        <v>1</v>
      </c>
      <c r="J5877" s="403" t="s">
        <v>110</v>
      </c>
      <c r="K5877" s="403">
        <v>1920</v>
      </c>
      <c r="L5877" s="403">
        <v>1080</v>
      </c>
      <c r="M5877" s="403" t="s">
        <v>1285</v>
      </c>
      <c r="N5877" s="403">
        <v>1280</v>
      </c>
      <c r="O5877" s="403">
        <v>1024</v>
      </c>
      <c r="P5877" t="str">
        <f t="shared" si="729"/>
        <v>60fps 1080p - 1280x1024 5:4 (cropped)</v>
      </c>
      <c r="Q5877">
        <f t="shared" si="730"/>
        <v>26</v>
      </c>
      <c r="R5877" t="str">
        <f t="shared" si="731"/>
        <v/>
      </c>
      <c r="S5877" t="str">
        <f t="shared" si="732"/>
        <v/>
      </c>
      <c r="T5877" s="403" t="str">
        <f t="shared" si="733"/>
        <v>NDP-5502-Z30</v>
      </c>
      <c r="U5877" s="403">
        <f t="shared" si="734"/>
        <v>1</v>
      </c>
      <c r="V5877" s="403" t="str">
        <f t="shared" si="735"/>
        <v>CPP_7_3</v>
      </c>
    </row>
    <row r="5878" spans="1:22">
      <c r="A5878" t="str">
        <f t="shared" si="728"/>
        <v>NDP-5502-Z30</v>
      </c>
      <c r="B5878" s="403" t="s">
        <v>1430</v>
      </c>
      <c r="C5878" s="403" t="s">
        <v>582</v>
      </c>
      <c r="D5878" s="403" t="s">
        <v>1294</v>
      </c>
      <c r="E5878" s="403" t="s">
        <v>778</v>
      </c>
      <c r="F5878" s="403" t="s">
        <v>1288</v>
      </c>
      <c r="G5878" s="403" t="s">
        <v>1466</v>
      </c>
      <c r="H5878" s="403" t="s">
        <v>1276</v>
      </c>
      <c r="I5878" s="403">
        <v>1</v>
      </c>
      <c r="J5878" s="403" t="s">
        <v>110</v>
      </c>
      <c r="K5878" s="403">
        <v>1920</v>
      </c>
      <c r="L5878" s="403">
        <v>1080</v>
      </c>
      <c r="M5878" s="403" t="s">
        <v>1283</v>
      </c>
      <c r="N5878" s="403">
        <v>720</v>
      </c>
      <c r="O5878" s="403">
        <v>480</v>
      </c>
      <c r="P5878" t="str">
        <f t="shared" si="729"/>
        <v>60fps 1080p - SD 4CIF resolution 4:3 format (cropped)</v>
      </c>
      <c r="Q5878">
        <f t="shared" si="730"/>
        <v>26</v>
      </c>
      <c r="R5878" t="str">
        <f t="shared" si="731"/>
        <v/>
      </c>
      <c r="S5878" t="str">
        <f t="shared" si="732"/>
        <v/>
      </c>
      <c r="T5878" s="403" t="str">
        <f t="shared" si="733"/>
        <v>NDP-5502-Z30</v>
      </c>
      <c r="U5878" s="403">
        <f t="shared" si="734"/>
        <v>1</v>
      </c>
      <c r="V5878" s="403" t="str">
        <f t="shared" si="735"/>
        <v>CPP_7_3</v>
      </c>
    </row>
    <row r="5879" spans="1:22">
      <c r="A5879" t="str">
        <f t="shared" si="728"/>
        <v>NDP-5502-Z30</v>
      </c>
      <c r="B5879" s="403" t="s">
        <v>1430</v>
      </c>
      <c r="C5879" s="403" t="s">
        <v>582</v>
      </c>
      <c r="D5879" s="403" t="s">
        <v>1294</v>
      </c>
      <c r="E5879" s="403" t="s">
        <v>778</v>
      </c>
      <c r="F5879" s="403" t="s">
        <v>1288</v>
      </c>
      <c r="G5879" s="403" t="s">
        <v>1466</v>
      </c>
      <c r="H5879" s="403" t="s">
        <v>1276</v>
      </c>
      <c r="I5879" s="403">
        <v>1</v>
      </c>
      <c r="J5879" s="403" t="s">
        <v>110</v>
      </c>
      <c r="K5879" s="403">
        <v>1920</v>
      </c>
      <c r="L5879" s="403">
        <v>1080</v>
      </c>
      <c r="M5879" s="403" t="s">
        <v>1284</v>
      </c>
      <c r="N5879" s="403">
        <v>640</v>
      </c>
      <c r="O5879" s="403">
        <v>480</v>
      </c>
      <c r="P5879" t="str">
        <f t="shared" si="729"/>
        <v>60fps 1080p - SD VGA (cropped)</v>
      </c>
      <c r="Q5879">
        <f t="shared" si="730"/>
        <v>26</v>
      </c>
      <c r="R5879" t="str">
        <f t="shared" si="731"/>
        <v/>
      </c>
      <c r="S5879" t="str">
        <f t="shared" si="732"/>
        <v/>
      </c>
      <c r="T5879" s="403" t="str">
        <f t="shared" si="733"/>
        <v>NDP-5502-Z30</v>
      </c>
      <c r="U5879" s="403">
        <f t="shared" si="734"/>
        <v>1</v>
      </c>
      <c r="V5879" s="403" t="str">
        <f t="shared" si="735"/>
        <v>CPP_7_3</v>
      </c>
    </row>
    <row r="5880" spans="1:22">
      <c r="A5880" t="str">
        <f t="shared" si="728"/>
        <v>NDP-5502-Z30</v>
      </c>
      <c r="B5880" s="403" t="s">
        <v>1430</v>
      </c>
      <c r="C5880" s="403" t="s">
        <v>582</v>
      </c>
      <c r="D5880" s="403" t="s">
        <v>1294</v>
      </c>
      <c r="E5880" s="403" t="s">
        <v>778</v>
      </c>
      <c r="F5880" s="403" t="s">
        <v>1288</v>
      </c>
      <c r="G5880" s="403" t="s">
        <v>1466</v>
      </c>
      <c r="H5880" s="403" t="s">
        <v>1276</v>
      </c>
      <c r="I5880" s="403">
        <v>1</v>
      </c>
      <c r="J5880" s="403" t="s">
        <v>1289</v>
      </c>
      <c r="K5880" s="403">
        <v>1280</v>
      </c>
      <c r="L5880" s="403">
        <v>720</v>
      </c>
      <c r="M5880" s="403" t="s">
        <v>1289</v>
      </c>
      <c r="N5880" s="403">
        <v>1280</v>
      </c>
      <c r="O5880" s="403">
        <v>720</v>
      </c>
      <c r="P5880" t="str">
        <f t="shared" si="729"/>
        <v>60fps 720p full frame rate - 720p full frame rate</v>
      </c>
      <c r="Q5880">
        <f t="shared" si="730"/>
        <v>26</v>
      </c>
      <c r="R5880" t="str">
        <f t="shared" si="731"/>
        <v/>
      </c>
      <c r="S5880" t="str">
        <f t="shared" si="732"/>
        <v/>
      </c>
      <c r="T5880" s="403" t="str">
        <f t="shared" si="733"/>
        <v>NDP-5502-Z30</v>
      </c>
      <c r="U5880" s="403">
        <f t="shared" si="734"/>
        <v>1</v>
      </c>
      <c r="V5880" s="403" t="str">
        <f t="shared" si="735"/>
        <v>CPP_7_3</v>
      </c>
    </row>
    <row r="5881" spans="1:22">
      <c r="A5881" t="str">
        <f t="shared" si="728"/>
        <v>NDP-5502-Z30</v>
      </c>
      <c r="B5881" s="403" t="s">
        <v>1430</v>
      </c>
      <c r="C5881" s="403" t="s">
        <v>582</v>
      </c>
      <c r="D5881" s="403" t="s">
        <v>1294</v>
      </c>
      <c r="E5881" s="403" t="s">
        <v>778</v>
      </c>
      <c r="F5881" s="403" t="s">
        <v>1288</v>
      </c>
      <c r="G5881" s="403" t="s">
        <v>1466</v>
      </c>
      <c r="H5881" s="403" t="s">
        <v>1276</v>
      </c>
      <c r="I5881" s="403">
        <v>1</v>
      </c>
      <c r="J5881" s="403" t="s">
        <v>1289</v>
      </c>
      <c r="K5881" s="403">
        <v>1280</v>
      </c>
      <c r="L5881" s="403">
        <v>720</v>
      </c>
      <c r="M5881" s="403" t="s">
        <v>111</v>
      </c>
      <c r="N5881" s="403">
        <v>768</v>
      </c>
      <c r="O5881" s="403">
        <v>432</v>
      </c>
      <c r="P5881" t="str">
        <f t="shared" si="729"/>
        <v>60fps 720p full frame rate - SD</v>
      </c>
      <c r="Q5881">
        <f t="shared" si="730"/>
        <v>26</v>
      </c>
      <c r="R5881" t="str">
        <f t="shared" si="731"/>
        <v/>
      </c>
      <c r="S5881" t="str">
        <f t="shared" si="732"/>
        <v/>
      </c>
      <c r="T5881" s="403" t="str">
        <f t="shared" si="733"/>
        <v>NDP-5502-Z30</v>
      </c>
      <c r="U5881" s="403">
        <f t="shared" si="734"/>
        <v>1</v>
      </c>
      <c r="V5881" s="403" t="str">
        <f t="shared" si="735"/>
        <v>CPP_7_3</v>
      </c>
    </row>
    <row r="5882" spans="1:22">
      <c r="A5882" t="str">
        <f t="shared" si="728"/>
        <v>NDP-5502-Z30</v>
      </c>
      <c r="B5882" s="403" t="s">
        <v>1430</v>
      </c>
      <c r="C5882" s="403" t="s">
        <v>582</v>
      </c>
      <c r="D5882" s="403" t="s">
        <v>1294</v>
      </c>
      <c r="E5882" s="403" t="s">
        <v>778</v>
      </c>
      <c r="F5882" s="403" t="s">
        <v>1288</v>
      </c>
      <c r="G5882" s="403" t="s">
        <v>1466</v>
      </c>
      <c r="H5882" s="403" t="s">
        <v>1276</v>
      </c>
      <c r="I5882" s="403">
        <v>1</v>
      </c>
      <c r="J5882" s="403" t="s">
        <v>1289</v>
      </c>
      <c r="K5882" s="403">
        <v>1280</v>
      </c>
      <c r="L5882" s="403">
        <v>720</v>
      </c>
      <c r="M5882" s="403" t="s">
        <v>1283</v>
      </c>
      <c r="N5882" s="403">
        <v>720</v>
      </c>
      <c r="O5882" s="403">
        <v>480</v>
      </c>
      <c r="P5882" t="str">
        <f t="shared" si="729"/>
        <v>60fps 720p full frame rate - SD 4CIF resolution 4:3 format (cropped)</v>
      </c>
      <c r="Q5882">
        <f t="shared" si="730"/>
        <v>26</v>
      </c>
      <c r="R5882" t="str">
        <f t="shared" si="731"/>
        <v/>
      </c>
      <c r="S5882" t="str">
        <f t="shared" si="732"/>
        <v/>
      </c>
      <c r="T5882" s="403" t="str">
        <f t="shared" si="733"/>
        <v>NDP-5502-Z30</v>
      </c>
      <c r="U5882" s="403">
        <f t="shared" si="734"/>
        <v>1</v>
      </c>
      <c r="V5882" s="403" t="str">
        <f t="shared" si="735"/>
        <v>CPP_7_3</v>
      </c>
    </row>
    <row r="5883" spans="1:22">
      <c r="A5883" t="str">
        <f t="shared" si="728"/>
        <v>NDP-5502-Z30</v>
      </c>
      <c r="B5883" s="403" t="s">
        <v>1430</v>
      </c>
      <c r="C5883" s="403" t="s">
        <v>582</v>
      </c>
      <c r="D5883" s="403" t="s">
        <v>1294</v>
      </c>
      <c r="E5883" s="403" t="s">
        <v>778</v>
      </c>
      <c r="F5883" s="403" t="s">
        <v>1288</v>
      </c>
      <c r="G5883" s="403" t="s">
        <v>1466</v>
      </c>
      <c r="H5883" s="403" t="s">
        <v>1276</v>
      </c>
      <c r="I5883" s="403">
        <v>1</v>
      </c>
      <c r="J5883" s="403" t="s">
        <v>1289</v>
      </c>
      <c r="K5883" s="403">
        <v>1280</v>
      </c>
      <c r="L5883" s="403">
        <v>720</v>
      </c>
      <c r="M5883" s="403" t="s">
        <v>1284</v>
      </c>
      <c r="N5883" s="403">
        <v>640</v>
      </c>
      <c r="O5883" s="403">
        <v>480</v>
      </c>
      <c r="P5883" t="str">
        <f t="shared" si="729"/>
        <v>60fps 720p full frame rate - SD VGA (cropped)</v>
      </c>
      <c r="Q5883">
        <f t="shared" si="730"/>
        <v>26</v>
      </c>
      <c r="R5883" t="str">
        <f t="shared" si="731"/>
        <v/>
      </c>
      <c r="S5883" t="str">
        <f t="shared" si="732"/>
        <v/>
      </c>
      <c r="T5883" s="403" t="str">
        <f t="shared" si="733"/>
        <v>NDP-5502-Z30</v>
      </c>
      <c r="U5883" s="403">
        <f t="shared" si="734"/>
        <v>1</v>
      </c>
      <c r="V5883" s="403" t="str">
        <f t="shared" si="735"/>
        <v>CPP_7_3</v>
      </c>
    </row>
    <row r="5884" spans="1:22">
      <c r="A5884" t="str">
        <f t="shared" si="728"/>
        <v>NDP-5502-Z30</v>
      </c>
      <c r="B5884" s="403" t="s">
        <v>1430</v>
      </c>
      <c r="C5884" s="403" t="s">
        <v>582</v>
      </c>
      <c r="D5884" s="403" t="s">
        <v>1294</v>
      </c>
      <c r="E5884" s="403" t="s">
        <v>778</v>
      </c>
      <c r="F5884" s="403" t="s">
        <v>1288</v>
      </c>
      <c r="G5884" s="403" t="s">
        <v>1466</v>
      </c>
      <c r="H5884" s="403" t="s">
        <v>1281</v>
      </c>
      <c r="I5884" s="403">
        <v>1</v>
      </c>
      <c r="J5884" s="403" t="s">
        <v>110</v>
      </c>
      <c r="K5884" s="403">
        <v>1920</v>
      </c>
      <c r="L5884" s="403">
        <v>1080</v>
      </c>
      <c r="M5884" s="403" t="s">
        <v>111</v>
      </c>
      <c r="N5884" s="403">
        <v>768</v>
      </c>
      <c r="O5884" s="403">
        <v>432</v>
      </c>
      <c r="P5884" t="str">
        <f t="shared" si="729"/>
        <v>60fps 1080p - SD</v>
      </c>
      <c r="Q5884">
        <f t="shared" si="730"/>
        <v>26</v>
      </c>
      <c r="R5884" t="str">
        <f t="shared" si="731"/>
        <v/>
      </c>
      <c r="S5884" t="str">
        <f t="shared" si="732"/>
        <v/>
      </c>
      <c r="T5884" s="403" t="str">
        <f t="shared" si="733"/>
        <v>NDP-5502-Z30</v>
      </c>
      <c r="U5884" s="403">
        <f t="shared" si="734"/>
        <v>1</v>
      </c>
      <c r="V5884" s="403" t="str">
        <f t="shared" si="735"/>
        <v>CPP_7_3</v>
      </c>
    </row>
    <row r="5885" spans="1:22">
      <c r="A5885" t="str">
        <f t="shared" si="728"/>
        <v>NDP-5502-Z30</v>
      </c>
      <c r="B5885" s="403" t="s">
        <v>1430</v>
      </c>
      <c r="C5885" s="403" t="s">
        <v>582</v>
      </c>
      <c r="D5885" s="403" t="s">
        <v>1294</v>
      </c>
      <c r="E5885" s="403" t="s">
        <v>778</v>
      </c>
      <c r="F5885" s="403" t="s">
        <v>1288</v>
      </c>
      <c r="G5885" s="403" t="s">
        <v>1466</v>
      </c>
      <c r="H5885" s="403" t="s">
        <v>1281</v>
      </c>
      <c r="I5885" s="403">
        <v>1</v>
      </c>
      <c r="J5885" s="403" t="s">
        <v>110</v>
      </c>
      <c r="K5885" s="403">
        <v>1920</v>
      </c>
      <c r="L5885" s="403">
        <v>1080</v>
      </c>
      <c r="M5885" s="403" t="s">
        <v>1283</v>
      </c>
      <c r="N5885" s="403">
        <v>720</v>
      </c>
      <c r="O5885" s="403">
        <v>480</v>
      </c>
      <c r="P5885" t="str">
        <f t="shared" si="729"/>
        <v>60fps 1080p - SD 4CIF resolution 4:3 format (cropped)</v>
      </c>
      <c r="Q5885">
        <f t="shared" si="730"/>
        <v>26</v>
      </c>
      <c r="R5885" t="str">
        <f t="shared" si="731"/>
        <v/>
      </c>
      <c r="S5885" t="str">
        <f t="shared" si="732"/>
        <v/>
      </c>
      <c r="T5885" s="403" t="str">
        <f t="shared" si="733"/>
        <v>NDP-5502-Z30</v>
      </c>
      <c r="U5885" s="403">
        <f t="shared" si="734"/>
        <v>1</v>
      </c>
      <c r="V5885" s="403" t="str">
        <f t="shared" si="735"/>
        <v>CPP_7_3</v>
      </c>
    </row>
    <row r="5886" spans="1:22">
      <c r="A5886" t="str">
        <f t="shared" si="728"/>
        <v>NDP-5502-Z30</v>
      </c>
      <c r="B5886" s="403" t="s">
        <v>1430</v>
      </c>
      <c r="C5886" s="403" t="s">
        <v>582</v>
      </c>
      <c r="D5886" s="403" t="s">
        <v>1294</v>
      </c>
      <c r="E5886" s="403" t="s">
        <v>778</v>
      </c>
      <c r="F5886" s="403" t="s">
        <v>1288</v>
      </c>
      <c r="G5886" s="403" t="s">
        <v>1466</v>
      </c>
      <c r="H5886" s="403" t="s">
        <v>1281</v>
      </c>
      <c r="I5886" s="403">
        <v>1</v>
      </c>
      <c r="J5886" s="403" t="s">
        <v>110</v>
      </c>
      <c r="K5886" s="403">
        <v>1920</v>
      </c>
      <c r="L5886" s="403">
        <v>1080</v>
      </c>
      <c r="M5886" s="403" t="s">
        <v>1284</v>
      </c>
      <c r="N5886" s="403">
        <v>640</v>
      </c>
      <c r="O5886" s="403">
        <v>480</v>
      </c>
      <c r="P5886" t="str">
        <f t="shared" si="729"/>
        <v>60fps 1080p - SD VGA (cropped)</v>
      </c>
      <c r="Q5886">
        <f t="shared" si="730"/>
        <v>26</v>
      </c>
      <c r="R5886" t="str">
        <f t="shared" si="731"/>
        <v/>
      </c>
      <c r="S5886" t="str">
        <f t="shared" si="732"/>
        <v/>
      </c>
      <c r="T5886" s="403" t="str">
        <f t="shared" si="733"/>
        <v>NDP-5502-Z30</v>
      </c>
      <c r="U5886" s="403">
        <f t="shared" si="734"/>
        <v>1</v>
      </c>
      <c r="V5886" s="403" t="str">
        <f t="shared" si="735"/>
        <v>CPP_7_3</v>
      </c>
    </row>
    <row r="5887" spans="1:22">
      <c r="A5887" t="str">
        <f t="shared" si="728"/>
        <v>NDP-5502-Z30</v>
      </c>
      <c r="B5887" s="403" t="s">
        <v>1430</v>
      </c>
      <c r="C5887" s="403" t="s">
        <v>582</v>
      </c>
      <c r="D5887" s="403" t="s">
        <v>1294</v>
      </c>
      <c r="E5887" s="403" t="s">
        <v>778</v>
      </c>
      <c r="F5887" s="403" t="s">
        <v>1288</v>
      </c>
      <c r="G5887" s="403" t="s">
        <v>1466</v>
      </c>
      <c r="H5887" s="403" t="s">
        <v>1281</v>
      </c>
      <c r="I5887" s="403">
        <v>1</v>
      </c>
      <c r="J5887" s="403" t="s">
        <v>1289</v>
      </c>
      <c r="K5887" s="403">
        <v>1280</v>
      </c>
      <c r="L5887" s="403">
        <v>720</v>
      </c>
      <c r="M5887" s="403" t="s">
        <v>1289</v>
      </c>
      <c r="N5887" s="403">
        <v>1280</v>
      </c>
      <c r="O5887" s="403">
        <v>720</v>
      </c>
      <c r="P5887" t="str">
        <f t="shared" si="729"/>
        <v>60fps 720p full frame rate - 720p full frame rate</v>
      </c>
      <c r="Q5887">
        <f t="shared" si="730"/>
        <v>26</v>
      </c>
      <c r="R5887" t="str">
        <f t="shared" si="731"/>
        <v/>
      </c>
      <c r="S5887" t="str">
        <f t="shared" si="732"/>
        <v/>
      </c>
      <c r="T5887" s="403" t="str">
        <f t="shared" si="733"/>
        <v>NDP-5502-Z30</v>
      </c>
      <c r="U5887" s="403">
        <f t="shared" si="734"/>
        <v>1</v>
      </c>
      <c r="V5887" s="403" t="str">
        <f t="shared" si="735"/>
        <v>CPP_7_3</v>
      </c>
    </row>
    <row r="5888" spans="1:22">
      <c r="A5888" t="str">
        <f t="shared" si="728"/>
        <v>NDP-5502-Z30</v>
      </c>
      <c r="B5888" s="403" t="s">
        <v>1430</v>
      </c>
      <c r="C5888" s="403" t="s">
        <v>582</v>
      </c>
      <c r="D5888" s="403" t="s">
        <v>1294</v>
      </c>
      <c r="E5888" s="403" t="s">
        <v>778</v>
      </c>
      <c r="F5888" s="403" t="s">
        <v>1288</v>
      </c>
      <c r="G5888" s="403" t="s">
        <v>1466</v>
      </c>
      <c r="H5888" s="403" t="s">
        <v>1281</v>
      </c>
      <c r="I5888" s="403">
        <v>1</v>
      </c>
      <c r="J5888" s="403" t="s">
        <v>1289</v>
      </c>
      <c r="K5888" s="403">
        <v>1280</v>
      </c>
      <c r="L5888" s="403">
        <v>720</v>
      </c>
      <c r="M5888" s="403" t="s">
        <v>111</v>
      </c>
      <c r="N5888" s="403">
        <v>768</v>
      </c>
      <c r="O5888" s="403">
        <v>432</v>
      </c>
      <c r="P5888" t="str">
        <f t="shared" si="729"/>
        <v>60fps 720p full frame rate - SD</v>
      </c>
      <c r="Q5888">
        <f t="shared" si="730"/>
        <v>26</v>
      </c>
      <c r="R5888" t="str">
        <f t="shared" si="731"/>
        <v/>
      </c>
      <c r="S5888" t="str">
        <f t="shared" si="732"/>
        <v/>
      </c>
      <c r="T5888" s="403" t="str">
        <f t="shared" si="733"/>
        <v>NDP-5502-Z30</v>
      </c>
      <c r="U5888" s="403">
        <f t="shared" si="734"/>
        <v>1</v>
      </c>
      <c r="V5888" s="403" t="str">
        <f t="shared" si="735"/>
        <v>CPP_7_3</v>
      </c>
    </row>
    <row r="5889" spans="1:22">
      <c r="A5889" t="str">
        <f t="shared" si="728"/>
        <v>NDP-5502-Z30</v>
      </c>
      <c r="B5889" s="403" t="s">
        <v>1430</v>
      </c>
      <c r="C5889" s="403" t="s">
        <v>582</v>
      </c>
      <c r="D5889" s="403" t="s">
        <v>1294</v>
      </c>
      <c r="E5889" s="403" t="s">
        <v>778</v>
      </c>
      <c r="F5889" s="403" t="s">
        <v>1288</v>
      </c>
      <c r="G5889" s="403" t="s">
        <v>1466</v>
      </c>
      <c r="H5889" s="403" t="s">
        <v>1281</v>
      </c>
      <c r="I5889" s="403">
        <v>1</v>
      </c>
      <c r="J5889" s="403" t="s">
        <v>1289</v>
      </c>
      <c r="K5889" s="403">
        <v>1280</v>
      </c>
      <c r="L5889" s="403">
        <v>720</v>
      </c>
      <c r="M5889" s="403" t="s">
        <v>1283</v>
      </c>
      <c r="N5889" s="403">
        <v>720</v>
      </c>
      <c r="O5889" s="403">
        <v>480</v>
      </c>
      <c r="P5889" t="str">
        <f t="shared" si="729"/>
        <v>60fps 720p full frame rate - SD 4CIF resolution 4:3 format (cropped)</v>
      </c>
      <c r="Q5889">
        <f t="shared" si="730"/>
        <v>26</v>
      </c>
      <c r="R5889" t="str">
        <f t="shared" si="731"/>
        <v/>
      </c>
      <c r="S5889" t="str">
        <f t="shared" si="732"/>
        <v/>
      </c>
      <c r="T5889" s="403" t="str">
        <f t="shared" si="733"/>
        <v>NDP-5502-Z30</v>
      </c>
      <c r="U5889" s="403">
        <f t="shared" si="734"/>
        <v>1</v>
      </c>
      <c r="V5889" s="403" t="str">
        <f t="shared" si="735"/>
        <v>CPP_7_3</v>
      </c>
    </row>
    <row r="5890" spans="1:22">
      <c r="A5890" t="str">
        <f t="shared" ref="A5890:A5953" si="736">IF(AND(G5890&lt;&gt;"rotate 90°"),D5890,"")</f>
        <v>NDP-5502-Z30</v>
      </c>
      <c r="B5890" s="403" t="s">
        <v>1430</v>
      </c>
      <c r="C5890" s="403" t="s">
        <v>582</v>
      </c>
      <c r="D5890" s="403" t="s">
        <v>1294</v>
      </c>
      <c r="E5890" s="403" t="s">
        <v>778</v>
      </c>
      <c r="F5890" s="403" t="s">
        <v>1288</v>
      </c>
      <c r="G5890" s="403" t="s">
        <v>1466</v>
      </c>
      <c r="H5890" s="403" t="s">
        <v>1281</v>
      </c>
      <c r="I5890" s="403">
        <v>1</v>
      </c>
      <c r="J5890" s="403" t="s">
        <v>1289</v>
      </c>
      <c r="K5890" s="403">
        <v>1280</v>
      </c>
      <c r="L5890" s="403">
        <v>720</v>
      </c>
      <c r="M5890" s="403" t="s">
        <v>1284</v>
      </c>
      <c r="N5890" s="403">
        <v>640</v>
      </c>
      <c r="O5890" s="403">
        <v>480</v>
      </c>
      <c r="P5890" t="str">
        <f t="shared" ref="P5890:P5953" si="737">LEFT(F5890,5)&amp;" "&amp;J5890&amp;" - "&amp;M5890</f>
        <v>60fps 720p full frame rate - SD VGA (cropped)</v>
      </c>
      <c r="Q5890">
        <f t="shared" ref="Q5890:Q5953" si="738">IF(A5889=A5890,Q5889,Q5889+1)</f>
        <v>26</v>
      </c>
      <c r="R5890" t="str">
        <f t="shared" ref="R5890:R5953" si="739">IF(Q5889&lt;&gt;Q5890,Q5890,"")</f>
        <v/>
      </c>
      <c r="S5890" t="str">
        <f t="shared" ref="S5890:S5953" si="740">IF(R5890&lt;&gt;"",B5890&amp;" ("&amp;D5890&amp;")","")</f>
        <v/>
      </c>
      <c r="T5890" s="403" t="str">
        <f t="shared" ref="T5890:T5953" si="741">D5890</f>
        <v>NDP-5502-Z30</v>
      </c>
      <c r="U5890" s="403">
        <f t="shared" ref="U5890:U5953" si="742">I5890</f>
        <v>1</v>
      </c>
      <c r="V5890" s="403" t="str">
        <f t="shared" ref="V5890:V5953" si="743">C5890</f>
        <v>CPP_7_3</v>
      </c>
    </row>
    <row r="5891" spans="1:22">
      <c r="A5891" t="str">
        <f t="shared" si="736"/>
        <v>NDP-5502-Z30</v>
      </c>
      <c r="B5891" s="403" t="s">
        <v>1430</v>
      </c>
      <c r="C5891" s="403" t="s">
        <v>582</v>
      </c>
      <c r="D5891" s="403" t="s">
        <v>1294</v>
      </c>
      <c r="E5891" s="403" t="s">
        <v>778</v>
      </c>
      <c r="F5891" s="403" t="s">
        <v>1288</v>
      </c>
      <c r="G5891" s="403" t="s">
        <v>1466</v>
      </c>
      <c r="H5891" s="403" t="s">
        <v>1282</v>
      </c>
      <c r="I5891" s="403">
        <v>1</v>
      </c>
      <c r="J5891" s="403" t="s">
        <v>110</v>
      </c>
      <c r="K5891" s="403">
        <v>1920</v>
      </c>
      <c r="L5891" s="403">
        <v>1080</v>
      </c>
      <c r="M5891" s="403" t="s">
        <v>111</v>
      </c>
      <c r="N5891" s="403">
        <v>768</v>
      </c>
      <c r="O5891" s="403">
        <v>432</v>
      </c>
      <c r="P5891" t="str">
        <f t="shared" si="737"/>
        <v>60fps 1080p - SD</v>
      </c>
      <c r="Q5891">
        <f t="shared" si="738"/>
        <v>26</v>
      </c>
      <c r="R5891" t="str">
        <f t="shared" si="739"/>
        <v/>
      </c>
      <c r="S5891" t="str">
        <f t="shared" si="740"/>
        <v/>
      </c>
      <c r="T5891" s="403" t="str">
        <f t="shared" si="741"/>
        <v>NDP-5502-Z30</v>
      </c>
      <c r="U5891" s="403">
        <f t="shared" si="742"/>
        <v>1</v>
      </c>
      <c r="V5891" s="403" t="str">
        <f t="shared" si="743"/>
        <v>CPP_7_3</v>
      </c>
    </row>
    <row r="5892" spans="1:22">
      <c r="A5892" t="str">
        <f t="shared" si="736"/>
        <v>NDP-5502-Z30</v>
      </c>
      <c r="B5892" s="403" t="s">
        <v>1430</v>
      </c>
      <c r="C5892" s="403" t="s">
        <v>582</v>
      </c>
      <c r="D5892" s="403" t="s">
        <v>1294</v>
      </c>
      <c r="E5892" s="403" t="s">
        <v>778</v>
      </c>
      <c r="F5892" s="403" t="s">
        <v>1288</v>
      </c>
      <c r="G5892" s="403" t="s">
        <v>1466</v>
      </c>
      <c r="H5892" s="403" t="s">
        <v>1282</v>
      </c>
      <c r="I5892" s="403">
        <v>1</v>
      </c>
      <c r="J5892" s="403" t="s">
        <v>110</v>
      </c>
      <c r="K5892" s="403">
        <v>1920</v>
      </c>
      <c r="L5892" s="403">
        <v>1080</v>
      </c>
      <c r="M5892" s="403" t="s">
        <v>1289</v>
      </c>
      <c r="N5892" s="403">
        <v>1280</v>
      </c>
      <c r="O5892" s="403">
        <v>720</v>
      </c>
      <c r="P5892" t="str">
        <f t="shared" si="737"/>
        <v>60fps 1080p - 720p full frame rate</v>
      </c>
      <c r="Q5892">
        <f t="shared" si="738"/>
        <v>26</v>
      </c>
      <c r="R5892" t="str">
        <f t="shared" si="739"/>
        <v/>
      </c>
      <c r="S5892" t="str">
        <f t="shared" si="740"/>
        <v/>
      </c>
      <c r="T5892" s="403" t="str">
        <f t="shared" si="741"/>
        <v>NDP-5502-Z30</v>
      </c>
      <c r="U5892" s="403">
        <f t="shared" si="742"/>
        <v>1</v>
      </c>
      <c r="V5892" s="403" t="str">
        <f t="shared" si="743"/>
        <v>CPP_7_3</v>
      </c>
    </row>
    <row r="5893" spans="1:22">
      <c r="A5893" t="str">
        <f t="shared" si="736"/>
        <v>NDP-5502-Z30</v>
      </c>
      <c r="B5893" s="403" t="s">
        <v>1430</v>
      </c>
      <c r="C5893" s="403" t="s">
        <v>582</v>
      </c>
      <c r="D5893" s="403" t="s">
        <v>1294</v>
      </c>
      <c r="E5893" s="403" t="s">
        <v>778</v>
      </c>
      <c r="F5893" s="403" t="s">
        <v>1288</v>
      </c>
      <c r="G5893" s="403" t="s">
        <v>1466</v>
      </c>
      <c r="H5893" s="403" t="s">
        <v>1282</v>
      </c>
      <c r="I5893" s="403">
        <v>1</v>
      </c>
      <c r="J5893" s="403" t="s">
        <v>110</v>
      </c>
      <c r="K5893" s="403">
        <v>1920</v>
      </c>
      <c r="L5893" s="403">
        <v>1080</v>
      </c>
      <c r="M5893" s="403" t="s">
        <v>1285</v>
      </c>
      <c r="N5893" s="403">
        <v>1280</v>
      </c>
      <c r="O5893" s="403">
        <v>1024</v>
      </c>
      <c r="P5893" t="str">
        <f t="shared" si="737"/>
        <v>60fps 1080p - 1280x1024 5:4 (cropped)</v>
      </c>
      <c r="Q5893">
        <f t="shared" si="738"/>
        <v>26</v>
      </c>
      <c r="R5893" t="str">
        <f t="shared" si="739"/>
        <v/>
      </c>
      <c r="S5893" t="str">
        <f t="shared" si="740"/>
        <v/>
      </c>
      <c r="T5893" s="403" t="str">
        <f t="shared" si="741"/>
        <v>NDP-5502-Z30</v>
      </c>
      <c r="U5893" s="403">
        <f t="shared" si="742"/>
        <v>1</v>
      </c>
      <c r="V5893" s="403" t="str">
        <f t="shared" si="743"/>
        <v>CPP_7_3</v>
      </c>
    </row>
    <row r="5894" spans="1:22">
      <c r="A5894" t="str">
        <f t="shared" si="736"/>
        <v>NDP-5502-Z30</v>
      </c>
      <c r="B5894" s="403" t="s">
        <v>1430</v>
      </c>
      <c r="C5894" s="403" t="s">
        <v>582</v>
      </c>
      <c r="D5894" s="403" t="s">
        <v>1294</v>
      </c>
      <c r="E5894" s="403" t="s">
        <v>778</v>
      </c>
      <c r="F5894" s="403" t="s">
        <v>1288</v>
      </c>
      <c r="G5894" s="403" t="s">
        <v>1466</v>
      </c>
      <c r="H5894" s="403" t="s">
        <v>1282</v>
      </c>
      <c r="I5894" s="403">
        <v>1</v>
      </c>
      <c r="J5894" s="403" t="s">
        <v>110</v>
      </c>
      <c r="K5894" s="403">
        <v>1920</v>
      </c>
      <c r="L5894" s="403">
        <v>1080</v>
      </c>
      <c r="M5894" s="403" t="s">
        <v>1283</v>
      </c>
      <c r="N5894" s="403">
        <v>720</v>
      </c>
      <c r="O5894" s="403">
        <v>480</v>
      </c>
      <c r="P5894" t="str">
        <f t="shared" si="737"/>
        <v>60fps 1080p - SD 4CIF resolution 4:3 format (cropped)</v>
      </c>
      <c r="Q5894">
        <f t="shared" si="738"/>
        <v>26</v>
      </c>
      <c r="R5894" t="str">
        <f t="shared" si="739"/>
        <v/>
      </c>
      <c r="S5894" t="str">
        <f t="shared" si="740"/>
        <v/>
      </c>
      <c r="T5894" s="403" t="str">
        <f t="shared" si="741"/>
        <v>NDP-5502-Z30</v>
      </c>
      <c r="U5894" s="403">
        <f t="shared" si="742"/>
        <v>1</v>
      </c>
      <c r="V5894" s="403" t="str">
        <f t="shared" si="743"/>
        <v>CPP_7_3</v>
      </c>
    </row>
    <row r="5895" spans="1:22">
      <c r="A5895" t="str">
        <f t="shared" si="736"/>
        <v>NDP-5502-Z30</v>
      </c>
      <c r="B5895" s="403" t="s">
        <v>1430</v>
      </c>
      <c r="C5895" s="403" t="s">
        <v>582</v>
      </c>
      <c r="D5895" s="403" t="s">
        <v>1294</v>
      </c>
      <c r="E5895" s="403" t="s">
        <v>778</v>
      </c>
      <c r="F5895" s="403" t="s">
        <v>1288</v>
      </c>
      <c r="G5895" s="403" t="s">
        <v>1466</v>
      </c>
      <c r="H5895" s="403" t="s">
        <v>1282</v>
      </c>
      <c r="I5895" s="403">
        <v>1</v>
      </c>
      <c r="J5895" s="403" t="s">
        <v>110</v>
      </c>
      <c r="K5895" s="403">
        <v>1920</v>
      </c>
      <c r="L5895" s="403">
        <v>1080</v>
      </c>
      <c r="M5895" s="403" t="s">
        <v>1284</v>
      </c>
      <c r="N5895" s="403">
        <v>640</v>
      </c>
      <c r="O5895" s="403">
        <v>480</v>
      </c>
      <c r="P5895" t="str">
        <f t="shared" si="737"/>
        <v>60fps 1080p - SD VGA (cropped)</v>
      </c>
      <c r="Q5895">
        <f t="shared" si="738"/>
        <v>26</v>
      </c>
      <c r="R5895" t="str">
        <f t="shared" si="739"/>
        <v/>
      </c>
      <c r="S5895" t="str">
        <f t="shared" si="740"/>
        <v/>
      </c>
      <c r="T5895" s="403" t="str">
        <f t="shared" si="741"/>
        <v>NDP-5502-Z30</v>
      </c>
      <c r="U5895" s="403">
        <f t="shared" si="742"/>
        <v>1</v>
      </c>
      <c r="V5895" s="403" t="str">
        <f t="shared" si="743"/>
        <v>CPP_7_3</v>
      </c>
    </row>
    <row r="5896" spans="1:22">
      <c r="A5896" t="str">
        <f t="shared" si="736"/>
        <v>NDP-5502-Z30</v>
      </c>
      <c r="B5896" s="403" t="s">
        <v>1430</v>
      </c>
      <c r="C5896" s="403" t="s">
        <v>582</v>
      </c>
      <c r="D5896" s="403" t="s">
        <v>1294</v>
      </c>
      <c r="E5896" s="403" t="s">
        <v>778</v>
      </c>
      <c r="F5896" s="403" t="s">
        <v>1288</v>
      </c>
      <c r="G5896" s="403" t="s">
        <v>1466</v>
      </c>
      <c r="H5896" s="403" t="s">
        <v>1282</v>
      </c>
      <c r="I5896" s="403">
        <v>1</v>
      </c>
      <c r="J5896" s="403" t="s">
        <v>1289</v>
      </c>
      <c r="K5896" s="403">
        <v>1280</v>
      </c>
      <c r="L5896" s="403">
        <v>720</v>
      </c>
      <c r="M5896" s="403" t="s">
        <v>1289</v>
      </c>
      <c r="N5896" s="403">
        <v>1280</v>
      </c>
      <c r="O5896" s="403">
        <v>720</v>
      </c>
      <c r="P5896" t="str">
        <f t="shared" si="737"/>
        <v>60fps 720p full frame rate - 720p full frame rate</v>
      </c>
      <c r="Q5896">
        <f t="shared" si="738"/>
        <v>26</v>
      </c>
      <c r="R5896" t="str">
        <f t="shared" si="739"/>
        <v/>
      </c>
      <c r="S5896" t="str">
        <f t="shared" si="740"/>
        <v/>
      </c>
      <c r="T5896" s="403" t="str">
        <f t="shared" si="741"/>
        <v>NDP-5502-Z30</v>
      </c>
      <c r="U5896" s="403">
        <f t="shared" si="742"/>
        <v>1</v>
      </c>
      <c r="V5896" s="403" t="str">
        <f t="shared" si="743"/>
        <v>CPP_7_3</v>
      </c>
    </row>
    <row r="5897" spans="1:22">
      <c r="A5897" t="str">
        <f t="shared" si="736"/>
        <v>NDP-5502-Z30</v>
      </c>
      <c r="B5897" s="403" t="s">
        <v>1430</v>
      </c>
      <c r="C5897" s="403" t="s">
        <v>582</v>
      </c>
      <c r="D5897" s="403" t="s">
        <v>1294</v>
      </c>
      <c r="E5897" s="403" t="s">
        <v>778</v>
      </c>
      <c r="F5897" s="403" t="s">
        <v>1288</v>
      </c>
      <c r="G5897" s="403" t="s">
        <v>1466</v>
      </c>
      <c r="H5897" s="403" t="s">
        <v>1282</v>
      </c>
      <c r="I5897" s="403">
        <v>1</v>
      </c>
      <c r="J5897" s="403" t="s">
        <v>1289</v>
      </c>
      <c r="K5897" s="403">
        <v>1280</v>
      </c>
      <c r="L5897" s="403">
        <v>720</v>
      </c>
      <c r="M5897" s="403" t="s">
        <v>111</v>
      </c>
      <c r="N5897" s="403">
        <v>768</v>
      </c>
      <c r="O5897" s="403">
        <v>432</v>
      </c>
      <c r="P5897" t="str">
        <f t="shared" si="737"/>
        <v>60fps 720p full frame rate - SD</v>
      </c>
      <c r="Q5897">
        <f t="shared" si="738"/>
        <v>26</v>
      </c>
      <c r="R5897" t="str">
        <f t="shared" si="739"/>
        <v/>
      </c>
      <c r="S5897" t="str">
        <f t="shared" si="740"/>
        <v/>
      </c>
      <c r="T5897" s="403" t="str">
        <f t="shared" si="741"/>
        <v>NDP-5502-Z30</v>
      </c>
      <c r="U5897" s="403">
        <f t="shared" si="742"/>
        <v>1</v>
      </c>
      <c r="V5897" s="403" t="str">
        <f t="shared" si="743"/>
        <v>CPP_7_3</v>
      </c>
    </row>
    <row r="5898" spans="1:22">
      <c r="A5898" t="str">
        <f t="shared" si="736"/>
        <v>NDP-5502-Z30</v>
      </c>
      <c r="B5898" s="403" t="s">
        <v>1430</v>
      </c>
      <c r="C5898" s="403" t="s">
        <v>582</v>
      </c>
      <c r="D5898" s="403" t="s">
        <v>1294</v>
      </c>
      <c r="E5898" s="403" t="s">
        <v>778</v>
      </c>
      <c r="F5898" s="403" t="s">
        <v>1288</v>
      </c>
      <c r="G5898" s="403" t="s">
        <v>1466</v>
      </c>
      <c r="H5898" s="403" t="s">
        <v>1282</v>
      </c>
      <c r="I5898" s="403">
        <v>1</v>
      </c>
      <c r="J5898" s="403" t="s">
        <v>1289</v>
      </c>
      <c r="K5898" s="403">
        <v>1280</v>
      </c>
      <c r="L5898" s="403">
        <v>720</v>
      </c>
      <c r="M5898" s="403" t="s">
        <v>1283</v>
      </c>
      <c r="N5898" s="403">
        <v>720</v>
      </c>
      <c r="O5898" s="403">
        <v>480</v>
      </c>
      <c r="P5898" t="str">
        <f t="shared" si="737"/>
        <v>60fps 720p full frame rate - SD 4CIF resolution 4:3 format (cropped)</v>
      </c>
      <c r="Q5898">
        <f t="shared" si="738"/>
        <v>26</v>
      </c>
      <c r="R5898" t="str">
        <f t="shared" si="739"/>
        <v/>
      </c>
      <c r="S5898" t="str">
        <f t="shared" si="740"/>
        <v/>
      </c>
      <c r="T5898" s="403" t="str">
        <f t="shared" si="741"/>
        <v>NDP-5502-Z30</v>
      </c>
      <c r="U5898" s="403">
        <f t="shared" si="742"/>
        <v>1</v>
      </c>
      <c r="V5898" s="403" t="str">
        <f t="shared" si="743"/>
        <v>CPP_7_3</v>
      </c>
    </row>
    <row r="5899" spans="1:22">
      <c r="A5899" t="str">
        <f t="shared" si="736"/>
        <v>NDP-5502-Z30</v>
      </c>
      <c r="B5899" s="403" t="s">
        <v>1430</v>
      </c>
      <c r="C5899" s="403" t="s">
        <v>582</v>
      </c>
      <c r="D5899" s="403" t="s">
        <v>1294</v>
      </c>
      <c r="E5899" s="403" t="s">
        <v>778</v>
      </c>
      <c r="F5899" s="403" t="s">
        <v>1288</v>
      </c>
      <c r="G5899" s="403" t="s">
        <v>1466</v>
      </c>
      <c r="H5899" s="403" t="s">
        <v>1282</v>
      </c>
      <c r="I5899" s="403">
        <v>1</v>
      </c>
      <c r="J5899" s="403" t="s">
        <v>1289</v>
      </c>
      <c r="K5899" s="403">
        <v>1280</v>
      </c>
      <c r="L5899" s="403">
        <v>720</v>
      </c>
      <c r="M5899" s="403" t="s">
        <v>1284</v>
      </c>
      <c r="N5899" s="403">
        <v>640</v>
      </c>
      <c r="O5899" s="403">
        <v>480</v>
      </c>
      <c r="P5899" t="str">
        <f t="shared" si="737"/>
        <v>60fps 720p full frame rate - SD VGA (cropped)</v>
      </c>
      <c r="Q5899">
        <f t="shared" si="738"/>
        <v>26</v>
      </c>
      <c r="R5899" t="str">
        <f t="shared" si="739"/>
        <v/>
      </c>
      <c r="S5899" t="str">
        <f t="shared" si="740"/>
        <v/>
      </c>
      <c r="T5899" s="403" t="str">
        <f t="shared" si="741"/>
        <v>NDP-5502-Z30</v>
      </c>
      <c r="U5899" s="403">
        <f t="shared" si="742"/>
        <v>1</v>
      </c>
      <c r="V5899" s="403" t="str">
        <f t="shared" si="743"/>
        <v>CPP_7_3</v>
      </c>
    </row>
    <row r="5900" spans="1:22">
      <c r="A5900" t="str">
        <f t="shared" si="736"/>
        <v>NDP-5502-Z30</v>
      </c>
      <c r="B5900" s="403" t="s">
        <v>1430</v>
      </c>
      <c r="C5900" s="403" t="s">
        <v>582</v>
      </c>
      <c r="D5900" s="403" t="s">
        <v>1294</v>
      </c>
      <c r="E5900" s="403" t="s">
        <v>778</v>
      </c>
      <c r="F5900" s="403" t="s">
        <v>1290</v>
      </c>
      <c r="G5900" s="403" t="s">
        <v>1466</v>
      </c>
      <c r="H5900" s="403" t="s">
        <v>1276</v>
      </c>
      <c r="I5900" s="403">
        <v>1</v>
      </c>
      <c r="J5900" s="403" t="s">
        <v>110</v>
      </c>
      <c r="K5900" s="403">
        <v>1920</v>
      </c>
      <c r="L5900" s="403">
        <v>1080</v>
      </c>
      <c r="M5900" s="403" t="s">
        <v>111</v>
      </c>
      <c r="N5900" s="403">
        <v>768</v>
      </c>
      <c r="O5900" s="403">
        <v>432</v>
      </c>
      <c r="P5900" t="str">
        <f t="shared" si="737"/>
        <v>50fps 1080p - SD</v>
      </c>
      <c r="Q5900">
        <f t="shared" si="738"/>
        <v>26</v>
      </c>
      <c r="R5900" t="str">
        <f t="shared" si="739"/>
        <v/>
      </c>
      <c r="S5900" t="str">
        <f t="shared" si="740"/>
        <v/>
      </c>
      <c r="T5900" s="403" t="str">
        <f t="shared" si="741"/>
        <v>NDP-5502-Z30</v>
      </c>
      <c r="U5900" s="403">
        <f t="shared" si="742"/>
        <v>1</v>
      </c>
      <c r="V5900" s="403" t="str">
        <f t="shared" si="743"/>
        <v>CPP_7_3</v>
      </c>
    </row>
    <row r="5901" spans="1:22">
      <c r="A5901" t="str">
        <f t="shared" si="736"/>
        <v>NDP-5502-Z30</v>
      </c>
      <c r="B5901" s="403" t="s">
        <v>1430</v>
      </c>
      <c r="C5901" s="403" t="s">
        <v>582</v>
      </c>
      <c r="D5901" s="403" t="s">
        <v>1294</v>
      </c>
      <c r="E5901" s="403" t="s">
        <v>778</v>
      </c>
      <c r="F5901" s="403" t="s">
        <v>1290</v>
      </c>
      <c r="G5901" s="403" t="s">
        <v>1466</v>
      </c>
      <c r="H5901" s="403" t="s">
        <v>1276</v>
      </c>
      <c r="I5901" s="403">
        <v>1</v>
      </c>
      <c r="J5901" s="403" t="s">
        <v>110</v>
      </c>
      <c r="K5901" s="403">
        <v>1920</v>
      </c>
      <c r="L5901" s="403">
        <v>1080</v>
      </c>
      <c r="M5901" s="403" t="s">
        <v>110</v>
      </c>
      <c r="N5901" s="403">
        <v>1920</v>
      </c>
      <c r="O5901" s="403">
        <v>1080</v>
      </c>
      <c r="P5901" t="str">
        <f t="shared" si="737"/>
        <v>50fps 1080p - 1080p</v>
      </c>
      <c r="Q5901">
        <f t="shared" si="738"/>
        <v>26</v>
      </c>
      <c r="R5901" t="str">
        <f t="shared" si="739"/>
        <v/>
      </c>
      <c r="S5901" t="str">
        <f t="shared" si="740"/>
        <v/>
      </c>
      <c r="T5901" s="403" t="str">
        <f t="shared" si="741"/>
        <v>NDP-5502-Z30</v>
      </c>
      <c r="U5901" s="403">
        <f t="shared" si="742"/>
        <v>1</v>
      </c>
      <c r="V5901" s="403" t="str">
        <f t="shared" si="743"/>
        <v>CPP_7_3</v>
      </c>
    </row>
    <row r="5902" spans="1:22">
      <c r="A5902" t="str">
        <f t="shared" si="736"/>
        <v>NDP-5502-Z30</v>
      </c>
      <c r="B5902" s="403" t="s">
        <v>1430</v>
      </c>
      <c r="C5902" s="403" t="s">
        <v>582</v>
      </c>
      <c r="D5902" s="403" t="s">
        <v>1294</v>
      </c>
      <c r="E5902" s="403" t="s">
        <v>778</v>
      </c>
      <c r="F5902" s="403" t="s">
        <v>1290</v>
      </c>
      <c r="G5902" s="403" t="s">
        <v>1466</v>
      </c>
      <c r="H5902" s="403" t="s">
        <v>1276</v>
      </c>
      <c r="I5902" s="403">
        <v>1</v>
      </c>
      <c r="J5902" s="403" t="s">
        <v>110</v>
      </c>
      <c r="K5902" s="403">
        <v>1920</v>
      </c>
      <c r="L5902" s="403">
        <v>1080</v>
      </c>
      <c r="M5902" s="403" t="s">
        <v>1289</v>
      </c>
      <c r="N5902" s="403">
        <v>1280</v>
      </c>
      <c r="O5902" s="403">
        <v>720</v>
      </c>
      <c r="P5902" t="str">
        <f t="shared" si="737"/>
        <v>50fps 1080p - 720p full frame rate</v>
      </c>
      <c r="Q5902">
        <f t="shared" si="738"/>
        <v>26</v>
      </c>
      <c r="R5902" t="str">
        <f t="shared" si="739"/>
        <v/>
      </c>
      <c r="S5902" t="str">
        <f t="shared" si="740"/>
        <v/>
      </c>
      <c r="T5902" s="403" t="str">
        <f t="shared" si="741"/>
        <v>NDP-5502-Z30</v>
      </c>
      <c r="U5902" s="403">
        <f t="shared" si="742"/>
        <v>1</v>
      </c>
      <c r="V5902" s="403" t="str">
        <f t="shared" si="743"/>
        <v>CPP_7_3</v>
      </c>
    </row>
    <row r="5903" spans="1:22">
      <c r="A5903" t="str">
        <f t="shared" si="736"/>
        <v>NDP-5502-Z30</v>
      </c>
      <c r="B5903" s="403" t="s">
        <v>1430</v>
      </c>
      <c r="C5903" s="403" t="s">
        <v>582</v>
      </c>
      <c r="D5903" s="403" t="s">
        <v>1294</v>
      </c>
      <c r="E5903" s="403" t="s">
        <v>778</v>
      </c>
      <c r="F5903" s="403" t="s">
        <v>1290</v>
      </c>
      <c r="G5903" s="403" t="s">
        <v>1466</v>
      </c>
      <c r="H5903" s="403" t="s">
        <v>1276</v>
      </c>
      <c r="I5903" s="403">
        <v>1</v>
      </c>
      <c r="J5903" s="403" t="s">
        <v>110</v>
      </c>
      <c r="K5903" s="403">
        <v>1920</v>
      </c>
      <c r="L5903" s="403">
        <v>1080</v>
      </c>
      <c r="M5903" s="403" t="s">
        <v>1285</v>
      </c>
      <c r="N5903" s="403">
        <v>1280</v>
      </c>
      <c r="O5903" s="403">
        <v>1024</v>
      </c>
      <c r="P5903" t="str">
        <f t="shared" si="737"/>
        <v>50fps 1080p - 1280x1024 5:4 (cropped)</v>
      </c>
      <c r="Q5903">
        <f t="shared" si="738"/>
        <v>26</v>
      </c>
      <c r="R5903" t="str">
        <f t="shared" si="739"/>
        <v/>
      </c>
      <c r="S5903" t="str">
        <f t="shared" si="740"/>
        <v/>
      </c>
      <c r="T5903" s="403" t="str">
        <f t="shared" si="741"/>
        <v>NDP-5502-Z30</v>
      </c>
      <c r="U5903" s="403">
        <f t="shared" si="742"/>
        <v>1</v>
      </c>
      <c r="V5903" s="403" t="str">
        <f t="shared" si="743"/>
        <v>CPP_7_3</v>
      </c>
    </row>
    <row r="5904" spans="1:22">
      <c r="A5904" t="str">
        <f t="shared" si="736"/>
        <v>NDP-5502-Z30</v>
      </c>
      <c r="B5904" s="403" t="s">
        <v>1430</v>
      </c>
      <c r="C5904" s="403" t="s">
        <v>582</v>
      </c>
      <c r="D5904" s="403" t="s">
        <v>1294</v>
      </c>
      <c r="E5904" s="403" t="s">
        <v>778</v>
      </c>
      <c r="F5904" s="403" t="s">
        <v>1290</v>
      </c>
      <c r="G5904" s="403" t="s">
        <v>1466</v>
      </c>
      <c r="H5904" s="403" t="s">
        <v>1276</v>
      </c>
      <c r="I5904" s="403">
        <v>1</v>
      </c>
      <c r="J5904" s="403" t="s">
        <v>110</v>
      </c>
      <c r="K5904" s="403">
        <v>1920</v>
      </c>
      <c r="L5904" s="403">
        <v>1080</v>
      </c>
      <c r="M5904" s="403" t="s">
        <v>1283</v>
      </c>
      <c r="N5904" s="403">
        <v>720</v>
      </c>
      <c r="O5904" s="403">
        <v>576</v>
      </c>
      <c r="P5904" t="str">
        <f t="shared" si="737"/>
        <v>50fps 1080p - SD 4CIF resolution 4:3 format (cropped)</v>
      </c>
      <c r="Q5904">
        <f t="shared" si="738"/>
        <v>26</v>
      </c>
      <c r="R5904" t="str">
        <f t="shared" si="739"/>
        <v/>
      </c>
      <c r="S5904" t="str">
        <f t="shared" si="740"/>
        <v/>
      </c>
      <c r="T5904" s="403" t="str">
        <f t="shared" si="741"/>
        <v>NDP-5502-Z30</v>
      </c>
      <c r="U5904" s="403">
        <f t="shared" si="742"/>
        <v>1</v>
      </c>
      <c r="V5904" s="403" t="str">
        <f t="shared" si="743"/>
        <v>CPP_7_3</v>
      </c>
    </row>
    <row r="5905" spans="1:22">
      <c r="A5905" t="str">
        <f t="shared" si="736"/>
        <v>NDP-5502-Z30</v>
      </c>
      <c r="B5905" s="403" t="s">
        <v>1430</v>
      </c>
      <c r="C5905" s="403" t="s">
        <v>582</v>
      </c>
      <c r="D5905" s="403" t="s">
        <v>1294</v>
      </c>
      <c r="E5905" s="403" t="s">
        <v>778</v>
      </c>
      <c r="F5905" s="403" t="s">
        <v>1290</v>
      </c>
      <c r="G5905" s="403" t="s">
        <v>1466</v>
      </c>
      <c r="H5905" s="403" t="s">
        <v>1276</v>
      </c>
      <c r="I5905" s="403">
        <v>1</v>
      </c>
      <c r="J5905" s="403" t="s">
        <v>110</v>
      </c>
      <c r="K5905" s="403">
        <v>1920</v>
      </c>
      <c r="L5905" s="403">
        <v>1080</v>
      </c>
      <c r="M5905" s="403" t="s">
        <v>1284</v>
      </c>
      <c r="N5905" s="403">
        <v>640</v>
      </c>
      <c r="O5905" s="403">
        <v>480</v>
      </c>
      <c r="P5905" t="str">
        <f t="shared" si="737"/>
        <v>50fps 1080p - SD VGA (cropped)</v>
      </c>
      <c r="Q5905">
        <f t="shared" si="738"/>
        <v>26</v>
      </c>
      <c r="R5905" t="str">
        <f t="shared" si="739"/>
        <v/>
      </c>
      <c r="S5905" t="str">
        <f t="shared" si="740"/>
        <v/>
      </c>
      <c r="T5905" s="403" t="str">
        <f t="shared" si="741"/>
        <v>NDP-5502-Z30</v>
      </c>
      <c r="U5905" s="403">
        <f t="shared" si="742"/>
        <v>1</v>
      </c>
      <c r="V5905" s="403" t="str">
        <f t="shared" si="743"/>
        <v>CPP_7_3</v>
      </c>
    </row>
    <row r="5906" spans="1:22">
      <c r="A5906" t="str">
        <f t="shared" si="736"/>
        <v>NDP-5502-Z30</v>
      </c>
      <c r="B5906" s="403" t="s">
        <v>1430</v>
      </c>
      <c r="C5906" s="403" t="s">
        <v>582</v>
      </c>
      <c r="D5906" s="403" t="s">
        <v>1294</v>
      </c>
      <c r="E5906" s="403" t="s">
        <v>778</v>
      </c>
      <c r="F5906" s="403" t="s">
        <v>1290</v>
      </c>
      <c r="G5906" s="403" t="s">
        <v>1466</v>
      </c>
      <c r="H5906" s="403" t="s">
        <v>1276</v>
      </c>
      <c r="I5906" s="403">
        <v>1</v>
      </c>
      <c r="J5906" s="403" t="s">
        <v>1289</v>
      </c>
      <c r="K5906" s="403">
        <v>1280</v>
      </c>
      <c r="L5906" s="403">
        <v>720</v>
      </c>
      <c r="M5906" s="403" t="s">
        <v>1289</v>
      </c>
      <c r="N5906" s="403">
        <v>1280</v>
      </c>
      <c r="O5906" s="403">
        <v>720</v>
      </c>
      <c r="P5906" t="str">
        <f t="shared" si="737"/>
        <v>50fps 720p full frame rate - 720p full frame rate</v>
      </c>
      <c r="Q5906">
        <f t="shared" si="738"/>
        <v>26</v>
      </c>
      <c r="R5906" t="str">
        <f t="shared" si="739"/>
        <v/>
      </c>
      <c r="S5906" t="str">
        <f t="shared" si="740"/>
        <v/>
      </c>
      <c r="T5906" s="403" t="str">
        <f t="shared" si="741"/>
        <v>NDP-5502-Z30</v>
      </c>
      <c r="U5906" s="403">
        <f t="shared" si="742"/>
        <v>1</v>
      </c>
      <c r="V5906" s="403" t="str">
        <f t="shared" si="743"/>
        <v>CPP_7_3</v>
      </c>
    </row>
    <row r="5907" spans="1:22">
      <c r="A5907" t="str">
        <f t="shared" si="736"/>
        <v>NDP-5502-Z30</v>
      </c>
      <c r="B5907" s="403" t="s">
        <v>1430</v>
      </c>
      <c r="C5907" s="403" t="s">
        <v>582</v>
      </c>
      <c r="D5907" s="403" t="s">
        <v>1294</v>
      </c>
      <c r="E5907" s="403" t="s">
        <v>778</v>
      </c>
      <c r="F5907" s="403" t="s">
        <v>1290</v>
      </c>
      <c r="G5907" s="403" t="s">
        <v>1466</v>
      </c>
      <c r="H5907" s="403" t="s">
        <v>1276</v>
      </c>
      <c r="I5907" s="403">
        <v>1</v>
      </c>
      <c r="J5907" s="403" t="s">
        <v>1289</v>
      </c>
      <c r="K5907" s="403">
        <v>1280</v>
      </c>
      <c r="L5907" s="403">
        <v>720</v>
      </c>
      <c r="M5907" s="403" t="s">
        <v>111</v>
      </c>
      <c r="N5907" s="403">
        <v>768</v>
      </c>
      <c r="O5907" s="403">
        <v>432</v>
      </c>
      <c r="P5907" t="str">
        <f t="shared" si="737"/>
        <v>50fps 720p full frame rate - SD</v>
      </c>
      <c r="Q5907">
        <f t="shared" si="738"/>
        <v>26</v>
      </c>
      <c r="R5907" t="str">
        <f t="shared" si="739"/>
        <v/>
      </c>
      <c r="S5907" t="str">
        <f t="shared" si="740"/>
        <v/>
      </c>
      <c r="T5907" s="403" t="str">
        <f t="shared" si="741"/>
        <v>NDP-5502-Z30</v>
      </c>
      <c r="U5907" s="403">
        <f t="shared" si="742"/>
        <v>1</v>
      </c>
      <c r="V5907" s="403" t="str">
        <f t="shared" si="743"/>
        <v>CPP_7_3</v>
      </c>
    </row>
    <row r="5908" spans="1:22">
      <c r="A5908" t="str">
        <f t="shared" si="736"/>
        <v>NDP-5502-Z30</v>
      </c>
      <c r="B5908" s="403" t="s">
        <v>1430</v>
      </c>
      <c r="C5908" s="403" t="s">
        <v>582</v>
      </c>
      <c r="D5908" s="403" t="s">
        <v>1294</v>
      </c>
      <c r="E5908" s="403" t="s">
        <v>778</v>
      </c>
      <c r="F5908" s="403" t="s">
        <v>1290</v>
      </c>
      <c r="G5908" s="403" t="s">
        <v>1466</v>
      </c>
      <c r="H5908" s="403" t="s">
        <v>1276</v>
      </c>
      <c r="I5908" s="403">
        <v>1</v>
      </c>
      <c r="J5908" s="403" t="s">
        <v>1289</v>
      </c>
      <c r="K5908" s="403">
        <v>1280</v>
      </c>
      <c r="L5908" s="403">
        <v>720</v>
      </c>
      <c r="M5908" s="403" t="s">
        <v>1283</v>
      </c>
      <c r="N5908" s="403">
        <v>720</v>
      </c>
      <c r="O5908" s="403">
        <v>576</v>
      </c>
      <c r="P5908" t="str">
        <f t="shared" si="737"/>
        <v>50fps 720p full frame rate - SD 4CIF resolution 4:3 format (cropped)</v>
      </c>
      <c r="Q5908">
        <f t="shared" si="738"/>
        <v>26</v>
      </c>
      <c r="R5908" t="str">
        <f t="shared" si="739"/>
        <v/>
      </c>
      <c r="S5908" t="str">
        <f t="shared" si="740"/>
        <v/>
      </c>
      <c r="T5908" s="403" t="str">
        <f t="shared" si="741"/>
        <v>NDP-5502-Z30</v>
      </c>
      <c r="U5908" s="403">
        <f t="shared" si="742"/>
        <v>1</v>
      </c>
      <c r="V5908" s="403" t="str">
        <f t="shared" si="743"/>
        <v>CPP_7_3</v>
      </c>
    </row>
    <row r="5909" spans="1:22">
      <c r="A5909" t="str">
        <f t="shared" si="736"/>
        <v>NDP-5502-Z30</v>
      </c>
      <c r="B5909" s="403" t="s">
        <v>1430</v>
      </c>
      <c r="C5909" s="403" t="s">
        <v>582</v>
      </c>
      <c r="D5909" s="403" t="s">
        <v>1294</v>
      </c>
      <c r="E5909" s="403" t="s">
        <v>778</v>
      </c>
      <c r="F5909" s="403" t="s">
        <v>1290</v>
      </c>
      <c r="G5909" s="403" t="s">
        <v>1466</v>
      </c>
      <c r="H5909" s="403" t="s">
        <v>1276</v>
      </c>
      <c r="I5909" s="403">
        <v>1</v>
      </c>
      <c r="J5909" s="403" t="s">
        <v>1289</v>
      </c>
      <c r="K5909" s="403">
        <v>1280</v>
      </c>
      <c r="L5909" s="403">
        <v>720</v>
      </c>
      <c r="M5909" s="403" t="s">
        <v>1284</v>
      </c>
      <c r="N5909" s="403">
        <v>640</v>
      </c>
      <c r="O5909" s="403">
        <v>480</v>
      </c>
      <c r="P5909" t="str">
        <f t="shared" si="737"/>
        <v>50fps 720p full frame rate - SD VGA (cropped)</v>
      </c>
      <c r="Q5909">
        <f t="shared" si="738"/>
        <v>26</v>
      </c>
      <c r="R5909" t="str">
        <f t="shared" si="739"/>
        <v/>
      </c>
      <c r="S5909" t="str">
        <f t="shared" si="740"/>
        <v/>
      </c>
      <c r="T5909" s="403" t="str">
        <f t="shared" si="741"/>
        <v>NDP-5502-Z30</v>
      </c>
      <c r="U5909" s="403">
        <f t="shared" si="742"/>
        <v>1</v>
      </c>
      <c r="V5909" s="403" t="str">
        <f t="shared" si="743"/>
        <v>CPP_7_3</v>
      </c>
    </row>
    <row r="5910" spans="1:22">
      <c r="A5910" t="str">
        <f t="shared" si="736"/>
        <v>NDP-5502-Z30</v>
      </c>
      <c r="B5910" s="403" t="s">
        <v>1430</v>
      </c>
      <c r="C5910" s="403" t="s">
        <v>582</v>
      </c>
      <c r="D5910" s="403" t="s">
        <v>1294</v>
      </c>
      <c r="E5910" s="403" t="s">
        <v>778</v>
      </c>
      <c r="F5910" s="403" t="s">
        <v>1290</v>
      </c>
      <c r="G5910" s="403" t="s">
        <v>1466</v>
      </c>
      <c r="H5910" s="403" t="s">
        <v>1281</v>
      </c>
      <c r="I5910" s="403">
        <v>1</v>
      </c>
      <c r="J5910" s="403" t="s">
        <v>110</v>
      </c>
      <c r="K5910" s="403">
        <v>1920</v>
      </c>
      <c r="L5910" s="403">
        <v>1080</v>
      </c>
      <c r="M5910" s="403" t="s">
        <v>111</v>
      </c>
      <c r="N5910" s="403">
        <v>768</v>
      </c>
      <c r="O5910" s="403">
        <v>432</v>
      </c>
      <c r="P5910" t="str">
        <f t="shared" si="737"/>
        <v>50fps 1080p - SD</v>
      </c>
      <c r="Q5910">
        <f t="shared" si="738"/>
        <v>26</v>
      </c>
      <c r="R5910" t="str">
        <f t="shared" si="739"/>
        <v/>
      </c>
      <c r="S5910" t="str">
        <f t="shared" si="740"/>
        <v/>
      </c>
      <c r="T5910" s="403" t="str">
        <f t="shared" si="741"/>
        <v>NDP-5502-Z30</v>
      </c>
      <c r="U5910" s="403">
        <f t="shared" si="742"/>
        <v>1</v>
      </c>
      <c r="V5910" s="403" t="str">
        <f t="shared" si="743"/>
        <v>CPP_7_3</v>
      </c>
    </row>
    <row r="5911" spans="1:22">
      <c r="A5911" t="str">
        <f t="shared" si="736"/>
        <v>NDP-5502-Z30</v>
      </c>
      <c r="B5911" s="403" t="s">
        <v>1430</v>
      </c>
      <c r="C5911" s="403" t="s">
        <v>582</v>
      </c>
      <c r="D5911" s="403" t="s">
        <v>1294</v>
      </c>
      <c r="E5911" s="403" t="s">
        <v>778</v>
      </c>
      <c r="F5911" s="403" t="s">
        <v>1290</v>
      </c>
      <c r="G5911" s="403" t="s">
        <v>1466</v>
      </c>
      <c r="H5911" s="403" t="s">
        <v>1281</v>
      </c>
      <c r="I5911" s="403">
        <v>1</v>
      </c>
      <c r="J5911" s="403" t="s">
        <v>110</v>
      </c>
      <c r="K5911" s="403">
        <v>1920</v>
      </c>
      <c r="L5911" s="403">
        <v>1080</v>
      </c>
      <c r="M5911" s="403" t="s">
        <v>1289</v>
      </c>
      <c r="N5911" s="403">
        <v>1280</v>
      </c>
      <c r="O5911" s="403">
        <v>720</v>
      </c>
      <c r="P5911" t="str">
        <f t="shared" si="737"/>
        <v>50fps 1080p - 720p full frame rate</v>
      </c>
      <c r="Q5911">
        <f t="shared" si="738"/>
        <v>26</v>
      </c>
      <c r="R5911" t="str">
        <f t="shared" si="739"/>
        <v/>
      </c>
      <c r="S5911" t="str">
        <f t="shared" si="740"/>
        <v/>
      </c>
      <c r="T5911" s="403" t="str">
        <f t="shared" si="741"/>
        <v>NDP-5502-Z30</v>
      </c>
      <c r="U5911" s="403">
        <f t="shared" si="742"/>
        <v>1</v>
      </c>
      <c r="V5911" s="403" t="str">
        <f t="shared" si="743"/>
        <v>CPP_7_3</v>
      </c>
    </row>
    <row r="5912" spans="1:22">
      <c r="A5912" t="str">
        <f t="shared" si="736"/>
        <v>NDP-5502-Z30</v>
      </c>
      <c r="B5912" s="403" t="s">
        <v>1430</v>
      </c>
      <c r="C5912" s="403" t="s">
        <v>582</v>
      </c>
      <c r="D5912" s="403" t="s">
        <v>1294</v>
      </c>
      <c r="E5912" s="403" t="s">
        <v>778</v>
      </c>
      <c r="F5912" s="403" t="s">
        <v>1290</v>
      </c>
      <c r="G5912" s="403" t="s">
        <v>1466</v>
      </c>
      <c r="H5912" s="403" t="s">
        <v>1281</v>
      </c>
      <c r="I5912" s="403">
        <v>1</v>
      </c>
      <c r="J5912" s="403" t="s">
        <v>110</v>
      </c>
      <c r="K5912" s="403">
        <v>1920</v>
      </c>
      <c r="L5912" s="403">
        <v>1080</v>
      </c>
      <c r="M5912" s="403" t="s">
        <v>1283</v>
      </c>
      <c r="N5912" s="403">
        <v>720</v>
      </c>
      <c r="O5912" s="403">
        <v>576</v>
      </c>
      <c r="P5912" t="str">
        <f t="shared" si="737"/>
        <v>50fps 1080p - SD 4CIF resolution 4:3 format (cropped)</v>
      </c>
      <c r="Q5912">
        <f t="shared" si="738"/>
        <v>26</v>
      </c>
      <c r="R5912" t="str">
        <f t="shared" si="739"/>
        <v/>
      </c>
      <c r="S5912" t="str">
        <f t="shared" si="740"/>
        <v/>
      </c>
      <c r="T5912" s="403" t="str">
        <f t="shared" si="741"/>
        <v>NDP-5502-Z30</v>
      </c>
      <c r="U5912" s="403">
        <f t="shared" si="742"/>
        <v>1</v>
      </c>
      <c r="V5912" s="403" t="str">
        <f t="shared" si="743"/>
        <v>CPP_7_3</v>
      </c>
    </row>
    <row r="5913" spans="1:22">
      <c r="A5913" t="str">
        <f t="shared" si="736"/>
        <v>NDP-5502-Z30</v>
      </c>
      <c r="B5913" s="403" t="s">
        <v>1430</v>
      </c>
      <c r="C5913" s="403" t="s">
        <v>582</v>
      </c>
      <c r="D5913" s="403" t="s">
        <v>1294</v>
      </c>
      <c r="E5913" s="403" t="s">
        <v>778</v>
      </c>
      <c r="F5913" s="403" t="s">
        <v>1290</v>
      </c>
      <c r="G5913" s="403" t="s">
        <v>1466</v>
      </c>
      <c r="H5913" s="403" t="s">
        <v>1281</v>
      </c>
      <c r="I5913" s="403">
        <v>1</v>
      </c>
      <c r="J5913" s="403" t="s">
        <v>110</v>
      </c>
      <c r="K5913" s="403">
        <v>1920</v>
      </c>
      <c r="L5913" s="403">
        <v>1080</v>
      </c>
      <c r="M5913" s="403" t="s">
        <v>1284</v>
      </c>
      <c r="N5913" s="403">
        <v>640</v>
      </c>
      <c r="O5913" s="403">
        <v>480</v>
      </c>
      <c r="P5913" t="str">
        <f t="shared" si="737"/>
        <v>50fps 1080p - SD VGA (cropped)</v>
      </c>
      <c r="Q5913">
        <f t="shared" si="738"/>
        <v>26</v>
      </c>
      <c r="R5913" t="str">
        <f t="shared" si="739"/>
        <v/>
      </c>
      <c r="S5913" t="str">
        <f t="shared" si="740"/>
        <v/>
      </c>
      <c r="T5913" s="403" t="str">
        <f t="shared" si="741"/>
        <v>NDP-5502-Z30</v>
      </c>
      <c r="U5913" s="403">
        <f t="shared" si="742"/>
        <v>1</v>
      </c>
      <c r="V5913" s="403" t="str">
        <f t="shared" si="743"/>
        <v>CPP_7_3</v>
      </c>
    </row>
    <row r="5914" spans="1:22">
      <c r="A5914" t="str">
        <f t="shared" si="736"/>
        <v>NDP-5502-Z30</v>
      </c>
      <c r="B5914" s="403" t="s">
        <v>1430</v>
      </c>
      <c r="C5914" s="403" t="s">
        <v>582</v>
      </c>
      <c r="D5914" s="403" t="s">
        <v>1294</v>
      </c>
      <c r="E5914" s="403" t="s">
        <v>778</v>
      </c>
      <c r="F5914" s="403" t="s">
        <v>1290</v>
      </c>
      <c r="G5914" s="403" t="s">
        <v>1466</v>
      </c>
      <c r="H5914" s="403" t="s">
        <v>1281</v>
      </c>
      <c r="I5914" s="403">
        <v>1</v>
      </c>
      <c r="J5914" s="403" t="s">
        <v>1289</v>
      </c>
      <c r="K5914" s="403">
        <v>1280</v>
      </c>
      <c r="L5914" s="403">
        <v>720</v>
      </c>
      <c r="M5914" s="403" t="s">
        <v>1289</v>
      </c>
      <c r="N5914" s="403">
        <v>1280</v>
      </c>
      <c r="O5914" s="403">
        <v>720</v>
      </c>
      <c r="P5914" t="str">
        <f t="shared" si="737"/>
        <v>50fps 720p full frame rate - 720p full frame rate</v>
      </c>
      <c r="Q5914">
        <f t="shared" si="738"/>
        <v>26</v>
      </c>
      <c r="R5914" t="str">
        <f t="shared" si="739"/>
        <v/>
      </c>
      <c r="S5914" t="str">
        <f t="shared" si="740"/>
        <v/>
      </c>
      <c r="T5914" s="403" t="str">
        <f t="shared" si="741"/>
        <v>NDP-5502-Z30</v>
      </c>
      <c r="U5914" s="403">
        <f t="shared" si="742"/>
        <v>1</v>
      </c>
      <c r="V5914" s="403" t="str">
        <f t="shared" si="743"/>
        <v>CPP_7_3</v>
      </c>
    </row>
    <row r="5915" spans="1:22">
      <c r="A5915" t="str">
        <f t="shared" si="736"/>
        <v>NDP-5502-Z30</v>
      </c>
      <c r="B5915" s="403" t="s">
        <v>1430</v>
      </c>
      <c r="C5915" s="403" t="s">
        <v>582</v>
      </c>
      <c r="D5915" s="403" t="s">
        <v>1294</v>
      </c>
      <c r="E5915" s="403" t="s">
        <v>778</v>
      </c>
      <c r="F5915" s="403" t="s">
        <v>1290</v>
      </c>
      <c r="G5915" s="403" t="s">
        <v>1466</v>
      </c>
      <c r="H5915" s="403" t="s">
        <v>1281</v>
      </c>
      <c r="I5915" s="403">
        <v>1</v>
      </c>
      <c r="J5915" s="403" t="s">
        <v>1289</v>
      </c>
      <c r="K5915" s="403">
        <v>1280</v>
      </c>
      <c r="L5915" s="403">
        <v>720</v>
      </c>
      <c r="M5915" s="403" t="s">
        <v>111</v>
      </c>
      <c r="N5915" s="403">
        <v>768</v>
      </c>
      <c r="O5915" s="403">
        <v>432</v>
      </c>
      <c r="P5915" t="str">
        <f t="shared" si="737"/>
        <v>50fps 720p full frame rate - SD</v>
      </c>
      <c r="Q5915">
        <f t="shared" si="738"/>
        <v>26</v>
      </c>
      <c r="R5915" t="str">
        <f t="shared" si="739"/>
        <v/>
      </c>
      <c r="S5915" t="str">
        <f t="shared" si="740"/>
        <v/>
      </c>
      <c r="T5915" s="403" t="str">
        <f t="shared" si="741"/>
        <v>NDP-5502-Z30</v>
      </c>
      <c r="U5915" s="403">
        <f t="shared" si="742"/>
        <v>1</v>
      </c>
      <c r="V5915" s="403" t="str">
        <f t="shared" si="743"/>
        <v>CPP_7_3</v>
      </c>
    </row>
    <row r="5916" spans="1:22">
      <c r="A5916" t="str">
        <f t="shared" si="736"/>
        <v>NDP-5502-Z30</v>
      </c>
      <c r="B5916" s="403" t="s">
        <v>1430</v>
      </c>
      <c r="C5916" s="403" t="s">
        <v>582</v>
      </c>
      <c r="D5916" s="403" t="s">
        <v>1294</v>
      </c>
      <c r="E5916" s="403" t="s">
        <v>778</v>
      </c>
      <c r="F5916" s="403" t="s">
        <v>1290</v>
      </c>
      <c r="G5916" s="403" t="s">
        <v>1466</v>
      </c>
      <c r="H5916" s="403" t="s">
        <v>1281</v>
      </c>
      <c r="I5916" s="403">
        <v>1</v>
      </c>
      <c r="J5916" s="403" t="s">
        <v>1289</v>
      </c>
      <c r="K5916" s="403">
        <v>1280</v>
      </c>
      <c r="L5916" s="403">
        <v>720</v>
      </c>
      <c r="M5916" s="403" t="s">
        <v>1283</v>
      </c>
      <c r="N5916" s="403">
        <v>720</v>
      </c>
      <c r="O5916" s="403">
        <v>576</v>
      </c>
      <c r="P5916" t="str">
        <f t="shared" si="737"/>
        <v>50fps 720p full frame rate - SD 4CIF resolution 4:3 format (cropped)</v>
      </c>
      <c r="Q5916">
        <f t="shared" si="738"/>
        <v>26</v>
      </c>
      <c r="R5916" t="str">
        <f t="shared" si="739"/>
        <v/>
      </c>
      <c r="S5916" t="str">
        <f t="shared" si="740"/>
        <v/>
      </c>
      <c r="T5916" s="403" t="str">
        <f t="shared" si="741"/>
        <v>NDP-5502-Z30</v>
      </c>
      <c r="U5916" s="403">
        <f t="shared" si="742"/>
        <v>1</v>
      </c>
      <c r="V5916" s="403" t="str">
        <f t="shared" si="743"/>
        <v>CPP_7_3</v>
      </c>
    </row>
    <row r="5917" spans="1:22">
      <c r="A5917" t="str">
        <f t="shared" si="736"/>
        <v>NDP-5502-Z30</v>
      </c>
      <c r="B5917" s="403" t="s">
        <v>1430</v>
      </c>
      <c r="C5917" s="403" t="s">
        <v>582</v>
      </c>
      <c r="D5917" s="403" t="s">
        <v>1294</v>
      </c>
      <c r="E5917" s="403" t="s">
        <v>778</v>
      </c>
      <c r="F5917" s="403" t="s">
        <v>1290</v>
      </c>
      <c r="G5917" s="403" t="s">
        <v>1466</v>
      </c>
      <c r="H5917" s="403" t="s">
        <v>1281</v>
      </c>
      <c r="I5917" s="403">
        <v>1</v>
      </c>
      <c r="J5917" s="403" t="s">
        <v>1289</v>
      </c>
      <c r="K5917" s="403">
        <v>1280</v>
      </c>
      <c r="L5917" s="403">
        <v>720</v>
      </c>
      <c r="M5917" s="403" t="s">
        <v>1284</v>
      </c>
      <c r="N5917" s="403">
        <v>640</v>
      </c>
      <c r="O5917" s="403">
        <v>480</v>
      </c>
      <c r="P5917" t="str">
        <f t="shared" si="737"/>
        <v>50fps 720p full frame rate - SD VGA (cropped)</v>
      </c>
      <c r="Q5917">
        <f t="shared" si="738"/>
        <v>26</v>
      </c>
      <c r="R5917" t="str">
        <f t="shared" si="739"/>
        <v/>
      </c>
      <c r="S5917" t="str">
        <f t="shared" si="740"/>
        <v/>
      </c>
      <c r="T5917" s="403" t="str">
        <f t="shared" si="741"/>
        <v>NDP-5502-Z30</v>
      </c>
      <c r="U5917" s="403">
        <f t="shared" si="742"/>
        <v>1</v>
      </c>
      <c r="V5917" s="403" t="str">
        <f t="shared" si="743"/>
        <v>CPP_7_3</v>
      </c>
    </row>
    <row r="5918" spans="1:22">
      <c r="A5918" t="str">
        <f t="shared" si="736"/>
        <v>NDP-5502-Z30</v>
      </c>
      <c r="B5918" s="403" t="s">
        <v>1430</v>
      </c>
      <c r="C5918" s="403" t="s">
        <v>582</v>
      </c>
      <c r="D5918" s="403" t="s">
        <v>1294</v>
      </c>
      <c r="E5918" s="403" t="s">
        <v>778</v>
      </c>
      <c r="F5918" s="403" t="s">
        <v>1290</v>
      </c>
      <c r="G5918" s="403" t="s">
        <v>1466</v>
      </c>
      <c r="H5918" s="403" t="s">
        <v>1282</v>
      </c>
      <c r="I5918" s="403">
        <v>1</v>
      </c>
      <c r="J5918" s="403" t="s">
        <v>110</v>
      </c>
      <c r="K5918" s="403">
        <v>1920</v>
      </c>
      <c r="L5918" s="403">
        <v>1080</v>
      </c>
      <c r="M5918" s="403" t="s">
        <v>111</v>
      </c>
      <c r="N5918" s="403">
        <v>768</v>
      </c>
      <c r="O5918" s="403">
        <v>432</v>
      </c>
      <c r="P5918" t="str">
        <f t="shared" si="737"/>
        <v>50fps 1080p - SD</v>
      </c>
      <c r="Q5918">
        <f t="shared" si="738"/>
        <v>26</v>
      </c>
      <c r="R5918" t="str">
        <f t="shared" si="739"/>
        <v/>
      </c>
      <c r="S5918" t="str">
        <f t="shared" si="740"/>
        <v/>
      </c>
      <c r="T5918" s="403" t="str">
        <f t="shared" si="741"/>
        <v>NDP-5502-Z30</v>
      </c>
      <c r="U5918" s="403">
        <f t="shared" si="742"/>
        <v>1</v>
      </c>
      <c r="V5918" s="403" t="str">
        <f t="shared" si="743"/>
        <v>CPP_7_3</v>
      </c>
    </row>
    <row r="5919" spans="1:22">
      <c r="A5919" t="str">
        <f t="shared" si="736"/>
        <v>NDP-5502-Z30</v>
      </c>
      <c r="B5919" s="403" t="s">
        <v>1430</v>
      </c>
      <c r="C5919" s="403" t="s">
        <v>582</v>
      </c>
      <c r="D5919" s="403" t="s">
        <v>1294</v>
      </c>
      <c r="E5919" s="403" t="s">
        <v>778</v>
      </c>
      <c r="F5919" s="403" t="s">
        <v>1290</v>
      </c>
      <c r="G5919" s="403" t="s">
        <v>1466</v>
      </c>
      <c r="H5919" s="403" t="s">
        <v>1282</v>
      </c>
      <c r="I5919" s="403">
        <v>1</v>
      </c>
      <c r="J5919" s="403" t="s">
        <v>110</v>
      </c>
      <c r="K5919" s="403">
        <v>1920</v>
      </c>
      <c r="L5919" s="403">
        <v>1080</v>
      </c>
      <c r="M5919" s="403" t="s">
        <v>110</v>
      </c>
      <c r="N5919" s="403">
        <v>1920</v>
      </c>
      <c r="O5919" s="403">
        <v>1080</v>
      </c>
      <c r="P5919" t="str">
        <f t="shared" si="737"/>
        <v>50fps 1080p - 1080p</v>
      </c>
      <c r="Q5919">
        <f t="shared" si="738"/>
        <v>26</v>
      </c>
      <c r="R5919" t="str">
        <f t="shared" si="739"/>
        <v/>
      </c>
      <c r="S5919" t="str">
        <f t="shared" si="740"/>
        <v/>
      </c>
      <c r="T5919" s="403" t="str">
        <f t="shared" si="741"/>
        <v>NDP-5502-Z30</v>
      </c>
      <c r="U5919" s="403">
        <f t="shared" si="742"/>
        <v>1</v>
      </c>
      <c r="V5919" s="403" t="str">
        <f t="shared" si="743"/>
        <v>CPP_7_3</v>
      </c>
    </row>
    <row r="5920" spans="1:22">
      <c r="A5920" t="str">
        <f t="shared" si="736"/>
        <v>NDP-5502-Z30</v>
      </c>
      <c r="B5920" s="403" t="s">
        <v>1430</v>
      </c>
      <c r="C5920" s="403" t="s">
        <v>582</v>
      </c>
      <c r="D5920" s="403" t="s">
        <v>1294</v>
      </c>
      <c r="E5920" s="403" t="s">
        <v>778</v>
      </c>
      <c r="F5920" s="403" t="s">
        <v>1290</v>
      </c>
      <c r="G5920" s="403" t="s">
        <v>1466</v>
      </c>
      <c r="H5920" s="403" t="s">
        <v>1282</v>
      </c>
      <c r="I5920" s="403">
        <v>1</v>
      </c>
      <c r="J5920" s="403" t="s">
        <v>110</v>
      </c>
      <c r="K5920" s="403">
        <v>1920</v>
      </c>
      <c r="L5920" s="403">
        <v>1080</v>
      </c>
      <c r="M5920" s="403" t="s">
        <v>1289</v>
      </c>
      <c r="N5920" s="403">
        <v>1280</v>
      </c>
      <c r="O5920" s="403">
        <v>720</v>
      </c>
      <c r="P5920" t="str">
        <f t="shared" si="737"/>
        <v>50fps 1080p - 720p full frame rate</v>
      </c>
      <c r="Q5920">
        <f t="shared" si="738"/>
        <v>26</v>
      </c>
      <c r="R5920" t="str">
        <f t="shared" si="739"/>
        <v/>
      </c>
      <c r="S5920" t="str">
        <f t="shared" si="740"/>
        <v/>
      </c>
      <c r="T5920" s="403" t="str">
        <f t="shared" si="741"/>
        <v>NDP-5502-Z30</v>
      </c>
      <c r="U5920" s="403">
        <f t="shared" si="742"/>
        <v>1</v>
      </c>
      <c r="V5920" s="403" t="str">
        <f t="shared" si="743"/>
        <v>CPP_7_3</v>
      </c>
    </row>
    <row r="5921" spans="1:22">
      <c r="A5921" t="str">
        <f t="shared" si="736"/>
        <v>NDP-5502-Z30</v>
      </c>
      <c r="B5921" s="403" t="s">
        <v>1430</v>
      </c>
      <c r="C5921" s="403" t="s">
        <v>582</v>
      </c>
      <c r="D5921" s="403" t="s">
        <v>1294</v>
      </c>
      <c r="E5921" s="403" t="s">
        <v>778</v>
      </c>
      <c r="F5921" s="403" t="s">
        <v>1290</v>
      </c>
      <c r="G5921" s="403" t="s">
        <v>1466</v>
      </c>
      <c r="H5921" s="403" t="s">
        <v>1282</v>
      </c>
      <c r="I5921" s="403">
        <v>1</v>
      </c>
      <c r="J5921" s="403" t="s">
        <v>110</v>
      </c>
      <c r="K5921" s="403">
        <v>1920</v>
      </c>
      <c r="L5921" s="403">
        <v>1080</v>
      </c>
      <c r="M5921" s="403" t="s">
        <v>1285</v>
      </c>
      <c r="N5921" s="403">
        <v>1280</v>
      </c>
      <c r="O5921" s="403">
        <v>1024</v>
      </c>
      <c r="P5921" t="str">
        <f t="shared" si="737"/>
        <v>50fps 1080p - 1280x1024 5:4 (cropped)</v>
      </c>
      <c r="Q5921">
        <f t="shared" si="738"/>
        <v>26</v>
      </c>
      <c r="R5921" t="str">
        <f t="shared" si="739"/>
        <v/>
      </c>
      <c r="S5921" t="str">
        <f t="shared" si="740"/>
        <v/>
      </c>
      <c r="T5921" s="403" t="str">
        <f t="shared" si="741"/>
        <v>NDP-5502-Z30</v>
      </c>
      <c r="U5921" s="403">
        <f t="shared" si="742"/>
        <v>1</v>
      </c>
      <c r="V5921" s="403" t="str">
        <f t="shared" si="743"/>
        <v>CPP_7_3</v>
      </c>
    </row>
    <row r="5922" spans="1:22">
      <c r="A5922" t="str">
        <f t="shared" si="736"/>
        <v>NDP-5502-Z30</v>
      </c>
      <c r="B5922" s="403" t="s">
        <v>1430</v>
      </c>
      <c r="C5922" s="403" t="s">
        <v>582</v>
      </c>
      <c r="D5922" s="403" t="s">
        <v>1294</v>
      </c>
      <c r="E5922" s="403" t="s">
        <v>778</v>
      </c>
      <c r="F5922" s="403" t="s">
        <v>1290</v>
      </c>
      <c r="G5922" s="403" t="s">
        <v>1466</v>
      </c>
      <c r="H5922" s="403" t="s">
        <v>1282</v>
      </c>
      <c r="I5922" s="403">
        <v>1</v>
      </c>
      <c r="J5922" s="403" t="s">
        <v>110</v>
      </c>
      <c r="K5922" s="403">
        <v>1920</v>
      </c>
      <c r="L5922" s="403">
        <v>1080</v>
      </c>
      <c r="M5922" s="403" t="s">
        <v>1283</v>
      </c>
      <c r="N5922" s="403">
        <v>720</v>
      </c>
      <c r="O5922" s="403">
        <v>576</v>
      </c>
      <c r="P5922" t="str">
        <f t="shared" si="737"/>
        <v>50fps 1080p - SD 4CIF resolution 4:3 format (cropped)</v>
      </c>
      <c r="Q5922">
        <f t="shared" si="738"/>
        <v>26</v>
      </c>
      <c r="R5922" t="str">
        <f t="shared" si="739"/>
        <v/>
      </c>
      <c r="S5922" t="str">
        <f t="shared" si="740"/>
        <v/>
      </c>
      <c r="T5922" s="403" t="str">
        <f t="shared" si="741"/>
        <v>NDP-5502-Z30</v>
      </c>
      <c r="U5922" s="403">
        <f t="shared" si="742"/>
        <v>1</v>
      </c>
      <c r="V5922" s="403" t="str">
        <f t="shared" si="743"/>
        <v>CPP_7_3</v>
      </c>
    </row>
    <row r="5923" spans="1:22">
      <c r="A5923" t="str">
        <f t="shared" si="736"/>
        <v>NDP-5502-Z30</v>
      </c>
      <c r="B5923" s="403" t="s">
        <v>1430</v>
      </c>
      <c r="C5923" s="403" t="s">
        <v>582</v>
      </c>
      <c r="D5923" s="403" t="s">
        <v>1294</v>
      </c>
      <c r="E5923" s="403" t="s">
        <v>778</v>
      </c>
      <c r="F5923" s="403" t="s">
        <v>1290</v>
      </c>
      <c r="G5923" s="403" t="s">
        <v>1466</v>
      </c>
      <c r="H5923" s="403" t="s">
        <v>1282</v>
      </c>
      <c r="I5923" s="403">
        <v>1</v>
      </c>
      <c r="J5923" s="403" t="s">
        <v>110</v>
      </c>
      <c r="K5923" s="403">
        <v>1920</v>
      </c>
      <c r="L5923" s="403">
        <v>1080</v>
      </c>
      <c r="M5923" s="403" t="s">
        <v>1284</v>
      </c>
      <c r="N5923" s="403">
        <v>640</v>
      </c>
      <c r="O5923" s="403">
        <v>480</v>
      </c>
      <c r="P5923" t="str">
        <f t="shared" si="737"/>
        <v>50fps 1080p - SD VGA (cropped)</v>
      </c>
      <c r="Q5923">
        <f t="shared" si="738"/>
        <v>26</v>
      </c>
      <c r="R5923" t="str">
        <f t="shared" si="739"/>
        <v/>
      </c>
      <c r="S5923" t="str">
        <f t="shared" si="740"/>
        <v/>
      </c>
      <c r="T5923" s="403" t="str">
        <f t="shared" si="741"/>
        <v>NDP-5502-Z30</v>
      </c>
      <c r="U5923" s="403">
        <f t="shared" si="742"/>
        <v>1</v>
      </c>
      <c r="V5923" s="403" t="str">
        <f t="shared" si="743"/>
        <v>CPP_7_3</v>
      </c>
    </row>
    <row r="5924" spans="1:22">
      <c r="A5924" t="str">
        <f t="shared" si="736"/>
        <v>NDP-5502-Z30</v>
      </c>
      <c r="B5924" s="403" t="s">
        <v>1430</v>
      </c>
      <c r="C5924" s="403" t="s">
        <v>582</v>
      </c>
      <c r="D5924" s="403" t="s">
        <v>1294</v>
      </c>
      <c r="E5924" s="403" t="s">
        <v>778</v>
      </c>
      <c r="F5924" s="403" t="s">
        <v>1290</v>
      </c>
      <c r="G5924" s="403" t="s">
        <v>1466</v>
      </c>
      <c r="H5924" s="403" t="s">
        <v>1282</v>
      </c>
      <c r="I5924" s="403">
        <v>1</v>
      </c>
      <c r="J5924" s="403" t="s">
        <v>1289</v>
      </c>
      <c r="K5924" s="403">
        <v>1280</v>
      </c>
      <c r="L5924" s="403">
        <v>720</v>
      </c>
      <c r="M5924" s="403" t="s">
        <v>1289</v>
      </c>
      <c r="N5924" s="403">
        <v>1280</v>
      </c>
      <c r="O5924" s="403">
        <v>720</v>
      </c>
      <c r="P5924" t="str">
        <f t="shared" si="737"/>
        <v>50fps 720p full frame rate - 720p full frame rate</v>
      </c>
      <c r="Q5924">
        <f t="shared" si="738"/>
        <v>26</v>
      </c>
      <c r="R5924" t="str">
        <f t="shared" si="739"/>
        <v/>
      </c>
      <c r="S5924" t="str">
        <f t="shared" si="740"/>
        <v/>
      </c>
      <c r="T5924" s="403" t="str">
        <f t="shared" si="741"/>
        <v>NDP-5502-Z30</v>
      </c>
      <c r="U5924" s="403">
        <f t="shared" si="742"/>
        <v>1</v>
      </c>
      <c r="V5924" s="403" t="str">
        <f t="shared" si="743"/>
        <v>CPP_7_3</v>
      </c>
    </row>
    <row r="5925" spans="1:22">
      <c r="A5925" t="str">
        <f t="shared" si="736"/>
        <v>NDP-5502-Z30</v>
      </c>
      <c r="B5925" s="403" t="s">
        <v>1430</v>
      </c>
      <c r="C5925" s="403" t="s">
        <v>582</v>
      </c>
      <c r="D5925" s="403" t="s">
        <v>1294</v>
      </c>
      <c r="E5925" s="403" t="s">
        <v>778</v>
      </c>
      <c r="F5925" s="403" t="s">
        <v>1290</v>
      </c>
      <c r="G5925" s="403" t="s">
        <v>1466</v>
      </c>
      <c r="H5925" s="403" t="s">
        <v>1282</v>
      </c>
      <c r="I5925" s="403">
        <v>1</v>
      </c>
      <c r="J5925" s="403" t="s">
        <v>1289</v>
      </c>
      <c r="K5925" s="403">
        <v>1280</v>
      </c>
      <c r="L5925" s="403">
        <v>720</v>
      </c>
      <c r="M5925" s="403" t="s">
        <v>111</v>
      </c>
      <c r="N5925" s="403">
        <v>768</v>
      </c>
      <c r="O5925" s="403">
        <v>432</v>
      </c>
      <c r="P5925" t="str">
        <f t="shared" si="737"/>
        <v>50fps 720p full frame rate - SD</v>
      </c>
      <c r="Q5925">
        <f t="shared" si="738"/>
        <v>26</v>
      </c>
      <c r="R5925" t="str">
        <f t="shared" si="739"/>
        <v/>
      </c>
      <c r="S5925" t="str">
        <f t="shared" si="740"/>
        <v/>
      </c>
      <c r="T5925" s="403" t="str">
        <f t="shared" si="741"/>
        <v>NDP-5502-Z30</v>
      </c>
      <c r="U5925" s="403">
        <f t="shared" si="742"/>
        <v>1</v>
      </c>
      <c r="V5925" s="403" t="str">
        <f t="shared" si="743"/>
        <v>CPP_7_3</v>
      </c>
    </row>
    <row r="5926" spans="1:22">
      <c r="A5926" t="str">
        <f t="shared" si="736"/>
        <v>NDP-5502-Z30</v>
      </c>
      <c r="B5926" s="403" t="s">
        <v>1430</v>
      </c>
      <c r="C5926" s="403" t="s">
        <v>582</v>
      </c>
      <c r="D5926" s="403" t="s">
        <v>1294</v>
      </c>
      <c r="E5926" s="403" t="s">
        <v>778</v>
      </c>
      <c r="F5926" s="403" t="s">
        <v>1290</v>
      </c>
      <c r="G5926" s="403" t="s">
        <v>1466</v>
      </c>
      <c r="H5926" s="403" t="s">
        <v>1282</v>
      </c>
      <c r="I5926" s="403">
        <v>1</v>
      </c>
      <c r="J5926" s="403" t="s">
        <v>1289</v>
      </c>
      <c r="K5926" s="403">
        <v>1280</v>
      </c>
      <c r="L5926" s="403">
        <v>720</v>
      </c>
      <c r="M5926" s="403" t="s">
        <v>1283</v>
      </c>
      <c r="N5926" s="403">
        <v>720</v>
      </c>
      <c r="O5926" s="403">
        <v>576</v>
      </c>
      <c r="P5926" t="str">
        <f t="shared" si="737"/>
        <v>50fps 720p full frame rate - SD 4CIF resolution 4:3 format (cropped)</v>
      </c>
      <c r="Q5926">
        <f t="shared" si="738"/>
        <v>26</v>
      </c>
      <c r="R5926" t="str">
        <f t="shared" si="739"/>
        <v/>
      </c>
      <c r="S5926" t="str">
        <f t="shared" si="740"/>
        <v/>
      </c>
      <c r="T5926" s="403" t="str">
        <f t="shared" si="741"/>
        <v>NDP-5502-Z30</v>
      </c>
      <c r="U5926" s="403">
        <f t="shared" si="742"/>
        <v>1</v>
      </c>
      <c r="V5926" s="403" t="str">
        <f t="shared" si="743"/>
        <v>CPP_7_3</v>
      </c>
    </row>
    <row r="5927" spans="1:22">
      <c r="A5927" t="str">
        <f t="shared" si="736"/>
        <v>NDP-5502-Z30</v>
      </c>
      <c r="B5927" s="403" t="s">
        <v>1430</v>
      </c>
      <c r="C5927" s="403" t="s">
        <v>582</v>
      </c>
      <c r="D5927" s="403" t="s">
        <v>1294</v>
      </c>
      <c r="E5927" s="403" t="s">
        <v>778</v>
      </c>
      <c r="F5927" s="403" t="s">
        <v>1290</v>
      </c>
      <c r="G5927" s="403" t="s">
        <v>1466</v>
      </c>
      <c r="H5927" s="403" t="s">
        <v>1282</v>
      </c>
      <c r="I5927" s="403">
        <v>1</v>
      </c>
      <c r="J5927" s="403" t="s">
        <v>1289</v>
      </c>
      <c r="K5927" s="403">
        <v>1280</v>
      </c>
      <c r="L5927" s="403">
        <v>720</v>
      </c>
      <c r="M5927" s="403" t="s">
        <v>1284</v>
      </c>
      <c r="N5927" s="403">
        <v>640</v>
      </c>
      <c r="O5927" s="403">
        <v>480</v>
      </c>
      <c r="P5927" t="str">
        <f t="shared" si="737"/>
        <v>50fps 720p full frame rate - SD VGA (cropped)</v>
      </c>
      <c r="Q5927">
        <f t="shared" si="738"/>
        <v>26</v>
      </c>
      <c r="R5927" t="str">
        <f t="shared" si="739"/>
        <v/>
      </c>
      <c r="S5927" t="str">
        <f t="shared" si="740"/>
        <v/>
      </c>
      <c r="T5927" s="403" t="str">
        <f t="shared" si="741"/>
        <v>NDP-5502-Z30</v>
      </c>
      <c r="U5927" s="403">
        <f t="shared" si="742"/>
        <v>1</v>
      </c>
      <c r="V5927" s="403" t="str">
        <f t="shared" si="743"/>
        <v>CPP_7_3</v>
      </c>
    </row>
    <row r="5928" spans="1:22">
      <c r="A5928" t="str">
        <f t="shared" si="736"/>
        <v>NDP-7512-Z30C</v>
      </c>
      <c r="B5928" s="403" t="s">
        <v>1431</v>
      </c>
      <c r="C5928" s="403" t="s">
        <v>582</v>
      </c>
      <c r="D5928" s="403" t="s">
        <v>1432</v>
      </c>
      <c r="E5928" s="403" t="s">
        <v>778</v>
      </c>
      <c r="F5928" s="403" t="s">
        <v>1303</v>
      </c>
      <c r="G5928" s="403" t="s">
        <v>1466</v>
      </c>
      <c r="H5928" s="403" t="s">
        <v>1276</v>
      </c>
      <c r="I5928" s="403">
        <v>1</v>
      </c>
      <c r="J5928" s="403" t="s">
        <v>1289</v>
      </c>
      <c r="K5928" s="403">
        <v>1280</v>
      </c>
      <c r="L5928" s="403">
        <v>720</v>
      </c>
      <c r="M5928" s="403" t="s">
        <v>1289</v>
      </c>
      <c r="N5928" s="403">
        <v>1280</v>
      </c>
      <c r="O5928" s="403">
        <v>720</v>
      </c>
      <c r="P5928" t="str">
        <f t="shared" si="737"/>
        <v>50fps 720p full frame rate - 720p full frame rate</v>
      </c>
      <c r="Q5928">
        <f t="shared" si="738"/>
        <v>27</v>
      </c>
      <c r="R5928">
        <f t="shared" si="739"/>
        <v>27</v>
      </c>
      <c r="S5928" t="str">
        <f t="shared" si="740"/>
        <v>AUTODOME IP starlight 7000i (NDP-7512-Z30C)</v>
      </c>
      <c r="T5928" s="403" t="str">
        <f t="shared" si="741"/>
        <v>NDP-7512-Z30C</v>
      </c>
      <c r="U5928" s="403">
        <f t="shared" si="742"/>
        <v>1</v>
      </c>
      <c r="V5928" s="403" t="str">
        <f t="shared" si="743"/>
        <v>CPP_7_3</v>
      </c>
    </row>
    <row r="5929" spans="1:22">
      <c r="A5929" t="str">
        <f t="shared" si="736"/>
        <v>NDP-7512-Z30C</v>
      </c>
      <c r="B5929" s="403" t="s">
        <v>1431</v>
      </c>
      <c r="C5929" s="403" t="s">
        <v>582</v>
      </c>
      <c r="D5929" s="403" t="s">
        <v>1432</v>
      </c>
      <c r="E5929" s="403" t="s">
        <v>778</v>
      </c>
      <c r="F5929" s="403" t="s">
        <v>1303</v>
      </c>
      <c r="G5929" s="403" t="s">
        <v>1466</v>
      </c>
      <c r="H5929" s="403" t="s">
        <v>1276</v>
      </c>
      <c r="I5929" s="403">
        <v>1</v>
      </c>
      <c r="J5929" s="403" t="s">
        <v>1289</v>
      </c>
      <c r="K5929" s="403">
        <v>1280</v>
      </c>
      <c r="L5929" s="403">
        <v>720</v>
      </c>
      <c r="M5929" s="403" t="s">
        <v>111</v>
      </c>
      <c r="N5929" s="403">
        <v>768</v>
      </c>
      <c r="O5929" s="403">
        <v>432</v>
      </c>
      <c r="P5929" t="str">
        <f t="shared" si="737"/>
        <v>50fps 720p full frame rate - SD</v>
      </c>
      <c r="Q5929">
        <f t="shared" si="738"/>
        <v>27</v>
      </c>
      <c r="R5929" t="str">
        <f t="shared" si="739"/>
        <v/>
      </c>
      <c r="S5929" t="str">
        <f t="shared" si="740"/>
        <v/>
      </c>
      <c r="T5929" s="403" t="str">
        <f t="shared" si="741"/>
        <v>NDP-7512-Z30C</v>
      </c>
      <c r="U5929" s="403">
        <f t="shared" si="742"/>
        <v>1</v>
      </c>
      <c r="V5929" s="403" t="str">
        <f t="shared" si="743"/>
        <v>CPP_7_3</v>
      </c>
    </row>
    <row r="5930" spans="1:22">
      <c r="A5930" t="str">
        <f t="shared" si="736"/>
        <v>NDP-7512-Z30C</v>
      </c>
      <c r="B5930" s="403" t="s">
        <v>1431</v>
      </c>
      <c r="C5930" s="403" t="s">
        <v>582</v>
      </c>
      <c r="D5930" s="403" t="s">
        <v>1432</v>
      </c>
      <c r="E5930" s="403" t="s">
        <v>778</v>
      </c>
      <c r="F5930" s="403" t="s">
        <v>1303</v>
      </c>
      <c r="G5930" s="403" t="s">
        <v>1466</v>
      </c>
      <c r="H5930" s="403" t="s">
        <v>1276</v>
      </c>
      <c r="I5930" s="403">
        <v>1</v>
      </c>
      <c r="J5930" s="403" t="s">
        <v>1289</v>
      </c>
      <c r="K5930" s="403">
        <v>1280</v>
      </c>
      <c r="L5930" s="403">
        <v>720</v>
      </c>
      <c r="M5930" s="403" t="s">
        <v>1283</v>
      </c>
      <c r="N5930" s="403">
        <v>720</v>
      </c>
      <c r="O5930" s="403">
        <v>576</v>
      </c>
      <c r="P5930" t="str">
        <f t="shared" si="737"/>
        <v>50fps 720p full frame rate - SD 4CIF resolution 4:3 format (cropped)</v>
      </c>
      <c r="Q5930">
        <f t="shared" si="738"/>
        <v>27</v>
      </c>
      <c r="R5930" t="str">
        <f t="shared" si="739"/>
        <v/>
      </c>
      <c r="S5930" t="str">
        <f t="shared" si="740"/>
        <v/>
      </c>
      <c r="T5930" s="403" t="str">
        <f t="shared" si="741"/>
        <v>NDP-7512-Z30C</v>
      </c>
      <c r="U5930" s="403">
        <f t="shared" si="742"/>
        <v>1</v>
      </c>
      <c r="V5930" s="403" t="str">
        <f t="shared" si="743"/>
        <v>CPP_7_3</v>
      </c>
    </row>
    <row r="5931" spans="1:22">
      <c r="A5931" t="str">
        <f t="shared" si="736"/>
        <v>NDP-7512-Z30C</v>
      </c>
      <c r="B5931" s="403" t="s">
        <v>1431</v>
      </c>
      <c r="C5931" s="403" t="s">
        <v>582</v>
      </c>
      <c r="D5931" s="403" t="s">
        <v>1432</v>
      </c>
      <c r="E5931" s="403" t="s">
        <v>778</v>
      </c>
      <c r="F5931" s="403" t="s">
        <v>1303</v>
      </c>
      <c r="G5931" s="403" t="s">
        <v>1466</v>
      </c>
      <c r="H5931" s="403" t="s">
        <v>1276</v>
      </c>
      <c r="I5931" s="403">
        <v>1</v>
      </c>
      <c r="J5931" s="403" t="s">
        <v>1289</v>
      </c>
      <c r="K5931" s="403">
        <v>1280</v>
      </c>
      <c r="L5931" s="403">
        <v>720</v>
      </c>
      <c r="M5931" s="403" t="s">
        <v>1284</v>
      </c>
      <c r="N5931" s="403">
        <v>640</v>
      </c>
      <c r="O5931" s="403">
        <v>480</v>
      </c>
      <c r="P5931" t="str">
        <f t="shared" si="737"/>
        <v>50fps 720p full frame rate - SD VGA (cropped)</v>
      </c>
      <c r="Q5931">
        <f t="shared" si="738"/>
        <v>27</v>
      </c>
      <c r="R5931" t="str">
        <f t="shared" si="739"/>
        <v/>
      </c>
      <c r="S5931" t="str">
        <f t="shared" si="740"/>
        <v/>
      </c>
      <c r="T5931" s="403" t="str">
        <f t="shared" si="741"/>
        <v>NDP-7512-Z30C</v>
      </c>
      <c r="U5931" s="403">
        <f t="shared" si="742"/>
        <v>1</v>
      </c>
      <c r="V5931" s="403" t="str">
        <f t="shared" si="743"/>
        <v>CPP_7_3</v>
      </c>
    </row>
    <row r="5932" spans="1:22">
      <c r="A5932" t="str">
        <f t="shared" si="736"/>
        <v>NDP-7512-Z30C</v>
      </c>
      <c r="B5932" s="403" t="s">
        <v>1431</v>
      </c>
      <c r="C5932" s="403" t="s">
        <v>582</v>
      </c>
      <c r="D5932" s="403" t="s">
        <v>1432</v>
      </c>
      <c r="E5932" s="403" t="s">
        <v>778</v>
      </c>
      <c r="F5932" s="403" t="s">
        <v>1303</v>
      </c>
      <c r="G5932" s="403" t="s">
        <v>1466</v>
      </c>
      <c r="H5932" s="403" t="s">
        <v>1281</v>
      </c>
      <c r="I5932" s="403">
        <v>1</v>
      </c>
      <c r="J5932" s="403" t="s">
        <v>1289</v>
      </c>
      <c r="K5932" s="403">
        <v>1280</v>
      </c>
      <c r="L5932" s="403">
        <v>720</v>
      </c>
      <c r="M5932" s="403" t="s">
        <v>1289</v>
      </c>
      <c r="N5932" s="403">
        <v>1280</v>
      </c>
      <c r="O5932" s="403">
        <v>720</v>
      </c>
      <c r="P5932" t="str">
        <f t="shared" si="737"/>
        <v>50fps 720p full frame rate - 720p full frame rate</v>
      </c>
      <c r="Q5932">
        <f t="shared" si="738"/>
        <v>27</v>
      </c>
      <c r="R5932" t="str">
        <f t="shared" si="739"/>
        <v/>
      </c>
      <c r="S5932" t="str">
        <f t="shared" si="740"/>
        <v/>
      </c>
      <c r="T5932" s="403" t="str">
        <f t="shared" si="741"/>
        <v>NDP-7512-Z30C</v>
      </c>
      <c r="U5932" s="403">
        <f t="shared" si="742"/>
        <v>1</v>
      </c>
      <c r="V5932" s="403" t="str">
        <f t="shared" si="743"/>
        <v>CPP_7_3</v>
      </c>
    </row>
    <row r="5933" spans="1:22">
      <c r="A5933" t="str">
        <f t="shared" si="736"/>
        <v>NDP-7512-Z30C</v>
      </c>
      <c r="B5933" s="403" t="s">
        <v>1431</v>
      </c>
      <c r="C5933" s="403" t="s">
        <v>582</v>
      </c>
      <c r="D5933" s="403" t="s">
        <v>1432</v>
      </c>
      <c r="E5933" s="403" t="s">
        <v>778</v>
      </c>
      <c r="F5933" s="403" t="s">
        <v>1303</v>
      </c>
      <c r="G5933" s="403" t="s">
        <v>1466</v>
      </c>
      <c r="H5933" s="403" t="s">
        <v>1281</v>
      </c>
      <c r="I5933" s="403">
        <v>1</v>
      </c>
      <c r="J5933" s="403" t="s">
        <v>1289</v>
      </c>
      <c r="K5933" s="403">
        <v>1280</v>
      </c>
      <c r="L5933" s="403">
        <v>720</v>
      </c>
      <c r="M5933" s="403" t="s">
        <v>111</v>
      </c>
      <c r="N5933" s="403">
        <v>768</v>
      </c>
      <c r="O5933" s="403">
        <v>432</v>
      </c>
      <c r="P5933" t="str">
        <f t="shared" si="737"/>
        <v>50fps 720p full frame rate - SD</v>
      </c>
      <c r="Q5933">
        <f t="shared" si="738"/>
        <v>27</v>
      </c>
      <c r="R5933" t="str">
        <f t="shared" si="739"/>
        <v/>
      </c>
      <c r="S5933" t="str">
        <f t="shared" si="740"/>
        <v/>
      </c>
      <c r="T5933" s="403" t="str">
        <f t="shared" si="741"/>
        <v>NDP-7512-Z30C</v>
      </c>
      <c r="U5933" s="403">
        <f t="shared" si="742"/>
        <v>1</v>
      </c>
      <c r="V5933" s="403" t="str">
        <f t="shared" si="743"/>
        <v>CPP_7_3</v>
      </c>
    </row>
    <row r="5934" spans="1:22">
      <c r="A5934" t="str">
        <f t="shared" si="736"/>
        <v>NDP-7512-Z30C</v>
      </c>
      <c r="B5934" s="403" t="s">
        <v>1431</v>
      </c>
      <c r="C5934" s="403" t="s">
        <v>582</v>
      </c>
      <c r="D5934" s="403" t="s">
        <v>1432</v>
      </c>
      <c r="E5934" s="403" t="s">
        <v>778</v>
      </c>
      <c r="F5934" s="403" t="s">
        <v>1303</v>
      </c>
      <c r="G5934" s="403" t="s">
        <v>1466</v>
      </c>
      <c r="H5934" s="403" t="s">
        <v>1281</v>
      </c>
      <c r="I5934" s="403">
        <v>1</v>
      </c>
      <c r="J5934" s="403" t="s">
        <v>1289</v>
      </c>
      <c r="K5934" s="403">
        <v>1280</v>
      </c>
      <c r="L5934" s="403">
        <v>720</v>
      </c>
      <c r="M5934" s="403" t="s">
        <v>1283</v>
      </c>
      <c r="N5934" s="403">
        <v>720</v>
      </c>
      <c r="O5934" s="403">
        <v>576</v>
      </c>
      <c r="P5934" t="str">
        <f t="shared" si="737"/>
        <v>50fps 720p full frame rate - SD 4CIF resolution 4:3 format (cropped)</v>
      </c>
      <c r="Q5934">
        <f t="shared" si="738"/>
        <v>27</v>
      </c>
      <c r="R5934" t="str">
        <f t="shared" si="739"/>
        <v/>
      </c>
      <c r="S5934" t="str">
        <f t="shared" si="740"/>
        <v/>
      </c>
      <c r="T5934" s="403" t="str">
        <f t="shared" si="741"/>
        <v>NDP-7512-Z30C</v>
      </c>
      <c r="U5934" s="403">
        <f t="shared" si="742"/>
        <v>1</v>
      </c>
      <c r="V5934" s="403" t="str">
        <f t="shared" si="743"/>
        <v>CPP_7_3</v>
      </c>
    </row>
    <row r="5935" spans="1:22">
      <c r="A5935" t="str">
        <f t="shared" si="736"/>
        <v>NDP-7512-Z30C</v>
      </c>
      <c r="B5935" s="403" t="s">
        <v>1431</v>
      </c>
      <c r="C5935" s="403" t="s">
        <v>582</v>
      </c>
      <c r="D5935" s="403" t="s">
        <v>1432</v>
      </c>
      <c r="E5935" s="403" t="s">
        <v>778</v>
      </c>
      <c r="F5935" s="403" t="s">
        <v>1303</v>
      </c>
      <c r="G5935" s="403" t="s">
        <v>1466</v>
      </c>
      <c r="H5935" s="403" t="s">
        <v>1281</v>
      </c>
      <c r="I5935" s="403">
        <v>1</v>
      </c>
      <c r="J5935" s="403" t="s">
        <v>1289</v>
      </c>
      <c r="K5935" s="403">
        <v>1280</v>
      </c>
      <c r="L5935" s="403">
        <v>720</v>
      </c>
      <c r="M5935" s="403" t="s">
        <v>1284</v>
      </c>
      <c r="N5935" s="403">
        <v>640</v>
      </c>
      <c r="O5935" s="403">
        <v>480</v>
      </c>
      <c r="P5935" t="str">
        <f t="shared" si="737"/>
        <v>50fps 720p full frame rate - SD VGA (cropped)</v>
      </c>
      <c r="Q5935">
        <f t="shared" si="738"/>
        <v>27</v>
      </c>
      <c r="R5935" t="str">
        <f t="shared" si="739"/>
        <v/>
      </c>
      <c r="S5935" t="str">
        <f t="shared" si="740"/>
        <v/>
      </c>
      <c r="T5935" s="403" t="str">
        <f t="shared" si="741"/>
        <v>NDP-7512-Z30C</v>
      </c>
      <c r="U5935" s="403">
        <f t="shared" si="742"/>
        <v>1</v>
      </c>
      <c r="V5935" s="403" t="str">
        <f t="shared" si="743"/>
        <v>CPP_7_3</v>
      </c>
    </row>
    <row r="5936" spans="1:22">
      <c r="A5936" t="str">
        <f t="shared" si="736"/>
        <v>NDP-7512-Z30C</v>
      </c>
      <c r="B5936" s="403" t="s">
        <v>1431</v>
      </c>
      <c r="C5936" s="403" t="s">
        <v>582</v>
      </c>
      <c r="D5936" s="403" t="s">
        <v>1432</v>
      </c>
      <c r="E5936" s="403" t="s">
        <v>778</v>
      </c>
      <c r="F5936" s="403" t="s">
        <v>1303</v>
      </c>
      <c r="G5936" s="403" t="s">
        <v>1466</v>
      </c>
      <c r="H5936" s="403" t="s">
        <v>1282</v>
      </c>
      <c r="I5936" s="403">
        <v>1</v>
      </c>
      <c r="J5936" s="403" t="s">
        <v>1289</v>
      </c>
      <c r="K5936" s="403">
        <v>1280</v>
      </c>
      <c r="L5936" s="403">
        <v>720</v>
      </c>
      <c r="M5936" s="403" t="s">
        <v>1289</v>
      </c>
      <c r="N5936" s="403">
        <v>1280</v>
      </c>
      <c r="O5936" s="403">
        <v>720</v>
      </c>
      <c r="P5936" t="str">
        <f t="shared" si="737"/>
        <v>50fps 720p full frame rate - 720p full frame rate</v>
      </c>
      <c r="Q5936">
        <f t="shared" si="738"/>
        <v>27</v>
      </c>
      <c r="R5936" t="str">
        <f t="shared" si="739"/>
        <v/>
      </c>
      <c r="S5936" t="str">
        <f t="shared" si="740"/>
        <v/>
      </c>
      <c r="T5936" s="403" t="str">
        <f t="shared" si="741"/>
        <v>NDP-7512-Z30C</v>
      </c>
      <c r="U5936" s="403">
        <f t="shared" si="742"/>
        <v>1</v>
      </c>
      <c r="V5936" s="403" t="str">
        <f t="shared" si="743"/>
        <v>CPP_7_3</v>
      </c>
    </row>
    <row r="5937" spans="1:22">
      <c r="A5937" t="str">
        <f t="shared" si="736"/>
        <v>NDP-7512-Z30C</v>
      </c>
      <c r="B5937" s="403" t="s">
        <v>1431</v>
      </c>
      <c r="C5937" s="403" t="s">
        <v>582</v>
      </c>
      <c r="D5937" s="403" t="s">
        <v>1432</v>
      </c>
      <c r="E5937" s="403" t="s">
        <v>778</v>
      </c>
      <c r="F5937" s="403" t="s">
        <v>1303</v>
      </c>
      <c r="G5937" s="403" t="s">
        <v>1466</v>
      </c>
      <c r="H5937" s="403" t="s">
        <v>1282</v>
      </c>
      <c r="I5937" s="403">
        <v>1</v>
      </c>
      <c r="J5937" s="403" t="s">
        <v>1289</v>
      </c>
      <c r="K5937" s="403">
        <v>1280</v>
      </c>
      <c r="L5937" s="403">
        <v>720</v>
      </c>
      <c r="M5937" s="403" t="s">
        <v>111</v>
      </c>
      <c r="N5937" s="403">
        <v>768</v>
      </c>
      <c r="O5937" s="403">
        <v>432</v>
      </c>
      <c r="P5937" t="str">
        <f t="shared" si="737"/>
        <v>50fps 720p full frame rate - SD</v>
      </c>
      <c r="Q5937">
        <f t="shared" si="738"/>
        <v>27</v>
      </c>
      <c r="R5937" t="str">
        <f t="shared" si="739"/>
        <v/>
      </c>
      <c r="S5937" t="str">
        <f t="shared" si="740"/>
        <v/>
      </c>
      <c r="T5937" s="403" t="str">
        <f t="shared" si="741"/>
        <v>NDP-7512-Z30C</v>
      </c>
      <c r="U5937" s="403">
        <f t="shared" si="742"/>
        <v>1</v>
      </c>
      <c r="V5937" s="403" t="str">
        <f t="shared" si="743"/>
        <v>CPP_7_3</v>
      </c>
    </row>
    <row r="5938" spans="1:22">
      <c r="A5938" t="str">
        <f t="shared" si="736"/>
        <v>NDP-7512-Z30C</v>
      </c>
      <c r="B5938" s="403" t="s">
        <v>1431</v>
      </c>
      <c r="C5938" s="403" t="s">
        <v>582</v>
      </c>
      <c r="D5938" s="403" t="s">
        <v>1432</v>
      </c>
      <c r="E5938" s="403" t="s">
        <v>778</v>
      </c>
      <c r="F5938" s="403" t="s">
        <v>1303</v>
      </c>
      <c r="G5938" s="403" t="s">
        <v>1466</v>
      </c>
      <c r="H5938" s="403" t="s">
        <v>1282</v>
      </c>
      <c r="I5938" s="403">
        <v>1</v>
      </c>
      <c r="J5938" s="403" t="s">
        <v>1289</v>
      </c>
      <c r="K5938" s="403">
        <v>1280</v>
      </c>
      <c r="L5938" s="403">
        <v>720</v>
      </c>
      <c r="M5938" s="403" t="s">
        <v>1283</v>
      </c>
      <c r="N5938" s="403">
        <v>720</v>
      </c>
      <c r="O5938" s="403">
        <v>576</v>
      </c>
      <c r="P5938" t="str">
        <f t="shared" si="737"/>
        <v>50fps 720p full frame rate - SD 4CIF resolution 4:3 format (cropped)</v>
      </c>
      <c r="Q5938">
        <f t="shared" si="738"/>
        <v>27</v>
      </c>
      <c r="R5938" t="str">
        <f t="shared" si="739"/>
        <v/>
      </c>
      <c r="S5938" t="str">
        <f t="shared" si="740"/>
        <v/>
      </c>
      <c r="T5938" s="403" t="str">
        <f t="shared" si="741"/>
        <v>NDP-7512-Z30C</v>
      </c>
      <c r="U5938" s="403">
        <f t="shared" si="742"/>
        <v>1</v>
      </c>
      <c r="V5938" s="403" t="str">
        <f t="shared" si="743"/>
        <v>CPP_7_3</v>
      </c>
    </row>
    <row r="5939" spans="1:22">
      <c r="A5939" t="str">
        <f t="shared" si="736"/>
        <v>NDP-7512-Z30C</v>
      </c>
      <c r="B5939" s="403" t="s">
        <v>1431</v>
      </c>
      <c r="C5939" s="403" t="s">
        <v>582</v>
      </c>
      <c r="D5939" s="403" t="s">
        <v>1432</v>
      </c>
      <c r="E5939" s="403" t="s">
        <v>778</v>
      </c>
      <c r="F5939" s="403" t="s">
        <v>1303</v>
      </c>
      <c r="G5939" s="403" t="s">
        <v>1466</v>
      </c>
      <c r="H5939" s="403" t="s">
        <v>1282</v>
      </c>
      <c r="I5939" s="403">
        <v>1</v>
      </c>
      <c r="J5939" s="403" t="s">
        <v>1289</v>
      </c>
      <c r="K5939" s="403">
        <v>1280</v>
      </c>
      <c r="L5939" s="403">
        <v>720</v>
      </c>
      <c r="M5939" s="403" t="s">
        <v>1284</v>
      </c>
      <c r="N5939" s="403">
        <v>640</v>
      </c>
      <c r="O5939" s="403">
        <v>480</v>
      </c>
      <c r="P5939" t="str">
        <f t="shared" si="737"/>
        <v>50fps 720p full frame rate - SD VGA (cropped)</v>
      </c>
      <c r="Q5939">
        <f t="shared" si="738"/>
        <v>27</v>
      </c>
      <c r="R5939" t="str">
        <f t="shared" si="739"/>
        <v/>
      </c>
      <c r="S5939" t="str">
        <f t="shared" si="740"/>
        <v/>
      </c>
      <c r="T5939" s="403" t="str">
        <f t="shared" si="741"/>
        <v>NDP-7512-Z30C</v>
      </c>
      <c r="U5939" s="403">
        <f t="shared" si="742"/>
        <v>1</v>
      </c>
      <c r="V5939" s="403" t="str">
        <f t="shared" si="743"/>
        <v>CPP_7_3</v>
      </c>
    </row>
    <row r="5940" spans="1:22">
      <c r="A5940" t="str">
        <f t="shared" si="736"/>
        <v>NDP-7512-Z30C</v>
      </c>
      <c r="B5940" s="403" t="s">
        <v>1431</v>
      </c>
      <c r="C5940" s="403" t="s">
        <v>582</v>
      </c>
      <c r="D5940" s="403" t="s">
        <v>1432</v>
      </c>
      <c r="E5940" s="403" t="s">
        <v>778</v>
      </c>
      <c r="F5940" s="403" t="s">
        <v>1300</v>
      </c>
      <c r="G5940" s="403" t="s">
        <v>1466</v>
      </c>
      <c r="H5940" s="403" t="s">
        <v>1276</v>
      </c>
      <c r="I5940" s="403">
        <v>1</v>
      </c>
      <c r="J5940" s="403" t="s">
        <v>1289</v>
      </c>
      <c r="K5940" s="403">
        <v>1280</v>
      </c>
      <c r="L5940" s="403">
        <v>720</v>
      </c>
      <c r="M5940" s="403" t="s">
        <v>1289</v>
      </c>
      <c r="N5940" s="403">
        <v>1280</v>
      </c>
      <c r="O5940" s="403">
        <v>720</v>
      </c>
      <c r="P5940" t="str">
        <f t="shared" si="737"/>
        <v>60fps 720p full frame rate - 720p full frame rate</v>
      </c>
      <c r="Q5940">
        <f t="shared" si="738"/>
        <v>27</v>
      </c>
      <c r="R5940" t="str">
        <f t="shared" si="739"/>
        <v/>
      </c>
      <c r="S5940" t="str">
        <f t="shared" si="740"/>
        <v/>
      </c>
      <c r="T5940" s="403" t="str">
        <f t="shared" si="741"/>
        <v>NDP-7512-Z30C</v>
      </c>
      <c r="U5940" s="403">
        <f t="shared" si="742"/>
        <v>1</v>
      </c>
      <c r="V5940" s="403" t="str">
        <f t="shared" si="743"/>
        <v>CPP_7_3</v>
      </c>
    </row>
    <row r="5941" spans="1:22">
      <c r="A5941" t="str">
        <f t="shared" si="736"/>
        <v>NDP-7512-Z30C</v>
      </c>
      <c r="B5941" s="403" t="s">
        <v>1431</v>
      </c>
      <c r="C5941" s="403" t="s">
        <v>582</v>
      </c>
      <c r="D5941" s="403" t="s">
        <v>1432</v>
      </c>
      <c r="E5941" s="403" t="s">
        <v>778</v>
      </c>
      <c r="F5941" s="403" t="s">
        <v>1300</v>
      </c>
      <c r="G5941" s="403" t="s">
        <v>1466</v>
      </c>
      <c r="H5941" s="403" t="s">
        <v>1276</v>
      </c>
      <c r="I5941" s="403">
        <v>1</v>
      </c>
      <c r="J5941" s="403" t="s">
        <v>1289</v>
      </c>
      <c r="K5941" s="403">
        <v>1280</v>
      </c>
      <c r="L5941" s="403">
        <v>720</v>
      </c>
      <c r="M5941" s="403" t="s">
        <v>111</v>
      </c>
      <c r="N5941" s="403">
        <v>768</v>
      </c>
      <c r="O5941" s="403">
        <v>432</v>
      </c>
      <c r="P5941" t="str">
        <f t="shared" si="737"/>
        <v>60fps 720p full frame rate - SD</v>
      </c>
      <c r="Q5941">
        <f t="shared" si="738"/>
        <v>27</v>
      </c>
      <c r="R5941" t="str">
        <f t="shared" si="739"/>
        <v/>
      </c>
      <c r="S5941" t="str">
        <f t="shared" si="740"/>
        <v/>
      </c>
      <c r="T5941" s="403" t="str">
        <f t="shared" si="741"/>
        <v>NDP-7512-Z30C</v>
      </c>
      <c r="U5941" s="403">
        <f t="shared" si="742"/>
        <v>1</v>
      </c>
      <c r="V5941" s="403" t="str">
        <f t="shared" si="743"/>
        <v>CPP_7_3</v>
      </c>
    </row>
    <row r="5942" spans="1:22">
      <c r="A5942" t="str">
        <f t="shared" si="736"/>
        <v>NDP-7512-Z30C</v>
      </c>
      <c r="B5942" s="403" t="s">
        <v>1431</v>
      </c>
      <c r="C5942" s="403" t="s">
        <v>582</v>
      </c>
      <c r="D5942" s="403" t="s">
        <v>1432</v>
      </c>
      <c r="E5942" s="403" t="s">
        <v>778</v>
      </c>
      <c r="F5942" s="403" t="s">
        <v>1300</v>
      </c>
      <c r="G5942" s="403" t="s">
        <v>1466</v>
      </c>
      <c r="H5942" s="403" t="s">
        <v>1276</v>
      </c>
      <c r="I5942" s="403">
        <v>1</v>
      </c>
      <c r="J5942" s="403" t="s">
        <v>1289</v>
      </c>
      <c r="K5942" s="403">
        <v>1280</v>
      </c>
      <c r="L5942" s="403">
        <v>720</v>
      </c>
      <c r="M5942" s="403" t="s">
        <v>1283</v>
      </c>
      <c r="N5942" s="403">
        <v>720</v>
      </c>
      <c r="O5942" s="403">
        <v>480</v>
      </c>
      <c r="P5942" t="str">
        <f t="shared" si="737"/>
        <v>60fps 720p full frame rate - SD 4CIF resolution 4:3 format (cropped)</v>
      </c>
      <c r="Q5942">
        <f t="shared" si="738"/>
        <v>27</v>
      </c>
      <c r="R5942" t="str">
        <f t="shared" si="739"/>
        <v/>
      </c>
      <c r="S5942" t="str">
        <f t="shared" si="740"/>
        <v/>
      </c>
      <c r="T5942" s="403" t="str">
        <f t="shared" si="741"/>
        <v>NDP-7512-Z30C</v>
      </c>
      <c r="U5942" s="403">
        <f t="shared" si="742"/>
        <v>1</v>
      </c>
      <c r="V5942" s="403" t="str">
        <f t="shared" si="743"/>
        <v>CPP_7_3</v>
      </c>
    </row>
    <row r="5943" spans="1:22">
      <c r="A5943" t="str">
        <f t="shared" si="736"/>
        <v>NDP-7512-Z30C</v>
      </c>
      <c r="B5943" s="403" t="s">
        <v>1431</v>
      </c>
      <c r="C5943" s="403" t="s">
        <v>582</v>
      </c>
      <c r="D5943" s="403" t="s">
        <v>1432</v>
      </c>
      <c r="E5943" s="403" t="s">
        <v>778</v>
      </c>
      <c r="F5943" s="403" t="s">
        <v>1300</v>
      </c>
      <c r="G5943" s="403" t="s">
        <v>1466</v>
      </c>
      <c r="H5943" s="403" t="s">
        <v>1276</v>
      </c>
      <c r="I5943" s="403">
        <v>1</v>
      </c>
      <c r="J5943" s="403" t="s">
        <v>1289</v>
      </c>
      <c r="K5943" s="403">
        <v>1280</v>
      </c>
      <c r="L5943" s="403">
        <v>720</v>
      </c>
      <c r="M5943" s="403" t="s">
        <v>1284</v>
      </c>
      <c r="N5943" s="403">
        <v>640</v>
      </c>
      <c r="O5943" s="403">
        <v>480</v>
      </c>
      <c r="P5943" t="str">
        <f t="shared" si="737"/>
        <v>60fps 720p full frame rate - SD VGA (cropped)</v>
      </c>
      <c r="Q5943">
        <f t="shared" si="738"/>
        <v>27</v>
      </c>
      <c r="R5943" t="str">
        <f t="shared" si="739"/>
        <v/>
      </c>
      <c r="S5943" t="str">
        <f t="shared" si="740"/>
        <v/>
      </c>
      <c r="T5943" s="403" t="str">
        <f t="shared" si="741"/>
        <v>NDP-7512-Z30C</v>
      </c>
      <c r="U5943" s="403">
        <f t="shared" si="742"/>
        <v>1</v>
      </c>
      <c r="V5943" s="403" t="str">
        <f t="shared" si="743"/>
        <v>CPP_7_3</v>
      </c>
    </row>
    <row r="5944" spans="1:22">
      <c r="A5944" t="str">
        <f t="shared" si="736"/>
        <v>NDP-7512-Z30C</v>
      </c>
      <c r="B5944" s="403" t="s">
        <v>1431</v>
      </c>
      <c r="C5944" s="403" t="s">
        <v>582</v>
      </c>
      <c r="D5944" s="403" t="s">
        <v>1432</v>
      </c>
      <c r="E5944" s="403" t="s">
        <v>778</v>
      </c>
      <c r="F5944" s="403" t="s">
        <v>1300</v>
      </c>
      <c r="G5944" s="403" t="s">
        <v>1466</v>
      </c>
      <c r="H5944" s="403" t="s">
        <v>1281</v>
      </c>
      <c r="I5944" s="403">
        <v>1</v>
      </c>
      <c r="J5944" s="403" t="s">
        <v>1289</v>
      </c>
      <c r="K5944" s="403">
        <v>1280</v>
      </c>
      <c r="L5944" s="403">
        <v>720</v>
      </c>
      <c r="M5944" s="403" t="s">
        <v>1289</v>
      </c>
      <c r="N5944" s="403">
        <v>1280</v>
      </c>
      <c r="O5944" s="403">
        <v>720</v>
      </c>
      <c r="P5944" t="str">
        <f t="shared" si="737"/>
        <v>60fps 720p full frame rate - 720p full frame rate</v>
      </c>
      <c r="Q5944">
        <f t="shared" si="738"/>
        <v>27</v>
      </c>
      <c r="R5944" t="str">
        <f t="shared" si="739"/>
        <v/>
      </c>
      <c r="S5944" t="str">
        <f t="shared" si="740"/>
        <v/>
      </c>
      <c r="T5944" s="403" t="str">
        <f t="shared" si="741"/>
        <v>NDP-7512-Z30C</v>
      </c>
      <c r="U5944" s="403">
        <f t="shared" si="742"/>
        <v>1</v>
      </c>
      <c r="V5944" s="403" t="str">
        <f t="shared" si="743"/>
        <v>CPP_7_3</v>
      </c>
    </row>
    <row r="5945" spans="1:22">
      <c r="A5945" t="str">
        <f t="shared" si="736"/>
        <v>NDP-7512-Z30C</v>
      </c>
      <c r="B5945" s="403" t="s">
        <v>1431</v>
      </c>
      <c r="C5945" s="403" t="s">
        <v>582</v>
      </c>
      <c r="D5945" s="403" t="s">
        <v>1432</v>
      </c>
      <c r="E5945" s="403" t="s">
        <v>778</v>
      </c>
      <c r="F5945" s="403" t="s">
        <v>1300</v>
      </c>
      <c r="G5945" s="403" t="s">
        <v>1466</v>
      </c>
      <c r="H5945" s="403" t="s">
        <v>1281</v>
      </c>
      <c r="I5945" s="403">
        <v>1</v>
      </c>
      <c r="J5945" s="403" t="s">
        <v>1289</v>
      </c>
      <c r="K5945" s="403">
        <v>1280</v>
      </c>
      <c r="L5945" s="403">
        <v>720</v>
      </c>
      <c r="M5945" s="403" t="s">
        <v>111</v>
      </c>
      <c r="N5945" s="403">
        <v>768</v>
      </c>
      <c r="O5945" s="403">
        <v>432</v>
      </c>
      <c r="P5945" t="str">
        <f t="shared" si="737"/>
        <v>60fps 720p full frame rate - SD</v>
      </c>
      <c r="Q5945">
        <f t="shared" si="738"/>
        <v>27</v>
      </c>
      <c r="R5945" t="str">
        <f t="shared" si="739"/>
        <v/>
      </c>
      <c r="S5945" t="str">
        <f t="shared" si="740"/>
        <v/>
      </c>
      <c r="T5945" s="403" t="str">
        <f t="shared" si="741"/>
        <v>NDP-7512-Z30C</v>
      </c>
      <c r="U5945" s="403">
        <f t="shared" si="742"/>
        <v>1</v>
      </c>
      <c r="V5945" s="403" t="str">
        <f t="shared" si="743"/>
        <v>CPP_7_3</v>
      </c>
    </row>
    <row r="5946" spans="1:22">
      <c r="A5946" t="str">
        <f t="shared" si="736"/>
        <v>NDP-7512-Z30C</v>
      </c>
      <c r="B5946" s="403" t="s">
        <v>1431</v>
      </c>
      <c r="C5946" s="403" t="s">
        <v>582</v>
      </c>
      <c r="D5946" s="403" t="s">
        <v>1432</v>
      </c>
      <c r="E5946" s="403" t="s">
        <v>778</v>
      </c>
      <c r="F5946" s="403" t="s">
        <v>1300</v>
      </c>
      <c r="G5946" s="403" t="s">
        <v>1466</v>
      </c>
      <c r="H5946" s="403" t="s">
        <v>1281</v>
      </c>
      <c r="I5946" s="403">
        <v>1</v>
      </c>
      <c r="J5946" s="403" t="s">
        <v>1289</v>
      </c>
      <c r="K5946" s="403">
        <v>1280</v>
      </c>
      <c r="L5946" s="403">
        <v>720</v>
      </c>
      <c r="M5946" s="403" t="s">
        <v>1283</v>
      </c>
      <c r="N5946" s="403">
        <v>720</v>
      </c>
      <c r="O5946" s="403">
        <v>480</v>
      </c>
      <c r="P5946" t="str">
        <f t="shared" si="737"/>
        <v>60fps 720p full frame rate - SD 4CIF resolution 4:3 format (cropped)</v>
      </c>
      <c r="Q5946">
        <f t="shared" si="738"/>
        <v>27</v>
      </c>
      <c r="R5946" t="str">
        <f t="shared" si="739"/>
        <v/>
      </c>
      <c r="S5946" t="str">
        <f t="shared" si="740"/>
        <v/>
      </c>
      <c r="T5946" s="403" t="str">
        <f t="shared" si="741"/>
        <v>NDP-7512-Z30C</v>
      </c>
      <c r="U5946" s="403">
        <f t="shared" si="742"/>
        <v>1</v>
      </c>
      <c r="V5946" s="403" t="str">
        <f t="shared" si="743"/>
        <v>CPP_7_3</v>
      </c>
    </row>
    <row r="5947" spans="1:22">
      <c r="A5947" t="str">
        <f t="shared" si="736"/>
        <v>NDP-7512-Z30C</v>
      </c>
      <c r="B5947" s="403" t="s">
        <v>1431</v>
      </c>
      <c r="C5947" s="403" t="s">
        <v>582</v>
      </c>
      <c r="D5947" s="403" t="s">
        <v>1432</v>
      </c>
      <c r="E5947" s="403" t="s">
        <v>778</v>
      </c>
      <c r="F5947" s="403" t="s">
        <v>1300</v>
      </c>
      <c r="G5947" s="403" t="s">
        <v>1466</v>
      </c>
      <c r="H5947" s="403" t="s">
        <v>1281</v>
      </c>
      <c r="I5947" s="403">
        <v>1</v>
      </c>
      <c r="J5947" s="403" t="s">
        <v>1289</v>
      </c>
      <c r="K5947" s="403">
        <v>1280</v>
      </c>
      <c r="L5947" s="403">
        <v>720</v>
      </c>
      <c r="M5947" s="403" t="s">
        <v>1284</v>
      </c>
      <c r="N5947" s="403">
        <v>640</v>
      </c>
      <c r="O5947" s="403">
        <v>480</v>
      </c>
      <c r="P5947" t="str">
        <f t="shared" si="737"/>
        <v>60fps 720p full frame rate - SD VGA (cropped)</v>
      </c>
      <c r="Q5947">
        <f t="shared" si="738"/>
        <v>27</v>
      </c>
      <c r="R5947" t="str">
        <f t="shared" si="739"/>
        <v/>
      </c>
      <c r="S5947" t="str">
        <f t="shared" si="740"/>
        <v/>
      </c>
      <c r="T5947" s="403" t="str">
        <f t="shared" si="741"/>
        <v>NDP-7512-Z30C</v>
      </c>
      <c r="U5947" s="403">
        <f t="shared" si="742"/>
        <v>1</v>
      </c>
      <c r="V5947" s="403" t="str">
        <f t="shared" si="743"/>
        <v>CPP_7_3</v>
      </c>
    </row>
    <row r="5948" spans="1:22">
      <c r="A5948" t="str">
        <f t="shared" si="736"/>
        <v>NDP-7512-Z30C</v>
      </c>
      <c r="B5948" s="403" t="s">
        <v>1431</v>
      </c>
      <c r="C5948" s="403" t="s">
        <v>582</v>
      </c>
      <c r="D5948" s="403" t="s">
        <v>1432</v>
      </c>
      <c r="E5948" s="403" t="s">
        <v>778</v>
      </c>
      <c r="F5948" s="403" t="s">
        <v>1300</v>
      </c>
      <c r="G5948" s="403" t="s">
        <v>1466</v>
      </c>
      <c r="H5948" s="403" t="s">
        <v>1282</v>
      </c>
      <c r="I5948" s="403">
        <v>1</v>
      </c>
      <c r="J5948" s="403" t="s">
        <v>1289</v>
      </c>
      <c r="K5948" s="403">
        <v>1280</v>
      </c>
      <c r="L5948" s="403">
        <v>720</v>
      </c>
      <c r="M5948" s="403" t="s">
        <v>1289</v>
      </c>
      <c r="N5948" s="403">
        <v>1280</v>
      </c>
      <c r="O5948" s="403">
        <v>720</v>
      </c>
      <c r="P5948" t="str">
        <f t="shared" si="737"/>
        <v>60fps 720p full frame rate - 720p full frame rate</v>
      </c>
      <c r="Q5948">
        <f t="shared" si="738"/>
        <v>27</v>
      </c>
      <c r="R5948" t="str">
        <f t="shared" si="739"/>
        <v/>
      </c>
      <c r="S5948" t="str">
        <f t="shared" si="740"/>
        <v/>
      </c>
      <c r="T5948" s="403" t="str">
        <f t="shared" si="741"/>
        <v>NDP-7512-Z30C</v>
      </c>
      <c r="U5948" s="403">
        <f t="shared" si="742"/>
        <v>1</v>
      </c>
      <c r="V5948" s="403" t="str">
        <f t="shared" si="743"/>
        <v>CPP_7_3</v>
      </c>
    </row>
    <row r="5949" spans="1:22">
      <c r="A5949" t="str">
        <f t="shared" si="736"/>
        <v>NDP-7512-Z30C</v>
      </c>
      <c r="B5949" s="403" t="s">
        <v>1431</v>
      </c>
      <c r="C5949" s="403" t="s">
        <v>582</v>
      </c>
      <c r="D5949" s="403" t="s">
        <v>1432</v>
      </c>
      <c r="E5949" s="403" t="s">
        <v>778</v>
      </c>
      <c r="F5949" s="403" t="s">
        <v>1300</v>
      </c>
      <c r="G5949" s="403" t="s">
        <v>1466</v>
      </c>
      <c r="H5949" s="403" t="s">
        <v>1282</v>
      </c>
      <c r="I5949" s="403">
        <v>1</v>
      </c>
      <c r="J5949" s="403" t="s">
        <v>1289</v>
      </c>
      <c r="K5949" s="403">
        <v>1280</v>
      </c>
      <c r="L5949" s="403">
        <v>720</v>
      </c>
      <c r="M5949" s="403" t="s">
        <v>111</v>
      </c>
      <c r="N5949" s="403">
        <v>768</v>
      </c>
      <c r="O5949" s="403">
        <v>432</v>
      </c>
      <c r="P5949" t="str">
        <f t="shared" si="737"/>
        <v>60fps 720p full frame rate - SD</v>
      </c>
      <c r="Q5949">
        <f t="shared" si="738"/>
        <v>27</v>
      </c>
      <c r="R5949" t="str">
        <f t="shared" si="739"/>
        <v/>
      </c>
      <c r="S5949" t="str">
        <f t="shared" si="740"/>
        <v/>
      </c>
      <c r="T5949" s="403" t="str">
        <f t="shared" si="741"/>
        <v>NDP-7512-Z30C</v>
      </c>
      <c r="U5949" s="403">
        <f t="shared" si="742"/>
        <v>1</v>
      </c>
      <c r="V5949" s="403" t="str">
        <f t="shared" si="743"/>
        <v>CPP_7_3</v>
      </c>
    </row>
    <row r="5950" spans="1:22">
      <c r="A5950" t="str">
        <f t="shared" si="736"/>
        <v>NDP-7512-Z30C</v>
      </c>
      <c r="B5950" s="403" t="s">
        <v>1431</v>
      </c>
      <c r="C5950" s="403" t="s">
        <v>582</v>
      </c>
      <c r="D5950" s="403" t="s">
        <v>1432</v>
      </c>
      <c r="E5950" s="403" t="s">
        <v>778</v>
      </c>
      <c r="F5950" s="403" t="s">
        <v>1300</v>
      </c>
      <c r="G5950" s="403" t="s">
        <v>1466</v>
      </c>
      <c r="H5950" s="403" t="s">
        <v>1282</v>
      </c>
      <c r="I5950" s="403">
        <v>1</v>
      </c>
      <c r="J5950" s="403" t="s">
        <v>1289</v>
      </c>
      <c r="K5950" s="403">
        <v>1280</v>
      </c>
      <c r="L5950" s="403">
        <v>720</v>
      </c>
      <c r="M5950" s="403" t="s">
        <v>1283</v>
      </c>
      <c r="N5950" s="403">
        <v>720</v>
      </c>
      <c r="O5950" s="403">
        <v>480</v>
      </c>
      <c r="P5950" t="str">
        <f t="shared" si="737"/>
        <v>60fps 720p full frame rate - SD 4CIF resolution 4:3 format (cropped)</v>
      </c>
      <c r="Q5950">
        <f t="shared" si="738"/>
        <v>27</v>
      </c>
      <c r="R5950" t="str">
        <f t="shared" si="739"/>
        <v/>
      </c>
      <c r="S5950" t="str">
        <f t="shared" si="740"/>
        <v/>
      </c>
      <c r="T5950" s="403" t="str">
        <f t="shared" si="741"/>
        <v>NDP-7512-Z30C</v>
      </c>
      <c r="U5950" s="403">
        <f t="shared" si="742"/>
        <v>1</v>
      </c>
      <c r="V5950" s="403" t="str">
        <f t="shared" si="743"/>
        <v>CPP_7_3</v>
      </c>
    </row>
    <row r="5951" spans="1:22">
      <c r="A5951" t="str">
        <f t="shared" si="736"/>
        <v>NDP-7512-Z30C</v>
      </c>
      <c r="B5951" s="403" t="s">
        <v>1431</v>
      </c>
      <c r="C5951" s="403" t="s">
        <v>582</v>
      </c>
      <c r="D5951" s="403" t="s">
        <v>1432</v>
      </c>
      <c r="E5951" s="403" t="s">
        <v>778</v>
      </c>
      <c r="F5951" s="403" t="s">
        <v>1300</v>
      </c>
      <c r="G5951" s="403" t="s">
        <v>1466</v>
      </c>
      <c r="H5951" s="403" t="s">
        <v>1282</v>
      </c>
      <c r="I5951" s="403">
        <v>1</v>
      </c>
      <c r="J5951" s="403" t="s">
        <v>1289</v>
      </c>
      <c r="K5951" s="403">
        <v>1280</v>
      </c>
      <c r="L5951" s="403">
        <v>720</v>
      </c>
      <c r="M5951" s="403" t="s">
        <v>1284</v>
      </c>
      <c r="N5951" s="403">
        <v>640</v>
      </c>
      <c r="O5951" s="403">
        <v>480</v>
      </c>
      <c r="P5951" t="str">
        <f t="shared" si="737"/>
        <v>60fps 720p full frame rate - SD VGA (cropped)</v>
      </c>
      <c r="Q5951">
        <f t="shared" si="738"/>
        <v>27</v>
      </c>
      <c r="R5951" t="str">
        <f t="shared" si="739"/>
        <v/>
      </c>
      <c r="S5951" t="str">
        <f t="shared" si="740"/>
        <v/>
      </c>
      <c r="T5951" s="403" t="str">
        <f t="shared" si="741"/>
        <v>NDP-7512-Z30C</v>
      </c>
      <c r="U5951" s="403">
        <f t="shared" si="742"/>
        <v>1</v>
      </c>
      <c r="V5951" s="403" t="str">
        <f t="shared" si="743"/>
        <v>CPP_7_3</v>
      </c>
    </row>
    <row r="5952" spans="1:22">
      <c r="A5952" t="str">
        <f t="shared" si="736"/>
        <v>NDP-7512-Z30C</v>
      </c>
      <c r="B5952" s="403" t="s">
        <v>1431</v>
      </c>
      <c r="C5952" s="403" t="s">
        <v>582</v>
      </c>
      <c r="D5952" s="403" t="s">
        <v>1432</v>
      </c>
      <c r="E5952" s="403" t="s">
        <v>778</v>
      </c>
      <c r="F5952" s="403" t="s">
        <v>1287</v>
      </c>
      <c r="G5952" s="403" t="s">
        <v>1466</v>
      </c>
      <c r="H5952" s="403" t="s">
        <v>1276</v>
      </c>
      <c r="I5952" s="403">
        <v>1</v>
      </c>
      <c r="J5952" s="403" t="s">
        <v>110</v>
      </c>
      <c r="K5952" s="403">
        <v>1920</v>
      </c>
      <c r="L5952" s="403">
        <v>1080</v>
      </c>
      <c r="M5952" s="403" t="s">
        <v>111</v>
      </c>
      <c r="N5952" s="403">
        <v>768</v>
      </c>
      <c r="O5952" s="403">
        <v>432</v>
      </c>
      <c r="P5952" t="str">
        <f t="shared" si="737"/>
        <v>25fps 1080p - SD</v>
      </c>
      <c r="Q5952">
        <f t="shared" si="738"/>
        <v>27</v>
      </c>
      <c r="R5952" t="str">
        <f t="shared" si="739"/>
        <v/>
      </c>
      <c r="S5952" t="str">
        <f t="shared" si="740"/>
        <v/>
      </c>
      <c r="T5952" s="403" t="str">
        <f t="shared" si="741"/>
        <v>NDP-7512-Z30C</v>
      </c>
      <c r="U5952" s="403">
        <f t="shared" si="742"/>
        <v>1</v>
      </c>
      <c r="V5952" s="403" t="str">
        <f t="shared" si="743"/>
        <v>CPP_7_3</v>
      </c>
    </row>
    <row r="5953" spans="1:22">
      <c r="A5953" t="str">
        <f t="shared" si="736"/>
        <v>NDP-7512-Z30C</v>
      </c>
      <c r="B5953" s="403" t="s">
        <v>1431</v>
      </c>
      <c r="C5953" s="403" t="s">
        <v>582</v>
      </c>
      <c r="D5953" s="403" t="s">
        <v>1432</v>
      </c>
      <c r="E5953" s="403" t="s">
        <v>778</v>
      </c>
      <c r="F5953" s="403" t="s">
        <v>1287</v>
      </c>
      <c r="G5953" s="403" t="s">
        <v>1466</v>
      </c>
      <c r="H5953" s="403" t="s">
        <v>1276</v>
      </c>
      <c r="I5953" s="403">
        <v>1</v>
      </c>
      <c r="J5953" s="403" t="s">
        <v>110</v>
      </c>
      <c r="K5953" s="403">
        <v>1920</v>
      </c>
      <c r="L5953" s="403">
        <v>1080</v>
      </c>
      <c r="M5953" s="403" t="s">
        <v>110</v>
      </c>
      <c r="N5953" s="403">
        <v>1920</v>
      </c>
      <c r="O5953" s="403">
        <v>1080</v>
      </c>
      <c r="P5953" t="str">
        <f t="shared" si="737"/>
        <v>25fps 1080p - 1080p</v>
      </c>
      <c r="Q5953">
        <f t="shared" si="738"/>
        <v>27</v>
      </c>
      <c r="R5953" t="str">
        <f t="shared" si="739"/>
        <v/>
      </c>
      <c r="S5953" t="str">
        <f t="shared" si="740"/>
        <v/>
      </c>
      <c r="T5953" s="403" t="str">
        <f t="shared" si="741"/>
        <v>NDP-7512-Z30C</v>
      </c>
      <c r="U5953" s="403">
        <f t="shared" si="742"/>
        <v>1</v>
      </c>
      <c r="V5953" s="403" t="str">
        <f t="shared" si="743"/>
        <v>CPP_7_3</v>
      </c>
    </row>
    <row r="5954" spans="1:22">
      <c r="A5954" t="str">
        <f t="shared" ref="A5954:A6017" si="744">IF(AND(G5954&lt;&gt;"rotate 90°"),D5954,"")</f>
        <v>NDP-7512-Z30C</v>
      </c>
      <c r="B5954" s="403" t="s">
        <v>1431</v>
      </c>
      <c r="C5954" s="403" t="s">
        <v>582</v>
      </c>
      <c r="D5954" s="403" t="s">
        <v>1432</v>
      </c>
      <c r="E5954" s="403" t="s">
        <v>778</v>
      </c>
      <c r="F5954" s="403" t="s">
        <v>1287</v>
      </c>
      <c r="G5954" s="403" t="s">
        <v>1466</v>
      </c>
      <c r="H5954" s="403" t="s">
        <v>1276</v>
      </c>
      <c r="I5954" s="403">
        <v>1</v>
      </c>
      <c r="J5954" s="403" t="s">
        <v>110</v>
      </c>
      <c r="K5954" s="403">
        <v>1920</v>
      </c>
      <c r="L5954" s="403">
        <v>1080</v>
      </c>
      <c r="M5954" s="403" t="s">
        <v>109</v>
      </c>
      <c r="N5954" s="403">
        <v>1280</v>
      </c>
      <c r="O5954" s="403">
        <v>720</v>
      </c>
      <c r="P5954" t="str">
        <f t="shared" ref="P5954:P6017" si="745">LEFT(F5954,5)&amp;" "&amp;J5954&amp;" - "&amp;M5954</f>
        <v>25fps 1080p - 720p</v>
      </c>
      <c r="Q5954">
        <f t="shared" ref="Q5954:Q6017" si="746">IF(A5953=A5954,Q5953,Q5953+1)</f>
        <v>27</v>
      </c>
      <c r="R5954" t="str">
        <f t="shared" ref="R5954:R6017" si="747">IF(Q5953&lt;&gt;Q5954,Q5954,"")</f>
        <v/>
      </c>
      <c r="S5954" t="str">
        <f t="shared" ref="S5954:S6017" si="748">IF(R5954&lt;&gt;"",B5954&amp;" ("&amp;D5954&amp;")","")</f>
        <v/>
      </c>
      <c r="T5954" s="403" t="str">
        <f t="shared" ref="T5954:T6017" si="749">D5954</f>
        <v>NDP-7512-Z30C</v>
      </c>
      <c r="U5954" s="403">
        <f t="shared" ref="U5954:U6017" si="750">I5954</f>
        <v>1</v>
      </c>
      <c r="V5954" s="403" t="str">
        <f t="shared" ref="V5954:V6017" si="751">C5954</f>
        <v>CPP_7_3</v>
      </c>
    </row>
    <row r="5955" spans="1:22">
      <c r="A5955" t="str">
        <f t="shared" si="744"/>
        <v>NDP-7512-Z30C</v>
      </c>
      <c r="B5955" s="403" t="s">
        <v>1431</v>
      </c>
      <c r="C5955" s="403" t="s">
        <v>582</v>
      </c>
      <c r="D5955" s="403" t="s">
        <v>1432</v>
      </c>
      <c r="E5955" s="403" t="s">
        <v>778</v>
      </c>
      <c r="F5955" s="403" t="s">
        <v>1287</v>
      </c>
      <c r="G5955" s="403" t="s">
        <v>1466</v>
      </c>
      <c r="H5955" s="403" t="s">
        <v>1276</v>
      </c>
      <c r="I5955" s="403">
        <v>1</v>
      </c>
      <c r="J5955" s="403" t="s">
        <v>110</v>
      </c>
      <c r="K5955" s="403">
        <v>1920</v>
      </c>
      <c r="L5955" s="403">
        <v>1080</v>
      </c>
      <c r="M5955" s="403" t="s">
        <v>1285</v>
      </c>
      <c r="N5955" s="403">
        <v>1280</v>
      </c>
      <c r="O5955" s="403">
        <v>1024</v>
      </c>
      <c r="P5955" t="str">
        <f t="shared" si="745"/>
        <v>25fps 1080p - 1280x1024 5:4 (cropped)</v>
      </c>
      <c r="Q5955">
        <f t="shared" si="746"/>
        <v>27</v>
      </c>
      <c r="R5955" t="str">
        <f t="shared" si="747"/>
        <v/>
      </c>
      <c r="S5955" t="str">
        <f t="shared" si="748"/>
        <v/>
      </c>
      <c r="T5955" s="403" t="str">
        <f t="shared" si="749"/>
        <v>NDP-7512-Z30C</v>
      </c>
      <c r="U5955" s="403">
        <f t="shared" si="750"/>
        <v>1</v>
      </c>
      <c r="V5955" s="403" t="str">
        <f t="shared" si="751"/>
        <v>CPP_7_3</v>
      </c>
    </row>
    <row r="5956" spans="1:22">
      <c r="A5956" t="str">
        <f t="shared" si="744"/>
        <v>NDP-7512-Z30C</v>
      </c>
      <c r="B5956" s="403" t="s">
        <v>1431</v>
      </c>
      <c r="C5956" s="403" t="s">
        <v>582</v>
      </c>
      <c r="D5956" s="403" t="s">
        <v>1432</v>
      </c>
      <c r="E5956" s="403" t="s">
        <v>778</v>
      </c>
      <c r="F5956" s="403" t="s">
        <v>1287</v>
      </c>
      <c r="G5956" s="403" t="s">
        <v>1466</v>
      </c>
      <c r="H5956" s="403" t="s">
        <v>1276</v>
      </c>
      <c r="I5956" s="403">
        <v>1</v>
      </c>
      <c r="J5956" s="403" t="s">
        <v>110</v>
      </c>
      <c r="K5956" s="403">
        <v>1920</v>
      </c>
      <c r="L5956" s="403">
        <v>1080</v>
      </c>
      <c r="M5956" s="403" t="s">
        <v>1283</v>
      </c>
      <c r="N5956" s="403">
        <v>720</v>
      </c>
      <c r="O5956" s="403">
        <v>576</v>
      </c>
      <c r="P5956" t="str">
        <f t="shared" si="745"/>
        <v>25fps 1080p - SD 4CIF resolution 4:3 format (cropped)</v>
      </c>
      <c r="Q5956">
        <f t="shared" si="746"/>
        <v>27</v>
      </c>
      <c r="R5956" t="str">
        <f t="shared" si="747"/>
        <v/>
      </c>
      <c r="S5956" t="str">
        <f t="shared" si="748"/>
        <v/>
      </c>
      <c r="T5956" s="403" t="str">
        <f t="shared" si="749"/>
        <v>NDP-7512-Z30C</v>
      </c>
      <c r="U5956" s="403">
        <f t="shared" si="750"/>
        <v>1</v>
      </c>
      <c r="V5956" s="403" t="str">
        <f t="shared" si="751"/>
        <v>CPP_7_3</v>
      </c>
    </row>
    <row r="5957" spans="1:22">
      <c r="A5957" t="str">
        <f t="shared" si="744"/>
        <v>NDP-7512-Z30C</v>
      </c>
      <c r="B5957" s="403" t="s">
        <v>1431</v>
      </c>
      <c r="C5957" s="403" t="s">
        <v>582</v>
      </c>
      <c r="D5957" s="403" t="s">
        <v>1432</v>
      </c>
      <c r="E5957" s="403" t="s">
        <v>778</v>
      </c>
      <c r="F5957" s="403" t="s">
        <v>1287</v>
      </c>
      <c r="G5957" s="403" t="s">
        <v>1466</v>
      </c>
      <c r="H5957" s="403" t="s">
        <v>1276</v>
      </c>
      <c r="I5957" s="403">
        <v>1</v>
      </c>
      <c r="J5957" s="403" t="s">
        <v>110</v>
      </c>
      <c r="K5957" s="403">
        <v>1920</v>
      </c>
      <c r="L5957" s="403">
        <v>1080</v>
      </c>
      <c r="M5957" s="403" t="s">
        <v>1284</v>
      </c>
      <c r="N5957" s="403">
        <v>640</v>
      </c>
      <c r="O5957" s="403">
        <v>480</v>
      </c>
      <c r="P5957" t="str">
        <f t="shared" si="745"/>
        <v>25fps 1080p - SD VGA (cropped)</v>
      </c>
      <c r="Q5957">
        <f t="shared" si="746"/>
        <v>27</v>
      </c>
      <c r="R5957" t="str">
        <f t="shared" si="747"/>
        <v/>
      </c>
      <c r="S5957" t="str">
        <f t="shared" si="748"/>
        <v/>
      </c>
      <c r="T5957" s="403" t="str">
        <f t="shared" si="749"/>
        <v>NDP-7512-Z30C</v>
      </c>
      <c r="U5957" s="403">
        <f t="shared" si="750"/>
        <v>1</v>
      </c>
      <c r="V5957" s="403" t="str">
        <f t="shared" si="751"/>
        <v>CPP_7_3</v>
      </c>
    </row>
    <row r="5958" spans="1:22">
      <c r="A5958" t="str">
        <f t="shared" si="744"/>
        <v>NDP-7512-Z30C</v>
      </c>
      <c r="B5958" s="403" t="s">
        <v>1431</v>
      </c>
      <c r="C5958" s="403" t="s">
        <v>582</v>
      </c>
      <c r="D5958" s="403" t="s">
        <v>1432</v>
      </c>
      <c r="E5958" s="403" t="s">
        <v>778</v>
      </c>
      <c r="F5958" s="403" t="s">
        <v>1287</v>
      </c>
      <c r="G5958" s="403" t="s">
        <v>1466</v>
      </c>
      <c r="H5958" s="403" t="s">
        <v>1276</v>
      </c>
      <c r="I5958" s="403">
        <v>1</v>
      </c>
      <c r="J5958" s="403" t="s">
        <v>109</v>
      </c>
      <c r="K5958" s="403">
        <v>1280</v>
      </c>
      <c r="L5958" s="403">
        <v>720</v>
      </c>
      <c r="M5958" s="403" t="s">
        <v>109</v>
      </c>
      <c r="N5958" s="403">
        <v>1280</v>
      </c>
      <c r="O5958" s="403">
        <v>720</v>
      </c>
      <c r="P5958" t="str">
        <f t="shared" si="745"/>
        <v>25fps 720p - 720p</v>
      </c>
      <c r="Q5958">
        <f t="shared" si="746"/>
        <v>27</v>
      </c>
      <c r="R5958" t="str">
        <f t="shared" si="747"/>
        <v/>
      </c>
      <c r="S5958" t="str">
        <f t="shared" si="748"/>
        <v/>
      </c>
      <c r="T5958" s="403" t="str">
        <f t="shared" si="749"/>
        <v>NDP-7512-Z30C</v>
      </c>
      <c r="U5958" s="403">
        <f t="shared" si="750"/>
        <v>1</v>
      </c>
      <c r="V5958" s="403" t="str">
        <f t="shared" si="751"/>
        <v>CPP_7_3</v>
      </c>
    </row>
    <row r="5959" spans="1:22">
      <c r="A5959" t="str">
        <f t="shared" si="744"/>
        <v>NDP-7512-Z30C</v>
      </c>
      <c r="B5959" s="403" t="s">
        <v>1431</v>
      </c>
      <c r="C5959" s="403" t="s">
        <v>582</v>
      </c>
      <c r="D5959" s="403" t="s">
        <v>1432</v>
      </c>
      <c r="E5959" s="403" t="s">
        <v>778</v>
      </c>
      <c r="F5959" s="403" t="s">
        <v>1287</v>
      </c>
      <c r="G5959" s="403" t="s">
        <v>1466</v>
      </c>
      <c r="H5959" s="403" t="s">
        <v>1276</v>
      </c>
      <c r="I5959" s="403">
        <v>1</v>
      </c>
      <c r="J5959" s="403" t="s">
        <v>109</v>
      </c>
      <c r="K5959" s="403">
        <v>1280</v>
      </c>
      <c r="L5959" s="403">
        <v>720</v>
      </c>
      <c r="M5959" s="403" t="s">
        <v>111</v>
      </c>
      <c r="N5959" s="403">
        <v>768</v>
      </c>
      <c r="O5959" s="403">
        <v>432</v>
      </c>
      <c r="P5959" t="str">
        <f t="shared" si="745"/>
        <v>25fps 720p - SD</v>
      </c>
      <c r="Q5959">
        <f t="shared" si="746"/>
        <v>27</v>
      </c>
      <c r="R5959" t="str">
        <f t="shared" si="747"/>
        <v/>
      </c>
      <c r="S5959" t="str">
        <f t="shared" si="748"/>
        <v/>
      </c>
      <c r="T5959" s="403" t="str">
        <f t="shared" si="749"/>
        <v>NDP-7512-Z30C</v>
      </c>
      <c r="U5959" s="403">
        <f t="shared" si="750"/>
        <v>1</v>
      </c>
      <c r="V5959" s="403" t="str">
        <f t="shared" si="751"/>
        <v>CPP_7_3</v>
      </c>
    </row>
    <row r="5960" spans="1:22">
      <c r="A5960" t="str">
        <f t="shared" si="744"/>
        <v>NDP-7512-Z30C</v>
      </c>
      <c r="B5960" s="403" t="s">
        <v>1431</v>
      </c>
      <c r="C5960" s="403" t="s">
        <v>582</v>
      </c>
      <c r="D5960" s="403" t="s">
        <v>1432</v>
      </c>
      <c r="E5960" s="403" t="s">
        <v>778</v>
      </c>
      <c r="F5960" s="403" t="s">
        <v>1287</v>
      </c>
      <c r="G5960" s="403" t="s">
        <v>1466</v>
      </c>
      <c r="H5960" s="403" t="s">
        <v>1276</v>
      </c>
      <c r="I5960" s="403">
        <v>1</v>
      </c>
      <c r="J5960" s="403" t="s">
        <v>109</v>
      </c>
      <c r="K5960" s="403">
        <v>1280</v>
      </c>
      <c r="L5960" s="403">
        <v>720</v>
      </c>
      <c r="M5960" s="403" t="s">
        <v>1283</v>
      </c>
      <c r="N5960" s="403">
        <v>720</v>
      </c>
      <c r="O5960" s="403">
        <v>576</v>
      </c>
      <c r="P5960" t="str">
        <f t="shared" si="745"/>
        <v>25fps 720p - SD 4CIF resolution 4:3 format (cropped)</v>
      </c>
      <c r="Q5960">
        <f t="shared" si="746"/>
        <v>27</v>
      </c>
      <c r="R5960" t="str">
        <f t="shared" si="747"/>
        <v/>
      </c>
      <c r="S5960" t="str">
        <f t="shared" si="748"/>
        <v/>
      </c>
      <c r="T5960" s="403" t="str">
        <f t="shared" si="749"/>
        <v>NDP-7512-Z30C</v>
      </c>
      <c r="U5960" s="403">
        <f t="shared" si="750"/>
        <v>1</v>
      </c>
      <c r="V5960" s="403" t="str">
        <f t="shared" si="751"/>
        <v>CPP_7_3</v>
      </c>
    </row>
    <row r="5961" spans="1:22">
      <c r="A5961" t="str">
        <f t="shared" si="744"/>
        <v>NDP-7512-Z30C</v>
      </c>
      <c r="B5961" s="403" t="s">
        <v>1431</v>
      </c>
      <c r="C5961" s="403" t="s">
        <v>582</v>
      </c>
      <c r="D5961" s="403" t="s">
        <v>1432</v>
      </c>
      <c r="E5961" s="403" t="s">
        <v>778</v>
      </c>
      <c r="F5961" s="403" t="s">
        <v>1287</v>
      </c>
      <c r="G5961" s="403" t="s">
        <v>1466</v>
      </c>
      <c r="H5961" s="403" t="s">
        <v>1276</v>
      </c>
      <c r="I5961" s="403">
        <v>1</v>
      </c>
      <c r="J5961" s="403" t="s">
        <v>109</v>
      </c>
      <c r="K5961" s="403">
        <v>1280</v>
      </c>
      <c r="L5961" s="403">
        <v>720</v>
      </c>
      <c r="M5961" s="403" t="s">
        <v>1284</v>
      </c>
      <c r="N5961" s="403">
        <v>640</v>
      </c>
      <c r="O5961" s="403">
        <v>480</v>
      </c>
      <c r="P5961" t="str">
        <f t="shared" si="745"/>
        <v>25fps 720p - SD VGA (cropped)</v>
      </c>
      <c r="Q5961">
        <f t="shared" si="746"/>
        <v>27</v>
      </c>
      <c r="R5961" t="str">
        <f t="shared" si="747"/>
        <v/>
      </c>
      <c r="S5961" t="str">
        <f t="shared" si="748"/>
        <v/>
      </c>
      <c r="T5961" s="403" t="str">
        <f t="shared" si="749"/>
        <v>NDP-7512-Z30C</v>
      </c>
      <c r="U5961" s="403">
        <f t="shared" si="750"/>
        <v>1</v>
      </c>
      <c r="V5961" s="403" t="str">
        <f t="shared" si="751"/>
        <v>CPP_7_3</v>
      </c>
    </row>
    <row r="5962" spans="1:22">
      <c r="A5962" t="str">
        <f t="shared" si="744"/>
        <v>NDP-7512-Z30C</v>
      </c>
      <c r="B5962" s="403" t="s">
        <v>1431</v>
      </c>
      <c r="C5962" s="403" t="s">
        <v>582</v>
      </c>
      <c r="D5962" s="403" t="s">
        <v>1432</v>
      </c>
      <c r="E5962" s="403" t="s">
        <v>778</v>
      </c>
      <c r="F5962" s="403" t="s">
        <v>1287</v>
      </c>
      <c r="G5962" s="403" t="s">
        <v>1466</v>
      </c>
      <c r="H5962" s="403" t="s">
        <v>1281</v>
      </c>
      <c r="I5962" s="403">
        <v>1</v>
      </c>
      <c r="J5962" s="403" t="s">
        <v>110</v>
      </c>
      <c r="K5962" s="403">
        <v>1920</v>
      </c>
      <c r="L5962" s="403">
        <v>1080</v>
      </c>
      <c r="M5962" s="403" t="s">
        <v>111</v>
      </c>
      <c r="N5962" s="403">
        <v>768</v>
      </c>
      <c r="O5962" s="403">
        <v>432</v>
      </c>
      <c r="P5962" t="str">
        <f t="shared" si="745"/>
        <v>25fps 1080p - SD</v>
      </c>
      <c r="Q5962">
        <f t="shared" si="746"/>
        <v>27</v>
      </c>
      <c r="R5962" t="str">
        <f t="shared" si="747"/>
        <v/>
      </c>
      <c r="S5962" t="str">
        <f t="shared" si="748"/>
        <v/>
      </c>
      <c r="T5962" s="403" t="str">
        <f t="shared" si="749"/>
        <v>NDP-7512-Z30C</v>
      </c>
      <c r="U5962" s="403">
        <f t="shared" si="750"/>
        <v>1</v>
      </c>
      <c r="V5962" s="403" t="str">
        <f t="shared" si="751"/>
        <v>CPP_7_3</v>
      </c>
    </row>
    <row r="5963" spans="1:22">
      <c r="A5963" t="str">
        <f t="shared" si="744"/>
        <v>NDP-7512-Z30C</v>
      </c>
      <c r="B5963" s="403" t="s">
        <v>1431</v>
      </c>
      <c r="C5963" s="403" t="s">
        <v>582</v>
      </c>
      <c r="D5963" s="403" t="s">
        <v>1432</v>
      </c>
      <c r="E5963" s="403" t="s">
        <v>778</v>
      </c>
      <c r="F5963" s="403" t="s">
        <v>1287</v>
      </c>
      <c r="G5963" s="403" t="s">
        <v>1466</v>
      </c>
      <c r="H5963" s="403" t="s">
        <v>1281</v>
      </c>
      <c r="I5963" s="403">
        <v>1</v>
      </c>
      <c r="J5963" s="403" t="s">
        <v>110</v>
      </c>
      <c r="K5963" s="403">
        <v>1920</v>
      </c>
      <c r="L5963" s="403">
        <v>1080</v>
      </c>
      <c r="M5963" s="403" t="s">
        <v>110</v>
      </c>
      <c r="N5963" s="403">
        <v>1920</v>
      </c>
      <c r="O5963" s="403">
        <v>1080</v>
      </c>
      <c r="P5963" t="str">
        <f t="shared" si="745"/>
        <v>25fps 1080p - 1080p</v>
      </c>
      <c r="Q5963">
        <f t="shared" si="746"/>
        <v>27</v>
      </c>
      <c r="R5963" t="str">
        <f t="shared" si="747"/>
        <v/>
      </c>
      <c r="S5963" t="str">
        <f t="shared" si="748"/>
        <v/>
      </c>
      <c r="T5963" s="403" t="str">
        <f t="shared" si="749"/>
        <v>NDP-7512-Z30C</v>
      </c>
      <c r="U5963" s="403">
        <f t="shared" si="750"/>
        <v>1</v>
      </c>
      <c r="V5963" s="403" t="str">
        <f t="shared" si="751"/>
        <v>CPP_7_3</v>
      </c>
    </row>
    <row r="5964" spans="1:22">
      <c r="A5964" t="str">
        <f t="shared" si="744"/>
        <v>NDP-7512-Z30C</v>
      </c>
      <c r="B5964" s="403" t="s">
        <v>1431</v>
      </c>
      <c r="C5964" s="403" t="s">
        <v>582</v>
      </c>
      <c r="D5964" s="403" t="s">
        <v>1432</v>
      </c>
      <c r="E5964" s="403" t="s">
        <v>778</v>
      </c>
      <c r="F5964" s="403" t="s">
        <v>1287</v>
      </c>
      <c r="G5964" s="403" t="s">
        <v>1466</v>
      </c>
      <c r="H5964" s="403" t="s">
        <v>1281</v>
      </c>
      <c r="I5964" s="403">
        <v>1</v>
      </c>
      <c r="J5964" s="403" t="s">
        <v>110</v>
      </c>
      <c r="K5964" s="403">
        <v>1920</v>
      </c>
      <c r="L5964" s="403">
        <v>1080</v>
      </c>
      <c r="M5964" s="403" t="s">
        <v>109</v>
      </c>
      <c r="N5964" s="403">
        <v>1280</v>
      </c>
      <c r="O5964" s="403">
        <v>720</v>
      </c>
      <c r="P5964" t="str">
        <f t="shared" si="745"/>
        <v>25fps 1080p - 720p</v>
      </c>
      <c r="Q5964">
        <f t="shared" si="746"/>
        <v>27</v>
      </c>
      <c r="R5964" t="str">
        <f t="shared" si="747"/>
        <v/>
      </c>
      <c r="S5964" t="str">
        <f t="shared" si="748"/>
        <v/>
      </c>
      <c r="T5964" s="403" t="str">
        <f t="shared" si="749"/>
        <v>NDP-7512-Z30C</v>
      </c>
      <c r="U5964" s="403">
        <f t="shared" si="750"/>
        <v>1</v>
      </c>
      <c r="V5964" s="403" t="str">
        <f t="shared" si="751"/>
        <v>CPP_7_3</v>
      </c>
    </row>
    <row r="5965" spans="1:22">
      <c r="A5965" t="str">
        <f t="shared" si="744"/>
        <v>NDP-7512-Z30C</v>
      </c>
      <c r="B5965" s="403" t="s">
        <v>1431</v>
      </c>
      <c r="C5965" s="403" t="s">
        <v>582</v>
      </c>
      <c r="D5965" s="403" t="s">
        <v>1432</v>
      </c>
      <c r="E5965" s="403" t="s">
        <v>778</v>
      </c>
      <c r="F5965" s="403" t="s">
        <v>1287</v>
      </c>
      <c r="G5965" s="403" t="s">
        <v>1466</v>
      </c>
      <c r="H5965" s="403" t="s">
        <v>1281</v>
      </c>
      <c r="I5965" s="403">
        <v>1</v>
      </c>
      <c r="J5965" s="403" t="s">
        <v>110</v>
      </c>
      <c r="K5965" s="403">
        <v>1920</v>
      </c>
      <c r="L5965" s="403">
        <v>1080</v>
      </c>
      <c r="M5965" s="403" t="s">
        <v>1285</v>
      </c>
      <c r="N5965" s="403">
        <v>1280</v>
      </c>
      <c r="O5965" s="403">
        <v>1024</v>
      </c>
      <c r="P5965" t="str">
        <f t="shared" si="745"/>
        <v>25fps 1080p - 1280x1024 5:4 (cropped)</v>
      </c>
      <c r="Q5965">
        <f t="shared" si="746"/>
        <v>27</v>
      </c>
      <c r="R5965" t="str">
        <f t="shared" si="747"/>
        <v/>
      </c>
      <c r="S5965" t="str">
        <f t="shared" si="748"/>
        <v/>
      </c>
      <c r="T5965" s="403" t="str">
        <f t="shared" si="749"/>
        <v>NDP-7512-Z30C</v>
      </c>
      <c r="U5965" s="403">
        <f t="shared" si="750"/>
        <v>1</v>
      </c>
      <c r="V5965" s="403" t="str">
        <f t="shared" si="751"/>
        <v>CPP_7_3</v>
      </c>
    </row>
    <row r="5966" spans="1:22">
      <c r="A5966" t="str">
        <f t="shared" si="744"/>
        <v>NDP-7512-Z30C</v>
      </c>
      <c r="B5966" s="403" t="s">
        <v>1431</v>
      </c>
      <c r="C5966" s="403" t="s">
        <v>582</v>
      </c>
      <c r="D5966" s="403" t="s">
        <v>1432</v>
      </c>
      <c r="E5966" s="403" t="s">
        <v>778</v>
      </c>
      <c r="F5966" s="403" t="s">
        <v>1287</v>
      </c>
      <c r="G5966" s="403" t="s">
        <v>1466</v>
      </c>
      <c r="H5966" s="403" t="s">
        <v>1281</v>
      </c>
      <c r="I5966" s="403">
        <v>1</v>
      </c>
      <c r="J5966" s="403" t="s">
        <v>110</v>
      </c>
      <c r="K5966" s="403">
        <v>1920</v>
      </c>
      <c r="L5966" s="403">
        <v>1080</v>
      </c>
      <c r="M5966" s="403" t="s">
        <v>1283</v>
      </c>
      <c r="N5966" s="403">
        <v>720</v>
      </c>
      <c r="O5966" s="403">
        <v>576</v>
      </c>
      <c r="P5966" t="str">
        <f t="shared" si="745"/>
        <v>25fps 1080p - SD 4CIF resolution 4:3 format (cropped)</v>
      </c>
      <c r="Q5966">
        <f t="shared" si="746"/>
        <v>27</v>
      </c>
      <c r="R5966" t="str">
        <f t="shared" si="747"/>
        <v/>
      </c>
      <c r="S5966" t="str">
        <f t="shared" si="748"/>
        <v/>
      </c>
      <c r="T5966" s="403" t="str">
        <f t="shared" si="749"/>
        <v>NDP-7512-Z30C</v>
      </c>
      <c r="U5966" s="403">
        <f t="shared" si="750"/>
        <v>1</v>
      </c>
      <c r="V5966" s="403" t="str">
        <f t="shared" si="751"/>
        <v>CPP_7_3</v>
      </c>
    </row>
    <row r="5967" spans="1:22">
      <c r="A5967" t="str">
        <f t="shared" si="744"/>
        <v>NDP-7512-Z30C</v>
      </c>
      <c r="B5967" s="403" t="s">
        <v>1431</v>
      </c>
      <c r="C5967" s="403" t="s">
        <v>582</v>
      </c>
      <c r="D5967" s="403" t="s">
        <v>1432</v>
      </c>
      <c r="E5967" s="403" t="s">
        <v>778</v>
      </c>
      <c r="F5967" s="403" t="s">
        <v>1287</v>
      </c>
      <c r="G5967" s="403" t="s">
        <v>1466</v>
      </c>
      <c r="H5967" s="403" t="s">
        <v>1281</v>
      </c>
      <c r="I5967" s="403">
        <v>1</v>
      </c>
      <c r="J5967" s="403" t="s">
        <v>110</v>
      </c>
      <c r="K5967" s="403">
        <v>1920</v>
      </c>
      <c r="L5967" s="403">
        <v>1080</v>
      </c>
      <c r="M5967" s="403" t="s">
        <v>1284</v>
      </c>
      <c r="N5967" s="403">
        <v>640</v>
      </c>
      <c r="O5967" s="403">
        <v>480</v>
      </c>
      <c r="P5967" t="str">
        <f t="shared" si="745"/>
        <v>25fps 1080p - SD VGA (cropped)</v>
      </c>
      <c r="Q5967">
        <f t="shared" si="746"/>
        <v>27</v>
      </c>
      <c r="R5967" t="str">
        <f t="shared" si="747"/>
        <v/>
      </c>
      <c r="S5967" t="str">
        <f t="shared" si="748"/>
        <v/>
      </c>
      <c r="T5967" s="403" t="str">
        <f t="shared" si="749"/>
        <v>NDP-7512-Z30C</v>
      </c>
      <c r="U5967" s="403">
        <f t="shared" si="750"/>
        <v>1</v>
      </c>
      <c r="V5967" s="403" t="str">
        <f t="shared" si="751"/>
        <v>CPP_7_3</v>
      </c>
    </row>
    <row r="5968" spans="1:22">
      <c r="A5968" t="str">
        <f t="shared" si="744"/>
        <v>NDP-7512-Z30C</v>
      </c>
      <c r="B5968" s="403" t="s">
        <v>1431</v>
      </c>
      <c r="C5968" s="403" t="s">
        <v>582</v>
      </c>
      <c r="D5968" s="403" t="s">
        <v>1432</v>
      </c>
      <c r="E5968" s="403" t="s">
        <v>778</v>
      </c>
      <c r="F5968" s="403" t="s">
        <v>1287</v>
      </c>
      <c r="G5968" s="403" t="s">
        <v>1466</v>
      </c>
      <c r="H5968" s="403" t="s">
        <v>1281</v>
      </c>
      <c r="I5968" s="403">
        <v>1</v>
      </c>
      <c r="J5968" s="403" t="s">
        <v>109</v>
      </c>
      <c r="K5968" s="403">
        <v>1280</v>
      </c>
      <c r="L5968" s="403">
        <v>720</v>
      </c>
      <c r="M5968" s="403" t="s">
        <v>109</v>
      </c>
      <c r="N5968" s="403">
        <v>1280</v>
      </c>
      <c r="O5968" s="403">
        <v>720</v>
      </c>
      <c r="P5968" t="str">
        <f t="shared" si="745"/>
        <v>25fps 720p - 720p</v>
      </c>
      <c r="Q5968">
        <f t="shared" si="746"/>
        <v>27</v>
      </c>
      <c r="R5968" t="str">
        <f t="shared" si="747"/>
        <v/>
      </c>
      <c r="S5968" t="str">
        <f t="shared" si="748"/>
        <v/>
      </c>
      <c r="T5968" s="403" t="str">
        <f t="shared" si="749"/>
        <v>NDP-7512-Z30C</v>
      </c>
      <c r="U5968" s="403">
        <f t="shared" si="750"/>
        <v>1</v>
      </c>
      <c r="V5968" s="403" t="str">
        <f t="shared" si="751"/>
        <v>CPP_7_3</v>
      </c>
    </row>
    <row r="5969" spans="1:22">
      <c r="A5969" t="str">
        <f t="shared" si="744"/>
        <v>NDP-7512-Z30C</v>
      </c>
      <c r="B5969" s="403" t="s">
        <v>1431</v>
      </c>
      <c r="C5969" s="403" t="s">
        <v>582</v>
      </c>
      <c r="D5969" s="403" t="s">
        <v>1432</v>
      </c>
      <c r="E5969" s="403" t="s">
        <v>778</v>
      </c>
      <c r="F5969" s="403" t="s">
        <v>1287</v>
      </c>
      <c r="G5969" s="403" t="s">
        <v>1466</v>
      </c>
      <c r="H5969" s="403" t="s">
        <v>1281</v>
      </c>
      <c r="I5969" s="403">
        <v>1</v>
      </c>
      <c r="J5969" s="403" t="s">
        <v>109</v>
      </c>
      <c r="K5969" s="403">
        <v>1280</v>
      </c>
      <c r="L5969" s="403">
        <v>720</v>
      </c>
      <c r="M5969" s="403" t="s">
        <v>111</v>
      </c>
      <c r="N5969" s="403">
        <v>768</v>
      </c>
      <c r="O5969" s="403">
        <v>432</v>
      </c>
      <c r="P5969" t="str">
        <f t="shared" si="745"/>
        <v>25fps 720p - SD</v>
      </c>
      <c r="Q5969">
        <f t="shared" si="746"/>
        <v>27</v>
      </c>
      <c r="R5969" t="str">
        <f t="shared" si="747"/>
        <v/>
      </c>
      <c r="S5969" t="str">
        <f t="shared" si="748"/>
        <v/>
      </c>
      <c r="T5969" s="403" t="str">
        <f t="shared" si="749"/>
        <v>NDP-7512-Z30C</v>
      </c>
      <c r="U5969" s="403">
        <f t="shared" si="750"/>
        <v>1</v>
      </c>
      <c r="V5969" s="403" t="str">
        <f t="shared" si="751"/>
        <v>CPP_7_3</v>
      </c>
    </row>
    <row r="5970" spans="1:22">
      <c r="A5970" t="str">
        <f t="shared" si="744"/>
        <v>NDP-7512-Z30C</v>
      </c>
      <c r="B5970" s="403" t="s">
        <v>1431</v>
      </c>
      <c r="C5970" s="403" t="s">
        <v>582</v>
      </c>
      <c r="D5970" s="403" t="s">
        <v>1432</v>
      </c>
      <c r="E5970" s="403" t="s">
        <v>778</v>
      </c>
      <c r="F5970" s="403" t="s">
        <v>1287</v>
      </c>
      <c r="G5970" s="403" t="s">
        <v>1466</v>
      </c>
      <c r="H5970" s="403" t="s">
        <v>1281</v>
      </c>
      <c r="I5970" s="403">
        <v>1</v>
      </c>
      <c r="J5970" s="403" t="s">
        <v>109</v>
      </c>
      <c r="K5970" s="403">
        <v>1280</v>
      </c>
      <c r="L5970" s="403">
        <v>720</v>
      </c>
      <c r="M5970" s="403" t="s">
        <v>1283</v>
      </c>
      <c r="N5970" s="403">
        <v>720</v>
      </c>
      <c r="O5970" s="403">
        <v>576</v>
      </c>
      <c r="P5970" t="str">
        <f t="shared" si="745"/>
        <v>25fps 720p - SD 4CIF resolution 4:3 format (cropped)</v>
      </c>
      <c r="Q5970">
        <f t="shared" si="746"/>
        <v>27</v>
      </c>
      <c r="R5970" t="str">
        <f t="shared" si="747"/>
        <v/>
      </c>
      <c r="S5970" t="str">
        <f t="shared" si="748"/>
        <v/>
      </c>
      <c r="T5970" s="403" t="str">
        <f t="shared" si="749"/>
        <v>NDP-7512-Z30C</v>
      </c>
      <c r="U5970" s="403">
        <f t="shared" si="750"/>
        <v>1</v>
      </c>
      <c r="V5970" s="403" t="str">
        <f t="shared" si="751"/>
        <v>CPP_7_3</v>
      </c>
    </row>
    <row r="5971" spans="1:22">
      <c r="A5971" t="str">
        <f t="shared" si="744"/>
        <v>NDP-7512-Z30C</v>
      </c>
      <c r="B5971" s="403" t="s">
        <v>1431</v>
      </c>
      <c r="C5971" s="403" t="s">
        <v>582</v>
      </c>
      <c r="D5971" s="403" t="s">
        <v>1432</v>
      </c>
      <c r="E5971" s="403" t="s">
        <v>778</v>
      </c>
      <c r="F5971" s="403" t="s">
        <v>1287</v>
      </c>
      <c r="G5971" s="403" t="s">
        <v>1466</v>
      </c>
      <c r="H5971" s="403" t="s">
        <v>1281</v>
      </c>
      <c r="I5971" s="403">
        <v>1</v>
      </c>
      <c r="J5971" s="403" t="s">
        <v>109</v>
      </c>
      <c r="K5971" s="403">
        <v>1280</v>
      </c>
      <c r="L5971" s="403">
        <v>720</v>
      </c>
      <c r="M5971" s="403" t="s">
        <v>1284</v>
      </c>
      <c r="N5971" s="403">
        <v>640</v>
      </c>
      <c r="O5971" s="403">
        <v>480</v>
      </c>
      <c r="P5971" t="str">
        <f t="shared" si="745"/>
        <v>25fps 720p - SD VGA (cropped)</v>
      </c>
      <c r="Q5971">
        <f t="shared" si="746"/>
        <v>27</v>
      </c>
      <c r="R5971" t="str">
        <f t="shared" si="747"/>
        <v/>
      </c>
      <c r="S5971" t="str">
        <f t="shared" si="748"/>
        <v/>
      </c>
      <c r="T5971" s="403" t="str">
        <f t="shared" si="749"/>
        <v>NDP-7512-Z30C</v>
      </c>
      <c r="U5971" s="403">
        <f t="shared" si="750"/>
        <v>1</v>
      </c>
      <c r="V5971" s="403" t="str">
        <f t="shared" si="751"/>
        <v>CPP_7_3</v>
      </c>
    </row>
    <row r="5972" spans="1:22">
      <c r="A5972" t="str">
        <f t="shared" si="744"/>
        <v>NDP-7512-Z30C</v>
      </c>
      <c r="B5972" s="403" t="s">
        <v>1431</v>
      </c>
      <c r="C5972" s="403" t="s">
        <v>582</v>
      </c>
      <c r="D5972" s="403" t="s">
        <v>1432</v>
      </c>
      <c r="E5972" s="403" t="s">
        <v>778</v>
      </c>
      <c r="F5972" s="403" t="s">
        <v>1287</v>
      </c>
      <c r="G5972" s="403" t="s">
        <v>1466</v>
      </c>
      <c r="H5972" s="403" t="s">
        <v>1282</v>
      </c>
      <c r="I5972" s="403">
        <v>1</v>
      </c>
      <c r="J5972" s="403" t="s">
        <v>110</v>
      </c>
      <c r="K5972" s="403">
        <v>1920</v>
      </c>
      <c r="L5972" s="403">
        <v>1080</v>
      </c>
      <c r="M5972" s="403" t="s">
        <v>111</v>
      </c>
      <c r="N5972" s="403">
        <v>768</v>
      </c>
      <c r="O5972" s="403">
        <v>432</v>
      </c>
      <c r="P5972" t="str">
        <f t="shared" si="745"/>
        <v>25fps 1080p - SD</v>
      </c>
      <c r="Q5972">
        <f t="shared" si="746"/>
        <v>27</v>
      </c>
      <c r="R5972" t="str">
        <f t="shared" si="747"/>
        <v/>
      </c>
      <c r="S5972" t="str">
        <f t="shared" si="748"/>
        <v/>
      </c>
      <c r="T5972" s="403" t="str">
        <f t="shared" si="749"/>
        <v>NDP-7512-Z30C</v>
      </c>
      <c r="U5972" s="403">
        <f t="shared" si="750"/>
        <v>1</v>
      </c>
      <c r="V5972" s="403" t="str">
        <f t="shared" si="751"/>
        <v>CPP_7_3</v>
      </c>
    </row>
    <row r="5973" spans="1:22">
      <c r="A5973" t="str">
        <f t="shared" si="744"/>
        <v>NDP-7512-Z30C</v>
      </c>
      <c r="B5973" s="403" t="s">
        <v>1431</v>
      </c>
      <c r="C5973" s="403" t="s">
        <v>582</v>
      </c>
      <c r="D5973" s="403" t="s">
        <v>1432</v>
      </c>
      <c r="E5973" s="403" t="s">
        <v>778</v>
      </c>
      <c r="F5973" s="403" t="s">
        <v>1287</v>
      </c>
      <c r="G5973" s="403" t="s">
        <v>1466</v>
      </c>
      <c r="H5973" s="403" t="s">
        <v>1282</v>
      </c>
      <c r="I5973" s="403">
        <v>1</v>
      </c>
      <c r="J5973" s="403" t="s">
        <v>110</v>
      </c>
      <c r="K5973" s="403">
        <v>1920</v>
      </c>
      <c r="L5973" s="403">
        <v>1080</v>
      </c>
      <c r="M5973" s="403" t="s">
        <v>110</v>
      </c>
      <c r="N5973" s="403">
        <v>1920</v>
      </c>
      <c r="O5973" s="403">
        <v>1080</v>
      </c>
      <c r="P5973" t="str">
        <f t="shared" si="745"/>
        <v>25fps 1080p - 1080p</v>
      </c>
      <c r="Q5973">
        <f t="shared" si="746"/>
        <v>27</v>
      </c>
      <c r="R5973" t="str">
        <f t="shared" si="747"/>
        <v/>
      </c>
      <c r="S5973" t="str">
        <f t="shared" si="748"/>
        <v/>
      </c>
      <c r="T5973" s="403" t="str">
        <f t="shared" si="749"/>
        <v>NDP-7512-Z30C</v>
      </c>
      <c r="U5973" s="403">
        <f t="shared" si="750"/>
        <v>1</v>
      </c>
      <c r="V5973" s="403" t="str">
        <f t="shared" si="751"/>
        <v>CPP_7_3</v>
      </c>
    </row>
    <row r="5974" spans="1:22">
      <c r="A5974" t="str">
        <f t="shared" si="744"/>
        <v>NDP-7512-Z30C</v>
      </c>
      <c r="B5974" s="403" t="s">
        <v>1431</v>
      </c>
      <c r="C5974" s="403" t="s">
        <v>582</v>
      </c>
      <c r="D5974" s="403" t="s">
        <v>1432</v>
      </c>
      <c r="E5974" s="403" t="s">
        <v>778</v>
      </c>
      <c r="F5974" s="403" t="s">
        <v>1287</v>
      </c>
      <c r="G5974" s="403" t="s">
        <v>1466</v>
      </c>
      <c r="H5974" s="403" t="s">
        <v>1282</v>
      </c>
      <c r="I5974" s="403">
        <v>1</v>
      </c>
      <c r="J5974" s="403" t="s">
        <v>110</v>
      </c>
      <c r="K5974" s="403">
        <v>1920</v>
      </c>
      <c r="L5974" s="403">
        <v>1080</v>
      </c>
      <c r="M5974" s="403" t="s">
        <v>109</v>
      </c>
      <c r="N5974" s="403">
        <v>1280</v>
      </c>
      <c r="O5974" s="403">
        <v>720</v>
      </c>
      <c r="P5974" t="str">
        <f t="shared" si="745"/>
        <v>25fps 1080p - 720p</v>
      </c>
      <c r="Q5974">
        <f t="shared" si="746"/>
        <v>27</v>
      </c>
      <c r="R5974" t="str">
        <f t="shared" si="747"/>
        <v/>
      </c>
      <c r="S5974" t="str">
        <f t="shared" si="748"/>
        <v/>
      </c>
      <c r="T5974" s="403" t="str">
        <f t="shared" si="749"/>
        <v>NDP-7512-Z30C</v>
      </c>
      <c r="U5974" s="403">
        <f t="shared" si="750"/>
        <v>1</v>
      </c>
      <c r="V5974" s="403" t="str">
        <f t="shared" si="751"/>
        <v>CPP_7_3</v>
      </c>
    </row>
    <row r="5975" spans="1:22">
      <c r="A5975" t="str">
        <f t="shared" si="744"/>
        <v>NDP-7512-Z30C</v>
      </c>
      <c r="B5975" s="403" t="s">
        <v>1431</v>
      </c>
      <c r="C5975" s="403" t="s">
        <v>582</v>
      </c>
      <c r="D5975" s="403" t="s">
        <v>1432</v>
      </c>
      <c r="E5975" s="403" t="s">
        <v>778</v>
      </c>
      <c r="F5975" s="403" t="s">
        <v>1287</v>
      </c>
      <c r="G5975" s="403" t="s">
        <v>1466</v>
      </c>
      <c r="H5975" s="403" t="s">
        <v>1282</v>
      </c>
      <c r="I5975" s="403">
        <v>1</v>
      </c>
      <c r="J5975" s="403" t="s">
        <v>110</v>
      </c>
      <c r="K5975" s="403">
        <v>1920</v>
      </c>
      <c r="L5975" s="403">
        <v>1080</v>
      </c>
      <c r="M5975" s="403" t="s">
        <v>1285</v>
      </c>
      <c r="N5975" s="403">
        <v>1280</v>
      </c>
      <c r="O5975" s="403">
        <v>1024</v>
      </c>
      <c r="P5975" t="str">
        <f t="shared" si="745"/>
        <v>25fps 1080p - 1280x1024 5:4 (cropped)</v>
      </c>
      <c r="Q5975">
        <f t="shared" si="746"/>
        <v>27</v>
      </c>
      <c r="R5975" t="str">
        <f t="shared" si="747"/>
        <v/>
      </c>
      <c r="S5975" t="str">
        <f t="shared" si="748"/>
        <v/>
      </c>
      <c r="T5975" s="403" t="str">
        <f t="shared" si="749"/>
        <v>NDP-7512-Z30C</v>
      </c>
      <c r="U5975" s="403">
        <f t="shared" si="750"/>
        <v>1</v>
      </c>
      <c r="V5975" s="403" t="str">
        <f t="shared" si="751"/>
        <v>CPP_7_3</v>
      </c>
    </row>
    <row r="5976" spans="1:22">
      <c r="A5976" t="str">
        <f t="shared" si="744"/>
        <v>NDP-7512-Z30C</v>
      </c>
      <c r="B5976" s="403" t="s">
        <v>1431</v>
      </c>
      <c r="C5976" s="403" t="s">
        <v>582</v>
      </c>
      <c r="D5976" s="403" t="s">
        <v>1432</v>
      </c>
      <c r="E5976" s="403" t="s">
        <v>778</v>
      </c>
      <c r="F5976" s="403" t="s">
        <v>1287</v>
      </c>
      <c r="G5976" s="403" t="s">
        <v>1466</v>
      </c>
      <c r="H5976" s="403" t="s">
        <v>1282</v>
      </c>
      <c r="I5976" s="403">
        <v>1</v>
      </c>
      <c r="J5976" s="403" t="s">
        <v>110</v>
      </c>
      <c r="K5976" s="403">
        <v>1920</v>
      </c>
      <c r="L5976" s="403">
        <v>1080</v>
      </c>
      <c r="M5976" s="403" t="s">
        <v>1283</v>
      </c>
      <c r="N5976" s="403">
        <v>720</v>
      </c>
      <c r="O5976" s="403">
        <v>576</v>
      </c>
      <c r="P5976" t="str">
        <f t="shared" si="745"/>
        <v>25fps 1080p - SD 4CIF resolution 4:3 format (cropped)</v>
      </c>
      <c r="Q5976">
        <f t="shared" si="746"/>
        <v>27</v>
      </c>
      <c r="R5976" t="str">
        <f t="shared" si="747"/>
        <v/>
      </c>
      <c r="S5976" t="str">
        <f t="shared" si="748"/>
        <v/>
      </c>
      <c r="T5976" s="403" t="str">
        <f t="shared" si="749"/>
        <v>NDP-7512-Z30C</v>
      </c>
      <c r="U5976" s="403">
        <f t="shared" si="750"/>
        <v>1</v>
      </c>
      <c r="V5976" s="403" t="str">
        <f t="shared" si="751"/>
        <v>CPP_7_3</v>
      </c>
    </row>
    <row r="5977" spans="1:22">
      <c r="A5977" t="str">
        <f t="shared" si="744"/>
        <v>NDP-7512-Z30C</v>
      </c>
      <c r="B5977" s="403" t="s">
        <v>1431</v>
      </c>
      <c r="C5977" s="403" t="s">
        <v>582</v>
      </c>
      <c r="D5977" s="403" t="s">
        <v>1432</v>
      </c>
      <c r="E5977" s="403" t="s">
        <v>778</v>
      </c>
      <c r="F5977" s="403" t="s">
        <v>1287</v>
      </c>
      <c r="G5977" s="403" t="s">
        <v>1466</v>
      </c>
      <c r="H5977" s="403" t="s">
        <v>1282</v>
      </c>
      <c r="I5977" s="403">
        <v>1</v>
      </c>
      <c r="J5977" s="403" t="s">
        <v>110</v>
      </c>
      <c r="K5977" s="403">
        <v>1920</v>
      </c>
      <c r="L5977" s="403">
        <v>1080</v>
      </c>
      <c r="M5977" s="403" t="s">
        <v>1284</v>
      </c>
      <c r="N5977" s="403">
        <v>640</v>
      </c>
      <c r="O5977" s="403">
        <v>480</v>
      </c>
      <c r="P5977" t="str">
        <f t="shared" si="745"/>
        <v>25fps 1080p - SD VGA (cropped)</v>
      </c>
      <c r="Q5977">
        <f t="shared" si="746"/>
        <v>27</v>
      </c>
      <c r="R5977" t="str">
        <f t="shared" si="747"/>
        <v/>
      </c>
      <c r="S5977" t="str">
        <f t="shared" si="748"/>
        <v/>
      </c>
      <c r="T5977" s="403" t="str">
        <f t="shared" si="749"/>
        <v>NDP-7512-Z30C</v>
      </c>
      <c r="U5977" s="403">
        <f t="shared" si="750"/>
        <v>1</v>
      </c>
      <c r="V5977" s="403" t="str">
        <f t="shared" si="751"/>
        <v>CPP_7_3</v>
      </c>
    </row>
    <row r="5978" spans="1:22">
      <c r="A5978" t="str">
        <f t="shared" si="744"/>
        <v>NDP-7512-Z30C</v>
      </c>
      <c r="B5978" s="403" t="s">
        <v>1431</v>
      </c>
      <c r="C5978" s="403" t="s">
        <v>582</v>
      </c>
      <c r="D5978" s="403" t="s">
        <v>1432</v>
      </c>
      <c r="E5978" s="403" t="s">
        <v>778</v>
      </c>
      <c r="F5978" s="403" t="s">
        <v>1287</v>
      </c>
      <c r="G5978" s="403" t="s">
        <v>1466</v>
      </c>
      <c r="H5978" s="403" t="s">
        <v>1282</v>
      </c>
      <c r="I5978" s="403">
        <v>1</v>
      </c>
      <c r="J5978" s="403" t="s">
        <v>109</v>
      </c>
      <c r="K5978" s="403">
        <v>1280</v>
      </c>
      <c r="L5978" s="403">
        <v>720</v>
      </c>
      <c r="M5978" s="403" t="s">
        <v>109</v>
      </c>
      <c r="N5978" s="403">
        <v>1280</v>
      </c>
      <c r="O5978" s="403">
        <v>720</v>
      </c>
      <c r="P5978" t="str">
        <f t="shared" si="745"/>
        <v>25fps 720p - 720p</v>
      </c>
      <c r="Q5978">
        <f t="shared" si="746"/>
        <v>27</v>
      </c>
      <c r="R5978" t="str">
        <f t="shared" si="747"/>
        <v/>
      </c>
      <c r="S5978" t="str">
        <f t="shared" si="748"/>
        <v/>
      </c>
      <c r="T5978" s="403" t="str">
        <f t="shared" si="749"/>
        <v>NDP-7512-Z30C</v>
      </c>
      <c r="U5978" s="403">
        <f t="shared" si="750"/>
        <v>1</v>
      </c>
      <c r="V5978" s="403" t="str">
        <f t="shared" si="751"/>
        <v>CPP_7_3</v>
      </c>
    </row>
    <row r="5979" spans="1:22">
      <c r="A5979" t="str">
        <f t="shared" si="744"/>
        <v>NDP-7512-Z30C</v>
      </c>
      <c r="B5979" s="403" t="s">
        <v>1431</v>
      </c>
      <c r="C5979" s="403" t="s">
        <v>582</v>
      </c>
      <c r="D5979" s="403" t="s">
        <v>1432</v>
      </c>
      <c r="E5979" s="403" t="s">
        <v>778</v>
      </c>
      <c r="F5979" s="403" t="s">
        <v>1287</v>
      </c>
      <c r="G5979" s="403" t="s">
        <v>1466</v>
      </c>
      <c r="H5979" s="403" t="s">
        <v>1282</v>
      </c>
      <c r="I5979" s="403">
        <v>1</v>
      </c>
      <c r="J5979" s="403" t="s">
        <v>109</v>
      </c>
      <c r="K5979" s="403">
        <v>1280</v>
      </c>
      <c r="L5979" s="403">
        <v>720</v>
      </c>
      <c r="M5979" s="403" t="s">
        <v>111</v>
      </c>
      <c r="N5979" s="403">
        <v>768</v>
      </c>
      <c r="O5979" s="403">
        <v>432</v>
      </c>
      <c r="P5979" t="str">
        <f t="shared" si="745"/>
        <v>25fps 720p - SD</v>
      </c>
      <c r="Q5979">
        <f t="shared" si="746"/>
        <v>27</v>
      </c>
      <c r="R5979" t="str">
        <f t="shared" si="747"/>
        <v/>
      </c>
      <c r="S5979" t="str">
        <f t="shared" si="748"/>
        <v/>
      </c>
      <c r="T5979" s="403" t="str">
        <f t="shared" si="749"/>
        <v>NDP-7512-Z30C</v>
      </c>
      <c r="U5979" s="403">
        <f t="shared" si="750"/>
        <v>1</v>
      </c>
      <c r="V5979" s="403" t="str">
        <f t="shared" si="751"/>
        <v>CPP_7_3</v>
      </c>
    </row>
    <row r="5980" spans="1:22">
      <c r="A5980" t="str">
        <f t="shared" si="744"/>
        <v>NDP-7512-Z30C</v>
      </c>
      <c r="B5980" s="403" t="s">
        <v>1431</v>
      </c>
      <c r="C5980" s="403" t="s">
        <v>582</v>
      </c>
      <c r="D5980" s="403" t="s">
        <v>1432</v>
      </c>
      <c r="E5980" s="403" t="s">
        <v>778</v>
      </c>
      <c r="F5980" s="403" t="s">
        <v>1287</v>
      </c>
      <c r="G5980" s="403" t="s">
        <v>1466</v>
      </c>
      <c r="H5980" s="403" t="s">
        <v>1282</v>
      </c>
      <c r="I5980" s="403">
        <v>1</v>
      </c>
      <c r="J5980" s="403" t="s">
        <v>109</v>
      </c>
      <c r="K5980" s="403">
        <v>1280</v>
      </c>
      <c r="L5980" s="403">
        <v>720</v>
      </c>
      <c r="M5980" s="403" t="s">
        <v>1283</v>
      </c>
      <c r="N5980" s="403">
        <v>720</v>
      </c>
      <c r="O5980" s="403">
        <v>576</v>
      </c>
      <c r="P5980" t="str">
        <f t="shared" si="745"/>
        <v>25fps 720p - SD 4CIF resolution 4:3 format (cropped)</v>
      </c>
      <c r="Q5980">
        <f t="shared" si="746"/>
        <v>27</v>
      </c>
      <c r="R5980" t="str">
        <f t="shared" si="747"/>
        <v/>
      </c>
      <c r="S5980" t="str">
        <f t="shared" si="748"/>
        <v/>
      </c>
      <c r="T5980" s="403" t="str">
        <f t="shared" si="749"/>
        <v>NDP-7512-Z30C</v>
      </c>
      <c r="U5980" s="403">
        <f t="shared" si="750"/>
        <v>1</v>
      </c>
      <c r="V5980" s="403" t="str">
        <f t="shared" si="751"/>
        <v>CPP_7_3</v>
      </c>
    </row>
    <row r="5981" spans="1:22">
      <c r="A5981" t="str">
        <f t="shared" si="744"/>
        <v>NDP-7512-Z30C</v>
      </c>
      <c r="B5981" s="403" t="s">
        <v>1431</v>
      </c>
      <c r="C5981" s="403" t="s">
        <v>582</v>
      </c>
      <c r="D5981" s="403" t="s">
        <v>1432</v>
      </c>
      <c r="E5981" s="403" t="s">
        <v>778</v>
      </c>
      <c r="F5981" s="403" t="s">
        <v>1287</v>
      </c>
      <c r="G5981" s="403" t="s">
        <v>1466</v>
      </c>
      <c r="H5981" s="403" t="s">
        <v>1282</v>
      </c>
      <c r="I5981" s="403">
        <v>1</v>
      </c>
      <c r="J5981" s="403" t="s">
        <v>109</v>
      </c>
      <c r="K5981" s="403">
        <v>1280</v>
      </c>
      <c r="L5981" s="403">
        <v>720</v>
      </c>
      <c r="M5981" s="403" t="s">
        <v>1284</v>
      </c>
      <c r="N5981" s="403">
        <v>640</v>
      </c>
      <c r="O5981" s="403">
        <v>480</v>
      </c>
      <c r="P5981" t="str">
        <f t="shared" si="745"/>
        <v>25fps 720p - SD VGA (cropped)</v>
      </c>
      <c r="Q5981">
        <f t="shared" si="746"/>
        <v>27</v>
      </c>
      <c r="R5981" t="str">
        <f t="shared" si="747"/>
        <v/>
      </c>
      <c r="S5981" t="str">
        <f t="shared" si="748"/>
        <v/>
      </c>
      <c r="T5981" s="403" t="str">
        <f t="shared" si="749"/>
        <v>NDP-7512-Z30C</v>
      </c>
      <c r="U5981" s="403">
        <f t="shared" si="750"/>
        <v>1</v>
      </c>
      <c r="V5981" s="403" t="str">
        <f t="shared" si="751"/>
        <v>CPP_7_3</v>
      </c>
    </row>
    <row r="5982" spans="1:22">
      <c r="A5982" t="str">
        <f t="shared" si="744"/>
        <v>NDP-7512-Z30C</v>
      </c>
      <c r="B5982" s="403" t="s">
        <v>1431</v>
      </c>
      <c r="C5982" s="403" t="s">
        <v>582</v>
      </c>
      <c r="D5982" s="403" t="s">
        <v>1432</v>
      </c>
      <c r="E5982" s="403" t="s">
        <v>778</v>
      </c>
      <c r="F5982" s="403" t="s">
        <v>1286</v>
      </c>
      <c r="G5982" s="403" t="s">
        <v>1466</v>
      </c>
      <c r="H5982" s="403" t="s">
        <v>1276</v>
      </c>
      <c r="I5982" s="403">
        <v>1</v>
      </c>
      <c r="J5982" s="403" t="s">
        <v>110</v>
      </c>
      <c r="K5982" s="403">
        <v>1920</v>
      </c>
      <c r="L5982" s="403">
        <v>1080</v>
      </c>
      <c r="M5982" s="403" t="s">
        <v>111</v>
      </c>
      <c r="N5982" s="403">
        <v>768</v>
      </c>
      <c r="O5982" s="403">
        <v>432</v>
      </c>
      <c r="P5982" t="str">
        <f t="shared" si="745"/>
        <v>30fps 1080p - SD</v>
      </c>
      <c r="Q5982">
        <f t="shared" si="746"/>
        <v>27</v>
      </c>
      <c r="R5982" t="str">
        <f t="shared" si="747"/>
        <v/>
      </c>
      <c r="S5982" t="str">
        <f t="shared" si="748"/>
        <v/>
      </c>
      <c r="T5982" s="403" t="str">
        <f t="shared" si="749"/>
        <v>NDP-7512-Z30C</v>
      </c>
      <c r="U5982" s="403">
        <f t="shared" si="750"/>
        <v>1</v>
      </c>
      <c r="V5982" s="403" t="str">
        <f t="shared" si="751"/>
        <v>CPP_7_3</v>
      </c>
    </row>
    <row r="5983" spans="1:22">
      <c r="A5983" t="str">
        <f t="shared" si="744"/>
        <v>NDP-7512-Z30C</v>
      </c>
      <c r="B5983" s="403" t="s">
        <v>1431</v>
      </c>
      <c r="C5983" s="403" t="s">
        <v>582</v>
      </c>
      <c r="D5983" s="403" t="s">
        <v>1432</v>
      </c>
      <c r="E5983" s="403" t="s">
        <v>778</v>
      </c>
      <c r="F5983" s="403" t="s">
        <v>1286</v>
      </c>
      <c r="G5983" s="403" t="s">
        <v>1466</v>
      </c>
      <c r="H5983" s="403" t="s">
        <v>1276</v>
      </c>
      <c r="I5983" s="403">
        <v>1</v>
      </c>
      <c r="J5983" s="403" t="s">
        <v>110</v>
      </c>
      <c r="K5983" s="403">
        <v>1920</v>
      </c>
      <c r="L5983" s="403">
        <v>1080</v>
      </c>
      <c r="M5983" s="403" t="s">
        <v>110</v>
      </c>
      <c r="N5983" s="403">
        <v>1920</v>
      </c>
      <c r="O5983" s="403">
        <v>1080</v>
      </c>
      <c r="P5983" t="str">
        <f t="shared" si="745"/>
        <v>30fps 1080p - 1080p</v>
      </c>
      <c r="Q5983">
        <f t="shared" si="746"/>
        <v>27</v>
      </c>
      <c r="R5983" t="str">
        <f t="shared" si="747"/>
        <v/>
      </c>
      <c r="S5983" t="str">
        <f t="shared" si="748"/>
        <v/>
      </c>
      <c r="T5983" s="403" t="str">
        <f t="shared" si="749"/>
        <v>NDP-7512-Z30C</v>
      </c>
      <c r="U5983" s="403">
        <f t="shared" si="750"/>
        <v>1</v>
      </c>
      <c r="V5983" s="403" t="str">
        <f t="shared" si="751"/>
        <v>CPP_7_3</v>
      </c>
    </row>
    <row r="5984" spans="1:22">
      <c r="A5984" t="str">
        <f t="shared" si="744"/>
        <v>NDP-7512-Z30C</v>
      </c>
      <c r="B5984" s="403" t="s">
        <v>1431</v>
      </c>
      <c r="C5984" s="403" t="s">
        <v>582</v>
      </c>
      <c r="D5984" s="403" t="s">
        <v>1432</v>
      </c>
      <c r="E5984" s="403" t="s">
        <v>778</v>
      </c>
      <c r="F5984" s="403" t="s">
        <v>1286</v>
      </c>
      <c r="G5984" s="403" t="s">
        <v>1466</v>
      </c>
      <c r="H5984" s="403" t="s">
        <v>1276</v>
      </c>
      <c r="I5984" s="403">
        <v>1</v>
      </c>
      <c r="J5984" s="403" t="s">
        <v>110</v>
      </c>
      <c r="K5984" s="403">
        <v>1920</v>
      </c>
      <c r="L5984" s="403">
        <v>1080</v>
      </c>
      <c r="M5984" s="403" t="s">
        <v>109</v>
      </c>
      <c r="N5984" s="403">
        <v>1280</v>
      </c>
      <c r="O5984" s="403">
        <v>720</v>
      </c>
      <c r="P5984" t="str">
        <f t="shared" si="745"/>
        <v>30fps 1080p - 720p</v>
      </c>
      <c r="Q5984">
        <f t="shared" si="746"/>
        <v>27</v>
      </c>
      <c r="R5984" t="str">
        <f t="shared" si="747"/>
        <v/>
      </c>
      <c r="S5984" t="str">
        <f t="shared" si="748"/>
        <v/>
      </c>
      <c r="T5984" s="403" t="str">
        <f t="shared" si="749"/>
        <v>NDP-7512-Z30C</v>
      </c>
      <c r="U5984" s="403">
        <f t="shared" si="750"/>
        <v>1</v>
      </c>
      <c r="V5984" s="403" t="str">
        <f t="shared" si="751"/>
        <v>CPP_7_3</v>
      </c>
    </row>
    <row r="5985" spans="1:22">
      <c r="A5985" t="str">
        <f t="shared" si="744"/>
        <v>NDP-7512-Z30C</v>
      </c>
      <c r="B5985" s="403" t="s">
        <v>1431</v>
      </c>
      <c r="C5985" s="403" t="s">
        <v>582</v>
      </c>
      <c r="D5985" s="403" t="s">
        <v>1432</v>
      </c>
      <c r="E5985" s="403" t="s">
        <v>778</v>
      </c>
      <c r="F5985" s="403" t="s">
        <v>1286</v>
      </c>
      <c r="G5985" s="403" t="s">
        <v>1466</v>
      </c>
      <c r="H5985" s="403" t="s">
        <v>1276</v>
      </c>
      <c r="I5985" s="403">
        <v>1</v>
      </c>
      <c r="J5985" s="403" t="s">
        <v>110</v>
      </c>
      <c r="K5985" s="403">
        <v>1920</v>
      </c>
      <c r="L5985" s="403">
        <v>1080</v>
      </c>
      <c r="M5985" s="403" t="s">
        <v>1285</v>
      </c>
      <c r="N5985" s="403">
        <v>1280</v>
      </c>
      <c r="O5985" s="403">
        <v>1024</v>
      </c>
      <c r="P5985" t="str">
        <f t="shared" si="745"/>
        <v>30fps 1080p - 1280x1024 5:4 (cropped)</v>
      </c>
      <c r="Q5985">
        <f t="shared" si="746"/>
        <v>27</v>
      </c>
      <c r="R5985" t="str">
        <f t="shared" si="747"/>
        <v/>
      </c>
      <c r="S5985" t="str">
        <f t="shared" si="748"/>
        <v/>
      </c>
      <c r="T5985" s="403" t="str">
        <f t="shared" si="749"/>
        <v>NDP-7512-Z30C</v>
      </c>
      <c r="U5985" s="403">
        <f t="shared" si="750"/>
        <v>1</v>
      </c>
      <c r="V5985" s="403" t="str">
        <f t="shared" si="751"/>
        <v>CPP_7_3</v>
      </c>
    </row>
    <row r="5986" spans="1:22">
      <c r="A5986" t="str">
        <f t="shared" si="744"/>
        <v>NDP-7512-Z30C</v>
      </c>
      <c r="B5986" s="403" t="s">
        <v>1431</v>
      </c>
      <c r="C5986" s="403" t="s">
        <v>582</v>
      </c>
      <c r="D5986" s="403" t="s">
        <v>1432</v>
      </c>
      <c r="E5986" s="403" t="s">
        <v>778</v>
      </c>
      <c r="F5986" s="403" t="s">
        <v>1286</v>
      </c>
      <c r="G5986" s="403" t="s">
        <v>1466</v>
      </c>
      <c r="H5986" s="403" t="s">
        <v>1276</v>
      </c>
      <c r="I5986" s="403">
        <v>1</v>
      </c>
      <c r="J5986" s="403" t="s">
        <v>110</v>
      </c>
      <c r="K5986" s="403">
        <v>1920</v>
      </c>
      <c r="L5986" s="403">
        <v>1080</v>
      </c>
      <c r="M5986" s="403" t="s">
        <v>1283</v>
      </c>
      <c r="N5986" s="403">
        <v>720</v>
      </c>
      <c r="O5986" s="403">
        <v>480</v>
      </c>
      <c r="P5986" t="str">
        <f t="shared" si="745"/>
        <v>30fps 1080p - SD 4CIF resolution 4:3 format (cropped)</v>
      </c>
      <c r="Q5986">
        <f t="shared" si="746"/>
        <v>27</v>
      </c>
      <c r="R5986" t="str">
        <f t="shared" si="747"/>
        <v/>
      </c>
      <c r="S5986" t="str">
        <f t="shared" si="748"/>
        <v/>
      </c>
      <c r="T5986" s="403" t="str">
        <f t="shared" si="749"/>
        <v>NDP-7512-Z30C</v>
      </c>
      <c r="U5986" s="403">
        <f t="shared" si="750"/>
        <v>1</v>
      </c>
      <c r="V5986" s="403" t="str">
        <f t="shared" si="751"/>
        <v>CPP_7_3</v>
      </c>
    </row>
    <row r="5987" spans="1:22">
      <c r="A5987" t="str">
        <f t="shared" si="744"/>
        <v>NDP-7512-Z30C</v>
      </c>
      <c r="B5987" s="403" t="s">
        <v>1431</v>
      </c>
      <c r="C5987" s="403" t="s">
        <v>582</v>
      </c>
      <c r="D5987" s="403" t="s">
        <v>1432</v>
      </c>
      <c r="E5987" s="403" t="s">
        <v>778</v>
      </c>
      <c r="F5987" s="403" t="s">
        <v>1286</v>
      </c>
      <c r="G5987" s="403" t="s">
        <v>1466</v>
      </c>
      <c r="H5987" s="403" t="s">
        <v>1276</v>
      </c>
      <c r="I5987" s="403">
        <v>1</v>
      </c>
      <c r="J5987" s="403" t="s">
        <v>110</v>
      </c>
      <c r="K5987" s="403">
        <v>1920</v>
      </c>
      <c r="L5987" s="403">
        <v>1080</v>
      </c>
      <c r="M5987" s="403" t="s">
        <v>1284</v>
      </c>
      <c r="N5987" s="403">
        <v>640</v>
      </c>
      <c r="O5987" s="403">
        <v>480</v>
      </c>
      <c r="P5987" t="str">
        <f t="shared" si="745"/>
        <v>30fps 1080p - SD VGA (cropped)</v>
      </c>
      <c r="Q5987">
        <f t="shared" si="746"/>
        <v>27</v>
      </c>
      <c r="R5987" t="str">
        <f t="shared" si="747"/>
        <v/>
      </c>
      <c r="S5987" t="str">
        <f t="shared" si="748"/>
        <v/>
      </c>
      <c r="T5987" s="403" t="str">
        <f t="shared" si="749"/>
        <v>NDP-7512-Z30C</v>
      </c>
      <c r="U5987" s="403">
        <f t="shared" si="750"/>
        <v>1</v>
      </c>
      <c r="V5987" s="403" t="str">
        <f t="shared" si="751"/>
        <v>CPP_7_3</v>
      </c>
    </row>
    <row r="5988" spans="1:22">
      <c r="A5988" t="str">
        <f t="shared" si="744"/>
        <v>NDP-7512-Z30C</v>
      </c>
      <c r="B5988" s="403" t="s">
        <v>1431</v>
      </c>
      <c r="C5988" s="403" t="s">
        <v>582</v>
      </c>
      <c r="D5988" s="403" t="s">
        <v>1432</v>
      </c>
      <c r="E5988" s="403" t="s">
        <v>778</v>
      </c>
      <c r="F5988" s="403" t="s">
        <v>1286</v>
      </c>
      <c r="G5988" s="403" t="s">
        <v>1466</v>
      </c>
      <c r="H5988" s="403" t="s">
        <v>1276</v>
      </c>
      <c r="I5988" s="403">
        <v>1</v>
      </c>
      <c r="J5988" s="403" t="s">
        <v>109</v>
      </c>
      <c r="K5988" s="403">
        <v>1280</v>
      </c>
      <c r="L5988" s="403">
        <v>720</v>
      </c>
      <c r="M5988" s="403" t="s">
        <v>109</v>
      </c>
      <c r="N5988" s="403">
        <v>1280</v>
      </c>
      <c r="O5988" s="403">
        <v>720</v>
      </c>
      <c r="P5988" t="str">
        <f t="shared" si="745"/>
        <v>30fps 720p - 720p</v>
      </c>
      <c r="Q5988">
        <f t="shared" si="746"/>
        <v>27</v>
      </c>
      <c r="R5988" t="str">
        <f t="shared" si="747"/>
        <v/>
      </c>
      <c r="S5988" t="str">
        <f t="shared" si="748"/>
        <v/>
      </c>
      <c r="T5988" s="403" t="str">
        <f t="shared" si="749"/>
        <v>NDP-7512-Z30C</v>
      </c>
      <c r="U5988" s="403">
        <f t="shared" si="750"/>
        <v>1</v>
      </c>
      <c r="V5988" s="403" t="str">
        <f t="shared" si="751"/>
        <v>CPP_7_3</v>
      </c>
    </row>
    <row r="5989" spans="1:22">
      <c r="A5989" t="str">
        <f t="shared" si="744"/>
        <v>NDP-7512-Z30C</v>
      </c>
      <c r="B5989" s="403" t="s">
        <v>1431</v>
      </c>
      <c r="C5989" s="403" t="s">
        <v>582</v>
      </c>
      <c r="D5989" s="403" t="s">
        <v>1432</v>
      </c>
      <c r="E5989" s="403" t="s">
        <v>778</v>
      </c>
      <c r="F5989" s="403" t="s">
        <v>1286</v>
      </c>
      <c r="G5989" s="403" t="s">
        <v>1466</v>
      </c>
      <c r="H5989" s="403" t="s">
        <v>1276</v>
      </c>
      <c r="I5989" s="403">
        <v>1</v>
      </c>
      <c r="J5989" s="403" t="s">
        <v>109</v>
      </c>
      <c r="K5989" s="403">
        <v>1280</v>
      </c>
      <c r="L5989" s="403">
        <v>720</v>
      </c>
      <c r="M5989" s="403" t="s">
        <v>111</v>
      </c>
      <c r="N5989" s="403">
        <v>768</v>
      </c>
      <c r="O5989" s="403">
        <v>432</v>
      </c>
      <c r="P5989" t="str">
        <f t="shared" si="745"/>
        <v>30fps 720p - SD</v>
      </c>
      <c r="Q5989">
        <f t="shared" si="746"/>
        <v>27</v>
      </c>
      <c r="R5989" t="str">
        <f t="shared" si="747"/>
        <v/>
      </c>
      <c r="S5989" t="str">
        <f t="shared" si="748"/>
        <v/>
      </c>
      <c r="T5989" s="403" t="str">
        <f t="shared" si="749"/>
        <v>NDP-7512-Z30C</v>
      </c>
      <c r="U5989" s="403">
        <f t="shared" si="750"/>
        <v>1</v>
      </c>
      <c r="V5989" s="403" t="str">
        <f t="shared" si="751"/>
        <v>CPP_7_3</v>
      </c>
    </row>
    <row r="5990" spans="1:22">
      <c r="A5990" t="str">
        <f t="shared" si="744"/>
        <v>NDP-7512-Z30C</v>
      </c>
      <c r="B5990" s="403" t="s">
        <v>1431</v>
      </c>
      <c r="C5990" s="403" t="s">
        <v>582</v>
      </c>
      <c r="D5990" s="403" t="s">
        <v>1432</v>
      </c>
      <c r="E5990" s="403" t="s">
        <v>778</v>
      </c>
      <c r="F5990" s="403" t="s">
        <v>1286</v>
      </c>
      <c r="G5990" s="403" t="s">
        <v>1466</v>
      </c>
      <c r="H5990" s="403" t="s">
        <v>1276</v>
      </c>
      <c r="I5990" s="403">
        <v>1</v>
      </c>
      <c r="J5990" s="403" t="s">
        <v>109</v>
      </c>
      <c r="K5990" s="403">
        <v>1280</v>
      </c>
      <c r="L5990" s="403">
        <v>720</v>
      </c>
      <c r="M5990" s="403" t="s">
        <v>1283</v>
      </c>
      <c r="N5990" s="403">
        <v>720</v>
      </c>
      <c r="O5990" s="403">
        <v>480</v>
      </c>
      <c r="P5990" t="str">
        <f t="shared" si="745"/>
        <v>30fps 720p - SD 4CIF resolution 4:3 format (cropped)</v>
      </c>
      <c r="Q5990">
        <f t="shared" si="746"/>
        <v>27</v>
      </c>
      <c r="R5990" t="str">
        <f t="shared" si="747"/>
        <v/>
      </c>
      <c r="S5990" t="str">
        <f t="shared" si="748"/>
        <v/>
      </c>
      <c r="T5990" s="403" t="str">
        <f t="shared" si="749"/>
        <v>NDP-7512-Z30C</v>
      </c>
      <c r="U5990" s="403">
        <f t="shared" si="750"/>
        <v>1</v>
      </c>
      <c r="V5990" s="403" t="str">
        <f t="shared" si="751"/>
        <v>CPP_7_3</v>
      </c>
    </row>
    <row r="5991" spans="1:22">
      <c r="A5991" t="str">
        <f t="shared" si="744"/>
        <v>NDP-7512-Z30C</v>
      </c>
      <c r="B5991" s="403" t="s">
        <v>1431</v>
      </c>
      <c r="C5991" s="403" t="s">
        <v>582</v>
      </c>
      <c r="D5991" s="403" t="s">
        <v>1432</v>
      </c>
      <c r="E5991" s="403" t="s">
        <v>778</v>
      </c>
      <c r="F5991" s="403" t="s">
        <v>1286</v>
      </c>
      <c r="G5991" s="403" t="s">
        <v>1466</v>
      </c>
      <c r="H5991" s="403" t="s">
        <v>1276</v>
      </c>
      <c r="I5991" s="403">
        <v>1</v>
      </c>
      <c r="J5991" s="403" t="s">
        <v>109</v>
      </c>
      <c r="K5991" s="403">
        <v>1280</v>
      </c>
      <c r="L5991" s="403">
        <v>720</v>
      </c>
      <c r="M5991" s="403" t="s">
        <v>1284</v>
      </c>
      <c r="N5991" s="403">
        <v>640</v>
      </c>
      <c r="O5991" s="403">
        <v>480</v>
      </c>
      <c r="P5991" t="str">
        <f t="shared" si="745"/>
        <v>30fps 720p - SD VGA (cropped)</v>
      </c>
      <c r="Q5991">
        <f t="shared" si="746"/>
        <v>27</v>
      </c>
      <c r="R5991" t="str">
        <f t="shared" si="747"/>
        <v/>
      </c>
      <c r="S5991" t="str">
        <f t="shared" si="748"/>
        <v/>
      </c>
      <c r="T5991" s="403" t="str">
        <f t="shared" si="749"/>
        <v>NDP-7512-Z30C</v>
      </c>
      <c r="U5991" s="403">
        <f t="shared" si="750"/>
        <v>1</v>
      </c>
      <c r="V5991" s="403" t="str">
        <f t="shared" si="751"/>
        <v>CPP_7_3</v>
      </c>
    </row>
    <row r="5992" spans="1:22">
      <c r="A5992" t="str">
        <f t="shared" si="744"/>
        <v>NDP-7512-Z30C</v>
      </c>
      <c r="B5992" s="403" t="s">
        <v>1431</v>
      </c>
      <c r="C5992" s="403" t="s">
        <v>582</v>
      </c>
      <c r="D5992" s="403" t="s">
        <v>1432</v>
      </c>
      <c r="E5992" s="403" t="s">
        <v>778</v>
      </c>
      <c r="F5992" s="403" t="s">
        <v>1286</v>
      </c>
      <c r="G5992" s="403" t="s">
        <v>1466</v>
      </c>
      <c r="H5992" s="403" t="s">
        <v>1281</v>
      </c>
      <c r="I5992" s="403">
        <v>1</v>
      </c>
      <c r="J5992" s="403" t="s">
        <v>110</v>
      </c>
      <c r="K5992" s="403">
        <v>1920</v>
      </c>
      <c r="L5992" s="403">
        <v>1080</v>
      </c>
      <c r="M5992" s="403" t="s">
        <v>111</v>
      </c>
      <c r="N5992" s="403">
        <v>768</v>
      </c>
      <c r="O5992" s="403">
        <v>432</v>
      </c>
      <c r="P5992" t="str">
        <f t="shared" si="745"/>
        <v>30fps 1080p - SD</v>
      </c>
      <c r="Q5992">
        <f t="shared" si="746"/>
        <v>27</v>
      </c>
      <c r="R5992" t="str">
        <f t="shared" si="747"/>
        <v/>
      </c>
      <c r="S5992" t="str">
        <f t="shared" si="748"/>
        <v/>
      </c>
      <c r="T5992" s="403" t="str">
        <f t="shared" si="749"/>
        <v>NDP-7512-Z30C</v>
      </c>
      <c r="U5992" s="403">
        <f t="shared" si="750"/>
        <v>1</v>
      </c>
      <c r="V5992" s="403" t="str">
        <f t="shared" si="751"/>
        <v>CPP_7_3</v>
      </c>
    </row>
    <row r="5993" spans="1:22">
      <c r="A5993" t="str">
        <f t="shared" si="744"/>
        <v>NDP-7512-Z30C</v>
      </c>
      <c r="B5993" s="403" t="s">
        <v>1431</v>
      </c>
      <c r="C5993" s="403" t="s">
        <v>582</v>
      </c>
      <c r="D5993" s="403" t="s">
        <v>1432</v>
      </c>
      <c r="E5993" s="403" t="s">
        <v>778</v>
      </c>
      <c r="F5993" s="403" t="s">
        <v>1286</v>
      </c>
      <c r="G5993" s="403" t="s">
        <v>1466</v>
      </c>
      <c r="H5993" s="403" t="s">
        <v>1281</v>
      </c>
      <c r="I5993" s="403">
        <v>1</v>
      </c>
      <c r="J5993" s="403" t="s">
        <v>110</v>
      </c>
      <c r="K5993" s="403">
        <v>1920</v>
      </c>
      <c r="L5993" s="403">
        <v>1080</v>
      </c>
      <c r="M5993" s="403" t="s">
        <v>110</v>
      </c>
      <c r="N5993" s="403">
        <v>1920</v>
      </c>
      <c r="O5993" s="403">
        <v>1080</v>
      </c>
      <c r="P5993" t="str">
        <f t="shared" si="745"/>
        <v>30fps 1080p - 1080p</v>
      </c>
      <c r="Q5993">
        <f t="shared" si="746"/>
        <v>27</v>
      </c>
      <c r="R5993" t="str">
        <f t="shared" si="747"/>
        <v/>
      </c>
      <c r="S5993" t="str">
        <f t="shared" si="748"/>
        <v/>
      </c>
      <c r="T5993" s="403" t="str">
        <f t="shared" si="749"/>
        <v>NDP-7512-Z30C</v>
      </c>
      <c r="U5993" s="403">
        <f t="shared" si="750"/>
        <v>1</v>
      </c>
      <c r="V5993" s="403" t="str">
        <f t="shared" si="751"/>
        <v>CPP_7_3</v>
      </c>
    </row>
    <row r="5994" spans="1:22">
      <c r="A5994" t="str">
        <f t="shared" si="744"/>
        <v>NDP-7512-Z30C</v>
      </c>
      <c r="B5994" s="403" t="s">
        <v>1431</v>
      </c>
      <c r="C5994" s="403" t="s">
        <v>582</v>
      </c>
      <c r="D5994" s="403" t="s">
        <v>1432</v>
      </c>
      <c r="E5994" s="403" t="s">
        <v>778</v>
      </c>
      <c r="F5994" s="403" t="s">
        <v>1286</v>
      </c>
      <c r="G5994" s="403" t="s">
        <v>1466</v>
      </c>
      <c r="H5994" s="403" t="s">
        <v>1281</v>
      </c>
      <c r="I5994" s="403">
        <v>1</v>
      </c>
      <c r="J5994" s="403" t="s">
        <v>110</v>
      </c>
      <c r="K5994" s="403">
        <v>1920</v>
      </c>
      <c r="L5994" s="403">
        <v>1080</v>
      </c>
      <c r="M5994" s="403" t="s">
        <v>109</v>
      </c>
      <c r="N5994" s="403">
        <v>1280</v>
      </c>
      <c r="O5994" s="403">
        <v>720</v>
      </c>
      <c r="P5994" t="str">
        <f t="shared" si="745"/>
        <v>30fps 1080p - 720p</v>
      </c>
      <c r="Q5994">
        <f t="shared" si="746"/>
        <v>27</v>
      </c>
      <c r="R5994" t="str">
        <f t="shared" si="747"/>
        <v/>
      </c>
      <c r="S5994" t="str">
        <f t="shared" si="748"/>
        <v/>
      </c>
      <c r="T5994" s="403" t="str">
        <f t="shared" si="749"/>
        <v>NDP-7512-Z30C</v>
      </c>
      <c r="U5994" s="403">
        <f t="shared" si="750"/>
        <v>1</v>
      </c>
      <c r="V5994" s="403" t="str">
        <f t="shared" si="751"/>
        <v>CPP_7_3</v>
      </c>
    </row>
    <row r="5995" spans="1:22">
      <c r="A5995" t="str">
        <f t="shared" si="744"/>
        <v>NDP-7512-Z30C</v>
      </c>
      <c r="B5995" s="403" t="s">
        <v>1431</v>
      </c>
      <c r="C5995" s="403" t="s">
        <v>582</v>
      </c>
      <c r="D5995" s="403" t="s">
        <v>1432</v>
      </c>
      <c r="E5995" s="403" t="s">
        <v>778</v>
      </c>
      <c r="F5995" s="403" t="s">
        <v>1286</v>
      </c>
      <c r="G5995" s="403" t="s">
        <v>1466</v>
      </c>
      <c r="H5995" s="403" t="s">
        <v>1281</v>
      </c>
      <c r="I5995" s="403">
        <v>1</v>
      </c>
      <c r="J5995" s="403" t="s">
        <v>110</v>
      </c>
      <c r="K5995" s="403">
        <v>1920</v>
      </c>
      <c r="L5995" s="403">
        <v>1080</v>
      </c>
      <c r="M5995" s="403" t="s">
        <v>1285</v>
      </c>
      <c r="N5995" s="403">
        <v>1280</v>
      </c>
      <c r="O5995" s="403">
        <v>1024</v>
      </c>
      <c r="P5995" t="str">
        <f t="shared" si="745"/>
        <v>30fps 1080p - 1280x1024 5:4 (cropped)</v>
      </c>
      <c r="Q5995">
        <f t="shared" si="746"/>
        <v>27</v>
      </c>
      <c r="R5995" t="str">
        <f t="shared" si="747"/>
        <v/>
      </c>
      <c r="S5995" t="str">
        <f t="shared" si="748"/>
        <v/>
      </c>
      <c r="T5995" s="403" t="str">
        <f t="shared" si="749"/>
        <v>NDP-7512-Z30C</v>
      </c>
      <c r="U5995" s="403">
        <f t="shared" si="750"/>
        <v>1</v>
      </c>
      <c r="V5995" s="403" t="str">
        <f t="shared" si="751"/>
        <v>CPP_7_3</v>
      </c>
    </row>
    <row r="5996" spans="1:22">
      <c r="A5996" t="str">
        <f t="shared" si="744"/>
        <v>NDP-7512-Z30C</v>
      </c>
      <c r="B5996" s="403" t="s">
        <v>1431</v>
      </c>
      <c r="C5996" s="403" t="s">
        <v>582</v>
      </c>
      <c r="D5996" s="403" t="s">
        <v>1432</v>
      </c>
      <c r="E5996" s="403" t="s">
        <v>778</v>
      </c>
      <c r="F5996" s="403" t="s">
        <v>1286</v>
      </c>
      <c r="G5996" s="403" t="s">
        <v>1466</v>
      </c>
      <c r="H5996" s="403" t="s">
        <v>1281</v>
      </c>
      <c r="I5996" s="403">
        <v>1</v>
      </c>
      <c r="J5996" s="403" t="s">
        <v>110</v>
      </c>
      <c r="K5996" s="403">
        <v>1920</v>
      </c>
      <c r="L5996" s="403">
        <v>1080</v>
      </c>
      <c r="M5996" s="403" t="s">
        <v>1283</v>
      </c>
      <c r="N5996" s="403">
        <v>720</v>
      </c>
      <c r="O5996" s="403">
        <v>480</v>
      </c>
      <c r="P5996" t="str">
        <f t="shared" si="745"/>
        <v>30fps 1080p - SD 4CIF resolution 4:3 format (cropped)</v>
      </c>
      <c r="Q5996">
        <f t="shared" si="746"/>
        <v>27</v>
      </c>
      <c r="R5996" t="str">
        <f t="shared" si="747"/>
        <v/>
      </c>
      <c r="S5996" t="str">
        <f t="shared" si="748"/>
        <v/>
      </c>
      <c r="T5996" s="403" t="str">
        <f t="shared" si="749"/>
        <v>NDP-7512-Z30C</v>
      </c>
      <c r="U5996" s="403">
        <f t="shared" si="750"/>
        <v>1</v>
      </c>
      <c r="V5996" s="403" t="str">
        <f t="shared" si="751"/>
        <v>CPP_7_3</v>
      </c>
    </row>
    <row r="5997" spans="1:22">
      <c r="A5997" t="str">
        <f t="shared" si="744"/>
        <v>NDP-7512-Z30C</v>
      </c>
      <c r="B5997" s="403" t="s">
        <v>1431</v>
      </c>
      <c r="C5997" s="403" t="s">
        <v>582</v>
      </c>
      <c r="D5997" s="403" t="s">
        <v>1432</v>
      </c>
      <c r="E5997" s="403" t="s">
        <v>778</v>
      </c>
      <c r="F5997" s="403" t="s">
        <v>1286</v>
      </c>
      <c r="G5997" s="403" t="s">
        <v>1466</v>
      </c>
      <c r="H5997" s="403" t="s">
        <v>1281</v>
      </c>
      <c r="I5997" s="403">
        <v>1</v>
      </c>
      <c r="J5997" s="403" t="s">
        <v>110</v>
      </c>
      <c r="K5997" s="403">
        <v>1920</v>
      </c>
      <c r="L5997" s="403">
        <v>1080</v>
      </c>
      <c r="M5997" s="403" t="s">
        <v>1284</v>
      </c>
      <c r="N5997" s="403">
        <v>640</v>
      </c>
      <c r="O5997" s="403">
        <v>480</v>
      </c>
      <c r="P5997" t="str">
        <f t="shared" si="745"/>
        <v>30fps 1080p - SD VGA (cropped)</v>
      </c>
      <c r="Q5997">
        <f t="shared" si="746"/>
        <v>27</v>
      </c>
      <c r="R5997" t="str">
        <f t="shared" si="747"/>
        <v/>
      </c>
      <c r="S5997" t="str">
        <f t="shared" si="748"/>
        <v/>
      </c>
      <c r="T5997" s="403" t="str">
        <f t="shared" si="749"/>
        <v>NDP-7512-Z30C</v>
      </c>
      <c r="U5997" s="403">
        <f t="shared" si="750"/>
        <v>1</v>
      </c>
      <c r="V5997" s="403" t="str">
        <f t="shared" si="751"/>
        <v>CPP_7_3</v>
      </c>
    </row>
    <row r="5998" spans="1:22">
      <c r="A5998" t="str">
        <f t="shared" si="744"/>
        <v>NDP-7512-Z30C</v>
      </c>
      <c r="B5998" s="403" t="s">
        <v>1431</v>
      </c>
      <c r="C5998" s="403" t="s">
        <v>582</v>
      </c>
      <c r="D5998" s="403" t="s">
        <v>1432</v>
      </c>
      <c r="E5998" s="403" t="s">
        <v>778</v>
      </c>
      <c r="F5998" s="403" t="s">
        <v>1286</v>
      </c>
      <c r="G5998" s="403" t="s">
        <v>1466</v>
      </c>
      <c r="H5998" s="403" t="s">
        <v>1281</v>
      </c>
      <c r="I5998" s="403">
        <v>1</v>
      </c>
      <c r="J5998" s="403" t="s">
        <v>109</v>
      </c>
      <c r="K5998" s="403">
        <v>1280</v>
      </c>
      <c r="L5998" s="403">
        <v>720</v>
      </c>
      <c r="M5998" s="403" t="s">
        <v>109</v>
      </c>
      <c r="N5998" s="403">
        <v>1280</v>
      </c>
      <c r="O5998" s="403">
        <v>720</v>
      </c>
      <c r="P5998" t="str">
        <f t="shared" si="745"/>
        <v>30fps 720p - 720p</v>
      </c>
      <c r="Q5998">
        <f t="shared" si="746"/>
        <v>27</v>
      </c>
      <c r="R5998" t="str">
        <f t="shared" si="747"/>
        <v/>
      </c>
      <c r="S5998" t="str">
        <f t="shared" si="748"/>
        <v/>
      </c>
      <c r="T5998" s="403" t="str">
        <f t="shared" si="749"/>
        <v>NDP-7512-Z30C</v>
      </c>
      <c r="U5998" s="403">
        <f t="shared" si="750"/>
        <v>1</v>
      </c>
      <c r="V5998" s="403" t="str">
        <f t="shared" si="751"/>
        <v>CPP_7_3</v>
      </c>
    </row>
    <row r="5999" spans="1:22">
      <c r="A5999" t="str">
        <f t="shared" si="744"/>
        <v>NDP-7512-Z30C</v>
      </c>
      <c r="B5999" s="403" t="s">
        <v>1431</v>
      </c>
      <c r="C5999" s="403" t="s">
        <v>582</v>
      </c>
      <c r="D5999" s="403" t="s">
        <v>1432</v>
      </c>
      <c r="E5999" s="403" t="s">
        <v>778</v>
      </c>
      <c r="F5999" s="403" t="s">
        <v>1286</v>
      </c>
      <c r="G5999" s="403" t="s">
        <v>1466</v>
      </c>
      <c r="H5999" s="403" t="s">
        <v>1281</v>
      </c>
      <c r="I5999" s="403">
        <v>1</v>
      </c>
      <c r="J5999" s="403" t="s">
        <v>109</v>
      </c>
      <c r="K5999" s="403">
        <v>1280</v>
      </c>
      <c r="L5999" s="403">
        <v>720</v>
      </c>
      <c r="M5999" s="403" t="s">
        <v>111</v>
      </c>
      <c r="N5999" s="403">
        <v>768</v>
      </c>
      <c r="O5999" s="403">
        <v>432</v>
      </c>
      <c r="P5999" t="str">
        <f t="shared" si="745"/>
        <v>30fps 720p - SD</v>
      </c>
      <c r="Q5999">
        <f t="shared" si="746"/>
        <v>27</v>
      </c>
      <c r="R5999" t="str">
        <f t="shared" si="747"/>
        <v/>
      </c>
      <c r="S5999" t="str">
        <f t="shared" si="748"/>
        <v/>
      </c>
      <c r="T5999" s="403" t="str">
        <f t="shared" si="749"/>
        <v>NDP-7512-Z30C</v>
      </c>
      <c r="U5999" s="403">
        <f t="shared" si="750"/>
        <v>1</v>
      </c>
      <c r="V5999" s="403" t="str">
        <f t="shared" si="751"/>
        <v>CPP_7_3</v>
      </c>
    </row>
    <row r="6000" spans="1:22">
      <c r="A6000" t="str">
        <f t="shared" si="744"/>
        <v>NDP-7512-Z30C</v>
      </c>
      <c r="B6000" s="403" t="s">
        <v>1431</v>
      </c>
      <c r="C6000" s="403" t="s">
        <v>582</v>
      </c>
      <c r="D6000" s="403" t="s">
        <v>1432</v>
      </c>
      <c r="E6000" s="403" t="s">
        <v>778</v>
      </c>
      <c r="F6000" s="403" t="s">
        <v>1286</v>
      </c>
      <c r="G6000" s="403" t="s">
        <v>1466</v>
      </c>
      <c r="H6000" s="403" t="s">
        <v>1281</v>
      </c>
      <c r="I6000" s="403">
        <v>1</v>
      </c>
      <c r="J6000" s="403" t="s">
        <v>109</v>
      </c>
      <c r="K6000" s="403">
        <v>1280</v>
      </c>
      <c r="L6000" s="403">
        <v>720</v>
      </c>
      <c r="M6000" s="403" t="s">
        <v>1283</v>
      </c>
      <c r="N6000" s="403">
        <v>720</v>
      </c>
      <c r="O6000" s="403">
        <v>480</v>
      </c>
      <c r="P6000" t="str">
        <f t="shared" si="745"/>
        <v>30fps 720p - SD 4CIF resolution 4:3 format (cropped)</v>
      </c>
      <c r="Q6000">
        <f t="shared" si="746"/>
        <v>27</v>
      </c>
      <c r="R6000" t="str">
        <f t="shared" si="747"/>
        <v/>
      </c>
      <c r="S6000" t="str">
        <f t="shared" si="748"/>
        <v/>
      </c>
      <c r="T6000" s="403" t="str">
        <f t="shared" si="749"/>
        <v>NDP-7512-Z30C</v>
      </c>
      <c r="U6000" s="403">
        <f t="shared" si="750"/>
        <v>1</v>
      </c>
      <c r="V6000" s="403" t="str">
        <f t="shared" si="751"/>
        <v>CPP_7_3</v>
      </c>
    </row>
    <row r="6001" spans="1:22">
      <c r="A6001" t="str">
        <f t="shared" si="744"/>
        <v>NDP-7512-Z30C</v>
      </c>
      <c r="B6001" s="403" t="s">
        <v>1431</v>
      </c>
      <c r="C6001" s="403" t="s">
        <v>582</v>
      </c>
      <c r="D6001" s="403" t="s">
        <v>1432</v>
      </c>
      <c r="E6001" s="403" t="s">
        <v>778</v>
      </c>
      <c r="F6001" s="403" t="s">
        <v>1286</v>
      </c>
      <c r="G6001" s="403" t="s">
        <v>1466</v>
      </c>
      <c r="H6001" s="403" t="s">
        <v>1281</v>
      </c>
      <c r="I6001" s="403">
        <v>1</v>
      </c>
      <c r="J6001" s="403" t="s">
        <v>109</v>
      </c>
      <c r="K6001" s="403">
        <v>1280</v>
      </c>
      <c r="L6001" s="403">
        <v>720</v>
      </c>
      <c r="M6001" s="403" t="s">
        <v>1284</v>
      </c>
      <c r="N6001" s="403">
        <v>640</v>
      </c>
      <c r="O6001" s="403">
        <v>480</v>
      </c>
      <c r="P6001" t="str">
        <f t="shared" si="745"/>
        <v>30fps 720p - SD VGA (cropped)</v>
      </c>
      <c r="Q6001">
        <f t="shared" si="746"/>
        <v>27</v>
      </c>
      <c r="R6001" t="str">
        <f t="shared" si="747"/>
        <v/>
      </c>
      <c r="S6001" t="str">
        <f t="shared" si="748"/>
        <v/>
      </c>
      <c r="T6001" s="403" t="str">
        <f t="shared" si="749"/>
        <v>NDP-7512-Z30C</v>
      </c>
      <c r="U6001" s="403">
        <f t="shared" si="750"/>
        <v>1</v>
      </c>
      <c r="V6001" s="403" t="str">
        <f t="shared" si="751"/>
        <v>CPP_7_3</v>
      </c>
    </row>
    <row r="6002" spans="1:22">
      <c r="A6002" t="str">
        <f t="shared" si="744"/>
        <v>NDP-7512-Z30C</v>
      </c>
      <c r="B6002" s="403" t="s">
        <v>1431</v>
      </c>
      <c r="C6002" s="403" t="s">
        <v>582</v>
      </c>
      <c r="D6002" s="403" t="s">
        <v>1432</v>
      </c>
      <c r="E6002" s="403" t="s">
        <v>778</v>
      </c>
      <c r="F6002" s="403" t="s">
        <v>1286</v>
      </c>
      <c r="G6002" s="403" t="s">
        <v>1466</v>
      </c>
      <c r="H6002" s="403" t="s">
        <v>1282</v>
      </c>
      <c r="I6002" s="403">
        <v>1</v>
      </c>
      <c r="J6002" s="403" t="s">
        <v>110</v>
      </c>
      <c r="K6002" s="403">
        <v>1920</v>
      </c>
      <c r="L6002" s="403">
        <v>1080</v>
      </c>
      <c r="M6002" s="403" t="s">
        <v>111</v>
      </c>
      <c r="N6002" s="403">
        <v>768</v>
      </c>
      <c r="O6002" s="403">
        <v>432</v>
      </c>
      <c r="P6002" t="str">
        <f t="shared" si="745"/>
        <v>30fps 1080p - SD</v>
      </c>
      <c r="Q6002">
        <f t="shared" si="746"/>
        <v>27</v>
      </c>
      <c r="R6002" t="str">
        <f t="shared" si="747"/>
        <v/>
      </c>
      <c r="S6002" t="str">
        <f t="shared" si="748"/>
        <v/>
      </c>
      <c r="T6002" s="403" t="str">
        <f t="shared" si="749"/>
        <v>NDP-7512-Z30C</v>
      </c>
      <c r="U6002" s="403">
        <f t="shared" si="750"/>
        <v>1</v>
      </c>
      <c r="V6002" s="403" t="str">
        <f t="shared" si="751"/>
        <v>CPP_7_3</v>
      </c>
    </row>
    <row r="6003" spans="1:22">
      <c r="A6003" t="str">
        <f t="shared" si="744"/>
        <v>NDP-7512-Z30C</v>
      </c>
      <c r="B6003" s="403" t="s">
        <v>1431</v>
      </c>
      <c r="C6003" s="403" t="s">
        <v>582</v>
      </c>
      <c r="D6003" s="403" t="s">
        <v>1432</v>
      </c>
      <c r="E6003" s="403" t="s">
        <v>778</v>
      </c>
      <c r="F6003" s="403" t="s">
        <v>1286</v>
      </c>
      <c r="G6003" s="403" t="s">
        <v>1466</v>
      </c>
      <c r="H6003" s="403" t="s">
        <v>1282</v>
      </c>
      <c r="I6003" s="403">
        <v>1</v>
      </c>
      <c r="J6003" s="403" t="s">
        <v>110</v>
      </c>
      <c r="K6003" s="403">
        <v>1920</v>
      </c>
      <c r="L6003" s="403">
        <v>1080</v>
      </c>
      <c r="M6003" s="403" t="s">
        <v>110</v>
      </c>
      <c r="N6003" s="403">
        <v>1920</v>
      </c>
      <c r="O6003" s="403">
        <v>1080</v>
      </c>
      <c r="P6003" t="str">
        <f t="shared" si="745"/>
        <v>30fps 1080p - 1080p</v>
      </c>
      <c r="Q6003">
        <f t="shared" si="746"/>
        <v>27</v>
      </c>
      <c r="R6003" t="str">
        <f t="shared" si="747"/>
        <v/>
      </c>
      <c r="S6003" t="str">
        <f t="shared" si="748"/>
        <v/>
      </c>
      <c r="T6003" s="403" t="str">
        <f t="shared" si="749"/>
        <v>NDP-7512-Z30C</v>
      </c>
      <c r="U6003" s="403">
        <f t="shared" si="750"/>
        <v>1</v>
      </c>
      <c r="V6003" s="403" t="str">
        <f t="shared" si="751"/>
        <v>CPP_7_3</v>
      </c>
    </row>
    <row r="6004" spans="1:22">
      <c r="A6004" t="str">
        <f t="shared" si="744"/>
        <v>NDP-7512-Z30C</v>
      </c>
      <c r="B6004" s="403" t="s">
        <v>1431</v>
      </c>
      <c r="C6004" s="403" t="s">
        <v>582</v>
      </c>
      <c r="D6004" s="403" t="s">
        <v>1432</v>
      </c>
      <c r="E6004" s="403" t="s">
        <v>778</v>
      </c>
      <c r="F6004" s="403" t="s">
        <v>1286</v>
      </c>
      <c r="G6004" s="403" t="s">
        <v>1466</v>
      </c>
      <c r="H6004" s="403" t="s">
        <v>1282</v>
      </c>
      <c r="I6004" s="403">
        <v>1</v>
      </c>
      <c r="J6004" s="403" t="s">
        <v>110</v>
      </c>
      <c r="K6004" s="403">
        <v>1920</v>
      </c>
      <c r="L6004" s="403">
        <v>1080</v>
      </c>
      <c r="M6004" s="403" t="s">
        <v>109</v>
      </c>
      <c r="N6004" s="403">
        <v>1280</v>
      </c>
      <c r="O6004" s="403">
        <v>720</v>
      </c>
      <c r="P6004" t="str">
        <f t="shared" si="745"/>
        <v>30fps 1080p - 720p</v>
      </c>
      <c r="Q6004">
        <f t="shared" si="746"/>
        <v>27</v>
      </c>
      <c r="R6004" t="str">
        <f t="shared" si="747"/>
        <v/>
      </c>
      <c r="S6004" t="str">
        <f t="shared" si="748"/>
        <v/>
      </c>
      <c r="T6004" s="403" t="str">
        <f t="shared" si="749"/>
        <v>NDP-7512-Z30C</v>
      </c>
      <c r="U6004" s="403">
        <f t="shared" si="750"/>
        <v>1</v>
      </c>
      <c r="V6004" s="403" t="str">
        <f t="shared" si="751"/>
        <v>CPP_7_3</v>
      </c>
    </row>
    <row r="6005" spans="1:22">
      <c r="A6005" t="str">
        <f t="shared" si="744"/>
        <v>NDP-7512-Z30C</v>
      </c>
      <c r="B6005" s="403" t="s">
        <v>1431</v>
      </c>
      <c r="C6005" s="403" t="s">
        <v>582</v>
      </c>
      <c r="D6005" s="403" t="s">
        <v>1432</v>
      </c>
      <c r="E6005" s="403" t="s">
        <v>778</v>
      </c>
      <c r="F6005" s="403" t="s">
        <v>1286</v>
      </c>
      <c r="G6005" s="403" t="s">
        <v>1466</v>
      </c>
      <c r="H6005" s="403" t="s">
        <v>1282</v>
      </c>
      <c r="I6005" s="403">
        <v>1</v>
      </c>
      <c r="J6005" s="403" t="s">
        <v>110</v>
      </c>
      <c r="K6005" s="403">
        <v>1920</v>
      </c>
      <c r="L6005" s="403">
        <v>1080</v>
      </c>
      <c r="M6005" s="403" t="s">
        <v>1285</v>
      </c>
      <c r="N6005" s="403">
        <v>1280</v>
      </c>
      <c r="O6005" s="403">
        <v>1024</v>
      </c>
      <c r="P6005" t="str">
        <f t="shared" si="745"/>
        <v>30fps 1080p - 1280x1024 5:4 (cropped)</v>
      </c>
      <c r="Q6005">
        <f t="shared" si="746"/>
        <v>27</v>
      </c>
      <c r="R6005" t="str">
        <f t="shared" si="747"/>
        <v/>
      </c>
      <c r="S6005" t="str">
        <f t="shared" si="748"/>
        <v/>
      </c>
      <c r="T6005" s="403" t="str">
        <f t="shared" si="749"/>
        <v>NDP-7512-Z30C</v>
      </c>
      <c r="U6005" s="403">
        <f t="shared" si="750"/>
        <v>1</v>
      </c>
      <c r="V6005" s="403" t="str">
        <f t="shared" si="751"/>
        <v>CPP_7_3</v>
      </c>
    </row>
    <row r="6006" spans="1:22">
      <c r="A6006" t="str">
        <f t="shared" si="744"/>
        <v>NDP-7512-Z30C</v>
      </c>
      <c r="B6006" s="403" t="s">
        <v>1431</v>
      </c>
      <c r="C6006" s="403" t="s">
        <v>582</v>
      </c>
      <c r="D6006" s="403" t="s">
        <v>1432</v>
      </c>
      <c r="E6006" s="403" t="s">
        <v>778</v>
      </c>
      <c r="F6006" s="403" t="s">
        <v>1286</v>
      </c>
      <c r="G6006" s="403" t="s">
        <v>1466</v>
      </c>
      <c r="H6006" s="403" t="s">
        <v>1282</v>
      </c>
      <c r="I6006" s="403">
        <v>1</v>
      </c>
      <c r="J6006" s="403" t="s">
        <v>110</v>
      </c>
      <c r="K6006" s="403">
        <v>1920</v>
      </c>
      <c r="L6006" s="403">
        <v>1080</v>
      </c>
      <c r="M6006" s="403" t="s">
        <v>1283</v>
      </c>
      <c r="N6006" s="403">
        <v>720</v>
      </c>
      <c r="O6006" s="403">
        <v>480</v>
      </c>
      <c r="P6006" t="str">
        <f t="shared" si="745"/>
        <v>30fps 1080p - SD 4CIF resolution 4:3 format (cropped)</v>
      </c>
      <c r="Q6006">
        <f t="shared" si="746"/>
        <v>27</v>
      </c>
      <c r="R6006" t="str">
        <f t="shared" si="747"/>
        <v/>
      </c>
      <c r="S6006" t="str">
        <f t="shared" si="748"/>
        <v/>
      </c>
      <c r="T6006" s="403" t="str">
        <f t="shared" si="749"/>
        <v>NDP-7512-Z30C</v>
      </c>
      <c r="U6006" s="403">
        <f t="shared" si="750"/>
        <v>1</v>
      </c>
      <c r="V6006" s="403" t="str">
        <f t="shared" si="751"/>
        <v>CPP_7_3</v>
      </c>
    </row>
    <row r="6007" spans="1:22">
      <c r="A6007" t="str">
        <f t="shared" si="744"/>
        <v>NDP-7512-Z30C</v>
      </c>
      <c r="B6007" s="403" t="s">
        <v>1431</v>
      </c>
      <c r="C6007" s="403" t="s">
        <v>582</v>
      </c>
      <c r="D6007" s="403" t="s">
        <v>1432</v>
      </c>
      <c r="E6007" s="403" t="s">
        <v>778</v>
      </c>
      <c r="F6007" s="403" t="s">
        <v>1286</v>
      </c>
      <c r="G6007" s="403" t="s">
        <v>1466</v>
      </c>
      <c r="H6007" s="403" t="s">
        <v>1282</v>
      </c>
      <c r="I6007" s="403">
        <v>1</v>
      </c>
      <c r="J6007" s="403" t="s">
        <v>110</v>
      </c>
      <c r="K6007" s="403">
        <v>1920</v>
      </c>
      <c r="L6007" s="403">
        <v>1080</v>
      </c>
      <c r="M6007" s="403" t="s">
        <v>1284</v>
      </c>
      <c r="N6007" s="403">
        <v>640</v>
      </c>
      <c r="O6007" s="403">
        <v>480</v>
      </c>
      <c r="P6007" t="str">
        <f t="shared" si="745"/>
        <v>30fps 1080p - SD VGA (cropped)</v>
      </c>
      <c r="Q6007">
        <f t="shared" si="746"/>
        <v>27</v>
      </c>
      <c r="R6007" t="str">
        <f t="shared" si="747"/>
        <v/>
      </c>
      <c r="S6007" t="str">
        <f t="shared" si="748"/>
        <v/>
      </c>
      <c r="T6007" s="403" t="str">
        <f t="shared" si="749"/>
        <v>NDP-7512-Z30C</v>
      </c>
      <c r="U6007" s="403">
        <f t="shared" si="750"/>
        <v>1</v>
      </c>
      <c r="V6007" s="403" t="str">
        <f t="shared" si="751"/>
        <v>CPP_7_3</v>
      </c>
    </row>
    <row r="6008" spans="1:22">
      <c r="A6008" t="str">
        <f t="shared" si="744"/>
        <v>NDP-7512-Z30C</v>
      </c>
      <c r="B6008" s="403" t="s">
        <v>1431</v>
      </c>
      <c r="C6008" s="403" t="s">
        <v>582</v>
      </c>
      <c r="D6008" s="403" t="s">
        <v>1432</v>
      </c>
      <c r="E6008" s="403" t="s">
        <v>778</v>
      </c>
      <c r="F6008" s="403" t="s">
        <v>1286</v>
      </c>
      <c r="G6008" s="403" t="s">
        <v>1466</v>
      </c>
      <c r="H6008" s="403" t="s">
        <v>1282</v>
      </c>
      <c r="I6008" s="403">
        <v>1</v>
      </c>
      <c r="J6008" s="403" t="s">
        <v>109</v>
      </c>
      <c r="K6008" s="403">
        <v>1280</v>
      </c>
      <c r="L6008" s="403">
        <v>720</v>
      </c>
      <c r="M6008" s="403" t="s">
        <v>109</v>
      </c>
      <c r="N6008" s="403">
        <v>1280</v>
      </c>
      <c r="O6008" s="403">
        <v>720</v>
      </c>
      <c r="P6008" t="str">
        <f t="shared" si="745"/>
        <v>30fps 720p - 720p</v>
      </c>
      <c r="Q6008">
        <f t="shared" si="746"/>
        <v>27</v>
      </c>
      <c r="R6008" t="str">
        <f t="shared" si="747"/>
        <v/>
      </c>
      <c r="S6008" t="str">
        <f t="shared" si="748"/>
        <v/>
      </c>
      <c r="T6008" s="403" t="str">
        <f t="shared" si="749"/>
        <v>NDP-7512-Z30C</v>
      </c>
      <c r="U6008" s="403">
        <f t="shared" si="750"/>
        <v>1</v>
      </c>
      <c r="V6008" s="403" t="str">
        <f t="shared" si="751"/>
        <v>CPP_7_3</v>
      </c>
    </row>
    <row r="6009" spans="1:22">
      <c r="A6009" t="str">
        <f t="shared" si="744"/>
        <v>NDP-7512-Z30C</v>
      </c>
      <c r="B6009" s="403" t="s">
        <v>1431</v>
      </c>
      <c r="C6009" s="403" t="s">
        <v>582</v>
      </c>
      <c r="D6009" s="403" t="s">
        <v>1432</v>
      </c>
      <c r="E6009" s="403" t="s">
        <v>778</v>
      </c>
      <c r="F6009" s="403" t="s">
        <v>1286</v>
      </c>
      <c r="G6009" s="403" t="s">
        <v>1466</v>
      </c>
      <c r="H6009" s="403" t="s">
        <v>1282</v>
      </c>
      <c r="I6009" s="403">
        <v>1</v>
      </c>
      <c r="J6009" s="403" t="s">
        <v>109</v>
      </c>
      <c r="K6009" s="403">
        <v>1280</v>
      </c>
      <c r="L6009" s="403">
        <v>720</v>
      </c>
      <c r="M6009" s="403" t="s">
        <v>111</v>
      </c>
      <c r="N6009" s="403">
        <v>768</v>
      </c>
      <c r="O6009" s="403">
        <v>432</v>
      </c>
      <c r="P6009" t="str">
        <f t="shared" si="745"/>
        <v>30fps 720p - SD</v>
      </c>
      <c r="Q6009">
        <f t="shared" si="746"/>
        <v>27</v>
      </c>
      <c r="R6009" t="str">
        <f t="shared" si="747"/>
        <v/>
      </c>
      <c r="S6009" t="str">
        <f t="shared" si="748"/>
        <v/>
      </c>
      <c r="T6009" s="403" t="str">
        <f t="shared" si="749"/>
        <v>NDP-7512-Z30C</v>
      </c>
      <c r="U6009" s="403">
        <f t="shared" si="750"/>
        <v>1</v>
      </c>
      <c r="V6009" s="403" t="str">
        <f t="shared" si="751"/>
        <v>CPP_7_3</v>
      </c>
    </row>
    <row r="6010" spans="1:22">
      <c r="A6010" t="str">
        <f t="shared" si="744"/>
        <v>NDP-7512-Z30C</v>
      </c>
      <c r="B6010" s="403" t="s">
        <v>1431</v>
      </c>
      <c r="C6010" s="403" t="s">
        <v>582</v>
      </c>
      <c r="D6010" s="403" t="s">
        <v>1432</v>
      </c>
      <c r="E6010" s="403" t="s">
        <v>778</v>
      </c>
      <c r="F6010" s="403" t="s">
        <v>1286</v>
      </c>
      <c r="G6010" s="403" t="s">
        <v>1466</v>
      </c>
      <c r="H6010" s="403" t="s">
        <v>1282</v>
      </c>
      <c r="I6010" s="403">
        <v>1</v>
      </c>
      <c r="J6010" s="403" t="s">
        <v>109</v>
      </c>
      <c r="K6010" s="403">
        <v>1280</v>
      </c>
      <c r="L6010" s="403">
        <v>720</v>
      </c>
      <c r="M6010" s="403" t="s">
        <v>1283</v>
      </c>
      <c r="N6010" s="403">
        <v>720</v>
      </c>
      <c r="O6010" s="403">
        <v>480</v>
      </c>
      <c r="P6010" t="str">
        <f t="shared" si="745"/>
        <v>30fps 720p - SD 4CIF resolution 4:3 format (cropped)</v>
      </c>
      <c r="Q6010">
        <f t="shared" si="746"/>
        <v>27</v>
      </c>
      <c r="R6010" t="str">
        <f t="shared" si="747"/>
        <v/>
      </c>
      <c r="S6010" t="str">
        <f t="shared" si="748"/>
        <v/>
      </c>
      <c r="T6010" s="403" t="str">
        <f t="shared" si="749"/>
        <v>NDP-7512-Z30C</v>
      </c>
      <c r="U6010" s="403">
        <f t="shared" si="750"/>
        <v>1</v>
      </c>
      <c r="V6010" s="403" t="str">
        <f t="shared" si="751"/>
        <v>CPP_7_3</v>
      </c>
    </row>
    <row r="6011" spans="1:22">
      <c r="A6011" t="str">
        <f t="shared" si="744"/>
        <v>NDP-7512-Z30C</v>
      </c>
      <c r="B6011" s="403" t="s">
        <v>1431</v>
      </c>
      <c r="C6011" s="403" t="s">
        <v>582</v>
      </c>
      <c r="D6011" s="403" t="s">
        <v>1432</v>
      </c>
      <c r="E6011" s="403" t="s">
        <v>778</v>
      </c>
      <c r="F6011" s="403" t="s">
        <v>1286</v>
      </c>
      <c r="G6011" s="403" t="s">
        <v>1466</v>
      </c>
      <c r="H6011" s="403" t="s">
        <v>1282</v>
      </c>
      <c r="I6011" s="403">
        <v>1</v>
      </c>
      <c r="J6011" s="403" t="s">
        <v>109</v>
      </c>
      <c r="K6011" s="403">
        <v>1280</v>
      </c>
      <c r="L6011" s="403">
        <v>720</v>
      </c>
      <c r="M6011" s="403" t="s">
        <v>1284</v>
      </c>
      <c r="N6011" s="403">
        <v>640</v>
      </c>
      <c r="O6011" s="403">
        <v>480</v>
      </c>
      <c r="P6011" t="str">
        <f t="shared" si="745"/>
        <v>30fps 720p - SD VGA (cropped)</v>
      </c>
      <c r="Q6011">
        <f t="shared" si="746"/>
        <v>27</v>
      </c>
      <c r="R6011" t="str">
        <f t="shared" si="747"/>
        <v/>
      </c>
      <c r="S6011" t="str">
        <f t="shared" si="748"/>
        <v/>
      </c>
      <c r="T6011" s="403" t="str">
        <f t="shared" si="749"/>
        <v>NDP-7512-Z30C</v>
      </c>
      <c r="U6011" s="403">
        <f t="shared" si="750"/>
        <v>1</v>
      </c>
      <c r="V6011" s="403" t="str">
        <f t="shared" si="751"/>
        <v>CPP_7_3</v>
      </c>
    </row>
    <row r="6012" spans="1:22">
      <c r="A6012" t="str">
        <f t="shared" si="744"/>
        <v>NDV-3503-F02</v>
      </c>
      <c r="B6012" s="403" t="s">
        <v>1433</v>
      </c>
      <c r="C6012" s="403" t="s">
        <v>582</v>
      </c>
      <c r="D6012" s="403" t="s">
        <v>1434</v>
      </c>
      <c r="E6012" s="403" t="s">
        <v>778</v>
      </c>
      <c r="F6012" s="403" t="s">
        <v>1372</v>
      </c>
      <c r="G6012" s="403" t="s">
        <v>1466</v>
      </c>
      <c r="H6012" s="403" t="s">
        <v>1276</v>
      </c>
      <c r="I6012" s="403">
        <v>1</v>
      </c>
      <c r="J6012" s="403" t="s">
        <v>1373</v>
      </c>
      <c r="K6012" s="403">
        <v>2688</v>
      </c>
      <c r="L6012" s="403">
        <v>1512</v>
      </c>
      <c r="M6012" s="403" t="s">
        <v>111</v>
      </c>
      <c r="N6012" s="403">
        <v>768</v>
      </c>
      <c r="O6012" s="403">
        <v>432</v>
      </c>
      <c r="P6012" t="str">
        <f t="shared" si="745"/>
        <v>25fps 2688x1512 - SD</v>
      </c>
      <c r="Q6012">
        <f t="shared" si="746"/>
        <v>28</v>
      </c>
      <c r="R6012">
        <f t="shared" si="747"/>
        <v>28</v>
      </c>
      <c r="S6012" t="str">
        <f t="shared" si="748"/>
        <v>FLEXIDOME IP micro 3000i (NDV-3503-F02)</v>
      </c>
      <c r="T6012" s="403" t="str">
        <f t="shared" si="749"/>
        <v>NDV-3503-F02</v>
      </c>
      <c r="U6012" s="403">
        <f t="shared" si="750"/>
        <v>1</v>
      </c>
      <c r="V6012" s="403" t="str">
        <f t="shared" si="751"/>
        <v>CPP_7_3</v>
      </c>
    </row>
    <row r="6013" spans="1:22">
      <c r="A6013" t="str">
        <f t="shared" si="744"/>
        <v>NDV-3503-F02</v>
      </c>
      <c r="B6013" s="403" t="s">
        <v>1433</v>
      </c>
      <c r="C6013" s="403" t="s">
        <v>582</v>
      </c>
      <c r="D6013" s="403" t="s">
        <v>1434</v>
      </c>
      <c r="E6013" s="403" t="s">
        <v>778</v>
      </c>
      <c r="F6013" s="403" t="s">
        <v>1372</v>
      </c>
      <c r="G6013" s="403" t="s">
        <v>1466</v>
      </c>
      <c r="H6013" s="403" t="s">
        <v>1276</v>
      </c>
      <c r="I6013" s="403">
        <v>1</v>
      </c>
      <c r="J6013" s="403" t="s">
        <v>1373</v>
      </c>
      <c r="K6013" s="403">
        <v>2688</v>
      </c>
      <c r="L6013" s="403">
        <v>1512</v>
      </c>
      <c r="M6013" s="403" t="s">
        <v>1279</v>
      </c>
      <c r="N6013" s="403">
        <v>768</v>
      </c>
      <c r="O6013" s="403">
        <v>432</v>
      </c>
      <c r="P6013" t="str">
        <f t="shared" si="745"/>
        <v>25fps 2688x1512 - SD ROI PTZ</v>
      </c>
      <c r="Q6013">
        <f t="shared" si="746"/>
        <v>28</v>
      </c>
      <c r="R6013" t="str">
        <f t="shared" si="747"/>
        <v/>
      </c>
      <c r="S6013" t="str">
        <f t="shared" si="748"/>
        <v/>
      </c>
      <c r="T6013" s="403" t="str">
        <f t="shared" si="749"/>
        <v>NDV-3503-F02</v>
      </c>
      <c r="U6013" s="403">
        <f t="shared" si="750"/>
        <v>1</v>
      </c>
      <c r="V6013" s="403" t="str">
        <f t="shared" si="751"/>
        <v>CPP_7_3</v>
      </c>
    </row>
    <row r="6014" spans="1:22">
      <c r="A6014" t="str">
        <f t="shared" si="744"/>
        <v>NDV-3503-F02</v>
      </c>
      <c r="B6014" s="403" t="s">
        <v>1433</v>
      </c>
      <c r="C6014" s="403" t="s">
        <v>582</v>
      </c>
      <c r="D6014" s="403" t="s">
        <v>1434</v>
      </c>
      <c r="E6014" s="403" t="s">
        <v>778</v>
      </c>
      <c r="F6014" s="403" t="s">
        <v>1372</v>
      </c>
      <c r="G6014" s="403" t="s">
        <v>1466</v>
      </c>
      <c r="H6014" s="403" t="s">
        <v>1276</v>
      </c>
      <c r="I6014" s="403">
        <v>1</v>
      </c>
      <c r="J6014" s="403" t="s">
        <v>1373</v>
      </c>
      <c r="K6014" s="403">
        <v>2688</v>
      </c>
      <c r="L6014" s="403">
        <v>1512</v>
      </c>
      <c r="M6014" s="403" t="s">
        <v>1283</v>
      </c>
      <c r="N6014" s="403">
        <v>720</v>
      </c>
      <c r="O6014" s="403">
        <v>576</v>
      </c>
      <c r="P6014" t="str">
        <f t="shared" si="745"/>
        <v>25fps 2688x1512 - SD 4CIF resolution 4:3 format (cropped)</v>
      </c>
      <c r="Q6014">
        <f t="shared" si="746"/>
        <v>28</v>
      </c>
      <c r="R6014" t="str">
        <f t="shared" si="747"/>
        <v/>
      </c>
      <c r="S6014" t="str">
        <f t="shared" si="748"/>
        <v/>
      </c>
      <c r="T6014" s="403" t="str">
        <f t="shared" si="749"/>
        <v>NDV-3503-F02</v>
      </c>
      <c r="U6014" s="403">
        <f t="shared" si="750"/>
        <v>1</v>
      </c>
      <c r="V6014" s="403" t="str">
        <f t="shared" si="751"/>
        <v>CPP_7_3</v>
      </c>
    </row>
    <row r="6015" spans="1:22">
      <c r="A6015" t="str">
        <f t="shared" si="744"/>
        <v>NDV-3503-F02</v>
      </c>
      <c r="B6015" s="403" t="s">
        <v>1433</v>
      </c>
      <c r="C6015" s="403" t="s">
        <v>582</v>
      </c>
      <c r="D6015" s="403" t="s">
        <v>1434</v>
      </c>
      <c r="E6015" s="403" t="s">
        <v>778</v>
      </c>
      <c r="F6015" s="403" t="s">
        <v>1372</v>
      </c>
      <c r="G6015" s="403" t="s">
        <v>1466</v>
      </c>
      <c r="H6015" s="403" t="s">
        <v>1276</v>
      </c>
      <c r="I6015" s="403">
        <v>1</v>
      </c>
      <c r="J6015" s="403" t="s">
        <v>1373</v>
      </c>
      <c r="K6015" s="403">
        <v>2688</v>
      </c>
      <c r="L6015" s="403">
        <v>1512</v>
      </c>
      <c r="M6015" s="403" t="s">
        <v>1284</v>
      </c>
      <c r="N6015" s="403">
        <v>640</v>
      </c>
      <c r="O6015" s="403">
        <v>480</v>
      </c>
      <c r="P6015" t="str">
        <f t="shared" si="745"/>
        <v>25fps 2688x1512 - SD VGA (cropped)</v>
      </c>
      <c r="Q6015">
        <f t="shared" si="746"/>
        <v>28</v>
      </c>
      <c r="R6015" t="str">
        <f t="shared" si="747"/>
        <v/>
      </c>
      <c r="S6015" t="str">
        <f t="shared" si="748"/>
        <v/>
      </c>
      <c r="T6015" s="403" t="str">
        <f t="shared" si="749"/>
        <v>NDV-3503-F02</v>
      </c>
      <c r="U6015" s="403">
        <f t="shared" si="750"/>
        <v>1</v>
      </c>
      <c r="V6015" s="403" t="str">
        <f t="shared" si="751"/>
        <v>CPP_7_3</v>
      </c>
    </row>
    <row r="6016" spans="1:22">
      <c r="A6016" t="str">
        <f t="shared" si="744"/>
        <v>NDV-3503-F02</v>
      </c>
      <c r="B6016" s="403" t="s">
        <v>1433</v>
      </c>
      <c r="C6016" s="403" t="s">
        <v>582</v>
      </c>
      <c r="D6016" s="403" t="s">
        <v>1434</v>
      </c>
      <c r="E6016" s="403" t="s">
        <v>778</v>
      </c>
      <c r="F6016" s="403" t="s">
        <v>1372</v>
      </c>
      <c r="G6016" s="403" t="s">
        <v>1466</v>
      </c>
      <c r="H6016" s="403" t="s">
        <v>1276</v>
      </c>
      <c r="I6016" s="403">
        <v>1</v>
      </c>
      <c r="J6016" s="403" t="s">
        <v>1373</v>
      </c>
      <c r="K6016" s="403">
        <v>2688</v>
      </c>
      <c r="L6016" s="403">
        <v>1512</v>
      </c>
      <c r="M6016" s="403" t="s">
        <v>1280</v>
      </c>
      <c r="N6016" s="403">
        <v>2688</v>
      </c>
      <c r="O6016" s="403">
        <v>1512</v>
      </c>
      <c r="P6016" t="str">
        <f t="shared" si="745"/>
        <v>25fps 2688x1512 - copy other stream</v>
      </c>
      <c r="Q6016">
        <f t="shared" si="746"/>
        <v>28</v>
      </c>
      <c r="R6016" t="str">
        <f t="shared" si="747"/>
        <v/>
      </c>
      <c r="S6016" t="str">
        <f t="shared" si="748"/>
        <v/>
      </c>
      <c r="T6016" s="403" t="str">
        <f t="shared" si="749"/>
        <v>NDV-3503-F02</v>
      </c>
      <c r="U6016" s="403">
        <f t="shared" si="750"/>
        <v>1</v>
      </c>
      <c r="V6016" s="403" t="str">
        <f t="shared" si="751"/>
        <v>CPP_7_3</v>
      </c>
    </row>
    <row r="6017" spans="1:22">
      <c r="A6017" t="str">
        <f t="shared" si="744"/>
        <v>NDV-3503-F02</v>
      </c>
      <c r="B6017" s="403" t="s">
        <v>1433</v>
      </c>
      <c r="C6017" s="403" t="s">
        <v>582</v>
      </c>
      <c r="D6017" s="403" t="s">
        <v>1434</v>
      </c>
      <c r="E6017" s="403" t="s">
        <v>778</v>
      </c>
      <c r="F6017" s="403" t="s">
        <v>1372</v>
      </c>
      <c r="G6017" s="403" t="s">
        <v>1466</v>
      </c>
      <c r="H6017" s="403" t="s">
        <v>1276</v>
      </c>
      <c r="I6017" s="403">
        <v>1</v>
      </c>
      <c r="J6017" s="403" t="s">
        <v>1374</v>
      </c>
      <c r="K6017" s="403">
        <v>2304</v>
      </c>
      <c r="L6017" s="403">
        <v>1296</v>
      </c>
      <c r="M6017" s="403" t="s">
        <v>109</v>
      </c>
      <c r="N6017" s="403">
        <v>1280</v>
      </c>
      <c r="O6017" s="403">
        <v>720</v>
      </c>
      <c r="P6017" t="str">
        <f t="shared" si="745"/>
        <v>25fps 2304x1296 - 720p</v>
      </c>
      <c r="Q6017">
        <f t="shared" si="746"/>
        <v>28</v>
      </c>
      <c r="R6017" t="str">
        <f t="shared" si="747"/>
        <v/>
      </c>
      <c r="S6017" t="str">
        <f t="shared" si="748"/>
        <v/>
      </c>
      <c r="T6017" s="403" t="str">
        <f t="shared" si="749"/>
        <v>NDV-3503-F02</v>
      </c>
      <c r="U6017" s="403">
        <f t="shared" si="750"/>
        <v>1</v>
      </c>
      <c r="V6017" s="403" t="str">
        <f t="shared" si="751"/>
        <v>CPP_7_3</v>
      </c>
    </row>
    <row r="6018" spans="1:22">
      <c r="A6018" t="str">
        <f t="shared" ref="A6018:A6081" si="752">IF(AND(G6018&lt;&gt;"rotate 90°"),D6018,"")</f>
        <v>NDV-3503-F02</v>
      </c>
      <c r="B6018" s="403" t="s">
        <v>1433</v>
      </c>
      <c r="C6018" s="403" t="s">
        <v>582</v>
      </c>
      <c r="D6018" s="403" t="s">
        <v>1434</v>
      </c>
      <c r="E6018" s="403" t="s">
        <v>778</v>
      </c>
      <c r="F6018" s="403" t="s">
        <v>1372</v>
      </c>
      <c r="G6018" s="403" t="s">
        <v>1466</v>
      </c>
      <c r="H6018" s="403" t="s">
        <v>1276</v>
      </c>
      <c r="I6018" s="403">
        <v>1</v>
      </c>
      <c r="J6018" s="403" t="s">
        <v>1374</v>
      </c>
      <c r="K6018" s="403">
        <v>2304</v>
      </c>
      <c r="L6018" s="403">
        <v>1296</v>
      </c>
      <c r="M6018" s="403" t="s">
        <v>111</v>
      </c>
      <c r="N6018" s="403">
        <v>768</v>
      </c>
      <c r="O6018" s="403">
        <v>432</v>
      </c>
      <c r="P6018" t="str">
        <f t="shared" ref="P6018:P6081" si="753">LEFT(F6018,5)&amp;" "&amp;J6018&amp;" - "&amp;M6018</f>
        <v>25fps 2304x1296 - SD</v>
      </c>
      <c r="Q6018">
        <f t="shared" ref="Q6018:Q6081" si="754">IF(A6017=A6018,Q6017,Q6017+1)</f>
        <v>28</v>
      </c>
      <c r="R6018" t="str">
        <f t="shared" ref="R6018:R6081" si="755">IF(Q6017&lt;&gt;Q6018,Q6018,"")</f>
        <v/>
      </c>
      <c r="S6018" t="str">
        <f t="shared" ref="S6018:S6081" si="756">IF(R6018&lt;&gt;"",B6018&amp;" ("&amp;D6018&amp;")","")</f>
        <v/>
      </c>
      <c r="T6018" s="403" t="str">
        <f t="shared" ref="T6018:T6081" si="757">D6018</f>
        <v>NDV-3503-F02</v>
      </c>
      <c r="U6018" s="403">
        <f t="shared" ref="U6018:U6081" si="758">I6018</f>
        <v>1</v>
      </c>
      <c r="V6018" s="403" t="str">
        <f t="shared" ref="V6018:V6081" si="759">C6018</f>
        <v>CPP_7_3</v>
      </c>
    </row>
    <row r="6019" spans="1:22">
      <c r="A6019" t="str">
        <f t="shared" si="752"/>
        <v>NDV-3503-F02</v>
      </c>
      <c r="B6019" s="403" t="s">
        <v>1433</v>
      </c>
      <c r="C6019" s="403" t="s">
        <v>582</v>
      </c>
      <c r="D6019" s="403" t="s">
        <v>1434</v>
      </c>
      <c r="E6019" s="403" t="s">
        <v>778</v>
      </c>
      <c r="F6019" s="403" t="s">
        <v>1372</v>
      </c>
      <c r="G6019" s="403" t="s">
        <v>1466</v>
      </c>
      <c r="H6019" s="403" t="s">
        <v>1276</v>
      </c>
      <c r="I6019" s="403">
        <v>1</v>
      </c>
      <c r="J6019" s="403" t="s">
        <v>1374</v>
      </c>
      <c r="K6019" s="403">
        <v>2304</v>
      </c>
      <c r="L6019" s="403">
        <v>1296</v>
      </c>
      <c r="M6019" s="403" t="s">
        <v>1279</v>
      </c>
      <c r="N6019" s="403">
        <v>768</v>
      </c>
      <c r="O6019" s="403">
        <v>432</v>
      </c>
      <c r="P6019" t="str">
        <f t="shared" si="753"/>
        <v>25fps 2304x1296 - SD ROI PTZ</v>
      </c>
      <c r="Q6019">
        <f t="shared" si="754"/>
        <v>28</v>
      </c>
      <c r="R6019" t="str">
        <f t="shared" si="755"/>
        <v/>
      </c>
      <c r="S6019" t="str">
        <f t="shared" si="756"/>
        <v/>
      </c>
      <c r="T6019" s="403" t="str">
        <f t="shared" si="757"/>
        <v>NDV-3503-F02</v>
      </c>
      <c r="U6019" s="403">
        <f t="shared" si="758"/>
        <v>1</v>
      </c>
      <c r="V6019" s="403" t="str">
        <f t="shared" si="759"/>
        <v>CPP_7_3</v>
      </c>
    </row>
    <row r="6020" spans="1:22">
      <c r="A6020" t="str">
        <f t="shared" si="752"/>
        <v>NDV-3503-F02</v>
      </c>
      <c r="B6020" s="403" t="s">
        <v>1433</v>
      </c>
      <c r="C6020" s="403" t="s">
        <v>582</v>
      </c>
      <c r="D6020" s="403" t="s">
        <v>1434</v>
      </c>
      <c r="E6020" s="403" t="s">
        <v>778</v>
      </c>
      <c r="F6020" s="403" t="s">
        <v>1372</v>
      </c>
      <c r="G6020" s="403" t="s">
        <v>1466</v>
      </c>
      <c r="H6020" s="403" t="s">
        <v>1276</v>
      </c>
      <c r="I6020" s="403">
        <v>1</v>
      </c>
      <c r="J6020" s="403" t="s">
        <v>1374</v>
      </c>
      <c r="K6020" s="403">
        <v>2304</v>
      </c>
      <c r="L6020" s="403">
        <v>1296</v>
      </c>
      <c r="M6020" s="403" t="s">
        <v>1285</v>
      </c>
      <c r="N6020" s="403">
        <v>1280</v>
      </c>
      <c r="O6020" s="403">
        <v>1024</v>
      </c>
      <c r="P6020" t="str">
        <f t="shared" si="753"/>
        <v>25fps 2304x1296 - 1280x1024 5:4 (cropped)</v>
      </c>
      <c r="Q6020">
        <f t="shared" si="754"/>
        <v>28</v>
      </c>
      <c r="R6020" t="str">
        <f t="shared" si="755"/>
        <v/>
      </c>
      <c r="S6020" t="str">
        <f t="shared" si="756"/>
        <v/>
      </c>
      <c r="T6020" s="403" t="str">
        <f t="shared" si="757"/>
        <v>NDV-3503-F02</v>
      </c>
      <c r="U6020" s="403">
        <f t="shared" si="758"/>
        <v>1</v>
      </c>
      <c r="V6020" s="403" t="str">
        <f t="shared" si="759"/>
        <v>CPP_7_3</v>
      </c>
    </row>
    <row r="6021" spans="1:22">
      <c r="A6021" t="str">
        <f t="shared" si="752"/>
        <v>NDV-3503-F02</v>
      </c>
      <c r="B6021" s="403" t="s">
        <v>1433</v>
      </c>
      <c r="C6021" s="403" t="s">
        <v>582</v>
      </c>
      <c r="D6021" s="403" t="s">
        <v>1434</v>
      </c>
      <c r="E6021" s="403" t="s">
        <v>778</v>
      </c>
      <c r="F6021" s="403" t="s">
        <v>1372</v>
      </c>
      <c r="G6021" s="403" t="s">
        <v>1466</v>
      </c>
      <c r="H6021" s="403" t="s">
        <v>1276</v>
      </c>
      <c r="I6021" s="403">
        <v>1</v>
      </c>
      <c r="J6021" s="403" t="s">
        <v>1374</v>
      </c>
      <c r="K6021" s="403">
        <v>2304</v>
      </c>
      <c r="L6021" s="403">
        <v>1296</v>
      </c>
      <c r="M6021" s="403" t="s">
        <v>1283</v>
      </c>
      <c r="N6021" s="403">
        <v>720</v>
      </c>
      <c r="O6021" s="403">
        <v>576</v>
      </c>
      <c r="P6021" t="str">
        <f t="shared" si="753"/>
        <v>25fps 2304x1296 - SD 4CIF resolution 4:3 format (cropped)</v>
      </c>
      <c r="Q6021">
        <f t="shared" si="754"/>
        <v>28</v>
      </c>
      <c r="R6021" t="str">
        <f t="shared" si="755"/>
        <v/>
      </c>
      <c r="S6021" t="str">
        <f t="shared" si="756"/>
        <v/>
      </c>
      <c r="T6021" s="403" t="str">
        <f t="shared" si="757"/>
        <v>NDV-3503-F02</v>
      </c>
      <c r="U6021" s="403">
        <f t="shared" si="758"/>
        <v>1</v>
      </c>
      <c r="V6021" s="403" t="str">
        <f t="shared" si="759"/>
        <v>CPP_7_3</v>
      </c>
    </row>
    <row r="6022" spans="1:22">
      <c r="A6022" t="str">
        <f t="shared" si="752"/>
        <v>NDV-3503-F02</v>
      </c>
      <c r="B6022" s="403" t="s">
        <v>1433</v>
      </c>
      <c r="C6022" s="403" t="s">
        <v>582</v>
      </c>
      <c r="D6022" s="403" t="s">
        <v>1434</v>
      </c>
      <c r="E6022" s="403" t="s">
        <v>778</v>
      </c>
      <c r="F6022" s="403" t="s">
        <v>1372</v>
      </c>
      <c r="G6022" s="403" t="s">
        <v>1466</v>
      </c>
      <c r="H6022" s="403" t="s">
        <v>1276</v>
      </c>
      <c r="I6022" s="403">
        <v>1</v>
      </c>
      <c r="J6022" s="403" t="s">
        <v>1374</v>
      </c>
      <c r="K6022" s="403">
        <v>2304</v>
      </c>
      <c r="L6022" s="403">
        <v>1296</v>
      </c>
      <c r="M6022" s="403" t="s">
        <v>1284</v>
      </c>
      <c r="N6022" s="403">
        <v>640</v>
      </c>
      <c r="O6022" s="403">
        <v>480</v>
      </c>
      <c r="P6022" t="str">
        <f t="shared" si="753"/>
        <v>25fps 2304x1296 - SD VGA (cropped)</v>
      </c>
      <c r="Q6022">
        <f t="shared" si="754"/>
        <v>28</v>
      </c>
      <c r="R6022" t="str">
        <f t="shared" si="755"/>
        <v/>
      </c>
      <c r="S6022" t="str">
        <f t="shared" si="756"/>
        <v/>
      </c>
      <c r="T6022" s="403" t="str">
        <f t="shared" si="757"/>
        <v>NDV-3503-F02</v>
      </c>
      <c r="U6022" s="403">
        <f t="shared" si="758"/>
        <v>1</v>
      </c>
      <c r="V6022" s="403" t="str">
        <f t="shared" si="759"/>
        <v>CPP_7_3</v>
      </c>
    </row>
    <row r="6023" spans="1:22">
      <c r="A6023" t="str">
        <f t="shared" si="752"/>
        <v>NDV-3503-F02</v>
      </c>
      <c r="B6023" s="403" t="s">
        <v>1433</v>
      </c>
      <c r="C6023" s="403" t="s">
        <v>582</v>
      </c>
      <c r="D6023" s="403" t="s">
        <v>1434</v>
      </c>
      <c r="E6023" s="403" t="s">
        <v>778</v>
      </c>
      <c r="F6023" s="403" t="s">
        <v>1372</v>
      </c>
      <c r="G6023" s="403" t="s">
        <v>1466</v>
      </c>
      <c r="H6023" s="403" t="s">
        <v>1276</v>
      </c>
      <c r="I6023" s="403">
        <v>1</v>
      </c>
      <c r="J6023" s="403" t="s">
        <v>1374</v>
      </c>
      <c r="K6023" s="403">
        <v>2304</v>
      </c>
      <c r="L6023" s="403">
        <v>1296</v>
      </c>
      <c r="M6023" s="403" t="s">
        <v>1280</v>
      </c>
      <c r="N6023" s="403">
        <v>2304</v>
      </c>
      <c r="O6023" s="403">
        <v>1296</v>
      </c>
      <c r="P6023" t="str">
        <f t="shared" si="753"/>
        <v>25fps 2304x1296 - copy other stream</v>
      </c>
      <c r="Q6023">
        <f t="shared" si="754"/>
        <v>28</v>
      </c>
      <c r="R6023" t="str">
        <f t="shared" si="755"/>
        <v/>
      </c>
      <c r="S6023" t="str">
        <f t="shared" si="756"/>
        <v/>
      </c>
      <c r="T6023" s="403" t="str">
        <f t="shared" si="757"/>
        <v>NDV-3503-F02</v>
      </c>
      <c r="U6023" s="403">
        <f t="shared" si="758"/>
        <v>1</v>
      </c>
      <c r="V6023" s="403" t="str">
        <f t="shared" si="759"/>
        <v>CPP_7_3</v>
      </c>
    </row>
    <row r="6024" spans="1:22">
      <c r="A6024" t="str">
        <f t="shared" si="752"/>
        <v>NDV-3503-F02</v>
      </c>
      <c r="B6024" s="403" t="s">
        <v>1433</v>
      </c>
      <c r="C6024" s="403" t="s">
        <v>582</v>
      </c>
      <c r="D6024" s="403" t="s">
        <v>1434</v>
      </c>
      <c r="E6024" s="403" t="s">
        <v>778</v>
      </c>
      <c r="F6024" s="403" t="s">
        <v>1372</v>
      </c>
      <c r="G6024" s="403" t="s">
        <v>1466</v>
      </c>
      <c r="H6024" s="403" t="s">
        <v>1276</v>
      </c>
      <c r="I6024" s="403">
        <v>1</v>
      </c>
      <c r="J6024" s="403" t="s">
        <v>110</v>
      </c>
      <c r="K6024" s="403">
        <v>1920</v>
      </c>
      <c r="L6024" s="403">
        <v>1080</v>
      </c>
      <c r="M6024" s="403" t="s">
        <v>111</v>
      </c>
      <c r="N6024" s="403">
        <v>768</v>
      </c>
      <c r="O6024" s="403">
        <v>432</v>
      </c>
      <c r="P6024" t="str">
        <f t="shared" si="753"/>
        <v>25fps 1080p - SD</v>
      </c>
      <c r="Q6024">
        <f t="shared" si="754"/>
        <v>28</v>
      </c>
      <c r="R6024" t="str">
        <f t="shared" si="755"/>
        <v/>
      </c>
      <c r="S6024" t="str">
        <f t="shared" si="756"/>
        <v/>
      </c>
      <c r="T6024" s="403" t="str">
        <f t="shared" si="757"/>
        <v>NDV-3503-F02</v>
      </c>
      <c r="U6024" s="403">
        <f t="shared" si="758"/>
        <v>1</v>
      </c>
      <c r="V6024" s="403" t="str">
        <f t="shared" si="759"/>
        <v>CPP_7_3</v>
      </c>
    </row>
    <row r="6025" spans="1:22">
      <c r="A6025" t="str">
        <f t="shared" si="752"/>
        <v>NDV-3503-F02</v>
      </c>
      <c r="B6025" s="403" t="s">
        <v>1433</v>
      </c>
      <c r="C6025" s="403" t="s">
        <v>582</v>
      </c>
      <c r="D6025" s="403" t="s">
        <v>1434</v>
      </c>
      <c r="E6025" s="403" t="s">
        <v>778</v>
      </c>
      <c r="F6025" s="403" t="s">
        <v>1372</v>
      </c>
      <c r="G6025" s="403" t="s">
        <v>1466</v>
      </c>
      <c r="H6025" s="403" t="s">
        <v>1276</v>
      </c>
      <c r="I6025" s="403">
        <v>1</v>
      </c>
      <c r="J6025" s="403" t="s">
        <v>110</v>
      </c>
      <c r="K6025" s="403">
        <v>1920</v>
      </c>
      <c r="L6025" s="403">
        <v>1080</v>
      </c>
      <c r="M6025" s="403" t="s">
        <v>110</v>
      </c>
      <c r="N6025" s="403">
        <v>1920</v>
      </c>
      <c r="O6025" s="403">
        <v>1080</v>
      </c>
      <c r="P6025" t="str">
        <f t="shared" si="753"/>
        <v>25fps 1080p - 1080p</v>
      </c>
      <c r="Q6025">
        <f t="shared" si="754"/>
        <v>28</v>
      </c>
      <c r="R6025" t="str">
        <f t="shared" si="755"/>
        <v/>
      </c>
      <c r="S6025" t="str">
        <f t="shared" si="756"/>
        <v/>
      </c>
      <c r="T6025" s="403" t="str">
        <f t="shared" si="757"/>
        <v>NDV-3503-F02</v>
      </c>
      <c r="U6025" s="403">
        <f t="shared" si="758"/>
        <v>1</v>
      </c>
      <c r="V6025" s="403" t="str">
        <f t="shared" si="759"/>
        <v>CPP_7_3</v>
      </c>
    </row>
    <row r="6026" spans="1:22">
      <c r="A6026" t="str">
        <f t="shared" si="752"/>
        <v>NDV-3503-F02</v>
      </c>
      <c r="B6026" s="403" t="s">
        <v>1433</v>
      </c>
      <c r="C6026" s="403" t="s">
        <v>582</v>
      </c>
      <c r="D6026" s="403" t="s">
        <v>1434</v>
      </c>
      <c r="E6026" s="403" t="s">
        <v>778</v>
      </c>
      <c r="F6026" s="403" t="s">
        <v>1372</v>
      </c>
      <c r="G6026" s="403" t="s">
        <v>1466</v>
      </c>
      <c r="H6026" s="403" t="s">
        <v>1276</v>
      </c>
      <c r="I6026" s="403">
        <v>1</v>
      </c>
      <c r="J6026" s="403" t="s">
        <v>110</v>
      </c>
      <c r="K6026" s="403">
        <v>1920</v>
      </c>
      <c r="L6026" s="403">
        <v>1080</v>
      </c>
      <c r="M6026" s="403" t="s">
        <v>109</v>
      </c>
      <c r="N6026" s="403">
        <v>1280</v>
      </c>
      <c r="O6026" s="403">
        <v>720</v>
      </c>
      <c r="P6026" t="str">
        <f t="shared" si="753"/>
        <v>25fps 1080p - 720p</v>
      </c>
      <c r="Q6026">
        <f t="shared" si="754"/>
        <v>28</v>
      </c>
      <c r="R6026" t="str">
        <f t="shared" si="755"/>
        <v/>
      </c>
      <c r="S6026" t="str">
        <f t="shared" si="756"/>
        <v/>
      </c>
      <c r="T6026" s="403" t="str">
        <f t="shared" si="757"/>
        <v>NDV-3503-F02</v>
      </c>
      <c r="U6026" s="403">
        <f t="shared" si="758"/>
        <v>1</v>
      </c>
      <c r="V6026" s="403" t="str">
        <f t="shared" si="759"/>
        <v>CPP_7_3</v>
      </c>
    </row>
    <row r="6027" spans="1:22">
      <c r="A6027" t="str">
        <f t="shared" si="752"/>
        <v>NDV-3503-F02</v>
      </c>
      <c r="B6027" s="403" t="s">
        <v>1433</v>
      </c>
      <c r="C6027" s="403" t="s">
        <v>582</v>
      </c>
      <c r="D6027" s="403" t="s">
        <v>1434</v>
      </c>
      <c r="E6027" s="403" t="s">
        <v>778</v>
      </c>
      <c r="F6027" s="403" t="s">
        <v>1372</v>
      </c>
      <c r="G6027" s="403" t="s">
        <v>1466</v>
      </c>
      <c r="H6027" s="403" t="s">
        <v>1276</v>
      </c>
      <c r="I6027" s="403">
        <v>1</v>
      </c>
      <c r="J6027" s="403" t="s">
        <v>110</v>
      </c>
      <c r="K6027" s="403">
        <v>1920</v>
      </c>
      <c r="L6027" s="403">
        <v>1080</v>
      </c>
      <c r="M6027" s="403" t="s">
        <v>1285</v>
      </c>
      <c r="N6027" s="403">
        <v>1280</v>
      </c>
      <c r="O6027" s="403">
        <v>1024</v>
      </c>
      <c r="P6027" t="str">
        <f t="shared" si="753"/>
        <v>25fps 1080p - 1280x1024 5:4 (cropped)</v>
      </c>
      <c r="Q6027">
        <f t="shared" si="754"/>
        <v>28</v>
      </c>
      <c r="R6027" t="str">
        <f t="shared" si="755"/>
        <v/>
      </c>
      <c r="S6027" t="str">
        <f t="shared" si="756"/>
        <v/>
      </c>
      <c r="T6027" s="403" t="str">
        <f t="shared" si="757"/>
        <v>NDV-3503-F02</v>
      </c>
      <c r="U6027" s="403">
        <f t="shared" si="758"/>
        <v>1</v>
      </c>
      <c r="V6027" s="403" t="str">
        <f t="shared" si="759"/>
        <v>CPP_7_3</v>
      </c>
    </row>
    <row r="6028" spans="1:22">
      <c r="A6028" t="str">
        <f t="shared" si="752"/>
        <v>NDV-3503-F02</v>
      </c>
      <c r="B6028" s="403" t="s">
        <v>1433</v>
      </c>
      <c r="C6028" s="403" t="s">
        <v>582</v>
      </c>
      <c r="D6028" s="403" t="s">
        <v>1434</v>
      </c>
      <c r="E6028" s="403" t="s">
        <v>778</v>
      </c>
      <c r="F6028" s="403" t="s">
        <v>1372</v>
      </c>
      <c r="G6028" s="403" t="s">
        <v>1466</v>
      </c>
      <c r="H6028" s="403" t="s">
        <v>1276</v>
      </c>
      <c r="I6028" s="403">
        <v>1</v>
      </c>
      <c r="J6028" s="403" t="s">
        <v>110</v>
      </c>
      <c r="K6028" s="403">
        <v>1920</v>
      </c>
      <c r="L6028" s="403">
        <v>1080</v>
      </c>
      <c r="M6028" s="403" t="s">
        <v>1279</v>
      </c>
      <c r="N6028" s="403">
        <v>768</v>
      </c>
      <c r="O6028" s="403">
        <v>432</v>
      </c>
      <c r="P6028" t="str">
        <f t="shared" si="753"/>
        <v>25fps 1080p - SD ROI PTZ</v>
      </c>
      <c r="Q6028">
        <f t="shared" si="754"/>
        <v>28</v>
      </c>
      <c r="R6028" t="str">
        <f t="shared" si="755"/>
        <v/>
      </c>
      <c r="S6028" t="str">
        <f t="shared" si="756"/>
        <v/>
      </c>
      <c r="T6028" s="403" t="str">
        <f t="shared" si="757"/>
        <v>NDV-3503-F02</v>
      </c>
      <c r="U6028" s="403">
        <f t="shared" si="758"/>
        <v>1</v>
      </c>
      <c r="V6028" s="403" t="str">
        <f t="shared" si="759"/>
        <v>CPP_7_3</v>
      </c>
    </row>
    <row r="6029" spans="1:22">
      <c r="A6029" t="str">
        <f t="shared" si="752"/>
        <v>NDV-3503-F02</v>
      </c>
      <c r="B6029" s="403" t="s">
        <v>1433</v>
      </c>
      <c r="C6029" s="403" t="s">
        <v>582</v>
      </c>
      <c r="D6029" s="403" t="s">
        <v>1434</v>
      </c>
      <c r="E6029" s="403" t="s">
        <v>778</v>
      </c>
      <c r="F6029" s="403" t="s">
        <v>1372</v>
      </c>
      <c r="G6029" s="403" t="s">
        <v>1466</v>
      </c>
      <c r="H6029" s="403" t="s">
        <v>1276</v>
      </c>
      <c r="I6029" s="403">
        <v>1</v>
      </c>
      <c r="J6029" s="403" t="s">
        <v>110</v>
      </c>
      <c r="K6029" s="403">
        <v>1920</v>
      </c>
      <c r="L6029" s="403">
        <v>1080</v>
      </c>
      <c r="M6029" s="403" t="s">
        <v>1283</v>
      </c>
      <c r="N6029" s="403">
        <v>720</v>
      </c>
      <c r="O6029" s="403">
        <v>576</v>
      </c>
      <c r="P6029" t="str">
        <f t="shared" si="753"/>
        <v>25fps 1080p - SD 4CIF resolution 4:3 format (cropped)</v>
      </c>
      <c r="Q6029">
        <f t="shared" si="754"/>
        <v>28</v>
      </c>
      <c r="R6029" t="str">
        <f t="shared" si="755"/>
        <v/>
      </c>
      <c r="S6029" t="str">
        <f t="shared" si="756"/>
        <v/>
      </c>
      <c r="T6029" s="403" t="str">
        <f t="shared" si="757"/>
        <v>NDV-3503-F02</v>
      </c>
      <c r="U6029" s="403">
        <f t="shared" si="758"/>
        <v>1</v>
      </c>
      <c r="V6029" s="403" t="str">
        <f t="shared" si="759"/>
        <v>CPP_7_3</v>
      </c>
    </row>
    <row r="6030" spans="1:22">
      <c r="A6030" t="str">
        <f t="shared" si="752"/>
        <v>NDV-3503-F02</v>
      </c>
      <c r="B6030" s="403" t="s">
        <v>1433</v>
      </c>
      <c r="C6030" s="403" t="s">
        <v>582</v>
      </c>
      <c r="D6030" s="403" t="s">
        <v>1434</v>
      </c>
      <c r="E6030" s="403" t="s">
        <v>778</v>
      </c>
      <c r="F6030" s="403" t="s">
        <v>1372</v>
      </c>
      <c r="G6030" s="403" t="s">
        <v>1466</v>
      </c>
      <c r="H6030" s="403" t="s">
        <v>1276</v>
      </c>
      <c r="I6030" s="403">
        <v>1</v>
      </c>
      <c r="J6030" s="403" t="s">
        <v>110</v>
      </c>
      <c r="K6030" s="403">
        <v>1920</v>
      </c>
      <c r="L6030" s="403">
        <v>1080</v>
      </c>
      <c r="M6030" s="403" t="s">
        <v>1284</v>
      </c>
      <c r="N6030" s="403">
        <v>640</v>
      </c>
      <c r="O6030" s="403">
        <v>480</v>
      </c>
      <c r="P6030" t="str">
        <f t="shared" si="753"/>
        <v>25fps 1080p - SD VGA (cropped)</v>
      </c>
      <c r="Q6030">
        <f t="shared" si="754"/>
        <v>28</v>
      </c>
      <c r="R6030" t="str">
        <f t="shared" si="755"/>
        <v/>
      </c>
      <c r="S6030" t="str">
        <f t="shared" si="756"/>
        <v/>
      </c>
      <c r="T6030" s="403" t="str">
        <f t="shared" si="757"/>
        <v>NDV-3503-F02</v>
      </c>
      <c r="U6030" s="403">
        <f t="shared" si="758"/>
        <v>1</v>
      </c>
      <c r="V6030" s="403" t="str">
        <f t="shared" si="759"/>
        <v>CPP_7_3</v>
      </c>
    </row>
    <row r="6031" spans="1:22">
      <c r="A6031" t="str">
        <f t="shared" si="752"/>
        <v>NDV-3503-F02</v>
      </c>
      <c r="B6031" s="403" t="s">
        <v>1433</v>
      </c>
      <c r="C6031" s="403" t="s">
        <v>582</v>
      </c>
      <c r="D6031" s="403" t="s">
        <v>1434</v>
      </c>
      <c r="E6031" s="403" t="s">
        <v>778</v>
      </c>
      <c r="F6031" s="403" t="s">
        <v>1372</v>
      </c>
      <c r="G6031" s="403" t="s">
        <v>1466</v>
      </c>
      <c r="H6031" s="403" t="s">
        <v>1276</v>
      </c>
      <c r="I6031" s="403">
        <v>1</v>
      </c>
      <c r="J6031" s="403" t="s">
        <v>109</v>
      </c>
      <c r="K6031" s="403">
        <v>1280</v>
      </c>
      <c r="L6031" s="403">
        <v>720</v>
      </c>
      <c r="M6031" s="403" t="s">
        <v>109</v>
      </c>
      <c r="N6031" s="403">
        <v>1280</v>
      </c>
      <c r="O6031" s="403">
        <v>720</v>
      </c>
      <c r="P6031" t="str">
        <f t="shared" si="753"/>
        <v>25fps 720p - 720p</v>
      </c>
      <c r="Q6031">
        <f t="shared" si="754"/>
        <v>28</v>
      </c>
      <c r="R6031" t="str">
        <f t="shared" si="755"/>
        <v/>
      </c>
      <c r="S6031" t="str">
        <f t="shared" si="756"/>
        <v/>
      </c>
      <c r="T6031" s="403" t="str">
        <f t="shared" si="757"/>
        <v>NDV-3503-F02</v>
      </c>
      <c r="U6031" s="403">
        <f t="shared" si="758"/>
        <v>1</v>
      </c>
      <c r="V6031" s="403" t="str">
        <f t="shared" si="759"/>
        <v>CPP_7_3</v>
      </c>
    </row>
    <row r="6032" spans="1:22">
      <c r="A6032" t="str">
        <f t="shared" si="752"/>
        <v>NDV-3503-F02</v>
      </c>
      <c r="B6032" s="403" t="s">
        <v>1433</v>
      </c>
      <c r="C6032" s="403" t="s">
        <v>582</v>
      </c>
      <c r="D6032" s="403" t="s">
        <v>1434</v>
      </c>
      <c r="E6032" s="403" t="s">
        <v>778</v>
      </c>
      <c r="F6032" s="403" t="s">
        <v>1372</v>
      </c>
      <c r="G6032" s="403" t="s">
        <v>1466</v>
      </c>
      <c r="H6032" s="403" t="s">
        <v>1276</v>
      </c>
      <c r="I6032" s="403">
        <v>1</v>
      </c>
      <c r="J6032" s="403" t="s">
        <v>109</v>
      </c>
      <c r="K6032" s="403">
        <v>1280</v>
      </c>
      <c r="L6032" s="403">
        <v>720</v>
      </c>
      <c r="M6032" s="403" t="s">
        <v>111</v>
      </c>
      <c r="N6032" s="403">
        <v>768</v>
      </c>
      <c r="O6032" s="403">
        <v>432</v>
      </c>
      <c r="P6032" t="str">
        <f t="shared" si="753"/>
        <v>25fps 720p - SD</v>
      </c>
      <c r="Q6032">
        <f t="shared" si="754"/>
        <v>28</v>
      </c>
      <c r="R6032" t="str">
        <f t="shared" si="755"/>
        <v/>
      </c>
      <c r="S6032" t="str">
        <f t="shared" si="756"/>
        <v/>
      </c>
      <c r="T6032" s="403" t="str">
        <f t="shared" si="757"/>
        <v>NDV-3503-F02</v>
      </c>
      <c r="U6032" s="403">
        <f t="shared" si="758"/>
        <v>1</v>
      </c>
      <c r="V6032" s="403" t="str">
        <f t="shared" si="759"/>
        <v>CPP_7_3</v>
      </c>
    </row>
    <row r="6033" spans="1:22">
      <c r="A6033" t="str">
        <f t="shared" si="752"/>
        <v>NDV-3503-F02</v>
      </c>
      <c r="B6033" s="403" t="s">
        <v>1433</v>
      </c>
      <c r="C6033" s="403" t="s">
        <v>582</v>
      </c>
      <c r="D6033" s="403" t="s">
        <v>1434</v>
      </c>
      <c r="E6033" s="403" t="s">
        <v>778</v>
      </c>
      <c r="F6033" s="403" t="s">
        <v>1372</v>
      </c>
      <c r="G6033" s="403" t="s">
        <v>1466</v>
      </c>
      <c r="H6033" s="403" t="s">
        <v>1276</v>
      </c>
      <c r="I6033" s="403">
        <v>1</v>
      </c>
      <c r="J6033" s="403" t="s">
        <v>109</v>
      </c>
      <c r="K6033" s="403">
        <v>1280</v>
      </c>
      <c r="L6033" s="403">
        <v>720</v>
      </c>
      <c r="M6033" s="403" t="s">
        <v>1279</v>
      </c>
      <c r="N6033" s="403">
        <v>768</v>
      </c>
      <c r="O6033" s="403">
        <v>432</v>
      </c>
      <c r="P6033" t="str">
        <f t="shared" si="753"/>
        <v>25fps 720p - SD ROI PTZ</v>
      </c>
      <c r="Q6033">
        <f t="shared" si="754"/>
        <v>28</v>
      </c>
      <c r="R6033" t="str">
        <f t="shared" si="755"/>
        <v/>
      </c>
      <c r="S6033" t="str">
        <f t="shared" si="756"/>
        <v/>
      </c>
      <c r="T6033" s="403" t="str">
        <f t="shared" si="757"/>
        <v>NDV-3503-F02</v>
      </c>
      <c r="U6033" s="403">
        <f t="shared" si="758"/>
        <v>1</v>
      </c>
      <c r="V6033" s="403" t="str">
        <f t="shared" si="759"/>
        <v>CPP_7_3</v>
      </c>
    </row>
    <row r="6034" spans="1:22">
      <c r="A6034" t="str">
        <f t="shared" si="752"/>
        <v>NDV-3503-F02</v>
      </c>
      <c r="B6034" s="403" t="s">
        <v>1433</v>
      </c>
      <c r="C6034" s="403" t="s">
        <v>582</v>
      </c>
      <c r="D6034" s="403" t="s">
        <v>1434</v>
      </c>
      <c r="E6034" s="403" t="s">
        <v>778</v>
      </c>
      <c r="F6034" s="403" t="s">
        <v>1372</v>
      </c>
      <c r="G6034" s="403" t="s">
        <v>1466</v>
      </c>
      <c r="H6034" s="403" t="s">
        <v>1276</v>
      </c>
      <c r="I6034" s="403">
        <v>1</v>
      </c>
      <c r="J6034" s="403" t="s">
        <v>109</v>
      </c>
      <c r="K6034" s="403">
        <v>1280</v>
      </c>
      <c r="L6034" s="403">
        <v>720</v>
      </c>
      <c r="M6034" s="403" t="s">
        <v>1283</v>
      </c>
      <c r="N6034" s="403">
        <v>720</v>
      </c>
      <c r="O6034" s="403">
        <v>576</v>
      </c>
      <c r="P6034" t="str">
        <f t="shared" si="753"/>
        <v>25fps 720p - SD 4CIF resolution 4:3 format (cropped)</v>
      </c>
      <c r="Q6034">
        <f t="shared" si="754"/>
        <v>28</v>
      </c>
      <c r="R6034" t="str">
        <f t="shared" si="755"/>
        <v/>
      </c>
      <c r="S6034" t="str">
        <f t="shared" si="756"/>
        <v/>
      </c>
      <c r="T6034" s="403" t="str">
        <f t="shared" si="757"/>
        <v>NDV-3503-F02</v>
      </c>
      <c r="U6034" s="403">
        <f t="shared" si="758"/>
        <v>1</v>
      </c>
      <c r="V6034" s="403" t="str">
        <f t="shared" si="759"/>
        <v>CPP_7_3</v>
      </c>
    </row>
    <row r="6035" spans="1:22">
      <c r="A6035" t="str">
        <f t="shared" si="752"/>
        <v>NDV-3503-F02</v>
      </c>
      <c r="B6035" s="403" t="s">
        <v>1433</v>
      </c>
      <c r="C6035" s="403" t="s">
        <v>582</v>
      </c>
      <c r="D6035" s="403" t="s">
        <v>1434</v>
      </c>
      <c r="E6035" s="403" t="s">
        <v>778</v>
      </c>
      <c r="F6035" s="403" t="s">
        <v>1372</v>
      </c>
      <c r="G6035" s="403" t="s">
        <v>1466</v>
      </c>
      <c r="H6035" s="403" t="s">
        <v>1276</v>
      </c>
      <c r="I6035" s="403">
        <v>1</v>
      </c>
      <c r="J6035" s="403" t="s">
        <v>109</v>
      </c>
      <c r="K6035" s="403">
        <v>1280</v>
      </c>
      <c r="L6035" s="403">
        <v>720</v>
      </c>
      <c r="M6035" s="403" t="s">
        <v>1284</v>
      </c>
      <c r="N6035" s="403">
        <v>640</v>
      </c>
      <c r="O6035" s="403">
        <v>480</v>
      </c>
      <c r="P6035" t="str">
        <f t="shared" si="753"/>
        <v>25fps 720p - SD VGA (cropped)</v>
      </c>
      <c r="Q6035">
        <f t="shared" si="754"/>
        <v>28</v>
      </c>
      <c r="R6035" t="str">
        <f t="shared" si="755"/>
        <v/>
      </c>
      <c r="S6035" t="str">
        <f t="shared" si="756"/>
        <v/>
      </c>
      <c r="T6035" s="403" t="str">
        <f t="shared" si="757"/>
        <v>NDV-3503-F02</v>
      </c>
      <c r="U6035" s="403">
        <f t="shared" si="758"/>
        <v>1</v>
      </c>
      <c r="V6035" s="403" t="str">
        <f t="shared" si="759"/>
        <v>CPP_7_3</v>
      </c>
    </row>
    <row r="6036" spans="1:22">
      <c r="A6036" t="str">
        <f t="shared" si="752"/>
        <v>NDV-3503-F02</v>
      </c>
      <c r="B6036" s="403" t="s">
        <v>1433</v>
      </c>
      <c r="C6036" s="403" t="s">
        <v>582</v>
      </c>
      <c r="D6036" s="403" t="s">
        <v>1434</v>
      </c>
      <c r="E6036" s="403" t="s">
        <v>778</v>
      </c>
      <c r="F6036" s="403" t="s">
        <v>1372</v>
      </c>
      <c r="G6036" s="403" t="s">
        <v>1466</v>
      </c>
      <c r="H6036" s="403" t="s">
        <v>1281</v>
      </c>
      <c r="I6036" s="403">
        <v>1</v>
      </c>
      <c r="J6036" s="403" t="s">
        <v>1374</v>
      </c>
      <c r="K6036" s="403">
        <v>2304</v>
      </c>
      <c r="L6036" s="403">
        <v>1296</v>
      </c>
      <c r="M6036" s="403" t="s">
        <v>111</v>
      </c>
      <c r="N6036" s="403">
        <v>768</v>
      </c>
      <c r="O6036" s="403">
        <v>432</v>
      </c>
      <c r="P6036" t="str">
        <f t="shared" si="753"/>
        <v>25fps 2304x1296 - SD</v>
      </c>
      <c r="Q6036">
        <f t="shared" si="754"/>
        <v>28</v>
      </c>
      <c r="R6036" t="str">
        <f t="shared" si="755"/>
        <v/>
      </c>
      <c r="S6036" t="str">
        <f t="shared" si="756"/>
        <v/>
      </c>
      <c r="T6036" s="403" t="str">
        <f t="shared" si="757"/>
        <v>NDV-3503-F02</v>
      </c>
      <c r="U6036" s="403">
        <f t="shared" si="758"/>
        <v>1</v>
      </c>
      <c r="V6036" s="403" t="str">
        <f t="shared" si="759"/>
        <v>CPP_7_3</v>
      </c>
    </row>
    <row r="6037" spans="1:22">
      <c r="A6037" t="str">
        <f t="shared" si="752"/>
        <v>NDV-3503-F02</v>
      </c>
      <c r="B6037" s="403" t="s">
        <v>1433</v>
      </c>
      <c r="C6037" s="403" t="s">
        <v>582</v>
      </c>
      <c r="D6037" s="403" t="s">
        <v>1434</v>
      </c>
      <c r="E6037" s="403" t="s">
        <v>778</v>
      </c>
      <c r="F6037" s="403" t="s">
        <v>1372</v>
      </c>
      <c r="G6037" s="403" t="s">
        <v>1466</v>
      </c>
      <c r="H6037" s="403" t="s">
        <v>1281</v>
      </c>
      <c r="I6037" s="403">
        <v>1</v>
      </c>
      <c r="J6037" s="403" t="s">
        <v>1374</v>
      </c>
      <c r="K6037" s="403">
        <v>2304</v>
      </c>
      <c r="L6037" s="403">
        <v>1296</v>
      </c>
      <c r="M6037" s="403" t="s">
        <v>1279</v>
      </c>
      <c r="N6037" s="403">
        <v>768</v>
      </c>
      <c r="O6037" s="403">
        <v>432</v>
      </c>
      <c r="P6037" t="str">
        <f t="shared" si="753"/>
        <v>25fps 2304x1296 - SD ROI PTZ</v>
      </c>
      <c r="Q6037">
        <f t="shared" si="754"/>
        <v>28</v>
      </c>
      <c r="R6037" t="str">
        <f t="shared" si="755"/>
        <v/>
      </c>
      <c r="S6037" t="str">
        <f t="shared" si="756"/>
        <v/>
      </c>
      <c r="T6037" s="403" t="str">
        <f t="shared" si="757"/>
        <v>NDV-3503-F02</v>
      </c>
      <c r="U6037" s="403">
        <f t="shared" si="758"/>
        <v>1</v>
      </c>
      <c r="V6037" s="403" t="str">
        <f t="shared" si="759"/>
        <v>CPP_7_3</v>
      </c>
    </row>
    <row r="6038" spans="1:22">
      <c r="A6038" t="str">
        <f t="shared" si="752"/>
        <v>NDV-3503-F02</v>
      </c>
      <c r="B6038" s="403" t="s">
        <v>1433</v>
      </c>
      <c r="C6038" s="403" t="s">
        <v>582</v>
      </c>
      <c r="D6038" s="403" t="s">
        <v>1434</v>
      </c>
      <c r="E6038" s="403" t="s">
        <v>778</v>
      </c>
      <c r="F6038" s="403" t="s">
        <v>1372</v>
      </c>
      <c r="G6038" s="403" t="s">
        <v>1466</v>
      </c>
      <c r="H6038" s="403" t="s">
        <v>1281</v>
      </c>
      <c r="I6038" s="403">
        <v>1</v>
      </c>
      <c r="J6038" s="403" t="s">
        <v>1374</v>
      </c>
      <c r="K6038" s="403">
        <v>2304</v>
      </c>
      <c r="L6038" s="403">
        <v>1296</v>
      </c>
      <c r="M6038" s="403" t="s">
        <v>1283</v>
      </c>
      <c r="N6038" s="403">
        <v>720</v>
      </c>
      <c r="O6038" s="403">
        <v>576</v>
      </c>
      <c r="P6038" t="str">
        <f t="shared" si="753"/>
        <v>25fps 2304x1296 - SD 4CIF resolution 4:3 format (cropped)</v>
      </c>
      <c r="Q6038">
        <f t="shared" si="754"/>
        <v>28</v>
      </c>
      <c r="R6038" t="str">
        <f t="shared" si="755"/>
        <v/>
      </c>
      <c r="S6038" t="str">
        <f t="shared" si="756"/>
        <v/>
      </c>
      <c r="T6038" s="403" t="str">
        <f t="shared" si="757"/>
        <v>NDV-3503-F02</v>
      </c>
      <c r="U6038" s="403">
        <f t="shared" si="758"/>
        <v>1</v>
      </c>
      <c r="V6038" s="403" t="str">
        <f t="shared" si="759"/>
        <v>CPP_7_3</v>
      </c>
    </row>
    <row r="6039" spans="1:22">
      <c r="A6039" t="str">
        <f t="shared" si="752"/>
        <v>NDV-3503-F02</v>
      </c>
      <c r="B6039" s="403" t="s">
        <v>1433</v>
      </c>
      <c r="C6039" s="403" t="s">
        <v>582</v>
      </c>
      <c r="D6039" s="403" t="s">
        <v>1434</v>
      </c>
      <c r="E6039" s="403" t="s">
        <v>778</v>
      </c>
      <c r="F6039" s="403" t="s">
        <v>1372</v>
      </c>
      <c r="G6039" s="403" t="s">
        <v>1466</v>
      </c>
      <c r="H6039" s="403" t="s">
        <v>1281</v>
      </c>
      <c r="I6039" s="403">
        <v>1</v>
      </c>
      <c r="J6039" s="403" t="s">
        <v>1374</v>
      </c>
      <c r="K6039" s="403">
        <v>2304</v>
      </c>
      <c r="L6039" s="403">
        <v>1296</v>
      </c>
      <c r="M6039" s="403" t="s">
        <v>1284</v>
      </c>
      <c r="N6039" s="403">
        <v>640</v>
      </c>
      <c r="O6039" s="403">
        <v>480</v>
      </c>
      <c r="P6039" t="str">
        <f t="shared" si="753"/>
        <v>25fps 2304x1296 - SD VGA (cropped)</v>
      </c>
      <c r="Q6039">
        <f t="shared" si="754"/>
        <v>28</v>
      </c>
      <c r="R6039" t="str">
        <f t="shared" si="755"/>
        <v/>
      </c>
      <c r="S6039" t="str">
        <f t="shared" si="756"/>
        <v/>
      </c>
      <c r="T6039" s="403" t="str">
        <f t="shared" si="757"/>
        <v>NDV-3503-F02</v>
      </c>
      <c r="U6039" s="403">
        <f t="shared" si="758"/>
        <v>1</v>
      </c>
      <c r="V6039" s="403" t="str">
        <f t="shared" si="759"/>
        <v>CPP_7_3</v>
      </c>
    </row>
    <row r="6040" spans="1:22">
      <c r="A6040" t="str">
        <f t="shared" si="752"/>
        <v>NDV-3503-F02</v>
      </c>
      <c r="B6040" s="403" t="s">
        <v>1433</v>
      </c>
      <c r="C6040" s="403" t="s">
        <v>582</v>
      </c>
      <c r="D6040" s="403" t="s">
        <v>1434</v>
      </c>
      <c r="E6040" s="403" t="s">
        <v>778</v>
      </c>
      <c r="F6040" s="403" t="s">
        <v>1372</v>
      </c>
      <c r="G6040" s="403" t="s">
        <v>1466</v>
      </c>
      <c r="H6040" s="403" t="s">
        <v>1281</v>
      </c>
      <c r="I6040" s="403">
        <v>1</v>
      </c>
      <c r="J6040" s="403" t="s">
        <v>1374</v>
      </c>
      <c r="K6040" s="403">
        <v>2304</v>
      </c>
      <c r="L6040" s="403">
        <v>1296</v>
      </c>
      <c r="M6040" s="403" t="s">
        <v>1280</v>
      </c>
      <c r="N6040" s="403">
        <v>2304</v>
      </c>
      <c r="O6040" s="403">
        <v>1296</v>
      </c>
      <c r="P6040" t="str">
        <f t="shared" si="753"/>
        <v>25fps 2304x1296 - copy other stream</v>
      </c>
      <c r="Q6040">
        <f t="shared" si="754"/>
        <v>28</v>
      </c>
      <c r="R6040" t="str">
        <f t="shared" si="755"/>
        <v/>
      </c>
      <c r="S6040" t="str">
        <f t="shared" si="756"/>
        <v/>
      </c>
      <c r="T6040" s="403" t="str">
        <f t="shared" si="757"/>
        <v>NDV-3503-F02</v>
      </c>
      <c r="U6040" s="403">
        <f t="shared" si="758"/>
        <v>1</v>
      </c>
      <c r="V6040" s="403" t="str">
        <f t="shared" si="759"/>
        <v>CPP_7_3</v>
      </c>
    </row>
    <row r="6041" spans="1:22">
      <c r="A6041" t="str">
        <f t="shared" si="752"/>
        <v>NDV-3503-F02</v>
      </c>
      <c r="B6041" s="403" t="s">
        <v>1433</v>
      </c>
      <c r="C6041" s="403" t="s">
        <v>582</v>
      </c>
      <c r="D6041" s="403" t="s">
        <v>1434</v>
      </c>
      <c r="E6041" s="403" t="s">
        <v>778</v>
      </c>
      <c r="F6041" s="403" t="s">
        <v>1372</v>
      </c>
      <c r="G6041" s="403" t="s">
        <v>1466</v>
      </c>
      <c r="H6041" s="403" t="s">
        <v>1281</v>
      </c>
      <c r="I6041" s="403">
        <v>1</v>
      </c>
      <c r="J6041" s="403" t="s">
        <v>110</v>
      </c>
      <c r="K6041" s="403">
        <v>1920</v>
      </c>
      <c r="L6041" s="403">
        <v>1080</v>
      </c>
      <c r="M6041" s="403" t="s">
        <v>111</v>
      </c>
      <c r="N6041" s="403">
        <v>768</v>
      </c>
      <c r="O6041" s="403">
        <v>432</v>
      </c>
      <c r="P6041" t="str">
        <f t="shared" si="753"/>
        <v>25fps 1080p - SD</v>
      </c>
      <c r="Q6041">
        <f t="shared" si="754"/>
        <v>28</v>
      </c>
      <c r="R6041" t="str">
        <f t="shared" si="755"/>
        <v/>
      </c>
      <c r="S6041" t="str">
        <f t="shared" si="756"/>
        <v/>
      </c>
      <c r="T6041" s="403" t="str">
        <f t="shared" si="757"/>
        <v>NDV-3503-F02</v>
      </c>
      <c r="U6041" s="403">
        <f t="shared" si="758"/>
        <v>1</v>
      </c>
      <c r="V6041" s="403" t="str">
        <f t="shared" si="759"/>
        <v>CPP_7_3</v>
      </c>
    </row>
    <row r="6042" spans="1:22">
      <c r="A6042" t="str">
        <f t="shared" si="752"/>
        <v>NDV-3503-F02</v>
      </c>
      <c r="B6042" s="403" t="s">
        <v>1433</v>
      </c>
      <c r="C6042" s="403" t="s">
        <v>582</v>
      </c>
      <c r="D6042" s="403" t="s">
        <v>1434</v>
      </c>
      <c r="E6042" s="403" t="s">
        <v>778</v>
      </c>
      <c r="F6042" s="403" t="s">
        <v>1372</v>
      </c>
      <c r="G6042" s="403" t="s">
        <v>1466</v>
      </c>
      <c r="H6042" s="403" t="s">
        <v>1281</v>
      </c>
      <c r="I6042" s="403">
        <v>1</v>
      </c>
      <c r="J6042" s="403" t="s">
        <v>110</v>
      </c>
      <c r="K6042" s="403">
        <v>1920</v>
      </c>
      <c r="L6042" s="403">
        <v>1080</v>
      </c>
      <c r="M6042" s="403" t="s">
        <v>109</v>
      </c>
      <c r="N6042" s="403">
        <v>1280</v>
      </c>
      <c r="O6042" s="403">
        <v>720</v>
      </c>
      <c r="P6042" t="str">
        <f t="shared" si="753"/>
        <v>25fps 1080p - 720p</v>
      </c>
      <c r="Q6042">
        <f t="shared" si="754"/>
        <v>28</v>
      </c>
      <c r="R6042" t="str">
        <f t="shared" si="755"/>
        <v/>
      </c>
      <c r="S6042" t="str">
        <f t="shared" si="756"/>
        <v/>
      </c>
      <c r="T6042" s="403" t="str">
        <f t="shared" si="757"/>
        <v>NDV-3503-F02</v>
      </c>
      <c r="U6042" s="403">
        <f t="shared" si="758"/>
        <v>1</v>
      </c>
      <c r="V6042" s="403" t="str">
        <f t="shared" si="759"/>
        <v>CPP_7_3</v>
      </c>
    </row>
    <row r="6043" spans="1:22">
      <c r="A6043" t="str">
        <f t="shared" si="752"/>
        <v>NDV-3503-F02</v>
      </c>
      <c r="B6043" s="403" t="s">
        <v>1433</v>
      </c>
      <c r="C6043" s="403" t="s">
        <v>582</v>
      </c>
      <c r="D6043" s="403" t="s">
        <v>1434</v>
      </c>
      <c r="E6043" s="403" t="s">
        <v>778</v>
      </c>
      <c r="F6043" s="403" t="s">
        <v>1372</v>
      </c>
      <c r="G6043" s="403" t="s">
        <v>1466</v>
      </c>
      <c r="H6043" s="403" t="s">
        <v>1281</v>
      </c>
      <c r="I6043" s="403">
        <v>1</v>
      </c>
      <c r="J6043" s="403" t="s">
        <v>110</v>
      </c>
      <c r="K6043" s="403">
        <v>1920</v>
      </c>
      <c r="L6043" s="403">
        <v>1080</v>
      </c>
      <c r="M6043" s="403" t="s">
        <v>1285</v>
      </c>
      <c r="N6043" s="403">
        <v>1280</v>
      </c>
      <c r="O6043" s="403">
        <v>1024</v>
      </c>
      <c r="P6043" t="str">
        <f t="shared" si="753"/>
        <v>25fps 1080p - 1280x1024 5:4 (cropped)</v>
      </c>
      <c r="Q6043">
        <f t="shared" si="754"/>
        <v>28</v>
      </c>
      <c r="R6043" t="str">
        <f t="shared" si="755"/>
        <v/>
      </c>
      <c r="S6043" t="str">
        <f t="shared" si="756"/>
        <v/>
      </c>
      <c r="T6043" s="403" t="str">
        <f t="shared" si="757"/>
        <v>NDV-3503-F02</v>
      </c>
      <c r="U6043" s="403">
        <f t="shared" si="758"/>
        <v>1</v>
      </c>
      <c r="V6043" s="403" t="str">
        <f t="shared" si="759"/>
        <v>CPP_7_3</v>
      </c>
    </row>
    <row r="6044" spans="1:22">
      <c r="A6044" t="str">
        <f t="shared" si="752"/>
        <v>NDV-3503-F02</v>
      </c>
      <c r="B6044" s="403" t="s">
        <v>1433</v>
      </c>
      <c r="C6044" s="403" t="s">
        <v>582</v>
      </c>
      <c r="D6044" s="403" t="s">
        <v>1434</v>
      </c>
      <c r="E6044" s="403" t="s">
        <v>778</v>
      </c>
      <c r="F6044" s="403" t="s">
        <v>1372</v>
      </c>
      <c r="G6044" s="403" t="s">
        <v>1466</v>
      </c>
      <c r="H6044" s="403" t="s">
        <v>1281</v>
      </c>
      <c r="I6044" s="403">
        <v>1</v>
      </c>
      <c r="J6044" s="403" t="s">
        <v>110</v>
      </c>
      <c r="K6044" s="403">
        <v>1920</v>
      </c>
      <c r="L6044" s="403">
        <v>1080</v>
      </c>
      <c r="M6044" s="403" t="s">
        <v>1279</v>
      </c>
      <c r="N6044" s="403">
        <v>768</v>
      </c>
      <c r="O6044" s="403">
        <v>432</v>
      </c>
      <c r="P6044" t="str">
        <f t="shared" si="753"/>
        <v>25fps 1080p - SD ROI PTZ</v>
      </c>
      <c r="Q6044">
        <f t="shared" si="754"/>
        <v>28</v>
      </c>
      <c r="R6044" t="str">
        <f t="shared" si="755"/>
        <v/>
      </c>
      <c r="S6044" t="str">
        <f t="shared" si="756"/>
        <v/>
      </c>
      <c r="T6044" s="403" t="str">
        <f t="shared" si="757"/>
        <v>NDV-3503-F02</v>
      </c>
      <c r="U6044" s="403">
        <f t="shared" si="758"/>
        <v>1</v>
      </c>
      <c r="V6044" s="403" t="str">
        <f t="shared" si="759"/>
        <v>CPP_7_3</v>
      </c>
    </row>
    <row r="6045" spans="1:22">
      <c r="A6045" t="str">
        <f t="shared" si="752"/>
        <v>NDV-3503-F02</v>
      </c>
      <c r="B6045" s="403" t="s">
        <v>1433</v>
      </c>
      <c r="C6045" s="403" t="s">
        <v>582</v>
      </c>
      <c r="D6045" s="403" t="s">
        <v>1434</v>
      </c>
      <c r="E6045" s="403" t="s">
        <v>778</v>
      </c>
      <c r="F6045" s="403" t="s">
        <v>1372</v>
      </c>
      <c r="G6045" s="403" t="s">
        <v>1466</v>
      </c>
      <c r="H6045" s="403" t="s">
        <v>1281</v>
      </c>
      <c r="I6045" s="403">
        <v>1</v>
      </c>
      <c r="J6045" s="403" t="s">
        <v>110</v>
      </c>
      <c r="K6045" s="403">
        <v>1920</v>
      </c>
      <c r="L6045" s="403">
        <v>1080</v>
      </c>
      <c r="M6045" s="403" t="s">
        <v>1283</v>
      </c>
      <c r="N6045" s="403">
        <v>720</v>
      </c>
      <c r="O6045" s="403">
        <v>576</v>
      </c>
      <c r="P6045" t="str">
        <f t="shared" si="753"/>
        <v>25fps 1080p - SD 4CIF resolution 4:3 format (cropped)</v>
      </c>
      <c r="Q6045">
        <f t="shared" si="754"/>
        <v>28</v>
      </c>
      <c r="R6045" t="str">
        <f t="shared" si="755"/>
        <v/>
      </c>
      <c r="S6045" t="str">
        <f t="shared" si="756"/>
        <v/>
      </c>
      <c r="T6045" s="403" t="str">
        <f t="shared" si="757"/>
        <v>NDV-3503-F02</v>
      </c>
      <c r="U6045" s="403">
        <f t="shared" si="758"/>
        <v>1</v>
      </c>
      <c r="V6045" s="403" t="str">
        <f t="shared" si="759"/>
        <v>CPP_7_3</v>
      </c>
    </row>
    <row r="6046" spans="1:22">
      <c r="A6046" t="str">
        <f t="shared" si="752"/>
        <v>NDV-3503-F02</v>
      </c>
      <c r="B6046" s="403" t="s">
        <v>1433</v>
      </c>
      <c r="C6046" s="403" t="s">
        <v>582</v>
      </c>
      <c r="D6046" s="403" t="s">
        <v>1434</v>
      </c>
      <c r="E6046" s="403" t="s">
        <v>778</v>
      </c>
      <c r="F6046" s="403" t="s">
        <v>1372</v>
      </c>
      <c r="G6046" s="403" t="s">
        <v>1466</v>
      </c>
      <c r="H6046" s="403" t="s">
        <v>1281</v>
      </c>
      <c r="I6046" s="403">
        <v>1</v>
      </c>
      <c r="J6046" s="403" t="s">
        <v>110</v>
      </c>
      <c r="K6046" s="403">
        <v>1920</v>
      </c>
      <c r="L6046" s="403">
        <v>1080</v>
      </c>
      <c r="M6046" s="403" t="s">
        <v>1284</v>
      </c>
      <c r="N6046" s="403">
        <v>640</v>
      </c>
      <c r="O6046" s="403">
        <v>480</v>
      </c>
      <c r="P6046" t="str">
        <f t="shared" si="753"/>
        <v>25fps 1080p - SD VGA (cropped)</v>
      </c>
      <c r="Q6046">
        <f t="shared" si="754"/>
        <v>28</v>
      </c>
      <c r="R6046" t="str">
        <f t="shared" si="755"/>
        <v/>
      </c>
      <c r="S6046" t="str">
        <f t="shared" si="756"/>
        <v/>
      </c>
      <c r="T6046" s="403" t="str">
        <f t="shared" si="757"/>
        <v>NDV-3503-F02</v>
      </c>
      <c r="U6046" s="403">
        <f t="shared" si="758"/>
        <v>1</v>
      </c>
      <c r="V6046" s="403" t="str">
        <f t="shared" si="759"/>
        <v>CPP_7_3</v>
      </c>
    </row>
    <row r="6047" spans="1:22">
      <c r="A6047" t="str">
        <f t="shared" si="752"/>
        <v>NDV-3503-F02</v>
      </c>
      <c r="B6047" s="403" t="s">
        <v>1433</v>
      </c>
      <c r="C6047" s="403" t="s">
        <v>582</v>
      </c>
      <c r="D6047" s="403" t="s">
        <v>1434</v>
      </c>
      <c r="E6047" s="403" t="s">
        <v>778</v>
      </c>
      <c r="F6047" s="403" t="s">
        <v>1372</v>
      </c>
      <c r="G6047" s="403" t="s">
        <v>1466</v>
      </c>
      <c r="H6047" s="403" t="s">
        <v>1281</v>
      </c>
      <c r="I6047" s="403">
        <v>1</v>
      </c>
      <c r="J6047" s="403" t="s">
        <v>109</v>
      </c>
      <c r="K6047" s="403">
        <v>1280</v>
      </c>
      <c r="L6047" s="403">
        <v>720</v>
      </c>
      <c r="M6047" s="403" t="s">
        <v>109</v>
      </c>
      <c r="N6047" s="403">
        <v>1280</v>
      </c>
      <c r="O6047" s="403">
        <v>720</v>
      </c>
      <c r="P6047" t="str">
        <f t="shared" si="753"/>
        <v>25fps 720p - 720p</v>
      </c>
      <c r="Q6047">
        <f t="shared" si="754"/>
        <v>28</v>
      </c>
      <c r="R6047" t="str">
        <f t="shared" si="755"/>
        <v/>
      </c>
      <c r="S6047" t="str">
        <f t="shared" si="756"/>
        <v/>
      </c>
      <c r="T6047" s="403" t="str">
        <f t="shared" si="757"/>
        <v>NDV-3503-F02</v>
      </c>
      <c r="U6047" s="403">
        <f t="shared" si="758"/>
        <v>1</v>
      </c>
      <c r="V6047" s="403" t="str">
        <f t="shared" si="759"/>
        <v>CPP_7_3</v>
      </c>
    </row>
    <row r="6048" spans="1:22">
      <c r="A6048" t="str">
        <f t="shared" si="752"/>
        <v>NDV-3503-F02</v>
      </c>
      <c r="B6048" s="403" t="s">
        <v>1433</v>
      </c>
      <c r="C6048" s="403" t="s">
        <v>582</v>
      </c>
      <c r="D6048" s="403" t="s">
        <v>1434</v>
      </c>
      <c r="E6048" s="403" t="s">
        <v>778</v>
      </c>
      <c r="F6048" s="403" t="s">
        <v>1372</v>
      </c>
      <c r="G6048" s="403" t="s">
        <v>1466</v>
      </c>
      <c r="H6048" s="403" t="s">
        <v>1281</v>
      </c>
      <c r="I6048" s="403">
        <v>1</v>
      </c>
      <c r="J6048" s="403" t="s">
        <v>109</v>
      </c>
      <c r="K6048" s="403">
        <v>1280</v>
      </c>
      <c r="L6048" s="403">
        <v>720</v>
      </c>
      <c r="M6048" s="403" t="s">
        <v>111</v>
      </c>
      <c r="N6048" s="403">
        <v>768</v>
      </c>
      <c r="O6048" s="403">
        <v>432</v>
      </c>
      <c r="P6048" t="str">
        <f t="shared" si="753"/>
        <v>25fps 720p - SD</v>
      </c>
      <c r="Q6048">
        <f t="shared" si="754"/>
        <v>28</v>
      </c>
      <c r="R6048" t="str">
        <f t="shared" si="755"/>
        <v/>
      </c>
      <c r="S6048" t="str">
        <f t="shared" si="756"/>
        <v/>
      </c>
      <c r="T6048" s="403" t="str">
        <f t="shared" si="757"/>
        <v>NDV-3503-F02</v>
      </c>
      <c r="U6048" s="403">
        <f t="shared" si="758"/>
        <v>1</v>
      </c>
      <c r="V6048" s="403" t="str">
        <f t="shared" si="759"/>
        <v>CPP_7_3</v>
      </c>
    </row>
    <row r="6049" spans="1:22">
      <c r="A6049" t="str">
        <f t="shared" si="752"/>
        <v>NDV-3503-F02</v>
      </c>
      <c r="B6049" s="403" t="s">
        <v>1433</v>
      </c>
      <c r="C6049" s="403" t="s">
        <v>582</v>
      </c>
      <c r="D6049" s="403" t="s">
        <v>1434</v>
      </c>
      <c r="E6049" s="403" t="s">
        <v>778</v>
      </c>
      <c r="F6049" s="403" t="s">
        <v>1372</v>
      </c>
      <c r="G6049" s="403" t="s">
        <v>1466</v>
      </c>
      <c r="H6049" s="403" t="s">
        <v>1281</v>
      </c>
      <c r="I6049" s="403">
        <v>1</v>
      </c>
      <c r="J6049" s="403" t="s">
        <v>109</v>
      </c>
      <c r="K6049" s="403">
        <v>1280</v>
      </c>
      <c r="L6049" s="403">
        <v>720</v>
      </c>
      <c r="M6049" s="403" t="s">
        <v>1279</v>
      </c>
      <c r="N6049" s="403">
        <v>768</v>
      </c>
      <c r="O6049" s="403">
        <v>432</v>
      </c>
      <c r="P6049" t="str">
        <f t="shared" si="753"/>
        <v>25fps 720p - SD ROI PTZ</v>
      </c>
      <c r="Q6049">
        <f t="shared" si="754"/>
        <v>28</v>
      </c>
      <c r="R6049" t="str">
        <f t="shared" si="755"/>
        <v/>
      </c>
      <c r="S6049" t="str">
        <f t="shared" si="756"/>
        <v/>
      </c>
      <c r="T6049" s="403" t="str">
        <f t="shared" si="757"/>
        <v>NDV-3503-F02</v>
      </c>
      <c r="U6049" s="403">
        <f t="shared" si="758"/>
        <v>1</v>
      </c>
      <c r="V6049" s="403" t="str">
        <f t="shared" si="759"/>
        <v>CPP_7_3</v>
      </c>
    </row>
    <row r="6050" spans="1:22">
      <c r="A6050" t="str">
        <f t="shared" si="752"/>
        <v>NDV-3503-F02</v>
      </c>
      <c r="B6050" s="403" t="s">
        <v>1433</v>
      </c>
      <c r="C6050" s="403" t="s">
        <v>582</v>
      </c>
      <c r="D6050" s="403" t="s">
        <v>1434</v>
      </c>
      <c r="E6050" s="403" t="s">
        <v>778</v>
      </c>
      <c r="F6050" s="403" t="s">
        <v>1372</v>
      </c>
      <c r="G6050" s="403" t="s">
        <v>1466</v>
      </c>
      <c r="H6050" s="403" t="s">
        <v>1281</v>
      </c>
      <c r="I6050" s="403">
        <v>1</v>
      </c>
      <c r="J6050" s="403" t="s">
        <v>109</v>
      </c>
      <c r="K6050" s="403">
        <v>1280</v>
      </c>
      <c r="L6050" s="403">
        <v>720</v>
      </c>
      <c r="M6050" s="403" t="s">
        <v>1283</v>
      </c>
      <c r="N6050" s="403">
        <v>720</v>
      </c>
      <c r="O6050" s="403">
        <v>576</v>
      </c>
      <c r="P6050" t="str">
        <f t="shared" si="753"/>
        <v>25fps 720p - SD 4CIF resolution 4:3 format (cropped)</v>
      </c>
      <c r="Q6050">
        <f t="shared" si="754"/>
        <v>28</v>
      </c>
      <c r="R6050" t="str">
        <f t="shared" si="755"/>
        <v/>
      </c>
      <c r="S6050" t="str">
        <f t="shared" si="756"/>
        <v/>
      </c>
      <c r="T6050" s="403" t="str">
        <f t="shared" si="757"/>
        <v>NDV-3503-F02</v>
      </c>
      <c r="U6050" s="403">
        <f t="shared" si="758"/>
        <v>1</v>
      </c>
      <c r="V6050" s="403" t="str">
        <f t="shared" si="759"/>
        <v>CPP_7_3</v>
      </c>
    </row>
    <row r="6051" spans="1:22">
      <c r="A6051" t="str">
        <f t="shared" si="752"/>
        <v>NDV-3503-F02</v>
      </c>
      <c r="B6051" s="403" t="s">
        <v>1433</v>
      </c>
      <c r="C6051" s="403" t="s">
        <v>582</v>
      </c>
      <c r="D6051" s="403" t="s">
        <v>1434</v>
      </c>
      <c r="E6051" s="403" t="s">
        <v>778</v>
      </c>
      <c r="F6051" s="403" t="s">
        <v>1372</v>
      </c>
      <c r="G6051" s="403" t="s">
        <v>1466</v>
      </c>
      <c r="H6051" s="403" t="s">
        <v>1281</v>
      </c>
      <c r="I6051" s="403">
        <v>1</v>
      </c>
      <c r="J6051" s="403" t="s">
        <v>109</v>
      </c>
      <c r="K6051" s="403">
        <v>1280</v>
      </c>
      <c r="L6051" s="403">
        <v>720</v>
      </c>
      <c r="M6051" s="403" t="s">
        <v>1284</v>
      </c>
      <c r="N6051" s="403">
        <v>640</v>
      </c>
      <c r="O6051" s="403">
        <v>480</v>
      </c>
      <c r="P6051" t="str">
        <f t="shared" si="753"/>
        <v>25fps 720p - SD VGA (cropped)</v>
      </c>
      <c r="Q6051">
        <f t="shared" si="754"/>
        <v>28</v>
      </c>
      <c r="R6051" t="str">
        <f t="shared" si="755"/>
        <v/>
      </c>
      <c r="S6051" t="str">
        <f t="shared" si="756"/>
        <v/>
      </c>
      <c r="T6051" s="403" t="str">
        <f t="shared" si="757"/>
        <v>NDV-3503-F02</v>
      </c>
      <c r="U6051" s="403">
        <f t="shared" si="758"/>
        <v>1</v>
      </c>
      <c r="V6051" s="403" t="str">
        <f t="shared" si="759"/>
        <v>CPP_7_3</v>
      </c>
    </row>
    <row r="6052" spans="1:22">
      <c r="A6052" t="str">
        <f t="shared" si="752"/>
        <v>NDV-3503-F02</v>
      </c>
      <c r="B6052" s="403" t="s">
        <v>1433</v>
      </c>
      <c r="C6052" s="403" t="s">
        <v>582</v>
      </c>
      <c r="D6052" s="403" t="s">
        <v>1434</v>
      </c>
      <c r="E6052" s="403" t="s">
        <v>778</v>
      </c>
      <c r="F6052" s="403" t="s">
        <v>1372</v>
      </c>
      <c r="G6052" s="403" t="s">
        <v>1467</v>
      </c>
      <c r="H6052" s="403" t="s">
        <v>1276</v>
      </c>
      <c r="I6052" s="403">
        <v>1</v>
      </c>
      <c r="J6052" s="403" t="s">
        <v>1374</v>
      </c>
      <c r="K6052" s="403">
        <v>1296</v>
      </c>
      <c r="L6052" s="403">
        <v>2304</v>
      </c>
      <c r="M6052" s="403" t="s">
        <v>111</v>
      </c>
      <c r="N6052" s="403">
        <v>432</v>
      </c>
      <c r="O6052" s="403">
        <v>768</v>
      </c>
      <c r="P6052" t="str">
        <f t="shared" si="753"/>
        <v>25fps 2304x1296 - SD</v>
      </c>
      <c r="Q6052">
        <f t="shared" si="754"/>
        <v>28</v>
      </c>
      <c r="R6052" t="str">
        <f t="shared" si="755"/>
        <v/>
      </c>
      <c r="S6052" t="str">
        <f t="shared" si="756"/>
        <v/>
      </c>
      <c r="T6052" s="403" t="str">
        <f t="shared" si="757"/>
        <v>NDV-3503-F02</v>
      </c>
      <c r="U6052" s="403">
        <f t="shared" si="758"/>
        <v>1</v>
      </c>
      <c r="V6052" s="403" t="str">
        <f t="shared" si="759"/>
        <v>CPP_7_3</v>
      </c>
    </row>
    <row r="6053" spans="1:22">
      <c r="A6053" t="str">
        <f t="shared" si="752"/>
        <v>NDV-3503-F02</v>
      </c>
      <c r="B6053" s="403" t="s">
        <v>1433</v>
      </c>
      <c r="C6053" s="403" t="s">
        <v>582</v>
      </c>
      <c r="D6053" s="403" t="s">
        <v>1434</v>
      </c>
      <c r="E6053" s="403" t="s">
        <v>778</v>
      </c>
      <c r="F6053" s="403" t="s">
        <v>1372</v>
      </c>
      <c r="G6053" s="403" t="s">
        <v>1467</v>
      </c>
      <c r="H6053" s="403" t="s">
        <v>1276</v>
      </c>
      <c r="I6053" s="403">
        <v>1</v>
      </c>
      <c r="J6053" s="403" t="s">
        <v>1374</v>
      </c>
      <c r="K6053" s="403">
        <v>1296</v>
      </c>
      <c r="L6053" s="403">
        <v>2304</v>
      </c>
      <c r="M6053" s="403" t="s">
        <v>1279</v>
      </c>
      <c r="N6053" s="403">
        <v>432</v>
      </c>
      <c r="O6053" s="403">
        <v>768</v>
      </c>
      <c r="P6053" t="str">
        <f t="shared" si="753"/>
        <v>25fps 2304x1296 - SD ROI PTZ</v>
      </c>
      <c r="Q6053">
        <f t="shared" si="754"/>
        <v>28</v>
      </c>
      <c r="R6053" t="str">
        <f t="shared" si="755"/>
        <v/>
      </c>
      <c r="S6053" t="str">
        <f t="shared" si="756"/>
        <v/>
      </c>
      <c r="T6053" s="403" t="str">
        <f t="shared" si="757"/>
        <v>NDV-3503-F02</v>
      </c>
      <c r="U6053" s="403">
        <f t="shared" si="758"/>
        <v>1</v>
      </c>
      <c r="V6053" s="403" t="str">
        <f t="shared" si="759"/>
        <v>CPP_7_3</v>
      </c>
    </row>
    <row r="6054" spans="1:22">
      <c r="A6054" t="str">
        <f t="shared" si="752"/>
        <v>NDV-3503-F02</v>
      </c>
      <c r="B6054" s="403" t="s">
        <v>1433</v>
      </c>
      <c r="C6054" s="403" t="s">
        <v>582</v>
      </c>
      <c r="D6054" s="403" t="s">
        <v>1434</v>
      </c>
      <c r="E6054" s="403" t="s">
        <v>778</v>
      </c>
      <c r="F6054" s="403" t="s">
        <v>1372</v>
      </c>
      <c r="G6054" s="403" t="s">
        <v>1467</v>
      </c>
      <c r="H6054" s="403" t="s">
        <v>1276</v>
      </c>
      <c r="I6054" s="403">
        <v>1</v>
      </c>
      <c r="J6054" s="403" t="s">
        <v>1374</v>
      </c>
      <c r="K6054" s="403">
        <v>1296</v>
      </c>
      <c r="L6054" s="403">
        <v>2304</v>
      </c>
      <c r="M6054" s="403" t="s">
        <v>1283</v>
      </c>
      <c r="N6054" s="403">
        <v>576</v>
      </c>
      <c r="O6054" s="403">
        <v>720</v>
      </c>
      <c r="P6054" t="str">
        <f t="shared" si="753"/>
        <v>25fps 2304x1296 - SD 4CIF resolution 4:3 format (cropped)</v>
      </c>
      <c r="Q6054">
        <f t="shared" si="754"/>
        <v>28</v>
      </c>
      <c r="R6054" t="str">
        <f t="shared" si="755"/>
        <v/>
      </c>
      <c r="S6054" t="str">
        <f t="shared" si="756"/>
        <v/>
      </c>
      <c r="T6054" s="403" t="str">
        <f t="shared" si="757"/>
        <v>NDV-3503-F02</v>
      </c>
      <c r="U6054" s="403">
        <f t="shared" si="758"/>
        <v>1</v>
      </c>
      <c r="V6054" s="403" t="str">
        <f t="shared" si="759"/>
        <v>CPP_7_3</v>
      </c>
    </row>
    <row r="6055" spans="1:22">
      <c r="A6055" t="str">
        <f t="shared" si="752"/>
        <v>NDV-3503-F02</v>
      </c>
      <c r="B6055" s="403" t="s">
        <v>1433</v>
      </c>
      <c r="C6055" s="403" t="s">
        <v>582</v>
      </c>
      <c r="D6055" s="403" t="s">
        <v>1434</v>
      </c>
      <c r="E6055" s="403" t="s">
        <v>778</v>
      </c>
      <c r="F6055" s="403" t="s">
        <v>1372</v>
      </c>
      <c r="G6055" s="403" t="s">
        <v>1467</v>
      </c>
      <c r="H6055" s="403" t="s">
        <v>1276</v>
      </c>
      <c r="I6055" s="403">
        <v>1</v>
      </c>
      <c r="J6055" s="403" t="s">
        <v>1374</v>
      </c>
      <c r="K6055" s="403">
        <v>1296</v>
      </c>
      <c r="L6055" s="403">
        <v>2304</v>
      </c>
      <c r="M6055" s="403" t="s">
        <v>1284</v>
      </c>
      <c r="N6055" s="403">
        <v>480</v>
      </c>
      <c r="O6055" s="403">
        <v>640</v>
      </c>
      <c r="P6055" t="str">
        <f t="shared" si="753"/>
        <v>25fps 2304x1296 - SD VGA (cropped)</v>
      </c>
      <c r="Q6055">
        <f t="shared" si="754"/>
        <v>28</v>
      </c>
      <c r="R6055" t="str">
        <f t="shared" si="755"/>
        <v/>
      </c>
      <c r="S6055" t="str">
        <f t="shared" si="756"/>
        <v/>
      </c>
      <c r="T6055" s="403" t="str">
        <f t="shared" si="757"/>
        <v>NDV-3503-F02</v>
      </c>
      <c r="U6055" s="403">
        <f t="shared" si="758"/>
        <v>1</v>
      </c>
      <c r="V6055" s="403" t="str">
        <f t="shared" si="759"/>
        <v>CPP_7_3</v>
      </c>
    </row>
    <row r="6056" spans="1:22">
      <c r="A6056" t="str">
        <f t="shared" si="752"/>
        <v>NDV-3503-F02</v>
      </c>
      <c r="B6056" s="403" t="s">
        <v>1433</v>
      </c>
      <c r="C6056" s="403" t="s">
        <v>582</v>
      </c>
      <c r="D6056" s="403" t="s">
        <v>1434</v>
      </c>
      <c r="E6056" s="403" t="s">
        <v>778</v>
      </c>
      <c r="F6056" s="403" t="s">
        <v>1372</v>
      </c>
      <c r="G6056" s="403" t="s">
        <v>1467</v>
      </c>
      <c r="H6056" s="403" t="s">
        <v>1276</v>
      </c>
      <c r="I6056" s="403">
        <v>1</v>
      </c>
      <c r="J6056" s="403" t="s">
        <v>1374</v>
      </c>
      <c r="K6056" s="403">
        <v>1296</v>
      </c>
      <c r="L6056" s="403">
        <v>2304</v>
      </c>
      <c r="M6056" s="403" t="s">
        <v>1280</v>
      </c>
      <c r="N6056" s="403">
        <v>1296</v>
      </c>
      <c r="O6056" s="403">
        <v>2304</v>
      </c>
      <c r="P6056" t="str">
        <f t="shared" si="753"/>
        <v>25fps 2304x1296 - copy other stream</v>
      </c>
      <c r="Q6056">
        <f t="shared" si="754"/>
        <v>28</v>
      </c>
      <c r="R6056" t="str">
        <f t="shared" si="755"/>
        <v/>
      </c>
      <c r="S6056" t="str">
        <f t="shared" si="756"/>
        <v/>
      </c>
      <c r="T6056" s="403" t="str">
        <f t="shared" si="757"/>
        <v>NDV-3503-F02</v>
      </c>
      <c r="U6056" s="403">
        <f t="shared" si="758"/>
        <v>1</v>
      </c>
      <c r="V6056" s="403" t="str">
        <f t="shared" si="759"/>
        <v>CPP_7_3</v>
      </c>
    </row>
    <row r="6057" spans="1:22">
      <c r="A6057" t="str">
        <f t="shared" si="752"/>
        <v>NDV-3503-F02</v>
      </c>
      <c r="B6057" s="403" t="s">
        <v>1433</v>
      </c>
      <c r="C6057" s="403" t="s">
        <v>582</v>
      </c>
      <c r="D6057" s="403" t="s">
        <v>1434</v>
      </c>
      <c r="E6057" s="403" t="s">
        <v>778</v>
      </c>
      <c r="F6057" s="403" t="s">
        <v>1372</v>
      </c>
      <c r="G6057" s="403" t="s">
        <v>1467</v>
      </c>
      <c r="H6057" s="403" t="s">
        <v>1276</v>
      </c>
      <c r="I6057" s="403">
        <v>1</v>
      </c>
      <c r="J6057" s="403" t="s">
        <v>110</v>
      </c>
      <c r="K6057" s="403">
        <v>1080</v>
      </c>
      <c r="L6057" s="403">
        <v>1920</v>
      </c>
      <c r="M6057" s="403" t="s">
        <v>111</v>
      </c>
      <c r="N6057" s="403">
        <v>432</v>
      </c>
      <c r="O6057" s="403">
        <v>768</v>
      </c>
      <c r="P6057" t="str">
        <f t="shared" si="753"/>
        <v>25fps 1080p - SD</v>
      </c>
      <c r="Q6057">
        <f t="shared" si="754"/>
        <v>28</v>
      </c>
      <c r="R6057" t="str">
        <f t="shared" si="755"/>
        <v/>
      </c>
      <c r="S6057" t="str">
        <f t="shared" si="756"/>
        <v/>
      </c>
      <c r="T6057" s="403" t="str">
        <f t="shared" si="757"/>
        <v>NDV-3503-F02</v>
      </c>
      <c r="U6057" s="403">
        <f t="shared" si="758"/>
        <v>1</v>
      </c>
      <c r="V6057" s="403" t="str">
        <f t="shared" si="759"/>
        <v>CPP_7_3</v>
      </c>
    </row>
    <row r="6058" spans="1:22">
      <c r="A6058" t="str">
        <f t="shared" si="752"/>
        <v>NDV-3503-F02</v>
      </c>
      <c r="B6058" s="403" t="s">
        <v>1433</v>
      </c>
      <c r="C6058" s="403" t="s">
        <v>582</v>
      </c>
      <c r="D6058" s="403" t="s">
        <v>1434</v>
      </c>
      <c r="E6058" s="403" t="s">
        <v>778</v>
      </c>
      <c r="F6058" s="403" t="s">
        <v>1372</v>
      </c>
      <c r="G6058" s="403" t="s">
        <v>1467</v>
      </c>
      <c r="H6058" s="403" t="s">
        <v>1276</v>
      </c>
      <c r="I6058" s="403">
        <v>1</v>
      </c>
      <c r="J6058" s="403" t="s">
        <v>110</v>
      </c>
      <c r="K6058" s="403">
        <v>1080</v>
      </c>
      <c r="L6058" s="403">
        <v>1920</v>
      </c>
      <c r="M6058" s="403" t="s">
        <v>109</v>
      </c>
      <c r="N6058" s="403">
        <v>720</v>
      </c>
      <c r="O6058" s="403">
        <v>1280</v>
      </c>
      <c r="P6058" t="str">
        <f t="shared" si="753"/>
        <v>25fps 1080p - 720p</v>
      </c>
      <c r="Q6058">
        <f t="shared" si="754"/>
        <v>28</v>
      </c>
      <c r="R6058" t="str">
        <f t="shared" si="755"/>
        <v/>
      </c>
      <c r="S6058" t="str">
        <f t="shared" si="756"/>
        <v/>
      </c>
      <c r="T6058" s="403" t="str">
        <f t="shared" si="757"/>
        <v>NDV-3503-F02</v>
      </c>
      <c r="U6058" s="403">
        <f t="shared" si="758"/>
        <v>1</v>
      </c>
      <c r="V6058" s="403" t="str">
        <f t="shared" si="759"/>
        <v>CPP_7_3</v>
      </c>
    </row>
    <row r="6059" spans="1:22">
      <c r="A6059" t="str">
        <f t="shared" si="752"/>
        <v>NDV-3503-F02</v>
      </c>
      <c r="B6059" s="403" t="s">
        <v>1433</v>
      </c>
      <c r="C6059" s="403" t="s">
        <v>582</v>
      </c>
      <c r="D6059" s="403" t="s">
        <v>1434</v>
      </c>
      <c r="E6059" s="403" t="s">
        <v>778</v>
      </c>
      <c r="F6059" s="403" t="s">
        <v>1372</v>
      </c>
      <c r="G6059" s="403" t="s">
        <v>1467</v>
      </c>
      <c r="H6059" s="403" t="s">
        <v>1276</v>
      </c>
      <c r="I6059" s="403">
        <v>1</v>
      </c>
      <c r="J6059" s="403" t="s">
        <v>110</v>
      </c>
      <c r="K6059" s="403">
        <v>1080</v>
      </c>
      <c r="L6059" s="403">
        <v>1920</v>
      </c>
      <c r="M6059" s="403" t="s">
        <v>1285</v>
      </c>
      <c r="N6059" s="403">
        <v>1024</v>
      </c>
      <c r="O6059" s="403">
        <v>1280</v>
      </c>
      <c r="P6059" t="str">
        <f t="shared" si="753"/>
        <v>25fps 1080p - 1280x1024 5:4 (cropped)</v>
      </c>
      <c r="Q6059">
        <f t="shared" si="754"/>
        <v>28</v>
      </c>
      <c r="R6059" t="str">
        <f t="shared" si="755"/>
        <v/>
      </c>
      <c r="S6059" t="str">
        <f t="shared" si="756"/>
        <v/>
      </c>
      <c r="T6059" s="403" t="str">
        <f t="shared" si="757"/>
        <v>NDV-3503-F02</v>
      </c>
      <c r="U6059" s="403">
        <f t="shared" si="758"/>
        <v>1</v>
      </c>
      <c r="V6059" s="403" t="str">
        <f t="shared" si="759"/>
        <v>CPP_7_3</v>
      </c>
    </row>
    <row r="6060" spans="1:22">
      <c r="A6060" t="str">
        <f t="shared" si="752"/>
        <v>NDV-3503-F02</v>
      </c>
      <c r="B6060" s="403" t="s">
        <v>1433</v>
      </c>
      <c r="C6060" s="403" t="s">
        <v>582</v>
      </c>
      <c r="D6060" s="403" t="s">
        <v>1434</v>
      </c>
      <c r="E6060" s="403" t="s">
        <v>778</v>
      </c>
      <c r="F6060" s="403" t="s">
        <v>1372</v>
      </c>
      <c r="G6060" s="403" t="s">
        <v>1467</v>
      </c>
      <c r="H6060" s="403" t="s">
        <v>1276</v>
      </c>
      <c r="I6060" s="403">
        <v>1</v>
      </c>
      <c r="J6060" s="403" t="s">
        <v>110</v>
      </c>
      <c r="K6060" s="403">
        <v>1080</v>
      </c>
      <c r="L6060" s="403">
        <v>1920</v>
      </c>
      <c r="M6060" s="403" t="s">
        <v>1279</v>
      </c>
      <c r="N6060" s="403">
        <v>432</v>
      </c>
      <c r="O6060" s="403">
        <v>768</v>
      </c>
      <c r="P6060" t="str">
        <f t="shared" si="753"/>
        <v>25fps 1080p - SD ROI PTZ</v>
      </c>
      <c r="Q6060">
        <f t="shared" si="754"/>
        <v>28</v>
      </c>
      <c r="R6060" t="str">
        <f t="shared" si="755"/>
        <v/>
      </c>
      <c r="S6060" t="str">
        <f t="shared" si="756"/>
        <v/>
      </c>
      <c r="T6060" s="403" t="str">
        <f t="shared" si="757"/>
        <v>NDV-3503-F02</v>
      </c>
      <c r="U6060" s="403">
        <f t="shared" si="758"/>
        <v>1</v>
      </c>
      <c r="V6060" s="403" t="str">
        <f t="shared" si="759"/>
        <v>CPP_7_3</v>
      </c>
    </row>
    <row r="6061" spans="1:22">
      <c r="A6061" t="str">
        <f t="shared" si="752"/>
        <v>NDV-3503-F02</v>
      </c>
      <c r="B6061" s="403" t="s">
        <v>1433</v>
      </c>
      <c r="C6061" s="403" t="s">
        <v>582</v>
      </c>
      <c r="D6061" s="403" t="s">
        <v>1434</v>
      </c>
      <c r="E6061" s="403" t="s">
        <v>778</v>
      </c>
      <c r="F6061" s="403" t="s">
        <v>1372</v>
      </c>
      <c r="G6061" s="403" t="s">
        <v>1467</v>
      </c>
      <c r="H6061" s="403" t="s">
        <v>1276</v>
      </c>
      <c r="I6061" s="403">
        <v>1</v>
      </c>
      <c r="J6061" s="403" t="s">
        <v>110</v>
      </c>
      <c r="K6061" s="403">
        <v>1080</v>
      </c>
      <c r="L6061" s="403">
        <v>1920</v>
      </c>
      <c r="M6061" s="403" t="s">
        <v>1283</v>
      </c>
      <c r="N6061" s="403">
        <v>576</v>
      </c>
      <c r="O6061" s="403">
        <v>720</v>
      </c>
      <c r="P6061" t="str">
        <f t="shared" si="753"/>
        <v>25fps 1080p - SD 4CIF resolution 4:3 format (cropped)</v>
      </c>
      <c r="Q6061">
        <f t="shared" si="754"/>
        <v>28</v>
      </c>
      <c r="R6061" t="str">
        <f t="shared" si="755"/>
        <v/>
      </c>
      <c r="S6061" t="str">
        <f t="shared" si="756"/>
        <v/>
      </c>
      <c r="T6061" s="403" t="str">
        <f t="shared" si="757"/>
        <v>NDV-3503-F02</v>
      </c>
      <c r="U6061" s="403">
        <f t="shared" si="758"/>
        <v>1</v>
      </c>
      <c r="V6061" s="403" t="str">
        <f t="shared" si="759"/>
        <v>CPP_7_3</v>
      </c>
    </row>
    <row r="6062" spans="1:22">
      <c r="A6062" t="str">
        <f t="shared" si="752"/>
        <v>NDV-3503-F02</v>
      </c>
      <c r="B6062" s="403" t="s">
        <v>1433</v>
      </c>
      <c r="C6062" s="403" t="s">
        <v>582</v>
      </c>
      <c r="D6062" s="403" t="s">
        <v>1434</v>
      </c>
      <c r="E6062" s="403" t="s">
        <v>778</v>
      </c>
      <c r="F6062" s="403" t="s">
        <v>1372</v>
      </c>
      <c r="G6062" s="403" t="s">
        <v>1467</v>
      </c>
      <c r="H6062" s="403" t="s">
        <v>1276</v>
      </c>
      <c r="I6062" s="403">
        <v>1</v>
      </c>
      <c r="J6062" s="403" t="s">
        <v>110</v>
      </c>
      <c r="K6062" s="403">
        <v>1080</v>
      </c>
      <c r="L6062" s="403">
        <v>1920</v>
      </c>
      <c r="M6062" s="403" t="s">
        <v>1284</v>
      </c>
      <c r="N6062" s="403">
        <v>480</v>
      </c>
      <c r="O6062" s="403">
        <v>640</v>
      </c>
      <c r="P6062" t="str">
        <f t="shared" si="753"/>
        <v>25fps 1080p - SD VGA (cropped)</v>
      </c>
      <c r="Q6062">
        <f t="shared" si="754"/>
        <v>28</v>
      </c>
      <c r="R6062" t="str">
        <f t="shared" si="755"/>
        <v/>
      </c>
      <c r="S6062" t="str">
        <f t="shared" si="756"/>
        <v/>
      </c>
      <c r="T6062" s="403" t="str">
        <f t="shared" si="757"/>
        <v>NDV-3503-F02</v>
      </c>
      <c r="U6062" s="403">
        <f t="shared" si="758"/>
        <v>1</v>
      </c>
      <c r="V6062" s="403" t="str">
        <f t="shared" si="759"/>
        <v>CPP_7_3</v>
      </c>
    </row>
    <row r="6063" spans="1:22">
      <c r="A6063" t="str">
        <f t="shared" si="752"/>
        <v>NDV-3503-F02</v>
      </c>
      <c r="B6063" s="403" t="s">
        <v>1433</v>
      </c>
      <c r="C6063" s="403" t="s">
        <v>582</v>
      </c>
      <c r="D6063" s="403" t="s">
        <v>1434</v>
      </c>
      <c r="E6063" s="403" t="s">
        <v>778</v>
      </c>
      <c r="F6063" s="403" t="s">
        <v>1372</v>
      </c>
      <c r="G6063" s="403" t="s">
        <v>1467</v>
      </c>
      <c r="H6063" s="403" t="s">
        <v>1276</v>
      </c>
      <c r="I6063" s="403">
        <v>1</v>
      </c>
      <c r="J6063" s="403" t="s">
        <v>109</v>
      </c>
      <c r="K6063" s="403">
        <v>720</v>
      </c>
      <c r="L6063" s="403">
        <v>1280</v>
      </c>
      <c r="M6063" s="403" t="s">
        <v>109</v>
      </c>
      <c r="N6063" s="403">
        <v>720</v>
      </c>
      <c r="O6063" s="403">
        <v>1280</v>
      </c>
      <c r="P6063" t="str">
        <f t="shared" si="753"/>
        <v>25fps 720p - 720p</v>
      </c>
      <c r="Q6063">
        <f t="shared" si="754"/>
        <v>28</v>
      </c>
      <c r="R6063" t="str">
        <f t="shared" si="755"/>
        <v/>
      </c>
      <c r="S6063" t="str">
        <f t="shared" si="756"/>
        <v/>
      </c>
      <c r="T6063" s="403" t="str">
        <f t="shared" si="757"/>
        <v>NDV-3503-F02</v>
      </c>
      <c r="U6063" s="403">
        <f t="shared" si="758"/>
        <v>1</v>
      </c>
      <c r="V6063" s="403" t="str">
        <f t="shared" si="759"/>
        <v>CPP_7_3</v>
      </c>
    </row>
    <row r="6064" spans="1:22">
      <c r="A6064" t="str">
        <f t="shared" si="752"/>
        <v>NDV-3503-F02</v>
      </c>
      <c r="B6064" s="403" t="s">
        <v>1433</v>
      </c>
      <c r="C6064" s="403" t="s">
        <v>582</v>
      </c>
      <c r="D6064" s="403" t="s">
        <v>1434</v>
      </c>
      <c r="E6064" s="403" t="s">
        <v>778</v>
      </c>
      <c r="F6064" s="403" t="s">
        <v>1372</v>
      </c>
      <c r="G6064" s="403" t="s">
        <v>1467</v>
      </c>
      <c r="H6064" s="403" t="s">
        <v>1276</v>
      </c>
      <c r="I6064" s="403">
        <v>1</v>
      </c>
      <c r="J6064" s="403" t="s">
        <v>109</v>
      </c>
      <c r="K6064" s="403">
        <v>720</v>
      </c>
      <c r="L6064" s="403">
        <v>1280</v>
      </c>
      <c r="M6064" s="403" t="s">
        <v>111</v>
      </c>
      <c r="N6064" s="403">
        <v>432</v>
      </c>
      <c r="O6064" s="403">
        <v>768</v>
      </c>
      <c r="P6064" t="str">
        <f t="shared" si="753"/>
        <v>25fps 720p - SD</v>
      </c>
      <c r="Q6064">
        <f t="shared" si="754"/>
        <v>28</v>
      </c>
      <c r="R6064" t="str">
        <f t="shared" si="755"/>
        <v/>
      </c>
      <c r="S6064" t="str">
        <f t="shared" si="756"/>
        <v/>
      </c>
      <c r="T6064" s="403" t="str">
        <f t="shared" si="757"/>
        <v>NDV-3503-F02</v>
      </c>
      <c r="U6064" s="403">
        <f t="shared" si="758"/>
        <v>1</v>
      </c>
      <c r="V6064" s="403" t="str">
        <f t="shared" si="759"/>
        <v>CPP_7_3</v>
      </c>
    </row>
    <row r="6065" spans="1:22">
      <c r="A6065" t="str">
        <f t="shared" si="752"/>
        <v>NDV-3503-F02</v>
      </c>
      <c r="B6065" s="403" t="s">
        <v>1433</v>
      </c>
      <c r="C6065" s="403" t="s">
        <v>582</v>
      </c>
      <c r="D6065" s="403" t="s">
        <v>1434</v>
      </c>
      <c r="E6065" s="403" t="s">
        <v>778</v>
      </c>
      <c r="F6065" s="403" t="s">
        <v>1372</v>
      </c>
      <c r="G6065" s="403" t="s">
        <v>1467</v>
      </c>
      <c r="H6065" s="403" t="s">
        <v>1276</v>
      </c>
      <c r="I6065" s="403">
        <v>1</v>
      </c>
      <c r="J6065" s="403" t="s">
        <v>109</v>
      </c>
      <c r="K6065" s="403">
        <v>720</v>
      </c>
      <c r="L6065" s="403">
        <v>1280</v>
      </c>
      <c r="M6065" s="403" t="s">
        <v>1279</v>
      </c>
      <c r="N6065" s="403">
        <v>432</v>
      </c>
      <c r="O6065" s="403">
        <v>768</v>
      </c>
      <c r="P6065" t="str">
        <f t="shared" si="753"/>
        <v>25fps 720p - SD ROI PTZ</v>
      </c>
      <c r="Q6065">
        <f t="shared" si="754"/>
        <v>28</v>
      </c>
      <c r="R6065" t="str">
        <f t="shared" si="755"/>
        <v/>
      </c>
      <c r="S6065" t="str">
        <f t="shared" si="756"/>
        <v/>
      </c>
      <c r="T6065" s="403" t="str">
        <f t="shared" si="757"/>
        <v>NDV-3503-F02</v>
      </c>
      <c r="U6065" s="403">
        <f t="shared" si="758"/>
        <v>1</v>
      </c>
      <c r="V6065" s="403" t="str">
        <f t="shared" si="759"/>
        <v>CPP_7_3</v>
      </c>
    </row>
    <row r="6066" spans="1:22">
      <c r="A6066" t="str">
        <f t="shared" si="752"/>
        <v>NDV-3503-F02</v>
      </c>
      <c r="B6066" s="403" t="s">
        <v>1433</v>
      </c>
      <c r="C6066" s="403" t="s">
        <v>582</v>
      </c>
      <c r="D6066" s="403" t="s">
        <v>1434</v>
      </c>
      <c r="E6066" s="403" t="s">
        <v>778</v>
      </c>
      <c r="F6066" s="403" t="s">
        <v>1372</v>
      </c>
      <c r="G6066" s="403" t="s">
        <v>1467</v>
      </c>
      <c r="H6066" s="403" t="s">
        <v>1276</v>
      </c>
      <c r="I6066" s="403">
        <v>1</v>
      </c>
      <c r="J6066" s="403" t="s">
        <v>109</v>
      </c>
      <c r="K6066" s="403">
        <v>720</v>
      </c>
      <c r="L6066" s="403">
        <v>1280</v>
      </c>
      <c r="M6066" s="403" t="s">
        <v>1283</v>
      </c>
      <c r="N6066" s="403">
        <v>576</v>
      </c>
      <c r="O6066" s="403">
        <v>720</v>
      </c>
      <c r="P6066" t="str">
        <f t="shared" si="753"/>
        <v>25fps 720p - SD 4CIF resolution 4:3 format (cropped)</v>
      </c>
      <c r="Q6066">
        <f t="shared" si="754"/>
        <v>28</v>
      </c>
      <c r="R6066" t="str">
        <f t="shared" si="755"/>
        <v/>
      </c>
      <c r="S6066" t="str">
        <f t="shared" si="756"/>
        <v/>
      </c>
      <c r="T6066" s="403" t="str">
        <f t="shared" si="757"/>
        <v>NDV-3503-F02</v>
      </c>
      <c r="U6066" s="403">
        <f t="shared" si="758"/>
        <v>1</v>
      </c>
      <c r="V6066" s="403" t="str">
        <f t="shared" si="759"/>
        <v>CPP_7_3</v>
      </c>
    </row>
    <row r="6067" spans="1:22">
      <c r="A6067" t="str">
        <f t="shared" si="752"/>
        <v>NDV-3503-F02</v>
      </c>
      <c r="B6067" s="403" t="s">
        <v>1433</v>
      </c>
      <c r="C6067" s="403" t="s">
        <v>582</v>
      </c>
      <c r="D6067" s="403" t="s">
        <v>1434</v>
      </c>
      <c r="E6067" s="403" t="s">
        <v>778</v>
      </c>
      <c r="F6067" s="403" t="s">
        <v>1372</v>
      </c>
      <c r="G6067" s="403" t="s">
        <v>1467</v>
      </c>
      <c r="H6067" s="403" t="s">
        <v>1276</v>
      </c>
      <c r="I6067" s="403">
        <v>1</v>
      </c>
      <c r="J6067" s="403" t="s">
        <v>109</v>
      </c>
      <c r="K6067" s="403">
        <v>720</v>
      </c>
      <c r="L6067" s="403">
        <v>1280</v>
      </c>
      <c r="M6067" s="403" t="s">
        <v>1284</v>
      </c>
      <c r="N6067" s="403">
        <v>480</v>
      </c>
      <c r="O6067" s="403">
        <v>640</v>
      </c>
      <c r="P6067" t="str">
        <f t="shared" si="753"/>
        <v>25fps 720p - SD VGA (cropped)</v>
      </c>
      <c r="Q6067">
        <f t="shared" si="754"/>
        <v>28</v>
      </c>
      <c r="R6067" t="str">
        <f t="shared" si="755"/>
        <v/>
      </c>
      <c r="S6067" t="str">
        <f t="shared" si="756"/>
        <v/>
      </c>
      <c r="T6067" s="403" t="str">
        <f t="shared" si="757"/>
        <v>NDV-3503-F02</v>
      </c>
      <c r="U6067" s="403">
        <f t="shared" si="758"/>
        <v>1</v>
      </c>
      <c r="V6067" s="403" t="str">
        <f t="shared" si="759"/>
        <v>CPP_7_3</v>
      </c>
    </row>
    <row r="6068" spans="1:22">
      <c r="A6068" t="str">
        <f t="shared" si="752"/>
        <v>NDV-3503-F02</v>
      </c>
      <c r="B6068" s="403" t="s">
        <v>1433</v>
      </c>
      <c r="C6068" s="403" t="s">
        <v>582</v>
      </c>
      <c r="D6068" s="403" t="s">
        <v>1434</v>
      </c>
      <c r="E6068" s="403" t="s">
        <v>778</v>
      </c>
      <c r="F6068" s="403" t="s">
        <v>1372</v>
      </c>
      <c r="G6068" s="403" t="s">
        <v>1467</v>
      </c>
      <c r="H6068" s="403" t="s">
        <v>1281</v>
      </c>
      <c r="I6068" s="403">
        <v>1</v>
      </c>
      <c r="J6068" s="403" t="s">
        <v>1374</v>
      </c>
      <c r="K6068" s="403">
        <v>1296</v>
      </c>
      <c r="L6068" s="403">
        <v>2304</v>
      </c>
      <c r="M6068" s="403" t="s">
        <v>111</v>
      </c>
      <c r="N6068" s="403">
        <v>432</v>
      </c>
      <c r="O6068" s="403">
        <v>768</v>
      </c>
      <c r="P6068" t="str">
        <f t="shared" si="753"/>
        <v>25fps 2304x1296 - SD</v>
      </c>
      <c r="Q6068">
        <f t="shared" si="754"/>
        <v>28</v>
      </c>
      <c r="R6068" t="str">
        <f t="shared" si="755"/>
        <v/>
      </c>
      <c r="S6068" t="str">
        <f t="shared" si="756"/>
        <v/>
      </c>
      <c r="T6068" s="403" t="str">
        <f t="shared" si="757"/>
        <v>NDV-3503-F02</v>
      </c>
      <c r="U6068" s="403">
        <f t="shared" si="758"/>
        <v>1</v>
      </c>
      <c r="V6068" s="403" t="str">
        <f t="shared" si="759"/>
        <v>CPP_7_3</v>
      </c>
    </row>
    <row r="6069" spans="1:22">
      <c r="A6069" t="str">
        <f t="shared" si="752"/>
        <v>NDV-3503-F02</v>
      </c>
      <c r="B6069" s="403" t="s">
        <v>1433</v>
      </c>
      <c r="C6069" s="403" t="s">
        <v>582</v>
      </c>
      <c r="D6069" s="403" t="s">
        <v>1434</v>
      </c>
      <c r="E6069" s="403" t="s">
        <v>778</v>
      </c>
      <c r="F6069" s="403" t="s">
        <v>1372</v>
      </c>
      <c r="G6069" s="403" t="s">
        <v>1467</v>
      </c>
      <c r="H6069" s="403" t="s">
        <v>1281</v>
      </c>
      <c r="I6069" s="403">
        <v>1</v>
      </c>
      <c r="J6069" s="403" t="s">
        <v>1374</v>
      </c>
      <c r="K6069" s="403">
        <v>1296</v>
      </c>
      <c r="L6069" s="403">
        <v>2304</v>
      </c>
      <c r="M6069" s="403" t="s">
        <v>1279</v>
      </c>
      <c r="N6069" s="403">
        <v>432</v>
      </c>
      <c r="O6069" s="403">
        <v>768</v>
      </c>
      <c r="P6069" t="str">
        <f t="shared" si="753"/>
        <v>25fps 2304x1296 - SD ROI PTZ</v>
      </c>
      <c r="Q6069">
        <f t="shared" si="754"/>
        <v>28</v>
      </c>
      <c r="R6069" t="str">
        <f t="shared" si="755"/>
        <v/>
      </c>
      <c r="S6069" t="str">
        <f t="shared" si="756"/>
        <v/>
      </c>
      <c r="T6069" s="403" t="str">
        <f t="shared" si="757"/>
        <v>NDV-3503-F02</v>
      </c>
      <c r="U6069" s="403">
        <f t="shared" si="758"/>
        <v>1</v>
      </c>
      <c r="V6069" s="403" t="str">
        <f t="shared" si="759"/>
        <v>CPP_7_3</v>
      </c>
    </row>
    <row r="6070" spans="1:22">
      <c r="A6070" t="str">
        <f t="shared" si="752"/>
        <v>NDV-3503-F02</v>
      </c>
      <c r="B6070" s="403" t="s">
        <v>1433</v>
      </c>
      <c r="C6070" s="403" t="s">
        <v>582</v>
      </c>
      <c r="D6070" s="403" t="s">
        <v>1434</v>
      </c>
      <c r="E6070" s="403" t="s">
        <v>778</v>
      </c>
      <c r="F6070" s="403" t="s">
        <v>1372</v>
      </c>
      <c r="G6070" s="403" t="s">
        <v>1467</v>
      </c>
      <c r="H6070" s="403" t="s">
        <v>1281</v>
      </c>
      <c r="I6070" s="403">
        <v>1</v>
      </c>
      <c r="J6070" s="403" t="s">
        <v>1374</v>
      </c>
      <c r="K6070" s="403">
        <v>1296</v>
      </c>
      <c r="L6070" s="403">
        <v>2304</v>
      </c>
      <c r="M6070" s="403" t="s">
        <v>1283</v>
      </c>
      <c r="N6070" s="403">
        <v>576</v>
      </c>
      <c r="O6070" s="403">
        <v>720</v>
      </c>
      <c r="P6070" t="str">
        <f t="shared" si="753"/>
        <v>25fps 2304x1296 - SD 4CIF resolution 4:3 format (cropped)</v>
      </c>
      <c r="Q6070">
        <f t="shared" si="754"/>
        <v>28</v>
      </c>
      <c r="R6070" t="str">
        <f t="shared" si="755"/>
        <v/>
      </c>
      <c r="S6070" t="str">
        <f t="shared" si="756"/>
        <v/>
      </c>
      <c r="T6070" s="403" t="str">
        <f t="shared" si="757"/>
        <v>NDV-3503-F02</v>
      </c>
      <c r="U6070" s="403">
        <f t="shared" si="758"/>
        <v>1</v>
      </c>
      <c r="V6070" s="403" t="str">
        <f t="shared" si="759"/>
        <v>CPP_7_3</v>
      </c>
    </row>
    <row r="6071" spans="1:22">
      <c r="A6071" t="str">
        <f t="shared" si="752"/>
        <v>NDV-3503-F02</v>
      </c>
      <c r="B6071" s="403" t="s">
        <v>1433</v>
      </c>
      <c r="C6071" s="403" t="s">
        <v>582</v>
      </c>
      <c r="D6071" s="403" t="s">
        <v>1434</v>
      </c>
      <c r="E6071" s="403" t="s">
        <v>778</v>
      </c>
      <c r="F6071" s="403" t="s">
        <v>1372</v>
      </c>
      <c r="G6071" s="403" t="s">
        <v>1467</v>
      </c>
      <c r="H6071" s="403" t="s">
        <v>1281</v>
      </c>
      <c r="I6071" s="403">
        <v>1</v>
      </c>
      <c r="J6071" s="403" t="s">
        <v>1374</v>
      </c>
      <c r="K6071" s="403">
        <v>1296</v>
      </c>
      <c r="L6071" s="403">
        <v>2304</v>
      </c>
      <c r="M6071" s="403" t="s">
        <v>1284</v>
      </c>
      <c r="N6071" s="403">
        <v>480</v>
      </c>
      <c r="O6071" s="403">
        <v>640</v>
      </c>
      <c r="P6071" t="str">
        <f t="shared" si="753"/>
        <v>25fps 2304x1296 - SD VGA (cropped)</v>
      </c>
      <c r="Q6071">
        <f t="shared" si="754"/>
        <v>28</v>
      </c>
      <c r="R6071" t="str">
        <f t="shared" si="755"/>
        <v/>
      </c>
      <c r="S6071" t="str">
        <f t="shared" si="756"/>
        <v/>
      </c>
      <c r="T6071" s="403" t="str">
        <f t="shared" si="757"/>
        <v>NDV-3503-F02</v>
      </c>
      <c r="U6071" s="403">
        <f t="shared" si="758"/>
        <v>1</v>
      </c>
      <c r="V6071" s="403" t="str">
        <f t="shared" si="759"/>
        <v>CPP_7_3</v>
      </c>
    </row>
    <row r="6072" spans="1:22">
      <c r="A6072" t="str">
        <f t="shared" si="752"/>
        <v>NDV-3503-F02</v>
      </c>
      <c r="B6072" s="403" t="s">
        <v>1433</v>
      </c>
      <c r="C6072" s="403" t="s">
        <v>582</v>
      </c>
      <c r="D6072" s="403" t="s">
        <v>1434</v>
      </c>
      <c r="E6072" s="403" t="s">
        <v>778</v>
      </c>
      <c r="F6072" s="403" t="s">
        <v>1372</v>
      </c>
      <c r="G6072" s="403" t="s">
        <v>1467</v>
      </c>
      <c r="H6072" s="403" t="s">
        <v>1281</v>
      </c>
      <c r="I6072" s="403">
        <v>1</v>
      </c>
      <c r="J6072" s="403" t="s">
        <v>1374</v>
      </c>
      <c r="K6072" s="403">
        <v>1296</v>
      </c>
      <c r="L6072" s="403">
        <v>2304</v>
      </c>
      <c r="M6072" s="403" t="s">
        <v>1280</v>
      </c>
      <c r="N6072" s="403">
        <v>1296</v>
      </c>
      <c r="O6072" s="403">
        <v>2304</v>
      </c>
      <c r="P6072" t="str">
        <f t="shared" si="753"/>
        <v>25fps 2304x1296 - copy other stream</v>
      </c>
      <c r="Q6072">
        <f t="shared" si="754"/>
        <v>28</v>
      </c>
      <c r="R6072" t="str">
        <f t="shared" si="755"/>
        <v/>
      </c>
      <c r="S6072" t="str">
        <f t="shared" si="756"/>
        <v/>
      </c>
      <c r="T6072" s="403" t="str">
        <f t="shared" si="757"/>
        <v>NDV-3503-F02</v>
      </c>
      <c r="U6072" s="403">
        <f t="shared" si="758"/>
        <v>1</v>
      </c>
      <c r="V6072" s="403" t="str">
        <f t="shared" si="759"/>
        <v>CPP_7_3</v>
      </c>
    </row>
    <row r="6073" spans="1:22">
      <c r="A6073" t="str">
        <f t="shared" si="752"/>
        <v>NDV-3503-F02</v>
      </c>
      <c r="B6073" s="403" t="s">
        <v>1433</v>
      </c>
      <c r="C6073" s="403" t="s">
        <v>582</v>
      </c>
      <c r="D6073" s="403" t="s">
        <v>1434</v>
      </c>
      <c r="E6073" s="403" t="s">
        <v>778</v>
      </c>
      <c r="F6073" s="403" t="s">
        <v>1372</v>
      </c>
      <c r="G6073" s="403" t="s">
        <v>1467</v>
      </c>
      <c r="H6073" s="403" t="s">
        <v>1281</v>
      </c>
      <c r="I6073" s="403">
        <v>1</v>
      </c>
      <c r="J6073" s="403" t="s">
        <v>110</v>
      </c>
      <c r="K6073" s="403">
        <v>1080</v>
      </c>
      <c r="L6073" s="403">
        <v>1920</v>
      </c>
      <c r="M6073" s="403" t="s">
        <v>111</v>
      </c>
      <c r="N6073" s="403">
        <v>432</v>
      </c>
      <c r="O6073" s="403">
        <v>768</v>
      </c>
      <c r="P6073" t="str">
        <f t="shared" si="753"/>
        <v>25fps 1080p - SD</v>
      </c>
      <c r="Q6073">
        <f t="shared" si="754"/>
        <v>28</v>
      </c>
      <c r="R6073" t="str">
        <f t="shared" si="755"/>
        <v/>
      </c>
      <c r="S6073" t="str">
        <f t="shared" si="756"/>
        <v/>
      </c>
      <c r="T6073" s="403" t="str">
        <f t="shared" si="757"/>
        <v>NDV-3503-F02</v>
      </c>
      <c r="U6073" s="403">
        <f t="shared" si="758"/>
        <v>1</v>
      </c>
      <c r="V6073" s="403" t="str">
        <f t="shared" si="759"/>
        <v>CPP_7_3</v>
      </c>
    </row>
    <row r="6074" spans="1:22">
      <c r="A6074" t="str">
        <f t="shared" si="752"/>
        <v>NDV-3503-F02</v>
      </c>
      <c r="B6074" s="403" t="s">
        <v>1433</v>
      </c>
      <c r="C6074" s="403" t="s">
        <v>582</v>
      </c>
      <c r="D6074" s="403" t="s">
        <v>1434</v>
      </c>
      <c r="E6074" s="403" t="s">
        <v>778</v>
      </c>
      <c r="F6074" s="403" t="s">
        <v>1372</v>
      </c>
      <c r="G6074" s="403" t="s">
        <v>1467</v>
      </c>
      <c r="H6074" s="403" t="s">
        <v>1281</v>
      </c>
      <c r="I6074" s="403">
        <v>1</v>
      </c>
      <c r="J6074" s="403" t="s">
        <v>110</v>
      </c>
      <c r="K6074" s="403">
        <v>1080</v>
      </c>
      <c r="L6074" s="403">
        <v>1920</v>
      </c>
      <c r="M6074" s="403" t="s">
        <v>109</v>
      </c>
      <c r="N6074" s="403">
        <v>720</v>
      </c>
      <c r="O6074" s="403">
        <v>1280</v>
      </c>
      <c r="P6074" t="str">
        <f t="shared" si="753"/>
        <v>25fps 1080p - 720p</v>
      </c>
      <c r="Q6074">
        <f t="shared" si="754"/>
        <v>28</v>
      </c>
      <c r="R6074" t="str">
        <f t="shared" si="755"/>
        <v/>
      </c>
      <c r="S6074" t="str">
        <f t="shared" si="756"/>
        <v/>
      </c>
      <c r="T6074" s="403" t="str">
        <f t="shared" si="757"/>
        <v>NDV-3503-F02</v>
      </c>
      <c r="U6074" s="403">
        <f t="shared" si="758"/>
        <v>1</v>
      </c>
      <c r="V6074" s="403" t="str">
        <f t="shared" si="759"/>
        <v>CPP_7_3</v>
      </c>
    </row>
    <row r="6075" spans="1:22">
      <c r="A6075" t="str">
        <f t="shared" si="752"/>
        <v>NDV-3503-F02</v>
      </c>
      <c r="B6075" s="403" t="s">
        <v>1433</v>
      </c>
      <c r="C6075" s="403" t="s">
        <v>582</v>
      </c>
      <c r="D6075" s="403" t="s">
        <v>1434</v>
      </c>
      <c r="E6075" s="403" t="s">
        <v>778</v>
      </c>
      <c r="F6075" s="403" t="s">
        <v>1372</v>
      </c>
      <c r="G6075" s="403" t="s">
        <v>1467</v>
      </c>
      <c r="H6075" s="403" t="s">
        <v>1281</v>
      </c>
      <c r="I6075" s="403">
        <v>1</v>
      </c>
      <c r="J6075" s="403" t="s">
        <v>110</v>
      </c>
      <c r="K6075" s="403">
        <v>1080</v>
      </c>
      <c r="L6075" s="403">
        <v>1920</v>
      </c>
      <c r="M6075" s="403" t="s">
        <v>1285</v>
      </c>
      <c r="N6075" s="403">
        <v>1024</v>
      </c>
      <c r="O6075" s="403">
        <v>1280</v>
      </c>
      <c r="P6075" t="str">
        <f t="shared" si="753"/>
        <v>25fps 1080p - 1280x1024 5:4 (cropped)</v>
      </c>
      <c r="Q6075">
        <f t="shared" si="754"/>
        <v>28</v>
      </c>
      <c r="R6075" t="str">
        <f t="shared" si="755"/>
        <v/>
      </c>
      <c r="S6075" t="str">
        <f t="shared" si="756"/>
        <v/>
      </c>
      <c r="T6075" s="403" t="str">
        <f t="shared" si="757"/>
        <v>NDV-3503-F02</v>
      </c>
      <c r="U6075" s="403">
        <f t="shared" si="758"/>
        <v>1</v>
      </c>
      <c r="V6075" s="403" t="str">
        <f t="shared" si="759"/>
        <v>CPP_7_3</v>
      </c>
    </row>
    <row r="6076" spans="1:22">
      <c r="A6076" t="str">
        <f t="shared" si="752"/>
        <v>NDV-3503-F02</v>
      </c>
      <c r="B6076" s="403" t="s">
        <v>1433</v>
      </c>
      <c r="C6076" s="403" t="s">
        <v>582</v>
      </c>
      <c r="D6076" s="403" t="s">
        <v>1434</v>
      </c>
      <c r="E6076" s="403" t="s">
        <v>778</v>
      </c>
      <c r="F6076" s="403" t="s">
        <v>1372</v>
      </c>
      <c r="G6076" s="403" t="s">
        <v>1467</v>
      </c>
      <c r="H6076" s="403" t="s">
        <v>1281</v>
      </c>
      <c r="I6076" s="403">
        <v>1</v>
      </c>
      <c r="J6076" s="403" t="s">
        <v>110</v>
      </c>
      <c r="K6076" s="403">
        <v>1080</v>
      </c>
      <c r="L6076" s="403">
        <v>1920</v>
      </c>
      <c r="M6076" s="403" t="s">
        <v>1279</v>
      </c>
      <c r="N6076" s="403">
        <v>432</v>
      </c>
      <c r="O6076" s="403">
        <v>768</v>
      </c>
      <c r="P6076" t="str">
        <f t="shared" si="753"/>
        <v>25fps 1080p - SD ROI PTZ</v>
      </c>
      <c r="Q6076">
        <f t="shared" si="754"/>
        <v>28</v>
      </c>
      <c r="R6076" t="str">
        <f t="shared" si="755"/>
        <v/>
      </c>
      <c r="S6076" t="str">
        <f t="shared" si="756"/>
        <v/>
      </c>
      <c r="T6076" s="403" t="str">
        <f t="shared" si="757"/>
        <v>NDV-3503-F02</v>
      </c>
      <c r="U6076" s="403">
        <f t="shared" si="758"/>
        <v>1</v>
      </c>
      <c r="V6076" s="403" t="str">
        <f t="shared" si="759"/>
        <v>CPP_7_3</v>
      </c>
    </row>
    <row r="6077" spans="1:22">
      <c r="A6077" t="str">
        <f t="shared" si="752"/>
        <v>NDV-3503-F02</v>
      </c>
      <c r="B6077" s="403" t="s">
        <v>1433</v>
      </c>
      <c r="C6077" s="403" t="s">
        <v>582</v>
      </c>
      <c r="D6077" s="403" t="s">
        <v>1434</v>
      </c>
      <c r="E6077" s="403" t="s">
        <v>778</v>
      </c>
      <c r="F6077" s="403" t="s">
        <v>1372</v>
      </c>
      <c r="G6077" s="403" t="s">
        <v>1467</v>
      </c>
      <c r="H6077" s="403" t="s">
        <v>1281</v>
      </c>
      <c r="I6077" s="403">
        <v>1</v>
      </c>
      <c r="J6077" s="403" t="s">
        <v>110</v>
      </c>
      <c r="K6077" s="403">
        <v>1080</v>
      </c>
      <c r="L6077" s="403">
        <v>1920</v>
      </c>
      <c r="M6077" s="403" t="s">
        <v>1283</v>
      </c>
      <c r="N6077" s="403">
        <v>576</v>
      </c>
      <c r="O6077" s="403">
        <v>720</v>
      </c>
      <c r="P6077" t="str">
        <f t="shared" si="753"/>
        <v>25fps 1080p - SD 4CIF resolution 4:3 format (cropped)</v>
      </c>
      <c r="Q6077">
        <f t="shared" si="754"/>
        <v>28</v>
      </c>
      <c r="R6077" t="str">
        <f t="shared" si="755"/>
        <v/>
      </c>
      <c r="S6077" t="str">
        <f t="shared" si="756"/>
        <v/>
      </c>
      <c r="T6077" s="403" t="str">
        <f t="shared" si="757"/>
        <v>NDV-3503-F02</v>
      </c>
      <c r="U6077" s="403">
        <f t="shared" si="758"/>
        <v>1</v>
      </c>
      <c r="V6077" s="403" t="str">
        <f t="shared" si="759"/>
        <v>CPP_7_3</v>
      </c>
    </row>
    <row r="6078" spans="1:22">
      <c r="A6078" t="str">
        <f t="shared" si="752"/>
        <v>NDV-3503-F02</v>
      </c>
      <c r="B6078" s="403" t="s">
        <v>1433</v>
      </c>
      <c r="C6078" s="403" t="s">
        <v>582</v>
      </c>
      <c r="D6078" s="403" t="s">
        <v>1434</v>
      </c>
      <c r="E6078" s="403" t="s">
        <v>778</v>
      </c>
      <c r="F6078" s="403" t="s">
        <v>1372</v>
      </c>
      <c r="G6078" s="403" t="s">
        <v>1467</v>
      </c>
      <c r="H6078" s="403" t="s">
        <v>1281</v>
      </c>
      <c r="I6078" s="403">
        <v>1</v>
      </c>
      <c r="J6078" s="403" t="s">
        <v>110</v>
      </c>
      <c r="K6078" s="403">
        <v>1080</v>
      </c>
      <c r="L6078" s="403">
        <v>1920</v>
      </c>
      <c r="M6078" s="403" t="s">
        <v>1284</v>
      </c>
      <c r="N6078" s="403">
        <v>480</v>
      </c>
      <c r="O6078" s="403">
        <v>640</v>
      </c>
      <c r="P6078" t="str">
        <f t="shared" si="753"/>
        <v>25fps 1080p - SD VGA (cropped)</v>
      </c>
      <c r="Q6078">
        <f t="shared" si="754"/>
        <v>28</v>
      </c>
      <c r="R6078" t="str">
        <f t="shared" si="755"/>
        <v/>
      </c>
      <c r="S6078" t="str">
        <f t="shared" si="756"/>
        <v/>
      </c>
      <c r="T6078" s="403" t="str">
        <f t="shared" si="757"/>
        <v>NDV-3503-F02</v>
      </c>
      <c r="U6078" s="403">
        <f t="shared" si="758"/>
        <v>1</v>
      </c>
      <c r="V6078" s="403" t="str">
        <f t="shared" si="759"/>
        <v>CPP_7_3</v>
      </c>
    </row>
    <row r="6079" spans="1:22">
      <c r="A6079" t="str">
        <f t="shared" si="752"/>
        <v>NDV-3503-F02</v>
      </c>
      <c r="B6079" s="403" t="s">
        <v>1433</v>
      </c>
      <c r="C6079" s="403" t="s">
        <v>582</v>
      </c>
      <c r="D6079" s="403" t="s">
        <v>1434</v>
      </c>
      <c r="E6079" s="403" t="s">
        <v>778</v>
      </c>
      <c r="F6079" s="403" t="s">
        <v>1372</v>
      </c>
      <c r="G6079" s="403" t="s">
        <v>1467</v>
      </c>
      <c r="H6079" s="403" t="s">
        <v>1281</v>
      </c>
      <c r="I6079" s="403">
        <v>1</v>
      </c>
      <c r="J6079" s="403" t="s">
        <v>109</v>
      </c>
      <c r="K6079" s="403">
        <v>720</v>
      </c>
      <c r="L6079" s="403">
        <v>1280</v>
      </c>
      <c r="M6079" s="403" t="s">
        <v>109</v>
      </c>
      <c r="N6079" s="403">
        <v>720</v>
      </c>
      <c r="O6079" s="403">
        <v>1280</v>
      </c>
      <c r="P6079" t="str">
        <f t="shared" si="753"/>
        <v>25fps 720p - 720p</v>
      </c>
      <c r="Q6079">
        <f t="shared" si="754"/>
        <v>28</v>
      </c>
      <c r="R6079" t="str">
        <f t="shared" si="755"/>
        <v/>
      </c>
      <c r="S6079" t="str">
        <f t="shared" si="756"/>
        <v/>
      </c>
      <c r="T6079" s="403" t="str">
        <f t="shared" si="757"/>
        <v>NDV-3503-F02</v>
      </c>
      <c r="U6079" s="403">
        <f t="shared" si="758"/>
        <v>1</v>
      </c>
      <c r="V6079" s="403" t="str">
        <f t="shared" si="759"/>
        <v>CPP_7_3</v>
      </c>
    </row>
    <row r="6080" spans="1:22">
      <c r="A6080" t="str">
        <f t="shared" si="752"/>
        <v>NDV-3503-F02</v>
      </c>
      <c r="B6080" s="403" t="s">
        <v>1433</v>
      </c>
      <c r="C6080" s="403" t="s">
        <v>582</v>
      </c>
      <c r="D6080" s="403" t="s">
        <v>1434</v>
      </c>
      <c r="E6080" s="403" t="s">
        <v>778</v>
      </c>
      <c r="F6080" s="403" t="s">
        <v>1372</v>
      </c>
      <c r="G6080" s="403" t="s">
        <v>1467</v>
      </c>
      <c r="H6080" s="403" t="s">
        <v>1281</v>
      </c>
      <c r="I6080" s="403">
        <v>1</v>
      </c>
      <c r="J6080" s="403" t="s">
        <v>109</v>
      </c>
      <c r="K6080" s="403">
        <v>720</v>
      </c>
      <c r="L6080" s="403">
        <v>1280</v>
      </c>
      <c r="M6080" s="403" t="s">
        <v>111</v>
      </c>
      <c r="N6080" s="403">
        <v>432</v>
      </c>
      <c r="O6080" s="403">
        <v>768</v>
      </c>
      <c r="P6080" t="str">
        <f t="shared" si="753"/>
        <v>25fps 720p - SD</v>
      </c>
      <c r="Q6080">
        <f t="shared" si="754"/>
        <v>28</v>
      </c>
      <c r="R6080" t="str">
        <f t="shared" si="755"/>
        <v/>
      </c>
      <c r="S6080" t="str">
        <f t="shared" si="756"/>
        <v/>
      </c>
      <c r="T6080" s="403" t="str">
        <f t="shared" si="757"/>
        <v>NDV-3503-F02</v>
      </c>
      <c r="U6080" s="403">
        <f t="shared" si="758"/>
        <v>1</v>
      </c>
      <c r="V6080" s="403" t="str">
        <f t="shared" si="759"/>
        <v>CPP_7_3</v>
      </c>
    </row>
    <row r="6081" spans="1:22">
      <c r="A6081" t="str">
        <f t="shared" si="752"/>
        <v>NDV-3503-F02</v>
      </c>
      <c r="B6081" s="403" t="s">
        <v>1433</v>
      </c>
      <c r="C6081" s="403" t="s">
        <v>582</v>
      </c>
      <c r="D6081" s="403" t="s">
        <v>1434</v>
      </c>
      <c r="E6081" s="403" t="s">
        <v>778</v>
      </c>
      <c r="F6081" s="403" t="s">
        <v>1372</v>
      </c>
      <c r="G6081" s="403" t="s">
        <v>1467</v>
      </c>
      <c r="H6081" s="403" t="s">
        <v>1281</v>
      </c>
      <c r="I6081" s="403">
        <v>1</v>
      </c>
      <c r="J6081" s="403" t="s">
        <v>109</v>
      </c>
      <c r="K6081" s="403">
        <v>720</v>
      </c>
      <c r="L6081" s="403">
        <v>1280</v>
      </c>
      <c r="M6081" s="403" t="s">
        <v>1279</v>
      </c>
      <c r="N6081" s="403">
        <v>432</v>
      </c>
      <c r="O6081" s="403">
        <v>768</v>
      </c>
      <c r="P6081" t="str">
        <f t="shared" si="753"/>
        <v>25fps 720p - SD ROI PTZ</v>
      </c>
      <c r="Q6081">
        <f t="shared" si="754"/>
        <v>28</v>
      </c>
      <c r="R6081" t="str">
        <f t="shared" si="755"/>
        <v/>
      </c>
      <c r="S6081" t="str">
        <f t="shared" si="756"/>
        <v/>
      </c>
      <c r="T6081" s="403" t="str">
        <f t="shared" si="757"/>
        <v>NDV-3503-F02</v>
      </c>
      <c r="U6081" s="403">
        <f t="shared" si="758"/>
        <v>1</v>
      </c>
      <c r="V6081" s="403" t="str">
        <f t="shared" si="759"/>
        <v>CPP_7_3</v>
      </c>
    </row>
    <row r="6082" spans="1:22">
      <c r="A6082" t="str">
        <f t="shared" ref="A6082:A6145" si="760">IF(AND(G6082&lt;&gt;"rotate 90°"),D6082,"")</f>
        <v>NDV-3503-F02</v>
      </c>
      <c r="B6082" s="403" t="s">
        <v>1433</v>
      </c>
      <c r="C6082" s="403" t="s">
        <v>582</v>
      </c>
      <c r="D6082" s="403" t="s">
        <v>1434</v>
      </c>
      <c r="E6082" s="403" t="s">
        <v>778</v>
      </c>
      <c r="F6082" s="403" t="s">
        <v>1372</v>
      </c>
      <c r="G6082" s="403" t="s">
        <v>1467</v>
      </c>
      <c r="H6082" s="403" t="s">
        <v>1281</v>
      </c>
      <c r="I6082" s="403">
        <v>1</v>
      </c>
      <c r="J6082" s="403" t="s">
        <v>109</v>
      </c>
      <c r="K6082" s="403">
        <v>720</v>
      </c>
      <c r="L6082" s="403">
        <v>1280</v>
      </c>
      <c r="M6082" s="403" t="s">
        <v>1283</v>
      </c>
      <c r="N6082" s="403">
        <v>576</v>
      </c>
      <c r="O6082" s="403">
        <v>720</v>
      </c>
      <c r="P6082" t="str">
        <f t="shared" ref="P6082:P6145" si="761">LEFT(F6082,5)&amp;" "&amp;J6082&amp;" - "&amp;M6082</f>
        <v>25fps 720p - SD 4CIF resolution 4:3 format (cropped)</v>
      </c>
      <c r="Q6082">
        <f t="shared" ref="Q6082:Q6145" si="762">IF(A6081=A6082,Q6081,Q6081+1)</f>
        <v>28</v>
      </c>
      <c r="R6082" t="str">
        <f t="shared" ref="R6082:R6145" si="763">IF(Q6081&lt;&gt;Q6082,Q6082,"")</f>
        <v/>
      </c>
      <c r="S6082" t="str">
        <f t="shared" ref="S6082:S6145" si="764">IF(R6082&lt;&gt;"",B6082&amp;" ("&amp;D6082&amp;")","")</f>
        <v/>
      </c>
      <c r="T6082" s="403" t="str">
        <f t="shared" ref="T6082:T6145" si="765">D6082</f>
        <v>NDV-3503-F02</v>
      </c>
      <c r="U6082" s="403">
        <f t="shared" ref="U6082:U6145" si="766">I6082</f>
        <v>1</v>
      </c>
      <c r="V6082" s="403" t="str">
        <f t="shared" ref="V6082:V6145" si="767">C6082</f>
        <v>CPP_7_3</v>
      </c>
    </row>
    <row r="6083" spans="1:22">
      <c r="A6083" t="str">
        <f t="shared" si="760"/>
        <v>NDV-3503-F02</v>
      </c>
      <c r="B6083" s="403" t="s">
        <v>1433</v>
      </c>
      <c r="C6083" s="403" t="s">
        <v>582</v>
      </c>
      <c r="D6083" s="403" t="s">
        <v>1434</v>
      </c>
      <c r="E6083" s="403" t="s">
        <v>778</v>
      </c>
      <c r="F6083" s="403" t="s">
        <v>1372</v>
      </c>
      <c r="G6083" s="403" t="s">
        <v>1467</v>
      </c>
      <c r="H6083" s="403" t="s">
        <v>1281</v>
      </c>
      <c r="I6083" s="403">
        <v>1</v>
      </c>
      <c r="J6083" s="403" t="s">
        <v>109</v>
      </c>
      <c r="K6083" s="403">
        <v>720</v>
      </c>
      <c r="L6083" s="403">
        <v>1280</v>
      </c>
      <c r="M6083" s="403" t="s">
        <v>1284</v>
      </c>
      <c r="N6083" s="403">
        <v>480</v>
      </c>
      <c r="O6083" s="403">
        <v>640</v>
      </c>
      <c r="P6083" t="str">
        <f t="shared" si="761"/>
        <v>25fps 720p - SD VGA (cropped)</v>
      </c>
      <c r="Q6083">
        <f t="shared" si="762"/>
        <v>28</v>
      </c>
      <c r="R6083" t="str">
        <f t="shared" si="763"/>
        <v/>
      </c>
      <c r="S6083" t="str">
        <f t="shared" si="764"/>
        <v/>
      </c>
      <c r="T6083" s="403" t="str">
        <f t="shared" si="765"/>
        <v>NDV-3503-F02</v>
      </c>
      <c r="U6083" s="403">
        <f t="shared" si="766"/>
        <v>1</v>
      </c>
      <c r="V6083" s="403" t="str">
        <f t="shared" si="767"/>
        <v>CPP_7_3</v>
      </c>
    </row>
    <row r="6084" spans="1:22">
      <c r="A6084" t="str">
        <f t="shared" si="760"/>
        <v>NDV-3503-F02</v>
      </c>
      <c r="B6084" s="403" t="s">
        <v>1433</v>
      </c>
      <c r="C6084" s="403" t="s">
        <v>582</v>
      </c>
      <c r="D6084" s="403" t="s">
        <v>1434</v>
      </c>
      <c r="E6084" s="403" t="s">
        <v>778</v>
      </c>
      <c r="F6084" s="403" t="s">
        <v>1375</v>
      </c>
      <c r="G6084" s="403" t="s">
        <v>1466</v>
      </c>
      <c r="H6084" s="403" t="s">
        <v>1276</v>
      </c>
      <c r="I6084" s="403">
        <v>1</v>
      </c>
      <c r="J6084" s="403" t="s">
        <v>1376</v>
      </c>
      <c r="K6084" s="403">
        <v>3072</v>
      </c>
      <c r="L6084" s="403">
        <v>1728</v>
      </c>
      <c r="M6084" s="403" t="s">
        <v>111</v>
      </c>
      <c r="N6084" s="403">
        <v>768</v>
      </c>
      <c r="O6084" s="403">
        <v>432</v>
      </c>
      <c r="P6084" t="str">
        <f t="shared" si="761"/>
        <v>20fps 3072x1728 - SD</v>
      </c>
      <c r="Q6084">
        <f t="shared" si="762"/>
        <v>28</v>
      </c>
      <c r="R6084" t="str">
        <f t="shared" si="763"/>
        <v/>
      </c>
      <c r="S6084" t="str">
        <f t="shared" si="764"/>
        <v/>
      </c>
      <c r="T6084" s="403" t="str">
        <f t="shared" si="765"/>
        <v>NDV-3503-F02</v>
      </c>
      <c r="U6084" s="403">
        <f t="shared" si="766"/>
        <v>1</v>
      </c>
      <c r="V6084" s="403" t="str">
        <f t="shared" si="767"/>
        <v>CPP_7_3</v>
      </c>
    </row>
    <row r="6085" spans="1:22">
      <c r="A6085" t="str">
        <f t="shared" si="760"/>
        <v>NDV-3503-F02</v>
      </c>
      <c r="B6085" s="403" t="s">
        <v>1433</v>
      </c>
      <c r="C6085" s="403" t="s">
        <v>582</v>
      </c>
      <c r="D6085" s="403" t="s">
        <v>1434</v>
      </c>
      <c r="E6085" s="403" t="s">
        <v>778</v>
      </c>
      <c r="F6085" s="403" t="s">
        <v>1375</v>
      </c>
      <c r="G6085" s="403" t="s">
        <v>1466</v>
      </c>
      <c r="H6085" s="403" t="s">
        <v>1276</v>
      </c>
      <c r="I6085" s="403">
        <v>1</v>
      </c>
      <c r="J6085" s="403" t="s">
        <v>1376</v>
      </c>
      <c r="K6085" s="403">
        <v>3072</v>
      </c>
      <c r="L6085" s="403">
        <v>1728</v>
      </c>
      <c r="M6085" s="403" t="s">
        <v>1280</v>
      </c>
      <c r="N6085" s="403">
        <v>3072</v>
      </c>
      <c r="O6085" s="403">
        <v>1728</v>
      </c>
      <c r="P6085" t="str">
        <f t="shared" si="761"/>
        <v>20fps 3072x1728 - copy other stream</v>
      </c>
      <c r="Q6085">
        <f t="shared" si="762"/>
        <v>28</v>
      </c>
      <c r="R6085" t="str">
        <f t="shared" si="763"/>
        <v/>
      </c>
      <c r="S6085" t="str">
        <f t="shared" si="764"/>
        <v/>
      </c>
      <c r="T6085" s="403" t="str">
        <f t="shared" si="765"/>
        <v>NDV-3503-F02</v>
      </c>
      <c r="U6085" s="403">
        <f t="shared" si="766"/>
        <v>1</v>
      </c>
      <c r="V6085" s="403" t="str">
        <f t="shared" si="767"/>
        <v>CPP_7_3</v>
      </c>
    </row>
    <row r="6086" spans="1:22">
      <c r="A6086" t="str">
        <f t="shared" si="760"/>
        <v>NDV-3503-F02</v>
      </c>
      <c r="B6086" s="403" t="s">
        <v>1433</v>
      </c>
      <c r="C6086" s="403" t="s">
        <v>582</v>
      </c>
      <c r="D6086" s="403" t="s">
        <v>1434</v>
      </c>
      <c r="E6086" s="403" t="s">
        <v>778</v>
      </c>
      <c r="F6086" s="403" t="s">
        <v>1375</v>
      </c>
      <c r="G6086" s="403" t="s">
        <v>1466</v>
      </c>
      <c r="H6086" s="403" t="s">
        <v>1276</v>
      </c>
      <c r="I6086" s="403">
        <v>1</v>
      </c>
      <c r="J6086" s="403" t="s">
        <v>1376</v>
      </c>
      <c r="K6086" s="403">
        <v>3072</v>
      </c>
      <c r="L6086" s="403">
        <v>1728</v>
      </c>
      <c r="M6086" s="403" t="s">
        <v>1283</v>
      </c>
      <c r="N6086" s="403">
        <v>720</v>
      </c>
      <c r="O6086" s="403">
        <v>480</v>
      </c>
      <c r="P6086" t="str">
        <f t="shared" si="761"/>
        <v>20fps 3072x1728 - SD 4CIF resolution 4:3 format (cropped)</v>
      </c>
      <c r="Q6086">
        <f t="shared" si="762"/>
        <v>28</v>
      </c>
      <c r="R6086" t="str">
        <f t="shared" si="763"/>
        <v/>
      </c>
      <c r="S6086" t="str">
        <f t="shared" si="764"/>
        <v/>
      </c>
      <c r="T6086" s="403" t="str">
        <f t="shared" si="765"/>
        <v>NDV-3503-F02</v>
      </c>
      <c r="U6086" s="403">
        <f t="shared" si="766"/>
        <v>1</v>
      </c>
      <c r="V6086" s="403" t="str">
        <f t="shared" si="767"/>
        <v>CPP_7_3</v>
      </c>
    </row>
    <row r="6087" spans="1:22">
      <c r="A6087" t="str">
        <f t="shared" si="760"/>
        <v>NDV-3503-F02</v>
      </c>
      <c r="B6087" s="403" t="s">
        <v>1433</v>
      </c>
      <c r="C6087" s="403" t="s">
        <v>582</v>
      </c>
      <c r="D6087" s="403" t="s">
        <v>1434</v>
      </c>
      <c r="E6087" s="403" t="s">
        <v>778</v>
      </c>
      <c r="F6087" s="403" t="s">
        <v>1375</v>
      </c>
      <c r="G6087" s="403" t="s">
        <v>1466</v>
      </c>
      <c r="H6087" s="403" t="s">
        <v>1276</v>
      </c>
      <c r="I6087" s="403">
        <v>1</v>
      </c>
      <c r="J6087" s="403" t="s">
        <v>1376</v>
      </c>
      <c r="K6087" s="403">
        <v>3072</v>
      </c>
      <c r="L6087" s="403">
        <v>1728</v>
      </c>
      <c r="M6087" s="403" t="s">
        <v>1279</v>
      </c>
      <c r="N6087" s="403">
        <v>768</v>
      </c>
      <c r="O6087" s="403">
        <v>432</v>
      </c>
      <c r="P6087" t="str">
        <f t="shared" si="761"/>
        <v>20fps 3072x1728 - SD ROI PTZ</v>
      </c>
      <c r="Q6087">
        <f t="shared" si="762"/>
        <v>28</v>
      </c>
      <c r="R6087" t="str">
        <f t="shared" si="763"/>
        <v/>
      </c>
      <c r="S6087" t="str">
        <f t="shared" si="764"/>
        <v/>
      </c>
      <c r="T6087" s="403" t="str">
        <f t="shared" si="765"/>
        <v>NDV-3503-F02</v>
      </c>
      <c r="U6087" s="403">
        <f t="shared" si="766"/>
        <v>1</v>
      </c>
      <c r="V6087" s="403" t="str">
        <f t="shared" si="767"/>
        <v>CPP_7_3</v>
      </c>
    </row>
    <row r="6088" spans="1:22">
      <c r="A6088" t="str">
        <f t="shared" si="760"/>
        <v>NDV-3503-F02</v>
      </c>
      <c r="B6088" s="403" t="s">
        <v>1433</v>
      </c>
      <c r="C6088" s="403" t="s">
        <v>582</v>
      </c>
      <c r="D6088" s="403" t="s">
        <v>1434</v>
      </c>
      <c r="E6088" s="403" t="s">
        <v>778</v>
      </c>
      <c r="F6088" s="403" t="s">
        <v>1375</v>
      </c>
      <c r="G6088" s="403" t="s">
        <v>1466</v>
      </c>
      <c r="H6088" s="403" t="s">
        <v>1276</v>
      </c>
      <c r="I6088" s="403">
        <v>1</v>
      </c>
      <c r="J6088" s="403" t="s">
        <v>1376</v>
      </c>
      <c r="K6088" s="403">
        <v>3072</v>
      </c>
      <c r="L6088" s="403">
        <v>1728</v>
      </c>
      <c r="M6088" s="403" t="s">
        <v>1284</v>
      </c>
      <c r="N6088" s="403">
        <v>640</v>
      </c>
      <c r="O6088" s="403">
        <v>480</v>
      </c>
      <c r="P6088" t="str">
        <f t="shared" si="761"/>
        <v>20fps 3072x1728 - SD VGA (cropped)</v>
      </c>
      <c r="Q6088">
        <f t="shared" si="762"/>
        <v>28</v>
      </c>
      <c r="R6088" t="str">
        <f t="shared" si="763"/>
        <v/>
      </c>
      <c r="S6088" t="str">
        <f t="shared" si="764"/>
        <v/>
      </c>
      <c r="T6088" s="403" t="str">
        <f t="shared" si="765"/>
        <v>NDV-3503-F02</v>
      </c>
      <c r="U6088" s="403">
        <f t="shared" si="766"/>
        <v>1</v>
      </c>
      <c r="V6088" s="403" t="str">
        <f t="shared" si="767"/>
        <v>CPP_7_3</v>
      </c>
    </row>
    <row r="6089" spans="1:22">
      <c r="A6089" t="str">
        <f t="shared" si="760"/>
        <v>NDV-3503-F02</v>
      </c>
      <c r="B6089" s="403" t="s">
        <v>1433</v>
      </c>
      <c r="C6089" s="403" t="s">
        <v>582</v>
      </c>
      <c r="D6089" s="403" t="s">
        <v>1434</v>
      </c>
      <c r="E6089" s="403" t="s">
        <v>778</v>
      </c>
      <c r="F6089" s="403" t="s">
        <v>1375</v>
      </c>
      <c r="G6089" s="403" t="s">
        <v>1466</v>
      </c>
      <c r="H6089" s="403" t="s">
        <v>1276</v>
      </c>
      <c r="I6089" s="403">
        <v>1</v>
      </c>
      <c r="J6089" s="403" t="s">
        <v>1377</v>
      </c>
      <c r="K6089" s="403">
        <v>2720</v>
      </c>
      <c r="L6089" s="403">
        <v>1528</v>
      </c>
      <c r="M6089" s="403" t="s">
        <v>109</v>
      </c>
      <c r="N6089" s="403">
        <v>1280</v>
      </c>
      <c r="O6089" s="403">
        <v>720</v>
      </c>
      <c r="P6089" t="str">
        <f t="shared" si="761"/>
        <v>20fps 2720x1530 - 720p</v>
      </c>
      <c r="Q6089">
        <f t="shared" si="762"/>
        <v>28</v>
      </c>
      <c r="R6089" t="str">
        <f t="shared" si="763"/>
        <v/>
      </c>
      <c r="S6089" t="str">
        <f t="shared" si="764"/>
        <v/>
      </c>
      <c r="T6089" s="403" t="str">
        <f t="shared" si="765"/>
        <v>NDV-3503-F02</v>
      </c>
      <c r="U6089" s="403">
        <f t="shared" si="766"/>
        <v>1</v>
      </c>
      <c r="V6089" s="403" t="str">
        <f t="shared" si="767"/>
        <v>CPP_7_3</v>
      </c>
    </row>
    <row r="6090" spans="1:22">
      <c r="A6090" t="str">
        <f t="shared" si="760"/>
        <v>NDV-3503-F02</v>
      </c>
      <c r="B6090" s="403" t="s">
        <v>1433</v>
      </c>
      <c r="C6090" s="403" t="s">
        <v>582</v>
      </c>
      <c r="D6090" s="403" t="s">
        <v>1434</v>
      </c>
      <c r="E6090" s="403" t="s">
        <v>778</v>
      </c>
      <c r="F6090" s="403" t="s">
        <v>1375</v>
      </c>
      <c r="G6090" s="403" t="s">
        <v>1466</v>
      </c>
      <c r="H6090" s="403" t="s">
        <v>1276</v>
      </c>
      <c r="I6090" s="403">
        <v>1</v>
      </c>
      <c r="J6090" s="403" t="s">
        <v>1377</v>
      </c>
      <c r="K6090" s="403">
        <v>2720</v>
      </c>
      <c r="L6090" s="403">
        <v>1528</v>
      </c>
      <c r="M6090" s="403" t="s">
        <v>111</v>
      </c>
      <c r="N6090" s="403">
        <v>768</v>
      </c>
      <c r="O6090" s="403">
        <v>432</v>
      </c>
      <c r="P6090" t="str">
        <f t="shared" si="761"/>
        <v>20fps 2720x1530 - SD</v>
      </c>
      <c r="Q6090">
        <f t="shared" si="762"/>
        <v>28</v>
      </c>
      <c r="R6090" t="str">
        <f t="shared" si="763"/>
        <v/>
      </c>
      <c r="S6090" t="str">
        <f t="shared" si="764"/>
        <v/>
      </c>
      <c r="T6090" s="403" t="str">
        <f t="shared" si="765"/>
        <v>NDV-3503-F02</v>
      </c>
      <c r="U6090" s="403">
        <f t="shared" si="766"/>
        <v>1</v>
      </c>
      <c r="V6090" s="403" t="str">
        <f t="shared" si="767"/>
        <v>CPP_7_3</v>
      </c>
    </row>
    <row r="6091" spans="1:22">
      <c r="A6091" t="str">
        <f t="shared" si="760"/>
        <v>NDV-3503-F02</v>
      </c>
      <c r="B6091" s="403" t="s">
        <v>1433</v>
      </c>
      <c r="C6091" s="403" t="s">
        <v>582</v>
      </c>
      <c r="D6091" s="403" t="s">
        <v>1434</v>
      </c>
      <c r="E6091" s="403" t="s">
        <v>778</v>
      </c>
      <c r="F6091" s="403" t="s">
        <v>1375</v>
      </c>
      <c r="G6091" s="403" t="s">
        <v>1466</v>
      </c>
      <c r="H6091" s="403" t="s">
        <v>1276</v>
      </c>
      <c r="I6091" s="403">
        <v>1</v>
      </c>
      <c r="J6091" s="403" t="s">
        <v>1377</v>
      </c>
      <c r="K6091" s="403">
        <v>2720</v>
      </c>
      <c r="L6091" s="403">
        <v>1528</v>
      </c>
      <c r="M6091" s="403" t="s">
        <v>1279</v>
      </c>
      <c r="N6091" s="403">
        <v>768</v>
      </c>
      <c r="O6091" s="403">
        <v>432</v>
      </c>
      <c r="P6091" t="str">
        <f t="shared" si="761"/>
        <v>20fps 2720x1530 - SD ROI PTZ</v>
      </c>
      <c r="Q6091">
        <f t="shared" si="762"/>
        <v>28</v>
      </c>
      <c r="R6091" t="str">
        <f t="shared" si="763"/>
        <v/>
      </c>
      <c r="S6091" t="str">
        <f t="shared" si="764"/>
        <v/>
      </c>
      <c r="T6091" s="403" t="str">
        <f t="shared" si="765"/>
        <v>NDV-3503-F02</v>
      </c>
      <c r="U6091" s="403">
        <f t="shared" si="766"/>
        <v>1</v>
      </c>
      <c r="V6091" s="403" t="str">
        <f t="shared" si="767"/>
        <v>CPP_7_3</v>
      </c>
    </row>
    <row r="6092" spans="1:22">
      <c r="A6092" t="str">
        <f t="shared" si="760"/>
        <v>NDV-3503-F02</v>
      </c>
      <c r="B6092" s="403" t="s">
        <v>1433</v>
      </c>
      <c r="C6092" s="403" t="s">
        <v>582</v>
      </c>
      <c r="D6092" s="403" t="s">
        <v>1434</v>
      </c>
      <c r="E6092" s="403" t="s">
        <v>778</v>
      </c>
      <c r="F6092" s="403" t="s">
        <v>1375</v>
      </c>
      <c r="G6092" s="403" t="s">
        <v>1466</v>
      </c>
      <c r="H6092" s="403" t="s">
        <v>1276</v>
      </c>
      <c r="I6092" s="403">
        <v>1</v>
      </c>
      <c r="J6092" s="403" t="s">
        <v>1377</v>
      </c>
      <c r="K6092" s="403">
        <v>2720</v>
      </c>
      <c r="L6092" s="403">
        <v>1528</v>
      </c>
      <c r="M6092" s="403" t="s">
        <v>1285</v>
      </c>
      <c r="N6092" s="403">
        <v>1280</v>
      </c>
      <c r="O6092" s="403">
        <v>1024</v>
      </c>
      <c r="P6092" t="str">
        <f t="shared" si="761"/>
        <v>20fps 2720x1530 - 1280x1024 5:4 (cropped)</v>
      </c>
      <c r="Q6092">
        <f t="shared" si="762"/>
        <v>28</v>
      </c>
      <c r="R6092" t="str">
        <f t="shared" si="763"/>
        <v/>
      </c>
      <c r="S6092" t="str">
        <f t="shared" si="764"/>
        <v/>
      </c>
      <c r="T6092" s="403" t="str">
        <f t="shared" si="765"/>
        <v>NDV-3503-F02</v>
      </c>
      <c r="U6092" s="403">
        <f t="shared" si="766"/>
        <v>1</v>
      </c>
      <c r="V6092" s="403" t="str">
        <f t="shared" si="767"/>
        <v>CPP_7_3</v>
      </c>
    </row>
    <row r="6093" spans="1:22">
      <c r="A6093" t="str">
        <f t="shared" si="760"/>
        <v>NDV-3503-F02</v>
      </c>
      <c r="B6093" s="403" t="s">
        <v>1433</v>
      </c>
      <c r="C6093" s="403" t="s">
        <v>582</v>
      </c>
      <c r="D6093" s="403" t="s">
        <v>1434</v>
      </c>
      <c r="E6093" s="403" t="s">
        <v>778</v>
      </c>
      <c r="F6093" s="403" t="s">
        <v>1375</v>
      </c>
      <c r="G6093" s="403" t="s">
        <v>1466</v>
      </c>
      <c r="H6093" s="403" t="s">
        <v>1276</v>
      </c>
      <c r="I6093" s="403">
        <v>1</v>
      </c>
      <c r="J6093" s="403" t="s">
        <v>1377</v>
      </c>
      <c r="K6093" s="403">
        <v>2720</v>
      </c>
      <c r="L6093" s="403">
        <v>1528</v>
      </c>
      <c r="M6093" s="403" t="s">
        <v>1283</v>
      </c>
      <c r="N6093" s="403">
        <v>720</v>
      </c>
      <c r="O6093" s="403">
        <v>480</v>
      </c>
      <c r="P6093" t="str">
        <f t="shared" si="761"/>
        <v>20fps 2720x1530 - SD 4CIF resolution 4:3 format (cropped)</v>
      </c>
      <c r="Q6093">
        <f t="shared" si="762"/>
        <v>28</v>
      </c>
      <c r="R6093" t="str">
        <f t="shared" si="763"/>
        <v/>
      </c>
      <c r="S6093" t="str">
        <f t="shared" si="764"/>
        <v/>
      </c>
      <c r="T6093" s="403" t="str">
        <f t="shared" si="765"/>
        <v>NDV-3503-F02</v>
      </c>
      <c r="U6093" s="403">
        <f t="shared" si="766"/>
        <v>1</v>
      </c>
      <c r="V6093" s="403" t="str">
        <f t="shared" si="767"/>
        <v>CPP_7_3</v>
      </c>
    </row>
    <row r="6094" spans="1:22">
      <c r="A6094" t="str">
        <f t="shared" si="760"/>
        <v>NDV-3503-F02</v>
      </c>
      <c r="B6094" s="403" t="s">
        <v>1433</v>
      </c>
      <c r="C6094" s="403" t="s">
        <v>582</v>
      </c>
      <c r="D6094" s="403" t="s">
        <v>1434</v>
      </c>
      <c r="E6094" s="403" t="s">
        <v>778</v>
      </c>
      <c r="F6094" s="403" t="s">
        <v>1375</v>
      </c>
      <c r="G6094" s="403" t="s">
        <v>1466</v>
      </c>
      <c r="H6094" s="403" t="s">
        <v>1276</v>
      </c>
      <c r="I6094" s="403">
        <v>1</v>
      </c>
      <c r="J6094" s="403" t="s">
        <v>1377</v>
      </c>
      <c r="K6094" s="403">
        <v>2720</v>
      </c>
      <c r="L6094" s="403">
        <v>1528</v>
      </c>
      <c r="M6094" s="403" t="s">
        <v>1284</v>
      </c>
      <c r="N6094" s="403">
        <v>640</v>
      </c>
      <c r="O6094" s="403">
        <v>480</v>
      </c>
      <c r="P6094" t="str">
        <f t="shared" si="761"/>
        <v>20fps 2720x1530 - SD VGA (cropped)</v>
      </c>
      <c r="Q6094">
        <f t="shared" si="762"/>
        <v>28</v>
      </c>
      <c r="R6094" t="str">
        <f t="shared" si="763"/>
        <v/>
      </c>
      <c r="S6094" t="str">
        <f t="shared" si="764"/>
        <v/>
      </c>
      <c r="T6094" s="403" t="str">
        <f t="shared" si="765"/>
        <v>NDV-3503-F02</v>
      </c>
      <c r="U6094" s="403">
        <f t="shared" si="766"/>
        <v>1</v>
      </c>
      <c r="V6094" s="403" t="str">
        <f t="shared" si="767"/>
        <v>CPP_7_3</v>
      </c>
    </row>
    <row r="6095" spans="1:22">
      <c r="A6095" t="str">
        <f t="shared" si="760"/>
        <v>NDV-3503-F02</v>
      </c>
      <c r="B6095" s="403" t="s">
        <v>1433</v>
      </c>
      <c r="C6095" s="403" t="s">
        <v>582</v>
      </c>
      <c r="D6095" s="403" t="s">
        <v>1434</v>
      </c>
      <c r="E6095" s="403" t="s">
        <v>778</v>
      </c>
      <c r="F6095" s="403" t="s">
        <v>1375</v>
      </c>
      <c r="G6095" s="403" t="s">
        <v>1466</v>
      </c>
      <c r="H6095" s="403" t="s">
        <v>1276</v>
      </c>
      <c r="I6095" s="403">
        <v>1</v>
      </c>
      <c r="J6095" s="403" t="s">
        <v>1377</v>
      </c>
      <c r="K6095" s="403">
        <v>2720</v>
      </c>
      <c r="L6095" s="403">
        <v>1528</v>
      </c>
      <c r="M6095" s="403" t="s">
        <v>1280</v>
      </c>
      <c r="N6095" s="403">
        <v>2720</v>
      </c>
      <c r="O6095" s="403">
        <v>1528</v>
      </c>
      <c r="P6095" t="str">
        <f t="shared" si="761"/>
        <v>20fps 2720x1530 - copy other stream</v>
      </c>
      <c r="Q6095">
        <f t="shared" si="762"/>
        <v>28</v>
      </c>
      <c r="R6095" t="str">
        <f t="shared" si="763"/>
        <v/>
      </c>
      <c r="S6095" t="str">
        <f t="shared" si="764"/>
        <v/>
      </c>
      <c r="T6095" s="403" t="str">
        <f t="shared" si="765"/>
        <v>NDV-3503-F02</v>
      </c>
      <c r="U6095" s="403">
        <f t="shared" si="766"/>
        <v>1</v>
      </c>
      <c r="V6095" s="403" t="str">
        <f t="shared" si="767"/>
        <v>CPP_7_3</v>
      </c>
    </row>
    <row r="6096" spans="1:22">
      <c r="A6096" t="str">
        <f t="shared" si="760"/>
        <v>NDV-3503-F02</v>
      </c>
      <c r="B6096" s="403" t="s">
        <v>1433</v>
      </c>
      <c r="C6096" s="403" t="s">
        <v>582</v>
      </c>
      <c r="D6096" s="403" t="s">
        <v>1434</v>
      </c>
      <c r="E6096" s="403" t="s">
        <v>778</v>
      </c>
      <c r="F6096" s="403" t="s">
        <v>1375</v>
      </c>
      <c r="G6096" s="403" t="s">
        <v>1466</v>
      </c>
      <c r="H6096" s="403" t="s">
        <v>1276</v>
      </c>
      <c r="I6096" s="403">
        <v>1</v>
      </c>
      <c r="J6096" s="403" t="s">
        <v>1374</v>
      </c>
      <c r="K6096" s="403">
        <v>2304</v>
      </c>
      <c r="L6096" s="403">
        <v>1296</v>
      </c>
      <c r="M6096" s="403" t="s">
        <v>110</v>
      </c>
      <c r="N6096" s="403">
        <v>1920</v>
      </c>
      <c r="O6096" s="403">
        <v>1080</v>
      </c>
      <c r="P6096" t="str">
        <f t="shared" si="761"/>
        <v>20fps 2304x1296 - 1080p</v>
      </c>
      <c r="Q6096">
        <f t="shared" si="762"/>
        <v>28</v>
      </c>
      <c r="R6096" t="str">
        <f t="shared" si="763"/>
        <v/>
      </c>
      <c r="S6096" t="str">
        <f t="shared" si="764"/>
        <v/>
      </c>
      <c r="T6096" s="403" t="str">
        <f t="shared" si="765"/>
        <v>NDV-3503-F02</v>
      </c>
      <c r="U6096" s="403">
        <f t="shared" si="766"/>
        <v>1</v>
      </c>
      <c r="V6096" s="403" t="str">
        <f t="shared" si="767"/>
        <v>CPP_7_3</v>
      </c>
    </row>
    <row r="6097" spans="1:22">
      <c r="A6097" t="str">
        <f t="shared" si="760"/>
        <v>NDV-3503-F02</v>
      </c>
      <c r="B6097" s="403" t="s">
        <v>1433</v>
      </c>
      <c r="C6097" s="403" t="s">
        <v>582</v>
      </c>
      <c r="D6097" s="403" t="s">
        <v>1434</v>
      </c>
      <c r="E6097" s="403" t="s">
        <v>778</v>
      </c>
      <c r="F6097" s="403" t="s">
        <v>1375</v>
      </c>
      <c r="G6097" s="403" t="s">
        <v>1466</v>
      </c>
      <c r="H6097" s="403" t="s">
        <v>1276</v>
      </c>
      <c r="I6097" s="403">
        <v>1</v>
      </c>
      <c r="J6097" s="403" t="s">
        <v>1374</v>
      </c>
      <c r="K6097" s="403">
        <v>2304</v>
      </c>
      <c r="L6097" s="403">
        <v>1296</v>
      </c>
      <c r="M6097" s="403" t="s">
        <v>109</v>
      </c>
      <c r="N6097" s="403">
        <v>1280</v>
      </c>
      <c r="O6097" s="403">
        <v>720</v>
      </c>
      <c r="P6097" t="str">
        <f t="shared" si="761"/>
        <v>20fps 2304x1296 - 720p</v>
      </c>
      <c r="Q6097">
        <f t="shared" si="762"/>
        <v>28</v>
      </c>
      <c r="R6097" t="str">
        <f t="shared" si="763"/>
        <v/>
      </c>
      <c r="S6097" t="str">
        <f t="shared" si="764"/>
        <v/>
      </c>
      <c r="T6097" s="403" t="str">
        <f t="shared" si="765"/>
        <v>NDV-3503-F02</v>
      </c>
      <c r="U6097" s="403">
        <f t="shared" si="766"/>
        <v>1</v>
      </c>
      <c r="V6097" s="403" t="str">
        <f t="shared" si="767"/>
        <v>CPP_7_3</v>
      </c>
    </row>
    <row r="6098" spans="1:22">
      <c r="A6098" t="str">
        <f t="shared" si="760"/>
        <v>NDV-3503-F02</v>
      </c>
      <c r="B6098" s="403" t="s">
        <v>1433</v>
      </c>
      <c r="C6098" s="403" t="s">
        <v>582</v>
      </c>
      <c r="D6098" s="403" t="s">
        <v>1434</v>
      </c>
      <c r="E6098" s="403" t="s">
        <v>778</v>
      </c>
      <c r="F6098" s="403" t="s">
        <v>1375</v>
      </c>
      <c r="G6098" s="403" t="s">
        <v>1466</v>
      </c>
      <c r="H6098" s="403" t="s">
        <v>1276</v>
      </c>
      <c r="I6098" s="403">
        <v>1</v>
      </c>
      <c r="J6098" s="403" t="s">
        <v>1374</v>
      </c>
      <c r="K6098" s="403">
        <v>2304</v>
      </c>
      <c r="L6098" s="403">
        <v>1296</v>
      </c>
      <c r="M6098" s="403" t="s">
        <v>111</v>
      </c>
      <c r="N6098" s="403">
        <v>768</v>
      </c>
      <c r="O6098" s="403">
        <v>432</v>
      </c>
      <c r="P6098" t="str">
        <f t="shared" si="761"/>
        <v>20fps 2304x1296 - SD</v>
      </c>
      <c r="Q6098">
        <f t="shared" si="762"/>
        <v>28</v>
      </c>
      <c r="R6098" t="str">
        <f t="shared" si="763"/>
        <v/>
      </c>
      <c r="S6098" t="str">
        <f t="shared" si="764"/>
        <v/>
      </c>
      <c r="T6098" s="403" t="str">
        <f t="shared" si="765"/>
        <v>NDV-3503-F02</v>
      </c>
      <c r="U6098" s="403">
        <f t="shared" si="766"/>
        <v>1</v>
      </c>
      <c r="V6098" s="403" t="str">
        <f t="shared" si="767"/>
        <v>CPP_7_3</v>
      </c>
    </row>
    <row r="6099" spans="1:22">
      <c r="A6099" t="str">
        <f t="shared" si="760"/>
        <v>NDV-3503-F02</v>
      </c>
      <c r="B6099" s="403" t="s">
        <v>1433</v>
      </c>
      <c r="C6099" s="403" t="s">
        <v>582</v>
      </c>
      <c r="D6099" s="403" t="s">
        <v>1434</v>
      </c>
      <c r="E6099" s="403" t="s">
        <v>778</v>
      </c>
      <c r="F6099" s="403" t="s">
        <v>1375</v>
      </c>
      <c r="G6099" s="403" t="s">
        <v>1466</v>
      </c>
      <c r="H6099" s="403" t="s">
        <v>1276</v>
      </c>
      <c r="I6099" s="403">
        <v>1</v>
      </c>
      <c r="J6099" s="403" t="s">
        <v>1374</v>
      </c>
      <c r="K6099" s="403">
        <v>2304</v>
      </c>
      <c r="L6099" s="403">
        <v>1296</v>
      </c>
      <c r="M6099" s="403" t="s">
        <v>1279</v>
      </c>
      <c r="N6099" s="403">
        <v>768</v>
      </c>
      <c r="O6099" s="403">
        <v>432</v>
      </c>
      <c r="P6099" t="str">
        <f t="shared" si="761"/>
        <v>20fps 2304x1296 - SD ROI PTZ</v>
      </c>
      <c r="Q6099">
        <f t="shared" si="762"/>
        <v>28</v>
      </c>
      <c r="R6099" t="str">
        <f t="shared" si="763"/>
        <v/>
      </c>
      <c r="S6099" t="str">
        <f t="shared" si="764"/>
        <v/>
      </c>
      <c r="T6099" s="403" t="str">
        <f t="shared" si="765"/>
        <v>NDV-3503-F02</v>
      </c>
      <c r="U6099" s="403">
        <f t="shared" si="766"/>
        <v>1</v>
      </c>
      <c r="V6099" s="403" t="str">
        <f t="shared" si="767"/>
        <v>CPP_7_3</v>
      </c>
    </row>
    <row r="6100" spans="1:22">
      <c r="A6100" t="str">
        <f t="shared" si="760"/>
        <v>NDV-3503-F02</v>
      </c>
      <c r="B6100" s="403" t="s">
        <v>1433</v>
      </c>
      <c r="C6100" s="403" t="s">
        <v>582</v>
      </c>
      <c r="D6100" s="403" t="s">
        <v>1434</v>
      </c>
      <c r="E6100" s="403" t="s">
        <v>778</v>
      </c>
      <c r="F6100" s="403" t="s">
        <v>1375</v>
      </c>
      <c r="G6100" s="403" t="s">
        <v>1466</v>
      </c>
      <c r="H6100" s="403" t="s">
        <v>1276</v>
      </c>
      <c r="I6100" s="403">
        <v>1</v>
      </c>
      <c r="J6100" s="403" t="s">
        <v>1374</v>
      </c>
      <c r="K6100" s="403">
        <v>2304</v>
      </c>
      <c r="L6100" s="403">
        <v>1296</v>
      </c>
      <c r="M6100" s="403" t="s">
        <v>1285</v>
      </c>
      <c r="N6100" s="403">
        <v>1280</v>
      </c>
      <c r="O6100" s="403">
        <v>1024</v>
      </c>
      <c r="P6100" t="str">
        <f t="shared" si="761"/>
        <v>20fps 2304x1296 - 1280x1024 5:4 (cropped)</v>
      </c>
      <c r="Q6100">
        <f t="shared" si="762"/>
        <v>28</v>
      </c>
      <c r="R6100" t="str">
        <f t="shared" si="763"/>
        <v/>
      </c>
      <c r="S6100" t="str">
        <f t="shared" si="764"/>
        <v/>
      </c>
      <c r="T6100" s="403" t="str">
        <f t="shared" si="765"/>
        <v>NDV-3503-F02</v>
      </c>
      <c r="U6100" s="403">
        <f t="shared" si="766"/>
        <v>1</v>
      </c>
      <c r="V6100" s="403" t="str">
        <f t="shared" si="767"/>
        <v>CPP_7_3</v>
      </c>
    </row>
    <row r="6101" spans="1:22">
      <c r="A6101" t="str">
        <f t="shared" si="760"/>
        <v>NDV-3503-F02</v>
      </c>
      <c r="B6101" s="403" t="s">
        <v>1433</v>
      </c>
      <c r="C6101" s="403" t="s">
        <v>582</v>
      </c>
      <c r="D6101" s="403" t="s">
        <v>1434</v>
      </c>
      <c r="E6101" s="403" t="s">
        <v>778</v>
      </c>
      <c r="F6101" s="403" t="s">
        <v>1375</v>
      </c>
      <c r="G6101" s="403" t="s">
        <v>1466</v>
      </c>
      <c r="H6101" s="403" t="s">
        <v>1276</v>
      </c>
      <c r="I6101" s="403">
        <v>1</v>
      </c>
      <c r="J6101" s="403" t="s">
        <v>1374</v>
      </c>
      <c r="K6101" s="403">
        <v>2304</v>
      </c>
      <c r="L6101" s="403">
        <v>1296</v>
      </c>
      <c r="M6101" s="403" t="s">
        <v>1283</v>
      </c>
      <c r="N6101" s="403">
        <v>720</v>
      </c>
      <c r="O6101" s="403">
        <v>480</v>
      </c>
      <c r="P6101" t="str">
        <f t="shared" si="761"/>
        <v>20fps 2304x1296 - SD 4CIF resolution 4:3 format (cropped)</v>
      </c>
      <c r="Q6101">
        <f t="shared" si="762"/>
        <v>28</v>
      </c>
      <c r="R6101" t="str">
        <f t="shared" si="763"/>
        <v/>
      </c>
      <c r="S6101" t="str">
        <f t="shared" si="764"/>
        <v/>
      </c>
      <c r="T6101" s="403" t="str">
        <f t="shared" si="765"/>
        <v>NDV-3503-F02</v>
      </c>
      <c r="U6101" s="403">
        <f t="shared" si="766"/>
        <v>1</v>
      </c>
      <c r="V6101" s="403" t="str">
        <f t="shared" si="767"/>
        <v>CPP_7_3</v>
      </c>
    </row>
    <row r="6102" spans="1:22">
      <c r="A6102" t="str">
        <f t="shared" si="760"/>
        <v>NDV-3503-F02</v>
      </c>
      <c r="B6102" s="403" t="s">
        <v>1433</v>
      </c>
      <c r="C6102" s="403" t="s">
        <v>582</v>
      </c>
      <c r="D6102" s="403" t="s">
        <v>1434</v>
      </c>
      <c r="E6102" s="403" t="s">
        <v>778</v>
      </c>
      <c r="F6102" s="403" t="s">
        <v>1375</v>
      </c>
      <c r="G6102" s="403" t="s">
        <v>1466</v>
      </c>
      <c r="H6102" s="403" t="s">
        <v>1276</v>
      </c>
      <c r="I6102" s="403">
        <v>1</v>
      </c>
      <c r="J6102" s="403" t="s">
        <v>1374</v>
      </c>
      <c r="K6102" s="403">
        <v>2304</v>
      </c>
      <c r="L6102" s="403">
        <v>1296</v>
      </c>
      <c r="M6102" s="403" t="s">
        <v>1284</v>
      </c>
      <c r="N6102" s="403">
        <v>640</v>
      </c>
      <c r="O6102" s="403">
        <v>480</v>
      </c>
      <c r="P6102" t="str">
        <f t="shared" si="761"/>
        <v>20fps 2304x1296 - SD VGA (cropped)</v>
      </c>
      <c r="Q6102">
        <f t="shared" si="762"/>
        <v>28</v>
      </c>
      <c r="R6102" t="str">
        <f t="shared" si="763"/>
        <v/>
      </c>
      <c r="S6102" t="str">
        <f t="shared" si="764"/>
        <v/>
      </c>
      <c r="T6102" s="403" t="str">
        <f t="shared" si="765"/>
        <v>NDV-3503-F02</v>
      </c>
      <c r="U6102" s="403">
        <f t="shared" si="766"/>
        <v>1</v>
      </c>
      <c r="V6102" s="403" t="str">
        <f t="shared" si="767"/>
        <v>CPP_7_3</v>
      </c>
    </row>
    <row r="6103" spans="1:22">
      <c r="A6103" t="str">
        <f t="shared" si="760"/>
        <v>NDV-3503-F02</v>
      </c>
      <c r="B6103" s="403" t="s">
        <v>1433</v>
      </c>
      <c r="C6103" s="403" t="s">
        <v>582</v>
      </c>
      <c r="D6103" s="403" t="s">
        <v>1434</v>
      </c>
      <c r="E6103" s="403" t="s">
        <v>778</v>
      </c>
      <c r="F6103" s="403" t="s">
        <v>1375</v>
      </c>
      <c r="G6103" s="403" t="s">
        <v>1466</v>
      </c>
      <c r="H6103" s="403" t="s">
        <v>1276</v>
      </c>
      <c r="I6103" s="403">
        <v>1</v>
      </c>
      <c r="J6103" s="403" t="s">
        <v>1374</v>
      </c>
      <c r="K6103" s="403">
        <v>2304</v>
      </c>
      <c r="L6103" s="403">
        <v>1296</v>
      </c>
      <c r="M6103" s="403" t="s">
        <v>1280</v>
      </c>
      <c r="N6103" s="403">
        <v>2304</v>
      </c>
      <c r="O6103" s="403">
        <v>1296</v>
      </c>
      <c r="P6103" t="str">
        <f t="shared" si="761"/>
        <v>20fps 2304x1296 - copy other stream</v>
      </c>
      <c r="Q6103">
        <f t="shared" si="762"/>
        <v>28</v>
      </c>
      <c r="R6103" t="str">
        <f t="shared" si="763"/>
        <v/>
      </c>
      <c r="S6103" t="str">
        <f t="shared" si="764"/>
        <v/>
      </c>
      <c r="T6103" s="403" t="str">
        <f t="shared" si="765"/>
        <v>NDV-3503-F02</v>
      </c>
      <c r="U6103" s="403">
        <f t="shared" si="766"/>
        <v>1</v>
      </c>
      <c r="V6103" s="403" t="str">
        <f t="shared" si="767"/>
        <v>CPP_7_3</v>
      </c>
    </row>
    <row r="6104" spans="1:22">
      <c r="A6104" t="str">
        <f t="shared" si="760"/>
        <v>NDV-3503-F02</v>
      </c>
      <c r="B6104" s="403" t="s">
        <v>1433</v>
      </c>
      <c r="C6104" s="403" t="s">
        <v>582</v>
      </c>
      <c r="D6104" s="403" t="s">
        <v>1434</v>
      </c>
      <c r="E6104" s="403" t="s">
        <v>778</v>
      </c>
      <c r="F6104" s="403" t="s">
        <v>1375</v>
      </c>
      <c r="G6104" s="403" t="s">
        <v>1466</v>
      </c>
      <c r="H6104" s="403" t="s">
        <v>1276</v>
      </c>
      <c r="I6104" s="403">
        <v>1</v>
      </c>
      <c r="J6104" s="403" t="s">
        <v>110</v>
      </c>
      <c r="K6104" s="403">
        <v>1920</v>
      </c>
      <c r="L6104" s="403">
        <v>1080</v>
      </c>
      <c r="M6104" s="403" t="s">
        <v>111</v>
      </c>
      <c r="N6104" s="403">
        <v>768</v>
      </c>
      <c r="O6104" s="403">
        <v>432</v>
      </c>
      <c r="P6104" t="str">
        <f t="shared" si="761"/>
        <v>20fps 1080p - SD</v>
      </c>
      <c r="Q6104">
        <f t="shared" si="762"/>
        <v>28</v>
      </c>
      <c r="R6104" t="str">
        <f t="shared" si="763"/>
        <v/>
      </c>
      <c r="S6104" t="str">
        <f t="shared" si="764"/>
        <v/>
      </c>
      <c r="T6104" s="403" t="str">
        <f t="shared" si="765"/>
        <v>NDV-3503-F02</v>
      </c>
      <c r="U6104" s="403">
        <f t="shared" si="766"/>
        <v>1</v>
      </c>
      <c r="V6104" s="403" t="str">
        <f t="shared" si="767"/>
        <v>CPP_7_3</v>
      </c>
    </row>
    <row r="6105" spans="1:22">
      <c r="A6105" t="str">
        <f t="shared" si="760"/>
        <v>NDV-3503-F02</v>
      </c>
      <c r="B6105" s="403" t="s">
        <v>1433</v>
      </c>
      <c r="C6105" s="403" t="s">
        <v>582</v>
      </c>
      <c r="D6105" s="403" t="s">
        <v>1434</v>
      </c>
      <c r="E6105" s="403" t="s">
        <v>778</v>
      </c>
      <c r="F6105" s="403" t="s">
        <v>1375</v>
      </c>
      <c r="G6105" s="403" t="s">
        <v>1466</v>
      </c>
      <c r="H6105" s="403" t="s">
        <v>1276</v>
      </c>
      <c r="I6105" s="403">
        <v>1</v>
      </c>
      <c r="J6105" s="403" t="s">
        <v>110</v>
      </c>
      <c r="K6105" s="403">
        <v>1920</v>
      </c>
      <c r="L6105" s="403">
        <v>1080</v>
      </c>
      <c r="M6105" s="403" t="s">
        <v>110</v>
      </c>
      <c r="N6105" s="403">
        <v>1920</v>
      </c>
      <c r="O6105" s="403">
        <v>1080</v>
      </c>
      <c r="P6105" t="str">
        <f t="shared" si="761"/>
        <v>20fps 1080p - 1080p</v>
      </c>
      <c r="Q6105">
        <f t="shared" si="762"/>
        <v>28</v>
      </c>
      <c r="R6105" t="str">
        <f t="shared" si="763"/>
        <v/>
      </c>
      <c r="S6105" t="str">
        <f t="shared" si="764"/>
        <v/>
      </c>
      <c r="T6105" s="403" t="str">
        <f t="shared" si="765"/>
        <v>NDV-3503-F02</v>
      </c>
      <c r="U6105" s="403">
        <f t="shared" si="766"/>
        <v>1</v>
      </c>
      <c r="V6105" s="403" t="str">
        <f t="shared" si="767"/>
        <v>CPP_7_3</v>
      </c>
    </row>
    <row r="6106" spans="1:22">
      <c r="A6106" t="str">
        <f t="shared" si="760"/>
        <v>NDV-3503-F02</v>
      </c>
      <c r="B6106" s="403" t="s">
        <v>1433</v>
      </c>
      <c r="C6106" s="403" t="s">
        <v>582</v>
      </c>
      <c r="D6106" s="403" t="s">
        <v>1434</v>
      </c>
      <c r="E6106" s="403" t="s">
        <v>778</v>
      </c>
      <c r="F6106" s="403" t="s">
        <v>1375</v>
      </c>
      <c r="G6106" s="403" t="s">
        <v>1466</v>
      </c>
      <c r="H6106" s="403" t="s">
        <v>1276</v>
      </c>
      <c r="I6106" s="403">
        <v>1</v>
      </c>
      <c r="J6106" s="403" t="s">
        <v>110</v>
      </c>
      <c r="K6106" s="403">
        <v>1920</v>
      </c>
      <c r="L6106" s="403">
        <v>1080</v>
      </c>
      <c r="M6106" s="403" t="s">
        <v>109</v>
      </c>
      <c r="N6106" s="403">
        <v>1280</v>
      </c>
      <c r="O6106" s="403">
        <v>720</v>
      </c>
      <c r="P6106" t="str">
        <f t="shared" si="761"/>
        <v>20fps 1080p - 720p</v>
      </c>
      <c r="Q6106">
        <f t="shared" si="762"/>
        <v>28</v>
      </c>
      <c r="R6106" t="str">
        <f t="shared" si="763"/>
        <v/>
      </c>
      <c r="S6106" t="str">
        <f t="shared" si="764"/>
        <v/>
      </c>
      <c r="T6106" s="403" t="str">
        <f t="shared" si="765"/>
        <v>NDV-3503-F02</v>
      </c>
      <c r="U6106" s="403">
        <f t="shared" si="766"/>
        <v>1</v>
      </c>
      <c r="V6106" s="403" t="str">
        <f t="shared" si="767"/>
        <v>CPP_7_3</v>
      </c>
    </row>
    <row r="6107" spans="1:22">
      <c r="A6107" t="str">
        <f t="shared" si="760"/>
        <v>NDV-3503-F02</v>
      </c>
      <c r="B6107" s="403" t="s">
        <v>1433</v>
      </c>
      <c r="C6107" s="403" t="s">
        <v>582</v>
      </c>
      <c r="D6107" s="403" t="s">
        <v>1434</v>
      </c>
      <c r="E6107" s="403" t="s">
        <v>778</v>
      </c>
      <c r="F6107" s="403" t="s">
        <v>1375</v>
      </c>
      <c r="G6107" s="403" t="s">
        <v>1466</v>
      </c>
      <c r="H6107" s="403" t="s">
        <v>1276</v>
      </c>
      <c r="I6107" s="403">
        <v>1</v>
      </c>
      <c r="J6107" s="403" t="s">
        <v>110</v>
      </c>
      <c r="K6107" s="403">
        <v>1920</v>
      </c>
      <c r="L6107" s="403">
        <v>1080</v>
      </c>
      <c r="M6107" s="403" t="s">
        <v>1285</v>
      </c>
      <c r="N6107" s="403">
        <v>1280</v>
      </c>
      <c r="O6107" s="403">
        <v>1024</v>
      </c>
      <c r="P6107" t="str">
        <f t="shared" si="761"/>
        <v>20fps 1080p - 1280x1024 5:4 (cropped)</v>
      </c>
      <c r="Q6107">
        <f t="shared" si="762"/>
        <v>28</v>
      </c>
      <c r="R6107" t="str">
        <f t="shared" si="763"/>
        <v/>
      </c>
      <c r="S6107" t="str">
        <f t="shared" si="764"/>
        <v/>
      </c>
      <c r="T6107" s="403" t="str">
        <f t="shared" si="765"/>
        <v>NDV-3503-F02</v>
      </c>
      <c r="U6107" s="403">
        <f t="shared" si="766"/>
        <v>1</v>
      </c>
      <c r="V6107" s="403" t="str">
        <f t="shared" si="767"/>
        <v>CPP_7_3</v>
      </c>
    </row>
    <row r="6108" spans="1:22">
      <c r="A6108" t="str">
        <f t="shared" si="760"/>
        <v>NDV-3503-F02</v>
      </c>
      <c r="B6108" s="403" t="s">
        <v>1433</v>
      </c>
      <c r="C6108" s="403" t="s">
        <v>582</v>
      </c>
      <c r="D6108" s="403" t="s">
        <v>1434</v>
      </c>
      <c r="E6108" s="403" t="s">
        <v>778</v>
      </c>
      <c r="F6108" s="403" t="s">
        <v>1375</v>
      </c>
      <c r="G6108" s="403" t="s">
        <v>1466</v>
      </c>
      <c r="H6108" s="403" t="s">
        <v>1276</v>
      </c>
      <c r="I6108" s="403">
        <v>1</v>
      </c>
      <c r="J6108" s="403" t="s">
        <v>110</v>
      </c>
      <c r="K6108" s="403">
        <v>1920</v>
      </c>
      <c r="L6108" s="403">
        <v>1080</v>
      </c>
      <c r="M6108" s="403" t="s">
        <v>1279</v>
      </c>
      <c r="N6108" s="403">
        <v>768</v>
      </c>
      <c r="O6108" s="403">
        <v>432</v>
      </c>
      <c r="P6108" t="str">
        <f t="shared" si="761"/>
        <v>20fps 1080p - SD ROI PTZ</v>
      </c>
      <c r="Q6108">
        <f t="shared" si="762"/>
        <v>28</v>
      </c>
      <c r="R6108" t="str">
        <f t="shared" si="763"/>
        <v/>
      </c>
      <c r="S6108" t="str">
        <f t="shared" si="764"/>
        <v/>
      </c>
      <c r="T6108" s="403" t="str">
        <f t="shared" si="765"/>
        <v>NDV-3503-F02</v>
      </c>
      <c r="U6108" s="403">
        <f t="shared" si="766"/>
        <v>1</v>
      </c>
      <c r="V6108" s="403" t="str">
        <f t="shared" si="767"/>
        <v>CPP_7_3</v>
      </c>
    </row>
    <row r="6109" spans="1:22">
      <c r="A6109" t="str">
        <f t="shared" si="760"/>
        <v>NDV-3503-F02</v>
      </c>
      <c r="B6109" s="403" t="s">
        <v>1433</v>
      </c>
      <c r="C6109" s="403" t="s">
        <v>582</v>
      </c>
      <c r="D6109" s="403" t="s">
        <v>1434</v>
      </c>
      <c r="E6109" s="403" t="s">
        <v>778</v>
      </c>
      <c r="F6109" s="403" t="s">
        <v>1375</v>
      </c>
      <c r="G6109" s="403" t="s">
        <v>1466</v>
      </c>
      <c r="H6109" s="403" t="s">
        <v>1276</v>
      </c>
      <c r="I6109" s="403">
        <v>1</v>
      </c>
      <c r="J6109" s="403" t="s">
        <v>110</v>
      </c>
      <c r="K6109" s="403">
        <v>1920</v>
      </c>
      <c r="L6109" s="403">
        <v>1080</v>
      </c>
      <c r="M6109" s="403" t="s">
        <v>1283</v>
      </c>
      <c r="N6109" s="403">
        <v>720</v>
      </c>
      <c r="O6109" s="403">
        <v>480</v>
      </c>
      <c r="P6109" t="str">
        <f t="shared" si="761"/>
        <v>20fps 1080p - SD 4CIF resolution 4:3 format (cropped)</v>
      </c>
      <c r="Q6109">
        <f t="shared" si="762"/>
        <v>28</v>
      </c>
      <c r="R6109" t="str">
        <f t="shared" si="763"/>
        <v/>
      </c>
      <c r="S6109" t="str">
        <f t="shared" si="764"/>
        <v/>
      </c>
      <c r="T6109" s="403" t="str">
        <f t="shared" si="765"/>
        <v>NDV-3503-F02</v>
      </c>
      <c r="U6109" s="403">
        <f t="shared" si="766"/>
        <v>1</v>
      </c>
      <c r="V6109" s="403" t="str">
        <f t="shared" si="767"/>
        <v>CPP_7_3</v>
      </c>
    </row>
    <row r="6110" spans="1:22">
      <c r="A6110" t="str">
        <f t="shared" si="760"/>
        <v>NDV-3503-F02</v>
      </c>
      <c r="B6110" s="403" t="s">
        <v>1433</v>
      </c>
      <c r="C6110" s="403" t="s">
        <v>582</v>
      </c>
      <c r="D6110" s="403" t="s">
        <v>1434</v>
      </c>
      <c r="E6110" s="403" t="s">
        <v>778</v>
      </c>
      <c r="F6110" s="403" t="s">
        <v>1375</v>
      </c>
      <c r="G6110" s="403" t="s">
        <v>1466</v>
      </c>
      <c r="H6110" s="403" t="s">
        <v>1276</v>
      </c>
      <c r="I6110" s="403">
        <v>1</v>
      </c>
      <c r="J6110" s="403" t="s">
        <v>110</v>
      </c>
      <c r="K6110" s="403">
        <v>1920</v>
      </c>
      <c r="L6110" s="403">
        <v>1080</v>
      </c>
      <c r="M6110" s="403" t="s">
        <v>1284</v>
      </c>
      <c r="N6110" s="403">
        <v>640</v>
      </c>
      <c r="O6110" s="403">
        <v>480</v>
      </c>
      <c r="P6110" t="str">
        <f t="shared" si="761"/>
        <v>20fps 1080p - SD VGA (cropped)</v>
      </c>
      <c r="Q6110">
        <f t="shared" si="762"/>
        <v>28</v>
      </c>
      <c r="R6110" t="str">
        <f t="shared" si="763"/>
        <v/>
      </c>
      <c r="S6110" t="str">
        <f t="shared" si="764"/>
        <v/>
      </c>
      <c r="T6110" s="403" t="str">
        <f t="shared" si="765"/>
        <v>NDV-3503-F02</v>
      </c>
      <c r="U6110" s="403">
        <f t="shared" si="766"/>
        <v>1</v>
      </c>
      <c r="V6110" s="403" t="str">
        <f t="shared" si="767"/>
        <v>CPP_7_3</v>
      </c>
    </row>
    <row r="6111" spans="1:22">
      <c r="A6111" t="str">
        <f t="shared" si="760"/>
        <v>NDV-3503-F02</v>
      </c>
      <c r="B6111" s="403" t="s">
        <v>1433</v>
      </c>
      <c r="C6111" s="403" t="s">
        <v>582</v>
      </c>
      <c r="D6111" s="403" t="s">
        <v>1434</v>
      </c>
      <c r="E6111" s="403" t="s">
        <v>778</v>
      </c>
      <c r="F6111" s="403" t="s">
        <v>1375</v>
      </c>
      <c r="G6111" s="403" t="s">
        <v>1466</v>
      </c>
      <c r="H6111" s="403" t="s">
        <v>1276</v>
      </c>
      <c r="I6111" s="403">
        <v>1</v>
      </c>
      <c r="J6111" s="403" t="s">
        <v>109</v>
      </c>
      <c r="K6111" s="403">
        <v>1280</v>
      </c>
      <c r="L6111" s="403">
        <v>720</v>
      </c>
      <c r="M6111" s="403" t="s">
        <v>109</v>
      </c>
      <c r="N6111" s="403">
        <v>1280</v>
      </c>
      <c r="O6111" s="403">
        <v>720</v>
      </c>
      <c r="P6111" t="str">
        <f t="shared" si="761"/>
        <v>20fps 720p - 720p</v>
      </c>
      <c r="Q6111">
        <f t="shared" si="762"/>
        <v>28</v>
      </c>
      <c r="R6111" t="str">
        <f t="shared" si="763"/>
        <v/>
      </c>
      <c r="S6111" t="str">
        <f t="shared" si="764"/>
        <v/>
      </c>
      <c r="T6111" s="403" t="str">
        <f t="shared" si="765"/>
        <v>NDV-3503-F02</v>
      </c>
      <c r="U6111" s="403">
        <f t="shared" si="766"/>
        <v>1</v>
      </c>
      <c r="V6111" s="403" t="str">
        <f t="shared" si="767"/>
        <v>CPP_7_3</v>
      </c>
    </row>
    <row r="6112" spans="1:22">
      <c r="A6112" t="str">
        <f t="shared" si="760"/>
        <v>NDV-3503-F02</v>
      </c>
      <c r="B6112" s="403" t="s">
        <v>1433</v>
      </c>
      <c r="C6112" s="403" t="s">
        <v>582</v>
      </c>
      <c r="D6112" s="403" t="s">
        <v>1434</v>
      </c>
      <c r="E6112" s="403" t="s">
        <v>778</v>
      </c>
      <c r="F6112" s="403" t="s">
        <v>1375</v>
      </c>
      <c r="G6112" s="403" t="s">
        <v>1466</v>
      </c>
      <c r="H6112" s="403" t="s">
        <v>1276</v>
      </c>
      <c r="I6112" s="403">
        <v>1</v>
      </c>
      <c r="J6112" s="403" t="s">
        <v>109</v>
      </c>
      <c r="K6112" s="403">
        <v>1280</v>
      </c>
      <c r="L6112" s="403">
        <v>720</v>
      </c>
      <c r="M6112" s="403" t="s">
        <v>111</v>
      </c>
      <c r="N6112" s="403">
        <v>768</v>
      </c>
      <c r="O6112" s="403">
        <v>432</v>
      </c>
      <c r="P6112" t="str">
        <f t="shared" si="761"/>
        <v>20fps 720p - SD</v>
      </c>
      <c r="Q6112">
        <f t="shared" si="762"/>
        <v>28</v>
      </c>
      <c r="R6112" t="str">
        <f t="shared" si="763"/>
        <v/>
      </c>
      <c r="S6112" t="str">
        <f t="shared" si="764"/>
        <v/>
      </c>
      <c r="T6112" s="403" t="str">
        <f t="shared" si="765"/>
        <v>NDV-3503-F02</v>
      </c>
      <c r="U6112" s="403">
        <f t="shared" si="766"/>
        <v>1</v>
      </c>
      <c r="V6112" s="403" t="str">
        <f t="shared" si="767"/>
        <v>CPP_7_3</v>
      </c>
    </row>
    <row r="6113" spans="1:22">
      <c r="A6113" t="str">
        <f t="shared" si="760"/>
        <v>NDV-3503-F02</v>
      </c>
      <c r="B6113" s="403" t="s">
        <v>1433</v>
      </c>
      <c r="C6113" s="403" t="s">
        <v>582</v>
      </c>
      <c r="D6113" s="403" t="s">
        <v>1434</v>
      </c>
      <c r="E6113" s="403" t="s">
        <v>778</v>
      </c>
      <c r="F6113" s="403" t="s">
        <v>1375</v>
      </c>
      <c r="G6113" s="403" t="s">
        <v>1466</v>
      </c>
      <c r="H6113" s="403" t="s">
        <v>1276</v>
      </c>
      <c r="I6113" s="403">
        <v>1</v>
      </c>
      <c r="J6113" s="403" t="s">
        <v>109</v>
      </c>
      <c r="K6113" s="403">
        <v>1280</v>
      </c>
      <c r="L6113" s="403">
        <v>720</v>
      </c>
      <c r="M6113" s="403" t="s">
        <v>1279</v>
      </c>
      <c r="N6113" s="403">
        <v>768</v>
      </c>
      <c r="O6113" s="403">
        <v>432</v>
      </c>
      <c r="P6113" t="str">
        <f t="shared" si="761"/>
        <v>20fps 720p - SD ROI PTZ</v>
      </c>
      <c r="Q6113">
        <f t="shared" si="762"/>
        <v>28</v>
      </c>
      <c r="R6113" t="str">
        <f t="shared" si="763"/>
        <v/>
      </c>
      <c r="S6113" t="str">
        <f t="shared" si="764"/>
        <v/>
      </c>
      <c r="T6113" s="403" t="str">
        <f t="shared" si="765"/>
        <v>NDV-3503-F02</v>
      </c>
      <c r="U6113" s="403">
        <f t="shared" si="766"/>
        <v>1</v>
      </c>
      <c r="V6113" s="403" t="str">
        <f t="shared" si="767"/>
        <v>CPP_7_3</v>
      </c>
    </row>
    <row r="6114" spans="1:22">
      <c r="A6114" t="str">
        <f t="shared" si="760"/>
        <v>NDV-3503-F02</v>
      </c>
      <c r="B6114" s="403" t="s">
        <v>1433</v>
      </c>
      <c r="C6114" s="403" t="s">
        <v>582</v>
      </c>
      <c r="D6114" s="403" t="s">
        <v>1434</v>
      </c>
      <c r="E6114" s="403" t="s">
        <v>778</v>
      </c>
      <c r="F6114" s="403" t="s">
        <v>1375</v>
      </c>
      <c r="G6114" s="403" t="s">
        <v>1466</v>
      </c>
      <c r="H6114" s="403" t="s">
        <v>1276</v>
      </c>
      <c r="I6114" s="403">
        <v>1</v>
      </c>
      <c r="J6114" s="403" t="s">
        <v>109</v>
      </c>
      <c r="K6114" s="403">
        <v>1280</v>
      </c>
      <c r="L6114" s="403">
        <v>720</v>
      </c>
      <c r="M6114" s="403" t="s">
        <v>1283</v>
      </c>
      <c r="N6114" s="403">
        <v>720</v>
      </c>
      <c r="O6114" s="403">
        <v>480</v>
      </c>
      <c r="P6114" t="str">
        <f t="shared" si="761"/>
        <v>20fps 720p - SD 4CIF resolution 4:3 format (cropped)</v>
      </c>
      <c r="Q6114">
        <f t="shared" si="762"/>
        <v>28</v>
      </c>
      <c r="R6114" t="str">
        <f t="shared" si="763"/>
        <v/>
      </c>
      <c r="S6114" t="str">
        <f t="shared" si="764"/>
        <v/>
      </c>
      <c r="T6114" s="403" t="str">
        <f t="shared" si="765"/>
        <v>NDV-3503-F02</v>
      </c>
      <c r="U6114" s="403">
        <f t="shared" si="766"/>
        <v>1</v>
      </c>
      <c r="V6114" s="403" t="str">
        <f t="shared" si="767"/>
        <v>CPP_7_3</v>
      </c>
    </row>
    <row r="6115" spans="1:22">
      <c r="A6115" t="str">
        <f t="shared" si="760"/>
        <v>NDV-3503-F02</v>
      </c>
      <c r="B6115" s="403" t="s">
        <v>1433</v>
      </c>
      <c r="C6115" s="403" t="s">
        <v>582</v>
      </c>
      <c r="D6115" s="403" t="s">
        <v>1434</v>
      </c>
      <c r="E6115" s="403" t="s">
        <v>778</v>
      </c>
      <c r="F6115" s="403" t="s">
        <v>1375</v>
      </c>
      <c r="G6115" s="403" t="s">
        <v>1466</v>
      </c>
      <c r="H6115" s="403" t="s">
        <v>1276</v>
      </c>
      <c r="I6115" s="403">
        <v>1</v>
      </c>
      <c r="J6115" s="403" t="s">
        <v>109</v>
      </c>
      <c r="K6115" s="403">
        <v>1280</v>
      </c>
      <c r="L6115" s="403">
        <v>720</v>
      </c>
      <c r="M6115" s="403" t="s">
        <v>1284</v>
      </c>
      <c r="N6115" s="403">
        <v>640</v>
      </c>
      <c r="O6115" s="403">
        <v>480</v>
      </c>
      <c r="P6115" t="str">
        <f t="shared" si="761"/>
        <v>20fps 720p - SD VGA (cropped)</v>
      </c>
      <c r="Q6115">
        <f t="shared" si="762"/>
        <v>28</v>
      </c>
      <c r="R6115" t="str">
        <f t="shared" si="763"/>
        <v/>
      </c>
      <c r="S6115" t="str">
        <f t="shared" si="764"/>
        <v/>
      </c>
      <c r="T6115" s="403" t="str">
        <f t="shared" si="765"/>
        <v>NDV-3503-F02</v>
      </c>
      <c r="U6115" s="403">
        <f t="shared" si="766"/>
        <v>1</v>
      </c>
      <c r="V6115" s="403" t="str">
        <f t="shared" si="767"/>
        <v>CPP_7_3</v>
      </c>
    </row>
    <row r="6116" spans="1:22">
      <c r="A6116" t="str">
        <f t="shared" si="760"/>
        <v>NDV-3503-F02</v>
      </c>
      <c r="B6116" s="403" t="s">
        <v>1433</v>
      </c>
      <c r="C6116" s="403" t="s">
        <v>582</v>
      </c>
      <c r="D6116" s="403" t="s">
        <v>1434</v>
      </c>
      <c r="E6116" s="403" t="s">
        <v>778</v>
      </c>
      <c r="F6116" s="403" t="s">
        <v>1375</v>
      </c>
      <c r="G6116" s="403" t="s">
        <v>1466</v>
      </c>
      <c r="H6116" s="403" t="s">
        <v>1281</v>
      </c>
      <c r="I6116" s="403">
        <v>1</v>
      </c>
      <c r="J6116" s="403" t="s">
        <v>1377</v>
      </c>
      <c r="K6116" s="403">
        <v>2720</v>
      </c>
      <c r="L6116" s="403">
        <v>1528</v>
      </c>
      <c r="M6116" s="403" t="s">
        <v>1280</v>
      </c>
      <c r="N6116" s="403">
        <v>2720</v>
      </c>
      <c r="O6116" s="403">
        <v>1528</v>
      </c>
      <c r="P6116" t="str">
        <f t="shared" si="761"/>
        <v>20fps 2720x1530 - copy other stream</v>
      </c>
      <c r="Q6116">
        <f t="shared" si="762"/>
        <v>28</v>
      </c>
      <c r="R6116" t="str">
        <f t="shared" si="763"/>
        <v/>
      </c>
      <c r="S6116" t="str">
        <f t="shared" si="764"/>
        <v/>
      </c>
      <c r="T6116" s="403" t="str">
        <f t="shared" si="765"/>
        <v>NDV-3503-F02</v>
      </c>
      <c r="U6116" s="403">
        <f t="shared" si="766"/>
        <v>1</v>
      </c>
      <c r="V6116" s="403" t="str">
        <f t="shared" si="767"/>
        <v>CPP_7_3</v>
      </c>
    </row>
    <row r="6117" spans="1:22">
      <c r="A6117" t="str">
        <f t="shared" si="760"/>
        <v>NDV-3503-F02</v>
      </c>
      <c r="B6117" s="403" t="s">
        <v>1433</v>
      </c>
      <c r="C6117" s="403" t="s">
        <v>582</v>
      </c>
      <c r="D6117" s="403" t="s">
        <v>1434</v>
      </c>
      <c r="E6117" s="403" t="s">
        <v>778</v>
      </c>
      <c r="F6117" s="403" t="s">
        <v>1375</v>
      </c>
      <c r="G6117" s="403" t="s">
        <v>1466</v>
      </c>
      <c r="H6117" s="403" t="s">
        <v>1281</v>
      </c>
      <c r="I6117" s="403">
        <v>1</v>
      </c>
      <c r="J6117" s="403" t="s">
        <v>1374</v>
      </c>
      <c r="K6117" s="403">
        <v>2304</v>
      </c>
      <c r="L6117" s="403">
        <v>1296</v>
      </c>
      <c r="M6117" s="403" t="s">
        <v>109</v>
      </c>
      <c r="N6117" s="403">
        <v>1280</v>
      </c>
      <c r="O6117" s="403">
        <v>720</v>
      </c>
      <c r="P6117" t="str">
        <f t="shared" si="761"/>
        <v>20fps 2304x1296 - 720p</v>
      </c>
      <c r="Q6117">
        <f t="shared" si="762"/>
        <v>28</v>
      </c>
      <c r="R6117" t="str">
        <f t="shared" si="763"/>
        <v/>
      </c>
      <c r="S6117" t="str">
        <f t="shared" si="764"/>
        <v/>
      </c>
      <c r="T6117" s="403" t="str">
        <f t="shared" si="765"/>
        <v>NDV-3503-F02</v>
      </c>
      <c r="U6117" s="403">
        <f t="shared" si="766"/>
        <v>1</v>
      </c>
      <c r="V6117" s="403" t="str">
        <f t="shared" si="767"/>
        <v>CPP_7_3</v>
      </c>
    </row>
    <row r="6118" spans="1:22">
      <c r="A6118" t="str">
        <f t="shared" si="760"/>
        <v>NDV-3503-F02</v>
      </c>
      <c r="B6118" s="403" t="s">
        <v>1433</v>
      </c>
      <c r="C6118" s="403" t="s">
        <v>582</v>
      </c>
      <c r="D6118" s="403" t="s">
        <v>1434</v>
      </c>
      <c r="E6118" s="403" t="s">
        <v>778</v>
      </c>
      <c r="F6118" s="403" t="s">
        <v>1375</v>
      </c>
      <c r="G6118" s="403" t="s">
        <v>1466</v>
      </c>
      <c r="H6118" s="403" t="s">
        <v>1281</v>
      </c>
      <c r="I6118" s="403">
        <v>1</v>
      </c>
      <c r="J6118" s="403" t="s">
        <v>1374</v>
      </c>
      <c r="K6118" s="403">
        <v>2304</v>
      </c>
      <c r="L6118" s="403">
        <v>1296</v>
      </c>
      <c r="M6118" s="403" t="s">
        <v>111</v>
      </c>
      <c r="N6118" s="403">
        <v>768</v>
      </c>
      <c r="O6118" s="403">
        <v>432</v>
      </c>
      <c r="P6118" t="str">
        <f t="shared" si="761"/>
        <v>20fps 2304x1296 - SD</v>
      </c>
      <c r="Q6118">
        <f t="shared" si="762"/>
        <v>28</v>
      </c>
      <c r="R6118" t="str">
        <f t="shared" si="763"/>
        <v/>
      </c>
      <c r="S6118" t="str">
        <f t="shared" si="764"/>
        <v/>
      </c>
      <c r="T6118" s="403" t="str">
        <f t="shared" si="765"/>
        <v>NDV-3503-F02</v>
      </c>
      <c r="U6118" s="403">
        <f t="shared" si="766"/>
        <v>1</v>
      </c>
      <c r="V6118" s="403" t="str">
        <f t="shared" si="767"/>
        <v>CPP_7_3</v>
      </c>
    </row>
    <row r="6119" spans="1:22">
      <c r="A6119" t="str">
        <f t="shared" si="760"/>
        <v>NDV-3503-F02</v>
      </c>
      <c r="B6119" s="403" t="s">
        <v>1433</v>
      </c>
      <c r="C6119" s="403" t="s">
        <v>582</v>
      </c>
      <c r="D6119" s="403" t="s">
        <v>1434</v>
      </c>
      <c r="E6119" s="403" t="s">
        <v>778</v>
      </c>
      <c r="F6119" s="403" t="s">
        <v>1375</v>
      </c>
      <c r="G6119" s="403" t="s">
        <v>1466</v>
      </c>
      <c r="H6119" s="403" t="s">
        <v>1281</v>
      </c>
      <c r="I6119" s="403">
        <v>1</v>
      </c>
      <c r="J6119" s="403" t="s">
        <v>1374</v>
      </c>
      <c r="K6119" s="403">
        <v>2304</v>
      </c>
      <c r="L6119" s="403">
        <v>1296</v>
      </c>
      <c r="M6119" s="403" t="s">
        <v>1279</v>
      </c>
      <c r="N6119" s="403">
        <v>768</v>
      </c>
      <c r="O6119" s="403">
        <v>432</v>
      </c>
      <c r="P6119" t="str">
        <f t="shared" si="761"/>
        <v>20fps 2304x1296 - SD ROI PTZ</v>
      </c>
      <c r="Q6119">
        <f t="shared" si="762"/>
        <v>28</v>
      </c>
      <c r="R6119" t="str">
        <f t="shared" si="763"/>
        <v/>
      </c>
      <c r="S6119" t="str">
        <f t="shared" si="764"/>
        <v/>
      </c>
      <c r="T6119" s="403" t="str">
        <f t="shared" si="765"/>
        <v>NDV-3503-F02</v>
      </c>
      <c r="U6119" s="403">
        <f t="shared" si="766"/>
        <v>1</v>
      </c>
      <c r="V6119" s="403" t="str">
        <f t="shared" si="767"/>
        <v>CPP_7_3</v>
      </c>
    </row>
    <row r="6120" spans="1:22">
      <c r="A6120" t="str">
        <f t="shared" si="760"/>
        <v>NDV-3503-F02</v>
      </c>
      <c r="B6120" s="403" t="s">
        <v>1433</v>
      </c>
      <c r="C6120" s="403" t="s">
        <v>582</v>
      </c>
      <c r="D6120" s="403" t="s">
        <v>1434</v>
      </c>
      <c r="E6120" s="403" t="s">
        <v>778</v>
      </c>
      <c r="F6120" s="403" t="s">
        <v>1375</v>
      </c>
      <c r="G6120" s="403" t="s">
        <v>1466</v>
      </c>
      <c r="H6120" s="403" t="s">
        <v>1281</v>
      </c>
      <c r="I6120" s="403">
        <v>1</v>
      </c>
      <c r="J6120" s="403" t="s">
        <v>1374</v>
      </c>
      <c r="K6120" s="403">
        <v>2304</v>
      </c>
      <c r="L6120" s="403">
        <v>1296</v>
      </c>
      <c r="M6120" s="403" t="s">
        <v>1285</v>
      </c>
      <c r="N6120" s="403">
        <v>1280</v>
      </c>
      <c r="O6120" s="403">
        <v>1024</v>
      </c>
      <c r="P6120" t="str">
        <f t="shared" si="761"/>
        <v>20fps 2304x1296 - 1280x1024 5:4 (cropped)</v>
      </c>
      <c r="Q6120">
        <f t="shared" si="762"/>
        <v>28</v>
      </c>
      <c r="R6120" t="str">
        <f t="shared" si="763"/>
        <v/>
      </c>
      <c r="S6120" t="str">
        <f t="shared" si="764"/>
        <v/>
      </c>
      <c r="T6120" s="403" t="str">
        <f t="shared" si="765"/>
        <v>NDV-3503-F02</v>
      </c>
      <c r="U6120" s="403">
        <f t="shared" si="766"/>
        <v>1</v>
      </c>
      <c r="V6120" s="403" t="str">
        <f t="shared" si="767"/>
        <v>CPP_7_3</v>
      </c>
    </row>
    <row r="6121" spans="1:22">
      <c r="A6121" t="str">
        <f t="shared" si="760"/>
        <v>NDV-3503-F02</v>
      </c>
      <c r="B6121" s="403" t="s">
        <v>1433</v>
      </c>
      <c r="C6121" s="403" t="s">
        <v>582</v>
      </c>
      <c r="D6121" s="403" t="s">
        <v>1434</v>
      </c>
      <c r="E6121" s="403" t="s">
        <v>778</v>
      </c>
      <c r="F6121" s="403" t="s">
        <v>1375</v>
      </c>
      <c r="G6121" s="403" t="s">
        <v>1466</v>
      </c>
      <c r="H6121" s="403" t="s">
        <v>1281</v>
      </c>
      <c r="I6121" s="403">
        <v>1</v>
      </c>
      <c r="J6121" s="403" t="s">
        <v>1374</v>
      </c>
      <c r="K6121" s="403">
        <v>2304</v>
      </c>
      <c r="L6121" s="403">
        <v>1296</v>
      </c>
      <c r="M6121" s="403" t="s">
        <v>1283</v>
      </c>
      <c r="N6121" s="403">
        <v>720</v>
      </c>
      <c r="O6121" s="403">
        <v>480</v>
      </c>
      <c r="P6121" t="str">
        <f t="shared" si="761"/>
        <v>20fps 2304x1296 - SD 4CIF resolution 4:3 format (cropped)</v>
      </c>
      <c r="Q6121">
        <f t="shared" si="762"/>
        <v>28</v>
      </c>
      <c r="R6121" t="str">
        <f t="shared" si="763"/>
        <v/>
      </c>
      <c r="S6121" t="str">
        <f t="shared" si="764"/>
        <v/>
      </c>
      <c r="T6121" s="403" t="str">
        <f t="shared" si="765"/>
        <v>NDV-3503-F02</v>
      </c>
      <c r="U6121" s="403">
        <f t="shared" si="766"/>
        <v>1</v>
      </c>
      <c r="V6121" s="403" t="str">
        <f t="shared" si="767"/>
        <v>CPP_7_3</v>
      </c>
    </row>
    <row r="6122" spans="1:22">
      <c r="A6122" t="str">
        <f t="shared" si="760"/>
        <v>NDV-3503-F02</v>
      </c>
      <c r="B6122" s="403" t="s">
        <v>1433</v>
      </c>
      <c r="C6122" s="403" t="s">
        <v>582</v>
      </c>
      <c r="D6122" s="403" t="s">
        <v>1434</v>
      </c>
      <c r="E6122" s="403" t="s">
        <v>778</v>
      </c>
      <c r="F6122" s="403" t="s">
        <v>1375</v>
      </c>
      <c r="G6122" s="403" t="s">
        <v>1466</v>
      </c>
      <c r="H6122" s="403" t="s">
        <v>1281</v>
      </c>
      <c r="I6122" s="403">
        <v>1</v>
      </c>
      <c r="J6122" s="403" t="s">
        <v>1374</v>
      </c>
      <c r="K6122" s="403">
        <v>2304</v>
      </c>
      <c r="L6122" s="403">
        <v>1296</v>
      </c>
      <c r="M6122" s="403" t="s">
        <v>1284</v>
      </c>
      <c r="N6122" s="403">
        <v>640</v>
      </c>
      <c r="O6122" s="403">
        <v>480</v>
      </c>
      <c r="P6122" t="str">
        <f t="shared" si="761"/>
        <v>20fps 2304x1296 - SD VGA (cropped)</v>
      </c>
      <c r="Q6122">
        <f t="shared" si="762"/>
        <v>28</v>
      </c>
      <c r="R6122" t="str">
        <f t="shared" si="763"/>
        <v/>
      </c>
      <c r="S6122" t="str">
        <f t="shared" si="764"/>
        <v/>
      </c>
      <c r="T6122" s="403" t="str">
        <f t="shared" si="765"/>
        <v>NDV-3503-F02</v>
      </c>
      <c r="U6122" s="403">
        <f t="shared" si="766"/>
        <v>1</v>
      </c>
      <c r="V6122" s="403" t="str">
        <f t="shared" si="767"/>
        <v>CPP_7_3</v>
      </c>
    </row>
    <row r="6123" spans="1:22">
      <c r="A6123" t="str">
        <f t="shared" si="760"/>
        <v>NDV-3503-F02</v>
      </c>
      <c r="B6123" s="403" t="s">
        <v>1433</v>
      </c>
      <c r="C6123" s="403" t="s">
        <v>582</v>
      </c>
      <c r="D6123" s="403" t="s">
        <v>1434</v>
      </c>
      <c r="E6123" s="403" t="s">
        <v>778</v>
      </c>
      <c r="F6123" s="403" t="s">
        <v>1375</v>
      </c>
      <c r="G6123" s="403" t="s">
        <v>1466</v>
      </c>
      <c r="H6123" s="403" t="s">
        <v>1281</v>
      </c>
      <c r="I6123" s="403">
        <v>1</v>
      </c>
      <c r="J6123" s="403" t="s">
        <v>1374</v>
      </c>
      <c r="K6123" s="403">
        <v>2304</v>
      </c>
      <c r="L6123" s="403">
        <v>1296</v>
      </c>
      <c r="M6123" s="403" t="s">
        <v>1280</v>
      </c>
      <c r="N6123" s="403">
        <v>2304</v>
      </c>
      <c r="O6123" s="403">
        <v>1296</v>
      </c>
      <c r="P6123" t="str">
        <f t="shared" si="761"/>
        <v>20fps 2304x1296 - copy other stream</v>
      </c>
      <c r="Q6123">
        <f t="shared" si="762"/>
        <v>28</v>
      </c>
      <c r="R6123" t="str">
        <f t="shared" si="763"/>
        <v/>
      </c>
      <c r="S6123" t="str">
        <f t="shared" si="764"/>
        <v/>
      </c>
      <c r="T6123" s="403" t="str">
        <f t="shared" si="765"/>
        <v>NDV-3503-F02</v>
      </c>
      <c r="U6123" s="403">
        <f t="shared" si="766"/>
        <v>1</v>
      </c>
      <c r="V6123" s="403" t="str">
        <f t="shared" si="767"/>
        <v>CPP_7_3</v>
      </c>
    </row>
    <row r="6124" spans="1:22">
      <c r="A6124" t="str">
        <f t="shared" si="760"/>
        <v>NDV-3503-F02</v>
      </c>
      <c r="B6124" s="403" t="s">
        <v>1433</v>
      </c>
      <c r="C6124" s="403" t="s">
        <v>582</v>
      </c>
      <c r="D6124" s="403" t="s">
        <v>1434</v>
      </c>
      <c r="E6124" s="403" t="s">
        <v>778</v>
      </c>
      <c r="F6124" s="403" t="s">
        <v>1375</v>
      </c>
      <c r="G6124" s="403" t="s">
        <v>1466</v>
      </c>
      <c r="H6124" s="403" t="s">
        <v>1281</v>
      </c>
      <c r="I6124" s="403">
        <v>1</v>
      </c>
      <c r="J6124" s="403" t="s">
        <v>110</v>
      </c>
      <c r="K6124" s="403">
        <v>1920</v>
      </c>
      <c r="L6124" s="403">
        <v>1080</v>
      </c>
      <c r="M6124" s="403" t="s">
        <v>111</v>
      </c>
      <c r="N6124" s="403">
        <v>768</v>
      </c>
      <c r="O6124" s="403">
        <v>432</v>
      </c>
      <c r="P6124" t="str">
        <f t="shared" si="761"/>
        <v>20fps 1080p - SD</v>
      </c>
      <c r="Q6124">
        <f t="shared" si="762"/>
        <v>28</v>
      </c>
      <c r="R6124" t="str">
        <f t="shared" si="763"/>
        <v/>
      </c>
      <c r="S6124" t="str">
        <f t="shared" si="764"/>
        <v/>
      </c>
      <c r="T6124" s="403" t="str">
        <f t="shared" si="765"/>
        <v>NDV-3503-F02</v>
      </c>
      <c r="U6124" s="403">
        <f t="shared" si="766"/>
        <v>1</v>
      </c>
      <c r="V6124" s="403" t="str">
        <f t="shared" si="767"/>
        <v>CPP_7_3</v>
      </c>
    </row>
    <row r="6125" spans="1:22">
      <c r="A6125" t="str">
        <f t="shared" si="760"/>
        <v>NDV-3503-F02</v>
      </c>
      <c r="B6125" s="403" t="s">
        <v>1433</v>
      </c>
      <c r="C6125" s="403" t="s">
        <v>582</v>
      </c>
      <c r="D6125" s="403" t="s">
        <v>1434</v>
      </c>
      <c r="E6125" s="403" t="s">
        <v>778</v>
      </c>
      <c r="F6125" s="403" t="s">
        <v>1375</v>
      </c>
      <c r="G6125" s="403" t="s">
        <v>1466</v>
      </c>
      <c r="H6125" s="403" t="s">
        <v>1281</v>
      </c>
      <c r="I6125" s="403">
        <v>1</v>
      </c>
      <c r="J6125" s="403" t="s">
        <v>110</v>
      </c>
      <c r="K6125" s="403">
        <v>1920</v>
      </c>
      <c r="L6125" s="403">
        <v>1080</v>
      </c>
      <c r="M6125" s="403" t="s">
        <v>110</v>
      </c>
      <c r="N6125" s="403">
        <v>1920</v>
      </c>
      <c r="O6125" s="403">
        <v>1080</v>
      </c>
      <c r="P6125" t="str">
        <f t="shared" si="761"/>
        <v>20fps 1080p - 1080p</v>
      </c>
      <c r="Q6125">
        <f t="shared" si="762"/>
        <v>28</v>
      </c>
      <c r="R6125" t="str">
        <f t="shared" si="763"/>
        <v/>
      </c>
      <c r="S6125" t="str">
        <f t="shared" si="764"/>
        <v/>
      </c>
      <c r="T6125" s="403" t="str">
        <f t="shared" si="765"/>
        <v>NDV-3503-F02</v>
      </c>
      <c r="U6125" s="403">
        <f t="shared" si="766"/>
        <v>1</v>
      </c>
      <c r="V6125" s="403" t="str">
        <f t="shared" si="767"/>
        <v>CPP_7_3</v>
      </c>
    </row>
    <row r="6126" spans="1:22">
      <c r="A6126" t="str">
        <f t="shared" si="760"/>
        <v>NDV-3503-F02</v>
      </c>
      <c r="B6126" s="403" t="s">
        <v>1433</v>
      </c>
      <c r="C6126" s="403" t="s">
        <v>582</v>
      </c>
      <c r="D6126" s="403" t="s">
        <v>1434</v>
      </c>
      <c r="E6126" s="403" t="s">
        <v>778</v>
      </c>
      <c r="F6126" s="403" t="s">
        <v>1375</v>
      </c>
      <c r="G6126" s="403" t="s">
        <v>1466</v>
      </c>
      <c r="H6126" s="403" t="s">
        <v>1281</v>
      </c>
      <c r="I6126" s="403">
        <v>1</v>
      </c>
      <c r="J6126" s="403" t="s">
        <v>110</v>
      </c>
      <c r="K6126" s="403">
        <v>1920</v>
      </c>
      <c r="L6126" s="403">
        <v>1080</v>
      </c>
      <c r="M6126" s="403" t="s">
        <v>109</v>
      </c>
      <c r="N6126" s="403">
        <v>1280</v>
      </c>
      <c r="O6126" s="403">
        <v>720</v>
      </c>
      <c r="P6126" t="str">
        <f t="shared" si="761"/>
        <v>20fps 1080p - 720p</v>
      </c>
      <c r="Q6126">
        <f t="shared" si="762"/>
        <v>28</v>
      </c>
      <c r="R6126" t="str">
        <f t="shared" si="763"/>
        <v/>
      </c>
      <c r="S6126" t="str">
        <f t="shared" si="764"/>
        <v/>
      </c>
      <c r="T6126" s="403" t="str">
        <f t="shared" si="765"/>
        <v>NDV-3503-F02</v>
      </c>
      <c r="U6126" s="403">
        <f t="shared" si="766"/>
        <v>1</v>
      </c>
      <c r="V6126" s="403" t="str">
        <f t="shared" si="767"/>
        <v>CPP_7_3</v>
      </c>
    </row>
    <row r="6127" spans="1:22">
      <c r="A6127" t="str">
        <f t="shared" si="760"/>
        <v>NDV-3503-F02</v>
      </c>
      <c r="B6127" s="403" t="s">
        <v>1433</v>
      </c>
      <c r="C6127" s="403" t="s">
        <v>582</v>
      </c>
      <c r="D6127" s="403" t="s">
        <v>1434</v>
      </c>
      <c r="E6127" s="403" t="s">
        <v>778</v>
      </c>
      <c r="F6127" s="403" t="s">
        <v>1375</v>
      </c>
      <c r="G6127" s="403" t="s">
        <v>1466</v>
      </c>
      <c r="H6127" s="403" t="s">
        <v>1281</v>
      </c>
      <c r="I6127" s="403">
        <v>1</v>
      </c>
      <c r="J6127" s="403" t="s">
        <v>110</v>
      </c>
      <c r="K6127" s="403">
        <v>1920</v>
      </c>
      <c r="L6127" s="403">
        <v>1080</v>
      </c>
      <c r="M6127" s="403" t="s">
        <v>1285</v>
      </c>
      <c r="N6127" s="403">
        <v>1280</v>
      </c>
      <c r="O6127" s="403">
        <v>1024</v>
      </c>
      <c r="P6127" t="str">
        <f t="shared" si="761"/>
        <v>20fps 1080p - 1280x1024 5:4 (cropped)</v>
      </c>
      <c r="Q6127">
        <f t="shared" si="762"/>
        <v>28</v>
      </c>
      <c r="R6127" t="str">
        <f t="shared" si="763"/>
        <v/>
      </c>
      <c r="S6127" t="str">
        <f t="shared" si="764"/>
        <v/>
      </c>
      <c r="T6127" s="403" t="str">
        <f t="shared" si="765"/>
        <v>NDV-3503-F02</v>
      </c>
      <c r="U6127" s="403">
        <f t="shared" si="766"/>
        <v>1</v>
      </c>
      <c r="V6127" s="403" t="str">
        <f t="shared" si="767"/>
        <v>CPP_7_3</v>
      </c>
    </row>
    <row r="6128" spans="1:22">
      <c r="A6128" t="str">
        <f t="shared" si="760"/>
        <v>NDV-3503-F02</v>
      </c>
      <c r="B6128" s="403" t="s">
        <v>1433</v>
      </c>
      <c r="C6128" s="403" t="s">
        <v>582</v>
      </c>
      <c r="D6128" s="403" t="s">
        <v>1434</v>
      </c>
      <c r="E6128" s="403" t="s">
        <v>778</v>
      </c>
      <c r="F6128" s="403" t="s">
        <v>1375</v>
      </c>
      <c r="G6128" s="403" t="s">
        <v>1466</v>
      </c>
      <c r="H6128" s="403" t="s">
        <v>1281</v>
      </c>
      <c r="I6128" s="403">
        <v>1</v>
      </c>
      <c r="J6128" s="403" t="s">
        <v>110</v>
      </c>
      <c r="K6128" s="403">
        <v>1920</v>
      </c>
      <c r="L6128" s="403">
        <v>1080</v>
      </c>
      <c r="M6128" s="403" t="s">
        <v>1279</v>
      </c>
      <c r="N6128" s="403">
        <v>768</v>
      </c>
      <c r="O6128" s="403">
        <v>432</v>
      </c>
      <c r="P6128" t="str">
        <f t="shared" si="761"/>
        <v>20fps 1080p - SD ROI PTZ</v>
      </c>
      <c r="Q6128">
        <f t="shared" si="762"/>
        <v>28</v>
      </c>
      <c r="R6128" t="str">
        <f t="shared" si="763"/>
        <v/>
      </c>
      <c r="S6128" t="str">
        <f t="shared" si="764"/>
        <v/>
      </c>
      <c r="T6128" s="403" t="str">
        <f t="shared" si="765"/>
        <v>NDV-3503-F02</v>
      </c>
      <c r="U6128" s="403">
        <f t="shared" si="766"/>
        <v>1</v>
      </c>
      <c r="V6128" s="403" t="str">
        <f t="shared" si="767"/>
        <v>CPP_7_3</v>
      </c>
    </row>
    <row r="6129" spans="1:22">
      <c r="A6129" t="str">
        <f t="shared" si="760"/>
        <v>NDV-3503-F02</v>
      </c>
      <c r="B6129" s="403" t="s">
        <v>1433</v>
      </c>
      <c r="C6129" s="403" t="s">
        <v>582</v>
      </c>
      <c r="D6129" s="403" t="s">
        <v>1434</v>
      </c>
      <c r="E6129" s="403" t="s">
        <v>778</v>
      </c>
      <c r="F6129" s="403" t="s">
        <v>1375</v>
      </c>
      <c r="G6129" s="403" t="s">
        <v>1466</v>
      </c>
      <c r="H6129" s="403" t="s">
        <v>1281</v>
      </c>
      <c r="I6129" s="403">
        <v>1</v>
      </c>
      <c r="J6129" s="403" t="s">
        <v>110</v>
      </c>
      <c r="K6129" s="403">
        <v>1920</v>
      </c>
      <c r="L6129" s="403">
        <v>1080</v>
      </c>
      <c r="M6129" s="403" t="s">
        <v>1283</v>
      </c>
      <c r="N6129" s="403">
        <v>720</v>
      </c>
      <c r="O6129" s="403">
        <v>480</v>
      </c>
      <c r="P6129" t="str">
        <f t="shared" si="761"/>
        <v>20fps 1080p - SD 4CIF resolution 4:3 format (cropped)</v>
      </c>
      <c r="Q6129">
        <f t="shared" si="762"/>
        <v>28</v>
      </c>
      <c r="R6129" t="str">
        <f t="shared" si="763"/>
        <v/>
      </c>
      <c r="S6129" t="str">
        <f t="shared" si="764"/>
        <v/>
      </c>
      <c r="T6129" s="403" t="str">
        <f t="shared" si="765"/>
        <v>NDV-3503-F02</v>
      </c>
      <c r="U6129" s="403">
        <f t="shared" si="766"/>
        <v>1</v>
      </c>
      <c r="V6129" s="403" t="str">
        <f t="shared" si="767"/>
        <v>CPP_7_3</v>
      </c>
    </row>
    <row r="6130" spans="1:22">
      <c r="A6130" t="str">
        <f t="shared" si="760"/>
        <v>NDV-3503-F02</v>
      </c>
      <c r="B6130" s="403" t="s">
        <v>1433</v>
      </c>
      <c r="C6130" s="403" t="s">
        <v>582</v>
      </c>
      <c r="D6130" s="403" t="s">
        <v>1434</v>
      </c>
      <c r="E6130" s="403" t="s">
        <v>778</v>
      </c>
      <c r="F6130" s="403" t="s">
        <v>1375</v>
      </c>
      <c r="G6130" s="403" t="s">
        <v>1466</v>
      </c>
      <c r="H6130" s="403" t="s">
        <v>1281</v>
      </c>
      <c r="I6130" s="403">
        <v>1</v>
      </c>
      <c r="J6130" s="403" t="s">
        <v>110</v>
      </c>
      <c r="K6130" s="403">
        <v>1920</v>
      </c>
      <c r="L6130" s="403">
        <v>1080</v>
      </c>
      <c r="M6130" s="403" t="s">
        <v>1284</v>
      </c>
      <c r="N6130" s="403">
        <v>640</v>
      </c>
      <c r="O6130" s="403">
        <v>480</v>
      </c>
      <c r="P6130" t="str">
        <f t="shared" si="761"/>
        <v>20fps 1080p - SD VGA (cropped)</v>
      </c>
      <c r="Q6130">
        <f t="shared" si="762"/>
        <v>28</v>
      </c>
      <c r="R6130" t="str">
        <f t="shared" si="763"/>
        <v/>
      </c>
      <c r="S6130" t="str">
        <f t="shared" si="764"/>
        <v/>
      </c>
      <c r="T6130" s="403" t="str">
        <f t="shared" si="765"/>
        <v>NDV-3503-F02</v>
      </c>
      <c r="U6130" s="403">
        <f t="shared" si="766"/>
        <v>1</v>
      </c>
      <c r="V6130" s="403" t="str">
        <f t="shared" si="767"/>
        <v>CPP_7_3</v>
      </c>
    </row>
    <row r="6131" spans="1:22">
      <c r="A6131" t="str">
        <f t="shared" si="760"/>
        <v>NDV-3503-F02</v>
      </c>
      <c r="B6131" s="403" t="s">
        <v>1433</v>
      </c>
      <c r="C6131" s="403" t="s">
        <v>582</v>
      </c>
      <c r="D6131" s="403" t="s">
        <v>1434</v>
      </c>
      <c r="E6131" s="403" t="s">
        <v>778</v>
      </c>
      <c r="F6131" s="403" t="s">
        <v>1375</v>
      </c>
      <c r="G6131" s="403" t="s">
        <v>1466</v>
      </c>
      <c r="H6131" s="403" t="s">
        <v>1281</v>
      </c>
      <c r="I6131" s="403">
        <v>1</v>
      </c>
      <c r="J6131" s="403" t="s">
        <v>109</v>
      </c>
      <c r="K6131" s="403">
        <v>1280</v>
      </c>
      <c r="L6131" s="403">
        <v>720</v>
      </c>
      <c r="M6131" s="403" t="s">
        <v>109</v>
      </c>
      <c r="N6131" s="403">
        <v>1280</v>
      </c>
      <c r="O6131" s="403">
        <v>720</v>
      </c>
      <c r="P6131" t="str">
        <f t="shared" si="761"/>
        <v>20fps 720p - 720p</v>
      </c>
      <c r="Q6131">
        <f t="shared" si="762"/>
        <v>28</v>
      </c>
      <c r="R6131" t="str">
        <f t="shared" si="763"/>
        <v/>
      </c>
      <c r="S6131" t="str">
        <f t="shared" si="764"/>
        <v/>
      </c>
      <c r="T6131" s="403" t="str">
        <f t="shared" si="765"/>
        <v>NDV-3503-F02</v>
      </c>
      <c r="U6131" s="403">
        <f t="shared" si="766"/>
        <v>1</v>
      </c>
      <c r="V6131" s="403" t="str">
        <f t="shared" si="767"/>
        <v>CPP_7_3</v>
      </c>
    </row>
    <row r="6132" spans="1:22">
      <c r="A6132" t="str">
        <f t="shared" si="760"/>
        <v>NDV-3503-F02</v>
      </c>
      <c r="B6132" s="403" t="s">
        <v>1433</v>
      </c>
      <c r="C6132" s="403" t="s">
        <v>582</v>
      </c>
      <c r="D6132" s="403" t="s">
        <v>1434</v>
      </c>
      <c r="E6132" s="403" t="s">
        <v>778</v>
      </c>
      <c r="F6132" s="403" t="s">
        <v>1375</v>
      </c>
      <c r="G6132" s="403" t="s">
        <v>1466</v>
      </c>
      <c r="H6132" s="403" t="s">
        <v>1281</v>
      </c>
      <c r="I6132" s="403">
        <v>1</v>
      </c>
      <c r="J6132" s="403" t="s">
        <v>109</v>
      </c>
      <c r="K6132" s="403">
        <v>1280</v>
      </c>
      <c r="L6132" s="403">
        <v>720</v>
      </c>
      <c r="M6132" s="403" t="s">
        <v>111</v>
      </c>
      <c r="N6132" s="403">
        <v>768</v>
      </c>
      <c r="O6132" s="403">
        <v>432</v>
      </c>
      <c r="P6132" t="str">
        <f t="shared" si="761"/>
        <v>20fps 720p - SD</v>
      </c>
      <c r="Q6132">
        <f t="shared" si="762"/>
        <v>28</v>
      </c>
      <c r="R6132" t="str">
        <f t="shared" si="763"/>
        <v/>
      </c>
      <c r="S6132" t="str">
        <f t="shared" si="764"/>
        <v/>
      </c>
      <c r="T6132" s="403" t="str">
        <f t="shared" si="765"/>
        <v>NDV-3503-F02</v>
      </c>
      <c r="U6132" s="403">
        <f t="shared" si="766"/>
        <v>1</v>
      </c>
      <c r="V6132" s="403" t="str">
        <f t="shared" si="767"/>
        <v>CPP_7_3</v>
      </c>
    </row>
    <row r="6133" spans="1:22">
      <c r="A6133" t="str">
        <f t="shared" si="760"/>
        <v>NDV-3503-F02</v>
      </c>
      <c r="B6133" s="403" t="s">
        <v>1433</v>
      </c>
      <c r="C6133" s="403" t="s">
        <v>582</v>
      </c>
      <c r="D6133" s="403" t="s">
        <v>1434</v>
      </c>
      <c r="E6133" s="403" t="s">
        <v>778</v>
      </c>
      <c r="F6133" s="403" t="s">
        <v>1375</v>
      </c>
      <c r="G6133" s="403" t="s">
        <v>1466</v>
      </c>
      <c r="H6133" s="403" t="s">
        <v>1281</v>
      </c>
      <c r="I6133" s="403">
        <v>1</v>
      </c>
      <c r="J6133" s="403" t="s">
        <v>109</v>
      </c>
      <c r="K6133" s="403">
        <v>1280</v>
      </c>
      <c r="L6133" s="403">
        <v>720</v>
      </c>
      <c r="M6133" s="403" t="s">
        <v>1279</v>
      </c>
      <c r="N6133" s="403">
        <v>768</v>
      </c>
      <c r="O6133" s="403">
        <v>432</v>
      </c>
      <c r="P6133" t="str">
        <f t="shared" si="761"/>
        <v>20fps 720p - SD ROI PTZ</v>
      </c>
      <c r="Q6133">
        <f t="shared" si="762"/>
        <v>28</v>
      </c>
      <c r="R6133" t="str">
        <f t="shared" si="763"/>
        <v/>
      </c>
      <c r="S6133" t="str">
        <f t="shared" si="764"/>
        <v/>
      </c>
      <c r="T6133" s="403" t="str">
        <f t="shared" si="765"/>
        <v>NDV-3503-F02</v>
      </c>
      <c r="U6133" s="403">
        <f t="shared" si="766"/>
        <v>1</v>
      </c>
      <c r="V6133" s="403" t="str">
        <f t="shared" si="767"/>
        <v>CPP_7_3</v>
      </c>
    </row>
    <row r="6134" spans="1:22">
      <c r="A6134" t="str">
        <f t="shared" si="760"/>
        <v>NDV-3503-F02</v>
      </c>
      <c r="B6134" s="403" t="s">
        <v>1433</v>
      </c>
      <c r="C6134" s="403" t="s">
        <v>582</v>
      </c>
      <c r="D6134" s="403" t="s">
        <v>1434</v>
      </c>
      <c r="E6134" s="403" t="s">
        <v>778</v>
      </c>
      <c r="F6134" s="403" t="s">
        <v>1375</v>
      </c>
      <c r="G6134" s="403" t="s">
        <v>1466</v>
      </c>
      <c r="H6134" s="403" t="s">
        <v>1281</v>
      </c>
      <c r="I6134" s="403">
        <v>1</v>
      </c>
      <c r="J6134" s="403" t="s">
        <v>109</v>
      </c>
      <c r="K6134" s="403">
        <v>1280</v>
      </c>
      <c r="L6134" s="403">
        <v>720</v>
      </c>
      <c r="M6134" s="403" t="s">
        <v>1283</v>
      </c>
      <c r="N6134" s="403">
        <v>720</v>
      </c>
      <c r="O6134" s="403">
        <v>480</v>
      </c>
      <c r="P6134" t="str">
        <f t="shared" si="761"/>
        <v>20fps 720p - SD 4CIF resolution 4:3 format (cropped)</v>
      </c>
      <c r="Q6134">
        <f t="shared" si="762"/>
        <v>28</v>
      </c>
      <c r="R6134" t="str">
        <f t="shared" si="763"/>
        <v/>
      </c>
      <c r="S6134" t="str">
        <f t="shared" si="764"/>
        <v/>
      </c>
      <c r="T6134" s="403" t="str">
        <f t="shared" si="765"/>
        <v>NDV-3503-F02</v>
      </c>
      <c r="U6134" s="403">
        <f t="shared" si="766"/>
        <v>1</v>
      </c>
      <c r="V6134" s="403" t="str">
        <f t="shared" si="767"/>
        <v>CPP_7_3</v>
      </c>
    </row>
    <row r="6135" spans="1:22">
      <c r="A6135" t="str">
        <f t="shared" si="760"/>
        <v>NDV-3503-F02</v>
      </c>
      <c r="B6135" s="403" t="s">
        <v>1433</v>
      </c>
      <c r="C6135" s="403" t="s">
        <v>582</v>
      </c>
      <c r="D6135" s="403" t="s">
        <v>1434</v>
      </c>
      <c r="E6135" s="403" t="s">
        <v>778</v>
      </c>
      <c r="F6135" s="403" t="s">
        <v>1375</v>
      </c>
      <c r="G6135" s="403" t="s">
        <v>1466</v>
      </c>
      <c r="H6135" s="403" t="s">
        <v>1281</v>
      </c>
      <c r="I6135" s="403">
        <v>1</v>
      </c>
      <c r="J6135" s="403" t="s">
        <v>109</v>
      </c>
      <c r="K6135" s="403">
        <v>1280</v>
      </c>
      <c r="L6135" s="403">
        <v>720</v>
      </c>
      <c r="M6135" s="403" t="s">
        <v>1284</v>
      </c>
      <c r="N6135" s="403">
        <v>640</v>
      </c>
      <c r="O6135" s="403">
        <v>480</v>
      </c>
      <c r="P6135" t="str">
        <f t="shared" si="761"/>
        <v>20fps 720p - SD VGA (cropped)</v>
      </c>
      <c r="Q6135">
        <f t="shared" si="762"/>
        <v>28</v>
      </c>
      <c r="R6135" t="str">
        <f t="shared" si="763"/>
        <v/>
      </c>
      <c r="S6135" t="str">
        <f t="shared" si="764"/>
        <v/>
      </c>
      <c r="T6135" s="403" t="str">
        <f t="shared" si="765"/>
        <v>NDV-3503-F02</v>
      </c>
      <c r="U6135" s="403">
        <f t="shared" si="766"/>
        <v>1</v>
      </c>
      <c r="V6135" s="403" t="str">
        <f t="shared" si="767"/>
        <v>CPP_7_3</v>
      </c>
    </row>
    <row r="6136" spans="1:22">
      <c r="A6136" t="str">
        <f t="shared" si="760"/>
        <v>NDV-3503-F02</v>
      </c>
      <c r="B6136" s="403" t="s">
        <v>1433</v>
      </c>
      <c r="C6136" s="403" t="s">
        <v>582</v>
      </c>
      <c r="D6136" s="403" t="s">
        <v>1434</v>
      </c>
      <c r="E6136" s="403" t="s">
        <v>778</v>
      </c>
      <c r="F6136" s="403" t="s">
        <v>1375</v>
      </c>
      <c r="G6136" s="403" t="s">
        <v>1467</v>
      </c>
      <c r="H6136" s="403" t="s">
        <v>1276</v>
      </c>
      <c r="I6136" s="403">
        <v>1</v>
      </c>
      <c r="J6136" s="403" t="s">
        <v>1377</v>
      </c>
      <c r="K6136" s="403">
        <v>1528</v>
      </c>
      <c r="L6136" s="403">
        <v>2720</v>
      </c>
      <c r="M6136" s="403" t="s">
        <v>1280</v>
      </c>
      <c r="N6136" s="403">
        <v>1528</v>
      </c>
      <c r="O6136" s="403">
        <v>2720</v>
      </c>
      <c r="P6136" t="str">
        <f t="shared" si="761"/>
        <v>20fps 2720x1530 - copy other stream</v>
      </c>
      <c r="Q6136">
        <f t="shared" si="762"/>
        <v>28</v>
      </c>
      <c r="R6136" t="str">
        <f t="shared" si="763"/>
        <v/>
      </c>
      <c r="S6136" t="str">
        <f t="shared" si="764"/>
        <v/>
      </c>
      <c r="T6136" s="403" t="str">
        <f t="shared" si="765"/>
        <v>NDV-3503-F02</v>
      </c>
      <c r="U6136" s="403">
        <f t="shared" si="766"/>
        <v>1</v>
      </c>
      <c r="V6136" s="403" t="str">
        <f t="shared" si="767"/>
        <v>CPP_7_3</v>
      </c>
    </row>
    <row r="6137" spans="1:22">
      <c r="A6137" t="str">
        <f t="shared" si="760"/>
        <v>NDV-3503-F02</v>
      </c>
      <c r="B6137" s="403" t="s">
        <v>1433</v>
      </c>
      <c r="C6137" s="403" t="s">
        <v>582</v>
      </c>
      <c r="D6137" s="403" t="s">
        <v>1434</v>
      </c>
      <c r="E6137" s="403" t="s">
        <v>778</v>
      </c>
      <c r="F6137" s="403" t="s">
        <v>1375</v>
      </c>
      <c r="G6137" s="403" t="s">
        <v>1467</v>
      </c>
      <c r="H6137" s="403" t="s">
        <v>1276</v>
      </c>
      <c r="I6137" s="403">
        <v>1</v>
      </c>
      <c r="J6137" s="403" t="s">
        <v>1374</v>
      </c>
      <c r="K6137" s="403">
        <v>1296</v>
      </c>
      <c r="L6137" s="403">
        <v>2304</v>
      </c>
      <c r="M6137" s="403" t="s">
        <v>109</v>
      </c>
      <c r="N6137" s="403">
        <v>720</v>
      </c>
      <c r="O6137" s="403">
        <v>1280</v>
      </c>
      <c r="P6137" t="str">
        <f t="shared" si="761"/>
        <v>20fps 2304x1296 - 720p</v>
      </c>
      <c r="Q6137">
        <f t="shared" si="762"/>
        <v>28</v>
      </c>
      <c r="R6137" t="str">
        <f t="shared" si="763"/>
        <v/>
      </c>
      <c r="S6137" t="str">
        <f t="shared" si="764"/>
        <v/>
      </c>
      <c r="T6137" s="403" t="str">
        <f t="shared" si="765"/>
        <v>NDV-3503-F02</v>
      </c>
      <c r="U6137" s="403">
        <f t="shared" si="766"/>
        <v>1</v>
      </c>
      <c r="V6137" s="403" t="str">
        <f t="shared" si="767"/>
        <v>CPP_7_3</v>
      </c>
    </row>
    <row r="6138" spans="1:22">
      <c r="A6138" t="str">
        <f t="shared" si="760"/>
        <v>NDV-3503-F02</v>
      </c>
      <c r="B6138" s="403" t="s">
        <v>1433</v>
      </c>
      <c r="C6138" s="403" t="s">
        <v>582</v>
      </c>
      <c r="D6138" s="403" t="s">
        <v>1434</v>
      </c>
      <c r="E6138" s="403" t="s">
        <v>778</v>
      </c>
      <c r="F6138" s="403" t="s">
        <v>1375</v>
      </c>
      <c r="G6138" s="403" t="s">
        <v>1467</v>
      </c>
      <c r="H6138" s="403" t="s">
        <v>1276</v>
      </c>
      <c r="I6138" s="403">
        <v>1</v>
      </c>
      <c r="J6138" s="403" t="s">
        <v>1374</v>
      </c>
      <c r="K6138" s="403">
        <v>1296</v>
      </c>
      <c r="L6138" s="403">
        <v>2304</v>
      </c>
      <c r="M6138" s="403" t="s">
        <v>111</v>
      </c>
      <c r="N6138" s="403">
        <v>432</v>
      </c>
      <c r="O6138" s="403">
        <v>768</v>
      </c>
      <c r="P6138" t="str">
        <f t="shared" si="761"/>
        <v>20fps 2304x1296 - SD</v>
      </c>
      <c r="Q6138">
        <f t="shared" si="762"/>
        <v>28</v>
      </c>
      <c r="R6138" t="str">
        <f t="shared" si="763"/>
        <v/>
      </c>
      <c r="S6138" t="str">
        <f t="shared" si="764"/>
        <v/>
      </c>
      <c r="T6138" s="403" t="str">
        <f t="shared" si="765"/>
        <v>NDV-3503-F02</v>
      </c>
      <c r="U6138" s="403">
        <f t="shared" si="766"/>
        <v>1</v>
      </c>
      <c r="V6138" s="403" t="str">
        <f t="shared" si="767"/>
        <v>CPP_7_3</v>
      </c>
    </row>
    <row r="6139" spans="1:22">
      <c r="A6139" t="str">
        <f t="shared" si="760"/>
        <v>NDV-3503-F02</v>
      </c>
      <c r="B6139" s="403" t="s">
        <v>1433</v>
      </c>
      <c r="C6139" s="403" t="s">
        <v>582</v>
      </c>
      <c r="D6139" s="403" t="s">
        <v>1434</v>
      </c>
      <c r="E6139" s="403" t="s">
        <v>778</v>
      </c>
      <c r="F6139" s="403" t="s">
        <v>1375</v>
      </c>
      <c r="G6139" s="403" t="s">
        <v>1467</v>
      </c>
      <c r="H6139" s="403" t="s">
        <v>1276</v>
      </c>
      <c r="I6139" s="403">
        <v>1</v>
      </c>
      <c r="J6139" s="403" t="s">
        <v>1374</v>
      </c>
      <c r="K6139" s="403">
        <v>1296</v>
      </c>
      <c r="L6139" s="403">
        <v>2304</v>
      </c>
      <c r="M6139" s="403" t="s">
        <v>1279</v>
      </c>
      <c r="N6139" s="403">
        <v>432</v>
      </c>
      <c r="O6139" s="403">
        <v>768</v>
      </c>
      <c r="P6139" t="str">
        <f t="shared" si="761"/>
        <v>20fps 2304x1296 - SD ROI PTZ</v>
      </c>
      <c r="Q6139">
        <f t="shared" si="762"/>
        <v>28</v>
      </c>
      <c r="R6139" t="str">
        <f t="shared" si="763"/>
        <v/>
      </c>
      <c r="S6139" t="str">
        <f t="shared" si="764"/>
        <v/>
      </c>
      <c r="T6139" s="403" t="str">
        <f t="shared" si="765"/>
        <v>NDV-3503-F02</v>
      </c>
      <c r="U6139" s="403">
        <f t="shared" si="766"/>
        <v>1</v>
      </c>
      <c r="V6139" s="403" t="str">
        <f t="shared" si="767"/>
        <v>CPP_7_3</v>
      </c>
    </row>
    <row r="6140" spans="1:22">
      <c r="A6140" t="str">
        <f t="shared" si="760"/>
        <v>NDV-3503-F02</v>
      </c>
      <c r="B6140" s="403" t="s">
        <v>1433</v>
      </c>
      <c r="C6140" s="403" t="s">
        <v>582</v>
      </c>
      <c r="D6140" s="403" t="s">
        <v>1434</v>
      </c>
      <c r="E6140" s="403" t="s">
        <v>778</v>
      </c>
      <c r="F6140" s="403" t="s">
        <v>1375</v>
      </c>
      <c r="G6140" s="403" t="s">
        <v>1467</v>
      </c>
      <c r="H6140" s="403" t="s">
        <v>1276</v>
      </c>
      <c r="I6140" s="403">
        <v>1</v>
      </c>
      <c r="J6140" s="403" t="s">
        <v>1374</v>
      </c>
      <c r="K6140" s="403">
        <v>1296</v>
      </c>
      <c r="L6140" s="403">
        <v>2304</v>
      </c>
      <c r="M6140" s="403" t="s">
        <v>1285</v>
      </c>
      <c r="N6140" s="403">
        <v>1024</v>
      </c>
      <c r="O6140" s="403">
        <v>1280</v>
      </c>
      <c r="P6140" t="str">
        <f t="shared" si="761"/>
        <v>20fps 2304x1296 - 1280x1024 5:4 (cropped)</v>
      </c>
      <c r="Q6140">
        <f t="shared" si="762"/>
        <v>28</v>
      </c>
      <c r="R6140" t="str">
        <f t="shared" si="763"/>
        <v/>
      </c>
      <c r="S6140" t="str">
        <f t="shared" si="764"/>
        <v/>
      </c>
      <c r="T6140" s="403" t="str">
        <f t="shared" si="765"/>
        <v>NDV-3503-F02</v>
      </c>
      <c r="U6140" s="403">
        <f t="shared" si="766"/>
        <v>1</v>
      </c>
      <c r="V6140" s="403" t="str">
        <f t="shared" si="767"/>
        <v>CPP_7_3</v>
      </c>
    </row>
    <row r="6141" spans="1:22">
      <c r="A6141" t="str">
        <f t="shared" si="760"/>
        <v>NDV-3503-F02</v>
      </c>
      <c r="B6141" s="403" t="s">
        <v>1433</v>
      </c>
      <c r="C6141" s="403" t="s">
        <v>582</v>
      </c>
      <c r="D6141" s="403" t="s">
        <v>1434</v>
      </c>
      <c r="E6141" s="403" t="s">
        <v>778</v>
      </c>
      <c r="F6141" s="403" t="s">
        <v>1375</v>
      </c>
      <c r="G6141" s="403" t="s">
        <v>1467</v>
      </c>
      <c r="H6141" s="403" t="s">
        <v>1276</v>
      </c>
      <c r="I6141" s="403">
        <v>1</v>
      </c>
      <c r="J6141" s="403" t="s">
        <v>1374</v>
      </c>
      <c r="K6141" s="403">
        <v>1296</v>
      </c>
      <c r="L6141" s="403">
        <v>2304</v>
      </c>
      <c r="M6141" s="403" t="s">
        <v>1283</v>
      </c>
      <c r="N6141" s="403">
        <v>480</v>
      </c>
      <c r="O6141" s="403">
        <v>720</v>
      </c>
      <c r="P6141" t="str">
        <f t="shared" si="761"/>
        <v>20fps 2304x1296 - SD 4CIF resolution 4:3 format (cropped)</v>
      </c>
      <c r="Q6141">
        <f t="shared" si="762"/>
        <v>28</v>
      </c>
      <c r="R6141" t="str">
        <f t="shared" si="763"/>
        <v/>
      </c>
      <c r="S6141" t="str">
        <f t="shared" si="764"/>
        <v/>
      </c>
      <c r="T6141" s="403" t="str">
        <f t="shared" si="765"/>
        <v>NDV-3503-F02</v>
      </c>
      <c r="U6141" s="403">
        <f t="shared" si="766"/>
        <v>1</v>
      </c>
      <c r="V6141" s="403" t="str">
        <f t="shared" si="767"/>
        <v>CPP_7_3</v>
      </c>
    </row>
    <row r="6142" spans="1:22">
      <c r="A6142" t="str">
        <f t="shared" si="760"/>
        <v>NDV-3503-F02</v>
      </c>
      <c r="B6142" s="403" t="s">
        <v>1433</v>
      </c>
      <c r="C6142" s="403" t="s">
        <v>582</v>
      </c>
      <c r="D6142" s="403" t="s">
        <v>1434</v>
      </c>
      <c r="E6142" s="403" t="s">
        <v>778</v>
      </c>
      <c r="F6142" s="403" t="s">
        <v>1375</v>
      </c>
      <c r="G6142" s="403" t="s">
        <v>1467</v>
      </c>
      <c r="H6142" s="403" t="s">
        <v>1276</v>
      </c>
      <c r="I6142" s="403">
        <v>1</v>
      </c>
      <c r="J6142" s="403" t="s">
        <v>1374</v>
      </c>
      <c r="K6142" s="403">
        <v>1296</v>
      </c>
      <c r="L6142" s="403">
        <v>2304</v>
      </c>
      <c r="M6142" s="403" t="s">
        <v>1284</v>
      </c>
      <c r="N6142" s="403">
        <v>480</v>
      </c>
      <c r="O6142" s="403">
        <v>640</v>
      </c>
      <c r="P6142" t="str">
        <f t="shared" si="761"/>
        <v>20fps 2304x1296 - SD VGA (cropped)</v>
      </c>
      <c r="Q6142">
        <f t="shared" si="762"/>
        <v>28</v>
      </c>
      <c r="R6142" t="str">
        <f t="shared" si="763"/>
        <v/>
      </c>
      <c r="S6142" t="str">
        <f t="shared" si="764"/>
        <v/>
      </c>
      <c r="T6142" s="403" t="str">
        <f t="shared" si="765"/>
        <v>NDV-3503-F02</v>
      </c>
      <c r="U6142" s="403">
        <f t="shared" si="766"/>
        <v>1</v>
      </c>
      <c r="V6142" s="403" t="str">
        <f t="shared" si="767"/>
        <v>CPP_7_3</v>
      </c>
    </row>
    <row r="6143" spans="1:22">
      <c r="A6143" t="str">
        <f t="shared" si="760"/>
        <v>NDV-3503-F02</v>
      </c>
      <c r="B6143" s="403" t="s">
        <v>1433</v>
      </c>
      <c r="C6143" s="403" t="s">
        <v>582</v>
      </c>
      <c r="D6143" s="403" t="s">
        <v>1434</v>
      </c>
      <c r="E6143" s="403" t="s">
        <v>778</v>
      </c>
      <c r="F6143" s="403" t="s">
        <v>1375</v>
      </c>
      <c r="G6143" s="403" t="s">
        <v>1467</v>
      </c>
      <c r="H6143" s="403" t="s">
        <v>1276</v>
      </c>
      <c r="I6143" s="403">
        <v>1</v>
      </c>
      <c r="J6143" s="403" t="s">
        <v>1374</v>
      </c>
      <c r="K6143" s="403">
        <v>1296</v>
      </c>
      <c r="L6143" s="403">
        <v>2304</v>
      </c>
      <c r="M6143" s="403" t="s">
        <v>1280</v>
      </c>
      <c r="N6143" s="403">
        <v>1296</v>
      </c>
      <c r="O6143" s="403">
        <v>2304</v>
      </c>
      <c r="P6143" t="str">
        <f t="shared" si="761"/>
        <v>20fps 2304x1296 - copy other stream</v>
      </c>
      <c r="Q6143">
        <f t="shared" si="762"/>
        <v>28</v>
      </c>
      <c r="R6143" t="str">
        <f t="shared" si="763"/>
        <v/>
      </c>
      <c r="S6143" t="str">
        <f t="shared" si="764"/>
        <v/>
      </c>
      <c r="T6143" s="403" t="str">
        <f t="shared" si="765"/>
        <v>NDV-3503-F02</v>
      </c>
      <c r="U6143" s="403">
        <f t="shared" si="766"/>
        <v>1</v>
      </c>
      <c r="V6143" s="403" t="str">
        <f t="shared" si="767"/>
        <v>CPP_7_3</v>
      </c>
    </row>
    <row r="6144" spans="1:22">
      <c r="A6144" t="str">
        <f t="shared" si="760"/>
        <v>NDV-3503-F02</v>
      </c>
      <c r="B6144" s="403" t="s">
        <v>1433</v>
      </c>
      <c r="C6144" s="403" t="s">
        <v>582</v>
      </c>
      <c r="D6144" s="403" t="s">
        <v>1434</v>
      </c>
      <c r="E6144" s="403" t="s">
        <v>778</v>
      </c>
      <c r="F6144" s="403" t="s">
        <v>1375</v>
      </c>
      <c r="G6144" s="403" t="s">
        <v>1467</v>
      </c>
      <c r="H6144" s="403" t="s">
        <v>1276</v>
      </c>
      <c r="I6144" s="403">
        <v>1</v>
      </c>
      <c r="J6144" s="403" t="s">
        <v>110</v>
      </c>
      <c r="K6144" s="403">
        <v>1080</v>
      </c>
      <c r="L6144" s="403">
        <v>1920</v>
      </c>
      <c r="M6144" s="403" t="s">
        <v>111</v>
      </c>
      <c r="N6144" s="403">
        <v>432</v>
      </c>
      <c r="O6144" s="403">
        <v>768</v>
      </c>
      <c r="P6144" t="str">
        <f t="shared" si="761"/>
        <v>20fps 1080p - SD</v>
      </c>
      <c r="Q6144">
        <f t="shared" si="762"/>
        <v>28</v>
      </c>
      <c r="R6144" t="str">
        <f t="shared" si="763"/>
        <v/>
      </c>
      <c r="S6144" t="str">
        <f t="shared" si="764"/>
        <v/>
      </c>
      <c r="T6144" s="403" t="str">
        <f t="shared" si="765"/>
        <v>NDV-3503-F02</v>
      </c>
      <c r="U6144" s="403">
        <f t="shared" si="766"/>
        <v>1</v>
      </c>
      <c r="V6144" s="403" t="str">
        <f t="shared" si="767"/>
        <v>CPP_7_3</v>
      </c>
    </row>
    <row r="6145" spans="1:22">
      <c r="A6145" t="str">
        <f t="shared" si="760"/>
        <v>NDV-3503-F02</v>
      </c>
      <c r="B6145" s="403" t="s">
        <v>1433</v>
      </c>
      <c r="C6145" s="403" t="s">
        <v>582</v>
      </c>
      <c r="D6145" s="403" t="s">
        <v>1434</v>
      </c>
      <c r="E6145" s="403" t="s">
        <v>778</v>
      </c>
      <c r="F6145" s="403" t="s">
        <v>1375</v>
      </c>
      <c r="G6145" s="403" t="s">
        <v>1467</v>
      </c>
      <c r="H6145" s="403" t="s">
        <v>1276</v>
      </c>
      <c r="I6145" s="403">
        <v>1</v>
      </c>
      <c r="J6145" s="403" t="s">
        <v>110</v>
      </c>
      <c r="K6145" s="403">
        <v>1080</v>
      </c>
      <c r="L6145" s="403">
        <v>1920</v>
      </c>
      <c r="M6145" s="403" t="s">
        <v>110</v>
      </c>
      <c r="N6145" s="403">
        <v>1080</v>
      </c>
      <c r="O6145" s="403">
        <v>1920</v>
      </c>
      <c r="P6145" t="str">
        <f t="shared" si="761"/>
        <v>20fps 1080p - 1080p</v>
      </c>
      <c r="Q6145">
        <f t="shared" si="762"/>
        <v>28</v>
      </c>
      <c r="R6145" t="str">
        <f t="shared" si="763"/>
        <v/>
      </c>
      <c r="S6145" t="str">
        <f t="shared" si="764"/>
        <v/>
      </c>
      <c r="T6145" s="403" t="str">
        <f t="shared" si="765"/>
        <v>NDV-3503-F02</v>
      </c>
      <c r="U6145" s="403">
        <f t="shared" si="766"/>
        <v>1</v>
      </c>
      <c r="V6145" s="403" t="str">
        <f t="shared" si="767"/>
        <v>CPP_7_3</v>
      </c>
    </row>
    <row r="6146" spans="1:22">
      <c r="A6146" t="str">
        <f t="shared" ref="A6146:A6209" si="768">IF(AND(G6146&lt;&gt;"rotate 90°"),D6146,"")</f>
        <v>NDV-3503-F02</v>
      </c>
      <c r="B6146" s="403" t="s">
        <v>1433</v>
      </c>
      <c r="C6146" s="403" t="s">
        <v>582</v>
      </c>
      <c r="D6146" s="403" t="s">
        <v>1434</v>
      </c>
      <c r="E6146" s="403" t="s">
        <v>778</v>
      </c>
      <c r="F6146" s="403" t="s">
        <v>1375</v>
      </c>
      <c r="G6146" s="403" t="s">
        <v>1467</v>
      </c>
      <c r="H6146" s="403" t="s">
        <v>1276</v>
      </c>
      <c r="I6146" s="403">
        <v>1</v>
      </c>
      <c r="J6146" s="403" t="s">
        <v>110</v>
      </c>
      <c r="K6146" s="403">
        <v>1080</v>
      </c>
      <c r="L6146" s="403">
        <v>1920</v>
      </c>
      <c r="M6146" s="403" t="s">
        <v>109</v>
      </c>
      <c r="N6146" s="403">
        <v>720</v>
      </c>
      <c r="O6146" s="403">
        <v>1280</v>
      </c>
      <c r="P6146" t="str">
        <f t="shared" ref="P6146:P6209" si="769">LEFT(F6146,5)&amp;" "&amp;J6146&amp;" - "&amp;M6146</f>
        <v>20fps 1080p - 720p</v>
      </c>
      <c r="Q6146">
        <f t="shared" ref="Q6146:Q6209" si="770">IF(A6145=A6146,Q6145,Q6145+1)</f>
        <v>28</v>
      </c>
      <c r="R6146" t="str">
        <f t="shared" ref="R6146:R6209" si="771">IF(Q6145&lt;&gt;Q6146,Q6146,"")</f>
        <v/>
      </c>
      <c r="S6146" t="str">
        <f t="shared" ref="S6146:S6209" si="772">IF(R6146&lt;&gt;"",B6146&amp;" ("&amp;D6146&amp;")","")</f>
        <v/>
      </c>
      <c r="T6146" s="403" t="str">
        <f t="shared" ref="T6146:T6209" si="773">D6146</f>
        <v>NDV-3503-F02</v>
      </c>
      <c r="U6146" s="403">
        <f t="shared" ref="U6146:U6209" si="774">I6146</f>
        <v>1</v>
      </c>
      <c r="V6146" s="403" t="str">
        <f t="shared" ref="V6146:V6209" si="775">C6146</f>
        <v>CPP_7_3</v>
      </c>
    </row>
    <row r="6147" spans="1:22">
      <c r="A6147" t="str">
        <f t="shared" si="768"/>
        <v>NDV-3503-F02</v>
      </c>
      <c r="B6147" s="403" t="s">
        <v>1433</v>
      </c>
      <c r="C6147" s="403" t="s">
        <v>582</v>
      </c>
      <c r="D6147" s="403" t="s">
        <v>1434</v>
      </c>
      <c r="E6147" s="403" t="s">
        <v>778</v>
      </c>
      <c r="F6147" s="403" t="s">
        <v>1375</v>
      </c>
      <c r="G6147" s="403" t="s">
        <v>1467</v>
      </c>
      <c r="H6147" s="403" t="s">
        <v>1276</v>
      </c>
      <c r="I6147" s="403">
        <v>1</v>
      </c>
      <c r="J6147" s="403" t="s">
        <v>110</v>
      </c>
      <c r="K6147" s="403">
        <v>1080</v>
      </c>
      <c r="L6147" s="403">
        <v>1920</v>
      </c>
      <c r="M6147" s="403" t="s">
        <v>1285</v>
      </c>
      <c r="N6147" s="403">
        <v>1024</v>
      </c>
      <c r="O6147" s="403">
        <v>1280</v>
      </c>
      <c r="P6147" t="str">
        <f t="shared" si="769"/>
        <v>20fps 1080p - 1280x1024 5:4 (cropped)</v>
      </c>
      <c r="Q6147">
        <f t="shared" si="770"/>
        <v>28</v>
      </c>
      <c r="R6147" t="str">
        <f t="shared" si="771"/>
        <v/>
      </c>
      <c r="S6147" t="str">
        <f t="shared" si="772"/>
        <v/>
      </c>
      <c r="T6147" s="403" t="str">
        <f t="shared" si="773"/>
        <v>NDV-3503-F02</v>
      </c>
      <c r="U6147" s="403">
        <f t="shared" si="774"/>
        <v>1</v>
      </c>
      <c r="V6147" s="403" t="str">
        <f t="shared" si="775"/>
        <v>CPP_7_3</v>
      </c>
    </row>
    <row r="6148" spans="1:22">
      <c r="A6148" t="str">
        <f t="shared" si="768"/>
        <v>NDV-3503-F02</v>
      </c>
      <c r="B6148" s="403" t="s">
        <v>1433</v>
      </c>
      <c r="C6148" s="403" t="s">
        <v>582</v>
      </c>
      <c r="D6148" s="403" t="s">
        <v>1434</v>
      </c>
      <c r="E6148" s="403" t="s">
        <v>778</v>
      </c>
      <c r="F6148" s="403" t="s">
        <v>1375</v>
      </c>
      <c r="G6148" s="403" t="s">
        <v>1467</v>
      </c>
      <c r="H6148" s="403" t="s">
        <v>1276</v>
      </c>
      <c r="I6148" s="403">
        <v>1</v>
      </c>
      <c r="J6148" s="403" t="s">
        <v>110</v>
      </c>
      <c r="K6148" s="403">
        <v>1080</v>
      </c>
      <c r="L6148" s="403">
        <v>1920</v>
      </c>
      <c r="M6148" s="403" t="s">
        <v>1279</v>
      </c>
      <c r="N6148" s="403">
        <v>432</v>
      </c>
      <c r="O6148" s="403">
        <v>768</v>
      </c>
      <c r="P6148" t="str">
        <f t="shared" si="769"/>
        <v>20fps 1080p - SD ROI PTZ</v>
      </c>
      <c r="Q6148">
        <f t="shared" si="770"/>
        <v>28</v>
      </c>
      <c r="R6148" t="str">
        <f t="shared" si="771"/>
        <v/>
      </c>
      <c r="S6148" t="str">
        <f t="shared" si="772"/>
        <v/>
      </c>
      <c r="T6148" s="403" t="str">
        <f t="shared" si="773"/>
        <v>NDV-3503-F02</v>
      </c>
      <c r="U6148" s="403">
        <f t="shared" si="774"/>
        <v>1</v>
      </c>
      <c r="V6148" s="403" t="str">
        <f t="shared" si="775"/>
        <v>CPP_7_3</v>
      </c>
    </row>
    <row r="6149" spans="1:22">
      <c r="A6149" t="str">
        <f t="shared" si="768"/>
        <v>NDV-3503-F02</v>
      </c>
      <c r="B6149" s="403" t="s">
        <v>1433</v>
      </c>
      <c r="C6149" s="403" t="s">
        <v>582</v>
      </c>
      <c r="D6149" s="403" t="s">
        <v>1434</v>
      </c>
      <c r="E6149" s="403" t="s">
        <v>778</v>
      </c>
      <c r="F6149" s="403" t="s">
        <v>1375</v>
      </c>
      <c r="G6149" s="403" t="s">
        <v>1467</v>
      </c>
      <c r="H6149" s="403" t="s">
        <v>1276</v>
      </c>
      <c r="I6149" s="403">
        <v>1</v>
      </c>
      <c r="J6149" s="403" t="s">
        <v>110</v>
      </c>
      <c r="K6149" s="403">
        <v>1080</v>
      </c>
      <c r="L6149" s="403">
        <v>1920</v>
      </c>
      <c r="M6149" s="403" t="s">
        <v>1283</v>
      </c>
      <c r="N6149" s="403">
        <v>480</v>
      </c>
      <c r="O6149" s="403">
        <v>720</v>
      </c>
      <c r="P6149" t="str">
        <f t="shared" si="769"/>
        <v>20fps 1080p - SD 4CIF resolution 4:3 format (cropped)</v>
      </c>
      <c r="Q6149">
        <f t="shared" si="770"/>
        <v>28</v>
      </c>
      <c r="R6149" t="str">
        <f t="shared" si="771"/>
        <v/>
      </c>
      <c r="S6149" t="str">
        <f t="shared" si="772"/>
        <v/>
      </c>
      <c r="T6149" s="403" t="str">
        <f t="shared" si="773"/>
        <v>NDV-3503-F02</v>
      </c>
      <c r="U6149" s="403">
        <f t="shared" si="774"/>
        <v>1</v>
      </c>
      <c r="V6149" s="403" t="str">
        <f t="shared" si="775"/>
        <v>CPP_7_3</v>
      </c>
    </row>
    <row r="6150" spans="1:22">
      <c r="A6150" t="str">
        <f t="shared" si="768"/>
        <v>NDV-3503-F02</v>
      </c>
      <c r="B6150" s="403" t="s">
        <v>1433</v>
      </c>
      <c r="C6150" s="403" t="s">
        <v>582</v>
      </c>
      <c r="D6150" s="403" t="s">
        <v>1434</v>
      </c>
      <c r="E6150" s="403" t="s">
        <v>778</v>
      </c>
      <c r="F6150" s="403" t="s">
        <v>1375</v>
      </c>
      <c r="G6150" s="403" t="s">
        <v>1467</v>
      </c>
      <c r="H6150" s="403" t="s">
        <v>1276</v>
      </c>
      <c r="I6150" s="403">
        <v>1</v>
      </c>
      <c r="J6150" s="403" t="s">
        <v>110</v>
      </c>
      <c r="K6150" s="403">
        <v>1080</v>
      </c>
      <c r="L6150" s="403">
        <v>1920</v>
      </c>
      <c r="M6150" s="403" t="s">
        <v>1284</v>
      </c>
      <c r="N6150" s="403">
        <v>480</v>
      </c>
      <c r="O6150" s="403">
        <v>640</v>
      </c>
      <c r="P6150" t="str">
        <f t="shared" si="769"/>
        <v>20fps 1080p - SD VGA (cropped)</v>
      </c>
      <c r="Q6150">
        <f t="shared" si="770"/>
        <v>28</v>
      </c>
      <c r="R6150" t="str">
        <f t="shared" si="771"/>
        <v/>
      </c>
      <c r="S6150" t="str">
        <f t="shared" si="772"/>
        <v/>
      </c>
      <c r="T6150" s="403" t="str">
        <f t="shared" si="773"/>
        <v>NDV-3503-F02</v>
      </c>
      <c r="U6150" s="403">
        <f t="shared" si="774"/>
        <v>1</v>
      </c>
      <c r="V6150" s="403" t="str">
        <f t="shared" si="775"/>
        <v>CPP_7_3</v>
      </c>
    </row>
    <row r="6151" spans="1:22">
      <c r="A6151" t="str">
        <f t="shared" si="768"/>
        <v>NDV-3503-F02</v>
      </c>
      <c r="B6151" s="403" t="s">
        <v>1433</v>
      </c>
      <c r="C6151" s="403" t="s">
        <v>582</v>
      </c>
      <c r="D6151" s="403" t="s">
        <v>1434</v>
      </c>
      <c r="E6151" s="403" t="s">
        <v>778</v>
      </c>
      <c r="F6151" s="403" t="s">
        <v>1375</v>
      </c>
      <c r="G6151" s="403" t="s">
        <v>1467</v>
      </c>
      <c r="H6151" s="403" t="s">
        <v>1276</v>
      </c>
      <c r="I6151" s="403">
        <v>1</v>
      </c>
      <c r="J6151" s="403" t="s">
        <v>109</v>
      </c>
      <c r="K6151" s="403">
        <v>720</v>
      </c>
      <c r="L6151" s="403">
        <v>1280</v>
      </c>
      <c r="M6151" s="403" t="s">
        <v>109</v>
      </c>
      <c r="N6151" s="403">
        <v>720</v>
      </c>
      <c r="O6151" s="403">
        <v>1280</v>
      </c>
      <c r="P6151" t="str">
        <f t="shared" si="769"/>
        <v>20fps 720p - 720p</v>
      </c>
      <c r="Q6151">
        <f t="shared" si="770"/>
        <v>28</v>
      </c>
      <c r="R6151" t="str">
        <f t="shared" si="771"/>
        <v/>
      </c>
      <c r="S6151" t="str">
        <f t="shared" si="772"/>
        <v/>
      </c>
      <c r="T6151" s="403" t="str">
        <f t="shared" si="773"/>
        <v>NDV-3503-F02</v>
      </c>
      <c r="U6151" s="403">
        <f t="shared" si="774"/>
        <v>1</v>
      </c>
      <c r="V6151" s="403" t="str">
        <f t="shared" si="775"/>
        <v>CPP_7_3</v>
      </c>
    </row>
    <row r="6152" spans="1:22">
      <c r="A6152" t="str">
        <f t="shared" si="768"/>
        <v>NDV-3503-F02</v>
      </c>
      <c r="B6152" s="403" t="s">
        <v>1433</v>
      </c>
      <c r="C6152" s="403" t="s">
        <v>582</v>
      </c>
      <c r="D6152" s="403" t="s">
        <v>1434</v>
      </c>
      <c r="E6152" s="403" t="s">
        <v>778</v>
      </c>
      <c r="F6152" s="403" t="s">
        <v>1375</v>
      </c>
      <c r="G6152" s="403" t="s">
        <v>1467</v>
      </c>
      <c r="H6152" s="403" t="s">
        <v>1276</v>
      </c>
      <c r="I6152" s="403">
        <v>1</v>
      </c>
      <c r="J6152" s="403" t="s">
        <v>109</v>
      </c>
      <c r="K6152" s="403">
        <v>720</v>
      </c>
      <c r="L6152" s="403">
        <v>1280</v>
      </c>
      <c r="M6152" s="403" t="s">
        <v>111</v>
      </c>
      <c r="N6152" s="403">
        <v>432</v>
      </c>
      <c r="O6152" s="403">
        <v>768</v>
      </c>
      <c r="P6152" t="str">
        <f t="shared" si="769"/>
        <v>20fps 720p - SD</v>
      </c>
      <c r="Q6152">
        <f t="shared" si="770"/>
        <v>28</v>
      </c>
      <c r="R6152" t="str">
        <f t="shared" si="771"/>
        <v/>
      </c>
      <c r="S6152" t="str">
        <f t="shared" si="772"/>
        <v/>
      </c>
      <c r="T6152" s="403" t="str">
        <f t="shared" si="773"/>
        <v>NDV-3503-F02</v>
      </c>
      <c r="U6152" s="403">
        <f t="shared" si="774"/>
        <v>1</v>
      </c>
      <c r="V6152" s="403" t="str">
        <f t="shared" si="775"/>
        <v>CPP_7_3</v>
      </c>
    </row>
    <row r="6153" spans="1:22">
      <c r="A6153" t="str">
        <f t="shared" si="768"/>
        <v>NDV-3503-F02</v>
      </c>
      <c r="B6153" s="403" t="s">
        <v>1433</v>
      </c>
      <c r="C6153" s="403" t="s">
        <v>582</v>
      </c>
      <c r="D6153" s="403" t="s">
        <v>1434</v>
      </c>
      <c r="E6153" s="403" t="s">
        <v>778</v>
      </c>
      <c r="F6153" s="403" t="s">
        <v>1375</v>
      </c>
      <c r="G6153" s="403" t="s">
        <v>1467</v>
      </c>
      <c r="H6153" s="403" t="s">
        <v>1276</v>
      </c>
      <c r="I6153" s="403">
        <v>1</v>
      </c>
      <c r="J6153" s="403" t="s">
        <v>109</v>
      </c>
      <c r="K6153" s="403">
        <v>720</v>
      </c>
      <c r="L6153" s="403">
        <v>1280</v>
      </c>
      <c r="M6153" s="403" t="s">
        <v>1279</v>
      </c>
      <c r="N6153" s="403">
        <v>432</v>
      </c>
      <c r="O6153" s="403">
        <v>768</v>
      </c>
      <c r="P6153" t="str">
        <f t="shared" si="769"/>
        <v>20fps 720p - SD ROI PTZ</v>
      </c>
      <c r="Q6153">
        <f t="shared" si="770"/>
        <v>28</v>
      </c>
      <c r="R6153" t="str">
        <f t="shared" si="771"/>
        <v/>
      </c>
      <c r="S6153" t="str">
        <f t="shared" si="772"/>
        <v/>
      </c>
      <c r="T6153" s="403" t="str">
        <f t="shared" si="773"/>
        <v>NDV-3503-F02</v>
      </c>
      <c r="U6153" s="403">
        <f t="shared" si="774"/>
        <v>1</v>
      </c>
      <c r="V6153" s="403" t="str">
        <f t="shared" si="775"/>
        <v>CPP_7_3</v>
      </c>
    </row>
    <row r="6154" spans="1:22">
      <c r="A6154" t="str">
        <f t="shared" si="768"/>
        <v>NDV-3503-F02</v>
      </c>
      <c r="B6154" s="403" t="s">
        <v>1433</v>
      </c>
      <c r="C6154" s="403" t="s">
        <v>582</v>
      </c>
      <c r="D6154" s="403" t="s">
        <v>1434</v>
      </c>
      <c r="E6154" s="403" t="s">
        <v>778</v>
      </c>
      <c r="F6154" s="403" t="s">
        <v>1375</v>
      </c>
      <c r="G6154" s="403" t="s">
        <v>1467</v>
      </c>
      <c r="H6154" s="403" t="s">
        <v>1276</v>
      </c>
      <c r="I6154" s="403">
        <v>1</v>
      </c>
      <c r="J6154" s="403" t="s">
        <v>109</v>
      </c>
      <c r="K6154" s="403">
        <v>720</v>
      </c>
      <c r="L6154" s="403">
        <v>1280</v>
      </c>
      <c r="M6154" s="403" t="s">
        <v>1283</v>
      </c>
      <c r="N6154" s="403">
        <v>480</v>
      </c>
      <c r="O6154" s="403">
        <v>720</v>
      </c>
      <c r="P6154" t="str">
        <f t="shared" si="769"/>
        <v>20fps 720p - SD 4CIF resolution 4:3 format (cropped)</v>
      </c>
      <c r="Q6154">
        <f t="shared" si="770"/>
        <v>28</v>
      </c>
      <c r="R6154" t="str">
        <f t="shared" si="771"/>
        <v/>
      </c>
      <c r="S6154" t="str">
        <f t="shared" si="772"/>
        <v/>
      </c>
      <c r="T6154" s="403" t="str">
        <f t="shared" si="773"/>
        <v>NDV-3503-F02</v>
      </c>
      <c r="U6154" s="403">
        <f t="shared" si="774"/>
        <v>1</v>
      </c>
      <c r="V6154" s="403" t="str">
        <f t="shared" si="775"/>
        <v>CPP_7_3</v>
      </c>
    </row>
    <row r="6155" spans="1:22">
      <c r="A6155" t="str">
        <f t="shared" si="768"/>
        <v>NDV-3503-F02</v>
      </c>
      <c r="B6155" s="403" t="s">
        <v>1433</v>
      </c>
      <c r="C6155" s="403" t="s">
        <v>582</v>
      </c>
      <c r="D6155" s="403" t="s">
        <v>1434</v>
      </c>
      <c r="E6155" s="403" t="s">
        <v>778</v>
      </c>
      <c r="F6155" s="403" t="s">
        <v>1375</v>
      </c>
      <c r="G6155" s="403" t="s">
        <v>1467</v>
      </c>
      <c r="H6155" s="403" t="s">
        <v>1276</v>
      </c>
      <c r="I6155" s="403">
        <v>1</v>
      </c>
      <c r="J6155" s="403" t="s">
        <v>109</v>
      </c>
      <c r="K6155" s="403">
        <v>720</v>
      </c>
      <c r="L6155" s="403">
        <v>1280</v>
      </c>
      <c r="M6155" s="403" t="s">
        <v>1284</v>
      </c>
      <c r="N6155" s="403">
        <v>480</v>
      </c>
      <c r="O6155" s="403">
        <v>640</v>
      </c>
      <c r="P6155" t="str">
        <f t="shared" si="769"/>
        <v>20fps 720p - SD VGA (cropped)</v>
      </c>
      <c r="Q6155">
        <f t="shared" si="770"/>
        <v>28</v>
      </c>
      <c r="R6155" t="str">
        <f t="shared" si="771"/>
        <v/>
      </c>
      <c r="S6155" t="str">
        <f t="shared" si="772"/>
        <v/>
      </c>
      <c r="T6155" s="403" t="str">
        <f t="shared" si="773"/>
        <v>NDV-3503-F02</v>
      </c>
      <c r="U6155" s="403">
        <f t="shared" si="774"/>
        <v>1</v>
      </c>
      <c r="V6155" s="403" t="str">
        <f t="shared" si="775"/>
        <v>CPP_7_3</v>
      </c>
    </row>
    <row r="6156" spans="1:22">
      <c r="A6156" t="str">
        <f t="shared" si="768"/>
        <v>NDV-3503-F02</v>
      </c>
      <c r="B6156" s="403" t="s">
        <v>1433</v>
      </c>
      <c r="C6156" s="403" t="s">
        <v>582</v>
      </c>
      <c r="D6156" s="403" t="s">
        <v>1434</v>
      </c>
      <c r="E6156" s="403" t="s">
        <v>778</v>
      </c>
      <c r="F6156" s="403" t="s">
        <v>1375</v>
      </c>
      <c r="G6156" s="403" t="s">
        <v>1467</v>
      </c>
      <c r="H6156" s="403" t="s">
        <v>1281</v>
      </c>
      <c r="I6156" s="403">
        <v>1</v>
      </c>
      <c r="J6156" s="403" t="s">
        <v>1377</v>
      </c>
      <c r="K6156" s="403">
        <v>1528</v>
      </c>
      <c r="L6156" s="403">
        <v>2720</v>
      </c>
      <c r="M6156" s="403" t="s">
        <v>1280</v>
      </c>
      <c r="N6156" s="403">
        <v>1528</v>
      </c>
      <c r="O6156" s="403">
        <v>2720</v>
      </c>
      <c r="P6156" t="str">
        <f t="shared" si="769"/>
        <v>20fps 2720x1530 - copy other stream</v>
      </c>
      <c r="Q6156">
        <f t="shared" si="770"/>
        <v>28</v>
      </c>
      <c r="R6156" t="str">
        <f t="shared" si="771"/>
        <v/>
      </c>
      <c r="S6156" t="str">
        <f t="shared" si="772"/>
        <v/>
      </c>
      <c r="T6156" s="403" t="str">
        <f t="shared" si="773"/>
        <v>NDV-3503-F02</v>
      </c>
      <c r="U6156" s="403">
        <f t="shared" si="774"/>
        <v>1</v>
      </c>
      <c r="V6156" s="403" t="str">
        <f t="shared" si="775"/>
        <v>CPP_7_3</v>
      </c>
    </row>
    <row r="6157" spans="1:22">
      <c r="A6157" t="str">
        <f t="shared" si="768"/>
        <v>NDV-3503-F02</v>
      </c>
      <c r="B6157" s="403" t="s">
        <v>1433</v>
      </c>
      <c r="C6157" s="403" t="s">
        <v>582</v>
      </c>
      <c r="D6157" s="403" t="s">
        <v>1434</v>
      </c>
      <c r="E6157" s="403" t="s">
        <v>778</v>
      </c>
      <c r="F6157" s="403" t="s">
        <v>1375</v>
      </c>
      <c r="G6157" s="403" t="s">
        <v>1467</v>
      </c>
      <c r="H6157" s="403" t="s">
        <v>1281</v>
      </c>
      <c r="I6157" s="403">
        <v>1</v>
      </c>
      <c r="J6157" s="403" t="s">
        <v>1374</v>
      </c>
      <c r="K6157" s="403">
        <v>1296</v>
      </c>
      <c r="L6157" s="403">
        <v>2304</v>
      </c>
      <c r="M6157" s="403" t="s">
        <v>109</v>
      </c>
      <c r="N6157" s="403">
        <v>720</v>
      </c>
      <c r="O6157" s="403">
        <v>1280</v>
      </c>
      <c r="P6157" t="str">
        <f t="shared" si="769"/>
        <v>20fps 2304x1296 - 720p</v>
      </c>
      <c r="Q6157">
        <f t="shared" si="770"/>
        <v>28</v>
      </c>
      <c r="R6157" t="str">
        <f t="shared" si="771"/>
        <v/>
      </c>
      <c r="S6157" t="str">
        <f t="shared" si="772"/>
        <v/>
      </c>
      <c r="T6157" s="403" t="str">
        <f t="shared" si="773"/>
        <v>NDV-3503-F02</v>
      </c>
      <c r="U6157" s="403">
        <f t="shared" si="774"/>
        <v>1</v>
      </c>
      <c r="V6157" s="403" t="str">
        <f t="shared" si="775"/>
        <v>CPP_7_3</v>
      </c>
    </row>
    <row r="6158" spans="1:22">
      <c r="A6158" t="str">
        <f t="shared" si="768"/>
        <v>NDV-3503-F02</v>
      </c>
      <c r="B6158" s="403" t="s">
        <v>1433</v>
      </c>
      <c r="C6158" s="403" t="s">
        <v>582</v>
      </c>
      <c r="D6158" s="403" t="s">
        <v>1434</v>
      </c>
      <c r="E6158" s="403" t="s">
        <v>778</v>
      </c>
      <c r="F6158" s="403" t="s">
        <v>1375</v>
      </c>
      <c r="G6158" s="403" t="s">
        <v>1467</v>
      </c>
      <c r="H6158" s="403" t="s">
        <v>1281</v>
      </c>
      <c r="I6158" s="403">
        <v>1</v>
      </c>
      <c r="J6158" s="403" t="s">
        <v>1374</v>
      </c>
      <c r="K6158" s="403">
        <v>1296</v>
      </c>
      <c r="L6158" s="403">
        <v>2304</v>
      </c>
      <c r="M6158" s="403" t="s">
        <v>111</v>
      </c>
      <c r="N6158" s="403">
        <v>432</v>
      </c>
      <c r="O6158" s="403">
        <v>768</v>
      </c>
      <c r="P6158" t="str">
        <f t="shared" si="769"/>
        <v>20fps 2304x1296 - SD</v>
      </c>
      <c r="Q6158">
        <f t="shared" si="770"/>
        <v>28</v>
      </c>
      <c r="R6158" t="str">
        <f t="shared" si="771"/>
        <v/>
      </c>
      <c r="S6158" t="str">
        <f t="shared" si="772"/>
        <v/>
      </c>
      <c r="T6158" s="403" t="str">
        <f t="shared" si="773"/>
        <v>NDV-3503-F02</v>
      </c>
      <c r="U6158" s="403">
        <f t="shared" si="774"/>
        <v>1</v>
      </c>
      <c r="V6158" s="403" t="str">
        <f t="shared" si="775"/>
        <v>CPP_7_3</v>
      </c>
    </row>
    <row r="6159" spans="1:22">
      <c r="A6159" t="str">
        <f t="shared" si="768"/>
        <v>NDV-3503-F02</v>
      </c>
      <c r="B6159" s="403" t="s">
        <v>1433</v>
      </c>
      <c r="C6159" s="403" t="s">
        <v>582</v>
      </c>
      <c r="D6159" s="403" t="s">
        <v>1434</v>
      </c>
      <c r="E6159" s="403" t="s">
        <v>778</v>
      </c>
      <c r="F6159" s="403" t="s">
        <v>1375</v>
      </c>
      <c r="G6159" s="403" t="s">
        <v>1467</v>
      </c>
      <c r="H6159" s="403" t="s">
        <v>1281</v>
      </c>
      <c r="I6159" s="403">
        <v>1</v>
      </c>
      <c r="J6159" s="403" t="s">
        <v>1374</v>
      </c>
      <c r="K6159" s="403">
        <v>1296</v>
      </c>
      <c r="L6159" s="403">
        <v>2304</v>
      </c>
      <c r="M6159" s="403" t="s">
        <v>1279</v>
      </c>
      <c r="N6159" s="403">
        <v>432</v>
      </c>
      <c r="O6159" s="403">
        <v>768</v>
      </c>
      <c r="P6159" t="str">
        <f t="shared" si="769"/>
        <v>20fps 2304x1296 - SD ROI PTZ</v>
      </c>
      <c r="Q6159">
        <f t="shared" si="770"/>
        <v>28</v>
      </c>
      <c r="R6159" t="str">
        <f t="shared" si="771"/>
        <v/>
      </c>
      <c r="S6159" t="str">
        <f t="shared" si="772"/>
        <v/>
      </c>
      <c r="T6159" s="403" t="str">
        <f t="shared" si="773"/>
        <v>NDV-3503-F02</v>
      </c>
      <c r="U6159" s="403">
        <f t="shared" si="774"/>
        <v>1</v>
      </c>
      <c r="V6159" s="403" t="str">
        <f t="shared" si="775"/>
        <v>CPP_7_3</v>
      </c>
    </row>
    <row r="6160" spans="1:22">
      <c r="A6160" t="str">
        <f t="shared" si="768"/>
        <v>NDV-3503-F02</v>
      </c>
      <c r="B6160" s="403" t="s">
        <v>1433</v>
      </c>
      <c r="C6160" s="403" t="s">
        <v>582</v>
      </c>
      <c r="D6160" s="403" t="s">
        <v>1434</v>
      </c>
      <c r="E6160" s="403" t="s">
        <v>778</v>
      </c>
      <c r="F6160" s="403" t="s">
        <v>1375</v>
      </c>
      <c r="G6160" s="403" t="s">
        <v>1467</v>
      </c>
      <c r="H6160" s="403" t="s">
        <v>1281</v>
      </c>
      <c r="I6160" s="403">
        <v>1</v>
      </c>
      <c r="J6160" s="403" t="s">
        <v>1374</v>
      </c>
      <c r="K6160" s="403">
        <v>1296</v>
      </c>
      <c r="L6160" s="403">
        <v>2304</v>
      </c>
      <c r="M6160" s="403" t="s">
        <v>1285</v>
      </c>
      <c r="N6160" s="403">
        <v>1024</v>
      </c>
      <c r="O6160" s="403">
        <v>1280</v>
      </c>
      <c r="P6160" t="str">
        <f t="shared" si="769"/>
        <v>20fps 2304x1296 - 1280x1024 5:4 (cropped)</v>
      </c>
      <c r="Q6160">
        <f t="shared" si="770"/>
        <v>28</v>
      </c>
      <c r="R6160" t="str">
        <f t="shared" si="771"/>
        <v/>
      </c>
      <c r="S6160" t="str">
        <f t="shared" si="772"/>
        <v/>
      </c>
      <c r="T6160" s="403" t="str">
        <f t="shared" si="773"/>
        <v>NDV-3503-F02</v>
      </c>
      <c r="U6160" s="403">
        <f t="shared" si="774"/>
        <v>1</v>
      </c>
      <c r="V6160" s="403" t="str">
        <f t="shared" si="775"/>
        <v>CPP_7_3</v>
      </c>
    </row>
    <row r="6161" spans="1:22">
      <c r="A6161" t="str">
        <f t="shared" si="768"/>
        <v>NDV-3503-F02</v>
      </c>
      <c r="B6161" s="403" t="s">
        <v>1433</v>
      </c>
      <c r="C6161" s="403" t="s">
        <v>582</v>
      </c>
      <c r="D6161" s="403" t="s">
        <v>1434</v>
      </c>
      <c r="E6161" s="403" t="s">
        <v>778</v>
      </c>
      <c r="F6161" s="403" t="s">
        <v>1375</v>
      </c>
      <c r="G6161" s="403" t="s">
        <v>1467</v>
      </c>
      <c r="H6161" s="403" t="s">
        <v>1281</v>
      </c>
      <c r="I6161" s="403">
        <v>1</v>
      </c>
      <c r="J6161" s="403" t="s">
        <v>1374</v>
      </c>
      <c r="K6161" s="403">
        <v>1296</v>
      </c>
      <c r="L6161" s="403">
        <v>2304</v>
      </c>
      <c r="M6161" s="403" t="s">
        <v>1283</v>
      </c>
      <c r="N6161" s="403">
        <v>480</v>
      </c>
      <c r="O6161" s="403">
        <v>720</v>
      </c>
      <c r="P6161" t="str">
        <f t="shared" si="769"/>
        <v>20fps 2304x1296 - SD 4CIF resolution 4:3 format (cropped)</v>
      </c>
      <c r="Q6161">
        <f t="shared" si="770"/>
        <v>28</v>
      </c>
      <c r="R6161" t="str">
        <f t="shared" si="771"/>
        <v/>
      </c>
      <c r="S6161" t="str">
        <f t="shared" si="772"/>
        <v/>
      </c>
      <c r="T6161" s="403" t="str">
        <f t="shared" si="773"/>
        <v>NDV-3503-F02</v>
      </c>
      <c r="U6161" s="403">
        <f t="shared" si="774"/>
        <v>1</v>
      </c>
      <c r="V6161" s="403" t="str">
        <f t="shared" si="775"/>
        <v>CPP_7_3</v>
      </c>
    </row>
    <row r="6162" spans="1:22">
      <c r="A6162" t="str">
        <f t="shared" si="768"/>
        <v>NDV-3503-F02</v>
      </c>
      <c r="B6162" s="403" t="s">
        <v>1433</v>
      </c>
      <c r="C6162" s="403" t="s">
        <v>582</v>
      </c>
      <c r="D6162" s="403" t="s">
        <v>1434</v>
      </c>
      <c r="E6162" s="403" t="s">
        <v>778</v>
      </c>
      <c r="F6162" s="403" t="s">
        <v>1375</v>
      </c>
      <c r="G6162" s="403" t="s">
        <v>1467</v>
      </c>
      <c r="H6162" s="403" t="s">
        <v>1281</v>
      </c>
      <c r="I6162" s="403">
        <v>1</v>
      </c>
      <c r="J6162" s="403" t="s">
        <v>1374</v>
      </c>
      <c r="K6162" s="403">
        <v>1296</v>
      </c>
      <c r="L6162" s="403">
        <v>2304</v>
      </c>
      <c r="M6162" s="403" t="s">
        <v>1284</v>
      </c>
      <c r="N6162" s="403">
        <v>480</v>
      </c>
      <c r="O6162" s="403">
        <v>640</v>
      </c>
      <c r="P6162" t="str">
        <f t="shared" si="769"/>
        <v>20fps 2304x1296 - SD VGA (cropped)</v>
      </c>
      <c r="Q6162">
        <f t="shared" si="770"/>
        <v>28</v>
      </c>
      <c r="R6162" t="str">
        <f t="shared" si="771"/>
        <v/>
      </c>
      <c r="S6162" t="str">
        <f t="shared" si="772"/>
        <v/>
      </c>
      <c r="T6162" s="403" t="str">
        <f t="shared" si="773"/>
        <v>NDV-3503-F02</v>
      </c>
      <c r="U6162" s="403">
        <f t="shared" si="774"/>
        <v>1</v>
      </c>
      <c r="V6162" s="403" t="str">
        <f t="shared" si="775"/>
        <v>CPP_7_3</v>
      </c>
    </row>
    <row r="6163" spans="1:22">
      <c r="A6163" t="str">
        <f t="shared" si="768"/>
        <v>NDV-3503-F02</v>
      </c>
      <c r="B6163" s="403" t="s">
        <v>1433</v>
      </c>
      <c r="C6163" s="403" t="s">
        <v>582</v>
      </c>
      <c r="D6163" s="403" t="s">
        <v>1434</v>
      </c>
      <c r="E6163" s="403" t="s">
        <v>778</v>
      </c>
      <c r="F6163" s="403" t="s">
        <v>1375</v>
      </c>
      <c r="G6163" s="403" t="s">
        <v>1467</v>
      </c>
      <c r="H6163" s="403" t="s">
        <v>1281</v>
      </c>
      <c r="I6163" s="403">
        <v>1</v>
      </c>
      <c r="J6163" s="403" t="s">
        <v>1374</v>
      </c>
      <c r="K6163" s="403">
        <v>1296</v>
      </c>
      <c r="L6163" s="403">
        <v>2304</v>
      </c>
      <c r="M6163" s="403" t="s">
        <v>1280</v>
      </c>
      <c r="N6163" s="403">
        <v>1296</v>
      </c>
      <c r="O6163" s="403">
        <v>2304</v>
      </c>
      <c r="P6163" t="str">
        <f t="shared" si="769"/>
        <v>20fps 2304x1296 - copy other stream</v>
      </c>
      <c r="Q6163">
        <f t="shared" si="770"/>
        <v>28</v>
      </c>
      <c r="R6163" t="str">
        <f t="shared" si="771"/>
        <v/>
      </c>
      <c r="S6163" t="str">
        <f t="shared" si="772"/>
        <v/>
      </c>
      <c r="T6163" s="403" t="str">
        <f t="shared" si="773"/>
        <v>NDV-3503-F02</v>
      </c>
      <c r="U6163" s="403">
        <f t="shared" si="774"/>
        <v>1</v>
      </c>
      <c r="V6163" s="403" t="str">
        <f t="shared" si="775"/>
        <v>CPP_7_3</v>
      </c>
    </row>
    <row r="6164" spans="1:22">
      <c r="A6164" t="str">
        <f t="shared" si="768"/>
        <v>NDV-3503-F02</v>
      </c>
      <c r="B6164" s="403" t="s">
        <v>1433</v>
      </c>
      <c r="C6164" s="403" t="s">
        <v>582</v>
      </c>
      <c r="D6164" s="403" t="s">
        <v>1434</v>
      </c>
      <c r="E6164" s="403" t="s">
        <v>778</v>
      </c>
      <c r="F6164" s="403" t="s">
        <v>1375</v>
      </c>
      <c r="G6164" s="403" t="s">
        <v>1467</v>
      </c>
      <c r="H6164" s="403" t="s">
        <v>1281</v>
      </c>
      <c r="I6164" s="403">
        <v>1</v>
      </c>
      <c r="J6164" s="403" t="s">
        <v>110</v>
      </c>
      <c r="K6164" s="403">
        <v>1080</v>
      </c>
      <c r="L6164" s="403">
        <v>1920</v>
      </c>
      <c r="M6164" s="403" t="s">
        <v>111</v>
      </c>
      <c r="N6164" s="403">
        <v>432</v>
      </c>
      <c r="O6164" s="403">
        <v>768</v>
      </c>
      <c r="P6164" t="str">
        <f t="shared" si="769"/>
        <v>20fps 1080p - SD</v>
      </c>
      <c r="Q6164">
        <f t="shared" si="770"/>
        <v>28</v>
      </c>
      <c r="R6164" t="str">
        <f t="shared" si="771"/>
        <v/>
      </c>
      <c r="S6164" t="str">
        <f t="shared" si="772"/>
        <v/>
      </c>
      <c r="T6164" s="403" t="str">
        <f t="shared" si="773"/>
        <v>NDV-3503-F02</v>
      </c>
      <c r="U6164" s="403">
        <f t="shared" si="774"/>
        <v>1</v>
      </c>
      <c r="V6164" s="403" t="str">
        <f t="shared" si="775"/>
        <v>CPP_7_3</v>
      </c>
    </row>
    <row r="6165" spans="1:22">
      <c r="A6165" t="str">
        <f t="shared" si="768"/>
        <v>NDV-3503-F02</v>
      </c>
      <c r="B6165" s="403" t="s">
        <v>1433</v>
      </c>
      <c r="C6165" s="403" t="s">
        <v>582</v>
      </c>
      <c r="D6165" s="403" t="s">
        <v>1434</v>
      </c>
      <c r="E6165" s="403" t="s">
        <v>778</v>
      </c>
      <c r="F6165" s="403" t="s">
        <v>1375</v>
      </c>
      <c r="G6165" s="403" t="s">
        <v>1467</v>
      </c>
      <c r="H6165" s="403" t="s">
        <v>1281</v>
      </c>
      <c r="I6165" s="403">
        <v>1</v>
      </c>
      <c r="J6165" s="403" t="s">
        <v>110</v>
      </c>
      <c r="K6165" s="403">
        <v>1080</v>
      </c>
      <c r="L6165" s="403">
        <v>1920</v>
      </c>
      <c r="M6165" s="403" t="s">
        <v>110</v>
      </c>
      <c r="N6165" s="403">
        <v>1080</v>
      </c>
      <c r="O6165" s="403">
        <v>1920</v>
      </c>
      <c r="P6165" t="str">
        <f t="shared" si="769"/>
        <v>20fps 1080p - 1080p</v>
      </c>
      <c r="Q6165">
        <f t="shared" si="770"/>
        <v>28</v>
      </c>
      <c r="R6165" t="str">
        <f t="shared" si="771"/>
        <v/>
      </c>
      <c r="S6165" t="str">
        <f t="shared" si="772"/>
        <v/>
      </c>
      <c r="T6165" s="403" t="str">
        <f t="shared" si="773"/>
        <v>NDV-3503-F02</v>
      </c>
      <c r="U6165" s="403">
        <f t="shared" si="774"/>
        <v>1</v>
      </c>
      <c r="V6165" s="403" t="str">
        <f t="shared" si="775"/>
        <v>CPP_7_3</v>
      </c>
    </row>
    <row r="6166" spans="1:22">
      <c r="A6166" t="str">
        <f t="shared" si="768"/>
        <v>NDV-3503-F02</v>
      </c>
      <c r="B6166" s="403" t="s">
        <v>1433</v>
      </c>
      <c r="C6166" s="403" t="s">
        <v>582</v>
      </c>
      <c r="D6166" s="403" t="s">
        <v>1434</v>
      </c>
      <c r="E6166" s="403" t="s">
        <v>778</v>
      </c>
      <c r="F6166" s="403" t="s">
        <v>1375</v>
      </c>
      <c r="G6166" s="403" t="s">
        <v>1467</v>
      </c>
      <c r="H6166" s="403" t="s">
        <v>1281</v>
      </c>
      <c r="I6166" s="403">
        <v>1</v>
      </c>
      <c r="J6166" s="403" t="s">
        <v>110</v>
      </c>
      <c r="K6166" s="403">
        <v>1080</v>
      </c>
      <c r="L6166" s="403">
        <v>1920</v>
      </c>
      <c r="M6166" s="403" t="s">
        <v>109</v>
      </c>
      <c r="N6166" s="403">
        <v>720</v>
      </c>
      <c r="O6166" s="403">
        <v>1280</v>
      </c>
      <c r="P6166" t="str">
        <f t="shared" si="769"/>
        <v>20fps 1080p - 720p</v>
      </c>
      <c r="Q6166">
        <f t="shared" si="770"/>
        <v>28</v>
      </c>
      <c r="R6166" t="str">
        <f t="shared" si="771"/>
        <v/>
      </c>
      <c r="S6166" t="str">
        <f t="shared" si="772"/>
        <v/>
      </c>
      <c r="T6166" s="403" t="str">
        <f t="shared" si="773"/>
        <v>NDV-3503-F02</v>
      </c>
      <c r="U6166" s="403">
        <f t="shared" si="774"/>
        <v>1</v>
      </c>
      <c r="V6166" s="403" t="str">
        <f t="shared" si="775"/>
        <v>CPP_7_3</v>
      </c>
    </row>
    <row r="6167" spans="1:22">
      <c r="A6167" t="str">
        <f t="shared" si="768"/>
        <v>NDV-3503-F02</v>
      </c>
      <c r="B6167" s="403" t="s">
        <v>1433</v>
      </c>
      <c r="C6167" s="403" t="s">
        <v>582</v>
      </c>
      <c r="D6167" s="403" t="s">
        <v>1434</v>
      </c>
      <c r="E6167" s="403" t="s">
        <v>778</v>
      </c>
      <c r="F6167" s="403" t="s">
        <v>1375</v>
      </c>
      <c r="G6167" s="403" t="s">
        <v>1467</v>
      </c>
      <c r="H6167" s="403" t="s">
        <v>1281</v>
      </c>
      <c r="I6167" s="403">
        <v>1</v>
      </c>
      <c r="J6167" s="403" t="s">
        <v>110</v>
      </c>
      <c r="K6167" s="403">
        <v>1080</v>
      </c>
      <c r="L6167" s="403">
        <v>1920</v>
      </c>
      <c r="M6167" s="403" t="s">
        <v>1285</v>
      </c>
      <c r="N6167" s="403">
        <v>1024</v>
      </c>
      <c r="O6167" s="403">
        <v>1280</v>
      </c>
      <c r="P6167" t="str">
        <f t="shared" si="769"/>
        <v>20fps 1080p - 1280x1024 5:4 (cropped)</v>
      </c>
      <c r="Q6167">
        <f t="shared" si="770"/>
        <v>28</v>
      </c>
      <c r="R6167" t="str">
        <f t="shared" si="771"/>
        <v/>
      </c>
      <c r="S6167" t="str">
        <f t="shared" si="772"/>
        <v/>
      </c>
      <c r="T6167" s="403" t="str">
        <f t="shared" si="773"/>
        <v>NDV-3503-F02</v>
      </c>
      <c r="U6167" s="403">
        <f t="shared" si="774"/>
        <v>1</v>
      </c>
      <c r="V6167" s="403" t="str">
        <f t="shared" si="775"/>
        <v>CPP_7_3</v>
      </c>
    </row>
    <row r="6168" spans="1:22">
      <c r="A6168" t="str">
        <f t="shared" si="768"/>
        <v>NDV-3503-F02</v>
      </c>
      <c r="B6168" s="403" t="s">
        <v>1433</v>
      </c>
      <c r="C6168" s="403" t="s">
        <v>582</v>
      </c>
      <c r="D6168" s="403" t="s">
        <v>1434</v>
      </c>
      <c r="E6168" s="403" t="s">
        <v>778</v>
      </c>
      <c r="F6168" s="403" t="s">
        <v>1375</v>
      </c>
      <c r="G6168" s="403" t="s">
        <v>1467</v>
      </c>
      <c r="H6168" s="403" t="s">
        <v>1281</v>
      </c>
      <c r="I6168" s="403">
        <v>1</v>
      </c>
      <c r="J6168" s="403" t="s">
        <v>110</v>
      </c>
      <c r="K6168" s="403">
        <v>1080</v>
      </c>
      <c r="L6168" s="403">
        <v>1920</v>
      </c>
      <c r="M6168" s="403" t="s">
        <v>1279</v>
      </c>
      <c r="N6168" s="403">
        <v>432</v>
      </c>
      <c r="O6168" s="403">
        <v>768</v>
      </c>
      <c r="P6168" t="str">
        <f t="shared" si="769"/>
        <v>20fps 1080p - SD ROI PTZ</v>
      </c>
      <c r="Q6168">
        <f t="shared" si="770"/>
        <v>28</v>
      </c>
      <c r="R6168" t="str">
        <f t="shared" si="771"/>
        <v/>
      </c>
      <c r="S6168" t="str">
        <f t="shared" si="772"/>
        <v/>
      </c>
      <c r="T6168" s="403" t="str">
        <f t="shared" si="773"/>
        <v>NDV-3503-F02</v>
      </c>
      <c r="U6168" s="403">
        <f t="shared" si="774"/>
        <v>1</v>
      </c>
      <c r="V6168" s="403" t="str">
        <f t="shared" si="775"/>
        <v>CPP_7_3</v>
      </c>
    </row>
    <row r="6169" spans="1:22">
      <c r="A6169" t="str">
        <f t="shared" si="768"/>
        <v>NDV-3503-F02</v>
      </c>
      <c r="B6169" s="403" t="s">
        <v>1433</v>
      </c>
      <c r="C6169" s="403" t="s">
        <v>582</v>
      </c>
      <c r="D6169" s="403" t="s">
        <v>1434</v>
      </c>
      <c r="E6169" s="403" t="s">
        <v>778</v>
      </c>
      <c r="F6169" s="403" t="s">
        <v>1375</v>
      </c>
      <c r="G6169" s="403" t="s">
        <v>1467</v>
      </c>
      <c r="H6169" s="403" t="s">
        <v>1281</v>
      </c>
      <c r="I6169" s="403">
        <v>1</v>
      </c>
      <c r="J6169" s="403" t="s">
        <v>110</v>
      </c>
      <c r="K6169" s="403">
        <v>1080</v>
      </c>
      <c r="L6169" s="403">
        <v>1920</v>
      </c>
      <c r="M6169" s="403" t="s">
        <v>1283</v>
      </c>
      <c r="N6169" s="403">
        <v>480</v>
      </c>
      <c r="O6169" s="403">
        <v>720</v>
      </c>
      <c r="P6169" t="str">
        <f t="shared" si="769"/>
        <v>20fps 1080p - SD 4CIF resolution 4:3 format (cropped)</v>
      </c>
      <c r="Q6169">
        <f t="shared" si="770"/>
        <v>28</v>
      </c>
      <c r="R6169" t="str">
        <f t="shared" si="771"/>
        <v/>
      </c>
      <c r="S6169" t="str">
        <f t="shared" si="772"/>
        <v/>
      </c>
      <c r="T6169" s="403" t="str">
        <f t="shared" si="773"/>
        <v>NDV-3503-F02</v>
      </c>
      <c r="U6169" s="403">
        <f t="shared" si="774"/>
        <v>1</v>
      </c>
      <c r="V6169" s="403" t="str">
        <f t="shared" si="775"/>
        <v>CPP_7_3</v>
      </c>
    </row>
    <row r="6170" spans="1:22">
      <c r="A6170" t="str">
        <f t="shared" si="768"/>
        <v>NDV-3503-F02</v>
      </c>
      <c r="B6170" s="403" t="s">
        <v>1433</v>
      </c>
      <c r="C6170" s="403" t="s">
        <v>582</v>
      </c>
      <c r="D6170" s="403" t="s">
        <v>1434</v>
      </c>
      <c r="E6170" s="403" t="s">
        <v>778</v>
      </c>
      <c r="F6170" s="403" t="s">
        <v>1375</v>
      </c>
      <c r="G6170" s="403" t="s">
        <v>1467</v>
      </c>
      <c r="H6170" s="403" t="s">
        <v>1281</v>
      </c>
      <c r="I6170" s="403">
        <v>1</v>
      </c>
      <c r="J6170" s="403" t="s">
        <v>110</v>
      </c>
      <c r="K6170" s="403">
        <v>1080</v>
      </c>
      <c r="L6170" s="403">
        <v>1920</v>
      </c>
      <c r="M6170" s="403" t="s">
        <v>1284</v>
      </c>
      <c r="N6170" s="403">
        <v>480</v>
      </c>
      <c r="O6170" s="403">
        <v>640</v>
      </c>
      <c r="P6170" t="str">
        <f t="shared" si="769"/>
        <v>20fps 1080p - SD VGA (cropped)</v>
      </c>
      <c r="Q6170">
        <f t="shared" si="770"/>
        <v>28</v>
      </c>
      <c r="R6170" t="str">
        <f t="shared" si="771"/>
        <v/>
      </c>
      <c r="S6170" t="str">
        <f t="shared" si="772"/>
        <v/>
      </c>
      <c r="T6170" s="403" t="str">
        <f t="shared" si="773"/>
        <v>NDV-3503-F02</v>
      </c>
      <c r="U6170" s="403">
        <f t="shared" si="774"/>
        <v>1</v>
      </c>
      <c r="V6170" s="403" t="str">
        <f t="shared" si="775"/>
        <v>CPP_7_3</v>
      </c>
    </row>
    <row r="6171" spans="1:22">
      <c r="A6171" t="str">
        <f t="shared" si="768"/>
        <v>NDV-3503-F02</v>
      </c>
      <c r="B6171" s="403" t="s">
        <v>1433</v>
      </c>
      <c r="C6171" s="403" t="s">
        <v>582</v>
      </c>
      <c r="D6171" s="403" t="s">
        <v>1434</v>
      </c>
      <c r="E6171" s="403" t="s">
        <v>778</v>
      </c>
      <c r="F6171" s="403" t="s">
        <v>1375</v>
      </c>
      <c r="G6171" s="403" t="s">
        <v>1467</v>
      </c>
      <c r="H6171" s="403" t="s">
        <v>1281</v>
      </c>
      <c r="I6171" s="403">
        <v>1</v>
      </c>
      <c r="J6171" s="403" t="s">
        <v>109</v>
      </c>
      <c r="K6171" s="403">
        <v>720</v>
      </c>
      <c r="L6171" s="403">
        <v>1280</v>
      </c>
      <c r="M6171" s="403" t="s">
        <v>109</v>
      </c>
      <c r="N6171" s="403">
        <v>720</v>
      </c>
      <c r="O6171" s="403">
        <v>1280</v>
      </c>
      <c r="P6171" t="str">
        <f t="shared" si="769"/>
        <v>20fps 720p - 720p</v>
      </c>
      <c r="Q6171">
        <f t="shared" si="770"/>
        <v>28</v>
      </c>
      <c r="R6171" t="str">
        <f t="shared" si="771"/>
        <v/>
      </c>
      <c r="S6171" t="str">
        <f t="shared" si="772"/>
        <v/>
      </c>
      <c r="T6171" s="403" t="str">
        <f t="shared" si="773"/>
        <v>NDV-3503-F02</v>
      </c>
      <c r="U6171" s="403">
        <f t="shared" si="774"/>
        <v>1</v>
      </c>
      <c r="V6171" s="403" t="str">
        <f t="shared" si="775"/>
        <v>CPP_7_3</v>
      </c>
    </row>
    <row r="6172" spans="1:22">
      <c r="A6172" t="str">
        <f t="shared" si="768"/>
        <v>NDV-3503-F02</v>
      </c>
      <c r="B6172" s="403" t="s">
        <v>1433</v>
      </c>
      <c r="C6172" s="403" t="s">
        <v>582</v>
      </c>
      <c r="D6172" s="403" t="s">
        <v>1434</v>
      </c>
      <c r="E6172" s="403" t="s">
        <v>778</v>
      </c>
      <c r="F6172" s="403" t="s">
        <v>1375</v>
      </c>
      <c r="G6172" s="403" t="s">
        <v>1467</v>
      </c>
      <c r="H6172" s="403" t="s">
        <v>1281</v>
      </c>
      <c r="I6172" s="403">
        <v>1</v>
      </c>
      <c r="J6172" s="403" t="s">
        <v>109</v>
      </c>
      <c r="K6172" s="403">
        <v>720</v>
      </c>
      <c r="L6172" s="403">
        <v>1280</v>
      </c>
      <c r="M6172" s="403" t="s">
        <v>111</v>
      </c>
      <c r="N6172" s="403">
        <v>432</v>
      </c>
      <c r="O6172" s="403">
        <v>768</v>
      </c>
      <c r="P6172" t="str">
        <f t="shared" si="769"/>
        <v>20fps 720p - SD</v>
      </c>
      <c r="Q6172">
        <f t="shared" si="770"/>
        <v>28</v>
      </c>
      <c r="R6172" t="str">
        <f t="shared" si="771"/>
        <v/>
      </c>
      <c r="S6172" t="str">
        <f t="shared" si="772"/>
        <v/>
      </c>
      <c r="T6172" s="403" t="str">
        <f t="shared" si="773"/>
        <v>NDV-3503-F02</v>
      </c>
      <c r="U6172" s="403">
        <f t="shared" si="774"/>
        <v>1</v>
      </c>
      <c r="V6172" s="403" t="str">
        <f t="shared" si="775"/>
        <v>CPP_7_3</v>
      </c>
    </row>
    <row r="6173" spans="1:22">
      <c r="A6173" t="str">
        <f t="shared" si="768"/>
        <v>NDV-3503-F02</v>
      </c>
      <c r="B6173" s="403" t="s">
        <v>1433</v>
      </c>
      <c r="C6173" s="403" t="s">
        <v>582</v>
      </c>
      <c r="D6173" s="403" t="s">
        <v>1434</v>
      </c>
      <c r="E6173" s="403" t="s">
        <v>778</v>
      </c>
      <c r="F6173" s="403" t="s">
        <v>1375</v>
      </c>
      <c r="G6173" s="403" t="s">
        <v>1467</v>
      </c>
      <c r="H6173" s="403" t="s">
        <v>1281</v>
      </c>
      <c r="I6173" s="403">
        <v>1</v>
      </c>
      <c r="J6173" s="403" t="s">
        <v>109</v>
      </c>
      <c r="K6173" s="403">
        <v>720</v>
      </c>
      <c r="L6173" s="403">
        <v>1280</v>
      </c>
      <c r="M6173" s="403" t="s">
        <v>1279</v>
      </c>
      <c r="N6173" s="403">
        <v>432</v>
      </c>
      <c r="O6173" s="403">
        <v>768</v>
      </c>
      <c r="P6173" t="str">
        <f t="shared" si="769"/>
        <v>20fps 720p - SD ROI PTZ</v>
      </c>
      <c r="Q6173">
        <f t="shared" si="770"/>
        <v>28</v>
      </c>
      <c r="R6173" t="str">
        <f t="shared" si="771"/>
        <v/>
      </c>
      <c r="S6173" t="str">
        <f t="shared" si="772"/>
        <v/>
      </c>
      <c r="T6173" s="403" t="str">
        <f t="shared" si="773"/>
        <v>NDV-3503-F02</v>
      </c>
      <c r="U6173" s="403">
        <f t="shared" si="774"/>
        <v>1</v>
      </c>
      <c r="V6173" s="403" t="str">
        <f t="shared" si="775"/>
        <v>CPP_7_3</v>
      </c>
    </row>
    <row r="6174" spans="1:22">
      <c r="A6174" t="str">
        <f t="shared" si="768"/>
        <v>NDV-3503-F02</v>
      </c>
      <c r="B6174" s="403" t="s">
        <v>1433</v>
      </c>
      <c r="C6174" s="403" t="s">
        <v>582</v>
      </c>
      <c r="D6174" s="403" t="s">
        <v>1434</v>
      </c>
      <c r="E6174" s="403" t="s">
        <v>778</v>
      </c>
      <c r="F6174" s="403" t="s">
        <v>1375</v>
      </c>
      <c r="G6174" s="403" t="s">
        <v>1467</v>
      </c>
      <c r="H6174" s="403" t="s">
        <v>1281</v>
      </c>
      <c r="I6174" s="403">
        <v>1</v>
      </c>
      <c r="J6174" s="403" t="s">
        <v>109</v>
      </c>
      <c r="K6174" s="403">
        <v>720</v>
      </c>
      <c r="L6174" s="403">
        <v>1280</v>
      </c>
      <c r="M6174" s="403" t="s">
        <v>1283</v>
      </c>
      <c r="N6174" s="403">
        <v>480</v>
      </c>
      <c r="O6174" s="403">
        <v>720</v>
      </c>
      <c r="P6174" t="str">
        <f t="shared" si="769"/>
        <v>20fps 720p - SD 4CIF resolution 4:3 format (cropped)</v>
      </c>
      <c r="Q6174">
        <f t="shared" si="770"/>
        <v>28</v>
      </c>
      <c r="R6174" t="str">
        <f t="shared" si="771"/>
        <v/>
      </c>
      <c r="S6174" t="str">
        <f t="shared" si="772"/>
        <v/>
      </c>
      <c r="T6174" s="403" t="str">
        <f t="shared" si="773"/>
        <v>NDV-3503-F02</v>
      </c>
      <c r="U6174" s="403">
        <f t="shared" si="774"/>
        <v>1</v>
      </c>
      <c r="V6174" s="403" t="str">
        <f t="shared" si="775"/>
        <v>CPP_7_3</v>
      </c>
    </row>
    <row r="6175" spans="1:22">
      <c r="A6175" t="str">
        <f t="shared" si="768"/>
        <v>NDV-3503-F02</v>
      </c>
      <c r="B6175" s="403" t="s">
        <v>1433</v>
      </c>
      <c r="C6175" s="403" t="s">
        <v>582</v>
      </c>
      <c r="D6175" s="403" t="s">
        <v>1434</v>
      </c>
      <c r="E6175" s="403" t="s">
        <v>778</v>
      </c>
      <c r="F6175" s="403" t="s">
        <v>1375</v>
      </c>
      <c r="G6175" s="403" t="s">
        <v>1467</v>
      </c>
      <c r="H6175" s="403" t="s">
        <v>1281</v>
      </c>
      <c r="I6175" s="403">
        <v>1</v>
      </c>
      <c r="J6175" s="403" t="s">
        <v>109</v>
      </c>
      <c r="K6175" s="403">
        <v>720</v>
      </c>
      <c r="L6175" s="403">
        <v>1280</v>
      </c>
      <c r="M6175" s="403" t="s">
        <v>1284</v>
      </c>
      <c r="N6175" s="403">
        <v>480</v>
      </c>
      <c r="O6175" s="403">
        <v>640</v>
      </c>
      <c r="P6175" t="str">
        <f t="shared" si="769"/>
        <v>20fps 720p - SD VGA (cropped)</v>
      </c>
      <c r="Q6175">
        <f t="shared" si="770"/>
        <v>28</v>
      </c>
      <c r="R6175" t="str">
        <f t="shared" si="771"/>
        <v/>
      </c>
      <c r="S6175" t="str">
        <f t="shared" si="772"/>
        <v/>
      </c>
      <c r="T6175" s="403" t="str">
        <f t="shared" si="773"/>
        <v>NDV-3503-F02</v>
      </c>
      <c r="U6175" s="403">
        <f t="shared" si="774"/>
        <v>1</v>
      </c>
      <c r="V6175" s="403" t="str">
        <f t="shared" si="775"/>
        <v>CPP_7_3</v>
      </c>
    </row>
    <row r="6176" spans="1:22">
      <c r="A6176" t="str">
        <f t="shared" si="768"/>
        <v>NHT-8001-F35VF</v>
      </c>
      <c r="B6176" s="403" t="s">
        <v>1435</v>
      </c>
      <c r="C6176" s="403" t="s">
        <v>583</v>
      </c>
      <c r="D6176" s="403" t="s">
        <v>1318</v>
      </c>
      <c r="E6176" s="403" t="s">
        <v>778</v>
      </c>
      <c r="F6176" s="403" t="s">
        <v>1319</v>
      </c>
      <c r="G6176" s="403" t="s">
        <v>1466</v>
      </c>
      <c r="H6176" s="403" t="s">
        <v>1276</v>
      </c>
      <c r="I6176" s="403">
        <v>1</v>
      </c>
      <c r="J6176" s="403" t="s">
        <v>111</v>
      </c>
      <c r="K6176" s="403">
        <v>640</v>
      </c>
      <c r="L6176" s="403">
        <v>480</v>
      </c>
      <c r="M6176" s="403" t="s">
        <v>1279</v>
      </c>
      <c r="N6176" s="403">
        <v>640</v>
      </c>
      <c r="O6176" s="403">
        <v>480</v>
      </c>
      <c r="P6176" t="str">
        <f t="shared" si="769"/>
        <v>30fps SD - SD ROI PTZ</v>
      </c>
      <c r="Q6176">
        <f t="shared" si="770"/>
        <v>29</v>
      </c>
      <c r="R6176">
        <f t="shared" si="771"/>
        <v>29</v>
      </c>
      <c r="S6176" t="str">
        <f t="shared" si="772"/>
        <v>DINION IP thermal 8000 (NHT-8001-F35VF)</v>
      </c>
      <c r="T6176" s="403" t="str">
        <f t="shared" si="773"/>
        <v>NHT-8001-F35VF</v>
      </c>
      <c r="U6176" s="403">
        <f t="shared" si="774"/>
        <v>1</v>
      </c>
      <c r="V6176" s="403" t="str">
        <f t="shared" si="775"/>
        <v>CPP_7</v>
      </c>
    </row>
    <row r="6177" spans="1:22">
      <c r="A6177" t="str">
        <f t="shared" si="768"/>
        <v>NHT-8001-F35VF</v>
      </c>
      <c r="B6177" s="403" t="s">
        <v>1435</v>
      </c>
      <c r="C6177" s="403" t="s">
        <v>583</v>
      </c>
      <c r="D6177" s="403" t="s">
        <v>1318</v>
      </c>
      <c r="E6177" s="403" t="s">
        <v>778</v>
      </c>
      <c r="F6177" s="403" t="s">
        <v>1319</v>
      </c>
      <c r="G6177" s="403" t="s">
        <v>1466</v>
      </c>
      <c r="H6177" s="403" t="s">
        <v>1276</v>
      </c>
      <c r="I6177" s="403">
        <v>1</v>
      </c>
      <c r="J6177" s="403" t="s">
        <v>111</v>
      </c>
      <c r="K6177" s="403">
        <v>640</v>
      </c>
      <c r="L6177" s="403">
        <v>480</v>
      </c>
      <c r="M6177" s="403" t="s">
        <v>1280</v>
      </c>
      <c r="N6177" s="403">
        <v>640</v>
      </c>
      <c r="O6177" s="403">
        <v>480</v>
      </c>
      <c r="P6177" t="str">
        <f t="shared" si="769"/>
        <v>30fps SD - copy other stream</v>
      </c>
      <c r="Q6177">
        <f t="shared" si="770"/>
        <v>29</v>
      </c>
      <c r="R6177" t="str">
        <f t="shared" si="771"/>
        <v/>
      </c>
      <c r="S6177" t="str">
        <f t="shared" si="772"/>
        <v/>
      </c>
      <c r="T6177" s="403" t="str">
        <f t="shared" si="773"/>
        <v>NHT-8001-F35VF</v>
      </c>
      <c r="U6177" s="403">
        <f t="shared" si="774"/>
        <v>1</v>
      </c>
      <c r="V6177" s="403" t="str">
        <f t="shared" si="775"/>
        <v>CPP_7</v>
      </c>
    </row>
    <row r="6178" spans="1:22">
      <c r="A6178" t="str">
        <f t="shared" si="768"/>
        <v>NHT-8001-F65VS</v>
      </c>
      <c r="B6178" s="403" t="s">
        <v>1435</v>
      </c>
      <c r="C6178" s="403" t="s">
        <v>583</v>
      </c>
      <c r="D6178" s="403" t="s">
        <v>1436</v>
      </c>
      <c r="E6178" s="403" t="s">
        <v>778</v>
      </c>
      <c r="F6178" s="403" t="s">
        <v>1437</v>
      </c>
      <c r="G6178" s="403" t="s">
        <v>1466</v>
      </c>
      <c r="H6178" s="403" t="s">
        <v>1276</v>
      </c>
      <c r="I6178" s="403">
        <v>1</v>
      </c>
      <c r="J6178" s="403" t="s">
        <v>111</v>
      </c>
      <c r="K6178" s="403">
        <v>640</v>
      </c>
      <c r="L6178" s="403">
        <v>480</v>
      </c>
      <c r="M6178" s="403" t="s">
        <v>1279</v>
      </c>
      <c r="N6178" s="403">
        <v>640</v>
      </c>
      <c r="O6178" s="403">
        <v>480</v>
      </c>
      <c r="P6178" t="str">
        <f t="shared" si="769"/>
        <v>9fps  SD - SD ROI PTZ</v>
      </c>
      <c r="Q6178">
        <f t="shared" si="770"/>
        <v>30</v>
      </c>
      <c r="R6178">
        <f t="shared" si="771"/>
        <v>30</v>
      </c>
      <c r="S6178" t="str">
        <f t="shared" si="772"/>
        <v>DINION IP thermal 8000 (NHT-8001-F65VS)</v>
      </c>
      <c r="T6178" s="403" t="str">
        <f t="shared" si="773"/>
        <v>NHT-8001-F65VS</v>
      </c>
      <c r="U6178" s="403">
        <f t="shared" si="774"/>
        <v>1</v>
      </c>
      <c r="V6178" s="403" t="str">
        <f t="shared" si="775"/>
        <v>CPP_7</v>
      </c>
    </row>
    <row r="6179" spans="1:22">
      <c r="A6179" t="str">
        <f t="shared" si="768"/>
        <v>NHT-8001-F65VS</v>
      </c>
      <c r="B6179" s="403" t="s">
        <v>1435</v>
      </c>
      <c r="C6179" s="403" t="s">
        <v>583</v>
      </c>
      <c r="D6179" s="403" t="s">
        <v>1436</v>
      </c>
      <c r="E6179" s="403" t="s">
        <v>778</v>
      </c>
      <c r="F6179" s="403" t="s">
        <v>1437</v>
      </c>
      <c r="G6179" s="403" t="s">
        <v>1466</v>
      </c>
      <c r="H6179" s="403" t="s">
        <v>1276</v>
      </c>
      <c r="I6179" s="403">
        <v>1</v>
      </c>
      <c r="J6179" s="403" t="s">
        <v>111</v>
      </c>
      <c r="K6179" s="403">
        <v>640</v>
      </c>
      <c r="L6179" s="403">
        <v>480</v>
      </c>
      <c r="M6179" s="403" t="s">
        <v>1280</v>
      </c>
      <c r="N6179" s="403">
        <v>640</v>
      </c>
      <c r="O6179" s="403">
        <v>480</v>
      </c>
      <c r="P6179" t="str">
        <f t="shared" si="769"/>
        <v>9fps  SD - copy other stream</v>
      </c>
      <c r="Q6179">
        <f t="shared" si="770"/>
        <v>30</v>
      </c>
      <c r="R6179" t="str">
        <f t="shared" si="771"/>
        <v/>
      </c>
      <c r="S6179" t="str">
        <f t="shared" si="772"/>
        <v/>
      </c>
      <c r="T6179" s="403" t="str">
        <f t="shared" si="773"/>
        <v>NHT-8001-F65VS</v>
      </c>
      <c r="U6179" s="403">
        <f t="shared" si="774"/>
        <v>1</v>
      </c>
      <c r="V6179" s="403" t="str">
        <f t="shared" si="775"/>
        <v>CPP_7</v>
      </c>
    </row>
    <row r="6180" spans="1:22">
      <c r="A6180" t="str">
        <f t="shared" si="768"/>
        <v>NIN-63013-Ax</v>
      </c>
      <c r="B6180" s="403" t="s">
        <v>1438</v>
      </c>
      <c r="C6180" s="403" t="s">
        <v>583</v>
      </c>
      <c r="D6180" s="403" t="s">
        <v>1315</v>
      </c>
      <c r="E6180" s="403" t="s">
        <v>1316</v>
      </c>
      <c r="F6180" s="403" t="s">
        <v>1297</v>
      </c>
      <c r="G6180" s="403" t="s">
        <v>1466</v>
      </c>
      <c r="H6180" s="403" t="s">
        <v>1276</v>
      </c>
      <c r="I6180" s="403">
        <v>1</v>
      </c>
      <c r="J6180" s="403" t="s">
        <v>109</v>
      </c>
      <c r="K6180" s="403">
        <v>1280</v>
      </c>
      <c r="L6180" s="403">
        <v>720</v>
      </c>
      <c r="M6180" s="403" t="s">
        <v>111</v>
      </c>
      <c r="N6180" s="403">
        <v>768</v>
      </c>
      <c r="O6180" s="403">
        <v>432</v>
      </c>
      <c r="P6180" t="str">
        <f t="shared" si="769"/>
        <v>30fps 720p - SD</v>
      </c>
      <c r="Q6180">
        <f t="shared" si="770"/>
        <v>31</v>
      </c>
      <c r="R6180">
        <f t="shared" si="771"/>
        <v>31</v>
      </c>
      <c r="S6180" t="str">
        <f t="shared" si="772"/>
        <v>FLEXIDOME IP starlight 6000 VR (NIN-63013-Ax)</v>
      </c>
      <c r="T6180" s="403" t="str">
        <f t="shared" si="773"/>
        <v>NIN-63013-Ax</v>
      </c>
      <c r="U6180" s="403">
        <f t="shared" si="774"/>
        <v>1</v>
      </c>
      <c r="V6180" s="403" t="str">
        <f t="shared" si="775"/>
        <v>CPP_7</v>
      </c>
    </row>
    <row r="6181" spans="1:22">
      <c r="A6181" t="str">
        <f t="shared" si="768"/>
        <v>NIN-63013-Ax</v>
      </c>
      <c r="B6181" s="403" t="s">
        <v>1438</v>
      </c>
      <c r="C6181" s="403" t="s">
        <v>583</v>
      </c>
      <c r="D6181" s="403" t="s">
        <v>1315</v>
      </c>
      <c r="E6181" s="403" t="s">
        <v>1316</v>
      </c>
      <c r="F6181" s="403" t="s">
        <v>1297</v>
      </c>
      <c r="G6181" s="403" t="s">
        <v>1466</v>
      </c>
      <c r="H6181" s="403" t="s">
        <v>1276</v>
      </c>
      <c r="I6181" s="403">
        <v>1</v>
      </c>
      <c r="J6181" s="403" t="s">
        <v>109</v>
      </c>
      <c r="K6181" s="403">
        <v>1280</v>
      </c>
      <c r="L6181" s="403">
        <v>720</v>
      </c>
      <c r="M6181" s="403" t="s">
        <v>109</v>
      </c>
      <c r="N6181" s="403">
        <v>1280</v>
      </c>
      <c r="O6181" s="403">
        <v>720</v>
      </c>
      <c r="P6181" t="str">
        <f t="shared" si="769"/>
        <v>30fps 720p - 720p</v>
      </c>
      <c r="Q6181">
        <f t="shared" si="770"/>
        <v>31</v>
      </c>
      <c r="R6181" t="str">
        <f t="shared" si="771"/>
        <v/>
      </c>
      <c r="S6181" t="str">
        <f t="shared" si="772"/>
        <v/>
      </c>
      <c r="T6181" s="403" t="str">
        <f t="shared" si="773"/>
        <v>NIN-63013-Ax</v>
      </c>
      <c r="U6181" s="403">
        <f t="shared" si="774"/>
        <v>1</v>
      </c>
      <c r="V6181" s="403" t="str">
        <f t="shared" si="775"/>
        <v>CPP_7</v>
      </c>
    </row>
    <row r="6182" spans="1:22">
      <c r="A6182" t="str">
        <f t="shared" si="768"/>
        <v>NIN-63013-Ax</v>
      </c>
      <c r="B6182" s="403" t="s">
        <v>1438</v>
      </c>
      <c r="C6182" s="403" t="s">
        <v>583</v>
      </c>
      <c r="D6182" s="403" t="s">
        <v>1315</v>
      </c>
      <c r="E6182" s="403" t="s">
        <v>1316</v>
      </c>
      <c r="F6182" s="403" t="s">
        <v>1297</v>
      </c>
      <c r="G6182" s="403" t="s">
        <v>1466</v>
      </c>
      <c r="H6182" s="403" t="s">
        <v>1276</v>
      </c>
      <c r="I6182" s="403">
        <v>1</v>
      </c>
      <c r="J6182" s="403" t="s">
        <v>109</v>
      </c>
      <c r="K6182" s="403">
        <v>1280</v>
      </c>
      <c r="L6182" s="403">
        <v>720</v>
      </c>
      <c r="M6182" s="403" t="s">
        <v>1279</v>
      </c>
      <c r="N6182" s="403">
        <v>768</v>
      </c>
      <c r="O6182" s="403">
        <v>432</v>
      </c>
      <c r="P6182" t="str">
        <f t="shared" si="769"/>
        <v>30fps 720p - SD ROI PTZ</v>
      </c>
      <c r="Q6182">
        <f t="shared" si="770"/>
        <v>31</v>
      </c>
      <c r="R6182" t="str">
        <f t="shared" si="771"/>
        <v/>
      </c>
      <c r="S6182" t="str">
        <f t="shared" si="772"/>
        <v/>
      </c>
      <c r="T6182" s="403" t="str">
        <f t="shared" si="773"/>
        <v>NIN-63013-Ax</v>
      </c>
      <c r="U6182" s="403">
        <f t="shared" si="774"/>
        <v>1</v>
      </c>
      <c r="V6182" s="403" t="str">
        <f t="shared" si="775"/>
        <v>CPP_7</v>
      </c>
    </row>
    <row r="6183" spans="1:22">
      <c r="A6183" t="str">
        <f t="shared" si="768"/>
        <v>NIN-63013-Ax</v>
      </c>
      <c r="B6183" s="403" t="s">
        <v>1438</v>
      </c>
      <c r="C6183" s="403" t="s">
        <v>583</v>
      </c>
      <c r="D6183" s="403" t="s">
        <v>1315</v>
      </c>
      <c r="E6183" s="403" t="s">
        <v>1316</v>
      </c>
      <c r="F6183" s="403" t="s">
        <v>1297</v>
      </c>
      <c r="G6183" s="403" t="s">
        <v>1466</v>
      </c>
      <c r="H6183" s="403" t="s">
        <v>1276</v>
      </c>
      <c r="I6183" s="403">
        <v>1</v>
      </c>
      <c r="J6183" s="403" t="s">
        <v>109</v>
      </c>
      <c r="K6183" s="403">
        <v>1280</v>
      </c>
      <c r="L6183" s="403">
        <v>720</v>
      </c>
      <c r="M6183" s="403" t="s">
        <v>1298</v>
      </c>
      <c r="N6183" s="403">
        <v>768</v>
      </c>
      <c r="O6183" s="403">
        <v>432</v>
      </c>
      <c r="P6183" t="str">
        <f t="shared" si="769"/>
        <v>30fps 720p - SD dual stream with independent ROI PTZ</v>
      </c>
      <c r="Q6183">
        <f t="shared" si="770"/>
        <v>31</v>
      </c>
      <c r="R6183" t="str">
        <f t="shared" si="771"/>
        <v/>
      </c>
      <c r="S6183" t="str">
        <f t="shared" si="772"/>
        <v/>
      </c>
      <c r="T6183" s="403" t="str">
        <f t="shared" si="773"/>
        <v>NIN-63013-Ax</v>
      </c>
      <c r="U6183" s="403">
        <f t="shared" si="774"/>
        <v>1</v>
      </c>
      <c r="V6183" s="403" t="str">
        <f t="shared" si="775"/>
        <v>CPP_7</v>
      </c>
    </row>
    <row r="6184" spans="1:22">
      <c r="A6184" t="str">
        <f t="shared" si="768"/>
        <v>NIN-63013-Ax</v>
      </c>
      <c r="B6184" s="403" t="s">
        <v>1438</v>
      </c>
      <c r="C6184" s="403" t="s">
        <v>583</v>
      </c>
      <c r="D6184" s="403" t="s">
        <v>1315</v>
      </c>
      <c r="E6184" s="403" t="s">
        <v>1316</v>
      </c>
      <c r="F6184" s="403" t="s">
        <v>1297</v>
      </c>
      <c r="G6184" s="403" t="s">
        <v>1466</v>
      </c>
      <c r="H6184" s="403" t="s">
        <v>1276</v>
      </c>
      <c r="I6184" s="403">
        <v>1</v>
      </c>
      <c r="J6184" s="403" t="s">
        <v>109</v>
      </c>
      <c r="K6184" s="403">
        <v>1280</v>
      </c>
      <c r="L6184" s="403">
        <v>720</v>
      </c>
      <c r="M6184" s="403" t="s">
        <v>1283</v>
      </c>
      <c r="N6184" s="403">
        <v>704</v>
      </c>
      <c r="O6184" s="403">
        <v>480</v>
      </c>
      <c r="P6184" t="str">
        <f t="shared" si="769"/>
        <v>30fps 720p - SD 4CIF resolution 4:3 format (cropped)</v>
      </c>
      <c r="Q6184">
        <f t="shared" si="770"/>
        <v>31</v>
      </c>
      <c r="R6184" t="str">
        <f t="shared" si="771"/>
        <v/>
      </c>
      <c r="S6184" t="str">
        <f t="shared" si="772"/>
        <v/>
      </c>
      <c r="T6184" s="403" t="str">
        <f t="shared" si="773"/>
        <v>NIN-63013-Ax</v>
      </c>
      <c r="U6184" s="403">
        <f t="shared" si="774"/>
        <v>1</v>
      </c>
      <c r="V6184" s="403" t="str">
        <f t="shared" si="775"/>
        <v>CPP_7</v>
      </c>
    </row>
    <row r="6185" spans="1:22">
      <c r="A6185" t="str">
        <f t="shared" si="768"/>
        <v>NIN-63013-Ax</v>
      </c>
      <c r="B6185" s="403" t="s">
        <v>1438</v>
      </c>
      <c r="C6185" s="403" t="s">
        <v>583</v>
      </c>
      <c r="D6185" s="403" t="s">
        <v>1315</v>
      </c>
      <c r="E6185" s="403" t="s">
        <v>1316</v>
      </c>
      <c r="F6185" s="403" t="s">
        <v>1297</v>
      </c>
      <c r="G6185" s="403" t="s">
        <v>1466</v>
      </c>
      <c r="H6185" s="403" t="s">
        <v>1276</v>
      </c>
      <c r="I6185" s="403">
        <v>1</v>
      </c>
      <c r="J6185" s="403" t="s">
        <v>109</v>
      </c>
      <c r="K6185" s="403">
        <v>1280</v>
      </c>
      <c r="L6185" s="403">
        <v>720</v>
      </c>
      <c r="M6185" s="403" t="s">
        <v>1284</v>
      </c>
      <c r="N6185" s="403">
        <v>640</v>
      </c>
      <c r="O6185" s="403">
        <v>480</v>
      </c>
      <c r="P6185" t="str">
        <f t="shared" si="769"/>
        <v>30fps 720p - SD VGA (cropped)</v>
      </c>
      <c r="Q6185">
        <f t="shared" si="770"/>
        <v>31</v>
      </c>
      <c r="R6185" t="str">
        <f t="shared" si="771"/>
        <v/>
      </c>
      <c r="S6185" t="str">
        <f t="shared" si="772"/>
        <v/>
      </c>
      <c r="T6185" s="403" t="str">
        <f t="shared" si="773"/>
        <v>NIN-63013-Ax</v>
      </c>
      <c r="U6185" s="403">
        <f t="shared" si="774"/>
        <v>1</v>
      </c>
      <c r="V6185" s="403" t="str">
        <f t="shared" si="775"/>
        <v>CPP_7</v>
      </c>
    </row>
    <row r="6186" spans="1:22">
      <c r="A6186" t="str">
        <f t="shared" si="768"/>
        <v>NIN-63013-Ax</v>
      </c>
      <c r="B6186" s="403" t="s">
        <v>1438</v>
      </c>
      <c r="C6186" s="403" t="s">
        <v>583</v>
      </c>
      <c r="D6186" s="403" t="s">
        <v>1315</v>
      </c>
      <c r="E6186" s="403" t="s">
        <v>1316</v>
      </c>
      <c r="F6186" s="403" t="s">
        <v>1297</v>
      </c>
      <c r="G6186" s="403" t="s">
        <v>1466</v>
      </c>
      <c r="H6186" s="403" t="s">
        <v>1276</v>
      </c>
      <c r="I6186" s="403">
        <v>1</v>
      </c>
      <c r="J6186" s="403" t="s">
        <v>111</v>
      </c>
      <c r="K6186" s="403">
        <v>768</v>
      </c>
      <c r="L6186" s="403">
        <v>432</v>
      </c>
      <c r="M6186" s="403" t="s">
        <v>111</v>
      </c>
      <c r="N6186" s="403">
        <v>768</v>
      </c>
      <c r="O6186" s="403">
        <v>432</v>
      </c>
      <c r="P6186" t="str">
        <f t="shared" si="769"/>
        <v>30fps SD - SD</v>
      </c>
      <c r="Q6186">
        <f t="shared" si="770"/>
        <v>31</v>
      </c>
      <c r="R6186" t="str">
        <f t="shared" si="771"/>
        <v/>
      </c>
      <c r="S6186" t="str">
        <f t="shared" si="772"/>
        <v/>
      </c>
      <c r="T6186" s="403" t="str">
        <f t="shared" si="773"/>
        <v>NIN-63013-Ax</v>
      </c>
      <c r="U6186" s="403">
        <f t="shared" si="774"/>
        <v>1</v>
      </c>
      <c r="V6186" s="403" t="str">
        <f t="shared" si="775"/>
        <v>CPP_7</v>
      </c>
    </row>
    <row r="6187" spans="1:22">
      <c r="A6187" t="str">
        <f t="shared" si="768"/>
        <v>NIN-63013-Ax</v>
      </c>
      <c r="B6187" s="403" t="s">
        <v>1438</v>
      </c>
      <c r="C6187" s="403" t="s">
        <v>583</v>
      </c>
      <c r="D6187" s="403" t="s">
        <v>1315</v>
      </c>
      <c r="E6187" s="403" t="s">
        <v>1316</v>
      </c>
      <c r="F6187" s="403" t="s">
        <v>1297</v>
      </c>
      <c r="G6187" s="403" t="s">
        <v>1467</v>
      </c>
      <c r="H6187" s="403" t="s">
        <v>1276</v>
      </c>
      <c r="I6187" s="403">
        <v>1</v>
      </c>
      <c r="J6187" s="403" t="s">
        <v>109</v>
      </c>
      <c r="K6187" s="403">
        <v>720</v>
      </c>
      <c r="L6187" s="403">
        <v>1280</v>
      </c>
      <c r="M6187" s="403" t="s">
        <v>111</v>
      </c>
      <c r="N6187" s="403">
        <v>432</v>
      </c>
      <c r="O6187" s="403">
        <v>768</v>
      </c>
      <c r="P6187" t="str">
        <f t="shared" si="769"/>
        <v>30fps 720p - SD</v>
      </c>
      <c r="Q6187">
        <f t="shared" si="770"/>
        <v>31</v>
      </c>
      <c r="R6187" t="str">
        <f t="shared" si="771"/>
        <v/>
      </c>
      <c r="S6187" t="str">
        <f t="shared" si="772"/>
        <v/>
      </c>
      <c r="T6187" s="403" t="str">
        <f t="shared" si="773"/>
        <v>NIN-63013-Ax</v>
      </c>
      <c r="U6187" s="403">
        <f t="shared" si="774"/>
        <v>1</v>
      </c>
      <c r="V6187" s="403" t="str">
        <f t="shared" si="775"/>
        <v>CPP_7</v>
      </c>
    </row>
    <row r="6188" spans="1:22">
      <c r="A6188" t="str">
        <f t="shared" si="768"/>
        <v>NIN-63013-Ax</v>
      </c>
      <c r="B6188" s="403" t="s">
        <v>1438</v>
      </c>
      <c r="C6188" s="403" t="s">
        <v>583</v>
      </c>
      <c r="D6188" s="403" t="s">
        <v>1315</v>
      </c>
      <c r="E6188" s="403" t="s">
        <v>1316</v>
      </c>
      <c r="F6188" s="403" t="s">
        <v>1297</v>
      </c>
      <c r="G6188" s="403" t="s">
        <v>1467</v>
      </c>
      <c r="H6188" s="403" t="s">
        <v>1276</v>
      </c>
      <c r="I6188" s="403">
        <v>1</v>
      </c>
      <c r="J6188" s="403" t="s">
        <v>109</v>
      </c>
      <c r="K6188" s="403">
        <v>720</v>
      </c>
      <c r="L6188" s="403">
        <v>1280</v>
      </c>
      <c r="M6188" s="403" t="s">
        <v>109</v>
      </c>
      <c r="N6188" s="403">
        <v>720</v>
      </c>
      <c r="O6188" s="403">
        <v>1280</v>
      </c>
      <c r="P6188" t="str">
        <f t="shared" si="769"/>
        <v>30fps 720p - 720p</v>
      </c>
      <c r="Q6188">
        <f t="shared" si="770"/>
        <v>31</v>
      </c>
      <c r="R6188" t="str">
        <f t="shared" si="771"/>
        <v/>
      </c>
      <c r="S6188" t="str">
        <f t="shared" si="772"/>
        <v/>
      </c>
      <c r="T6188" s="403" t="str">
        <f t="shared" si="773"/>
        <v>NIN-63013-Ax</v>
      </c>
      <c r="U6188" s="403">
        <f t="shared" si="774"/>
        <v>1</v>
      </c>
      <c r="V6188" s="403" t="str">
        <f t="shared" si="775"/>
        <v>CPP_7</v>
      </c>
    </row>
    <row r="6189" spans="1:22">
      <c r="A6189" t="str">
        <f t="shared" si="768"/>
        <v>NIN-63013-Ax</v>
      </c>
      <c r="B6189" s="403" t="s">
        <v>1438</v>
      </c>
      <c r="C6189" s="403" t="s">
        <v>583</v>
      </c>
      <c r="D6189" s="403" t="s">
        <v>1315</v>
      </c>
      <c r="E6189" s="403" t="s">
        <v>1316</v>
      </c>
      <c r="F6189" s="403" t="s">
        <v>1297</v>
      </c>
      <c r="G6189" s="403" t="s">
        <v>1467</v>
      </c>
      <c r="H6189" s="403" t="s">
        <v>1276</v>
      </c>
      <c r="I6189" s="403">
        <v>1</v>
      </c>
      <c r="J6189" s="403" t="s">
        <v>109</v>
      </c>
      <c r="K6189" s="403">
        <v>720</v>
      </c>
      <c r="L6189" s="403">
        <v>1280</v>
      </c>
      <c r="M6189" s="403" t="s">
        <v>1279</v>
      </c>
      <c r="N6189" s="403">
        <v>432</v>
      </c>
      <c r="O6189" s="403">
        <v>768</v>
      </c>
      <c r="P6189" t="str">
        <f t="shared" si="769"/>
        <v>30fps 720p - SD ROI PTZ</v>
      </c>
      <c r="Q6189">
        <f t="shared" si="770"/>
        <v>31</v>
      </c>
      <c r="R6189" t="str">
        <f t="shared" si="771"/>
        <v/>
      </c>
      <c r="S6189" t="str">
        <f t="shared" si="772"/>
        <v/>
      </c>
      <c r="T6189" s="403" t="str">
        <f t="shared" si="773"/>
        <v>NIN-63013-Ax</v>
      </c>
      <c r="U6189" s="403">
        <f t="shared" si="774"/>
        <v>1</v>
      </c>
      <c r="V6189" s="403" t="str">
        <f t="shared" si="775"/>
        <v>CPP_7</v>
      </c>
    </row>
    <row r="6190" spans="1:22">
      <c r="A6190" t="str">
        <f t="shared" si="768"/>
        <v>NIN-63013-Ax</v>
      </c>
      <c r="B6190" s="403" t="s">
        <v>1438</v>
      </c>
      <c r="C6190" s="403" t="s">
        <v>583</v>
      </c>
      <c r="D6190" s="403" t="s">
        <v>1315</v>
      </c>
      <c r="E6190" s="403" t="s">
        <v>1316</v>
      </c>
      <c r="F6190" s="403" t="s">
        <v>1297</v>
      </c>
      <c r="G6190" s="403" t="s">
        <v>1467</v>
      </c>
      <c r="H6190" s="403" t="s">
        <v>1276</v>
      </c>
      <c r="I6190" s="403">
        <v>1</v>
      </c>
      <c r="J6190" s="403" t="s">
        <v>109</v>
      </c>
      <c r="K6190" s="403">
        <v>720</v>
      </c>
      <c r="L6190" s="403">
        <v>1280</v>
      </c>
      <c r="M6190" s="403" t="s">
        <v>1298</v>
      </c>
      <c r="N6190" s="403">
        <v>432</v>
      </c>
      <c r="O6190" s="403">
        <v>768</v>
      </c>
      <c r="P6190" t="str">
        <f t="shared" si="769"/>
        <v>30fps 720p - SD dual stream with independent ROI PTZ</v>
      </c>
      <c r="Q6190">
        <f t="shared" si="770"/>
        <v>31</v>
      </c>
      <c r="R6190" t="str">
        <f t="shared" si="771"/>
        <v/>
      </c>
      <c r="S6190" t="str">
        <f t="shared" si="772"/>
        <v/>
      </c>
      <c r="T6190" s="403" t="str">
        <f t="shared" si="773"/>
        <v>NIN-63013-Ax</v>
      </c>
      <c r="U6190" s="403">
        <f t="shared" si="774"/>
        <v>1</v>
      </c>
      <c r="V6190" s="403" t="str">
        <f t="shared" si="775"/>
        <v>CPP_7</v>
      </c>
    </row>
    <row r="6191" spans="1:22">
      <c r="A6191" t="str">
        <f t="shared" si="768"/>
        <v>NIN-63013-Ax</v>
      </c>
      <c r="B6191" s="403" t="s">
        <v>1438</v>
      </c>
      <c r="C6191" s="403" t="s">
        <v>583</v>
      </c>
      <c r="D6191" s="403" t="s">
        <v>1315</v>
      </c>
      <c r="E6191" s="403" t="s">
        <v>1316</v>
      </c>
      <c r="F6191" s="403" t="s">
        <v>1297</v>
      </c>
      <c r="G6191" s="403" t="s">
        <v>1467</v>
      </c>
      <c r="H6191" s="403" t="s">
        <v>1276</v>
      </c>
      <c r="I6191" s="403">
        <v>1</v>
      </c>
      <c r="J6191" s="403" t="s">
        <v>109</v>
      </c>
      <c r="K6191" s="403">
        <v>720</v>
      </c>
      <c r="L6191" s="403">
        <v>1280</v>
      </c>
      <c r="M6191" s="403" t="s">
        <v>1283</v>
      </c>
      <c r="N6191" s="403">
        <v>480</v>
      </c>
      <c r="O6191" s="403">
        <v>704</v>
      </c>
      <c r="P6191" t="str">
        <f t="shared" si="769"/>
        <v>30fps 720p - SD 4CIF resolution 4:3 format (cropped)</v>
      </c>
      <c r="Q6191">
        <f t="shared" si="770"/>
        <v>31</v>
      </c>
      <c r="R6191" t="str">
        <f t="shared" si="771"/>
        <v/>
      </c>
      <c r="S6191" t="str">
        <f t="shared" si="772"/>
        <v/>
      </c>
      <c r="T6191" s="403" t="str">
        <f t="shared" si="773"/>
        <v>NIN-63013-Ax</v>
      </c>
      <c r="U6191" s="403">
        <f t="shared" si="774"/>
        <v>1</v>
      </c>
      <c r="V6191" s="403" t="str">
        <f t="shared" si="775"/>
        <v>CPP_7</v>
      </c>
    </row>
    <row r="6192" spans="1:22">
      <c r="A6192" t="str">
        <f t="shared" si="768"/>
        <v>NIN-63013-Ax</v>
      </c>
      <c r="B6192" s="403" t="s">
        <v>1438</v>
      </c>
      <c r="C6192" s="403" t="s">
        <v>583</v>
      </c>
      <c r="D6192" s="403" t="s">
        <v>1315</v>
      </c>
      <c r="E6192" s="403" t="s">
        <v>1316</v>
      </c>
      <c r="F6192" s="403" t="s">
        <v>1297</v>
      </c>
      <c r="G6192" s="403" t="s">
        <v>1467</v>
      </c>
      <c r="H6192" s="403" t="s">
        <v>1276</v>
      </c>
      <c r="I6192" s="403">
        <v>1</v>
      </c>
      <c r="J6192" s="403" t="s">
        <v>109</v>
      </c>
      <c r="K6192" s="403">
        <v>720</v>
      </c>
      <c r="L6192" s="403">
        <v>1280</v>
      </c>
      <c r="M6192" s="403" t="s">
        <v>1284</v>
      </c>
      <c r="N6192" s="403">
        <v>480</v>
      </c>
      <c r="O6192" s="403">
        <v>640</v>
      </c>
      <c r="P6192" t="str">
        <f t="shared" si="769"/>
        <v>30fps 720p - SD VGA (cropped)</v>
      </c>
      <c r="Q6192">
        <f t="shared" si="770"/>
        <v>31</v>
      </c>
      <c r="R6192" t="str">
        <f t="shared" si="771"/>
        <v/>
      </c>
      <c r="S6192" t="str">
        <f t="shared" si="772"/>
        <v/>
      </c>
      <c r="T6192" s="403" t="str">
        <f t="shared" si="773"/>
        <v>NIN-63013-Ax</v>
      </c>
      <c r="U6192" s="403">
        <f t="shared" si="774"/>
        <v>1</v>
      </c>
      <c r="V6192" s="403" t="str">
        <f t="shared" si="775"/>
        <v>CPP_7</v>
      </c>
    </row>
    <row r="6193" spans="1:22">
      <c r="A6193" t="str">
        <f t="shared" si="768"/>
        <v>NIN-63013-Ax</v>
      </c>
      <c r="B6193" s="403" t="s">
        <v>1438</v>
      </c>
      <c r="C6193" s="403" t="s">
        <v>583</v>
      </c>
      <c r="D6193" s="403" t="s">
        <v>1315</v>
      </c>
      <c r="E6193" s="403" t="s">
        <v>1316</v>
      </c>
      <c r="F6193" s="403" t="s">
        <v>1297</v>
      </c>
      <c r="G6193" s="403" t="s">
        <v>1467</v>
      </c>
      <c r="H6193" s="403" t="s">
        <v>1276</v>
      </c>
      <c r="I6193" s="403">
        <v>1</v>
      </c>
      <c r="J6193" s="403" t="s">
        <v>111</v>
      </c>
      <c r="K6193" s="403">
        <v>432</v>
      </c>
      <c r="L6193" s="403">
        <v>768</v>
      </c>
      <c r="M6193" s="403" t="s">
        <v>111</v>
      </c>
      <c r="N6193" s="403">
        <v>432</v>
      </c>
      <c r="O6193" s="403">
        <v>768</v>
      </c>
      <c r="P6193" t="str">
        <f t="shared" si="769"/>
        <v>30fps SD - SD</v>
      </c>
      <c r="Q6193">
        <f t="shared" si="770"/>
        <v>31</v>
      </c>
      <c r="R6193" t="str">
        <f t="shared" si="771"/>
        <v/>
      </c>
      <c r="S6193" t="str">
        <f t="shared" si="772"/>
        <v/>
      </c>
      <c r="T6193" s="403" t="str">
        <f t="shared" si="773"/>
        <v>NIN-63013-Ax</v>
      </c>
      <c r="U6193" s="403">
        <f t="shared" si="774"/>
        <v>1</v>
      </c>
      <c r="V6193" s="403" t="str">
        <f t="shared" si="775"/>
        <v>CPP_7</v>
      </c>
    </row>
    <row r="6194" spans="1:22">
      <c r="A6194" t="str">
        <f t="shared" si="768"/>
        <v>NIN-63013-Ax</v>
      </c>
      <c r="B6194" s="403" t="s">
        <v>1438</v>
      </c>
      <c r="C6194" s="403" t="s">
        <v>583</v>
      </c>
      <c r="D6194" s="403" t="s">
        <v>1315</v>
      </c>
      <c r="E6194" s="403" t="s">
        <v>1316</v>
      </c>
      <c r="F6194" s="403" t="s">
        <v>1299</v>
      </c>
      <c r="G6194" s="403" t="s">
        <v>1466</v>
      </c>
      <c r="H6194" s="403" t="s">
        <v>1276</v>
      </c>
      <c r="I6194" s="403">
        <v>1</v>
      </c>
      <c r="J6194" s="403" t="s">
        <v>109</v>
      </c>
      <c r="K6194" s="403">
        <v>1280</v>
      </c>
      <c r="L6194" s="403">
        <v>720</v>
      </c>
      <c r="M6194" s="403" t="s">
        <v>111</v>
      </c>
      <c r="N6194" s="403">
        <v>768</v>
      </c>
      <c r="O6194" s="403">
        <v>432</v>
      </c>
      <c r="P6194" t="str">
        <f t="shared" si="769"/>
        <v>25fps 720p - SD</v>
      </c>
      <c r="Q6194">
        <f t="shared" si="770"/>
        <v>31</v>
      </c>
      <c r="R6194" t="str">
        <f t="shared" si="771"/>
        <v/>
      </c>
      <c r="S6194" t="str">
        <f t="shared" si="772"/>
        <v/>
      </c>
      <c r="T6194" s="403" t="str">
        <f t="shared" si="773"/>
        <v>NIN-63013-Ax</v>
      </c>
      <c r="U6194" s="403">
        <f t="shared" si="774"/>
        <v>1</v>
      </c>
      <c r="V6194" s="403" t="str">
        <f t="shared" si="775"/>
        <v>CPP_7</v>
      </c>
    </row>
    <row r="6195" spans="1:22">
      <c r="A6195" t="str">
        <f t="shared" si="768"/>
        <v>NIN-63013-Ax</v>
      </c>
      <c r="B6195" s="403" t="s">
        <v>1438</v>
      </c>
      <c r="C6195" s="403" t="s">
        <v>583</v>
      </c>
      <c r="D6195" s="403" t="s">
        <v>1315</v>
      </c>
      <c r="E6195" s="403" t="s">
        <v>1316</v>
      </c>
      <c r="F6195" s="403" t="s">
        <v>1299</v>
      </c>
      <c r="G6195" s="403" t="s">
        <v>1466</v>
      </c>
      <c r="H6195" s="403" t="s">
        <v>1276</v>
      </c>
      <c r="I6195" s="403">
        <v>1</v>
      </c>
      <c r="J6195" s="403" t="s">
        <v>109</v>
      </c>
      <c r="K6195" s="403">
        <v>1280</v>
      </c>
      <c r="L6195" s="403">
        <v>720</v>
      </c>
      <c r="M6195" s="403" t="s">
        <v>109</v>
      </c>
      <c r="N6195" s="403">
        <v>1280</v>
      </c>
      <c r="O6195" s="403">
        <v>720</v>
      </c>
      <c r="P6195" t="str">
        <f t="shared" si="769"/>
        <v>25fps 720p - 720p</v>
      </c>
      <c r="Q6195">
        <f t="shared" si="770"/>
        <v>31</v>
      </c>
      <c r="R6195" t="str">
        <f t="shared" si="771"/>
        <v/>
      </c>
      <c r="S6195" t="str">
        <f t="shared" si="772"/>
        <v/>
      </c>
      <c r="T6195" s="403" t="str">
        <f t="shared" si="773"/>
        <v>NIN-63013-Ax</v>
      </c>
      <c r="U6195" s="403">
        <f t="shared" si="774"/>
        <v>1</v>
      </c>
      <c r="V6195" s="403" t="str">
        <f t="shared" si="775"/>
        <v>CPP_7</v>
      </c>
    </row>
    <row r="6196" spans="1:22">
      <c r="A6196" t="str">
        <f t="shared" si="768"/>
        <v>NIN-63013-Ax</v>
      </c>
      <c r="B6196" s="403" t="s">
        <v>1438</v>
      </c>
      <c r="C6196" s="403" t="s">
        <v>583</v>
      </c>
      <c r="D6196" s="403" t="s">
        <v>1315</v>
      </c>
      <c r="E6196" s="403" t="s">
        <v>1316</v>
      </c>
      <c r="F6196" s="403" t="s">
        <v>1299</v>
      </c>
      <c r="G6196" s="403" t="s">
        <v>1466</v>
      </c>
      <c r="H6196" s="403" t="s">
        <v>1276</v>
      </c>
      <c r="I6196" s="403">
        <v>1</v>
      </c>
      <c r="J6196" s="403" t="s">
        <v>109</v>
      </c>
      <c r="K6196" s="403">
        <v>1280</v>
      </c>
      <c r="L6196" s="403">
        <v>720</v>
      </c>
      <c r="M6196" s="403" t="s">
        <v>1279</v>
      </c>
      <c r="N6196" s="403">
        <v>768</v>
      </c>
      <c r="O6196" s="403">
        <v>432</v>
      </c>
      <c r="P6196" t="str">
        <f t="shared" si="769"/>
        <v>25fps 720p - SD ROI PTZ</v>
      </c>
      <c r="Q6196">
        <f t="shared" si="770"/>
        <v>31</v>
      </c>
      <c r="R6196" t="str">
        <f t="shared" si="771"/>
        <v/>
      </c>
      <c r="S6196" t="str">
        <f t="shared" si="772"/>
        <v/>
      </c>
      <c r="T6196" s="403" t="str">
        <f t="shared" si="773"/>
        <v>NIN-63013-Ax</v>
      </c>
      <c r="U6196" s="403">
        <f t="shared" si="774"/>
        <v>1</v>
      </c>
      <c r="V6196" s="403" t="str">
        <f t="shared" si="775"/>
        <v>CPP_7</v>
      </c>
    </row>
    <row r="6197" spans="1:22">
      <c r="A6197" t="str">
        <f t="shared" si="768"/>
        <v>NIN-63013-Ax</v>
      </c>
      <c r="B6197" s="403" t="s">
        <v>1438</v>
      </c>
      <c r="C6197" s="403" t="s">
        <v>583</v>
      </c>
      <c r="D6197" s="403" t="s">
        <v>1315</v>
      </c>
      <c r="E6197" s="403" t="s">
        <v>1316</v>
      </c>
      <c r="F6197" s="403" t="s">
        <v>1299</v>
      </c>
      <c r="G6197" s="403" t="s">
        <v>1466</v>
      </c>
      <c r="H6197" s="403" t="s">
        <v>1276</v>
      </c>
      <c r="I6197" s="403">
        <v>1</v>
      </c>
      <c r="J6197" s="403" t="s">
        <v>109</v>
      </c>
      <c r="K6197" s="403">
        <v>1280</v>
      </c>
      <c r="L6197" s="403">
        <v>720</v>
      </c>
      <c r="M6197" s="403" t="s">
        <v>1298</v>
      </c>
      <c r="N6197" s="403">
        <v>768</v>
      </c>
      <c r="O6197" s="403">
        <v>432</v>
      </c>
      <c r="P6197" t="str">
        <f t="shared" si="769"/>
        <v>25fps 720p - SD dual stream with independent ROI PTZ</v>
      </c>
      <c r="Q6197">
        <f t="shared" si="770"/>
        <v>31</v>
      </c>
      <c r="R6197" t="str">
        <f t="shared" si="771"/>
        <v/>
      </c>
      <c r="S6197" t="str">
        <f t="shared" si="772"/>
        <v/>
      </c>
      <c r="T6197" s="403" t="str">
        <f t="shared" si="773"/>
        <v>NIN-63013-Ax</v>
      </c>
      <c r="U6197" s="403">
        <f t="shared" si="774"/>
        <v>1</v>
      </c>
      <c r="V6197" s="403" t="str">
        <f t="shared" si="775"/>
        <v>CPP_7</v>
      </c>
    </row>
    <row r="6198" spans="1:22">
      <c r="A6198" t="str">
        <f t="shared" si="768"/>
        <v>NIN-63013-Ax</v>
      </c>
      <c r="B6198" s="403" t="s">
        <v>1438</v>
      </c>
      <c r="C6198" s="403" t="s">
        <v>583</v>
      </c>
      <c r="D6198" s="403" t="s">
        <v>1315</v>
      </c>
      <c r="E6198" s="403" t="s">
        <v>1316</v>
      </c>
      <c r="F6198" s="403" t="s">
        <v>1299</v>
      </c>
      <c r="G6198" s="403" t="s">
        <v>1466</v>
      </c>
      <c r="H6198" s="403" t="s">
        <v>1276</v>
      </c>
      <c r="I6198" s="403">
        <v>1</v>
      </c>
      <c r="J6198" s="403" t="s">
        <v>109</v>
      </c>
      <c r="K6198" s="403">
        <v>1280</v>
      </c>
      <c r="L6198" s="403">
        <v>720</v>
      </c>
      <c r="M6198" s="403" t="s">
        <v>1283</v>
      </c>
      <c r="N6198" s="403">
        <v>704</v>
      </c>
      <c r="O6198" s="403">
        <v>576</v>
      </c>
      <c r="P6198" t="str">
        <f t="shared" si="769"/>
        <v>25fps 720p - SD 4CIF resolution 4:3 format (cropped)</v>
      </c>
      <c r="Q6198">
        <f t="shared" si="770"/>
        <v>31</v>
      </c>
      <c r="R6198" t="str">
        <f t="shared" si="771"/>
        <v/>
      </c>
      <c r="S6198" t="str">
        <f t="shared" si="772"/>
        <v/>
      </c>
      <c r="T6198" s="403" t="str">
        <f t="shared" si="773"/>
        <v>NIN-63013-Ax</v>
      </c>
      <c r="U6198" s="403">
        <f t="shared" si="774"/>
        <v>1</v>
      </c>
      <c r="V6198" s="403" t="str">
        <f t="shared" si="775"/>
        <v>CPP_7</v>
      </c>
    </row>
    <row r="6199" spans="1:22">
      <c r="A6199" t="str">
        <f t="shared" si="768"/>
        <v>NIN-63013-Ax</v>
      </c>
      <c r="B6199" s="403" t="s">
        <v>1438</v>
      </c>
      <c r="C6199" s="403" t="s">
        <v>583</v>
      </c>
      <c r="D6199" s="403" t="s">
        <v>1315</v>
      </c>
      <c r="E6199" s="403" t="s">
        <v>1316</v>
      </c>
      <c r="F6199" s="403" t="s">
        <v>1299</v>
      </c>
      <c r="G6199" s="403" t="s">
        <v>1466</v>
      </c>
      <c r="H6199" s="403" t="s">
        <v>1276</v>
      </c>
      <c r="I6199" s="403">
        <v>1</v>
      </c>
      <c r="J6199" s="403" t="s">
        <v>109</v>
      </c>
      <c r="K6199" s="403">
        <v>1280</v>
      </c>
      <c r="L6199" s="403">
        <v>720</v>
      </c>
      <c r="M6199" s="403" t="s">
        <v>1284</v>
      </c>
      <c r="N6199" s="403">
        <v>640</v>
      </c>
      <c r="O6199" s="403">
        <v>480</v>
      </c>
      <c r="P6199" t="str">
        <f t="shared" si="769"/>
        <v>25fps 720p - SD VGA (cropped)</v>
      </c>
      <c r="Q6199">
        <f t="shared" si="770"/>
        <v>31</v>
      </c>
      <c r="R6199" t="str">
        <f t="shared" si="771"/>
        <v/>
      </c>
      <c r="S6199" t="str">
        <f t="shared" si="772"/>
        <v/>
      </c>
      <c r="T6199" s="403" t="str">
        <f t="shared" si="773"/>
        <v>NIN-63013-Ax</v>
      </c>
      <c r="U6199" s="403">
        <f t="shared" si="774"/>
        <v>1</v>
      </c>
      <c r="V6199" s="403" t="str">
        <f t="shared" si="775"/>
        <v>CPP_7</v>
      </c>
    </row>
    <row r="6200" spans="1:22">
      <c r="A6200" t="str">
        <f t="shared" si="768"/>
        <v>NIN-63013-Ax</v>
      </c>
      <c r="B6200" s="403" t="s">
        <v>1438</v>
      </c>
      <c r="C6200" s="403" t="s">
        <v>583</v>
      </c>
      <c r="D6200" s="403" t="s">
        <v>1315</v>
      </c>
      <c r="E6200" s="403" t="s">
        <v>1316</v>
      </c>
      <c r="F6200" s="403" t="s">
        <v>1299</v>
      </c>
      <c r="G6200" s="403" t="s">
        <v>1466</v>
      </c>
      <c r="H6200" s="403" t="s">
        <v>1276</v>
      </c>
      <c r="I6200" s="403">
        <v>1</v>
      </c>
      <c r="J6200" s="403" t="s">
        <v>111</v>
      </c>
      <c r="K6200" s="403">
        <v>768</v>
      </c>
      <c r="L6200" s="403">
        <v>432</v>
      </c>
      <c r="M6200" s="403" t="s">
        <v>111</v>
      </c>
      <c r="N6200" s="403">
        <v>768</v>
      </c>
      <c r="O6200" s="403">
        <v>432</v>
      </c>
      <c r="P6200" t="str">
        <f t="shared" si="769"/>
        <v>25fps SD - SD</v>
      </c>
      <c r="Q6200">
        <f t="shared" si="770"/>
        <v>31</v>
      </c>
      <c r="R6200" t="str">
        <f t="shared" si="771"/>
        <v/>
      </c>
      <c r="S6200" t="str">
        <f t="shared" si="772"/>
        <v/>
      </c>
      <c r="T6200" s="403" t="str">
        <f t="shared" si="773"/>
        <v>NIN-63013-Ax</v>
      </c>
      <c r="U6200" s="403">
        <f t="shared" si="774"/>
        <v>1</v>
      </c>
      <c r="V6200" s="403" t="str">
        <f t="shared" si="775"/>
        <v>CPP_7</v>
      </c>
    </row>
    <row r="6201" spans="1:22">
      <c r="A6201" t="str">
        <f t="shared" si="768"/>
        <v>NIN-63013-Ax</v>
      </c>
      <c r="B6201" s="403" t="s">
        <v>1438</v>
      </c>
      <c r="C6201" s="403" t="s">
        <v>583</v>
      </c>
      <c r="D6201" s="403" t="s">
        <v>1315</v>
      </c>
      <c r="E6201" s="403" t="s">
        <v>1316</v>
      </c>
      <c r="F6201" s="403" t="s">
        <v>1299</v>
      </c>
      <c r="G6201" s="403" t="s">
        <v>1467</v>
      </c>
      <c r="H6201" s="403" t="s">
        <v>1276</v>
      </c>
      <c r="I6201" s="403">
        <v>1</v>
      </c>
      <c r="J6201" s="403" t="s">
        <v>109</v>
      </c>
      <c r="K6201" s="403">
        <v>720</v>
      </c>
      <c r="L6201" s="403">
        <v>1280</v>
      </c>
      <c r="M6201" s="403" t="s">
        <v>111</v>
      </c>
      <c r="N6201" s="403">
        <v>432</v>
      </c>
      <c r="O6201" s="403">
        <v>768</v>
      </c>
      <c r="P6201" t="str">
        <f t="shared" si="769"/>
        <v>25fps 720p - SD</v>
      </c>
      <c r="Q6201">
        <f t="shared" si="770"/>
        <v>31</v>
      </c>
      <c r="R6201" t="str">
        <f t="shared" si="771"/>
        <v/>
      </c>
      <c r="S6201" t="str">
        <f t="shared" si="772"/>
        <v/>
      </c>
      <c r="T6201" s="403" t="str">
        <f t="shared" si="773"/>
        <v>NIN-63013-Ax</v>
      </c>
      <c r="U6201" s="403">
        <f t="shared" si="774"/>
        <v>1</v>
      </c>
      <c r="V6201" s="403" t="str">
        <f t="shared" si="775"/>
        <v>CPP_7</v>
      </c>
    </row>
    <row r="6202" spans="1:22">
      <c r="A6202" t="str">
        <f t="shared" si="768"/>
        <v>NIN-63013-Ax</v>
      </c>
      <c r="B6202" s="403" t="s">
        <v>1438</v>
      </c>
      <c r="C6202" s="403" t="s">
        <v>583</v>
      </c>
      <c r="D6202" s="403" t="s">
        <v>1315</v>
      </c>
      <c r="E6202" s="403" t="s">
        <v>1316</v>
      </c>
      <c r="F6202" s="403" t="s">
        <v>1299</v>
      </c>
      <c r="G6202" s="403" t="s">
        <v>1467</v>
      </c>
      <c r="H6202" s="403" t="s">
        <v>1276</v>
      </c>
      <c r="I6202" s="403">
        <v>1</v>
      </c>
      <c r="J6202" s="403" t="s">
        <v>109</v>
      </c>
      <c r="K6202" s="403">
        <v>720</v>
      </c>
      <c r="L6202" s="403">
        <v>1280</v>
      </c>
      <c r="M6202" s="403" t="s">
        <v>109</v>
      </c>
      <c r="N6202" s="403">
        <v>720</v>
      </c>
      <c r="O6202" s="403">
        <v>1280</v>
      </c>
      <c r="P6202" t="str">
        <f t="shared" si="769"/>
        <v>25fps 720p - 720p</v>
      </c>
      <c r="Q6202">
        <f t="shared" si="770"/>
        <v>31</v>
      </c>
      <c r="R6202" t="str">
        <f t="shared" si="771"/>
        <v/>
      </c>
      <c r="S6202" t="str">
        <f t="shared" si="772"/>
        <v/>
      </c>
      <c r="T6202" s="403" t="str">
        <f t="shared" si="773"/>
        <v>NIN-63013-Ax</v>
      </c>
      <c r="U6202" s="403">
        <f t="shared" si="774"/>
        <v>1</v>
      </c>
      <c r="V6202" s="403" t="str">
        <f t="shared" si="775"/>
        <v>CPP_7</v>
      </c>
    </row>
    <row r="6203" spans="1:22">
      <c r="A6203" t="str">
        <f t="shared" si="768"/>
        <v>NIN-63013-Ax</v>
      </c>
      <c r="B6203" s="403" t="s">
        <v>1438</v>
      </c>
      <c r="C6203" s="403" t="s">
        <v>583</v>
      </c>
      <c r="D6203" s="403" t="s">
        <v>1315</v>
      </c>
      <c r="E6203" s="403" t="s">
        <v>1316</v>
      </c>
      <c r="F6203" s="403" t="s">
        <v>1299</v>
      </c>
      <c r="G6203" s="403" t="s">
        <v>1467</v>
      </c>
      <c r="H6203" s="403" t="s">
        <v>1276</v>
      </c>
      <c r="I6203" s="403">
        <v>1</v>
      </c>
      <c r="J6203" s="403" t="s">
        <v>109</v>
      </c>
      <c r="K6203" s="403">
        <v>720</v>
      </c>
      <c r="L6203" s="403">
        <v>1280</v>
      </c>
      <c r="M6203" s="403" t="s">
        <v>1279</v>
      </c>
      <c r="N6203" s="403">
        <v>432</v>
      </c>
      <c r="O6203" s="403">
        <v>768</v>
      </c>
      <c r="P6203" t="str">
        <f t="shared" si="769"/>
        <v>25fps 720p - SD ROI PTZ</v>
      </c>
      <c r="Q6203">
        <f t="shared" si="770"/>
        <v>31</v>
      </c>
      <c r="R6203" t="str">
        <f t="shared" si="771"/>
        <v/>
      </c>
      <c r="S6203" t="str">
        <f t="shared" si="772"/>
        <v/>
      </c>
      <c r="T6203" s="403" t="str">
        <f t="shared" si="773"/>
        <v>NIN-63013-Ax</v>
      </c>
      <c r="U6203" s="403">
        <f t="shared" si="774"/>
        <v>1</v>
      </c>
      <c r="V6203" s="403" t="str">
        <f t="shared" si="775"/>
        <v>CPP_7</v>
      </c>
    </row>
    <row r="6204" spans="1:22">
      <c r="A6204" t="str">
        <f t="shared" si="768"/>
        <v>NIN-63013-Ax</v>
      </c>
      <c r="B6204" s="403" t="s">
        <v>1438</v>
      </c>
      <c r="C6204" s="403" t="s">
        <v>583</v>
      </c>
      <c r="D6204" s="403" t="s">
        <v>1315</v>
      </c>
      <c r="E6204" s="403" t="s">
        <v>1316</v>
      </c>
      <c r="F6204" s="403" t="s">
        <v>1299</v>
      </c>
      <c r="G6204" s="403" t="s">
        <v>1467</v>
      </c>
      <c r="H6204" s="403" t="s">
        <v>1276</v>
      </c>
      <c r="I6204" s="403">
        <v>1</v>
      </c>
      <c r="J6204" s="403" t="s">
        <v>109</v>
      </c>
      <c r="K6204" s="403">
        <v>720</v>
      </c>
      <c r="L6204" s="403">
        <v>1280</v>
      </c>
      <c r="M6204" s="403" t="s">
        <v>1298</v>
      </c>
      <c r="N6204" s="403">
        <v>432</v>
      </c>
      <c r="O6204" s="403">
        <v>768</v>
      </c>
      <c r="P6204" t="str">
        <f t="shared" si="769"/>
        <v>25fps 720p - SD dual stream with independent ROI PTZ</v>
      </c>
      <c r="Q6204">
        <f t="shared" si="770"/>
        <v>31</v>
      </c>
      <c r="R6204" t="str">
        <f t="shared" si="771"/>
        <v/>
      </c>
      <c r="S6204" t="str">
        <f t="shared" si="772"/>
        <v/>
      </c>
      <c r="T6204" s="403" t="str">
        <f t="shared" si="773"/>
        <v>NIN-63013-Ax</v>
      </c>
      <c r="U6204" s="403">
        <f t="shared" si="774"/>
        <v>1</v>
      </c>
      <c r="V6204" s="403" t="str">
        <f t="shared" si="775"/>
        <v>CPP_7</v>
      </c>
    </row>
    <row r="6205" spans="1:22">
      <c r="A6205" t="str">
        <f t="shared" si="768"/>
        <v>NIN-63013-Ax</v>
      </c>
      <c r="B6205" s="403" t="s">
        <v>1438</v>
      </c>
      <c r="C6205" s="403" t="s">
        <v>583</v>
      </c>
      <c r="D6205" s="403" t="s">
        <v>1315</v>
      </c>
      <c r="E6205" s="403" t="s">
        <v>1316</v>
      </c>
      <c r="F6205" s="403" t="s">
        <v>1299</v>
      </c>
      <c r="G6205" s="403" t="s">
        <v>1467</v>
      </c>
      <c r="H6205" s="403" t="s">
        <v>1276</v>
      </c>
      <c r="I6205" s="403">
        <v>1</v>
      </c>
      <c r="J6205" s="403" t="s">
        <v>109</v>
      </c>
      <c r="K6205" s="403">
        <v>720</v>
      </c>
      <c r="L6205" s="403">
        <v>1280</v>
      </c>
      <c r="M6205" s="403" t="s">
        <v>1283</v>
      </c>
      <c r="N6205" s="403">
        <v>576</v>
      </c>
      <c r="O6205" s="403">
        <v>704</v>
      </c>
      <c r="P6205" t="str">
        <f t="shared" si="769"/>
        <v>25fps 720p - SD 4CIF resolution 4:3 format (cropped)</v>
      </c>
      <c r="Q6205">
        <f t="shared" si="770"/>
        <v>31</v>
      </c>
      <c r="R6205" t="str">
        <f t="shared" si="771"/>
        <v/>
      </c>
      <c r="S6205" t="str">
        <f t="shared" si="772"/>
        <v/>
      </c>
      <c r="T6205" s="403" t="str">
        <f t="shared" si="773"/>
        <v>NIN-63013-Ax</v>
      </c>
      <c r="U6205" s="403">
        <f t="shared" si="774"/>
        <v>1</v>
      </c>
      <c r="V6205" s="403" t="str">
        <f t="shared" si="775"/>
        <v>CPP_7</v>
      </c>
    </row>
    <row r="6206" spans="1:22">
      <c r="A6206" t="str">
        <f t="shared" si="768"/>
        <v>NIN-63013-Ax</v>
      </c>
      <c r="B6206" s="403" t="s">
        <v>1438</v>
      </c>
      <c r="C6206" s="403" t="s">
        <v>583</v>
      </c>
      <c r="D6206" s="403" t="s">
        <v>1315</v>
      </c>
      <c r="E6206" s="403" t="s">
        <v>1316</v>
      </c>
      <c r="F6206" s="403" t="s">
        <v>1299</v>
      </c>
      <c r="G6206" s="403" t="s">
        <v>1467</v>
      </c>
      <c r="H6206" s="403" t="s">
        <v>1276</v>
      </c>
      <c r="I6206" s="403">
        <v>1</v>
      </c>
      <c r="J6206" s="403" t="s">
        <v>109</v>
      </c>
      <c r="K6206" s="403">
        <v>720</v>
      </c>
      <c r="L6206" s="403">
        <v>1280</v>
      </c>
      <c r="M6206" s="403" t="s">
        <v>1284</v>
      </c>
      <c r="N6206" s="403">
        <v>480</v>
      </c>
      <c r="O6206" s="403">
        <v>640</v>
      </c>
      <c r="P6206" t="str">
        <f t="shared" si="769"/>
        <v>25fps 720p - SD VGA (cropped)</v>
      </c>
      <c r="Q6206">
        <f t="shared" si="770"/>
        <v>31</v>
      </c>
      <c r="R6206" t="str">
        <f t="shared" si="771"/>
        <v/>
      </c>
      <c r="S6206" t="str">
        <f t="shared" si="772"/>
        <v/>
      </c>
      <c r="T6206" s="403" t="str">
        <f t="shared" si="773"/>
        <v>NIN-63013-Ax</v>
      </c>
      <c r="U6206" s="403">
        <f t="shared" si="774"/>
        <v>1</v>
      </c>
      <c r="V6206" s="403" t="str">
        <f t="shared" si="775"/>
        <v>CPP_7</v>
      </c>
    </row>
    <row r="6207" spans="1:22">
      <c r="A6207" t="str">
        <f t="shared" si="768"/>
        <v>NIN-63013-Ax</v>
      </c>
      <c r="B6207" s="403" t="s">
        <v>1438</v>
      </c>
      <c r="C6207" s="403" t="s">
        <v>583</v>
      </c>
      <c r="D6207" s="403" t="s">
        <v>1315</v>
      </c>
      <c r="E6207" s="403" t="s">
        <v>1316</v>
      </c>
      <c r="F6207" s="403" t="s">
        <v>1299</v>
      </c>
      <c r="G6207" s="403" t="s">
        <v>1467</v>
      </c>
      <c r="H6207" s="403" t="s">
        <v>1276</v>
      </c>
      <c r="I6207" s="403">
        <v>1</v>
      </c>
      <c r="J6207" s="403" t="s">
        <v>111</v>
      </c>
      <c r="K6207" s="403">
        <v>432</v>
      </c>
      <c r="L6207" s="403">
        <v>768</v>
      </c>
      <c r="M6207" s="403" t="s">
        <v>111</v>
      </c>
      <c r="N6207" s="403">
        <v>432</v>
      </c>
      <c r="O6207" s="403">
        <v>768</v>
      </c>
      <c r="P6207" t="str">
        <f t="shared" si="769"/>
        <v>25fps SD - SD</v>
      </c>
      <c r="Q6207">
        <f t="shared" si="770"/>
        <v>31</v>
      </c>
      <c r="R6207" t="str">
        <f t="shared" si="771"/>
        <v/>
      </c>
      <c r="S6207" t="str">
        <f t="shared" si="772"/>
        <v/>
      </c>
      <c r="T6207" s="403" t="str">
        <f t="shared" si="773"/>
        <v>NIN-63013-Ax</v>
      </c>
      <c r="U6207" s="403">
        <f t="shared" si="774"/>
        <v>1</v>
      </c>
      <c r="V6207" s="403" t="str">
        <f t="shared" si="775"/>
        <v>CPP_7</v>
      </c>
    </row>
    <row r="6208" spans="1:22">
      <c r="A6208" t="str">
        <f t="shared" si="768"/>
        <v>NIN-63013-Ax</v>
      </c>
      <c r="B6208" s="403" t="s">
        <v>1438</v>
      </c>
      <c r="C6208" s="403" t="s">
        <v>583</v>
      </c>
      <c r="D6208" s="403" t="s">
        <v>1315</v>
      </c>
      <c r="E6208" s="403" t="s">
        <v>1316</v>
      </c>
      <c r="F6208" s="403" t="s">
        <v>1300</v>
      </c>
      <c r="G6208" s="403" t="s">
        <v>1466</v>
      </c>
      <c r="H6208" s="403" t="s">
        <v>1276</v>
      </c>
      <c r="I6208" s="403">
        <v>1</v>
      </c>
      <c r="J6208" s="403" t="s">
        <v>1289</v>
      </c>
      <c r="K6208" s="403">
        <v>1280</v>
      </c>
      <c r="L6208" s="403">
        <v>720</v>
      </c>
      <c r="M6208" s="403" t="s">
        <v>111</v>
      </c>
      <c r="N6208" s="403">
        <v>768</v>
      </c>
      <c r="O6208" s="403">
        <v>432</v>
      </c>
      <c r="P6208" t="str">
        <f t="shared" si="769"/>
        <v>60fps 720p full frame rate - SD</v>
      </c>
      <c r="Q6208">
        <f t="shared" si="770"/>
        <v>31</v>
      </c>
      <c r="R6208" t="str">
        <f t="shared" si="771"/>
        <v/>
      </c>
      <c r="S6208" t="str">
        <f t="shared" si="772"/>
        <v/>
      </c>
      <c r="T6208" s="403" t="str">
        <f t="shared" si="773"/>
        <v>NIN-63013-Ax</v>
      </c>
      <c r="U6208" s="403">
        <f t="shared" si="774"/>
        <v>1</v>
      </c>
      <c r="V6208" s="403" t="str">
        <f t="shared" si="775"/>
        <v>CPP_7</v>
      </c>
    </row>
    <row r="6209" spans="1:22">
      <c r="A6209" t="str">
        <f t="shared" si="768"/>
        <v>NIN-63013-Ax</v>
      </c>
      <c r="B6209" s="403" t="s">
        <v>1438</v>
      </c>
      <c r="C6209" s="403" t="s">
        <v>583</v>
      </c>
      <c r="D6209" s="403" t="s">
        <v>1315</v>
      </c>
      <c r="E6209" s="403" t="s">
        <v>1316</v>
      </c>
      <c r="F6209" s="403" t="s">
        <v>1300</v>
      </c>
      <c r="G6209" s="403" t="s">
        <v>1466</v>
      </c>
      <c r="H6209" s="403" t="s">
        <v>1276</v>
      </c>
      <c r="I6209" s="403">
        <v>1</v>
      </c>
      <c r="J6209" s="403" t="s">
        <v>1289</v>
      </c>
      <c r="K6209" s="403">
        <v>1280</v>
      </c>
      <c r="L6209" s="403">
        <v>720</v>
      </c>
      <c r="M6209" s="403" t="s">
        <v>1279</v>
      </c>
      <c r="N6209" s="403">
        <v>768</v>
      </c>
      <c r="O6209" s="403">
        <v>432</v>
      </c>
      <c r="P6209" t="str">
        <f t="shared" si="769"/>
        <v>60fps 720p full frame rate - SD ROI PTZ</v>
      </c>
      <c r="Q6209">
        <f t="shared" si="770"/>
        <v>31</v>
      </c>
      <c r="R6209" t="str">
        <f t="shared" si="771"/>
        <v/>
      </c>
      <c r="S6209" t="str">
        <f t="shared" si="772"/>
        <v/>
      </c>
      <c r="T6209" s="403" t="str">
        <f t="shared" si="773"/>
        <v>NIN-63013-Ax</v>
      </c>
      <c r="U6209" s="403">
        <f t="shared" si="774"/>
        <v>1</v>
      </c>
      <c r="V6209" s="403" t="str">
        <f t="shared" si="775"/>
        <v>CPP_7</v>
      </c>
    </row>
    <row r="6210" spans="1:22">
      <c r="A6210" t="str">
        <f t="shared" ref="A6210:A6273" si="776">IF(AND(G6210&lt;&gt;"rotate 90°"),D6210,"")</f>
        <v>NIN-63013-Ax</v>
      </c>
      <c r="B6210" s="403" t="s">
        <v>1438</v>
      </c>
      <c r="C6210" s="403" t="s">
        <v>583</v>
      </c>
      <c r="D6210" s="403" t="s">
        <v>1315</v>
      </c>
      <c r="E6210" s="403" t="s">
        <v>1316</v>
      </c>
      <c r="F6210" s="403" t="s">
        <v>1300</v>
      </c>
      <c r="G6210" s="403" t="s">
        <v>1466</v>
      </c>
      <c r="H6210" s="403" t="s">
        <v>1276</v>
      </c>
      <c r="I6210" s="403">
        <v>1</v>
      </c>
      <c r="J6210" s="403" t="s">
        <v>1289</v>
      </c>
      <c r="K6210" s="403">
        <v>1280</v>
      </c>
      <c r="L6210" s="403">
        <v>720</v>
      </c>
      <c r="M6210" s="403" t="s">
        <v>1298</v>
      </c>
      <c r="N6210" s="403">
        <v>768</v>
      </c>
      <c r="O6210" s="403">
        <v>432</v>
      </c>
      <c r="P6210" t="str">
        <f t="shared" ref="P6210:P6273" si="777">LEFT(F6210,5)&amp;" "&amp;J6210&amp;" - "&amp;M6210</f>
        <v>60fps 720p full frame rate - SD dual stream with independent ROI PTZ</v>
      </c>
      <c r="Q6210">
        <f t="shared" ref="Q6210:Q6273" si="778">IF(A6209=A6210,Q6209,Q6209+1)</f>
        <v>31</v>
      </c>
      <c r="R6210" t="str">
        <f t="shared" ref="R6210:R6273" si="779">IF(Q6209&lt;&gt;Q6210,Q6210,"")</f>
        <v/>
      </c>
      <c r="S6210" t="str">
        <f t="shared" ref="S6210:S6273" si="780">IF(R6210&lt;&gt;"",B6210&amp;" ("&amp;D6210&amp;")","")</f>
        <v/>
      </c>
      <c r="T6210" s="403" t="str">
        <f t="shared" ref="T6210:T6273" si="781">D6210</f>
        <v>NIN-63013-Ax</v>
      </c>
      <c r="U6210" s="403">
        <f t="shared" ref="U6210:U6273" si="782">I6210</f>
        <v>1</v>
      </c>
      <c r="V6210" s="403" t="str">
        <f t="shared" ref="V6210:V6273" si="783">C6210</f>
        <v>CPP_7</v>
      </c>
    </row>
    <row r="6211" spans="1:22">
      <c r="A6211" t="str">
        <f t="shared" si="776"/>
        <v>NIN-63013-Ax</v>
      </c>
      <c r="B6211" s="403" t="s">
        <v>1438</v>
      </c>
      <c r="C6211" s="403" t="s">
        <v>583</v>
      </c>
      <c r="D6211" s="403" t="s">
        <v>1315</v>
      </c>
      <c r="E6211" s="403" t="s">
        <v>1316</v>
      </c>
      <c r="F6211" s="403" t="s">
        <v>1300</v>
      </c>
      <c r="G6211" s="403" t="s">
        <v>1466</v>
      </c>
      <c r="H6211" s="403" t="s">
        <v>1276</v>
      </c>
      <c r="I6211" s="403">
        <v>1</v>
      </c>
      <c r="J6211" s="403" t="s">
        <v>1289</v>
      </c>
      <c r="K6211" s="403">
        <v>1280</v>
      </c>
      <c r="L6211" s="403">
        <v>720</v>
      </c>
      <c r="M6211" s="403" t="s">
        <v>1301</v>
      </c>
      <c r="N6211" s="403">
        <v>1280</v>
      </c>
      <c r="O6211" s="403">
        <v>720</v>
      </c>
      <c r="P6211" t="str">
        <f t="shared" si="777"/>
        <v>60fps 720p full frame rate - 720p skip=4</v>
      </c>
      <c r="Q6211">
        <f t="shared" si="778"/>
        <v>31</v>
      </c>
      <c r="R6211" t="str">
        <f t="shared" si="779"/>
        <v/>
      </c>
      <c r="S6211" t="str">
        <f t="shared" si="780"/>
        <v/>
      </c>
      <c r="T6211" s="403" t="str">
        <f t="shared" si="781"/>
        <v>NIN-63013-Ax</v>
      </c>
      <c r="U6211" s="403">
        <f t="shared" si="782"/>
        <v>1</v>
      </c>
      <c r="V6211" s="403" t="str">
        <f t="shared" si="783"/>
        <v>CPP_7</v>
      </c>
    </row>
    <row r="6212" spans="1:22">
      <c r="A6212" t="str">
        <f t="shared" si="776"/>
        <v>NIN-63013-Ax</v>
      </c>
      <c r="B6212" s="403" t="s">
        <v>1438</v>
      </c>
      <c r="C6212" s="403" t="s">
        <v>583</v>
      </c>
      <c r="D6212" s="403" t="s">
        <v>1315</v>
      </c>
      <c r="E6212" s="403" t="s">
        <v>1316</v>
      </c>
      <c r="F6212" s="403" t="s">
        <v>1300</v>
      </c>
      <c r="G6212" s="403" t="s">
        <v>1466</v>
      </c>
      <c r="H6212" s="403" t="s">
        <v>1276</v>
      </c>
      <c r="I6212" s="403">
        <v>1</v>
      </c>
      <c r="J6212" s="403" t="s">
        <v>1289</v>
      </c>
      <c r="K6212" s="403">
        <v>1280</v>
      </c>
      <c r="L6212" s="403">
        <v>720</v>
      </c>
      <c r="M6212" s="403" t="s">
        <v>1280</v>
      </c>
      <c r="N6212" s="403">
        <v>1280</v>
      </c>
      <c r="O6212" s="403">
        <v>720</v>
      </c>
      <c r="P6212" t="str">
        <f t="shared" si="777"/>
        <v>60fps 720p full frame rate - copy other stream</v>
      </c>
      <c r="Q6212">
        <f t="shared" si="778"/>
        <v>31</v>
      </c>
      <c r="R6212" t="str">
        <f t="shared" si="779"/>
        <v/>
      </c>
      <c r="S6212" t="str">
        <f t="shared" si="780"/>
        <v/>
      </c>
      <c r="T6212" s="403" t="str">
        <f t="shared" si="781"/>
        <v>NIN-63013-Ax</v>
      </c>
      <c r="U6212" s="403">
        <f t="shared" si="782"/>
        <v>1</v>
      </c>
      <c r="V6212" s="403" t="str">
        <f t="shared" si="783"/>
        <v>CPP_7</v>
      </c>
    </row>
    <row r="6213" spans="1:22">
      <c r="A6213" t="str">
        <f t="shared" si="776"/>
        <v>NIN-63013-Ax</v>
      </c>
      <c r="B6213" s="403" t="s">
        <v>1438</v>
      </c>
      <c r="C6213" s="403" t="s">
        <v>583</v>
      </c>
      <c r="D6213" s="403" t="s">
        <v>1315</v>
      </c>
      <c r="E6213" s="403" t="s">
        <v>1316</v>
      </c>
      <c r="F6213" s="403" t="s">
        <v>1300</v>
      </c>
      <c r="G6213" s="403" t="s">
        <v>1466</v>
      </c>
      <c r="H6213" s="403" t="s">
        <v>1276</v>
      </c>
      <c r="I6213" s="403">
        <v>1</v>
      </c>
      <c r="J6213" s="403" t="s">
        <v>1289</v>
      </c>
      <c r="K6213" s="403">
        <v>1280</v>
      </c>
      <c r="L6213" s="403">
        <v>720</v>
      </c>
      <c r="M6213" s="403" t="s">
        <v>1302</v>
      </c>
      <c r="N6213" s="403">
        <v>400</v>
      </c>
      <c r="O6213" s="403">
        <v>720</v>
      </c>
      <c r="P6213" t="str">
        <f t="shared" si="777"/>
        <v>60fps 720p full frame rate - 400x720 upright (cropped)</v>
      </c>
      <c r="Q6213">
        <f t="shared" si="778"/>
        <v>31</v>
      </c>
      <c r="R6213" t="str">
        <f t="shared" si="779"/>
        <v/>
      </c>
      <c r="S6213" t="str">
        <f t="shared" si="780"/>
        <v/>
      </c>
      <c r="T6213" s="403" t="str">
        <f t="shared" si="781"/>
        <v>NIN-63013-Ax</v>
      </c>
      <c r="U6213" s="403">
        <f t="shared" si="782"/>
        <v>1</v>
      </c>
      <c r="V6213" s="403" t="str">
        <f t="shared" si="783"/>
        <v>CPP_7</v>
      </c>
    </row>
    <row r="6214" spans="1:22">
      <c r="A6214" t="str">
        <f t="shared" si="776"/>
        <v>NIN-63013-Ax</v>
      </c>
      <c r="B6214" s="403" t="s">
        <v>1438</v>
      </c>
      <c r="C6214" s="403" t="s">
        <v>583</v>
      </c>
      <c r="D6214" s="403" t="s">
        <v>1315</v>
      </c>
      <c r="E6214" s="403" t="s">
        <v>1316</v>
      </c>
      <c r="F6214" s="403" t="s">
        <v>1300</v>
      </c>
      <c r="G6214" s="403" t="s">
        <v>1466</v>
      </c>
      <c r="H6214" s="403" t="s">
        <v>1276</v>
      </c>
      <c r="I6214" s="403">
        <v>1</v>
      </c>
      <c r="J6214" s="403" t="s">
        <v>1289</v>
      </c>
      <c r="K6214" s="403">
        <v>1280</v>
      </c>
      <c r="L6214" s="403">
        <v>720</v>
      </c>
      <c r="M6214" s="403" t="s">
        <v>1283</v>
      </c>
      <c r="N6214" s="403">
        <v>704</v>
      </c>
      <c r="O6214" s="403">
        <v>480</v>
      </c>
      <c r="P6214" t="str">
        <f t="shared" si="777"/>
        <v>60fps 720p full frame rate - SD 4CIF resolution 4:3 format (cropped)</v>
      </c>
      <c r="Q6214">
        <f t="shared" si="778"/>
        <v>31</v>
      </c>
      <c r="R6214" t="str">
        <f t="shared" si="779"/>
        <v/>
      </c>
      <c r="S6214" t="str">
        <f t="shared" si="780"/>
        <v/>
      </c>
      <c r="T6214" s="403" t="str">
        <f t="shared" si="781"/>
        <v>NIN-63013-Ax</v>
      </c>
      <c r="U6214" s="403">
        <f t="shared" si="782"/>
        <v>1</v>
      </c>
      <c r="V6214" s="403" t="str">
        <f t="shared" si="783"/>
        <v>CPP_7</v>
      </c>
    </row>
    <row r="6215" spans="1:22">
      <c r="A6215" t="str">
        <f t="shared" si="776"/>
        <v>NIN-63013-Ax</v>
      </c>
      <c r="B6215" s="403" t="s">
        <v>1438</v>
      </c>
      <c r="C6215" s="403" t="s">
        <v>583</v>
      </c>
      <c r="D6215" s="403" t="s">
        <v>1315</v>
      </c>
      <c r="E6215" s="403" t="s">
        <v>1316</v>
      </c>
      <c r="F6215" s="403" t="s">
        <v>1300</v>
      </c>
      <c r="G6215" s="403" t="s">
        <v>1466</v>
      </c>
      <c r="H6215" s="403" t="s">
        <v>1276</v>
      </c>
      <c r="I6215" s="403">
        <v>1</v>
      </c>
      <c r="J6215" s="403" t="s">
        <v>1289</v>
      </c>
      <c r="K6215" s="403">
        <v>1280</v>
      </c>
      <c r="L6215" s="403">
        <v>720</v>
      </c>
      <c r="M6215" s="403" t="s">
        <v>1284</v>
      </c>
      <c r="N6215" s="403">
        <v>640</v>
      </c>
      <c r="O6215" s="403">
        <v>480</v>
      </c>
      <c r="P6215" t="str">
        <f t="shared" si="777"/>
        <v>60fps 720p full frame rate - SD VGA (cropped)</v>
      </c>
      <c r="Q6215">
        <f t="shared" si="778"/>
        <v>31</v>
      </c>
      <c r="R6215" t="str">
        <f t="shared" si="779"/>
        <v/>
      </c>
      <c r="S6215" t="str">
        <f t="shared" si="780"/>
        <v/>
      </c>
      <c r="T6215" s="403" t="str">
        <f t="shared" si="781"/>
        <v>NIN-63013-Ax</v>
      </c>
      <c r="U6215" s="403">
        <f t="shared" si="782"/>
        <v>1</v>
      </c>
      <c r="V6215" s="403" t="str">
        <f t="shared" si="783"/>
        <v>CPP_7</v>
      </c>
    </row>
    <row r="6216" spans="1:22">
      <c r="A6216" t="str">
        <f t="shared" si="776"/>
        <v>NIN-63013-Ax</v>
      </c>
      <c r="B6216" s="403" t="s">
        <v>1438</v>
      </c>
      <c r="C6216" s="403" t="s">
        <v>583</v>
      </c>
      <c r="D6216" s="403" t="s">
        <v>1315</v>
      </c>
      <c r="E6216" s="403" t="s">
        <v>1316</v>
      </c>
      <c r="F6216" s="403" t="s">
        <v>1300</v>
      </c>
      <c r="G6216" s="403" t="s">
        <v>1466</v>
      </c>
      <c r="H6216" s="403" t="s">
        <v>1276</v>
      </c>
      <c r="I6216" s="403">
        <v>1</v>
      </c>
      <c r="J6216" s="403" t="s">
        <v>111</v>
      </c>
      <c r="K6216" s="403">
        <v>768</v>
      </c>
      <c r="L6216" s="403">
        <v>432</v>
      </c>
      <c r="M6216" s="403" t="s">
        <v>111</v>
      </c>
      <c r="N6216" s="403">
        <v>768</v>
      </c>
      <c r="O6216" s="403">
        <v>432</v>
      </c>
      <c r="P6216" t="str">
        <f t="shared" si="777"/>
        <v>60fps SD - SD</v>
      </c>
      <c r="Q6216">
        <f t="shared" si="778"/>
        <v>31</v>
      </c>
      <c r="R6216" t="str">
        <f t="shared" si="779"/>
        <v/>
      </c>
      <c r="S6216" t="str">
        <f t="shared" si="780"/>
        <v/>
      </c>
      <c r="T6216" s="403" t="str">
        <f t="shared" si="781"/>
        <v>NIN-63013-Ax</v>
      </c>
      <c r="U6216" s="403">
        <f t="shared" si="782"/>
        <v>1</v>
      </c>
      <c r="V6216" s="403" t="str">
        <f t="shared" si="783"/>
        <v>CPP_7</v>
      </c>
    </row>
    <row r="6217" spans="1:22">
      <c r="A6217" t="str">
        <f t="shared" si="776"/>
        <v>NIN-63013-Ax</v>
      </c>
      <c r="B6217" s="403" t="s">
        <v>1438</v>
      </c>
      <c r="C6217" s="403" t="s">
        <v>583</v>
      </c>
      <c r="D6217" s="403" t="s">
        <v>1315</v>
      </c>
      <c r="E6217" s="403" t="s">
        <v>1316</v>
      </c>
      <c r="F6217" s="403" t="s">
        <v>1300</v>
      </c>
      <c r="G6217" s="403" t="s">
        <v>1467</v>
      </c>
      <c r="H6217" s="403" t="s">
        <v>1276</v>
      </c>
      <c r="I6217" s="403">
        <v>1</v>
      </c>
      <c r="J6217" s="403" t="s">
        <v>1289</v>
      </c>
      <c r="K6217" s="403">
        <v>720</v>
      </c>
      <c r="L6217" s="403">
        <v>1280</v>
      </c>
      <c r="M6217" s="403" t="s">
        <v>111</v>
      </c>
      <c r="N6217" s="403">
        <v>432</v>
      </c>
      <c r="O6217" s="403">
        <v>768</v>
      </c>
      <c r="P6217" t="str">
        <f t="shared" si="777"/>
        <v>60fps 720p full frame rate - SD</v>
      </c>
      <c r="Q6217">
        <f t="shared" si="778"/>
        <v>31</v>
      </c>
      <c r="R6217" t="str">
        <f t="shared" si="779"/>
        <v/>
      </c>
      <c r="S6217" t="str">
        <f t="shared" si="780"/>
        <v/>
      </c>
      <c r="T6217" s="403" t="str">
        <f t="shared" si="781"/>
        <v>NIN-63013-Ax</v>
      </c>
      <c r="U6217" s="403">
        <f t="shared" si="782"/>
        <v>1</v>
      </c>
      <c r="V6217" s="403" t="str">
        <f t="shared" si="783"/>
        <v>CPP_7</v>
      </c>
    </row>
    <row r="6218" spans="1:22">
      <c r="A6218" t="str">
        <f t="shared" si="776"/>
        <v>NIN-63013-Ax</v>
      </c>
      <c r="B6218" s="403" t="s">
        <v>1438</v>
      </c>
      <c r="C6218" s="403" t="s">
        <v>583</v>
      </c>
      <c r="D6218" s="403" t="s">
        <v>1315</v>
      </c>
      <c r="E6218" s="403" t="s">
        <v>1316</v>
      </c>
      <c r="F6218" s="403" t="s">
        <v>1300</v>
      </c>
      <c r="G6218" s="403" t="s">
        <v>1467</v>
      </c>
      <c r="H6218" s="403" t="s">
        <v>1276</v>
      </c>
      <c r="I6218" s="403">
        <v>1</v>
      </c>
      <c r="J6218" s="403" t="s">
        <v>1289</v>
      </c>
      <c r="K6218" s="403">
        <v>720</v>
      </c>
      <c r="L6218" s="403">
        <v>1280</v>
      </c>
      <c r="M6218" s="403" t="s">
        <v>1279</v>
      </c>
      <c r="N6218" s="403">
        <v>432</v>
      </c>
      <c r="O6218" s="403">
        <v>768</v>
      </c>
      <c r="P6218" t="str">
        <f t="shared" si="777"/>
        <v>60fps 720p full frame rate - SD ROI PTZ</v>
      </c>
      <c r="Q6218">
        <f t="shared" si="778"/>
        <v>31</v>
      </c>
      <c r="R6218" t="str">
        <f t="shared" si="779"/>
        <v/>
      </c>
      <c r="S6218" t="str">
        <f t="shared" si="780"/>
        <v/>
      </c>
      <c r="T6218" s="403" t="str">
        <f t="shared" si="781"/>
        <v>NIN-63013-Ax</v>
      </c>
      <c r="U6218" s="403">
        <f t="shared" si="782"/>
        <v>1</v>
      </c>
      <c r="V6218" s="403" t="str">
        <f t="shared" si="783"/>
        <v>CPP_7</v>
      </c>
    </row>
    <row r="6219" spans="1:22">
      <c r="A6219" t="str">
        <f t="shared" si="776"/>
        <v>NIN-63013-Ax</v>
      </c>
      <c r="B6219" s="403" t="s">
        <v>1438</v>
      </c>
      <c r="C6219" s="403" t="s">
        <v>583</v>
      </c>
      <c r="D6219" s="403" t="s">
        <v>1315</v>
      </c>
      <c r="E6219" s="403" t="s">
        <v>1316</v>
      </c>
      <c r="F6219" s="403" t="s">
        <v>1300</v>
      </c>
      <c r="G6219" s="403" t="s">
        <v>1467</v>
      </c>
      <c r="H6219" s="403" t="s">
        <v>1276</v>
      </c>
      <c r="I6219" s="403">
        <v>1</v>
      </c>
      <c r="J6219" s="403" t="s">
        <v>1289</v>
      </c>
      <c r="K6219" s="403">
        <v>720</v>
      </c>
      <c r="L6219" s="403">
        <v>1280</v>
      </c>
      <c r="M6219" s="403" t="s">
        <v>1298</v>
      </c>
      <c r="N6219" s="403">
        <v>432</v>
      </c>
      <c r="O6219" s="403">
        <v>768</v>
      </c>
      <c r="P6219" t="str">
        <f t="shared" si="777"/>
        <v>60fps 720p full frame rate - SD dual stream with independent ROI PTZ</v>
      </c>
      <c r="Q6219">
        <f t="shared" si="778"/>
        <v>31</v>
      </c>
      <c r="R6219" t="str">
        <f t="shared" si="779"/>
        <v/>
      </c>
      <c r="S6219" t="str">
        <f t="shared" si="780"/>
        <v/>
      </c>
      <c r="T6219" s="403" t="str">
        <f t="shared" si="781"/>
        <v>NIN-63013-Ax</v>
      </c>
      <c r="U6219" s="403">
        <f t="shared" si="782"/>
        <v>1</v>
      </c>
      <c r="V6219" s="403" t="str">
        <f t="shared" si="783"/>
        <v>CPP_7</v>
      </c>
    </row>
    <row r="6220" spans="1:22">
      <c r="A6220" t="str">
        <f t="shared" si="776"/>
        <v>NIN-63013-Ax</v>
      </c>
      <c r="B6220" s="403" t="s">
        <v>1438</v>
      </c>
      <c r="C6220" s="403" t="s">
        <v>583</v>
      </c>
      <c r="D6220" s="403" t="s">
        <v>1315</v>
      </c>
      <c r="E6220" s="403" t="s">
        <v>1316</v>
      </c>
      <c r="F6220" s="403" t="s">
        <v>1300</v>
      </c>
      <c r="G6220" s="403" t="s">
        <v>1467</v>
      </c>
      <c r="H6220" s="403" t="s">
        <v>1276</v>
      </c>
      <c r="I6220" s="403">
        <v>1</v>
      </c>
      <c r="J6220" s="403" t="s">
        <v>1289</v>
      </c>
      <c r="K6220" s="403">
        <v>720</v>
      </c>
      <c r="L6220" s="403">
        <v>1280</v>
      </c>
      <c r="M6220" s="403" t="s">
        <v>1301</v>
      </c>
      <c r="N6220" s="403">
        <v>720</v>
      </c>
      <c r="O6220" s="403">
        <v>1280</v>
      </c>
      <c r="P6220" t="str">
        <f t="shared" si="777"/>
        <v>60fps 720p full frame rate - 720p skip=4</v>
      </c>
      <c r="Q6220">
        <f t="shared" si="778"/>
        <v>31</v>
      </c>
      <c r="R6220" t="str">
        <f t="shared" si="779"/>
        <v/>
      </c>
      <c r="S6220" t="str">
        <f t="shared" si="780"/>
        <v/>
      </c>
      <c r="T6220" s="403" t="str">
        <f t="shared" si="781"/>
        <v>NIN-63013-Ax</v>
      </c>
      <c r="U6220" s="403">
        <f t="shared" si="782"/>
        <v>1</v>
      </c>
      <c r="V6220" s="403" t="str">
        <f t="shared" si="783"/>
        <v>CPP_7</v>
      </c>
    </row>
    <row r="6221" spans="1:22">
      <c r="A6221" t="str">
        <f t="shared" si="776"/>
        <v>NIN-63013-Ax</v>
      </c>
      <c r="B6221" s="403" t="s">
        <v>1438</v>
      </c>
      <c r="C6221" s="403" t="s">
        <v>583</v>
      </c>
      <c r="D6221" s="403" t="s">
        <v>1315</v>
      </c>
      <c r="E6221" s="403" t="s">
        <v>1316</v>
      </c>
      <c r="F6221" s="403" t="s">
        <v>1300</v>
      </c>
      <c r="G6221" s="403" t="s">
        <v>1467</v>
      </c>
      <c r="H6221" s="403" t="s">
        <v>1276</v>
      </c>
      <c r="I6221" s="403">
        <v>1</v>
      </c>
      <c r="J6221" s="403" t="s">
        <v>1289</v>
      </c>
      <c r="K6221" s="403">
        <v>720</v>
      </c>
      <c r="L6221" s="403">
        <v>1280</v>
      </c>
      <c r="M6221" s="403" t="s">
        <v>1280</v>
      </c>
      <c r="N6221" s="403">
        <v>720</v>
      </c>
      <c r="O6221" s="403">
        <v>1280</v>
      </c>
      <c r="P6221" t="str">
        <f t="shared" si="777"/>
        <v>60fps 720p full frame rate - copy other stream</v>
      </c>
      <c r="Q6221">
        <f t="shared" si="778"/>
        <v>31</v>
      </c>
      <c r="R6221" t="str">
        <f t="shared" si="779"/>
        <v/>
      </c>
      <c r="S6221" t="str">
        <f t="shared" si="780"/>
        <v/>
      </c>
      <c r="T6221" s="403" t="str">
        <f t="shared" si="781"/>
        <v>NIN-63013-Ax</v>
      </c>
      <c r="U6221" s="403">
        <f t="shared" si="782"/>
        <v>1</v>
      </c>
      <c r="V6221" s="403" t="str">
        <f t="shared" si="783"/>
        <v>CPP_7</v>
      </c>
    </row>
    <row r="6222" spans="1:22">
      <c r="A6222" t="str">
        <f t="shared" si="776"/>
        <v>NIN-63013-Ax</v>
      </c>
      <c r="B6222" s="403" t="s">
        <v>1438</v>
      </c>
      <c r="C6222" s="403" t="s">
        <v>583</v>
      </c>
      <c r="D6222" s="403" t="s">
        <v>1315</v>
      </c>
      <c r="E6222" s="403" t="s">
        <v>1316</v>
      </c>
      <c r="F6222" s="403" t="s">
        <v>1300</v>
      </c>
      <c r="G6222" s="403" t="s">
        <v>1467</v>
      </c>
      <c r="H6222" s="403" t="s">
        <v>1276</v>
      </c>
      <c r="I6222" s="403">
        <v>1</v>
      </c>
      <c r="J6222" s="403" t="s">
        <v>1289</v>
      </c>
      <c r="K6222" s="403">
        <v>720</v>
      </c>
      <c r="L6222" s="403">
        <v>1280</v>
      </c>
      <c r="M6222" s="403" t="s">
        <v>1302</v>
      </c>
      <c r="N6222" s="403">
        <v>720</v>
      </c>
      <c r="O6222" s="403">
        <v>400</v>
      </c>
      <c r="P6222" t="str">
        <f t="shared" si="777"/>
        <v>60fps 720p full frame rate - 400x720 upright (cropped)</v>
      </c>
      <c r="Q6222">
        <f t="shared" si="778"/>
        <v>31</v>
      </c>
      <c r="R6222" t="str">
        <f t="shared" si="779"/>
        <v/>
      </c>
      <c r="S6222" t="str">
        <f t="shared" si="780"/>
        <v/>
      </c>
      <c r="T6222" s="403" t="str">
        <f t="shared" si="781"/>
        <v>NIN-63013-Ax</v>
      </c>
      <c r="U6222" s="403">
        <f t="shared" si="782"/>
        <v>1</v>
      </c>
      <c r="V6222" s="403" t="str">
        <f t="shared" si="783"/>
        <v>CPP_7</v>
      </c>
    </row>
    <row r="6223" spans="1:22">
      <c r="A6223" t="str">
        <f t="shared" si="776"/>
        <v>NIN-63013-Ax</v>
      </c>
      <c r="B6223" s="403" t="s">
        <v>1438</v>
      </c>
      <c r="C6223" s="403" t="s">
        <v>583</v>
      </c>
      <c r="D6223" s="403" t="s">
        <v>1315</v>
      </c>
      <c r="E6223" s="403" t="s">
        <v>1316</v>
      </c>
      <c r="F6223" s="403" t="s">
        <v>1300</v>
      </c>
      <c r="G6223" s="403" t="s">
        <v>1467</v>
      </c>
      <c r="H6223" s="403" t="s">
        <v>1276</v>
      </c>
      <c r="I6223" s="403">
        <v>1</v>
      </c>
      <c r="J6223" s="403" t="s">
        <v>1289</v>
      </c>
      <c r="K6223" s="403">
        <v>720</v>
      </c>
      <c r="L6223" s="403">
        <v>1280</v>
      </c>
      <c r="M6223" s="403" t="s">
        <v>1283</v>
      </c>
      <c r="N6223" s="403">
        <v>480</v>
      </c>
      <c r="O6223" s="403">
        <v>704</v>
      </c>
      <c r="P6223" t="str">
        <f t="shared" si="777"/>
        <v>60fps 720p full frame rate - SD 4CIF resolution 4:3 format (cropped)</v>
      </c>
      <c r="Q6223">
        <f t="shared" si="778"/>
        <v>31</v>
      </c>
      <c r="R6223" t="str">
        <f t="shared" si="779"/>
        <v/>
      </c>
      <c r="S6223" t="str">
        <f t="shared" si="780"/>
        <v/>
      </c>
      <c r="T6223" s="403" t="str">
        <f t="shared" si="781"/>
        <v>NIN-63013-Ax</v>
      </c>
      <c r="U6223" s="403">
        <f t="shared" si="782"/>
        <v>1</v>
      </c>
      <c r="V6223" s="403" t="str">
        <f t="shared" si="783"/>
        <v>CPP_7</v>
      </c>
    </row>
    <row r="6224" spans="1:22">
      <c r="A6224" t="str">
        <f t="shared" si="776"/>
        <v>NIN-63013-Ax</v>
      </c>
      <c r="B6224" s="403" t="s">
        <v>1438</v>
      </c>
      <c r="C6224" s="403" t="s">
        <v>583</v>
      </c>
      <c r="D6224" s="403" t="s">
        <v>1315</v>
      </c>
      <c r="E6224" s="403" t="s">
        <v>1316</v>
      </c>
      <c r="F6224" s="403" t="s">
        <v>1300</v>
      </c>
      <c r="G6224" s="403" t="s">
        <v>1467</v>
      </c>
      <c r="H6224" s="403" t="s">
        <v>1276</v>
      </c>
      <c r="I6224" s="403">
        <v>1</v>
      </c>
      <c r="J6224" s="403" t="s">
        <v>1289</v>
      </c>
      <c r="K6224" s="403">
        <v>720</v>
      </c>
      <c r="L6224" s="403">
        <v>1280</v>
      </c>
      <c r="M6224" s="403" t="s">
        <v>1284</v>
      </c>
      <c r="N6224" s="403">
        <v>480</v>
      </c>
      <c r="O6224" s="403">
        <v>640</v>
      </c>
      <c r="P6224" t="str">
        <f t="shared" si="777"/>
        <v>60fps 720p full frame rate - SD VGA (cropped)</v>
      </c>
      <c r="Q6224">
        <f t="shared" si="778"/>
        <v>31</v>
      </c>
      <c r="R6224" t="str">
        <f t="shared" si="779"/>
        <v/>
      </c>
      <c r="S6224" t="str">
        <f t="shared" si="780"/>
        <v/>
      </c>
      <c r="T6224" s="403" t="str">
        <f t="shared" si="781"/>
        <v>NIN-63013-Ax</v>
      </c>
      <c r="U6224" s="403">
        <f t="shared" si="782"/>
        <v>1</v>
      </c>
      <c r="V6224" s="403" t="str">
        <f t="shared" si="783"/>
        <v>CPP_7</v>
      </c>
    </row>
    <row r="6225" spans="1:22">
      <c r="A6225" t="str">
        <f t="shared" si="776"/>
        <v>NIN-63013-Ax</v>
      </c>
      <c r="B6225" s="403" t="s">
        <v>1438</v>
      </c>
      <c r="C6225" s="403" t="s">
        <v>583</v>
      </c>
      <c r="D6225" s="403" t="s">
        <v>1315</v>
      </c>
      <c r="E6225" s="403" t="s">
        <v>1316</v>
      </c>
      <c r="F6225" s="403" t="s">
        <v>1300</v>
      </c>
      <c r="G6225" s="403" t="s">
        <v>1467</v>
      </c>
      <c r="H6225" s="403" t="s">
        <v>1276</v>
      </c>
      <c r="I6225" s="403">
        <v>1</v>
      </c>
      <c r="J6225" s="403" t="s">
        <v>111</v>
      </c>
      <c r="K6225" s="403">
        <v>432</v>
      </c>
      <c r="L6225" s="403">
        <v>768</v>
      </c>
      <c r="M6225" s="403" t="s">
        <v>111</v>
      </c>
      <c r="N6225" s="403">
        <v>432</v>
      </c>
      <c r="O6225" s="403">
        <v>768</v>
      </c>
      <c r="P6225" t="str">
        <f t="shared" si="777"/>
        <v>60fps SD - SD</v>
      </c>
      <c r="Q6225">
        <f t="shared" si="778"/>
        <v>31</v>
      </c>
      <c r="R6225" t="str">
        <f t="shared" si="779"/>
        <v/>
      </c>
      <c r="S6225" t="str">
        <f t="shared" si="780"/>
        <v/>
      </c>
      <c r="T6225" s="403" t="str">
        <f t="shared" si="781"/>
        <v>NIN-63013-Ax</v>
      </c>
      <c r="U6225" s="403">
        <f t="shared" si="782"/>
        <v>1</v>
      </c>
      <c r="V6225" s="403" t="str">
        <f t="shared" si="783"/>
        <v>CPP_7</v>
      </c>
    </row>
    <row r="6226" spans="1:22">
      <c r="A6226" t="str">
        <f t="shared" si="776"/>
        <v>NIN-63013-Ax</v>
      </c>
      <c r="B6226" s="403" t="s">
        <v>1438</v>
      </c>
      <c r="C6226" s="403" t="s">
        <v>583</v>
      </c>
      <c r="D6226" s="403" t="s">
        <v>1315</v>
      </c>
      <c r="E6226" s="403" t="s">
        <v>1316</v>
      </c>
      <c r="F6226" s="403" t="s">
        <v>1303</v>
      </c>
      <c r="G6226" s="403" t="s">
        <v>1466</v>
      </c>
      <c r="H6226" s="403" t="s">
        <v>1276</v>
      </c>
      <c r="I6226" s="403">
        <v>1</v>
      </c>
      <c r="J6226" s="403" t="s">
        <v>1289</v>
      </c>
      <c r="K6226" s="403">
        <v>1280</v>
      </c>
      <c r="L6226" s="403">
        <v>720</v>
      </c>
      <c r="M6226" s="403" t="s">
        <v>111</v>
      </c>
      <c r="N6226" s="403">
        <v>768</v>
      </c>
      <c r="O6226" s="403">
        <v>432</v>
      </c>
      <c r="P6226" t="str">
        <f t="shared" si="777"/>
        <v>50fps 720p full frame rate - SD</v>
      </c>
      <c r="Q6226">
        <f t="shared" si="778"/>
        <v>31</v>
      </c>
      <c r="R6226" t="str">
        <f t="shared" si="779"/>
        <v/>
      </c>
      <c r="S6226" t="str">
        <f t="shared" si="780"/>
        <v/>
      </c>
      <c r="T6226" s="403" t="str">
        <f t="shared" si="781"/>
        <v>NIN-63013-Ax</v>
      </c>
      <c r="U6226" s="403">
        <f t="shared" si="782"/>
        <v>1</v>
      </c>
      <c r="V6226" s="403" t="str">
        <f t="shared" si="783"/>
        <v>CPP_7</v>
      </c>
    </row>
    <row r="6227" spans="1:22">
      <c r="A6227" t="str">
        <f t="shared" si="776"/>
        <v>NIN-63013-Ax</v>
      </c>
      <c r="B6227" s="403" t="s">
        <v>1438</v>
      </c>
      <c r="C6227" s="403" t="s">
        <v>583</v>
      </c>
      <c r="D6227" s="403" t="s">
        <v>1315</v>
      </c>
      <c r="E6227" s="403" t="s">
        <v>1316</v>
      </c>
      <c r="F6227" s="403" t="s">
        <v>1303</v>
      </c>
      <c r="G6227" s="403" t="s">
        <v>1466</v>
      </c>
      <c r="H6227" s="403" t="s">
        <v>1276</v>
      </c>
      <c r="I6227" s="403">
        <v>1</v>
      </c>
      <c r="J6227" s="403" t="s">
        <v>1289</v>
      </c>
      <c r="K6227" s="403">
        <v>1280</v>
      </c>
      <c r="L6227" s="403">
        <v>720</v>
      </c>
      <c r="M6227" s="403" t="s">
        <v>1279</v>
      </c>
      <c r="N6227" s="403">
        <v>768</v>
      </c>
      <c r="O6227" s="403">
        <v>432</v>
      </c>
      <c r="P6227" t="str">
        <f t="shared" si="777"/>
        <v>50fps 720p full frame rate - SD ROI PTZ</v>
      </c>
      <c r="Q6227">
        <f t="shared" si="778"/>
        <v>31</v>
      </c>
      <c r="R6227" t="str">
        <f t="shared" si="779"/>
        <v/>
      </c>
      <c r="S6227" t="str">
        <f t="shared" si="780"/>
        <v/>
      </c>
      <c r="T6227" s="403" t="str">
        <f t="shared" si="781"/>
        <v>NIN-63013-Ax</v>
      </c>
      <c r="U6227" s="403">
        <f t="shared" si="782"/>
        <v>1</v>
      </c>
      <c r="V6227" s="403" t="str">
        <f t="shared" si="783"/>
        <v>CPP_7</v>
      </c>
    </row>
    <row r="6228" spans="1:22">
      <c r="A6228" t="str">
        <f t="shared" si="776"/>
        <v>NIN-63013-Ax</v>
      </c>
      <c r="B6228" s="403" t="s">
        <v>1438</v>
      </c>
      <c r="C6228" s="403" t="s">
        <v>583</v>
      </c>
      <c r="D6228" s="403" t="s">
        <v>1315</v>
      </c>
      <c r="E6228" s="403" t="s">
        <v>1316</v>
      </c>
      <c r="F6228" s="403" t="s">
        <v>1303</v>
      </c>
      <c r="G6228" s="403" t="s">
        <v>1466</v>
      </c>
      <c r="H6228" s="403" t="s">
        <v>1276</v>
      </c>
      <c r="I6228" s="403">
        <v>1</v>
      </c>
      <c r="J6228" s="403" t="s">
        <v>1289</v>
      </c>
      <c r="K6228" s="403">
        <v>1280</v>
      </c>
      <c r="L6228" s="403">
        <v>720</v>
      </c>
      <c r="M6228" s="403" t="s">
        <v>1298</v>
      </c>
      <c r="N6228" s="403">
        <v>768</v>
      </c>
      <c r="O6228" s="403">
        <v>432</v>
      </c>
      <c r="P6228" t="str">
        <f t="shared" si="777"/>
        <v>50fps 720p full frame rate - SD dual stream with independent ROI PTZ</v>
      </c>
      <c r="Q6228">
        <f t="shared" si="778"/>
        <v>31</v>
      </c>
      <c r="R6228" t="str">
        <f t="shared" si="779"/>
        <v/>
      </c>
      <c r="S6228" t="str">
        <f t="shared" si="780"/>
        <v/>
      </c>
      <c r="T6228" s="403" t="str">
        <f t="shared" si="781"/>
        <v>NIN-63013-Ax</v>
      </c>
      <c r="U6228" s="403">
        <f t="shared" si="782"/>
        <v>1</v>
      </c>
      <c r="V6228" s="403" t="str">
        <f t="shared" si="783"/>
        <v>CPP_7</v>
      </c>
    </row>
    <row r="6229" spans="1:22">
      <c r="A6229" t="str">
        <f t="shared" si="776"/>
        <v>NIN-63013-Ax</v>
      </c>
      <c r="B6229" s="403" t="s">
        <v>1438</v>
      </c>
      <c r="C6229" s="403" t="s">
        <v>583</v>
      </c>
      <c r="D6229" s="403" t="s">
        <v>1315</v>
      </c>
      <c r="E6229" s="403" t="s">
        <v>1316</v>
      </c>
      <c r="F6229" s="403" t="s">
        <v>1303</v>
      </c>
      <c r="G6229" s="403" t="s">
        <v>1466</v>
      </c>
      <c r="H6229" s="403" t="s">
        <v>1276</v>
      </c>
      <c r="I6229" s="403">
        <v>1</v>
      </c>
      <c r="J6229" s="403" t="s">
        <v>1289</v>
      </c>
      <c r="K6229" s="403">
        <v>1280</v>
      </c>
      <c r="L6229" s="403">
        <v>720</v>
      </c>
      <c r="M6229" s="403" t="s">
        <v>1301</v>
      </c>
      <c r="N6229" s="403">
        <v>1280</v>
      </c>
      <c r="O6229" s="403">
        <v>720</v>
      </c>
      <c r="P6229" t="str">
        <f t="shared" si="777"/>
        <v>50fps 720p full frame rate - 720p skip=4</v>
      </c>
      <c r="Q6229">
        <f t="shared" si="778"/>
        <v>31</v>
      </c>
      <c r="R6229" t="str">
        <f t="shared" si="779"/>
        <v/>
      </c>
      <c r="S6229" t="str">
        <f t="shared" si="780"/>
        <v/>
      </c>
      <c r="T6229" s="403" t="str">
        <f t="shared" si="781"/>
        <v>NIN-63013-Ax</v>
      </c>
      <c r="U6229" s="403">
        <f t="shared" si="782"/>
        <v>1</v>
      </c>
      <c r="V6229" s="403" t="str">
        <f t="shared" si="783"/>
        <v>CPP_7</v>
      </c>
    </row>
    <row r="6230" spans="1:22">
      <c r="A6230" t="str">
        <f t="shared" si="776"/>
        <v>NIN-63013-Ax</v>
      </c>
      <c r="B6230" s="403" t="s">
        <v>1438</v>
      </c>
      <c r="C6230" s="403" t="s">
        <v>583</v>
      </c>
      <c r="D6230" s="403" t="s">
        <v>1315</v>
      </c>
      <c r="E6230" s="403" t="s">
        <v>1316</v>
      </c>
      <c r="F6230" s="403" t="s">
        <v>1303</v>
      </c>
      <c r="G6230" s="403" t="s">
        <v>1466</v>
      </c>
      <c r="H6230" s="403" t="s">
        <v>1276</v>
      </c>
      <c r="I6230" s="403">
        <v>1</v>
      </c>
      <c r="J6230" s="403" t="s">
        <v>1289</v>
      </c>
      <c r="K6230" s="403">
        <v>1280</v>
      </c>
      <c r="L6230" s="403">
        <v>720</v>
      </c>
      <c r="M6230" s="403" t="s">
        <v>1280</v>
      </c>
      <c r="N6230" s="403">
        <v>1280</v>
      </c>
      <c r="O6230" s="403">
        <v>720</v>
      </c>
      <c r="P6230" t="str">
        <f t="shared" si="777"/>
        <v>50fps 720p full frame rate - copy other stream</v>
      </c>
      <c r="Q6230">
        <f t="shared" si="778"/>
        <v>31</v>
      </c>
      <c r="R6230" t="str">
        <f t="shared" si="779"/>
        <v/>
      </c>
      <c r="S6230" t="str">
        <f t="shared" si="780"/>
        <v/>
      </c>
      <c r="T6230" s="403" t="str">
        <f t="shared" si="781"/>
        <v>NIN-63013-Ax</v>
      </c>
      <c r="U6230" s="403">
        <f t="shared" si="782"/>
        <v>1</v>
      </c>
      <c r="V6230" s="403" t="str">
        <f t="shared" si="783"/>
        <v>CPP_7</v>
      </c>
    </row>
    <row r="6231" spans="1:22">
      <c r="A6231" t="str">
        <f t="shared" si="776"/>
        <v>NIN-63013-Ax</v>
      </c>
      <c r="B6231" s="403" t="s">
        <v>1438</v>
      </c>
      <c r="C6231" s="403" t="s">
        <v>583</v>
      </c>
      <c r="D6231" s="403" t="s">
        <v>1315</v>
      </c>
      <c r="E6231" s="403" t="s">
        <v>1316</v>
      </c>
      <c r="F6231" s="403" t="s">
        <v>1303</v>
      </c>
      <c r="G6231" s="403" t="s">
        <v>1466</v>
      </c>
      <c r="H6231" s="403" t="s">
        <v>1276</v>
      </c>
      <c r="I6231" s="403">
        <v>1</v>
      </c>
      <c r="J6231" s="403" t="s">
        <v>1289</v>
      </c>
      <c r="K6231" s="403">
        <v>1280</v>
      </c>
      <c r="L6231" s="403">
        <v>720</v>
      </c>
      <c r="M6231" s="403" t="s">
        <v>1302</v>
      </c>
      <c r="N6231" s="403">
        <v>400</v>
      </c>
      <c r="O6231" s="403">
        <v>720</v>
      </c>
      <c r="P6231" t="str">
        <f t="shared" si="777"/>
        <v>50fps 720p full frame rate - 400x720 upright (cropped)</v>
      </c>
      <c r="Q6231">
        <f t="shared" si="778"/>
        <v>31</v>
      </c>
      <c r="R6231" t="str">
        <f t="shared" si="779"/>
        <v/>
      </c>
      <c r="S6231" t="str">
        <f t="shared" si="780"/>
        <v/>
      </c>
      <c r="T6231" s="403" t="str">
        <f t="shared" si="781"/>
        <v>NIN-63013-Ax</v>
      </c>
      <c r="U6231" s="403">
        <f t="shared" si="782"/>
        <v>1</v>
      </c>
      <c r="V6231" s="403" t="str">
        <f t="shared" si="783"/>
        <v>CPP_7</v>
      </c>
    </row>
    <row r="6232" spans="1:22">
      <c r="A6232" t="str">
        <f t="shared" si="776"/>
        <v>NIN-63013-Ax</v>
      </c>
      <c r="B6232" s="403" t="s">
        <v>1438</v>
      </c>
      <c r="C6232" s="403" t="s">
        <v>583</v>
      </c>
      <c r="D6232" s="403" t="s">
        <v>1315</v>
      </c>
      <c r="E6232" s="403" t="s">
        <v>1316</v>
      </c>
      <c r="F6232" s="403" t="s">
        <v>1303</v>
      </c>
      <c r="G6232" s="403" t="s">
        <v>1466</v>
      </c>
      <c r="H6232" s="403" t="s">
        <v>1276</v>
      </c>
      <c r="I6232" s="403">
        <v>1</v>
      </c>
      <c r="J6232" s="403" t="s">
        <v>1289</v>
      </c>
      <c r="K6232" s="403">
        <v>1280</v>
      </c>
      <c r="L6232" s="403">
        <v>720</v>
      </c>
      <c r="M6232" s="403" t="s">
        <v>1283</v>
      </c>
      <c r="N6232" s="403">
        <v>704</v>
      </c>
      <c r="O6232" s="403">
        <v>576</v>
      </c>
      <c r="P6232" t="str">
        <f t="shared" si="777"/>
        <v>50fps 720p full frame rate - SD 4CIF resolution 4:3 format (cropped)</v>
      </c>
      <c r="Q6232">
        <f t="shared" si="778"/>
        <v>31</v>
      </c>
      <c r="R6232" t="str">
        <f t="shared" si="779"/>
        <v/>
      </c>
      <c r="S6232" t="str">
        <f t="shared" si="780"/>
        <v/>
      </c>
      <c r="T6232" s="403" t="str">
        <f t="shared" si="781"/>
        <v>NIN-63013-Ax</v>
      </c>
      <c r="U6232" s="403">
        <f t="shared" si="782"/>
        <v>1</v>
      </c>
      <c r="V6232" s="403" t="str">
        <f t="shared" si="783"/>
        <v>CPP_7</v>
      </c>
    </row>
    <row r="6233" spans="1:22">
      <c r="A6233" t="str">
        <f t="shared" si="776"/>
        <v>NIN-63013-Ax</v>
      </c>
      <c r="B6233" s="403" t="s">
        <v>1438</v>
      </c>
      <c r="C6233" s="403" t="s">
        <v>583</v>
      </c>
      <c r="D6233" s="403" t="s">
        <v>1315</v>
      </c>
      <c r="E6233" s="403" t="s">
        <v>1316</v>
      </c>
      <c r="F6233" s="403" t="s">
        <v>1303</v>
      </c>
      <c r="G6233" s="403" t="s">
        <v>1466</v>
      </c>
      <c r="H6233" s="403" t="s">
        <v>1276</v>
      </c>
      <c r="I6233" s="403">
        <v>1</v>
      </c>
      <c r="J6233" s="403" t="s">
        <v>1289</v>
      </c>
      <c r="K6233" s="403">
        <v>1280</v>
      </c>
      <c r="L6233" s="403">
        <v>720</v>
      </c>
      <c r="M6233" s="403" t="s">
        <v>1284</v>
      </c>
      <c r="N6233" s="403">
        <v>640</v>
      </c>
      <c r="O6233" s="403">
        <v>480</v>
      </c>
      <c r="P6233" t="str">
        <f t="shared" si="777"/>
        <v>50fps 720p full frame rate - SD VGA (cropped)</v>
      </c>
      <c r="Q6233">
        <f t="shared" si="778"/>
        <v>31</v>
      </c>
      <c r="R6233" t="str">
        <f t="shared" si="779"/>
        <v/>
      </c>
      <c r="S6233" t="str">
        <f t="shared" si="780"/>
        <v/>
      </c>
      <c r="T6233" s="403" t="str">
        <f t="shared" si="781"/>
        <v>NIN-63013-Ax</v>
      </c>
      <c r="U6233" s="403">
        <f t="shared" si="782"/>
        <v>1</v>
      </c>
      <c r="V6233" s="403" t="str">
        <f t="shared" si="783"/>
        <v>CPP_7</v>
      </c>
    </row>
    <row r="6234" spans="1:22">
      <c r="A6234" t="str">
        <f t="shared" si="776"/>
        <v>NIN-63013-Ax</v>
      </c>
      <c r="B6234" s="403" t="s">
        <v>1438</v>
      </c>
      <c r="C6234" s="403" t="s">
        <v>583</v>
      </c>
      <c r="D6234" s="403" t="s">
        <v>1315</v>
      </c>
      <c r="E6234" s="403" t="s">
        <v>1316</v>
      </c>
      <c r="F6234" s="403" t="s">
        <v>1303</v>
      </c>
      <c r="G6234" s="403" t="s">
        <v>1466</v>
      </c>
      <c r="H6234" s="403" t="s">
        <v>1276</v>
      </c>
      <c r="I6234" s="403">
        <v>1</v>
      </c>
      <c r="J6234" s="403" t="s">
        <v>111</v>
      </c>
      <c r="K6234" s="403">
        <v>768</v>
      </c>
      <c r="L6234" s="403">
        <v>432</v>
      </c>
      <c r="M6234" s="403" t="s">
        <v>111</v>
      </c>
      <c r="N6234" s="403">
        <v>768</v>
      </c>
      <c r="O6234" s="403">
        <v>432</v>
      </c>
      <c r="P6234" t="str">
        <f t="shared" si="777"/>
        <v>50fps SD - SD</v>
      </c>
      <c r="Q6234">
        <f t="shared" si="778"/>
        <v>31</v>
      </c>
      <c r="R6234" t="str">
        <f t="shared" si="779"/>
        <v/>
      </c>
      <c r="S6234" t="str">
        <f t="shared" si="780"/>
        <v/>
      </c>
      <c r="T6234" s="403" t="str">
        <f t="shared" si="781"/>
        <v>NIN-63013-Ax</v>
      </c>
      <c r="U6234" s="403">
        <f t="shared" si="782"/>
        <v>1</v>
      </c>
      <c r="V6234" s="403" t="str">
        <f t="shared" si="783"/>
        <v>CPP_7</v>
      </c>
    </row>
    <row r="6235" spans="1:22">
      <c r="A6235" t="str">
        <f t="shared" si="776"/>
        <v>NIN-63013-Ax</v>
      </c>
      <c r="B6235" s="403" t="s">
        <v>1438</v>
      </c>
      <c r="C6235" s="403" t="s">
        <v>583</v>
      </c>
      <c r="D6235" s="403" t="s">
        <v>1315</v>
      </c>
      <c r="E6235" s="403" t="s">
        <v>1316</v>
      </c>
      <c r="F6235" s="403" t="s">
        <v>1303</v>
      </c>
      <c r="G6235" s="403" t="s">
        <v>1467</v>
      </c>
      <c r="H6235" s="403" t="s">
        <v>1276</v>
      </c>
      <c r="I6235" s="403">
        <v>1</v>
      </c>
      <c r="J6235" s="403" t="s">
        <v>1289</v>
      </c>
      <c r="K6235" s="403">
        <v>720</v>
      </c>
      <c r="L6235" s="403">
        <v>1280</v>
      </c>
      <c r="M6235" s="403" t="s">
        <v>111</v>
      </c>
      <c r="N6235" s="403">
        <v>432</v>
      </c>
      <c r="O6235" s="403">
        <v>768</v>
      </c>
      <c r="P6235" t="str">
        <f t="shared" si="777"/>
        <v>50fps 720p full frame rate - SD</v>
      </c>
      <c r="Q6235">
        <f t="shared" si="778"/>
        <v>31</v>
      </c>
      <c r="R6235" t="str">
        <f t="shared" si="779"/>
        <v/>
      </c>
      <c r="S6235" t="str">
        <f t="shared" si="780"/>
        <v/>
      </c>
      <c r="T6235" s="403" t="str">
        <f t="shared" si="781"/>
        <v>NIN-63013-Ax</v>
      </c>
      <c r="U6235" s="403">
        <f t="shared" si="782"/>
        <v>1</v>
      </c>
      <c r="V6235" s="403" t="str">
        <f t="shared" si="783"/>
        <v>CPP_7</v>
      </c>
    </row>
    <row r="6236" spans="1:22">
      <c r="A6236" t="str">
        <f t="shared" si="776"/>
        <v>NIN-63013-Ax</v>
      </c>
      <c r="B6236" s="403" t="s">
        <v>1438</v>
      </c>
      <c r="C6236" s="403" t="s">
        <v>583</v>
      </c>
      <c r="D6236" s="403" t="s">
        <v>1315</v>
      </c>
      <c r="E6236" s="403" t="s">
        <v>1316</v>
      </c>
      <c r="F6236" s="403" t="s">
        <v>1303</v>
      </c>
      <c r="G6236" s="403" t="s">
        <v>1467</v>
      </c>
      <c r="H6236" s="403" t="s">
        <v>1276</v>
      </c>
      <c r="I6236" s="403">
        <v>1</v>
      </c>
      <c r="J6236" s="403" t="s">
        <v>1289</v>
      </c>
      <c r="K6236" s="403">
        <v>720</v>
      </c>
      <c r="L6236" s="403">
        <v>1280</v>
      </c>
      <c r="M6236" s="403" t="s">
        <v>1279</v>
      </c>
      <c r="N6236" s="403">
        <v>432</v>
      </c>
      <c r="O6236" s="403">
        <v>768</v>
      </c>
      <c r="P6236" t="str">
        <f t="shared" si="777"/>
        <v>50fps 720p full frame rate - SD ROI PTZ</v>
      </c>
      <c r="Q6236">
        <f t="shared" si="778"/>
        <v>31</v>
      </c>
      <c r="R6236" t="str">
        <f t="shared" si="779"/>
        <v/>
      </c>
      <c r="S6236" t="str">
        <f t="shared" si="780"/>
        <v/>
      </c>
      <c r="T6236" s="403" t="str">
        <f t="shared" si="781"/>
        <v>NIN-63013-Ax</v>
      </c>
      <c r="U6236" s="403">
        <f t="shared" si="782"/>
        <v>1</v>
      </c>
      <c r="V6236" s="403" t="str">
        <f t="shared" si="783"/>
        <v>CPP_7</v>
      </c>
    </row>
    <row r="6237" spans="1:22">
      <c r="A6237" t="str">
        <f t="shared" si="776"/>
        <v>NIN-63013-Ax</v>
      </c>
      <c r="B6237" s="403" t="s">
        <v>1438</v>
      </c>
      <c r="C6237" s="403" t="s">
        <v>583</v>
      </c>
      <c r="D6237" s="403" t="s">
        <v>1315</v>
      </c>
      <c r="E6237" s="403" t="s">
        <v>1316</v>
      </c>
      <c r="F6237" s="403" t="s">
        <v>1303</v>
      </c>
      <c r="G6237" s="403" t="s">
        <v>1467</v>
      </c>
      <c r="H6237" s="403" t="s">
        <v>1276</v>
      </c>
      <c r="I6237" s="403">
        <v>1</v>
      </c>
      <c r="J6237" s="403" t="s">
        <v>1289</v>
      </c>
      <c r="K6237" s="403">
        <v>720</v>
      </c>
      <c r="L6237" s="403">
        <v>1280</v>
      </c>
      <c r="M6237" s="403" t="s">
        <v>1298</v>
      </c>
      <c r="N6237" s="403">
        <v>432</v>
      </c>
      <c r="O6237" s="403">
        <v>768</v>
      </c>
      <c r="P6237" t="str">
        <f t="shared" si="777"/>
        <v>50fps 720p full frame rate - SD dual stream with independent ROI PTZ</v>
      </c>
      <c r="Q6237">
        <f t="shared" si="778"/>
        <v>31</v>
      </c>
      <c r="R6237" t="str">
        <f t="shared" si="779"/>
        <v/>
      </c>
      <c r="S6237" t="str">
        <f t="shared" si="780"/>
        <v/>
      </c>
      <c r="T6237" s="403" t="str">
        <f t="shared" si="781"/>
        <v>NIN-63013-Ax</v>
      </c>
      <c r="U6237" s="403">
        <f t="shared" si="782"/>
        <v>1</v>
      </c>
      <c r="V6237" s="403" t="str">
        <f t="shared" si="783"/>
        <v>CPP_7</v>
      </c>
    </row>
    <row r="6238" spans="1:22">
      <c r="A6238" t="str">
        <f t="shared" si="776"/>
        <v>NIN-63013-Ax</v>
      </c>
      <c r="B6238" s="403" t="s">
        <v>1438</v>
      </c>
      <c r="C6238" s="403" t="s">
        <v>583</v>
      </c>
      <c r="D6238" s="403" t="s">
        <v>1315</v>
      </c>
      <c r="E6238" s="403" t="s">
        <v>1316</v>
      </c>
      <c r="F6238" s="403" t="s">
        <v>1303</v>
      </c>
      <c r="G6238" s="403" t="s">
        <v>1467</v>
      </c>
      <c r="H6238" s="403" t="s">
        <v>1276</v>
      </c>
      <c r="I6238" s="403">
        <v>1</v>
      </c>
      <c r="J6238" s="403" t="s">
        <v>1289</v>
      </c>
      <c r="K6238" s="403">
        <v>720</v>
      </c>
      <c r="L6238" s="403">
        <v>1280</v>
      </c>
      <c r="M6238" s="403" t="s">
        <v>1301</v>
      </c>
      <c r="N6238" s="403">
        <v>720</v>
      </c>
      <c r="O6238" s="403">
        <v>1280</v>
      </c>
      <c r="P6238" t="str">
        <f t="shared" si="777"/>
        <v>50fps 720p full frame rate - 720p skip=4</v>
      </c>
      <c r="Q6238">
        <f t="shared" si="778"/>
        <v>31</v>
      </c>
      <c r="R6238" t="str">
        <f t="shared" si="779"/>
        <v/>
      </c>
      <c r="S6238" t="str">
        <f t="shared" si="780"/>
        <v/>
      </c>
      <c r="T6238" s="403" t="str">
        <f t="shared" si="781"/>
        <v>NIN-63013-Ax</v>
      </c>
      <c r="U6238" s="403">
        <f t="shared" si="782"/>
        <v>1</v>
      </c>
      <c r="V6238" s="403" t="str">
        <f t="shared" si="783"/>
        <v>CPP_7</v>
      </c>
    </row>
    <row r="6239" spans="1:22">
      <c r="A6239" t="str">
        <f t="shared" si="776"/>
        <v>NIN-63013-Ax</v>
      </c>
      <c r="B6239" s="403" t="s">
        <v>1438</v>
      </c>
      <c r="C6239" s="403" t="s">
        <v>583</v>
      </c>
      <c r="D6239" s="403" t="s">
        <v>1315</v>
      </c>
      <c r="E6239" s="403" t="s">
        <v>1316</v>
      </c>
      <c r="F6239" s="403" t="s">
        <v>1303</v>
      </c>
      <c r="G6239" s="403" t="s">
        <v>1467</v>
      </c>
      <c r="H6239" s="403" t="s">
        <v>1276</v>
      </c>
      <c r="I6239" s="403">
        <v>1</v>
      </c>
      <c r="J6239" s="403" t="s">
        <v>1289</v>
      </c>
      <c r="K6239" s="403">
        <v>720</v>
      </c>
      <c r="L6239" s="403">
        <v>1280</v>
      </c>
      <c r="M6239" s="403" t="s">
        <v>1280</v>
      </c>
      <c r="N6239" s="403">
        <v>720</v>
      </c>
      <c r="O6239" s="403">
        <v>1280</v>
      </c>
      <c r="P6239" t="str">
        <f t="shared" si="777"/>
        <v>50fps 720p full frame rate - copy other stream</v>
      </c>
      <c r="Q6239">
        <f t="shared" si="778"/>
        <v>31</v>
      </c>
      <c r="R6239" t="str">
        <f t="shared" si="779"/>
        <v/>
      </c>
      <c r="S6239" t="str">
        <f t="shared" si="780"/>
        <v/>
      </c>
      <c r="T6239" s="403" t="str">
        <f t="shared" si="781"/>
        <v>NIN-63013-Ax</v>
      </c>
      <c r="U6239" s="403">
        <f t="shared" si="782"/>
        <v>1</v>
      </c>
      <c r="V6239" s="403" t="str">
        <f t="shared" si="783"/>
        <v>CPP_7</v>
      </c>
    </row>
    <row r="6240" spans="1:22">
      <c r="A6240" t="str">
        <f t="shared" si="776"/>
        <v>NIN-63013-Ax</v>
      </c>
      <c r="B6240" s="403" t="s">
        <v>1438</v>
      </c>
      <c r="C6240" s="403" t="s">
        <v>583</v>
      </c>
      <c r="D6240" s="403" t="s">
        <v>1315</v>
      </c>
      <c r="E6240" s="403" t="s">
        <v>1316</v>
      </c>
      <c r="F6240" s="403" t="s">
        <v>1303</v>
      </c>
      <c r="G6240" s="403" t="s">
        <v>1467</v>
      </c>
      <c r="H6240" s="403" t="s">
        <v>1276</v>
      </c>
      <c r="I6240" s="403">
        <v>1</v>
      </c>
      <c r="J6240" s="403" t="s">
        <v>1289</v>
      </c>
      <c r="K6240" s="403">
        <v>720</v>
      </c>
      <c r="L6240" s="403">
        <v>1280</v>
      </c>
      <c r="M6240" s="403" t="s">
        <v>1302</v>
      </c>
      <c r="N6240" s="403">
        <v>720</v>
      </c>
      <c r="O6240" s="403">
        <v>400</v>
      </c>
      <c r="P6240" t="str">
        <f t="shared" si="777"/>
        <v>50fps 720p full frame rate - 400x720 upright (cropped)</v>
      </c>
      <c r="Q6240">
        <f t="shared" si="778"/>
        <v>31</v>
      </c>
      <c r="R6240" t="str">
        <f t="shared" si="779"/>
        <v/>
      </c>
      <c r="S6240" t="str">
        <f t="shared" si="780"/>
        <v/>
      </c>
      <c r="T6240" s="403" t="str">
        <f t="shared" si="781"/>
        <v>NIN-63013-Ax</v>
      </c>
      <c r="U6240" s="403">
        <f t="shared" si="782"/>
        <v>1</v>
      </c>
      <c r="V6240" s="403" t="str">
        <f t="shared" si="783"/>
        <v>CPP_7</v>
      </c>
    </row>
    <row r="6241" spans="1:22">
      <c r="A6241" t="str">
        <f t="shared" si="776"/>
        <v>NIN-63013-Ax</v>
      </c>
      <c r="B6241" s="403" t="s">
        <v>1438</v>
      </c>
      <c r="C6241" s="403" t="s">
        <v>583</v>
      </c>
      <c r="D6241" s="403" t="s">
        <v>1315</v>
      </c>
      <c r="E6241" s="403" t="s">
        <v>1316</v>
      </c>
      <c r="F6241" s="403" t="s">
        <v>1303</v>
      </c>
      <c r="G6241" s="403" t="s">
        <v>1467</v>
      </c>
      <c r="H6241" s="403" t="s">
        <v>1276</v>
      </c>
      <c r="I6241" s="403">
        <v>1</v>
      </c>
      <c r="J6241" s="403" t="s">
        <v>1289</v>
      </c>
      <c r="K6241" s="403">
        <v>720</v>
      </c>
      <c r="L6241" s="403">
        <v>1280</v>
      </c>
      <c r="M6241" s="403" t="s">
        <v>1283</v>
      </c>
      <c r="N6241" s="403">
        <v>576</v>
      </c>
      <c r="O6241" s="403">
        <v>704</v>
      </c>
      <c r="P6241" t="str">
        <f t="shared" si="777"/>
        <v>50fps 720p full frame rate - SD 4CIF resolution 4:3 format (cropped)</v>
      </c>
      <c r="Q6241">
        <f t="shared" si="778"/>
        <v>31</v>
      </c>
      <c r="R6241" t="str">
        <f t="shared" si="779"/>
        <v/>
      </c>
      <c r="S6241" t="str">
        <f t="shared" si="780"/>
        <v/>
      </c>
      <c r="T6241" s="403" t="str">
        <f t="shared" si="781"/>
        <v>NIN-63013-Ax</v>
      </c>
      <c r="U6241" s="403">
        <f t="shared" si="782"/>
        <v>1</v>
      </c>
      <c r="V6241" s="403" t="str">
        <f t="shared" si="783"/>
        <v>CPP_7</v>
      </c>
    </row>
    <row r="6242" spans="1:22">
      <c r="A6242" t="str">
        <f t="shared" si="776"/>
        <v>NIN-63013-Ax</v>
      </c>
      <c r="B6242" s="403" t="s">
        <v>1438</v>
      </c>
      <c r="C6242" s="403" t="s">
        <v>583</v>
      </c>
      <c r="D6242" s="403" t="s">
        <v>1315</v>
      </c>
      <c r="E6242" s="403" t="s">
        <v>1316</v>
      </c>
      <c r="F6242" s="403" t="s">
        <v>1303</v>
      </c>
      <c r="G6242" s="403" t="s">
        <v>1467</v>
      </c>
      <c r="H6242" s="403" t="s">
        <v>1276</v>
      </c>
      <c r="I6242" s="403">
        <v>1</v>
      </c>
      <c r="J6242" s="403" t="s">
        <v>1289</v>
      </c>
      <c r="K6242" s="403">
        <v>720</v>
      </c>
      <c r="L6242" s="403">
        <v>1280</v>
      </c>
      <c r="M6242" s="403" t="s">
        <v>1284</v>
      </c>
      <c r="N6242" s="403">
        <v>480</v>
      </c>
      <c r="O6242" s="403">
        <v>640</v>
      </c>
      <c r="P6242" t="str">
        <f t="shared" si="777"/>
        <v>50fps 720p full frame rate - SD VGA (cropped)</v>
      </c>
      <c r="Q6242">
        <f t="shared" si="778"/>
        <v>31</v>
      </c>
      <c r="R6242" t="str">
        <f t="shared" si="779"/>
        <v/>
      </c>
      <c r="S6242" t="str">
        <f t="shared" si="780"/>
        <v/>
      </c>
      <c r="T6242" s="403" t="str">
        <f t="shared" si="781"/>
        <v>NIN-63013-Ax</v>
      </c>
      <c r="U6242" s="403">
        <f t="shared" si="782"/>
        <v>1</v>
      </c>
      <c r="V6242" s="403" t="str">
        <f t="shared" si="783"/>
        <v>CPP_7</v>
      </c>
    </row>
    <row r="6243" spans="1:22">
      <c r="A6243" t="str">
        <f t="shared" si="776"/>
        <v>NIN-63013-Ax</v>
      </c>
      <c r="B6243" s="403" t="s">
        <v>1438</v>
      </c>
      <c r="C6243" s="403" t="s">
        <v>583</v>
      </c>
      <c r="D6243" s="403" t="s">
        <v>1315</v>
      </c>
      <c r="E6243" s="403" t="s">
        <v>1316</v>
      </c>
      <c r="F6243" s="403" t="s">
        <v>1303</v>
      </c>
      <c r="G6243" s="403" t="s">
        <v>1467</v>
      </c>
      <c r="H6243" s="403" t="s">
        <v>1276</v>
      </c>
      <c r="I6243" s="403">
        <v>1</v>
      </c>
      <c r="J6243" s="403" t="s">
        <v>111</v>
      </c>
      <c r="K6243" s="403">
        <v>432</v>
      </c>
      <c r="L6243" s="403">
        <v>768</v>
      </c>
      <c r="M6243" s="403" t="s">
        <v>111</v>
      </c>
      <c r="N6243" s="403">
        <v>432</v>
      </c>
      <c r="O6243" s="403">
        <v>768</v>
      </c>
      <c r="P6243" t="str">
        <f t="shared" si="777"/>
        <v>50fps SD - SD</v>
      </c>
      <c r="Q6243">
        <f t="shared" si="778"/>
        <v>31</v>
      </c>
      <c r="R6243" t="str">
        <f t="shared" si="779"/>
        <v/>
      </c>
      <c r="S6243" t="str">
        <f t="shared" si="780"/>
        <v/>
      </c>
      <c r="T6243" s="403" t="str">
        <f t="shared" si="781"/>
        <v>NIN-63013-Ax</v>
      </c>
      <c r="U6243" s="403">
        <f t="shared" si="782"/>
        <v>1</v>
      </c>
      <c r="V6243" s="403" t="str">
        <f t="shared" si="783"/>
        <v>CPP_7</v>
      </c>
    </row>
    <row r="6244" spans="1:22">
      <c r="A6244" t="str">
        <f t="shared" si="776"/>
        <v>NIN-63013-Ax</v>
      </c>
      <c r="B6244" s="403" t="s">
        <v>1438</v>
      </c>
      <c r="C6244" s="403" t="s">
        <v>583</v>
      </c>
      <c r="D6244" s="403" t="s">
        <v>1315</v>
      </c>
      <c r="E6244" s="403" t="s">
        <v>1317</v>
      </c>
      <c r="F6244" s="403" t="s">
        <v>1297</v>
      </c>
      <c r="G6244" s="403" t="s">
        <v>1466</v>
      </c>
      <c r="H6244" s="403" t="s">
        <v>1276</v>
      </c>
      <c r="I6244" s="403">
        <v>1</v>
      </c>
      <c r="J6244" s="403" t="s">
        <v>109</v>
      </c>
      <c r="K6244" s="403">
        <v>1280</v>
      </c>
      <c r="L6244" s="403">
        <v>720</v>
      </c>
      <c r="M6244" s="403" t="s">
        <v>111</v>
      </c>
      <c r="N6244" s="403">
        <v>768</v>
      </c>
      <c r="O6244" s="403">
        <v>432</v>
      </c>
      <c r="P6244" t="str">
        <f t="shared" si="777"/>
        <v>30fps 720p - SD</v>
      </c>
      <c r="Q6244">
        <f t="shared" si="778"/>
        <v>31</v>
      </c>
      <c r="R6244" t="str">
        <f t="shared" si="779"/>
        <v/>
      </c>
      <c r="S6244" t="str">
        <f t="shared" si="780"/>
        <v/>
      </c>
      <c r="T6244" s="403" t="str">
        <f t="shared" si="781"/>
        <v>NIN-63013-Ax</v>
      </c>
      <c r="U6244" s="403">
        <f t="shared" si="782"/>
        <v>1</v>
      </c>
      <c r="V6244" s="403" t="str">
        <f t="shared" si="783"/>
        <v>CPP_7</v>
      </c>
    </row>
    <row r="6245" spans="1:22">
      <c r="A6245" t="str">
        <f t="shared" si="776"/>
        <v>NIN-63013-Ax</v>
      </c>
      <c r="B6245" s="403" t="s">
        <v>1438</v>
      </c>
      <c r="C6245" s="403" t="s">
        <v>583</v>
      </c>
      <c r="D6245" s="403" t="s">
        <v>1315</v>
      </c>
      <c r="E6245" s="403" t="s">
        <v>1317</v>
      </c>
      <c r="F6245" s="403" t="s">
        <v>1297</v>
      </c>
      <c r="G6245" s="403" t="s">
        <v>1466</v>
      </c>
      <c r="H6245" s="403" t="s">
        <v>1276</v>
      </c>
      <c r="I6245" s="403">
        <v>1</v>
      </c>
      <c r="J6245" s="403" t="s">
        <v>109</v>
      </c>
      <c r="K6245" s="403">
        <v>1280</v>
      </c>
      <c r="L6245" s="403">
        <v>720</v>
      </c>
      <c r="M6245" s="403" t="s">
        <v>109</v>
      </c>
      <c r="N6245" s="403">
        <v>1280</v>
      </c>
      <c r="O6245" s="403">
        <v>720</v>
      </c>
      <c r="P6245" t="str">
        <f t="shared" si="777"/>
        <v>30fps 720p - 720p</v>
      </c>
      <c r="Q6245">
        <f t="shared" si="778"/>
        <v>31</v>
      </c>
      <c r="R6245" t="str">
        <f t="shared" si="779"/>
        <v/>
      </c>
      <c r="S6245" t="str">
        <f t="shared" si="780"/>
        <v/>
      </c>
      <c r="T6245" s="403" t="str">
        <f t="shared" si="781"/>
        <v>NIN-63013-Ax</v>
      </c>
      <c r="U6245" s="403">
        <f t="shared" si="782"/>
        <v>1</v>
      </c>
      <c r="V6245" s="403" t="str">
        <f t="shared" si="783"/>
        <v>CPP_7</v>
      </c>
    </row>
    <row r="6246" spans="1:22">
      <c r="A6246" t="str">
        <f t="shared" si="776"/>
        <v>NIN-63013-Ax</v>
      </c>
      <c r="B6246" s="403" t="s">
        <v>1438</v>
      </c>
      <c r="C6246" s="403" t="s">
        <v>583</v>
      </c>
      <c r="D6246" s="403" t="s">
        <v>1315</v>
      </c>
      <c r="E6246" s="403" t="s">
        <v>1317</v>
      </c>
      <c r="F6246" s="403" t="s">
        <v>1297</v>
      </c>
      <c r="G6246" s="403" t="s">
        <v>1466</v>
      </c>
      <c r="H6246" s="403" t="s">
        <v>1276</v>
      </c>
      <c r="I6246" s="403">
        <v>1</v>
      </c>
      <c r="J6246" s="403" t="s">
        <v>109</v>
      </c>
      <c r="K6246" s="403">
        <v>1280</v>
      </c>
      <c r="L6246" s="403">
        <v>720</v>
      </c>
      <c r="M6246" s="403" t="s">
        <v>1279</v>
      </c>
      <c r="N6246" s="403">
        <v>768</v>
      </c>
      <c r="O6246" s="403">
        <v>432</v>
      </c>
      <c r="P6246" t="str">
        <f t="shared" si="777"/>
        <v>30fps 720p - SD ROI PTZ</v>
      </c>
      <c r="Q6246">
        <f t="shared" si="778"/>
        <v>31</v>
      </c>
      <c r="R6246" t="str">
        <f t="shared" si="779"/>
        <v/>
      </c>
      <c r="S6246" t="str">
        <f t="shared" si="780"/>
        <v/>
      </c>
      <c r="T6246" s="403" t="str">
        <f t="shared" si="781"/>
        <v>NIN-63013-Ax</v>
      </c>
      <c r="U6246" s="403">
        <f t="shared" si="782"/>
        <v>1</v>
      </c>
      <c r="V6246" s="403" t="str">
        <f t="shared" si="783"/>
        <v>CPP_7</v>
      </c>
    </row>
    <row r="6247" spans="1:22">
      <c r="A6247" t="str">
        <f t="shared" si="776"/>
        <v>NIN-63013-Ax</v>
      </c>
      <c r="B6247" s="403" t="s">
        <v>1438</v>
      </c>
      <c r="C6247" s="403" t="s">
        <v>583</v>
      </c>
      <c r="D6247" s="403" t="s">
        <v>1315</v>
      </c>
      <c r="E6247" s="403" t="s">
        <v>1317</v>
      </c>
      <c r="F6247" s="403" t="s">
        <v>1297</v>
      </c>
      <c r="G6247" s="403" t="s">
        <v>1466</v>
      </c>
      <c r="H6247" s="403" t="s">
        <v>1276</v>
      </c>
      <c r="I6247" s="403">
        <v>1</v>
      </c>
      <c r="J6247" s="403" t="s">
        <v>109</v>
      </c>
      <c r="K6247" s="403">
        <v>1280</v>
      </c>
      <c r="L6247" s="403">
        <v>720</v>
      </c>
      <c r="M6247" s="403" t="s">
        <v>1298</v>
      </c>
      <c r="N6247" s="403">
        <v>768</v>
      </c>
      <c r="O6247" s="403">
        <v>432</v>
      </c>
      <c r="P6247" t="str">
        <f t="shared" si="777"/>
        <v>30fps 720p - SD dual stream with independent ROI PTZ</v>
      </c>
      <c r="Q6247">
        <f t="shared" si="778"/>
        <v>31</v>
      </c>
      <c r="R6247" t="str">
        <f t="shared" si="779"/>
        <v/>
      </c>
      <c r="S6247" t="str">
        <f t="shared" si="780"/>
        <v/>
      </c>
      <c r="T6247" s="403" t="str">
        <f t="shared" si="781"/>
        <v>NIN-63013-Ax</v>
      </c>
      <c r="U6247" s="403">
        <f t="shared" si="782"/>
        <v>1</v>
      </c>
      <c r="V6247" s="403" t="str">
        <f t="shared" si="783"/>
        <v>CPP_7</v>
      </c>
    </row>
    <row r="6248" spans="1:22">
      <c r="A6248" t="str">
        <f t="shared" si="776"/>
        <v>NIN-63013-Ax</v>
      </c>
      <c r="B6248" s="403" t="s">
        <v>1438</v>
      </c>
      <c r="C6248" s="403" t="s">
        <v>583</v>
      </c>
      <c r="D6248" s="403" t="s">
        <v>1315</v>
      </c>
      <c r="E6248" s="403" t="s">
        <v>1317</v>
      </c>
      <c r="F6248" s="403" t="s">
        <v>1297</v>
      </c>
      <c r="G6248" s="403" t="s">
        <v>1466</v>
      </c>
      <c r="H6248" s="403" t="s">
        <v>1276</v>
      </c>
      <c r="I6248" s="403">
        <v>1</v>
      </c>
      <c r="J6248" s="403" t="s">
        <v>109</v>
      </c>
      <c r="K6248" s="403">
        <v>1280</v>
      </c>
      <c r="L6248" s="403">
        <v>720</v>
      </c>
      <c r="M6248" s="403" t="s">
        <v>1283</v>
      </c>
      <c r="N6248" s="403">
        <v>704</v>
      </c>
      <c r="O6248" s="403">
        <v>480</v>
      </c>
      <c r="P6248" t="str">
        <f t="shared" si="777"/>
        <v>30fps 720p - SD 4CIF resolution 4:3 format (cropped)</v>
      </c>
      <c r="Q6248">
        <f t="shared" si="778"/>
        <v>31</v>
      </c>
      <c r="R6248" t="str">
        <f t="shared" si="779"/>
        <v/>
      </c>
      <c r="S6248" t="str">
        <f t="shared" si="780"/>
        <v/>
      </c>
      <c r="T6248" s="403" t="str">
        <f t="shared" si="781"/>
        <v>NIN-63013-Ax</v>
      </c>
      <c r="U6248" s="403">
        <f t="shared" si="782"/>
        <v>1</v>
      </c>
      <c r="V6248" s="403" t="str">
        <f t="shared" si="783"/>
        <v>CPP_7</v>
      </c>
    </row>
    <row r="6249" spans="1:22">
      <c r="A6249" t="str">
        <f t="shared" si="776"/>
        <v>NIN-63013-Ax</v>
      </c>
      <c r="B6249" s="403" t="s">
        <v>1438</v>
      </c>
      <c r="C6249" s="403" t="s">
        <v>583</v>
      </c>
      <c r="D6249" s="403" t="s">
        <v>1315</v>
      </c>
      <c r="E6249" s="403" t="s">
        <v>1317</v>
      </c>
      <c r="F6249" s="403" t="s">
        <v>1297</v>
      </c>
      <c r="G6249" s="403" t="s">
        <v>1466</v>
      </c>
      <c r="H6249" s="403" t="s">
        <v>1276</v>
      </c>
      <c r="I6249" s="403">
        <v>1</v>
      </c>
      <c r="J6249" s="403" t="s">
        <v>109</v>
      </c>
      <c r="K6249" s="403">
        <v>1280</v>
      </c>
      <c r="L6249" s="403">
        <v>720</v>
      </c>
      <c r="M6249" s="403" t="s">
        <v>1284</v>
      </c>
      <c r="N6249" s="403">
        <v>640</v>
      </c>
      <c r="O6249" s="403">
        <v>480</v>
      </c>
      <c r="P6249" t="str">
        <f t="shared" si="777"/>
        <v>30fps 720p - SD VGA (cropped)</v>
      </c>
      <c r="Q6249">
        <f t="shared" si="778"/>
        <v>31</v>
      </c>
      <c r="R6249" t="str">
        <f t="shared" si="779"/>
        <v/>
      </c>
      <c r="S6249" t="str">
        <f t="shared" si="780"/>
        <v/>
      </c>
      <c r="T6249" s="403" t="str">
        <f t="shared" si="781"/>
        <v>NIN-63013-Ax</v>
      </c>
      <c r="U6249" s="403">
        <f t="shared" si="782"/>
        <v>1</v>
      </c>
      <c r="V6249" s="403" t="str">
        <f t="shared" si="783"/>
        <v>CPP_7</v>
      </c>
    </row>
    <row r="6250" spans="1:22">
      <c r="A6250" t="str">
        <f t="shared" si="776"/>
        <v>NIN-63013-Ax</v>
      </c>
      <c r="B6250" s="403" t="s">
        <v>1438</v>
      </c>
      <c r="C6250" s="403" t="s">
        <v>583</v>
      </c>
      <c r="D6250" s="403" t="s">
        <v>1315</v>
      </c>
      <c r="E6250" s="403" t="s">
        <v>1317</v>
      </c>
      <c r="F6250" s="403" t="s">
        <v>1297</v>
      </c>
      <c r="G6250" s="403" t="s">
        <v>1466</v>
      </c>
      <c r="H6250" s="403" t="s">
        <v>1276</v>
      </c>
      <c r="I6250" s="403">
        <v>1</v>
      </c>
      <c r="J6250" s="403" t="s">
        <v>111</v>
      </c>
      <c r="K6250" s="403">
        <v>768</v>
      </c>
      <c r="L6250" s="403">
        <v>432</v>
      </c>
      <c r="M6250" s="403" t="s">
        <v>111</v>
      </c>
      <c r="N6250" s="403">
        <v>768</v>
      </c>
      <c r="O6250" s="403">
        <v>432</v>
      </c>
      <c r="P6250" t="str">
        <f t="shared" si="777"/>
        <v>30fps SD - SD</v>
      </c>
      <c r="Q6250">
        <f t="shared" si="778"/>
        <v>31</v>
      </c>
      <c r="R6250" t="str">
        <f t="shared" si="779"/>
        <v/>
      </c>
      <c r="S6250" t="str">
        <f t="shared" si="780"/>
        <v/>
      </c>
      <c r="T6250" s="403" t="str">
        <f t="shared" si="781"/>
        <v>NIN-63013-Ax</v>
      </c>
      <c r="U6250" s="403">
        <f t="shared" si="782"/>
        <v>1</v>
      </c>
      <c r="V6250" s="403" t="str">
        <f t="shared" si="783"/>
        <v>CPP_7</v>
      </c>
    </row>
    <row r="6251" spans="1:22">
      <c r="A6251" t="str">
        <f t="shared" si="776"/>
        <v>NIN-63013-Ax</v>
      </c>
      <c r="B6251" s="403" t="s">
        <v>1438</v>
      </c>
      <c r="C6251" s="403" t="s">
        <v>583</v>
      </c>
      <c r="D6251" s="403" t="s">
        <v>1315</v>
      </c>
      <c r="E6251" s="403" t="s">
        <v>1317</v>
      </c>
      <c r="F6251" s="403" t="s">
        <v>1297</v>
      </c>
      <c r="G6251" s="403" t="s">
        <v>1467</v>
      </c>
      <c r="H6251" s="403" t="s">
        <v>1276</v>
      </c>
      <c r="I6251" s="403">
        <v>1</v>
      </c>
      <c r="J6251" s="403" t="s">
        <v>109</v>
      </c>
      <c r="K6251" s="403">
        <v>720</v>
      </c>
      <c r="L6251" s="403">
        <v>1280</v>
      </c>
      <c r="M6251" s="403" t="s">
        <v>111</v>
      </c>
      <c r="N6251" s="403">
        <v>432</v>
      </c>
      <c r="O6251" s="403">
        <v>768</v>
      </c>
      <c r="P6251" t="str">
        <f t="shared" si="777"/>
        <v>30fps 720p - SD</v>
      </c>
      <c r="Q6251">
        <f t="shared" si="778"/>
        <v>31</v>
      </c>
      <c r="R6251" t="str">
        <f t="shared" si="779"/>
        <v/>
      </c>
      <c r="S6251" t="str">
        <f t="shared" si="780"/>
        <v/>
      </c>
      <c r="T6251" s="403" t="str">
        <f t="shared" si="781"/>
        <v>NIN-63013-Ax</v>
      </c>
      <c r="U6251" s="403">
        <f t="shared" si="782"/>
        <v>1</v>
      </c>
      <c r="V6251" s="403" t="str">
        <f t="shared" si="783"/>
        <v>CPP_7</v>
      </c>
    </row>
    <row r="6252" spans="1:22">
      <c r="A6252" t="str">
        <f t="shared" si="776"/>
        <v>NIN-63013-Ax</v>
      </c>
      <c r="B6252" s="403" t="s">
        <v>1438</v>
      </c>
      <c r="C6252" s="403" t="s">
        <v>583</v>
      </c>
      <c r="D6252" s="403" t="s">
        <v>1315</v>
      </c>
      <c r="E6252" s="403" t="s">
        <v>1317</v>
      </c>
      <c r="F6252" s="403" t="s">
        <v>1297</v>
      </c>
      <c r="G6252" s="403" t="s">
        <v>1467</v>
      </c>
      <c r="H6252" s="403" t="s">
        <v>1276</v>
      </c>
      <c r="I6252" s="403">
        <v>1</v>
      </c>
      <c r="J6252" s="403" t="s">
        <v>109</v>
      </c>
      <c r="K6252" s="403">
        <v>720</v>
      </c>
      <c r="L6252" s="403">
        <v>1280</v>
      </c>
      <c r="M6252" s="403" t="s">
        <v>109</v>
      </c>
      <c r="N6252" s="403">
        <v>720</v>
      </c>
      <c r="O6252" s="403">
        <v>1280</v>
      </c>
      <c r="P6252" t="str">
        <f t="shared" si="777"/>
        <v>30fps 720p - 720p</v>
      </c>
      <c r="Q6252">
        <f t="shared" si="778"/>
        <v>31</v>
      </c>
      <c r="R6252" t="str">
        <f t="shared" si="779"/>
        <v/>
      </c>
      <c r="S6252" t="str">
        <f t="shared" si="780"/>
        <v/>
      </c>
      <c r="T6252" s="403" t="str">
        <f t="shared" si="781"/>
        <v>NIN-63013-Ax</v>
      </c>
      <c r="U6252" s="403">
        <f t="shared" si="782"/>
        <v>1</v>
      </c>
      <c r="V6252" s="403" t="str">
        <f t="shared" si="783"/>
        <v>CPP_7</v>
      </c>
    </row>
    <row r="6253" spans="1:22">
      <c r="A6253" t="str">
        <f t="shared" si="776"/>
        <v>NIN-63013-Ax</v>
      </c>
      <c r="B6253" s="403" t="s">
        <v>1438</v>
      </c>
      <c r="C6253" s="403" t="s">
        <v>583</v>
      </c>
      <c r="D6253" s="403" t="s">
        <v>1315</v>
      </c>
      <c r="E6253" s="403" t="s">
        <v>1317</v>
      </c>
      <c r="F6253" s="403" t="s">
        <v>1297</v>
      </c>
      <c r="G6253" s="403" t="s">
        <v>1467</v>
      </c>
      <c r="H6253" s="403" t="s">
        <v>1276</v>
      </c>
      <c r="I6253" s="403">
        <v>1</v>
      </c>
      <c r="J6253" s="403" t="s">
        <v>109</v>
      </c>
      <c r="K6253" s="403">
        <v>720</v>
      </c>
      <c r="L6253" s="403">
        <v>1280</v>
      </c>
      <c r="M6253" s="403" t="s">
        <v>1279</v>
      </c>
      <c r="N6253" s="403">
        <v>432</v>
      </c>
      <c r="O6253" s="403">
        <v>768</v>
      </c>
      <c r="P6253" t="str">
        <f t="shared" si="777"/>
        <v>30fps 720p - SD ROI PTZ</v>
      </c>
      <c r="Q6253">
        <f t="shared" si="778"/>
        <v>31</v>
      </c>
      <c r="R6253" t="str">
        <f t="shared" si="779"/>
        <v/>
      </c>
      <c r="S6253" t="str">
        <f t="shared" si="780"/>
        <v/>
      </c>
      <c r="T6253" s="403" t="str">
        <f t="shared" si="781"/>
        <v>NIN-63013-Ax</v>
      </c>
      <c r="U6253" s="403">
        <f t="shared" si="782"/>
        <v>1</v>
      </c>
      <c r="V6253" s="403" t="str">
        <f t="shared" si="783"/>
        <v>CPP_7</v>
      </c>
    </row>
    <row r="6254" spans="1:22">
      <c r="A6254" t="str">
        <f t="shared" si="776"/>
        <v>NIN-63013-Ax</v>
      </c>
      <c r="B6254" s="403" t="s">
        <v>1438</v>
      </c>
      <c r="C6254" s="403" t="s">
        <v>583</v>
      </c>
      <c r="D6254" s="403" t="s">
        <v>1315</v>
      </c>
      <c r="E6254" s="403" t="s">
        <v>1317</v>
      </c>
      <c r="F6254" s="403" t="s">
        <v>1297</v>
      </c>
      <c r="G6254" s="403" t="s">
        <v>1467</v>
      </c>
      <c r="H6254" s="403" t="s">
        <v>1276</v>
      </c>
      <c r="I6254" s="403">
        <v>1</v>
      </c>
      <c r="J6254" s="403" t="s">
        <v>109</v>
      </c>
      <c r="K6254" s="403">
        <v>720</v>
      </c>
      <c r="L6254" s="403">
        <v>1280</v>
      </c>
      <c r="M6254" s="403" t="s">
        <v>1298</v>
      </c>
      <c r="N6254" s="403">
        <v>432</v>
      </c>
      <c r="O6254" s="403">
        <v>768</v>
      </c>
      <c r="P6254" t="str">
        <f t="shared" si="777"/>
        <v>30fps 720p - SD dual stream with independent ROI PTZ</v>
      </c>
      <c r="Q6254">
        <f t="shared" si="778"/>
        <v>31</v>
      </c>
      <c r="R6254" t="str">
        <f t="shared" si="779"/>
        <v/>
      </c>
      <c r="S6254" t="str">
        <f t="shared" si="780"/>
        <v/>
      </c>
      <c r="T6254" s="403" t="str">
        <f t="shared" si="781"/>
        <v>NIN-63013-Ax</v>
      </c>
      <c r="U6254" s="403">
        <f t="shared" si="782"/>
        <v>1</v>
      </c>
      <c r="V6254" s="403" t="str">
        <f t="shared" si="783"/>
        <v>CPP_7</v>
      </c>
    </row>
    <row r="6255" spans="1:22">
      <c r="A6255" t="str">
        <f t="shared" si="776"/>
        <v>NIN-63013-Ax</v>
      </c>
      <c r="B6255" s="403" t="s">
        <v>1438</v>
      </c>
      <c r="C6255" s="403" t="s">
        <v>583</v>
      </c>
      <c r="D6255" s="403" t="s">
        <v>1315</v>
      </c>
      <c r="E6255" s="403" t="s">
        <v>1317</v>
      </c>
      <c r="F6255" s="403" t="s">
        <v>1297</v>
      </c>
      <c r="G6255" s="403" t="s">
        <v>1467</v>
      </c>
      <c r="H6255" s="403" t="s">
        <v>1276</v>
      </c>
      <c r="I6255" s="403">
        <v>1</v>
      </c>
      <c r="J6255" s="403" t="s">
        <v>109</v>
      </c>
      <c r="K6255" s="403">
        <v>720</v>
      </c>
      <c r="L6255" s="403">
        <v>1280</v>
      </c>
      <c r="M6255" s="403" t="s">
        <v>1283</v>
      </c>
      <c r="N6255" s="403">
        <v>480</v>
      </c>
      <c r="O6255" s="403">
        <v>704</v>
      </c>
      <c r="P6255" t="str">
        <f t="shared" si="777"/>
        <v>30fps 720p - SD 4CIF resolution 4:3 format (cropped)</v>
      </c>
      <c r="Q6255">
        <f t="shared" si="778"/>
        <v>31</v>
      </c>
      <c r="R6255" t="str">
        <f t="shared" si="779"/>
        <v/>
      </c>
      <c r="S6255" t="str">
        <f t="shared" si="780"/>
        <v/>
      </c>
      <c r="T6255" s="403" t="str">
        <f t="shared" si="781"/>
        <v>NIN-63013-Ax</v>
      </c>
      <c r="U6255" s="403">
        <f t="shared" si="782"/>
        <v>1</v>
      </c>
      <c r="V6255" s="403" t="str">
        <f t="shared" si="783"/>
        <v>CPP_7</v>
      </c>
    </row>
    <row r="6256" spans="1:22">
      <c r="A6256" t="str">
        <f t="shared" si="776"/>
        <v>NIN-63013-Ax</v>
      </c>
      <c r="B6256" s="403" t="s">
        <v>1438</v>
      </c>
      <c r="C6256" s="403" t="s">
        <v>583</v>
      </c>
      <c r="D6256" s="403" t="s">
        <v>1315</v>
      </c>
      <c r="E6256" s="403" t="s">
        <v>1317</v>
      </c>
      <c r="F6256" s="403" t="s">
        <v>1297</v>
      </c>
      <c r="G6256" s="403" t="s">
        <v>1467</v>
      </c>
      <c r="H6256" s="403" t="s">
        <v>1276</v>
      </c>
      <c r="I6256" s="403">
        <v>1</v>
      </c>
      <c r="J6256" s="403" t="s">
        <v>109</v>
      </c>
      <c r="K6256" s="403">
        <v>720</v>
      </c>
      <c r="L6256" s="403">
        <v>1280</v>
      </c>
      <c r="M6256" s="403" t="s">
        <v>1284</v>
      </c>
      <c r="N6256" s="403">
        <v>480</v>
      </c>
      <c r="O6256" s="403">
        <v>640</v>
      </c>
      <c r="P6256" t="str">
        <f t="shared" si="777"/>
        <v>30fps 720p - SD VGA (cropped)</v>
      </c>
      <c r="Q6256">
        <f t="shared" si="778"/>
        <v>31</v>
      </c>
      <c r="R6256" t="str">
        <f t="shared" si="779"/>
        <v/>
      </c>
      <c r="S6256" t="str">
        <f t="shared" si="780"/>
        <v/>
      </c>
      <c r="T6256" s="403" t="str">
        <f t="shared" si="781"/>
        <v>NIN-63013-Ax</v>
      </c>
      <c r="U6256" s="403">
        <f t="shared" si="782"/>
        <v>1</v>
      </c>
      <c r="V6256" s="403" t="str">
        <f t="shared" si="783"/>
        <v>CPP_7</v>
      </c>
    </row>
    <row r="6257" spans="1:22">
      <c r="A6257" t="str">
        <f t="shared" si="776"/>
        <v>NIN-63013-Ax</v>
      </c>
      <c r="B6257" s="403" t="s">
        <v>1438</v>
      </c>
      <c r="C6257" s="403" t="s">
        <v>583</v>
      </c>
      <c r="D6257" s="403" t="s">
        <v>1315</v>
      </c>
      <c r="E6257" s="403" t="s">
        <v>1317</v>
      </c>
      <c r="F6257" s="403" t="s">
        <v>1297</v>
      </c>
      <c r="G6257" s="403" t="s">
        <v>1467</v>
      </c>
      <c r="H6257" s="403" t="s">
        <v>1276</v>
      </c>
      <c r="I6257" s="403">
        <v>1</v>
      </c>
      <c r="J6257" s="403" t="s">
        <v>111</v>
      </c>
      <c r="K6257" s="403">
        <v>432</v>
      </c>
      <c r="L6257" s="403">
        <v>768</v>
      </c>
      <c r="M6257" s="403" t="s">
        <v>111</v>
      </c>
      <c r="N6257" s="403">
        <v>432</v>
      </c>
      <c r="O6257" s="403">
        <v>768</v>
      </c>
      <c r="P6257" t="str">
        <f t="shared" si="777"/>
        <v>30fps SD - SD</v>
      </c>
      <c r="Q6257">
        <f t="shared" si="778"/>
        <v>31</v>
      </c>
      <c r="R6257" t="str">
        <f t="shared" si="779"/>
        <v/>
      </c>
      <c r="S6257" t="str">
        <f t="shared" si="780"/>
        <v/>
      </c>
      <c r="T6257" s="403" t="str">
        <f t="shared" si="781"/>
        <v>NIN-63013-Ax</v>
      </c>
      <c r="U6257" s="403">
        <f t="shared" si="782"/>
        <v>1</v>
      </c>
      <c r="V6257" s="403" t="str">
        <f t="shared" si="783"/>
        <v>CPP_7</v>
      </c>
    </row>
    <row r="6258" spans="1:22">
      <c r="A6258" t="str">
        <f t="shared" si="776"/>
        <v>NIN-63013-Ax</v>
      </c>
      <c r="B6258" s="403" t="s">
        <v>1438</v>
      </c>
      <c r="C6258" s="403" t="s">
        <v>583</v>
      </c>
      <c r="D6258" s="403" t="s">
        <v>1315</v>
      </c>
      <c r="E6258" s="403" t="s">
        <v>1317</v>
      </c>
      <c r="F6258" s="403" t="s">
        <v>1299</v>
      </c>
      <c r="G6258" s="403" t="s">
        <v>1466</v>
      </c>
      <c r="H6258" s="403" t="s">
        <v>1276</v>
      </c>
      <c r="I6258" s="403">
        <v>1</v>
      </c>
      <c r="J6258" s="403" t="s">
        <v>109</v>
      </c>
      <c r="K6258" s="403">
        <v>1280</v>
      </c>
      <c r="L6258" s="403">
        <v>720</v>
      </c>
      <c r="M6258" s="403" t="s">
        <v>111</v>
      </c>
      <c r="N6258" s="403">
        <v>768</v>
      </c>
      <c r="O6258" s="403">
        <v>432</v>
      </c>
      <c r="P6258" t="str">
        <f t="shared" si="777"/>
        <v>25fps 720p - SD</v>
      </c>
      <c r="Q6258">
        <f t="shared" si="778"/>
        <v>31</v>
      </c>
      <c r="R6258" t="str">
        <f t="shared" si="779"/>
        <v/>
      </c>
      <c r="S6258" t="str">
        <f t="shared" si="780"/>
        <v/>
      </c>
      <c r="T6258" s="403" t="str">
        <f t="shared" si="781"/>
        <v>NIN-63013-Ax</v>
      </c>
      <c r="U6258" s="403">
        <f t="shared" si="782"/>
        <v>1</v>
      </c>
      <c r="V6258" s="403" t="str">
        <f t="shared" si="783"/>
        <v>CPP_7</v>
      </c>
    </row>
    <row r="6259" spans="1:22">
      <c r="A6259" t="str">
        <f t="shared" si="776"/>
        <v>NIN-63013-Ax</v>
      </c>
      <c r="B6259" s="403" t="s">
        <v>1438</v>
      </c>
      <c r="C6259" s="403" t="s">
        <v>583</v>
      </c>
      <c r="D6259" s="403" t="s">
        <v>1315</v>
      </c>
      <c r="E6259" s="403" t="s">
        <v>1317</v>
      </c>
      <c r="F6259" s="403" t="s">
        <v>1299</v>
      </c>
      <c r="G6259" s="403" t="s">
        <v>1466</v>
      </c>
      <c r="H6259" s="403" t="s">
        <v>1276</v>
      </c>
      <c r="I6259" s="403">
        <v>1</v>
      </c>
      <c r="J6259" s="403" t="s">
        <v>109</v>
      </c>
      <c r="K6259" s="403">
        <v>1280</v>
      </c>
      <c r="L6259" s="403">
        <v>720</v>
      </c>
      <c r="M6259" s="403" t="s">
        <v>109</v>
      </c>
      <c r="N6259" s="403">
        <v>1280</v>
      </c>
      <c r="O6259" s="403">
        <v>720</v>
      </c>
      <c r="P6259" t="str">
        <f t="shared" si="777"/>
        <v>25fps 720p - 720p</v>
      </c>
      <c r="Q6259">
        <f t="shared" si="778"/>
        <v>31</v>
      </c>
      <c r="R6259" t="str">
        <f t="shared" si="779"/>
        <v/>
      </c>
      <c r="S6259" t="str">
        <f t="shared" si="780"/>
        <v/>
      </c>
      <c r="T6259" s="403" t="str">
        <f t="shared" si="781"/>
        <v>NIN-63013-Ax</v>
      </c>
      <c r="U6259" s="403">
        <f t="shared" si="782"/>
        <v>1</v>
      </c>
      <c r="V6259" s="403" t="str">
        <f t="shared" si="783"/>
        <v>CPP_7</v>
      </c>
    </row>
    <row r="6260" spans="1:22">
      <c r="A6260" t="str">
        <f t="shared" si="776"/>
        <v>NIN-63013-Ax</v>
      </c>
      <c r="B6260" s="403" t="s">
        <v>1438</v>
      </c>
      <c r="C6260" s="403" t="s">
        <v>583</v>
      </c>
      <c r="D6260" s="403" t="s">
        <v>1315</v>
      </c>
      <c r="E6260" s="403" t="s">
        <v>1317</v>
      </c>
      <c r="F6260" s="403" t="s">
        <v>1299</v>
      </c>
      <c r="G6260" s="403" t="s">
        <v>1466</v>
      </c>
      <c r="H6260" s="403" t="s">
        <v>1276</v>
      </c>
      <c r="I6260" s="403">
        <v>1</v>
      </c>
      <c r="J6260" s="403" t="s">
        <v>109</v>
      </c>
      <c r="K6260" s="403">
        <v>1280</v>
      </c>
      <c r="L6260" s="403">
        <v>720</v>
      </c>
      <c r="M6260" s="403" t="s">
        <v>1279</v>
      </c>
      <c r="N6260" s="403">
        <v>768</v>
      </c>
      <c r="O6260" s="403">
        <v>432</v>
      </c>
      <c r="P6260" t="str">
        <f t="shared" si="777"/>
        <v>25fps 720p - SD ROI PTZ</v>
      </c>
      <c r="Q6260">
        <f t="shared" si="778"/>
        <v>31</v>
      </c>
      <c r="R6260" t="str">
        <f t="shared" si="779"/>
        <v/>
      </c>
      <c r="S6260" t="str">
        <f t="shared" si="780"/>
        <v/>
      </c>
      <c r="T6260" s="403" t="str">
        <f t="shared" si="781"/>
        <v>NIN-63013-Ax</v>
      </c>
      <c r="U6260" s="403">
        <f t="shared" si="782"/>
        <v>1</v>
      </c>
      <c r="V6260" s="403" t="str">
        <f t="shared" si="783"/>
        <v>CPP_7</v>
      </c>
    </row>
    <row r="6261" spans="1:22">
      <c r="A6261" t="str">
        <f t="shared" si="776"/>
        <v>NIN-63013-Ax</v>
      </c>
      <c r="B6261" s="403" t="s">
        <v>1438</v>
      </c>
      <c r="C6261" s="403" t="s">
        <v>583</v>
      </c>
      <c r="D6261" s="403" t="s">
        <v>1315</v>
      </c>
      <c r="E6261" s="403" t="s">
        <v>1317</v>
      </c>
      <c r="F6261" s="403" t="s">
        <v>1299</v>
      </c>
      <c r="G6261" s="403" t="s">
        <v>1466</v>
      </c>
      <c r="H6261" s="403" t="s">
        <v>1276</v>
      </c>
      <c r="I6261" s="403">
        <v>1</v>
      </c>
      <c r="J6261" s="403" t="s">
        <v>109</v>
      </c>
      <c r="K6261" s="403">
        <v>1280</v>
      </c>
      <c r="L6261" s="403">
        <v>720</v>
      </c>
      <c r="M6261" s="403" t="s">
        <v>1298</v>
      </c>
      <c r="N6261" s="403">
        <v>768</v>
      </c>
      <c r="O6261" s="403">
        <v>432</v>
      </c>
      <c r="P6261" t="str">
        <f t="shared" si="777"/>
        <v>25fps 720p - SD dual stream with independent ROI PTZ</v>
      </c>
      <c r="Q6261">
        <f t="shared" si="778"/>
        <v>31</v>
      </c>
      <c r="R6261" t="str">
        <f t="shared" si="779"/>
        <v/>
      </c>
      <c r="S6261" t="str">
        <f t="shared" si="780"/>
        <v/>
      </c>
      <c r="T6261" s="403" t="str">
        <f t="shared" si="781"/>
        <v>NIN-63013-Ax</v>
      </c>
      <c r="U6261" s="403">
        <f t="shared" si="782"/>
        <v>1</v>
      </c>
      <c r="V6261" s="403" t="str">
        <f t="shared" si="783"/>
        <v>CPP_7</v>
      </c>
    </row>
    <row r="6262" spans="1:22">
      <c r="A6262" t="str">
        <f t="shared" si="776"/>
        <v>NIN-63013-Ax</v>
      </c>
      <c r="B6262" s="403" t="s">
        <v>1438</v>
      </c>
      <c r="C6262" s="403" t="s">
        <v>583</v>
      </c>
      <c r="D6262" s="403" t="s">
        <v>1315</v>
      </c>
      <c r="E6262" s="403" t="s">
        <v>1317</v>
      </c>
      <c r="F6262" s="403" t="s">
        <v>1299</v>
      </c>
      <c r="G6262" s="403" t="s">
        <v>1466</v>
      </c>
      <c r="H6262" s="403" t="s">
        <v>1276</v>
      </c>
      <c r="I6262" s="403">
        <v>1</v>
      </c>
      <c r="J6262" s="403" t="s">
        <v>109</v>
      </c>
      <c r="K6262" s="403">
        <v>1280</v>
      </c>
      <c r="L6262" s="403">
        <v>720</v>
      </c>
      <c r="M6262" s="403" t="s">
        <v>1283</v>
      </c>
      <c r="N6262" s="403">
        <v>704</v>
      </c>
      <c r="O6262" s="403">
        <v>576</v>
      </c>
      <c r="P6262" t="str">
        <f t="shared" si="777"/>
        <v>25fps 720p - SD 4CIF resolution 4:3 format (cropped)</v>
      </c>
      <c r="Q6262">
        <f t="shared" si="778"/>
        <v>31</v>
      </c>
      <c r="R6262" t="str">
        <f t="shared" si="779"/>
        <v/>
      </c>
      <c r="S6262" t="str">
        <f t="shared" si="780"/>
        <v/>
      </c>
      <c r="T6262" s="403" t="str">
        <f t="shared" si="781"/>
        <v>NIN-63013-Ax</v>
      </c>
      <c r="U6262" s="403">
        <f t="shared" si="782"/>
        <v>1</v>
      </c>
      <c r="V6262" s="403" t="str">
        <f t="shared" si="783"/>
        <v>CPP_7</v>
      </c>
    </row>
    <row r="6263" spans="1:22">
      <c r="A6263" t="str">
        <f t="shared" si="776"/>
        <v>NIN-63013-Ax</v>
      </c>
      <c r="B6263" s="403" t="s">
        <v>1438</v>
      </c>
      <c r="C6263" s="403" t="s">
        <v>583</v>
      </c>
      <c r="D6263" s="403" t="s">
        <v>1315</v>
      </c>
      <c r="E6263" s="403" t="s">
        <v>1317</v>
      </c>
      <c r="F6263" s="403" t="s">
        <v>1299</v>
      </c>
      <c r="G6263" s="403" t="s">
        <v>1466</v>
      </c>
      <c r="H6263" s="403" t="s">
        <v>1276</v>
      </c>
      <c r="I6263" s="403">
        <v>1</v>
      </c>
      <c r="J6263" s="403" t="s">
        <v>109</v>
      </c>
      <c r="K6263" s="403">
        <v>1280</v>
      </c>
      <c r="L6263" s="403">
        <v>720</v>
      </c>
      <c r="M6263" s="403" t="s">
        <v>1284</v>
      </c>
      <c r="N6263" s="403">
        <v>640</v>
      </c>
      <c r="O6263" s="403">
        <v>480</v>
      </c>
      <c r="P6263" t="str">
        <f t="shared" si="777"/>
        <v>25fps 720p - SD VGA (cropped)</v>
      </c>
      <c r="Q6263">
        <f t="shared" si="778"/>
        <v>31</v>
      </c>
      <c r="R6263" t="str">
        <f t="shared" si="779"/>
        <v/>
      </c>
      <c r="S6263" t="str">
        <f t="shared" si="780"/>
        <v/>
      </c>
      <c r="T6263" s="403" t="str">
        <f t="shared" si="781"/>
        <v>NIN-63013-Ax</v>
      </c>
      <c r="U6263" s="403">
        <f t="shared" si="782"/>
        <v>1</v>
      </c>
      <c r="V6263" s="403" t="str">
        <f t="shared" si="783"/>
        <v>CPP_7</v>
      </c>
    </row>
    <row r="6264" spans="1:22">
      <c r="A6264" t="str">
        <f t="shared" si="776"/>
        <v>NIN-63013-Ax</v>
      </c>
      <c r="B6264" s="403" t="s">
        <v>1438</v>
      </c>
      <c r="C6264" s="403" t="s">
        <v>583</v>
      </c>
      <c r="D6264" s="403" t="s">
        <v>1315</v>
      </c>
      <c r="E6264" s="403" t="s">
        <v>1317</v>
      </c>
      <c r="F6264" s="403" t="s">
        <v>1299</v>
      </c>
      <c r="G6264" s="403" t="s">
        <v>1466</v>
      </c>
      <c r="H6264" s="403" t="s">
        <v>1276</v>
      </c>
      <c r="I6264" s="403">
        <v>1</v>
      </c>
      <c r="J6264" s="403" t="s">
        <v>111</v>
      </c>
      <c r="K6264" s="403">
        <v>768</v>
      </c>
      <c r="L6264" s="403">
        <v>432</v>
      </c>
      <c r="M6264" s="403" t="s">
        <v>111</v>
      </c>
      <c r="N6264" s="403">
        <v>768</v>
      </c>
      <c r="O6264" s="403">
        <v>432</v>
      </c>
      <c r="P6264" t="str">
        <f t="shared" si="777"/>
        <v>25fps SD - SD</v>
      </c>
      <c r="Q6264">
        <f t="shared" si="778"/>
        <v>31</v>
      </c>
      <c r="R6264" t="str">
        <f t="shared" si="779"/>
        <v/>
      </c>
      <c r="S6264" t="str">
        <f t="shared" si="780"/>
        <v/>
      </c>
      <c r="T6264" s="403" t="str">
        <f t="shared" si="781"/>
        <v>NIN-63013-Ax</v>
      </c>
      <c r="U6264" s="403">
        <f t="shared" si="782"/>
        <v>1</v>
      </c>
      <c r="V6264" s="403" t="str">
        <f t="shared" si="783"/>
        <v>CPP_7</v>
      </c>
    </row>
    <row r="6265" spans="1:22">
      <c r="A6265" t="str">
        <f t="shared" si="776"/>
        <v>NIN-63013-Ax</v>
      </c>
      <c r="B6265" s="403" t="s">
        <v>1438</v>
      </c>
      <c r="C6265" s="403" t="s">
        <v>583</v>
      </c>
      <c r="D6265" s="403" t="s">
        <v>1315</v>
      </c>
      <c r="E6265" s="403" t="s">
        <v>1317</v>
      </c>
      <c r="F6265" s="403" t="s">
        <v>1299</v>
      </c>
      <c r="G6265" s="403" t="s">
        <v>1467</v>
      </c>
      <c r="H6265" s="403" t="s">
        <v>1276</v>
      </c>
      <c r="I6265" s="403">
        <v>1</v>
      </c>
      <c r="J6265" s="403" t="s">
        <v>109</v>
      </c>
      <c r="K6265" s="403">
        <v>720</v>
      </c>
      <c r="L6265" s="403">
        <v>1280</v>
      </c>
      <c r="M6265" s="403" t="s">
        <v>111</v>
      </c>
      <c r="N6265" s="403">
        <v>432</v>
      </c>
      <c r="O6265" s="403">
        <v>768</v>
      </c>
      <c r="P6265" t="str">
        <f t="shared" si="777"/>
        <v>25fps 720p - SD</v>
      </c>
      <c r="Q6265">
        <f t="shared" si="778"/>
        <v>31</v>
      </c>
      <c r="R6265" t="str">
        <f t="shared" si="779"/>
        <v/>
      </c>
      <c r="S6265" t="str">
        <f t="shared" si="780"/>
        <v/>
      </c>
      <c r="T6265" s="403" t="str">
        <f t="shared" si="781"/>
        <v>NIN-63013-Ax</v>
      </c>
      <c r="U6265" s="403">
        <f t="shared" si="782"/>
        <v>1</v>
      </c>
      <c r="V6265" s="403" t="str">
        <f t="shared" si="783"/>
        <v>CPP_7</v>
      </c>
    </row>
    <row r="6266" spans="1:22">
      <c r="A6266" t="str">
        <f t="shared" si="776"/>
        <v>NIN-63013-Ax</v>
      </c>
      <c r="B6266" s="403" t="s">
        <v>1438</v>
      </c>
      <c r="C6266" s="403" t="s">
        <v>583</v>
      </c>
      <c r="D6266" s="403" t="s">
        <v>1315</v>
      </c>
      <c r="E6266" s="403" t="s">
        <v>1317</v>
      </c>
      <c r="F6266" s="403" t="s">
        <v>1299</v>
      </c>
      <c r="G6266" s="403" t="s">
        <v>1467</v>
      </c>
      <c r="H6266" s="403" t="s">
        <v>1276</v>
      </c>
      <c r="I6266" s="403">
        <v>1</v>
      </c>
      <c r="J6266" s="403" t="s">
        <v>109</v>
      </c>
      <c r="K6266" s="403">
        <v>720</v>
      </c>
      <c r="L6266" s="403">
        <v>1280</v>
      </c>
      <c r="M6266" s="403" t="s">
        <v>109</v>
      </c>
      <c r="N6266" s="403">
        <v>720</v>
      </c>
      <c r="O6266" s="403">
        <v>1280</v>
      </c>
      <c r="P6266" t="str">
        <f t="shared" si="777"/>
        <v>25fps 720p - 720p</v>
      </c>
      <c r="Q6266">
        <f t="shared" si="778"/>
        <v>31</v>
      </c>
      <c r="R6266" t="str">
        <f t="shared" si="779"/>
        <v/>
      </c>
      <c r="S6266" t="str">
        <f t="shared" si="780"/>
        <v/>
      </c>
      <c r="T6266" s="403" t="str">
        <f t="shared" si="781"/>
        <v>NIN-63013-Ax</v>
      </c>
      <c r="U6266" s="403">
        <f t="shared" si="782"/>
        <v>1</v>
      </c>
      <c r="V6266" s="403" t="str">
        <f t="shared" si="783"/>
        <v>CPP_7</v>
      </c>
    </row>
    <row r="6267" spans="1:22">
      <c r="A6267" t="str">
        <f t="shared" si="776"/>
        <v>NIN-63013-Ax</v>
      </c>
      <c r="B6267" s="403" t="s">
        <v>1438</v>
      </c>
      <c r="C6267" s="403" t="s">
        <v>583</v>
      </c>
      <c r="D6267" s="403" t="s">
        <v>1315</v>
      </c>
      <c r="E6267" s="403" t="s">
        <v>1317</v>
      </c>
      <c r="F6267" s="403" t="s">
        <v>1299</v>
      </c>
      <c r="G6267" s="403" t="s">
        <v>1467</v>
      </c>
      <c r="H6267" s="403" t="s">
        <v>1276</v>
      </c>
      <c r="I6267" s="403">
        <v>1</v>
      </c>
      <c r="J6267" s="403" t="s">
        <v>109</v>
      </c>
      <c r="K6267" s="403">
        <v>720</v>
      </c>
      <c r="L6267" s="403">
        <v>1280</v>
      </c>
      <c r="M6267" s="403" t="s">
        <v>1279</v>
      </c>
      <c r="N6267" s="403">
        <v>432</v>
      </c>
      <c r="O6267" s="403">
        <v>768</v>
      </c>
      <c r="P6267" t="str">
        <f t="shared" si="777"/>
        <v>25fps 720p - SD ROI PTZ</v>
      </c>
      <c r="Q6267">
        <f t="shared" si="778"/>
        <v>31</v>
      </c>
      <c r="R6267" t="str">
        <f t="shared" si="779"/>
        <v/>
      </c>
      <c r="S6267" t="str">
        <f t="shared" si="780"/>
        <v/>
      </c>
      <c r="T6267" s="403" t="str">
        <f t="shared" si="781"/>
        <v>NIN-63013-Ax</v>
      </c>
      <c r="U6267" s="403">
        <f t="shared" si="782"/>
        <v>1</v>
      </c>
      <c r="V6267" s="403" t="str">
        <f t="shared" si="783"/>
        <v>CPP_7</v>
      </c>
    </row>
    <row r="6268" spans="1:22">
      <c r="A6268" t="str">
        <f t="shared" si="776"/>
        <v>NIN-63013-Ax</v>
      </c>
      <c r="B6268" s="403" t="s">
        <v>1438</v>
      </c>
      <c r="C6268" s="403" t="s">
        <v>583</v>
      </c>
      <c r="D6268" s="403" t="s">
        <v>1315</v>
      </c>
      <c r="E6268" s="403" t="s">
        <v>1317</v>
      </c>
      <c r="F6268" s="403" t="s">
        <v>1299</v>
      </c>
      <c r="G6268" s="403" t="s">
        <v>1467</v>
      </c>
      <c r="H6268" s="403" t="s">
        <v>1276</v>
      </c>
      <c r="I6268" s="403">
        <v>1</v>
      </c>
      <c r="J6268" s="403" t="s">
        <v>109</v>
      </c>
      <c r="K6268" s="403">
        <v>720</v>
      </c>
      <c r="L6268" s="403">
        <v>1280</v>
      </c>
      <c r="M6268" s="403" t="s">
        <v>1298</v>
      </c>
      <c r="N6268" s="403">
        <v>432</v>
      </c>
      <c r="O6268" s="403">
        <v>768</v>
      </c>
      <c r="P6268" t="str">
        <f t="shared" si="777"/>
        <v>25fps 720p - SD dual stream with independent ROI PTZ</v>
      </c>
      <c r="Q6268">
        <f t="shared" si="778"/>
        <v>31</v>
      </c>
      <c r="R6268" t="str">
        <f t="shared" si="779"/>
        <v/>
      </c>
      <c r="S6268" t="str">
        <f t="shared" si="780"/>
        <v/>
      </c>
      <c r="T6268" s="403" t="str">
        <f t="shared" si="781"/>
        <v>NIN-63013-Ax</v>
      </c>
      <c r="U6268" s="403">
        <f t="shared" si="782"/>
        <v>1</v>
      </c>
      <c r="V6268" s="403" t="str">
        <f t="shared" si="783"/>
        <v>CPP_7</v>
      </c>
    </row>
    <row r="6269" spans="1:22">
      <c r="A6269" t="str">
        <f t="shared" si="776"/>
        <v>NIN-63013-Ax</v>
      </c>
      <c r="B6269" s="403" t="s">
        <v>1438</v>
      </c>
      <c r="C6269" s="403" t="s">
        <v>583</v>
      </c>
      <c r="D6269" s="403" t="s">
        <v>1315</v>
      </c>
      <c r="E6269" s="403" t="s">
        <v>1317</v>
      </c>
      <c r="F6269" s="403" t="s">
        <v>1299</v>
      </c>
      <c r="G6269" s="403" t="s">
        <v>1467</v>
      </c>
      <c r="H6269" s="403" t="s">
        <v>1276</v>
      </c>
      <c r="I6269" s="403">
        <v>1</v>
      </c>
      <c r="J6269" s="403" t="s">
        <v>109</v>
      </c>
      <c r="K6269" s="403">
        <v>720</v>
      </c>
      <c r="L6269" s="403">
        <v>1280</v>
      </c>
      <c r="M6269" s="403" t="s">
        <v>1283</v>
      </c>
      <c r="N6269" s="403">
        <v>576</v>
      </c>
      <c r="O6269" s="403">
        <v>704</v>
      </c>
      <c r="P6269" t="str">
        <f t="shared" si="777"/>
        <v>25fps 720p - SD 4CIF resolution 4:3 format (cropped)</v>
      </c>
      <c r="Q6269">
        <f t="shared" si="778"/>
        <v>31</v>
      </c>
      <c r="R6269" t="str">
        <f t="shared" si="779"/>
        <v/>
      </c>
      <c r="S6269" t="str">
        <f t="shared" si="780"/>
        <v/>
      </c>
      <c r="T6269" s="403" t="str">
        <f t="shared" si="781"/>
        <v>NIN-63013-Ax</v>
      </c>
      <c r="U6269" s="403">
        <f t="shared" si="782"/>
        <v>1</v>
      </c>
      <c r="V6269" s="403" t="str">
        <f t="shared" si="783"/>
        <v>CPP_7</v>
      </c>
    </row>
    <row r="6270" spans="1:22">
      <c r="A6270" t="str">
        <f t="shared" si="776"/>
        <v>NIN-63013-Ax</v>
      </c>
      <c r="B6270" s="403" t="s">
        <v>1438</v>
      </c>
      <c r="C6270" s="403" t="s">
        <v>583</v>
      </c>
      <c r="D6270" s="403" t="s">
        <v>1315</v>
      </c>
      <c r="E6270" s="403" t="s">
        <v>1317</v>
      </c>
      <c r="F6270" s="403" t="s">
        <v>1299</v>
      </c>
      <c r="G6270" s="403" t="s">
        <v>1467</v>
      </c>
      <c r="H6270" s="403" t="s">
        <v>1276</v>
      </c>
      <c r="I6270" s="403">
        <v>1</v>
      </c>
      <c r="J6270" s="403" t="s">
        <v>109</v>
      </c>
      <c r="K6270" s="403">
        <v>720</v>
      </c>
      <c r="L6270" s="403">
        <v>1280</v>
      </c>
      <c r="M6270" s="403" t="s">
        <v>1284</v>
      </c>
      <c r="N6270" s="403">
        <v>480</v>
      </c>
      <c r="O6270" s="403">
        <v>640</v>
      </c>
      <c r="P6270" t="str">
        <f t="shared" si="777"/>
        <v>25fps 720p - SD VGA (cropped)</v>
      </c>
      <c r="Q6270">
        <f t="shared" si="778"/>
        <v>31</v>
      </c>
      <c r="R6270" t="str">
        <f t="shared" si="779"/>
        <v/>
      </c>
      <c r="S6270" t="str">
        <f t="shared" si="780"/>
        <v/>
      </c>
      <c r="T6270" s="403" t="str">
        <f t="shared" si="781"/>
        <v>NIN-63013-Ax</v>
      </c>
      <c r="U6270" s="403">
        <f t="shared" si="782"/>
        <v>1</v>
      </c>
      <c r="V6270" s="403" t="str">
        <f t="shared" si="783"/>
        <v>CPP_7</v>
      </c>
    </row>
    <row r="6271" spans="1:22">
      <c r="A6271" t="str">
        <f t="shared" si="776"/>
        <v>NIN-63013-Ax</v>
      </c>
      <c r="B6271" s="403" t="s">
        <v>1438</v>
      </c>
      <c r="C6271" s="403" t="s">
        <v>583</v>
      </c>
      <c r="D6271" s="403" t="s">
        <v>1315</v>
      </c>
      <c r="E6271" s="403" t="s">
        <v>1317</v>
      </c>
      <c r="F6271" s="403" t="s">
        <v>1299</v>
      </c>
      <c r="G6271" s="403" t="s">
        <v>1467</v>
      </c>
      <c r="H6271" s="403" t="s">
        <v>1276</v>
      </c>
      <c r="I6271" s="403">
        <v>1</v>
      </c>
      <c r="J6271" s="403" t="s">
        <v>111</v>
      </c>
      <c r="K6271" s="403">
        <v>432</v>
      </c>
      <c r="L6271" s="403">
        <v>768</v>
      </c>
      <c r="M6271" s="403" t="s">
        <v>111</v>
      </c>
      <c r="N6271" s="403">
        <v>432</v>
      </c>
      <c r="O6271" s="403">
        <v>768</v>
      </c>
      <c r="P6271" t="str">
        <f t="shared" si="777"/>
        <v>25fps SD - SD</v>
      </c>
      <c r="Q6271">
        <f t="shared" si="778"/>
        <v>31</v>
      </c>
      <c r="R6271" t="str">
        <f t="shared" si="779"/>
        <v/>
      </c>
      <c r="S6271" t="str">
        <f t="shared" si="780"/>
        <v/>
      </c>
      <c r="T6271" s="403" t="str">
        <f t="shared" si="781"/>
        <v>NIN-63013-Ax</v>
      </c>
      <c r="U6271" s="403">
        <f t="shared" si="782"/>
        <v>1</v>
      </c>
      <c r="V6271" s="403" t="str">
        <f t="shared" si="783"/>
        <v>CPP_7</v>
      </c>
    </row>
    <row r="6272" spans="1:22">
      <c r="A6272" t="str">
        <f t="shared" si="776"/>
        <v>NIN-70122-F0A</v>
      </c>
      <c r="B6272" s="488" t="s">
        <v>1823</v>
      </c>
      <c r="C6272" s="403" t="s">
        <v>584</v>
      </c>
      <c r="D6272" s="403" t="s">
        <v>1440</v>
      </c>
      <c r="E6272" s="403" t="s">
        <v>1439</v>
      </c>
      <c r="F6272" s="403" t="s">
        <v>1441</v>
      </c>
      <c r="G6272" s="403" t="s">
        <v>1466</v>
      </c>
      <c r="H6272" s="403" t="s">
        <v>1276</v>
      </c>
      <c r="I6272" s="403">
        <v>1</v>
      </c>
      <c r="J6272" s="403" t="s">
        <v>1442</v>
      </c>
      <c r="K6272" s="403">
        <v>2640</v>
      </c>
      <c r="L6272" s="403">
        <v>2640</v>
      </c>
      <c r="M6272" s="403" t="s">
        <v>1280</v>
      </c>
      <c r="N6272" s="403">
        <v>2640</v>
      </c>
      <c r="O6272" s="403">
        <v>2640</v>
      </c>
      <c r="P6272" t="str">
        <f t="shared" si="777"/>
        <v>12fps 2640x2640 - copy other stream</v>
      </c>
      <c r="Q6272">
        <f t="shared" si="778"/>
        <v>32</v>
      </c>
      <c r="R6272">
        <f t="shared" si="779"/>
        <v>32</v>
      </c>
      <c r="S6272" t="str">
        <f t="shared" si="780"/>
        <v>FLEXIDOME IP panoramic 7000 MP (360) (NIN-70122-F0A)</v>
      </c>
      <c r="T6272" s="403" t="str">
        <f t="shared" si="781"/>
        <v>NIN-70122-F0A</v>
      </c>
      <c r="U6272" s="403">
        <f t="shared" si="782"/>
        <v>1</v>
      </c>
      <c r="V6272" s="403" t="str">
        <f t="shared" si="783"/>
        <v>CPP_6</v>
      </c>
    </row>
    <row r="6273" spans="1:22">
      <c r="A6273" t="str">
        <f t="shared" si="776"/>
        <v>NIN-70122-F0A</v>
      </c>
      <c r="B6273" s="488" t="s">
        <v>1823</v>
      </c>
      <c r="C6273" s="403" t="s">
        <v>584</v>
      </c>
      <c r="D6273" s="403" t="s">
        <v>1440</v>
      </c>
      <c r="E6273" s="403" t="s">
        <v>1439</v>
      </c>
      <c r="F6273" s="403" t="s">
        <v>1441</v>
      </c>
      <c r="G6273" s="403" t="s">
        <v>1466</v>
      </c>
      <c r="H6273" s="403" t="s">
        <v>1276</v>
      </c>
      <c r="I6273" s="403">
        <v>1</v>
      </c>
      <c r="J6273" s="403" t="s">
        <v>1442</v>
      </c>
      <c r="K6273" s="403">
        <v>2640</v>
      </c>
      <c r="L6273" s="403">
        <v>2640</v>
      </c>
      <c r="M6273" s="403" t="s">
        <v>1442</v>
      </c>
      <c r="N6273" s="403">
        <v>2640</v>
      </c>
      <c r="O6273" s="403">
        <v>2640</v>
      </c>
      <c r="P6273" t="str">
        <f t="shared" si="777"/>
        <v>12fps 2640x2640 - 2640x2640</v>
      </c>
      <c r="Q6273">
        <f t="shared" si="778"/>
        <v>32</v>
      </c>
      <c r="R6273" t="str">
        <f t="shared" si="779"/>
        <v/>
      </c>
      <c r="S6273" t="str">
        <f t="shared" si="780"/>
        <v/>
      </c>
      <c r="T6273" s="403" t="str">
        <f t="shared" si="781"/>
        <v>NIN-70122-F0A</v>
      </c>
      <c r="U6273" s="403">
        <f t="shared" si="782"/>
        <v>1</v>
      </c>
      <c r="V6273" s="403" t="str">
        <f t="shared" si="783"/>
        <v>CPP_6</v>
      </c>
    </row>
    <row r="6274" spans="1:22">
      <c r="A6274" t="str">
        <f t="shared" ref="A6274:A6377" si="784">IF(AND(G6274&lt;&gt;"rotate 90°"),D6274,"")</f>
        <v>NIN-70122-F0A</v>
      </c>
      <c r="B6274" s="488" t="s">
        <v>1823</v>
      </c>
      <c r="C6274" s="403" t="s">
        <v>584</v>
      </c>
      <c r="D6274" s="403" t="s">
        <v>1440</v>
      </c>
      <c r="E6274" s="403" t="s">
        <v>1439</v>
      </c>
      <c r="F6274" s="403" t="s">
        <v>1441</v>
      </c>
      <c r="G6274" s="403" t="s">
        <v>1466</v>
      </c>
      <c r="H6274" s="403" t="s">
        <v>1276</v>
      </c>
      <c r="I6274" s="403">
        <v>1</v>
      </c>
      <c r="J6274" s="403" t="s">
        <v>1442</v>
      </c>
      <c r="K6274" s="403">
        <v>2640</v>
      </c>
      <c r="L6274" s="403">
        <v>2640</v>
      </c>
      <c r="M6274" s="403" t="s">
        <v>1443</v>
      </c>
      <c r="N6274" s="403">
        <v>1792</v>
      </c>
      <c r="O6274" s="403">
        <v>1792</v>
      </c>
      <c r="P6274" t="str">
        <f t="shared" ref="P6274:P6377" si="785">LEFT(F6274,5)&amp;" "&amp;J6274&amp;" - "&amp;M6274</f>
        <v>12fps 2640x2640 - 1792x1792</v>
      </c>
      <c r="Q6274">
        <f t="shared" ref="Q6274:Q6377" si="786">IF(A6273=A6274,Q6273,Q6273+1)</f>
        <v>32</v>
      </c>
      <c r="R6274" t="str">
        <f t="shared" ref="R6274:R6377" si="787">IF(Q6273&lt;&gt;Q6274,Q6274,"")</f>
        <v/>
      </c>
      <c r="S6274" t="str">
        <f t="shared" ref="S6274:S6377" si="788">IF(R6274&lt;&gt;"",B6274&amp;" ("&amp;D6274&amp;")","")</f>
        <v/>
      </c>
      <c r="T6274" s="403" t="str">
        <f t="shared" ref="T6274:T6377" si="789">D6274</f>
        <v>NIN-70122-F0A</v>
      </c>
      <c r="U6274" s="403">
        <f t="shared" ref="U6274:U6377" si="790">I6274</f>
        <v>1</v>
      </c>
      <c r="V6274" s="403" t="str">
        <f t="shared" ref="V6274:V6377" si="791">C6274</f>
        <v>CPP_6</v>
      </c>
    </row>
    <row r="6275" spans="1:22">
      <c r="A6275" t="str">
        <f t="shared" si="784"/>
        <v>NIN-70122-F0A</v>
      </c>
      <c r="B6275" s="488" t="s">
        <v>1823</v>
      </c>
      <c r="C6275" s="403" t="s">
        <v>584</v>
      </c>
      <c r="D6275" s="403" t="s">
        <v>1440</v>
      </c>
      <c r="E6275" s="403" t="s">
        <v>1439</v>
      </c>
      <c r="F6275" s="403" t="s">
        <v>1441</v>
      </c>
      <c r="G6275" s="403" t="s">
        <v>1466</v>
      </c>
      <c r="H6275" s="403" t="s">
        <v>1276</v>
      </c>
      <c r="I6275" s="403">
        <v>1</v>
      </c>
      <c r="J6275" s="403" t="s">
        <v>1442</v>
      </c>
      <c r="K6275" s="403">
        <v>2640</v>
      </c>
      <c r="L6275" s="403">
        <v>2640</v>
      </c>
      <c r="M6275" s="403" t="s">
        <v>1444</v>
      </c>
      <c r="N6275" s="403">
        <v>1440</v>
      </c>
      <c r="O6275" s="403">
        <v>1440</v>
      </c>
      <c r="P6275" t="str">
        <f t="shared" si="785"/>
        <v>12fps 2640x2640 - 1440x1440</v>
      </c>
      <c r="Q6275">
        <f t="shared" si="786"/>
        <v>32</v>
      </c>
      <c r="R6275" t="str">
        <f t="shared" si="787"/>
        <v/>
      </c>
      <c r="S6275" t="str">
        <f t="shared" si="788"/>
        <v/>
      </c>
      <c r="T6275" s="403" t="str">
        <f t="shared" si="789"/>
        <v>NIN-70122-F0A</v>
      </c>
      <c r="U6275" s="403">
        <f t="shared" si="790"/>
        <v>1</v>
      </c>
      <c r="V6275" s="403" t="str">
        <f t="shared" si="791"/>
        <v>CPP_6</v>
      </c>
    </row>
    <row r="6276" spans="1:22">
      <c r="A6276" t="str">
        <f t="shared" si="784"/>
        <v>NIN-70122-F0A</v>
      </c>
      <c r="B6276" s="488" t="s">
        <v>1823</v>
      </c>
      <c r="C6276" s="403" t="s">
        <v>584</v>
      </c>
      <c r="D6276" s="403" t="s">
        <v>1440</v>
      </c>
      <c r="E6276" s="403" t="s">
        <v>1439</v>
      </c>
      <c r="F6276" s="403" t="s">
        <v>1441</v>
      </c>
      <c r="G6276" s="403" t="s">
        <v>1466</v>
      </c>
      <c r="H6276" s="403" t="s">
        <v>1276</v>
      </c>
      <c r="I6276" s="403">
        <v>1</v>
      </c>
      <c r="J6276" s="403" t="s">
        <v>1442</v>
      </c>
      <c r="K6276" s="403">
        <v>2640</v>
      </c>
      <c r="L6276" s="403">
        <v>2640</v>
      </c>
      <c r="M6276" s="403" t="s">
        <v>1445</v>
      </c>
      <c r="N6276" s="403">
        <v>1024</v>
      </c>
      <c r="O6276" s="403">
        <v>1024</v>
      </c>
      <c r="P6276" t="str">
        <f t="shared" si="785"/>
        <v>12fps 2640x2640 - 1024x1024</v>
      </c>
      <c r="Q6276">
        <f t="shared" si="786"/>
        <v>32</v>
      </c>
      <c r="R6276" t="str">
        <f t="shared" si="787"/>
        <v/>
      </c>
      <c r="S6276" t="str">
        <f t="shared" si="788"/>
        <v/>
      </c>
      <c r="T6276" s="403" t="str">
        <f t="shared" si="789"/>
        <v>NIN-70122-F0A</v>
      </c>
      <c r="U6276" s="403">
        <f t="shared" si="790"/>
        <v>1</v>
      </c>
      <c r="V6276" s="403" t="str">
        <f t="shared" si="791"/>
        <v>CPP_6</v>
      </c>
    </row>
    <row r="6277" spans="1:22">
      <c r="A6277" t="str">
        <f t="shared" si="784"/>
        <v>NIN-70122-F0A</v>
      </c>
      <c r="B6277" s="488" t="s">
        <v>1823</v>
      </c>
      <c r="C6277" s="403" t="s">
        <v>584</v>
      </c>
      <c r="D6277" s="403" t="s">
        <v>1440</v>
      </c>
      <c r="E6277" s="403" t="s">
        <v>1439</v>
      </c>
      <c r="F6277" s="403" t="s">
        <v>1441</v>
      </c>
      <c r="G6277" s="403" t="s">
        <v>1466</v>
      </c>
      <c r="H6277" s="403" t="s">
        <v>1276</v>
      </c>
      <c r="I6277" s="403">
        <v>1</v>
      </c>
      <c r="J6277" s="403" t="s">
        <v>1442</v>
      </c>
      <c r="K6277" s="403">
        <v>2640</v>
      </c>
      <c r="L6277" s="403">
        <v>2640</v>
      </c>
      <c r="M6277" s="403" t="s">
        <v>1446</v>
      </c>
      <c r="N6277" s="403">
        <v>800</v>
      </c>
      <c r="O6277" s="403">
        <v>800</v>
      </c>
      <c r="P6277" t="str">
        <f t="shared" si="785"/>
        <v>12fps 2640x2640 - 800x800</v>
      </c>
      <c r="Q6277">
        <f t="shared" si="786"/>
        <v>32</v>
      </c>
      <c r="R6277" t="str">
        <f t="shared" si="787"/>
        <v/>
      </c>
      <c r="S6277" t="str">
        <f t="shared" si="788"/>
        <v/>
      </c>
      <c r="T6277" s="403" t="str">
        <f t="shared" si="789"/>
        <v>NIN-70122-F0A</v>
      </c>
      <c r="U6277" s="403">
        <f t="shared" si="790"/>
        <v>1</v>
      </c>
      <c r="V6277" s="403" t="str">
        <f t="shared" si="791"/>
        <v>CPP_6</v>
      </c>
    </row>
    <row r="6278" spans="1:22">
      <c r="A6278" t="str">
        <f t="shared" si="784"/>
        <v>NIN-70122-F0A</v>
      </c>
      <c r="B6278" s="488" t="s">
        <v>1823</v>
      </c>
      <c r="C6278" s="403" t="s">
        <v>584</v>
      </c>
      <c r="D6278" s="403" t="s">
        <v>1440</v>
      </c>
      <c r="E6278" s="403" t="s">
        <v>1439</v>
      </c>
      <c r="F6278" s="403" t="s">
        <v>1441</v>
      </c>
      <c r="G6278" s="403" t="s">
        <v>1466</v>
      </c>
      <c r="H6278" s="403" t="s">
        <v>1276</v>
      </c>
      <c r="I6278" s="403">
        <v>1</v>
      </c>
      <c r="J6278" s="403" t="s">
        <v>1444</v>
      </c>
      <c r="K6278" s="403">
        <v>1440</v>
      </c>
      <c r="L6278" s="403">
        <v>1440</v>
      </c>
      <c r="M6278" s="403" t="s">
        <v>1280</v>
      </c>
      <c r="N6278" s="403">
        <v>1440</v>
      </c>
      <c r="O6278" s="403">
        <v>1440</v>
      </c>
      <c r="P6278" t="str">
        <f t="shared" si="785"/>
        <v>12fps 1440x1440 - copy other stream</v>
      </c>
      <c r="Q6278">
        <f t="shared" si="786"/>
        <v>32</v>
      </c>
      <c r="R6278" t="str">
        <f t="shared" si="787"/>
        <v/>
      </c>
      <c r="S6278" t="str">
        <f t="shared" si="788"/>
        <v/>
      </c>
      <c r="T6278" s="403" t="str">
        <f t="shared" si="789"/>
        <v>NIN-70122-F0A</v>
      </c>
      <c r="U6278" s="403">
        <f t="shared" si="790"/>
        <v>1</v>
      </c>
      <c r="V6278" s="403" t="str">
        <f t="shared" si="791"/>
        <v>CPP_6</v>
      </c>
    </row>
    <row r="6279" spans="1:22">
      <c r="A6279" t="str">
        <f t="shared" si="784"/>
        <v>NIN-70122-F0A</v>
      </c>
      <c r="B6279" s="488" t="s">
        <v>1823</v>
      </c>
      <c r="C6279" s="403" t="s">
        <v>584</v>
      </c>
      <c r="D6279" s="403" t="s">
        <v>1440</v>
      </c>
      <c r="E6279" s="403" t="s">
        <v>1439</v>
      </c>
      <c r="F6279" s="403" t="s">
        <v>1441</v>
      </c>
      <c r="G6279" s="403" t="s">
        <v>1466</v>
      </c>
      <c r="H6279" s="403" t="s">
        <v>1276</v>
      </c>
      <c r="I6279" s="403">
        <v>1</v>
      </c>
      <c r="J6279" s="403" t="s">
        <v>1444</v>
      </c>
      <c r="K6279" s="403">
        <v>1440</v>
      </c>
      <c r="L6279" s="403">
        <v>1440</v>
      </c>
      <c r="M6279" s="403" t="s">
        <v>1444</v>
      </c>
      <c r="N6279" s="403">
        <v>1440</v>
      </c>
      <c r="O6279" s="403">
        <v>1440</v>
      </c>
      <c r="P6279" t="str">
        <f t="shared" si="785"/>
        <v>12fps 1440x1440 - 1440x1440</v>
      </c>
      <c r="Q6279">
        <f t="shared" si="786"/>
        <v>32</v>
      </c>
      <c r="R6279" t="str">
        <f t="shared" si="787"/>
        <v/>
      </c>
      <c r="S6279" t="str">
        <f t="shared" si="788"/>
        <v/>
      </c>
      <c r="T6279" s="403" t="str">
        <f t="shared" si="789"/>
        <v>NIN-70122-F0A</v>
      </c>
      <c r="U6279" s="403">
        <f t="shared" si="790"/>
        <v>1</v>
      </c>
      <c r="V6279" s="403" t="str">
        <f t="shared" si="791"/>
        <v>CPP_6</v>
      </c>
    </row>
    <row r="6280" spans="1:22">
      <c r="A6280" t="str">
        <f t="shared" si="784"/>
        <v>NIN-70122-F0A</v>
      </c>
      <c r="B6280" s="488" t="s">
        <v>1823</v>
      </c>
      <c r="C6280" s="403" t="s">
        <v>584</v>
      </c>
      <c r="D6280" s="403" t="s">
        <v>1440</v>
      </c>
      <c r="E6280" s="403" t="s">
        <v>1439</v>
      </c>
      <c r="F6280" s="403" t="s">
        <v>1441</v>
      </c>
      <c r="G6280" s="403" t="s">
        <v>1466</v>
      </c>
      <c r="H6280" s="403" t="s">
        <v>1276</v>
      </c>
      <c r="I6280" s="403">
        <v>1</v>
      </c>
      <c r="J6280" s="403" t="s">
        <v>1444</v>
      </c>
      <c r="K6280" s="403">
        <v>1440</v>
      </c>
      <c r="L6280" s="403">
        <v>1440</v>
      </c>
      <c r="M6280" s="403" t="s">
        <v>1445</v>
      </c>
      <c r="N6280" s="403">
        <v>1024</v>
      </c>
      <c r="O6280" s="403">
        <v>1024</v>
      </c>
      <c r="P6280" t="str">
        <f t="shared" si="785"/>
        <v>12fps 1440x1440 - 1024x1024</v>
      </c>
      <c r="Q6280">
        <f t="shared" si="786"/>
        <v>32</v>
      </c>
      <c r="R6280" t="str">
        <f t="shared" si="787"/>
        <v/>
      </c>
      <c r="S6280" t="str">
        <f t="shared" si="788"/>
        <v/>
      </c>
      <c r="T6280" s="403" t="str">
        <f t="shared" si="789"/>
        <v>NIN-70122-F0A</v>
      </c>
      <c r="U6280" s="403">
        <f t="shared" si="790"/>
        <v>1</v>
      </c>
      <c r="V6280" s="403" t="str">
        <f t="shared" si="791"/>
        <v>CPP_6</v>
      </c>
    </row>
    <row r="6281" spans="1:22">
      <c r="A6281" t="str">
        <f t="shared" si="784"/>
        <v>NIN-70122-F0A</v>
      </c>
      <c r="B6281" s="488" t="s">
        <v>1823</v>
      </c>
      <c r="C6281" s="403" t="s">
        <v>584</v>
      </c>
      <c r="D6281" s="403" t="s">
        <v>1440</v>
      </c>
      <c r="E6281" s="403" t="s">
        <v>1439</v>
      </c>
      <c r="F6281" s="403" t="s">
        <v>1441</v>
      </c>
      <c r="G6281" s="403" t="s">
        <v>1466</v>
      </c>
      <c r="H6281" s="403" t="s">
        <v>1276</v>
      </c>
      <c r="I6281" s="403">
        <v>1</v>
      </c>
      <c r="J6281" s="403" t="s">
        <v>1444</v>
      </c>
      <c r="K6281" s="403">
        <v>1440</v>
      </c>
      <c r="L6281" s="403">
        <v>1440</v>
      </c>
      <c r="M6281" s="403" t="s">
        <v>1446</v>
      </c>
      <c r="N6281" s="403">
        <v>800</v>
      </c>
      <c r="O6281" s="403">
        <v>800</v>
      </c>
      <c r="P6281" t="str">
        <f t="shared" si="785"/>
        <v>12fps 1440x1440 - 800x800</v>
      </c>
      <c r="Q6281">
        <f t="shared" si="786"/>
        <v>32</v>
      </c>
      <c r="R6281" t="str">
        <f t="shared" si="787"/>
        <v/>
      </c>
      <c r="S6281" t="str">
        <f t="shared" si="788"/>
        <v/>
      </c>
      <c r="T6281" s="403" t="str">
        <f t="shared" si="789"/>
        <v>NIN-70122-F0A</v>
      </c>
      <c r="U6281" s="403">
        <f t="shared" si="790"/>
        <v>1</v>
      </c>
      <c r="V6281" s="403" t="str">
        <f t="shared" si="791"/>
        <v>CPP_6</v>
      </c>
    </row>
    <row r="6282" spans="1:22">
      <c r="A6282" t="str">
        <f t="shared" si="784"/>
        <v>NIN-70122-F0A</v>
      </c>
      <c r="B6282" s="488" t="s">
        <v>1823</v>
      </c>
      <c r="C6282" s="403" t="s">
        <v>584</v>
      </c>
      <c r="D6282" s="403" t="s">
        <v>1440</v>
      </c>
      <c r="E6282" s="403" t="s">
        <v>1439</v>
      </c>
      <c r="F6282" s="403" t="s">
        <v>1447</v>
      </c>
      <c r="G6282" s="403" t="s">
        <v>1466</v>
      </c>
      <c r="H6282" s="403" t="s">
        <v>1276</v>
      </c>
      <c r="I6282" s="403">
        <v>1</v>
      </c>
      <c r="J6282" s="403" t="s">
        <v>1442</v>
      </c>
      <c r="K6282" s="403">
        <v>2640</v>
      </c>
      <c r="L6282" s="403">
        <v>2640</v>
      </c>
      <c r="M6282" s="403" t="s">
        <v>1280</v>
      </c>
      <c r="N6282" s="403">
        <v>2640</v>
      </c>
      <c r="O6282" s="403">
        <v>2640</v>
      </c>
      <c r="P6282" t="str">
        <f t="shared" si="785"/>
        <v>25fps 2640x2640 - copy other stream</v>
      </c>
      <c r="Q6282">
        <f t="shared" si="786"/>
        <v>32</v>
      </c>
      <c r="R6282" t="str">
        <f t="shared" si="787"/>
        <v/>
      </c>
      <c r="S6282" t="str">
        <f t="shared" si="788"/>
        <v/>
      </c>
      <c r="T6282" s="403" t="str">
        <f t="shared" si="789"/>
        <v>NIN-70122-F0A</v>
      </c>
      <c r="U6282" s="403">
        <f t="shared" si="790"/>
        <v>1</v>
      </c>
      <c r="V6282" s="403" t="str">
        <f t="shared" si="791"/>
        <v>CPP_6</v>
      </c>
    </row>
    <row r="6283" spans="1:22">
      <c r="A6283" t="str">
        <f t="shared" si="784"/>
        <v>NIN-70122-F0A</v>
      </c>
      <c r="B6283" s="488" t="s">
        <v>1823</v>
      </c>
      <c r="C6283" s="403" t="s">
        <v>584</v>
      </c>
      <c r="D6283" s="403" t="s">
        <v>1440</v>
      </c>
      <c r="E6283" s="403" t="s">
        <v>1439</v>
      </c>
      <c r="F6283" s="403" t="s">
        <v>1447</v>
      </c>
      <c r="G6283" s="403" t="s">
        <v>1466</v>
      </c>
      <c r="H6283" s="403" t="s">
        <v>1276</v>
      </c>
      <c r="I6283" s="403">
        <v>1</v>
      </c>
      <c r="J6283" s="403" t="s">
        <v>1442</v>
      </c>
      <c r="K6283" s="403">
        <v>2640</v>
      </c>
      <c r="L6283" s="403">
        <v>2640</v>
      </c>
      <c r="M6283" s="403" t="s">
        <v>1446</v>
      </c>
      <c r="N6283" s="403">
        <v>800</v>
      </c>
      <c r="O6283" s="403">
        <v>800</v>
      </c>
      <c r="P6283" t="str">
        <f t="shared" si="785"/>
        <v>25fps 2640x2640 - 800x800</v>
      </c>
      <c r="Q6283">
        <f t="shared" si="786"/>
        <v>32</v>
      </c>
      <c r="R6283" t="str">
        <f t="shared" si="787"/>
        <v/>
      </c>
      <c r="S6283" t="str">
        <f t="shared" si="788"/>
        <v/>
      </c>
      <c r="T6283" s="403" t="str">
        <f t="shared" si="789"/>
        <v>NIN-70122-F0A</v>
      </c>
      <c r="U6283" s="403">
        <f t="shared" si="790"/>
        <v>1</v>
      </c>
      <c r="V6283" s="403" t="str">
        <f t="shared" si="791"/>
        <v>CPP_6</v>
      </c>
    </row>
    <row r="6284" spans="1:22">
      <c r="A6284" t="str">
        <f t="shared" si="784"/>
        <v>NIN-70122-F0A</v>
      </c>
      <c r="B6284" s="488" t="s">
        <v>1823</v>
      </c>
      <c r="C6284" s="403" t="s">
        <v>584</v>
      </c>
      <c r="D6284" s="403" t="s">
        <v>1440</v>
      </c>
      <c r="E6284" s="403" t="s">
        <v>1439</v>
      </c>
      <c r="F6284" s="403" t="s">
        <v>1447</v>
      </c>
      <c r="G6284" s="403" t="s">
        <v>1466</v>
      </c>
      <c r="H6284" s="403" t="s">
        <v>1276</v>
      </c>
      <c r="I6284" s="403">
        <v>1</v>
      </c>
      <c r="J6284" s="403" t="s">
        <v>1444</v>
      </c>
      <c r="K6284" s="403">
        <v>1440</v>
      </c>
      <c r="L6284" s="403">
        <v>1440</v>
      </c>
      <c r="M6284" s="403" t="s">
        <v>1280</v>
      </c>
      <c r="N6284" s="403">
        <v>1440</v>
      </c>
      <c r="O6284" s="403">
        <v>1440</v>
      </c>
      <c r="P6284" t="str">
        <f t="shared" si="785"/>
        <v>25fps 1440x1440 - copy other stream</v>
      </c>
      <c r="Q6284">
        <f t="shared" si="786"/>
        <v>32</v>
      </c>
      <c r="R6284" t="str">
        <f t="shared" si="787"/>
        <v/>
      </c>
      <c r="S6284" t="str">
        <f t="shared" si="788"/>
        <v/>
      </c>
      <c r="T6284" s="403" t="str">
        <f t="shared" si="789"/>
        <v>NIN-70122-F0A</v>
      </c>
      <c r="U6284" s="403">
        <f t="shared" si="790"/>
        <v>1</v>
      </c>
      <c r="V6284" s="403" t="str">
        <f t="shared" si="791"/>
        <v>CPP_6</v>
      </c>
    </row>
    <row r="6285" spans="1:22">
      <c r="A6285" t="str">
        <f t="shared" si="784"/>
        <v>NIN-70122-F0A</v>
      </c>
      <c r="B6285" s="488" t="s">
        <v>1823</v>
      </c>
      <c r="C6285" s="403" t="s">
        <v>584</v>
      </c>
      <c r="D6285" s="403" t="s">
        <v>1440</v>
      </c>
      <c r="E6285" s="403" t="s">
        <v>1439</v>
      </c>
      <c r="F6285" s="403" t="s">
        <v>1447</v>
      </c>
      <c r="G6285" s="403" t="s">
        <v>1466</v>
      </c>
      <c r="H6285" s="403" t="s">
        <v>1276</v>
      </c>
      <c r="I6285" s="403">
        <v>1</v>
      </c>
      <c r="J6285" s="403" t="s">
        <v>1444</v>
      </c>
      <c r="K6285" s="403">
        <v>1440</v>
      </c>
      <c r="L6285" s="403">
        <v>1440</v>
      </c>
      <c r="M6285" s="403" t="s">
        <v>1444</v>
      </c>
      <c r="N6285" s="403">
        <v>1440</v>
      </c>
      <c r="O6285" s="403">
        <v>1440</v>
      </c>
      <c r="P6285" t="str">
        <f t="shared" si="785"/>
        <v>25fps 1440x1440 - 1440x1440</v>
      </c>
      <c r="Q6285">
        <f t="shared" si="786"/>
        <v>32</v>
      </c>
      <c r="R6285" t="str">
        <f t="shared" si="787"/>
        <v/>
      </c>
      <c r="S6285" t="str">
        <f t="shared" si="788"/>
        <v/>
      </c>
      <c r="T6285" s="403" t="str">
        <f t="shared" si="789"/>
        <v>NIN-70122-F0A</v>
      </c>
      <c r="U6285" s="403">
        <f t="shared" si="790"/>
        <v>1</v>
      </c>
      <c r="V6285" s="403" t="str">
        <f t="shared" si="791"/>
        <v>CPP_6</v>
      </c>
    </row>
    <row r="6286" spans="1:22">
      <c r="A6286" t="str">
        <f t="shared" si="784"/>
        <v>NIN-70122-F0A</v>
      </c>
      <c r="B6286" s="488" t="s">
        <v>1823</v>
      </c>
      <c r="C6286" s="403" t="s">
        <v>584</v>
      </c>
      <c r="D6286" s="403" t="s">
        <v>1440</v>
      </c>
      <c r="E6286" s="403" t="s">
        <v>1439</v>
      </c>
      <c r="F6286" s="403" t="s">
        <v>1447</v>
      </c>
      <c r="G6286" s="403" t="s">
        <v>1466</v>
      </c>
      <c r="H6286" s="403" t="s">
        <v>1276</v>
      </c>
      <c r="I6286" s="403">
        <v>1</v>
      </c>
      <c r="J6286" s="403" t="s">
        <v>1444</v>
      </c>
      <c r="K6286" s="403">
        <v>1440</v>
      </c>
      <c r="L6286" s="403">
        <v>1440</v>
      </c>
      <c r="M6286" s="403" t="s">
        <v>1446</v>
      </c>
      <c r="N6286" s="403">
        <v>800</v>
      </c>
      <c r="O6286" s="403">
        <v>800</v>
      </c>
      <c r="P6286" t="str">
        <f t="shared" si="785"/>
        <v>25fps 1440x1440 - 800x800</v>
      </c>
      <c r="Q6286">
        <f t="shared" si="786"/>
        <v>32</v>
      </c>
      <c r="R6286" t="str">
        <f t="shared" si="787"/>
        <v/>
      </c>
      <c r="S6286" t="str">
        <f t="shared" si="788"/>
        <v/>
      </c>
      <c r="T6286" s="403" t="str">
        <f t="shared" si="789"/>
        <v>NIN-70122-F0A</v>
      </c>
      <c r="U6286" s="403">
        <f t="shared" si="790"/>
        <v>1</v>
      </c>
      <c r="V6286" s="403" t="str">
        <f t="shared" si="791"/>
        <v>CPP_6</v>
      </c>
    </row>
    <row r="6287" spans="1:22">
      <c r="A6287" t="str">
        <f t="shared" si="784"/>
        <v>NIN-70122-F0A</v>
      </c>
      <c r="B6287" s="488" t="s">
        <v>1823</v>
      </c>
      <c r="C6287" s="403" t="s">
        <v>584</v>
      </c>
      <c r="D6287" s="403" t="s">
        <v>1440</v>
      </c>
      <c r="E6287" s="403" t="s">
        <v>1439</v>
      </c>
      <c r="F6287" s="403" t="s">
        <v>1448</v>
      </c>
      <c r="G6287" s="403" t="s">
        <v>1466</v>
      </c>
      <c r="H6287" s="403" t="s">
        <v>1276</v>
      </c>
      <c r="I6287" s="403">
        <v>1</v>
      </c>
      <c r="J6287" s="403" t="s">
        <v>1442</v>
      </c>
      <c r="K6287" s="403">
        <v>2640</v>
      </c>
      <c r="L6287" s="403">
        <v>2640</v>
      </c>
      <c r="M6287" s="403" t="s">
        <v>1280</v>
      </c>
      <c r="N6287" s="403">
        <v>2640</v>
      </c>
      <c r="O6287" s="403">
        <v>2640</v>
      </c>
      <c r="P6287" t="str">
        <f t="shared" si="785"/>
        <v>30fps 2640x2640 - copy other stream</v>
      </c>
      <c r="Q6287">
        <f t="shared" si="786"/>
        <v>32</v>
      </c>
      <c r="R6287" t="str">
        <f t="shared" si="787"/>
        <v/>
      </c>
      <c r="S6287" t="str">
        <f t="shared" si="788"/>
        <v/>
      </c>
      <c r="T6287" s="403" t="str">
        <f t="shared" si="789"/>
        <v>NIN-70122-F0A</v>
      </c>
      <c r="U6287" s="403">
        <f t="shared" si="790"/>
        <v>1</v>
      </c>
      <c r="V6287" s="403" t="str">
        <f t="shared" si="791"/>
        <v>CPP_6</v>
      </c>
    </row>
    <row r="6288" spans="1:22">
      <c r="A6288" t="str">
        <f t="shared" si="784"/>
        <v>NIN-70122-F0A</v>
      </c>
      <c r="B6288" s="488" t="s">
        <v>1823</v>
      </c>
      <c r="C6288" s="403" t="s">
        <v>584</v>
      </c>
      <c r="D6288" s="403" t="s">
        <v>1440</v>
      </c>
      <c r="E6288" s="403" t="s">
        <v>1439</v>
      </c>
      <c r="F6288" s="403" t="s">
        <v>1448</v>
      </c>
      <c r="G6288" s="403" t="s">
        <v>1466</v>
      </c>
      <c r="H6288" s="403" t="s">
        <v>1276</v>
      </c>
      <c r="I6288" s="403">
        <v>1</v>
      </c>
      <c r="J6288" s="403" t="s">
        <v>1442</v>
      </c>
      <c r="K6288" s="403">
        <v>2640</v>
      </c>
      <c r="L6288" s="403">
        <v>2640</v>
      </c>
      <c r="M6288" s="403" t="s">
        <v>1446</v>
      </c>
      <c r="N6288" s="403">
        <v>800</v>
      </c>
      <c r="O6288" s="403">
        <v>800</v>
      </c>
      <c r="P6288" t="str">
        <f t="shared" si="785"/>
        <v>30fps 2640x2640 - 800x800</v>
      </c>
      <c r="Q6288">
        <f t="shared" si="786"/>
        <v>32</v>
      </c>
      <c r="R6288" t="str">
        <f t="shared" si="787"/>
        <v/>
      </c>
      <c r="S6288" t="str">
        <f t="shared" si="788"/>
        <v/>
      </c>
      <c r="T6288" s="403" t="str">
        <f t="shared" si="789"/>
        <v>NIN-70122-F0A</v>
      </c>
      <c r="U6288" s="403">
        <f t="shared" si="790"/>
        <v>1</v>
      </c>
      <c r="V6288" s="403" t="str">
        <f t="shared" si="791"/>
        <v>CPP_6</v>
      </c>
    </row>
    <row r="6289" spans="1:22">
      <c r="A6289" t="str">
        <f t="shared" si="784"/>
        <v>NIN-70122-F0A</v>
      </c>
      <c r="B6289" s="488" t="s">
        <v>1823</v>
      </c>
      <c r="C6289" s="403" t="s">
        <v>584</v>
      </c>
      <c r="D6289" s="403" t="s">
        <v>1440</v>
      </c>
      <c r="E6289" s="403" t="s">
        <v>1439</v>
      </c>
      <c r="F6289" s="403" t="s">
        <v>1448</v>
      </c>
      <c r="G6289" s="403" t="s">
        <v>1466</v>
      </c>
      <c r="H6289" s="403" t="s">
        <v>1276</v>
      </c>
      <c r="I6289" s="403">
        <v>1</v>
      </c>
      <c r="J6289" s="403" t="s">
        <v>1444</v>
      </c>
      <c r="K6289" s="403">
        <v>1440</v>
      </c>
      <c r="L6289" s="403">
        <v>1440</v>
      </c>
      <c r="M6289" s="403" t="s">
        <v>1280</v>
      </c>
      <c r="N6289" s="403">
        <v>1440</v>
      </c>
      <c r="O6289" s="403">
        <v>1440</v>
      </c>
      <c r="P6289" t="str">
        <f t="shared" si="785"/>
        <v>30fps 1440x1440 - copy other stream</v>
      </c>
      <c r="Q6289">
        <f t="shared" si="786"/>
        <v>32</v>
      </c>
      <c r="R6289" t="str">
        <f t="shared" si="787"/>
        <v/>
      </c>
      <c r="S6289" t="str">
        <f t="shared" si="788"/>
        <v/>
      </c>
      <c r="T6289" s="403" t="str">
        <f t="shared" si="789"/>
        <v>NIN-70122-F0A</v>
      </c>
      <c r="U6289" s="403">
        <f t="shared" si="790"/>
        <v>1</v>
      </c>
      <c r="V6289" s="403" t="str">
        <f t="shared" si="791"/>
        <v>CPP_6</v>
      </c>
    </row>
    <row r="6290" spans="1:22">
      <c r="A6290" t="str">
        <f t="shared" si="784"/>
        <v>NIN-70122-F0A</v>
      </c>
      <c r="B6290" s="488" t="s">
        <v>1823</v>
      </c>
      <c r="C6290" s="403" t="s">
        <v>584</v>
      </c>
      <c r="D6290" s="403" t="s">
        <v>1440</v>
      </c>
      <c r="E6290" s="403" t="s">
        <v>1439</v>
      </c>
      <c r="F6290" s="403" t="s">
        <v>1448</v>
      </c>
      <c r="G6290" s="403" t="s">
        <v>1466</v>
      </c>
      <c r="H6290" s="403" t="s">
        <v>1276</v>
      </c>
      <c r="I6290" s="403">
        <v>1</v>
      </c>
      <c r="J6290" s="403" t="s">
        <v>1444</v>
      </c>
      <c r="K6290" s="403">
        <v>1440</v>
      </c>
      <c r="L6290" s="403">
        <v>1440</v>
      </c>
      <c r="M6290" s="403" t="s">
        <v>1444</v>
      </c>
      <c r="N6290" s="403">
        <v>1440</v>
      </c>
      <c r="O6290" s="403">
        <v>1440</v>
      </c>
      <c r="P6290" t="str">
        <f t="shared" si="785"/>
        <v>30fps 1440x1440 - 1440x1440</v>
      </c>
      <c r="Q6290">
        <f t="shared" si="786"/>
        <v>32</v>
      </c>
      <c r="R6290" t="str">
        <f t="shared" si="787"/>
        <v/>
      </c>
      <c r="S6290" t="str">
        <f t="shared" si="788"/>
        <v/>
      </c>
      <c r="T6290" s="403" t="str">
        <f t="shared" si="789"/>
        <v>NIN-70122-F0A</v>
      </c>
      <c r="U6290" s="403">
        <f t="shared" si="790"/>
        <v>1</v>
      </c>
      <c r="V6290" s="403" t="str">
        <f t="shared" si="791"/>
        <v>CPP_6</v>
      </c>
    </row>
    <row r="6291" spans="1:22">
      <c r="A6291" t="str">
        <f t="shared" si="784"/>
        <v>NIN-70122-F0A</v>
      </c>
      <c r="B6291" s="488" t="s">
        <v>1823</v>
      </c>
      <c r="C6291" s="403" t="s">
        <v>584</v>
      </c>
      <c r="D6291" s="403" t="s">
        <v>1440</v>
      </c>
      <c r="E6291" s="403" t="s">
        <v>1439</v>
      </c>
      <c r="F6291" s="403" t="s">
        <v>1448</v>
      </c>
      <c r="G6291" s="403" t="s">
        <v>1466</v>
      </c>
      <c r="H6291" s="403" t="s">
        <v>1276</v>
      </c>
      <c r="I6291" s="403">
        <v>1</v>
      </c>
      <c r="J6291" s="403" t="s">
        <v>1444</v>
      </c>
      <c r="K6291" s="403">
        <v>1440</v>
      </c>
      <c r="L6291" s="403">
        <v>1440</v>
      </c>
      <c r="M6291" s="403" t="s">
        <v>1446</v>
      </c>
      <c r="N6291" s="403">
        <v>800</v>
      </c>
      <c r="O6291" s="403">
        <v>800</v>
      </c>
      <c r="P6291" t="str">
        <f t="shared" si="785"/>
        <v>30fps 1440x1440 - 800x800</v>
      </c>
      <c r="Q6291">
        <f t="shared" si="786"/>
        <v>32</v>
      </c>
      <c r="R6291" t="str">
        <f t="shared" si="787"/>
        <v/>
      </c>
      <c r="S6291" t="str">
        <f t="shared" si="788"/>
        <v/>
      </c>
      <c r="T6291" s="403" t="str">
        <f t="shared" si="789"/>
        <v>NIN-70122-F0A</v>
      </c>
      <c r="U6291" s="403">
        <f t="shared" si="790"/>
        <v>1</v>
      </c>
      <c r="V6291" s="403" t="str">
        <f t="shared" si="791"/>
        <v>CPP_6</v>
      </c>
    </row>
    <row r="6292" spans="1:22">
      <c r="A6292" t="str">
        <f t="shared" si="784"/>
        <v>NIN-70122-F0A</v>
      </c>
      <c r="B6292" s="488" t="s">
        <v>1823</v>
      </c>
      <c r="C6292" s="403" t="s">
        <v>584</v>
      </c>
      <c r="D6292" s="403" t="s">
        <v>1440</v>
      </c>
      <c r="E6292" s="403" t="s">
        <v>1449</v>
      </c>
      <c r="F6292" s="403" t="s">
        <v>1441</v>
      </c>
      <c r="G6292" s="403" t="s">
        <v>1466</v>
      </c>
      <c r="H6292" s="403" t="s">
        <v>1276</v>
      </c>
      <c r="I6292" s="403">
        <v>1</v>
      </c>
      <c r="J6292" s="403" t="s">
        <v>1442</v>
      </c>
      <c r="K6292" s="403">
        <v>2640</v>
      </c>
      <c r="L6292" s="403">
        <v>2640</v>
      </c>
      <c r="M6292" s="403" t="s">
        <v>1280</v>
      </c>
      <c r="N6292" s="403">
        <v>2640</v>
      </c>
      <c r="O6292" s="403">
        <v>2640</v>
      </c>
      <c r="P6292" t="str">
        <f t="shared" si="785"/>
        <v>12fps 2640x2640 - copy other stream</v>
      </c>
      <c r="Q6292">
        <f t="shared" si="786"/>
        <v>32</v>
      </c>
      <c r="R6292" t="str">
        <f t="shared" si="787"/>
        <v/>
      </c>
      <c r="S6292" t="str">
        <f t="shared" si="788"/>
        <v/>
      </c>
      <c r="T6292" s="403" t="str">
        <f t="shared" si="789"/>
        <v>NIN-70122-F0A</v>
      </c>
      <c r="U6292" s="403">
        <f t="shared" si="790"/>
        <v>1</v>
      </c>
      <c r="V6292" s="403" t="str">
        <f t="shared" si="791"/>
        <v>CPP_6</v>
      </c>
    </row>
    <row r="6293" spans="1:22">
      <c r="A6293" t="str">
        <f t="shared" si="784"/>
        <v>NIN-70122-F0A</v>
      </c>
      <c r="B6293" s="488" t="s">
        <v>1823</v>
      </c>
      <c r="C6293" s="403" t="s">
        <v>584</v>
      </c>
      <c r="D6293" s="403" t="s">
        <v>1440</v>
      </c>
      <c r="E6293" s="403" t="s">
        <v>1449</v>
      </c>
      <c r="F6293" s="403" t="s">
        <v>1441</v>
      </c>
      <c r="G6293" s="403" t="s">
        <v>1466</v>
      </c>
      <c r="H6293" s="403" t="s">
        <v>1276</v>
      </c>
      <c r="I6293" s="403">
        <v>1</v>
      </c>
      <c r="J6293" s="403" t="s">
        <v>1442</v>
      </c>
      <c r="K6293" s="403">
        <v>2640</v>
      </c>
      <c r="L6293" s="403">
        <v>2640</v>
      </c>
      <c r="M6293" s="403" t="s">
        <v>1450</v>
      </c>
      <c r="N6293" s="403">
        <v>768</v>
      </c>
      <c r="O6293" s="403">
        <v>768</v>
      </c>
      <c r="P6293" t="str">
        <f t="shared" si="785"/>
        <v>12fps 2640x2640 - 768x768</v>
      </c>
      <c r="Q6293">
        <f t="shared" si="786"/>
        <v>32</v>
      </c>
      <c r="R6293" t="str">
        <f t="shared" si="787"/>
        <v/>
      </c>
      <c r="S6293" t="str">
        <f t="shared" si="788"/>
        <v/>
      </c>
      <c r="T6293" s="403" t="str">
        <f t="shared" si="789"/>
        <v>NIN-70122-F0A</v>
      </c>
      <c r="U6293" s="403">
        <f t="shared" si="790"/>
        <v>1</v>
      </c>
      <c r="V6293" s="403" t="str">
        <f t="shared" si="791"/>
        <v>CPP_6</v>
      </c>
    </row>
    <row r="6294" spans="1:22">
      <c r="A6294" t="str">
        <f t="shared" si="784"/>
        <v>NIN-70122-F0A</v>
      </c>
      <c r="B6294" s="488" t="s">
        <v>1823</v>
      </c>
      <c r="C6294" s="403" t="s">
        <v>584</v>
      </c>
      <c r="D6294" s="403" t="s">
        <v>1440</v>
      </c>
      <c r="E6294" s="403" t="s">
        <v>1449</v>
      </c>
      <c r="F6294" s="403" t="s">
        <v>1441</v>
      </c>
      <c r="G6294" s="403" t="s">
        <v>1466</v>
      </c>
      <c r="H6294" s="403" t="s">
        <v>1276</v>
      </c>
      <c r="I6294" s="403">
        <v>1</v>
      </c>
      <c r="J6294" s="403" t="s">
        <v>1444</v>
      </c>
      <c r="K6294" s="403">
        <v>1440</v>
      </c>
      <c r="L6294" s="403">
        <v>1440</v>
      </c>
      <c r="M6294" s="403" t="s">
        <v>1280</v>
      </c>
      <c r="N6294" s="403">
        <v>1440</v>
      </c>
      <c r="O6294" s="403">
        <v>1440</v>
      </c>
      <c r="P6294" t="str">
        <f t="shared" si="785"/>
        <v>12fps 1440x1440 - copy other stream</v>
      </c>
      <c r="Q6294">
        <f t="shared" si="786"/>
        <v>32</v>
      </c>
      <c r="R6294" t="str">
        <f t="shared" si="787"/>
        <v/>
      </c>
      <c r="S6294" t="str">
        <f t="shared" si="788"/>
        <v/>
      </c>
      <c r="T6294" s="403" t="str">
        <f t="shared" si="789"/>
        <v>NIN-70122-F0A</v>
      </c>
      <c r="U6294" s="403">
        <f t="shared" si="790"/>
        <v>1</v>
      </c>
      <c r="V6294" s="403" t="str">
        <f t="shared" si="791"/>
        <v>CPP_6</v>
      </c>
    </row>
    <row r="6295" spans="1:22">
      <c r="A6295" t="str">
        <f t="shared" si="784"/>
        <v>NIN-70122-F0A</v>
      </c>
      <c r="B6295" s="488" t="s">
        <v>1823</v>
      </c>
      <c r="C6295" s="403" t="s">
        <v>584</v>
      </c>
      <c r="D6295" s="403" t="s">
        <v>1440</v>
      </c>
      <c r="E6295" s="403" t="s">
        <v>1449</v>
      </c>
      <c r="F6295" s="403" t="s">
        <v>1441</v>
      </c>
      <c r="G6295" s="403" t="s">
        <v>1466</v>
      </c>
      <c r="H6295" s="403" t="s">
        <v>1276</v>
      </c>
      <c r="I6295" s="403">
        <v>1</v>
      </c>
      <c r="J6295" s="403" t="s">
        <v>1444</v>
      </c>
      <c r="K6295" s="403">
        <v>1440</v>
      </c>
      <c r="L6295" s="403">
        <v>1440</v>
      </c>
      <c r="M6295" s="403" t="s">
        <v>1450</v>
      </c>
      <c r="N6295" s="403">
        <v>768</v>
      </c>
      <c r="O6295" s="403">
        <v>768</v>
      </c>
      <c r="P6295" t="str">
        <f t="shared" si="785"/>
        <v>12fps 1440x1440 - 768x768</v>
      </c>
      <c r="Q6295">
        <f t="shared" si="786"/>
        <v>32</v>
      </c>
      <c r="R6295" t="str">
        <f t="shared" si="787"/>
        <v/>
      </c>
      <c r="S6295" t="str">
        <f t="shared" si="788"/>
        <v/>
      </c>
      <c r="T6295" s="403" t="str">
        <f t="shared" si="789"/>
        <v>NIN-70122-F0A</v>
      </c>
      <c r="U6295" s="403">
        <f t="shared" si="790"/>
        <v>1</v>
      </c>
      <c r="V6295" s="403" t="str">
        <f t="shared" si="791"/>
        <v>CPP_6</v>
      </c>
    </row>
    <row r="6296" spans="1:22">
      <c r="A6296" t="str">
        <f t="shared" si="784"/>
        <v>NIN-70122-F0A</v>
      </c>
      <c r="B6296" s="488" t="s">
        <v>1823</v>
      </c>
      <c r="C6296" s="403" t="s">
        <v>584</v>
      </c>
      <c r="D6296" s="403" t="s">
        <v>1440</v>
      </c>
      <c r="E6296" s="403" t="s">
        <v>1449</v>
      </c>
      <c r="F6296" s="403" t="s">
        <v>1441</v>
      </c>
      <c r="G6296" s="403" t="s">
        <v>1466</v>
      </c>
      <c r="H6296" s="403" t="s">
        <v>1276</v>
      </c>
      <c r="I6296" s="403">
        <v>2</v>
      </c>
      <c r="J6296" s="403" t="s">
        <v>1451</v>
      </c>
      <c r="K6296" s="403">
        <v>1536</v>
      </c>
      <c r="L6296" s="403">
        <v>864</v>
      </c>
      <c r="M6296" s="403" t="s">
        <v>1280</v>
      </c>
      <c r="N6296" s="403">
        <v>1536</v>
      </c>
      <c r="O6296" s="403">
        <v>864</v>
      </c>
      <c r="P6296" t="str">
        <f t="shared" si="785"/>
        <v>12fps 1536x864 - copy other stream</v>
      </c>
      <c r="Q6296">
        <f t="shared" si="786"/>
        <v>32</v>
      </c>
      <c r="R6296" t="str">
        <f t="shared" si="787"/>
        <v/>
      </c>
      <c r="S6296" t="str">
        <f t="shared" si="788"/>
        <v/>
      </c>
      <c r="T6296" s="403" t="str">
        <f t="shared" si="789"/>
        <v>NIN-70122-F0A</v>
      </c>
      <c r="U6296" s="403">
        <f t="shared" si="790"/>
        <v>2</v>
      </c>
      <c r="V6296" s="403" t="str">
        <f t="shared" si="791"/>
        <v>CPP_6</v>
      </c>
    </row>
    <row r="6297" spans="1:22">
      <c r="A6297" t="str">
        <f t="shared" si="784"/>
        <v>NIN-70122-F0A</v>
      </c>
      <c r="B6297" s="488" t="s">
        <v>1823</v>
      </c>
      <c r="C6297" s="403" t="s">
        <v>584</v>
      </c>
      <c r="D6297" s="403" t="s">
        <v>1440</v>
      </c>
      <c r="E6297" s="403" t="s">
        <v>1449</v>
      </c>
      <c r="F6297" s="403" t="s">
        <v>1441</v>
      </c>
      <c r="G6297" s="403" t="s">
        <v>1466</v>
      </c>
      <c r="H6297" s="403" t="s">
        <v>1276</v>
      </c>
      <c r="I6297" s="403">
        <v>2</v>
      </c>
      <c r="J6297" s="403" t="s">
        <v>1451</v>
      </c>
      <c r="K6297" s="403">
        <v>1536</v>
      </c>
      <c r="L6297" s="403">
        <v>864</v>
      </c>
      <c r="M6297" s="403" t="s">
        <v>111</v>
      </c>
      <c r="N6297" s="403">
        <v>768</v>
      </c>
      <c r="O6297" s="403">
        <v>432</v>
      </c>
      <c r="P6297" t="str">
        <f t="shared" si="785"/>
        <v>12fps 1536x864 - SD</v>
      </c>
      <c r="Q6297">
        <f t="shared" si="786"/>
        <v>32</v>
      </c>
      <c r="R6297" t="str">
        <f t="shared" si="787"/>
        <v/>
      </c>
      <c r="S6297" t="str">
        <f t="shared" si="788"/>
        <v/>
      </c>
      <c r="T6297" s="403" t="str">
        <f t="shared" si="789"/>
        <v>NIN-70122-F0A</v>
      </c>
      <c r="U6297" s="403">
        <f t="shared" si="790"/>
        <v>2</v>
      </c>
      <c r="V6297" s="403" t="str">
        <f t="shared" si="791"/>
        <v>CPP_6</v>
      </c>
    </row>
    <row r="6298" spans="1:22">
      <c r="A6298" t="str">
        <f t="shared" si="784"/>
        <v>NIN-70122-F0A</v>
      </c>
      <c r="B6298" s="488" t="s">
        <v>1823</v>
      </c>
      <c r="C6298" s="403" t="s">
        <v>584</v>
      </c>
      <c r="D6298" s="403" t="s">
        <v>1440</v>
      </c>
      <c r="E6298" s="403" t="s">
        <v>1449</v>
      </c>
      <c r="F6298" s="403" t="s">
        <v>1441</v>
      </c>
      <c r="G6298" s="403" t="s">
        <v>1466</v>
      </c>
      <c r="H6298" s="403" t="s">
        <v>1276</v>
      </c>
      <c r="I6298" s="403">
        <v>3</v>
      </c>
      <c r="J6298" s="403" t="s">
        <v>109</v>
      </c>
      <c r="K6298" s="403">
        <v>1280</v>
      </c>
      <c r="L6298" s="403">
        <v>720</v>
      </c>
      <c r="M6298" s="403" t="s">
        <v>1280</v>
      </c>
      <c r="N6298" s="403">
        <v>1280</v>
      </c>
      <c r="O6298" s="403">
        <v>720</v>
      </c>
      <c r="P6298" t="str">
        <f t="shared" si="785"/>
        <v>12fps 720p - copy other stream</v>
      </c>
      <c r="Q6298">
        <f t="shared" si="786"/>
        <v>32</v>
      </c>
      <c r="R6298" t="str">
        <f t="shared" si="787"/>
        <v/>
      </c>
      <c r="S6298" t="str">
        <f t="shared" si="788"/>
        <v/>
      </c>
      <c r="T6298" s="403" t="str">
        <f t="shared" si="789"/>
        <v>NIN-70122-F0A</v>
      </c>
      <c r="U6298" s="403">
        <f t="shared" si="790"/>
        <v>3</v>
      </c>
      <c r="V6298" s="403" t="str">
        <f t="shared" si="791"/>
        <v>CPP_6</v>
      </c>
    </row>
    <row r="6299" spans="1:22">
      <c r="A6299" t="str">
        <f t="shared" si="784"/>
        <v>NIN-70122-F0A</v>
      </c>
      <c r="B6299" s="488" t="s">
        <v>1823</v>
      </c>
      <c r="C6299" s="403" t="s">
        <v>584</v>
      </c>
      <c r="D6299" s="403" t="s">
        <v>1440</v>
      </c>
      <c r="E6299" s="403" t="s">
        <v>1449</v>
      </c>
      <c r="F6299" s="403" t="s">
        <v>1441</v>
      </c>
      <c r="G6299" s="403" t="s">
        <v>1466</v>
      </c>
      <c r="H6299" s="403" t="s">
        <v>1276</v>
      </c>
      <c r="I6299" s="403">
        <v>3</v>
      </c>
      <c r="J6299" s="403" t="s">
        <v>109</v>
      </c>
      <c r="K6299" s="403">
        <v>1280</v>
      </c>
      <c r="L6299" s="403">
        <v>720</v>
      </c>
      <c r="M6299" s="403" t="s">
        <v>111</v>
      </c>
      <c r="N6299" s="403">
        <v>768</v>
      </c>
      <c r="O6299" s="403">
        <v>432</v>
      </c>
      <c r="P6299" t="str">
        <f t="shared" si="785"/>
        <v>12fps 720p - SD</v>
      </c>
      <c r="Q6299">
        <f t="shared" si="786"/>
        <v>32</v>
      </c>
      <c r="R6299" t="str">
        <f t="shared" si="787"/>
        <v/>
      </c>
      <c r="S6299" t="str">
        <f t="shared" si="788"/>
        <v/>
      </c>
      <c r="T6299" s="403" t="str">
        <f t="shared" si="789"/>
        <v>NIN-70122-F0A</v>
      </c>
      <c r="U6299" s="403">
        <f t="shared" si="790"/>
        <v>3</v>
      </c>
      <c r="V6299" s="403" t="str">
        <f t="shared" si="791"/>
        <v>CPP_6</v>
      </c>
    </row>
    <row r="6300" spans="1:22">
      <c r="A6300" t="str">
        <f t="shared" si="784"/>
        <v>NIN-70122-F1A</v>
      </c>
      <c r="B6300" s="488" t="s">
        <v>1824</v>
      </c>
      <c r="C6300" s="403" t="s">
        <v>584</v>
      </c>
      <c r="D6300" s="403" t="s">
        <v>1452</v>
      </c>
      <c r="E6300" s="403" t="s">
        <v>778</v>
      </c>
      <c r="F6300" s="403" t="s">
        <v>1453</v>
      </c>
      <c r="G6300" s="403" t="s">
        <v>1466</v>
      </c>
      <c r="H6300" s="403" t="s">
        <v>1276</v>
      </c>
      <c r="I6300" s="403">
        <v>1</v>
      </c>
      <c r="J6300" s="403" t="s">
        <v>1454</v>
      </c>
      <c r="K6300" s="403">
        <v>3648</v>
      </c>
      <c r="L6300" s="403">
        <v>2160</v>
      </c>
      <c r="M6300" s="403" t="s">
        <v>1280</v>
      </c>
      <c r="N6300" s="403">
        <v>3648</v>
      </c>
      <c r="O6300" s="403">
        <v>2160</v>
      </c>
      <c r="P6300" t="str">
        <f t="shared" si="785"/>
        <v>12fps 3648x2160 - copy other stream</v>
      </c>
      <c r="Q6300">
        <f t="shared" si="786"/>
        <v>33</v>
      </c>
      <c r="R6300">
        <f t="shared" si="787"/>
        <v>33</v>
      </c>
      <c r="S6300" t="str">
        <f t="shared" si="788"/>
        <v>FLEXIDOME IP panoramic 7000 MP (180) (NIN-70122-F1A)</v>
      </c>
      <c r="T6300" s="403" t="str">
        <f t="shared" si="789"/>
        <v>NIN-70122-F1A</v>
      </c>
      <c r="U6300" s="403">
        <f t="shared" si="790"/>
        <v>1</v>
      </c>
      <c r="V6300" s="403" t="str">
        <f t="shared" si="791"/>
        <v>CPP_6</v>
      </c>
    </row>
    <row r="6301" spans="1:22">
      <c r="A6301" t="str">
        <f t="shared" si="784"/>
        <v>NIN-70122-F1A</v>
      </c>
      <c r="B6301" s="488" t="s">
        <v>1824</v>
      </c>
      <c r="C6301" s="403" t="s">
        <v>584</v>
      </c>
      <c r="D6301" s="403" t="s">
        <v>1452</v>
      </c>
      <c r="E6301" s="403" t="s">
        <v>778</v>
      </c>
      <c r="F6301" s="403" t="s">
        <v>1453</v>
      </c>
      <c r="G6301" s="403" t="s">
        <v>1466</v>
      </c>
      <c r="H6301" s="403" t="s">
        <v>1276</v>
      </c>
      <c r="I6301" s="403">
        <v>1</v>
      </c>
      <c r="J6301" s="403" t="s">
        <v>1454</v>
      </c>
      <c r="K6301" s="403">
        <v>3648</v>
      </c>
      <c r="L6301" s="403">
        <v>2160</v>
      </c>
      <c r="M6301" s="403" t="s">
        <v>1454</v>
      </c>
      <c r="N6301" s="403">
        <v>3648</v>
      </c>
      <c r="O6301" s="403">
        <v>2160</v>
      </c>
      <c r="P6301" t="str">
        <f t="shared" si="785"/>
        <v>12fps 3648x2160 - 3648x2160</v>
      </c>
      <c r="Q6301">
        <f t="shared" si="786"/>
        <v>33</v>
      </c>
      <c r="R6301" t="str">
        <f t="shared" si="787"/>
        <v/>
      </c>
      <c r="S6301" t="str">
        <f t="shared" si="788"/>
        <v/>
      </c>
      <c r="T6301" s="403" t="str">
        <f t="shared" si="789"/>
        <v>NIN-70122-F1A</v>
      </c>
      <c r="U6301" s="403">
        <f t="shared" si="790"/>
        <v>1</v>
      </c>
      <c r="V6301" s="403" t="str">
        <f t="shared" si="791"/>
        <v>CPP_6</v>
      </c>
    </row>
    <row r="6302" spans="1:22">
      <c r="A6302" t="str">
        <f t="shared" si="784"/>
        <v>NIN-70122-F1A</v>
      </c>
      <c r="B6302" s="488" t="s">
        <v>1824</v>
      </c>
      <c r="C6302" s="403" t="s">
        <v>584</v>
      </c>
      <c r="D6302" s="403" t="s">
        <v>1452</v>
      </c>
      <c r="E6302" s="403" t="s">
        <v>778</v>
      </c>
      <c r="F6302" s="403" t="s">
        <v>1453</v>
      </c>
      <c r="G6302" s="403" t="s">
        <v>1466</v>
      </c>
      <c r="H6302" s="403" t="s">
        <v>1276</v>
      </c>
      <c r="I6302" s="403">
        <v>1</v>
      </c>
      <c r="J6302" s="403" t="s">
        <v>1454</v>
      </c>
      <c r="K6302" s="403">
        <v>3648</v>
      </c>
      <c r="L6302" s="403">
        <v>2160</v>
      </c>
      <c r="M6302" s="403" t="s">
        <v>1455</v>
      </c>
      <c r="N6302" s="403">
        <v>1824</v>
      </c>
      <c r="O6302" s="403">
        <v>1080</v>
      </c>
      <c r="P6302" t="str">
        <f t="shared" si="785"/>
        <v>12fps 3648x2160 - 1824x1080</v>
      </c>
      <c r="Q6302">
        <f t="shared" si="786"/>
        <v>33</v>
      </c>
      <c r="R6302" t="str">
        <f t="shared" si="787"/>
        <v/>
      </c>
      <c r="S6302" t="str">
        <f t="shared" si="788"/>
        <v/>
      </c>
      <c r="T6302" s="403" t="str">
        <f t="shared" si="789"/>
        <v>NIN-70122-F1A</v>
      </c>
      <c r="U6302" s="403">
        <f t="shared" si="790"/>
        <v>1</v>
      </c>
      <c r="V6302" s="403" t="str">
        <f t="shared" si="791"/>
        <v>CPP_6</v>
      </c>
    </row>
    <row r="6303" spans="1:22">
      <c r="A6303" t="str">
        <f t="shared" si="784"/>
        <v>NIN-70122-F1A</v>
      </c>
      <c r="B6303" s="488" t="s">
        <v>1824</v>
      </c>
      <c r="C6303" s="403" t="s">
        <v>584</v>
      </c>
      <c r="D6303" s="403" t="s">
        <v>1452</v>
      </c>
      <c r="E6303" s="403" t="s">
        <v>778</v>
      </c>
      <c r="F6303" s="403" t="s">
        <v>1453</v>
      </c>
      <c r="G6303" s="403" t="s">
        <v>1466</v>
      </c>
      <c r="H6303" s="403" t="s">
        <v>1276</v>
      </c>
      <c r="I6303" s="403">
        <v>1</v>
      </c>
      <c r="J6303" s="403" t="s">
        <v>1454</v>
      </c>
      <c r="K6303" s="403">
        <v>3648</v>
      </c>
      <c r="L6303" s="403">
        <v>2160</v>
      </c>
      <c r="M6303" s="403" t="s">
        <v>1456</v>
      </c>
      <c r="N6303" s="403">
        <v>1216</v>
      </c>
      <c r="O6303" s="403">
        <v>720</v>
      </c>
      <c r="P6303" t="str">
        <f t="shared" si="785"/>
        <v>12fps 3648x2160 - 1216x720</v>
      </c>
      <c r="Q6303">
        <f t="shared" si="786"/>
        <v>33</v>
      </c>
      <c r="R6303" t="str">
        <f t="shared" si="787"/>
        <v/>
      </c>
      <c r="S6303" t="str">
        <f t="shared" si="788"/>
        <v/>
      </c>
      <c r="T6303" s="403" t="str">
        <f t="shared" si="789"/>
        <v>NIN-70122-F1A</v>
      </c>
      <c r="U6303" s="403">
        <f t="shared" si="790"/>
        <v>1</v>
      </c>
      <c r="V6303" s="403" t="str">
        <f t="shared" si="791"/>
        <v>CPP_6</v>
      </c>
    </row>
    <row r="6304" spans="1:22">
      <c r="A6304" t="str">
        <f t="shared" si="784"/>
        <v>NIN-70122-F1A</v>
      </c>
      <c r="B6304" s="488" t="s">
        <v>1824</v>
      </c>
      <c r="C6304" s="403" t="s">
        <v>584</v>
      </c>
      <c r="D6304" s="403" t="s">
        <v>1452</v>
      </c>
      <c r="E6304" s="403" t="s">
        <v>778</v>
      </c>
      <c r="F6304" s="403" t="s">
        <v>1453</v>
      </c>
      <c r="G6304" s="403" t="s">
        <v>1466</v>
      </c>
      <c r="H6304" s="403" t="s">
        <v>1276</v>
      </c>
      <c r="I6304" s="403">
        <v>1</v>
      </c>
      <c r="J6304" s="403" t="s">
        <v>1454</v>
      </c>
      <c r="K6304" s="403">
        <v>3648</v>
      </c>
      <c r="L6304" s="403">
        <v>2160</v>
      </c>
      <c r="M6304" s="403" t="s">
        <v>1457</v>
      </c>
      <c r="N6304" s="403">
        <v>608</v>
      </c>
      <c r="O6304" s="403">
        <v>360</v>
      </c>
      <c r="P6304" t="str">
        <f t="shared" si="785"/>
        <v>12fps 3648x2160 - 608x360</v>
      </c>
      <c r="Q6304">
        <f t="shared" si="786"/>
        <v>33</v>
      </c>
      <c r="R6304" t="str">
        <f t="shared" si="787"/>
        <v/>
      </c>
      <c r="S6304" t="str">
        <f t="shared" si="788"/>
        <v/>
      </c>
      <c r="T6304" s="403" t="str">
        <f t="shared" si="789"/>
        <v>NIN-70122-F1A</v>
      </c>
      <c r="U6304" s="403">
        <f t="shared" si="790"/>
        <v>1</v>
      </c>
      <c r="V6304" s="403" t="str">
        <f t="shared" si="791"/>
        <v>CPP_6</v>
      </c>
    </row>
    <row r="6305" spans="1:22">
      <c r="A6305" t="str">
        <f t="shared" si="784"/>
        <v>NIN-70122-F1A</v>
      </c>
      <c r="B6305" s="488" t="s">
        <v>1824</v>
      </c>
      <c r="C6305" s="403" t="s">
        <v>584</v>
      </c>
      <c r="D6305" s="403" t="s">
        <v>1452</v>
      </c>
      <c r="E6305" s="403" t="s">
        <v>778</v>
      </c>
      <c r="F6305" s="403" t="s">
        <v>1325</v>
      </c>
      <c r="G6305" s="403" t="s">
        <v>1466</v>
      </c>
      <c r="H6305" s="403" t="s">
        <v>1276</v>
      </c>
      <c r="I6305" s="403">
        <v>1</v>
      </c>
      <c r="J6305" s="403" t="s">
        <v>1454</v>
      </c>
      <c r="K6305" s="403">
        <v>3648</v>
      </c>
      <c r="L6305" s="403">
        <v>2160</v>
      </c>
      <c r="M6305" s="403" t="s">
        <v>1280</v>
      </c>
      <c r="N6305" s="403">
        <v>3648</v>
      </c>
      <c r="O6305" s="403">
        <v>2160</v>
      </c>
      <c r="P6305" t="str">
        <f t="shared" si="785"/>
        <v>25fps 3648x2160 - copy other stream</v>
      </c>
      <c r="Q6305">
        <f t="shared" si="786"/>
        <v>33</v>
      </c>
      <c r="R6305" t="str">
        <f t="shared" si="787"/>
        <v/>
      </c>
      <c r="S6305" t="str">
        <f t="shared" si="788"/>
        <v/>
      </c>
      <c r="T6305" s="403" t="str">
        <f t="shared" si="789"/>
        <v>NIN-70122-F1A</v>
      </c>
      <c r="U6305" s="403">
        <f t="shared" si="790"/>
        <v>1</v>
      </c>
      <c r="V6305" s="403" t="str">
        <f t="shared" si="791"/>
        <v>CPP_6</v>
      </c>
    </row>
    <row r="6306" spans="1:22">
      <c r="A6306" t="str">
        <f t="shared" si="784"/>
        <v>NIN-70122-F1A</v>
      </c>
      <c r="B6306" s="488" t="s">
        <v>1824</v>
      </c>
      <c r="C6306" s="403" t="s">
        <v>584</v>
      </c>
      <c r="D6306" s="403" t="s">
        <v>1452</v>
      </c>
      <c r="E6306" s="403" t="s">
        <v>778</v>
      </c>
      <c r="F6306" s="403" t="s">
        <v>1323</v>
      </c>
      <c r="G6306" s="403" t="s">
        <v>1466</v>
      </c>
      <c r="H6306" s="403" t="s">
        <v>1276</v>
      </c>
      <c r="I6306" s="403">
        <v>1</v>
      </c>
      <c r="J6306" s="403" t="s">
        <v>1454</v>
      </c>
      <c r="K6306" s="403">
        <v>3648</v>
      </c>
      <c r="L6306" s="403">
        <v>2160</v>
      </c>
      <c r="M6306" s="403" t="s">
        <v>1280</v>
      </c>
      <c r="N6306" s="403">
        <v>3648</v>
      </c>
      <c r="O6306" s="403">
        <v>2160</v>
      </c>
      <c r="P6306" t="str">
        <f t="shared" si="785"/>
        <v>30fps 3648x2160 - copy other stream</v>
      </c>
      <c r="Q6306">
        <f t="shared" si="786"/>
        <v>33</v>
      </c>
      <c r="R6306" t="str">
        <f t="shared" si="787"/>
        <v/>
      </c>
      <c r="S6306" t="str">
        <f t="shared" si="788"/>
        <v/>
      </c>
      <c r="T6306" s="403" t="str">
        <f t="shared" si="789"/>
        <v>NIN-70122-F1A</v>
      </c>
      <c r="U6306" s="403">
        <f t="shared" si="790"/>
        <v>1</v>
      </c>
      <c r="V6306" s="403" t="str">
        <f t="shared" si="791"/>
        <v>CPP_6</v>
      </c>
    </row>
    <row r="6307" spans="1:22">
      <c r="A6307" t="str">
        <f t="shared" si="784"/>
        <v>NIN-70122-F1A</v>
      </c>
      <c r="B6307" s="488" t="s">
        <v>1824</v>
      </c>
      <c r="C6307" s="403" t="s">
        <v>584</v>
      </c>
      <c r="D6307" s="403" t="s">
        <v>1452</v>
      </c>
      <c r="E6307" s="403" t="s">
        <v>778</v>
      </c>
      <c r="F6307" s="403" t="s">
        <v>1453</v>
      </c>
      <c r="G6307" s="403" t="s">
        <v>1466</v>
      </c>
      <c r="H6307" s="403" t="s">
        <v>1276</v>
      </c>
      <c r="I6307" s="403">
        <v>1</v>
      </c>
      <c r="J6307" s="403" t="s">
        <v>1454</v>
      </c>
      <c r="K6307" s="403">
        <v>3648</v>
      </c>
      <c r="L6307" s="403">
        <v>2160</v>
      </c>
      <c r="M6307" s="403" t="s">
        <v>1280</v>
      </c>
      <c r="N6307" s="403">
        <v>3648</v>
      </c>
      <c r="O6307" s="403">
        <v>2160</v>
      </c>
      <c r="P6307" t="str">
        <f t="shared" si="785"/>
        <v>12fps 3648x2160 - copy other stream</v>
      </c>
      <c r="Q6307">
        <f t="shared" si="786"/>
        <v>33</v>
      </c>
      <c r="R6307" t="str">
        <f t="shared" si="787"/>
        <v/>
      </c>
      <c r="S6307" t="str">
        <f t="shared" si="788"/>
        <v/>
      </c>
      <c r="T6307" s="403" t="str">
        <f t="shared" si="789"/>
        <v>NIN-70122-F1A</v>
      </c>
      <c r="U6307" s="403">
        <f t="shared" si="790"/>
        <v>1</v>
      </c>
      <c r="V6307" s="403" t="str">
        <f t="shared" si="791"/>
        <v>CPP_6</v>
      </c>
    </row>
    <row r="6308" spans="1:22">
      <c r="A6308" t="str">
        <f t="shared" si="784"/>
        <v>NIN-70122-F1A</v>
      </c>
      <c r="B6308" s="488" t="s">
        <v>1824</v>
      </c>
      <c r="C6308" s="403" t="s">
        <v>584</v>
      </c>
      <c r="D6308" s="403" t="s">
        <v>1452</v>
      </c>
      <c r="E6308" s="403" t="s">
        <v>778</v>
      </c>
      <c r="F6308" s="403" t="s">
        <v>1453</v>
      </c>
      <c r="G6308" s="403" t="s">
        <v>1466</v>
      </c>
      <c r="H6308" s="403" t="s">
        <v>1276</v>
      </c>
      <c r="I6308" s="403">
        <v>2</v>
      </c>
      <c r="J6308" s="403" t="s">
        <v>1458</v>
      </c>
      <c r="K6308" s="403">
        <v>2048</v>
      </c>
      <c r="L6308" s="403">
        <v>1152</v>
      </c>
      <c r="M6308" s="403" t="s">
        <v>1280</v>
      </c>
      <c r="N6308" s="403">
        <v>2048</v>
      </c>
      <c r="O6308" s="403">
        <v>1152</v>
      </c>
      <c r="P6308" t="str">
        <f t="shared" si="785"/>
        <v>12fps 2048x1152 - copy other stream</v>
      </c>
      <c r="Q6308">
        <f t="shared" si="786"/>
        <v>33</v>
      </c>
      <c r="R6308" t="str">
        <f t="shared" si="787"/>
        <v/>
      </c>
      <c r="S6308" t="str">
        <f t="shared" si="788"/>
        <v/>
      </c>
      <c r="T6308" s="403" t="str">
        <f t="shared" si="789"/>
        <v>NIN-70122-F1A</v>
      </c>
      <c r="U6308" s="403">
        <f t="shared" si="790"/>
        <v>2</v>
      </c>
      <c r="V6308" s="403" t="str">
        <f t="shared" si="791"/>
        <v>CPP_6</v>
      </c>
    </row>
    <row r="6309" spans="1:22">
      <c r="A6309" t="str">
        <f t="shared" si="784"/>
        <v>NIN-70122-F1A</v>
      </c>
      <c r="B6309" s="488" t="s">
        <v>1824</v>
      </c>
      <c r="C6309" s="403" t="s">
        <v>584</v>
      </c>
      <c r="D6309" s="403" t="s">
        <v>1452</v>
      </c>
      <c r="E6309" s="403" t="s">
        <v>778</v>
      </c>
      <c r="F6309" s="403" t="s">
        <v>1453</v>
      </c>
      <c r="G6309" s="403" t="s">
        <v>1466</v>
      </c>
      <c r="H6309" s="403" t="s">
        <v>1276</v>
      </c>
      <c r="I6309" s="403">
        <v>2</v>
      </c>
      <c r="J6309" s="403" t="s">
        <v>1458</v>
      </c>
      <c r="K6309" s="403">
        <v>2048</v>
      </c>
      <c r="L6309" s="403">
        <v>1152</v>
      </c>
      <c r="M6309" s="403" t="s">
        <v>111</v>
      </c>
      <c r="N6309" s="403">
        <v>768</v>
      </c>
      <c r="O6309" s="403">
        <v>432</v>
      </c>
      <c r="P6309" t="str">
        <f t="shared" si="785"/>
        <v>12fps 2048x1152 - SD</v>
      </c>
      <c r="Q6309">
        <f t="shared" si="786"/>
        <v>33</v>
      </c>
      <c r="R6309" t="str">
        <f t="shared" si="787"/>
        <v/>
      </c>
      <c r="S6309" t="str">
        <f t="shared" si="788"/>
        <v/>
      </c>
      <c r="T6309" s="403" t="str">
        <f t="shared" si="789"/>
        <v>NIN-70122-F1A</v>
      </c>
      <c r="U6309" s="403">
        <f t="shared" si="790"/>
        <v>2</v>
      </c>
      <c r="V6309" s="403" t="str">
        <f t="shared" si="791"/>
        <v>CPP_6</v>
      </c>
    </row>
    <row r="6310" spans="1:22">
      <c r="A6310" t="str">
        <f t="shared" si="784"/>
        <v>NIN-70122-F1A</v>
      </c>
      <c r="B6310" s="488" t="s">
        <v>1824</v>
      </c>
      <c r="C6310" s="403" t="s">
        <v>584</v>
      </c>
      <c r="D6310" s="403" t="s">
        <v>1452</v>
      </c>
      <c r="E6310" s="403" t="s">
        <v>778</v>
      </c>
      <c r="F6310" s="403" t="s">
        <v>1453</v>
      </c>
      <c r="G6310" s="403" t="s">
        <v>1466</v>
      </c>
      <c r="H6310" s="403" t="s">
        <v>1276</v>
      </c>
      <c r="I6310" s="403">
        <v>3</v>
      </c>
      <c r="J6310" s="403" t="s">
        <v>109</v>
      </c>
      <c r="K6310" s="403">
        <v>1280</v>
      </c>
      <c r="L6310" s="403">
        <v>720</v>
      </c>
      <c r="M6310" s="403" t="s">
        <v>1280</v>
      </c>
      <c r="N6310" s="403">
        <v>1280</v>
      </c>
      <c r="O6310" s="403">
        <v>720</v>
      </c>
      <c r="P6310" t="str">
        <f t="shared" si="785"/>
        <v>12fps 720p - copy other stream</v>
      </c>
      <c r="Q6310">
        <f t="shared" si="786"/>
        <v>33</v>
      </c>
      <c r="R6310" t="str">
        <f t="shared" si="787"/>
        <v/>
      </c>
      <c r="S6310" t="str">
        <f t="shared" si="788"/>
        <v/>
      </c>
      <c r="T6310" s="403" t="str">
        <f t="shared" si="789"/>
        <v>NIN-70122-F1A</v>
      </c>
      <c r="U6310" s="403">
        <f t="shared" si="790"/>
        <v>3</v>
      </c>
      <c r="V6310" s="403" t="str">
        <f t="shared" si="791"/>
        <v>CPP_6</v>
      </c>
    </row>
    <row r="6311" spans="1:22">
      <c r="A6311" t="str">
        <f t="shared" si="784"/>
        <v>NIN-70122-F1A</v>
      </c>
      <c r="B6311" s="488" t="s">
        <v>1824</v>
      </c>
      <c r="C6311" s="403" t="s">
        <v>584</v>
      </c>
      <c r="D6311" s="403" t="s">
        <v>1452</v>
      </c>
      <c r="E6311" s="403" t="s">
        <v>778</v>
      </c>
      <c r="F6311" s="403" t="s">
        <v>1453</v>
      </c>
      <c r="G6311" s="403" t="s">
        <v>1466</v>
      </c>
      <c r="H6311" s="403" t="s">
        <v>1276</v>
      </c>
      <c r="I6311" s="403">
        <v>3</v>
      </c>
      <c r="J6311" s="403" t="s">
        <v>109</v>
      </c>
      <c r="K6311" s="403">
        <v>1280</v>
      </c>
      <c r="L6311" s="403">
        <v>720</v>
      </c>
      <c r="M6311" s="403" t="s">
        <v>111</v>
      </c>
      <c r="N6311" s="403">
        <v>768</v>
      </c>
      <c r="O6311" s="403">
        <v>432</v>
      </c>
      <c r="P6311" t="str">
        <f t="shared" si="785"/>
        <v>12fps 720p - SD</v>
      </c>
      <c r="Q6311">
        <f t="shared" si="786"/>
        <v>33</v>
      </c>
      <c r="R6311" t="str">
        <f t="shared" si="787"/>
        <v/>
      </c>
      <c r="S6311" t="str">
        <f t="shared" si="788"/>
        <v/>
      </c>
      <c r="T6311" s="403" t="str">
        <f t="shared" si="789"/>
        <v>NIN-70122-F1A</v>
      </c>
      <c r="U6311" s="403">
        <f t="shared" si="790"/>
        <v>3</v>
      </c>
      <c r="V6311" s="403" t="str">
        <f t="shared" si="791"/>
        <v>CPP_6</v>
      </c>
    </row>
    <row r="6312" spans="1:22">
      <c r="A6312" t="str">
        <f t="shared" si="784"/>
        <v>NFN-60122-F2</v>
      </c>
      <c r="B6312" s="488" t="s">
        <v>1825</v>
      </c>
      <c r="C6312" s="403" t="s">
        <v>584</v>
      </c>
      <c r="D6312" s="488" t="s">
        <v>1829</v>
      </c>
      <c r="E6312" s="403" t="s">
        <v>1827</v>
      </c>
      <c r="F6312" s="403" t="s">
        <v>1441</v>
      </c>
      <c r="G6312" s="403" t="s">
        <v>1466</v>
      </c>
      <c r="H6312" s="403" t="s">
        <v>1276</v>
      </c>
      <c r="I6312" s="403">
        <v>1</v>
      </c>
      <c r="J6312" s="403" t="s">
        <v>1442</v>
      </c>
      <c r="K6312" s="403">
        <v>2640</v>
      </c>
      <c r="L6312" s="403">
        <v>2640</v>
      </c>
      <c r="M6312" s="403" t="s">
        <v>1280</v>
      </c>
      <c r="N6312" s="403">
        <v>2640</v>
      </c>
      <c r="O6312" s="403">
        <v>2640</v>
      </c>
      <c r="P6312" t="str">
        <f t="shared" si="785"/>
        <v>12fps 2640x2640 - copy other stream</v>
      </c>
      <c r="Q6312">
        <f t="shared" si="786"/>
        <v>34</v>
      </c>
      <c r="R6312">
        <f t="shared" si="787"/>
        <v>34</v>
      </c>
      <c r="S6312" t="str">
        <f t="shared" si="788"/>
        <v>FLEXIDOME IP panoramic 6000 MP (360) (NFN-60122-F2)</v>
      </c>
      <c r="T6312" s="403" t="str">
        <f t="shared" si="789"/>
        <v>NFN-60122-F2</v>
      </c>
      <c r="U6312" s="403">
        <f t="shared" si="790"/>
        <v>1</v>
      </c>
      <c r="V6312" s="403" t="str">
        <f t="shared" si="791"/>
        <v>CPP_6</v>
      </c>
    </row>
    <row r="6313" spans="1:22">
      <c r="A6313" t="str">
        <f t="shared" si="784"/>
        <v>NFN-60122-F2</v>
      </c>
      <c r="B6313" s="488" t="s">
        <v>1825</v>
      </c>
      <c r="C6313" s="403" t="s">
        <v>584</v>
      </c>
      <c r="D6313" s="488" t="s">
        <v>1829</v>
      </c>
      <c r="E6313" s="403" t="s">
        <v>1827</v>
      </c>
      <c r="F6313" s="403" t="s">
        <v>1441</v>
      </c>
      <c r="G6313" s="403" t="s">
        <v>1466</v>
      </c>
      <c r="H6313" s="403" t="s">
        <v>1276</v>
      </c>
      <c r="I6313" s="403">
        <v>1</v>
      </c>
      <c r="J6313" s="403" t="s">
        <v>1442</v>
      </c>
      <c r="K6313" s="403">
        <v>2640</v>
      </c>
      <c r="L6313" s="403">
        <v>2640</v>
      </c>
      <c r="M6313" s="403" t="s">
        <v>1442</v>
      </c>
      <c r="N6313" s="403">
        <v>2640</v>
      </c>
      <c r="O6313" s="403">
        <v>2640</v>
      </c>
      <c r="P6313" t="str">
        <f t="shared" si="785"/>
        <v>12fps 2640x2640 - 2640x2640</v>
      </c>
      <c r="Q6313">
        <f t="shared" si="786"/>
        <v>34</v>
      </c>
      <c r="R6313" t="str">
        <f t="shared" si="787"/>
        <v/>
      </c>
      <c r="S6313" t="str">
        <f t="shared" si="788"/>
        <v/>
      </c>
      <c r="T6313" s="403" t="str">
        <f t="shared" si="789"/>
        <v>NFN-60122-F2</v>
      </c>
      <c r="U6313" s="403">
        <f t="shared" si="790"/>
        <v>1</v>
      </c>
      <c r="V6313" s="403" t="str">
        <f t="shared" si="791"/>
        <v>CPP_6</v>
      </c>
    </row>
    <row r="6314" spans="1:22">
      <c r="A6314" t="str">
        <f t="shared" ref="A6314:A6351" si="792">IF(AND(G6314&lt;&gt;"rotate 90°"),D6314,"")</f>
        <v>NFN-60122-F2</v>
      </c>
      <c r="B6314" s="488" t="s">
        <v>1825</v>
      </c>
      <c r="C6314" s="403" t="s">
        <v>584</v>
      </c>
      <c r="D6314" s="488" t="s">
        <v>1829</v>
      </c>
      <c r="E6314" s="403" t="s">
        <v>1827</v>
      </c>
      <c r="F6314" s="403" t="s">
        <v>1441</v>
      </c>
      <c r="G6314" s="403" t="s">
        <v>1466</v>
      </c>
      <c r="H6314" s="403" t="s">
        <v>1276</v>
      </c>
      <c r="I6314" s="403">
        <v>1</v>
      </c>
      <c r="J6314" s="403" t="s">
        <v>1442</v>
      </c>
      <c r="K6314" s="403">
        <v>2640</v>
      </c>
      <c r="L6314" s="403">
        <v>2640</v>
      </c>
      <c r="M6314" s="403" t="s">
        <v>1443</v>
      </c>
      <c r="N6314" s="403">
        <v>1792</v>
      </c>
      <c r="O6314" s="403">
        <v>1792</v>
      </c>
      <c r="P6314" t="str">
        <f t="shared" ref="P6314:P6351" si="793">LEFT(F6314,5)&amp;" "&amp;J6314&amp;" - "&amp;M6314</f>
        <v>12fps 2640x2640 - 1792x1792</v>
      </c>
      <c r="Q6314">
        <f t="shared" ref="Q6314:Q6351" si="794">IF(A6313=A6314,Q6313,Q6313+1)</f>
        <v>34</v>
      </c>
      <c r="R6314" t="str">
        <f t="shared" ref="R6314:R6351" si="795">IF(Q6313&lt;&gt;Q6314,Q6314,"")</f>
        <v/>
      </c>
      <c r="S6314" t="str">
        <f t="shared" ref="S6314:S6351" si="796">IF(R6314&lt;&gt;"",B6314&amp;" ("&amp;D6314&amp;")","")</f>
        <v/>
      </c>
      <c r="T6314" s="403" t="str">
        <f t="shared" ref="T6314:T6351" si="797">D6314</f>
        <v>NFN-60122-F2</v>
      </c>
      <c r="U6314" s="403">
        <f t="shared" ref="U6314:U6351" si="798">I6314</f>
        <v>1</v>
      </c>
      <c r="V6314" s="403" t="str">
        <f t="shared" ref="V6314:V6351" si="799">C6314</f>
        <v>CPP_6</v>
      </c>
    </row>
    <row r="6315" spans="1:22">
      <c r="A6315" t="str">
        <f t="shared" si="792"/>
        <v>NFN-60122-F2</v>
      </c>
      <c r="B6315" s="488" t="s">
        <v>1825</v>
      </c>
      <c r="C6315" s="403" t="s">
        <v>584</v>
      </c>
      <c r="D6315" s="488" t="s">
        <v>1829</v>
      </c>
      <c r="E6315" s="403" t="s">
        <v>1827</v>
      </c>
      <c r="F6315" s="403" t="s">
        <v>1441</v>
      </c>
      <c r="G6315" s="403" t="s">
        <v>1466</v>
      </c>
      <c r="H6315" s="403" t="s">
        <v>1276</v>
      </c>
      <c r="I6315" s="403">
        <v>1</v>
      </c>
      <c r="J6315" s="403" t="s">
        <v>1442</v>
      </c>
      <c r="K6315" s="403">
        <v>2640</v>
      </c>
      <c r="L6315" s="403">
        <v>2640</v>
      </c>
      <c r="M6315" s="403" t="s">
        <v>1444</v>
      </c>
      <c r="N6315" s="403">
        <v>1440</v>
      </c>
      <c r="O6315" s="403">
        <v>1440</v>
      </c>
      <c r="P6315" t="str">
        <f t="shared" si="793"/>
        <v>12fps 2640x2640 - 1440x1440</v>
      </c>
      <c r="Q6315">
        <f t="shared" si="794"/>
        <v>34</v>
      </c>
      <c r="R6315" t="str">
        <f t="shared" si="795"/>
        <v/>
      </c>
      <c r="S6315" t="str">
        <f t="shared" si="796"/>
        <v/>
      </c>
      <c r="T6315" s="403" t="str">
        <f t="shared" si="797"/>
        <v>NFN-60122-F2</v>
      </c>
      <c r="U6315" s="403">
        <f t="shared" si="798"/>
        <v>1</v>
      </c>
      <c r="V6315" s="403" t="str">
        <f t="shared" si="799"/>
        <v>CPP_6</v>
      </c>
    </row>
    <row r="6316" spans="1:22">
      <c r="A6316" t="str">
        <f t="shared" si="792"/>
        <v>NFN-60122-F2</v>
      </c>
      <c r="B6316" s="488" t="s">
        <v>1825</v>
      </c>
      <c r="C6316" s="403" t="s">
        <v>584</v>
      </c>
      <c r="D6316" s="488" t="s">
        <v>1829</v>
      </c>
      <c r="E6316" s="403" t="s">
        <v>1827</v>
      </c>
      <c r="F6316" s="403" t="s">
        <v>1441</v>
      </c>
      <c r="G6316" s="403" t="s">
        <v>1466</v>
      </c>
      <c r="H6316" s="403" t="s">
        <v>1276</v>
      </c>
      <c r="I6316" s="403">
        <v>1</v>
      </c>
      <c r="J6316" s="403" t="s">
        <v>1442</v>
      </c>
      <c r="K6316" s="403">
        <v>2640</v>
      </c>
      <c r="L6316" s="403">
        <v>2640</v>
      </c>
      <c r="M6316" s="403" t="s">
        <v>1445</v>
      </c>
      <c r="N6316" s="403">
        <v>1024</v>
      </c>
      <c r="O6316" s="403">
        <v>1024</v>
      </c>
      <c r="P6316" t="str">
        <f t="shared" si="793"/>
        <v>12fps 2640x2640 - 1024x1024</v>
      </c>
      <c r="Q6316">
        <f t="shared" si="794"/>
        <v>34</v>
      </c>
      <c r="R6316" t="str">
        <f t="shared" si="795"/>
        <v/>
      </c>
      <c r="S6316" t="str">
        <f t="shared" si="796"/>
        <v/>
      </c>
      <c r="T6316" s="403" t="str">
        <f t="shared" si="797"/>
        <v>NFN-60122-F2</v>
      </c>
      <c r="U6316" s="403">
        <f t="shared" si="798"/>
        <v>1</v>
      </c>
      <c r="V6316" s="403" t="str">
        <f t="shared" si="799"/>
        <v>CPP_6</v>
      </c>
    </row>
    <row r="6317" spans="1:22">
      <c r="A6317" t="str">
        <f t="shared" si="792"/>
        <v>NFN-60122-F2</v>
      </c>
      <c r="B6317" s="488" t="s">
        <v>1825</v>
      </c>
      <c r="C6317" s="403" t="s">
        <v>584</v>
      </c>
      <c r="D6317" s="488" t="s">
        <v>1829</v>
      </c>
      <c r="E6317" s="403" t="s">
        <v>1827</v>
      </c>
      <c r="F6317" s="403" t="s">
        <v>1441</v>
      </c>
      <c r="G6317" s="403" t="s">
        <v>1466</v>
      </c>
      <c r="H6317" s="403" t="s">
        <v>1276</v>
      </c>
      <c r="I6317" s="403">
        <v>1</v>
      </c>
      <c r="J6317" s="403" t="s">
        <v>1442</v>
      </c>
      <c r="K6317" s="403">
        <v>2640</v>
      </c>
      <c r="L6317" s="403">
        <v>2640</v>
      </c>
      <c r="M6317" s="403" t="s">
        <v>1446</v>
      </c>
      <c r="N6317" s="403">
        <v>800</v>
      </c>
      <c r="O6317" s="403">
        <v>800</v>
      </c>
      <c r="P6317" t="str">
        <f t="shared" si="793"/>
        <v>12fps 2640x2640 - 800x800</v>
      </c>
      <c r="Q6317">
        <f t="shared" si="794"/>
        <v>34</v>
      </c>
      <c r="R6317" t="str">
        <f t="shared" si="795"/>
        <v/>
      </c>
      <c r="S6317" t="str">
        <f t="shared" si="796"/>
        <v/>
      </c>
      <c r="T6317" s="403" t="str">
        <f t="shared" si="797"/>
        <v>NFN-60122-F2</v>
      </c>
      <c r="U6317" s="403">
        <f t="shared" si="798"/>
        <v>1</v>
      </c>
      <c r="V6317" s="403" t="str">
        <f t="shared" si="799"/>
        <v>CPP_6</v>
      </c>
    </row>
    <row r="6318" spans="1:22">
      <c r="A6318" t="str">
        <f t="shared" si="792"/>
        <v>NFN-60122-F2</v>
      </c>
      <c r="B6318" s="488" t="s">
        <v>1825</v>
      </c>
      <c r="C6318" s="403" t="s">
        <v>584</v>
      </c>
      <c r="D6318" s="488" t="s">
        <v>1829</v>
      </c>
      <c r="E6318" s="403" t="s">
        <v>1827</v>
      </c>
      <c r="F6318" s="403" t="s">
        <v>1441</v>
      </c>
      <c r="G6318" s="403" t="s">
        <v>1466</v>
      </c>
      <c r="H6318" s="403" t="s">
        <v>1276</v>
      </c>
      <c r="I6318" s="403">
        <v>1</v>
      </c>
      <c r="J6318" s="403" t="s">
        <v>1444</v>
      </c>
      <c r="K6318" s="403">
        <v>1440</v>
      </c>
      <c r="L6318" s="403">
        <v>1440</v>
      </c>
      <c r="M6318" s="403" t="s">
        <v>1280</v>
      </c>
      <c r="N6318" s="403">
        <v>1440</v>
      </c>
      <c r="O6318" s="403">
        <v>1440</v>
      </c>
      <c r="P6318" t="str">
        <f t="shared" si="793"/>
        <v>12fps 1440x1440 - copy other stream</v>
      </c>
      <c r="Q6318">
        <f t="shared" si="794"/>
        <v>34</v>
      </c>
      <c r="R6318" t="str">
        <f t="shared" si="795"/>
        <v/>
      </c>
      <c r="S6318" t="str">
        <f t="shared" si="796"/>
        <v/>
      </c>
      <c r="T6318" s="403" t="str">
        <f t="shared" si="797"/>
        <v>NFN-60122-F2</v>
      </c>
      <c r="U6318" s="403">
        <f t="shared" si="798"/>
        <v>1</v>
      </c>
      <c r="V6318" s="403" t="str">
        <f t="shared" si="799"/>
        <v>CPP_6</v>
      </c>
    </row>
    <row r="6319" spans="1:22">
      <c r="A6319" t="str">
        <f t="shared" si="792"/>
        <v>NFN-60122-F2</v>
      </c>
      <c r="B6319" s="488" t="s">
        <v>1825</v>
      </c>
      <c r="C6319" s="403" t="s">
        <v>584</v>
      </c>
      <c r="D6319" s="488" t="s">
        <v>1829</v>
      </c>
      <c r="E6319" s="403" t="s">
        <v>1827</v>
      </c>
      <c r="F6319" s="403" t="s">
        <v>1441</v>
      </c>
      <c r="G6319" s="403" t="s">
        <v>1466</v>
      </c>
      <c r="H6319" s="403" t="s">
        <v>1276</v>
      </c>
      <c r="I6319" s="403">
        <v>1</v>
      </c>
      <c r="J6319" s="403" t="s">
        <v>1444</v>
      </c>
      <c r="K6319" s="403">
        <v>1440</v>
      </c>
      <c r="L6319" s="403">
        <v>1440</v>
      </c>
      <c r="M6319" s="403" t="s">
        <v>1444</v>
      </c>
      <c r="N6319" s="403">
        <v>1440</v>
      </c>
      <c r="O6319" s="403">
        <v>1440</v>
      </c>
      <c r="P6319" t="str">
        <f t="shared" si="793"/>
        <v>12fps 1440x1440 - 1440x1440</v>
      </c>
      <c r="Q6319">
        <f t="shared" si="794"/>
        <v>34</v>
      </c>
      <c r="R6319" t="str">
        <f t="shared" si="795"/>
        <v/>
      </c>
      <c r="S6319" t="str">
        <f t="shared" si="796"/>
        <v/>
      </c>
      <c r="T6319" s="403" t="str">
        <f t="shared" si="797"/>
        <v>NFN-60122-F2</v>
      </c>
      <c r="U6319" s="403">
        <f t="shared" si="798"/>
        <v>1</v>
      </c>
      <c r="V6319" s="403" t="str">
        <f t="shared" si="799"/>
        <v>CPP_6</v>
      </c>
    </row>
    <row r="6320" spans="1:22">
      <c r="A6320" t="str">
        <f t="shared" si="792"/>
        <v>NFN-60122-F2</v>
      </c>
      <c r="B6320" s="488" t="s">
        <v>1825</v>
      </c>
      <c r="C6320" s="403" t="s">
        <v>584</v>
      </c>
      <c r="D6320" s="488" t="s">
        <v>1829</v>
      </c>
      <c r="E6320" s="403" t="s">
        <v>1827</v>
      </c>
      <c r="F6320" s="403" t="s">
        <v>1441</v>
      </c>
      <c r="G6320" s="403" t="s">
        <v>1466</v>
      </c>
      <c r="H6320" s="403" t="s">
        <v>1276</v>
      </c>
      <c r="I6320" s="403">
        <v>1</v>
      </c>
      <c r="J6320" s="403" t="s">
        <v>1444</v>
      </c>
      <c r="K6320" s="403">
        <v>1440</v>
      </c>
      <c r="L6320" s="403">
        <v>1440</v>
      </c>
      <c r="M6320" s="403" t="s">
        <v>1445</v>
      </c>
      <c r="N6320" s="403">
        <v>1024</v>
      </c>
      <c r="O6320" s="403">
        <v>1024</v>
      </c>
      <c r="P6320" t="str">
        <f t="shared" si="793"/>
        <v>12fps 1440x1440 - 1024x1024</v>
      </c>
      <c r="Q6320">
        <f t="shared" si="794"/>
        <v>34</v>
      </c>
      <c r="R6320" t="str">
        <f t="shared" si="795"/>
        <v/>
      </c>
      <c r="S6320" t="str">
        <f t="shared" si="796"/>
        <v/>
      </c>
      <c r="T6320" s="403" t="str">
        <f t="shared" si="797"/>
        <v>NFN-60122-F2</v>
      </c>
      <c r="U6320" s="403">
        <f t="shared" si="798"/>
        <v>1</v>
      </c>
      <c r="V6320" s="403" t="str">
        <f t="shared" si="799"/>
        <v>CPP_6</v>
      </c>
    </row>
    <row r="6321" spans="1:22">
      <c r="A6321" t="str">
        <f t="shared" si="792"/>
        <v>NFN-60122-F2</v>
      </c>
      <c r="B6321" s="488" t="s">
        <v>1825</v>
      </c>
      <c r="C6321" s="403" t="s">
        <v>584</v>
      </c>
      <c r="D6321" s="488" t="s">
        <v>1829</v>
      </c>
      <c r="E6321" s="403" t="s">
        <v>1827</v>
      </c>
      <c r="F6321" s="403" t="s">
        <v>1441</v>
      </c>
      <c r="G6321" s="403" t="s">
        <v>1466</v>
      </c>
      <c r="H6321" s="403" t="s">
        <v>1276</v>
      </c>
      <c r="I6321" s="403">
        <v>1</v>
      </c>
      <c r="J6321" s="403" t="s">
        <v>1444</v>
      </c>
      <c r="K6321" s="403">
        <v>1440</v>
      </c>
      <c r="L6321" s="403">
        <v>1440</v>
      </c>
      <c r="M6321" s="403" t="s">
        <v>1446</v>
      </c>
      <c r="N6321" s="403">
        <v>800</v>
      </c>
      <c r="O6321" s="403">
        <v>800</v>
      </c>
      <c r="P6321" t="str">
        <f t="shared" si="793"/>
        <v>12fps 1440x1440 - 800x800</v>
      </c>
      <c r="Q6321">
        <f t="shared" si="794"/>
        <v>34</v>
      </c>
      <c r="R6321" t="str">
        <f t="shared" si="795"/>
        <v/>
      </c>
      <c r="S6321" t="str">
        <f t="shared" si="796"/>
        <v/>
      </c>
      <c r="T6321" s="403" t="str">
        <f t="shared" si="797"/>
        <v>NFN-60122-F2</v>
      </c>
      <c r="U6321" s="403">
        <f t="shared" si="798"/>
        <v>1</v>
      </c>
      <c r="V6321" s="403" t="str">
        <f t="shared" si="799"/>
        <v>CPP_6</v>
      </c>
    </row>
    <row r="6322" spans="1:22">
      <c r="A6322" t="str">
        <f t="shared" si="792"/>
        <v>NFN-60122-F2</v>
      </c>
      <c r="B6322" s="488" t="s">
        <v>1825</v>
      </c>
      <c r="C6322" s="403" t="s">
        <v>584</v>
      </c>
      <c r="D6322" s="488" t="s">
        <v>1829</v>
      </c>
      <c r="E6322" s="403" t="s">
        <v>1827</v>
      </c>
      <c r="F6322" s="403" t="s">
        <v>1447</v>
      </c>
      <c r="G6322" s="403" t="s">
        <v>1466</v>
      </c>
      <c r="H6322" s="403" t="s">
        <v>1276</v>
      </c>
      <c r="I6322" s="403">
        <v>1</v>
      </c>
      <c r="J6322" s="403" t="s">
        <v>1442</v>
      </c>
      <c r="K6322" s="403">
        <v>2640</v>
      </c>
      <c r="L6322" s="403">
        <v>2640</v>
      </c>
      <c r="M6322" s="403" t="s">
        <v>1280</v>
      </c>
      <c r="N6322" s="403">
        <v>2640</v>
      </c>
      <c r="O6322" s="403">
        <v>2640</v>
      </c>
      <c r="P6322" t="str">
        <f t="shared" si="793"/>
        <v>25fps 2640x2640 - copy other stream</v>
      </c>
      <c r="Q6322">
        <f t="shared" si="794"/>
        <v>34</v>
      </c>
      <c r="R6322" t="str">
        <f t="shared" si="795"/>
        <v/>
      </c>
      <c r="S6322" t="str">
        <f t="shared" si="796"/>
        <v/>
      </c>
      <c r="T6322" s="403" t="str">
        <f t="shared" si="797"/>
        <v>NFN-60122-F2</v>
      </c>
      <c r="U6322" s="403">
        <f t="shared" si="798"/>
        <v>1</v>
      </c>
      <c r="V6322" s="403" t="str">
        <f t="shared" si="799"/>
        <v>CPP_6</v>
      </c>
    </row>
    <row r="6323" spans="1:22">
      <c r="A6323" t="str">
        <f t="shared" si="792"/>
        <v>NFN-60122-F2</v>
      </c>
      <c r="B6323" s="488" t="s">
        <v>1825</v>
      </c>
      <c r="C6323" s="403" t="s">
        <v>584</v>
      </c>
      <c r="D6323" s="488" t="s">
        <v>1829</v>
      </c>
      <c r="E6323" s="403" t="s">
        <v>1827</v>
      </c>
      <c r="F6323" s="403" t="s">
        <v>1447</v>
      </c>
      <c r="G6323" s="403" t="s">
        <v>1466</v>
      </c>
      <c r="H6323" s="403" t="s">
        <v>1276</v>
      </c>
      <c r="I6323" s="403">
        <v>1</v>
      </c>
      <c r="J6323" s="403" t="s">
        <v>1442</v>
      </c>
      <c r="K6323" s="403">
        <v>2640</v>
      </c>
      <c r="L6323" s="403">
        <v>2640</v>
      </c>
      <c r="M6323" s="403" t="s">
        <v>1446</v>
      </c>
      <c r="N6323" s="403">
        <v>800</v>
      </c>
      <c r="O6323" s="403">
        <v>800</v>
      </c>
      <c r="P6323" t="str">
        <f t="shared" si="793"/>
        <v>25fps 2640x2640 - 800x800</v>
      </c>
      <c r="Q6323">
        <f t="shared" si="794"/>
        <v>34</v>
      </c>
      <c r="R6323" t="str">
        <f t="shared" si="795"/>
        <v/>
      </c>
      <c r="S6323" t="str">
        <f t="shared" si="796"/>
        <v/>
      </c>
      <c r="T6323" s="403" t="str">
        <f t="shared" si="797"/>
        <v>NFN-60122-F2</v>
      </c>
      <c r="U6323" s="403">
        <f t="shared" si="798"/>
        <v>1</v>
      </c>
      <c r="V6323" s="403" t="str">
        <f t="shared" si="799"/>
        <v>CPP_6</v>
      </c>
    </row>
    <row r="6324" spans="1:22">
      <c r="A6324" t="str">
        <f t="shared" si="792"/>
        <v>NFN-60122-F2</v>
      </c>
      <c r="B6324" s="488" t="s">
        <v>1825</v>
      </c>
      <c r="C6324" s="403" t="s">
        <v>584</v>
      </c>
      <c r="D6324" s="488" t="s">
        <v>1829</v>
      </c>
      <c r="E6324" s="403" t="s">
        <v>1827</v>
      </c>
      <c r="F6324" s="403" t="s">
        <v>1447</v>
      </c>
      <c r="G6324" s="403" t="s">
        <v>1466</v>
      </c>
      <c r="H6324" s="403" t="s">
        <v>1276</v>
      </c>
      <c r="I6324" s="403">
        <v>1</v>
      </c>
      <c r="J6324" s="403" t="s">
        <v>1444</v>
      </c>
      <c r="K6324" s="403">
        <v>1440</v>
      </c>
      <c r="L6324" s="403">
        <v>1440</v>
      </c>
      <c r="M6324" s="403" t="s">
        <v>1280</v>
      </c>
      <c r="N6324" s="403">
        <v>1440</v>
      </c>
      <c r="O6324" s="403">
        <v>1440</v>
      </c>
      <c r="P6324" t="str">
        <f t="shared" si="793"/>
        <v>25fps 1440x1440 - copy other stream</v>
      </c>
      <c r="Q6324">
        <f t="shared" si="794"/>
        <v>34</v>
      </c>
      <c r="R6324" t="str">
        <f t="shared" si="795"/>
        <v/>
      </c>
      <c r="S6324" t="str">
        <f t="shared" si="796"/>
        <v/>
      </c>
      <c r="T6324" s="403" t="str">
        <f t="shared" si="797"/>
        <v>NFN-60122-F2</v>
      </c>
      <c r="U6324" s="403">
        <f t="shared" si="798"/>
        <v>1</v>
      </c>
      <c r="V6324" s="403" t="str">
        <f t="shared" si="799"/>
        <v>CPP_6</v>
      </c>
    </row>
    <row r="6325" spans="1:22">
      <c r="A6325" t="str">
        <f t="shared" si="792"/>
        <v>NFN-60122-F2</v>
      </c>
      <c r="B6325" s="488" t="s">
        <v>1825</v>
      </c>
      <c r="C6325" s="403" t="s">
        <v>584</v>
      </c>
      <c r="D6325" s="488" t="s">
        <v>1829</v>
      </c>
      <c r="E6325" s="403" t="s">
        <v>1827</v>
      </c>
      <c r="F6325" s="403" t="s">
        <v>1447</v>
      </c>
      <c r="G6325" s="403" t="s">
        <v>1466</v>
      </c>
      <c r="H6325" s="403" t="s">
        <v>1276</v>
      </c>
      <c r="I6325" s="403">
        <v>1</v>
      </c>
      <c r="J6325" s="403" t="s">
        <v>1444</v>
      </c>
      <c r="K6325" s="403">
        <v>1440</v>
      </c>
      <c r="L6325" s="403">
        <v>1440</v>
      </c>
      <c r="M6325" s="403" t="s">
        <v>1444</v>
      </c>
      <c r="N6325" s="403">
        <v>1440</v>
      </c>
      <c r="O6325" s="403">
        <v>1440</v>
      </c>
      <c r="P6325" t="str">
        <f t="shared" si="793"/>
        <v>25fps 1440x1440 - 1440x1440</v>
      </c>
      <c r="Q6325">
        <f t="shared" si="794"/>
        <v>34</v>
      </c>
      <c r="R6325" t="str">
        <f t="shared" si="795"/>
        <v/>
      </c>
      <c r="S6325" t="str">
        <f t="shared" si="796"/>
        <v/>
      </c>
      <c r="T6325" s="403" t="str">
        <f t="shared" si="797"/>
        <v>NFN-60122-F2</v>
      </c>
      <c r="U6325" s="403">
        <f t="shared" si="798"/>
        <v>1</v>
      </c>
      <c r="V6325" s="403" t="str">
        <f t="shared" si="799"/>
        <v>CPP_6</v>
      </c>
    </row>
    <row r="6326" spans="1:22">
      <c r="A6326" t="str">
        <f t="shared" si="792"/>
        <v>NFN-60122-F2</v>
      </c>
      <c r="B6326" s="488" t="s">
        <v>1825</v>
      </c>
      <c r="C6326" s="403" t="s">
        <v>584</v>
      </c>
      <c r="D6326" s="488" t="s">
        <v>1829</v>
      </c>
      <c r="E6326" s="403" t="s">
        <v>1827</v>
      </c>
      <c r="F6326" s="403" t="s">
        <v>1447</v>
      </c>
      <c r="G6326" s="403" t="s">
        <v>1466</v>
      </c>
      <c r="H6326" s="403" t="s">
        <v>1276</v>
      </c>
      <c r="I6326" s="403">
        <v>1</v>
      </c>
      <c r="J6326" s="403" t="s">
        <v>1444</v>
      </c>
      <c r="K6326" s="403">
        <v>1440</v>
      </c>
      <c r="L6326" s="403">
        <v>1440</v>
      </c>
      <c r="M6326" s="403" t="s">
        <v>1446</v>
      </c>
      <c r="N6326" s="403">
        <v>800</v>
      </c>
      <c r="O6326" s="403">
        <v>800</v>
      </c>
      <c r="P6326" t="str">
        <f t="shared" si="793"/>
        <v>25fps 1440x1440 - 800x800</v>
      </c>
      <c r="Q6326">
        <f t="shared" si="794"/>
        <v>34</v>
      </c>
      <c r="R6326" t="str">
        <f t="shared" si="795"/>
        <v/>
      </c>
      <c r="S6326" t="str">
        <f t="shared" si="796"/>
        <v/>
      </c>
      <c r="T6326" s="403" t="str">
        <f t="shared" si="797"/>
        <v>NFN-60122-F2</v>
      </c>
      <c r="U6326" s="403">
        <f t="shared" si="798"/>
        <v>1</v>
      </c>
      <c r="V6326" s="403" t="str">
        <f t="shared" si="799"/>
        <v>CPP_6</v>
      </c>
    </row>
    <row r="6327" spans="1:22">
      <c r="A6327" t="str">
        <f t="shared" si="792"/>
        <v>NFN-60122-F2</v>
      </c>
      <c r="B6327" s="488" t="s">
        <v>1825</v>
      </c>
      <c r="C6327" s="403" t="s">
        <v>584</v>
      </c>
      <c r="D6327" s="488" t="s">
        <v>1829</v>
      </c>
      <c r="E6327" s="403" t="s">
        <v>1827</v>
      </c>
      <c r="F6327" s="403" t="s">
        <v>1448</v>
      </c>
      <c r="G6327" s="403" t="s">
        <v>1466</v>
      </c>
      <c r="H6327" s="403" t="s">
        <v>1276</v>
      </c>
      <c r="I6327" s="403">
        <v>1</v>
      </c>
      <c r="J6327" s="403" t="s">
        <v>1442</v>
      </c>
      <c r="K6327" s="403">
        <v>2640</v>
      </c>
      <c r="L6327" s="403">
        <v>2640</v>
      </c>
      <c r="M6327" s="403" t="s">
        <v>1280</v>
      </c>
      <c r="N6327" s="403">
        <v>2640</v>
      </c>
      <c r="O6327" s="403">
        <v>2640</v>
      </c>
      <c r="P6327" t="str">
        <f t="shared" si="793"/>
        <v>30fps 2640x2640 - copy other stream</v>
      </c>
      <c r="Q6327">
        <f t="shared" si="794"/>
        <v>34</v>
      </c>
      <c r="R6327" t="str">
        <f t="shared" si="795"/>
        <v/>
      </c>
      <c r="S6327" t="str">
        <f t="shared" si="796"/>
        <v/>
      </c>
      <c r="T6327" s="403" t="str">
        <f t="shared" si="797"/>
        <v>NFN-60122-F2</v>
      </c>
      <c r="U6327" s="403">
        <f t="shared" si="798"/>
        <v>1</v>
      </c>
      <c r="V6327" s="403" t="str">
        <f t="shared" si="799"/>
        <v>CPP_6</v>
      </c>
    </row>
    <row r="6328" spans="1:22">
      <c r="A6328" t="str">
        <f t="shared" si="792"/>
        <v>NFN-60122-F2</v>
      </c>
      <c r="B6328" s="488" t="s">
        <v>1825</v>
      </c>
      <c r="C6328" s="403" t="s">
        <v>584</v>
      </c>
      <c r="D6328" s="488" t="s">
        <v>1829</v>
      </c>
      <c r="E6328" s="403" t="s">
        <v>1827</v>
      </c>
      <c r="F6328" s="403" t="s">
        <v>1448</v>
      </c>
      <c r="G6328" s="403" t="s">
        <v>1466</v>
      </c>
      <c r="H6328" s="403" t="s">
        <v>1276</v>
      </c>
      <c r="I6328" s="403">
        <v>1</v>
      </c>
      <c r="J6328" s="403" t="s">
        <v>1442</v>
      </c>
      <c r="K6328" s="403">
        <v>2640</v>
      </c>
      <c r="L6328" s="403">
        <v>2640</v>
      </c>
      <c r="M6328" s="403" t="s">
        <v>1446</v>
      </c>
      <c r="N6328" s="403">
        <v>800</v>
      </c>
      <c r="O6328" s="403">
        <v>800</v>
      </c>
      <c r="P6328" t="str">
        <f t="shared" si="793"/>
        <v>30fps 2640x2640 - 800x800</v>
      </c>
      <c r="Q6328">
        <f t="shared" si="794"/>
        <v>34</v>
      </c>
      <c r="R6328" t="str">
        <f t="shared" si="795"/>
        <v/>
      </c>
      <c r="S6328" t="str">
        <f t="shared" si="796"/>
        <v/>
      </c>
      <c r="T6328" s="403" t="str">
        <f t="shared" si="797"/>
        <v>NFN-60122-F2</v>
      </c>
      <c r="U6328" s="403">
        <f t="shared" si="798"/>
        <v>1</v>
      </c>
      <c r="V6328" s="403" t="str">
        <f t="shared" si="799"/>
        <v>CPP_6</v>
      </c>
    </row>
    <row r="6329" spans="1:22">
      <c r="A6329" t="str">
        <f t="shared" si="792"/>
        <v>NFN-60122-F2</v>
      </c>
      <c r="B6329" s="488" t="s">
        <v>1825</v>
      </c>
      <c r="C6329" s="403" t="s">
        <v>584</v>
      </c>
      <c r="D6329" s="488" t="s">
        <v>1829</v>
      </c>
      <c r="E6329" s="403" t="s">
        <v>1827</v>
      </c>
      <c r="F6329" s="403" t="s">
        <v>1448</v>
      </c>
      <c r="G6329" s="403" t="s">
        <v>1466</v>
      </c>
      <c r="H6329" s="403" t="s">
        <v>1276</v>
      </c>
      <c r="I6329" s="403">
        <v>1</v>
      </c>
      <c r="J6329" s="403" t="s">
        <v>1444</v>
      </c>
      <c r="K6329" s="403">
        <v>1440</v>
      </c>
      <c r="L6329" s="403">
        <v>1440</v>
      </c>
      <c r="M6329" s="403" t="s">
        <v>1280</v>
      </c>
      <c r="N6329" s="403">
        <v>1440</v>
      </c>
      <c r="O6329" s="403">
        <v>1440</v>
      </c>
      <c r="P6329" t="str">
        <f t="shared" si="793"/>
        <v>30fps 1440x1440 - copy other stream</v>
      </c>
      <c r="Q6329">
        <f t="shared" si="794"/>
        <v>34</v>
      </c>
      <c r="R6329" t="str">
        <f t="shared" si="795"/>
        <v/>
      </c>
      <c r="S6329" t="str">
        <f t="shared" si="796"/>
        <v/>
      </c>
      <c r="T6329" s="403" t="str">
        <f t="shared" si="797"/>
        <v>NFN-60122-F2</v>
      </c>
      <c r="U6329" s="403">
        <f t="shared" si="798"/>
        <v>1</v>
      </c>
      <c r="V6329" s="403" t="str">
        <f t="shared" si="799"/>
        <v>CPP_6</v>
      </c>
    </row>
    <row r="6330" spans="1:22">
      <c r="A6330" t="str">
        <f t="shared" si="792"/>
        <v>NFN-60122-F2</v>
      </c>
      <c r="B6330" s="488" t="s">
        <v>1825</v>
      </c>
      <c r="C6330" s="403" t="s">
        <v>584</v>
      </c>
      <c r="D6330" s="488" t="s">
        <v>1829</v>
      </c>
      <c r="E6330" s="403" t="s">
        <v>1827</v>
      </c>
      <c r="F6330" s="403" t="s">
        <v>1448</v>
      </c>
      <c r="G6330" s="403" t="s">
        <v>1466</v>
      </c>
      <c r="H6330" s="403" t="s">
        <v>1276</v>
      </c>
      <c r="I6330" s="403">
        <v>1</v>
      </c>
      <c r="J6330" s="403" t="s">
        <v>1444</v>
      </c>
      <c r="K6330" s="403">
        <v>1440</v>
      </c>
      <c r="L6330" s="403">
        <v>1440</v>
      </c>
      <c r="M6330" s="403" t="s">
        <v>1444</v>
      </c>
      <c r="N6330" s="403">
        <v>1440</v>
      </c>
      <c r="O6330" s="403">
        <v>1440</v>
      </c>
      <c r="P6330" t="str">
        <f t="shared" si="793"/>
        <v>30fps 1440x1440 - 1440x1440</v>
      </c>
      <c r="Q6330">
        <f t="shared" si="794"/>
        <v>34</v>
      </c>
      <c r="R6330" t="str">
        <f t="shared" si="795"/>
        <v/>
      </c>
      <c r="S6330" t="str">
        <f t="shared" si="796"/>
        <v/>
      </c>
      <c r="T6330" s="403" t="str">
        <f t="shared" si="797"/>
        <v>NFN-60122-F2</v>
      </c>
      <c r="U6330" s="403">
        <f t="shared" si="798"/>
        <v>1</v>
      </c>
      <c r="V6330" s="403" t="str">
        <f t="shared" si="799"/>
        <v>CPP_6</v>
      </c>
    </row>
    <row r="6331" spans="1:22">
      <c r="A6331" t="str">
        <f t="shared" si="792"/>
        <v>NFN-60122-F2</v>
      </c>
      <c r="B6331" s="488" t="s">
        <v>1825</v>
      </c>
      <c r="C6331" s="403" t="s">
        <v>584</v>
      </c>
      <c r="D6331" s="488" t="s">
        <v>1829</v>
      </c>
      <c r="E6331" s="403" t="s">
        <v>1827</v>
      </c>
      <c r="F6331" s="403" t="s">
        <v>1448</v>
      </c>
      <c r="G6331" s="403" t="s">
        <v>1466</v>
      </c>
      <c r="H6331" s="403" t="s">
        <v>1276</v>
      </c>
      <c r="I6331" s="403">
        <v>1</v>
      </c>
      <c r="J6331" s="403" t="s">
        <v>1444</v>
      </c>
      <c r="K6331" s="403">
        <v>1440</v>
      </c>
      <c r="L6331" s="403">
        <v>1440</v>
      </c>
      <c r="M6331" s="403" t="s">
        <v>1446</v>
      </c>
      <c r="N6331" s="403">
        <v>800</v>
      </c>
      <c r="O6331" s="403">
        <v>800</v>
      </c>
      <c r="P6331" t="str">
        <f t="shared" si="793"/>
        <v>30fps 1440x1440 - 800x800</v>
      </c>
      <c r="Q6331">
        <f t="shared" si="794"/>
        <v>34</v>
      </c>
      <c r="R6331" t="str">
        <f t="shared" si="795"/>
        <v/>
      </c>
      <c r="S6331" t="str">
        <f t="shared" si="796"/>
        <v/>
      </c>
      <c r="T6331" s="403" t="str">
        <f t="shared" si="797"/>
        <v>NFN-60122-F2</v>
      </c>
      <c r="U6331" s="403">
        <f t="shared" si="798"/>
        <v>1</v>
      </c>
      <c r="V6331" s="403" t="str">
        <f t="shared" si="799"/>
        <v>CPP_6</v>
      </c>
    </row>
    <row r="6332" spans="1:22">
      <c r="A6332" t="str">
        <f t="shared" si="792"/>
        <v>NFN-60122-F2</v>
      </c>
      <c r="B6332" s="488" t="s">
        <v>1825</v>
      </c>
      <c r="C6332" s="403" t="s">
        <v>584</v>
      </c>
      <c r="D6332" s="488" t="s">
        <v>1829</v>
      </c>
      <c r="E6332" s="403" t="s">
        <v>1828</v>
      </c>
      <c r="F6332" s="403" t="s">
        <v>1441</v>
      </c>
      <c r="G6332" s="403" t="s">
        <v>1466</v>
      </c>
      <c r="H6332" s="403" t="s">
        <v>1276</v>
      </c>
      <c r="I6332" s="403">
        <v>1</v>
      </c>
      <c r="J6332" s="403" t="s">
        <v>1442</v>
      </c>
      <c r="K6332" s="403">
        <v>2640</v>
      </c>
      <c r="L6332" s="403">
        <v>2640</v>
      </c>
      <c r="M6332" s="403" t="s">
        <v>1280</v>
      </c>
      <c r="N6332" s="403">
        <v>2640</v>
      </c>
      <c r="O6332" s="403">
        <v>2640</v>
      </c>
      <c r="P6332" t="str">
        <f t="shared" si="793"/>
        <v>12fps 2640x2640 - copy other stream</v>
      </c>
      <c r="Q6332">
        <f t="shared" si="794"/>
        <v>34</v>
      </c>
      <c r="R6332" t="str">
        <f t="shared" si="795"/>
        <v/>
      </c>
      <c r="S6332" t="str">
        <f t="shared" si="796"/>
        <v/>
      </c>
      <c r="T6332" s="403" t="str">
        <f t="shared" si="797"/>
        <v>NFN-60122-F2</v>
      </c>
      <c r="U6332" s="403">
        <f t="shared" si="798"/>
        <v>1</v>
      </c>
      <c r="V6332" s="403" t="str">
        <f t="shared" si="799"/>
        <v>CPP_6</v>
      </c>
    </row>
    <row r="6333" spans="1:22">
      <c r="A6333" t="str">
        <f t="shared" si="792"/>
        <v>NFN-60122-F2</v>
      </c>
      <c r="B6333" s="488" t="s">
        <v>1825</v>
      </c>
      <c r="C6333" s="403" t="s">
        <v>584</v>
      </c>
      <c r="D6333" s="488" t="s">
        <v>1829</v>
      </c>
      <c r="E6333" s="403" t="s">
        <v>1828</v>
      </c>
      <c r="F6333" s="403" t="s">
        <v>1441</v>
      </c>
      <c r="G6333" s="403" t="s">
        <v>1466</v>
      </c>
      <c r="H6333" s="403" t="s">
        <v>1276</v>
      </c>
      <c r="I6333" s="403">
        <v>1</v>
      </c>
      <c r="J6333" s="403" t="s">
        <v>1442</v>
      </c>
      <c r="K6333" s="403">
        <v>2640</v>
      </c>
      <c r="L6333" s="403">
        <v>2640</v>
      </c>
      <c r="M6333" s="403" t="s">
        <v>1450</v>
      </c>
      <c r="N6333" s="403">
        <v>768</v>
      </c>
      <c r="O6333" s="403">
        <v>768</v>
      </c>
      <c r="P6333" t="str">
        <f t="shared" si="793"/>
        <v>12fps 2640x2640 - 768x768</v>
      </c>
      <c r="Q6333">
        <f t="shared" si="794"/>
        <v>34</v>
      </c>
      <c r="R6333" t="str">
        <f t="shared" si="795"/>
        <v/>
      </c>
      <c r="S6333" t="str">
        <f t="shared" si="796"/>
        <v/>
      </c>
      <c r="T6333" s="403" t="str">
        <f t="shared" si="797"/>
        <v>NFN-60122-F2</v>
      </c>
      <c r="U6333" s="403">
        <f t="shared" si="798"/>
        <v>1</v>
      </c>
      <c r="V6333" s="403" t="str">
        <f t="shared" si="799"/>
        <v>CPP_6</v>
      </c>
    </row>
    <row r="6334" spans="1:22">
      <c r="A6334" t="str">
        <f t="shared" si="792"/>
        <v>NFN-60122-F2</v>
      </c>
      <c r="B6334" s="488" t="s">
        <v>1825</v>
      </c>
      <c r="C6334" s="403" t="s">
        <v>584</v>
      </c>
      <c r="D6334" s="488" t="s">
        <v>1829</v>
      </c>
      <c r="E6334" s="403" t="s">
        <v>1828</v>
      </c>
      <c r="F6334" s="403" t="s">
        <v>1441</v>
      </c>
      <c r="G6334" s="403" t="s">
        <v>1466</v>
      </c>
      <c r="H6334" s="403" t="s">
        <v>1276</v>
      </c>
      <c r="I6334" s="403">
        <v>1</v>
      </c>
      <c r="J6334" s="403" t="s">
        <v>1444</v>
      </c>
      <c r="K6334" s="403">
        <v>1440</v>
      </c>
      <c r="L6334" s="403">
        <v>1440</v>
      </c>
      <c r="M6334" s="403" t="s">
        <v>1280</v>
      </c>
      <c r="N6334" s="403">
        <v>1440</v>
      </c>
      <c r="O6334" s="403">
        <v>1440</v>
      </c>
      <c r="P6334" t="str">
        <f t="shared" si="793"/>
        <v>12fps 1440x1440 - copy other stream</v>
      </c>
      <c r="Q6334">
        <f t="shared" si="794"/>
        <v>34</v>
      </c>
      <c r="R6334" t="str">
        <f t="shared" si="795"/>
        <v/>
      </c>
      <c r="S6334" t="str">
        <f t="shared" si="796"/>
        <v/>
      </c>
      <c r="T6334" s="403" t="str">
        <f t="shared" si="797"/>
        <v>NFN-60122-F2</v>
      </c>
      <c r="U6334" s="403">
        <f t="shared" si="798"/>
        <v>1</v>
      </c>
      <c r="V6334" s="403" t="str">
        <f t="shared" si="799"/>
        <v>CPP_6</v>
      </c>
    </row>
    <row r="6335" spans="1:22">
      <c r="A6335" t="str">
        <f t="shared" si="792"/>
        <v>NFN-60122-F2</v>
      </c>
      <c r="B6335" s="488" t="s">
        <v>1825</v>
      </c>
      <c r="C6335" s="403" t="s">
        <v>584</v>
      </c>
      <c r="D6335" s="488" t="s">
        <v>1829</v>
      </c>
      <c r="E6335" s="403" t="s">
        <v>1828</v>
      </c>
      <c r="F6335" s="403" t="s">
        <v>1441</v>
      </c>
      <c r="G6335" s="403" t="s">
        <v>1466</v>
      </c>
      <c r="H6335" s="403" t="s">
        <v>1276</v>
      </c>
      <c r="I6335" s="403">
        <v>1</v>
      </c>
      <c r="J6335" s="403" t="s">
        <v>1444</v>
      </c>
      <c r="K6335" s="403">
        <v>1440</v>
      </c>
      <c r="L6335" s="403">
        <v>1440</v>
      </c>
      <c r="M6335" s="403" t="s">
        <v>1450</v>
      </c>
      <c r="N6335" s="403">
        <v>768</v>
      </c>
      <c r="O6335" s="403">
        <v>768</v>
      </c>
      <c r="P6335" t="str">
        <f t="shared" si="793"/>
        <v>12fps 1440x1440 - 768x768</v>
      </c>
      <c r="Q6335">
        <f t="shared" si="794"/>
        <v>34</v>
      </c>
      <c r="R6335" t="str">
        <f t="shared" si="795"/>
        <v/>
      </c>
      <c r="S6335" t="str">
        <f t="shared" si="796"/>
        <v/>
      </c>
      <c r="T6335" s="403" t="str">
        <f t="shared" si="797"/>
        <v>NFN-60122-F2</v>
      </c>
      <c r="U6335" s="403">
        <f t="shared" si="798"/>
        <v>1</v>
      </c>
      <c r="V6335" s="403" t="str">
        <f t="shared" si="799"/>
        <v>CPP_6</v>
      </c>
    </row>
    <row r="6336" spans="1:22">
      <c r="A6336" t="str">
        <f t="shared" si="792"/>
        <v>NFN-60122-F2</v>
      </c>
      <c r="B6336" s="488" t="s">
        <v>1825</v>
      </c>
      <c r="C6336" s="403" t="s">
        <v>584</v>
      </c>
      <c r="D6336" s="488" t="s">
        <v>1829</v>
      </c>
      <c r="E6336" s="403" t="s">
        <v>1828</v>
      </c>
      <c r="F6336" s="403" t="s">
        <v>1441</v>
      </c>
      <c r="G6336" s="403" t="s">
        <v>1466</v>
      </c>
      <c r="H6336" s="403" t="s">
        <v>1276</v>
      </c>
      <c r="I6336" s="403">
        <v>2</v>
      </c>
      <c r="J6336" s="403" t="s">
        <v>1451</v>
      </c>
      <c r="K6336" s="403">
        <v>1536</v>
      </c>
      <c r="L6336" s="403">
        <v>864</v>
      </c>
      <c r="M6336" s="403" t="s">
        <v>1280</v>
      </c>
      <c r="N6336" s="403">
        <v>1536</v>
      </c>
      <c r="O6336" s="403">
        <v>864</v>
      </c>
      <c r="P6336" t="str">
        <f t="shared" si="793"/>
        <v>12fps 1536x864 - copy other stream</v>
      </c>
      <c r="Q6336">
        <f t="shared" si="794"/>
        <v>34</v>
      </c>
      <c r="R6336" t="str">
        <f t="shared" si="795"/>
        <v/>
      </c>
      <c r="S6336" t="str">
        <f t="shared" si="796"/>
        <v/>
      </c>
      <c r="T6336" s="403" t="str">
        <f t="shared" si="797"/>
        <v>NFN-60122-F2</v>
      </c>
      <c r="U6336" s="403">
        <f t="shared" si="798"/>
        <v>2</v>
      </c>
      <c r="V6336" s="403" t="str">
        <f t="shared" si="799"/>
        <v>CPP_6</v>
      </c>
    </row>
    <row r="6337" spans="1:22">
      <c r="A6337" t="str">
        <f t="shared" si="792"/>
        <v>NFN-60122-F2</v>
      </c>
      <c r="B6337" s="488" t="s">
        <v>1825</v>
      </c>
      <c r="C6337" s="403" t="s">
        <v>584</v>
      </c>
      <c r="D6337" s="488" t="s">
        <v>1829</v>
      </c>
      <c r="E6337" s="403" t="s">
        <v>1828</v>
      </c>
      <c r="F6337" s="403" t="s">
        <v>1441</v>
      </c>
      <c r="G6337" s="403" t="s">
        <v>1466</v>
      </c>
      <c r="H6337" s="403" t="s">
        <v>1276</v>
      </c>
      <c r="I6337" s="403">
        <v>2</v>
      </c>
      <c r="J6337" s="403" t="s">
        <v>1451</v>
      </c>
      <c r="K6337" s="403">
        <v>1536</v>
      </c>
      <c r="L6337" s="403">
        <v>864</v>
      </c>
      <c r="M6337" s="403" t="s">
        <v>111</v>
      </c>
      <c r="N6337" s="403">
        <v>768</v>
      </c>
      <c r="O6337" s="403">
        <v>432</v>
      </c>
      <c r="P6337" t="str">
        <f t="shared" si="793"/>
        <v>12fps 1536x864 - SD</v>
      </c>
      <c r="Q6337">
        <f t="shared" si="794"/>
        <v>34</v>
      </c>
      <c r="R6337" t="str">
        <f t="shared" si="795"/>
        <v/>
      </c>
      <c r="S6337" t="str">
        <f t="shared" si="796"/>
        <v/>
      </c>
      <c r="T6337" s="403" t="str">
        <f t="shared" si="797"/>
        <v>NFN-60122-F2</v>
      </c>
      <c r="U6337" s="403">
        <f t="shared" si="798"/>
        <v>2</v>
      </c>
      <c r="V6337" s="403" t="str">
        <f t="shared" si="799"/>
        <v>CPP_6</v>
      </c>
    </row>
    <row r="6338" spans="1:22">
      <c r="A6338" t="str">
        <f t="shared" si="792"/>
        <v>NFN-60122-F2</v>
      </c>
      <c r="B6338" s="488" t="s">
        <v>1825</v>
      </c>
      <c r="C6338" s="403" t="s">
        <v>584</v>
      </c>
      <c r="D6338" s="488" t="s">
        <v>1829</v>
      </c>
      <c r="E6338" s="403" t="s">
        <v>1828</v>
      </c>
      <c r="F6338" s="403" t="s">
        <v>1441</v>
      </c>
      <c r="G6338" s="403" t="s">
        <v>1466</v>
      </c>
      <c r="H6338" s="403" t="s">
        <v>1276</v>
      </c>
      <c r="I6338" s="403">
        <v>3</v>
      </c>
      <c r="J6338" s="403" t="s">
        <v>109</v>
      </c>
      <c r="K6338" s="403">
        <v>1280</v>
      </c>
      <c r="L6338" s="403">
        <v>720</v>
      </c>
      <c r="M6338" s="403" t="s">
        <v>1280</v>
      </c>
      <c r="N6338" s="403">
        <v>1280</v>
      </c>
      <c r="O6338" s="403">
        <v>720</v>
      </c>
      <c r="P6338" t="str">
        <f t="shared" si="793"/>
        <v>12fps 720p - copy other stream</v>
      </c>
      <c r="Q6338">
        <f t="shared" si="794"/>
        <v>34</v>
      </c>
      <c r="R6338" t="str">
        <f t="shared" si="795"/>
        <v/>
      </c>
      <c r="S6338" t="str">
        <f t="shared" si="796"/>
        <v/>
      </c>
      <c r="T6338" s="403" t="str">
        <f t="shared" si="797"/>
        <v>NFN-60122-F2</v>
      </c>
      <c r="U6338" s="403">
        <f t="shared" si="798"/>
        <v>3</v>
      </c>
      <c r="V6338" s="403" t="str">
        <f t="shared" si="799"/>
        <v>CPP_6</v>
      </c>
    </row>
    <row r="6339" spans="1:22">
      <c r="A6339" t="str">
        <f t="shared" si="792"/>
        <v>NFN-60122-F2</v>
      </c>
      <c r="B6339" s="488" t="s">
        <v>1825</v>
      </c>
      <c r="C6339" s="403" t="s">
        <v>584</v>
      </c>
      <c r="D6339" s="488" t="s">
        <v>1829</v>
      </c>
      <c r="E6339" s="403" t="s">
        <v>1828</v>
      </c>
      <c r="F6339" s="403" t="s">
        <v>1441</v>
      </c>
      <c r="G6339" s="403" t="s">
        <v>1466</v>
      </c>
      <c r="H6339" s="403" t="s">
        <v>1276</v>
      </c>
      <c r="I6339" s="403">
        <v>3</v>
      </c>
      <c r="J6339" s="403" t="s">
        <v>109</v>
      </c>
      <c r="K6339" s="403">
        <v>1280</v>
      </c>
      <c r="L6339" s="403">
        <v>720</v>
      </c>
      <c r="M6339" s="403" t="s">
        <v>111</v>
      </c>
      <c r="N6339" s="403">
        <v>768</v>
      </c>
      <c r="O6339" s="403">
        <v>432</v>
      </c>
      <c r="P6339" t="str">
        <f t="shared" si="793"/>
        <v>12fps 720p - SD</v>
      </c>
      <c r="Q6339">
        <f t="shared" si="794"/>
        <v>34</v>
      </c>
      <c r="R6339" t="str">
        <f t="shared" si="795"/>
        <v/>
      </c>
      <c r="S6339" t="str">
        <f t="shared" si="796"/>
        <v/>
      </c>
      <c r="T6339" s="403" t="str">
        <f t="shared" si="797"/>
        <v>NFN-60122-F2</v>
      </c>
      <c r="U6339" s="403">
        <f t="shared" si="798"/>
        <v>3</v>
      </c>
      <c r="V6339" s="403" t="str">
        <f t="shared" si="799"/>
        <v>CPP_6</v>
      </c>
    </row>
    <row r="6340" spans="1:22">
      <c r="A6340" t="str">
        <f t="shared" si="792"/>
        <v>NFN-60122-F0</v>
      </c>
      <c r="B6340" s="488" t="s">
        <v>1826</v>
      </c>
      <c r="C6340" s="403" t="s">
        <v>584</v>
      </c>
      <c r="D6340" s="488" t="s">
        <v>1830</v>
      </c>
      <c r="E6340" s="403" t="s">
        <v>778</v>
      </c>
      <c r="F6340" s="403" t="s">
        <v>1453</v>
      </c>
      <c r="G6340" s="403" t="s">
        <v>1466</v>
      </c>
      <c r="H6340" s="403" t="s">
        <v>1276</v>
      </c>
      <c r="I6340" s="403">
        <v>1</v>
      </c>
      <c r="J6340" s="403" t="s">
        <v>1454</v>
      </c>
      <c r="K6340" s="403">
        <v>3648</v>
      </c>
      <c r="L6340" s="403">
        <v>2160</v>
      </c>
      <c r="M6340" s="403" t="s">
        <v>1280</v>
      </c>
      <c r="N6340" s="403">
        <v>3648</v>
      </c>
      <c r="O6340" s="403">
        <v>2160</v>
      </c>
      <c r="P6340" t="str">
        <f t="shared" si="793"/>
        <v>12fps 3648x2160 - copy other stream</v>
      </c>
      <c r="Q6340">
        <f t="shared" si="794"/>
        <v>35</v>
      </c>
      <c r="R6340">
        <f t="shared" si="795"/>
        <v>35</v>
      </c>
      <c r="S6340" t="str">
        <f t="shared" si="796"/>
        <v>FLEXIDOME IP panoramic 6000 MP (180) (NFN-60122-F0)</v>
      </c>
      <c r="T6340" s="403" t="str">
        <f t="shared" si="797"/>
        <v>NFN-60122-F0</v>
      </c>
      <c r="U6340" s="403">
        <f t="shared" si="798"/>
        <v>1</v>
      </c>
      <c r="V6340" s="403" t="str">
        <f t="shared" si="799"/>
        <v>CPP_6</v>
      </c>
    </row>
    <row r="6341" spans="1:22">
      <c r="A6341" t="str">
        <f t="shared" si="792"/>
        <v>NFN-60122-F0</v>
      </c>
      <c r="B6341" s="488" t="s">
        <v>1826</v>
      </c>
      <c r="C6341" s="403" t="s">
        <v>584</v>
      </c>
      <c r="D6341" s="488" t="s">
        <v>1830</v>
      </c>
      <c r="E6341" s="403" t="s">
        <v>778</v>
      </c>
      <c r="F6341" s="403" t="s">
        <v>1453</v>
      </c>
      <c r="G6341" s="403" t="s">
        <v>1466</v>
      </c>
      <c r="H6341" s="403" t="s">
        <v>1276</v>
      </c>
      <c r="I6341" s="403">
        <v>1</v>
      </c>
      <c r="J6341" s="403" t="s">
        <v>1454</v>
      </c>
      <c r="K6341" s="403">
        <v>3648</v>
      </c>
      <c r="L6341" s="403">
        <v>2160</v>
      </c>
      <c r="M6341" s="403" t="s">
        <v>1454</v>
      </c>
      <c r="N6341" s="403">
        <v>3648</v>
      </c>
      <c r="O6341" s="403">
        <v>2160</v>
      </c>
      <c r="P6341" t="str">
        <f t="shared" si="793"/>
        <v>12fps 3648x2160 - 3648x2160</v>
      </c>
      <c r="Q6341">
        <f t="shared" si="794"/>
        <v>35</v>
      </c>
      <c r="R6341" t="str">
        <f t="shared" si="795"/>
        <v/>
      </c>
      <c r="S6341" t="str">
        <f t="shared" si="796"/>
        <v/>
      </c>
      <c r="T6341" s="403" t="str">
        <f t="shared" si="797"/>
        <v>NFN-60122-F0</v>
      </c>
      <c r="U6341" s="403">
        <f t="shared" si="798"/>
        <v>1</v>
      </c>
      <c r="V6341" s="403" t="str">
        <f t="shared" si="799"/>
        <v>CPP_6</v>
      </c>
    </row>
    <row r="6342" spans="1:22">
      <c r="A6342" t="str">
        <f t="shared" si="792"/>
        <v>NFN-60122-F0</v>
      </c>
      <c r="B6342" s="488" t="s">
        <v>1826</v>
      </c>
      <c r="C6342" s="403" t="s">
        <v>584</v>
      </c>
      <c r="D6342" s="488" t="s">
        <v>1830</v>
      </c>
      <c r="E6342" s="403" t="s">
        <v>778</v>
      </c>
      <c r="F6342" s="403" t="s">
        <v>1453</v>
      </c>
      <c r="G6342" s="403" t="s">
        <v>1466</v>
      </c>
      <c r="H6342" s="403" t="s">
        <v>1276</v>
      </c>
      <c r="I6342" s="403">
        <v>1</v>
      </c>
      <c r="J6342" s="403" t="s">
        <v>1454</v>
      </c>
      <c r="K6342" s="403">
        <v>3648</v>
      </c>
      <c r="L6342" s="403">
        <v>2160</v>
      </c>
      <c r="M6342" s="403" t="s">
        <v>1455</v>
      </c>
      <c r="N6342" s="403">
        <v>1824</v>
      </c>
      <c r="O6342" s="403">
        <v>1080</v>
      </c>
      <c r="P6342" t="str">
        <f t="shared" si="793"/>
        <v>12fps 3648x2160 - 1824x1080</v>
      </c>
      <c r="Q6342">
        <f t="shared" si="794"/>
        <v>35</v>
      </c>
      <c r="R6342" t="str">
        <f t="shared" si="795"/>
        <v/>
      </c>
      <c r="S6342" t="str">
        <f t="shared" si="796"/>
        <v/>
      </c>
      <c r="T6342" s="403" t="str">
        <f t="shared" si="797"/>
        <v>NFN-60122-F0</v>
      </c>
      <c r="U6342" s="403">
        <f t="shared" si="798"/>
        <v>1</v>
      </c>
      <c r="V6342" s="403" t="str">
        <f t="shared" si="799"/>
        <v>CPP_6</v>
      </c>
    </row>
    <row r="6343" spans="1:22">
      <c r="A6343" t="str">
        <f t="shared" si="792"/>
        <v>NFN-60122-F0</v>
      </c>
      <c r="B6343" s="488" t="s">
        <v>1826</v>
      </c>
      <c r="C6343" s="403" t="s">
        <v>584</v>
      </c>
      <c r="D6343" s="488" t="s">
        <v>1830</v>
      </c>
      <c r="E6343" s="403" t="s">
        <v>778</v>
      </c>
      <c r="F6343" s="403" t="s">
        <v>1453</v>
      </c>
      <c r="G6343" s="403" t="s">
        <v>1466</v>
      </c>
      <c r="H6343" s="403" t="s">
        <v>1276</v>
      </c>
      <c r="I6343" s="403">
        <v>1</v>
      </c>
      <c r="J6343" s="403" t="s">
        <v>1454</v>
      </c>
      <c r="K6343" s="403">
        <v>3648</v>
      </c>
      <c r="L6343" s="403">
        <v>2160</v>
      </c>
      <c r="M6343" s="403" t="s">
        <v>1456</v>
      </c>
      <c r="N6343" s="403">
        <v>1216</v>
      </c>
      <c r="O6343" s="403">
        <v>720</v>
      </c>
      <c r="P6343" t="str">
        <f t="shared" si="793"/>
        <v>12fps 3648x2160 - 1216x720</v>
      </c>
      <c r="Q6343">
        <f t="shared" si="794"/>
        <v>35</v>
      </c>
      <c r="R6343" t="str">
        <f t="shared" si="795"/>
        <v/>
      </c>
      <c r="S6343" t="str">
        <f t="shared" si="796"/>
        <v/>
      </c>
      <c r="T6343" s="403" t="str">
        <f t="shared" si="797"/>
        <v>NFN-60122-F0</v>
      </c>
      <c r="U6343" s="403">
        <f t="shared" si="798"/>
        <v>1</v>
      </c>
      <c r="V6343" s="403" t="str">
        <f t="shared" si="799"/>
        <v>CPP_6</v>
      </c>
    </row>
    <row r="6344" spans="1:22">
      <c r="A6344" t="str">
        <f t="shared" si="792"/>
        <v>NFN-60122-F0</v>
      </c>
      <c r="B6344" s="488" t="s">
        <v>1826</v>
      </c>
      <c r="C6344" s="403" t="s">
        <v>584</v>
      </c>
      <c r="D6344" s="488" t="s">
        <v>1830</v>
      </c>
      <c r="E6344" s="403" t="s">
        <v>778</v>
      </c>
      <c r="F6344" s="403" t="s">
        <v>1453</v>
      </c>
      <c r="G6344" s="403" t="s">
        <v>1466</v>
      </c>
      <c r="H6344" s="403" t="s">
        <v>1276</v>
      </c>
      <c r="I6344" s="403">
        <v>1</v>
      </c>
      <c r="J6344" s="403" t="s">
        <v>1454</v>
      </c>
      <c r="K6344" s="403">
        <v>3648</v>
      </c>
      <c r="L6344" s="403">
        <v>2160</v>
      </c>
      <c r="M6344" s="403" t="s">
        <v>1457</v>
      </c>
      <c r="N6344" s="403">
        <v>608</v>
      </c>
      <c r="O6344" s="403">
        <v>360</v>
      </c>
      <c r="P6344" t="str">
        <f t="shared" si="793"/>
        <v>12fps 3648x2160 - 608x360</v>
      </c>
      <c r="Q6344">
        <f t="shared" si="794"/>
        <v>35</v>
      </c>
      <c r="R6344" t="str">
        <f t="shared" si="795"/>
        <v/>
      </c>
      <c r="S6344" t="str">
        <f t="shared" si="796"/>
        <v/>
      </c>
      <c r="T6344" s="403" t="str">
        <f t="shared" si="797"/>
        <v>NFN-60122-F0</v>
      </c>
      <c r="U6344" s="403">
        <f t="shared" si="798"/>
        <v>1</v>
      </c>
      <c r="V6344" s="403" t="str">
        <f t="shared" si="799"/>
        <v>CPP_6</v>
      </c>
    </row>
    <row r="6345" spans="1:22">
      <c r="A6345" t="str">
        <f t="shared" si="792"/>
        <v>NFN-60122-F0</v>
      </c>
      <c r="B6345" s="488" t="s">
        <v>1826</v>
      </c>
      <c r="C6345" s="403" t="s">
        <v>584</v>
      </c>
      <c r="D6345" s="488" t="s">
        <v>1830</v>
      </c>
      <c r="E6345" s="403" t="s">
        <v>778</v>
      </c>
      <c r="F6345" s="403" t="s">
        <v>1325</v>
      </c>
      <c r="G6345" s="403" t="s">
        <v>1466</v>
      </c>
      <c r="H6345" s="403" t="s">
        <v>1276</v>
      </c>
      <c r="I6345" s="403">
        <v>1</v>
      </c>
      <c r="J6345" s="403" t="s">
        <v>1454</v>
      </c>
      <c r="K6345" s="403">
        <v>3648</v>
      </c>
      <c r="L6345" s="403">
        <v>2160</v>
      </c>
      <c r="M6345" s="403" t="s">
        <v>1280</v>
      </c>
      <c r="N6345" s="403">
        <v>3648</v>
      </c>
      <c r="O6345" s="403">
        <v>2160</v>
      </c>
      <c r="P6345" t="str">
        <f t="shared" si="793"/>
        <v>25fps 3648x2160 - copy other stream</v>
      </c>
      <c r="Q6345">
        <f t="shared" si="794"/>
        <v>35</v>
      </c>
      <c r="R6345" t="str">
        <f t="shared" si="795"/>
        <v/>
      </c>
      <c r="S6345" t="str">
        <f t="shared" si="796"/>
        <v/>
      </c>
      <c r="T6345" s="403" t="str">
        <f t="shared" si="797"/>
        <v>NFN-60122-F0</v>
      </c>
      <c r="U6345" s="403">
        <f t="shared" si="798"/>
        <v>1</v>
      </c>
      <c r="V6345" s="403" t="str">
        <f t="shared" si="799"/>
        <v>CPP_6</v>
      </c>
    </row>
    <row r="6346" spans="1:22">
      <c r="A6346" t="str">
        <f t="shared" si="792"/>
        <v>NFN-60122-F0</v>
      </c>
      <c r="B6346" s="488" t="s">
        <v>1826</v>
      </c>
      <c r="C6346" s="403" t="s">
        <v>584</v>
      </c>
      <c r="D6346" s="488" t="s">
        <v>1830</v>
      </c>
      <c r="E6346" s="403" t="s">
        <v>778</v>
      </c>
      <c r="F6346" s="403" t="s">
        <v>1323</v>
      </c>
      <c r="G6346" s="403" t="s">
        <v>1466</v>
      </c>
      <c r="H6346" s="403" t="s">
        <v>1276</v>
      </c>
      <c r="I6346" s="403">
        <v>1</v>
      </c>
      <c r="J6346" s="403" t="s">
        <v>1454</v>
      </c>
      <c r="K6346" s="403">
        <v>3648</v>
      </c>
      <c r="L6346" s="403">
        <v>2160</v>
      </c>
      <c r="M6346" s="403" t="s">
        <v>1280</v>
      </c>
      <c r="N6346" s="403">
        <v>3648</v>
      </c>
      <c r="O6346" s="403">
        <v>2160</v>
      </c>
      <c r="P6346" t="str">
        <f t="shared" si="793"/>
        <v>30fps 3648x2160 - copy other stream</v>
      </c>
      <c r="Q6346">
        <f t="shared" si="794"/>
        <v>35</v>
      </c>
      <c r="R6346" t="str">
        <f t="shared" si="795"/>
        <v/>
      </c>
      <c r="S6346" t="str">
        <f t="shared" si="796"/>
        <v/>
      </c>
      <c r="T6346" s="403" t="str">
        <f t="shared" si="797"/>
        <v>NFN-60122-F0</v>
      </c>
      <c r="U6346" s="403">
        <f t="shared" si="798"/>
        <v>1</v>
      </c>
      <c r="V6346" s="403" t="str">
        <f t="shared" si="799"/>
        <v>CPP_6</v>
      </c>
    </row>
    <row r="6347" spans="1:22">
      <c r="A6347" t="str">
        <f t="shared" si="792"/>
        <v>NFN-60122-F0</v>
      </c>
      <c r="B6347" s="488" t="s">
        <v>1826</v>
      </c>
      <c r="C6347" s="403" t="s">
        <v>584</v>
      </c>
      <c r="D6347" s="488" t="s">
        <v>1830</v>
      </c>
      <c r="E6347" s="403" t="s">
        <v>778</v>
      </c>
      <c r="F6347" s="403" t="s">
        <v>1453</v>
      </c>
      <c r="G6347" s="403" t="s">
        <v>1466</v>
      </c>
      <c r="H6347" s="403" t="s">
        <v>1276</v>
      </c>
      <c r="I6347" s="403">
        <v>1</v>
      </c>
      <c r="J6347" s="403" t="s">
        <v>1454</v>
      </c>
      <c r="K6347" s="403">
        <v>3648</v>
      </c>
      <c r="L6347" s="403">
        <v>2160</v>
      </c>
      <c r="M6347" s="403" t="s">
        <v>1280</v>
      </c>
      <c r="N6347" s="403">
        <v>3648</v>
      </c>
      <c r="O6347" s="403">
        <v>2160</v>
      </c>
      <c r="P6347" t="str">
        <f t="shared" si="793"/>
        <v>12fps 3648x2160 - copy other stream</v>
      </c>
      <c r="Q6347">
        <f t="shared" si="794"/>
        <v>35</v>
      </c>
      <c r="R6347" t="str">
        <f t="shared" si="795"/>
        <v/>
      </c>
      <c r="S6347" t="str">
        <f t="shared" si="796"/>
        <v/>
      </c>
      <c r="T6347" s="403" t="str">
        <f t="shared" si="797"/>
        <v>NFN-60122-F0</v>
      </c>
      <c r="U6347" s="403">
        <f t="shared" si="798"/>
        <v>1</v>
      </c>
      <c r="V6347" s="403" t="str">
        <f t="shared" si="799"/>
        <v>CPP_6</v>
      </c>
    </row>
    <row r="6348" spans="1:22">
      <c r="A6348" t="str">
        <f t="shared" si="792"/>
        <v>NFN-60122-F0</v>
      </c>
      <c r="B6348" s="488" t="s">
        <v>1826</v>
      </c>
      <c r="C6348" s="403" t="s">
        <v>584</v>
      </c>
      <c r="D6348" s="488" t="s">
        <v>1830</v>
      </c>
      <c r="E6348" s="403" t="s">
        <v>778</v>
      </c>
      <c r="F6348" s="403" t="s">
        <v>1453</v>
      </c>
      <c r="G6348" s="403" t="s">
        <v>1466</v>
      </c>
      <c r="H6348" s="403" t="s">
        <v>1276</v>
      </c>
      <c r="I6348" s="403">
        <v>2</v>
      </c>
      <c r="J6348" s="403" t="s">
        <v>1458</v>
      </c>
      <c r="K6348" s="403">
        <v>2048</v>
      </c>
      <c r="L6348" s="403">
        <v>1152</v>
      </c>
      <c r="M6348" s="403" t="s">
        <v>1280</v>
      </c>
      <c r="N6348" s="403">
        <v>2048</v>
      </c>
      <c r="O6348" s="403">
        <v>1152</v>
      </c>
      <c r="P6348" t="str">
        <f t="shared" si="793"/>
        <v>12fps 2048x1152 - copy other stream</v>
      </c>
      <c r="Q6348">
        <f t="shared" si="794"/>
        <v>35</v>
      </c>
      <c r="R6348" t="str">
        <f t="shared" si="795"/>
        <v/>
      </c>
      <c r="S6348" t="str">
        <f t="shared" si="796"/>
        <v/>
      </c>
      <c r="T6348" s="403" t="str">
        <f t="shared" si="797"/>
        <v>NFN-60122-F0</v>
      </c>
      <c r="U6348" s="403">
        <f t="shared" si="798"/>
        <v>2</v>
      </c>
      <c r="V6348" s="403" t="str">
        <f t="shared" si="799"/>
        <v>CPP_6</v>
      </c>
    </row>
    <row r="6349" spans="1:22">
      <c r="A6349" t="str">
        <f t="shared" si="792"/>
        <v>NFN-60122-F0</v>
      </c>
      <c r="B6349" s="488" t="s">
        <v>1826</v>
      </c>
      <c r="C6349" s="403" t="s">
        <v>584</v>
      </c>
      <c r="D6349" s="488" t="s">
        <v>1830</v>
      </c>
      <c r="E6349" s="403" t="s">
        <v>778</v>
      </c>
      <c r="F6349" s="403" t="s">
        <v>1453</v>
      </c>
      <c r="G6349" s="403" t="s">
        <v>1466</v>
      </c>
      <c r="H6349" s="403" t="s">
        <v>1276</v>
      </c>
      <c r="I6349" s="403">
        <v>2</v>
      </c>
      <c r="J6349" s="403" t="s">
        <v>1458</v>
      </c>
      <c r="K6349" s="403">
        <v>2048</v>
      </c>
      <c r="L6349" s="403">
        <v>1152</v>
      </c>
      <c r="M6349" s="403" t="s">
        <v>111</v>
      </c>
      <c r="N6349" s="403">
        <v>768</v>
      </c>
      <c r="O6349" s="403">
        <v>432</v>
      </c>
      <c r="P6349" t="str">
        <f t="shared" si="793"/>
        <v>12fps 2048x1152 - SD</v>
      </c>
      <c r="Q6349">
        <f t="shared" si="794"/>
        <v>35</v>
      </c>
      <c r="R6349" t="str">
        <f t="shared" si="795"/>
        <v/>
      </c>
      <c r="S6349" t="str">
        <f t="shared" si="796"/>
        <v/>
      </c>
      <c r="T6349" s="403" t="str">
        <f t="shared" si="797"/>
        <v>NFN-60122-F0</v>
      </c>
      <c r="U6349" s="403">
        <f t="shared" si="798"/>
        <v>2</v>
      </c>
      <c r="V6349" s="403" t="str">
        <f t="shared" si="799"/>
        <v>CPP_6</v>
      </c>
    </row>
    <row r="6350" spans="1:22">
      <c r="A6350" t="str">
        <f t="shared" si="792"/>
        <v>NFN-60122-F0</v>
      </c>
      <c r="B6350" s="488" t="s">
        <v>1826</v>
      </c>
      <c r="C6350" s="403" t="s">
        <v>584</v>
      </c>
      <c r="D6350" s="488" t="s">
        <v>1830</v>
      </c>
      <c r="E6350" s="403" t="s">
        <v>778</v>
      </c>
      <c r="F6350" s="403" t="s">
        <v>1453</v>
      </c>
      <c r="G6350" s="403" t="s">
        <v>1466</v>
      </c>
      <c r="H6350" s="403" t="s">
        <v>1276</v>
      </c>
      <c r="I6350" s="403">
        <v>3</v>
      </c>
      <c r="J6350" s="403" t="s">
        <v>109</v>
      </c>
      <c r="K6350" s="403">
        <v>1280</v>
      </c>
      <c r="L6350" s="403">
        <v>720</v>
      </c>
      <c r="M6350" s="403" t="s">
        <v>1280</v>
      </c>
      <c r="N6350" s="403">
        <v>1280</v>
      </c>
      <c r="O6350" s="403">
        <v>720</v>
      </c>
      <c r="P6350" t="str">
        <f t="shared" si="793"/>
        <v>12fps 720p - copy other stream</v>
      </c>
      <c r="Q6350">
        <f t="shared" si="794"/>
        <v>35</v>
      </c>
      <c r="R6350" t="str">
        <f t="shared" si="795"/>
        <v/>
      </c>
      <c r="S6350" t="str">
        <f t="shared" si="796"/>
        <v/>
      </c>
      <c r="T6350" s="403" t="str">
        <f t="shared" si="797"/>
        <v>NFN-60122-F0</v>
      </c>
      <c r="U6350" s="403">
        <f t="shared" si="798"/>
        <v>3</v>
      </c>
      <c r="V6350" s="403" t="str">
        <f t="shared" si="799"/>
        <v>CPP_6</v>
      </c>
    </row>
    <row r="6351" spans="1:22">
      <c r="A6351" t="str">
        <f t="shared" si="792"/>
        <v>NFN-60122-F0</v>
      </c>
      <c r="B6351" s="488" t="s">
        <v>1826</v>
      </c>
      <c r="C6351" s="403" t="s">
        <v>584</v>
      </c>
      <c r="D6351" s="488" t="s">
        <v>1830</v>
      </c>
      <c r="E6351" s="403" t="s">
        <v>778</v>
      </c>
      <c r="F6351" s="403" t="s">
        <v>1453</v>
      </c>
      <c r="G6351" s="403" t="s">
        <v>1466</v>
      </c>
      <c r="H6351" s="403" t="s">
        <v>1276</v>
      </c>
      <c r="I6351" s="403">
        <v>3</v>
      </c>
      <c r="J6351" s="403" t="s">
        <v>109</v>
      </c>
      <c r="K6351" s="403">
        <v>1280</v>
      </c>
      <c r="L6351" s="403">
        <v>720</v>
      </c>
      <c r="M6351" s="403" t="s">
        <v>111</v>
      </c>
      <c r="N6351" s="403">
        <v>768</v>
      </c>
      <c r="O6351" s="403">
        <v>432</v>
      </c>
      <c r="P6351" t="str">
        <f t="shared" si="793"/>
        <v>12fps 720p - SD</v>
      </c>
      <c r="Q6351">
        <f t="shared" si="794"/>
        <v>35</v>
      </c>
      <c r="R6351" t="str">
        <f t="shared" si="795"/>
        <v/>
      </c>
      <c r="S6351" t="str">
        <f t="shared" si="796"/>
        <v/>
      </c>
      <c r="T6351" s="403" t="str">
        <f t="shared" si="797"/>
        <v>NFN-60122-F0</v>
      </c>
      <c r="U6351" s="403">
        <f t="shared" si="798"/>
        <v>3</v>
      </c>
      <c r="V6351" s="403" t="str">
        <f t="shared" si="799"/>
        <v>CPP_6</v>
      </c>
    </row>
    <row r="6352" spans="1:22">
      <c r="A6352" t="str">
        <f t="shared" si="784"/>
        <v>NIN-73023-AxA</v>
      </c>
      <c r="B6352" s="403" t="s">
        <v>1459</v>
      </c>
      <c r="C6352" s="403" t="s">
        <v>583</v>
      </c>
      <c r="D6352" s="403" t="s">
        <v>1311</v>
      </c>
      <c r="E6352" s="403" t="s">
        <v>1312</v>
      </c>
      <c r="F6352" s="403" t="s">
        <v>1286</v>
      </c>
      <c r="G6352" s="403" t="s">
        <v>1466</v>
      </c>
      <c r="H6352" s="403" t="s">
        <v>1276</v>
      </c>
      <c r="I6352" s="403">
        <v>1</v>
      </c>
      <c r="J6352" s="403" t="s">
        <v>110</v>
      </c>
      <c r="K6352" s="403">
        <v>1920</v>
      </c>
      <c r="L6352" s="403">
        <v>1080</v>
      </c>
      <c r="M6352" s="403" t="s">
        <v>111</v>
      </c>
      <c r="N6352" s="403">
        <v>768</v>
      </c>
      <c r="O6352" s="403">
        <v>432</v>
      </c>
      <c r="P6352" t="str">
        <f t="shared" si="785"/>
        <v>30fps 1080p - SD</v>
      </c>
      <c r="Q6352">
        <f>IF(A6311=A6352,Q6311,Q6311+1)</f>
        <v>34</v>
      </c>
      <c r="R6352">
        <f>IF(Q6311&lt;&gt;Q6352,Q6352,"")</f>
        <v>34</v>
      </c>
      <c r="S6352" t="str">
        <f t="shared" si="788"/>
        <v>FLEXIDOME IP starlight 7000 VR (NIN-73023-AxA)</v>
      </c>
      <c r="T6352" s="403" t="str">
        <f t="shared" si="789"/>
        <v>NIN-73023-AxA</v>
      </c>
      <c r="U6352" s="403">
        <f t="shared" si="790"/>
        <v>1</v>
      </c>
      <c r="V6352" s="403" t="str">
        <f t="shared" si="791"/>
        <v>CPP_7</v>
      </c>
    </row>
    <row r="6353" spans="1:22">
      <c r="A6353" t="str">
        <f t="shared" si="784"/>
        <v>NIN-73023-AxA</v>
      </c>
      <c r="B6353" s="403" t="s">
        <v>1459</v>
      </c>
      <c r="C6353" s="403" t="s">
        <v>583</v>
      </c>
      <c r="D6353" s="403" t="s">
        <v>1311</v>
      </c>
      <c r="E6353" s="403" t="s">
        <v>1312</v>
      </c>
      <c r="F6353" s="403" t="s">
        <v>1286</v>
      </c>
      <c r="G6353" s="403" t="s">
        <v>1466</v>
      </c>
      <c r="H6353" s="403" t="s">
        <v>1276</v>
      </c>
      <c r="I6353" s="403">
        <v>1</v>
      </c>
      <c r="J6353" s="403" t="s">
        <v>110</v>
      </c>
      <c r="K6353" s="403">
        <v>1920</v>
      </c>
      <c r="L6353" s="403">
        <v>1080</v>
      </c>
      <c r="M6353" s="403" t="s">
        <v>110</v>
      </c>
      <c r="N6353" s="403">
        <v>1920</v>
      </c>
      <c r="O6353" s="403">
        <v>1080</v>
      </c>
      <c r="P6353" t="str">
        <f t="shared" si="785"/>
        <v>30fps 1080p - 1080p</v>
      </c>
      <c r="Q6353">
        <f t="shared" si="786"/>
        <v>34</v>
      </c>
      <c r="R6353" t="str">
        <f t="shared" si="787"/>
        <v/>
      </c>
      <c r="S6353" t="str">
        <f t="shared" si="788"/>
        <v/>
      </c>
      <c r="T6353" s="403" t="str">
        <f t="shared" si="789"/>
        <v>NIN-73023-AxA</v>
      </c>
      <c r="U6353" s="403">
        <f t="shared" si="790"/>
        <v>1</v>
      </c>
      <c r="V6353" s="403" t="str">
        <f t="shared" si="791"/>
        <v>CPP_7</v>
      </c>
    </row>
    <row r="6354" spans="1:22">
      <c r="A6354" t="str">
        <f t="shared" si="784"/>
        <v>NIN-73023-AxA</v>
      </c>
      <c r="B6354" s="403" t="s">
        <v>1459</v>
      </c>
      <c r="C6354" s="403" t="s">
        <v>583</v>
      </c>
      <c r="D6354" s="403" t="s">
        <v>1311</v>
      </c>
      <c r="E6354" s="403" t="s">
        <v>1312</v>
      </c>
      <c r="F6354" s="403" t="s">
        <v>1286</v>
      </c>
      <c r="G6354" s="403" t="s">
        <v>1466</v>
      </c>
      <c r="H6354" s="403" t="s">
        <v>1276</v>
      </c>
      <c r="I6354" s="403">
        <v>1</v>
      </c>
      <c r="J6354" s="403" t="s">
        <v>110</v>
      </c>
      <c r="K6354" s="403">
        <v>1920</v>
      </c>
      <c r="L6354" s="403">
        <v>1080</v>
      </c>
      <c r="M6354" s="403" t="s">
        <v>109</v>
      </c>
      <c r="N6354" s="403">
        <v>1280</v>
      </c>
      <c r="O6354" s="403">
        <v>720</v>
      </c>
      <c r="P6354" t="str">
        <f t="shared" si="785"/>
        <v>30fps 1080p - 720p</v>
      </c>
      <c r="Q6354">
        <f t="shared" si="786"/>
        <v>34</v>
      </c>
      <c r="R6354" t="str">
        <f t="shared" si="787"/>
        <v/>
      </c>
      <c r="S6354" t="str">
        <f t="shared" si="788"/>
        <v/>
      </c>
      <c r="T6354" s="403" t="str">
        <f t="shared" si="789"/>
        <v>NIN-73023-AxA</v>
      </c>
      <c r="U6354" s="403">
        <f t="shared" si="790"/>
        <v>1</v>
      </c>
      <c r="V6354" s="403" t="str">
        <f t="shared" si="791"/>
        <v>CPP_7</v>
      </c>
    </row>
    <row r="6355" spans="1:22">
      <c r="A6355" t="str">
        <f t="shared" si="784"/>
        <v>NIN-73023-AxA</v>
      </c>
      <c r="B6355" s="403" t="s">
        <v>1459</v>
      </c>
      <c r="C6355" s="403" t="s">
        <v>583</v>
      </c>
      <c r="D6355" s="403" t="s">
        <v>1311</v>
      </c>
      <c r="E6355" s="403" t="s">
        <v>1312</v>
      </c>
      <c r="F6355" s="403" t="s">
        <v>1286</v>
      </c>
      <c r="G6355" s="403" t="s">
        <v>1466</v>
      </c>
      <c r="H6355" s="403" t="s">
        <v>1276</v>
      </c>
      <c r="I6355" s="403">
        <v>1</v>
      </c>
      <c r="J6355" s="403" t="s">
        <v>110</v>
      </c>
      <c r="K6355" s="403">
        <v>1920</v>
      </c>
      <c r="L6355" s="403">
        <v>1080</v>
      </c>
      <c r="M6355" s="403" t="s">
        <v>1285</v>
      </c>
      <c r="N6355" s="403">
        <v>1280</v>
      </c>
      <c r="O6355" s="403">
        <v>1024</v>
      </c>
      <c r="P6355" t="str">
        <f t="shared" si="785"/>
        <v>30fps 1080p - 1280x1024 5:4 (cropped)</v>
      </c>
      <c r="Q6355">
        <f t="shared" si="786"/>
        <v>34</v>
      </c>
      <c r="R6355" t="str">
        <f t="shared" si="787"/>
        <v/>
      </c>
      <c r="S6355" t="str">
        <f t="shared" si="788"/>
        <v/>
      </c>
      <c r="T6355" s="403" t="str">
        <f t="shared" si="789"/>
        <v>NIN-73023-AxA</v>
      </c>
      <c r="U6355" s="403">
        <f t="shared" si="790"/>
        <v>1</v>
      </c>
      <c r="V6355" s="403" t="str">
        <f t="shared" si="791"/>
        <v>CPP_7</v>
      </c>
    </row>
    <row r="6356" spans="1:22">
      <c r="A6356" t="str">
        <f t="shared" si="784"/>
        <v>NIN-73023-AxA</v>
      </c>
      <c r="B6356" s="403" t="s">
        <v>1459</v>
      </c>
      <c r="C6356" s="403" t="s">
        <v>583</v>
      </c>
      <c r="D6356" s="403" t="s">
        <v>1311</v>
      </c>
      <c r="E6356" s="403" t="s">
        <v>1312</v>
      </c>
      <c r="F6356" s="403" t="s">
        <v>1286</v>
      </c>
      <c r="G6356" s="403" t="s">
        <v>1466</v>
      </c>
      <c r="H6356" s="403" t="s">
        <v>1276</v>
      </c>
      <c r="I6356" s="403">
        <v>1</v>
      </c>
      <c r="J6356" s="403" t="s">
        <v>110</v>
      </c>
      <c r="K6356" s="403">
        <v>1920</v>
      </c>
      <c r="L6356" s="403">
        <v>1080</v>
      </c>
      <c r="M6356" s="403" t="s">
        <v>1309</v>
      </c>
      <c r="N6356" s="403">
        <v>1280</v>
      </c>
      <c r="O6356" s="403">
        <v>960</v>
      </c>
      <c r="P6356" t="str">
        <f t="shared" si="785"/>
        <v>30fps 1080p - 1280x960 4:3 (cropped)</v>
      </c>
      <c r="Q6356">
        <f t="shared" si="786"/>
        <v>34</v>
      </c>
      <c r="R6356" t="str">
        <f t="shared" si="787"/>
        <v/>
      </c>
      <c r="S6356" t="str">
        <f t="shared" si="788"/>
        <v/>
      </c>
      <c r="T6356" s="403" t="str">
        <f t="shared" si="789"/>
        <v>NIN-73023-AxA</v>
      </c>
      <c r="U6356" s="403">
        <f t="shared" si="790"/>
        <v>1</v>
      </c>
      <c r="V6356" s="403" t="str">
        <f t="shared" si="791"/>
        <v>CPP_7</v>
      </c>
    </row>
    <row r="6357" spans="1:22">
      <c r="A6357" t="str">
        <f t="shared" si="784"/>
        <v>NIN-73023-AxA</v>
      </c>
      <c r="B6357" s="403" t="s">
        <v>1459</v>
      </c>
      <c r="C6357" s="403" t="s">
        <v>583</v>
      </c>
      <c r="D6357" s="403" t="s">
        <v>1311</v>
      </c>
      <c r="E6357" s="403" t="s">
        <v>1312</v>
      </c>
      <c r="F6357" s="403" t="s">
        <v>1286</v>
      </c>
      <c r="G6357" s="403" t="s">
        <v>1466</v>
      </c>
      <c r="H6357" s="403" t="s">
        <v>1276</v>
      </c>
      <c r="I6357" s="403">
        <v>1</v>
      </c>
      <c r="J6357" s="403" t="s">
        <v>110</v>
      </c>
      <c r="K6357" s="403">
        <v>1920</v>
      </c>
      <c r="L6357" s="403">
        <v>1080</v>
      </c>
      <c r="M6357" s="403" t="s">
        <v>1279</v>
      </c>
      <c r="N6357" s="403">
        <v>768</v>
      </c>
      <c r="O6357" s="403">
        <v>432</v>
      </c>
      <c r="P6357" t="str">
        <f t="shared" si="785"/>
        <v>30fps 1080p - SD ROI PTZ</v>
      </c>
      <c r="Q6357">
        <f t="shared" si="786"/>
        <v>34</v>
      </c>
      <c r="R6357" t="str">
        <f t="shared" si="787"/>
        <v/>
      </c>
      <c r="S6357" t="str">
        <f t="shared" si="788"/>
        <v/>
      </c>
      <c r="T6357" s="403" t="str">
        <f t="shared" si="789"/>
        <v>NIN-73023-AxA</v>
      </c>
      <c r="U6357" s="403">
        <f t="shared" si="790"/>
        <v>1</v>
      </c>
      <c r="V6357" s="403" t="str">
        <f t="shared" si="791"/>
        <v>CPP_7</v>
      </c>
    </row>
    <row r="6358" spans="1:22">
      <c r="A6358" t="str">
        <f t="shared" si="784"/>
        <v>NIN-73023-AxA</v>
      </c>
      <c r="B6358" s="403" t="s">
        <v>1459</v>
      </c>
      <c r="C6358" s="403" t="s">
        <v>583</v>
      </c>
      <c r="D6358" s="403" t="s">
        <v>1311</v>
      </c>
      <c r="E6358" s="403" t="s">
        <v>1312</v>
      </c>
      <c r="F6358" s="403" t="s">
        <v>1286</v>
      </c>
      <c r="G6358" s="403" t="s">
        <v>1466</v>
      </c>
      <c r="H6358" s="403" t="s">
        <v>1276</v>
      </c>
      <c r="I6358" s="403">
        <v>1</v>
      </c>
      <c r="J6358" s="403" t="s">
        <v>110</v>
      </c>
      <c r="K6358" s="403">
        <v>1920</v>
      </c>
      <c r="L6358" s="403">
        <v>1080</v>
      </c>
      <c r="M6358" s="403" t="s">
        <v>1298</v>
      </c>
      <c r="N6358" s="403">
        <v>768</v>
      </c>
      <c r="O6358" s="403">
        <v>432</v>
      </c>
      <c r="P6358" t="str">
        <f t="shared" si="785"/>
        <v>30fps 1080p - SD dual stream with independent ROI PTZ</v>
      </c>
      <c r="Q6358">
        <f t="shared" si="786"/>
        <v>34</v>
      </c>
      <c r="R6358" t="str">
        <f t="shared" si="787"/>
        <v/>
      </c>
      <c r="S6358" t="str">
        <f t="shared" si="788"/>
        <v/>
      </c>
      <c r="T6358" s="403" t="str">
        <f t="shared" si="789"/>
        <v>NIN-73023-AxA</v>
      </c>
      <c r="U6358" s="403">
        <f t="shared" si="790"/>
        <v>1</v>
      </c>
      <c r="V6358" s="403" t="str">
        <f t="shared" si="791"/>
        <v>CPP_7</v>
      </c>
    </row>
    <row r="6359" spans="1:22">
      <c r="A6359" t="str">
        <f t="shared" si="784"/>
        <v>NIN-73023-AxA</v>
      </c>
      <c r="B6359" s="403" t="s">
        <v>1459</v>
      </c>
      <c r="C6359" s="403" t="s">
        <v>583</v>
      </c>
      <c r="D6359" s="403" t="s">
        <v>1311</v>
      </c>
      <c r="E6359" s="403" t="s">
        <v>1312</v>
      </c>
      <c r="F6359" s="403" t="s">
        <v>1286</v>
      </c>
      <c r="G6359" s="403" t="s">
        <v>1466</v>
      </c>
      <c r="H6359" s="403" t="s">
        <v>1276</v>
      </c>
      <c r="I6359" s="403">
        <v>1</v>
      </c>
      <c r="J6359" s="403" t="s">
        <v>110</v>
      </c>
      <c r="K6359" s="403">
        <v>1920</v>
      </c>
      <c r="L6359" s="403">
        <v>1080</v>
      </c>
      <c r="M6359" s="403" t="s">
        <v>1283</v>
      </c>
      <c r="N6359" s="403">
        <v>704</v>
      </c>
      <c r="O6359" s="403">
        <v>480</v>
      </c>
      <c r="P6359" t="str">
        <f t="shared" si="785"/>
        <v>30fps 1080p - SD 4CIF resolution 4:3 format (cropped)</v>
      </c>
      <c r="Q6359">
        <f t="shared" si="786"/>
        <v>34</v>
      </c>
      <c r="R6359" t="str">
        <f t="shared" si="787"/>
        <v/>
      </c>
      <c r="S6359" t="str">
        <f t="shared" si="788"/>
        <v/>
      </c>
      <c r="T6359" s="403" t="str">
        <f t="shared" si="789"/>
        <v>NIN-73023-AxA</v>
      </c>
      <c r="U6359" s="403">
        <f t="shared" si="790"/>
        <v>1</v>
      </c>
      <c r="V6359" s="403" t="str">
        <f t="shared" si="791"/>
        <v>CPP_7</v>
      </c>
    </row>
    <row r="6360" spans="1:22">
      <c r="A6360" t="str">
        <f t="shared" si="784"/>
        <v>NIN-73023-AxA</v>
      </c>
      <c r="B6360" s="403" t="s">
        <v>1459</v>
      </c>
      <c r="C6360" s="403" t="s">
        <v>583</v>
      </c>
      <c r="D6360" s="403" t="s">
        <v>1311</v>
      </c>
      <c r="E6360" s="403" t="s">
        <v>1312</v>
      </c>
      <c r="F6360" s="403" t="s">
        <v>1286</v>
      </c>
      <c r="G6360" s="403" t="s">
        <v>1466</v>
      </c>
      <c r="H6360" s="403" t="s">
        <v>1276</v>
      </c>
      <c r="I6360" s="403">
        <v>1</v>
      </c>
      <c r="J6360" s="403" t="s">
        <v>110</v>
      </c>
      <c r="K6360" s="403">
        <v>1920</v>
      </c>
      <c r="L6360" s="403">
        <v>1080</v>
      </c>
      <c r="M6360" s="403" t="s">
        <v>1284</v>
      </c>
      <c r="N6360" s="403">
        <v>640</v>
      </c>
      <c r="O6360" s="403">
        <v>480</v>
      </c>
      <c r="P6360" t="str">
        <f t="shared" si="785"/>
        <v>30fps 1080p - SD VGA (cropped)</v>
      </c>
      <c r="Q6360">
        <f t="shared" si="786"/>
        <v>34</v>
      </c>
      <c r="R6360" t="str">
        <f t="shared" si="787"/>
        <v/>
      </c>
      <c r="S6360" t="str">
        <f t="shared" si="788"/>
        <v/>
      </c>
      <c r="T6360" s="403" t="str">
        <f t="shared" si="789"/>
        <v>NIN-73023-AxA</v>
      </c>
      <c r="U6360" s="403">
        <f t="shared" si="790"/>
        <v>1</v>
      </c>
      <c r="V6360" s="403" t="str">
        <f t="shared" si="791"/>
        <v>CPP_7</v>
      </c>
    </row>
    <row r="6361" spans="1:22">
      <c r="A6361" t="str">
        <f t="shared" si="784"/>
        <v>NIN-73023-AxA</v>
      </c>
      <c r="B6361" s="403" t="s">
        <v>1459</v>
      </c>
      <c r="C6361" s="403" t="s">
        <v>583</v>
      </c>
      <c r="D6361" s="403" t="s">
        <v>1311</v>
      </c>
      <c r="E6361" s="403" t="s">
        <v>1312</v>
      </c>
      <c r="F6361" s="403" t="s">
        <v>1286</v>
      </c>
      <c r="G6361" s="403" t="s">
        <v>1466</v>
      </c>
      <c r="H6361" s="403" t="s">
        <v>1276</v>
      </c>
      <c r="I6361" s="403">
        <v>1</v>
      </c>
      <c r="J6361" s="403" t="s">
        <v>109</v>
      </c>
      <c r="K6361" s="403">
        <v>1280</v>
      </c>
      <c r="L6361" s="403">
        <v>720</v>
      </c>
      <c r="M6361" s="403" t="s">
        <v>111</v>
      </c>
      <c r="N6361" s="403">
        <v>768</v>
      </c>
      <c r="O6361" s="403">
        <v>432</v>
      </c>
      <c r="P6361" t="str">
        <f t="shared" si="785"/>
        <v>30fps 720p - SD</v>
      </c>
      <c r="Q6361">
        <f t="shared" si="786"/>
        <v>34</v>
      </c>
      <c r="R6361" t="str">
        <f t="shared" si="787"/>
        <v/>
      </c>
      <c r="S6361" t="str">
        <f t="shared" si="788"/>
        <v/>
      </c>
      <c r="T6361" s="403" t="str">
        <f t="shared" si="789"/>
        <v>NIN-73023-AxA</v>
      </c>
      <c r="U6361" s="403">
        <f t="shared" si="790"/>
        <v>1</v>
      </c>
      <c r="V6361" s="403" t="str">
        <f t="shared" si="791"/>
        <v>CPP_7</v>
      </c>
    </row>
    <row r="6362" spans="1:22">
      <c r="A6362" t="str">
        <f t="shared" si="784"/>
        <v>NIN-73023-AxA</v>
      </c>
      <c r="B6362" s="403" t="s">
        <v>1459</v>
      </c>
      <c r="C6362" s="403" t="s">
        <v>583</v>
      </c>
      <c r="D6362" s="403" t="s">
        <v>1311</v>
      </c>
      <c r="E6362" s="403" t="s">
        <v>1312</v>
      </c>
      <c r="F6362" s="403" t="s">
        <v>1286</v>
      </c>
      <c r="G6362" s="403" t="s">
        <v>1466</v>
      </c>
      <c r="H6362" s="403" t="s">
        <v>1276</v>
      </c>
      <c r="I6362" s="403">
        <v>1</v>
      </c>
      <c r="J6362" s="403" t="s">
        <v>109</v>
      </c>
      <c r="K6362" s="403">
        <v>1280</v>
      </c>
      <c r="L6362" s="403">
        <v>720</v>
      </c>
      <c r="M6362" s="403" t="s">
        <v>109</v>
      </c>
      <c r="N6362" s="403">
        <v>1280</v>
      </c>
      <c r="O6362" s="403">
        <v>720</v>
      </c>
      <c r="P6362" t="str">
        <f t="shared" si="785"/>
        <v>30fps 720p - 720p</v>
      </c>
      <c r="Q6362">
        <f t="shared" si="786"/>
        <v>34</v>
      </c>
      <c r="R6362" t="str">
        <f t="shared" si="787"/>
        <v/>
      </c>
      <c r="S6362" t="str">
        <f t="shared" si="788"/>
        <v/>
      </c>
      <c r="T6362" s="403" t="str">
        <f t="shared" si="789"/>
        <v>NIN-73023-AxA</v>
      </c>
      <c r="U6362" s="403">
        <f t="shared" si="790"/>
        <v>1</v>
      </c>
      <c r="V6362" s="403" t="str">
        <f t="shared" si="791"/>
        <v>CPP_7</v>
      </c>
    </row>
    <row r="6363" spans="1:22">
      <c r="A6363" t="str">
        <f t="shared" si="784"/>
        <v>NIN-73023-AxA</v>
      </c>
      <c r="B6363" s="403" t="s">
        <v>1459</v>
      </c>
      <c r="C6363" s="403" t="s">
        <v>583</v>
      </c>
      <c r="D6363" s="403" t="s">
        <v>1311</v>
      </c>
      <c r="E6363" s="403" t="s">
        <v>1312</v>
      </c>
      <c r="F6363" s="403" t="s">
        <v>1286</v>
      </c>
      <c r="G6363" s="403" t="s">
        <v>1466</v>
      </c>
      <c r="H6363" s="403" t="s">
        <v>1276</v>
      </c>
      <c r="I6363" s="403">
        <v>1</v>
      </c>
      <c r="J6363" s="403" t="s">
        <v>109</v>
      </c>
      <c r="K6363" s="403">
        <v>1280</v>
      </c>
      <c r="L6363" s="403">
        <v>720</v>
      </c>
      <c r="M6363" s="403" t="s">
        <v>1279</v>
      </c>
      <c r="N6363" s="403">
        <v>768</v>
      </c>
      <c r="O6363" s="403">
        <v>432</v>
      </c>
      <c r="P6363" t="str">
        <f t="shared" si="785"/>
        <v>30fps 720p - SD ROI PTZ</v>
      </c>
      <c r="Q6363">
        <f t="shared" si="786"/>
        <v>34</v>
      </c>
      <c r="R6363" t="str">
        <f t="shared" si="787"/>
        <v/>
      </c>
      <c r="S6363" t="str">
        <f t="shared" si="788"/>
        <v/>
      </c>
      <c r="T6363" s="403" t="str">
        <f t="shared" si="789"/>
        <v>NIN-73023-AxA</v>
      </c>
      <c r="U6363" s="403">
        <f t="shared" si="790"/>
        <v>1</v>
      </c>
      <c r="V6363" s="403" t="str">
        <f t="shared" si="791"/>
        <v>CPP_7</v>
      </c>
    </row>
    <row r="6364" spans="1:22">
      <c r="A6364" t="str">
        <f t="shared" si="784"/>
        <v>NIN-73023-AxA</v>
      </c>
      <c r="B6364" s="403" t="s">
        <v>1459</v>
      </c>
      <c r="C6364" s="403" t="s">
        <v>583</v>
      </c>
      <c r="D6364" s="403" t="s">
        <v>1311</v>
      </c>
      <c r="E6364" s="403" t="s">
        <v>1312</v>
      </c>
      <c r="F6364" s="403" t="s">
        <v>1286</v>
      </c>
      <c r="G6364" s="403" t="s">
        <v>1466</v>
      </c>
      <c r="H6364" s="403" t="s">
        <v>1276</v>
      </c>
      <c r="I6364" s="403">
        <v>1</v>
      </c>
      <c r="J6364" s="403" t="s">
        <v>109</v>
      </c>
      <c r="K6364" s="403">
        <v>1280</v>
      </c>
      <c r="L6364" s="403">
        <v>720</v>
      </c>
      <c r="M6364" s="403" t="s">
        <v>1298</v>
      </c>
      <c r="N6364" s="403">
        <v>768</v>
      </c>
      <c r="O6364" s="403">
        <v>432</v>
      </c>
      <c r="P6364" t="str">
        <f t="shared" si="785"/>
        <v>30fps 720p - SD dual stream with independent ROI PTZ</v>
      </c>
      <c r="Q6364">
        <f t="shared" si="786"/>
        <v>34</v>
      </c>
      <c r="R6364" t="str">
        <f t="shared" si="787"/>
        <v/>
      </c>
      <c r="S6364" t="str">
        <f t="shared" si="788"/>
        <v/>
      </c>
      <c r="T6364" s="403" t="str">
        <f t="shared" si="789"/>
        <v>NIN-73023-AxA</v>
      </c>
      <c r="U6364" s="403">
        <f t="shared" si="790"/>
        <v>1</v>
      </c>
      <c r="V6364" s="403" t="str">
        <f t="shared" si="791"/>
        <v>CPP_7</v>
      </c>
    </row>
    <row r="6365" spans="1:22">
      <c r="A6365" t="str">
        <f t="shared" si="784"/>
        <v>NIN-73023-AxA</v>
      </c>
      <c r="B6365" s="403" t="s">
        <v>1459</v>
      </c>
      <c r="C6365" s="403" t="s">
        <v>583</v>
      </c>
      <c r="D6365" s="403" t="s">
        <v>1311</v>
      </c>
      <c r="E6365" s="403" t="s">
        <v>1312</v>
      </c>
      <c r="F6365" s="403" t="s">
        <v>1286</v>
      </c>
      <c r="G6365" s="403" t="s">
        <v>1466</v>
      </c>
      <c r="H6365" s="403" t="s">
        <v>1276</v>
      </c>
      <c r="I6365" s="403">
        <v>1</v>
      </c>
      <c r="J6365" s="403" t="s">
        <v>109</v>
      </c>
      <c r="K6365" s="403">
        <v>1280</v>
      </c>
      <c r="L6365" s="403">
        <v>720</v>
      </c>
      <c r="M6365" s="403" t="s">
        <v>1283</v>
      </c>
      <c r="N6365" s="403">
        <v>704</v>
      </c>
      <c r="O6365" s="403">
        <v>480</v>
      </c>
      <c r="P6365" t="str">
        <f t="shared" si="785"/>
        <v>30fps 720p - SD 4CIF resolution 4:3 format (cropped)</v>
      </c>
      <c r="Q6365">
        <f t="shared" si="786"/>
        <v>34</v>
      </c>
      <c r="R6365" t="str">
        <f t="shared" si="787"/>
        <v/>
      </c>
      <c r="S6365" t="str">
        <f t="shared" si="788"/>
        <v/>
      </c>
      <c r="T6365" s="403" t="str">
        <f t="shared" si="789"/>
        <v>NIN-73023-AxA</v>
      </c>
      <c r="U6365" s="403">
        <f t="shared" si="790"/>
        <v>1</v>
      </c>
      <c r="V6365" s="403" t="str">
        <f t="shared" si="791"/>
        <v>CPP_7</v>
      </c>
    </row>
    <row r="6366" spans="1:22">
      <c r="A6366" t="str">
        <f t="shared" si="784"/>
        <v>NIN-73023-AxA</v>
      </c>
      <c r="B6366" s="403" t="s">
        <v>1459</v>
      </c>
      <c r="C6366" s="403" t="s">
        <v>583</v>
      </c>
      <c r="D6366" s="403" t="s">
        <v>1311</v>
      </c>
      <c r="E6366" s="403" t="s">
        <v>1312</v>
      </c>
      <c r="F6366" s="403" t="s">
        <v>1286</v>
      </c>
      <c r="G6366" s="403" t="s">
        <v>1466</v>
      </c>
      <c r="H6366" s="403" t="s">
        <v>1276</v>
      </c>
      <c r="I6366" s="403">
        <v>1</v>
      </c>
      <c r="J6366" s="403" t="s">
        <v>109</v>
      </c>
      <c r="K6366" s="403">
        <v>1280</v>
      </c>
      <c r="L6366" s="403">
        <v>720</v>
      </c>
      <c r="M6366" s="403" t="s">
        <v>1284</v>
      </c>
      <c r="N6366" s="403">
        <v>640</v>
      </c>
      <c r="O6366" s="403">
        <v>480</v>
      </c>
      <c r="P6366" t="str">
        <f t="shared" si="785"/>
        <v>30fps 720p - SD VGA (cropped)</v>
      </c>
      <c r="Q6366">
        <f t="shared" si="786"/>
        <v>34</v>
      </c>
      <c r="R6366" t="str">
        <f t="shared" si="787"/>
        <v/>
      </c>
      <c r="S6366" t="str">
        <f t="shared" si="788"/>
        <v/>
      </c>
      <c r="T6366" s="403" t="str">
        <f t="shared" si="789"/>
        <v>NIN-73023-AxA</v>
      </c>
      <c r="U6366" s="403">
        <f t="shared" si="790"/>
        <v>1</v>
      </c>
      <c r="V6366" s="403" t="str">
        <f t="shared" si="791"/>
        <v>CPP_7</v>
      </c>
    </row>
    <row r="6367" spans="1:22">
      <c r="A6367" t="str">
        <f t="shared" si="784"/>
        <v>NIN-73023-AxA</v>
      </c>
      <c r="B6367" s="403" t="s">
        <v>1459</v>
      </c>
      <c r="C6367" s="403" t="s">
        <v>583</v>
      </c>
      <c r="D6367" s="403" t="s">
        <v>1311</v>
      </c>
      <c r="E6367" s="403" t="s">
        <v>1312</v>
      </c>
      <c r="F6367" s="403" t="s">
        <v>1286</v>
      </c>
      <c r="G6367" s="403" t="s">
        <v>1466</v>
      </c>
      <c r="H6367" s="403" t="s">
        <v>1276</v>
      </c>
      <c r="I6367" s="403">
        <v>1</v>
      </c>
      <c r="J6367" s="403" t="s">
        <v>111</v>
      </c>
      <c r="K6367" s="403">
        <v>768</v>
      </c>
      <c r="L6367" s="403">
        <v>432</v>
      </c>
      <c r="M6367" s="403" t="s">
        <v>111</v>
      </c>
      <c r="N6367" s="403">
        <v>768</v>
      </c>
      <c r="O6367" s="403">
        <v>432</v>
      </c>
      <c r="P6367" t="str">
        <f t="shared" si="785"/>
        <v>30fps SD - SD</v>
      </c>
      <c r="Q6367">
        <f t="shared" si="786"/>
        <v>34</v>
      </c>
      <c r="R6367" t="str">
        <f t="shared" si="787"/>
        <v/>
      </c>
      <c r="S6367" t="str">
        <f t="shared" si="788"/>
        <v/>
      </c>
      <c r="T6367" s="403" t="str">
        <f t="shared" si="789"/>
        <v>NIN-73023-AxA</v>
      </c>
      <c r="U6367" s="403">
        <f t="shared" si="790"/>
        <v>1</v>
      </c>
      <c r="V6367" s="403" t="str">
        <f t="shared" si="791"/>
        <v>CPP_7</v>
      </c>
    </row>
    <row r="6368" spans="1:22">
      <c r="A6368" t="str">
        <f t="shared" si="784"/>
        <v>NIN-73023-AxA</v>
      </c>
      <c r="B6368" s="403" t="s">
        <v>1459</v>
      </c>
      <c r="C6368" s="403" t="s">
        <v>583</v>
      </c>
      <c r="D6368" s="403" t="s">
        <v>1311</v>
      </c>
      <c r="E6368" s="403" t="s">
        <v>1312</v>
      </c>
      <c r="F6368" s="403" t="s">
        <v>1286</v>
      </c>
      <c r="G6368" s="403" t="s">
        <v>1467</v>
      </c>
      <c r="H6368" s="403" t="s">
        <v>1276</v>
      </c>
      <c r="I6368" s="403">
        <v>1</v>
      </c>
      <c r="J6368" s="403" t="s">
        <v>110</v>
      </c>
      <c r="K6368" s="403">
        <v>1080</v>
      </c>
      <c r="L6368" s="403">
        <v>1920</v>
      </c>
      <c r="M6368" s="403" t="s">
        <v>111</v>
      </c>
      <c r="N6368" s="403">
        <v>432</v>
      </c>
      <c r="O6368" s="403">
        <v>768</v>
      </c>
      <c r="P6368" t="str">
        <f t="shared" si="785"/>
        <v>30fps 1080p - SD</v>
      </c>
      <c r="Q6368">
        <f t="shared" si="786"/>
        <v>34</v>
      </c>
      <c r="R6368" t="str">
        <f t="shared" si="787"/>
        <v/>
      </c>
      <c r="S6368" t="str">
        <f t="shared" si="788"/>
        <v/>
      </c>
      <c r="T6368" s="403" t="str">
        <f t="shared" si="789"/>
        <v>NIN-73023-AxA</v>
      </c>
      <c r="U6368" s="403">
        <f t="shared" si="790"/>
        <v>1</v>
      </c>
      <c r="V6368" s="403" t="str">
        <f t="shared" si="791"/>
        <v>CPP_7</v>
      </c>
    </row>
    <row r="6369" spans="1:22">
      <c r="A6369" t="str">
        <f t="shared" si="784"/>
        <v>NIN-73023-AxA</v>
      </c>
      <c r="B6369" s="403" t="s">
        <v>1459</v>
      </c>
      <c r="C6369" s="403" t="s">
        <v>583</v>
      </c>
      <c r="D6369" s="403" t="s">
        <v>1311</v>
      </c>
      <c r="E6369" s="403" t="s">
        <v>1312</v>
      </c>
      <c r="F6369" s="403" t="s">
        <v>1286</v>
      </c>
      <c r="G6369" s="403" t="s">
        <v>1467</v>
      </c>
      <c r="H6369" s="403" t="s">
        <v>1276</v>
      </c>
      <c r="I6369" s="403">
        <v>1</v>
      </c>
      <c r="J6369" s="403" t="s">
        <v>110</v>
      </c>
      <c r="K6369" s="403">
        <v>1080</v>
      </c>
      <c r="L6369" s="403">
        <v>1920</v>
      </c>
      <c r="M6369" s="403" t="s">
        <v>110</v>
      </c>
      <c r="N6369" s="403">
        <v>1080</v>
      </c>
      <c r="O6369" s="403">
        <v>1920</v>
      </c>
      <c r="P6369" t="str">
        <f t="shared" si="785"/>
        <v>30fps 1080p - 1080p</v>
      </c>
      <c r="Q6369">
        <f t="shared" si="786"/>
        <v>34</v>
      </c>
      <c r="R6369" t="str">
        <f t="shared" si="787"/>
        <v/>
      </c>
      <c r="S6369" t="str">
        <f t="shared" si="788"/>
        <v/>
      </c>
      <c r="T6369" s="403" t="str">
        <f t="shared" si="789"/>
        <v>NIN-73023-AxA</v>
      </c>
      <c r="U6369" s="403">
        <f t="shared" si="790"/>
        <v>1</v>
      </c>
      <c r="V6369" s="403" t="str">
        <f t="shared" si="791"/>
        <v>CPP_7</v>
      </c>
    </row>
    <row r="6370" spans="1:22">
      <c r="A6370" t="str">
        <f t="shared" si="784"/>
        <v>NIN-73023-AxA</v>
      </c>
      <c r="B6370" s="403" t="s">
        <v>1459</v>
      </c>
      <c r="C6370" s="403" t="s">
        <v>583</v>
      </c>
      <c r="D6370" s="403" t="s">
        <v>1311</v>
      </c>
      <c r="E6370" s="403" t="s">
        <v>1312</v>
      </c>
      <c r="F6370" s="403" t="s">
        <v>1286</v>
      </c>
      <c r="G6370" s="403" t="s">
        <v>1467</v>
      </c>
      <c r="H6370" s="403" t="s">
        <v>1276</v>
      </c>
      <c r="I6370" s="403">
        <v>1</v>
      </c>
      <c r="J6370" s="403" t="s">
        <v>110</v>
      </c>
      <c r="K6370" s="403">
        <v>1080</v>
      </c>
      <c r="L6370" s="403">
        <v>1920</v>
      </c>
      <c r="M6370" s="403" t="s">
        <v>109</v>
      </c>
      <c r="N6370" s="403">
        <v>720</v>
      </c>
      <c r="O6370" s="403">
        <v>1280</v>
      </c>
      <c r="P6370" t="str">
        <f t="shared" si="785"/>
        <v>30fps 1080p - 720p</v>
      </c>
      <c r="Q6370">
        <f t="shared" si="786"/>
        <v>34</v>
      </c>
      <c r="R6370" t="str">
        <f t="shared" si="787"/>
        <v/>
      </c>
      <c r="S6370" t="str">
        <f t="shared" si="788"/>
        <v/>
      </c>
      <c r="T6370" s="403" t="str">
        <f t="shared" si="789"/>
        <v>NIN-73023-AxA</v>
      </c>
      <c r="U6370" s="403">
        <f t="shared" si="790"/>
        <v>1</v>
      </c>
      <c r="V6370" s="403" t="str">
        <f t="shared" si="791"/>
        <v>CPP_7</v>
      </c>
    </row>
    <row r="6371" spans="1:22">
      <c r="A6371" t="str">
        <f t="shared" si="784"/>
        <v>NIN-73023-AxA</v>
      </c>
      <c r="B6371" s="403" t="s">
        <v>1459</v>
      </c>
      <c r="C6371" s="403" t="s">
        <v>583</v>
      </c>
      <c r="D6371" s="403" t="s">
        <v>1311</v>
      </c>
      <c r="E6371" s="403" t="s">
        <v>1312</v>
      </c>
      <c r="F6371" s="403" t="s">
        <v>1286</v>
      </c>
      <c r="G6371" s="403" t="s">
        <v>1467</v>
      </c>
      <c r="H6371" s="403" t="s">
        <v>1276</v>
      </c>
      <c r="I6371" s="403">
        <v>1</v>
      </c>
      <c r="J6371" s="403" t="s">
        <v>110</v>
      </c>
      <c r="K6371" s="403">
        <v>1080</v>
      </c>
      <c r="L6371" s="403">
        <v>1920</v>
      </c>
      <c r="M6371" s="403" t="s">
        <v>1279</v>
      </c>
      <c r="N6371" s="403">
        <v>432</v>
      </c>
      <c r="O6371" s="403">
        <v>768</v>
      </c>
      <c r="P6371" t="str">
        <f t="shared" si="785"/>
        <v>30fps 1080p - SD ROI PTZ</v>
      </c>
      <c r="Q6371">
        <f t="shared" si="786"/>
        <v>34</v>
      </c>
      <c r="R6371" t="str">
        <f t="shared" si="787"/>
        <v/>
      </c>
      <c r="S6371" t="str">
        <f t="shared" si="788"/>
        <v/>
      </c>
      <c r="T6371" s="403" t="str">
        <f t="shared" si="789"/>
        <v>NIN-73023-AxA</v>
      </c>
      <c r="U6371" s="403">
        <f t="shared" si="790"/>
        <v>1</v>
      </c>
      <c r="V6371" s="403" t="str">
        <f t="shared" si="791"/>
        <v>CPP_7</v>
      </c>
    </row>
    <row r="6372" spans="1:22">
      <c r="A6372" t="str">
        <f t="shared" si="784"/>
        <v>NIN-73023-AxA</v>
      </c>
      <c r="B6372" s="403" t="s">
        <v>1459</v>
      </c>
      <c r="C6372" s="403" t="s">
        <v>583</v>
      </c>
      <c r="D6372" s="403" t="s">
        <v>1311</v>
      </c>
      <c r="E6372" s="403" t="s">
        <v>1312</v>
      </c>
      <c r="F6372" s="403" t="s">
        <v>1286</v>
      </c>
      <c r="G6372" s="403" t="s">
        <v>1467</v>
      </c>
      <c r="H6372" s="403" t="s">
        <v>1276</v>
      </c>
      <c r="I6372" s="403">
        <v>1</v>
      </c>
      <c r="J6372" s="403" t="s">
        <v>110</v>
      </c>
      <c r="K6372" s="403">
        <v>1080</v>
      </c>
      <c r="L6372" s="403">
        <v>1920</v>
      </c>
      <c r="M6372" s="403" t="s">
        <v>1298</v>
      </c>
      <c r="N6372" s="403">
        <v>432</v>
      </c>
      <c r="O6372" s="403">
        <v>768</v>
      </c>
      <c r="P6372" t="str">
        <f t="shared" si="785"/>
        <v>30fps 1080p - SD dual stream with independent ROI PTZ</v>
      </c>
      <c r="Q6372">
        <f t="shared" si="786"/>
        <v>34</v>
      </c>
      <c r="R6372" t="str">
        <f t="shared" si="787"/>
        <v/>
      </c>
      <c r="S6372" t="str">
        <f t="shared" si="788"/>
        <v/>
      </c>
      <c r="T6372" s="403" t="str">
        <f t="shared" si="789"/>
        <v>NIN-73023-AxA</v>
      </c>
      <c r="U6372" s="403">
        <f t="shared" si="790"/>
        <v>1</v>
      </c>
      <c r="V6372" s="403" t="str">
        <f t="shared" si="791"/>
        <v>CPP_7</v>
      </c>
    </row>
    <row r="6373" spans="1:22">
      <c r="A6373" t="str">
        <f t="shared" si="784"/>
        <v>NIN-73023-AxA</v>
      </c>
      <c r="B6373" s="403" t="s">
        <v>1459</v>
      </c>
      <c r="C6373" s="403" t="s">
        <v>583</v>
      </c>
      <c r="D6373" s="403" t="s">
        <v>1311</v>
      </c>
      <c r="E6373" s="403" t="s">
        <v>1312</v>
      </c>
      <c r="F6373" s="403" t="s">
        <v>1286</v>
      </c>
      <c r="G6373" s="403" t="s">
        <v>1467</v>
      </c>
      <c r="H6373" s="403" t="s">
        <v>1276</v>
      </c>
      <c r="I6373" s="403">
        <v>1</v>
      </c>
      <c r="J6373" s="403" t="s">
        <v>110</v>
      </c>
      <c r="K6373" s="403">
        <v>1080</v>
      </c>
      <c r="L6373" s="403">
        <v>1920</v>
      </c>
      <c r="M6373" s="403" t="s">
        <v>1283</v>
      </c>
      <c r="N6373" s="403">
        <v>480</v>
      </c>
      <c r="O6373" s="403">
        <v>704</v>
      </c>
      <c r="P6373" t="str">
        <f t="shared" si="785"/>
        <v>30fps 1080p - SD 4CIF resolution 4:3 format (cropped)</v>
      </c>
      <c r="Q6373">
        <f t="shared" si="786"/>
        <v>34</v>
      </c>
      <c r="R6373" t="str">
        <f t="shared" si="787"/>
        <v/>
      </c>
      <c r="S6373" t="str">
        <f t="shared" si="788"/>
        <v/>
      </c>
      <c r="T6373" s="403" t="str">
        <f t="shared" si="789"/>
        <v>NIN-73023-AxA</v>
      </c>
      <c r="U6373" s="403">
        <f t="shared" si="790"/>
        <v>1</v>
      </c>
      <c r="V6373" s="403" t="str">
        <f t="shared" si="791"/>
        <v>CPP_7</v>
      </c>
    </row>
    <row r="6374" spans="1:22">
      <c r="A6374" t="str">
        <f t="shared" si="784"/>
        <v>NIN-73023-AxA</v>
      </c>
      <c r="B6374" s="403" t="s">
        <v>1459</v>
      </c>
      <c r="C6374" s="403" t="s">
        <v>583</v>
      </c>
      <c r="D6374" s="403" t="s">
        <v>1311</v>
      </c>
      <c r="E6374" s="403" t="s">
        <v>1312</v>
      </c>
      <c r="F6374" s="403" t="s">
        <v>1286</v>
      </c>
      <c r="G6374" s="403" t="s">
        <v>1467</v>
      </c>
      <c r="H6374" s="403" t="s">
        <v>1276</v>
      </c>
      <c r="I6374" s="403">
        <v>1</v>
      </c>
      <c r="J6374" s="403" t="s">
        <v>110</v>
      </c>
      <c r="K6374" s="403">
        <v>1080</v>
      </c>
      <c r="L6374" s="403">
        <v>1920</v>
      </c>
      <c r="M6374" s="403" t="s">
        <v>1284</v>
      </c>
      <c r="N6374" s="403">
        <v>480</v>
      </c>
      <c r="O6374" s="403">
        <v>640</v>
      </c>
      <c r="P6374" t="str">
        <f t="shared" si="785"/>
        <v>30fps 1080p - SD VGA (cropped)</v>
      </c>
      <c r="Q6374">
        <f t="shared" si="786"/>
        <v>34</v>
      </c>
      <c r="R6374" t="str">
        <f t="shared" si="787"/>
        <v/>
      </c>
      <c r="S6374" t="str">
        <f t="shared" si="788"/>
        <v/>
      </c>
      <c r="T6374" s="403" t="str">
        <f t="shared" si="789"/>
        <v>NIN-73023-AxA</v>
      </c>
      <c r="U6374" s="403">
        <f t="shared" si="790"/>
        <v>1</v>
      </c>
      <c r="V6374" s="403" t="str">
        <f t="shared" si="791"/>
        <v>CPP_7</v>
      </c>
    </row>
    <row r="6375" spans="1:22">
      <c r="A6375" t="str">
        <f t="shared" si="784"/>
        <v>NIN-73023-AxA</v>
      </c>
      <c r="B6375" s="403" t="s">
        <v>1459</v>
      </c>
      <c r="C6375" s="403" t="s">
        <v>583</v>
      </c>
      <c r="D6375" s="403" t="s">
        <v>1311</v>
      </c>
      <c r="E6375" s="403" t="s">
        <v>1312</v>
      </c>
      <c r="F6375" s="403" t="s">
        <v>1286</v>
      </c>
      <c r="G6375" s="403" t="s">
        <v>1467</v>
      </c>
      <c r="H6375" s="403" t="s">
        <v>1276</v>
      </c>
      <c r="I6375" s="403">
        <v>1</v>
      </c>
      <c r="J6375" s="403" t="s">
        <v>109</v>
      </c>
      <c r="K6375" s="403">
        <v>720</v>
      </c>
      <c r="L6375" s="403">
        <v>1280</v>
      </c>
      <c r="M6375" s="403" t="s">
        <v>111</v>
      </c>
      <c r="N6375" s="403">
        <v>432</v>
      </c>
      <c r="O6375" s="403">
        <v>768</v>
      </c>
      <c r="P6375" t="str">
        <f t="shared" si="785"/>
        <v>30fps 720p - SD</v>
      </c>
      <c r="Q6375">
        <f t="shared" si="786"/>
        <v>34</v>
      </c>
      <c r="R6375" t="str">
        <f t="shared" si="787"/>
        <v/>
      </c>
      <c r="S6375" t="str">
        <f t="shared" si="788"/>
        <v/>
      </c>
      <c r="T6375" s="403" t="str">
        <f t="shared" si="789"/>
        <v>NIN-73023-AxA</v>
      </c>
      <c r="U6375" s="403">
        <f t="shared" si="790"/>
        <v>1</v>
      </c>
      <c r="V6375" s="403" t="str">
        <f t="shared" si="791"/>
        <v>CPP_7</v>
      </c>
    </row>
    <row r="6376" spans="1:22">
      <c r="A6376" t="str">
        <f t="shared" si="784"/>
        <v>NIN-73023-AxA</v>
      </c>
      <c r="B6376" s="403" t="s">
        <v>1459</v>
      </c>
      <c r="C6376" s="403" t="s">
        <v>583</v>
      </c>
      <c r="D6376" s="403" t="s">
        <v>1311</v>
      </c>
      <c r="E6376" s="403" t="s">
        <v>1312</v>
      </c>
      <c r="F6376" s="403" t="s">
        <v>1286</v>
      </c>
      <c r="G6376" s="403" t="s">
        <v>1467</v>
      </c>
      <c r="H6376" s="403" t="s">
        <v>1276</v>
      </c>
      <c r="I6376" s="403">
        <v>1</v>
      </c>
      <c r="J6376" s="403" t="s">
        <v>109</v>
      </c>
      <c r="K6376" s="403">
        <v>720</v>
      </c>
      <c r="L6376" s="403">
        <v>1280</v>
      </c>
      <c r="M6376" s="403" t="s">
        <v>109</v>
      </c>
      <c r="N6376" s="403">
        <v>720</v>
      </c>
      <c r="O6376" s="403">
        <v>1280</v>
      </c>
      <c r="P6376" t="str">
        <f t="shared" si="785"/>
        <v>30fps 720p - 720p</v>
      </c>
      <c r="Q6376">
        <f t="shared" si="786"/>
        <v>34</v>
      </c>
      <c r="R6376" t="str">
        <f t="shared" si="787"/>
        <v/>
      </c>
      <c r="S6376" t="str">
        <f t="shared" si="788"/>
        <v/>
      </c>
      <c r="T6376" s="403" t="str">
        <f t="shared" si="789"/>
        <v>NIN-73023-AxA</v>
      </c>
      <c r="U6376" s="403">
        <f t="shared" si="790"/>
        <v>1</v>
      </c>
      <c r="V6376" s="403" t="str">
        <f t="shared" si="791"/>
        <v>CPP_7</v>
      </c>
    </row>
    <row r="6377" spans="1:22">
      <c r="A6377" t="str">
        <f t="shared" si="784"/>
        <v>NIN-73023-AxA</v>
      </c>
      <c r="B6377" s="403" t="s">
        <v>1459</v>
      </c>
      <c r="C6377" s="403" t="s">
        <v>583</v>
      </c>
      <c r="D6377" s="403" t="s">
        <v>1311</v>
      </c>
      <c r="E6377" s="403" t="s">
        <v>1312</v>
      </c>
      <c r="F6377" s="403" t="s">
        <v>1286</v>
      </c>
      <c r="G6377" s="403" t="s">
        <v>1467</v>
      </c>
      <c r="H6377" s="403" t="s">
        <v>1276</v>
      </c>
      <c r="I6377" s="403">
        <v>1</v>
      </c>
      <c r="J6377" s="403" t="s">
        <v>109</v>
      </c>
      <c r="K6377" s="403">
        <v>720</v>
      </c>
      <c r="L6377" s="403">
        <v>1280</v>
      </c>
      <c r="M6377" s="403" t="s">
        <v>1279</v>
      </c>
      <c r="N6377" s="403">
        <v>432</v>
      </c>
      <c r="O6377" s="403">
        <v>768</v>
      </c>
      <c r="P6377" t="str">
        <f t="shared" si="785"/>
        <v>30fps 720p - SD ROI PTZ</v>
      </c>
      <c r="Q6377">
        <f t="shared" si="786"/>
        <v>34</v>
      </c>
      <c r="R6377" t="str">
        <f t="shared" si="787"/>
        <v/>
      </c>
      <c r="S6377" t="str">
        <f t="shared" si="788"/>
        <v/>
      </c>
      <c r="T6377" s="403" t="str">
        <f t="shared" si="789"/>
        <v>NIN-73023-AxA</v>
      </c>
      <c r="U6377" s="403">
        <f t="shared" si="790"/>
        <v>1</v>
      </c>
      <c r="V6377" s="403" t="str">
        <f t="shared" si="791"/>
        <v>CPP_7</v>
      </c>
    </row>
    <row r="6378" spans="1:22">
      <c r="A6378" t="str">
        <f t="shared" ref="A6378:A6441" si="800">IF(AND(G6378&lt;&gt;"rotate 90°"),D6378,"")</f>
        <v>NIN-73023-AxA</v>
      </c>
      <c r="B6378" s="403" t="s">
        <v>1459</v>
      </c>
      <c r="C6378" s="403" t="s">
        <v>583</v>
      </c>
      <c r="D6378" s="403" t="s">
        <v>1311</v>
      </c>
      <c r="E6378" s="403" t="s">
        <v>1312</v>
      </c>
      <c r="F6378" s="403" t="s">
        <v>1286</v>
      </c>
      <c r="G6378" s="403" t="s">
        <v>1467</v>
      </c>
      <c r="H6378" s="403" t="s">
        <v>1276</v>
      </c>
      <c r="I6378" s="403">
        <v>1</v>
      </c>
      <c r="J6378" s="403" t="s">
        <v>109</v>
      </c>
      <c r="K6378" s="403">
        <v>720</v>
      </c>
      <c r="L6378" s="403">
        <v>1280</v>
      </c>
      <c r="M6378" s="403" t="s">
        <v>1298</v>
      </c>
      <c r="N6378" s="403">
        <v>432</v>
      </c>
      <c r="O6378" s="403">
        <v>768</v>
      </c>
      <c r="P6378" t="str">
        <f t="shared" ref="P6378:P6441" si="801">LEFT(F6378,5)&amp;" "&amp;J6378&amp;" - "&amp;M6378</f>
        <v>30fps 720p - SD dual stream with independent ROI PTZ</v>
      </c>
      <c r="Q6378">
        <f t="shared" ref="Q6378:Q6441" si="802">IF(A6377=A6378,Q6377,Q6377+1)</f>
        <v>34</v>
      </c>
      <c r="R6378" t="str">
        <f t="shared" ref="R6378:R6441" si="803">IF(Q6377&lt;&gt;Q6378,Q6378,"")</f>
        <v/>
      </c>
      <c r="S6378" t="str">
        <f t="shared" ref="S6378:S6441" si="804">IF(R6378&lt;&gt;"",B6378&amp;" ("&amp;D6378&amp;")","")</f>
        <v/>
      </c>
      <c r="T6378" s="403" t="str">
        <f t="shared" ref="T6378:T6441" si="805">D6378</f>
        <v>NIN-73023-AxA</v>
      </c>
      <c r="U6378" s="403">
        <f t="shared" ref="U6378:U6441" si="806">I6378</f>
        <v>1</v>
      </c>
      <c r="V6378" s="403" t="str">
        <f t="shared" ref="V6378:V6441" si="807">C6378</f>
        <v>CPP_7</v>
      </c>
    </row>
    <row r="6379" spans="1:22">
      <c r="A6379" t="str">
        <f t="shared" si="800"/>
        <v>NIN-73023-AxA</v>
      </c>
      <c r="B6379" s="403" t="s">
        <v>1459</v>
      </c>
      <c r="C6379" s="403" t="s">
        <v>583</v>
      </c>
      <c r="D6379" s="403" t="s">
        <v>1311</v>
      </c>
      <c r="E6379" s="403" t="s">
        <v>1312</v>
      </c>
      <c r="F6379" s="403" t="s">
        <v>1286</v>
      </c>
      <c r="G6379" s="403" t="s">
        <v>1467</v>
      </c>
      <c r="H6379" s="403" t="s">
        <v>1276</v>
      </c>
      <c r="I6379" s="403">
        <v>1</v>
      </c>
      <c r="J6379" s="403" t="s">
        <v>109</v>
      </c>
      <c r="K6379" s="403">
        <v>720</v>
      </c>
      <c r="L6379" s="403">
        <v>1280</v>
      </c>
      <c r="M6379" s="403" t="s">
        <v>1283</v>
      </c>
      <c r="N6379" s="403">
        <v>480</v>
      </c>
      <c r="O6379" s="403">
        <v>704</v>
      </c>
      <c r="P6379" t="str">
        <f t="shared" si="801"/>
        <v>30fps 720p - SD 4CIF resolution 4:3 format (cropped)</v>
      </c>
      <c r="Q6379">
        <f t="shared" si="802"/>
        <v>34</v>
      </c>
      <c r="R6379" t="str">
        <f t="shared" si="803"/>
        <v/>
      </c>
      <c r="S6379" t="str">
        <f t="shared" si="804"/>
        <v/>
      </c>
      <c r="T6379" s="403" t="str">
        <f t="shared" si="805"/>
        <v>NIN-73023-AxA</v>
      </c>
      <c r="U6379" s="403">
        <f t="shared" si="806"/>
        <v>1</v>
      </c>
      <c r="V6379" s="403" t="str">
        <f t="shared" si="807"/>
        <v>CPP_7</v>
      </c>
    </row>
    <row r="6380" spans="1:22">
      <c r="A6380" t="str">
        <f t="shared" si="800"/>
        <v>NIN-73023-AxA</v>
      </c>
      <c r="B6380" s="403" t="s">
        <v>1459</v>
      </c>
      <c r="C6380" s="403" t="s">
        <v>583</v>
      </c>
      <c r="D6380" s="403" t="s">
        <v>1311</v>
      </c>
      <c r="E6380" s="403" t="s">
        <v>1312</v>
      </c>
      <c r="F6380" s="403" t="s">
        <v>1286</v>
      </c>
      <c r="G6380" s="403" t="s">
        <v>1467</v>
      </c>
      <c r="H6380" s="403" t="s">
        <v>1276</v>
      </c>
      <c r="I6380" s="403">
        <v>1</v>
      </c>
      <c r="J6380" s="403" t="s">
        <v>109</v>
      </c>
      <c r="K6380" s="403">
        <v>720</v>
      </c>
      <c r="L6380" s="403">
        <v>1280</v>
      </c>
      <c r="M6380" s="403" t="s">
        <v>1284</v>
      </c>
      <c r="N6380" s="403">
        <v>480</v>
      </c>
      <c r="O6380" s="403">
        <v>640</v>
      </c>
      <c r="P6380" t="str">
        <f t="shared" si="801"/>
        <v>30fps 720p - SD VGA (cropped)</v>
      </c>
      <c r="Q6380">
        <f t="shared" si="802"/>
        <v>34</v>
      </c>
      <c r="R6380" t="str">
        <f t="shared" si="803"/>
        <v/>
      </c>
      <c r="S6380" t="str">
        <f t="shared" si="804"/>
        <v/>
      </c>
      <c r="T6380" s="403" t="str">
        <f t="shared" si="805"/>
        <v>NIN-73023-AxA</v>
      </c>
      <c r="U6380" s="403">
        <f t="shared" si="806"/>
        <v>1</v>
      </c>
      <c r="V6380" s="403" t="str">
        <f t="shared" si="807"/>
        <v>CPP_7</v>
      </c>
    </row>
    <row r="6381" spans="1:22">
      <c r="A6381" t="str">
        <f t="shared" si="800"/>
        <v>NIN-73023-AxA</v>
      </c>
      <c r="B6381" s="403" t="s">
        <v>1459</v>
      </c>
      <c r="C6381" s="403" t="s">
        <v>583</v>
      </c>
      <c r="D6381" s="403" t="s">
        <v>1311</v>
      </c>
      <c r="E6381" s="403" t="s">
        <v>1312</v>
      </c>
      <c r="F6381" s="403" t="s">
        <v>1286</v>
      </c>
      <c r="G6381" s="403" t="s">
        <v>1467</v>
      </c>
      <c r="H6381" s="403" t="s">
        <v>1276</v>
      </c>
      <c r="I6381" s="403">
        <v>1</v>
      </c>
      <c r="J6381" s="403" t="s">
        <v>111</v>
      </c>
      <c r="K6381" s="403">
        <v>432</v>
      </c>
      <c r="L6381" s="403">
        <v>768</v>
      </c>
      <c r="M6381" s="403" t="s">
        <v>111</v>
      </c>
      <c r="N6381" s="403">
        <v>432</v>
      </c>
      <c r="O6381" s="403">
        <v>768</v>
      </c>
      <c r="P6381" t="str">
        <f t="shared" si="801"/>
        <v>30fps SD - SD</v>
      </c>
      <c r="Q6381">
        <f t="shared" si="802"/>
        <v>34</v>
      </c>
      <c r="R6381" t="str">
        <f t="shared" si="803"/>
        <v/>
      </c>
      <c r="S6381" t="str">
        <f t="shared" si="804"/>
        <v/>
      </c>
      <c r="T6381" s="403" t="str">
        <f t="shared" si="805"/>
        <v>NIN-73023-AxA</v>
      </c>
      <c r="U6381" s="403">
        <f t="shared" si="806"/>
        <v>1</v>
      </c>
      <c r="V6381" s="403" t="str">
        <f t="shared" si="807"/>
        <v>CPP_7</v>
      </c>
    </row>
    <row r="6382" spans="1:22">
      <c r="A6382" t="str">
        <f t="shared" si="800"/>
        <v>NIN-73023-AxA</v>
      </c>
      <c r="B6382" s="403" t="s">
        <v>1459</v>
      </c>
      <c r="C6382" s="403" t="s">
        <v>583</v>
      </c>
      <c r="D6382" s="403" t="s">
        <v>1311</v>
      </c>
      <c r="E6382" s="403" t="s">
        <v>1312</v>
      </c>
      <c r="F6382" s="403" t="s">
        <v>1287</v>
      </c>
      <c r="G6382" s="403" t="s">
        <v>1466</v>
      </c>
      <c r="H6382" s="403" t="s">
        <v>1276</v>
      </c>
      <c r="I6382" s="403">
        <v>1</v>
      </c>
      <c r="J6382" s="403" t="s">
        <v>110</v>
      </c>
      <c r="K6382" s="403">
        <v>1920</v>
      </c>
      <c r="L6382" s="403">
        <v>1080</v>
      </c>
      <c r="M6382" s="403" t="s">
        <v>111</v>
      </c>
      <c r="N6382" s="403">
        <v>768</v>
      </c>
      <c r="O6382" s="403">
        <v>432</v>
      </c>
      <c r="P6382" t="str">
        <f t="shared" si="801"/>
        <v>25fps 1080p - SD</v>
      </c>
      <c r="Q6382">
        <f t="shared" si="802"/>
        <v>34</v>
      </c>
      <c r="R6382" t="str">
        <f t="shared" si="803"/>
        <v/>
      </c>
      <c r="S6382" t="str">
        <f t="shared" si="804"/>
        <v/>
      </c>
      <c r="T6382" s="403" t="str">
        <f t="shared" si="805"/>
        <v>NIN-73023-AxA</v>
      </c>
      <c r="U6382" s="403">
        <f t="shared" si="806"/>
        <v>1</v>
      </c>
      <c r="V6382" s="403" t="str">
        <f t="shared" si="807"/>
        <v>CPP_7</v>
      </c>
    </row>
    <row r="6383" spans="1:22">
      <c r="A6383" t="str">
        <f t="shared" si="800"/>
        <v>NIN-73023-AxA</v>
      </c>
      <c r="B6383" s="403" t="s">
        <v>1459</v>
      </c>
      <c r="C6383" s="403" t="s">
        <v>583</v>
      </c>
      <c r="D6383" s="403" t="s">
        <v>1311</v>
      </c>
      <c r="E6383" s="403" t="s">
        <v>1312</v>
      </c>
      <c r="F6383" s="403" t="s">
        <v>1287</v>
      </c>
      <c r="G6383" s="403" t="s">
        <v>1466</v>
      </c>
      <c r="H6383" s="403" t="s">
        <v>1276</v>
      </c>
      <c r="I6383" s="403">
        <v>1</v>
      </c>
      <c r="J6383" s="403" t="s">
        <v>110</v>
      </c>
      <c r="K6383" s="403">
        <v>1920</v>
      </c>
      <c r="L6383" s="403">
        <v>1080</v>
      </c>
      <c r="M6383" s="403" t="s">
        <v>110</v>
      </c>
      <c r="N6383" s="403">
        <v>1920</v>
      </c>
      <c r="O6383" s="403">
        <v>1080</v>
      </c>
      <c r="P6383" t="str">
        <f t="shared" si="801"/>
        <v>25fps 1080p - 1080p</v>
      </c>
      <c r="Q6383">
        <f t="shared" si="802"/>
        <v>34</v>
      </c>
      <c r="R6383" t="str">
        <f t="shared" si="803"/>
        <v/>
      </c>
      <c r="S6383" t="str">
        <f t="shared" si="804"/>
        <v/>
      </c>
      <c r="T6383" s="403" t="str">
        <f t="shared" si="805"/>
        <v>NIN-73023-AxA</v>
      </c>
      <c r="U6383" s="403">
        <f t="shared" si="806"/>
        <v>1</v>
      </c>
      <c r="V6383" s="403" t="str">
        <f t="shared" si="807"/>
        <v>CPP_7</v>
      </c>
    </row>
    <row r="6384" spans="1:22">
      <c r="A6384" t="str">
        <f t="shared" si="800"/>
        <v>NIN-73023-AxA</v>
      </c>
      <c r="B6384" s="403" t="s">
        <v>1459</v>
      </c>
      <c r="C6384" s="403" t="s">
        <v>583</v>
      </c>
      <c r="D6384" s="403" t="s">
        <v>1311</v>
      </c>
      <c r="E6384" s="403" t="s">
        <v>1312</v>
      </c>
      <c r="F6384" s="403" t="s">
        <v>1287</v>
      </c>
      <c r="G6384" s="403" t="s">
        <v>1466</v>
      </c>
      <c r="H6384" s="403" t="s">
        <v>1276</v>
      </c>
      <c r="I6384" s="403">
        <v>1</v>
      </c>
      <c r="J6384" s="403" t="s">
        <v>110</v>
      </c>
      <c r="K6384" s="403">
        <v>1920</v>
      </c>
      <c r="L6384" s="403">
        <v>1080</v>
      </c>
      <c r="M6384" s="403" t="s">
        <v>109</v>
      </c>
      <c r="N6384" s="403">
        <v>1280</v>
      </c>
      <c r="O6384" s="403">
        <v>720</v>
      </c>
      <c r="P6384" t="str">
        <f t="shared" si="801"/>
        <v>25fps 1080p - 720p</v>
      </c>
      <c r="Q6384">
        <f t="shared" si="802"/>
        <v>34</v>
      </c>
      <c r="R6384" t="str">
        <f t="shared" si="803"/>
        <v/>
      </c>
      <c r="S6384" t="str">
        <f t="shared" si="804"/>
        <v/>
      </c>
      <c r="T6384" s="403" t="str">
        <f t="shared" si="805"/>
        <v>NIN-73023-AxA</v>
      </c>
      <c r="U6384" s="403">
        <f t="shared" si="806"/>
        <v>1</v>
      </c>
      <c r="V6384" s="403" t="str">
        <f t="shared" si="807"/>
        <v>CPP_7</v>
      </c>
    </row>
    <row r="6385" spans="1:22">
      <c r="A6385" t="str">
        <f t="shared" si="800"/>
        <v>NIN-73023-AxA</v>
      </c>
      <c r="B6385" s="403" t="s">
        <v>1459</v>
      </c>
      <c r="C6385" s="403" t="s">
        <v>583</v>
      </c>
      <c r="D6385" s="403" t="s">
        <v>1311</v>
      </c>
      <c r="E6385" s="403" t="s">
        <v>1312</v>
      </c>
      <c r="F6385" s="403" t="s">
        <v>1287</v>
      </c>
      <c r="G6385" s="403" t="s">
        <v>1466</v>
      </c>
      <c r="H6385" s="403" t="s">
        <v>1276</v>
      </c>
      <c r="I6385" s="403">
        <v>1</v>
      </c>
      <c r="J6385" s="403" t="s">
        <v>110</v>
      </c>
      <c r="K6385" s="403">
        <v>1920</v>
      </c>
      <c r="L6385" s="403">
        <v>1080</v>
      </c>
      <c r="M6385" s="403" t="s">
        <v>1285</v>
      </c>
      <c r="N6385" s="403">
        <v>1280</v>
      </c>
      <c r="O6385" s="403">
        <v>1024</v>
      </c>
      <c r="P6385" t="str">
        <f t="shared" si="801"/>
        <v>25fps 1080p - 1280x1024 5:4 (cropped)</v>
      </c>
      <c r="Q6385">
        <f t="shared" si="802"/>
        <v>34</v>
      </c>
      <c r="R6385" t="str">
        <f t="shared" si="803"/>
        <v/>
      </c>
      <c r="S6385" t="str">
        <f t="shared" si="804"/>
        <v/>
      </c>
      <c r="T6385" s="403" t="str">
        <f t="shared" si="805"/>
        <v>NIN-73023-AxA</v>
      </c>
      <c r="U6385" s="403">
        <f t="shared" si="806"/>
        <v>1</v>
      </c>
      <c r="V6385" s="403" t="str">
        <f t="shared" si="807"/>
        <v>CPP_7</v>
      </c>
    </row>
    <row r="6386" spans="1:22">
      <c r="A6386" t="str">
        <f t="shared" si="800"/>
        <v>NIN-73023-AxA</v>
      </c>
      <c r="B6386" s="403" t="s">
        <v>1459</v>
      </c>
      <c r="C6386" s="403" t="s">
        <v>583</v>
      </c>
      <c r="D6386" s="403" t="s">
        <v>1311</v>
      </c>
      <c r="E6386" s="403" t="s">
        <v>1312</v>
      </c>
      <c r="F6386" s="403" t="s">
        <v>1287</v>
      </c>
      <c r="G6386" s="403" t="s">
        <v>1466</v>
      </c>
      <c r="H6386" s="403" t="s">
        <v>1276</v>
      </c>
      <c r="I6386" s="403">
        <v>1</v>
      </c>
      <c r="J6386" s="403" t="s">
        <v>110</v>
      </c>
      <c r="K6386" s="403">
        <v>1920</v>
      </c>
      <c r="L6386" s="403">
        <v>1080</v>
      </c>
      <c r="M6386" s="403" t="s">
        <v>1309</v>
      </c>
      <c r="N6386" s="403">
        <v>1280</v>
      </c>
      <c r="O6386" s="403">
        <v>960</v>
      </c>
      <c r="P6386" t="str">
        <f t="shared" si="801"/>
        <v>25fps 1080p - 1280x960 4:3 (cropped)</v>
      </c>
      <c r="Q6386">
        <f t="shared" si="802"/>
        <v>34</v>
      </c>
      <c r="R6386" t="str">
        <f t="shared" si="803"/>
        <v/>
      </c>
      <c r="S6386" t="str">
        <f t="shared" si="804"/>
        <v/>
      </c>
      <c r="T6386" s="403" t="str">
        <f t="shared" si="805"/>
        <v>NIN-73023-AxA</v>
      </c>
      <c r="U6386" s="403">
        <f t="shared" si="806"/>
        <v>1</v>
      </c>
      <c r="V6386" s="403" t="str">
        <f t="shared" si="807"/>
        <v>CPP_7</v>
      </c>
    </row>
    <row r="6387" spans="1:22">
      <c r="A6387" t="str">
        <f t="shared" si="800"/>
        <v>NIN-73023-AxA</v>
      </c>
      <c r="B6387" s="403" t="s">
        <v>1459</v>
      </c>
      <c r="C6387" s="403" t="s">
        <v>583</v>
      </c>
      <c r="D6387" s="403" t="s">
        <v>1311</v>
      </c>
      <c r="E6387" s="403" t="s">
        <v>1312</v>
      </c>
      <c r="F6387" s="403" t="s">
        <v>1287</v>
      </c>
      <c r="G6387" s="403" t="s">
        <v>1466</v>
      </c>
      <c r="H6387" s="403" t="s">
        <v>1276</v>
      </c>
      <c r="I6387" s="403">
        <v>1</v>
      </c>
      <c r="J6387" s="403" t="s">
        <v>110</v>
      </c>
      <c r="K6387" s="403">
        <v>1920</v>
      </c>
      <c r="L6387" s="403">
        <v>1080</v>
      </c>
      <c r="M6387" s="403" t="s">
        <v>1279</v>
      </c>
      <c r="N6387" s="403">
        <v>768</v>
      </c>
      <c r="O6387" s="403">
        <v>432</v>
      </c>
      <c r="P6387" t="str">
        <f t="shared" si="801"/>
        <v>25fps 1080p - SD ROI PTZ</v>
      </c>
      <c r="Q6387">
        <f t="shared" si="802"/>
        <v>34</v>
      </c>
      <c r="R6387" t="str">
        <f t="shared" si="803"/>
        <v/>
      </c>
      <c r="S6387" t="str">
        <f t="shared" si="804"/>
        <v/>
      </c>
      <c r="T6387" s="403" t="str">
        <f t="shared" si="805"/>
        <v>NIN-73023-AxA</v>
      </c>
      <c r="U6387" s="403">
        <f t="shared" si="806"/>
        <v>1</v>
      </c>
      <c r="V6387" s="403" t="str">
        <f t="shared" si="807"/>
        <v>CPP_7</v>
      </c>
    </row>
    <row r="6388" spans="1:22">
      <c r="A6388" t="str">
        <f t="shared" si="800"/>
        <v>NIN-73023-AxA</v>
      </c>
      <c r="B6388" s="403" t="s">
        <v>1459</v>
      </c>
      <c r="C6388" s="403" t="s">
        <v>583</v>
      </c>
      <c r="D6388" s="403" t="s">
        <v>1311</v>
      </c>
      <c r="E6388" s="403" t="s">
        <v>1312</v>
      </c>
      <c r="F6388" s="403" t="s">
        <v>1287</v>
      </c>
      <c r="G6388" s="403" t="s">
        <v>1466</v>
      </c>
      <c r="H6388" s="403" t="s">
        <v>1276</v>
      </c>
      <c r="I6388" s="403">
        <v>1</v>
      </c>
      <c r="J6388" s="403" t="s">
        <v>110</v>
      </c>
      <c r="K6388" s="403">
        <v>1920</v>
      </c>
      <c r="L6388" s="403">
        <v>1080</v>
      </c>
      <c r="M6388" s="403" t="s">
        <v>1298</v>
      </c>
      <c r="N6388" s="403">
        <v>768</v>
      </c>
      <c r="O6388" s="403">
        <v>432</v>
      </c>
      <c r="P6388" t="str">
        <f t="shared" si="801"/>
        <v>25fps 1080p - SD dual stream with independent ROI PTZ</v>
      </c>
      <c r="Q6388">
        <f t="shared" si="802"/>
        <v>34</v>
      </c>
      <c r="R6388" t="str">
        <f t="shared" si="803"/>
        <v/>
      </c>
      <c r="S6388" t="str">
        <f t="shared" si="804"/>
        <v/>
      </c>
      <c r="T6388" s="403" t="str">
        <f t="shared" si="805"/>
        <v>NIN-73023-AxA</v>
      </c>
      <c r="U6388" s="403">
        <f t="shared" si="806"/>
        <v>1</v>
      </c>
      <c r="V6388" s="403" t="str">
        <f t="shared" si="807"/>
        <v>CPP_7</v>
      </c>
    </row>
    <row r="6389" spans="1:22">
      <c r="A6389" t="str">
        <f t="shared" si="800"/>
        <v>NIN-73023-AxA</v>
      </c>
      <c r="B6389" s="403" t="s">
        <v>1459</v>
      </c>
      <c r="C6389" s="403" t="s">
        <v>583</v>
      </c>
      <c r="D6389" s="403" t="s">
        <v>1311</v>
      </c>
      <c r="E6389" s="403" t="s">
        <v>1312</v>
      </c>
      <c r="F6389" s="403" t="s">
        <v>1287</v>
      </c>
      <c r="G6389" s="403" t="s">
        <v>1466</v>
      </c>
      <c r="H6389" s="403" t="s">
        <v>1276</v>
      </c>
      <c r="I6389" s="403">
        <v>1</v>
      </c>
      <c r="J6389" s="403" t="s">
        <v>110</v>
      </c>
      <c r="K6389" s="403">
        <v>1920</v>
      </c>
      <c r="L6389" s="403">
        <v>1080</v>
      </c>
      <c r="M6389" s="403" t="s">
        <v>1283</v>
      </c>
      <c r="N6389" s="403">
        <v>704</v>
      </c>
      <c r="O6389" s="403">
        <v>576</v>
      </c>
      <c r="P6389" t="str">
        <f t="shared" si="801"/>
        <v>25fps 1080p - SD 4CIF resolution 4:3 format (cropped)</v>
      </c>
      <c r="Q6389">
        <f t="shared" si="802"/>
        <v>34</v>
      </c>
      <c r="R6389" t="str">
        <f t="shared" si="803"/>
        <v/>
      </c>
      <c r="S6389" t="str">
        <f t="shared" si="804"/>
        <v/>
      </c>
      <c r="T6389" s="403" t="str">
        <f t="shared" si="805"/>
        <v>NIN-73023-AxA</v>
      </c>
      <c r="U6389" s="403">
        <f t="shared" si="806"/>
        <v>1</v>
      </c>
      <c r="V6389" s="403" t="str">
        <f t="shared" si="807"/>
        <v>CPP_7</v>
      </c>
    </row>
    <row r="6390" spans="1:22">
      <c r="A6390" t="str">
        <f t="shared" si="800"/>
        <v>NIN-73023-AxA</v>
      </c>
      <c r="B6390" s="403" t="s">
        <v>1459</v>
      </c>
      <c r="C6390" s="403" t="s">
        <v>583</v>
      </c>
      <c r="D6390" s="403" t="s">
        <v>1311</v>
      </c>
      <c r="E6390" s="403" t="s">
        <v>1312</v>
      </c>
      <c r="F6390" s="403" t="s">
        <v>1287</v>
      </c>
      <c r="G6390" s="403" t="s">
        <v>1466</v>
      </c>
      <c r="H6390" s="403" t="s">
        <v>1276</v>
      </c>
      <c r="I6390" s="403">
        <v>1</v>
      </c>
      <c r="J6390" s="403" t="s">
        <v>110</v>
      </c>
      <c r="K6390" s="403">
        <v>1920</v>
      </c>
      <c r="L6390" s="403">
        <v>1080</v>
      </c>
      <c r="M6390" s="403" t="s">
        <v>1284</v>
      </c>
      <c r="N6390" s="403">
        <v>640</v>
      </c>
      <c r="O6390" s="403">
        <v>480</v>
      </c>
      <c r="P6390" t="str">
        <f t="shared" si="801"/>
        <v>25fps 1080p - SD VGA (cropped)</v>
      </c>
      <c r="Q6390">
        <f t="shared" si="802"/>
        <v>34</v>
      </c>
      <c r="R6390" t="str">
        <f t="shared" si="803"/>
        <v/>
      </c>
      <c r="S6390" t="str">
        <f t="shared" si="804"/>
        <v/>
      </c>
      <c r="T6390" s="403" t="str">
        <f t="shared" si="805"/>
        <v>NIN-73023-AxA</v>
      </c>
      <c r="U6390" s="403">
        <f t="shared" si="806"/>
        <v>1</v>
      </c>
      <c r="V6390" s="403" t="str">
        <f t="shared" si="807"/>
        <v>CPP_7</v>
      </c>
    </row>
    <row r="6391" spans="1:22">
      <c r="A6391" t="str">
        <f t="shared" si="800"/>
        <v>NIN-73023-AxA</v>
      </c>
      <c r="B6391" s="403" t="s">
        <v>1459</v>
      </c>
      <c r="C6391" s="403" t="s">
        <v>583</v>
      </c>
      <c r="D6391" s="403" t="s">
        <v>1311</v>
      </c>
      <c r="E6391" s="403" t="s">
        <v>1312</v>
      </c>
      <c r="F6391" s="403" t="s">
        <v>1287</v>
      </c>
      <c r="G6391" s="403" t="s">
        <v>1466</v>
      </c>
      <c r="H6391" s="403" t="s">
        <v>1276</v>
      </c>
      <c r="I6391" s="403">
        <v>1</v>
      </c>
      <c r="J6391" s="403" t="s">
        <v>109</v>
      </c>
      <c r="K6391" s="403">
        <v>1280</v>
      </c>
      <c r="L6391" s="403">
        <v>720</v>
      </c>
      <c r="M6391" s="403" t="s">
        <v>111</v>
      </c>
      <c r="N6391" s="403">
        <v>768</v>
      </c>
      <c r="O6391" s="403">
        <v>432</v>
      </c>
      <c r="P6391" t="str">
        <f t="shared" si="801"/>
        <v>25fps 720p - SD</v>
      </c>
      <c r="Q6391">
        <f t="shared" si="802"/>
        <v>34</v>
      </c>
      <c r="R6391" t="str">
        <f t="shared" si="803"/>
        <v/>
      </c>
      <c r="S6391" t="str">
        <f t="shared" si="804"/>
        <v/>
      </c>
      <c r="T6391" s="403" t="str">
        <f t="shared" si="805"/>
        <v>NIN-73023-AxA</v>
      </c>
      <c r="U6391" s="403">
        <f t="shared" si="806"/>
        <v>1</v>
      </c>
      <c r="V6391" s="403" t="str">
        <f t="shared" si="807"/>
        <v>CPP_7</v>
      </c>
    </row>
    <row r="6392" spans="1:22">
      <c r="A6392" t="str">
        <f t="shared" si="800"/>
        <v>NIN-73023-AxA</v>
      </c>
      <c r="B6392" s="403" t="s">
        <v>1459</v>
      </c>
      <c r="C6392" s="403" t="s">
        <v>583</v>
      </c>
      <c r="D6392" s="403" t="s">
        <v>1311</v>
      </c>
      <c r="E6392" s="403" t="s">
        <v>1312</v>
      </c>
      <c r="F6392" s="403" t="s">
        <v>1287</v>
      </c>
      <c r="G6392" s="403" t="s">
        <v>1466</v>
      </c>
      <c r="H6392" s="403" t="s">
        <v>1276</v>
      </c>
      <c r="I6392" s="403">
        <v>1</v>
      </c>
      <c r="J6392" s="403" t="s">
        <v>109</v>
      </c>
      <c r="K6392" s="403">
        <v>1280</v>
      </c>
      <c r="L6392" s="403">
        <v>720</v>
      </c>
      <c r="M6392" s="403" t="s">
        <v>109</v>
      </c>
      <c r="N6392" s="403">
        <v>1280</v>
      </c>
      <c r="O6392" s="403">
        <v>720</v>
      </c>
      <c r="P6392" t="str">
        <f t="shared" si="801"/>
        <v>25fps 720p - 720p</v>
      </c>
      <c r="Q6392">
        <f t="shared" si="802"/>
        <v>34</v>
      </c>
      <c r="R6392" t="str">
        <f t="shared" si="803"/>
        <v/>
      </c>
      <c r="S6392" t="str">
        <f t="shared" si="804"/>
        <v/>
      </c>
      <c r="T6392" s="403" t="str">
        <f t="shared" si="805"/>
        <v>NIN-73023-AxA</v>
      </c>
      <c r="U6392" s="403">
        <f t="shared" si="806"/>
        <v>1</v>
      </c>
      <c r="V6392" s="403" t="str">
        <f t="shared" si="807"/>
        <v>CPP_7</v>
      </c>
    </row>
    <row r="6393" spans="1:22">
      <c r="A6393" t="str">
        <f t="shared" si="800"/>
        <v>NIN-73023-AxA</v>
      </c>
      <c r="B6393" s="403" t="s">
        <v>1459</v>
      </c>
      <c r="C6393" s="403" t="s">
        <v>583</v>
      </c>
      <c r="D6393" s="403" t="s">
        <v>1311</v>
      </c>
      <c r="E6393" s="403" t="s">
        <v>1312</v>
      </c>
      <c r="F6393" s="403" t="s">
        <v>1287</v>
      </c>
      <c r="G6393" s="403" t="s">
        <v>1466</v>
      </c>
      <c r="H6393" s="403" t="s">
        <v>1276</v>
      </c>
      <c r="I6393" s="403">
        <v>1</v>
      </c>
      <c r="J6393" s="403" t="s">
        <v>109</v>
      </c>
      <c r="K6393" s="403">
        <v>1280</v>
      </c>
      <c r="L6393" s="403">
        <v>720</v>
      </c>
      <c r="M6393" s="403" t="s">
        <v>1279</v>
      </c>
      <c r="N6393" s="403">
        <v>768</v>
      </c>
      <c r="O6393" s="403">
        <v>432</v>
      </c>
      <c r="P6393" t="str">
        <f t="shared" si="801"/>
        <v>25fps 720p - SD ROI PTZ</v>
      </c>
      <c r="Q6393">
        <f t="shared" si="802"/>
        <v>34</v>
      </c>
      <c r="R6393" t="str">
        <f t="shared" si="803"/>
        <v/>
      </c>
      <c r="S6393" t="str">
        <f t="shared" si="804"/>
        <v/>
      </c>
      <c r="T6393" s="403" t="str">
        <f t="shared" si="805"/>
        <v>NIN-73023-AxA</v>
      </c>
      <c r="U6393" s="403">
        <f t="shared" si="806"/>
        <v>1</v>
      </c>
      <c r="V6393" s="403" t="str">
        <f t="shared" si="807"/>
        <v>CPP_7</v>
      </c>
    </row>
    <row r="6394" spans="1:22">
      <c r="A6394" t="str">
        <f t="shared" si="800"/>
        <v>NIN-73023-AxA</v>
      </c>
      <c r="B6394" s="403" t="s">
        <v>1459</v>
      </c>
      <c r="C6394" s="403" t="s">
        <v>583</v>
      </c>
      <c r="D6394" s="403" t="s">
        <v>1311</v>
      </c>
      <c r="E6394" s="403" t="s">
        <v>1312</v>
      </c>
      <c r="F6394" s="403" t="s">
        <v>1287</v>
      </c>
      <c r="G6394" s="403" t="s">
        <v>1466</v>
      </c>
      <c r="H6394" s="403" t="s">
        <v>1276</v>
      </c>
      <c r="I6394" s="403">
        <v>1</v>
      </c>
      <c r="J6394" s="403" t="s">
        <v>109</v>
      </c>
      <c r="K6394" s="403">
        <v>1280</v>
      </c>
      <c r="L6394" s="403">
        <v>720</v>
      </c>
      <c r="M6394" s="403" t="s">
        <v>1298</v>
      </c>
      <c r="N6394" s="403">
        <v>768</v>
      </c>
      <c r="O6394" s="403">
        <v>432</v>
      </c>
      <c r="P6394" t="str">
        <f t="shared" si="801"/>
        <v>25fps 720p - SD dual stream with independent ROI PTZ</v>
      </c>
      <c r="Q6394">
        <f t="shared" si="802"/>
        <v>34</v>
      </c>
      <c r="R6394" t="str">
        <f t="shared" si="803"/>
        <v/>
      </c>
      <c r="S6394" t="str">
        <f t="shared" si="804"/>
        <v/>
      </c>
      <c r="T6394" s="403" t="str">
        <f t="shared" si="805"/>
        <v>NIN-73023-AxA</v>
      </c>
      <c r="U6394" s="403">
        <f t="shared" si="806"/>
        <v>1</v>
      </c>
      <c r="V6394" s="403" t="str">
        <f t="shared" si="807"/>
        <v>CPP_7</v>
      </c>
    </row>
    <row r="6395" spans="1:22">
      <c r="A6395" t="str">
        <f t="shared" si="800"/>
        <v>NIN-73023-AxA</v>
      </c>
      <c r="B6395" s="403" t="s">
        <v>1459</v>
      </c>
      <c r="C6395" s="403" t="s">
        <v>583</v>
      </c>
      <c r="D6395" s="403" t="s">
        <v>1311</v>
      </c>
      <c r="E6395" s="403" t="s">
        <v>1312</v>
      </c>
      <c r="F6395" s="403" t="s">
        <v>1287</v>
      </c>
      <c r="G6395" s="403" t="s">
        <v>1466</v>
      </c>
      <c r="H6395" s="403" t="s">
        <v>1276</v>
      </c>
      <c r="I6395" s="403">
        <v>1</v>
      </c>
      <c r="J6395" s="403" t="s">
        <v>109</v>
      </c>
      <c r="K6395" s="403">
        <v>1280</v>
      </c>
      <c r="L6395" s="403">
        <v>720</v>
      </c>
      <c r="M6395" s="403" t="s">
        <v>1283</v>
      </c>
      <c r="N6395" s="403">
        <v>704</v>
      </c>
      <c r="O6395" s="403">
        <v>576</v>
      </c>
      <c r="P6395" t="str">
        <f t="shared" si="801"/>
        <v>25fps 720p - SD 4CIF resolution 4:3 format (cropped)</v>
      </c>
      <c r="Q6395">
        <f t="shared" si="802"/>
        <v>34</v>
      </c>
      <c r="R6395" t="str">
        <f t="shared" si="803"/>
        <v/>
      </c>
      <c r="S6395" t="str">
        <f t="shared" si="804"/>
        <v/>
      </c>
      <c r="T6395" s="403" t="str">
        <f t="shared" si="805"/>
        <v>NIN-73023-AxA</v>
      </c>
      <c r="U6395" s="403">
        <f t="shared" si="806"/>
        <v>1</v>
      </c>
      <c r="V6395" s="403" t="str">
        <f t="shared" si="807"/>
        <v>CPP_7</v>
      </c>
    </row>
    <row r="6396" spans="1:22">
      <c r="A6396" t="str">
        <f t="shared" si="800"/>
        <v>NIN-73023-AxA</v>
      </c>
      <c r="B6396" s="403" t="s">
        <v>1459</v>
      </c>
      <c r="C6396" s="403" t="s">
        <v>583</v>
      </c>
      <c r="D6396" s="403" t="s">
        <v>1311</v>
      </c>
      <c r="E6396" s="403" t="s">
        <v>1312</v>
      </c>
      <c r="F6396" s="403" t="s">
        <v>1287</v>
      </c>
      <c r="G6396" s="403" t="s">
        <v>1466</v>
      </c>
      <c r="H6396" s="403" t="s">
        <v>1276</v>
      </c>
      <c r="I6396" s="403">
        <v>1</v>
      </c>
      <c r="J6396" s="403" t="s">
        <v>109</v>
      </c>
      <c r="K6396" s="403">
        <v>1280</v>
      </c>
      <c r="L6396" s="403">
        <v>720</v>
      </c>
      <c r="M6396" s="403" t="s">
        <v>1284</v>
      </c>
      <c r="N6396" s="403">
        <v>640</v>
      </c>
      <c r="O6396" s="403">
        <v>480</v>
      </c>
      <c r="P6396" t="str">
        <f t="shared" si="801"/>
        <v>25fps 720p - SD VGA (cropped)</v>
      </c>
      <c r="Q6396">
        <f t="shared" si="802"/>
        <v>34</v>
      </c>
      <c r="R6396" t="str">
        <f t="shared" si="803"/>
        <v/>
      </c>
      <c r="S6396" t="str">
        <f t="shared" si="804"/>
        <v/>
      </c>
      <c r="T6396" s="403" t="str">
        <f t="shared" si="805"/>
        <v>NIN-73023-AxA</v>
      </c>
      <c r="U6396" s="403">
        <f t="shared" si="806"/>
        <v>1</v>
      </c>
      <c r="V6396" s="403" t="str">
        <f t="shared" si="807"/>
        <v>CPP_7</v>
      </c>
    </row>
    <row r="6397" spans="1:22">
      <c r="A6397" t="str">
        <f t="shared" si="800"/>
        <v>NIN-73023-AxA</v>
      </c>
      <c r="B6397" s="403" t="s">
        <v>1459</v>
      </c>
      <c r="C6397" s="403" t="s">
        <v>583</v>
      </c>
      <c r="D6397" s="403" t="s">
        <v>1311</v>
      </c>
      <c r="E6397" s="403" t="s">
        <v>1312</v>
      </c>
      <c r="F6397" s="403" t="s">
        <v>1287</v>
      </c>
      <c r="G6397" s="403" t="s">
        <v>1466</v>
      </c>
      <c r="H6397" s="403" t="s">
        <v>1276</v>
      </c>
      <c r="I6397" s="403">
        <v>1</v>
      </c>
      <c r="J6397" s="403" t="s">
        <v>111</v>
      </c>
      <c r="K6397" s="403">
        <v>768</v>
      </c>
      <c r="L6397" s="403">
        <v>432</v>
      </c>
      <c r="M6397" s="403" t="s">
        <v>111</v>
      </c>
      <c r="N6397" s="403">
        <v>768</v>
      </c>
      <c r="O6397" s="403">
        <v>432</v>
      </c>
      <c r="P6397" t="str">
        <f t="shared" si="801"/>
        <v>25fps SD - SD</v>
      </c>
      <c r="Q6397">
        <f t="shared" si="802"/>
        <v>34</v>
      </c>
      <c r="R6397" t="str">
        <f t="shared" si="803"/>
        <v/>
      </c>
      <c r="S6397" t="str">
        <f t="shared" si="804"/>
        <v/>
      </c>
      <c r="T6397" s="403" t="str">
        <f t="shared" si="805"/>
        <v>NIN-73023-AxA</v>
      </c>
      <c r="U6397" s="403">
        <f t="shared" si="806"/>
        <v>1</v>
      </c>
      <c r="V6397" s="403" t="str">
        <f t="shared" si="807"/>
        <v>CPP_7</v>
      </c>
    </row>
    <row r="6398" spans="1:22">
      <c r="A6398" t="str">
        <f t="shared" si="800"/>
        <v>NIN-73023-AxA</v>
      </c>
      <c r="B6398" s="403" t="s">
        <v>1459</v>
      </c>
      <c r="C6398" s="403" t="s">
        <v>583</v>
      </c>
      <c r="D6398" s="403" t="s">
        <v>1311</v>
      </c>
      <c r="E6398" s="403" t="s">
        <v>1312</v>
      </c>
      <c r="F6398" s="403" t="s">
        <v>1287</v>
      </c>
      <c r="G6398" s="403" t="s">
        <v>1467</v>
      </c>
      <c r="H6398" s="403" t="s">
        <v>1276</v>
      </c>
      <c r="I6398" s="403">
        <v>1</v>
      </c>
      <c r="J6398" s="403" t="s">
        <v>110</v>
      </c>
      <c r="K6398" s="403">
        <v>1080</v>
      </c>
      <c r="L6398" s="403">
        <v>1920</v>
      </c>
      <c r="M6398" s="403" t="s">
        <v>111</v>
      </c>
      <c r="N6398" s="403">
        <v>432</v>
      </c>
      <c r="O6398" s="403">
        <v>768</v>
      </c>
      <c r="P6398" t="str">
        <f t="shared" si="801"/>
        <v>25fps 1080p - SD</v>
      </c>
      <c r="Q6398">
        <f t="shared" si="802"/>
        <v>34</v>
      </c>
      <c r="R6398" t="str">
        <f t="shared" si="803"/>
        <v/>
      </c>
      <c r="S6398" t="str">
        <f t="shared" si="804"/>
        <v/>
      </c>
      <c r="T6398" s="403" t="str">
        <f t="shared" si="805"/>
        <v>NIN-73023-AxA</v>
      </c>
      <c r="U6398" s="403">
        <f t="shared" si="806"/>
        <v>1</v>
      </c>
      <c r="V6398" s="403" t="str">
        <f t="shared" si="807"/>
        <v>CPP_7</v>
      </c>
    </row>
    <row r="6399" spans="1:22">
      <c r="A6399" t="str">
        <f t="shared" si="800"/>
        <v>NIN-73023-AxA</v>
      </c>
      <c r="B6399" s="403" t="s">
        <v>1459</v>
      </c>
      <c r="C6399" s="403" t="s">
        <v>583</v>
      </c>
      <c r="D6399" s="403" t="s">
        <v>1311</v>
      </c>
      <c r="E6399" s="403" t="s">
        <v>1312</v>
      </c>
      <c r="F6399" s="403" t="s">
        <v>1287</v>
      </c>
      <c r="G6399" s="403" t="s">
        <v>1467</v>
      </c>
      <c r="H6399" s="403" t="s">
        <v>1276</v>
      </c>
      <c r="I6399" s="403">
        <v>1</v>
      </c>
      <c r="J6399" s="403" t="s">
        <v>110</v>
      </c>
      <c r="K6399" s="403">
        <v>1080</v>
      </c>
      <c r="L6399" s="403">
        <v>1920</v>
      </c>
      <c r="M6399" s="403" t="s">
        <v>110</v>
      </c>
      <c r="N6399" s="403">
        <v>1080</v>
      </c>
      <c r="O6399" s="403">
        <v>1920</v>
      </c>
      <c r="P6399" t="str">
        <f t="shared" si="801"/>
        <v>25fps 1080p - 1080p</v>
      </c>
      <c r="Q6399">
        <f t="shared" si="802"/>
        <v>34</v>
      </c>
      <c r="R6399" t="str">
        <f t="shared" si="803"/>
        <v/>
      </c>
      <c r="S6399" t="str">
        <f t="shared" si="804"/>
        <v/>
      </c>
      <c r="T6399" s="403" t="str">
        <f t="shared" si="805"/>
        <v>NIN-73023-AxA</v>
      </c>
      <c r="U6399" s="403">
        <f t="shared" si="806"/>
        <v>1</v>
      </c>
      <c r="V6399" s="403" t="str">
        <f t="shared" si="807"/>
        <v>CPP_7</v>
      </c>
    </row>
    <row r="6400" spans="1:22">
      <c r="A6400" t="str">
        <f t="shared" si="800"/>
        <v>NIN-73023-AxA</v>
      </c>
      <c r="B6400" s="403" t="s">
        <v>1459</v>
      </c>
      <c r="C6400" s="403" t="s">
        <v>583</v>
      </c>
      <c r="D6400" s="403" t="s">
        <v>1311</v>
      </c>
      <c r="E6400" s="403" t="s">
        <v>1312</v>
      </c>
      <c r="F6400" s="403" t="s">
        <v>1287</v>
      </c>
      <c r="G6400" s="403" t="s">
        <v>1467</v>
      </c>
      <c r="H6400" s="403" t="s">
        <v>1276</v>
      </c>
      <c r="I6400" s="403">
        <v>1</v>
      </c>
      <c r="J6400" s="403" t="s">
        <v>110</v>
      </c>
      <c r="K6400" s="403">
        <v>1080</v>
      </c>
      <c r="L6400" s="403">
        <v>1920</v>
      </c>
      <c r="M6400" s="403" t="s">
        <v>109</v>
      </c>
      <c r="N6400" s="403">
        <v>720</v>
      </c>
      <c r="O6400" s="403">
        <v>1280</v>
      </c>
      <c r="P6400" t="str">
        <f t="shared" si="801"/>
        <v>25fps 1080p - 720p</v>
      </c>
      <c r="Q6400">
        <f t="shared" si="802"/>
        <v>34</v>
      </c>
      <c r="R6400" t="str">
        <f t="shared" si="803"/>
        <v/>
      </c>
      <c r="S6400" t="str">
        <f t="shared" si="804"/>
        <v/>
      </c>
      <c r="T6400" s="403" t="str">
        <f t="shared" si="805"/>
        <v>NIN-73023-AxA</v>
      </c>
      <c r="U6400" s="403">
        <f t="shared" si="806"/>
        <v>1</v>
      </c>
      <c r="V6400" s="403" t="str">
        <f t="shared" si="807"/>
        <v>CPP_7</v>
      </c>
    </row>
    <row r="6401" spans="1:22">
      <c r="A6401" t="str">
        <f t="shared" si="800"/>
        <v>NIN-73023-AxA</v>
      </c>
      <c r="B6401" s="403" t="s">
        <v>1459</v>
      </c>
      <c r="C6401" s="403" t="s">
        <v>583</v>
      </c>
      <c r="D6401" s="403" t="s">
        <v>1311</v>
      </c>
      <c r="E6401" s="403" t="s">
        <v>1312</v>
      </c>
      <c r="F6401" s="403" t="s">
        <v>1287</v>
      </c>
      <c r="G6401" s="403" t="s">
        <v>1467</v>
      </c>
      <c r="H6401" s="403" t="s">
        <v>1276</v>
      </c>
      <c r="I6401" s="403">
        <v>1</v>
      </c>
      <c r="J6401" s="403" t="s">
        <v>110</v>
      </c>
      <c r="K6401" s="403">
        <v>1080</v>
      </c>
      <c r="L6401" s="403">
        <v>1920</v>
      </c>
      <c r="M6401" s="403" t="s">
        <v>1279</v>
      </c>
      <c r="N6401" s="403">
        <v>432</v>
      </c>
      <c r="O6401" s="403">
        <v>768</v>
      </c>
      <c r="P6401" t="str">
        <f t="shared" si="801"/>
        <v>25fps 1080p - SD ROI PTZ</v>
      </c>
      <c r="Q6401">
        <f t="shared" si="802"/>
        <v>34</v>
      </c>
      <c r="R6401" t="str">
        <f t="shared" si="803"/>
        <v/>
      </c>
      <c r="S6401" t="str">
        <f t="shared" si="804"/>
        <v/>
      </c>
      <c r="T6401" s="403" t="str">
        <f t="shared" si="805"/>
        <v>NIN-73023-AxA</v>
      </c>
      <c r="U6401" s="403">
        <f t="shared" si="806"/>
        <v>1</v>
      </c>
      <c r="V6401" s="403" t="str">
        <f t="shared" si="807"/>
        <v>CPP_7</v>
      </c>
    </row>
    <row r="6402" spans="1:22">
      <c r="A6402" t="str">
        <f t="shared" si="800"/>
        <v>NIN-73023-AxA</v>
      </c>
      <c r="B6402" s="403" t="s">
        <v>1459</v>
      </c>
      <c r="C6402" s="403" t="s">
        <v>583</v>
      </c>
      <c r="D6402" s="403" t="s">
        <v>1311</v>
      </c>
      <c r="E6402" s="403" t="s">
        <v>1312</v>
      </c>
      <c r="F6402" s="403" t="s">
        <v>1287</v>
      </c>
      <c r="G6402" s="403" t="s">
        <v>1467</v>
      </c>
      <c r="H6402" s="403" t="s">
        <v>1276</v>
      </c>
      <c r="I6402" s="403">
        <v>1</v>
      </c>
      <c r="J6402" s="403" t="s">
        <v>110</v>
      </c>
      <c r="K6402" s="403">
        <v>1080</v>
      </c>
      <c r="L6402" s="403">
        <v>1920</v>
      </c>
      <c r="M6402" s="403" t="s">
        <v>1298</v>
      </c>
      <c r="N6402" s="403">
        <v>432</v>
      </c>
      <c r="O6402" s="403">
        <v>768</v>
      </c>
      <c r="P6402" t="str">
        <f t="shared" si="801"/>
        <v>25fps 1080p - SD dual stream with independent ROI PTZ</v>
      </c>
      <c r="Q6402">
        <f t="shared" si="802"/>
        <v>34</v>
      </c>
      <c r="R6402" t="str">
        <f t="shared" si="803"/>
        <v/>
      </c>
      <c r="S6402" t="str">
        <f t="shared" si="804"/>
        <v/>
      </c>
      <c r="T6402" s="403" t="str">
        <f t="shared" si="805"/>
        <v>NIN-73023-AxA</v>
      </c>
      <c r="U6402" s="403">
        <f t="shared" si="806"/>
        <v>1</v>
      </c>
      <c r="V6402" s="403" t="str">
        <f t="shared" si="807"/>
        <v>CPP_7</v>
      </c>
    </row>
    <row r="6403" spans="1:22">
      <c r="A6403" t="str">
        <f t="shared" si="800"/>
        <v>NIN-73023-AxA</v>
      </c>
      <c r="B6403" s="403" t="s">
        <v>1459</v>
      </c>
      <c r="C6403" s="403" t="s">
        <v>583</v>
      </c>
      <c r="D6403" s="403" t="s">
        <v>1311</v>
      </c>
      <c r="E6403" s="403" t="s">
        <v>1312</v>
      </c>
      <c r="F6403" s="403" t="s">
        <v>1287</v>
      </c>
      <c r="G6403" s="403" t="s">
        <v>1467</v>
      </c>
      <c r="H6403" s="403" t="s">
        <v>1276</v>
      </c>
      <c r="I6403" s="403">
        <v>1</v>
      </c>
      <c r="J6403" s="403" t="s">
        <v>110</v>
      </c>
      <c r="K6403" s="403">
        <v>1080</v>
      </c>
      <c r="L6403" s="403">
        <v>1920</v>
      </c>
      <c r="M6403" s="403" t="s">
        <v>1283</v>
      </c>
      <c r="N6403" s="403">
        <v>576</v>
      </c>
      <c r="O6403" s="403">
        <v>704</v>
      </c>
      <c r="P6403" t="str">
        <f t="shared" si="801"/>
        <v>25fps 1080p - SD 4CIF resolution 4:3 format (cropped)</v>
      </c>
      <c r="Q6403">
        <f t="shared" si="802"/>
        <v>34</v>
      </c>
      <c r="R6403" t="str">
        <f t="shared" si="803"/>
        <v/>
      </c>
      <c r="S6403" t="str">
        <f t="shared" si="804"/>
        <v/>
      </c>
      <c r="T6403" s="403" t="str">
        <f t="shared" si="805"/>
        <v>NIN-73023-AxA</v>
      </c>
      <c r="U6403" s="403">
        <f t="shared" si="806"/>
        <v>1</v>
      </c>
      <c r="V6403" s="403" t="str">
        <f t="shared" si="807"/>
        <v>CPP_7</v>
      </c>
    </row>
    <row r="6404" spans="1:22">
      <c r="A6404" t="str">
        <f t="shared" si="800"/>
        <v>NIN-73023-AxA</v>
      </c>
      <c r="B6404" s="403" t="s">
        <v>1459</v>
      </c>
      <c r="C6404" s="403" t="s">
        <v>583</v>
      </c>
      <c r="D6404" s="403" t="s">
        <v>1311</v>
      </c>
      <c r="E6404" s="403" t="s">
        <v>1312</v>
      </c>
      <c r="F6404" s="403" t="s">
        <v>1287</v>
      </c>
      <c r="G6404" s="403" t="s">
        <v>1467</v>
      </c>
      <c r="H6404" s="403" t="s">
        <v>1276</v>
      </c>
      <c r="I6404" s="403">
        <v>1</v>
      </c>
      <c r="J6404" s="403" t="s">
        <v>110</v>
      </c>
      <c r="K6404" s="403">
        <v>1080</v>
      </c>
      <c r="L6404" s="403">
        <v>1920</v>
      </c>
      <c r="M6404" s="403" t="s">
        <v>1284</v>
      </c>
      <c r="N6404" s="403">
        <v>480</v>
      </c>
      <c r="O6404" s="403">
        <v>640</v>
      </c>
      <c r="P6404" t="str">
        <f t="shared" si="801"/>
        <v>25fps 1080p - SD VGA (cropped)</v>
      </c>
      <c r="Q6404">
        <f t="shared" si="802"/>
        <v>34</v>
      </c>
      <c r="R6404" t="str">
        <f t="shared" si="803"/>
        <v/>
      </c>
      <c r="S6404" t="str">
        <f t="shared" si="804"/>
        <v/>
      </c>
      <c r="T6404" s="403" t="str">
        <f t="shared" si="805"/>
        <v>NIN-73023-AxA</v>
      </c>
      <c r="U6404" s="403">
        <f t="shared" si="806"/>
        <v>1</v>
      </c>
      <c r="V6404" s="403" t="str">
        <f t="shared" si="807"/>
        <v>CPP_7</v>
      </c>
    </row>
    <row r="6405" spans="1:22">
      <c r="A6405" t="str">
        <f t="shared" si="800"/>
        <v>NIN-73023-AxA</v>
      </c>
      <c r="B6405" s="403" t="s">
        <v>1459</v>
      </c>
      <c r="C6405" s="403" t="s">
        <v>583</v>
      </c>
      <c r="D6405" s="403" t="s">
        <v>1311</v>
      </c>
      <c r="E6405" s="403" t="s">
        <v>1312</v>
      </c>
      <c r="F6405" s="403" t="s">
        <v>1287</v>
      </c>
      <c r="G6405" s="403" t="s">
        <v>1467</v>
      </c>
      <c r="H6405" s="403" t="s">
        <v>1276</v>
      </c>
      <c r="I6405" s="403">
        <v>1</v>
      </c>
      <c r="J6405" s="403" t="s">
        <v>109</v>
      </c>
      <c r="K6405" s="403">
        <v>720</v>
      </c>
      <c r="L6405" s="403">
        <v>1280</v>
      </c>
      <c r="M6405" s="403" t="s">
        <v>111</v>
      </c>
      <c r="N6405" s="403">
        <v>432</v>
      </c>
      <c r="O6405" s="403">
        <v>768</v>
      </c>
      <c r="P6405" t="str">
        <f t="shared" si="801"/>
        <v>25fps 720p - SD</v>
      </c>
      <c r="Q6405">
        <f t="shared" si="802"/>
        <v>34</v>
      </c>
      <c r="R6405" t="str">
        <f t="shared" si="803"/>
        <v/>
      </c>
      <c r="S6405" t="str">
        <f t="shared" si="804"/>
        <v/>
      </c>
      <c r="T6405" s="403" t="str">
        <f t="shared" si="805"/>
        <v>NIN-73023-AxA</v>
      </c>
      <c r="U6405" s="403">
        <f t="shared" si="806"/>
        <v>1</v>
      </c>
      <c r="V6405" s="403" t="str">
        <f t="shared" si="807"/>
        <v>CPP_7</v>
      </c>
    </row>
    <row r="6406" spans="1:22">
      <c r="A6406" t="str">
        <f t="shared" si="800"/>
        <v>NIN-73023-AxA</v>
      </c>
      <c r="B6406" s="403" t="s">
        <v>1459</v>
      </c>
      <c r="C6406" s="403" t="s">
        <v>583</v>
      </c>
      <c r="D6406" s="403" t="s">
        <v>1311</v>
      </c>
      <c r="E6406" s="403" t="s">
        <v>1312</v>
      </c>
      <c r="F6406" s="403" t="s">
        <v>1287</v>
      </c>
      <c r="G6406" s="403" t="s">
        <v>1467</v>
      </c>
      <c r="H6406" s="403" t="s">
        <v>1276</v>
      </c>
      <c r="I6406" s="403">
        <v>1</v>
      </c>
      <c r="J6406" s="403" t="s">
        <v>109</v>
      </c>
      <c r="K6406" s="403">
        <v>720</v>
      </c>
      <c r="L6406" s="403">
        <v>1280</v>
      </c>
      <c r="M6406" s="403" t="s">
        <v>109</v>
      </c>
      <c r="N6406" s="403">
        <v>720</v>
      </c>
      <c r="O6406" s="403">
        <v>1280</v>
      </c>
      <c r="P6406" t="str">
        <f t="shared" si="801"/>
        <v>25fps 720p - 720p</v>
      </c>
      <c r="Q6406">
        <f t="shared" si="802"/>
        <v>34</v>
      </c>
      <c r="R6406" t="str">
        <f t="shared" si="803"/>
        <v/>
      </c>
      <c r="S6406" t="str">
        <f t="shared" si="804"/>
        <v/>
      </c>
      <c r="T6406" s="403" t="str">
        <f t="shared" si="805"/>
        <v>NIN-73023-AxA</v>
      </c>
      <c r="U6406" s="403">
        <f t="shared" si="806"/>
        <v>1</v>
      </c>
      <c r="V6406" s="403" t="str">
        <f t="shared" si="807"/>
        <v>CPP_7</v>
      </c>
    </row>
    <row r="6407" spans="1:22">
      <c r="A6407" t="str">
        <f t="shared" si="800"/>
        <v>NIN-73023-AxA</v>
      </c>
      <c r="B6407" s="403" t="s">
        <v>1459</v>
      </c>
      <c r="C6407" s="403" t="s">
        <v>583</v>
      </c>
      <c r="D6407" s="403" t="s">
        <v>1311</v>
      </c>
      <c r="E6407" s="403" t="s">
        <v>1312</v>
      </c>
      <c r="F6407" s="403" t="s">
        <v>1287</v>
      </c>
      <c r="G6407" s="403" t="s">
        <v>1467</v>
      </c>
      <c r="H6407" s="403" t="s">
        <v>1276</v>
      </c>
      <c r="I6407" s="403">
        <v>1</v>
      </c>
      <c r="J6407" s="403" t="s">
        <v>109</v>
      </c>
      <c r="K6407" s="403">
        <v>720</v>
      </c>
      <c r="L6407" s="403">
        <v>1280</v>
      </c>
      <c r="M6407" s="403" t="s">
        <v>1279</v>
      </c>
      <c r="N6407" s="403">
        <v>432</v>
      </c>
      <c r="O6407" s="403">
        <v>768</v>
      </c>
      <c r="P6407" t="str">
        <f t="shared" si="801"/>
        <v>25fps 720p - SD ROI PTZ</v>
      </c>
      <c r="Q6407">
        <f t="shared" si="802"/>
        <v>34</v>
      </c>
      <c r="R6407" t="str">
        <f t="shared" si="803"/>
        <v/>
      </c>
      <c r="S6407" t="str">
        <f t="shared" si="804"/>
        <v/>
      </c>
      <c r="T6407" s="403" t="str">
        <f t="shared" si="805"/>
        <v>NIN-73023-AxA</v>
      </c>
      <c r="U6407" s="403">
        <f t="shared" si="806"/>
        <v>1</v>
      </c>
      <c r="V6407" s="403" t="str">
        <f t="shared" si="807"/>
        <v>CPP_7</v>
      </c>
    </row>
    <row r="6408" spans="1:22">
      <c r="A6408" t="str">
        <f t="shared" si="800"/>
        <v>NIN-73023-AxA</v>
      </c>
      <c r="B6408" s="403" t="s">
        <v>1459</v>
      </c>
      <c r="C6408" s="403" t="s">
        <v>583</v>
      </c>
      <c r="D6408" s="403" t="s">
        <v>1311</v>
      </c>
      <c r="E6408" s="403" t="s">
        <v>1312</v>
      </c>
      <c r="F6408" s="403" t="s">
        <v>1287</v>
      </c>
      <c r="G6408" s="403" t="s">
        <v>1467</v>
      </c>
      <c r="H6408" s="403" t="s">
        <v>1276</v>
      </c>
      <c r="I6408" s="403">
        <v>1</v>
      </c>
      <c r="J6408" s="403" t="s">
        <v>109</v>
      </c>
      <c r="K6408" s="403">
        <v>720</v>
      </c>
      <c r="L6408" s="403">
        <v>1280</v>
      </c>
      <c r="M6408" s="403" t="s">
        <v>1298</v>
      </c>
      <c r="N6408" s="403">
        <v>432</v>
      </c>
      <c r="O6408" s="403">
        <v>768</v>
      </c>
      <c r="P6408" t="str">
        <f t="shared" si="801"/>
        <v>25fps 720p - SD dual stream with independent ROI PTZ</v>
      </c>
      <c r="Q6408">
        <f t="shared" si="802"/>
        <v>34</v>
      </c>
      <c r="R6408" t="str">
        <f t="shared" si="803"/>
        <v/>
      </c>
      <c r="S6408" t="str">
        <f t="shared" si="804"/>
        <v/>
      </c>
      <c r="T6408" s="403" t="str">
        <f t="shared" si="805"/>
        <v>NIN-73023-AxA</v>
      </c>
      <c r="U6408" s="403">
        <f t="shared" si="806"/>
        <v>1</v>
      </c>
      <c r="V6408" s="403" t="str">
        <f t="shared" si="807"/>
        <v>CPP_7</v>
      </c>
    </row>
    <row r="6409" spans="1:22">
      <c r="A6409" t="str">
        <f t="shared" si="800"/>
        <v>NIN-73023-AxA</v>
      </c>
      <c r="B6409" s="403" t="s">
        <v>1459</v>
      </c>
      <c r="C6409" s="403" t="s">
        <v>583</v>
      </c>
      <c r="D6409" s="403" t="s">
        <v>1311</v>
      </c>
      <c r="E6409" s="403" t="s">
        <v>1312</v>
      </c>
      <c r="F6409" s="403" t="s">
        <v>1287</v>
      </c>
      <c r="G6409" s="403" t="s">
        <v>1467</v>
      </c>
      <c r="H6409" s="403" t="s">
        <v>1276</v>
      </c>
      <c r="I6409" s="403">
        <v>1</v>
      </c>
      <c r="J6409" s="403" t="s">
        <v>109</v>
      </c>
      <c r="K6409" s="403">
        <v>720</v>
      </c>
      <c r="L6409" s="403">
        <v>1280</v>
      </c>
      <c r="M6409" s="403" t="s">
        <v>1283</v>
      </c>
      <c r="N6409" s="403">
        <v>576</v>
      </c>
      <c r="O6409" s="403">
        <v>704</v>
      </c>
      <c r="P6409" t="str">
        <f t="shared" si="801"/>
        <v>25fps 720p - SD 4CIF resolution 4:3 format (cropped)</v>
      </c>
      <c r="Q6409">
        <f t="shared" si="802"/>
        <v>34</v>
      </c>
      <c r="R6409" t="str">
        <f t="shared" si="803"/>
        <v/>
      </c>
      <c r="S6409" t="str">
        <f t="shared" si="804"/>
        <v/>
      </c>
      <c r="T6409" s="403" t="str">
        <f t="shared" si="805"/>
        <v>NIN-73023-AxA</v>
      </c>
      <c r="U6409" s="403">
        <f t="shared" si="806"/>
        <v>1</v>
      </c>
      <c r="V6409" s="403" t="str">
        <f t="shared" si="807"/>
        <v>CPP_7</v>
      </c>
    </row>
    <row r="6410" spans="1:22">
      <c r="A6410" t="str">
        <f t="shared" si="800"/>
        <v>NIN-73023-AxA</v>
      </c>
      <c r="B6410" s="403" t="s">
        <v>1459</v>
      </c>
      <c r="C6410" s="403" t="s">
        <v>583</v>
      </c>
      <c r="D6410" s="403" t="s">
        <v>1311</v>
      </c>
      <c r="E6410" s="403" t="s">
        <v>1312</v>
      </c>
      <c r="F6410" s="403" t="s">
        <v>1287</v>
      </c>
      <c r="G6410" s="403" t="s">
        <v>1467</v>
      </c>
      <c r="H6410" s="403" t="s">
        <v>1276</v>
      </c>
      <c r="I6410" s="403">
        <v>1</v>
      </c>
      <c r="J6410" s="403" t="s">
        <v>109</v>
      </c>
      <c r="K6410" s="403">
        <v>720</v>
      </c>
      <c r="L6410" s="403">
        <v>1280</v>
      </c>
      <c r="M6410" s="403" t="s">
        <v>1284</v>
      </c>
      <c r="N6410" s="403">
        <v>480</v>
      </c>
      <c r="O6410" s="403">
        <v>640</v>
      </c>
      <c r="P6410" t="str">
        <f t="shared" si="801"/>
        <v>25fps 720p - SD VGA (cropped)</v>
      </c>
      <c r="Q6410">
        <f t="shared" si="802"/>
        <v>34</v>
      </c>
      <c r="R6410" t="str">
        <f t="shared" si="803"/>
        <v/>
      </c>
      <c r="S6410" t="str">
        <f t="shared" si="804"/>
        <v/>
      </c>
      <c r="T6410" s="403" t="str">
        <f t="shared" si="805"/>
        <v>NIN-73023-AxA</v>
      </c>
      <c r="U6410" s="403">
        <f t="shared" si="806"/>
        <v>1</v>
      </c>
      <c r="V6410" s="403" t="str">
        <f t="shared" si="807"/>
        <v>CPP_7</v>
      </c>
    </row>
    <row r="6411" spans="1:22">
      <c r="A6411" t="str">
        <f t="shared" si="800"/>
        <v>NIN-73023-AxA</v>
      </c>
      <c r="B6411" s="403" t="s">
        <v>1459</v>
      </c>
      <c r="C6411" s="403" t="s">
        <v>583</v>
      </c>
      <c r="D6411" s="403" t="s">
        <v>1311</v>
      </c>
      <c r="E6411" s="403" t="s">
        <v>1312</v>
      </c>
      <c r="F6411" s="403" t="s">
        <v>1287</v>
      </c>
      <c r="G6411" s="403" t="s">
        <v>1467</v>
      </c>
      <c r="H6411" s="403" t="s">
        <v>1276</v>
      </c>
      <c r="I6411" s="403">
        <v>1</v>
      </c>
      <c r="J6411" s="403" t="s">
        <v>111</v>
      </c>
      <c r="K6411" s="403">
        <v>432</v>
      </c>
      <c r="L6411" s="403">
        <v>768</v>
      </c>
      <c r="M6411" s="403" t="s">
        <v>111</v>
      </c>
      <c r="N6411" s="403">
        <v>432</v>
      </c>
      <c r="O6411" s="403">
        <v>768</v>
      </c>
      <c r="P6411" t="str">
        <f t="shared" si="801"/>
        <v>25fps SD - SD</v>
      </c>
      <c r="Q6411">
        <f t="shared" si="802"/>
        <v>34</v>
      </c>
      <c r="R6411" t="str">
        <f t="shared" si="803"/>
        <v/>
      </c>
      <c r="S6411" t="str">
        <f t="shared" si="804"/>
        <v/>
      </c>
      <c r="T6411" s="403" t="str">
        <f t="shared" si="805"/>
        <v>NIN-73023-AxA</v>
      </c>
      <c r="U6411" s="403">
        <f t="shared" si="806"/>
        <v>1</v>
      </c>
      <c r="V6411" s="403" t="str">
        <f t="shared" si="807"/>
        <v>CPP_7</v>
      </c>
    </row>
    <row r="6412" spans="1:22">
      <c r="A6412" t="str">
        <f t="shared" si="800"/>
        <v>NIN-73023-AxA</v>
      </c>
      <c r="B6412" s="403" t="s">
        <v>1459</v>
      </c>
      <c r="C6412" s="403" t="s">
        <v>583</v>
      </c>
      <c r="D6412" s="403" t="s">
        <v>1311</v>
      </c>
      <c r="E6412" s="403" t="s">
        <v>1312</v>
      </c>
      <c r="F6412" s="403" t="s">
        <v>1286</v>
      </c>
      <c r="G6412" s="403" t="s">
        <v>1466</v>
      </c>
      <c r="H6412" s="403" t="s">
        <v>1276</v>
      </c>
      <c r="I6412" s="403">
        <v>1</v>
      </c>
      <c r="J6412" s="403" t="s">
        <v>1277</v>
      </c>
      <c r="K6412" s="403">
        <v>1440</v>
      </c>
      <c r="L6412" s="403">
        <v>1080</v>
      </c>
      <c r="M6412" s="403" t="s">
        <v>1277</v>
      </c>
      <c r="N6412" s="403">
        <v>1440</v>
      </c>
      <c r="O6412" s="403">
        <v>1080</v>
      </c>
      <c r="P6412" t="str">
        <f t="shared" si="801"/>
        <v>30fps 1440x1080 - 1440x1080</v>
      </c>
      <c r="Q6412">
        <f t="shared" si="802"/>
        <v>34</v>
      </c>
      <c r="R6412" t="str">
        <f t="shared" si="803"/>
        <v/>
      </c>
      <c r="S6412" t="str">
        <f t="shared" si="804"/>
        <v/>
      </c>
      <c r="T6412" s="403" t="str">
        <f t="shared" si="805"/>
        <v>NIN-73023-AxA</v>
      </c>
      <c r="U6412" s="403">
        <f t="shared" si="806"/>
        <v>1</v>
      </c>
      <c r="V6412" s="403" t="str">
        <f t="shared" si="807"/>
        <v>CPP_7</v>
      </c>
    </row>
    <row r="6413" spans="1:22">
      <c r="A6413" t="str">
        <f t="shared" si="800"/>
        <v>NIN-73023-AxA</v>
      </c>
      <c r="B6413" s="403" t="s">
        <v>1459</v>
      </c>
      <c r="C6413" s="403" t="s">
        <v>583</v>
      </c>
      <c r="D6413" s="403" t="s">
        <v>1311</v>
      </c>
      <c r="E6413" s="403" t="s">
        <v>1312</v>
      </c>
      <c r="F6413" s="403" t="s">
        <v>1286</v>
      </c>
      <c r="G6413" s="403" t="s">
        <v>1466</v>
      </c>
      <c r="H6413" s="403" t="s">
        <v>1276</v>
      </c>
      <c r="I6413" s="403">
        <v>1</v>
      </c>
      <c r="J6413" s="403" t="s">
        <v>1277</v>
      </c>
      <c r="K6413" s="403">
        <v>1440</v>
      </c>
      <c r="L6413" s="403">
        <v>1080</v>
      </c>
      <c r="M6413" s="403" t="s">
        <v>1313</v>
      </c>
      <c r="N6413" s="403">
        <v>1280</v>
      </c>
      <c r="O6413" s="403">
        <v>960</v>
      </c>
      <c r="P6413" t="str">
        <f t="shared" si="801"/>
        <v>30fps 1440x1080 - 1280x960</v>
      </c>
      <c r="Q6413">
        <f t="shared" si="802"/>
        <v>34</v>
      </c>
      <c r="R6413" t="str">
        <f t="shared" si="803"/>
        <v/>
      </c>
      <c r="S6413" t="str">
        <f t="shared" si="804"/>
        <v/>
      </c>
      <c r="T6413" s="403" t="str">
        <f t="shared" si="805"/>
        <v>NIN-73023-AxA</v>
      </c>
      <c r="U6413" s="403">
        <f t="shared" si="806"/>
        <v>1</v>
      </c>
      <c r="V6413" s="403" t="str">
        <f t="shared" si="807"/>
        <v>CPP_7</v>
      </c>
    </row>
    <row r="6414" spans="1:22">
      <c r="A6414" t="str">
        <f t="shared" si="800"/>
        <v>NIN-73023-AxA</v>
      </c>
      <c r="B6414" s="403" t="s">
        <v>1459</v>
      </c>
      <c r="C6414" s="403" t="s">
        <v>583</v>
      </c>
      <c r="D6414" s="403" t="s">
        <v>1311</v>
      </c>
      <c r="E6414" s="403" t="s">
        <v>1312</v>
      </c>
      <c r="F6414" s="403" t="s">
        <v>1286</v>
      </c>
      <c r="G6414" s="403" t="s">
        <v>1466</v>
      </c>
      <c r="H6414" s="403" t="s">
        <v>1276</v>
      </c>
      <c r="I6414" s="403">
        <v>1</v>
      </c>
      <c r="J6414" s="403" t="s">
        <v>1277</v>
      </c>
      <c r="K6414" s="403">
        <v>1440</v>
      </c>
      <c r="L6414" s="403">
        <v>1080</v>
      </c>
      <c r="M6414" s="403" t="s">
        <v>1278</v>
      </c>
      <c r="N6414" s="403">
        <v>1024</v>
      </c>
      <c r="O6414" s="403">
        <v>768</v>
      </c>
      <c r="P6414" t="str">
        <f t="shared" si="801"/>
        <v>30fps 1440x1080 - 1024x768</v>
      </c>
      <c r="Q6414">
        <f t="shared" si="802"/>
        <v>34</v>
      </c>
      <c r="R6414" t="str">
        <f t="shared" si="803"/>
        <v/>
      </c>
      <c r="S6414" t="str">
        <f t="shared" si="804"/>
        <v/>
      </c>
      <c r="T6414" s="403" t="str">
        <f t="shared" si="805"/>
        <v>NIN-73023-AxA</v>
      </c>
      <c r="U6414" s="403">
        <f t="shared" si="806"/>
        <v>1</v>
      </c>
      <c r="V6414" s="403" t="str">
        <f t="shared" si="807"/>
        <v>CPP_7</v>
      </c>
    </row>
    <row r="6415" spans="1:22">
      <c r="A6415" t="str">
        <f t="shared" si="800"/>
        <v>NIN-73023-AxA</v>
      </c>
      <c r="B6415" s="403" t="s">
        <v>1459</v>
      </c>
      <c r="C6415" s="403" t="s">
        <v>583</v>
      </c>
      <c r="D6415" s="403" t="s">
        <v>1311</v>
      </c>
      <c r="E6415" s="403" t="s">
        <v>1312</v>
      </c>
      <c r="F6415" s="403" t="s">
        <v>1286</v>
      </c>
      <c r="G6415" s="403" t="s">
        <v>1466</v>
      </c>
      <c r="H6415" s="403" t="s">
        <v>1276</v>
      </c>
      <c r="I6415" s="403">
        <v>1</v>
      </c>
      <c r="J6415" s="403" t="s">
        <v>1277</v>
      </c>
      <c r="K6415" s="403">
        <v>1440</v>
      </c>
      <c r="L6415" s="403">
        <v>1080</v>
      </c>
      <c r="M6415" s="403" t="s">
        <v>111</v>
      </c>
      <c r="N6415" s="403">
        <v>768</v>
      </c>
      <c r="O6415" s="403">
        <v>432</v>
      </c>
      <c r="P6415" t="str">
        <f t="shared" si="801"/>
        <v>30fps 1440x1080 - SD</v>
      </c>
      <c r="Q6415">
        <f t="shared" si="802"/>
        <v>34</v>
      </c>
      <c r="R6415" t="str">
        <f t="shared" si="803"/>
        <v/>
      </c>
      <c r="S6415" t="str">
        <f t="shared" si="804"/>
        <v/>
      </c>
      <c r="T6415" s="403" t="str">
        <f t="shared" si="805"/>
        <v>NIN-73023-AxA</v>
      </c>
      <c r="U6415" s="403">
        <f t="shared" si="806"/>
        <v>1</v>
      </c>
      <c r="V6415" s="403" t="str">
        <f t="shared" si="807"/>
        <v>CPP_7</v>
      </c>
    </row>
    <row r="6416" spans="1:22">
      <c r="A6416" t="str">
        <f t="shared" si="800"/>
        <v>NIN-73023-AxA</v>
      </c>
      <c r="B6416" s="403" t="s">
        <v>1459</v>
      </c>
      <c r="C6416" s="403" t="s">
        <v>583</v>
      </c>
      <c r="D6416" s="403" t="s">
        <v>1311</v>
      </c>
      <c r="E6416" s="403" t="s">
        <v>1312</v>
      </c>
      <c r="F6416" s="403" t="s">
        <v>1286</v>
      </c>
      <c r="G6416" s="403" t="s">
        <v>1467</v>
      </c>
      <c r="H6416" s="403" t="s">
        <v>1276</v>
      </c>
      <c r="I6416" s="403">
        <v>1</v>
      </c>
      <c r="J6416" s="403" t="s">
        <v>1277</v>
      </c>
      <c r="K6416" s="403">
        <v>1080</v>
      </c>
      <c r="L6416" s="403">
        <v>1440</v>
      </c>
      <c r="M6416" s="403" t="s">
        <v>1277</v>
      </c>
      <c r="N6416" s="403">
        <v>1080</v>
      </c>
      <c r="O6416" s="403">
        <v>1440</v>
      </c>
      <c r="P6416" t="str">
        <f t="shared" si="801"/>
        <v>30fps 1440x1080 - 1440x1080</v>
      </c>
      <c r="Q6416">
        <f t="shared" si="802"/>
        <v>34</v>
      </c>
      <c r="R6416" t="str">
        <f t="shared" si="803"/>
        <v/>
      </c>
      <c r="S6416" t="str">
        <f t="shared" si="804"/>
        <v/>
      </c>
      <c r="T6416" s="403" t="str">
        <f t="shared" si="805"/>
        <v>NIN-73023-AxA</v>
      </c>
      <c r="U6416" s="403">
        <f t="shared" si="806"/>
        <v>1</v>
      </c>
      <c r="V6416" s="403" t="str">
        <f t="shared" si="807"/>
        <v>CPP_7</v>
      </c>
    </row>
    <row r="6417" spans="1:22">
      <c r="A6417" t="str">
        <f t="shared" si="800"/>
        <v>NIN-73023-AxA</v>
      </c>
      <c r="B6417" s="403" t="s">
        <v>1459</v>
      </c>
      <c r="C6417" s="403" t="s">
        <v>583</v>
      </c>
      <c r="D6417" s="403" t="s">
        <v>1311</v>
      </c>
      <c r="E6417" s="403" t="s">
        <v>1312</v>
      </c>
      <c r="F6417" s="403" t="s">
        <v>1286</v>
      </c>
      <c r="G6417" s="403" t="s">
        <v>1467</v>
      </c>
      <c r="H6417" s="403" t="s">
        <v>1276</v>
      </c>
      <c r="I6417" s="403">
        <v>1</v>
      </c>
      <c r="J6417" s="403" t="s">
        <v>1277</v>
      </c>
      <c r="K6417" s="403">
        <v>1080</v>
      </c>
      <c r="L6417" s="403">
        <v>1440</v>
      </c>
      <c r="M6417" s="403" t="s">
        <v>1278</v>
      </c>
      <c r="N6417" s="403">
        <v>768</v>
      </c>
      <c r="O6417" s="403">
        <v>1024</v>
      </c>
      <c r="P6417" t="str">
        <f t="shared" si="801"/>
        <v>30fps 1440x1080 - 1024x768</v>
      </c>
      <c r="Q6417">
        <f t="shared" si="802"/>
        <v>34</v>
      </c>
      <c r="R6417" t="str">
        <f t="shared" si="803"/>
        <v/>
      </c>
      <c r="S6417" t="str">
        <f t="shared" si="804"/>
        <v/>
      </c>
      <c r="T6417" s="403" t="str">
        <f t="shared" si="805"/>
        <v>NIN-73023-AxA</v>
      </c>
      <c r="U6417" s="403">
        <f t="shared" si="806"/>
        <v>1</v>
      </c>
      <c r="V6417" s="403" t="str">
        <f t="shared" si="807"/>
        <v>CPP_7</v>
      </c>
    </row>
    <row r="6418" spans="1:22">
      <c r="A6418" t="str">
        <f t="shared" si="800"/>
        <v>NIN-73023-AxA</v>
      </c>
      <c r="B6418" s="403" t="s">
        <v>1459</v>
      </c>
      <c r="C6418" s="403" t="s">
        <v>583</v>
      </c>
      <c r="D6418" s="403" t="s">
        <v>1311</v>
      </c>
      <c r="E6418" s="403" t="s">
        <v>1312</v>
      </c>
      <c r="F6418" s="403" t="s">
        <v>1286</v>
      </c>
      <c r="G6418" s="403" t="s">
        <v>1467</v>
      </c>
      <c r="H6418" s="403" t="s">
        <v>1276</v>
      </c>
      <c r="I6418" s="403">
        <v>1</v>
      </c>
      <c r="J6418" s="403" t="s">
        <v>1277</v>
      </c>
      <c r="K6418" s="403">
        <v>1080</v>
      </c>
      <c r="L6418" s="403">
        <v>1440</v>
      </c>
      <c r="M6418" s="403" t="s">
        <v>111</v>
      </c>
      <c r="N6418" s="403">
        <v>432</v>
      </c>
      <c r="O6418" s="403">
        <v>768</v>
      </c>
      <c r="P6418" t="str">
        <f t="shared" si="801"/>
        <v>30fps 1440x1080 - SD</v>
      </c>
      <c r="Q6418">
        <f t="shared" si="802"/>
        <v>34</v>
      </c>
      <c r="R6418" t="str">
        <f t="shared" si="803"/>
        <v/>
      </c>
      <c r="S6418" t="str">
        <f t="shared" si="804"/>
        <v/>
      </c>
      <c r="T6418" s="403" t="str">
        <f t="shared" si="805"/>
        <v>NIN-73023-AxA</v>
      </c>
      <c r="U6418" s="403">
        <f t="shared" si="806"/>
        <v>1</v>
      </c>
      <c r="V6418" s="403" t="str">
        <f t="shared" si="807"/>
        <v>CPP_7</v>
      </c>
    </row>
    <row r="6419" spans="1:22">
      <c r="A6419" t="str">
        <f t="shared" si="800"/>
        <v>NIN-73023-AxA</v>
      </c>
      <c r="B6419" s="403" t="s">
        <v>1459</v>
      </c>
      <c r="C6419" s="403" t="s">
        <v>583</v>
      </c>
      <c r="D6419" s="403" t="s">
        <v>1311</v>
      </c>
      <c r="E6419" s="403" t="s">
        <v>1312</v>
      </c>
      <c r="F6419" s="403" t="s">
        <v>1287</v>
      </c>
      <c r="G6419" s="403" t="s">
        <v>1466</v>
      </c>
      <c r="H6419" s="403" t="s">
        <v>1276</v>
      </c>
      <c r="I6419" s="403">
        <v>1</v>
      </c>
      <c r="J6419" s="403" t="s">
        <v>1277</v>
      </c>
      <c r="K6419" s="403">
        <v>1440</v>
      </c>
      <c r="L6419" s="403">
        <v>1080</v>
      </c>
      <c r="M6419" s="403" t="s">
        <v>1277</v>
      </c>
      <c r="N6419" s="403">
        <v>1440</v>
      </c>
      <c r="O6419" s="403">
        <v>1080</v>
      </c>
      <c r="P6419" t="str">
        <f t="shared" si="801"/>
        <v>25fps 1440x1080 - 1440x1080</v>
      </c>
      <c r="Q6419">
        <f t="shared" si="802"/>
        <v>34</v>
      </c>
      <c r="R6419" t="str">
        <f t="shared" si="803"/>
        <v/>
      </c>
      <c r="S6419" t="str">
        <f t="shared" si="804"/>
        <v/>
      </c>
      <c r="T6419" s="403" t="str">
        <f t="shared" si="805"/>
        <v>NIN-73023-AxA</v>
      </c>
      <c r="U6419" s="403">
        <f t="shared" si="806"/>
        <v>1</v>
      </c>
      <c r="V6419" s="403" t="str">
        <f t="shared" si="807"/>
        <v>CPP_7</v>
      </c>
    </row>
    <row r="6420" spans="1:22">
      <c r="A6420" t="str">
        <f t="shared" si="800"/>
        <v>NIN-73023-AxA</v>
      </c>
      <c r="B6420" s="403" t="s">
        <v>1459</v>
      </c>
      <c r="C6420" s="403" t="s">
        <v>583</v>
      </c>
      <c r="D6420" s="403" t="s">
        <v>1311</v>
      </c>
      <c r="E6420" s="403" t="s">
        <v>1312</v>
      </c>
      <c r="F6420" s="403" t="s">
        <v>1287</v>
      </c>
      <c r="G6420" s="403" t="s">
        <v>1466</v>
      </c>
      <c r="H6420" s="403" t="s">
        <v>1276</v>
      </c>
      <c r="I6420" s="403">
        <v>1</v>
      </c>
      <c r="J6420" s="403" t="s">
        <v>1277</v>
      </c>
      <c r="K6420" s="403">
        <v>1440</v>
      </c>
      <c r="L6420" s="403">
        <v>1080</v>
      </c>
      <c r="M6420" s="403" t="s">
        <v>1313</v>
      </c>
      <c r="N6420" s="403">
        <v>1280</v>
      </c>
      <c r="O6420" s="403">
        <v>960</v>
      </c>
      <c r="P6420" t="str">
        <f t="shared" si="801"/>
        <v>25fps 1440x1080 - 1280x960</v>
      </c>
      <c r="Q6420">
        <f t="shared" si="802"/>
        <v>34</v>
      </c>
      <c r="R6420" t="str">
        <f t="shared" si="803"/>
        <v/>
      </c>
      <c r="S6420" t="str">
        <f t="shared" si="804"/>
        <v/>
      </c>
      <c r="T6420" s="403" t="str">
        <f t="shared" si="805"/>
        <v>NIN-73023-AxA</v>
      </c>
      <c r="U6420" s="403">
        <f t="shared" si="806"/>
        <v>1</v>
      </c>
      <c r="V6420" s="403" t="str">
        <f t="shared" si="807"/>
        <v>CPP_7</v>
      </c>
    </row>
    <row r="6421" spans="1:22">
      <c r="A6421" t="str">
        <f t="shared" si="800"/>
        <v>NIN-73023-AxA</v>
      </c>
      <c r="B6421" s="403" t="s">
        <v>1459</v>
      </c>
      <c r="C6421" s="403" t="s">
        <v>583</v>
      </c>
      <c r="D6421" s="403" t="s">
        <v>1311</v>
      </c>
      <c r="E6421" s="403" t="s">
        <v>1312</v>
      </c>
      <c r="F6421" s="403" t="s">
        <v>1287</v>
      </c>
      <c r="G6421" s="403" t="s">
        <v>1466</v>
      </c>
      <c r="H6421" s="403" t="s">
        <v>1276</v>
      </c>
      <c r="I6421" s="403">
        <v>1</v>
      </c>
      <c r="J6421" s="403" t="s">
        <v>1277</v>
      </c>
      <c r="K6421" s="403">
        <v>1440</v>
      </c>
      <c r="L6421" s="403">
        <v>1080</v>
      </c>
      <c r="M6421" s="403" t="s">
        <v>1278</v>
      </c>
      <c r="N6421" s="403">
        <v>1024</v>
      </c>
      <c r="O6421" s="403">
        <v>768</v>
      </c>
      <c r="P6421" t="str">
        <f t="shared" si="801"/>
        <v>25fps 1440x1080 - 1024x768</v>
      </c>
      <c r="Q6421">
        <f t="shared" si="802"/>
        <v>34</v>
      </c>
      <c r="R6421" t="str">
        <f t="shared" si="803"/>
        <v/>
      </c>
      <c r="S6421" t="str">
        <f t="shared" si="804"/>
        <v/>
      </c>
      <c r="T6421" s="403" t="str">
        <f t="shared" si="805"/>
        <v>NIN-73023-AxA</v>
      </c>
      <c r="U6421" s="403">
        <f t="shared" si="806"/>
        <v>1</v>
      </c>
      <c r="V6421" s="403" t="str">
        <f t="shared" si="807"/>
        <v>CPP_7</v>
      </c>
    </row>
    <row r="6422" spans="1:22">
      <c r="A6422" t="str">
        <f t="shared" si="800"/>
        <v>NIN-73023-AxA</v>
      </c>
      <c r="B6422" s="403" t="s">
        <v>1459</v>
      </c>
      <c r="C6422" s="403" t="s">
        <v>583</v>
      </c>
      <c r="D6422" s="403" t="s">
        <v>1311</v>
      </c>
      <c r="E6422" s="403" t="s">
        <v>1312</v>
      </c>
      <c r="F6422" s="403" t="s">
        <v>1287</v>
      </c>
      <c r="G6422" s="403" t="s">
        <v>1466</v>
      </c>
      <c r="H6422" s="403" t="s">
        <v>1276</v>
      </c>
      <c r="I6422" s="403">
        <v>1</v>
      </c>
      <c r="J6422" s="403" t="s">
        <v>1277</v>
      </c>
      <c r="K6422" s="403">
        <v>1440</v>
      </c>
      <c r="L6422" s="403">
        <v>1080</v>
      </c>
      <c r="M6422" s="403" t="s">
        <v>111</v>
      </c>
      <c r="N6422" s="403">
        <v>768</v>
      </c>
      <c r="O6422" s="403">
        <v>432</v>
      </c>
      <c r="P6422" t="str">
        <f t="shared" si="801"/>
        <v>25fps 1440x1080 - SD</v>
      </c>
      <c r="Q6422">
        <f t="shared" si="802"/>
        <v>34</v>
      </c>
      <c r="R6422" t="str">
        <f t="shared" si="803"/>
        <v/>
      </c>
      <c r="S6422" t="str">
        <f t="shared" si="804"/>
        <v/>
      </c>
      <c r="T6422" s="403" t="str">
        <f t="shared" si="805"/>
        <v>NIN-73023-AxA</v>
      </c>
      <c r="U6422" s="403">
        <f t="shared" si="806"/>
        <v>1</v>
      </c>
      <c r="V6422" s="403" t="str">
        <f t="shared" si="807"/>
        <v>CPP_7</v>
      </c>
    </row>
    <row r="6423" spans="1:22">
      <c r="A6423" t="str">
        <f t="shared" si="800"/>
        <v>NIN-73023-AxA</v>
      </c>
      <c r="B6423" s="403" t="s">
        <v>1459</v>
      </c>
      <c r="C6423" s="403" t="s">
        <v>583</v>
      </c>
      <c r="D6423" s="403" t="s">
        <v>1311</v>
      </c>
      <c r="E6423" s="403" t="s">
        <v>1312</v>
      </c>
      <c r="F6423" s="403" t="s">
        <v>1287</v>
      </c>
      <c r="G6423" s="403" t="s">
        <v>1467</v>
      </c>
      <c r="H6423" s="403" t="s">
        <v>1276</v>
      </c>
      <c r="I6423" s="403">
        <v>1</v>
      </c>
      <c r="J6423" s="403" t="s">
        <v>1277</v>
      </c>
      <c r="K6423" s="403">
        <v>1080</v>
      </c>
      <c r="L6423" s="403">
        <v>1440</v>
      </c>
      <c r="M6423" s="403" t="s">
        <v>1277</v>
      </c>
      <c r="N6423" s="403">
        <v>1080</v>
      </c>
      <c r="O6423" s="403">
        <v>1440</v>
      </c>
      <c r="P6423" t="str">
        <f t="shared" si="801"/>
        <v>25fps 1440x1080 - 1440x1080</v>
      </c>
      <c r="Q6423">
        <f t="shared" si="802"/>
        <v>34</v>
      </c>
      <c r="R6423" t="str">
        <f t="shared" si="803"/>
        <v/>
      </c>
      <c r="S6423" t="str">
        <f t="shared" si="804"/>
        <v/>
      </c>
      <c r="T6423" s="403" t="str">
        <f t="shared" si="805"/>
        <v>NIN-73023-AxA</v>
      </c>
      <c r="U6423" s="403">
        <f t="shared" si="806"/>
        <v>1</v>
      </c>
      <c r="V6423" s="403" t="str">
        <f t="shared" si="807"/>
        <v>CPP_7</v>
      </c>
    </row>
    <row r="6424" spans="1:22">
      <c r="A6424" t="str">
        <f t="shared" si="800"/>
        <v>NIN-73023-AxA</v>
      </c>
      <c r="B6424" s="403" t="s">
        <v>1459</v>
      </c>
      <c r="C6424" s="403" t="s">
        <v>583</v>
      </c>
      <c r="D6424" s="403" t="s">
        <v>1311</v>
      </c>
      <c r="E6424" s="403" t="s">
        <v>1312</v>
      </c>
      <c r="F6424" s="403" t="s">
        <v>1287</v>
      </c>
      <c r="G6424" s="403" t="s">
        <v>1467</v>
      </c>
      <c r="H6424" s="403" t="s">
        <v>1276</v>
      </c>
      <c r="I6424" s="403">
        <v>1</v>
      </c>
      <c r="J6424" s="403" t="s">
        <v>1277</v>
      </c>
      <c r="K6424" s="403">
        <v>1080</v>
      </c>
      <c r="L6424" s="403">
        <v>1440</v>
      </c>
      <c r="M6424" s="403" t="s">
        <v>1278</v>
      </c>
      <c r="N6424" s="403">
        <v>768</v>
      </c>
      <c r="O6424" s="403">
        <v>1024</v>
      </c>
      <c r="P6424" t="str">
        <f t="shared" si="801"/>
        <v>25fps 1440x1080 - 1024x768</v>
      </c>
      <c r="Q6424">
        <f t="shared" si="802"/>
        <v>34</v>
      </c>
      <c r="R6424" t="str">
        <f t="shared" si="803"/>
        <v/>
      </c>
      <c r="S6424" t="str">
        <f t="shared" si="804"/>
        <v/>
      </c>
      <c r="T6424" s="403" t="str">
        <f t="shared" si="805"/>
        <v>NIN-73023-AxA</v>
      </c>
      <c r="U6424" s="403">
        <f t="shared" si="806"/>
        <v>1</v>
      </c>
      <c r="V6424" s="403" t="str">
        <f t="shared" si="807"/>
        <v>CPP_7</v>
      </c>
    </row>
    <row r="6425" spans="1:22">
      <c r="A6425" t="str">
        <f t="shared" si="800"/>
        <v>NIN-73023-AxA</v>
      </c>
      <c r="B6425" s="403" t="s">
        <v>1459</v>
      </c>
      <c r="C6425" s="403" t="s">
        <v>583</v>
      </c>
      <c r="D6425" s="403" t="s">
        <v>1311</v>
      </c>
      <c r="E6425" s="403" t="s">
        <v>1312</v>
      </c>
      <c r="F6425" s="403" t="s">
        <v>1287</v>
      </c>
      <c r="G6425" s="403" t="s">
        <v>1467</v>
      </c>
      <c r="H6425" s="403" t="s">
        <v>1276</v>
      </c>
      <c r="I6425" s="403">
        <v>1</v>
      </c>
      <c r="J6425" s="403" t="s">
        <v>1277</v>
      </c>
      <c r="K6425" s="403">
        <v>1080</v>
      </c>
      <c r="L6425" s="403">
        <v>1440</v>
      </c>
      <c r="M6425" s="403" t="s">
        <v>111</v>
      </c>
      <c r="N6425" s="403">
        <v>432</v>
      </c>
      <c r="O6425" s="403">
        <v>768</v>
      </c>
      <c r="P6425" t="str">
        <f t="shared" si="801"/>
        <v>25fps 1440x1080 - SD</v>
      </c>
      <c r="Q6425">
        <f t="shared" si="802"/>
        <v>34</v>
      </c>
      <c r="R6425" t="str">
        <f t="shared" si="803"/>
        <v/>
      </c>
      <c r="S6425" t="str">
        <f t="shared" si="804"/>
        <v/>
      </c>
      <c r="T6425" s="403" t="str">
        <f t="shared" si="805"/>
        <v>NIN-73023-AxA</v>
      </c>
      <c r="U6425" s="403">
        <f t="shared" si="806"/>
        <v>1</v>
      </c>
      <c r="V6425" s="403" t="str">
        <f t="shared" si="807"/>
        <v>CPP_7</v>
      </c>
    </row>
    <row r="6426" spans="1:22">
      <c r="A6426" t="str">
        <f t="shared" si="800"/>
        <v>NIN-73023-AxA</v>
      </c>
      <c r="B6426" s="403" t="s">
        <v>1459</v>
      </c>
      <c r="C6426" s="403" t="s">
        <v>583</v>
      </c>
      <c r="D6426" s="403" t="s">
        <v>1311</v>
      </c>
      <c r="E6426" s="403" t="s">
        <v>1312</v>
      </c>
      <c r="F6426" s="403" t="s">
        <v>1288</v>
      </c>
      <c r="G6426" s="403" t="s">
        <v>1466</v>
      </c>
      <c r="H6426" s="403" t="s">
        <v>1276</v>
      </c>
      <c r="I6426" s="403">
        <v>1</v>
      </c>
      <c r="J6426" s="403" t="s">
        <v>110</v>
      </c>
      <c r="K6426" s="403">
        <v>1920</v>
      </c>
      <c r="L6426" s="403">
        <v>1080</v>
      </c>
      <c r="M6426" s="403" t="s">
        <v>1280</v>
      </c>
      <c r="N6426" s="403">
        <v>1920</v>
      </c>
      <c r="O6426" s="403">
        <v>1080</v>
      </c>
      <c r="P6426" t="str">
        <f t="shared" si="801"/>
        <v>60fps 1080p - copy other stream</v>
      </c>
      <c r="Q6426">
        <f t="shared" si="802"/>
        <v>34</v>
      </c>
      <c r="R6426" t="str">
        <f t="shared" si="803"/>
        <v/>
      </c>
      <c r="S6426" t="str">
        <f t="shared" si="804"/>
        <v/>
      </c>
      <c r="T6426" s="403" t="str">
        <f t="shared" si="805"/>
        <v>NIN-73023-AxA</v>
      </c>
      <c r="U6426" s="403">
        <f t="shared" si="806"/>
        <v>1</v>
      </c>
      <c r="V6426" s="403" t="str">
        <f t="shared" si="807"/>
        <v>CPP_7</v>
      </c>
    </row>
    <row r="6427" spans="1:22">
      <c r="A6427" t="str">
        <f t="shared" si="800"/>
        <v>NIN-73023-AxA</v>
      </c>
      <c r="B6427" s="403" t="s">
        <v>1459</v>
      </c>
      <c r="C6427" s="403" t="s">
        <v>583</v>
      </c>
      <c r="D6427" s="403" t="s">
        <v>1311</v>
      </c>
      <c r="E6427" s="403" t="s">
        <v>1312</v>
      </c>
      <c r="F6427" s="403" t="s">
        <v>1288</v>
      </c>
      <c r="G6427" s="403" t="s">
        <v>1466</v>
      </c>
      <c r="H6427" s="403" t="s">
        <v>1276</v>
      </c>
      <c r="I6427" s="403">
        <v>1</v>
      </c>
      <c r="J6427" s="403" t="s">
        <v>1289</v>
      </c>
      <c r="K6427" s="403">
        <v>1280</v>
      </c>
      <c r="L6427" s="403">
        <v>720</v>
      </c>
      <c r="M6427" s="403" t="s">
        <v>1289</v>
      </c>
      <c r="N6427" s="403">
        <v>1280</v>
      </c>
      <c r="O6427" s="403">
        <v>720</v>
      </c>
      <c r="P6427" t="str">
        <f t="shared" si="801"/>
        <v>60fps 720p full frame rate - 720p full frame rate</v>
      </c>
      <c r="Q6427">
        <f t="shared" si="802"/>
        <v>34</v>
      </c>
      <c r="R6427" t="str">
        <f t="shared" si="803"/>
        <v/>
      </c>
      <c r="S6427" t="str">
        <f t="shared" si="804"/>
        <v/>
      </c>
      <c r="T6427" s="403" t="str">
        <f t="shared" si="805"/>
        <v>NIN-73023-AxA</v>
      </c>
      <c r="U6427" s="403">
        <f t="shared" si="806"/>
        <v>1</v>
      </c>
      <c r="V6427" s="403" t="str">
        <f t="shared" si="807"/>
        <v>CPP_7</v>
      </c>
    </row>
    <row r="6428" spans="1:22">
      <c r="A6428" t="str">
        <f t="shared" si="800"/>
        <v>NIN-73023-AxA</v>
      </c>
      <c r="B6428" s="403" t="s">
        <v>1459</v>
      </c>
      <c r="C6428" s="403" t="s">
        <v>583</v>
      </c>
      <c r="D6428" s="403" t="s">
        <v>1311</v>
      </c>
      <c r="E6428" s="403" t="s">
        <v>1312</v>
      </c>
      <c r="F6428" s="403" t="s">
        <v>1288</v>
      </c>
      <c r="G6428" s="403" t="s">
        <v>1466</v>
      </c>
      <c r="H6428" s="403" t="s">
        <v>1276</v>
      </c>
      <c r="I6428" s="403">
        <v>1</v>
      </c>
      <c r="J6428" s="403" t="s">
        <v>1289</v>
      </c>
      <c r="K6428" s="403">
        <v>1280</v>
      </c>
      <c r="L6428" s="403">
        <v>720</v>
      </c>
      <c r="M6428" s="403" t="s">
        <v>111</v>
      </c>
      <c r="N6428" s="403">
        <v>768</v>
      </c>
      <c r="O6428" s="403">
        <v>432</v>
      </c>
      <c r="P6428" t="str">
        <f t="shared" si="801"/>
        <v>60fps 720p full frame rate - SD</v>
      </c>
      <c r="Q6428">
        <f t="shared" si="802"/>
        <v>34</v>
      </c>
      <c r="R6428" t="str">
        <f t="shared" si="803"/>
        <v/>
      </c>
      <c r="S6428" t="str">
        <f t="shared" si="804"/>
        <v/>
      </c>
      <c r="T6428" s="403" t="str">
        <f t="shared" si="805"/>
        <v>NIN-73023-AxA</v>
      </c>
      <c r="U6428" s="403">
        <f t="shared" si="806"/>
        <v>1</v>
      </c>
      <c r="V6428" s="403" t="str">
        <f t="shared" si="807"/>
        <v>CPP_7</v>
      </c>
    </row>
    <row r="6429" spans="1:22">
      <c r="A6429" t="str">
        <f t="shared" si="800"/>
        <v>NIN-73023-AxA</v>
      </c>
      <c r="B6429" s="403" t="s">
        <v>1459</v>
      </c>
      <c r="C6429" s="403" t="s">
        <v>583</v>
      </c>
      <c r="D6429" s="403" t="s">
        <v>1311</v>
      </c>
      <c r="E6429" s="403" t="s">
        <v>1312</v>
      </c>
      <c r="F6429" s="403" t="s">
        <v>1288</v>
      </c>
      <c r="G6429" s="403" t="s">
        <v>1466</v>
      </c>
      <c r="H6429" s="403" t="s">
        <v>1276</v>
      </c>
      <c r="I6429" s="403">
        <v>1</v>
      </c>
      <c r="J6429" s="403" t="s">
        <v>1289</v>
      </c>
      <c r="K6429" s="403">
        <v>1280</v>
      </c>
      <c r="L6429" s="403">
        <v>720</v>
      </c>
      <c r="M6429" s="403" t="s">
        <v>1279</v>
      </c>
      <c r="N6429" s="403">
        <v>768</v>
      </c>
      <c r="O6429" s="403">
        <v>432</v>
      </c>
      <c r="P6429" t="str">
        <f t="shared" si="801"/>
        <v>60fps 720p full frame rate - SD ROI PTZ</v>
      </c>
      <c r="Q6429">
        <f t="shared" si="802"/>
        <v>34</v>
      </c>
      <c r="R6429" t="str">
        <f t="shared" si="803"/>
        <v/>
      </c>
      <c r="S6429" t="str">
        <f t="shared" si="804"/>
        <v/>
      </c>
      <c r="T6429" s="403" t="str">
        <f t="shared" si="805"/>
        <v>NIN-73023-AxA</v>
      </c>
      <c r="U6429" s="403">
        <f t="shared" si="806"/>
        <v>1</v>
      </c>
      <c r="V6429" s="403" t="str">
        <f t="shared" si="807"/>
        <v>CPP_7</v>
      </c>
    </row>
    <row r="6430" spans="1:22">
      <c r="A6430" t="str">
        <f t="shared" si="800"/>
        <v>NIN-73023-AxA</v>
      </c>
      <c r="B6430" s="403" t="s">
        <v>1459</v>
      </c>
      <c r="C6430" s="403" t="s">
        <v>583</v>
      </c>
      <c r="D6430" s="403" t="s">
        <v>1311</v>
      </c>
      <c r="E6430" s="403" t="s">
        <v>1312</v>
      </c>
      <c r="F6430" s="403" t="s">
        <v>1288</v>
      </c>
      <c r="G6430" s="403" t="s">
        <v>1466</v>
      </c>
      <c r="H6430" s="403" t="s">
        <v>1276</v>
      </c>
      <c r="I6430" s="403">
        <v>1</v>
      </c>
      <c r="J6430" s="403" t="s">
        <v>1289</v>
      </c>
      <c r="K6430" s="403">
        <v>1280</v>
      </c>
      <c r="L6430" s="403">
        <v>720</v>
      </c>
      <c r="M6430" s="403" t="s">
        <v>1298</v>
      </c>
      <c r="N6430" s="403">
        <v>768</v>
      </c>
      <c r="O6430" s="403">
        <v>432</v>
      </c>
      <c r="P6430" t="str">
        <f t="shared" si="801"/>
        <v>60fps 720p full frame rate - SD dual stream with independent ROI PTZ</v>
      </c>
      <c r="Q6430">
        <f t="shared" si="802"/>
        <v>34</v>
      </c>
      <c r="R6430" t="str">
        <f t="shared" si="803"/>
        <v/>
      </c>
      <c r="S6430" t="str">
        <f t="shared" si="804"/>
        <v/>
      </c>
      <c r="T6430" s="403" t="str">
        <f t="shared" si="805"/>
        <v>NIN-73023-AxA</v>
      </c>
      <c r="U6430" s="403">
        <f t="shared" si="806"/>
        <v>1</v>
      </c>
      <c r="V6430" s="403" t="str">
        <f t="shared" si="807"/>
        <v>CPP_7</v>
      </c>
    </row>
    <row r="6431" spans="1:22">
      <c r="A6431" t="str">
        <f t="shared" si="800"/>
        <v>NIN-73023-AxA</v>
      </c>
      <c r="B6431" s="403" t="s">
        <v>1459</v>
      </c>
      <c r="C6431" s="403" t="s">
        <v>583</v>
      </c>
      <c r="D6431" s="403" t="s">
        <v>1311</v>
      </c>
      <c r="E6431" s="403" t="s">
        <v>1312</v>
      </c>
      <c r="F6431" s="403" t="s">
        <v>1288</v>
      </c>
      <c r="G6431" s="403" t="s">
        <v>1466</v>
      </c>
      <c r="H6431" s="403" t="s">
        <v>1276</v>
      </c>
      <c r="I6431" s="403">
        <v>1</v>
      </c>
      <c r="J6431" s="403" t="s">
        <v>1289</v>
      </c>
      <c r="K6431" s="403">
        <v>1280</v>
      </c>
      <c r="L6431" s="403">
        <v>720</v>
      </c>
      <c r="M6431" s="403" t="s">
        <v>1301</v>
      </c>
      <c r="N6431" s="403">
        <v>1280</v>
      </c>
      <c r="O6431" s="403">
        <v>720</v>
      </c>
      <c r="P6431" t="str">
        <f t="shared" si="801"/>
        <v>60fps 720p full frame rate - 720p skip=4</v>
      </c>
      <c r="Q6431">
        <f t="shared" si="802"/>
        <v>34</v>
      </c>
      <c r="R6431" t="str">
        <f t="shared" si="803"/>
        <v/>
      </c>
      <c r="S6431" t="str">
        <f t="shared" si="804"/>
        <v/>
      </c>
      <c r="T6431" s="403" t="str">
        <f t="shared" si="805"/>
        <v>NIN-73023-AxA</v>
      </c>
      <c r="U6431" s="403">
        <f t="shared" si="806"/>
        <v>1</v>
      </c>
      <c r="V6431" s="403" t="str">
        <f t="shared" si="807"/>
        <v>CPP_7</v>
      </c>
    </row>
    <row r="6432" spans="1:22">
      <c r="A6432" t="str">
        <f t="shared" si="800"/>
        <v>NIN-73023-AxA</v>
      </c>
      <c r="B6432" s="403" t="s">
        <v>1459</v>
      </c>
      <c r="C6432" s="403" t="s">
        <v>583</v>
      </c>
      <c r="D6432" s="403" t="s">
        <v>1311</v>
      </c>
      <c r="E6432" s="403" t="s">
        <v>1312</v>
      </c>
      <c r="F6432" s="403" t="s">
        <v>1288</v>
      </c>
      <c r="G6432" s="403" t="s">
        <v>1466</v>
      </c>
      <c r="H6432" s="403" t="s">
        <v>1276</v>
      </c>
      <c r="I6432" s="403">
        <v>1</v>
      </c>
      <c r="J6432" s="403" t="s">
        <v>1289</v>
      </c>
      <c r="K6432" s="403">
        <v>1280</v>
      </c>
      <c r="L6432" s="403">
        <v>720</v>
      </c>
      <c r="M6432" s="403" t="s">
        <v>1280</v>
      </c>
      <c r="N6432" s="403">
        <v>1280</v>
      </c>
      <c r="O6432" s="403">
        <v>720</v>
      </c>
      <c r="P6432" t="str">
        <f t="shared" si="801"/>
        <v>60fps 720p full frame rate - copy other stream</v>
      </c>
      <c r="Q6432">
        <f t="shared" si="802"/>
        <v>34</v>
      </c>
      <c r="R6432" t="str">
        <f t="shared" si="803"/>
        <v/>
      </c>
      <c r="S6432" t="str">
        <f t="shared" si="804"/>
        <v/>
      </c>
      <c r="T6432" s="403" t="str">
        <f t="shared" si="805"/>
        <v>NIN-73023-AxA</v>
      </c>
      <c r="U6432" s="403">
        <f t="shared" si="806"/>
        <v>1</v>
      </c>
      <c r="V6432" s="403" t="str">
        <f t="shared" si="807"/>
        <v>CPP_7</v>
      </c>
    </row>
    <row r="6433" spans="1:22">
      <c r="A6433" t="str">
        <f t="shared" si="800"/>
        <v>NIN-73023-AxA</v>
      </c>
      <c r="B6433" s="403" t="s">
        <v>1459</v>
      </c>
      <c r="C6433" s="403" t="s">
        <v>583</v>
      </c>
      <c r="D6433" s="403" t="s">
        <v>1311</v>
      </c>
      <c r="E6433" s="403" t="s">
        <v>1312</v>
      </c>
      <c r="F6433" s="403" t="s">
        <v>1288</v>
      </c>
      <c r="G6433" s="403" t="s">
        <v>1466</v>
      </c>
      <c r="H6433" s="403" t="s">
        <v>1276</v>
      </c>
      <c r="I6433" s="403">
        <v>1</v>
      </c>
      <c r="J6433" s="403" t="s">
        <v>1289</v>
      </c>
      <c r="K6433" s="403">
        <v>1280</v>
      </c>
      <c r="L6433" s="403">
        <v>720</v>
      </c>
      <c r="M6433" s="403" t="s">
        <v>1302</v>
      </c>
      <c r="N6433" s="403">
        <v>400</v>
      </c>
      <c r="O6433" s="403">
        <v>720</v>
      </c>
      <c r="P6433" t="str">
        <f t="shared" si="801"/>
        <v>60fps 720p full frame rate - 400x720 upright (cropped)</v>
      </c>
      <c r="Q6433">
        <f t="shared" si="802"/>
        <v>34</v>
      </c>
      <c r="R6433" t="str">
        <f t="shared" si="803"/>
        <v/>
      </c>
      <c r="S6433" t="str">
        <f t="shared" si="804"/>
        <v/>
      </c>
      <c r="T6433" s="403" t="str">
        <f t="shared" si="805"/>
        <v>NIN-73023-AxA</v>
      </c>
      <c r="U6433" s="403">
        <f t="shared" si="806"/>
        <v>1</v>
      </c>
      <c r="V6433" s="403" t="str">
        <f t="shared" si="807"/>
        <v>CPP_7</v>
      </c>
    </row>
    <row r="6434" spans="1:22">
      <c r="A6434" t="str">
        <f t="shared" si="800"/>
        <v>NIN-73023-AxA</v>
      </c>
      <c r="B6434" s="403" t="s">
        <v>1459</v>
      </c>
      <c r="C6434" s="403" t="s">
        <v>583</v>
      </c>
      <c r="D6434" s="403" t="s">
        <v>1311</v>
      </c>
      <c r="E6434" s="403" t="s">
        <v>1312</v>
      </c>
      <c r="F6434" s="403" t="s">
        <v>1288</v>
      </c>
      <c r="G6434" s="403" t="s">
        <v>1466</v>
      </c>
      <c r="H6434" s="403" t="s">
        <v>1276</v>
      </c>
      <c r="I6434" s="403">
        <v>1</v>
      </c>
      <c r="J6434" s="403" t="s">
        <v>1289</v>
      </c>
      <c r="K6434" s="403">
        <v>1280</v>
      </c>
      <c r="L6434" s="403">
        <v>720</v>
      </c>
      <c r="M6434" s="403" t="s">
        <v>1283</v>
      </c>
      <c r="N6434" s="403">
        <v>704</v>
      </c>
      <c r="O6434" s="403">
        <v>480</v>
      </c>
      <c r="P6434" t="str">
        <f t="shared" si="801"/>
        <v>60fps 720p full frame rate - SD 4CIF resolution 4:3 format (cropped)</v>
      </c>
      <c r="Q6434">
        <f t="shared" si="802"/>
        <v>34</v>
      </c>
      <c r="R6434" t="str">
        <f t="shared" si="803"/>
        <v/>
      </c>
      <c r="S6434" t="str">
        <f t="shared" si="804"/>
        <v/>
      </c>
      <c r="T6434" s="403" t="str">
        <f t="shared" si="805"/>
        <v>NIN-73023-AxA</v>
      </c>
      <c r="U6434" s="403">
        <f t="shared" si="806"/>
        <v>1</v>
      </c>
      <c r="V6434" s="403" t="str">
        <f t="shared" si="807"/>
        <v>CPP_7</v>
      </c>
    </row>
    <row r="6435" spans="1:22">
      <c r="A6435" t="str">
        <f t="shared" si="800"/>
        <v>NIN-73023-AxA</v>
      </c>
      <c r="B6435" s="403" t="s">
        <v>1459</v>
      </c>
      <c r="C6435" s="403" t="s">
        <v>583</v>
      </c>
      <c r="D6435" s="403" t="s">
        <v>1311</v>
      </c>
      <c r="E6435" s="403" t="s">
        <v>1312</v>
      </c>
      <c r="F6435" s="403" t="s">
        <v>1288</v>
      </c>
      <c r="G6435" s="403" t="s">
        <v>1466</v>
      </c>
      <c r="H6435" s="403" t="s">
        <v>1276</v>
      </c>
      <c r="I6435" s="403">
        <v>1</v>
      </c>
      <c r="J6435" s="403" t="s">
        <v>1289</v>
      </c>
      <c r="K6435" s="403">
        <v>1280</v>
      </c>
      <c r="L6435" s="403">
        <v>720</v>
      </c>
      <c r="M6435" s="403" t="s">
        <v>1284</v>
      </c>
      <c r="N6435" s="403">
        <v>640</v>
      </c>
      <c r="O6435" s="403">
        <v>480</v>
      </c>
      <c r="P6435" t="str">
        <f t="shared" si="801"/>
        <v>60fps 720p full frame rate - SD VGA (cropped)</v>
      </c>
      <c r="Q6435">
        <f t="shared" si="802"/>
        <v>34</v>
      </c>
      <c r="R6435" t="str">
        <f t="shared" si="803"/>
        <v/>
      </c>
      <c r="S6435" t="str">
        <f t="shared" si="804"/>
        <v/>
      </c>
      <c r="T6435" s="403" t="str">
        <f t="shared" si="805"/>
        <v>NIN-73023-AxA</v>
      </c>
      <c r="U6435" s="403">
        <f t="shared" si="806"/>
        <v>1</v>
      </c>
      <c r="V6435" s="403" t="str">
        <f t="shared" si="807"/>
        <v>CPP_7</v>
      </c>
    </row>
    <row r="6436" spans="1:22">
      <c r="A6436" t="str">
        <f t="shared" si="800"/>
        <v>NIN-73023-AxA</v>
      </c>
      <c r="B6436" s="403" t="s">
        <v>1459</v>
      </c>
      <c r="C6436" s="403" t="s">
        <v>583</v>
      </c>
      <c r="D6436" s="403" t="s">
        <v>1311</v>
      </c>
      <c r="E6436" s="403" t="s">
        <v>1312</v>
      </c>
      <c r="F6436" s="403" t="s">
        <v>1288</v>
      </c>
      <c r="G6436" s="403" t="s">
        <v>1466</v>
      </c>
      <c r="H6436" s="403" t="s">
        <v>1276</v>
      </c>
      <c r="I6436" s="403">
        <v>1</v>
      </c>
      <c r="J6436" s="403" t="s">
        <v>111</v>
      </c>
      <c r="K6436" s="403">
        <v>768</v>
      </c>
      <c r="L6436" s="403">
        <v>432</v>
      </c>
      <c r="M6436" s="403" t="s">
        <v>111</v>
      </c>
      <c r="N6436" s="403">
        <v>768</v>
      </c>
      <c r="O6436" s="403">
        <v>432</v>
      </c>
      <c r="P6436" t="str">
        <f t="shared" si="801"/>
        <v>60fps SD - SD</v>
      </c>
      <c r="Q6436">
        <f t="shared" si="802"/>
        <v>34</v>
      </c>
      <c r="R6436" t="str">
        <f t="shared" si="803"/>
        <v/>
      </c>
      <c r="S6436" t="str">
        <f t="shared" si="804"/>
        <v/>
      </c>
      <c r="T6436" s="403" t="str">
        <f t="shared" si="805"/>
        <v>NIN-73023-AxA</v>
      </c>
      <c r="U6436" s="403">
        <f t="shared" si="806"/>
        <v>1</v>
      </c>
      <c r="V6436" s="403" t="str">
        <f t="shared" si="807"/>
        <v>CPP_7</v>
      </c>
    </row>
    <row r="6437" spans="1:22">
      <c r="A6437" t="str">
        <f t="shared" si="800"/>
        <v>NIN-73023-AxA</v>
      </c>
      <c r="B6437" s="403" t="s">
        <v>1459</v>
      </c>
      <c r="C6437" s="403" t="s">
        <v>583</v>
      </c>
      <c r="D6437" s="403" t="s">
        <v>1311</v>
      </c>
      <c r="E6437" s="403" t="s">
        <v>1312</v>
      </c>
      <c r="F6437" s="403" t="s">
        <v>1288</v>
      </c>
      <c r="G6437" s="403" t="s">
        <v>1467</v>
      </c>
      <c r="H6437" s="403" t="s">
        <v>1276</v>
      </c>
      <c r="I6437" s="403">
        <v>1</v>
      </c>
      <c r="J6437" s="403" t="s">
        <v>110</v>
      </c>
      <c r="K6437" s="403">
        <v>1080</v>
      </c>
      <c r="L6437" s="403">
        <v>1920</v>
      </c>
      <c r="M6437" s="403" t="s">
        <v>1280</v>
      </c>
      <c r="N6437" s="403">
        <v>1080</v>
      </c>
      <c r="O6437" s="403">
        <v>1920</v>
      </c>
      <c r="P6437" t="str">
        <f t="shared" si="801"/>
        <v>60fps 1080p - copy other stream</v>
      </c>
      <c r="Q6437">
        <f t="shared" si="802"/>
        <v>34</v>
      </c>
      <c r="R6437" t="str">
        <f t="shared" si="803"/>
        <v/>
      </c>
      <c r="S6437" t="str">
        <f t="shared" si="804"/>
        <v/>
      </c>
      <c r="T6437" s="403" t="str">
        <f t="shared" si="805"/>
        <v>NIN-73023-AxA</v>
      </c>
      <c r="U6437" s="403">
        <f t="shared" si="806"/>
        <v>1</v>
      </c>
      <c r="V6437" s="403" t="str">
        <f t="shared" si="807"/>
        <v>CPP_7</v>
      </c>
    </row>
    <row r="6438" spans="1:22">
      <c r="A6438" t="str">
        <f t="shared" si="800"/>
        <v>NIN-73023-AxA</v>
      </c>
      <c r="B6438" s="403" t="s">
        <v>1459</v>
      </c>
      <c r="C6438" s="403" t="s">
        <v>583</v>
      </c>
      <c r="D6438" s="403" t="s">
        <v>1311</v>
      </c>
      <c r="E6438" s="403" t="s">
        <v>1312</v>
      </c>
      <c r="F6438" s="403" t="s">
        <v>1288</v>
      </c>
      <c r="G6438" s="403" t="s">
        <v>1467</v>
      </c>
      <c r="H6438" s="403" t="s">
        <v>1276</v>
      </c>
      <c r="I6438" s="403">
        <v>1</v>
      </c>
      <c r="J6438" s="403" t="s">
        <v>1289</v>
      </c>
      <c r="K6438" s="403">
        <v>720</v>
      </c>
      <c r="L6438" s="403">
        <v>1280</v>
      </c>
      <c r="M6438" s="403" t="s">
        <v>1289</v>
      </c>
      <c r="N6438" s="403">
        <v>720</v>
      </c>
      <c r="O6438" s="403">
        <v>1280</v>
      </c>
      <c r="P6438" t="str">
        <f t="shared" si="801"/>
        <v>60fps 720p full frame rate - 720p full frame rate</v>
      </c>
      <c r="Q6438">
        <f t="shared" si="802"/>
        <v>34</v>
      </c>
      <c r="R6438" t="str">
        <f t="shared" si="803"/>
        <v/>
      </c>
      <c r="S6438" t="str">
        <f t="shared" si="804"/>
        <v/>
      </c>
      <c r="T6438" s="403" t="str">
        <f t="shared" si="805"/>
        <v>NIN-73023-AxA</v>
      </c>
      <c r="U6438" s="403">
        <f t="shared" si="806"/>
        <v>1</v>
      </c>
      <c r="V6438" s="403" t="str">
        <f t="shared" si="807"/>
        <v>CPP_7</v>
      </c>
    </row>
    <row r="6439" spans="1:22">
      <c r="A6439" t="str">
        <f t="shared" si="800"/>
        <v>NIN-73023-AxA</v>
      </c>
      <c r="B6439" s="403" t="s">
        <v>1459</v>
      </c>
      <c r="C6439" s="403" t="s">
        <v>583</v>
      </c>
      <c r="D6439" s="403" t="s">
        <v>1311</v>
      </c>
      <c r="E6439" s="403" t="s">
        <v>1312</v>
      </c>
      <c r="F6439" s="403" t="s">
        <v>1288</v>
      </c>
      <c r="G6439" s="403" t="s">
        <v>1467</v>
      </c>
      <c r="H6439" s="403" t="s">
        <v>1276</v>
      </c>
      <c r="I6439" s="403">
        <v>1</v>
      </c>
      <c r="J6439" s="403" t="s">
        <v>1289</v>
      </c>
      <c r="K6439" s="403">
        <v>720</v>
      </c>
      <c r="L6439" s="403">
        <v>1280</v>
      </c>
      <c r="M6439" s="403" t="s">
        <v>111</v>
      </c>
      <c r="N6439" s="403">
        <v>432</v>
      </c>
      <c r="O6439" s="403">
        <v>768</v>
      </c>
      <c r="P6439" t="str">
        <f t="shared" si="801"/>
        <v>60fps 720p full frame rate - SD</v>
      </c>
      <c r="Q6439">
        <f t="shared" si="802"/>
        <v>34</v>
      </c>
      <c r="R6439" t="str">
        <f t="shared" si="803"/>
        <v/>
      </c>
      <c r="S6439" t="str">
        <f t="shared" si="804"/>
        <v/>
      </c>
      <c r="T6439" s="403" t="str">
        <f t="shared" si="805"/>
        <v>NIN-73023-AxA</v>
      </c>
      <c r="U6439" s="403">
        <f t="shared" si="806"/>
        <v>1</v>
      </c>
      <c r="V6439" s="403" t="str">
        <f t="shared" si="807"/>
        <v>CPP_7</v>
      </c>
    </row>
    <row r="6440" spans="1:22">
      <c r="A6440" t="str">
        <f t="shared" si="800"/>
        <v>NIN-73023-AxA</v>
      </c>
      <c r="B6440" s="403" t="s">
        <v>1459</v>
      </c>
      <c r="C6440" s="403" t="s">
        <v>583</v>
      </c>
      <c r="D6440" s="403" t="s">
        <v>1311</v>
      </c>
      <c r="E6440" s="403" t="s">
        <v>1312</v>
      </c>
      <c r="F6440" s="403" t="s">
        <v>1288</v>
      </c>
      <c r="G6440" s="403" t="s">
        <v>1467</v>
      </c>
      <c r="H6440" s="403" t="s">
        <v>1276</v>
      </c>
      <c r="I6440" s="403">
        <v>1</v>
      </c>
      <c r="J6440" s="403" t="s">
        <v>1289</v>
      </c>
      <c r="K6440" s="403">
        <v>720</v>
      </c>
      <c r="L6440" s="403">
        <v>1280</v>
      </c>
      <c r="M6440" s="403" t="s">
        <v>1279</v>
      </c>
      <c r="N6440" s="403">
        <v>432</v>
      </c>
      <c r="O6440" s="403">
        <v>768</v>
      </c>
      <c r="P6440" t="str">
        <f t="shared" si="801"/>
        <v>60fps 720p full frame rate - SD ROI PTZ</v>
      </c>
      <c r="Q6440">
        <f t="shared" si="802"/>
        <v>34</v>
      </c>
      <c r="R6440" t="str">
        <f t="shared" si="803"/>
        <v/>
      </c>
      <c r="S6440" t="str">
        <f t="shared" si="804"/>
        <v/>
      </c>
      <c r="T6440" s="403" t="str">
        <f t="shared" si="805"/>
        <v>NIN-73023-AxA</v>
      </c>
      <c r="U6440" s="403">
        <f t="shared" si="806"/>
        <v>1</v>
      </c>
      <c r="V6440" s="403" t="str">
        <f t="shared" si="807"/>
        <v>CPP_7</v>
      </c>
    </row>
    <row r="6441" spans="1:22">
      <c r="A6441" t="str">
        <f t="shared" si="800"/>
        <v>NIN-73023-AxA</v>
      </c>
      <c r="B6441" s="403" t="s">
        <v>1459</v>
      </c>
      <c r="C6441" s="403" t="s">
        <v>583</v>
      </c>
      <c r="D6441" s="403" t="s">
        <v>1311</v>
      </c>
      <c r="E6441" s="403" t="s">
        <v>1312</v>
      </c>
      <c r="F6441" s="403" t="s">
        <v>1288</v>
      </c>
      <c r="G6441" s="403" t="s">
        <v>1467</v>
      </c>
      <c r="H6441" s="403" t="s">
        <v>1276</v>
      </c>
      <c r="I6441" s="403">
        <v>1</v>
      </c>
      <c r="J6441" s="403" t="s">
        <v>1289</v>
      </c>
      <c r="K6441" s="403">
        <v>720</v>
      </c>
      <c r="L6441" s="403">
        <v>1280</v>
      </c>
      <c r="M6441" s="403" t="s">
        <v>1298</v>
      </c>
      <c r="N6441" s="403">
        <v>432</v>
      </c>
      <c r="O6441" s="403">
        <v>768</v>
      </c>
      <c r="P6441" t="str">
        <f t="shared" si="801"/>
        <v>60fps 720p full frame rate - SD dual stream with independent ROI PTZ</v>
      </c>
      <c r="Q6441">
        <f t="shared" si="802"/>
        <v>34</v>
      </c>
      <c r="R6441" t="str">
        <f t="shared" si="803"/>
        <v/>
      </c>
      <c r="S6441" t="str">
        <f t="shared" si="804"/>
        <v/>
      </c>
      <c r="T6441" s="403" t="str">
        <f t="shared" si="805"/>
        <v>NIN-73023-AxA</v>
      </c>
      <c r="U6441" s="403">
        <f t="shared" si="806"/>
        <v>1</v>
      </c>
      <c r="V6441" s="403" t="str">
        <f t="shared" si="807"/>
        <v>CPP_7</v>
      </c>
    </row>
    <row r="6442" spans="1:22">
      <c r="A6442" t="str">
        <f t="shared" ref="A6442:A6505" si="808">IF(AND(G6442&lt;&gt;"rotate 90°"),D6442,"")</f>
        <v>NIN-73023-AxA</v>
      </c>
      <c r="B6442" s="403" t="s">
        <v>1459</v>
      </c>
      <c r="C6442" s="403" t="s">
        <v>583</v>
      </c>
      <c r="D6442" s="403" t="s">
        <v>1311</v>
      </c>
      <c r="E6442" s="403" t="s">
        <v>1312</v>
      </c>
      <c r="F6442" s="403" t="s">
        <v>1288</v>
      </c>
      <c r="G6442" s="403" t="s">
        <v>1467</v>
      </c>
      <c r="H6442" s="403" t="s">
        <v>1276</v>
      </c>
      <c r="I6442" s="403">
        <v>1</v>
      </c>
      <c r="J6442" s="403" t="s">
        <v>1289</v>
      </c>
      <c r="K6442" s="403">
        <v>720</v>
      </c>
      <c r="L6442" s="403">
        <v>1280</v>
      </c>
      <c r="M6442" s="403" t="s">
        <v>1301</v>
      </c>
      <c r="N6442" s="403">
        <v>720</v>
      </c>
      <c r="O6442" s="403">
        <v>1280</v>
      </c>
      <c r="P6442" t="str">
        <f t="shared" ref="P6442:P6505" si="809">LEFT(F6442,5)&amp;" "&amp;J6442&amp;" - "&amp;M6442</f>
        <v>60fps 720p full frame rate - 720p skip=4</v>
      </c>
      <c r="Q6442">
        <f t="shared" ref="Q6442:Q6505" si="810">IF(A6441=A6442,Q6441,Q6441+1)</f>
        <v>34</v>
      </c>
      <c r="R6442" t="str">
        <f t="shared" ref="R6442:R6505" si="811">IF(Q6441&lt;&gt;Q6442,Q6442,"")</f>
        <v/>
      </c>
      <c r="S6442" t="str">
        <f t="shared" ref="S6442:S6505" si="812">IF(R6442&lt;&gt;"",B6442&amp;" ("&amp;D6442&amp;")","")</f>
        <v/>
      </c>
      <c r="T6442" s="403" t="str">
        <f t="shared" ref="T6442:T6505" si="813">D6442</f>
        <v>NIN-73023-AxA</v>
      </c>
      <c r="U6442" s="403">
        <f t="shared" ref="U6442:U6505" si="814">I6442</f>
        <v>1</v>
      </c>
      <c r="V6442" s="403" t="str">
        <f t="shared" ref="V6442:V6505" si="815">C6442</f>
        <v>CPP_7</v>
      </c>
    </row>
    <row r="6443" spans="1:22">
      <c r="A6443" t="str">
        <f t="shared" si="808"/>
        <v>NIN-73023-AxA</v>
      </c>
      <c r="B6443" s="403" t="s">
        <v>1459</v>
      </c>
      <c r="C6443" s="403" t="s">
        <v>583</v>
      </c>
      <c r="D6443" s="403" t="s">
        <v>1311</v>
      </c>
      <c r="E6443" s="403" t="s">
        <v>1312</v>
      </c>
      <c r="F6443" s="403" t="s">
        <v>1288</v>
      </c>
      <c r="G6443" s="403" t="s">
        <v>1467</v>
      </c>
      <c r="H6443" s="403" t="s">
        <v>1276</v>
      </c>
      <c r="I6443" s="403">
        <v>1</v>
      </c>
      <c r="J6443" s="403" t="s">
        <v>1289</v>
      </c>
      <c r="K6443" s="403">
        <v>720</v>
      </c>
      <c r="L6443" s="403">
        <v>1280</v>
      </c>
      <c r="M6443" s="403" t="s">
        <v>1280</v>
      </c>
      <c r="N6443" s="403">
        <v>720</v>
      </c>
      <c r="O6443" s="403">
        <v>1280</v>
      </c>
      <c r="P6443" t="str">
        <f t="shared" si="809"/>
        <v>60fps 720p full frame rate - copy other stream</v>
      </c>
      <c r="Q6443">
        <f t="shared" si="810"/>
        <v>34</v>
      </c>
      <c r="R6443" t="str">
        <f t="shared" si="811"/>
        <v/>
      </c>
      <c r="S6443" t="str">
        <f t="shared" si="812"/>
        <v/>
      </c>
      <c r="T6443" s="403" t="str">
        <f t="shared" si="813"/>
        <v>NIN-73023-AxA</v>
      </c>
      <c r="U6443" s="403">
        <f t="shared" si="814"/>
        <v>1</v>
      </c>
      <c r="V6443" s="403" t="str">
        <f t="shared" si="815"/>
        <v>CPP_7</v>
      </c>
    </row>
    <row r="6444" spans="1:22">
      <c r="A6444" t="str">
        <f t="shared" si="808"/>
        <v>NIN-73023-AxA</v>
      </c>
      <c r="B6444" s="403" t="s">
        <v>1459</v>
      </c>
      <c r="C6444" s="403" t="s">
        <v>583</v>
      </c>
      <c r="D6444" s="403" t="s">
        <v>1311</v>
      </c>
      <c r="E6444" s="403" t="s">
        <v>1312</v>
      </c>
      <c r="F6444" s="403" t="s">
        <v>1288</v>
      </c>
      <c r="G6444" s="403" t="s">
        <v>1467</v>
      </c>
      <c r="H6444" s="403" t="s">
        <v>1276</v>
      </c>
      <c r="I6444" s="403">
        <v>1</v>
      </c>
      <c r="J6444" s="403" t="s">
        <v>1289</v>
      </c>
      <c r="K6444" s="403">
        <v>720</v>
      </c>
      <c r="L6444" s="403">
        <v>1280</v>
      </c>
      <c r="M6444" s="403" t="s">
        <v>1302</v>
      </c>
      <c r="N6444" s="403">
        <v>720</v>
      </c>
      <c r="O6444" s="403">
        <v>400</v>
      </c>
      <c r="P6444" t="str">
        <f t="shared" si="809"/>
        <v>60fps 720p full frame rate - 400x720 upright (cropped)</v>
      </c>
      <c r="Q6444">
        <f t="shared" si="810"/>
        <v>34</v>
      </c>
      <c r="R6444" t="str">
        <f t="shared" si="811"/>
        <v/>
      </c>
      <c r="S6444" t="str">
        <f t="shared" si="812"/>
        <v/>
      </c>
      <c r="T6444" s="403" t="str">
        <f t="shared" si="813"/>
        <v>NIN-73023-AxA</v>
      </c>
      <c r="U6444" s="403">
        <f t="shared" si="814"/>
        <v>1</v>
      </c>
      <c r="V6444" s="403" t="str">
        <f t="shared" si="815"/>
        <v>CPP_7</v>
      </c>
    </row>
    <row r="6445" spans="1:22">
      <c r="A6445" t="str">
        <f t="shared" si="808"/>
        <v>NIN-73023-AxA</v>
      </c>
      <c r="B6445" s="403" t="s">
        <v>1459</v>
      </c>
      <c r="C6445" s="403" t="s">
        <v>583</v>
      </c>
      <c r="D6445" s="403" t="s">
        <v>1311</v>
      </c>
      <c r="E6445" s="403" t="s">
        <v>1312</v>
      </c>
      <c r="F6445" s="403" t="s">
        <v>1288</v>
      </c>
      <c r="G6445" s="403" t="s">
        <v>1467</v>
      </c>
      <c r="H6445" s="403" t="s">
        <v>1276</v>
      </c>
      <c r="I6445" s="403">
        <v>1</v>
      </c>
      <c r="J6445" s="403" t="s">
        <v>1289</v>
      </c>
      <c r="K6445" s="403">
        <v>720</v>
      </c>
      <c r="L6445" s="403">
        <v>1280</v>
      </c>
      <c r="M6445" s="403" t="s">
        <v>1283</v>
      </c>
      <c r="N6445" s="403">
        <v>480</v>
      </c>
      <c r="O6445" s="403">
        <v>704</v>
      </c>
      <c r="P6445" t="str">
        <f t="shared" si="809"/>
        <v>60fps 720p full frame rate - SD 4CIF resolution 4:3 format (cropped)</v>
      </c>
      <c r="Q6445">
        <f t="shared" si="810"/>
        <v>34</v>
      </c>
      <c r="R6445" t="str">
        <f t="shared" si="811"/>
        <v/>
      </c>
      <c r="S6445" t="str">
        <f t="shared" si="812"/>
        <v/>
      </c>
      <c r="T6445" s="403" t="str">
        <f t="shared" si="813"/>
        <v>NIN-73023-AxA</v>
      </c>
      <c r="U6445" s="403">
        <f t="shared" si="814"/>
        <v>1</v>
      </c>
      <c r="V6445" s="403" t="str">
        <f t="shared" si="815"/>
        <v>CPP_7</v>
      </c>
    </row>
    <row r="6446" spans="1:22">
      <c r="A6446" t="str">
        <f t="shared" si="808"/>
        <v>NIN-73023-AxA</v>
      </c>
      <c r="B6446" s="403" t="s">
        <v>1459</v>
      </c>
      <c r="C6446" s="403" t="s">
        <v>583</v>
      </c>
      <c r="D6446" s="403" t="s">
        <v>1311</v>
      </c>
      <c r="E6446" s="403" t="s">
        <v>1312</v>
      </c>
      <c r="F6446" s="403" t="s">
        <v>1288</v>
      </c>
      <c r="G6446" s="403" t="s">
        <v>1467</v>
      </c>
      <c r="H6446" s="403" t="s">
        <v>1276</v>
      </c>
      <c r="I6446" s="403">
        <v>1</v>
      </c>
      <c r="J6446" s="403" t="s">
        <v>1289</v>
      </c>
      <c r="K6446" s="403">
        <v>720</v>
      </c>
      <c r="L6446" s="403">
        <v>1280</v>
      </c>
      <c r="M6446" s="403" t="s">
        <v>1284</v>
      </c>
      <c r="N6446" s="403">
        <v>480</v>
      </c>
      <c r="O6446" s="403">
        <v>640</v>
      </c>
      <c r="P6446" t="str">
        <f t="shared" si="809"/>
        <v>60fps 720p full frame rate - SD VGA (cropped)</v>
      </c>
      <c r="Q6446">
        <f t="shared" si="810"/>
        <v>34</v>
      </c>
      <c r="R6446" t="str">
        <f t="shared" si="811"/>
        <v/>
      </c>
      <c r="S6446" t="str">
        <f t="shared" si="812"/>
        <v/>
      </c>
      <c r="T6446" s="403" t="str">
        <f t="shared" si="813"/>
        <v>NIN-73023-AxA</v>
      </c>
      <c r="U6446" s="403">
        <f t="shared" si="814"/>
        <v>1</v>
      </c>
      <c r="V6446" s="403" t="str">
        <f t="shared" si="815"/>
        <v>CPP_7</v>
      </c>
    </row>
    <row r="6447" spans="1:22">
      <c r="A6447" t="str">
        <f t="shared" si="808"/>
        <v>NIN-73023-AxA</v>
      </c>
      <c r="B6447" s="403" t="s">
        <v>1459</v>
      </c>
      <c r="C6447" s="403" t="s">
        <v>583</v>
      </c>
      <c r="D6447" s="403" t="s">
        <v>1311</v>
      </c>
      <c r="E6447" s="403" t="s">
        <v>1312</v>
      </c>
      <c r="F6447" s="403" t="s">
        <v>1288</v>
      </c>
      <c r="G6447" s="403" t="s">
        <v>1467</v>
      </c>
      <c r="H6447" s="403" t="s">
        <v>1276</v>
      </c>
      <c r="I6447" s="403">
        <v>1</v>
      </c>
      <c r="J6447" s="403" t="s">
        <v>111</v>
      </c>
      <c r="K6447" s="403">
        <v>432</v>
      </c>
      <c r="L6447" s="403">
        <v>768</v>
      </c>
      <c r="M6447" s="403" t="s">
        <v>111</v>
      </c>
      <c r="N6447" s="403">
        <v>432</v>
      </c>
      <c r="O6447" s="403">
        <v>768</v>
      </c>
      <c r="P6447" t="str">
        <f t="shared" si="809"/>
        <v>60fps SD - SD</v>
      </c>
      <c r="Q6447">
        <f t="shared" si="810"/>
        <v>34</v>
      </c>
      <c r="R6447" t="str">
        <f t="shared" si="811"/>
        <v/>
      </c>
      <c r="S6447" t="str">
        <f t="shared" si="812"/>
        <v/>
      </c>
      <c r="T6447" s="403" t="str">
        <f t="shared" si="813"/>
        <v>NIN-73023-AxA</v>
      </c>
      <c r="U6447" s="403">
        <f t="shared" si="814"/>
        <v>1</v>
      </c>
      <c r="V6447" s="403" t="str">
        <f t="shared" si="815"/>
        <v>CPP_7</v>
      </c>
    </row>
    <row r="6448" spans="1:22">
      <c r="A6448" t="str">
        <f t="shared" si="808"/>
        <v>NIN-73023-AxA</v>
      </c>
      <c r="B6448" s="403" t="s">
        <v>1459</v>
      </c>
      <c r="C6448" s="403" t="s">
        <v>583</v>
      </c>
      <c r="D6448" s="403" t="s">
        <v>1311</v>
      </c>
      <c r="E6448" s="403" t="s">
        <v>1312</v>
      </c>
      <c r="F6448" s="403" t="s">
        <v>1290</v>
      </c>
      <c r="G6448" s="403" t="s">
        <v>1466</v>
      </c>
      <c r="H6448" s="403" t="s">
        <v>1276</v>
      </c>
      <c r="I6448" s="403">
        <v>1</v>
      </c>
      <c r="J6448" s="403" t="s">
        <v>110</v>
      </c>
      <c r="K6448" s="403">
        <v>1920</v>
      </c>
      <c r="L6448" s="403">
        <v>1080</v>
      </c>
      <c r="M6448" s="403" t="s">
        <v>1280</v>
      </c>
      <c r="N6448" s="403">
        <v>1920</v>
      </c>
      <c r="O6448" s="403">
        <v>1080</v>
      </c>
      <c r="P6448" t="str">
        <f t="shared" si="809"/>
        <v>50fps 1080p - copy other stream</v>
      </c>
      <c r="Q6448">
        <f t="shared" si="810"/>
        <v>34</v>
      </c>
      <c r="R6448" t="str">
        <f t="shared" si="811"/>
        <v/>
      </c>
      <c r="S6448" t="str">
        <f t="shared" si="812"/>
        <v/>
      </c>
      <c r="T6448" s="403" t="str">
        <f t="shared" si="813"/>
        <v>NIN-73023-AxA</v>
      </c>
      <c r="U6448" s="403">
        <f t="shared" si="814"/>
        <v>1</v>
      </c>
      <c r="V6448" s="403" t="str">
        <f t="shared" si="815"/>
        <v>CPP_7</v>
      </c>
    </row>
    <row r="6449" spans="1:22">
      <c r="A6449" t="str">
        <f t="shared" si="808"/>
        <v>NIN-73023-AxA</v>
      </c>
      <c r="B6449" s="403" t="s">
        <v>1459</v>
      </c>
      <c r="C6449" s="403" t="s">
        <v>583</v>
      </c>
      <c r="D6449" s="403" t="s">
        <v>1311</v>
      </c>
      <c r="E6449" s="403" t="s">
        <v>1312</v>
      </c>
      <c r="F6449" s="403" t="s">
        <v>1290</v>
      </c>
      <c r="G6449" s="403" t="s">
        <v>1466</v>
      </c>
      <c r="H6449" s="403" t="s">
        <v>1276</v>
      </c>
      <c r="I6449" s="403">
        <v>1</v>
      </c>
      <c r="J6449" s="403" t="s">
        <v>1289</v>
      </c>
      <c r="K6449" s="403">
        <v>1280</v>
      </c>
      <c r="L6449" s="403">
        <v>720</v>
      </c>
      <c r="M6449" s="403" t="s">
        <v>1289</v>
      </c>
      <c r="N6449" s="403">
        <v>1280</v>
      </c>
      <c r="O6449" s="403">
        <v>720</v>
      </c>
      <c r="P6449" t="str">
        <f t="shared" si="809"/>
        <v>50fps 720p full frame rate - 720p full frame rate</v>
      </c>
      <c r="Q6449">
        <f t="shared" si="810"/>
        <v>34</v>
      </c>
      <c r="R6449" t="str">
        <f t="shared" si="811"/>
        <v/>
      </c>
      <c r="S6449" t="str">
        <f t="shared" si="812"/>
        <v/>
      </c>
      <c r="T6449" s="403" t="str">
        <f t="shared" si="813"/>
        <v>NIN-73023-AxA</v>
      </c>
      <c r="U6449" s="403">
        <f t="shared" si="814"/>
        <v>1</v>
      </c>
      <c r="V6449" s="403" t="str">
        <f t="shared" si="815"/>
        <v>CPP_7</v>
      </c>
    </row>
    <row r="6450" spans="1:22">
      <c r="A6450" t="str">
        <f t="shared" si="808"/>
        <v>NIN-73023-AxA</v>
      </c>
      <c r="B6450" s="403" t="s">
        <v>1459</v>
      </c>
      <c r="C6450" s="403" t="s">
        <v>583</v>
      </c>
      <c r="D6450" s="403" t="s">
        <v>1311</v>
      </c>
      <c r="E6450" s="403" t="s">
        <v>1312</v>
      </c>
      <c r="F6450" s="403" t="s">
        <v>1290</v>
      </c>
      <c r="G6450" s="403" t="s">
        <v>1466</v>
      </c>
      <c r="H6450" s="403" t="s">
        <v>1276</v>
      </c>
      <c r="I6450" s="403">
        <v>1</v>
      </c>
      <c r="J6450" s="403" t="s">
        <v>1289</v>
      </c>
      <c r="K6450" s="403">
        <v>1280</v>
      </c>
      <c r="L6450" s="403">
        <v>720</v>
      </c>
      <c r="M6450" s="403" t="s">
        <v>111</v>
      </c>
      <c r="N6450" s="403">
        <v>768</v>
      </c>
      <c r="O6450" s="403">
        <v>432</v>
      </c>
      <c r="P6450" t="str">
        <f t="shared" si="809"/>
        <v>50fps 720p full frame rate - SD</v>
      </c>
      <c r="Q6450">
        <f t="shared" si="810"/>
        <v>34</v>
      </c>
      <c r="R6450" t="str">
        <f t="shared" si="811"/>
        <v/>
      </c>
      <c r="S6450" t="str">
        <f t="shared" si="812"/>
        <v/>
      </c>
      <c r="T6450" s="403" t="str">
        <f t="shared" si="813"/>
        <v>NIN-73023-AxA</v>
      </c>
      <c r="U6450" s="403">
        <f t="shared" si="814"/>
        <v>1</v>
      </c>
      <c r="V6450" s="403" t="str">
        <f t="shared" si="815"/>
        <v>CPP_7</v>
      </c>
    </row>
    <row r="6451" spans="1:22">
      <c r="A6451" t="str">
        <f t="shared" si="808"/>
        <v>NIN-73023-AxA</v>
      </c>
      <c r="B6451" s="403" t="s">
        <v>1459</v>
      </c>
      <c r="C6451" s="403" t="s">
        <v>583</v>
      </c>
      <c r="D6451" s="403" t="s">
        <v>1311</v>
      </c>
      <c r="E6451" s="403" t="s">
        <v>1312</v>
      </c>
      <c r="F6451" s="403" t="s">
        <v>1290</v>
      </c>
      <c r="G6451" s="403" t="s">
        <v>1466</v>
      </c>
      <c r="H6451" s="403" t="s">
        <v>1276</v>
      </c>
      <c r="I6451" s="403">
        <v>1</v>
      </c>
      <c r="J6451" s="403" t="s">
        <v>1289</v>
      </c>
      <c r="K6451" s="403">
        <v>1280</v>
      </c>
      <c r="L6451" s="403">
        <v>720</v>
      </c>
      <c r="M6451" s="403" t="s">
        <v>1279</v>
      </c>
      <c r="N6451" s="403">
        <v>768</v>
      </c>
      <c r="O6451" s="403">
        <v>432</v>
      </c>
      <c r="P6451" t="str">
        <f t="shared" si="809"/>
        <v>50fps 720p full frame rate - SD ROI PTZ</v>
      </c>
      <c r="Q6451">
        <f t="shared" si="810"/>
        <v>34</v>
      </c>
      <c r="R6451" t="str">
        <f t="shared" si="811"/>
        <v/>
      </c>
      <c r="S6451" t="str">
        <f t="shared" si="812"/>
        <v/>
      </c>
      <c r="T6451" s="403" t="str">
        <f t="shared" si="813"/>
        <v>NIN-73023-AxA</v>
      </c>
      <c r="U6451" s="403">
        <f t="shared" si="814"/>
        <v>1</v>
      </c>
      <c r="V6451" s="403" t="str">
        <f t="shared" si="815"/>
        <v>CPP_7</v>
      </c>
    </row>
    <row r="6452" spans="1:22">
      <c r="A6452" t="str">
        <f t="shared" si="808"/>
        <v>NIN-73023-AxA</v>
      </c>
      <c r="B6452" s="403" t="s">
        <v>1459</v>
      </c>
      <c r="C6452" s="403" t="s">
        <v>583</v>
      </c>
      <c r="D6452" s="403" t="s">
        <v>1311</v>
      </c>
      <c r="E6452" s="403" t="s">
        <v>1312</v>
      </c>
      <c r="F6452" s="403" t="s">
        <v>1290</v>
      </c>
      <c r="G6452" s="403" t="s">
        <v>1466</v>
      </c>
      <c r="H6452" s="403" t="s">
        <v>1276</v>
      </c>
      <c r="I6452" s="403">
        <v>1</v>
      </c>
      <c r="J6452" s="403" t="s">
        <v>1289</v>
      </c>
      <c r="K6452" s="403">
        <v>1280</v>
      </c>
      <c r="L6452" s="403">
        <v>720</v>
      </c>
      <c r="M6452" s="403" t="s">
        <v>1298</v>
      </c>
      <c r="N6452" s="403">
        <v>768</v>
      </c>
      <c r="O6452" s="403">
        <v>432</v>
      </c>
      <c r="P6452" t="str">
        <f t="shared" si="809"/>
        <v>50fps 720p full frame rate - SD dual stream with independent ROI PTZ</v>
      </c>
      <c r="Q6452">
        <f t="shared" si="810"/>
        <v>34</v>
      </c>
      <c r="R6452" t="str">
        <f t="shared" si="811"/>
        <v/>
      </c>
      <c r="S6452" t="str">
        <f t="shared" si="812"/>
        <v/>
      </c>
      <c r="T6452" s="403" t="str">
        <f t="shared" si="813"/>
        <v>NIN-73023-AxA</v>
      </c>
      <c r="U6452" s="403">
        <f t="shared" si="814"/>
        <v>1</v>
      </c>
      <c r="V6452" s="403" t="str">
        <f t="shared" si="815"/>
        <v>CPP_7</v>
      </c>
    </row>
    <row r="6453" spans="1:22">
      <c r="A6453" t="str">
        <f t="shared" si="808"/>
        <v>NIN-73023-AxA</v>
      </c>
      <c r="B6453" s="403" t="s">
        <v>1459</v>
      </c>
      <c r="C6453" s="403" t="s">
        <v>583</v>
      </c>
      <c r="D6453" s="403" t="s">
        <v>1311</v>
      </c>
      <c r="E6453" s="403" t="s">
        <v>1312</v>
      </c>
      <c r="F6453" s="403" t="s">
        <v>1290</v>
      </c>
      <c r="G6453" s="403" t="s">
        <v>1466</v>
      </c>
      <c r="H6453" s="403" t="s">
        <v>1276</v>
      </c>
      <c r="I6453" s="403">
        <v>1</v>
      </c>
      <c r="J6453" s="403" t="s">
        <v>1289</v>
      </c>
      <c r="K6453" s="403">
        <v>1280</v>
      </c>
      <c r="L6453" s="403">
        <v>720</v>
      </c>
      <c r="M6453" s="403" t="s">
        <v>1301</v>
      </c>
      <c r="N6453" s="403">
        <v>1280</v>
      </c>
      <c r="O6453" s="403">
        <v>720</v>
      </c>
      <c r="P6453" t="str">
        <f t="shared" si="809"/>
        <v>50fps 720p full frame rate - 720p skip=4</v>
      </c>
      <c r="Q6453">
        <f t="shared" si="810"/>
        <v>34</v>
      </c>
      <c r="R6453" t="str">
        <f t="shared" si="811"/>
        <v/>
      </c>
      <c r="S6453" t="str">
        <f t="shared" si="812"/>
        <v/>
      </c>
      <c r="T6453" s="403" t="str">
        <f t="shared" si="813"/>
        <v>NIN-73023-AxA</v>
      </c>
      <c r="U6453" s="403">
        <f t="shared" si="814"/>
        <v>1</v>
      </c>
      <c r="V6453" s="403" t="str">
        <f t="shared" si="815"/>
        <v>CPP_7</v>
      </c>
    </row>
    <row r="6454" spans="1:22">
      <c r="A6454" t="str">
        <f t="shared" si="808"/>
        <v>NIN-73023-AxA</v>
      </c>
      <c r="B6454" s="403" t="s">
        <v>1459</v>
      </c>
      <c r="C6454" s="403" t="s">
        <v>583</v>
      </c>
      <c r="D6454" s="403" t="s">
        <v>1311</v>
      </c>
      <c r="E6454" s="403" t="s">
        <v>1312</v>
      </c>
      <c r="F6454" s="403" t="s">
        <v>1290</v>
      </c>
      <c r="G6454" s="403" t="s">
        <v>1466</v>
      </c>
      <c r="H6454" s="403" t="s">
        <v>1276</v>
      </c>
      <c r="I6454" s="403">
        <v>1</v>
      </c>
      <c r="J6454" s="403" t="s">
        <v>1289</v>
      </c>
      <c r="K6454" s="403">
        <v>1280</v>
      </c>
      <c r="L6454" s="403">
        <v>720</v>
      </c>
      <c r="M6454" s="403" t="s">
        <v>1280</v>
      </c>
      <c r="N6454" s="403">
        <v>1280</v>
      </c>
      <c r="O6454" s="403">
        <v>720</v>
      </c>
      <c r="P6454" t="str">
        <f t="shared" si="809"/>
        <v>50fps 720p full frame rate - copy other stream</v>
      </c>
      <c r="Q6454">
        <f t="shared" si="810"/>
        <v>34</v>
      </c>
      <c r="R6454" t="str">
        <f t="shared" si="811"/>
        <v/>
      </c>
      <c r="S6454" t="str">
        <f t="shared" si="812"/>
        <v/>
      </c>
      <c r="T6454" s="403" t="str">
        <f t="shared" si="813"/>
        <v>NIN-73023-AxA</v>
      </c>
      <c r="U6454" s="403">
        <f t="shared" si="814"/>
        <v>1</v>
      </c>
      <c r="V6454" s="403" t="str">
        <f t="shared" si="815"/>
        <v>CPP_7</v>
      </c>
    </row>
    <row r="6455" spans="1:22">
      <c r="A6455" t="str">
        <f t="shared" si="808"/>
        <v>NIN-73023-AxA</v>
      </c>
      <c r="B6455" s="403" t="s">
        <v>1459</v>
      </c>
      <c r="C6455" s="403" t="s">
        <v>583</v>
      </c>
      <c r="D6455" s="403" t="s">
        <v>1311</v>
      </c>
      <c r="E6455" s="403" t="s">
        <v>1312</v>
      </c>
      <c r="F6455" s="403" t="s">
        <v>1290</v>
      </c>
      <c r="G6455" s="403" t="s">
        <v>1466</v>
      </c>
      <c r="H6455" s="403" t="s">
        <v>1276</v>
      </c>
      <c r="I6455" s="403">
        <v>1</v>
      </c>
      <c r="J6455" s="403" t="s">
        <v>1289</v>
      </c>
      <c r="K6455" s="403">
        <v>1280</v>
      </c>
      <c r="L6455" s="403">
        <v>720</v>
      </c>
      <c r="M6455" s="403" t="s">
        <v>1302</v>
      </c>
      <c r="N6455" s="403">
        <v>400</v>
      </c>
      <c r="O6455" s="403">
        <v>720</v>
      </c>
      <c r="P6455" t="str">
        <f t="shared" si="809"/>
        <v>50fps 720p full frame rate - 400x720 upright (cropped)</v>
      </c>
      <c r="Q6455">
        <f t="shared" si="810"/>
        <v>34</v>
      </c>
      <c r="R6455" t="str">
        <f t="shared" si="811"/>
        <v/>
      </c>
      <c r="S6455" t="str">
        <f t="shared" si="812"/>
        <v/>
      </c>
      <c r="T6455" s="403" t="str">
        <f t="shared" si="813"/>
        <v>NIN-73023-AxA</v>
      </c>
      <c r="U6455" s="403">
        <f t="shared" si="814"/>
        <v>1</v>
      </c>
      <c r="V6455" s="403" t="str">
        <f t="shared" si="815"/>
        <v>CPP_7</v>
      </c>
    </row>
    <row r="6456" spans="1:22">
      <c r="A6456" t="str">
        <f t="shared" si="808"/>
        <v>NIN-73023-AxA</v>
      </c>
      <c r="B6456" s="403" t="s">
        <v>1459</v>
      </c>
      <c r="C6456" s="403" t="s">
        <v>583</v>
      </c>
      <c r="D6456" s="403" t="s">
        <v>1311</v>
      </c>
      <c r="E6456" s="403" t="s">
        <v>1312</v>
      </c>
      <c r="F6456" s="403" t="s">
        <v>1290</v>
      </c>
      <c r="G6456" s="403" t="s">
        <v>1466</v>
      </c>
      <c r="H6456" s="403" t="s">
        <v>1276</v>
      </c>
      <c r="I6456" s="403">
        <v>1</v>
      </c>
      <c r="J6456" s="403" t="s">
        <v>1289</v>
      </c>
      <c r="K6456" s="403">
        <v>1280</v>
      </c>
      <c r="L6456" s="403">
        <v>720</v>
      </c>
      <c r="M6456" s="403" t="s">
        <v>1283</v>
      </c>
      <c r="N6456" s="403">
        <v>704</v>
      </c>
      <c r="O6456" s="403">
        <v>576</v>
      </c>
      <c r="P6456" t="str">
        <f t="shared" si="809"/>
        <v>50fps 720p full frame rate - SD 4CIF resolution 4:3 format (cropped)</v>
      </c>
      <c r="Q6456">
        <f t="shared" si="810"/>
        <v>34</v>
      </c>
      <c r="R6456" t="str">
        <f t="shared" si="811"/>
        <v/>
      </c>
      <c r="S6456" t="str">
        <f t="shared" si="812"/>
        <v/>
      </c>
      <c r="T6456" s="403" t="str">
        <f t="shared" si="813"/>
        <v>NIN-73023-AxA</v>
      </c>
      <c r="U6456" s="403">
        <f t="shared" si="814"/>
        <v>1</v>
      </c>
      <c r="V6456" s="403" t="str">
        <f t="shared" si="815"/>
        <v>CPP_7</v>
      </c>
    </row>
    <row r="6457" spans="1:22">
      <c r="A6457" t="str">
        <f t="shared" si="808"/>
        <v>NIN-73023-AxA</v>
      </c>
      <c r="B6457" s="403" t="s">
        <v>1459</v>
      </c>
      <c r="C6457" s="403" t="s">
        <v>583</v>
      </c>
      <c r="D6457" s="403" t="s">
        <v>1311</v>
      </c>
      <c r="E6457" s="403" t="s">
        <v>1312</v>
      </c>
      <c r="F6457" s="403" t="s">
        <v>1290</v>
      </c>
      <c r="G6457" s="403" t="s">
        <v>1466</v>
      </c>
      <c r="H6457" s="403" t="s">
        <v>1276</v>
      </c>
      <c r="I6457" s="403">
        <v>1</v>
      </c>
      <c r="J6457" s="403" t="s">
        <v>1289</v>
      </c>
      <c r="K6457" s="403">
        <v>1280</v>
      </c>
      <c r="L6457" s="403">
        <v>720</v>
      </c>
      <c r="M6457" s="403" t="s">
        <v>1284</v>
      </c>
      <c r="N6457" s="403">
        <v>640</v>
      </c>
      <c r="O6457" s="403">
        <v>480</v>
      </c>
      <c r="P6457" t="str">
        <f t="shared" si="809"/>
        <v>50fps 720p full frame rate - SD VGA (cropped)</v>
      </c>
      <c r="Q6457">
        <f t="shared" si="810"/>
        <v>34</v>
      </c>
      <c r="R6457" t="str">
        <f t="shared" si="811"/>
        <v/>
      </c>
      <c r="S6457" t="str">
        <f t="shared" si="812"/>
        <v/>
      </c>
      <c r="T6457" s="403" t="str">
        <f t="shared" si="813"/>
        <v>NIN-73023-AxA</v>
      </c>
      <c r="U6457" s="403">
        <f t="shared" si="814"/>
        <v>1</v>
      </c>
      <c r="V6457" s="403" t="str">
        <f t="shared" si="815"/>
        <v>CPP_7</v>
      </c>
    </row>
    <row r="6458" spans="1:22">
      <c r="A6458" t="str">
        <f t="shared" si="808"/>
        <v>NIN-73023-AxA</v>
      </c>
      <c r="B6458" s="403" t="s">
        <v>1459</v>
      </c>
      <c r="C6458" s="403" t="s">
        <v>583</v>
      </c>
      <c r="D6458" s="403" t="s">
        <v>1311</v>
      </c>
      <c r="E6458" s="403" t="s">
        <v>1312</v>
      </c>
      <c r="F6458" s="403" t="s">
        <v>1290</v>
      </c>
      <c r="G6458" s="403" t="s">
        <v>1466</v>
      </c>
      <c r="H6458" s="403" t="s">
        <v>1276</v>
      </c>
      <c r="I6458" s="403">
        <v>1</v>
      </c>
      <c r="J6458" s="403" t="s">
        <v>111</v>
      </c>
      <c r="K6458" s="403">
        <v>768</v>
      </c>
      <c r="L6458" s="403">
        <v>432</v>
      </c>
      <c r="M6458" s="403" t="s">
        <v>111</v>
      </c>
      <c r="N6458" s="403">
        <v>768</v>
      </c>
      <c r="O6458" s="403">
        <v>432</v>
      </c>
      <c r="P6458" t="str">
        <f t="shared" si="809"/>
        <v>50fps SD - SD</v>
      </c>
      <c r="Q6458">
        <f t="shared" si="810"/>
        <v>34</v>
      </c>
      <c r="R6458" t="str">
        <f t="shared" si="811"/>
        <v/>
      </c>
      <c r="S6458" t="str">
        <f t="shared" si="812"/>
        <v/>
      </c>
      <c r="T6458" s="403" t="str">
        <f t="shared" si="813"/>
        <v>NIN-73023-AxA</v>
      </c>
      <c r="U6458" s="403">
        <f t="shared" si="814"/>
        <v>1</v>
      </c>
      <c r="V6458" s="403" t="str">
        <f t="shared" si="815"/>
        <v>CPP_7</v>
      </c>
    </row>
    <row r="6459" spans="1:22">
      <c r="A6459" t="str">
        <f t="shared" si="808"/>
        <v>NIN-73023-AxA</v>
      </c>
      <c r="B6459" s="403" t="s">
        <v>1459</v>
      </c>
      <c r="C6459" s="403" t="s">
        <v>583</v>
      </c>
      <c r="D6459" s="403" t="s">
        <v>1311</v>
      </c>
      <c r="E6459" s="403" t="s">
        <v>1312</v>
      </c>
      <c r="F6459" s="403" t="s">
        <v>1290</v>
      </c>
      <c r="G6459" s="403" t="s">
        <v>1467</v>
      </c>
      <c r="H6459" s="403" t="s">
        <v>1276</v>
      </c>
      <c r="I6459" s="403">
        <v>1</v>
      </c>
      <c r="J6459" s="403" t="s">
        <v>110</v>
      </c>
      <c r="K6459" s="403">
        <v>1080</v>
      </c>
      <c r="L6459" s="403">
        <v>1920</v>
      </c>
      <c r="M6459" s="403" t="s">
        <v>1280</v>
      </c>
      <c r="N6459" s="403">
        <v>1080</v>
      </c>
      <c r="O6459" s="403">
        <v>1920</v>
      </c>
      <c r="P6459" t="str">
        <f t="shared" si="809"/>
        <v>50fps 1080p - copy other stream</v>
      </c>
      <c r="Q6459">
        <f t="shared" si="810"/>
        <v>34</v>
      </c>
      <c r="R6459" t="str">
        <f t="shared" si="811"/>
        <v/>
      </c>
      <c r="S6459" t="str">
        <f t="shared" si="812"/>
        <v/>
      </c>
      <c r="T6459" s="403" t="str">
        <f t="shared" si="813"/>
        <v>NIN-73023-AxA</v>
      </c>
      <c r="U6459" s="403">
        <f t="shared" si="814"/>
        <v>1</v>
      </c>
      <c r="V6459" s="403" t="str">
        <f t="shared" si="815"/>
        <v>CPP_7</v>
      </c>
    </row>
    <row r="6460" spans="1:22">
      <c r="A6460" t="str">
        <f t="shared" si="808"/>
        <v>NIN-73023-AxA</v>
      </c>
      <c r="B6460" s="403" t="s">
        <v>1459</v>
      </c>
      <c r="C6460" s="403" t="s">
        <v>583</v>
      </c>
      <c r="D6460" s="403" t="s">
        <v>1311</v>
      </c>
      <c r="E6460" s="403" t="s">
        <v>1312</v>
      </c>
      <c r="F6460" s="403" t="s">
        <v>1290</v>
      </c>
      <c r="G6460" s="403" t="s">
        <v>1467</v>
      </c>
      <c r="H6460" s="403" t="s">
        <v>1276</v>
      </c>
      <c r="I6460" s="403">
        <v>1</v>
      </c>
      <c r="J6460" s="403" t="s">
        <v>1289</v>
      </c>
      <c r="K6460" s="403">
        <v>720</v>
      </c>
      <c r="L6460" s="403">
        <v>1280</v>
      </c>
      <c r="M6460" s="403" t="s">
        <v>1289</v>
      </c>
      <c r="N6460" s="403">
        <v>720</v>
      </c>
      <c r="O6460" s="403">
        <v>1280</v>
      </c>
      <c r="P6460" t="str">
        <f t="shared" si="809"/>
        <v>50fps 720p full frame rate - 720p full frame rate</v>
      </c>
      <c r="Q6460">
        <f t="shared" si="810"/>
        <v>34</v>
      </c>
      <c r="R6460" t="str">
        <f t="shared" si="811"/>
        <v/>
      </c>
      <c r="S6460" t="str">
        <f t="shared" si="812"/>
        <v/>
      </c>
      <c r="T6460" s="403" t="str">
        <f t="shared" si="813"/>
        <v>NIN-73023-AxA</v>
      </c>
      <c r="U6460" s="403">
        <f t="shared" si="814"/>
        <v>1</v>
      </c>
      <c r="V6460" s="403" t="str">
        <f t="shared" si="815"/>
        <v>CPP_7</v>
      </c>
    </row>
    <row r="6461" spans="1:22">
      <c r="A6461" t="str">
        <f t="shared" si="808"/>
        <v>NIN-73023-AxA</v>
      </c>
      <c r="B6461" s="403" t="s">
        <v>1459</v>
      </c>
      <c r="C6461" s="403" t="s">
        <v>583</v>
      </c>
      <c r="D6461" s="403" t="s">
        <v>1311</v>
      </c>
      <c r="E6461" s="403" t="s">
        <v>1312</v>
      </c>
      <c r="F6461" s="403" t="s">
        <v>1290</v>
      </c>
      <c r="G6461" s="403" t="s">
        <v>1467</v>
      </c>
      <c r="H6461" s="403" t="s">
        <v>1276</v>
      </c>
      <c r="I6461" s="403">
        <v>1</v>
      </c>
      <c r="J6461" s="403" t="s">
        <v>1289</v>
      </c>
      <c r="K6461" s="403">
        <v>720</v>
      </c>
      <c r="L6461" s="403">
        <v>1280</v>
      </c>
      <c r="M6461" s="403" t="s">
        <v>111</v>
      </c>
      <c r="N6461" s="403">
        <v>432</v>
      </c>
      <c r="O6461" s="403">
        <v>768</v>
      </c>
      <c r="P6461" t="str">
        <f t="shared" si="809"/>
        <v>50fps 720p full frame rate - SD</v>
      </c>
      <c r="Q6461">
        <f t="shared" si="810"/>
        <v>34</v>
      </c>
      <c r="R6461" t="str">
        <f t="shared" si="811"/>
        <v/>
      </c>
      <c r="S6461" t="str">
        <f t="shared" si="812"/>
        <v/>
      </c>
      <c r="T6461" s="403" t="str">
        <f t="shared" si="813"/>
        <v>NIN-73023-AxA</v>
      </c>
      <c r="U6461" s="403">
        <f t="shared" si="814"/>
        <v>1</v>
      </c>
      <c r="V6461" s="403" t="str">
        <f t="shared" si="815"/>
        <v>CPP_7</v>
      </c>
    </row>
    <row r="6462" spans="1:22">
      <c r="A6462" t="str">
        <f t="shared" si="808"/>
        <v>NIN-73023-AxA</v>
      </c>
      <c r="B6462" s="403" t="s">
        <v>1459</v>
      </c>
      <c r="C6462" s="403" t="s">
        <v>583</v>
      </c>
      <c r="D6462" s="403" t="s">
        <v>1311</v>
      </c>
      <c r="E6462" s="403" t="s">
        <v>1312</v>
      </c>
      <c r="F6462" s="403" t="s">
        <v>1290</v>
      </c>
      <c r="G6462" s="403" t="s">
        <v>1467</v>
      </c>
      <c r="H6462" s="403" t="s">
        <v>1276</v>
      </c>
      <c r="I6462" s="403">
        <v>1</v>
      </c>
      <c r="J6462" s="403" t="s">
        <v>1289</v>
      </c>
      <c r="K6462" s="403">
        <v>720</v>
      </c>
      <c r="L6462" s="403">
        <v>1280</v>
      </c>
      <c r="M6462" s="403" t="s">
        <v>1279</v>
      </c>
      <c r="N6462" s="403">
        <v>432</v>
      </c>
      <c r="O6462" s="403">
        <v>768</v>
      </c>
      <c r="P6462" t="str">
        <f t="shared" si="809"/>
        <v>50fps 720p full frame rate - SD ROI PTZ</v>
      </c>
      <c r="Q6462">
        <f t="shared" si="810"/>
        <v>34</v>
      </c>
      <c r="R6462" t="str">
        <f t="shared" si="811"/>
        <v/>
      </c>
      <c r="S6462" t="str">
        <f t="shared" si="812"/>
        <v/>
      </c>
      <c r="T6462" s="403" t="str">
        <f t="shared" si="813"/>
        <v>NIN-73023-AxA</v>
      </c>
      <c r="U6462" s="403">
        <f t="shared" si="814"/>
        <v>1</v>
      </c>
      <c r="V6462" s="403" t="str">
        <f t="shared" si="815"/>
        <v>CPP_7</v>
      </c>
    </row>
    <row r="6463" spans="1:22">
      <c r="A6463" t="str">
        <f t="shared" si="808"/>
        <v>NIN-73023-AxA</v>
      </c>
      <c r="B6463" s="403" t="s">
        <v>1459</v>
      </c>
      <c r="C6463" s="403" t="s">
        <v>583</v>
      </c>
      <c r="D6463" s="403" t="s">
        <v>1311</v>
      </c>
      <c r="E6463" s="403" t="s">
        <v>1312</v>
      </c>
      <c r="F6463" s="403" t="s">
        <v>1290</v>
      </c>
      <c r="G6463" s="403" t="s">
        <v>1467</v>
      </c>
      <c r="H6463" s="403" t="s">
        <v>1276</v>
      </c>
      <c r="I6463" s="403">
        <v>1</v>
      </c>
      <c r="J6463" s="403" t="s">
        <v>1289</v>
      </c>
      <c r="K6463" s="403">
        <v>720</v>
      </c>
      <c r="L6463" s="403">
        <v>1280</v>
      </c>
      <c r="M6463" s="403" t="s">
        <v>1298</v>
      </c>
      <c r="N6463" s="403">
        <v>432</v>
      </c>
      <c r="O6463" s="403">
        <v>768</v>
      </c>
      <c r="P6463" t="str">
        <f t="shared" si="809"/>
        <v>50fps 720p full frame rate - SD dual stream with independent ROI PTZ</v>
      </c>
      <c r="Q6463">
        <f t="shared" si="810"/>
        <v>34</v>
      </c>
      <c r="R6463" t="str">
        <f t="shared" si="811"/>
        <v/>
      </c>
      <c r="S6463" t="str">
        <f t="shared" si="812"/>
        <v/>
      </c>
      <c r="T6463" s="403" t="str">
        <f t="shared" si="813"/>
        <v>NIN-73023-AxA</v>
      </c>
      <c r="U6463" s="403">
        <f t="shared" si="814"/>
        <v>1</v>
      </c>
      <c r="V6463" s="403" t="str">
        <f t="shared" si="815"/>
        <v>CPP_7</v>
      </c>
    </row>
    <row r="6464" spans="1:22">
      <c r="A6464" t="str">
        <f t="shared" si="808"/>
        <v>NIN-73023-AxA</v>
      </c>
      <c r="B6464" s="403" t="s">
        <v>1459</v>
      </c>
      <c r="C6464" s="403" t="s">
        <v>583</v>
      </c>
      <c r="D6464" s="403" t="s">
        <v>1311</v>
      </c>
      <c r="E6464" s="403" t="s">
        <v>1312</v>
      </c>
      <c r="F6464" s="403" t="s">
        <v>1290</v>
      </c>
      <c r="G6464" s="403" t="s">
        <v>1467</v>
      </c>
      <c r="H6464" s="403" t="s">
        <v>1276</v>
      </c>
      <c r="I6464" s="403">
        <v>1</v>
      </c>
      <c r="J6464" s="403" t="s">
        <v>1289</v>
      </c>
      <c r="K6464" s="403">
        <v>720</v>
      </c>
      <c r="L6464" s="403">
        <v>1280</v>
      </c>
      <c r="M6464" s="403" t="s">
        <v>1301</v>
      </c>
      <c r="N6464" s="403">
        <v>720</v>
      </c>
      <c r="O6464" s="403">
        <v>1280</v>
      </c>
      <c r="P6464" t="str">
        <f t="shared" si="809"/>
        <v>50fps 720p full frame rate - 720p skip=4</v>
      </c>
      <c r="Q6464">
        <f t="shared" si="810"/>
        <v>34</v>
      </c>
      <c r="R6464" t="str">
        <f t="shared" si="811"/>
        <v/>
      </c>
      <c r="S6464" t="str">
        <f t="shared" si="812"/>
        <v/>
      </c>
      <c r="T6464" s="403" t="str">
        <f t="shared" si="813"/>
        <v>NIN-73023-AxA</v>
      </c>
      <c r="U6464" s="403">
        <f t="shared" si="814"/>
        <v>1</v>
      </c>
      <c r="V6464" s="403" t="str">
        <f t="shared" si="815"/>
        <v>CPP_7</v>
      </c>
    </row>
    <row r="6465" spans="1:22">
      <c r="A6465" t="str">
        <f t="shared" si="808"/>
        <v>NIN-73023-AxA</v>
      </c>
      <c r="B6465" s="403" t="s">
        <v>1459</v>
      </c>
      <c r="C6465" s="403" t="s">
        <v>583</v>
      </c>
      <c r="D6465" s="403" t="s">
        <v>1311</v>
      </c>
      <c r="E6465" s="403" t="s">
        <v>1312</v>
      </c>
      <c r="F6465" s="403" t="s">
        <v>1290</v>
      </c>
      <c r="G6465" s="403" t="s">
        <v>1467</v>
      </c>
      <c r="H6465" s="403" t="s">
        <v>1276</v>
      </c>
      <c r="I6465" s="403">
        <v>1</v>
      </c>
      <c r="J6465" s="403" t="s">
        <v>1289</v>
      </c>
      <c r="K6465" s="403">
        <v>720</v>
      </c>
      <c r="L6465" s="403">
        <v>1280</v>
      </c>
      <c r="M6465" s="403" t="s">
        <v>1280</v>
      </c>
      <c r="N6465" s="403">
        <v>720</v>
      </c>
      <c r="O6465" s="403">
        <v>1280</v>
      </c>
      <c r="P6465" t="str">
        <f t="shared" si="809"/>
        <v>50fps 720p full frame rate - copy other stream</v>
      </c>
      <c r="Q6465">
        <f t="shared" si="810"/>
        <v>34</v>
      </c>
      <c r="R6465" t="str">
        <f t="shared" si="811"/>
        <v/>
      </c>
      <c r="S6465" t="str">
        <f t="shared" si="812"/>
        <v/>
      </c>
      <c r="T6465" s="403" t="str">
        <f t="shared" si="813"/>
        <v>NIN-73023-AxA</v>
      </c>
      <c r="U6465" s="403">
        <f t="shared" si="814"/>
        <v>1</v>
      </c>
      <c r="V6465" s="403" t="str">
        <f t="shared" si="815"/>
        <v>CPP_7</v>
      </c>
    </row>
    <row r="6466" spans="1:22">
      <c r="A6466" t="str">
        <f t="shared" si="808"/>
        <v>NIN-73023-AxA</v>
      </c>
      <c r="B6466" s="403" t="s">
        <v>1459</v>
      </c>
      <c r="C6466" s="403" t="s">
        <v>583</v>
      </c>
      <c r="D6466" s="403" t="s">
        <v>1311</v>
      </c>
      <c r="E6466" s="403" t="s">
        <v>1312</v>
      </c>
      <c r="F6466" s="403" t="s">
        <v>1290</v>
      </c>
      <c r="G6466" s="403" t="s">
        <v>1467</v>
      </c>
      <c r="H6466" s="403" t="s">
        <v>1276</v>
      </c>
      <c r="I6466" s="403">
        <v>1</v>
      </c>
      <c r="J6466" s="403" t="s">
        <v>1289</v>
      </c>
      <c r="K6466" s="403">
        <v>720</v>
      </c>
      <c r="L6466" s="403">
        <v>1280</v>
      </c>
      <c r="M6466" s="403" t="s">
        <v>1302</v>
      </c>
      <c r="N6466" s="403">
        <v>720</v>
      </c>
      <c r="O6466" s="403">
        <v>400</v>
      </c>
      <c r="P6466" t="str">
        <f t="shared" si="809"/>
        <v>50fps 720p full frame rate - 400x720 upright (cropped)</v>
      </c>
      <c r="Q6466">
        <f t="shared" si="810"/>
        <v>34</v>
      </c>
      <c r="R6466" t="str">
        <f t="shared" si="811"/>
        <v/>
      </c>
      <c r="S6466" t="str">
        <f t="shared" si="812"/>
        <v/>
      </c>
      <c r="T6466" s="403" t="str">
        <f t="shared" si="813"/>
        <v>NIN-73023-AxA</v>
      </c>
      <c r="U6466" s="403">
        <f t="shared" si="814"/>
        <v>1</v>
      </c>
      <c r="V6466" s="403" t="str">
        <f t="shared" si="815"/>
        <v>CPP_7</v>
      </c>
    </row>
    <row r="6467" spans="1:22">
      <c r="A6467" t="str">
        <f t="shared" si="808"/>
        <v>NIN-73023-AxA</v>
      </c>
      <c r="B6467" s="403" t="s">
        <v>1459</v>
      </c>
      <c r="C6467" s="403" t="s">
        <v>583</v>
      </c>
      <c r="D6467" s="403" t="s">
        <v>1311</v>
      </c>
      <c r="E6467" s="403" t="s">
        <v>1312</v>
      </c>
      <c r="F6467" s="403" t="s">
        <v>1290</v>
      </c>
      <c r="G6467" s="403" t="s">
        <v>1467</v>
      </c>
      <c r="H6467" s="403" t="s">
        <v>1276</v>
      </c>
      <c r="I6467" s="403">
        <v>1</v>
      </c>
      <c r="J6467" s="403" t="s">
        <v>1289</v>
      </c>
      <c r="K6467" s="403">
        <v>720</v>
      </c>
      <c r="L6467" s="403">
        <v>1280</v>
      </c>
      <c r="M6467" s="403" t="s">
        <v>1283</v>
      </c>
      <c r="N6467" s="403">
        <v>576</v>
      </c>
      <c r="O6467" s="403">
        <v>704</v>
      </c>
      <c r="P6467" t="str">
        <f t="shared" si="809"/>
        <v>50fps 720p full frame rate - SD 4CIF resolution 4:3 format (cropped)</v>
      </c>
      <c r="Q6467">
        <f t="shared" si="810"/>
        <v>34</v>
      </c>
      <c r="R6467" t="str">
        <f t="shared" si="811"/>
        <v/>
      </c>
      <c r="S6467" t="str">
        <f t="shared" si="812"/>
        <v/>
      </c>
      <c r="T6467" s="403" t="str">
        <f t="shared" si="813"/>
        <v>NIN-73023-AxA</v>
      </c>
      <c r="U6467" s="403">
        <f t="shared" si="814"/>
        <v>1</v>
      </c>
      <c r="V6467" s="403" t="str">
        <f t="shared" si="815"/>
        <v>CPP_7</v>
      </c>
    </row>
    <row r="6468" spans="1:22">
      <c r="A6468" t="str">
        <f t="shared" si="808"/>
        <v>NIN-73023-AxA</v>
      </c>
      <c r="B6468" s="403" t="s">
        <v>1459</v>
      </c>
      <c r="C6468" s="403" t="s">
        <v>583</v>
      </c>
      <c r="D6468" s="403" t="s">
        <v>1311</v>
      </c>
      <c r="E6468" s="403" t="s">
        <v>1312</v>
      </c>
      <c r="F6468" s="403" t="s">
        <v>1290</v>
      </c>
      <c r="G6468" s="403" t="s">
        <v>1467</v>
      </c>
      <c r="H6468" s="403" t="s">
        <v>1276</v>
      </c>
      <c r="I6468" s="403">
        <v>1</v>
      </c>
      <c r="J6468" s="403" t="s">
        <v>1289</v>
      </c>
      <c r="K6468" s="403">
        <v>720</v>
      </c>
      <c r="L6468" s="403">
        <v>1280</v>
      </c>
      <c r="M6468" s="403" t="s">
        <v>1284</v>
      </c>
      <c r="N6468" s="403">
        <v>480</v>
      </c>
      <c r="O6468" s="403">
        <v>640</v>
      </c>
      <c r="P6468" t="str">
        <f t="shared" si="809"/>
        <v>50fps 720p full frame rate - SD VGA (cropped)</v>
      </c>
      <c r="Q6468">
        <f t="shared" si="810"/>
        <v>34</v>
      </c>
      <c r="R6468" t="str">
        <f t="shared" si="811"/>
        <v/>
      </c>
      <c r="S6468" t="str">
        <f t="shared" si="812"/>
        <v/>
      </c>
      <c r="T6468" s="403" t="str">
        <f t="shared" si="813"/>
        <v>NIN-73023-AxA</v>
      </c>
      <c r="U6468" s="403">
        <f t="shared" si="814"/>
        <v>1</v>
      </c>
      <c r="V6468" s="403" t="str">
        <f t="shared" si="815"/>
        <v>CPP_7</v>
      </c>
    </row>
    <row r="6469" spans="1:22">
      <c r="A6469" t="str">
        <f t="shared" si="808"/>
        <v>NIN-73023-AxA</v>
      </c>
      <c r="B6469" s="403" t="s">
        <v>1459</v>
      </c>
      <c r="C6469" s="403" t="s">
        <v>583</v>
      </c>
      <c r="D6469" s="403" t="s">
        <v>1311</v>
      </c>
      <c r="E6469" s="403" t="s">
        <v>1312</v>
      </c>
      <c r="F6469" s="403" t="s">
        <v>1290</v>
      </c>
      <c r="G6469" s="403" t="s">
        <v>1467</v>
      </c>
      <c r="H6469" s="403" t="s">
        <v>1276</v>
      </c>
      <c r="I6469" s="403">
        <v>1</v>
      </c>
      <c r="J6469" s="403" t="s">
        <v>111</v>
      </c>
      <c r="K6469" s="403">
        <v>432</v>
      </c>
      <c r="L6469" s="403">
        <v>768</v>
      </c>
      <c r="M6469" s="403" t="s">
        <v>111</v>
      </c>
      <c r="N6469" s="403">
        <v>432</v>
      </c>
      <c r="O6469" s="403">
        <v>768</v>
      </c>
      <c r="P6469" t="str">
        <f t="shared" si="809"/>
        <v>50fps SD - SD</v>
      </c>
      <c r="Q6469">
        <f t="shared" si="810"/>
        <v>34</v>
      </c>
      <c r="R6469" t="str">
        <f t="shared" si="811"/>
        <v/>
      </c>
      <c r="S6469" t="str">
        <f t="shared" si="812"/>
        <v/>
      </c>
      <c r="T6469" s="403" t="str">
        <f t="shared" si="813"/>
        <v>NIN-73023-AxA</v>
      </c>
      <c r="U6469" s="403">
        <f t="shared" si="814"/>
        <v>1</v>
      </c>
      <c r="V6469" s="403" t="str">
        <f t="shared" si="815"/>
        <v>CPP_7</v>
      </c>
    </row>
    <row r="6470" spans="1:22">
      <c r="A6470" t="str">
        <f t="shared" si="808"/>
        <v>NIN-73023-AxA</v>
      </c>
      <c r="B6470" s="403" t="s">
        <v>1459</v>
      </c>
      <c r="C6470" s="403" t="s">
        <v>583</v>
      </c>
      <c r="D6470" s="403" t="s">
        <v>1311</v>
      </c>
      <c r="E6470" s="403" t="s">
        <v>1314</v>
      </c>
      <c r="F6470" s="403" t="s">
        <v>1286</v>
      </c>
      <c r="G6470" s="403" t="s">
        <v>1466</v>
      </c>
      <c r="H6470" s="403" t="s">
        <v>1276</v>
      </c>
      <c r="I6470" s="403">
        <v>1</v>
      </c>
      <c r="J6470" s="403" t="s">
        <v>110</v>
      </c>
      <c r="K6470" s="403">
        <v>1920</v>
      </c>
      <c r="L6470" s="403">
        <v>1080</v>
      </c>
      <c r="M6470" s="403" t="s">
        <v>111</v>
      </c>
      <c r="N6470" s="403">
        <v>768</v>
      </c>
      <c r="O6470" s="403">
        <v>432</v>
      </c>
      <c r="P6470" t="str">
        <f t="shared" si="809"/>
        <v>30fps 1080p - SD</v>
      </c>
      <c r="Q6470">
        <f t="shared" si="810"/>
        <v>34</v>
      </c>
      <c r="R6470" t="str">
        <f t="shared" si="811"/>
        <v/>
      </c>
      <c r="S6470" t="str">
        <f t="shared" si="812"/>
        <v/>
      </c>
      <c r="T6470" s="403" t="str">
        <f t="shared" si="813"/>
        <v>NIN-73023-AxA</v>
      </c>
      <c r="U6470" s="403">
        <f t="shared" si="814"/>
        <v>1</v>
      </c>
      <c r="V6470" s="403" t="str">
        <f t="shared" si="815"/>
        <v>CPP_7</v>
      </c>
    </row>
    <row r="6471" spans="1:22">
      <c r="A6471" t="str">
        <f t="shared" si="808"/>
        <v>NIN-73023-AxA</v>
      </c>
      <c r="B6471" s="403" t="s">
        <v>1459</v>
      </c>
      <c r="C6471" s="403" t="s">
        <v>583</v>
      </c>
      <c r="D6471" s="403" t="s">
        <v>1311</v>
      </c>
      <c r="E6471" s="403" t="s">
        <v>1314</v>
      </c>
      <c r="F6471" s="403" t="s">
        <v>1286</v>
      </c>
      <c r="G6471" s="403" t="s">
        <v>1466</v>
      </c>
      <c r="H6471" s="403" t="s">
        <v>1276</v>
      </c>
      <c r="I6471" s="403">
        <v>1</v>
      </c>
      <c r="J6471" s="403" t="s">
        <v>110</v>
      </c>
      <c r="K6471" s="403">
        <v>1920</v>
      </c>
      <c r="L6471" s="403">
        <v>1080</v>
      </c>
      <c r="M6471" s="403" t="s">
        <v>110</v>
      </c>
      <c r="N6471" s="403">
        <v>1920</v>
      </c>
      <c r="O6471" s="403">
        <v>1080</v>
      </c>
      <c r="P6471" t="str">
        <f t="shared" si="809"/>
        <v>30fps 1080p - 1080p</v>
      </c>
      <c r="Q6471">
        <f t="shared" si="810"/>
        <v>34</v>
      </c>
      <c r="R6471" t="str">
        <f t="shared" si="811"/>
        <v/>
      </c>
      <c r="S6471" t="str">
        <f t="shared" si="812"/>
        <v/>
      </c>
      <c r="T6471" s="403" t="str">
        <f t="shared" si="813"/>
        <v>NIN-73023-AxA</v>
      </c>
      <c r="U6471" s="403">
        <f t="shared" si="814"/>
        <v>1</v>
      </c>
      <c r="V6471" s="403" t="str">
        <f t="shared" si="815"/>
        <v>CPP_7</v>
      </c>
    </row>
    <row r="6472" spans="1:22">
      <c r="A6472" t="str">
        <f t="shared" si="808"/>
        <v>NIN-73023-AxA</v>
      </c>
      <c r="B6472" s="403" t="s">
        <v>1459</v>
      </c>
      <c r="C6472" s="403" t="s">
        <v>583</v>
      </c>
      <c r="D6472" s="403" t="s">
        <v>1311</v>
      </c>
      <c r="E6472" s="403" t="s">
        <v>1314</v>
      </c>
      <c r="F6472" s="403" t="s">
        <v>1286</v>
      </c>
      <c r="G6472" s="403" t="s">
        <v>1466</v>
      </c>
      <c r="H6472" s="403" t="s">
        <v>1276</v>
      </c>
      <c r="I6472" s="403">
        <v>1</v>
      </c>
      <c r="J6472" s="403" t="s">
        <v>110</v>
      </c>
      <c r="K6472" s="403">
        <v>1920</v>
      </c>
      <c r="L6472" s="403">
        <v>1080</v>
      </c>
      <c r="M6472" s="403" t="s">
        <v>109</v>
      </c>
      <c r="N6472" s="403">
        <v>1280</v>
      </c>
      <c r="O6472" s="403">
        <v>720</v>
      </c>
      <c r="P6472" t="str">
        <f t="shared" si="809"/>
        <v>30fps 1080p - 720p</v>
      </c>
      <c r="Q6472">
        <f t="shared" si="810"/>
        <v>34</v>
      </c>
      <c r="R6472" t="str">
        <f t="shared" si="811"/>
        <v/>
      </c>
      <c r="S6472" t="str">
        <f t="shared" si="812"/>
        <v/>
      </c>
      <c r="T6472" s="403" t="str">
        <f t="shared" si="813"/>
        <v>NIN-73023-AxA</v>
      </c>
      <c r="U6472" s="403">
        <f t="shared" si="814"/>
        <v>1</v>
      </c>
      <c r="V6472" s="403" t="str">
        <f t="shared" si="815"/>
        <v>CPP_7</v>
      </c>
    </row>
    <row r="6473" spans="1:22">
      <c r="A6473" t="str">
        <f t="shared" si="808"/>
        <v>NIN-73023-AxA</v>
      </c>
      <c r="B6473" s="403" t="s">
        <v>1459</v>
      </c>
      <c r="C6473" s="403" t="s">
        <v>583</v>
      </c>
      <c r="D6473" s="403" t="s">
        <v>1311</v>
      </c>
      <c r="E6473" s="403" t="s">
        <v>1314</v>
      </c>
      <c r="F6473" s="403" t="s">
        <v>1286</v>
      </c>
      <c r="G6473" s="403" t="s">
        <v>1466</v>
      </c>
      <c r="H6473" s="403" t="s">
        <v>1276</v>
      </c>
      <c r="I6473" s="403">
        <v>1</v>
      </c>
      <c r="J6473" s="403" t="s">
        <v>110</v>
      </c>
      <c r="K6473" s="403">
        <v>1920</v>
      </c>
      <c r="L6473" s="403">
        <v>1080</v>
      </c>
      <c r="M6473" s="403" t="s">
        <v>1285</v>
      </c>
      <c r="N6473" s="403">
        <v>1280</v>
      </c>
      <c r="O6473" s="403">
        <v>1024</v>
      </c>
      <c r="P6473" t="str">
        <f t="shared" si="809"/>
        <v>30fps 1080p - 1280x1024 5:4 (cropped)</v>
      </c>
      <c r="Q6473">
        <f t="shared" si="810"/>
        <v>34</v>
      </c>
      <c r="R6473" t="str">
        <f t="shared" si="811"/>
        <v/>
      </c>
      <c r="S6473" t="str">
        <f t="shared" si="812"/>
        <v/>
      </c>
      <c r="T6473" s="403" t="str">
        <f t="shared" si="813"/>
        <v>NIN-73023-AxA</v>
      </c>
      <c r="U6473" s="403">
        <f t="shared" si="814"/>
        <v>1</v>
      </c>
      <c r="V6473" s="403" t="str">
        <f t="shared" si="815"/>
        <v>CPP_7</v>
      </c>
    </row>
    <row r="6474" spans="1:22">
      <c r="A6474" t="str">
        <f t="shared" si="808"/>
        <v>NIN-73023-AxA</v>
      </c>
      <c r="B6474" s="403" t="s">
        <v>1459</v>
      </c>
      <c r="C6474" s="403" t="s">
        <v>583</v>
      </c>
      <c r="D6474" s="403" t="s">
        <v>1311</v>
      </c>
      <c r="E6474" s="403" t="s">
        <v>1314</v>
      </c>
      <c r="F6474" s="403" t="s">
        <v>1286</v>
      </c>
      <c r="G6474" s="403" t="s">
        <v>1466</v>
      </c>
      <c r="H6474" s="403" t="s">
        <v>1276</v>
      </c>
      <c r="I6474" s="403">
        <v>1</v>
      </c>
      <c r="J6474" s="403" t="s">
        <v>110</v>
      </c>
      <c r="K6474" s="403">
        <v>1920</v>
      </c>
      <c r="L6474" s="403">
        <v>1080</v>
      </c>
      <c r="M6474" s="403" t="s">
        <v>1309</v>
      </c>
      <c r="N6474" s="403">
        <v>1280</v>
      </c>
      <c r="O6474" s="403">
        <v>960</v>
      </c>
      <c r="P6474" t="str">
        <f t="shared" si="809"/>
        <v>30fps 1080p - 1280x960 4:3 (cropped)</v>
      </c>
      <c r="Q6474">
        <f t="shared" si="810"/>
        <v>34</v>
      </c>
      <c r="R6474" t="str">
        <f t="shared" si="811"/>
        <v/>
      </c>
      <c r="S6474" t="str">
        <f t="shared" si="812"/>
        <v/>
      </c>
      <c r="T6474" s="403" t="str">
        <f t="shared" si="813"/>
        <v>NIN-73023-AxA</v>
      </c>
      <c r="U6474" s="403">
        <f t="shared" si="814"/>
        <v>1</v>
      </c>
      <c r="V6474" s="403" t="str">
        <f t="shared" si="815"/>
        <v>CPP_7</v>
      </c>
    </row>
    <row r="6475" spans="1:22">
      <c r="A6475" t="str">
        <f t="shared" si="808"/>
        <v>NIN-73023-AxA</v>
      </c>
      <c r="B6475" s="403" t="s">
        <v>1459</v>
      </c>
      <c r="C6475" s="403" t="s">
        <v>583</v>
      </c>
      <c r="D6475" s="403" t="s">
        <v>1311</v>
      </c>
      <c r="E6475" s="403" t="s">
        <v>1314</v>
      </c>
      <c r="F6475" s="403" t="s">
        <v>1286</v>
      </c>
      <c r="G6475" s="403" t="s">
        <v>1466</v>
      </c>
      <c r="H6475" s="403" t="s">
        <v>1276</v>
      </c>
      <c r="I6475" s="403">
        <v>1</v>
      </c>
      <c r="J6475" s="403" t="s">
        <v>110</v>
      </c>
      <c r="K6475" s="403">
        <v>1920</v>
      </c>
      <c r="L6475" s="403">
        <v>1080</v>
      </c>
      <c r="M6475" s="403" t="s">
        <v>1279</v>
      </c>
      <c r="N6475" s="403">
        <v>768</v>
      </c>
      <c r="O6475" s="403">
        <v>432</v>
      </c>
      <c r="P6475" t="str">
        <f t="shared" si="809"/>
        <v>30fps 1080p - SD ROI PTZ</v>
      </c>
      <c r="Q6475">
        <f t="shared" si="810"/>
        <v>34</v>
      </c>
      <c r="R6475" t="str">
        <f t="shared" si="811"/>
        <v/>
      </c>
      <c r="S6475" t="str">
        <f t="shared" si="812"/>
        <v/>
      </c>
      <c r="T6475" s="403" t="str">
        <f t="shared" si="813"/>
        <v>NIN-73023-AxA</v>
      </c>
      <c r="U6475" s="403">
        <f t="shared" si="814"/>
        <v>1</v>
      </c>
      <c r="V6475" s="403" t="str">
        <f t="shared" si="815"/>
        <v>CPP_7</v>
      </c>
    </row>
    <row r="6476" spans="1:22">
      <c r="A6476" t="str">
        <f t="shared" si="808"/>
        <v>NIN-73023-AxA</v>
      </c>
      <c r="B6476" s="403" t="s">
        <v>1459</v>
      </c>
      <c r="C6476" s="403" t="s">
        <v>583</v>
      </c>
      <c r="D6476" s="403" t="s">
        <v>1311</v>
      </c>
      <c r="E6476" s="403" t="s">
        <v>1314</v>
      </c>
      <c r="F6476" s="403" t="s">
        <v>1286</v>
      </c>
      <c r="G6476" s="403" t="s">
        <v>1466</v>
      </c>
      <c r="H6476" s="403" t="s">
        <v>1276</v>
      </c>
      <c r="I6476" s="403">
        <v>1</v>
      </c>
      <c r="J6476" s="403" t="s">
        <v>110</v>
      </c>
      <c r="K6476" s="403">
        <v>1920</v>
      </c>
      <c r="L6476" s="403">
        <v>1080</v>
      </c>
      <c r="M6476" s="403" t="s">
        <v>1298</v>
      </c>
      <c r="N6476" s="403">
        <v>768</v>
      </c>
      <c r="O6476" s="403">
        <v>432</v>
      </c>
      <c r="P6476" t="str">
        <f t="shared" si="809"/>
        <v>30fps 1080p - SD dual stream with independent ROI PTZ</v>
      </c>
      <c r="Q6476">
        <f t="shared" si="810"/>
        <v>34</v>
      </c>
      <c r="R6476" t="str">
        <f t="shared" si="811"/>
        <v/>
      </c>
      <c r="S6476" t="str">
        <f t="shared" si="812"/>
        <v/>
      </c>
      <c r="T6476" s="403" t="str">
        <f t="shared" si="813"/>
        <v>NIN-73023-AxA</v>
      </c>
      <c r="U6476" s="403">
        <f t="shared" si="814"/>
        <v>1</v>
      </c>
      <c r="V6476" s="403" t="str">
        <f t="shared" si="815"/>
        <v>CPP_7</v>
      </c>
    </row>
    <row r="6477" spans="1:22">
      <c r="A6477" t="str">
        <f t="shared" si="808"/>
        <v>NIN-73023-AxA</v>
      </c>
      <c r="B6477" s="403" t="s">
        <v>1459</v>
      </c>
      <c r="C6477" s="403" t="s">
        <v>583</v>
      </c>
      <c r="D6477" s="403" t="s">
        <v>1311</v>
      </c>
      <c r="E6477" s="403" t="s">
        <v>1314</v>
      </c>
      <c r="F6477" s="403" t="s">
        <v>1286</v>
      </c>
      <c r="G6477" s="403" t="s">
        <v>1466</v>
      </c>
      <c r="H6477" s="403" t="s">
        <v>1276</v>
      </c>
      <c r="I6477" s="403">
        <v>1</v>
      </c>
      <c r="J6477" s="403" t="s">
        <v>110</v>
      </c>
      <c r="K6477" s="403">
        <v>1920</v>
      </c>
      <c r="L6477" s="403">
        <v>1080</v>
      </c>
      <c r="M6477" s="403" t="s">
        <v>1283</v>
      </c>
      <c r="N6477" s="403">
        <v>704</v>
      </c>
      <c r="O6477" s="403">
        <v>480</v>
      </c>
      <c r="P6477" t="str">
        <f t="shared" si="809"/>
        <v>30fps 1080p - SD 4CIF resolution 4:3 format (cropped)</v>
      </c>
      <c r="Q6477">
        <f t="shared" si="810"/>
        <v>34</v>
      </c>
      <c r="R6477" t="str">
        <f t="shared" si="811"/>
        <v/>
      </c>
      <c r="S6477" t="str">
        <f t="shared" si="812"/>
        <v/>
      </c>
      <c r="T6477" s="403" t="str">
        <f t="shared" si="813"/>
        <v>NIN-73023-AxA</v>
      </c>
      <c r="U6477" s="403">
        <f t="shared" si="814"/>
        <v>1</v>
      </c>
      <c r="V6477" s="403" t="str">
        <f t="shared" si="815"/>
        <v>CPP_7</v>
      </c>
    </row>
    <row r="6478" spans="1:22">
      <c r="A6478" t="str">
        <f t="shared" si="808"/>
        <v>NIN-73023-AxA</v>
      </c>
      <c r="B6478" s="403" t="s">
        <v>1459</v>
      </c>
      <c r="C6478" s="403" t="s">
        <v>583</v>
      </c>
      <c r="D6478" s="403" t="s">
        <v>1311</v>
      </c>
      <c r="E6478" s="403" t="s">
        <v>1314</v>
      </c>
      <c r="F6478" s="403" t="s">
        <v>1286</v>
      </c>
      <c r="G6478" s="403" t="s">
        <v>1466</v>
      </c>
      <c r="H6478" s="403" t="s">
        <v>1276</v>
      </c>
      <c r="I6478" s="403">
        <v>1</v>
      </c>
      <c r="J6478" s="403" t="s">
        <v>110</v>
      </c>
      <c r="K6478" s="403">
        <v>1920</v>
      </c>
      <c r="L6478" s="403">
        <v>1080</v>
      </c>
      <c r="M6478" s="403" t="s">
        <v>1284</v>
      </c>
      <c r="N6478" s="403">
        <v>640</v>
      </c>
      <c r="O6478" s="403">
        <v>480</v>
      </c>
      <c r="P6478" t="str">
        <f t="shared" si="809"/>
        <v>30fps 1080p - SD VGA (cropped)</v>
      </c>
      <c r="Q6478">
        <f t="shared" si="810"/>
        <v>34</v>
      </c>
      <c r="R6478" t="str">
        <f t="shared" si="811"/>
        <v/>
      </c>
      <c r="S6478" t="str">
        <f t="shared" si="812"/>
        <v/>
      </c>
      <c r="T6478" s="403" t="str">
        <f t="shared" si="813"/>
        <v>NIN-73023-AxA</v>
      </c>
      <c r="U6478" s="403">
        <f t="shared" si="814"/>
        <v>1</v>
      </c>
      <c r="V6478" s="403" t="str">
        <f t="shared" si="815"/>
        <v>CPP_7</v>
      </c>
    </row>
    <row r="6479" spans="1:22">
      <c r="A6479" t="str">
        <f t="shared" si="808"/>
        <v>NIN-73023-AxA</v>
      </c>
      <c r="B6479" s="403" t="s">
        <v>1459</v>
      </c>
      <c r="C6479" s="403" t="s">
        <v>583</v>
      </c>
      <c r="D6479" s="403" t="s">
        <v>1311</v>
      </c>
      <c r="E6479" s="403" t="s">
        <v>1314</v>
      </c>
      <c r="F6479" s="403" t="s">
        <v>1286</v>
      </c>
      <c r="G6479" s="403" t="s">
        <v>1466</v>
      </c>
      <c r="H6479" s="403" t="s">
        <v>1276</v>
      </c>
      <c r="I6479" s="403">
        <v>1</v>
      </c>
      <c r="J6479" s="403" t="s">
        <v>109</v>
      </c>
      <c r="K6479" s="403">
        <v>1280</v>
      </c>
      <c r="L6479" s="403">
        <v>720</v>
      </c>
      <c r="M6479" s="403" t="s">
        <v>111</v>
      </c>
      <c r="N6479" s="403">
        <v>768</v>
      </c>
      <c r="O6479" s="403">
        <v>432</v>
      </c>
      <c r="P6479" t="str">
        <f t="shared" si="809"/>
        <v>30fps 720p - SD</v>
      </c>
      <c r="Q6479">
        <f t="shared" si="810"/>
        <v>34</v>
      </c>
      <c r="R6479" t="str">
        <f t="shared" si="811"/>
        <v/>
      </c>
      <c r="S6479" t="str">
        <f t="shared" si="812"/>
        <v/>
      </c>
      <c r="T6479" s="403" t="str">
        <f t="shared" si="813"/>
        <v>NIN-73023-AxA</v>
      </c>
      <c r="U6479" s="403">
        <f t="shared" si="814"/>
        <v>1</v>
      </c>
      <c r="V6479" s="403" t="str">
        <f t="shared" si="815"/>
        <v>CPP_7</v>
      </c>
    </row>
    <row r="6480" spans="1:22">
      <c r="A6480" t="str">
        <f t="shared" si="808"/>
        <v>NIN-73023-AxA</v>
      </c>
      <c r="B6480" s="403" t="s">
        <v>1459</v>
      </c>
      <c r="C6480" s="403" t="s">
        <v>583</v>
      </c>
      <c r="D6480" s="403" t="s">
        <v>1311</v>
      </c>
      <c r="E6480" s="403" t="s">
        <v>1314</v>
      </c>
      <c r="F6480" s="403" t="s">
        <v>1286</v>
      </c>
      <c r="G6480" s="403" t="s">
        <v>1466</v>
      </c>
      <c r="H6480" s="403" t="s">
        <v>1276</v>
      </c>
      <c r="I6480" s="403">
        <v>1</v>
      </c>
      <c r="J6480" s="403" t="s">
        <v>109</v>
      </c>
      <c r="K6480" s="403">
        <v>1280</v>
      </c>
      <c r="L6480" s="403">
        <v>720</v>
      </c>
      <c r="M6480" s="403" t="s">
        <v>109</v>
      </c>
      <c r="N6480" s="403">
        <v>1280</v>
      </c>
      <c r="O6480" s="403">
        <v>720</v>
      </c>
      <c r="P6480" t="str">
        <f t="shared" si="809"/>
        <v>30fps 720p - 720p</v>
      </c>
      <c r="Q6480">
        <f t="shared" si="810"/>
        <v>34</v>
      </c>
      <c r="R6480" t="str">
        <f t="shared" si="811"/>
        <v/>
      </c>
      <c r="S6480" t="str">
        <f t="shared" si="812"/>
        <v/>
      </c>
      <c r="T6480" s="403" t="str">
        <f t="shared" si="813"/>
        <v>NIN-73023-AxA</v>
      </c>
      <c r="U6480" s="403">
        <f t="shared" si="814"/>
        <v>1</v>
      </c>
      <c r="V6480" s="403" t="str">
        <f t="shared" si="815"/>
        <v>CPP_7</v>
      </c>
    </row>
    <row r="6481" spans="1:22">
      <c r="A6481" t="str">
        <f t="shared" si="808"/>
        <v>NIN-73023-AxA</v>
      </c>
      <c r="B6481" s="403" t="s">
        <v>1459</v>
      </c>
      <c r="C6481" s="403" t="s">
        <v>583</v>
      </c>
      <c r="D6481" s="403" t="s">
        <v>1311</v>
      </c>
      <c r="E6481" s="403" t="s">
        <v>1314</v>
      </c>
      <c r="F6481" s="403" t="s">
        <v>1286</v>
      </c>
      <c r="G6481" s="403" t="s">
        <v>1466</v>
      </c>
      <c r="H6481" s="403" t="s">
        <v>1276</v>
      </c>
      <c r="I6481" s="403">
        <v>1</v>
      </c>
      <c r="J6481" s="403" t="s">
        <v>109</v>
      </c>
      <c r="K6481" s="403">
        <v>1280</v>
      </c>
      <c r="L6481" s="403">
        <v>720</v>
      </c>
      <c r="M6481" s="403" t="s">
        <v>1279</v>
      </c>
      <c r="N6481" s="403">
        <v>768</v>
      </c>
      <c r="O6481" s="403">
        <v>432</v>
      </c>
      <c r="P6481" t="str">
        <f t="shared" si="809"/>
        <v>30fps 720p - SD ROI PTZ</v>
      </c>
      <c r="Q6481">
        <f t="shared" si="810"/>
        <v>34</v>
      </c>
      <c r="R6481" t="str">
        <f t="shared" si="811"/>
        <v/>
      </c>
      <c r="S6481" t="str">
        <f t="shared" si="812"/>
        <v/>
      </c>
      <c r="T6481" s="403" t="str">
        <f t="shared" si="813"/>
        <v>NIN-73023-AxA</v>
      </c>
      <c r="U6481" s="403">
        <f t="shared" si="814"/>
        <v>1</v>
      </c>
      <c r="V6481" s="403" t="str">
        <f t="shared" si="815"/>
        <v>CPP_7</v>
      </c>
    </row>
    <row r="6482" spans="1:22">
      <c r="A6482" t="str">
        <f t="shared" si="808"/>
        <v>NIN-73023-AxA</v>
      </c>
      <c r="B6482" s="403" t="s">
        <v>1459</v>
      </c>
      <c r="C6482" s="403" t="s">
        <v>583</v>
      </c>
      <c r="D6482" s="403" t="s">
        <v>1311</v>
      </c>
      <c r="E6482" s="403" t="s">
        <v>1314</v>
      </c>
      <c r="F6482" s="403" t="s">
        <v>1286</v>
      </c>
      <c r="G6482" s="403" t="s">
        <v>1466</v>
      </c>
      <c r="H6482" s="403" t="s">
        <v>1276</v>
      </c>
      <c r="I6482" s="403">
        <v>1</v>
      </c>
      <c r="J6482" s="403" t="s">
        <v>109</v>
      </c>
      <c r="K6482" s="403">
        <v>1280</v>
      </c>
      <c r="L6482" s="403">
        <v>720</v>
      </c>
      <c r="M6482" s="403" t="s">
        <v>1298</v>
      </c>
      <c r="N6482" s="403">
        <v>768</v>
      </c>
      <c r="O6482" s="403">
        <v>432</v>
      </c>
      <c r="P6482" t="str">
        <f t="shared" si="809"/>
        <v>30fps 720p - SD dual stream with independent ROI PTZ</v>
      </c>
      <c r="Q6482">
        <f t="shared" si="810"/>
        <v>34</v>
      </c>
      <c r="R6482" t="str">
        <f t="shared" si="811"/>
        <v/>
      </c>
      <c r="S6482" t="str">
        <f t="shared" si="812"/>
        <v/>
      </c>
      <c r="T6482" s="403" t="str">
        <f t="shared" si="813"/>
        <v>NIN-73023-AxA</v>
      </c>
      <c r="U6482" s="403">
        <f t="shared" si="814"/>
        <v>1</v>
      </c>
      <c r="V6482" s="403" t="str">
        <f t="shared" si="815"/>
        <v>CPP_7</v>
      </c>
    </row>
    <row r="6483" spans="1:22">
      <c r="A6483" t="str">
        <f t="shared" si="808"/>
        <v>NIN-73023-AxA</v>
      </c>
      <c r="B6483" s="403" t="s">
        <v>1459</v>
      </c>
      <c r="C6483" s="403" t="s">
        <v>583</v>
      </c>
      <c r="D6483" s="403" t="s">
        <v>1311</v>
      </c>
      <c r="E6483" s="403" t="s">
        <v>1314</v>
      </c>
      <c r="F6483" s="403" t="s">
        <v>1286</v>
      </c>
      <c r="G6483" s="403" t="s">
        <v>1466</v>
      </c>
      <c r="H6483" s="403" t="s">
        <v>1276</v>
      </c>
      <c r="I6483" s="403">
        <v>1</v>
      </c>
      <c r="J6483" s="403" t="s">
        <v>109</v>
      </c>
      <c r="K6483" s="403">
        <v>1280</v>
      </c>
      <c r="L6483" s="403">
        <v>720</v>
      </c>
      <c r="M6483" s="403" t="s">
        <v>1283</v>
      </c>
      <c r="N6483" s="403">
        <v>704</v>
      </c>
      <c r="O6483" s="403">
        <v>480</v>
      </c>
      <c r="P6483" t="str">
        <f t="shared" si="809"/>
        <v>30fps 720p - SD 4CIF resolution 4:3 format (cropped)</v>
      </c>
      <c r="Q6483">
        <f t="shared" si="810"/>
        <v>34</v>
      </c>
      <c r="R6483" t="str">
        <f t="shared" si="811"/>
        <v/>
      </c>
      <c r="S6483" t="str">
        <f t="shared" si="812"/>
        <v/>
      </c>
      <c r="T6483" s="403" t="str">
        <f t="shared" si="813"/>
        <v>NIN-73023-AxA</v>
      </c>
      <c r="U6483" s="403">
        <f t="shared" si="814"/>
        <v>1</v>
      </c>
      <c r="V6483" s="403" t="str">
        <f t="shared" si="815"/>
        <v>CPP_7</v>
      </c>
    </row>
    <row r="6484" spans="1:22">
      <c r="A6484" t="str">
        <f t="shared" si="808"/>
        <v>NIN-73023-AxA</v>
      </c>
      <c r="B6484" s="403" t="s">
        <v>1459</v>
      </c>
      <c r="C6484" s="403" t="s">
        <v>583</v>
      </c>
      <c r="D6484" s="403" t="s">
        <v>1311</v>
      </c>
      <c r="E6484" s="403" t="s">
        <v>1314</v>
      </c>
      <c r="F6484" s="403" t="s">
        <v>1286</v>
      </c>
      <c r="G6484" s="403" t="s">
        <v>1466</v>
      </c>
      <c r="H6484" s="403" t="s">
        <v>1276</v>
      </c>
      <c r="I6484" s="403">
        <v>1</v>
      </c>
      <c r="J6484" s="403" t="s">
        <v>109</v>
      </c>
      <c r="K6484" s="403">
        <v>1280</v>
      </c>
      <c r="L6484" s="403">
        <v>720</v>
      </c>
      <c r="M6484" s="403" t="s">
        <v>1284</v>
      </c>
      <c r="N6484" s="403">
        <v>640</v>
      </c>
      <c r="O6484" s="403">
        <v>480</v>
      </c>
      <c r="P6484" t="str">
        <f t="shared" si="809"/>
        <v>30fps 720p - SD VGA (cropped)</v>
      </c>
      <c r="Q6484">
        <f t="shared" si="810"/>
        <v>34</v>
      </c>
      <c r="R6484" t="str">
        <f t="shared" si="811"/>
        <v/>
      </c>
      <c r="S6484" t="str">
        <f t="shared" si="812"/>
        <v/>
      </c>
      <c r="T6484" s="403" t="str">
        <f t="shared" si="813"/>
        <v>NIN-73023-AxA</v>
      </c>
      <c r="U6484" s="403">
        <f t="shared" si="814"/>
        <v>1</v>
      </c>
      <c r="V6484" s="403" t="str">
        <f t="shared" si="815"/>
        <v>CPP_7</v>
      </c>
    </row>
    <row r="6485" spans="1:22">
      <c r="A6485" t="str">
        <f t="shared" si="808"/>
        <v>NIN-73023-AxA</v>
      </c>
      <c r="B6485" s="403" t="s">
        <v>1459</v>
      </c>
      <c r="C6485" s="403" t="s">
        <v>583</v>
      </c>
      <c r="D6485" s="403" t="s">
        <v>1311</v>
      </c>
      <c r="E6485" s="403" t="s">
        <v>1314</v>
      </c>
      <c r="F6485" s="403" t="s">
        <v>1286</v>
      </c>
      <c r="G6485" s="403" t="s">
        <v>1466</v>
      </c>
      <c r="H6485" s="403" t="s">
        <v>1276</v>
      </c>
      <c r="I6485" s="403">
        <v>1</v>
      </c>
      <c r="J6485" s="403" t="s">
        <v>111</v>
      </c>
      <c r="K6485" s="403">
        <v>768</v>
      </c>
      <c r="L6485" s="403">
        <v>432</v>
      </c>
      <c r="M6485" s="403" t="s">
        <v>111</v>
      </c>
      <c r="N6485" s="403">
        <v>768</v>
      </c>
      <c r="O6485" s="403">
        <v>432</v>
      </c>
      <c r="P6485" t="str">
        <f t="shared" si="809"/>
        <v>30fps SD - SD</v>
      </c>
      <c r="Q6485">
        <f t="shared" si="810"/>
        <v>34</v>
      </c>
      <c r="R6485" t="str">
        <f t="shared" si="811"/>
        <v/>
      </c>
      <c r="S6485" t="str">
        <f t="shared" si="812"/>
        <v/>
      </c>
      <c r="T6485" s="403" t="str">
        <f t="shared" si="813"/>
        <v>NIN-73023-AxA</v>
      </c>
      <c r="U6485" s="403">
        <f t="shared" si="814"/>
        <v>1</v>
      </c>
      <c r="V6485" s="403" t="str">
        <f t="shared" si="815"/>
        <v>CPP_7</v>
      </c>
    </row>
    <row r="6486" spans="1:22">
      <c r="A6486" t="str">
        <f t="shared" si="808"/>
        <v>NIN-73023-AxA</v>
      </c>
      <c r="B6486" s="403" t="s">
        <v>1459</v>
      </c>
      <c r="C6486" s="403" t="s">
        <v>583</v>
      </c>
      <c r="D6486" s="403" t="s">
        <v>1311</v>
      </c>
      <c r="E6486" s="403" t="s">
        <v>1314</v>
      </c>
      <c r="F6486" s="403" t="s">
        <v>1286</v>
      </c>
      <c r="G6486" s="403" t="s">
        <v>1467</v>
      </c>
      <c r="H6486" s="403" t="s">
        <v>1276</v>
      </c>
      <c r="I6486" s="403">
        <v>1</v>
      </c>
      <c r="J6486" s="403" t="s">
        <v>110</v>
      </c>
      <c r="K6486" s="403">
        <v>1080</v>
      </c>
      <c r="L6486" s="403">
        <v>1920</v>
      </c>
      <c r="M6486" s="403" t="s">
        <v>111</v>
      </c>
      <c r="N6486" s="403">
        <v>432</v>
      </c>
      <c r="O6486" s="403">
        <v>768</v>
      </c>
      <c r="P6486" t="str">
        <f t="shared" si="809"/>
        <v>30fps 1080p - SD</v>
      </c>
      <c r="Q6486">
        <f t="shared" si="810"/>
        <v>34</v>
      </c>
      <c r="R6486" t="str">
        <f t="shared" si="811"/>
        <v/>
      </c>
      <c r="S6486" t="str">
        <f t="shared" si="812"/>
        <v/>
      </c>
      <c r="T6486" s="403" t="str">
        <f t="shared" si="813"/>
        <v>NIN-73023-AxA</v>
      </c>
      <c r="U6486" s="403">
        <f t="shared" si="814"/>
        <v>1</v>
      </c>
      <c r="V6486" s="403" t="str">
        <f t="shared" si="815"/>
        <v>CPP_7</v>
      </c>
    </row>
    <row r="6487" spans="1:22">
      <c r="A6487" t="str">
        <f t="shared" si="808"/>
        <v>NIN-73023-AxA</v>
      </c>
      <c r="B6487" s="403" t="s">
        <v>1459</v>
      </c>
      <c r="C6487" s="403" t="s">
        <v>583</v>
      </c>
      <c r="D6487" s="403" t="s">
        <v>1311</v>
      </c>
      <c r="E6487" s="403" t="s">
        <v>1314</v>
      </c>
      <c r="F6487" s="403" t="s">
        <v>1286</v>
      </c>
      <c r="G6487" s="403" t="s">
        <v>1467</v>
      </c>
      <c r="H6487" s="403" t="s">
        <v>1276</v>
      </c>
      <c r="I6487" s="403">
        <v>1</v>
      </c>
      <c r="J6487" s="403" t="s">
        <v>110</v>
      </c>
      <c r="K6487" s="403">
        <v>1080</v>
      </c>
      <c r="L6487" s="403">
        <v>1920</v>
      </c>
      <c r="M6487" s="403" t="s">
        <v>110</v>
      </c>
      <c r="N6487" s="403">
        <v>1080</v>
      </c>
      <c r="O6487" s="403">
        <v>1920</v>
      </c>
      <c r="P6487" t="str">
        <f t="shared" si="809"/>
        <v>30fps 1080p - 1080p</v>
      </c>
      <c r="Q6487">
        <f t="shared" si="810"/>
        <v>34</v>
      </c>
      <c r="R6487" t="str">
        <f t="shared" si="811"/>
        <v/>
      </c>
      <c r="S6487" t="str">
        <f t="shared" si="812"/>
        <v/>
      </c>
      <c r="T6487" s="403" t="str">
        <f t="shared" si="813"/>
        <v>NIN-73023-AxA</v>
      </c>
      <c r="U6487" s="403">
        <f t="shared" si="814"/>
        <v>1</v>
      </c>
      <c r="V6487" s="403" t="str">
        <f t="shared" si="815"/>
        <v>CPP_7</v>
      </c>
    </row>
    <row r="6488" spans="1:22">
      <c r="A6488" t="str">
        <f t="shared" si="808"/>
        <v>NIN-73023-AxA</v>
      </c>
      <c r="B6488" s="403" t="s">
        <v>1459</v>
      </c>
      <c r="C6488" s="403" t="s">
        <v>583</v>
      </c>
      <c r="D6488" s="403" t="s">
        <v>1311</v>
      </c>
      <c r="E6488" s="403" t="s">
        <v>1314</v>
      </c>
      <c r="F6488" s="403" t="s">
        <v>1286</v>
      </c>
      <c r="G6488" s="403" t="s">
        <v>1467</v>
      </c>
      <c r="H6488" s="403" t="s">
        <v>1276</v>
      </c>
      <c r="I6488" s="403">
        <v>1</v>
      </c>
      <c r="J6488" s="403" t="s">
        <v>110</v>
      </c>
      <c r="K6488" s="403">
        <v>1080</v>
      </c>
      <c r="L6488" s="403">
        <v>1920</v>
      </c>
      <c r="M6488" s="403" t="s">
        <v>109</v>
      </c>
      <c r="N6488" s="403">
        <v>720</v>
      </c>
      <c r="O6488" s="403">
        <v>1280</v>
      </c>
      <c r="P6488" t="str">
        <f t="shared" si="809"/>
        <v>30fps 1080p - 720p</v>
      </c>
      <c r="Q6488">
        <f t="shared" si="810"/>
        <v>34</v>
      </c>
      <c r="R6488" t="str">
        <f t="shared" si="811"/>
        <v/>
      </c>
      <c r="S6488" t="str">
        <f t="shared" si="812"/>
        <v/>
      </c>
      <c r="T6488" s="403" t="str">
        <f t="shared" si="813"/>
        <v>NIN-73023-AxA</v>
      </c>
      <c r="U6488" s="403">
        <f t="shared" si="814"/>
        <v>1</v>
      </c>
      <c r="V6488" s="403" t="str">
        <f t="shared" si="815"/>
        <v>CPP_7</v>
      </c>
    </row>
    <row r="6489" spans="1:22">
      <c r="A6489" t="str">
        <f t="shared" si="808"/>
        <v>NIN-73023-AxA</v>
      </c>
      <c r="B6489" s="403" t="s">
        <v>1459</v>
      </c>
      <c r="C6489" s="403" t="s">
        <v>583</v>
      </c>
      <c r="D6489" s="403" t="s">
        <v>1311</v>
      </c>
      <c r="E6489" s="403" t="s">
        <v>1314</v>
      </c>
      <c r="F6489" s="403" t="s">
        <v>1286</v>
      </c>
      <c r="G6489" s="403" t="s">
        <v>1467</v>
      </c>
      <c r="H6489" s="403" t="s">
        <v>1276</v>
      </c>
      <c r="I6489" s="403">
        <v>1</v>
      </c>
      <c r="J6489" s="403" t="s">
        <v>110</v>
      </c>
      <c r="K6489" s="403">
        <v>1080</v>
      </c>
      <c r="L6489" s="403">
        <v>1920</v>
      </c>
      <c r="M6489" s="403" t="s">
        <v>1279</v>
      </c>
      <c r="N6489" s="403">
        <v>432</v>
      </c>
      <c r="O6489" s="403">
        <v>768</v>
      </c>
      <c r="P6489" t="str">
        <f t="shared" si="809"/>
        <v>30fps 1080p - SD ROI PTZ</v>
      </c>
      <c r="Q6489">
        <f t="shared" si="810"/>
        <v>34</v>
      </c>
      <c r="R6489" t="str">
        <f t="shared" si="811"/>
        <v/>
      </c>
      <c r="S6489" t="str">
        <f t="shared" si="812"/>
        <v/>
      </c>
      <c r="T6489" s="403" t="str">
        <f t="shared" si="813"/>
        <v>NIN-73023-AxA</v>
      </c>
      <c r="U6489" s="403">
        <f t="shared" si="814"/>
        <v>1</v>
      </c>
      <c r="V6489" s="403" t="str">
        <f t="shared" si="815"/>
        <v>CPP_7</v>
      </c>
    </row>
    <row r="6490" spans="1:22">
      <c r="A6490" t="str">
        <f t="shared" si="808"/>
        <v>NIN-73023-AxA</v>
      </c>
      <c r="B6490" s="403" t="s">
        <v>1459</v>
      </c>
      <c r="C6490" s="403" t="s">
        <v>583</v>
      </c>
      <c r="D6490" s="403" t="s">
        <v>1311</v>
      </c>
      <c r="E6490" s="403" t="s">
        <v>1314</v>
      </c>
      <c r="F6490" s="403" t="s">
        <v>1286</v>
      </c>
      <c r="G6490" s="403" t="s">
        <v>1467</v>
      </c>
      <c r="H6490" s="403" t="s">
        <v>1276</v>
      </c>
      <c r="I6490" s="403">
        <v>1</v>
      </c>
      <c r="J6490" s="403" t="s">
        <v>110</v>
      </c>
      <c r="K6490" s="403">
        <v>1080</v>
      </c>
      <c r="L6490" s="403">
        <v>1920</v>
      </c>
      <c r="M6490" s="403" t="s">
        <v>1298</v>
      </c>
      <c r="N6490" s="403">
        <v>432</v>
      </c>
      <c r="O6490" s="403">
        <v>768</v>
      </c>
      <c r="P6490" t="str">
        <f t="shared" si="809"/>
        <v>30fps 1080p - SD dual stream with independent ROI PTZ</v>
      </c>
      <c r="Q6490">
        <f t="shared" si="810"/>
        <v>34</v>
      </c>
      <c r="R6490" t="str">
        <f t="shared" si="811"/>
        <v/>
      </c>
      <c r="S6490" t="str">
        <f t="shared" si="812"/>
        <v/>
      </c>
      <c r="T6490" s="403" t="str">
        <f t="shared" si="813"/>
        <v>NIN-73023-AxA</v>
      </c>
      <c r="U6490" s="403">
        <f t="shared" si="814"/>
        <v>1</v>
      </c>
      <c r="V6490" s="403" t="str">
        <f t="shared" si="815"/>
        <v>CPP_7</v>
      </c>
    </row>
    <row r="6491" spans="1:22">
      <c r="A6491" t="str">
        <f t="shared" si="808"/>
        <v>NIN-73023-AxA</v>
      </c>
      <c r="B6491" s="403" t="s">
        <v>1459</v>
      </c>
      <c r="C6491" s="403" t="s">
        <v>583</v>
      </c>
      <c r="D6491" s="403" t="s">
        <v>1311</v>
      </c>
      <c r="E6491" s="403" t="s">
        <v>1314</v>
      </c>
      <c r="F6491" s="403" t="s">
        <v>1286</v>
      </c>
      <c r="G6491" s="403" t="s">
        <v>1467</v>
      </c>
      <c r="H6491" s="403" t="s">
        <v>1276</v>
      </c>
      <c r="I6491" s="403">
        <v>1</v>
      </c>
      <c r="J6491" s="403" t="s">
        <v>110</v>
      </c>
      <c r="K6491" s="403">
        <v>1080</v>
      </c>
      <c r="L6491" s="403">
        <v>1920</v>
      </c>
      <c r="M6491" s="403" t="s">
        <v>1283</v>
      </c>
      <c r="N6491" s="403">
        <v>480</v>
      </c>
      <c r="O6491" s="403">
        <v>704</v>
      </c>
      <c r="P6491" t="str">
        <f t="shared" si="809"/>
        <v>30fps 1080p - SD 4CIF resolution 4:3 format (cropped)</v>
      </c>
      <c r="Q6491">
        <f t="shared" si="810"/>
        <v>34</v>
      </c>
      <c r="R6491" t="str">
        <f t="shared" si="811"/>
        <v/>
      </c>
      <c r="S6491" t="str">
        <f t="shared" si="812"/>
        <v/>
      </c>
      <c r="T6491" s="403" t="str">
        <f t="shared" si="813"/>
        <v>NIN-73023-AxA</v>
      </c>
      <c r="U6491" s="403">
        <f t="shared" si="814"/>
        <v>1</v>
      </c>
      <c r="V6491" s="403" t="str">
        <f t="shared" si="815"/>
        <v>CPP_7</v>
      </c>
    </row>
    <row r="6492" spans="1:22">
      <c r="A6492" t="str">
        <f t="shared" si="808"/>
        <v>NIN-73023-AxA</v>
      </c>
      <c r="B6492" s="403" t="s">
        <v>1459</v>
      </c>
      <c r="C6492" s="403" t="s">
        <v>583</v>
      </c>
      <c r="D6492" s="403" t="s">
        <v>1311</v>
      </c>
      <c r="E6492" s="403" t="s">
        <v>1314</v>
      </c>
      <c r="F6492" s="403" t="s">
        <v>1286</v>
      </c>
      <c r="G6492" s="403" t="s">
        <v>1467</v>
      </c>
      <c r="H6492" s="403" t="s">
        <v>1276</v>
      </c>
      <c r="I6492" s="403">
        <v>1</v>
      </c>
      <c r="J6492" s="403" t="s">
        <v>110</v>
      </c>
      <c r="K6492" s="403">
        <v>1080</v>
      </c>
      <c r="L6492" s="403">
        <v>1920</v>
      </c>
      <c r="M6492" s="403" t="s">
        <v>1284</v>
      </c>
      <c r="N6492" s="403">
        <v>480</v>
      </c>
      <c r="O6492" s="403">
        <v>640</v>
      </c>
      <c r="P6492" t="str">
        <f t="shared" si="809"/>
        <v>30fps 1080p - SD VGA (cropped)</v>
      </c>
      <c r="Q6492">
        <f t="shared" si="810"/>
        <v>34</v>
      </c>
      <c r="R6492" t="str">
        <f t="shared" si="811"/>
        <v/>
      </c>
      <c r="S6492" t="str">
        <f t="shared" si="812"/>
        <v/>
      </c>
      <c r="T6492" s="403" t="str">
        <f t="shared" si="813"/>
        <v>NIN-73023-AxA</v>
      </c>
      <c r="U6492" s="403">
        <f t="shared" si="814"/>
        <v>1</v>
      </c>
      <c r="V6492" s="403" t="str">
        <f t="shared" si="815"/>
        <v>CPP_7</v>
      </c>
    </row>
    <row r="6493" spans="1:22">
      <c r="A6493" t="str">
        <f t="shared" si="808"/>
        <v>NIN-73023-AxA</v>
      </c>
      <c r="B6493" s="403" t="s">
        <v>1459</v>
      </c>
      <c r="C6493" s="403" t="s">
        <v>583</v>
      </c>
      <c r="D6493" s="403" t="s">
        <v>1311</v>
      </c>
      <c r="E6493" s="403" t="s">
        <v>1314</v>
      </c>
      <c r="F6493" s="403" t="s">
        <v>1286</v>
      </c>
      <c r="G6493" s="403" t="s">
        <v>1467</v>
      </c>
      <c r="H6493" s="403" t="s">
        <v>1276</v>
      </c>
      <c r="I6493" s="403">
        <v>1</v>
      </c>
      <c r="J6493" s="403" t="s">
        <v>109</v>
      </c>
      <c r="K6493" s="403">
        <v>720</v>
      </c>
      <c r="L6493" s="403">
        <v>1280</v>
      </c>
      <c r="M6493" s="403" t="s">
        <v>111</v>
      </c>
      <c r="N6493" s="403">
        <v>432</v>
      </c>
      <c r="O6493" s="403">
        <v>768</v>
      </c>
      <c r="P6493" t="str">
        <f t="shared" si="809"/>
        <v>30fps 720p - SD</v>
      </c>
      <c r="Q6493">
        <f t="shared" si="810"/>
        <v>34</v>
      </c>
      <c r="R6493" t="str">
        <f t="shared" si="811"/>
        <v/>
      </c>
      <c r="S6493" t="str">
        <f t="shared" si="812"/>
        <v/>
      </c>
      <c r="T6493" s="403" t="str">
        <f t="shared" si="813"/>
        <v>NIN-73023-AxA</v>
      </c>
      <c r="U6493" s="403">
        <f t="shared" si="814"/>
        <v>1</v>
      </c>
      <c r="V6493" s="403" t="str">
        <f t="shared" si="815"/>
        <v>CPP_7</v>
      </c>
    </row>
    <row r="6494" spans="1:22">
      <c r="A6494" t="str">
        <f t="shared" si="808"/>
        <v>NIN-73023-AxA</v>
      </c>
      <c r="B6494" s="403" t="s">
        <v>1459</v>
      </c>
      <c r="C6494" s="403" t="s">
        <v>583</v>
      </c>
      <c r="D6494" s="403" t="s">
        <v>1311</v>
      </c>
      <c r="E6494" s="403" t="s">
        <v>1314</v>
      </c>
      <c r="F6494" s="403" t="s">
        <v>1286</v>
      </c>
      <c r="G6494" s="403" t="s">
        <v>1467</v>
      </c>
      <c r="H6494" s="403" t="s">
        <v>1276</v>
      </c>
      <c r="I6494" s="403">
        <v>1</v>
      </c>
      <c r="J6494" s="403" t="s">
        <v>109</v>
      </c>
      <c r="K6494" s="403">
        <v>720</v>
      </c>
      <c r="L6494" s="403">
        <v>1280</v>
      </c>
      <c r="M6494" s="403" t="s">
        <v>109</v>
      </c>
      <c r="N6494" s="403">
        <v>720</v>
      </c>
      <c r="O6494" s="403">
        <v>1280</v>
      </c>
      <c r="P6494" t="str">
        <f t="shared" si="809"/>
        <v>30fps 720p - 720p</v>
      </c>
      <c r="Q6494">
        <f t="shared" si="810"/>
        <v>34</v>
      </c>
      <c r="R6494" t="str">
        <f t="shared" si="811"/>
        <v/>
      </c>
      <c r="S6494" t="str">
        <f t="shared" si="812"/>
        <v/>
      </c>
      <c r="T6494" s="403" t="str">
        <f t="shared" si="813"/>
        <v>NIN-73023-AxA</v>
      </c>
      <c r="U6494" s="403">
        <f t="shared" si="814"/>
        <v>1</v>
      </c>
      <c r="V6494" s="403" t="str">
        <f t="shared" si="815"/>
        <v>CPP_7</v>
      </c>
    </row>
    <row r="6495" spans="1:22">
      <c r="A6495" t="str">
        <f t="shared" si="808"/>
        <v>NIN-73023-AxA</v>
      </c>
      <c r="B6495" s="403" t="s">
        <v>1459</v>
      </c>
      <c r="C6495" s="403" t="s">
        <v>583</v>
      </c>
      <c r="D6495" s="403" t="s">
        <v>1311</v>
      </c>
      <c r="E6495" s="403" t="s">
        <v>1314</v>
      </c>
      <c r="F6495" s="403" t="s">
        <v>1286</v>
      </c>
      <c r="G6495" s="403" t="s">
        <v>1467</v>
      </c>
      <c r="H6495" s="403" t="s">
        <v>1276</v>
      </c>
      <c r="I6495" s="403">
        <v>1</v>
      </c>
      <c r="J6495" s="403" t="s">
        <v>109</v>
      </c>
      <c r="K6495" s="403">
        <v>720</v>
      </c>
      <c r="L6495" s="403">
        <v>1280</v>
      </c>
      <c r="M6495" s="403" t="s">
        <v>1279</v>
      </c>
      <c r="N6495" s="403">
        <v>432</v>
      </c>
      <c r="O6495" s="403">
        <v>768</v>
      </c>
      <c r="P6495" t="str">
        <f t="shared" si="809"/>
        <v>30fps 720p - SD ROI PTZ</v>
      </c>
      <c r="Q6495">
        <f t="shared" si="810"/>
        <v>34</v>
      </c>
      <c r="R6495" t="str">
        <f t="shared" si="811"/>
        <v/>
      </c>
      <c r="S6495" t="str">
        <f t="shared" si="812"/>
        <v/>
      </c>
      <c r="T6495" s="403" t="str">
        <f t="shared" si="813"/>
        <v>NIN-73023-AxA</v>
      </c>
      <c r="U6495" s="403">
        <f t="shared" si="814"/>
        <v>1</v>
      </c>
      <c r="V6495" s="403" t="str">
        <f t="shared" si="815"/>
        <v>CPP_7</v>
      </c>
    </row>
    <row r="6496" spans="1:22">
      <c r="A6496" t="str">
        <f t="shared" si="808"/>
        <v>NIN-73023-AxA</v>
      </c>
      <c r="B6496" s="403" t="s">
        <v>1459</v>
      </c>
      <c r="C6496" s="403" t="s">
        <v>583</v>
      </c>
      <c r="D6496" s="403" t="s">
        <v>1311</v>
      </c>
      <c r="E6496" s="403" t="s">
        <v>1314</v>
      </c>
      <c r="F6496" s="403" t="s">
        <v>1286</v>
      </c>
      <c r="G6496" s="403" t="s">
        <v>1467</v>
      </c>
      <c r="H6496" s="403" t="s">
        <v>1276</v>
      </c>
      <c r="I6496" s="403">
        <v>1</v>
      </c>
      <c r="J6496" s="403" t="s">
        <v>109</v>
      </c>
      <c r="K6496" s="403">
        <v>720</v>
      </c>
      <c r="L6496" s="403">
        <v>1280</v>
      </c>
      <c r="M6496" s="403" t="s">
        <v>1298</v>
      </c>
      <c r="N6496" s="403">
        <v>432</v>
      </c>
      <c r="O6496" s="403">
        <v>768</v>
      </c>
      <c r="P6496" t="str">
        <f t="shared" si="809"/>
        <v>30fps 720p - SD dual stream with independent ROI PTZ</v>
      </c>
      <c r="Q6496">
        <f t="shared" si="810"/>
        <v>34</v>
      </c>
      <c r="R6496" t="str">
        <f t="shared" si="811"/>
        <v/>
      </c>
      <c r="S6496" t="str">
        <f t="shared" si="812"/>
        <v/>
      </c>
      <c r="T6496" s="403" t="str">
        <f t="shared" si="813"/>
        <v>NIN-73023-AxA</v>
      </c>
      <c r="U6496" s="403">
        <f t="shared" si="814"/>
        <v>1</v>
      </c>
      <c r="V6496" s="403" t="str">
        <f t="shared" si="815"/>
        <v>CPP_7</v>
      </c>
    </row>
    <row r="6497" spans="1:22">
      <c r="A6497" t="str">
        <f t="shared" si="808"/>
        <v>NIN-73023-AxA</v>
      </c>
      <c r="B6497" s="403" t="s">
        <v>1459</v>
      </c>
      <c r="C6497" s="403" t="s">
        <v>583</v>
      </c>
      <c r="D6497" s="403" t="s">
        <v>1311</v>
      </c>
      <c r="E6497" s="403" t="s">
        <v>1314</v>
      </c>
      <c r="F6497" s="403" t="s">
        <v>1286</v>
      </c>
      <c r="G6497" s="403" t="s">
        <v>1467</v>
      </c>
      <c r="H6497" s="403" t="s">
        <v>1276</v>
      </c>
      <c r="I6497" s="403">
        <v>1</v>
      </c>
      <c r="J6497" s="403" t="s">
        <v>109</v>
      </c>
      <c r="K6497" s="403">
        <v>720</v>
      </c>
      <c r="L6497" s="403">
        <v>1280</v>
      </c>
      <c r="M6497" s="403" t="s">
        <v>1283</v>
      </c>
      <c r="N6497" s="403">
        <v>480</v>
      </c>
      <c r="O6497" s="403">
        <v>704</v>
      </c>
      <c r="P6497" t="str">
        <f t="shared" si="809"/>
        <v>30fps 720p - SD 4CIF resolution 4:3 format (cropped)</v>
      </c>
      <c r="Q6497">
        <f t="shared" si="810"/>
        <v>34</v>
      </c>
      <c r="R6497" t="str">
        <f t="shared" si="811"/>
        <v/>
      </c>
      <c r="S6497" t="str">
        <f t="shared" si="812"/>
        <v/>
      </c>
      <c r="T6497" s="403" t="str">
        <f t="shared" si="813"/>
        <v>NIN-73023-AxA</v>
      </c>
      <c r="U6497" s="403">
        <f t="shared" si="814"/>
        <v>1</v>
      </c>
      <c r="V6497" s="403" t="str">
        <f t="shared" si="815"/>
        <v>CPP_7</v>
      </c>
    </row>
    <row r="6498" spans="1:22">
      <c r="A6498" t="str">
        <f t="shared" si="808"/>
        <v>NIN-73023-AxA</v>
      </c>
      <c r="B6498" s="403" t="s">
        <v>1459</v>
      </c>
      <c r="C6498" s="403" t="s">
        <v>583</v>
      </c>
      <c r="D6498" s="403" t="s">
        <v>1311</v>
      </c>
      <c r="E6498" s="403" t="s">
        <v>1314</v>
      </c>
      <c r="F6498" s="403" t="s">
        <v>1286</v>
      </c>
      <c r="G6498" s="403" t="s">
        <v>1467</v>
      </c>
      <c r="H6498" s="403" t="s">
        <v>1276</v>
      </c>
      <c r="I6498" s="403">
        <v>1</v>
      </c>
      <c r="J6498" s="403" t="s">
        <v>109</v>
      </c>
      <c r="K6498" s="403">
        <v>720</v>
      </c>
      <c r="L6498" s="403">
        <v>1280</v>
      </c>
      <c r="M6498" s="403" t="s">
        <v>1284</v>
      </c>
      <c r="N6498" s="403">
        <v>480</v>
      </c>
      <c r="O6498" s="403">
        <v>640</v>
      </c>
      <c r="P6498" t="str">
        <f t="shared" si="809"/>
        <v>30fps 720p - SD VGA (cropped)</v>
      </c>
      <c r="Q6498">
        <f t="shared" si="810"/>
        <v>34</v>
      </c>
      <c r="R6498" t="str">
        <f t="shared" si="811"/>
        <v/>
      </c>
      <c r="S6498" t="str">
        <f t="shared" si="812"/>
        <v/>
      </c>
      <c r="T6498" s="403" t="str">
        <f t="shared" si="813"/>
        <v>NIN-73023-AxA</v>
      </c>
      <c r="U6498" s="403">
        <f t="shared" si="814"/>
        <v>1</v>
      </c>
      <c r="V6498" s="403" t="str">
        <f t="shared" si="815"/>
        <v>CPP_7</v>
      </c>
    </row>
    <row r="6499" spans="1:22">
      <c r="A6499" t="str">
        <f t="shared" si="808"/>
        <v>NIN-73023-AxA</v>
      </c>
      <c r="B6499" s="403" t="s">
        <v>1459</v>
      </c>
      <c r="C6499" s="403" t="s">
        <v>583</v>
      </c>
      <c r="D6499" s="403" t="s">
        <v>1311</v>
      </c>
      <c r="E6499" s="403" t="s">
        <v>1314</v>
      </c>
      <c r="F6499" s="403" t="s">
        <v>1286</v>
      </c>
      <c r="G6499" s="403" t="s">
        <v>1467</v>
      </c>
      <c r="H6499" s="403" t="s">
        <v>1276</v>
      </c>
      <c r="I6499" s="403">
        <v>1</v>
      </c>
      <c r="J6499" s="403" t="s">
        <v>111</v>
      </c>
      <c r="K6499" s="403">
        <v>432</v>
      </c>
      <c r="L6499" s="403">
        <v>768</v>
      </c>
      <c r="M6499" s="403" t="s">
        <v>111</v>
      </c>
      <c r="N6499" s="403">
        <v>432</v>
      </c>
      <c r="O6499" s="403">
        <v>768</v>
      </c>
      <c r="P6499" t="str">
        <f t="shared" si="809"/>
        <v>30fps SD - SD</v>
      </c>
      <c r="Q6499">
        <f t="shared" si="810"/>
        <v>34</v>
      </c>
      <c r="R6499" t="str">
        <f t="shared" si="811"/>
        <v/>
      </c>
      <c r="S6499" t="str">
        <f t="shared" si="812"/>
        <v/>
      </c>
      <c r="T6499" s="403" t="str">
        <f t="shared" si="813"/>
        <v>NIN-73023-AxA</v>
      </c>
      <c r="U6499" s="403">
        <f t="shared" si="814"/>
        <v>1</v>
      </c>
      <c r="V6499" s="403" t="str">
        <f t="shared" si="815"/>
        <v>CPP_7</v>
      </c>
    </row>
    <row r="6500" spans="1:22">
      <c r="A6500" t="str">
        <f t="shared" si="808"/>
        <v>NIN-73023-AxA</v>
      </c>
      <c r="B6500" s="403" t="s">
        <v>1459</v>
      </c>
      <c r="C6500" s="403" t="s">
        <v>583</v>
      </c>
      <c r="D6500" s="403" t="s">
        <v>1311</v>
      </c>
      <c r="E6500" s="403" t="s">
        <v>1314</v>
      </c>
      <c r="F6500" s="403" t="s">
        <v>1287</v>
      </c>
      <c r="G6500" s="403" t="s">
        <v>1466</v>
      </c>
      <c r="H6500" s="403" t="s">
        <v>1276</v>
      </c>
      <c r="I6500" s="403">
        <v>1</v>
      </c>
      <c r="J6500" s="403" t="s">
        <v>110</v>
      </c>
      <c r="K6500" s="403">
        <v>1920</v>
      </c>
      <c r="L6500" s="403">
        <v>1080</v>
      </c>
      <c r="M6500" s="403" t="s">
        <v>111</v>
      </c>
      <c r="N6500" s="403">
        <v>768</v>
      </c>
      <c r="O6500" s="403">
        <v>432</v>
      </c>
      <c r="P6500" t="str">
        <f t="shared" si="809"/>
        <v>25fps 1080p - SD</v>
      </c>
      <c r="Q6500">
        <f t="shared" si="810"/>
        <v>34</v>
      </c>
      <c r="R6500" t="str">
        <f t="shared" si="811"/>
        <v/>
      </c>
      <c r="S6500" t="str">
        <f t="shared" si="812"/>
        <v/>
      </c>
      <c r="T6500" s="403" t="str">
        <f t="shared" si="813"/>
        <v>NIN-73023-AxA</v>
      </c>
      <c r="U6500" s="403">
        <f t="shared" si="814"/>
        <v>1</v>
      </c>
      <c r="V6500" s="403" t="str">
        <f t="shared" si="815"/>
        <v>CPP_7</v>
      </c>
    </row>
    <row r="6501" spans="1:22">
      <c r="A6501" t="str">
        <f t="shared" si="808"/>
        <v>NIN-73023-AxA</v>
      </c>
      <c r="B6501" s="403" t="s">
        <v>1459</v>
      </c>
      <c r="C6501" s="403" t="s">
        <v>583</v>
      </c>
      <c r="D6501" s="403" t="s">
        <v>1311</v>
      </c>
      <c r="E6501" s="403" t="s">
        <v>1314</v>
      </c>
      <c r="F6501" s="403" t="s">
        <v>1287</v>
      </c>
      <c r="G6501" s="403" t="s">
        <v>1466</v>
      </c>
      <c r="H6501" s="403" t="s">
        <v>1276</v>
      </c>
      <c r="I6501" s="403">
        <v>1</v>
      </c>
      <c r="J6501" s="403" t="s">
        <v>110</v>
      </c>
      <c r="K6501" s="403">
        <v>1920</v>
      </c>
      <c r="L6501" s="403">
        <v>1080</v>
      </c>
      <c r="M6501" s="403" t="s">
        <v>110</v>
      </c>
      <c r="N6501" s="403">
        <v>1920</v>
      </c>
      <c r="O6501" s="403">
        <v>1080</v>
      </c>
      <c r="P6501" t="str">
        <f t="shared" si="809"/>
        <v>25fps 1080p - 1080p</v>
      </c>
      <c r="Q6501">
        <f t="shared" si="810"/>
        <v>34</v>
      </c>
      <c r="R6501" t="str">
        <f t="shared" si="811"/>
        <v/>
      </c>
      <c r="S6501" t="str">
        <f t="shared" si="812"/>
        <v/>
      </c>
      <c r="T6501" s="403" t="str">
        <f t="shared" si="813"/>
        <v>NIN-73023-AxA</v>
      </c>
      <c r="U6501" s="403">
        <f t="shared" si="814"/>
        <v>1</v>
      </c>
      <c r="V6501" s="403" t="str">
        <f t="shared" si="815"/>
        <v>CPP_7</v>
      </c>
    </row>
    <row r="6502" spans="1:22">
      <c r="A6502" t="str">
        <f t="shared" si="808"/>
        <v>NIN-73023-AxA</v>
      </c>
      <c r="B6502" s="403" t="s">
        <v>1459</v>
      </c>
      <c r="C6502" s="403" t="s">
        <v>583</v>
      </c>
      <c r="D6502" s="403" t="s">
        <v>1311</v>
      </c>
      <c r="E6502" s="403" t="s">
        <v>1314</v>
      </c>
      <c r="F6502" s="403" t="s">
        <v>1287</v>
      </c>
      <c r="G6502" s="403" t="s">
        <v>1466</v>
      </c>
      <c r="H6502" s="403" t="s">
        <v>1276</v>
      </c>
      <c r="I6502" s="403">
        <v>1</v>
      </c>
      <c r="J6502" s="403" t="s">
        <v>110</v>
      </c>
      <c r="K6502" s="403">
        <v>1920</v>
      </c>
      <c r="L6502" s="403">
        <v>1080</v>
      </c>
      <c r="M6502" s="403" t="s">
        <v>109</v>
      </c>
      <c r="N6502" s="403">
        <v>1280</v>
      </c>
      <c r="O6502" s="403">
        <v>720</v>
      </c>
      <c r="P6502" t="str">
        <f t="shared" si="809"/>
        <v>25fps 1080p - 720p</v>
      </c>
      <c r="Q6502">
        <f t="shared" si="810"/>
        <v>34</v>
      </c>
      <c r="R6502" t="str">
        <f t="shared" si="811"/>
        <v/>
      </c>
      <c r="S6502" t="str">
        <f t="shared" si="812"/>
        <v/>
      </c>
      <c r="T6502" s="403" t="str">
        <f t="shared" si="813"/>
        <v>NIN-73023-AxA</v>
      </c>
      <c r="U6502" s="403">
        <f t="shared" si="814"/>
        <v>1</v>
      </c>
      <c r="V6502" s="403" t="str">
        <f t="shared" si="815"/>
        <v>CPP_7</v>
      </c>
    </row>
    <row r="6503" spans="1:22">
      <c r="A6503" t="str">
        <f t="shared" si="808"/>
        <v>NIN-73023-AxA</v>
      </c>
      <c r="B6503" s="403" t="s">
        <v>1459</v>
      </c>
      <c r="C6503" s="403" t="s">
        <v>583</v>
      </c>
      <c r="D6503" s="403" t="s">
        <v>1311</v>
      </c>
      <c r="E6503" s="403" t="s">
        <v>1314</v>
      </c>
      <c r="F6503" s="403" t="s">
        <v>1287</v>
      </c>
      <c r="G6503" s="403" t="s">
        <v>1466</v>
      </c>
      <c r="H6503" s="403" t="s">
        <v>1276</v>
      </c>
      <c r="I6503" s="403">
        <v>1</v>
      </c>
      <c r="J6503" s="403" t="s">
        <v>110</v>
      </c>
      <c r="K6503" s="403">
        <v>1920</v>
      </c>
      <c r="L6503" s="403">
        <v>1080</v>
      </c>
      <c r="M6503" s="403" t="s">
        <v>1285</v>
      </c>
      <c r="N6503" s="403">
        <v>1280</v>
      </c>
      <c r="O6503" s="403">
        <v>1024</v>
      </c>
      <c r="P6503" t="str">
        <f t="shared" si="809"/>
        <v>25fps 1080p - 1280x1024 5:4 (cropped)</v>
      </c>
      <c r="Q6503">
        <f t="shared" si="810"/>
        <v>34</v>
      </c>
      <c r="R6503" t="str">
        <f t="shared" si="811"/>
        <v/>
      </c>
      <c r="S6503" t="str">
        <f t="shared" si="812"/>
        <v/>
      </c>
      <c r="T6503" s="403" t="str">
        <f t="shared" si="813"/>
        <v>NIN-73023-AxA</v>
      </c>
      <c r="U6503" s="403">
        <f t="shared" si="814"/>
        <v>1</v>
      </c>
      <c r="V6503" s="403" t="str">
        <f t="shared" si="815"/>
        <v>CPP_7</v>
      </c>
    </row>
    <row r="6504" spans="1:22">
      <c r="A6504" t="str">
        <f t="shared" si="808"/>
        <v>NIN-73023-AxA</v>
      </c>
      <c r="B6504" s="403" t="s">
        <v>1459</v>
      </c>
      <c r="C6504" s="403" t="s">
        <v>583</v>
      </c>
      <c r="D6504" s="403" t="s">
        <v>1311</v>
      </c>
      <c r="E6504" s="403" t="s">
        <v>1314</v>
      </c>
      <c r="F6504" s="403" t="s">
        <v>1287</v>
      </c>
      <c r="G6504" s="403" t="s">
        <v>1466</v>
      </c>
      <c r="H6504" s="403" t="s">
        <v>1276</v>
      </c>
      <c r="I6504" s="403">
        <v>1</v>
      </c>
      <c r="J6504" s="403" t="s">
        <v>110</v>
      </c>
      <c r="K6504" s="403">
        <v>1920</v>
      </c>
      <c r="L6504" s="403">
        <v>1080</v>
      </c>
      <c r="M6504" s="403" t="s">
        <v>1309</v>
      </c>
      <c r="N6504" s="403">
        <v>1280</v>
      </c>
      <c r="O6504" s="403">
        <v>960</v>
      </c>
      <c r="P6504" t="str">
        <f t="shared" si="809"/>
        <v>25fps 1080p - 1280x960 4:3 (cropped)</v>
      </c>
      <c r="Q6504">
        <f t="shared" si="810"/>
        <v>34</v>
      </c>
      <c r="R6504" t="str">
        <f t="shared" si="811"/>
        <v/>
      </c>
      <c r="S6504" t="str">
        <f t="shared" si="812"/>
        <v/>
      </c>
      <c r="T6504" s="403" t="str">
        <f t="shared" si="813"/>
        <v>NIN-73023-AxA</v>
      </c>
      <c r="U6504" s="403">
        <f t="shared" si="814"/>
        <v>1</v>
      </c>
      <c r="V6504" s="403" t="str">
        <f t="shared" si="815"/>
        <v>CPP_7</v>
      </c>
    </row>
    <row r="6505" spans="1:22">
      <c r="A6505" t="str">
        <f t="shared" si="808"/>
        <v>NIN-73023-AxA</v>
      </c>
      <c r="B6505" s="403" t="s">
        <v>1459</v>
      </c>
      <c r="C6505" s="403" t="s">
        <v>583</v>
      </c>
      <c r="D6505" s="403" t="s">
        <v>1311</v>
      </c>
      <c r="E6505" s="403" t="s">
        <v>1314</v>
      </c>
      <c r="F6505" s="403" t="s">
        <v>1287</v>
      </c>
      <c r="G6505" s="403" t="s">
        <v>1466</v>
      </c>
      <c r="H6505" s="403" t="s">
        <v>1276</v>
      </c>
      <c r="I6505" s="403">
        <v>1</v>
      </c>
      <c r="J6505" s="403" t="s">
        <v>110</v>
      </c>
      <c r="K6505" s="403">
        <v>1920</v>
      </c>
      <c r="L6505" s="403">
        <v>1080</v>
      </c>
      <c r="M6505" s="403" t="s">
        <v>1279</v>
      </c>
      <c r="N6505" s="403">
        <v>768</v>
      </c>
      <c r="O6505" s="403">
        <v>432</v>
      </c>
      <c r="P6505" t="str">
        <f t="shared" si="809"/>
        <v>25fps 1080p - SD ROI PTZ</v>
      </c>
      <c r="Q6505">
        <f t="shared" si="810"/>
        <v>34</v>
      </c>
      <c r="R6505" t="str">
        <f t="shared" si="811"/>
        <v/>
      </c>
      <c r="S6505" t="str">
        <f t="shared" si="812"/>
        <v/>
      </c>
      <c r="T6505" s="403" t="str">
        <f t="shared" si="813"/>
        <v>NIN-73023-AxA</v>
      </c>
      <c r="U6505" s="403">
        <f t="shared" si="814"/>
        <v>1</v>
      </c>
      <c r="V6505" s="403" t="str">
        <f t="shared" si="815"/>
        <v>CPP_7</v>
      </c>
    </row>
    <row r="6506" spans="1:22">
      <c r="A6506" t="str">
        <f t="shared" ref="A6506:A6569" si="816">IF(AND(G6506&lt;&gt;"rotate 90°"),D6506,"")</f>
        <v>NIN-73023-AxA</v>
      </c>
      <c r="B6506" s="403" t="s">
        <v>1459</v>
      </c>
      <c r="C6506" s="403" t="s">
        <v>583</v>
      </c>
      <c r="D6506" s="403" t="s">
        <v>1311</v>
      </c>
      <c r="E6506" s="403" t="s">
        <v>1314</v>
      </c>
      <c r="F6506" s="403" t="s">
        <v>1287</v>
      </c>
      <c r="G6506" s="403" t="s">
        <v>1466</v>
      </c>
      <c r="H6506" s="403" t="s">
        <v>1276</v>
      </c>
      <c r="I6506" s="403">
        <v>1</v>
      </c>
      <c r="J6506" s="403" t="s">
        <v>110</v>
      </c>
      <c r="K6506" s="403">
        <v>1920</v>
      </c>
      <c r="L6506" s="403">
        <v>1080</v>
      </c>
      <c r="M6506" s="403" t="s">
        <v>1298</v>
      </c>
      <c r="N6506" s="403">
        <v>768</v>
      </c>
      <c r="O6506" s="403">
        <v>432</v>
      </c>
      <c r="P6506" t="str">
        <f t="shared" ref="P6506:P6569" si="817">LEFT(F6506,5)&amp;" "&amp;J6506&amp;" - "&amp;M6506</f>
        <v>25fps 1080p - SD dual stream with independent ROI PTZ</v>
      </c>
      <c r="Q6506">
        <f t="shared" ref="Q6506:Q6569" si="818">IF(A6505=A6506,Q6505,Q6505+1)</f>
        <v>34</v>
      </c>
      <c r="R6506" t="str">
        <f t="shared" ref="R6506:R6569" si="819">IF(Q6505&lt;&gt;Q6506,Q6506,"")</f>
        <v/>
      </c>
      <c r="S6506" t="str">
        <f t="shared" ref="S6506:S6569" si="820">IF(R6506&lt;&gt;"",B6506&amp;" ("&amp;D6506&amp;")","")</f>
        <v/>
      </c>
      <c r="T6506" s="403" t="str">
        <f t="shared" ref="T6506:T6569" si="821">D6506</f>
        <v>NIN-73023-AxA</v>
      </c>
      <c r="U6506" s="403">
        <f t="shared" ref="U6506:U6569" si="822">I6506</f>
        <v>1</v>
      </c>
      <c r="V6506" s="403" t="str">
        <f t="shared" ref="V6506:V6569" si="823">C6506</f>
        <v>CPP_7</v>
      </c>
    </row>
    <row r="6507" spans="1:22">
      <c r="A6507" t="str">
        <f t="shared" si="816"/>
        <v>NIN-73023-AxA</v>
      </c>
      <c r="B6507" s="403" t="s">
        <v>1459</v>
      </c>
      <c r="C6507" s="403" t="s">
        <v>583</v>
      </c>
      <c r="D6507" s="403" t="s">
        <v>1311</v>
      </c>
      <c r="E6507" s="403" t="s">
        <v>1314</v>
      </c>
      <c r="F6507" s="403" t="s">
        <v>1287</v>
      </c>
      <c r="G6507" s="403" t="s">
        <v>1466</v>
      </c>
      <c r="H6507" s="403" t="s">
        <v>1276</v>
      </c>
      <c r="I6507" s="403">
        <v>1</v>
      </c>
      <c r="J6507" s="403" t="s">
        <v>110</v>
      </c>
      <c r="K6507" s="403">
        <v>1920</v>
      </c>
      <c r="L6507" s="403">
        <v>1080</v>
      </c>
      <c r="M6507" s="403" t="s">
        <v>1283</v>
      </c>
      <c r="N6507" s="403">
        <v>704</v>
      </c>
      <c r="O6507" s="403">
        <v>576</v>
      </c>
      <c r="P6507" t="str">
        <f t="shared" si="817"/>
        <v>25fps 1080p - SD 4CIF resolution 4:3 format (cropped)</v>
      </c>
      <c r="Q6507">
        <f t="shared" si="818"/>
        <v>34</v>
      </c>
      <c r="R6507" t="str">
        <f t="shared" si="819"/>
        <v/>
      </c>
      <c r="S6507" t="str">
        <f t="shared" si="820"/>
        <v/>
      </c>
      <c r="T6507" s="403" t="str">
        <f t="shared" si="821"/>
        <v>NIN-73023-AxA</v>
      </c>
      <c r="U6507" s="403">
        <f t="shared" si="822"/>
        <v>1</v>
      </c>
      <c r="V6507" s="403" t="str">
        <f t="shared" si="823"/>
        <v>CPP_7</v>
      </c>
    </row>
    <row r="6508" spans="1:22">
      <c r="A6508" t="str">
        <f t="shared" si="816"/>
        <v>NIN-73023-AxA</v>
      </c>
      <c r="B6508" s="403" t="s">
        <v>1459</v>
      </c>
      <c r="C6508" s="403" t="s">
        <v>583</v>
      </c>
      <c r="D6508" s="403" t="s">
        <v>1311</v>
      </c>
      <c r="E6508" s="403" t="s">
        <v>1314</v>
      </c>
      <c r="F6508" s="403" t="s">
        <v>1287</v>
      </c>
      <c r="G6508" s="403" t="s">
        <v>1466</v>
      </c>
      <c r="H6508" s="403" t="s">
        <v>1276</v>
      </c>
      <c r="I6508" s="403">
        <v>1</v>
      </c>
      <c r="J6508" s="403" t="s">
        <v>110</v>
      </c>
      <c r="K6508" s="403">
        <v>1920</v>
      </c>
      <c r="L6508" s="403">
        <v>1080</v>
      </c>
      <c r="M6508" s="403" t="s">
        <v>1284</v>
      </c>
      <c r="N6508" s="403">
        <v>640</v>
      </c>
      <c r="O6508" s="403">
        <v>480</v>
      </c>
      <c r="P6508" t="str">
        <f t="shared" si="817"/>
        <v>25fps 1080p - SD VGA (cropped)</v>
      </c>
      <c r="Q6508">
        <f t="shared" si="818"/>
        <v>34</v>
      </c>
      <c r="R6508" t="str">
        <f t="shared" si="819"/>
        <v/>
      </c>
      <c r="S6508" t="str">
        <f t="shared" si="820"/>
        <v/>
      </c>
      <c r="T6508" s="403" t="str">
        <f t="shared" si="821"/>
        <v>NIN-73023-AxA</v>
      </c>
      <c r="U6508" s="403">
        <f t="shared" si="822"/>
        <v>1</v>
      </c>
      <c r="V6508" s="403" t="str">
        <f t="shared" si="823"/>
        <v>CPP_7</v>
      </c>
    </row>
    <row r="6509" spans="1:22">
      <c r="A6509" t="str">
        <f t="shared" si="816"/>
        <v>NIN-73023-AxA</v>
      </c>
      <c r="B6509" s="403" t="s">
        <v>1459</v>
      </c>
      <c r="C6509" s="403" t="s">
        <v>583</v>
      </c>
      <c r="D6509" s="403" t="s">
        <v>1311</v>
      </c>
      <c r="E6509" s="403" t="s">
        <v>1314</v>
      </c>
      <c r="F6509" s="403" t="s">
        <v>1287</v>
      </c>
      <c r="G6509" s="403" t="s">
        <v>1466</v>
      </c>
      <c r="H6509" s="403" t="s">
        <v>1276</v>
      </c>
      <c r="I6509" s="403">
        <v>1</v>
      </c>
      <c r="J6509" s="403" t="s">
        <v>109</v>
      </c>
      <c r="K6509" s="403">
        <v>1280</v>
      </c>
      <c r="L6509" s="403">
        <v>720</v>
      </c>
      <c r="M6509" s="403" t="s">
        <v>111</v>
      </c>
      <c r="N6509" s="403">
        <v>768</v>
      </c>
      <c r="O6509" s="403">
        <v>432</v>
      </c>
      <c r="P6509" t="str">
        <f t="shared" si="817"/>
        <v>25fps 720p - SD</v>
      </c>
      <c r="Q6509">
        <f t="shared" si="818"/>
        <v>34</v>
      </c>
      <c r="R6509" t="str">
        <f t="shared" si="819"/>
        <v/>
      </c>
      <c r="S6509" t="str">
        <f t="shared" si="820"/>
        <v/>
      </c>
      <c r="T6509" s="403" t="str">
        <f t="shared" si="821"/>
        <v>NIN-73023-AxA</v>
      </c>
      <c r="U6509" s="403">
        <f t="shared" si="822"/>
        <v>1</v>
      </c>
      <c r="V6509" s="403" t="str">
        <f t="shared" si="823"/>
        <v>CPP_7</v>
      </c>
    </row>
    <row r="6510" spans="1:22">
      <c r="A6510" t="str">
        <f t="shared" si="816"/>
        <v>NIN-73023-AxA</v>
      </c>
      <c r="B6510" s="403" t="s">
        <v>1459</v>
      </c>
      <c r="C6510" s="403" t="s">
        <v>583</v>
      </c>
      <c r="D6510" s="403" t="s">
        <v>1311</v>
      </c>
      <c r="E6510" s="403" t="s">
        <v>1314</v>
      </c>
      <c r="F6510" s="403" t="s">
        <v>1287</v>
      </c>
      <c r="G6510" s="403" t="s">
        <v>1466</v>
      </c>
      <c r="H6510" s="403" t="s">
        <v>1276</v>
      </c>
      <c r="I6510" s="403">
        <v>1</v>
      </c>
      <c r="J6510" s="403" t="s">
        <v>109</v>
      </c>
      <c r="K6510" s="403">
        <v>1280</v>
      </c>
      <c r="L6510" s="403">
        <v>720</v>
      </c>
      <c r="M6510" s="403" t="s">
        <v>109</v>
      </c>
      <c r="N6510" s="403">
        <v>1280</v>
      </c>
      <c r="O6510" s="403">
        <v>720</v>
      </c>
      <c r="P6510" t="str">
        <f t="shared" si="817"/>
        <v>25fps 720p - 720p</v>
      </c>
      <c r="Q6510">
        <f t="shared" si="818"/>
        <v>34</v>
      </c>
      <c r="R6510" t="str">
        <f t="shared" si="819"/>
        <v/>
      </c>
      <c r="S6510" t="str">
        <f t="shared" si="820"/>
        <v/>
      </c>
      <c r="T6510" s="403" t="str">
        <f t="shared" si="821"/>
        <v>NIN-73023-AxA</v>
      </c>
      <c r="U6510" s="403">
        <f t="shared" si="822"/>
        <v>1</v>
      </c>
      <c r="V6510" s="403" t="str">
        <f t="shared" si="823"/>
        <v>CPP_7</v>
      </c>
    </row>
    <row r="6511" spans="1:22">
      <c r="A6511" t="str">
        <f t="shared" si="816"/>
        <v>NIN-73023-AxA</v>
      </c>
      <c r="B6511" s="403" t="s">
        <v>1459</v>
      </c>
      <c r="C6511" s="403" t="s">
        <v>583</v>
      </c>
      <c r="D6511" s="403" t="s">
        <v>1311</v>
      </c>
      <c r="E6511" s="403" t="s">
        <v>1314</v>
      </c>
      <c r="F6511" s="403" t="s">
        <v>1287</v>
      </c>
      <c r="G6511" s="403" t="s">
        <v>1466</v>
      </c>
      <c r="H6511" s="403" t="s">
        <v>1276</v>
      </c>
      <c r="I6511" s="403">
        <v>1</v>
      </c>
      <c r="J6511" s="403" t="s">
        <v>109</v>
      </c>
      <c r="K6511" s="403">
        <v>1280</v>
      </c>
      <c r="L6511" s="403">
        <v>720</v>
      </c>
      <c r="M6511" s="403" t="s">
        <v>1279</v>
      </c>
      <c r="N6511" s="403">
        <v>768</v>
      </c>
      <c r="O6511" s="403">
        <v>432</v>
      </c>
      <c r="P6511" t="str">
        <f t="shared" si="817"/>
        <v>25fps 720p - SD ROI PTZ</v>
      </c>
      <c r="Q6511">
        <f t="shared" si="818"/>
        <v>34</v>
      </c>
      <c r="R6511" t="str">
        <f t="shared" si="819"/>
        <v/>
      </c>
      <c r="S6511" t="str">
        <f t="shared" si="820"/>
        <v/>
      </c>
      <c r="T6511" s="403" t="str">
        <f t="shared" si="821"/>
        <v>NIN-73023-AxA</v>
      </c>
      <c r="U6511" s="403">
        <f t="shared" si="822"/>
        <v>1</v>
      </c>
      <c r="V6511" s="403" t="str">
        <f t="shared" si="823"/>
        <v>CPP_7</v>
      </c>
    </row>
    <row r="6512" spans="1:22">
      <c r="A6512" t="str">
        <f t="shared" si="816"/>
        <v>NIN-73023-AxA</v>
      </c>
      <c r="B6512" s="403" t="s">
        <v>1459</v>
      </c>
      <c r="C6512" s="403" t="s">
        <v>583</v>
      </c>
      <c r="D6512" s="403" t="s">
        <v>1311</v>
      </c>
      <c r="E6512" s="403" t="s">
        <v>1314</v>
      </c>
      <c r="F6512" s="403" t="s">
        <v>1287</v>
      </c>
      <c r="G6512" s="403" t="s">
        <v>1466</v>
      </c>
      <c r="H6512" s="403" t="s">
        <v>1276</v>
      </c>
      <c r="I6512" s="403">
        <v>1</v>
      </c>
      <c r="J6512" s="403" t="s">
        <v>109</v>
      </c>
      <c r="K6512" s="403">
        <v>1280</v>
      </c>
      <c r="L6512" s="403">
        <v>720</v>
      </c>
      <c r="M6512" s="403" t="s">
        <v>1298</v>
      </c>
      <c r="N6512" s="403">
        <v>768</v>
      </c>
      <c r="O6512" s="403">
        <v>432</v>
      </c>
      <c r="P6512" t="str">
        <f t="shared" si="817"/>
        <v>25fps 720p - SD dual stream with independent ROI PTZ</v>
      </c>
      <c r="Q6512">
        <f t="shared" si="818"/>
        <v>34</v>
      </c>
      <c r="R6512" t="str">
        <f t="shared" si="819"/>
        <v/>
      </c>
      <c r="S6512" t="str">
        <f t="shared" si="820"/>
        <v/>
      </c>
      <c r="T6512" s="403" t="str">
        <f t="shared" si="821"/>
        <v>NIN-73023-AxA</v>
      </c>
      <c r="U6512" s="403">
        <f t="shared" si="822"/>
        <v>1</v>
      </c>
      <c r="V6512" s="403" t="str">
        <f t="shared" si="823"/>
        <v>CPP_7</v>
      </c>
    </row>
    <row r="6513" spans="1:22">
      <c r="A6513" t="str">
        <f t="shared" si="816"/>
        <v>NIN-73023-AxA</v>
      </c>
      <c r="B6513" s="403" t="s">
        <v>1459</v>
      </c>
      <c r="C6513" s="403" t="s">
        <v>583</v>
      </c>
      <c r="D6513" s="403" t="s">
        <v>1311</v>
      </c>
      <c r="E6513" s="403" t="s">
        <v>1314</v>
      </c>
      <c r="F6513" s="403" t="s">
        <v>1287</v>
      </c>
      <c r="G6513" s="403" t="s">
        <v>1466</v>
      </c>
      <c r="H6513" s="403" t="s">
        <v>1276</v>
      </c>
      <c r="I6513" s="403">
        <v>1</v>
      </c>
      <c r="J6513" s="403" t="s">
        <v>109</v>
      </c>
      <c r="K6513" s="403">
        <v>1280</v>
      </c>
      <c r="L6513" s="403">
        <v>720</v>
      </c>
      <c r="M6513" s="403" t="s">
        <v>1283</v>
      </c>
      <c r="N6513" s="403">
        <v>704</v>
      </c>
      <c r="O6513" s="403">
        <v>576</v>
      </c>
      <c r="P6513" t="str">
        <f t="shared" si="817"/>
        <v>25fps 720p - SD 4CIF resolution 4:3 format (cropped)</v>
      </c>
      <c r="Q6513">
        <f t="shared" si="818"/>
        <v>34</v>
      </c>
      <c r="R6513" t="str">
        <f t="shared" si="819"/>
        <v/>
      </c>
      <c r="S6513" t="str">
        <f t="shared" si="820"/>
        <v/>
      </c>
      <c r="T6513" s="403" t="str">
        <f t="shared" si="821"/>
        <v>NIN-73023-AxA</v>
      </c>
      <c r="U6513" s="403">
        <f t="shared" si="822"/>
        <v>1</v>
      </c>
      <c r="V6513" s="403" t="str">
        <f t="shared" si="823"/>
        <v>CPP_7</v>
      </c>
    </row>
    <row r="6514" spans="1:22">
      <c r="A6514" t="str">
        <f t="shared" si="816"/>
        <v>NIN-73023-AxA</v>
      </c>
      <c r="B6514" s="403" t="s">
        <v>1459</v>
      </c>
      <c r="C6514" s="403" t="s">
        <v>583</v>
      </c>
      <c r="D6514" s="403" t="s">
        <v>1311</v>
      </c>
      <c r="E6514" s="403" t="s">
        <v>1314</v>
      </c>
      <c r="F6514" s="403" t="s">
        <v>1287</v>
      </c>
      <c r="G6514" s="403" t="s">
        <v>1466</v>
      </c>
      <c r="H6514" s="403" t="s">
        <v>1276</v>
      </c>
      <c r="I6514" s="403">
        <v>1</v>
      </c>
      <c r="J6514" s="403" t="s">
        <v>109</v>
      </c>
      <c r="K6514" s="403">
        <v>1280</v>
      </c>
      <c r="L6514" s="403">
        <v>720</v>
      </c>
      <c r="M6514" s="403" t="s">
        <v>1284</v>
      </c>
      <c r="N6514" s="403">
        <v>640</v>
      </c>
      <c r="O6514" s="403">
        <v>480</v>
      </c>
      <c r="P6514" t="str">
        <f t="shared" si="817"/>
        <v>25fps 720p - SD VGA (cropped)</v>
      </c>
      <c r="Q6514">
        <f t="shared" si="818"/>
        <v>34</v>
      </c>
      <c r="R6514" t="str">
        <f t="shared" si="819"/>
        <v/>
      </c>
      <c r="S6514" t="str">
        <f t="shared" si="820"/>
        <v/>
      </c>
      <c r="T6514" s="403" t="str">
        <f t="shared" si="821"/>
        <v>NIN-73023-AxA</v>
      </c>
      <c r="U6514" s="403">
        <f t="shared" si="822"/>
        <v>1</v>
      </c>
      <c r="V6514" s="403" t="str">
        <f t="shared" si="823"/>
        <v>CPP_7</v>
      </c>
    </row>
    <row r="6515" spans="1:22">
      <c r="A6515" t="str">
        <f t="shared" si="816"/>
        <v>NIN-73023-AxA</v>
      </c>
      <c r="B6515" s="403" t="s">
        <v>1459</v>
      </c>
      <c r="C6515" s="403" t="s">
        <v>583</v>
      </c>
      <c r="D6515" s="403" t="s">
        <v>1311</v>
      </c>
      <c r="E6515" s="403" t="s">
        <v>1314</v>
      </c>
      <c r="F6515" s="403" t="s">
        <v>1287</v>
      </c>
      <c r="G6515" s="403" t="s">
        <v>1466</v>
      </c>
      <c r="H6515" s="403" t="s">
        <v>1276</v>
      </c>
      <c r="I6515" s="403">
        <v>1</v>
      </c>
      <c r="J6515" s="403" t="s">
        <v>111</v>
      </c>
      <c r="K6515" s="403">
        <v>768</v>
      </c>
      <c r="L6515" s="403">
        <v>432</v>
      </c>
      <c r="M6515" s="403" t="s">
        <v>111</v>
      </c>
      <c r="N6515" s="403">
        <v>768</v>
      </c>
      <c r="O6515" s="403">
        <v>432</v>
      </c>
      <c r="P6515" t="str">
        <f t="shared" si="817"/>
        <v>25fps SD - SD</v>
      </c>
      <c r="Q6515">
        <f t="shared" si="818"/>
        <v>34</v>
      </c>
      <c r="R6515" t="str">
        <f t="shared" si="819"/>
        <v/>
      </c>
      <c r="S6515" t="str">
        <f t="shared" si="820"/>
        <v/>
      </c>
      <c r="T6515" s="403" t="str">
        <f t="shared" si="821"/>
        <v>NIN-73023-AxA</v>
      </c>
      <c r="U6515" s="403">
        <f t="shared" si="822"/>
        <v>1</v>
      </c>
      <c r="V6515" s="403" t="str">
        <f t="shared" si="823"/>
        <v>CPP_7</v>
      </c>
    </row>
    <row r="6516" spans="1:22">
      <c r="A6516" t="str">
        <f t="shared" si="816"/>
        <v>NIN-73023-AxA</v>
      </c>
      <c r="B6516" s="403" t="s">
        <v>1459</v>
      </c>
      <c r="C6516" s="403" t="s">
        <v>583</v>
      </c>
      <c r="D6516" s="403" t="s">
        <v>1311</v>
      </c>
      <c r="E6516" s="403" t="s">
        <v>1314</v>
      </c>
      <c r="F6516" s="403" t="s">
        <v>1287</v>
      </c>
      <c r="G6516" s="403" t="s">
        <v>1467</v>
      </c>
      <c r="H6516" s="403" t="s">
        <v>1276</v>
      </c>
      <c r="I6516" s="403">
        <v>1</v>
      </c>
      <c r="J6516" s="403" t="s">
        <v>110</v>
      </c>
      <c r="K6516" s="403">
        <v>1080</v>
      </c>
      <c r="L6516" s="403">
        <v>1920</v>
      </c>
      <c r="M6516" s="403" t="s">
        <v>111</v>
      </c>
      <c r="N6516" s="403">
        <v>432</v>
      </c>
      <c r="O6516" s="403">
        <v>768</v>
      </c>
      <c r="P6516" t="str">
        <f t="shared" si="817"/>
        <v>25fps 1080p - SD</v>
      </c>
      <c r="Q6516">
        <f t="shared" si="818"/>
        <v>34</v>
      </c>
      <c r="R6516" t="str">
        <f t="shared" si="819"/>
        <v/>
      </c>
      <c r="S6516" t="str">
        <f t="shared" si="820"/>
        <v/>
      </c>
      <c r="T6516" s="403" t="str">
        <f t="shared" si="821"/>
        <v>NIN-73023-AxA</v>
      </c>
      <c r="U6516" s="403">
        <f t="shared" si="822"/>
        <v>1</v>
      </c>
      <c r="V6516" s="403" t="str">
        <f t="shared" si="823"/>
        <v>CPP_7</v>
      </c>
    </row>
    <row r="6517" spans="1:22">
      <c r="A6517" t="str">
        <f t="shared" si="816"/>
        <v>NIN-73023-AxA</v>
      </c>
      <c r="B6517" s="403" t="s">
        <v>1459</v>
      </c>
      <c r="C6517" s="403" t="s">
        <v>583</v>
      </c>
      <c r="D6517" s="403" t="s">
        <v>1311</v>
      </c>
      <c r="E6517" s="403" t="s">
        <v>1314</v>
      </c>
      <c r="F6517" s="403" t="s">
        <v>1287</v>
      </c>
      <c r="G6517" s="403" t="s">
        <v>1467</v>
      </c>
      <c r="H6517" s="403" t="s">
        <v>1276</v>
      </c>
      <c r="I6517" s="403">
        <v>1</v>
      </c>
      <c r="J6517" s="403" t="s">
        <v>110</v>
      </c>
      <c r="K6517" s="403">
        <v>1080</v>
      </c>
      <c r="L6517" s="403">
        <v>1920</v>
      </c>
      <c r="M6517" s="403" t="s">
        <v>110</v>
      </c>
      <c r="N6517" s="403">
        <v>1080</v>
      </c>
      <c r="O6517" s="403">
        <v>1920</v>
      </c>
      <c r="P6517" t="str">
        <f t="shared" si="817"/>
        <v>25fps 1080p - 1080p</v>
      </c>
      <c r="Q6517">
        <f t="shared" si="818"/>
        <v>34</v>
      </c>
      <c r="R6517" t="str">
        <f t="shared" si="819"/>
        <v/>
      </c>
      <c r="S6517" t="str">
        <f t="shared" si="820"/>
        <v/>
      </c>
      <c r="T6517" s="403" t="str">
        <f t="shared" si="821"/>
        <v>NIN-73023-AxA</v>
      </c>
      <c r="U6517" s="403">
        <f t="shared" si="822"/>
        <v>1</v>
      </c>
      <c r="V6517" s="403" t="str">
        <f t="shared" si="823"/>
        <v>CPP_7</v>
      </c>
    </row>
    <row r="6518" spans="1:22">
      <c r="A6518" t="str">
        <f t="shared" si="816"/>
        <v>NIN-73023-AxA</v>
      </c>
      <c r="B6518" s="403" t="s">
        <v>1459</v>
      </c>
      <c r="C6518" s="403" t="s">
        <v>583</v>
      </c>
      <c r="D6518" s="403" t="s">
        <v>1311</v>
      </c>
      <c r="E6518" s="403" t="s">
        <v>1314</v>
      </c>
      <c r="F6518" s="403" t="s">
        <v>1287</v>
      </c>
      <c r="G6518" s="403" t="s">
        <v>1467</v>
      </c>
      <c r="H6518" s="403" t="s">
        <v>1276</v>
      </c>
      <c r="I6518" s="403">
        <v>1</v>
      </c>
      <c r="J6518" s="403" t="s">
        <v>110</v>
      </c>
      <c r="K6518" s="403">
        <v>1080</v>
      </c>
      <c r="L6518" s="403">
        <v>1920</v>
      </c>
      <c r="M6518" s="403" t="s">
        <v>109</v>
      </c>
      <c r="N6518" s="403">
        <v>720</v>
      </c>
      <c r="O6518" s="403">
        <v>1280</v>
      </c>
      <c r="P6518" t="str">
        <f t="shared" si="817"/>
        <v>25fps 1080p - 720p</v>
      </c>
      <c r="Q6518">
        <f t="shared" si="818"/>
        <v>34</v>
      </c>
      <c r="R6518" t="str">
        <f t="shared" si="819"/>
        <v/>
      </c>
      <c r="S6518" t="str">
        <f t="shared" si="820"/>
        <v/>
      </c>
      <c r="T6518" s="403" t="str">
        <f t="shared" si="821"/>
        <v>NIN-73023-AxA</v>
      </c>
      <c r="U6518" s="403">
        <f t="shared" si="822"/>
        <v>1</v>
      </c>
      <c r="V6518" s="403" t="str">
        <f t="shared" si="823"/>
        <v>CPP_7</v>
      </c>
    </row>
    <row r="6519" spans="1:22">
      <c r="A6519" t="str">
        <f t="shared" si="816"/>
        <v>NIN-73023-AxA</v>
      </c>
      <c r="B6519" s="403" t="s">
        <v>1459</v>
      </c>
      <c r="C6519" s="403" t="s">
        <v>583</v>
      </c>
      <c r="D6519" s="403" t="s">
        <v>1311</v>
      </c>
      <c r="E6519" s="403" t="s">
        <v>1314</v>
      </c>
      <c r="F6519" s="403" t="s">
        <v>1287</v>
      </c>
      <c r="G6519" s="403" t="s">
        <v>1467</v>
      </c>
      <c r="H6519" s="403" t="s">
        <v>1276</v>
      </c>
      <c r="I6519" s="403">
        <v>1</v>
      </c>
      <c r="J6519" s="403" t="s">
        <v>110</v>
      </c>
      <c r="K6519" s="403">
        <v>1080</v>
      </c>
      <c r="L6519" s="403">
        <v>1920</v>
      </c>
      <c r="M6519" s="403" t="s">
        <v>1279</v>
      </c>
      <c r="N6519" s="403">
        <v>432</v>
      </c>
      <c r="O6519" s="403">
        <v>768</v>
      </c>
      <c r="P6519" t="str">
        <f t="shared" si="817"/>
        <v>25fps 1080p - SD ROI PTZ</v>
      </c>
      <c r="Q6519">
        <f t="shared" si="818"/>
        <v>34</v>
      </c>
      <c r="R6519" t="str">
        <f t="shared" si="819"/>
        <v/>
      </c>
      <c r="S6519" t="str">
        <f t="shared" si="820"/>
        <v/>
      </c>
      <c r="T6519" s="403" t="str">
        <f t="shared" si="821"/>
        <v>NIN-73023-AxA</v>
      </c>
      <c r="U6519" s="403">
        <f t="shared" si="822"/>
        <v>1</v>
      </c>
      <c r="V6519" s="403" t="str">
        <f t="shared" si="823"/>
        <v>CPP_7</v>
      </c>
    </row>
    <row r="6520" spans="1:22">
      <c r="A6520" t="str">
        <f t="shared" si="816"/>
        <v>NIN-73023-AxA</v>
      </c>
      <c r="B6520" s="403" t="s">
        <v>1459</v>
      </c>
      <c r="C6520" s="403" t="s">
        <v>583</v>
      </c>
      <c r="D6520" s="403" t="s">
        <v>1311</v>
      </c>
      <c r="E6520" s="403" t="s">
        <v>1314</v>
      </c>
      <c r="F6520" s="403" t="s">
        <v>1287</v>
      </c>
      <c r="G6520" s="403" t="s">
        <v>1467</v>
      </c>
      <c r="H6520" s="403" t="s">
        <v>1276</v>
      </c>
      <c r="I6520" s="403">
        <v>1</v>
      </c>
      <c r="J6520" s="403" t="s">
        <v>110</v>
      </c>
      <c r="K6520" s="403">
        <v>1080</v>
      </c>
      <c r="L6520" s="403">
        <v>1920</v>
      </c>
      <c r="M6520" s="403" t="s">
        <v>1298</v>
      </c>
      <c r="N6520" s="403">
        <v>432</v>
      </c>
      <c r="O6520" s="403">
        <v>768</v>
      </c>
      <c r="P6520" t="str">
        <f t="shared" si="817"/>
        <v>25fps 1080p - SD dual stream with independent ROI PTZ</v>
      </c>
      <c r="Q6520">
        <f t="shared" si="818"/>
        <v>34</v>
      </c>
      <c r="R6520" t="str">
        <f t="shared" si="819"/>
        <v/>
      </c>
      <c r="S6520" t="str">
        <f t="shared" si="820"/>
        <v/>
      </c>
      <c r="T6520" s="403" t="str">
        <f t="shared" si="821"/>
        <v>NIN-73023-AxA</v>
      </c>
      <c r="U6520" s="403">
        <f t="shared" si="822"/>
        <v>1</v>
      </c>
      <c r="V6520" s="403" t="str">
        <f t="shared" si="823"/>
        <v>CPP_7</v>
      </c>
    </row>
    <row r="6521" spans="1:22">
      <c r="A6521" t="str">
        <f t="shared" si="816"/>
        <v>NIN-73023-AxA</v>
      </c>
      <c r="B6521" s="403" t="s">
        <v>1459</v>
      </c>
      <c r="C6521" s="403" t="s">
        <v>583</v>
      </c>
      <c r="D6521" s="403" t="s">
        <v>1311</v>
      </c>
      <c r="E6521" s="403" t="s">
        <v>1314</v>
      </c>
      <c r="F6521" s="403" t="s">
        <v>1287</v>
      </c>
      <c r="G6521" s="403" t="s">
        <v>1467</v>
      </c>
      <c r="H6521" s="403" t="s">
        <v>1276</v>
      </c>
      <c r="I6521" s="403">
        <v>1</v>
      </c>
      <c r="J6521" s="403" t="s">
        <v>110</v>
      </c>
      <c r="K6521" s="403">
        <v>1080</v>
      </c>
      <c r="L6521" s="403">
        <v>1920</v>
      </c>
      <c r="M6521" s="403" t="s">
        <v>1283</v>
      </c>
      <c r="N6521" s="403">
        <v>576</v>
      </c>
      <c r="O6521" s="403">
        <v>704</v>
      </c>
      <c r="P6521" t="str">
        <f t="shared" si="817"/>
        <v>25fps 1080p - SD 4CIF resolution 4:3 format (cropped)</v>
      </c>
      <c r="Q6521">
        <f t="shared" si="818"/>
        <v>34</v>
      </c>
      <c r="R6521" t="str">
        <f t="shared" si="819"/>
        <v/>
      </c>
      <c r="S6521" t="str">
        <f t="shared" si="820"/>
        <v/>
      </c>
      <c r="T6521" s="403" t="str">
        <f t="shared" si="821"/>
        <v>NIN-73023-AxA</v>
      </c>
      <c r="U6521" s="403">
        <f t="shared" si="822"/>
        <v>1</v>
      </c>
      <c r="V6521" s="403" t="str">
        <f t="shared" si="823"/>
        <v>CPP_7</v>
      </c>
    </row>
    <row r="6522" spans="1:22">
      <c r="A6522" t="str">
        <f t="shared" si="816"/>
        <v>NIN-73023-AxA</v>
      </c>
      <c r="B6522" s="403" t="s">
        <v>1459</v>
      </c>
      <c r="C6522" s="403" t="s">
        <v>583</v>
      </c>
      <c r="D6522" s="403" t="s">
        <v>1311</v>
      </c>
      <c r="E6522" s="403" t="s">
        <v>1314</v>
      </c>
      <c r="F6522" s="403" t="s">
        <v>1287</v>
      </c>
      <c r="G6522" s="403" t="s">
        <v>1467</v>
      </c>
      <c r="H6522" s="403" t="s">
        <v>1276</v>
      </c>
      <c r="I6522" s="403">
        <v>1</v>
      </c>
      <c r="J6522" s="403" t="s">
        <v>110</v>
      </c>
      <c r="K6522" s="403">
        <v>1080</v>
      </c>
      <c r="L6522" s="403">
        <v>1920</v>
      </c>
      <c r="M6522" s="403" t="s">
        <v>1284</v>
      </c>
      <c r="N6522" s="403">
        <v>480</v>
      </c>
      <c r="O6522" s="403">
        <v>640</v>
      </c>
      <c r="P6522" t="str">
        <f t="shared" si="817"/>
        <v>25fps 1080p - SD VGA (cropped)</v>
      </c>
      <c r="Q6522">
        <f t="shared" si="818"/>
        <v>34</v>
      </c>
      <c r="R6522" t="str">
        <f t="shared" si="819"/>
        <v/>
      </c>
      <c r="S6522" t="str">
        <f t="shared" si="820"/>
        <v/>
      </c>
      <c r="T6522" s="403" t="str">
        <f t="shared" si="821"/>
        <v>NIN-73023-AxA</v>
      </c>
      <c r="U6522" s="403">
        <f t="shared" si="822"/>
        <v>1</v>
      </c>
      <c r="V6522" s="403" t="str">
        <f t="shared" si="823"/>
        <v>CPP_7</v>
      </c>
    </row>
    <row r="6523" spans="1:22">
      <c r="A6523" t="str">
        <f t="shared" si="816"/>
        <v>NIN-73023-AxA</v>
      </c>
      <c r="B6523" s="403" t="s">
        <v>1459</v>
      </c>
      <c r="C6523" s="403" t="s">
        <v>583</v>
      </c>
      <c r="D6523" s="403" t="s">
        <v>1311</v>
      </c>
      <c r="E6523" s="403" t="s">
        <v>1314</v>
      </c>
      <c r="F6523" s="403" t="s">
        <v>1287</v>
      </c>
      <c r="G6523" s="403" t="s">
        <v>1467</v>
      </c>
      <c r="H6523" s="403" t="s">
        <v>1276</v>
      </c>
      <c r="I6523" s="403">
        <v>1</v>
      </c>
      <c r="J6523" s="403" t="s">
        <v>109</v>
      </c>
      <c r="K6523" s="403">
        <v>720</v>
      </c>
      <c r="L6523" s="403">
        <v>1280</v>
      </c>
      <c r="M6523" s="403" t="s">
        <v>111</v>
      </c>
      <c r="N6523" s="403">
        <v>432</v>
      </c>
      <c r="O6523" s="403">
        <v>768</v>
      </c>
      <c r="P6523" t="str">
        <f t="shared" si="817"/>
        <v>25fps 720p - SD</v>
      </c>
      <c r="Q6523">
        <f t="shared" si="818"/>
        <v>34</v>
      </c>
      <c r="R6523" t="str">
        <f t="shared" si="819"/>
        <v/>
      </c>
      <c r="S6523" t="str">
        <f t="shared" si="820"/>
        <v/>
      </c>
      <c r="T6523" s="403" t="str">
        <f t="shared" si="821"/>
        <v>NIN-73023-AxA</v>
      </c>
      <c r="U6523" s="403">
        <f t="shared" si="822"/>
        <v>1</v>
      </c>
      <c r="V6523" s="403" t="str">
        <f t="shared" si="823"/>
        <v>CPP_7</v>
      </c>
    </row>
    <row r="6524" spans="1:22">
      <c r="A6524" t="str">
        <f t="shared" si="816"/>
        <v>NIN-73023-AxA</v>
      </c>
      <c r="B6524" s="403" t="s">
        <v>1459</v>
      </c>
      <c r="C6524" s="403" t="s">
        <v>583</v>
      </c>
      <c r="D6524" s="403" t="s">
        <v>1311</v>
      </c>
      <c r="E6524" s="403" t="s">
        <v>1314</v>
      </c>
      <c r="F6524" s="403" t="s">
        <v>1287</v>
      </c>
      <c r="G6524" s="403" t="s">
        <v>1467</v>
      </c>
      <c r="H6524" s="403" t="s">
        <v>1276</v>
      </c>
      <c r="I6524" s="403">
        <v>1</v>
      </c>
      <c r="J6524" s="403" t="s">
        <v>109</v>
      </c>
      <c r="K6524" s="403">
        <v>720</v>
      </c>
      <c r="L6524" s="403">
        <v>1280</v>
      </c>
      <c r="M6524" s="403" t="s">
        <v>109</v>
      </c>
      <c r="N6524" s="403">
        <v>720</v>
      </c>
      <c r="O6524" s="403">
        <v>1280</v>
      </c>
      <c r="P6524" t="str">
        <f t="shared" si="817"/>
        <v>25fps 720p - 720p</v>
      </c>
      <c r="Q6524">
        <f t="shared" si="818"/>
        <v>34</v>
      </c>
      <c r="R6524" t="str">
        <f t="shared" si="819"/>
        <v/>
      </c>
      <c r="S6524" t="str">
        <f t="shared" si="820"/>
        <v/>
      </c>
      <c r="T6524" s="403" t="str">
        <f t="shared" si="821"/>
        <v>NIN-73023-AxA</v>
      </c>
      <c r="U6524" s="403">
        <f t="shared" si="822"/>
        <v>1</v>
      </c>
      <c r="V6524" s="403" t="str">
        <f t="shared" si="823"/>
        <v>CPP_7</v>
      </c>
    </row>
    <row r="6525" spans="1:22">
      <c r="A6525" t="str">
        <f t="shared" si="816"/>
        <v>NIN-73023-AxA</v>
      </c>
      <c r="B6525" s="403" t="s">
        <v>1459</v>
      </c>
      <c r="C6525" s="403" t="s">
        <v>583</v>
      </c>
      <c r="D6525" s="403" t="s">
        <v>1311</v>
      </c>
      <c r="E6525" s="403" t="s">
        <v>1314</v>
      </c>
      <c r="F6525" s="403" t="s">
        <v>1287</v>
      </c>
      <c r="G6525" s="403" t="s">
        <v>1467</v>
      </c>
      <c r="H6525" s="403" t="s">
        <v>1276</v>
      </c>
      <c r="I6525" s="403">
        <v>1</v>
      </c>
      <c r="J6525" s="403" t="s">
        <v>109</v>
      </c>
      <c r="K6525" s="403">
        <v>720</v>
      </c>
      <c r="L6525" s="403">
        <v>1280</v>
      </c>
      <c r="M6525" s="403" t="s">
        <v>1279</v>
      </c>
      <c r="N6525" s="403">
        <v>432</v>
      </c>
      <c r="O6525" s="403">
        <v>768</v>
      </c>
      <c r="P6525" t="str">
        <f t="shared" si="817"/>
        <v>25fps 720p - SD ROI PTZ</v>
      </c>
      <c r="Q6525">
        <f t="shared" si="818"/>
        <v>34</v>
      </c>
      <c r="R6525" t="str">
        <f t="shared" si="819"/>
        <v/>
      </c>
      <c r="S6525" t="str">
        <f t="shared" si="820"/>
        <v/>
      </c>
      <c r="T6525" s="403" t="str">
        <f t="shared" si="821"/>
        <v>NIN-73023-AxA</v>
      </c>
      <c r="U6525" s="403">
        <f t="shared" si="822"/>
        <v>1</v>
      </c>
      <c r="V6525" s="403" t="str">
        <f t="shared" si="823"/>
        <v>CPP_7</v>
      </c>
    </row>
    <row r="6526" spans="1:22">
      <c r="A6526" t="str">
        <f t="shared" si="816"/>
        <v>NIN-73023-AxA</v>
      </c>
      <c r="B6526" s="403" t="s">
        <v>1459</v>
      </c>
      <c r="C6526" s="403" t="s">
        <v>583</v>
      </c>
      <c r="D6526" s="403" t="s">
        <v>1311</v>
      </c>
      <c r="E6526" s="403" t="s">
        <v>1314</v>
      </c>
      <c r="F6526" s="403" t="s">
        <v>1287</v>
      </c>
      <c r="G6526" s="403" t="s">
        <v>1467</v>
      </c>
      <c r="H6526" s="403" t="s">
        <v>1276</v>
      </c>
      <c r="I6526" s="403">
        <v>1</v>
      </c>
      <c r="J6526" s="403" t="s">
        <v>109</v>
      </c>
      <c r="K6526" s="403">
        <v>720</v>
      </c>
      <c r="L6526" s="403">
        <v>1280</v>
      </c>
      <c r="M6526" s="403" t="s">
        <v>1298</v>
      </c>
      <c r="N6526" s="403">
        <v>432</v>
      </c>
      <c r="O6526" s="403">
        <v>768</v>
      </c>
      <c r="P6526" t="str">
        <f t="shared" si="817"/>
        <v>25fps 720p - SD dual stream with independent ROI PTZ</v>
      </c>
      <c r="Q6526">
        <f t="shared" si="818"/>
        <v>34</v>
      </c>
      <c r="R6526" t="str">
        <f t="shared" si="819"/>
        <v/>
      </c>
      <c r="S6526" t="str">
        <f t="shared" si="820"/>
        <v/>
      </c>
      <c r="T6526" s="403" t="str">
        <f t="shared" si="821"/>
        <v>NIN-73023-AxA</v>
      </c>
      <c r="U6526" s="403">
        <f t="shared" si="822"/>
        <v>1</v>
      </c>
      <c r="V6526" s="403" t="str">
        <f t="shared" si="823"/>
        <v>CPP_7</v>
      </c>
    </row>
    <row r="6527" spans="1:22">
      <c r="A6527" t="str">
        <f t="shared" si="816"/>
        <v>NIN-73023-AxA</v>
      </c>
      <c r="B6527" s="403" t="s">
        <v>1459</v>
      </c>
      <c r="C6527" s="403" t="s">
        <v>583</v>
      </c>
      <c r="D6527" s="403" t="s">
        <v>1311</v>
      </c>
      <c r="E6527" s="403" t="s">
        <v>1314</v>
      </c>
      <c r="F6527" s="403" t="s">
        <v>1287</v>
      </c>
      <c r="G6527" s="403" t="s">
        <v>1467</v>
      </c>
      <c r="H6527" s="403" t="s">
        <v>1276</v>
      </c>
      <c r="I6527" s="403">
        <v>1</v>
      </c>
      <c r="J6527" s="403" t="s">
        <v>109</v>
      </c>
      <c r="K6527" s="403">
        <v>720</v>
      </c>
      <c r="L6527" s="403">
        <v>1280</v>
      </c>
      <c r="M6527" s="403" t="s">
        <v>1283</v>
      </c>
      <c r="N6527" s="403">
        <v>576</v>
      </c>
      <c r="O6527" s="403">
        <v>704</v>
      </c>
      <c r="P6527" t="str">
        <f t="shared" si="817"/>
        <v>25fps 720p - SD 4CIF resolution 4:3 format (cropped)</v>
      </c>
      <c r="Q6527">
        <f t="shared" si="818"/>
        <v>34</v>
      </c>
      <c r="R6527" t="str">
        <f t="shared" si="819"/>
        <v/>
      </c>
      <c r="S6527" t="str">
        <f t="shared" si="820"/>
        <v/>
      </c>
      <c r="T6527" s="403" t="str">
        <f t="shared" si="821"/>
        <v>NIN-73023-AxA</v>
      </c>
      <c r="U6527" s="403">
        <f t="shared" si="822"/>
        <v>1</v>
      </c>
      <c r="V6527" s="403" t="str">
        <f t="shared" si="823"/>
        <v>CPP_7</v>
      </c>
    </row>
    <row r="6528" spans="1:22">
      <c r="A6528" t="str">
        <f t="shared" si="816"/>
        <v>NIN-73023-AxA</v>
      </c>
      <c r="B6528" s="403" t="s">
        <v>1459</v>
      </c>
      <c r="C6528" s="403" t="s">
        <v>583</v>
      </c>
      <c r="D6528" s="403" t="s">
        <v>1311</v>
      </c>
      <c r="E6528" s="403" t="s">
        <v>1314</v>
      </c>
      <c r="F6528" s="403" t="s">
        <v>1287</v>
      </c>
      <c r="G6528" s="403" t="s">
        <v>1467</v>
      </c>
      <c r="H6528" s="403" t="s">
        <v>1276</v>
      </c>
      <c r="I6528" s="403">
        <v>1</v>
      </c>
      <c r="J6528" s="403" t="s">
        <v>109</v>
      </c>
      <c r="K6528" s="403">
        <v>720</v>
      </c>
      <c r="L6528" s="403">
        <v>1280</v>
      </c>
      <c r="M6528" s="403" t="s">
        <v>1284</v>
      </c>
      <c r="N6528" s="403">
        <v>480</v>
      </c>
      <c r="O6528" s="403">
        <v>640</v>
      </c>
      <c r="P6528" t="str">
        <f t="shared" si="817"/>
        <v>25fps 720p - SD VGA (cropped)</v>
      </c>
      <c r="Q6528">
        <f t="shared" si="818"/>
        <v>34</v>
      </c>
      <c r="R6528" t="str">
        <f t="shared" si="819"/>
        <v/>
      </c>
      <c r="S6528" t="str">
        <f t="shared" si="820"/>
        <v/>
      </c>
      <c r="T6528" s="403" t="str">
        <f t="shared" si="821"/>
        <v>NIN-73023-AxA</v>
      </c>
      <c r="U6528" s="403">
        <f t="shared" si="822"/>
        <v>1</v>
      </c>
      <c r="V6528" s="403" t="str">
        <f t="shared" si="823"/>
        <v>CPP_7</v>
      </c>
    </row>
    <row r="6529" spans="1:22">
      <c r="A6529" t="str">
        <f t="shared" si="816"/>
        <v>NIN-73023-AxA</v>
      </c>
      <c r="B6529" s="403" t="s">
        <v>1459</v>
      </c>
      <c r="C6529" s="403" t="s">
        <v>583</v>
      </c>
      <c r="D6529" s="403" t="s">
        <v>1311</v>
      </c>
      <c r="E6529" s="403" t="s">
        <v>1314</v>
      </c>
      <c r="F6529" s="403" t="s">
        <v>1287</v>
      </c>
      <c r="G6529" s="403" t="s">
        <v>1467</v>
      </c>
      <c r="H6529" s="403" t="s">
        <v>1276</v>
      </c>
      <c r="I6529" s="403">
        <v>1</v>
      </c>
      <c r="J6529" s="403" t="s">
        <v>111</v>
      </c>
      <c r="K6529" s="403">
        <v>432</v>
      </c>
      <c r="L6529" s="403">
        <v>768</v>
      </c>
      <c r="M6529" s="403" t="s">
        <v>111</v>
      </c>
      <c r="N6529" s="403">
        <v>432</v>
      </c>
      <c r="O6529" s="403">
        <v>768</v>
      </c>
      <c r="P6529" t="str">
        <f t="shared" si="817"/>
        <v>25fps SD - SD</v>
      </c>
      <c r="Q6529">
        <f t="shared" si="818"/>
        <v>34</v>
      </c>
      <c r="R6529" t="str">
        <f t="shared" si="819"/>
        <v/>
      </c>
      <c r="S6529" t="str">
        <f t="shared" si="820"/>
        <v/>
      </c>
      <c r="T6529" s="403" t="str">
        <f t="shared" si="821"/>
        <v>NIN-73023-AxA</v>
      </c>
      <c r="U6529" s="403">
        <f t="shared" si="822"/>
        <v>1</v>
      </c>
      <c r="V6529" s="403" t="str">
        <f t="shared" si="823"/>
        <v>CPP_7</v>
      </c>
    </row>
    <row r="6530" spans="1:22">
      <c r="A6530" t="str">
        <f t="shared" si="816"/>
        <v>NTI-51022-A3S</v>
      </c>
      <c r="B6530" s="403" t="s">
        <v>1460</v>
      </c>
      <c r="C6530" s="403" t="s">
        <v>582</v>
      </c>
      <c r="D6530" s="403" t="s">
        <v>1461</v>
      </c>
      <c r="E6530" s="403" t="s">
        <v>778</v>
      </c>
      <c r="F6530" s="403" t="s">
        <v>1286</v>
      </c>
      <c r="G6530" s="403" t="s">
        <v>1466</v>
      </c>
      <c r="H6530" s="403" t="s">
        <v>1276</v>
      </c>
      <c r="I6530" s="403">
        <v>1</v>
      </c>
      <c r="J6530" s="403" t="s">
        <v>110</v>
      </c>
      <c r="K6530" s="403">
        <v>1920</v>
      </c>
      <c r="L6530" s="403">
        <v>1080</v>
      </c>
      <c r="M6530" s="403" t="s">
        <v>111</v>
      </c>
      <c r="N6530" s="403">
        <v>768</v>
      </c>
      <c r="O6530" s="403">
        <v>432</v>
      </c>
      <c r="P6530" t="str">
        <f t="shared" si="817"/>
        <v>30fps 1080p - SD</v>
      </c>
      <c r="Q6530">
        <f t="shared" si="818"/>
        <v>35</v>
      </c>
      <c r="R6530">
        <f t="shared" si="819"/>
        <v>35</v>
      </c>
      <c r="S6530" t="str">
        <f t="shared" si="820"/>
        <v>DINION IP bullet 5000 HD (NTI-51022-A3S)</v>
      </c>
      <c r="T6530" s="403" t="str">
        <f t="shared" si="821"/>
        <v>NTI-51022-A3S</v>
      </c>
      <c r="U6530" s="403">
        <f t="shared" si="822"/>
        <v>1</v>
      </c>
      <c r="V6530" s="403" t="str">
        <f t="shared" si="823"/>
        <v>CPP_7_3</v>
      </c>
    </row>
    <row r="6531" spans="1:22">
      <c r="A6531" t="str">
        <f t="shared" si="816"/>
        <v>NTI-51022-A3S</v>
      </c>
      <c r="B6531" s="403" t="s">
        <v>1460</v>
      </c>
      <c r="C6531" s="403" t="s">
        <v>582</v>
      </c>
      <c r="D6531" s="403" t="s">
        <v>1461</v>
      </c>
      <c r="E6531" s="403" t="s">
        <v>778</v>
      </c>
      <c r="F6531" s="403" t="s">
        <v>1286</v>
      </c>
      <c r="G6531" s="403" t="s">
        <v>1466</v>
      </c>
      <c r="H6531" s="403" t="s">
        <v>1276</v>
      </c>
      <c r="I6531" s="403">
        <v>1</v>
      </c>
      <c r="J6531" s="403" t="s">
        <v>110</v>
      </c>
      <c r="K6531" s="403">
        <v>1920</v>
      </c>
      <c r="L6531" s="403">
        <v>1080</v>
      </c>
      <c r="M6531" s="403" t="s">
        <v>1462</v>
      </c>
      <c r="N6531" s="403">
        <v>1920</v>
      </c>
      <c r="O6531" s="403">
        <v>1080</v>
      </c>
      <c r="P6531" t="str">
        <f t="shared" si="817"/>
        <v>30fps 1080p - 1080p skip=7</v>
      </c>
      <c r="Q6531">
        <f t="shared" si="818"/>
        <v>35</v>
      </c>
      <c r="R6531" t="str">
        <f t="shared" si="819"/>
        <v/>
      </c>
      <c r="S6531" t="str">
        <f t="shared" si="820"/>
        <v/>
      </c>
      <c r="T6531" s="403" t="str">
        <f t="shared" si="821"/>
        <v>NTI-51022-A3S</v>
      </c>
      <c r="U6531" s="403">
        <f t="shared" si="822"/>
        <v>1</v>
      </c>
      <c r="V6531" s="403" t="str">
        <f t="shared" si="823"/>
        <v>CPP_7_3</v>
      </c>
    </row>
    <row r="6532" spans="1:22">
      <c r="A6532" t="str">
        <f t="shared" si="816"/>
        <v>NTI-51022-A3S</v>
      </c>
      <c r="B6532" s="403" t="s">
        <v>1460</v>
      </c>
      <c r="C6532" s="403" t="s">
        <v>582</v>
      </c>
      <c r="D6532" s="403" t="s">
        <v>1461</v>
      </c>
      <c r="E6532" s="403" t="s">
        <v>778</v>
      </c>
      <c r="F6532" s="403" t="s">
        <v>1286</v>
      </c>
      <c r="G6532" s="403" t="s">
        <v>1466</v>
      </c>
      <c r="H6532" s="403" t="s">
        <v>1276</v>
      </c>
      <c r="I6532" s="403">
        <v>1</v>
      </c>
      <c r="J6532" s="403" t="s">
        <v>110</v>
      </c>
      <c r="K6532" s="403">
        <v>1920</v>
      </c>
      <c r="L6532" s="403">
        <v>1080</v>
      </c>
      <c r="M6532" s="403" t="s">
        <v>1463</v>
      </c>
      <c r="N6532" s="403">
        <v>1280</v>
      </c>
      <c r="O6532" s="403">
        <v>720</v>
      </c>
      <c r="P6532" t="str">
        <f t="shared" si="817"/>
        <v>30fps 1080p - 720p skip=3</v>
      </c>
      <c r="Q6532">
        <f t="shared" si="818"/>
        <v>35</v>
      </c>
      <c r="R6532" t="str">
        <f t="shared" si="819"/>
        <v/>
      </c>
      <c r="S6532" t="str">
        <f t="shared" si="820"/>
        <v/>
      </c>
      <c r="T6532" s="403" t="str">
        <f t="shared" si="821"/>
        <v>NTI-51022-A3S</v>
      </c>
      <c r="U6532" s="403">
        <f t="shared" si="822"/>
        <v>1</v>
      </c>
      <c r="V6532" s="403" t="str">
        <f t="shared" si="823"/>
        <v>CPP_7_3</v>
      </c>
    </row>
    <row r="6533" spans="1:22">
      <c r="A6533" t="str">
        <f t="shared" si="816"/>
        <v>NTI-51022-A3S</v>
      </c>
      <c r="B6533" s="403" t="s">
        <v>1460</v>
      </c>
      <c r="C6533" s="403" t="s">
        <v>582</v>
      </c>
      <c r="D6533" s="403" t="s">
        <v>1461</v>
      </c>
      <c r="E6533" s="403" t="s">
        <v>778</v>
      </c>
      <c r="F6533" s="403" t="s">
        <v>1286</v>
      </c>
      <c r="G6533" s="403" t="s">
        <v>1466</v>
      </c>
      <c r="H6533" s="403" t="s">
        <v>1276</v>
      </c>
      <c r="I6533" s="403">
        <v>1</v>
      </c>
      <c r="J6533" s="403" t="s">
        <v>110</v>
      </c>
      <c r="K6533" s="403">
        <v>1920</v>
      </c>
      <c r="L6533" s="403">
        <v>1080</v>
      </c>
      <c r="M6533" s="403" t="s">
        <v>1280</v>
      </c>
      <c r="N6533" s="403">
        <v>1920</v>
      </c>
      <c r="O6533" s="403">
        <v>1080</v>
      </c>
      <c r="P6533" t="str">
        <f t="shared" si="817"/>
        <v>30fps 1080p - copy other stream</v>
      </c>
      <c r="Q6533">
        <f t="shared" si="818"/>
        <v>35</v>
      </c>
      <c r="R6533" t="str">
        <f t="shared" si="819"/>
        <v/>
      </c>
      <c r="S6533" t="str">
        <f t="shared" si="820"/>
        <v/>
      </c>
      <c r="T6533" s="403" t="str">
        <f t="shared" si="821"/>
        <v>NTI-51022-A3S</v>
      </c>
      <c r="U6533" s="403">
        <f t="shared" si="822"/>
        <v>1</v>
      </c>
      <c r="V6533" s="403" t="str">
        <f t="shared" si="823"/>
        <v>CPP_7_3</v>
      </c>
    </row>
    <row r="6534" spans="1:22">
      <c r="A6534" t="str">
        <f t="shared" si="816"/>
        <v>NTI-51022-A3S</v>
      </c>
      <c r="B6534" s="403" t="s">
        <v>1460</v>
      </c>
      <c r="C6534" s="403" t="s">
        <v>582</v>
      </c>
      <c r="D6534" s="403" t="s">
        <v>1461</v>
      </c>
      <c r="E6534" s="403" t="s">
        <v>778</v>
      </c>
      <c r="F6534" s="403" t="s">
        <v>1286</v>
      </c>
      <c r="G6534" s="403" t="s">
        <v>1466</v>
      </c>
      <c r="H6534" s="403" t="s">
        <v>1276</v>
      </c>
      <c r="I6534" s="403">
        <v>1</v>
      </c>
      <c r="J6534" s="403" t="s">
        <v>110</v>
      </c>
      <c r="K6534" s="403">
        <v>1920</v>
      </c>
      <c r="L6534" s="403">
        <v>1080</v>
      </c>
      <c r="M6534" s="403" t="s">
        <v>1279</v>
      </c>
      <c r="N6534" s="403">
        <v>768</v>
      </c>
      <c r="O6534" s="403">
        <v>432</v>
      </c>
      <c r="P6534" t="str">
        <f t="shared" si="817"/>
        <v>30fps 1080p - SD ROI PTZ</v>
      </c>
      <c r="Q6534">
        <f t="shared" si="818"/>
        <v>35</v>
      </c>
      <c r="R6534" t="str">
        <f t="shared" si="819"/>
        <v/>
      </c>
      <c r="S6534" t="str">
        <f t="shared" si="820"/>
        <v/>
      </c>
      <c r="T6534" s="403" t="str">
        <f t="shared" si="821"/>
        <v>NTI-51022-A3S</v>
      </c>
      <c r="U6534" s="403">
        <f t="shared" si="822"/>
        <v>1</v>
      </c>
      <c r="V6534" s="403" t="str">
        <f t="shared" si="823"/>
        <v>CPP_7_3</v>
      </c>
    </row>
    <row r="6535" spans="1:22">
      <c r="A6535" t="str">
        <f t="shared" si="816"/>
        <v>NTI-51022-A3S</v>
      </c>
      <c r="B6535" s="403" t="s">
        <v>1460</v>
      </c>
      <c r="C6535" s="403" t="s">
        <v>582</v>
      </c>
      <c r="D6535" s="403" t="s">
        <v>1461</v>
      </c>
      <c r="E6535" s="403" t="s">
        <v>778</v>
      </c>
      <c r="F6535" s="403" t="s">
        <v>1286</v>
      </c>
      <c r="G6535" s="403" t="s">
        <v>1466</v>
      </c>
      <c r="H6535" s="403" t="s">
        <v>1276</v>
      </c>
      <c r="I6535" s="403">
        <v>1</v>
      </c>
      <c r="J6535" s="403" t="s">
        <v>110</v>
      </c>
      <c r="K6535" s="403">
        <v>1920</v>
      </c>
      <c r="L6535" s="403">
        <v>1080</v>
      </c>
      <c r="M6535" s="403" t="s">
        <v>1284</v>
      </c>
      <c r="N6535" s="403">
        <v>640</v>
      </c>
      <c r="O6535" s="403">
        <v>480</v>
      </c>
      <c r="P6535" t="str">
        <f t="shared" si="817"/>
        <v>30fps 1080p - SD VGA (cropped)</v>
      </c>
      <c r="Q6535">
        <f t="shared" si="818"/>
        <v>35</v>
      </c>
      <c r="R6535" t="str">
        <f t="shared" si="819"/>
        <v/>
      </c>
      <c r="S6535" t="str">
        <f t="shared" si="820"/>
        <v/>
      </c>
      <c r="T6535" s="403" t="str">
        <f t="shared" si="821"/>
        <v>NTI-51022-A3S</v>
      </c>
      <c r="U6535" s="403">
        <f t="shared" si="822"/>
        <v>1</v>
      </c>
      <c r="V6535" s="403" t="str">
        <f t="shared" si="823"/>
        <v>CPP_7_3</v>
      </c>
    </row>
    <row r="6536" spans="1:22">
      <c r="A6536" t="str">
        <f t="shared" si="816"/>
        <v>NTI-51022-A3S</v>
      </c>
      <c r="B6536" s="403" t="s">
        <v>1460</v>
      </c>
      <c r="C6536" s="403" t="s">
        <v>582</v>
      </c>
      <c r="D6536" s="403" t="s">
        <v>1461</v>
      </c>
      <c r="E6536" s="403" t="s">
        <v>778</v>
      </c>
      <c r="F6536" s="403" t="s">
        <v>1286</v>
      </c>
      <c r="G6536" s="403" t="s">
        <v>1466</v>
      </c>
      <c r="H6536" s="403" t="s">
        <v>1276</v>
      </c>
      <c r="I6536" s="403">
        <v>1</v>
      </c>
      <c r="J6536" s="403" t="s">
        <v>109</v>
      </c>
      <c r="K6536" s="403">
        <v>1280</v>
      </c>
      <c r="L6536" s="403">
        <v>720</v>
      </c>
      <c r="M6536" s="403" t="s">
        <v>111</v>
      </c>
      <c r="N6536" s="403">
        <v>768</v>
      </c>
      <c r="O6536" s="403">
        <v>432</v>
      </c>
      <c r="P6536" t="str">
        <f t="shared" si="817"/>
        <v>30fps 720p - SD</v>
      </c>
      <c r="Q6536">
        <f t="shared" si="818"/>
        <v>35</v>
      </c>
      <c r="R6536" t="str">
        <f t="shared" si="819"/>
        <v/>
      </c>
      <c r="S6536" t="str">
        <f t="shared" si="820"/>
        <v/>
      </c>
      <c r="T6536" s="403" t="str">
        <f t="shared" si="821"/>
        <v>NTI-51022-A3S</v>
      </c>
      <c r="U6536" s="403">
        <f t="shared" si="822"/>
        <v>1</v>
      </c>
      <c r="V6536" s="403" t="str">
        <f t="shared" si="823"/>
        <v>CPP_7_3</v>
      </c>
    </row>
    <row r="6537" spans="1:22">
      <c r="A6537" t="str">
        <f t="shared" si="816"/>
        <v>NTI-51022-A3S</v>
      </c>
      <c r="B6537" s="403" t="s">
        <v>1460</v>
      </c>
      <c r="C6537" s="403" t="s">
        <v>582</v>
      </c>
      <c r="D6537" s="403" t="s">
        <v>1461</v>
      </c>
      <c r="E6537" s="403" t="s">
        <v>778</v>
      </c>
      <c r="F6537" s="403" t="s">
        <v>1286</v>
      </c>
      <c r="G6537" s="403" t="s">
        <v>1466</v>
      </c>
      <c r="H6537" s="403" t="s">
        <v>1276</v>
      </c>
      <c r="I6537" s="403">
        <v>1</v>
      </c>
      <c r="J6537" s="403" t="s">
        <v>109</v>
      </c>
      <c r="K6537" s="403">
        <v>1280</v>
      </c>
      <c r="L6537" s="403">
        <v>720</v>
      </c>
      <c r="M6537" s="403" t="s">
        <v>1280</v>
      </c>
      <c r="N6537" s="403">
        <v>1280</v>
      </c>
      <c r="O6537" s="403">
        <v>720</v>
      </c>
      <c r="P6537" t="str">
        <f t="shared" si="817"/>
        <v>30fps 720p - copy other stream</v>
      </c>
      <c r="Q6537">
        <f t="shared" si="818"/>
        <v>35</v>
      </c>
      <c r="R6537" t="str">
        <f t="shared" si="819"/>
        <v/>
      </c>
      <c r="S6537" t="str">
        <f t="shared" si="820"/>
        <v/>
      </c>
      <c r="T6537" s="403" t="str">
        <f t="shared" si="821"/>
        <v>NTI-51022-A3S</v>
      </c>
      <c r="U6537" s="403">
        <f t="shared" si="822"/>
        <v>1</v>
      </c>
      <c r="V6537" s="403" t="str">
        <f t="shared" si="823"/>
        <v>CPP_7_3</v>
      </c>
    </row>
    <row r="6538" spans="1:22">
      <c r="A6538" t="str">
        <f t="shared" si="816"/>
        <v>NTI-51022-A3S</v>
      </c>
      <c r="B6538" s="403" t="s">
        <v>1460</v>
      </c>
      <c r="C6538" s="403" t="s">
        <v>582</v>
      </c>
      <c r="D6538" s="403" t="s">
        <v>1461</v>
      </c>
      <c r="E6538" s="403" t="s">
        <v>778</v>
      </c>
      <c r="F6538" s="403" t="s">
        <v>1286</v>
      </c>
      <c r="G6538" s="403" t="s">
        <v>1466</v>
      </c>
      <c r="H6538" s="403" t="s">
        <v>1276</v>
      </c>
      <c r="I6538" s="403">
        <v>1</v>
      </c>
      <c r="J6538" s="403" t="s">
        <v>109</v>
      </c>
      <c r="K6538" s="403">
        <v>1280</v>
      </c>
      <c r="L6538" s="403">
        <v>720</v>
      </c>
      <c r="M6538" s="403" t="s">
        <v>1279</v>
      </c>
      <c r="N6538" s="403">
        <v>768</v>
      </c>
      <c r="O6538" s="403">
        <v>432</v>
      </c>
      <c r="P6538" t="str">
        <f t="shared" si="817"/>
        <v>30fps 720p - SD ROI PTZ</v>
      </c>
      <c r="Q6538">
        <f t="shared" si="818"/>
        <v>35</v>
      </c>
      <c r="R6538" t="str">
        <f t="shared" si="819"/>
        <v/>
      </c>
      <c r="S6538" t="str">
        <f t="shared" si="820"/>
        <v/>
      </c>
      <c r="T6538" s="403" t="str">
        <f t="shared" si="821"/>
        <v>NTI-51022-A3S</v>
      </c>
      <c r="U6538" s="403">
        <f t="shared" si="822"/>
        <v>1</v>
      </c>
      <c r="V6538" s="403" t="str">
        <f t="shared" si="823"/>
        <v>CPP_7_3</v>
      </c>
    </row>
    <row r="6539" spans="1:22">
      <c r="A6539" t="str">
        <f t="shared" si="816"/>
        <v>NTI-51022-A3S</v>
      </c>
      <c r="B6539" s="403" t="s">
        <v>1460</v>
      </c>
      <c r="C6539" s="403" t="s">
        <v>582</v>
      </c>
      <c r="D6539" s="403" t="s">
        <v>1461</v>
      </c>
      <c r="E6539" s="403" t="s">
        <v>778</v>
      </c>
      <c r="F6539" s="403" t="s">
        <v>1286</v>
      </c>
      <c r="G6539" s="403" t="s">
        <v>1466</v>
      </c>
      <c r="H6539" s="403" t="s">
        <v>1276</v>
      </c>
      <c r="I6539" s="403">
        <v>1</v>
      </c>
      <c r="J6539" s="403" t="s">
        <v>109</v>
      </c>
      <c r="K6539" s="403">
        <v>1280</v>
      </c>
      <c r="L6539" s="403">
        <v>720</v>
      </c>
      <c r="M6539" s="403" t="s">
        <v>1283</v>
      </c>
      <c r="N6539" s="403">
        <v>720</v>
      </c>
      <c r="O6539" s="403">
        <v>480</v>
      </c>
      <c r="P6539" t="str">
        <f t="shared" si="817"/>
        <v>30fps 720p - SD 4CIF resolution 4:3 format (cropped)</v>
      </c>
      <c r="Q6539">
        <f t="shared" si="818"/>
        <v>35</v>
      </c>
      <c r="R6539" t="str">
        <f t="shared" si="819"/>
        <v/>
      </c>
      <c r="S6539" t="str">
        <f t="shared" si="820"/>
        <v/>
      </c>
      <c r="T6539" s="403" t="str">
        <f t="shared" si="821"/>
        <v>NTI-51022-A3S</v>
      </c>
      <c r="U6539" s="403">
        <f t="shared" si="822"/>
        <v>1</v>
      </c>
      <c r="V6539" s="403" t="str">
        <f t="shared" si="823"/>
        <v>CPP_7_3</v>
      </c>
    </row>
    <row r="6540" spans="1:22">
      <c r="A6540" t="str">
        <f t="shared" si="816"/>
        <v>NTI-51022-A3S</v>
      </c>
      <c r="B6540" s="403" t="s">
        <v>1460</v>
      </c>
      <c r="C6540" s="403" t="s">
        <v>582</v>
      </c>
      <c r="D6540" s="403" t="s">
        <v>1461</v>
      </c>
      <c r="E6540" s="403" t="s">
        <v>778</v>
      </c>
      <c r="F6540" s="403" t="s">
        <v>1286</v>
      </c>
      <c r="G6540" s="403" t="s">
        <v>1466</v>
      </c>
      <c r="H6540" s="403" t="s">
        <v>1276</v>
      </c>
      <c r="I6540" s="403">
        <v>1</v>
      </c>
      <c r="J6540" s="403" t="s">
        <v>109</v>
      </c>
      <c r="K6540" s="403">
        <v>1280</v>
      </c>
      <c r="L6540" s="403">
        <v>720</v>
      </c>
      <c r="M6540" s="403" t="s">
        <v>1284</v>
      </c>
      <c r="N6540" s="403">
        <v>640</v>
      </c>
      <c r="O6540" s="403">
        <v>480</v>
      </c>
      <c r="P6540" t="str">
        <f t="shared" si="817"/>
        <v>30fps 720p - SD VGA (cropped)</v>
      </c>
      <c r="Q6540">
        <f t="shared" si="818"/>
        <v>35</v>
      </c>
      <c r="R6540" t="str">
        <f t="shared" si="819"/>
        <v/>
      </c>
      <c r="S6540" t="str">
        <f t="shared" si="820"/>
        <v/>
      </c>
      <c r="T6540" s="403" t="str">
        <f t="shared" si="821"/>
        <v>NTI-51022-A3S</v>
      </c>
      <c r="U6540" s="403">
        <f t="shared" si="822"/>
        <v>1</v>
      </c>
      <c r="V6540" s="403" t="str">
        <f t="shared" si="823"/>
        <v>CPP_7_3</v>
      </c>
    </row>
    <row r="6541" spans="1:22">
      <c r="A6541" t="str">
        <f t="shared" si="816"/>
        <v>NTI-51022-A3S</v>
      </c>
      <c r="B6541" s="403" t="s">
        <v>1460</v>
      </c>
      <c r="C6541" s="403" t="s">
        <v>582</v>
      </c>
      <c r="D6541" s="403" t="s">
        <v>1461</v>
      </c>
      <c r="E6541" s="403" t="s">
        <v>778</v>
      </c>
      <c r="F6541" s="403" t="s">
        <v>1287</v>
      </c>
      <c r="G6541" s="403" t="s">
        <v>1466</v>
      </c>
      <c r="H6541" s="403" t="s">
        <v>1276</v>
      </c>
      <c r="I6541" s="403">
        <v>1</v>
      </c>
      <c r="J6541" s="403" t="s">
        <v>110</v>
      </c>
      <c r="K6541" s="403">
        <v>1920</v>
      </c>
      <c r="L6541" s="403">
        <v>1080</v>
      </c>
      <c r="M6541" s="403" t="s">
        <v>111</v>
      </c>
      <c r="N6541" s="403">
        <v>768</v>
      </c>
      <c r="O6541" s="403">
        <v>432</v>
      </c>
      <c r="P6541" t="str">
        <f t="shared" si="817"/>
        <v>25fps 1080p - SD</v>
      </c>
      <c r="Q6541">
        <f t="shared" si="818"/>
        <v>35</v>
      </c>
      <c r="R6541" t="str">
        <f t="shared" si="819"/>
        <v/>
      </c>
      <c r="S6541" t="str">
        <f t="shared" si="820"/>
        <v/>
      </c>
      <c r="T6541" s="403" t="str">
        <f t="shared" si="821"/>
        <v>NTI-51022-A3S</v>
      </c>
      <c r="U6541" s="403">
        <f t="shared" si="822"/>
        <v>1</v>
      </c>
      <c r="V6541" s="403" t="str">
        <f t="shared" si="823"/>
        <v>CPP_7_3</v>
      </c>
    </row>
    <row r="6542" spans="1:22">
      <c r="A6542" t="str">
        <f t="shared" si="816"/>
        <v>NTI-51022-A3S</v>
      </c>
      <c r="B6542" s="403" t="s">
        <v>1460</v>
      </c>
      <c r="C6542" s="403" t="s">
        <v>582</v>
      </c>
      <c r="D6542" s="403" t="s">
        <v>1461</v>
      </c>
      <c r="E6542" s="403" t="s">
        <v>778</v>
      </c>
      <c r="F6542" s="403" t="s">
        <v>1287</v>
      </c>
      <c r="G6542" s="403" t="s">
        <v>1466</v>
      </c>
      <c r="H6542" s="403" t="s">
        <v>1276</v>
      </c>
      <c r="I6542" s="403">
        <v>1</v>
      </c>
      <c r="J6542" s="403" t="s">
        <v>110</v>
      </c>
      <c r="K6542" s="403">
        <v>1920</v>
      </c>
      <c r="L6542" s="403">
        <v>1080</v>
      </c>
      <c r="M6542" s="403" t="s">
        <v>1462</v>
      </c>
      <c r="N6542" s="403">
        <v>1920</v>
      </c>
      <c r="O6542" s="403">
        <v>1080</v>
      </c>
      <c r="P6542" t="str">
        <f t="shared" si="817"/>
        <v>25fps 1080p - 1080p skip=7</v>
      </c>
      <c r="Q6542">
        <f t="shared" si="818"/>
        <v>35</v>
      </c>
      <c r="R6542" t="str">
        <f t="shared" si="819"/>
        <v/>
      </c>
      <c r="S6542" t="str">
        <f t="shared" si="820"/>
        <v/>
      </c>
      <c r="T6542" s="403" t="str">
        <f t="shared" si="821"/>
        <v>NTI-51022-A3S</v>
      </c>
      <c r="U6542" s="403">
        <f t="shared" si="822"/>
        <v>1</v>
      </c>
      <c r="V6542" s="403" t="str">
        <f t="shared" si="823"/>
        <v>CPP_7_3</v>
      </c>
    </row>
    <row r="6543" spans="1:22">
      <c r="A6543" t="str">
        <f t="shared" si="816"/>
        <v>NTI-51022-A3S</v>
      </c>
      <c r="B6543" s="403" t="s">
        <v>1460</v>
      </c>
      <c r="C6543" s="403" t="s">
        <v>582</v>
      </c>
      <c r="D6543" s="403" t="s">
        <v>1461</v>
      </c>
      <c r="E6543" s="403" t="s">
        <v>778</v>
      </c>
      <c r="F6543" s="403" t="s">
        <v>1287</v>
      </c>
      <c r="G6543" s="403" t="s">
        <v>1466</v>
      </c>
      <c r="H6543" s="403" t="s">
        <v>1276</v>
      </c>
      <c r="I6543" s="403">
        <v>1</v>
      </c>
      <c r="J6543" s="403" t="s">
        <v>110</v>
      </c>
      <c r="K6543" s="403">
        <v>1920</v>
      </c>
      <c r="L6543" s="403">
        <v>1080</v>
      </c>
      <c r="M6543" s="403" t="s">
        <v>1463</v>
      </c>
      <c r="N6543" s="403">
        <v>1280</v>
      </c>
      <c r="O6543" s="403">
        <v>720</v>
      </c>
      <c r="P6543" t="str">
        <f t="shared" si="817"/>
        <v>25fps 1080p - 720p skip=3</v>
      </c>
      <c r="Q6543">
        <f t="shared" si="818"/>
        <v>35</v>
      </c>
      <c r="R6543" t="str">
        <f t="shared" si="819"/>
        <v/>
      </c>
      <c r="S6543" t="str">
        <f t="shared" si="820"/>
        <v/>
      </c>
      <c r="T6543" s="403" t="str">
        <f t="shared" si="821"/>
        <v>NTI-51022-A3S</v>
      </c>
      <c r="U6543" s="403">
        <f t="shared" si="822"/>
        <v>1</v>
      </c>
      <c r="V6543" s="403" t="str">
        <f t="shared" si="823"/>
        <v>CPP_7_3</v>
      </c>
    </row>
    <row r="6544" spans="1:22">
      <c r="A6544" t="str">
        <f t="shared" si="816"/>
        <v>NTI-51022-A3S</v>
      </c>
      <c r="B6544" s="403" t="s">
        <v>1460</v>
      </c>
      <c r="C6544" s="403" t="s">
        <v>582</v>
      </c>
      <c r="D6544" s="403" t="s">
        <v>1461</v>
      </c>
      <c r="E6544" s="403" t="s">
        <v>778</v>
      </c>
      <c r="F6544" s="403" t="s">
        <v>1287</v>
      </c>
      <c r="G6544" s="403" t="s">
        <v>1466</v>
      </c>
      <c r="H6544" s="403" t="s">
        <v>1276</v>
      </c>
      <c r="I6544" s="403">
        <v>1</v>
      </c>
      <c r="J6544" s="403" t="s">
        <v>110</v>
      </c>
      <c r="K6544" s="403">
        <v>1920</v>
      </c>
      <c r="L6544" s="403">
        <v>1080</v>
      </c>
      <c r="M6544" s="403" t="s">
        <v>1280</v>
      </c>
      <c r="N6544" s="403">
        <v>1920</v>
      </c>
      <c r="O6544" s="403">
        <v>1080</v>
      </c>
      <c r="P6544" t="str">
        <f t="shared" si="817"/>
        <v>25fps 1080p - copy other stream</v>
      </c>
      <c r="Q6544">
        <f t="shared" si="818"/>
        <v>35</v>
      </c>
      <c r="R6544" t="str">
        <f t="shared" si="819"/>
        <v/>
      </c>
      <c r="S6544" t="str">
        <f t="shared" si="820"/>
        <v/>
      </c>
      <c r="T6544" s="403" t="str">
        <f t="shared" si="821"/>
        <v>NTI-51022-A3S</v>
      </c>
      <c r="U6544" s="403">
        <f t="shared" si="822"/>
        <v>1</v>
      </c>
      <c r="V6544" s="403" t="str">
        <f t="shared" si="823"/>
        <v>CPP_7_3</v>
      </c>
    </row>
    <row r="6545" spans="1:22">
      <c r="A6545" t="str">
        <f t="shared" si="816"/>
        <v>NTI-51022-A3S</v>
      </c>
      <c r="B6545" s="403" t="s">
        <v>1460</v>
      </c>
      <c r="C6545" s="403" t="s">
        <v>582</v>
      </c>
      <c r="D6545" s="403" t="s">
        <v>1461</v>
      </c>
      <c r="E6545" s="403" t="s">
        <v>778</v>
      </c>
      <c r="F6545" s="403" t="s">
        <v>1287</v>
      </c>
      <c r="G6545" s="403" t="s">
        <v>1466</v>
      </c>
      <c r="H6545" s="403" t="s">
        <v>1276</v>
      </c>
      <c r="I6545" s="403">
        <v>1</v>
      </c>
      <c r="J6545" s="403" t="s">
        <v>110</v>
      </c>
      <c r="K6545" s="403">
        <v>1920</v>
      </c>
      <c r="L6545" s="403">
        <v>1080</v>
      </c>
      <c r="M6545" s="403" t="s">
        <v>1279</v>
      </c>
      <c r="N6545" s="403">
        <v>768</v>
      </c>
      <c r="O6545" s="403">
        <v>432</v>
      </c>
      <c r="P6545" t="str">
        <f t="shared" si="817"/>
        <v>25fps 1080p - SD ROI PTZ</v>
      </c>
      <c r="Q6545">
        <f t="shared" si="818"/>
        <v>35</v>
      </c>
      <c r="R6545" t="str">
        <f t="shared" si="819"/>
        <v/>
      </c>
      <c r="S6545" t="str">
        <f t="shared" si="820"/>
        <v/>
      </c>
      <c r="T6545" s="403" t="str">
        <f t="shared" si="821"/>
        <v>NTI-51022-A3S</v>
      </c>
      <c r="U6545" s="403">
        <f t="shared" si="822"/>
        <v>1</v>
      </c>
      <c r="V6545" s="403" t="str">
        <f t="shared" si="823"/>
        <v>CPP_7_3</v>
      </c>
    </row>
    <row r="6546" spans="1:22">
      <c r="A6546" t="str">
        <f t="shared" si="816"/>
        <v>NTI-51022-A3S</v>
      </c>
      <c r="B6546" s="403" t="s">
        <v>1460</v>
      </c>
      <c r="C6546" s="403" t="s">
        <v>582</v>
      </c>
      <c r="D6546" s="403" t="s">
        <v>1461</v>
      </c>
      <c r="E6546" s="403" t="s">
        <v>778</v>
      </c>
      <c r="F6546" s="403" t="s">
        <v>1287</v>
      </c>
      <c r="G6546" s="403" t="s">
        <v>1466</v>
      </c>
      <c r="H6546" s="403" t="s">
        <v>1276</v>
      </c>
      <c r="I6546" s="403">
        <v>1</v>
      </c>
      <c r="J6546" s="403" t="s">
        <v>110</v>
      </c>
      <c r="K6546" s="403">
        <v>1920</v>
      </c>
      <c r="L6546" s="403">
        <v>1080</v>
      </c>
      <c r="M6546" s="403" t="s">
        <v>1284</v>
      </c>
      <c r="N6546" s="403">
        <v>640</v>
      </c>
      <c r="O6546" s="403">
        <v>480</v>
      </c>
      <c r="P6546" t="str">
        <f t="shared" si="817"/>
        <v>25fps 1080p - SD VGA (cropped)</v>
      </c>
      <c r="Q6546">
        <f t="shared" si="818"/>
        <v>35</v>
      </c>
      <c r="R6546" t="str">
        <f t="shared" si="819"/>
        <v/>
      </c>
      <c r="S6546" t="str">
        <f t="shared" si="820"/>
        <v/>
      </c>
      <c r="T6546" s="403" t="str">
        <f t="shared" si="821"/>
        <v>NTI-51022-A3S</v>
      </c>
      <c r="U6546" s="403">
        <f t="shared" si="822"/>
        <v>1</v>
      </c>
      <c r="V6546" s="403" t="str">
        <f t="shared" si="823"/>
        <v>CPP_7_3</v>
      </c>
    </row>
    <row r="6547" spans="1:22">
      <c r="A6547" t="str">
        <f t="shared" si="816"/>
        <v>NTI-51022-A3S</v>
      </c>
      <c r="B6547" s="403" t="s">
        <v>1460</v>
      </c>
      <c r="C6547" s="403" t="s">
        <v>582</v>
      </c>
      <c r="D6547" s="403" t="s">
        <v>1461</v>
      </c>
      <c r="E6547" s="403" t="s">
        <v>778</v>
      </c>
      <c r="F6547" s="403" t="s">
        <v>1287</v>
      </c>
      <c r="G6547" s="403" t="s">
        <v>1466</v>
      </c>
      <c r="H6547" s="403" t="s">
        <v>1276</v>
      </c>
      <c r="I6547" s="403">
        <v>1</v>
      </c>
      <c r="J6547" s="403" t="s">
        <v>109</v>
      </c>
      <c r="K6547" s="403">
        <v>1280</v>
      </c>
      <c r="L6547" s="403">
        <v>720</v>
      </c>
      <c r="M6547" s="403" t="s">
        <v>111</v>
      </c>
      <c r="N6547" s="403">
        <v>768</v>
      </c>
      <c r="O6547" s="403">
        <v>432</v>
      </c>
      <c r="P6547" t="str">
        <f t="shared" si="817"/>
        <v>25fps 720p - SD</v>
      </c>
      <c r="Q6547">
        <f t="shared" si="818"/>
        <v>35</v>
      </c>
      <c r="R6547" t="str">
        <f t="shared" si="819"/>
        <v/>
      </c>
      <c r="S6547" t="str">
        <f t="shared" si="820"/>
        <v/>
      </c>
      <c r="T6547" s="403" t="str">
        <f t="shared" si="821"/>
        <v>NTI-51022-A3S</v>
      </c>
      <c r="U6547" s="403">
        <f t="shared" si="822"/>
        <v>1</v>
      </c>
      <c r="V6547" s="403" t="str">
        <f t="shared" si="823"/>
        <v>CPP_7_3</v>
      </c>
    </row>
    <row r="6548" spans="1:22">
      <c r="A6548" t="str">
        <f t="shared" si="816"/>
        <v>NTI-51022-A3S</v>
      </c>
      <c r="B6548" s="403" t="s">
        <v>1460</v>
      </c>
      <c r="C6548" s="403" t="s">
        <v>582</v>
      </c>
      <c r="D6548" s="403" t="s">
        <v>1461</v>
      </c>
      <c r="E6548" s="403" t="s">
        <v>778</v>
      </c>
      <c r="F6548" s="403" t="s">
        <v>1287</v>
      </c>
      <c r="G6548" s="403" t="s">
        <v>1466</v>
      </c>
      <c r="H6548" s="403" t="s">
        <v>1276</v>
      </c>
      <c r="I6548" s="403">
        <v>1</v>
      </c>
      <c r="J6548" s="403" t="s">
        <v>109</v>
      </c>
      <c r="K6548" s="403">
        <v>1280</v>
      </c>
      <c r="L6548" s="403">
        <v>720</v>
      </c>
      <c r="M6548" s="403" t="s">
        <v>1280</v>
      </c>
      <c r="N6548" s="403">
        <v>1280</v>
      </c>
      <c r="O6548" s="403">
        <v>720</v>
      </c>
      <c r="P6548" t="str">
        <f t="shared" si="817"/>
        <v>25fps 720p - copy other stream</v>
      </c>
      <c r="Q6548">
        <f t="shared" si="818"/>
        <v>35</v>
      </c>
      <c r="R6548" t="str">
        <f t="shared" si="819"/>
        <v/>
      </c>
      <c r="S6548" t="str">
        <f t="shared" si="820"/>
        <v/>
      </c>
      <c r="T6548" s="403" t="str">
        <f t="shared" si="821"/>
        <v>NTI-51022-A3S</v>
      </c>
      <c r="U6548" s="403">
        <f t="shared" si="822"/>
        <v>1</v>
      </c>
      <c r="V6548" s="403" t="str">
        <f t="shared" si="823"/>
        <v>CPP_7_3</v>
      </c>
    </row>
    <row r="6549" spans="1:22">
      <c r="A6549" t="str">
        <f t="shared" si="816"/>
        <v>NTI-51022-A3S</v>
      </c>
      <c r="B6549" s="403" t="s">
        <v>1460</v>
      </c>
      <c r="C6549" s="403" t="s">
        <v>582</v>
      </c>
      <c r="D6549" s="403" t="s">
        <v>1461</v>
      </c>
      <c r="E6549" s="403" t="s">
        <v>778</v>
      </c>
      <c r="F6549" s="403" t="s">
        <v>1287</v>
      </c>
      <c r="G6549" s="403" t="s">
        <v>1466</v>
      </c>
      <c r="H6549" s="403" t="s">
        <v>1276</v>
      </c>
      <c r="I6549" s="403">
        <v>1</v>
      </c>
      <c r="J6549" s="403" t="s">
        <v>109</v>
      </c>
      <c r="K6549" s="403">
        <v>1280</v>
      </c>
      <c r="L6549" s="403">
        <v>720</v>
      </c>
      <c r="M6549" s="403" t="s">
        <v>1279</v>
      </c>
      <c r="N6549" s="403">
        <v>768</v>
      </c>
      <c r="O6549" s="403">
        <v>432</v>
      </c>
      <c r="P6549" t="str">
        <f t="shared" si="817"/>
        <v>25fps 720p - SD ROI PTZ</v>
      </c>
      <c r="Q6549">
        <f t="shared" si="818"/>
        <v>35</v>
      </c>
      <c r="R6549" t="str">
        <f t="shared" si="819"/>
        <v/>
      </c>
      <c r="S6549" t="str">
        <f t="shared" si="820"/>
        <v/>
      </c>
      <c r="T6549" s="403" t="str">
        <f t="shared" si="821"/>
        <v>NTI-51022-A3S</v>
      </c>
      <c r="U6549" s="403">
        <f t="shared" si="822"/>
        <v>1</v>
      </c>
      <c r="V6549" s="403" t="str">
        <f t="shared" si="823"/>
        <v>CPP_7_3</v>
      </c>
    </row>
    <row r="6550" spans="1:22">
      <c r="A6550" t="str">
        <f t="shared" si="816"/>
        <v>NTI-51022-A3S</v>
      </c>
      <c r="B6550" s="403" t="s">
        <v>1460</v>
      </c>
      <c r="C6550" s="403" t="s">
        <v>582</v>
      </c>
      <c r="D6550" s="403" t="s">
        <v>1461</v>
      </c>
      <c r="E6550" s="403" t="s">
        <v>778</v>
      </c>
      <c r="F6550" s="403" t="s">
        <v>1287</v>
      </c>
      <c r="G6550" s="403" t="s">
        <v>1466</v>
      </c>
      <c r="H6550" s="403" t="s">
        <v>1276</v>
      </c>
      <c r="I6550" s="403">
        <v>1</v>
      </c>
      <c r="J6550" s="403" t="s">
        <v>109</v>
      </c>
      <c r="K6550" s="403">
        <v>1280</v>
      </c>
      <c r="L6550" s="403">
        <v>720</v>
      </c>
      <c r="M6550" s="403" t="s">
        <v>1283</v>
      </c>
      <c r="N6550" s="403">
        <v>720</v>
      </c>
      <c r="O6550" s="403">
        <v>576</v>
      </c>
      <c r="P6550" t="str">
        <f t="shared" si="817"/>
        <v>25fps 720p - SD 4CIF resolution 4:3 format (cropped)</v>
      </c>
      <c r="Q6550">
        <f t="shared" si="818"/>
        <v>35</v>
      </c>
      <c r="R6550" t="str">
        <f t="shared" si="819"/>
        <v/>
      </c>
      <c r="S6550" t="str">
        <f t="shared" si="820"/>
        <v/>
      </c>
      <c r="T6550" s="403" t="str">
        <f t="shared" si="821"/>
        <v>NTI-51022-A3S</v>
      </c>
      <c r="U6550" s="403">
        <f t="shared" si="822"/>
        <v>1</v>
      </c>
      <c r="V6550" s="403" t="str">
        <f t="shared" si="823"/>
        <v>CPP_7_3</v>
      </c>
    </row>
    <row r="6551" spans="1:22">
      <c r="A6551" t="str">
        <f t="shared" si="816"/>
        <v>NTI-51022-A3S</v>
      </c>
      <c r="B6551" s="403" t="s">
        <v>1460</v>
      </c>
      <c r="C6551" s="403" t="s">
        <v>582</v>
      </c>
      <c r="D6551" s="403" t="s">
        <v>1461</v>
      </c>
      <c r="E6551" s="403" t="s">
        <v>778</v>
      </c>
      <c r="F6551" s="403" t="s">
        <v>1287</v>
      </c>
      <c r="G6551" s="403" t="s">
        <v>1466</v>
      </c>
      <c r="H6551" s="403" t="s">
        <v>1276</v>
      </c>
      <c r="I6551" s="403">
        <v>1</v>
      </c>
      <c r="J6551" s="403" t="s">
        <v>109</v>
      </c>
      <c r="K6551" s="403">
        <v>1280</v>
      </c>
      <c r="L6551" s="403">
        <v>720</v>
      </c>
      <c r="M6551" s="403" t="s">
        <v>1284</v>
      </c>
      <c r="N6551" s="403">
        <v>640</v>
      </c>
      <c r="O6551" s="403">
        <v>480</v>
      </c>
      <c r="P6551" t="str">
        <f t="shared" si="817"/>
        <v>25fps 720p - SD VGA (cropped)</v>
      </c>
      <c r="Q6551">
        <f t="shared" si="818"/>
        <v>35</v>
      </c>
      <c r="R6551" t="str">
        <f t="shared" si="819"/>
        <v/>
      </c>
      <c r="S6551" t="str">
        <f t="shared" si="820"/>
        <v/>
      </c>
      <c r="T6551" s="403" t="str">
        <f t="shared" si="821"/>
        <v>NTI-51022-A3S</v>
      </c>
      <c r="U6551" s="403">
        <f t="shared" si="822"/>
        <v>1</v>
      </c>
      <c r="V6551" s="403" t="str">
        <f t="shared" si="823"/>
        <v>CPP_7_3</v>
      </c>
    </row>
    <row r="6552" spans="1:22">
      <c r="A6552" t="str">
        <f t="shared" si="816"/>
        <v>NTV-3502-F03L</v>
      </c>
      <c r="B6552" s="403" t="s">
        <v>1464</v>
      </c>
      <c r="C6552" s="403" t="s">
        <v>582</v>
      </c>
      <c r="D6552" s="403" t="s">
        <v>1310</v>
      </c>
      <c r="E6552" s="403" t="s">
        <v>778</v>
      </c>
      <c r="F6552" s="403" t="s">
        <v>1292</v>
      </c>
      <c r="G6552" s="403" t="s">
        <v>1466</v>
      </c>
      <c r="H6552" s="403" t="s">
        <v>1276</v>
      </c>
      <c r="I6552" s="403">
        <v>1</v>
      </c>
      <c r="J6552" s="403" t="s">
        <v>110</v>
      </c>
      <c r="K6552" s="403">
        <v>1920</v>
      </c>
      <c r="L6552" s="403">
        <v>1080</v>
      </c>
      <c r="M6552" s="403" t="s">
        <v>111</v>
      </c>
      <c r="N6552" s="403">
        <v>768</v>
      </c>
      <c r="O6552" s="403">
        <v>432</v>
      </c>
      <c r="P6552" t="str">
        <f t="shared" si="817"/>
        <v>30fps 1080p - SD</v>
      </c>
      <c r="Q6552">
        <f t="shared" si="818"/>
        <v>36</v>
      </c>
      <c r="R6552">
        <f t="shared" si="819"/>
        <v>36</v>
      </c>
      <c r="S6552" t="str">
        <f t="shared" si="820"/>
        <v>DINION IP 3000i Turret IR (NTV-3502-F03L)</v>
      </c>
      <c r="T6552" s="403" t="str">
        <f t="shared" si="821"/>
        <v>NTV-3502-F03L</v>
      </c>
      <c r="U6552" s="403">
        <f t="shared" si="822"/>
        <v>1</v>
      </c>
      <c r="V6552" s="403" t="str">
        <f t="shared" si="823"/>
        <v>CPP_7_3</v>
      </c>
    </row>
    <row r="6553" spans="1:22">
      <c r="A6553" t="str">
        <f t="shared" si="816"/>
        <v>NTV-3502-F03L</v>
      </c>
      <c r="B6553" s="403" t="s">
        <v>1464</v>
      </c>
      <c r="C6553" s="403" t="s">
        <v>582</v>
      </c>
      <c r="D6553" s="403" t="s">
        <v>1310</v>
      </c>
      <c r="E6553" s="403" t="s">
        <v>778</v>
      </c>
      <c r="F6553" s="403" t="s">
        <v>1292</v>
      </c>
      <c r="G6553" s="403" t="s">
        <v>1466</v>
      </c>
      <c r="H6553" s="403" t="s">
        <v>1276</v>
      </c>
      <c r="I6553" s="403">
        <v>1</v>
      </c>
      <c r="J6553" s="403" t="s">
        <v>110</v>
      </c>
      <c r="K6553" s="403">
        <v>1920</v>
      </c>
      <c r="L6553" s="403">
        <v>1080</v>
      </c>
      <c r="M6553" s="403" t="s">
        <v>109</v>
      </c>
      <c r="N6553" s="403">
        <v>1280</v>
      </c>
      <c r="O6553" s="403">
        <v>720</v>
      </c>
      <c r="P6553" t="str">
        <f t="shared" si="817"/>
        <v>30fps 1080p - 720p</v>
      </c>
      <c r="Q6553">
        <f t="shared" si="818"/>
        <v>36</v>
      </c>
      <c r="R6553" t="str">
        <f t="shared" si="819"/>
        <v/>
      </c>
      <c r="S6553" t="str">
        <f t="shared" si="820"/>
        <v/>
      </c>
      <c r="T6553" s="403" t="str">
        <f t="shared" si="821"/>
        <v>NTV-3502-F03L</v>
      </c>
      <c r="U6553" s="403">
        <f t="shared" si="822"/>
        <v>1</v>
      </c>
      <c r="V6553" s="403" t="str">
        <f t="shared" si="823"/>
        <v>CPP_7_3</v>
      </c>
    </row>
    <row r="6554" spans="1:22">
      <c r="A6554" t="str">
        <f t="shared" si="816"/>
        <v>NTV-3502-F03L</v>
      </c>
      <c r="B6554" s="403" t="s">
        <v>1464</v>
      </c>
      <c r="C6554" s="403" t="s">
        <v>582</v>
      </c>
      <c r="D6554" s="403" t="s">
        <v>1310</v>
      </c>
      <c r="E6554" s="403" t="s">
        <v>778</v>
      </c>
      <c r="F6554" s="403" t="s">
        <v>1292</v>
      </c>
      <c r="G6554" s="403" t="s">
        <v>1466</v>
      </c>
      <c r="H6554" s="403" t="s">
        <v>1276</v>
      </c>
      <c r="I6554" s="403">
        <v>1</v>
      </c>
      <c r="J6554" s="403" t="s">
        <v>110</v>
      </c>
      <c r="K6554" s="403">
        <v>1920</v>
      </c>
      <c r="L6554" s="403">
        <v>1080</v>
      </c>
      <c r="M6554" s="403" t="s">
        <v>1285</v>
      </c>
      <c r="N6554" s="403">
        <v>1280</v>
      </c>
      <c r="O6554" s="403">
        <v>1024</v>
      </c>
      <c r="P6554" t="str">
        <f t="shared" si="817"/>
        <v>30fps 1080p - 1280x1024 5:4 (cropped)</v>
      </c>
      <c r="Q6554">
        <f t="shared" si="818"/>
        <v>36</v>
      </c>
      <c r="R6554" t="str">
        <f t="shared" si="819"/>
        <v/>
      </c>
      <c r="S6554" t="str">
        <f t="shared" si="820"/>
        <v/>
      </c>
      <c r="T6554" s="403" t="str">
        <f t="shared" si="821"/>
        <v>NTV-3502-F03L</v>
      </c>
      <c r="U6554" s="403">
        <f t="shared" si="822"/>
        <v>1</v>
      </c>
      <c r="V6554" s="403" t="str">
        <f t="shared" si="823"/>
        <v>CPP_7_3</v>
      </c>
    </row>
    <row r="6555" spans="1:22">
      <c r="A6555" t="str">
        <f t="shared" si="816"/>
        <v>NTV-3502-F03L</v>
      </c>
      <c r="B6555" s="403" t="s">
        <v>1464</v>
      </c>
      <c r="C6555" s="403" t="s">
        <v>582</v>
      </c>
      <c r="D6555" s="403" t="s">
        <v>1310</v>
      </c>
      <c r="E6555" s="403" t="s">
        <v>778</v>
      </c>
      <c r="F6555" s="403" t="s">
        <v>1292</v>
      </c>
      <c r="G6555" s="403" t="s">
        <v>1466</v>
      </c>
      <c r="H6555" s="403" t="s">
        <v>1276</v>
      </c>
      <c r="I6555" s="403">
        <v>1</v>
      </c>
      <c r="J6555" s="403" t="s">
        <v>110</v>
      </c>
      <c r="K6555" s="403">
        <v>1920</v>
      </c>
      <c r="L6555" s="403">
        <v>1080</v>
      </c>
      <c r="M6555" s="403" t="s">
        <v>1279</v>
      </c>
      <c r="N6555" s="403">
        <v>768</v>
      </c>
      <c r="O6555" s="403">
        <v>432</v>
      </c>
      <c r="P6555" t="str">
        <f t="shared" si="817"/>
        <v>30fps 1080p - SD ROI PTZ</v>
      </c>
      <c r="Q6555">
        <f t="shared" si="818"/>
        <v>36</v>
      </c>
      <c r="R6555" t="str">
        <f t="shared" si="819"/>
        <v/>
      </c>
      <c r="S6555" t="str">
        <f t="shared" si="820"/>
        <v/>
      </c>
      <c r="T6555" s="403" t="str">
        <f t="shared" si="821"/>
        <v>NTV-3502-F03L</v>
      </c>
      <c r="U6555" s="403">
        <f t="shared" si="822"/>
        <v>1</v>
      </c>
      <c r="V6555" s="403" t="str">
        <f t="shared" si="823"/>
        <v>CPP_7_3</v>
      </c>
    </row>
    <row r="6556" spans="1:22">
      <c r="A6556" t="str">
        <f t="shared" si="816"/>
        <v>NTV-3502-F03L</v>
      </c>
      <c r="B6556" s="403" t="s">
        <v>1464</v>
      </c>
      <c r="C6556" s="403" t="s">
        <v>582</v>
      </c>
      <c r="D6556" s="403" t="s">
        <v>1310</v>
      </c>
      <c r="E6556" s="403" t="s">
        <v>778</v>
      </c>
      <c r="F6556" s="403" t="s">
        <v>1292</v>
      </c>
      <c r="G6556" s="403" t="s">
        <v>1466</v>
      </c>
      <c r="H6556" s="403" t="s">
        <v>1276</v>
      </c>
      <c r="I6556" s="403">
        <v>1</v>
      </c>
      <c r="J6556" s="403" t="s">
        <v>110</v>
      </c>
      <c r="K6556" s="403">
        <v>1920</v>
      </c>
      <c r="L6556" s="403">
        <v>1080</v>
      </c>
      <c r="M6556" s="403" t="s">
        <v>1283</v>
      </c>
      <c r="N6556" s="403">
        <v>720</v>
      </c>
      <c r="O6556" s="403">
        <v>480</v>
      </c>
      <c r="P6556" t="str">
        <f t="shared" si="817"/>
        <v>30fps 1080p - SD 4CIF resolution 4:3 format (cropped)</v>
      </c>
      <c r="Q6556">
        <f t="shared" si="818"/>
        <v>36</v>
      </c>
      <c r="R6556" t="str">
        <f t="shared" si="819"/>
        <v/>
      </c>
      <c r="S6556" t="str">
        <f t="shared" si="820"/>
        <v/>
      </c>
      <c r="T6556" s="403" t="str">
        <f t="shared" si="821"/>
        <v>NTV-3502-F03L</v>
      </c>
      <c r="U6556" s="403">
        <f t="shared" si="822"/>
        <v>1</v>
      </c>
      <c r="V6556" s="403" t="str">
        <f t="shared" si="823"/>
        <v>CPP_7_3</v>
      </c>
    </row>
    <row r="6557" spans="1:22">
      <c r="A6557" t="str">
        <f t="shared" si="816"/>
        <v>NTV-3502-F03L</v>
      </c>
      <c r="B6557" s="403" t="s">
        <v>1464</v>
      </c>
      <c r="C6557" s="403" t="s">
        <v>582</v>
      </c>
      <c r="D6557" s="403" t="s">
        <v>1310</v>
      </c>
      <c r="E6557" s="403" t="s">
        <v>778</v>
      </c>
      <c r="F6557" s="403" t="s">
        <v>1292</v>
      </c>
      <c r="G6557" s="403" t="s">
        <v>1466</v>
      </c>
      <c r="H6557" s="403" t="s">
        <v>1276</v>
      </c>
      <c r="I6557" s="403">
        <v>1</v>
      </c>
      <c r="J6557" s="403" t="s">
        <v>110</v>
      </c>
      <c r="K6557" s="403">
        <v>1920</v>
      </c>
      <c r="L6557" s="403">
        <v>1080</v>
      </c>
      <c r="M6557" s="403" t="s">
        <v>1284</v>
      </c>
      <c r="N6557" s="403">
        <v>640</v>
      </c>
      <c r="O6557" s="403">
        <v>480</v>
      </c>
      <c r="P6557" t="str">
        <f t="shared" si="817"/>
        <v>30fps 1080p - SD VGA (cropped)</v>
      </c>
      <c r="Q6557">
        <f t="shared" si="818"/>
        <v>36</v>
      </c>
      <c r="R6557" t="str">
        <f t="shared" si="819"/>
        <v/>
      </c>
      <c r="S6557" t="str">
        <f t="shared" si="820"/>
        <v/>
      </c>
      <c r="T6557" s="403" t="str">
        <f t="shared" si="821"/>
        <v>NTV-3502-F03L</v>
      </c>
      <c r="U6557" s="403">
        <f t="shared" si="822"/>
        <v>1</v>
      </c>
      <c r="V6557" s="403" t="str">
        <f t="shared" si="823"/>
        <v>CPP_7_3</v>
      </c>
    </row>
    <row r="6558" spans="1:22">
      <c r="A6558" t="str">
        <f t="shared" si="816"/>
        <v>NTV-3502-F03L</v>
      </c>
      <c r="B6558" s="403" t="s">
        <v>1464</v>
      </c>
      <c r="C6558" s="403" t="s">
        <v>582</v>
      </c>
      <c r="D6558" s="403" t="s">
        <v>1310</v>
      </c>
      <c r="E6558" s="403" t="s">
        <v>778</v>
      </c>
      <c r="F6558" s="403" t="s">
        <v>1292</v>
      </c>
      <c r="G6558" s="403" t="s">
        <v>1466</v>
      </c>
      <c r="H6558" s="403" t="s">
        <v>1276</v>
      </c>
      <c r="I6558" s="403">
        <v>1</v>
      </c>
      <c r="J6558" s="403" t="s">
        <v>109</v>
      </c>
      <c r="K6558" s="403">
        <v>1280</v>
      </c>
      <c r="L6558" s="403">
        <v>720</v>
      </c>
      <c r="M6558" s="403" t="s">
        <v>109</v>
      </c>
      <c r="N6558" s="403">
        <v>1280</v>
      </c>
      <c r="O6558" s="403">
        <v>720</v>
      </c>
      <c r="P6558" t="str">
        <f t="shared" si="817"/>
        <v>30fps 720p - 720p</v>
      </c>
      <c r="Q6558">
        <f t="shared" si="818"/>
        <v>36</v>
      </c>
      <c r="R6558" t="str">
        <f t="shared" si="819"/>
        <v/>
      </c>
      <c r="S6558" t="str">
        <f t="shared" si="820"/>
        <v/>
      </c>
      <c r="T6558" s="403" t="str">
        <f t="shared" si="821"/>
        <v>NTV-3502-F03L</v>
      </c>
      <c r="U6558" s="403">
        <f t="shared" si="822"/>
        <v>1</v>
      </c>
      <c r="V6558" s="403" t="str">
        <f t="shared" si="823"/>
        <v>CPP_7_3</v>
      </c>
    </row>
    <row r="6559" spans="1:22">
      <c r="A6559" t="str">
        <f t="shared" si="816"/>
        <v>NTV-3502-F03L</v>
      </c>
      <c r="B6559" s="403" t="s">
        <v>1464</v>
      </c>
      <c r="C6559" s="403" t="s">
        <v>582</v>
      </c>
      <c r="D6559" s="403" t="s">
        <v>1310</v>
      </c>
      <c r="E6559" s="403" t="s">
        <v>778</v>
      </c>
      <c r="F6559" s="403" t="s">
        <v>1292</v>
      </c>
      <c r="G6559" s="403" t="s">
        <v>1466</v>
      </c>
      <c r="H6559" s="403" t="s">
        <v>1276</v>
      </c>
      <c r="I6559" s="403">
        <v>1</v>
      </c>
      <c r="J6559" s="403" t="s">
        <v>109</v>
      </c>
      <c r="K6559" s="403">
        <v>1280</v>
      </c>
      <c r="L6559" s="403">
        <v>720</v>
      </c>
      <c r="M6559" s="403" t="s">
        <v>111</v>
      </c>
      <c r="N6559" s="403">
        <v>768</v>
      </c>
      <c r="O6559" s="403">
        <v>432</v>
      </c>
      <c r="P6559" t="str">
        <f t="shared" si="817"/>
        <v>30fps 720p - SD</v>
      </c>
      <c r="Q6559">
        <f t="shared" si="818"/>
        <v>36</v>
      </c>
      <c r="R6559" t="str">
        <f t="shared" si="819"/>
        <v/>
      </c>
      <c r="S6559" t="str">
        <f t="shared" si="820"/>
        <v/>
      </c>
      <c r="T6559" s="403" t="str">
        <f t="shared" si="821"/>
        <v>NTV-3502-F03L</v>
      </c>
      <c r="U6559" s="403">
        <f t="shared" si="822"/>
        <v>1</v>
      </c>
      <c r="V6559" s="403" t="str">
        <f t="shared" si="823"/>
        <v>CPP_7_3</v>
      </c>
    </row>
    <row r="6560" spans="1:22">
      <c r="A6560" t="str">
        <f t="shared" si="816"/>
        <v>NTV-3502-F03L</v>
      </c>
      <c r="B6560" s="403" t="s">
        <v>1464</v>
      </c>
      <c r="C6560" s="403" t="s">
        <v>582</v>
      </c>
      <c r="D6560" s="403" t="s">
        <v>1310</v>
      </c>
      <c r="E6560" s="403" t="s">
        <v>778</v>
      </c>
      <c r="F6560" s="403" t="s">
        <v>1292</v>
      </c>
      <c r="G6560" s="403" t="s">
        <v>1466</v>
      </c>
      <c r="H6560" s="403" t="s">
        <v>1276</v>
      </c>
      <c r="I6560" s="403">
        <v>1</v>
      </c>
      <c r="J6560" s="403" t="s">
        <v>109</v>
      </c>
      <c r="K6560" s="403">
        <v>1280</v>
      </c>
      <c r="L6560" s="403">
        <v>720</v>
      </c>
      <c r="M6560" s="403" t="s">
        <v>1279</v>
      </c>
      <c r="N6560" s="403">
        <v>768</v>
      </c>
      <c r="O6560" s="403">
        <v>432</v>
      </c>
      <c r="P6560" t="str">
        <f t="shared" si="817"/>
        <v>30fps 720p - SD ROI PTZ</v>
      </c>
      <c r="Q6560">
        <f t="shared" si="818"/>
        <v>36</v>
      </c>
      <c r="R6560" t="str">
        <f t="shared" si="819"/>
        <v/>
      </c>
      <c r="S6560" t="str">
        <f t="shared" si="820"/>
        <v/>
      </c>
      <c r="T6560" s="403" t="str">
        <f t="shared" si="821"/>
        <v>NTV-3502-F03L</v>
      </c>
      <c r="U6560" s="403">
        <f t="shared" si="822"/>
        <v>1</v>
      </c>
      <c r="V6560" s="403" t="str">
        <f t="shared" si="823"/>
        <v>CPP_7_3</v>
      </c>
    </row>
    <row r="6561" spans="1:22">
      <c r="A6561" t="str">
        <f t="shared" si="816"/>
        <v>NTV-3502-F03L</v>
      </c>
      <c r="B6561" s="403" t="s">
        <v>1464</v>
      </c>
      <c r="C6561" s="403" t="s">
        <v>582</v>
      </c>
      <c r="D6561" s="403" t="s">
        <v>1310</v>
      </c>
      <c r="E6561" s="403" t="s">
        <v>778</v>
      </c>
      <c r="F6561" s="403" t="s">
        <v>1292</v>
      </c>
      <c r="G6561" s="403" t="s">
        <v>1466</v>
      </c>
      <c r="H6561" s="403" t="s">
        <v>1276</v>
      </c>
      <c r="I6561" s="403">
        <v>1</v>
      </c>
      <c r="J6561" s="403" t="s">
        <v>109</v>
      </c>
      <c r="K6561" s="403">
        <v>1280</v>
      </c>
      <c r="L6561" s="403">
        <v>720</v>
      </c>
      <c r="M6561" s="403" t="s">
        <v>1283</v>
      </c>
      <c r="N6561" s="403">
        <v>720</v>
      </c>
      <c r="O6561" s="403">
        <v>480</v>
      </c>
      <c r="P6561" t="str">
        <f t="shared" si="817"/>
        <v>30fps 720p - SD 4CIF resolution 4:3 format (cropped)</v>
      </c>
      <c r="Q6561">
        <f t="shared" si="818"/>
        <v>36</v>
      </c>
      <c r="R6561" t="str">
        <f t="shared" si="819"/>
        <v/>
      </c>
      <c r="S6561" t="str">
        <f t="shared" si="820"/>
        <v/>
      </c>
      <c r="T6561" s="403" t="str">
        <f t="shared" si="821"/>
        <v>NTV-3502-F03L</v>
      </c>
      <c r="U6561" s="403">
        <f t="shared" si="822"/>
        <v>1</v>
      </c>
      <c r="V6561" s="403" t="str">
        <f t="shared" si="823"/>
        <v>CPP_7_3</v>
      </c>
    </row>
    <row r="6562" spans="1:22">
      <c r="A6562" t="str">
        <f t="shared" si="816"/>
        <v>NTV-3502-F03L</v>
      </c>
      <c r="B6562" s="403" t="s">
        <v>1464</v>
      </c>
      <c r="C6562" s="403" t="s">
        <v>582</v>
      </c>
      <c r="D6562" s="403" t="s">
        <v>1310</v>
      </c>
      <c r="E6562" s="403" t="s">
        <v>778</v>
      </c>
      <c r="F6562" s="403" t="s">
        <v>1292</v>
      </c>
      <c r="G6562" s="403" t="s">
        <v>1466</v>
      </c>
      <c r="H6562" s="403" t="s">
        <v>1276</v>
      </c>
      <c r="I6562" s="403">
        <v>1</v>
      </c>
      <c r="J6562" s="403" t="s">
        <v>109</v>
      </c>
      <c r="K6562" s="403">
        <v>1280</v>
      </c>
      <c r="L6562" s="403">
        <v>720</v>
      </c>
      <c r="M6562" s="403" t="s">
        <v>1284</v>
      </c>
      <c r="N6562" s="403">
        <v>640</v>
      </c>
      <c r="O6562" s="403">
        <v>480</v>
      </c>
      <c r="P6562" t="str">
        <f t="shared" si="817"/>
        <v>30fps 720p - SD VGA (cropped)</v>
      </c>
      <c r="Q6562">
        <f t="shared" si="818"/>
        <v>36</v>
      </c>
      <c r="R6562" t="str">
        <f t="shared" si="819"/>
        <v/>
      </c>
      <c r="S6562" t="str">
        <f t="shared" si="820"/>
        <v/>
      </c>
      <c r="T6562" s="403" t="str">
        <f t="shared" si="821"/>
        <v>NTV-3502-F03L</v>
      </c>
      <c r="U6562" s="403">
        <f t="shared" si="822"/>
        <v>1</v>
      </c>
      <c r="V6562" s="403" t="str">
        <f t="shared" si="823"/>
        <v>CPP_7_3</v>
      </c>
    </row>
    <row r="6563" spans="1:22">
      <c r="A6563" t="str">
        <f t="shared" si="816"/>
        <v>NTV-3502-F03L</v>
      </c>
      <c r="B6563" s="403" t="s">
        <v>1464</v>
      </c>
      <c r="C6563" s="403" t="s">
        <v>582</v>
      </c>
      <c r="D6563" s="403" t="s">
        <v>1310</v>
      </c>
      <c r="E6563" s="403" t="s">
        <v>778</v>
      </c>
      <c r="F6563" s="403" t="s">
        <v>1292</v>
      </c>
      <c r="G6563" s="403" t="s">
        <v>1466</v>
      </c>
      <c r="H6563" s="403" t="s">
        <v>1281</v>
      </c>
      <c r="I6563" s="403">
        <v>1</v>
      </c>
      <c r="J6563" s="403" t="s">
        <v>110</v>
      </c>
      <c r="K6563" s="403">
        <v>1920</v>
      </c>
      <c r="L6563" s="403">
        <v>1080</v>
      </c>
      <c r="M6563" s="403" t="s">
        <v>111</v>
      </c>
      <c r="N6563" s="403">
        <v>768</v>
      </c>
      <c r="O6563" s="403">
        <v>432</v>
      </c>
      <c r="P6563" t="str">
        <f t="shared" si="817"/>
        <v>30fps 1080p - SD</v>
      </c>
      <c r="Q6563">
        <f t="shared" si="818"/>
        <v>36</v>
      </c>
      <c r="R6563" t="str">
        <f t="shared" si="819"/>
        <v/>
      </c>
      <c r="S6563" t="str">
        <f t="shared" si="820"/>
        <v/>
      </c>
      <c r="T6563" s="403" t="str">
        <f t="shared" si="821"/>
        <v>NTV-3502-F03L</v>
      </c>
      <c r="U6563" s="403">
        <f t="shared" si="822"/>
        <v>1</v>
      </c>
      <c r="V6563" s="403" t="str">
        <f t="shared" si="823"/>
        <v>CPP_7_3</v>
      </c>
    </row>
    <row r="6564" spans="1:22">
      <c r="A6564" t="str">
        <f t="shared" si="816"/>
        <v>NTV-3502-F03L</v>
      </c>
      <c r="B6564" s="403" t="s">
        <v>1464</v>
      </c>
      <c r="C6564" s="403" t="s">
        <v>582</v>
      </c>
      <c r="D6564" s="403" t="s">
        <v>1310</v>
      </c>
      <c r="E6564" s="403" t="s">
        <v>778</v>
      </c>
      <c r="F6564" s="403" t="s">
        <v>1292</v>
      </c>
      <c r="G6564" s="403" t="s">
        <v>1466</v>
      </c>
      <c r="H6564" s="403" t="s">
        <v>1281</v>
      </c>
      <c r="I6564" s="403">
        <v>1</v>
      </c>
      <c r="J6564" s="403" t="s">
        <v>110</v>
      </c>
      <c r="K6564" s="403">
        <v>1920</v>
      </c>
      <c r="L6564" s="403">
        <v>1080</v>
      </c>
      <c r="M6564" s="403" t="s">
        <v>1279</v>
      </c>
      <c r="N6564" s="403">
        <v>768</v>
      </c>
      <c r="O6564" s="403">
        <v>432</v>
      </c>
      <c r="P6564" t="str">
        <f t="shared" si="817"/>
        <v>30fps 1080p - SD ROI PTZ</v>
      </c>
      <c r="Q6564">
        <f t="shared" si="818"/>
        <v>36</v>
      </c>
      <c r="R6564" t="str">
        <f t="shared" si="819"/>
        <v/>
      </c>
      <c r="S6564" t="str">
        <f t="shared" si="820"/>
        <v/>
      </c>
      <c r="T6564" s="403" t="str">
        <f t="shared" si="821"/>
        <v>NTV-3502-F03L</v>
      </c>
      <c r="U6564" s="403">
        <f t="shared" si="822"/>
        <v>1</v>
      </c>
      <c r="V6564" s="403" t="str">
        <f t="shared" si="823"/>
        <v>CPP_7_3</v>
      </c>
    </row>
    <row r="6565" spans="1:22">
      <c r="A6565" t="str">
        <f t="shared" si="816"/>
        <v>NTV-3502-F03L</v>
      </c>
      <c r="B6565" s="403" t="s">
        <v>1464</v>
      </c>
      <c r="C6565" s="403" t="s">
        <v>582</v>
      </c>
      <c r="D6565" s="403" t="s">
        <v>1310</v>
      </c>
      <c r="E6565" s="403" t="s">
        <v>778</v>
      </c>
      <c r="F6565" s="403" t="s">
        <v>1292</v>
      </c>
      <c r="G6565" s="403" t="s">
        <v>1466</v>
      </c>
      <c r="H6565" s="403" t="s">
        <v>1281</v>
      </c>
      <c r="I6565" s="403">
        <v>1</v>
      </c>
      <c r="J6565" s="403" t="s">
        <v>110</v>
      </c>
      <c r="K6565" s="403">
        <v>1920</v>
      </c>
      <c r="L6565" s="403">
        <v>1080</v>
      </c>
      <c r="M6565" s="403" t="s">
        <v>1283</v>
      </c>
      <c r="N6565" s="403">
        <v>720</v>
      </c>
      <c r="O6565" s="403">
        <v>480</v>
      </c>
      <c r="P6565" t="str">
        <f t="shared" si="817"/>
        <v>30fps 1080p - SD 4CIF resolution 4:3 format (cropped)</v>
      </c>
      <c r="Q6565">
        <f t="shared" si="818"/>
        <v>36</v>
      </c>
      <c r="R6565" t="str">
        <f t="shared" si="819"/>
        <v/>
      </c>
      <c r="S6565" t="str">
        <f t="shared" si="820"/>
        <v/>
      </c>
      <c r="T6565" s="403" t="str">
        <f t="shared" si="821"/>
        <v>NTV-3502-F03L</v>
      </c>
      <c r="U6565" s="403">
        <f t="shared" si="822"/>
        <v>1</v>
      </c>
      <c r="V6565" s="403" t="str">
        <f t="shared" si="823"/>
        <v>CPP_7_3</v>
      </c>
    </row>
    <row r="6566" spans="1:22">
      <c r="A6566" t="str">
        <f t="shared" si="816"/>
        <v>NTV-3502-F03L</v>
      </c>
      <c r="B6566" s="403" t="s">
        <v>1464</v>
      </c>
      <c r="C6566" s="403" t="s">
        <v>582</v>
      </c>
      <c r="D6566" s="403" t="s">
        <v>1310</v>
      </c>
      <c r="E6566" s="403" t="s">
        <v>778</v>
      </c>
      <c r="F6566" s="403" t="s">
        <v>1292</v>
      </c>
      <c r="G6566" s="403" t="s">
        <v>1466</v>
      </c>
      <c r="H6566" s="403" t="s">
        <v>1281</v>
      </c>
      <c r="I6566" s="403">
        <v>1</v>
      </c>
      <c r="J6566" s="403" t="s">
        <v>110</v>
      </c>
      <c r="K6566" s="403">
        <v>1920</v>
      </c>
      <c r="L6566" s="403">
        <v>1080</v>
      </c>
      <c r="M6566" s="403" t="s">
        <v>1284</v>
      </c>
      <c r="N6566" s="403">
        <v>640</v>
      </c>
      <c r="O6566" s="403">
        <v>480</v>
      </c>
      <c r="P6566" t="str">
        <f t="shared" si="817"/>
        <v>30fps 1080p - SD VGA (cropped)</v>
      </c>
      <c r="Q6566">
        <f t="shared" si="818"/>
        <v>36</v>
      </c>
      <c r="R6566" t="str">
        <f t="shared" si="819"/>
        <v/>
      </c>
      <c r="S6566" t="str">
        <f t="shared" si="820"/>
        <v/>
      </c>
      <c r="T6566" s="403" t="str">
        <f t="shared" si="821"/>
        <v>NTV-3502-F03L</v>
      </c>
      <c r="U6566" s="403">
        <f t="shared" si="822"/>
        <v>1</v>
      </c>
      <c r="V6566" s="403" t="str">
        <f t="shared" si="823"/>
        <v>CPP_7_3</v>
      </c>
    </row>
    <row r="6567" spans="1:22">
      <c r="A6567" t="str">
        <f t="shared" si="816"/>
        <v>NTV-3502-F03L</v>
      </c>
      <c r="B6567" s="403" t="s">
        <v>1464</v>
      </c>
      <c r="C6567" s="403" t="s">
        <v>582</v>
      </c>
      <c r="D6567" s="403" t="s">
        <v>1310</v>
      </c>
      <c r="E6567" s="403" t="s">
        <v>778</v>
      </c>
      <c r="F6567" s="403" t="s">
        <v>1292</v>
      </c>
      <c r="G6567" s="403" t="s">
        <v>1466</v>
      </c>
      <c r="H6567" s="403" t="s">
        <v>1281</v>
      </c>
      <c r="I6567" s="403">
        <v>1</v>
      </c>
      <c r="J6567" s="403" t="s">
        <v>109</v>
      </c>
      <c r="K6567" s="403">
        <v>1280</v>
      </c>
      <c r="L6567" s="403">
        <v>720</v>
      </c>
      <c r="M6567" s="403" t="s">
        <v>109</v>
      </c>
      <c r="N6567" s="403">
        <v>1280</v>
      </c>
      <c r="O6567" s="403">
        <v>720</v>
      </c>
      <c r="P6567" t="str">
        <f t="shared" si="817"/>
        <v>30fps 720p - 720p</v>
      </c>
      <c r="Q6567">
        <f t="shared" si="818"/>
        <v>36</v>
      </c>
      <c r="R6567" t="str">
        <f t="shared" si="819"/>
        <v/>
      </c>
      <c r="S6567" t="str">
        <f t="shared" si="820"/>
        <v/>
      </c>
      <c r="T6567" s="403" t="str">
        <f t="shared" si="821"/>
        <v>NTV-3502-F03L</v>
      </c>
      <c r="U6567" s="403">
        <f t="shared" si="822"/>
        <v>1</v>
      </c>
      <c r="V6567" s="403" t="str">
        <f t="shared" si="823"/>
        <v>CPP_7_3</v>
      </c>
    </row>
    <row r="6568" spans="1:22">
      <c r="A6568" t="str">
        <f t="shared" si="816"/>
        <v>NTV-3502-F03L</v>
      </c>
      <c r="B6568" s="403" t="s">
        <v>1464</v>
      </c>
      <c r="C6568" s="403" t="s">
        <v>582</v>
      </c>
      <c r="D6568" s="403" t="s">
        <v>1310</v>
      </c>
      <c r="E6568" s="403" t="s">
        <v>778</v>
      </c>
      <c r="F6568" s="403" t="s">
        <v>1292</v>
      </c>
      <c r="G6568" s="403" t="s">
        <v>1466</v>
      </c>
      <c r="H6568" s="403" t="s">
        <v>1281</v>
      </c>
      <c r="I6568" s="403">
        <v>1</v>
      </c>
      <c r="J6568" s="403" t="s">
        <v>109</v>
      </c>
      <c r="K6568" s="403">
        <v>1280</v>
      </c>
      <c r="L6568" s="403">
        <v>720</v>
      </c>
      <c r="M6568" s="403" t="s">
        <v>111</v>
      </c>
      <c r="N6568" s="403">
        <v>768</v>
      </c>
      <c r="O6568" s="403">
        <v>432</v>
      </c>
      <c r="P6568" t="str">
        <f t="shared" si="817"/>
        <v>30fps 720p - SD</v>
      </c>
      <c r="Q6568">
        <f t="shared" si="818"/>
        <v>36</v>
      </c>
      <c r="R6568" t="str">
        <f t="shared" si="819"/>
        <v/>
      </c>
      <c r="S6568" t="str">
        <f t="shared" si="820"/>
        <v/>
      </c>
      <c r="T6568" s="403" t="str">
        <f t="shared" si="821"/>
        <v>NTV-3502-F03L</v>
      </c>
      <c r="U6568" s="403">
        <f t="shared" si="822"/>
        <v>1</v>
      </c>
      <c r="V6568" s="403" t="str">
        <f t="shared" si="823"/>
        <v>CPP_7_3</v>
      </c>
    </row>
    <row r="6569" spans="1:22">
      <c r="A6569" t="str">
        <f t="shared" si="816"/>
        <v>NTV-3502-F03L</v>
      </c>
      <c r="B6569" s="403" t="s">
        <v>1464</v>
      </c>
      <c r="C6569" s="403" t="s">
        <v>582</v>
      </c>
      <c r="D6569" s="403" t="s">
        <v>1310</v>
      </c>
      <c r="E6569" s="403" t="s">
        <v>778</v>
      </c>
      <c r="F6569" s="403" t="s">
        <v>1292</v>
      </c>
      <c r="G6569" s="403" t="s">
        <v>1466</v>
      </c>
      <c r="H6569" s="403" t="s">
        <v>1281</v>
      </c>
      <c r="I6569" s="403">
        <v>1</v>
      </c>
      <c r="J6569" s="403" t="s">
        <v>109</v>
      </c>
      <c r="K6569" s="403">
        <v>1280</v>
      </c>
      <c r="L6569" s="403">
        <v>720</v>
      </c>
      <c r="M6569" s="403" t="s">
        <v>1279</v>
      </c>
      <c r="N6569" s="403">
        <v>768</v>
      </c>
      <c r="O6569" s="403">
        <v>432</v>
      </c>
      <c r="P6569" t="str">
        <f t="shared" si="817"/>
        <v>30fps 720p - SD ROI PTZ</v>
      </c>
      <c r="Q6569">
        <f t="shared" si="818"/>
        <v>36</v>
      </c>
      <c r="R6569" t="str">
        <f t="shared" si="819"/>
        <v/>
      </c>
      <c r="S6569" t="str">
        <f t="shared" si="820"/>
        <v/>
      </c>
      <c r="T6569" s="403" t="str">
        <f t="shared" si="821"/>
        <v>NTV-3502-F03L</v>
      </c>
      <c r="U6569" s="403">
        <f t="shared" si="822"/>
        <v>1</v>
      </c>
      <c r="V6569" s="403" t="str">
        <f t="shared" si="823"/>
        <v>CPP_7_3</v>
      </c>
    </row>
    <row r="6570" spans="1:22">
      <c r="A6570" t="str">
        <f t="shared" ref="A6570:A6633" si="824">IF(AND(G6570&lt;&gt;"rotate 90°"),D6570,"")</f>
        <v>NTV-3502-F03L</v>
      </c>
      <c r="B6570" s="403" t="s">
        <v>1464</v>
      </c>
      <c r="C6570" s="403" t="s">
        <v>582</v>
      </c>
      <c r="D6570" s="403" t="s">
        <v>1310</v>
      </c>
      <c r="E6570" s="403" t="s">
        <v>778</v>
      </c>
      <c r="F6570" s="403" t="s">
        <v>1292</v>
      </c>
      <c r="G6570" s="403" t="s">
        <v>1466</v>
      </c>
      <c r="H6570" s="403" t="s">
        <v>1281</v>
      </c>
      <c r="I6570" s="403">
        <v>1</v>
      </c>
      <c r="J6570" s="403" t="s">
        <v>109</v>
      </c>
      <c r="K6570" s="403">
        <v>1280</v>
      </c>
      <c r="L6570" s="403">
        <v>720</v>
      </c>
      <c r="M6570" s="403" t="s">
        <v>1283</v>
      </c>
      <c r="N6570" s="403">
        <v>720</v>
      </c>
      <c r="O6570" s="403">
        <v>480</v>
      </c>
      <c r="P6570" t="str">
        <f t="shared" ref="P6570:P6633" si="825">LEFT(F6570,5)&amp;" "&amp;J6570&amp;" - "&amp;M6570</f>
        <v>30fps 720p - SD 4CIF resolution 4:3 format (cropped)</v>
      </c>
      <c r="Q6570">
        <f t="shared" ref="Q6570:Q6633" si="826">IF(A6569=A6570,Q6569,Q6569+1)</f>
        <v>36</v>
      </c>
      <c r="R6570" t="str">
        <f t="shared" ref="R6570:R6633" si="827">IF(Q6569&lt;&gt;Q6570,Q6570,"")</f>
        <v/>
      </c>
      <c r="S6570" t="str">
        <f t="shared" ref="S6570:S6633" si="828">IF(R6570&lt;&gt;"",B6570&amp;" ("&amp;D6570&amp;")","")</f>
        <v/>
      </c>
      <c r="T6570" s="403" t="str">
        <f t="shared" ref="T6570:T6633" si="829">D6570</f>
        <v>NTV-3502-F03L</v>
      </c>
      <c r="U6570" s="403">
        <f t="shared" ref="U6570:U6633" si="830">I6570</f>
        <v>1</v>
      </c>
      <c r="V6570" s="403" t="str">
        <f t="shared" ref="V6570:V6633" si="831">C6570</f>
        <v>CPP_7_3</v>
      </c>
    </row>
    <row r="6571" spans="1:22">
      <c r="A6571" t="str">
        <f t="shared" si="824"/>
        <v>NTV-3502-F03L</v>
      </c>
      <c r="B6571" s="403" t="s">
        <v>1464</v>
      </c>
      <c r="C6571" s="403" t="s">
        <v>582</v>
      </c>
      <c r="D6571" s="403" t="s">
        <v>1310</v>
      </c>
      <c r="E6571" s="403" t="s">
        <v>778</v>
      </c>
      <c r="F6571" s="403" t="s">
        <v>1292</v>
      </c>
      <c r="G6571" s="403" t="s">
        <v>1466</v>
      </c>
      <c r="H6571" s="403" t="s">
        <v>1281</v>
      </c>
      <c r="I6571" s="403">
        <v>1</v>
      </c>
      <c r="J6571" s="403" t="s">
        <v>109</v>
      </c>
      <c r="K6571" s="403">
        <v>1280</v>
      </c>
      <c r="L6571" s="403">
        <v>720</v>
      </c>
      <c r="M6571" s="403" t="s">
        <v>1284</v>
      </c>
      <c r="N6571" s="403">
        <v>640</v>
      </c>
      <c r="O6571" s="403">
        <v>480</v>
      </c>
      <c r="P6571" t="str">
        <f t="shared" si="825"/>
        <v>30fps 720p - SD VGA (cropped)</v>
      </c>
      <c r="Q6571">
        <f t="shared" si="826"/>
        <v>36</v>
      </c>
      <c r="R6571" t="str">
        <f t="shared" si="827"/>
        <v/>
      </c>
      <c r="S6571" t="str">
        <f t="shared" si="828"/>
        <v/>
      </c>
      <c r="T6571" s="403" t="str">
        <f t="shared" si="829"/>
        <v>NTV-3502-F03L</v>
      </c>
      <c r="U6571" s="403">
        <f t="shared" si="830"/>
        <v>1</v>
      </c>
      <c r="V6571" s="403" t="str">
        <f t="shared" si="831"/>
        <v>CPP_7_3</v>
      </c>
    </row>
    <row r="6572" spans="1:22">
      <c r="A6572" t="str">
        <f t="shared" si="824"/>
        <v>NTV-3502-F03L</v>
      </c>
      <c r="B6572" s="403" t="s">
        <v>1464</v>
      </c>
      <c r="C6572" s="403" t="s">
        <v>582</v>
      </c>
      <c r="D6572" s="403" t="s">
        <v>1310</v>
      </c>
      <c r="E6572" s="403" t="s">
        <v>778</v>
      </c>
      <c r="F6572" s="403" t="s">
        <v>1292</v>
      </c>
      <c r="G6572" s="403" t="s">
        <v>1467</v>
      </c>
      <c r="H6572" s="403" t="s">
        <v>1276</v>
      </c>
      <c r="I6572" s="403">
        <v>1</v>
      </c>
      <c r="J6572" s="403" t="s">
        <v>110</v>
      </c>
      <c r="K6572" s="403">
        <v>1080</v>
      </c>
      <c r="L6572" s="403">
        <v>1920</v>
      </c>
      <c r="M6572" s="403" t="s">
        <v>111</v>
      </c>
      <c r="N6572" s="403">
        <v>432</v>
      </c>
      <c r="O6572" s="403">
        <v>768</v>
      </c>
      <c r="P6572" t="str">
        <f t="shared" si="825"/>
        <v>30fps 1080p - SD</v>
      </c>
      <c r="Q6572">
        <f t="shared" si="826"/>
        <v>36</v>
      </c>
      <c r="R6572" t="str">
        <f t="shared" si="827"/>
        <v/>
      </c>
      <c r="S6572" t="str">
        <f t="shared" si="828"/>
        <v/>
      </c>
      <c r="T6572" s="403" t="str">
        <f t="shared" si="829"/>
        <v>NTV-3502-F03L</v>
      </c>
      <c r="U6572" s="403">
        <f t="shared" si="830"/>
        <v>1</v>
      </c>
      <c r="V6572" s="403" t="str">
        <f t="shared" si="831"/>
        <v>CPP_7_3</v>
      </c>
    </row>
    <row r="6573" spans="1:22">
      <c r="A6573" t="str">
        <f t="shared" si="824"/>
        <v>NTV-3502-F03L</v>
      </c>
      <c r="B6573" s="403" t="s">
        <v>1464</v>
      </c>
      <c r="C6573" s="403" t="s">
        <v>582</v>
      </c>
      <c r="D6573" s="403" t="s">
        <v>1310</v>
      </c>
      <c r="E6573" s="403" t="s">
        <v>778</v>
      </c>
      <c r="F6573" s="403" t="s">
        <v>1292</v>
      </c>
      <c r="G6573" s="403" t="s">
        <v>1467</v>
      </c>
      <c r="H6573" s="403" t="s">
        <v>1276</v>
      </c>
      <c r="I6573" s="403">
        <v>1</v>
      </c>
      <c r="J6573" s="403" t="s">
        <v>110</v>
      </c>
      <c r="K6573" s="403">
        <v>1080</v>
      </c>
      <c r="L6573" s="403">
        <v>1920</v>
      </c>
      <c r="M6573" s="403" t="s">
        <v>1279</v>
      </c>
      <c r="N6573" s="403">
        <v>432</v>
      </c>
      <c r="O6573" s="403">
        <v>768</v>
      </c>
      <c r="P6573" t="str">
        <f t="shared" si="825"/>
        <v>30fps 1080p - SD ROI PTZ</v>
      </c>
      <c r="Q6573">
        <f t="shared" si="826"/>
        <v>36</v>
      </c>
      <c r="R6573" t="str">
        <f t="shared" si="827"/>
        <v/>
      </c>
      <c r="S6573" t="str">
        <f t="shared" si="828"/>
        <v/>
      </c>
      <c r="T6573" s="403" t="str">
        <f t="shared" si="829"/>
        <v>NTV-3502-F03L</v>
      </c>
      <c r="U6573" s="403">
        <f t="shared" si="830"/>
        <v>1</v>
      </c>
      <c r="V6573" s="403" t="str">
        <f t="shared" si="831"/>
        <v>CPP_7_3</v>
      </c>
    </row>
    <row r="6574" spans="1:22">
      <c r="A6574" t="str">
        <f t="shared" si="824"/>
        <v>NTV-3502-F03L</v>
      </c>
      <c r="B6574" s="403" t="s">
        <v>1464</v>
      </c>
      <c r="C6574" s="403" t="s">
        <v>582</v>
      </c>
      <c r="D6574" s="403" t="s">
        <v>1310</v>
      </c>
      <c r="E6574" s="403" t="s">
        <v>778</v>
      </c>
      <c r="F6574" s="403" t="s">
        <v>1292</v>
      </c>
      <c r="G6574" s="403" t="s">
        <v>1467</v>
      </c>
      <c r="H6574" s="403" t="s">
        <v>1276</v>
      </c>
      <c r="I6574" s="403">
        <v>1</v>
      </c>
      <c r="J6574" s="403" t="s">
        <v>110</v>
      </c>
      <c r="K6574" s="403">
        <v>1080</v>
      </c>
      <c r="L6574" s="403">
        <v>1920</v>
      </c>
      <c r="M6574" s="403" t="s">
        <v>1283</v>
      </c>
      <c r="N6574" s="403">
        <v>480</v>
      </c>
      <c r="O6574" s="403">
        <v>720</v>
      </c>
      <c r="P6574" t="str">
        <f t="shared" si="825"/>
        <v>30fps 1080p - SD 4CIF resolution 4:3 format (cropped)</v>
      </c>
      <c r="Q6574">
        <f t="shared" si="826"/>
        <v>36</v>
      </c>
      <c r="R6574" t="str">
        <f t="shared" si="827"/>
        <v/>
      </c>
      <c r="S6574" t="str">
        <f t="shared" si="828"/>
        <v/>
      </c>
      <c r="T6574" s="403" t="str">
        <f t="shared" si="829"/>
        <v>NTV-3502-F03L</v>
      </c>
      <c r="U6574" s="403">
        <f t="shared" si="830"/>
        <v>1</v>
      </c>
      <c r="V6574" s="403" t="str">
        <f t="shared" si="831"/>
        <v>CPP_7_3</v>
      </c>
    </row>
    <row r="6575" spans="1:22">
      <c r="A6575" t="str">
        <f t="shared" si="824"/>
        <v>NTV-3502-F03L</v>
      </c>
      <c r="B6575" s="403" t="s">
        <v>1464</v>
      </c>
      <c r="C6575" s="403" t="s">
        <v>582</v>
      </c>
      <c r="D6575" s="403" t="s">
        <v>1310</v>
      </c>
      <c r="E6575" s="403" t="s">
        <v>778</v>
      </c>
      <c r="F6575" s="403" t="s">
        <v>1292</v>
      </c>
      <c r="G6575" s="403" t="s">
        <v>1467</v>
      </c>
      <c r="H6575" s="403" t="s">
        <v>1276</v>
      </c>
      <c r="I6575" s="403">
        <v>1</v>
      </c>
      <c r="J6575" s="403" t="s">
        <v>110</v>
      </c>
      <c r="K6575" s="403">
        <v>1080</v>
      </c>
      <c r="L6575" s="403">
        <v>1920</v>
      </c>
      <c r="M6575" s="403" t="s">
        <v>1284</v>
      </c>
      <c r="N6575" s="403">
        <v>480</v>
      </c>
      <c r="O6575" s="403">
        <v>640</v>
      </c>
      <c r="P6575" t="str">
        <f t="shared" si="825"/>
        <v>30fps 1080p - SD VGA (cropped)</v>
      </c>
      <c r="Q6575">
        <f t="shared" si="826"/>
        <v>36</v>
      </c>
      <c r="R6575" t="str">
        <f t="shared" si="827"/>
        <v/>
      </c>
      <c r="S6575" t="str">
        <f t="shared" si="828"/>
        <v/>
      </c>
      <c r="T6575" s="403" t="str">
        <f t="shared" si="829"/>
        <v>NTV-3502-F03L</v>
      </c>
      <c r="U6575" s="403">
        <f t="shared" si="830"/>
        <v>1</v>
      </c>
      <c r="V6575" s="403" t="str">
        <f t="shared" si="831"/>
        <v>CPP_7_3</v>
      </c>
    </row>
    <row r="6576" spans="1:22">
      <c r="A6576" t="str">
        <f t="shared" si="824"/>
        <v>NTV-3502-F03L</v>
      </c>
      <c r="B6576" s="403" t="s">
        <v>1464</v>
      </c>
      <c r="C6576" s="403" t="s">
        <v>582</v>
      </c>
      <c r="D6576" s="403" t="s">
        <v>1310</v>
      </c>
      <c r="E6576" s="403" t="s">
        <v>778</v>
      </c>
      <c r="F6576" s="403" t="s">
        <v>1292</v>
      </c>
      <c r="G6576" s="403" t="s">
        <v>1467</v>
      </c>
      <c r="H6576" s="403" t="s">
        <v>1276</v>
      </c>
      <c r="I6576" s="403">
        <v>1</v>
      </c>
      <c r="J6576" s="403" t="s">
        <v>109</v>
      </c>
      <c r="K6576" s="403">
        <v>720</v>
      </c>
      <c r="L6576" s="403">
        <v>1280</v>
      </c>
      <c r="M6576" s="403" t="s">
        <v>109</v>
      </c>
      <c r="N6576" s="403">
        <v>720</v>
      </c>
      <c r="O6576" s="403">
        <v>1280</v>
      </c>
      <c r="P6576" t="str">
        <f t="shared" si="825"/>
        <v>30fps 720p - 720p</v>
      </c>
      <c r="Q6576">
        <f t="shared" si="826"/>
        <v>36</v>
      </c>
      <c r="R6576" t="str">
        <f t="shared" si="827"/>
        <v/>
      </c>
      <c r="S6576" t="str">
        <f t="shared" si="828"/>
        <v/>
      </c>
      <c r="T6576" s="403" t="str">
        <f t="shared" si="829"/>
        <v>NTV-3502-F03L</v>
      </c>
      <c r="U6576" s="403">
        <f t="shared" si="830"/>
        <v>1</v>
      </c>
      <c r="V6576" s="403" t="str">
        <f t="shared" si="831"/>
        <v>CPP_7_3</v>
      </c>
    </row>
    <row r="6577" spans="1:22">
      <c r="A6577" t="str">
        <f t="shared" si="824"/>
        <v>NTV-3502-F03L</v>
      </c>
      <c r="B6577" s="403" t="s">
        <v>1464</v>
      </c>
      <c r="C6577" s="403" t="s">
        <v>582</v>
      </c>
      <c r="D6577" s="403" t="s">
        <v>1310</v>
      </c>
      <c r="E6577" s="403" t="s">
        <v>778</v>
      </c>
      <c r="F6577" s="403" t="s">
        <v>1292</v>
      </c>
      <c r="G6577" s="403" t="s">
        <v>1467</v>
      </c>
      <c r="H6577" s="403" t="s">
        <v>1276</v>
      </c>
      <c r="I6577" s="403">
        <v>1</v>
      </c>
      <c r="J6577" s="403" t="s">
        <v>109</v>
      </c>
      <c r="K6577" s="403">
        <v>720</v>
      </c>
      <c r="L6577" s="403">
        <v>1280</v>
      </c>
      <c r="M6577" s="403" t="s">
        <v>111</v>
      </c>
      <c r="N6577" s="403">
        <v>432</v>
      </c>
      <c r="O6577" s="403">
        <v>768</v>
      </c>
      <c r="P6577" t="str">
        <f t="shared" si="825"/>
        <v>30fps 720p - SD</v>
      </c>
      <c r="Q6577">
        <f t="shared" si="826"/>
        <v>36</v>
      </c>
      <c r="R6577" t="str">
        <f t="shared" si="827"/>
        <v/>
      </c>
      <c r="S6577" t="str">
        <f t="shared" si="828"/>
        <v/>
      </c>
      <c r="T6577" s="403" t="str">
        <f t="shared" si="829"/>
        <v>NTV-3502-F03L</v>
      </c>
      <c r="U6577" s="403">
        <f t="shared" si="830"/>
        <v>1</v>
      </c>
      <c r="V6577" s="403" t="str">
        <f t="shared" si="831"/>
        <v>CPP_7_3</v>
      </c>
    </row>
    <row r="6578" spans="1:22">
      <c r="A6578" t="str">
        <f t="shared" si="824"/>
        <v>NTV-3502-F03L</v>
      </c>
      <c r="B6578" s="403" t="s">
        <v>1464</v>
      </c>
      <c r="C6578" s="403" t="s">
        <v>582</v>
      </c>
      <c r="D6578" s="403" t="s">
        <v>1310</v>
      </c>
      <c r="E6578" s="403" t="s">
        <v>778</v>
      </c>
      <c r="F6578" s="403" t="s">
        <v>1292</v>
      </c>
      <c r="G6578" s="403" t="s">
        <v>1467</v>
      </c>
      <c r="H6578" s="403" t="s">
        <v>1276</v>
      </c>
      <c r="I6578" s="403">
        <v>1</v>
      </c>
      <c r="J6578" s="403" t="s">
        <v>109</v>
      </c>
      <c r="K6578" s="403">
        <v>720</v>
      </c>
      <c r="L6578" s="403">
        <v>1280</v>
      </c>
      <c r="M6578" s="403" t="s">
        <v>1279</v>
      </c>
      <c r="N6578" s="403">
        <v>432</v>
      </c>
      <c r="O6578" s="403">
        <v>768</v>
      </c>
      <c r="P6578" t="str">
        <f t="shared" si="825"/>
        <v>30fps 720p - SD ROI PTZ</v>
      </c>
      <c r="Q6578">
        <f t="shared" si="826"/>
        <v>36</v>
      </c>
      <c r="R6578" t="str">
        <f t="shared" si="827"/>
        <v/>
      </c>
      <c r="S6578" t="str">
        <f t="shared" si="828"/>
        <v/>
      </c>
      <c r="T6578" s="403" t="str">
        <f t="shared" si="829"/>
        <v>NTV-3502-F03L</v>
      </c>
      <c r="U6578" s="403">
        <f t="shared" si="830"/>
        <v>1</v>
      </c>
      <c r="V6578" s="403" t="str">
        <f t="shared" si="831"/>
        <v>CPP_7_3</v>
      </c>
    </row>
    <row r="6579" spans="1:22">
      <c r="A6579" t="str">
        <f t="shared" si="824"/>
        <v>NTV-3502-F03L</v>
      </c>
      <c r="B6579" s="403" t="s">
        <v>1464</v>
      </c>
      <c r="C6579" s="403" t="s">
        <v>582</v>
      </c>
      <c r="D6579" s="403" t="s">
        <v>1310</v>
      </c>
      <c r="E6579" s="403" t="s">
        <v>778</v>
      </c>
      <c r="F6579" s="403" t="s">
        <v>1292</v>
      </c>
      <c r="G6579" s="403" t="s">
        <v>1467</v>
      </c>
      <c r="H6579" s="403" t="s">
        <v>1276</v>
      </c>
      <c r="I6579" s="403">
        <v>1</v>
      </c>
      <c r="J6579" s="403" t="s">
        <v>109</v>
      </c>
      <c r="K6579" s="403">
        <v>720</v>
      </c>
      <c r="L6579" s="403">
        <v>1280</v>
      </c>
      <c r="M6579" s="403" t="s">
        <v>1283</v>
      </c>
      <c r="N6579" s="403">
        <v>480</v>
      </c>
      <c r="O6579" s="403">
        <v>720</v>
      </c>
      <c r="P6579" t="str">
        <f t="shared" si="825"/>
        <v>30fps 720p - SD 4CIF resolution 4:3 format (cropped)</v>
      </c>
      <c r="Q6579">
        <f t="shared" si="826"/>
        <v>36</v>
      </c>
      <c r="R6579" t="str">
        <f t="shared" si="827"/>
        <v/>
      </c>
      <c r="S6579" t="str">
        <f t="shared" si="828"/>
        <v/>
      </c>
      <c r="T6579" s="403" t="str">
        <f t="shared" si="829"/>
        <v>NTV-3502-F03L</v>
      </c>
      <c r="U6579" s="403">
        <f t="shared" si="830"/>
        <v>1</v>
      </c>
      <c r="V6579" s="403" t="str">
        <f t="shared" si="831"/>
        <v>CPP_7_3</v>
      </c>
    </row>
    <row r="6580" spans="1:22">
      <c r="A6580" t="str">
        <f t="shared" si="824"/>
        <v>NTV-3502-F03L</v>
      </c>
      <c r="B6580" s="403" t="s">
        <v>1464</v>
      </c>
      <c r="C6580" s="403" t="s">
        <v>582</v>
      </c>
      <c r="D6580" s="403" t="s">
        <v>1310</v>
      </c>
      <c r="E6580" s="403" t="s">
        <v>778</v>
      </c>
      <c r="F6580" s="403" t="s">
        <v>1292</v>
      </c>
      <c r="G6580" s="403" t="s">
        <v>1467</v>
      </c>
      <c r="H6580" s="403" t="s">
        <v>1276</v>
      </c>
      <c r="I6580" s="403">
        <v>1</v>
      </c>
      <c r="J6580" s="403" t="s">
        <v>109</v>
      </c>
      <c r="K6580" s="403">
        <v>720</v>
      </c>
      <c r="L6580" s="403">
        <v>1280</v>
      </c>
      <c r="M6580" s="403" t="s">
        <v>1284</v>
      </c>
      <c r="N6580" s="403">
        <v>480</v>
      </c>
      <c r="O6580" s="403">
        <v>640</v>
      </c>
      <c r="P6580" t="str">
        <f t="shared" si="825"/>
        <v>30fps 720p - SD VGA (cropped)</v>
      </c>
      <c r="Q6580">
        <f t="shared" si="826"/>
        <v>36</v>
      </c>
      <c r="R6580" t="str">
        <f t="shared" si="827"/>
        <v/>
      </c>
      <c r="S6580" t="str">
        <f t="shared" si="828"/>
        <v/>
      </c>
      <c r="T6580" s="403" t="str">
        <f t="shared" si="829"/>
        <v>NTV-3502-F03L</v>
      </c>
      <c r="U6580" s="403">
        <f t="shared" si="830"/>
        <v>1</v>
      </c>
      <c r="V6580" s="403" t="str">
        <f t="shared" si="831"/>
        <v>CPP_7_3</v>
      </c>
    </row>
    <row r="6581" spans="1:22">
      <c r="A6581" t="str">
        <f t="shared" si="824"/>
        <v>NTV-3502-F03L</v>
      </c>
      <c r="B6581" s="403" t="s">
        <v>1464</v>
      </c>
      <c r="C6581" s="403" t="s">
        <v>582</v>
      </c>
      <c r="D6581" s="403" t="s">
        <v>1310</v>
      </c>
      <c r="E6581" s="403" t="s">
        <v>778</v>
      </c>
      <c r="F6581" s="403" t="s">
        <v>1292</v>
      </c>
      <c r="G6581" s="403" t="s">
        <v>1467</v>
      </c>
      <c r="H6581" s="403" t="s">
        <v>1281</v>
      </c>
      <c r="I6581" s="403">
        <v>1</v>
      </c>
      <c r="J6581" s="403" t="s">
        <v>110</v>
      </c>
      <c r="K6581" s="403">
        <v>1080</v>
      </c>
      <c r="L6581" s="403">
        <v>1920</v>
      </c>
      <c r="M6581" s="403" t="s">
        <v>111</v>
      </c>
      <c r="N6581" s="403">
        <v>432</v>
      </c>
      <c r="O6581" s="403">
        <v>768</v>
      </c>
      <c r="P6581" t="str">
        <f t="shared" si="825"/>
        <v>30fps 1080p - SD</v>
      </c>
      <c r="Q6581">
        <f t="shared" si="826"/>
        <v>36</v>
      </c>
      <c r="R6581" t="str">
        <f t="shared" si="827"/>
        <v/>
      </c>
      <c r="S6581" t="str">
        <f t="shared" si="828"/>
        <v/>
      </c>
      <c r="T6581" s="403" t="str">
        <f t="shared" si="829"/>
        <v>NTV-3502-F03L</v>
      </c>
      <c r="U6581" s="403">
        <f t="shared" si="830"/>
        <v>1</v>
      </c>
      <c r="V6581" s="403" t="str">
        <f t="shared" si="831"/>
        <v>CPP_7_3</v>
      </c>
    </row>
    <row r="6582" spans="1:22">
      <c r="A6582" t="str">
        <f t="shared" si="824"/>
        <v>NTV-3502-F03L</v>
      </c>
      <c r="B6582" s="403" t="s">
        <v>1464</v>
      </c>
      <c r="C6582" s="403" t="s">
        <v>582</v>
      </c>
      <c r="D6582" s="403" t="s">
        <v>1310</v>
      </c>
      <c r="E6582" s="403" t="s">
        <v>778</v>
      </c>
      <c r="F6582" s="403" t="s">
        <v>1292</v>
      </c>
      <c r="G6582" s="403" t="s">
        <v>1467</v>
      </c>
      <c r="H6582" s="403" t="s">
        <v>1281</v>
      </c>
      <c r="I6582" s="403">
        <v>1</v>
      </c>
      <c r="J6582" s="403" t="s">
        <v>110</v>
      </c>
      <c r="K6582" s="403">
        <v>1080</v>
      </c>
      <c r="L6582" s="403">
        <v>1920</v>
      </c>
      <c r="M6582" s="403" t="s">
        <v>1279</v>
      </c>
      <c r="N6582" s="403">
        <v>432</v>
      </c>
      <c r="O6582" s="403">
        <v>768</v>
      </c>
      <c r="P6582" t="str">
        <f t="shared" si="825"/>
        <v>30fps 1080p - SD ROI PTZ</v>
      </c>
      <c r="Q6582">
        <f t="shared" si="826"/>
        <v>36</v>
      </c>
      <c r="R6582" t="str">
        <f t="shared" si="827"/>
        <v/>
      </c>
      <c r="S6582" t="str">
        <f t="shared" si="828"/>
        <v/>
      </c>
      <c r="T6582" s="403" t="str">
        <f t="shared" si="829"/>
        <v>NTV-3502-F03L</v>
      </c>
      <c r="U6582" s="403">
        <f t="shared" si="830"/>
        <v>1</v>
      </c>
      <c r="V6582" s="403" t="str">
        <f t="shared" si="831"/>
        <v>CPP_7_3</v>
      </c>
    </row>
    <row r="6583" spans="1:22">
      <c r="A6583" t="str">
        <f t="shared" si="824"/>
        <v>NTV-3502-F03L</v>
      </c>
      <c r="B6583" s="403" t="s">
        <v>1464</v>
      </c>
      <c r="C6583" s="403" t="s">
        <v>582</v>
      </c>
      <c r="D6583" s="403" t="s">
        <v>1310</v>
      </c>
      <c r="E6583" s="403" t="s">
        <v>778</v>
      </c>
      <c r="F6583" s="403" t="s">
        <v>1292</v>
      </c>
      <c r="G6583" s="403" t="s">
        <v>1467</v>
      </c>
      <c r="H6583" s="403" t="s">
        <v>1281</v>
      </c>
      <c r="I6583" s="403">
        <v>1</v>
      </c>
      <c r="J6583" s="403" t="s">
        <v>110</v>
      </c>
      <c r="K6583" s="403">
        <v>1080</v>
      </c>
      <c r="L6583" s="403">
        <v>1920</v>
      </c>
      <c r="M6583" s="403" t="s">
        <v>1283</v>
      </c>
      <c r="N6583" s="403">
        <v>480</v>
      </c>
      <c r="O6583" s="403">
        <v>720</v>
      </c>
      <c r="P6583" t="str">
        <f t="shared" si="825"/>
        <v>30fps 1080p - SD 4CIF resolution 4:3 format (cropped)</v>
      </c>
      <c r="Q6583">
        <f t="shared" si="826"/>
        <v>36</v>
      </c>
      <c r="R6583" t="str">
        <f t="shared" si="827"/>
        <v/>
      </c>
      <c r="S6583" t="str">
        <f t="shared" si="828"/>
        <v/>
      </c>
      <c r="T6583" s="403" t="str">
        <f t="shared" si="829"/>
        <v>NTV-3502-F03L</v>
      </c>
      <c r="U6583" s="403">
        <f t="shared" si="830"/>
        <v>1</v>
      </c>
      <c r="V6583" s="403" t="str">
        <f t="shared" si="831"/>
        <v>CPP_7_3</v>
      </c>
    </row>
    <row r="6584" spans="1:22">
      <c r="A6584" t="str">
        <f t="shared" si="824"/>
        <v>NTV-3502-F03L</v>
      </c>
      <c r="B6584" s="403" t="s">
        <v>1464</v>
      </c>
      <c r="C6584" s="403" t="s">
        <v>582</v>
      </c>
      <c r="D6584" s="403" t="s">
        <v>1310</v>
      </c>
      <c r="E6584" s="403" t="s">
        <v>778</v>
      </c>
      <c r="F6584" s="403" t="s">
        <v>1292</v>
      </c>
      <c r="G6584" s="403" t="s">
        <v>1467</v>
      </c>
      <c r="H6584" s="403" t="s">
        <v>1281</v>
      </c>
      <c r="I6584" s="403">
        <v>1</v>
      </c>
      <c r="J6584" s="403" t="s">
        <v>110</v>
      </c>
      <c r="K6584" s="403">
        <v>1080</v>
      </c>
      <c r="L6584" s="403">
        <v>1920</v>
      </c>
      <c r="M6584" s="403" t="s">
        <v>1284</v>
      </c>
      <c r="N6584" s="403">
        <v>480</v>
      </c>
      <c r="O6584" s="403">
        <v>640</v>
      </c>
      <c r="P6584" t="str">
        <f t="shared" si="825"/>
        <v>30fps 1080p - SD VGA (cropped)</v>
      </c>
      <c r="Q6584">
        <f t="shared" si="826"/>
        <v>36</v>
      </c>
      <c r="R6584" t="str">
        <f t="shared" si="827"/>
        <v/>
      </c>
      <c r="S6584" t="str">
        <f t="shared" si="828"/>
        <v/>
      </c>
      <c r="T6584" s="403" t="str">
        <f t="shared" si="829"/>
        <v>NTV-3502-F03L</v>
      </c>
      <c r="U6584" s="403">
        <f t="shared" si="830"/>
        <v>1</v>
      </c>
      <c r="V6584" s="403" t="str">
        <f t="shared" si="831"/>
        <v>CPP_7_3</v>
      </c>
    </row>
    <row r="6585" spans="1:22">
      <c r="A6585" t="str">
        <f t="shared" si="824"/>
        <v>NTV-3502-F03L</v>
      </c>
      <c r="B6585" s="403" t="s">
        <v>1464</v>
      </c>
      <c r="C6585" s="403" t="s">
        <v>582</v>
      </c>
      <c r="D6585" s="403" t="s">
        <v>1310</v>
      </c>
      <c r="E6585" s="403" t="s">
        <v>778</v>
      </c>
      <c r="F6585" s="403" t="s">
        <v>1292</v>
      </c>
      <c r="G6585" s="403" t="s">
        <v>1467</v>
      </c>
      <c r="H6585" s="403" t="s">
        <v>1281</v>
      </c>
      <c r="I6585" s="403">
        <v>1</v>
      </c>
      <c r="J6585" s="403" t="s">
        <v>109</v>
      </c>
      <c r="K6585" s="403">
        <v>720</v>
      </c>
      <c r="L6585" s="403">
        <v>1280</v>
      </c>
      <c r="M6585" s="403" t="s">
        <v>109</v>
      </c>
      <c r="N6585" s="403">
        <v>720</v>
      </c>
      <c r="O6585" s="403">
        <v>1280</v>
      </c>
      <c r="P6585" t="str">
        <f t="shared" si="825"/>
        <v>30fps 720p - 720p</v>
      </c>
      <c r="Q6585">
        <f t="shared" si="826"/>
        <v>36</v>
      </c>
      <c r="R6585" t="str">
        <f t="shared" si="827"/>
        <v/>
      </c>
      <c r="S6585" t="str">
        <f t="shared" si="828"/>
        <v/>
      </c>
      <c r="T6585" s="403" t="str">
        <f t="shared" si="829"/>
        <v>NTV-3502-F03L</v>
      </c>
      <c r="U6585" s="403">
        <f t="shared" si="830"/>
        <v>1</v>
      </c>
      <c r="V6585" s="403" t="str">
        <f t="shared" si="831"/>
        <v>CPP_7_3</v>
      </c>
    </row>
    <row r="6586" spans="1:22">
      <c r="A6586" t="str">
        <f t="shared" si="824"/>
        <v>NTV-3502-F03L</v>
      </c>
      <c r="B6586" s="403" t="s">
        <v>1464</v>
      </c>
      <c r="C6586" s="403" t="s">
        <v>582</v>
      </c>
      <c r="D6586" s="403" t="s">
        <v>1310</v>
      </c>
      <c r="E6586" s="403" t="s">
        <v>778</v>
      </c>
      <c r="F6586" s="403" t="s">
        <v>1292</v>
      </c>
      <c r="G6586" s="403" t="s">
        <v>1467</v>
      </c>
      <c r="H6586" s="403" t="s">
        <v>1281</v>
      </c>
      <c r="I6586" s="403">
        <v>1</v>
      </c>
      <c r="J6586" s="403" t="s">
        <v>109</v>
      </c>
      <c r="K6586" s="403">
        <v>720</v>
      </c>
      <c r="L6586" s="403">
        <v>1280</v>
      </c>
      <c r="M6586" s="403" t="s">
        <v>111</v>
      </c>
      <c r="N6586" s="403">
        <v>432</v>
      </c>
      <c r="O6586" s="403">
        <v>768</v>
      </c>
      <c r="P6586" t="str">
        <f t="shared" si="825"/>
        <v>30fps 720p - SD</v>
      </c>
      <c r="Q6586">
        <f t="shared" si="826"/>
        <v>36</v>
      </c>
      <c r="R6586" t="str">
        <f t="shared" si="827"/>
        <v/>
      </c>
      <c r="S6586" t="str">
        <f t="shared" si="828"/>
        <v/>
      </c>
      <c r="T6586" s="403" t="str">
        <f t="shared" si="829"/>
        <v>NTV-3502-F03L</v>
      </c>
      <c r="U6586" s="403">
        <f t="shared" si="830"/>
        <v>1</v>
      </c>
      <c r="V6586" s="403" t="str">
        <f t="shared" si="831"/>
        <v>CPP_7_3</v>
      </c>
    </row>
    <row r="6587" spans="1:22">
      <c r="A6587" t="str">
        <f t="shared" si="824"/>
        <v>NTV-3502-F03L</v>
      </c>
      <c r="B6587" s="403" t="s">
        <v>1464</v>
      </c>
      <c r="C6587" s="403" t="s">
        <v>582</v>
      </c>
      <c r="D6587" s="403" t="s">
        <v>1310</v>
      </c>
      <c r="E6587" s="403" t="s">
        <v>778</v>
      </c>
      <c r="F6587" s="403" t="s">
        <v>1292</v>
      </c>
      <c r="G6587" s="403" t="s">
        <v>1467</v>
      </c>
      <c r="H6587" s="403" t="s">
        <v>1281</v>
      </c>
      <c r="I6587" s="403">
        <v>1</v>
      </c>
      <c r="J6587" s="403" t="s">
        <v>109</v>
      </c>
      <c r="K6587" s="403">
        <v>720</v>
      </c>
      <c r="L6587" s="403">
        <v>1280</v>
      </c>
      <c r="M6587" s="403" t="s">
        <v>1279</v>
      </c>
      <c r="N6587" s="403">
        <v>432</v>
      </c>
      <c r="O6587" s="403">
        <v>768</v>
      </c>
      <c r="P6587" t="str">
        <f t="shared" si="825"/>
        <v>30fps 720p - SD ROI PTZ</v>
      </c>
      <c r="Q6587">
        <f t="shared" si="826"/>
        <v>36</v>
      </c>
      <c r="R6587" t="str">
        <f t="shared" si="827"/>
        <v/>
      </c>
      <c r="S6587" t="str">
        <f t="shared" si="828"/>
        <v/>
      </c>
      <c r="T6587" s="403" t="str">
        <f t="shared" si="829"/>
        <v>NTV-3502-F03L</v>
      </c>
      <c r="U6587" s="403">
        <f t="shared" si="830"/>
        <v>1</v>
      </c>
      <c r="V6587" s="403" t="str">
        <f t="shared" si="831"/>
        <v>CPP_7_3</v>
      </c>
    </row>
    <row r="6588" spans="1:22">
      <c r="A6588" t="str">
        <f t="shared" si="824"/>
        <v>NTV-3502-F03L</v>
      </c>
      <c r="B6588" s="403" t="s">
        <v>1464</v>
      </c>
      <c r="C6588" s="403" t="s">
        <v>582</v>
      </c>
      <c r="D6588" s="403" t="s">
        <v>1310</v>
      </c>
      <c r="E6588" s="403" t="s">
        <v>778</v>
      </c>
      <c r="F6588" s="403" t="s">
        <v>1292</v>
      </c>
      <c r="G6588" s="403" t="s">
        <v>1467</v>
      </c>
      <c r="H6588" s="403" t="s">
        <v>1281</v>
      </c>
      <c r="I6588" s="403">
        <v>1</v>
      </c>
      <c r="J6588" s="403" t="s">
        <v>109</v>
      </c>
      <c r="K6588" s="403">
        <v>720</v>
      </c>
      <c r="L6588" s="403">
        <v>1280</v>
      </c>
      <c r="M6588" s="403" t="s">
        <v>1283</v>
      </c>
      <c r="N6588" s="403">
        <v>480</v>
      </c>
      <c r="O6588" s="403">
        <v>720</v>
      </c>
      <c r="P6588" t="str">
        <f t="shared" si="825"/>
        <v>30fps 720p - SD 4CIF resolution 4:3 format (cropped)</v>
      </c>
      <c r="Q6588">
        <f t="shared" si="826"/>
        <v>36</v>
      </c>
      <c r="R6588" t="str">
        <f t="shared" si="827"/>
        <v/>
      </c>
      <c r="S6588" t="str">
        <f t="shared" si="828"/>
        <v/>
      </c>
      <c r="T6588" s="403" t="str">
        <f t="shared" si="829"/>
        <v>NTV-3502-F03L</v>
      </c>
      <c r="U6588" s="403">
        <f t="shared" si="830"/>
        <v>1</v>
      </c>
      <c r="V6588" s="403" t="str">
        <f t="shared" si="831"/>
        <v>CPP_7_3</v>
      </c>
    </row>
    <row r="6589" spans="1:22">
      <c r="A6589" t="str">
        <f t="shared" si="824"/>
        <v>NTV-3502-F03L</v>
      </c>
      <c r="B6589" s="403" t="s">
        <v>1464</v>
      </c>
      <c r="C6589" s="403" t="s">
        <v>582</v>
      </c>
      <c r="D6589" s="403" t="s">
        <v>1310</v>
      </c>
      <c r="E6589" s="403" t="s">
        <v>778</v>
      </c>
      <c r="F6589" s="403" t="s">
        <v>1292</v>
      </c>
      <c r="G6589" s="403" t="s">
        <v>1467</v>
      </c>
      <c r="H6589" s="403" t="s">
        <v>1281</v>
      </c>
      <c r="I6589" s="403">
        <v>1</v>
      </c>
      <c r="J6589" s="403" t="s">
        <v>109</v>
      </c>
      <c r="K6589" s="403">
        <v>720</v>
      </c>
      <c r="L6589" s="403">
        <v>1280</v>
      </c>
      <c r="M6589" s="403" t="s">
        <v>1284</v>
      </c>
      <c r="N6589" s="403">
        <v>480</v>
      </c>
      <c r="O6589" s="403">
        <v>640</v>
      </c>
      <c r="P6589" t="str">
        <f t="shared" si="825"/>
        <v>30fps 720p - SD VGA (cropped)</v>
      </c>
      <c r="Q6589">
        <f t="shared" si="826"/>
        <v>36</v>
      </c>
      <c r="R6589" t="str">
        <f t="shared" si="827"/>
        <v/>
      </c>
      <c r="S6589" t="str">
        <f t="shared" si="828"/>
        <v/>
      </c>
      <c r="T6589" s="403" t="str">
        <f t="shared" si="829"/>
        <v>NTV-3502-F03L</v>
      </c>
      <c r="U6589" s="403">
        <f t="shared" si="830"/>
        <v>1</v>
      </c>
      <c r="V6589" s="403" t="str">
        <f t="shared" si="831"/>
        <v>CPP_7_3</v>
      </c>
    </row>
    <row r="6590" spans="1:22">
      <c r="A6590" t="str">
        <f t="shared" si="824"/>
        <v>NTV-3502-F03L</v>
      </c>
      <c r="B6590" s="403" t="s">
        <v>1464</v>
      </c>
      <c r="C6590" s="403" t="s">
        <v>582</v>
      </c>
      <c r="D6590" s="403" t="s">
        <v>1310</v>
      </c>
      <c r="E6590" s="403" t="s">
        <v>778</v>
      </c>
      <c r="F6590" s="403" t="s">
        <v>1293</v>
      </c>
      <c r="G6590" s="403" t="s">
        <v>1466</v>
      </c>
      <c r="H6590" s="403" t="s">
        <v>1276</v>
      </c>
      <c r="I6590" s="403">
        <v>1</v>
      </c>
      <c r="J6590" s="403" t="s">
        <v>110</v>
      </c>
      <c r="K6590" s="403">
        <v>1920</v>
      </c>
      <c r="L6590" s="403">
        <v>1080</v>
      </c>
      <c r="M6590" s="403" t="s">
        <v>111</v>
      </c>
      <c r="N6590" s="403">
        <v>768</v>
      </c>
      <c r="O6590" s="403">
        <v>432</v>
      </c>
      <c r="P6590" t="str">
        <f t="shared" si="825"/>
        <v>25fps 1080p - SD</v>
      </c>
      <c r="Q6590">
        <f t="shared" si="826"/>
        <v>36</v>
      </c>
      <c r="R6590" t="str">
        <f t="shared" si="827"/>
        <v/>
      </c>
      <c r="S6590" t="str">
        <f t="shared" si="828"/>
        <v/>
      </c>
      <c r="T6590" s="403" t="str">
        <f t="shared" si="829"/>
        <v>NTV-3502-F03L</v>
      </c>
      <c r="U6590" s="403">
        <f t="shared" si="830"/>
        <v>1</v>
      </c>
      <c r="V6590" s="403" t="str">
        <f t="shared" si="831"/>
        <v>CPP_7_3</v>
      </c>
    </row>
    <row r="6591" spans="1:22">
      <c r="A6591" t="str">
        <f t="shared" si="824"/>
        <v>NTV-3502-F03L</v>
      </c>
      <c r="B6591" s="403" t="s">
        <v>1464</v>
      </c>
      <c r="C6591" s="403" t="s">
        <v>582</v>
      </c>
      <c r="D6591" s="403" t="s">
        <v>1310</v>
      </c>
      <c r="E6591" s="403" t="s">
        <v>778</v>
      </c>
      <c r="F6591" s="403" t="s">
        <v>1293</v>
      </c>
      <c r="G6591" s="403" t="s">
        <v>1466</v>
      </c>
      <c r="H6591" s="403" t="s">
        <v>1276</v>
      </c>
      <c r="I6591" s="403">
        <v>1</v>
      </c>
      <c r="J6591" s="403" t="s">
        <v>110</v>
      </c>
      <c r="K6591" s="403">
        <v>1920</v>
      </c>
      <c r="L6591" s="403">
        <v>1080</v>
      </c>
      <c r="M6591" s="403" t="s">
        <v>110</v>
      </c>
      <c r="N6591" s="403">
        <v>1920</v>
      </c>
      <c r="O6591" s="403">
        <v>1080</v>
      </c>
      <c r="P6591" t="str">
        <f t="shared" si="825"/>
        <v>25fps 1080p - 1080p</v>
      </c>
      <c r="Q6591">
        <f t="shared" si="826"/>
        <v>36</v>
      </c>
      <c r="R6591" t="str">
        <f t="shared" si="827"/>
        <v/>
      </c>
      <c r="S6591" t="str">
        <f t="shared" si="828"/>
        <v/>
      </c>
      <c r="T6591" s="403" t="str">
        <f t="shared" si="829"/>
        <v>NTV-3502-F03L</v>
      </c>
      <c r="U6591" s="403">
        <f t="shared" si="830"/>
        <v>1</v>
      </c>
      <c r="V6591" s="403" t="str">
        <f t="shared" si="831"/>
        <v>CPP_7_3</v>
      </c>
    </row>
    <row r="6592" spans="1:22">
      <c r="A6592" t="str">
        <f t="shared" si="824"/>
        <v>NTV-3502-F03L</v>
      </c>
      <c r="B6592" s="403" t="s">
        <v>1464</v>
      </c>
      <c r="C6592" s="403" t="s">
        <v>582</v>
      </c>
      <c r="D6592" s="403" t="s">
        <v>1310</v>
      </c>
      <c r="E6592" s="403" t="s">
        <v>778</v>
      </c>
      <c r="F6592" s="403" t="s">
        <v>1293</v>
      </c>
      <c r="G6592" s="403" t="s">
        <v>1466</v>
      </c>
      <c r="H6592" s="403" t="s">
        <v>1276</v>
      </c>
      <c r="I6592" s="403">
        <v>1</v>
      </c>
      <c r="J6592" s="403" t="s">
        <v>110</v>
      </c>
      <c r="K6592" s="403">
        <v>1920</v>
      </c>
      <c r="L6592" s="403">
        <v>1080</v>
      </c>
      <c r="M6592" s="403" t="s">
        <v>109</v>
      </c>
      <c r="N6592" s="403">
        <v>1280</v>
      </c>
      <c r="O6592" s="403">
        <v>720</v>
      </c>
      <c r="P6592" t="str">
        <f t="shared" si="825"/>
        <v>25fps 1080p - 720p</v>
      </c>
      <c r="Q6592">
        <f t="shared" si="826"/>
        <v>36</v>
      </c>
      <c r="R6592" t="str">
        <f t="shared" si="827"/>
        <v/>
      </c>
      <c r="S6592" t="str">
        <f t="shared" si="828"/>
        <v/>
      </c>
      <c r="T6592" s="403" t="str">
        <f t="shared" si="829"/>
        <v>NTV-3502-F03L</v>
      </c>
      <c r="U6592" s="403">
        <f t="shared" si="830"/>
        <v>1</v>
      </c>
      <c r="V6592" s="403" t="str">
        <f t="shared" si="831"/>
        <v>CPP_7_3</v>
      </c>
    </row>
    <row r="6593" spans="1:22">
      <c r="A6593" t="str">
        <f t="shared" si="824"/>
        <v>NTV-3502-F03L</v>
      </c>
      <c r="B6593" s="403" t="s">
        <v>1464</v>
      </c>
      <c r="C6593" s="403" t="s">
        <v>582</v>
      </c>
      <c r="D6593" s="403" t="s">
        <v>1310</v>
      </c>
      <c r="E6593" s="403" t="s">
        <v>778</v>
      </c>
      <c r="F6593" s="403" t="s">
        <v>1293</v>
      </c>
      <c r="G6593" s="403" t="s">
        <v>1466</v>
      </c>
      <c r="H6593" s="403" t="s">
        <v>1276</v>
      </c>
      <c r="I6593" s="403">
        <v>1</v>
      </c>
      <c r="J6593" s="403" t="s">
        <v>110</v>
      </c>
      <c r="K6593" s="403">
        <v>1920</v>
      </c>
      <c r="L6593" s="403">
        <v>1080</v>
      </c>
      <c r="M6593" s="403" t="s">
        <v>1285</v>
      </c>
      <c r="N6593" s="403">
        <v>1280</v>
      </c>
      <c r="O6593" s="403">
        <v>1024</v>
      </c>
      <c r="P6593" t="str">
        <f t="shared" si="825"/>
        <v>25fps 1080p - 1280x1024 5:4 (cropped)</v>
      </c>
      <c r="Q6593">
        <f t="shared" si="826"/>
        <v>36</v>
      </c>
      <c r="R6593" t="str">
        <f t="shared" si="827"/>
        <v/>
      </c>
      <c r="S6593" t="str">
        <f t="shared" si="828"/>
        <v/>
      </c>
      <c r="T6593" s="403" t="str">
        <f t="shared" si="829"/>
        <v>NTV-3502-F03L</v>
      </c>
      <c r="U6593" s="403">
        <f t="shared" si="830"/>
        <v>1</v>
      </c>
      <c r="V6593" s="403" t="str">
        <f t="shared" si="831"/>
        <v>CPP_7_3</v>
      </c>
    </row>
    <row r="6594" spans="1:22">
      <c r="A6594" t="str">
        <f t="shared" si="824"/>
        <v>NTV-3502-F03L</v>
      </c>
      <c r="B6594" s="403" t="s">
        <v>1464</v>
      </c>
      <c r="C6594" s="403" t="s">
        <v>582</v>
      </c>
      <c r="D6594" s="403" t="s">
        <v>1310</v>
      </c>
      <c r="E6594" s="403" t="s">
        <v>778</v>
      </c>
      <c r="F6594" s="403" t="s">
        <v>1293</v>
      </c>
      <c r="G6594" s="403" t="s">
        <v>1466</v>
      </c>
      <c r="H6594" s="403" t="s">
        <v>1276</v>
      </c>
      <c r="I6594" s="403">
        <v>1</v>
      </c>
      <c r="J6594" s="403" t="s">
        <v>110</v>
      </c>
      <c r="K6594" s="403">
        <v>1920</v>
      </c>
      <c r="L6594" s="403">
        <v>1080</v>
      </c>
      <c r="M6594" s="403" t="s">
        <v>1279</v>
      </c>
      <c r="N6594" s="403">
        <v>768</v>
      </c>
      <c r="O6594" s="403">
        <v>432</v>
      </c>
      <c r="P6594" t="str">
        <f t="shared" si="825"/>
        <v>25fps 1080p - SD ROI PTZ</v>
      </c>
      <c r="Q6594">
        <f t="shared" si="826"/>
        <v>36</v>
      </c>
      <c r="R6594" t="str">
        <f t="shared" si="827"/>
        <v/>
      </c>
      <c r="S6594" t="str">
        <f t="shared" si="828"/>
        <v/>
      </c>
      <c r="T6594" s="403" t="str">
        <f t="shared" si="829"/>
        <v>NTV-3502-F03L</v>
      </c>
      <c r="U6594" s="403">
        <f t="shared" si="830"/>
        <v>1</v>
      </c>
      <c r="V6594" s="403" t="str">
        <f t="shared" si="831"/>
        <v>CPP_7_3</v>
      </c>
    </row>
    <row r="6595" spans="1:22">
      <c r="A6595" t="str">
        <f t="shared" si="824"/>
        <v>NTV-3502-F03L</v>
      </c>
      <c r="B6595" s="403" t="s">
        <v>1464</v>
      </c>
      <c r="C6595" s="403" t="s">
        <v>582</v>
      </c>
      <c r="D6595" s="403" t="s">
        <v>1310</v>
      </c>
      <c r="E6595" s="403" t="s">
        <v>778</v>
      </c>
      <c r="F6595" s="403" t="s">
        <v>1293</v>
      </c>
      <c r="G6595" s="403" t="s">
        <v>1466</v>
      </c>
      <c r="H6595" s="403" t="s">
        <v>1276</v>
      </c>
      <c r="I6595" s="403">
        <v>1</v>
      </c>
      <c r="J6595" s="403" t="s">
        <v>110</v>
      </c>
      <c r="K6595" s="403">
        <v>1920</v>
      </c>
      <c r="L6595" s="403">
        <v>1080</v>
      </c>
      <c r="M6595" s="403" t="s">
        <v>1283</v>
      </c>
      <c r="N6595" s="403">
        <v>720</v>
      </c>
      <c r="O6595" s="403">
        <v>576</v>
      </c>
      <c r="P6595" t="str">
        <f t="shared" si="825"/>
        <v>25fps 1080p - SD 4CIF resolution 4:3 format (cropped)</v>
      </c>
      <c r="Q6595">
        <f t="shared" si="826"/>
        <v>36</v>
      </c>
      <c r="R6595" t="str">
        <f t="shared" si="827"/>
        <v/>
      </c>
      <c r="S6595" t="str">
        <f t="shared" si="828"/>
        <v/>
      </c>
      <c r="T6595" s="403" t="str">
        <f t="shared" si="829"/>
        <v>NTV-3502-F03L</v>
      </c>
      <c r="U6595" s="403">
        <f t="shared" si="830"/>
        <v>1</v>
      </c>
      <c r="V6595" s="403" t="str">
        <f t="shared" si="831"/>
        <v>CPP_7_3</v>
      </c>
    </row>
    <row r="6596" spans="1:22">
      <c r="A6596" t="str">
        <f t="shared" si="824"/>
        <v>NTV-3502-F03L</v>
      </c>
      <c r="B6596" s="403" t="s">
        <v>1464</v>
      </c>
      <c r="C6596" s="403" t="s">
        <v>582</v>
      </c>
      <c r="D6596" s="403" t="s">
        <v>1310</v>
      </c>
      <c r="E6596" s="403" t="s">
        <v>778</v>
      </c>
      <c r="F6596" s="403" t="s">
        <v>1293</v>
      </c>
      <c r="G6596" s="403" t="s">
        <v>1466</v>
      </c>
      <c r="H6596" s="403" t="s">
        <v>1276</v>
      </c>
      <c r="I6596" s="403">
        <v>1</v>
      </c>
      <c r="J6596" s="403" t="s">
        <v>110</v>
      </c>
      <c r="K6596" s="403">
        <v>1920</v>
      </c>
      <c r="L6596" s="403">
        <v>1080</v>
      </c>
      <c r="M6596" s="403" t="s">
        <v>1284</v>
      </c>
      <c r="N6596" s="403">
        <v>640</v>
      </c>
      <c r="O6596" s="403">
        <v>480</v>
      </c>
      <c r="P6596" t="str">
        <f t="shared" si="825"/>
        <v>25fps 1080p - SD VGA (cropped)</v>
      </c>
      <c r="Q6596">
        <f t="shared" si="826"/>
        <v>36</v>
      </c>
      <c r="R6596" t="str">
        <f t="shared" si="827"/>
        <v/>
      </c>
      <c r="S6596" t="str">
        <f t="shared" si="828"/>
        <v/>
      </c>
      <c r="T6596" s="403" t="str">
        <f t="shared" si="829"/>
        <v>NTV-3502-F03L</v>
      </c>
      <c r="U6596" s="403">
        <f t="shared" si="830"/>
        <v>1</v>
      </c>
      <c r="V6596" s="403" t="str">
        <f t="shared" si="831"/>
        <v>CPP_7_3</v>
      </c>
    </row>
    <row r="6597" spans="1:22">
      <c r="A6597" t="str">
        <f t="shared" si="824"/>
        <v>NTV-3502-F03L</v>
      </c>
      <c r="B6597" s="403" t="s">
        <v>1464</v>
      </c>
      <c r="C6597" s="403" t="s">
        <v>582</v>
      </c>
      <c r="D6597" s="403" t="s">
        <v>1310</v>
      </c>
      <c r="E6597" s="403" t="s">
        <v>778</v>
      </c>
      <c r="F6597" s="403" t="s">
        <v>1293</v>
      </c>
      <c r="G6597" s="403" t="s">
        <v>1466</v>
      </c>
      <c r="H6597" s="403" t="s">
        <v>1276</v>
      </c>
      <c r="I6597" s="403">
        <v>1</v>
      </c>
      <c r="J6597" s="403" t="s">
        <v>109</v>
      </c>
      <c r="K6597" s="403">
        <v>1280</v>
      </c>
      <c r="L6597" s="403">
        <v>720</v>
      </c>
      <c r="M6597" s="403" t="s">
        <v>109</v>
      </c>
      <c r="N6597" s="403">
        <v>1280</v>
      </c>
      <c r="O6597" s="403">
        <v>720</v>
      </c>
      <c r="P6597" t="str">
        <f t="shared" si="825"/>
        <v>25fps 720p - 720p</v>
      </c>
      <c r="Q6597">
        <f t="shared" si="826"/>
        <v>36</v>
      </c>
      <c r="R6597" t="str">
        <f t="shared" si="827"/>
        <v/>
      </c>
      <c r="S6597" t="str">
        <f t="shared" si="828"/>
        <v/>
      </c>
      <c r="T6597" s="403" t="str">
        <f t="shared" si="829"/>
        <v>NTV-3502-F03L</v>
      </c>
      <c r="U6597" s="403">
        <f t="shared" si="830"/>
        <v>1</v>
      </c>
      <c r="V6597" s="403" t="str">
        <f t="shared" si="831"/>
        <v>CPP_7_3</v>
      </c>
    </row>
    <row r="6598" spans="1:22">
      <c r="A6598" t="str">
        <f t="shared" si="824"/>
        <v>NTV-3502-F03L</v>
      </c>
      <c r="B6598" s="403" t="s">
        <v>1464</v>
      </c>
      <c r="C6598" s="403" t="s">
        <v>582</v>
      </c>
      <c r="D6598" s="403" t="s">
        <v>1310</v>
      </c>
      <c r="E6598" s="403" t="s">
        <v>778</v>
      </c>
      <c r="F6598" s="403" t="s">
        <v>1293</v>
      </c>
      <c r="G6598" s="403" t="s">
        <v>1466</v>
      </c>
      <c r="H6598" s="403" t="s">
        <v>1276</v>
      </c>
      <c r="I6598" s="403">
        <v>1</v>
      </c>
      <c r="J6598" s="403" t="s">
        <v>109</v>
      </c>
      <c r="K6598" s="403">
        <v>1280</v>
      </c>
      <c r="L6598" s="403">
        <v>720</v>
      </c>
      <c r="M6598" s="403" t="s">
        <v>111</v>
      </c>
      <c r="N6598" s="403">
        <v>768</v>
      </c>
      <c r="O6598" s="403">
        <v>432</v>
      </c>
      <c r="P6598" t="str">
        <f t="shared" si="825"/>
        <v>25fps 720p - SD</v>
      </c>
      <c r="Q6598">
        <f t="shared" si="826"/>
        <v>36</v>
      </c>
      <c r="R6598" t="str">
        <f t="shared" si="827"/>
        <v/>
      </c>
      <c r="S6598" t="str">
        <f t="shared" si="828"/>
        <v/>
      </c>
      <c r="T6598" s="403" t="str">
        <f t="shared" si="829"/>
        <v>NTV-3502-F03L</v>
      </c>
      <c r="U6598" s="403">
        <f t="shared" si="830"/>
        <v>1</v>
      </c>
      <c r="V6598" s="403" t="str">
        <f t="shared" si="831"/>
        <v>CPP_7_3</v>
      </c>
    </row>
    <row r="6599" spans="1:22">
      <c r="A6599" t="str">
        <f t="shared" si="824"/>
        <v>NTV-3502-F03L</v>
      </c>
      <c r="B6599" s="403" t="s">
        <v>1464</v>
      </c>
      <c r="C6599" s="403" t="s">
        <v>582</v>
      </c>
      <c r="D6599" s="403" t="s">
        <v>1310</v>
      </c>
      <c r="E6599" s="403" t="s">
        <v>778</v>
      </c>
      <c r="F6599" s="403" t="s">
        <v>1293</v>
      </c>
      <c r="G6599" s="403" t="s">
        <v>1466</v>
      </c>
      <c r="H6599" s="403" t="s">
        <v>1276</v>
      </c>
      <c r="I6599" s="403">
        <v>1</v>
      </c>
      <c r="J6599" s="403" t="s">
        <v>109</v>
      </c>
      <c r="K6599" s="403">
        <v>1280</v>
      </c>
      <c r="L6599" s="403">
        <v>720</v>
      </c>
      <c r="M6599" s="403" t="s">
        <v>1279</v>
      </c>
      <c r="N6599" s="403">
        <v>768</v>
      </c>
      <c r="O6599" s="403">
        <v>432</v>
      </c>
      <c r="P6599" t="str">
        <f t="shared" si="825"/>
        <v>25fps 720p - SD ROI PTZ</v>
      </c>
      <c r="Q6599">
        <f t="shared" si="826"/>
        <v>36</v>
      </c>
      <c r="R6599" t="str">
        <f t="shared" si="827"/>
        <v/>
      </c>
      <c r="S6599" t="str">
        <f t="shared" si="828"/>
        <v/>
      </c>
      <c r="T6599" s="403" t="str">
        <f t="shared" si="829"/>
        <v>NTV-3502-F03L</v>
      </c>
      <c r="U6599" s="403">
        <f t="shared" si="830"/>
        <v>1</v>
      </c>
      <c r="V6599" s="403" t="str">
        <f t="shared" si="831"/>
        <v>CPP_7_3</v>
      </c>
    </row>
    <row r="6600" spans="1:22">
      <c r="A6600" t="str">
        <f t="shared" si="824"/>
        <v>NTV-3502-F03L</v>
      </c>
      <c r="B6600" s="403" t="s">
        <v>1464</v>
      </c>
      <c r="C6600" s="403" t="s">
        <v>582</v>
      </c>
      <c r="D6600" s="403" t="s">
        <v>1310</v>
      </c>
      <c r="E6600" s="403" t="s">
        <v>778</v>
      </c>
      <c r="F6600" s="403" t="s">
        <v>1293</v>
      </c>
      <c r="G6600" s="403" t="s">
        <v>1466</v>
      </c>
      <c r="H6600" s="403" t="s">
        <v>1276</v>
      </c>
      <c r="I6600" s="403">
        <v>1</v>
      </c>
      <c r="J6600" s="403" t="s">
        <v>109</v>
      </c>
      <c r="K6600" s="403">
        <v>1280</v>
      </c>
      <c r="L6600" s="403">
        <v>720</v>
      </c>
      <c r="M6600" s="403" t="s">
        <v>1283</v>
      </c>
      <c r="N6600" s="403">
        <v>720</v>
      </c>
      <c r="O6600" s="403">
        <v>576</v>
      </c>
      <c r="P6600" t="str">
        <f t="shared" si="825"/>
        <v>25fps 720p - SD 4CIF resolution 4:3 format (cropped)</v>
      </c>
      <c r="Q6600">
        <f t="shared" si="826"/>
        <v>36</v>
      </c>
      <c r="R6600" t="str">
        <f t="shared" si="827"/>
        <v/>
      </c>
      <c r="S6600" t="str">
        <f t="shared" si="828"/>
        <v/>
      </c>
      <c r="T6600" s="403" t="str">
        <f t="shared" si="829"/>
        <v>NTV-3502-F03L</v>
      </c>
      <c r="U6600" s="403">
        <f t="shared" si="830"/>
        <v>1</v>
      </c>
      <c r="V6600" s="403" t="str">
        <f t="shared" si="831"/>
        <v>CPP_7_3</v>
      </c>
    </row>
    <row r="6601" spans="1:22">
      <c r="A6601" t="str">
        <f t="shared" si="824"/>
        <v>NTV-3502-F03L</v>
      </c>
      <c r="B6601" s="403" t="s">
        <v>1464</v>
      </c>
      <c r="C6601" s="403" t="s">
        <v>582</v>
      </c>
      <c r="D6601" s="403" t="s">
        <v>1310</v>
      </c>
      <c r="E6601" s="403" t="s">
        <v>778</v>
      </c>
      <c r="F6601" s="403" t="s">
        <v>1293</v>
      </c>
      <c r="G6601" s="403" t="s">
        <v>1466</v>
      </c>
      <c r="H6601" s="403" t="s">
        <v>1276</v>
      </c>
      <c r="I6601" s="403">
        <v>1</v>
      </c>
      <c r="J6601" s="403" t="s">
        <v>109</v>
      </c>
      <c r="K6601" s="403">
        <v>1280</v>
      </c>
      <c r="L6601" s="403">
        <v>720</v>
      </c>
      <c r="M6601" s="403" t="s">
        <v>1284</v>
      </c>
      <c r="N6601" s="403">
        <v>640</v>
      </c>
      <c r="O6601" s="403">
        <v>480</v>
      </c>
      <c r="P6601" t="str">
        <f t="shared" si="825"/>
        <v>25fps 720p - SD VGA (cropped)</v>
      </c>
      <c r="Q6601">
        <f t="shared" si="826"/>
        <v>36</v>
      </c>
      <c r="R6601" t="str">
        <f t="shared" si="827"/>
        <v/>
      </c>
      <c r="S6601" t="str">
        <f t="shared" si="828"/>
        <v/>
      </c>
      <c r="T6601" s="403" t="str">
        <f t="shared" si="829"/>
        <v>NTV-3502-F03L</v>
      </c>
      <c r="U6601" s="403">
        <f t="shared" si="830"/>
        <v>1</v>
      </c>
      <c r="V6601" s="403" t="str">
        <f t="shared" si="831"/>
        <v>CPP_7_3</v>
      </c>
    </row>
    <row r="6602" spans="1:22">
      <c r="A6602" t="str">
        <f t="shared" si="824"/>
        <v>NTV-3502-F03L</v>
      </c>
      <c r="B6602" s="403" t="s">
        <v>1464</v>
      </c>
      <c r="C6602" s="403" t="s">
        <v>582</v>
      </c>
      <c r="D6602" s="403" t="s">
        <v>1310</v>
      </c>
      <c r="E6602" s="403" t="s">
        <v>778</v>
      </c>
      <c r="F6602" s="403" t="s">
        <v>1293</v>
      </c>
      <c r="G6602" s="403" t="s">
        <v>1466</v>
      </c>
      <c r="H6602" s="403" t="s">
        <v>1281</v>
      </c>
      <c r="I6602" s="403">
        <v>1</v>
      </c>
      <c r="J6602" s="403" t="s">
        <v>110</v>
      </c>
      <c r="K6602" s="403">
        <v>1920</v>
      </c>
      <c r="L6602" s="403">
        <v>1080</v>
      </c>
      <c r="M6602" s="403" t="s">
        <v>111</v>
      </c>
      <c r="N6602" s="403">
        <v>768</v>
      </c>
      <c r="O6602" s="403">
        <v>432</v>
      </c>
      <c r="P6602" t="str">
        <f t="shared" si="825"/>
        <v>25fps 1080p - SD</v>
      </c>
      <c r="Q6602">
        <f t="shared" si="826"/>
        <v>36</v>
      </c>
      <c r="R6602" t="str">
        <f t="shared" si="827"/>
        <v/>
      </c>
      <c r="S6602" t="str">
        <f t="shared" si="828"/>
        <v/>
      </c>
      <c r="T6602" s="403" t="str">
        <f t="shared" si="829"/>
        <v>NTV-3502-F03L</v>
      </c>
      <c r="U6602" s="403">
        <f t="shared" si="830"/>
        <v>1</v>
      </c>
      <c r="V6602" s="403" t="str">
        <f t="shared" si="831"/>
        <v>CPP_7_3</v>
      </c>
    </row>
    <row r="6603" spans="1:22">
      <c r="A6603" t="str">
        <f t="shared" si="824"/>
        <v>NTV-3502-F03L</v>
      </c>
      <c r="B6603" s="403" t="s">
        <v>1464</v>
      </c>
      <c r="C6603" s="403" t="s">
        <v>582</v>
      </c>
      <c r="D6603" s="403" t="s">
        <v>1310</v>
      </c>
      <c r="E6603" s="403" t="s">
        <v>778</v>
      </c>
      <c r="F6603" s="403" t="s">
        <v>1293</v>
      </c>
      <c r="G6603" s="403" t="s">
        <v>1466</v>
      </c>
      <c r="H6603" s="403" t="s">
        <v>1281</v>
      </c>
      <c r="I6603" s="403">
        <v>1</v>
      </c>
      <c r="J6603" s="403" t="s">
        <v>110</v>
      </c>
      <c r="K6603" s="403">
        <v>1920</v>
      </c>
      <c r="L6603" s="403">
        <v>1080</v>
      </c>
      <c r="M6603" s="403" t="s">
        <v>109</v>
      </c>
      <c r="N6603" s="403">
        <v>1280</v>
      </c>
      <c r="O6603" s="403">
        <v>720</v>
      </c>
      <c r="P6603" t="str">
        <f t="shared" si="825"/>
        <v>25fps 1080p - 720p</v>
      </c>
      <c r="Q6603">
        <f t="shared" si="826"/>
        <v>36</v>
      </c>
      <c r="R6603" t="str">
        <f t="shared" si="827"/>
        <v/>
      </c>
      <c r="S6603" t="str">
        <f t="shared" si="828"/>
        <v/>
      </c>
      <c r="T6603" s="403" t="str">
        <f t="shared" si="829"/>
        <v>NTV-3502-F03L</v>
      </c>
      <c r="U6603" s="403">
        <f t="shared" si="830"/>
        <v>1</v>
      </c>
      <c r="V6603" s="403" t="str">
        <f t="shared" si="831"/>
        <v>CPP_7_3</v>
      </c>
    </row>
    <row r="6604" spans="1:22">
      <c r="A6604" t="str">
        <f t="shared" si="824"/>
        <v>NTV-3502-F03L</v>
      </c>
      <c r="B6604" s="403" t="s">
        <v>1464</v>
      </c>
      <c r="C6604" s="403" t="s">
        <v>582</v>
      </c>
      <c r="D6604" s="403" t="s">
        <v>1310</v>
      </c>
      <c r="E6604" s="403" t="s">
        <v>778</v>
      </c>
      <c r="F6604" s="403" t="s">
        <v>1293</v>
      </c>
      <c r="G6604" s="403" t="s">
        <v>1466</v>
      </c>
      <c r="H6604" s="403" t="s">
        <v>1281</v>
      </c>
      <c r="I6604" s="403">
        <v>1</v>
      </c>
      <c r="J6604" s="403" t="s">
        <v>110</v>
      </c>
      <c r="K6604" s="403">
        <v>1920</v>
      </c>
      <c r="L6604" s="403">
        <v>1080</v>
      </c>
      <c r="M6604" s="403" t="s">
        <v>1285</v>
      </c>
      <c r="N6604" s="403">
        <v>1280</v>
      </c>
      <c r="O6604" s="403">
        <v>1024</v>
      </c>
      <c r="P6604" t="str">
        <f t="shared" si="825"/>
        <v>25fps 1080p - 1280x1024 5:4 (cropped)</v>
      </c>
      <c r="Q6604">
        <f t="shared" si="826"/>
        <v>36</v>
      </c>
      <c r="R6604" t="str">
        <f t="shared" si="827"/>
        <v/>
      </c>
      <c r="S6604" t="str">
        <f t="shared" si="828"/>
        <v/>
      </c>
      <c r="T6604" s="403" t="str">
        <f t="shared" si="829"/>
        <v>NTV-3502-F03L</v>
      </c>
      <c r="U6604" s="403">
        <f t="shared" si="830"/>
        <v>1</v>
      </c>
      <c r="V6604" s="403" t="str">
        <f t="shared" si="831"/>
        <v>CPP_7_3</v>
      </c>
    </row>
    <row r="6605" spans="1:22">
      <c r="A6605" t="str">
        <f t="shared" si="824"/>
        <v>NTV-3502-F03L</v>
      </c>
      <c r="B6605" s="403" t="s">
        <v>1464</v>
      </c>
      <c r="C6605" s="403" t="s">
        <v>582</v>
      </c>
      <c r="D6605" s="403" t="s">
        <v>1310</v>
      </c>
      <c r="E6605" s="403" t="s">
        <v>778</v>
      </c>
      <c r="F6605" s="403" t="s">
        <v>1293</v>
      </c>
      <c r="G6605" s="403" t="s">
        <v>1466</v>
      </c>
      <c r="H6605" s="403" t="s">
        <v>1281</v>
      </c>
      <c r="I6605" s="403">
        <v>1</v>
      </c>
      <c r="J6605" s="403" t="s">
        <v>110</v>
      </c>
      <c r="K6605" s="403">
        <v>1920</v>
      </c>
      <c r="L6605" s="403">
        <v>1080</v>
      </c>
      <c r="M6605" s="403" t="s">
        <v>1279</v>
      </c>
      <c r="N6605" s="403">
        <v>768</v>
      </c>
      <c r="O6605" s="403">
        <v>432</v>
      </c>
      <c r="P6605" t="str">
        <f t="shared" si="825"/>
        <v>25fps 1080p - SD ROI PTZ</v>
      </c>
      <c r="Q6605">
        <f t="shared" si="826"/>
        <v>36</v>
      </c>
      <c r="R6605" t="str">
        <f t="shared" si="827"/>
        <v/>
      </c>
      <c r="S6605" t="str">
        <f t="shared" si="828"/>
        <v/>
      </c>
      <c r="T6605" s="403" t="str">
        <f t="shared" si="829"/>
        <v>NTV-3502-F03L</v>
      </c>
      <c r="U6605" s="403">
        <f t="shared" si="830"/>
        <v>1</v>
      </c>
      <c r="V6605" s="403" t="str">
        <f t="shared" si="831"/>
        <v>CPP_7_3</v>
      </c>
    </row>
    <row r="6606" spans="1:22">
      <c r="A6606" t="str">
        <f t="shared" si="824"/>
        <v>NTV-3502-F03L</v>
      </c>
      <c r="B6606" s="403" t="s">
        <v>1464</v>
      </c>
      <c r="C6606" s="403" t="s">
        <v>582</v>
      </c>
      <c r="D6606" s="403" t="s">
        <v>1310</v>
      </c>
      <c r="E6606" s="403" t="s">
        <v>778</v>
      </c>
      <c r="F6606" s="403" t="s">
        <v>1293</v>
      </c>
      <c r="G6606" s="403" t="s">
        <v>1466</v>
      </c>
      <c r="H6606" s="403" t="s">
        <v>1281</v>
      </c>
      <c r="I6606" s="403">
        <v>1</v>
      </c>
      <c r="J6606" s="403" t="s">
        <v>110</v>
      </c>
      <c r="K6606" s="403">
        <v>1920</v>
      </c>
      <c r="L6606" s="403">
        <v>1080</v>
      </c>
      <c r="M6606" s="403" t="s">
        <v>1283</v>
      </c>
      <c r="N6606" s="403">
        <v>720</v>
      </c>
      <c r="O6606" s="403">
        <v>576</v>
      </c>
      <c r="P6606" t="str">
        <f t="shared" si="825"/>
        <v>25fps 1080p - SD 4CIF resolution 4:3 format (cropped)</v>
      </c>
      <c r="Q6606">
        <f t="shared" si="826"/>
        <v>36</v>
      </c>
      <c r="R6606" t="str">
        <f t="shared" si="827"/>
        <v/>
      </c>
      <c r="S6606" t="str">
        <f t="shared" si="828"/>
        <v/>
      </c>
      <c r="T6606" s="403" t="str">
        <f t="shared" si="829"/>
        <v>NTV-3502-F03L</v>
      </c>
      <c r="U6606" s="403">
        <f t="shared" si="830"/>
        <v>1</v>
      </c>
      <c r="V6606" s="403" t="str">
        <f t="shared" si="831"/>
        <v>CPP_7_3</v>
      </c>
    </row>
    <row r="6607" spans="1:22">
      <c r="A6607" t="str">
        <f t="shared" si="824"/>
        <v>NTV-3502-F03L</v>
      </c>
      <c r="B6607" s="403" t="s">
        <v>1464</v>
      </c>
      <c r="C6607" s="403" t="s">
        <v>582</v>
      </c>
      <c r="D6607" s="403" t="s">
        <v>1310</v>
      </c>
      <c r="E6607" s="403" t="s">
        <v>778</v>
      </c>
      <c r="F6607" s="403" t="s">
        <v>1293</v>
      </c>
      <c r="G6607" s="403" t="s">
        <v>1466</v>
      </c>
      <c r="H6607" s="403" t="s">
        <v>1281</v>
      </c>
      <c r="I6607" s="403">
        <v>1</v>
      </c>
      <c r="J6607" s="403" t="s">
        <v>110</v>
      </c>
      <c r="K6607" s="403">
        <v>1920</v>
      </c>
      <c r="L6607" s="403">
        <v>1080</v>
      </c>
      <c r="M6607" s="403" t="s">
        <v>1284</v>
      </c>
      <c r="N6607" s="403">
        <v>640</v>
      </c>
      <c r="O6607" s="403">
        <v>480</v>
      </c>
      <c r="P6607" t="str">
        <f t="shared" si="825"/>
        <v>25fps 1080p - SD VGA (cropped)</v>
      </c>
      <c r="Q6607">
        <f t="shared" si="826"/>
        <v>36</v>
      </c>
      <c r="R6607" t="str">
        <f t="shared" si="827"/>
        <v/>
      </c>
      <c r="S6607" t="str">
        <f t="shared" si="828"/>
        <v/>
      </c>
      <c r="T6607" s="403" t="str">
        <f t="shared" si="829"/>
        <v>NTV-3502-F03L</v>
      </c>
      <c r="U6607" s="403">
        <f t="shared" si="830"/>
        <v>1</v>
      </c>
      <c r="V6607" s="403" t="str">
        <f t="shared" si="831"/>
        <v>CPP_7_3</v>
      </c>
    </row>
    <row r="6608" spans="1:22">
      <c r="A6608" t="str">
        <f t="shared" si="824"/>
        <v>NTV-3502-F03L</v>
      </c>
      <c r="B6608" s="403" t="s">
        <v>1464</v>
      </c>
      <c r="C6608" s="403" t="s">
        <v>582</v>
      </c>
      <c r="D6608" s="403" t="s">
        <v>1310</v>
      </c>
      <c r="E6608" s="403" t="s">
        <v>778</v>
      </c>
      <c r="F6608" s="403" t="s">
        <v>1293</v>
      </c>
      <c r="G6608" s="403" t="s">
        <v>1466</v>
      </c>
      <c r="H6608" s="403" t="s">
        <v>1281</v>
      </c>
      <c r="I6608" s="403">
        <v>1</v>
      </c>
      <c r="J6608" s="403" t="s">
        <v>109</v>
      </c>
      <c r="K6608" s="403">
        <v>1280</v>
      </c>
      <c r="L6608" s="403">
        <v>720</v>
      </c>
      <c r="M6608" s="403" t="s">
        <v>109</v>
      </c>
      <c r="N6608" s="403">
        <v>1280</v>
      </c>
      <c r="O6608" s="403">
        <v>720</v>
      </c>
      <c r="P6608" t="str">
        <f t="shared" si="825"/>
        <v>25fps 720p - 720p</v>
      </c>
      <c r="Q6608">
        <f t="shared" si="826"/>
        <v>36</v>
      </c>
      <c r="R6608" t="str">
        <f t="shared" si="827"/>
        <v/>
      </c>
      <c r="S6608" t="str">
        <f t="shared" si="828"/>
        <v/>
      </c>
      <c r="T6608" s="403" t="str">
        <f t="shared" si="829"/>
        <v>NTV-3502-F03L</v>
      </c>
      <c r="U6608" s="403">
        <f t="shared" si="830"/>
        <v>1</v>
      </c>
      <c r="V6608" s="403" t="str">
        <f t="shared" si="831"/>
        <v>CPP_7_3</v>
      </c>
    </row>
    <row r="6609" spans="1:22">
      <c r="A6609" t="str">
        <f t="shared" si="824"/>
        <v>NTV-3502-F03L</v>
      </c>
      <c r="B6609" s="403" t="s">
        <v>1464</v>
      </c>
      <c r="C6609" s="403" t="s">
        <v>582</v>
      </c>
      <c r="D6609" s="403" t="s">
        <v>1310</v>
      </c>
      <c r="E6609" s="403" t="s">
        <v>778</v>
      </c>
      <c r="F6609" s="403" t="s">
        <v>1293</v>
      </c>
      <c r="G6609" s="403" t="s">
        <v>1466</v>
      </c>
      <c r="H6609" s="403" t="s">
        <v>1281</v>
      </c>
      <c r="I6609" s="403">
        <v>1</v>
      </c>
      <c r="J6609" s="403" t="s">
        <v>109</v>
      </c>
      <c r="K6609" s="403">
        <v>1280</v>
      </c>
      <c r="L6609" s="403">
        <v>720</v>
      </c>
      <c r="M6609" s="403" t="s">
        <v>111</v>
      </c>
      <c r="N6609" s="403">
        <v>768</v>
      </c>
      <c r="O6609" s="403">
        <v>432</v>
      </c>
      <c r="P6609" t="str">
        <f t="shared" si="825"/>
        <v>25fps 720p - SD</v>
      </c>
      <c r="Q6609">
        <f t="shared" si="826"/>
        <v>36</v>
      </c>
      <c r="R6609" t="str">
        <f t="shared" si="827"/>
        <v/>
      </c>
      <c r="S6609" t="str">
        <f t="shared" si="828"/>
        <v/>
      </c>
      <c r="T6609" s="403" t="str">
        <f t="shared" si="829"/>
        <v>NTV-3502-F03L</v>
      </c>
      <c r="U6609" s="403">
        <f t="shared" si="830"/>
        <v>1</v>
      </c>
      <c r="V6609" s="403" t="str">
        <f t="shared" si="831"/>
        <v>CPP_7_3</v>
      </c>
    </row>
    <row r="6610" spans="1:22">
      <c r="A6610" t="str">
        <f t="shared" si="824"/>
        <v>NTV-3502-F03L</v>
      </c>
      <c r="B6610" s="403" t="s">
        <v>1464</v>
      </c>
      <c r="C6610" s="403" t="s">
        <v>582</v>
      </c>
      <c r="D6610" s="403" t="s">
        <v>1310</v>
      </c>
      <c r="E6610" s="403" t="s">
        <v>778</v>
      </c>
      <c r="F6610" s="403" t="s">
        <v>1293</v>
      </c>
      <c r="G6610" s="403" t="s">
        <v>1466</v>
      </c>
      <c r="H6610" s="403" t="s">
        <v>1281</v>
      </c>
      <c r="I6610" s="403">
        <v>1</v>
      </c>
      <c r="J6610" s="403" t="s">
        <v>109</v>
      </c>
      <c r="K6610" s="403">
        <v>1280</v>
      </c>
      <c r="L6610" s="403">
        <v>720</v>
      </c>
      <c r="M6610" s="403" t="s">
        <v>1279</v>
      </c>
      <c r="N6610" s="403">
        <v>768</v>
      </c>
      <c r="O6610" s="403">
        <v>432</v>
      </c>
      <c r="P6610" t="str">
        <f t="shared" si="825"/>
        <v>25fps 720p - SD ROI PTZ</v>
      </c>
      <c r="Q6610">
        <f t="shared" si="826"/>
        <v>36</v>
      </c>
      <c r="R6610" t="str">
        <f t="shared" si="827"/>
        <v/>
      </c>
      <c r="S6610" t="str">
        <f t="shared" si="828"/>
        <v/>
      </c>
      <c r="T6610" s="403" t="str">
        <f t="shared" si="829"/>
        <v>NTV-3502-F03L</v>
      </c>
      <c r="U6610" s="403">
        <f t="shared" si="830"/>
        <v>1</v>
      </c>
      <c r="V6610" s="403" t="str">
        <f t="shared" si="831"/>
        <v>CPP_7_3</v>
      </c>
    </row>
    <row r="6611" spans="1:22">
      <c r="A6611" t="str">
        <f t="shared" si="824"/>
        <v>NTV-3502-F03L</v>
      </c>
      <c r="B6611" s="403" t="s">
        <v>1464</v>
      </c>
      <c r="C6611" s="403" t="s">
        <v>582</v>
      </c>
      <c r="D6611" s="403" t="s">
        <v>1310</v>
      </c>
      <c r="E6611" s="403" t="s">
        <v>778</v>
      </c>
      <c r="F6611" s="403" t="s">
        <v>1293</v>
      </c>
      <c r="G6611" s="403" t="s">
        <v>1466</v>
      </c>
      <c r="H6611" s="403" t="s">
        <v>1281</v>
      </c>
      <c r="I6611" s="403">
        <v>1</v>
      </c>
      <c r="J6611" s="403" t="s">
        <v>109</v>
      </c>
      <c r="K6611" s="403">
        <v>1280</v>
      </c>
      <c r="L6611" s="403">
        <v>720</v>
      </c>
      <c r="M6611" s="403" t="s">
        <v>1283</v>
      </c>
      <c r="N6611" s="403">
        <v>720</v>
      </c>
      <c r="O6611" s="403">
        <v>576</v>
      </c>
      <c r="P6611" t="str">
        <f t="shared" si="825"/>
        <v>25fps 720p - SD 4CIF resolution 4:3 format (cropped)</v>
      </c>
      <c r="Q6611">
        <f t="shared" si="826"/>
        <v>36</v>
      </c>
      <c r="R6611" t="str">
        <f t="shared" si="827"/>
        <v/>
      </c>
      <c r="S6611" t="str">
        <f t="shared" si="828"/>
        <v/>
      </c>
      <c r="T6611" s="403" t="str">
        <f t="shared" si="829"/>
        <v>NTV-3502-F03L</v>
      </c>
      <c r="U6611" s="403">
        <f t="shared" si="830"/>
        <v>1</v>
      </c>
      <c r="V6611" s="403" t="str">
        <f t="shared" si="831"/>
        <v>CPP_7_3</v>
      </c>
    </row>
    <row r="6612" spans="1:22">
      <c r="A6612" t="str">
        <f t="shared" si="824"/>
        <v>NTV-3502-F03L</v>
      </c>
      <c r="B6612" s="403" t="s">
        <v>1464</v>
      </c>
      <c r="C6612" s="403" t="s">
        <v>582</v>
      </c>
      <c r="D6612" s="403" t="s">
        <v>1310</v>
      </c>
      <c r="E6612" s="403" t="s">
        <v>778</v>
      </c>
      <c r="F6612" s="403" t="s">
        <v>1293</v>
      </c>
      <c r="G6612" s="403" t="s">
        <v>1466</v>
      </c>
      <c r="H6612" s="403" t="s">
        <v>1281</v>
      </c>
      <c r="I6612" s="403">
        <v>1</v>
      </c>
      <c r="J6612" s="403" t="s">
        <v>109</v>
      </c>
      <c r="K6612" s="403">
        <v>1280</v>
      </c>
      <c r="L6612" s="403">
        <v>720</v>
      </c>
      <c r="M6612" s="403" t="s">
        <v>1284</v>
      </c>
      <c r="N6612" s="403">
        <v>640</v>
      </c>
      <c r="O6612" s="403">
        <v>480</v>
      </c>
      <c r="P6612" t="str">
        <f t="shared" si="825"/>
        <v>25fps 720p - SD VGA (cropped)</v>
      </c>
      <c r="Q6612">
        <f t="shared" si="826"/>
        <v>36</v>
      </c>
      <c r="R6612" t="str">
        <f t="shared" si="827"/>
        <v/>
      </c>
      <c r="S6612" t="str">
        <f t="shared" si="828"/>
        <v/>
      </c>
      <c r="T6612" s="403" t="str">
        <f t="shared" si="829"/>
        <v>NTV-3502-F03L</v>
      </c>
      <c r="U6612" s="403">
        <f t="shared" si="830"/>
        <v>1</v>
      </c>
      <c r="V6612" s="403" t="str">
        <f t="shared" si="831"/>
        <v>CPP_7_3</v>
      </c>
    </row>
    <row r="6613" spans="1:22">
      <c r="A6613" t="str">
        <f t="shared" si="824"/>
        <v>NTV-3502-F03L</v>
      </c>
      <c r="B6613" s="403" t="s">
        <v>1464</v>
      </c>
      <c r="C6613" s="403" t="s">
        <v>582</v>
      </c>
      <c r="D6613" s="403" t="s">
        <v>1310</v>
      </c>
      <c r="E6613" s="403" t="s">
        <v>778</v>
      </c>
      <c r="F6613" s="403" t="s">
        <v>1293</v>
      </c>
      <c r="G6613" s="403" t="s">
        <v>1467</v>
      </c>
      <c r="H6613" s="403" t="s">
        <v>1276</v>
      </c>
      <c r="I6613" s="403">
        <v>1</v>
      </c>
      <c r="J6613" s="403" t="s">
        <v>110</v>
      </c>
      <c r="K6613" s="403">
        <v>1080</v>
      </c>
      <c r="L6613" s="403">
        <v>1920</v>
      </c>
      <c r="M6613" s="403" t="s">
        <v>111</v>
      </c>
      <c r="N6613" s="403">
        <v>432</v>
      </c>
      <c r="O6613" s="403">
        <v>768</v>
      </c>
      <c r="P6613" t="str">
        <f t="shared" si="825"/>
        <v>25fps 1080p - SD</v>
      </c>
      <c r="Q6613">
        <f t="shared" si="826"/>
        <v>36</v>
      </c>
      <c r="R6613" t="str">
        <f t="shared" si="827"/>
        <v/>
      </c>
      <c r="S6613" t="str">
        <f t="shared" si="828"/>
        <v/>
      </c>
      <c r="T6613" s="403" t="str">
        <f t="shared" si="829"/>
        <v>NTV-3502-F03L</v>
      </c>
      <c r="U6613" s="403">
        <f t="shared" si="830"/>
        <v>1</v>
      </c>
      <c r="V6613" s="403" t="str">
        <f t="shared" si="831"/>
        <v>CPP_7_3</v>
      </c>
    </row>
    <row r="6614" spans="1:22">
      <c r="A6614" t="str">
        <f t="shared" si="824"/>
        <v>NTV-3502-F03L</v>
      </c>
      <c r="B6614" s="403" t="s">
        <v>1464</v>
      </c>
      <c r="C6614" s="403" t="s">
        <v>582</v>
      </c>
      <c r="D6614" s="403" t="s">
        <v>1310</v>
      </c>
      <c r="E6614" s="403" t="s">
        <v>778</v>
      </c>
      <c r="F6614" s="403" t="s">
        <v>1293</v>
      </c>
      <c r="G6614" s="403" t="s">
        <v>1467</v>
      </c>
      <c r="H6614" s="403" t="s">
        <v>1276</v>
      </c>
      <c r="I6614" s="403">
        <v>1</v>
      </c>
      <c r="J6614" s="403" t="s">
        <v>110</v>
      </c>
      <c r="K6614" s="403">
        <v>1080</v>
      </c>
      <c r="L6614" s="403">
        <v>1920</v>
      </c>
      <c r="M6614" s="403" t="s">
        <v>109</v>
      </c>
      <c r="N6614" s="403">
        <v>720</v>
      </c>
      <c r="O6614" s="403">
        <v>1280</v>
      </c>
      <c r="P6614" t="str">
        <f t="shared" si="825"/>
        <v>25fps 1080p - 720p</v>
      </c>
      <c r="Q6614">
        <f t="shared" si="826"/>
        <v>36</v>
      </c>
      <c r="R6614" t="str">
        <f t="shared" si="827"/>
        <v/>
      </c>
      <c r="S6614" t="str">
        <f t="shared" si="828"/>
        <v/>
      </c>
      <c r="T6614" s="403" t="str">
        <f t="shared" si="829"/>
        <v>NTV-3502-F03L</v>
      </c>
      <c r="U6614" s="403">
        <f t="shared" si="830"/>
        <v>1</v>
      </c>
      <c r="V6614" s="403" t="str">
        <f t="shared" si="831"/>
        <v>CPP_7_3</v>
      </c>
    </row>
    <row r="6615" spans="1:22">
      <c r="A6615" t="str">
        <f t="shared" si="824"/>
        <v>NTV-3502-F03L</v>
      </c>
      <c r="B6615" s="403" t="s">
        <v>1464</v>
      </c>
      <c r="C6615" s="403" t="s">
        <v>582</v>
      </c>
      <c r="D6615" s="403" t="s">
        <v>1310</v>
      </c>
      <c r="E6615" s="403" t="s">
        <v>778</v>
      </c>
      <c r="F6615" s="403" t="s">
        <v>1293</v>
      </c>
      <c r="G6615" s="403" t="s">
        <v>1467</v>
      </c>
      <c r="H6615" s="403" t="s">
        <v>1276</v>
      </c>
      <c r="I6615" s="403">
        <v>1</v>
      </c>
      <c r="J6615" s="403" t="s">
        <v>110</v>
      </c>
      <c r="K6615" s="403">
        <v>1080</v>
      </c>
      <c r="L6615" s="403">
        <v>1920</v>
      </c>
      <c r="M6615" s="403" t="s">
        <v>1285</v>
      </c>
      <c r="N6615" s="403">
        <v>1024</v>
      </c>
      <c r="O6615" s="403">
        <v>1280</v>
      </c>
      <c r="P6615" t="str">
        <f t="shared" si="825"/>
        <v>25fps 1080p - 1280x1024 5:4 (cropped)</v>
      </c>
      <c r="Q6615">
        <f t="shared" si="826"/>
        <v>36</v>
      </c>
      <c r="R6615" t="str">
        <f t="shared" si="827"/>
        <v/>
      </c>
      <c r="S6615" t="str">
        <f t="shared" si="828"/>
        <v/>
      </c>
      <c r="T6615" s="403" t="str">
        <f t="shared" si="829"/>
        <v>NTV-3502-F03L</v>
      </c>
      <c r="U6615" s="403">
        <f t="shared" si="830"/>
        <v>1</v>
      </c>
      <c r="V6615" s="403" t="str">
        <f t="shared" si="831"/>
        <v>CPP_7_3</v>
      </c>
    </row>
    <row r="6616" spans="1:22">
      <c r="A6616" t="str">
        <f t="shared" si="824"/>
        <v>NTV-3502-F03L</v>
      </c>
      <c r="B6616" s="403" t="s">
        <v>1464</v>
      </c>
      <c r="C6616" s="403" t="s">
        <v>582</v>
      </c>
      <c r="D6616" s="403" t="s">
        <v>1310</v>
      </c>
      <c r="E6616" s="403" t="s">
        <v>778</v>
      </c>
      <c r="F6616" s="403" t="s">
        <v>1293</v>
      </c>
      <c r="G6616" s="403" t="s">
        <v>1467</v>
      </c>
      <c r="H6616" s="403" t="s">
        <v>1276</v>
      </c>
      <c r="I6616" s="403">
        <v>1</v>
      </c>
      <c r="J6616" s="403" t="s">
        <v>110</v>
      </c>
      <c r="K6616" s="403">
        <v>1080</v>
      </c>
      <c r="L6616" s="403">
        <v>1920</v>
      </c>
      <c r="M6616" s="403" t="s">
        <v>1279</v>
      </c>
      <c r="N6616" s="403">
        <v>432</v>
      </c>
      <c r="O6616" s="403">
        <v>768</v>
      </c>
      <c r="P6616" t="str">
        <f t="shared" si="825"/>
        <v>25fps 1080p - SD ROI PTZ</v>
      </c>
      <c r="Q6616">
        <f t="shared" si="826"/>
        <v>36</v>
      </c>
      <c r="R6616" t="str">
        <f t="shared" si="827"/>
        <v/>
      </c>
      <c r="S6616" t="str">
        <f t="shared" si="828"/>
        <v/>
      </c>
      <c r="T6616" s="403" t="str">
        <f t="shared" si="829"/>
        <v>NTV-3502-F03L</v>
      </c>
      <c r="U6616" s="403">
        <f t="shared" si="830"/>
        <v>1</v>
      </c>
      <c r="V6616" s="403" t="str">
        <f t="shared" si="831"/>
        <v>CPP_7_3</v>
      </c>
    </row>
    <row r="6617" spans="1:22">
      <c r="A6617" t="str">
        <f t="shared" si="824"/>
        <v>NTV-3502-F03L</v>
      </c>
      <c r="B6617" s="403" t="s">
        <v>1464</v>
      </c>
      <c r="C6617" s="403" t="s">
        <v>582</v>
      </c>
      <c r="D6617" s="403" t="s">
        <v>1310</v>
      </c>
      <c r="E6617" s="403" t="s">
        <v>778</v>
      </c>
      <c r="F6617" s="403" t="s">
        <v>1293</v>
      </c>
      <c r="G6617" s="403" t="s">
        <v>1467</v>
      </c>
      <c r="H6617" s="403" t="s">
        <v>1276</v>
      </c>
      <c r="I6617" s="403">
        <v>1</v>
      </c>
      <c r="J6617" s="403" t="s">
        <v>110</v>
      </c>
      <c r="K6617" s="403">
        <v>1080</v>
      </c>
      <c r="L6617" s="403">
        <v>1920</v>
      </c>
      <c r="M6617" s="403" t="s">
        <v>1283</v>
      </c>
      <c r="N6617" s="403">
        <v>576</v>
      </c>
      <c r="O6617" s="403">
        <v>720</v>
      </c>
      <c r="P6617" t="str">
        <f t="shared" si="825"/>
        <v>25fps 1080p - SD 4CIF resolution 4:3 format (cropped)</v>
      </c>
      <c r="Q6617">
        <f t="shared" si="826"/>
        <v>36</v>
      </c>
      <c r="R6617" t="str">
        <f t="shared" si="827"/>
        <v/>
      </c>
      <c r="S6617" t="str">
        <f t="shared" si="828"/>
        <v/>
      </c>
      <c r="T6617" s="403" t="str">
        <f t="shared" si="829"/>
        <v>NTV-3502-F03L</v>
      </c>
      <c r="U6617" s="403">
        <f t="shared" si="830"/>
        <v>1</v>
      </c>
      <c r="V6617" s="403" t="str">
        <f t="shared" si="831"/>
        <v>CPP_7_3</v>
      </c>
    </row>
    <row r="6618" spans="1:22">
      <c r="A6618" t="str">
        <f t="shared" si="824"/>
        <v>NTV-3502-F03L</v>
      </c>
      <c r="B6618" s="403" t="s">
        <v>1464</v>
      </c>
      <c r="C6618" s="403" t="s">
        <v>582</v>
      </c>
      <c r="D6618" s="403" t="s">
        <v>1310</v>
      </c>
      <c r="E6618" s="403" t="s">
        <v>778</v>
      </c>
      <c r="F6618" s="403" t="s">
        <v>1293</v>
      </c>
      <c r="G6618" s="403" t="s">
        <v>1467</v>
      </c>
      <c r="H6618" s="403" t="s">
        <v>1276</v>
      </c>
      <c r="I6618" s="403">
        <v>1</v>
      </c>
      <c r="J6618" s="403" t="s">
        <v>110</v>
      </c>
      <c r="K6618" s="403">
        <v>1080</v>
      </c>
      <c r="L6618" s="403">
        <v>1920</v>
      </c>
      <c r="M6618" s="403" t="s">
        <v>1284</v>
      </c>
      <c r="N6618" s="403">
        <v>480</v>
      </c>
      <c r="O6618" s="403">
        <v>640</v>
      </c>
      <c r="P6618" t="str">
        <f t="shared" si="825"/>
        <v>25fps 1080p - SD VGA (cropped)</v>
      </c>
      <c r="Q6618">
        <f t="shared" si="826"/>
        <v>36</v>
      </c>
      <c r="R6618" t="str">
        <f t="shared" si="827"/>
        <v/>
      </c>
      <c r="S6618" t="str">
        <f t="shared" si="828"/>
        <v/>
      </c>
      <c r="T6618" s="403" t="str">
        <f t="shared" si="829"/>
        <v>NTV-3502-F03L</v>
      </c>
      <c r="U6618" s="403">
        <f t="shared" si="830"/>
        <v>1</v>
      </c>
      <c r="V6618" s="403" t="str">
        <f t="shared" si="831"/>
        <v>CPP_7_3</v>
      </c>
    </row>
    <row r="6619" spans="1:22">
      <c r="A6619" t="str">
        <f t="shared" si="824"/>
        <v>NTV-3502-F03L</v>
      </c>
      <c r="B6619" s="403" t="s">
        <v>1464</v>
      </c>
      <c r="C6619" s="403" t="s">
        <v>582</v>
      </c>
      <c r="D6619" s="403" t="s">
        <v>1310</v>
      </c>
      <c r="E6619" s="403" t="s">
        <v>778</v>
      </c>
      <c r="F6619" s="403" t="s">
        <v>1293</v>
      </c>
      <c r="G6619" s="403" t="s">
        <v>1467</v>
      </c>
      <c r="H6619" s="403" t="s">
        <v>1276</v>
      </c>
      <c r="I6619" s="403">
        <v>1</v>
      </c>
      <c r="J6619" s="403" t="s">
        <v>109</v>
      </c>
      <c r="K6619" s="403">
        <v>720</v>
      </c>
      <c r="L6619" s="403">
        <v>1280</v>
      </c>
      <c r="M6619" s="403" t="s">
        <v>109</v>
      </c>
      <c r="N6619" s="403">
        <v>720</v>
      </c>
      <c r="O6619" s="403">
        <v>1280</v>
      </c>
      <c r="P6619" t="str">
        <f t="shared" si="825"/>
        <v>25fps 720p - 720p</v>
      </c>
      <c r="Q6619">
        <f t="shared" si="826"/>
        <v>36</v>
      </c>
      <c r="R6619" t="str">
        <f t="shared" si="827"/>
        <v/>
      </c>
      <c r="S6619" t="str">
        <f t="shared" si="828"/>
        <v/>
      </c>
      <c r="T6619" s="403" t="str">
        <f t="shared" si="829"/>
        <v>NTV-3502-F03L</v>
      </c>
      <c r="U6619" s="403">
        <f t="shared" si="830"/>
        <v>1</v>
      </c>
      <c r="V6619" s="403" t="str">
        <f t="shared" si="831"/>
        <v>CPP_7_3</v>
      </c>
    </row>
    <row r="6620" spans="1:22">
      <c r="A6620" t="str">
        <f t="shared" si="824"/>
        <v>NTV-3502-F03L</v>
      </c>
      <c r="B6620" s="403" t="s">
        <v>1464</v>
      </c>
      <c r="C6620" s="403" t="s">
        <v>582</v>
      </c>
      <c r="D6620" s="403" t="s">
        <v>1310</v>
      </c>
      <c r="E6620" s="403" t="s">
        <v>778</v>
      </c>
      <c r="F6620" s="403" t="s">
        <v>1293</v>
      </c>
      <c r="G6620" s="403" t="s">
        <v>1467</v>
      </c>
      <c r="H6620" s="403" t="s">
        <v>1276</v>
      </c>
      <c r="I6620" s="403">
        <v>1</v>
      </c>
      <c r="J6620" s="403" t="s">
        <v>109</v>
      </c>
      <c r="K6620" s="403">
        <v>720</v>
      </c>
      <c r="L6620" s="403">
        <v>1280</v>
      </c>
      <c r="M6620" s="403" t="s">
        <v>111</v>
      </c>
      <c r="N6620" s="403">
        <v>432</v>
      </c>
      <c r="O6620" s="403">
        <v>768</v>
      </c>
      <c r="P6620" t="str">
        <f t="shared" si="825"/>
        <v>25fps 720p - SD</v>
      </c>
      <c r="Q6620">
        <f t="shared" si="826"/>
        <v>36</v>
      </c>
      <c r="R6620" t="str">
        <f t="shared" si="827"/>
        <v/>
      </c>
      <c r="S6620" t="str">
        <f t="shared" si="828"/>
        <v/>
      </c>
      <c r="T6620" s="403" t="str">
        <f t="shared" si="829"/>
        <v>NTV-3502-F03L</v>
      </c>
      <c r="U6620" s="403">
        <f t="shared" si="830"/>
        <v>1</v>
      </c>
      <c r="V6620" s="403" t="str">
        <f t="shared" si="831"/>
        <v>CPP_7_3</v>
      </c>
    </row>
    <row r="6621" spans="1:22">
      <c r="A6621" t="str">
        <f t="shared" si="824"/>
        <v>NTV-3502-F03L</v>
      </c>
      <c r="B6621" s="403" t="s">
        <v>1464</v>
      </c>
      <c r="C6621" s="403" t="s">
        <v>582</v>
      </c>
      <c r="D6621" s="403" t="s">
        <v>1310</v>
      </c>
      <c r="E6621" s="403" t="s">
        <v>778</v>
      </c>
      <c r="F6621" s="403" t="s">
        <v>1293</v>
      </c>
      <c r="G6621" s="403" t="s">
        <v>1467</v>
      </c>
      <c r="H6621" s="403" t="s">
        <v>1276</v>
      </c>
      <c r="I6621" s="403">
        <v>1</v>
      </c>
      <c r="J6621" s="403" t="s">
        <v>109</v>
      </c>
      <c r="K6621" s="403">
        <v>720</v>
      </c>
      <c r="L6621" s="403">
        <v>1280</v>
      </c>
      <c r="M6621" s="403" t="s">
        <v>1279</v>
      </c>
      <c r="N6621" s="403">
        <v>432</v>
      </c>
      <c r="O6621" s="403">
        <v>768</v>
      </c>
      <c r="P6621" t="str">
        <f t="shared" si="825"/>
        <v>25fps 720p - SD ROI PTZ</v>
      </c>
      <c r="Q6621">
        <f t="shared" si="826"/>
        <v>36</v>
      </c>
      <c r="R6621" t="str">
        <f t="shared" si="827"/>
        <v/>
      </c>
      <c r="S6621" t="str">
        <f t="shared" si="828"/>
        <v/>
      </c>
      <c r="T6621" s="403" t="str">
        <f t="shared" si="829"/>
        <v>NTV-3502-F03L</v>
      </c>
      <c r="U6621" s="403">
        <f t="shared" si="830"/>
        <v>1</v>
      </c>
      <c r="V6621" s="403" t="str">
        <f t="shared" si="831"/>
        <v>CPP_7_3</v>
      </c>
    </row>
    <row r="6622" spans="1:22">
      <c r="A6622" t="str">
        <f t="shared" si="824"/>
        <v>NTV-3502-F03L</v>
      </c>
      <c r="B6622" s="403" t="s">
        <v>1464</v>
      </c>
      <c r="C6622" s="403" t="s">
        <v>582</v>
      </c>
      <c r="D6622" s="403" t="s">
        <v>1310</v>
      </c>
      <c r="E6622" s="403" t="s">
        <v>778</v>
      </c>
      <c r="F6622" s="403" t="s">
        <v>1293</v>
      </c>
      <c r="G6622" s="403" t="s">
        <v>1467</v>
      </c>
      <c r="H6622" s="403" t="s">
        <v>1276</v>
      </c>
      <c r="I6622" s="403">
        <v>1</v>
      </c>
      <c r="J6622" s="403" t="s">
        <v>109</v>
      </c>
      <c r="K6622" s="403">
        <v>720</v>
      </c>
      <c r="L6622" s="403">
        <v>1280</v>
      </c>
      <c r="M6622" s="403" t="s">
        <v>1283</v>
      </c>
      <c r="N6622" s="403">
        <v>576</v>
      </c>
      <c r="O6622" s="403">
        <v>720</v>
      </c>
      <c r="P6622" t="str">
        <f t="shared" si="825"/>
        <v>25fps 720p - SD 4CIF resolution 4:3 format (cropped)</v>
      </c>
      <c r="Q6622">
        <f t="shared" si="826"/>
        <v>36</v>
      </c>
      <c r="R6622" t="str">
        <f t="shared" si="827"/>
        <v/>
      </c>
      <c r="S6622" t="str">
        <f t="shared" si="828"/>
        <v/>
      </c>
      <c r="T6622" s="403" t="str">
        <f t="shared" si="829"/>
        <v>NTV-3502-F03L</v>
      </c>
      <c r="U6622" s="403">
        <f t="shared" si="830"/>
        <v>1</v>
      </c>
      <c r="V6622" s="403" t="str">
        <f t="shared" si="831"/>
        <v>CPP_7_3</v>
      </c>
    </row>
    <row r="6623" spans="1:22">
      <c r="A6623" t="str">
        <f t="shared" si="824"/>
        <v>NTV-3502-F03L</v>
      </c>
      <c r="B6623" s="403" t="s">
        <v>1464</v>
      </c>
      <c r="C6623" s="403" t="s">
        <v>582</v>
      </c>
      <c r="D6623" s="403" t="s">
        <v>1310</v>
      </c>
      <c r="E6623" s="403" t="s">
        <v>778</v>
      </c>
      <c r="F6623" s="403" t="s">
        <v>1293</v>
      </c>
      <c r="G6623" s="403" t="s">
        <v>1467</v>
      </c>
      <c r="H6623" s="403" t="s">
        <v>1276</v>
      </c>
      <c r="I6623" s="403">
        <v>1</v>
      </c>
      <c r="J6623" s="403" t="s">
        <v>109</v>
      </c>
      <c r="K6623" s="403">
        <v>720</v>
      </c>
      <c r="L6623" s="403">
        <v>1280</v>
      </c>
      <c r="M6623" s="403" t="s">
        <v>1284</v>
      </c>
      <c r="N6623" s="403">
        <v>480</v>
      </c>
      <c r="O6623" s="403">
        <v>640</v>
      </c>
      <c r="P6623" t="str">
        <f t="shared" si="825"/>
        <v>25fps 720p - SD VGA (cropped)</v>
      </c>
      <c r="Q6623">
        <f t="shared" si="826"/>
        <v>36</v>
      </c>
      <c r="R6623" t="str">
        <f t="shared" si="827"/>
        <v/>
      </c>
      <c r="S6623" t="str">
        <f t="shared" si="828"/>
        <v/>
      </c>
      <c r="T6623" s="403" t="str">
        <f t="shared" si="829"/>
        <v>NTV-3502-F03L</v>
      </c>
      <c r="U6623" s="403">
        <f t="shared" si="830"/>
        <v>1</v>
      </c>
      <c r="V6623" s="403" t="str">
        <f t="shared" si="831"/>
        <v>CPP_7_3</v>
      </c>
    </row>
    <row r="6624" spans="1:22">
      <c r="A6624" t="str">
        <f t="shared" si="824"/>
        <v>NTV-3502-F03L</v>
      </c>
      <c r="B6624" s="403" t="s">
        <v>1464</v>
      </c>
      <c r="C6624" s="403" t="s">
        <v>582</v>
      </c>
      <c r="D6624" s="403" t="s">
        <v>1310</v>
      </c>
      <c r="E6624" s="403" t="s">
        <v>778</v>
      </c>
      <c r="F6624" s="403" t="s">
        <v>1293</v>
      </c>
      <c r="G6624" s="403" t="s">
        <v>1467</v>
      </c>
      <c r="H6624" s="403" t="s">
        <v>1281</v>
      </c>
      <c r="I6624" s="403">
        <v>1</v>
      </c>
      <c r="J6624" s="403" t="s">
        <v>110</v>
      </c>
      <c r="K6624" s="403">
        <v>1080</v>
      </c>
      <c r="L6624" s="403">
        <v>1920</v>
      </c>
      <c r="M6624" s="403" t="s">
        <v>111</v>
      </c>
      <c r="N6624" s="403">
        <v>432</v>
      </c>
      <c r="O6624" s="403">
        <v>768</v>
      </c>
      <c r="P6624" t="str">
        <f t="shared" si="825"/>
        <v>25fps 1080p - SD</v>
      </c>
      <c r="Q6624">
        <f t="shared" si="826"/>
        <v>36</v>
      </c>
      <c r="R6624" t="str">
        <f t="shared" si="827"/>
        <v/>
      </c>
      <c r="S6624" t="str">
        <f t="shared" si="828"/>
        <v/>
      </c>
      <c r="T6624" s="403" t="str">
        <f t="shared" si="829"/>
        <v>NTV-3502-F03L</v>
      </c>
      <c r="U6624" s="403">
        <f t="shared" si="830"/>
        <v>1</v>
      </c>
      <c r="V6624" s="403" t="str">
        <f t="shared" si="831"/>
        <v>CPP_7_3</v>
      </c>
    </row>
    <row r="6625" spans="1:22">
      <c r="A6625" t="str">
        <f t="shared" si="824"/>
        <v>NTV-3502-F03L</v>
      </c>
      <c r="B6625" s="403" t="s">
        <v>1464</v>
      </c>
      <c r="C6625" s="403" t="s">
        <v>582</v>
      </c>
      <c r="D6625" s="403" t="s">
        <v>1310</v>
      </c>
      <c r="E6625" s="403" t="s">
        <v>778</v>
      </c>
      <c r="F6625" s="403" t="s">
        <v>1293</v>
      </c>
      <c r="G6625" s="403" t="s">
        <v>1467</v>
      </c>
      <c r="H6625" s="403" t="s">
        <v>1281</v>
      </c>
      <c r="I6625" s="403">
        <v>1</v>
      </c>
      <c r="J6625" s="403" t="s">
        <v>110</v>
      </c>
      <c r="K6625" s="403">
        <v>1080</v>
      </c>
      <c r="L6625" s="403">
        <v>1920</v>
      </c>
      <c r="M6625" s="403" t="s">
        <v>109</v>
      </c>
      <c r="N6625" s="403">
        <v>720</v>
      </c>
      <c r="O6625" s="403">
        <v>1280</v>
      </c>
      <c r="P6625" t="str">
        <f t="shared" si="825"/>
        <v>25fps 1080p - 720p</v>
      </c>
      <c r="Q6625">
        <f t="shared" si="826"/>
        <v>36</v>
      </c>
      <c r="R6625" t="str">
        <f t="shared" si="827"/>
        <v/>
      </c>
      <c r="S6625" t="str">
        <f t="shared" si="828"/>
        <v/>
      </c>
      <c r="T6625" s="403" t="str">
        <f t="shared" si="829"/>
        <v>NTV-3502-F03L</v>
      </c>
      <c r="U6625" s="403">
        <f t="shared" si="830"/>
        <v>1</v>
      </c>
      <c r="V6625" s="403" t="str">
        <f t="shared" si="831"/>
        <v>CPP_7_3</v>
      </c>
    </row>
    <row r="6626" spans="1:22">
      <c r="A6626" t="str">
        <f t="shared" si="824"/>
        <v>NTV-3502-F03L</v>
      </c>
      <c r="B6626" s="403" t="s">
        <v>1464</v>
      </c>
      <c r="C6626" s="403" t="s">
        <v>582</v>
      </c>
      <c r="D6626" s="403" t="s">
        <v>1310</v>
      </c>
      <c r="E6626" s="403" t="s">
        <v>778</v>
      </c>
      <c r="F6626" s="403" t="s">
        <v>1293</v>
      </c>
      <c r="G6626" s="403" t="s">
        <v>1467</v>
      </c>
      <c r="H6626" s="403" t="s">
        <v>1281</v>
      </c>
      <c r="I6626" s="403">
        <v>1</v>
      </c>
      <c r="J6626" s="403" t="s">
        <v>110</v>
      </c>
      <c r="K6626" s="403">
        <v>1080</v>
      </c>
      <c r="L6626" s="403">
        <v>1920</v>
      </c>
      <c r="M6626" s="403" t="s">
        <v>1285</v>
      </c>
      <c r="N6626" s="403">
        <v>1024</v>
      </c>
      <c r="O6626" s="403">
        <v>1280</v>
      </c>
      <c r="P6626" t="str">
        <f t="shared" si="825"/>
        <v>25fps 1080p - 1280x1024 5:4 (cropped)</v>
      </c>
      <c r="Q6626">
        <f t="shared" si="826"/>
        <v>36</v>
      </c>
      <c r="R6626" t="str">
        <f t="shared" si="827"/>
        <v/>
      </c>
      <c r="S6626" t="str">
        <f t="shared" si="828"/>
        <v/>
      </c>
      <c r="T6626" s="403" t="str">
        <f t="shared" si="829"/>
        <v>NTV-3502-F03L</v>
      </c>
      <c r="U6626" s="403">
        <f t="shared" si="830"/>
        <v>1</v>
      </c>
      <c r="V6626" s="403" t="str">
        <f t="shared" si="831"/>
        <v>CPP_7_3</v>
      </c>
    </row>
    <row r="6627" spans="1:22">
      <c r="A6627" t="str">
        <f t="shared" si="824"/>
        <v>NTV-3502-F03L</v>
      </c>
      <c r="B6627" s="403" t="s">
        <v>1464</v>
      </c>
      <c r="C6627" s="403" t="s">
        <v>582</v>
      </c>
      <c r="D6627" s="403" t="s">
        <v>1310</v>
      </c>
      <c r="E6627" s="403" t="s">
        <v>778</v>
      </c>
      <c r="F6627" s="403" t="s">
        <v>1293</v>
      </c>
      <c r="G6627" s="403" t="s">
        <v>1467</v>
      </c>
      <c r="H6627" s="403" t="s">
        <v>1281</v>
      </c>
      <c r="I6627" s="403">
        <v>1</v>
      </c>
      <c r="J6627" s="403" t="s">
        <v>110</v>
      </c>
      <c r="K6627" s="403">
        <v>1080</v>
      </c>
      <c r="L6627" s="403">
        <v>1920</v>
      </c>
      <c r="M6627" s="403" t="s">
        <v>1279</v>
      </c>
      <c r="N6627" s="403">
        <v>432</v>
      </c>
      <c r="O6627" s="403">
        <v>768</v>
      </c>
      <c r="P6627" t="str">
        <f t="shared" si="825"/>
        <v>25fps 1080p - SD ROI PTZ</v>
      </c>
      <c r="Q6627">
        <f t="shared" si="826"/>
        <v>36</v>
      </c>
      <c r="R6627" t="str">
        <f t="shared" si="827"/>
        <v/>
      </c>
      <c r="S6627" t="str">
        <f t="shared" si="828"/>
        <v/>
      </c>
      <c r="T6627" s="403" t="str">
        <f t="shared" si="829"/>
        <v>NTV-3502-F03L</v>
      </c>
      <c r="U6627" s="403">
        <f t="shared" si="830"/>
        <v>1</v>
      </c>
      <c r="V6627" s="403" t="str">
        <f t="shared" si="831"/>
        <v>CPP_7_3</v>
      </c>
    </row>
    <row r="6628" spans="1:22">
      <c r="A6628" t="str">
        <f t="shared" si="824"/>
        <v>NTV-3502-F03L</v>
      </c>
      <c r="B6628" s="403" t="s">
        <v>1464</v>
      </c>
      <c r="C6628" s="403" t="s">
        <v>582</v>
      </c>
      <c r="D6628" s="403" t="s">
        <v>1310</v>
      </c>
      <c r="E6628" s="403" t="s">
        <v>778</v>
      </c>
      <c r="F6628" s="403" t="s">
        <v>1293</v>
      </c>
      <c r="G6628" s="403" t="s">
        <v>1467</v>
      </c>
      <c r="H6628" s="403" t="s">
        <v>1281</v>
      </c>
      <c r="I6628" s="403">
        <v>1</v>
      </c>
      <c r="J6628" s="403" t="s">
        <v>110</v>
      </c>
      <c r="K6628" s="403">
        <v>1080</v>
      </c>
      <c r="L6628" s="403">
        <v>1920</v>
      </c>
      <c r="M6628" s="403" t="s">
        <v>1283</v>
      </c>
      <c r="N6628" s="403">
        <v>576</v>
      </c>
      <c r="O6628" s="403">
        <v>720</v>
      </c>
      <c r="P6628" t="str">
        <f t="shared" si="825"/>
        <v>25fps 1080p - SD 4CIF resolution 4:3 format (cropped)</v>
      </c>
      <c r="Q6628">
        <f t="shared" si="826"/>
        <v>36</v>
      </c>
      <c r="R6628" t="str">
        <f t="shared" si="827"/>
        <v/>
      </c>
      <c r="S6628" t="str">
        <f t="shared" si="828"/>
        <v/>
      </c>
      <c r="T6628" s="403" t="str">
        <f t="shared" si="829"/>
        <v>NTV-3502-F03L</v>
      </c>
      <c r="U6628" s="403">
        <f t="shared" si="830"/>
        <v>1</v>
      </c>
      <c r="V6628" s="403" t="str">
        <f t="shared" si="831"/>
        <v>CPP_7_3</v>
      </c>
    </row>
    <row r="6629" spans="1:22">
      <c r="A6629" t="str">
        <f t="shared" si="824"/>
        <v>NTV-3502-F03L</v>
      </c>
      <c r="B6629" s="403" t="s">
        <v>1464</v>
      </c>
      <c r="C6629" s="403" t="s">
        <v>582</v>
      </c>
      <c r="D6629" s="403" t="s">
        <v>1310</v>
      </c>
      <c r="E6629" s="403" t="s">
        <v>778</v>
      </c>
      <c r="F6629" s="403" t="s">
        <v>1293</v>
      </c>
      <c r="G6629" s="403" t="s">
        <v>1467</v>
      </c>
      <c r="H6629" s="403" t="s">
        <v>1281</v>
      </c>
      <c r="I6629" s="403">
        <v>1</v>
      </c>
      <c r="J6629" s="403" t="s">
        <v>110</v>
      </c>
      <c r="K6629" s="403">
        <v>1080</v>
      </c>
      <c r="L6629" s="403">
        <v>1920</v>
      </c>
      <c r="M6629" s="403" t="s">
        <v>1284</v>
      </c>
      <c r="N6629" s="403">
        <v>480</v>
      </c>
      <c r="O6629" s="403">
        <v>640</v>
      </c>
      <c r="P6629" t="str">
        <f t="shared" si="825"/>
        <v>25fps 1080p - SD VGA (cropped)</v>
      </c>
      <c r="Q6629">
        <f t="shared" si="826"/>
        <v>36</v>
      </c>
      <c r="R6629" t="str">
        <f t="shared" si="827"/>
        <v/>
      </c>
      <c r="S6629" t="str">
        <f t="shared" si="828"/>
        <v/>
      </c>
      <c r="T6629" s="403" t="str">
        <f t="shared" si="829"/>
        <v>NTV-3502-F03L</v>
      </c>
      <c r="U6629" s="403">
        <f t="shared" si="830"/>
        <v>1</v>
      </c>
      <c r="V6629" s="403" t="str">
        <f t="shared" si="831"/>
        <v>CPP_7_3</v>
      </c>
    </row>
    <row r="6630" spans="1:22">
      <c r="A6630" t="str">
        <f t="shared" si="824"/>
        <v>NTV-3502-F03L</v>
      </c>
      <c r="B6630" s="403" t="s">
        <v>1464</v>
      </c>
      <c r="C6630" s="403" t="s">
        <v>582</v>
      </c>
      <c r="D6630" s="403" t="s">
        <v>1310</v>
      </c>
      <c r="E6630" s="403" t="s">
        <v>778</v>
      </c>
      <c r="F6630" s="403" t="s">
        <v>1293</v>
      </c>
      <c r="G6630" s="403" t="s">
        <v>1467</v>
      </c>
      <c r="H6630" s="403" t="s">
        <v>1281</v>
      </c>
      <c r="I6630" s="403">
        <v>1</v>
      </c>
      <c r="J6630" s="403" t="s">
        <v>109</v>
      </c>
      <c r="K6630" s="403">
        <v>720</v>
      </c>
      <c r="L6630" s="403">
        <v>1280</v>
      </c>
      <c r="M6630" s="403" t="s">
        <v>109</v>
      </c>
      <c r="N6630" s="403">
        <v>720</v>
      </c>
      <c r="O6630" s="403">
        <v>1280</v>
      </c>
      <c r="P6630" t="str">
        <f t="shared" si="825"/>
        <v>25fps 720p - 720p</v>
      </c>
      <c r="Q6630">
        <f t="shared" si="826"/>
        <v>36</v>
      </c>
      <c r="R6630" t="str">
        <f t="shared" si="827"/>
        <v/>
      </c>
      <c r="S6630" t="str">
        <f t="shared" si="828"/>
        <v/>
      </c>
      <c r="T6630" s="403" t="str">
        <f t="shared" si="829"/>
        <v>NTV-3502-F03L</v>
      </c>
      <c r="U6630" s="403">
        <f t="shared" si="830"/>
        <v>1</v>
      </c>
      <c r="V6630" s="403" t="str">
        <f t="shared" si="831"/>
        <v>CPP_7_3</v>
      </c>
    </row>
    <row r="6631" spans="1:22">
      <c r="A6631" t="str">
        <f t="shared" si="824"/>
        <v>NTV-3502-F03L</v>
      </c>
      <c r="B6631" s="403" t="s">
        <v>1464</v>
      </c>
      <c r="C6631" s="403" t="s">
        <v>582</v>
      </c>
      <c r="D6631" s="403" t="s">
        <v>1310</v>
      </c>
      <c r="E6631" s="403" t="s">
        <v>778</v>
      </c>
      <c r="F6631" s="403" t="s">
        <v>1293</v>
      </c>
      <c r="G6631" s="403" t="s">
        <v>1467</v>
      </c>
      <c r="H6631" s="403" t="s">
        <v>1281</v>
      </c>
      <c r="I6631" s="403">
        <v>1</v>
      </c>
      <c r="J6631" s="403" t="s">
        <v>109</v>
      </c>
      <c r="K6631" s="403">
        <v>720</v>
      </c>
      <c r="L6631" s="403">
        <v>1280</v>
      </c>
      <c r="M6631" s="403" t="s">
        <v>111</v>
      </c>
      <c r="N6631" s="403">
        <v>432</v>
      </c>
      <c r="O6631" s="403">
        <v>768</v>
      </c>
      <c r="P6631" t="str">
        <f t="shared" si="825"/>
        <v>25fps 720p - SD</v>
      </c>
      <c r="Q6631">
        <f t="shared" si="826"/>
        <v>36</v>
      </c>
      <c r="R6631" t="str">
        <f t="shared" si="827"/>
        <v/>
      </c>
      <c r="S6631" t="str">
        <f t="shared" si="828"/>
        <v/>
      </c>
      <c r="T6631" s="403" t="str">
        <f t="shared" si="829"/>
        <v>NTV-3502-F03L</v>
      </c>
      <c r="U6631" s="403">
        <f t="shared" si="830"/>
        <v>1</v>
      </c>
      <c r="V6631" s="403" t="str">
        <f t="shared" si="831"/>
        <v>CPP_7_3</v>
      </c>
    </row>
    <row r="6632" spans="1:22">
      <c r="A6632" t="str">
        <f t="shared" si="824"/>
        <v>NTV-3502-F03L</v>
      </c>
      <c r="B6632" s="403" t="s">
        <v>1464</v>
      </c>
      <c r="C6632" s="403" t="s">
        <v>582</v>
      </c>
      <c r="D6632" s="403" t="s">
        <v>1310</v>
      </c>
      <c r="E6632" s="403" t="s">
        <v>778</v>
      </c>
      <c r="F6632" s="403" t="s">
        <v>1293</v>
      </c>
      <c r="G6632" s="403" t="s">
        <v>1467</v>
      </c>
      <c r="H6632" s="403" t="s">
        <v>1281</v>
      </c>
      <c r="I6632" s="403">
        <v>1</v>
      </c>
      <c r="J6632" s="403" t="s">
        <v>109</v>
      </c>
      <c r="K6632" s="403">
        <v>720</v>
      </c>
      <c r="L6632" s="403">
        <v>1280</v>
      </c>
      <c r="M6632" s="403" t="s">
        <v>1279</v>
      </c>
      <c r="N6632" s="403">
        <v>432</v>
      </c>
      <c r="O6632" s="403">
        <v>768</v>
      </c>
      <c r="P6632" t="str">
        <f t="shared" si="825"/>
        <v>25fps 720p - SD ROI PTZ</v>
      </c>
      <c r="Q6632">
        <f t="shared" si="826"/>
        <v>36</v>
      </c>
      <c r="R6632" t="str">
        <f t="shared" si="827"/>
        <v/>
      </c>
      <c r="S6632" t="str">
        <f t="shared" si="828"/>
        <v/>
      </c>
      <c r="T6632" s="403" t="str">
        <f t="shared" si="829"/>
        <v>NTV-3502-F03L</v>
      </c>
      <c r="U6632" s="403">
        <f t="shared" si="830"/>
        <v>1</v>
      </c>
      <c r="V6632" s="403" t="str">
        <f t="shared" si="831"/>
        <v>CPP_7_3</v>
      </c>
    </row>
    <row r="6633" spans="1:22">
      <c r="A6633" t="str">
        <f t="shared" si="824"/>
        <v>NTV-3502-F03L</v>
      </c>
      <c r="B6633" s="403" t="s">
        <v>1464</v>
      </c>
      <c r="C6633" s="403" t="s">
        <v>582</v>
      </c>
      <c r="D6633" s="403" t="s">
        <v>1310</v>
      </c>
      <c r="E6633" s="403" t="s">
        <v>778</v>
      </c>
      <c r="F6633" s="403" t="s">
        <v>1293</v>
      </c>
      <c r="G6633" s="403" t="s">
        <v>1467</v>
      </c>
      <c r="H6633" s="403" t="s">
        <v>1281</v>
      </c>
      <c r="I6633" s="403">
        <v>1</v>
      </c>
      <c r="J6633" s="403" t="s">
        <v>109</v>
      </c>
      <c r="K6633" s="403">
        <v>720</v>
      </c>
      <c r="L6633" s="403">
        <v>1280</v>
      </c>
      <c r="M6633" s="403" t="s">
        <v>1283</v>
      </c>
      <c r="N6633" s="403">
        <v>576</v>
      </c>
      <c r="O6633" s="403">
        <v>720</v>
      </c>
      <c r="P6633" t="str">
        <f t="shared" si="825"/>
        <v>25fps 720p - SD 4CIF resolution 4:3 format (cropped)</v>
      </c>
      <c r="Q6633">
        <f t="shared" si="826"/>
        <v>36</v>
      </c>
      <c r="R6633" t="str">
        <f t="shared" si="827"/>
        <v/>
      </c>
      <c r="S6633" t="str">
        <f t="shared" si="828"/>
        <v/>
      </c>
      <c r="T6633" s="403" t="str">
        <f t="shared" si="829"/>
        <v>NTV-3502-F03L</v>
      </c>
      <c r="U6633" s="403">
        <f t="shared" si="830"/>
        <v>1</v>
      </c>
      <c r="V6633" s="403" t="str">
        <f t="shared" si="831"/>
        <v>CPP_7_3</v>
      </c>
    </row>
    <row r="6634" spans="1:22">
      <c r="A6634" t="str">
        <f t="shared" ref="A6634:A6697" si="832">IF(AND(G6634&lt;&gt;"rotate 90°"),D6634,"")</f>
        <v>NTV-3502-F03L</v>
      </c>
      <c r="B6634" s="403" t="s">
        <v>1464</v>
      </c>
      <c r="C6634" s="403" t="s">
        <v>582</v>
      </c>
      <c r="D6634" s="403" t="s">
        <v>1310</v>
      </c>
      <c r="E6634" s="403" t="s">
        <v>778</v>
      </c>
      <c r="F6634" s="403" t="s">
        <v>1293</v>
      </c>
      <c r="G6634" s="403" t="s">
        <v>1467</v>
      </c>
      <c r="H6634" s="403" t="s">
        <v>1281</v>
      </c>
      <c r="I6634" s="403">
        <v>1</v>
      </c>
      <c r="J6634" s="403" t="s">
        <v>109</v>
      </c>
      <c r="K6634" s="403">
        <v>720</v>
      </c>
      <c r="L6634" s="403">
        <v>1280</v>
      </c>
      <c r="M6634" s="403" t="s">
        <v>1284</v>
      </c>
      <c r="N6634" s="403">
        <v>480</v>
      </c>
      <c r="O6634" s="403">
        <v>640</v>
      </c>
      <c r="P6634" t="str">
        <f t="shared" ref="P6634:P6697" si="833">LEFT(F6634,5)&amp;" "&amp;J6634&amp;" - "&amp;M6634</f>
        <v>25fps 720p - SD VGA (cropped)</v>
      </c>
      <c r="Q6634">
        <f t="shared" ref="Q6634:Q6697" si="834">IF(A6633=A6634,Q6633,Q6633+1)</f>
        <v>36</v>
      </c>
      <c r="R6634" t="str">
        <f t="shared" ref="R6634:R6697" si="835">IF(Q6633&lt;&gt;Q6634,Q6634,"")</f>
        <v/>
      </c>
      <c r="S6634" t="str">
        <f t="shared" ref="S6634:S6697" si="836">IF(R6634&lt;&gt;"",B6634&amp;" ("&amp;D6634&amp;")","")</f>
        <v/>
      </c>
      <c r="T6634" s="403" t="str">
        <f t="shared" ref="T6634:T6697" si="837">D6634</f>
        <v>NTV-3502-F03L</v>
      </c>
      <c r="U6634" s="403">
        <f t="shared" ref="U6634:U6697" si="838">I6634</f>
        <v>1</v>
      </c>
      <c r="V6634" s="403" t="str">
        <f t="shared" ref="V6634:V6697" si="839">C6634</f>
        <v>CPP_7_3</v>
      </c>
    </row>
    <row r="6635" spans="1:22">
      <c r="A6635" t="str">
        <f t="shared" si="832"/>
        <v>NTV-3503-F03L</v>
      </c>
      <c r="B6635" s="403" t="s">
        <v>1464</v>
      </c>
      <c r="C6635" s="403" t="s">
        <v>582</v>
      </c>
      <c r="D6635" s="403" t="s">
        <v>1465</v>
      </c>
      <c r="E6635" s="403" t="s">
        <v>778</v>
      </c>
      <c r="F6635" s="403" t="s">
        <v>1372</v>
      </c>
      <c r="G6635" s="403" t="s">
        <v>1466</v>
      </c>
      <c r="H6635" s="403" t="s">
        <v>1276</v>
      </c>
      <c r="I6635" s="403">
        <v>1</v>
      </c>
      <c r="J6635" s="403" t="s">
        <v>1373</v>
      </c>
      <c r="K6635" s="403">
        <v>2688</v>
      </c>
      <c r="L6635" s="403">
        <v>1512</v>
      </c>
      <c r="M6635" s="403" t="s">
        <v>111</v>
      </c>
      <c r="N6635" s="403">
        <v>768</v>
      </c>
      <c r="O6635" s="403">
        <v>432</v>
      </c>
      <c r="P6635" t="str">
        <f t="shared" si="833"/>
        <v>25fps 2688x1512 - SD</v>
      </c>
      <c r="Q6635">
        <f t="shared" si="834"/>
        <v>37</v>
      </c>
      <c r="R6635">
        <f t="shared" si="835"/>
        <v>37</v>
      </c>
      <c r="S6635" t="str">
        <f t="shared" si="836"/>
        <v>DINION IP 3000i Turret IR (NTV-3503-F03L)</v>
      </c>
      <c r="T6635" s="403" t="str">
        <f t="shared" si="837"/>
        <v>NTV-3503-F03L</v>
      </c>
      <c r="U6635" s="403">
        <f t="shared" si="838"/>
        <v>1</v>
      </c>
      <c r="V6635" s="403" t="str">
        <f t="shared" si="839"/>
        <v>CPP_7_3</v>
      </c>
    </row>
    <row r="6636" spans="1:22">
      <c r="A6636" t="str">
        <f t="shared" si="832"/>
        <v>NTV-3503-F03L</v>
      </c>
      <c r="B6636" s="403" t="s">
        <v>1464</v>
      </c>
      <c r="C6636" s="403" t="s">
        <v>582</v>
      </c>
      <c r="D6636" s="403" t="s">
        <v>1465</v>
      </c>
      <c r="E6636" s="403" t="s">
        <v>778</v>
      </c>
      <c r="F6636" s="403" t="s">
        <v>1372</v>
      </c>
      <c r="G6636" s="403" t="s">
        <v>1466</v>
      </c>
      <c r="H6636" s="403" t="s">
        <v>1276</v>
      </c>
      <c r="I6636" s="403">
        <v>1</v>
      </c>
      <c r="J6636" s="403" t="s">
        <v>1373</v>
      </c>
      <c r="K6636" s="403">
        <v>2688</v>
      </c>
      <c r="L6636" s="403">
        <v>1512</v>
      </c>
      <c r="M6636" s="403" t="s">
        <v>1279</v>
      </c>
      <c r="N6636" s="403">
        <v>768</v>
      </c>
      <c r="O6636" s="403">
        <v>432</v>
      </c>
      <c r="P6636" t="str">
        <f t="shared" si="833"/>
        <v>25fps 2688x1512 - SD ROI PTZ</v>
      </c>
      <c r="Q6636">
        <f t="shared" si="834"/>
        <v>37</v>
      </c>
      <c r="R6636" t="str">
        <f t="shared" si="835"/>
        <v/>
      </c>
      <c r="S6636" t="str">
        <f t="shared" si="836"/>
        <v/>
      </c>
      <c r="T6636" s="403" t="str">
        <f t="shared" si="837"/>
        <v>NTV-3503-F03L</v>
      </c>
      <c r="U6636" s="403">
        <f t="shared" si="838"/>
        <v>1</v>
      </c>
      <c r="V6636" s="403" t="str">
        <f t="shared" si="839"/>
        <v>CPP_7_3</v>
      </c>
    </row>
    <row r="6637" spans="1:22">
      <c r="A6637" t="str">
        <f t="shared" si="832"/>
        <v>NTV-3503-F03L</v>
      </c>
      <c r="B6637" s="403" t="s">
        <v>1464</v>
      </c>
      <c r="C6637" s="403" t="s">
        <v>582</v>
      </c>
      <c r="D6637" s="403" t="s">
        <v>1465</v>
      </c>
      <c r="E6637" s="403" t="s">
        <v>778</v>
      </c>
      <c r="F6637" s="403" t="s">
        <v>1372</v>
      </c>
      <c r="G6637" s="403" t="s">
        <v>1466</v>
      </c>
      <c r="H6637" s="403" t="s">
        <v>1276</v>
      </c>
      <c r="I6637" s="403">
        <v>1</v>
      </c>
      <c r="J6637" s="403" t="s">
        <v>1373</v>
      </c>
      <c r="K6637" s="403">
        <v>2688</v>
      </c>
      <c r="L6637" s="403">
        <v>1512</v>
      </c>
      <c r="M6637" s="403" t="s">
        <v>1283</v>
      </c>
      <c r="N6637" s="403">
        <v>720</v>
      </c>
      <c r="O6637" s="403">
        <v>576</v>
      </c>
      <c r="P6637" t="str">
        <f t="shared" si="833"/>
        <v>25fps 2688x1512 - SD 4CIF resolution 4:3 format (cropped)</v>
      </c>
      <c r="Q6637">
        <f t="shared" si="834"/>
        <v>37</v>
      </c>
      <c r="R6637" t="str">
        <f t="shared" si="835"/>
        <v/>
      </c>
      <c r="S6637" t="str">
        <f t="shared" si="836"/>
        <v/>
      </c>
      <c r="T6637" s="403" t="str">
        <f t="shared" si="837"/>
        <v>NTV-3503-F03L</v>
      </c>
      <c r="U6637" s="403">
        <f t="shared" si="838"/>
        <v>1</v>
      </c>
      <c r="V6637" s="403" t="str">
        <f t="shared" si="839"/>
        <v>CPP_7_3</v>
      </c>
    </row>
    <row r="6638" spans="1:22">
      <c r="A6638" t="str">
        <f t="shared" si="832"/>
        <v>NTV-3503-F03L</v>
      </c>
      <c r="B6638" s="403" t="s">
        <v>1464</v>
      </c>
      <c r="C6638" s="403" t="s">
        <v>582</v>
      </c>
      <c r="D6638" s="403" t="s">
        <v>1465</v>
      </c>
      <c r="E6638" s="403" t="s">
        <v>778</v>
      </c>
      <c r="F6638" s="403" t="s">
        <v>1372</v>
      </c>
      <c r="G6638" s="403" t="s">
        <v>1466</v>
      </c>
      <c r="H6638" s="403" t="s">
        <v>1276</v>
      </c>
      <c r="I6638" s="403">
        <v>1</v>
      </c>
      <c r="J6638" s="403" t="s">
        <v>1373</v>
      </c>
      <c r="K6638" s="403">
        <v>2688</v>
      </c>
      <c r="L6638" s="403">
        <v>1512</v>
      </c>
      <c r="M6638" s="403" t="s">
        <v>1284</v>
      </c>
      <c r="N6638" s="403">
        <v>640</v>
      </c>
      <c r="O6638" s="403">
        <v>480</v>
      </c>
      <c r="P6638" t="str">
        <f t="shared" si="833"/>
        <v>25fps 2688x1512 - SD VGA (cropped)</v>
      </c>
      <c r="Q6638">
        <f t="shared" si="834"/>
        <v>37</v>
      </c>
      <c r="R6638" t="str">
        <f t="shared" si="835"/>
        <v/>
      </c>
      <c r="S6638" t="str">
        <f t="shared" si="836"/>
        <v/>
      </c>
      <c r="T6638" s="403" t="str">
        <f t="shared" si="837"/>
        <v>NTV-3503-F03L</v>
      </c>
      <c r="U6638" s="403">
        <f t="shared" si="838"/>
        <v>1</v>
      </c>
      <c r="V6638" s="403" t="str">
        <f t="shared" si="839"/>
        <v>CPP_7_3</v>
      </c>
    </row>
    <row r="6639" spans="1:22">
      <c r="A6639" t="str">
        <f t="shared" si="832"/>
        <v>NTV-3503-F03L</v>
      </c>
      <c r="B6639" s="403" t="s">
        <v>1464</v>
      </c>
      <c r="C6639" s="403" t="s">
        <v>582</v>
      </c>
      <c r="D6639" s="403" t="s">
        <v>1465</v>
      </c>
      <c r="E6639" s="403" t="s">
        <v>778</v>
      </c>
      <c r="F6639" s="403" t="s">
        <v>1372</v>
      </c>
      <c r="G6639" s="403" t="s">
        <v>1466</v>
      </c>
      <c r="H6639" s="403" t="s">
        <v>1276</v>
      </c>
      <c r="I6639" s="403">
        <v>1</v>
      </c>
      <c r="J6639" s="403" t="s">
        <v>1373</v>
      </c>
      <c r="K6639" s="403">
        <v>2688</v>
      </c>
      <c r="L6639" s="403">
        <v>1512</v>
      </c>
      <c r="M6639" s="403" t="s">
        <v>1280</v>
      </c>
      <c r="N6639" s="403">
        <v>2688</v>
      </c>
      <c r="O6639" s="403">
        <v>1512</v>
      </c>
      <c r="P6639" t="str">
        <f t="shared" si="833"/>
        <v>25fps 2688x1512 - copy other stream</v>
      </c>
      <c r="Q6639">
        <f t="shared" si="834"/>
        <v>37</v>
      </c>
      <c r="R6639" t="str">
        <f t="shared" si="835"/>
        <v/>
      </c>
      <c r="S6639" t="str">
        <f t="shared" si="836"/>
        <v/>
      </c>
      <c r="T6639" s="403" t="str">
        <f t="shared" si="837"/>
        <v>NTV-3503-F03L</v>
      </c>
      <c r="U6639" s="403">
        <f t="shared" si="838"/>
        <v>1</v>
      </c>
      <c r="V6639" s="403" t="str">
        <f t="shared" si="839"/>
        <v>CPP_7_3</v>
      </c>
    </row>
    <row r="6640" spans="1:22">
      <c r="A6640" t="str">
        <f t="shared" si="832"/>
        <v>NTV-3503-F03L</v>
      </c>
      <c r="B6640" s="403" t="s">
        <v>1464</v>
      </c>
      <c r="C6640" s="403" t="s">
        <v>582</v>
      </c>
      <c r="D6640" s="403" t="s">
        <v>1465</v>
      </c>
      <c r="E6640" s="403" t="s">
        <v>778</v>
      </c>
      <c r="F6640" s="403" t="s">
        <v>1372</v>
      </c>
      <c r="G6640" s="403" t="s">
        <v>1466</v>
      </c>
      <c r="H6640" s="403" t="s">
        <v>1276</v>
      </c>
      <c r="I6640" s="403">
        <v>1</v>
      </c>
      <c r="J6640" s="403" t="s">
        <v>1374</v>
      </c>
      <c r="K6640" s="403">
        <v>2304</v>
      </c>
      <c r="L6640" s="403">
        <v>1296</v>
      </c>
      <c r="M6640" s="403" t="s">
        <v>109</v>
      </c>
      <c r="N6640" s="403">
        <v>1280</v>
      </c>
      <c r="O6640" s="403">
        <v>720</v>
      </c>
      <c r="P6640" t="str">
        <f t="shared" si="833"/>
        <v>25fps 2304x1296 - 720p</v>
      </c>
      <c r="Q6640">
        <f t="shared" si="834"/>
        <v>37</v>
      </c>
      <c r="R6640" t="str">
        <f t="shared" si="835"/>
        <v/>
      </c>
      <c r="S6640" t="str">
        <f t="shared" si="836"/>
        <v/>
      </c>
      <c r="T6640" s="403" t="str">
        <f t="shared" si="837"/>
        <v>NTV-3503-F03L</v>
      </c>
      <c r="U6640" s="403">
        <f t="shared" si="838"/>
        <v>1</v>
      </c>
      <c r="V6640" s="403" t="str">
        <f t="shared" si="839"/>
        <v>CPP_7_3</v>
      </c>
    </row>
    <row r="6641" spans="1:22">
      <c r="A6641" t="str">
        <f t="shared" si="832"/>
        <v>NTV-3503-F03L</v>
      </c>
      <c r="B6641" s="403" t="s">
        <v>1464</v>
      </c>
      <c r="C6641" s="403" t="s">
        <v>582</v>
      </c>
      <c r="D6641" s="403" t="s">
        <v>1465</v>
      </c>
      <c r="E6641" s="403" t="s">
        <v>778</v>
      </c>
      <c r="F6641" s="403" t="s">
        <v>1372</v>
      </c>
      <c r="G6641" s="403" t="s">
        <v>1466</v>
      </c>
      <c r="H6641" s="403" t="s">
        <v>1276</v>
      </c>
      <c r="I6641" s="403">
        <v>1</v>
      </c>
      <c r="J6641" s="403" t="s">
        <v>1374</v>
      </c>
      <c r="K6641" s="403">
        <v>2304</v>
      </c>
      <c r="L6641" s="403">
        <v>1296</v>
      </c>
      <c r="M6641" s="403" t="s">
        <v>111</v>
      </c>
      <c r="N6641" s="403">
        <v>768</v>
      </c>
      <c r="O6641" s="403">
        <v>432</v>
      </c>
      <c r="P6641" t="str">
        <f t="shared" si="833"/>
        <v>25fps 2304x1296 - SD</v>
      </c>
      <c r="Q6641">
        <f t="shared" si="834"/>
        <v>37</v>
      </c>
      <c r="R6641" t="str">
        <f t="shared" si="835"/>
        <v/>
      </c>
      <c r="S6641" t="str">
        <f t="shared" si="836"/>
        <v/>
      </c>
      <c r="T6641" s="403" t="str">
        <f t="shared" si="837"/>
        <v>NTV-3503-F03L</v>
      </c>
      <c r="U6641" s="403">
        <f t="shared" si="838"/>
        <v>1</v>
      </c>
      <c r="V6641" s="403" t="str">
        <f t="shared" si="839"/>
        <v>CPP_7_3</v>
      </c>
    </row>
    <row r="6642" spans="1:22">
      <c r="A6642" t="str">
        <f t="shared" si="832"/>
        <v>NTV-3503-F03L</v>
      </c>
      <c r="B6642" s="403" t="s">
        <v>1464</v>
      </c>
      <c r="C6642" s="403" t="s">
        <v>582</v>
      </c>
      <c r="D6642" s="403" t="s">
        <v>1465</v>
      </c>
      <c r="E6642" s="403" t="s">
        <v>778</v>
      </c>
      <c r="F6642" s="403" t="s">
        <v>1372</v>
      </c>
      <c r="G6642" s="403" t="s">
        <v>1466</v>
      </c>
      <c r="H6642" s="403" t="s">
        <v>1276</v>
      </c>
      <c r="I6642" s="403">
        <v>1</v>
      </c>
      <c r="J6642" s="403" t="s">
        <v>1374</v>
      </c>
      <c r="K6642" s="403">
        <v>2304</v>
      </c>
      <c r="L6642" s="403">
        <v>1296</v>
      </c>
      <c r="M6642" s="403" t="s">
        <v>1279</v>
      </c>
      <c r="N6642" s="403">
        <v>768</v>
      </c>
      <c r="O6642" s="403">
        <v>432</v>
      </c>
      <c r="P6642" t="str">
        <f t="shared" si="833"/>
        <v>25fps 2304x1296 - SD ROI PTZ</v>
      </c>
      <c r="Q6642">
        <f t="shared" si="834"/>
        <v>37</v>
      </c>
      <c r="R6642" t="str">
        <f t="shared" si="835"/>
        <v/>
      </c>
      <c r="S6642" t="str">
        <f t="shared" si="836"/>
        <v/>
      </c>
      <c r="T6642" s="403" t="str">
        <f t="shared" si="837"/>
        <v>NTV-3503-F03L</v>
      </c>
      <c r="U6642" s="403">
        <f t="shared" si="838"/>
        <v>1</v>
      </c>
      <c r="V6642" s="403" t="str">
        <f t="shared" si="839"/>
        <v>CPP_7_3</v>
      </c>
    </row>
    <row r="6643" spans="1:22">
      <c r="A6643" t="str">
        <f t="shared" si="832"/>
        <v>NTV-3503-F03L</v>
      </c>
      <c r="B6643" s="403" t="s">
        <v>1464</v>
      </c>
      <c r="C6643" s="403" t="s">
        <v>582</v>
      </c>
      <c r="D6643" s="403" t="s">
        <v>1465</v>
      </c>
      <c r="E6643" s="403" t="s">
        <v>778</v>
      </c>
      <c r="F6643" s="403" t="s">
        <v>1372</v>
      </c>
      <c r="G6643" s="403" t="s">
        <v>1466</v>
      </c>
      <c r="H6643" s="403" t="s">
        <v>1276</v>
      </c>
      <c r="I6643" s="403">
        <v>1</v>
      </c>
      <c r="J6643" s="403" t="s">
        <v>1374</v>
      </c>
      <c r="K6643" s="403">
        <v>2304</v>
      </c>
      <c r="L6643" s="403">
        <v>1296</v>
      </c>
      <c r="M6643" s="403" t="s">
        <v>1285</v>
      </c>
      <c r="N6643" s="403">
        <v>1280</v>
      </c>
      <c r="O6643" s="403">
        <v>1024</v>
      </c>
      <c r="P6643" t="str">
        <f t="shared" si="833"/>
        <v>25fps 2304x1296 - 1280x1024 5:4 (cropped)</v>
      </c>
      <c r="Q6643">
        <f t="shared" si="834"/>
        <v>37</v>
      </c>
      <c r="R6643" t="str">
        <f t="shared" si="835"/>
        <v/>
      </c>
      <c r="S6643" t="str">
        <f t="shared" si="836"/>
        <v/>
      </c>
      <c r="T6643" s="403" t="str">
        <f t="shared" si="837"/>
        <v>NTV-3503-F03L</v>
      </c>
      <c r="U6643" s="403">
        <f t="shared" si="838"/>
        <v>1</v>
      </c>
      <c r="V6643" s="403" t="str">
        <f t="shared" si="839"/>
        <v>CPP_7_3</v>
      </c>
    </row>
    <row r="6644" spans="1:22">
      <c r="A6644" t="str">
        <f t="shared" si="832"/>
        <v>NTV-3503-F03L</v>
      </c>
      <c r="B6644" s="403" t="s">
        <v>1464</v>
      </c>
      <c r="C6644" s="403" t="s">
        <v>582</v>
      </c>
      <c r="D6644" s="403" t="s">
        <v>1465</v>
      </c>
      <c r="E6644" s="403" t="s">
        <v>778</v>
      </c>
      <c r="F6644" s="403" t="s">
        <v>1372</v>
      </c>
      <c r="G6644" s="403" t="s">
        <v>1466</v>
      </c>
      <c r="H6644" s="403" t="s">
        <v>1276</v>
      </c>
      <c r="I6644" s="403">
        <v>1</v>
      </c>
      <c r="J6644" s="403" t="s">
        <v>1374</v>
      </c>
      <c r="K6644" s="403">
        <v>2304</v>
      </c>
      <c r="L6644" s="403">
        <v>1296</v>
      </c>
      <c r="M6644" s="403" t="s">
        <v>1283</v>
      </c>
      <c r="N6644" s="403">
        <v>720</v>
      </c>
      <c r="O6644" s="403">
        <v>576</v>
      </c>
      <c r="P6644" t="str">
        <f t="shared" si="833"/>
        <v>25fps 2304x1296 - SD 4CIF resolution 4:3 format (cropped)</v>
      </c>
      <c r="Q6644">
        <f t="shared" si="834"/>
        <v>37</v>
      </c>
      <c r="R6644" t="str">
        <f t="shared" si="835"/>
        <v/>
      </c>
      <c r="S6644" t="str">
        <f t="shared" si="836"/>
        <v/>
      </c>
      <c r="T6644" s="403" t="str">
        <f t="shared" si="837"/>
        <v>NTV-3503-F03L</v>
      </c>
      <c r="U6644" s="403">
        <f t="shared" si="838"/>
        <v>1</v>
      </c>
      <c r="V6644" s="403" t="str">
        <f t="shared" si="839"/>
        <v>CPP_7_3</v>
      </c>
    </row>
    <row r="6645" spans="1:22">
      <c r="A6645" t="str">
        <f t="shared" si="832"/>
        <v>NTV-3503-F03L</v>
      </c>
      <c r="B6645" s="403" t="s">
        <v>1464</v>
      </c>
      <c r="C6645" s="403" t="s">
        <v>582</v>
      </c>
      <c r="D6645" s="403" t="s">
        <v>1465</v>
      </c>
      <c r="E6645" s="403" t="s">
        <v>778</v>
      </c>
      <c r="F6645" s="403" t="s">
        <v>1372</v>
      </c>
      <c r="G6645" s="403" t="s">
        <v>1466</v>
      </c>
      <c r="H6645" s="403" t="s">
        <v>1276</v>
      </c>
      <c r="I6645" s="403">
        <v>1</v>
      </c>
      <c r="J6645" s="403" t="s">
        <v>1374</v>
      </c>
      <c r="K6645" s="403">
        <v>2304</v>
      </c>
      <c r="L6645" s="403">
        <v>1296</v>
      </c>
      <c r="M6645" s="403" t="s">
        <v>1284</v>
      </c>
      <c r="N6645" s="403">
        <v>640</v>
      </c>
      <c r="O6645" s="403">
        <v>480</v>
      </c>
      <c r="P6645" t="str">
        <f t="shared" si="833"/>
        <v>25fps 2304x1296 - SD VGA (cropped)</v>
      </c>
      <c r="Q6645">
        <f t="shared" si="834"/>
        <v>37</v>
      </c>
      <c r="R6645" t="str">
        <f t="shared" si="835"/>
        <v/>
      </c>
      <c r="S6645" t="str">
        <f t="shared" si="836"/>
        <v/>
      </c>
      <c r="T6645" s="403" t="str">
        <f t="shared" si="837"/>
        <v>NTV-3503-F03L</v>
      </c>
      <c r="U6645" s="403">
        <f t="shared" si="838"/>
        <v>1</v>
      </c>
      <c r="V6645" s="403" t="str">
        <f t="shared" si="839"/>
        <v>CPP_7_3</v>
      </c>
    </row>
    <row r="6646" spans="1:22">
      <c r="A6646" t="str">
        <f t="shared" si="832"/>
        <v>NTV-3503-F03L</v>
      </c>
      <c r="B6646" s="403" t="s">
        <v>1464</v>
      </c>
      <c r="C6646" s="403" t="s">
        <v>582</v>
      </c>
      <c r="D6646" s="403" t="s">
        <v>1465</v>
      </c>
      <c r="E6646" s="403" t="s">
        <v>778</v>
      </c>
      <c r="F6646" s="403" t="s">
        <v>1372</v>
      </c>
      <c r="G6646" s="403" t="s">
        <v>1466</v>
      </c>
      <c r="H6646" s="403" t="s">
        <v>1276</v>
      </c>
      <c r="I6646" s="403">
        <v>1</v>
      </c>
      <c r="J6646" s="403" t="s">
        <v>1374</v>
      </c>
      <c r="K6646" s="403">
        <v>2304</v>
      </c>
      <c r="L6646" s="403">
        <v>1296</v>
      </c>
      <c r="M6646" s="403" t="s">
        <v>1280</v>
      </c>
      <c r="N6646" s="403">
        <v>2304</v>
      </c>
      <c r="O6646" s="403">
        <v>1296</v>
      </c>
      <c r="P6646" t="str">
        <f t="shared" si="833"/>
        <v>25fps 2304x1296 - copy other stream</v>
      </c>
      <c r="Q6646">
        <f t="shared" si="834"/>
        <v>37</v>
      </c>
      <c r="R6646" t="str">
        <f t="shared" si="835"/>
        <v/>
      </c>
      <c r="S6646" t="str">
        <f t="shared" si="836"/>
        <v/>
      </c>
      <c r="T6646" s="403" t="str">
        <f t="shared" si="837"/>
        <v>NTV-3503-F03L</v>
      </c>
      <c r="U6646" s="403">
        <f t="shared" si="838"/>
        <v>1</v>
      </c>
      <c r="V6646" s="403" t="str">
        <f t="shared" si="839"/>
        <v>CPP_7_3</v>
      </c>
    </row>
    <row r="6647" spans="1:22">
      <c r="A6647" t="str">
        <f t="shared" si="832"/>
        <v>NTV-3503-F03L</v>
      </c>
      <c r="B6647" s="403" t="s">
        <v>1464</v>
      </c>
      <c r="C6647" s="403" t="s">
        <v>582</v>
      </c>
      <c r="D6647" s="403" t="s">
        <v>1465</v>
      </c>
      <c r="E6647" s="403" t="s">
        <v>778</v>
      </c>
      <c r="F6647" s="403" t="s">
        <v>1372</v>
      </c>
      <c r="G6647" s="403" t="s">
        <v>1466</v>
      </c>
      <c r="H6647" s="403" t="s">
        <v>1276</v>
      </c>
      <c r="I6647" s="403">
        <v>1</v>
      </c>
      <c r="J6647" s="403" t="s">
        <v>110</v>
      </c>
      <c r="K6647" s="403">
        <v>1920</v>
      </c>
      <c r="L6647" s="403">
        <v>1080</v>
      </c>
      <c r="M6647" s="403" t="s">
        <v>111</v>
      </c>
      <c r="N6647" s="403">
        <v>768</v>
      </c>
      <c r="O6647" s="403">
        <v>432</v>
      </c>
      <c r="P6647" t="str">
        <f t="shared" si="833"/>
        <v>25fps 1080p - SD</v>
      </c>
      <c r="Q6647">
        <f t="shared" si="834"/>
        <v>37</v>
      </c>
      <c r="R6647" t="str">
        <f t="shared" si="835"/>
        <v/>
      </c>
      <c r="S6647" t="str">
        <f t="shared" si="836"/>
        <v/>
      </c>
      <c r="T6647" s="403" t="str">
        <f t="shared" si="837"/>
        <v>NTV-3503-F03L</v>
      </c>
      <c r="U6647" s="403">
        <f t="shared" si="838"/>
        <v>1</v>
      </c>
      <c r="V6647" s="403" t="str">
        <f t="shared" si="839"/>
        <v>CPP_7_3</v>
      </c>
    </row>
    <row r="6648" spans="1:22">
      <c r="A6648" t="str">
        <f t="shared" si="832"/>
        <v>NTV-3503-F03L</v>
      </c>
      <c r="B6648" s="403" t="s">
        <v>1464</v>
      </c>
      <c r="C6648" s="403" t="s">
        <v>582</v>
      </c>
      <c r="D6648" s="403" t="s">
        <v>1465</v>
      </c>
      <c r="E6648" s="403" t="s">
        <v>778</v>
      </c>
      <c r="F6648" s="403" t="s">
        <v>1372</v>
      </c>
      <c r="G6648" s="403" t="s">
        <v>1466</v>
      </c>
      <c r="H6648" s="403" t="s">
        <v>1276</v>
      </c>
      <c r="I6648" s="403">
        <v>1</v>
      </c>
      <c r="J6648" s="403" t="s">
        <v>110</v>
      </c>
      <c r="K6648" s="403">
        <v>1920</v>
      </c>
      <c r="L6648" s="403">
        <v>1080</v>
      </c>
      <c r="M6648" s="403" t="s">
        <v>110</v>
      </c>
      <c r="N6648" s="403">
        <v>1920</v>
      </c>
      <c r="O6648" s="403">
        <v>1080</v>
      </c>
      <c r="P6648" t="str">
        <f t="shared" si="833"/>
        <v>25fps 1080p - 1080p</v>
      </c>
      <c r="Q6648">
        <f t="shared" si="834"/>
        <v>37</v>
      </c>
      <c r="R6648" t="str">
        <f t="shared" si="835"/>
        <v/>
      </c>
      <c r="S6648" t="str">
        <f t="shared" si="836"/>
        <v/>
      </c>
      <c r="T6648" s="403" t="str">
        <f t="shared" si="837"/>
        <v>NTV-3503-F03L</v>
      </c>
      <c r="U6648" s="403">
        <f t="shared" si="838"/>
        <v>1</v>
      </c>
      <c r="V6648" s="403" t="str">
        <f t="shared" si="839"/>
        <v>CPP_7_3</v>
      </c>
    </row>
    <row r="6649" spans="1:22">
      <c r="A6649" t="str">
        <f t="shared" si="832"/>
        <v>NTV-3503-F03L</v>
      </c>
      <c r="B6649" s="403" t="s">
        <v>1464</v>
      </c>
      <c r="C6649" s="403" t="s">
        <v>582</v>
      </c>
      <c r="D6649" s="403" t="s">
        <v>1465</v>
      </c>
      <c r="E6649" s="403" t="s">
        <v>778</v>
      </c>
      <c r="F6649" s="403" t="s">
        <v>1372</v>
      </c>
      <c r="G6649" s="403" t="s">
        <v>1466</v>
      </c>
      <c r="H6649" s="403" t="s">
        <v>1276</v>
      </c>
      <c r="I6649" s="403">
        <v>1</v>
      </c>
      <c r="J6649" s="403" t="s">
        <v>110</v>
      </c>
      <c r="K6649" s="403">
        <v>1920</v>
      </c>
      <c r="L6649" s="403">
        <v>1080</v>
      </c>
      <c r="M6649" s="403" t="s">
        <v>109</v>
      </c>
      <c r="N6649" s="403">
        <v>1280</v>
      </c>
      <c r="O6649" s="403">
        <v>720</v>
      </c>
      <c r="P6649" t="str">
        <f t="shared" si="833"/>
        <v>25fps 1080p - 720p</v>
      </c>
      <c r="Q6649">
        <f t="shared" si="834"/>
        <v>37</v>
      </c>
      <c r="R6649" t="str">
        <f t="shared" si="835"/>
        <v/>
      </c>
      <c r="S6649" t="str">
        <f t="shared" si="836"/>
        <v/>
      </c>
      <c r="T6649" s="403" t="str">
        <f t="shared" si="837"/>
        <v>NTV-3503-F03L</v>
      </c>
      <c r="U6649" s="403">
        <f t="shared" si="838"/>
        <v>1</v>
      </c>
      <c r="V6649" s="403" t="str">
        <f t="shared" si="839"/>
        <v>CPP_7_3</v>
      </c>
    </row>
    <row r="6650" spans="1:22">
      <c r="A6650" t="str">
        <f t="shared" si="832"/>
        <v>NTV-3503-F03L</v>
      </c>
      <c r="B6650" s="403" t="s">
        <v>1464</v>
      </c>
      <c r="C6650" s="403" t="s">
        <v>582</v>
      </c>
      <c r="D6650" s="403" t="s">
        <v>1465</v>
      </c>
      <c r="E6650" s="403" t="s">
        <v>778</v>
      </c>
      <c r="F6650" s="403" t="s">
        <v>1372</v>
      </c>
      <c r="G6650" s="403" t="s">
        <v>1466</v>
      </c>
      <c r="H6650" s="403" t="s">
        <v>1276</v>
      </c>
      <c r="I6650" s="403">
        <v>1</v>
      </c>
      <c r="J6650" s="403" t="s">
        <v>110</v>
      </c>
      <c r="K6650" s="403">
        <v>1920</v>
      </c>
      <c r="L6650" s="403">
        <v>1080</v>
      </c>
      <c r="M6650" s="403" t="s">
        <v>1285</v>
      </c>
      <c r="N6650" s="403">
        <v>1280</v>
      </c>
      <c r="O6650" s="403">
        <v>1024</v>
      </c>
      <c r="P6650" t="str">
        <f t="shared" si="833"/>
        <v>25fps 1080p - 1280x1024 5:4 (cropped)</v>
      </c>
      <c r="Q6650">
        <f t="shared" si="834"/>
        <v>37</v>
      </c>
      <c r="R6650" t="str">
        <f t="shared" si="835"/>
        <v/>
      </c>
      <c r="S6650" t="str">
        <f t="shared" si="836"/>
        <v/>
      </c>
      <c r="T6650" s="403" t="str">
        <f t="shared" si="837"/>
        <v>NTV-3503-F03L</v>
      </c>
      <c r="U6650" s="403">
        <f t="shared" si="838"/>
        <v>1</v>
      </c>
      <c r="V6650" s="403" t="str">
        <f t="shared" si="839"/>
        <v>CPP_7_3</v>
      </c>
    </row>
    <row r="6651" spans="1:22">
      <c r="A6651" t="str">
        <f t="shared" si="832"/>
        <v>NTV-3503-F03L</v>
      </c>
      <c r="B6651" s="403" t="s">
        <v>1464</v>
      </c>
      <c r="C6651" s="403" t="s">
        <v>582</v>
      </c>
      <c r="D6651" s="403" t="s">
        <v>1465</v>
      </c>
      <c r="E6651" s="403" t="s">
        <v>778</v>
      </c>
      <c r="F6651" s="403" t="s">
        <v>1372</v>
      </c>
      <c r="G6651" s="403" t="s">
        <v>1466</v>
      </c>
      <c r="H6651" s="403" t="s">
        <v>1276</v>
      </c>
      <c r="I6651" s="403">
        <v>1</v>
      </c>
      <c r="J6651" s="403" t="s">
        <v>110</v>
      </c>
      <c r="K6651" s="403">
        <v>1920</v>
      </c>
      <c r="L6651" s="403">
        <v>1080</v>
      </c>
      <c r="M6651" s="403" t="s">
        <v>1279</v>
      </c>
      <c r="N6651" s="403">
        <v>768</v>
      </c>
      <c r="O6651" s="403">
        <v>432</v>
      </c>
      <c r="P6651" t="str">
        <f t="shared" si="833"/>
        <v>25fps 1080p - SD ROI PTZ</v>
      </c>
      <c r="Q6651">
        <f t="shared" si="834"/>
        <v>37</v>
      </c>
      <c r="R6651" t="str">
        <f t="shared" si="835"/>
        <v/>
      </c>
      <c r="S6651" t="str">
        <f t="shared" si="836"/>
        <v/>
      </c>
      <c r="T6651" s="403" t="str">
        <f t="shared" si="837"/>
        <v>NTV-3503-F03L</v>
      </c>
      <c r="U6651" s="403">
        <f t="shared" si="838"/>
        <v>1</v>
      </c>
      <c r="V6651" s="403" t="str">
        <f t="shared" si="839"/>
        <v>CPP_7_3</v>
      </c>
    </row>
    <row r="6652" spans="1:22">
      <c r="A6652" t="str">
        <f t="shared" si="832"/>
        <v>NTV-3503-F03L</v>
      </c>
      <c r="B6652" s="403" t="s">
        <v>1464</v>
      </c>
      <c r="C6652" s="403" t="s">
        <v>582</v>
      </c>
      <c r="D6652" s="403" t="s">
        <v>1465</v>
      </c>
      <c r="E6652" s="403" t="s">
        <v>778</v>
      </c>
      <c r="F6652" s="403" t="s">
        <v>1372</v>
      </c>
      <c r="G6652" s="403" t="s">
        <v>1466</v>
      </c>
      <c r="H6652" s="403" t="s">
        <v>1276</v>
      </c>
      <c r="I6652" s="403">
        <v>1</v>
      </c>
      <c r="J6652" s="403" t="s">
        <v>110</v>
      </c>
      <c r="K6652" s="403">
        <v>1920</v>
      </c>
      <c r="L6652" s="403">
        <v>1080</v>
      </c>
      <c r="M6652" s="403" t="s">
        <v>1283</v>
      </c>
      <c r="N6652" s="403">
        <v>720</v>
      </c>
      <c r="O6652" s="403">
        <v>576</v>
      </c>
      <c r="P6652" t="str">
        <f t="shared" si="833"/>
        <v>25fps 1080p - SD 4CIF resolution 4:3 format (cropped)</v>
      </c>
      <c r="Q6652">
        <f t="shared" si="834"/>
        <v>37</v>
      </c>
      <c r="R6652" t="str">
        <f t="shared" si="835"/>
        <v/>
      </c>
      <c r="S6652" t="str">
        <f t="shared" si="836"/>
        <v/>
      </c>
      <c r="T6652" s="403" t="str">
        <f t="shared" si="837"/>
        <v>NTV-3503-F03L</v>
      </c>
      <c r="U6652" s="403">
        <f t="shared" si="838"/>
        <v>1</v>
      </c>
      <c r="V6652" s="403" t="str">
        <f t="shared" si="839"/>
        <v>CPP_7_3</v>
      </c>
    </row>
    <row r="6653" spans="1:22">
      <c r="A6653" t="str">
        <f t="shared" si="832"/>
        <v>NTV-3503-F03L</v>
      </c>
      <c r="B6653" s="403" t="s">
        <v>1464</v>
      </c>
      <c r="C6653" s="403" t="s">
        <v>582</v>
      </c>
      <c r="D6653" s="403" t="s">
        <v>1465</v>
      </c>
      <c r="E6653" s="403" t="s">
        <v>778</v>
      </c>
      <c r="F6653" s="403" t="s">
        <v>1372</v>
      </c>
      <c r="G6653" s="403" t="s">
        <v>1466</v>
      </c>
      <c r="H6653" s="403" t="s">
        <v>1276</v>
      </c>
      <c r="I6653" s="403">
        <v>1</v>
      </c>
      <c r="J6653" s="403" t="s">
        <v>110</v>
      </c>
      <c r="K6653" s="403">
        <v>1920</v>
      </c>
      <c r="L6653" s="403">
        <v>1080</v>
      </c>
      <c r="M6653" s="403" t="s">
        <v>1284</v>
      </c>
      <c r="N6653" s="403">
        <v>640</v>
      </c>
      <c r="O6653" s="403">
        <v>480</v>
      </c>
      <c r="P6653" t="str">
        <f t="shared" si="833"/>
        <v>25fps 1080p - SD VGA (cropped)</v>
      </c>
      <c r="Q6653">
        <f t="shared" si="834"/>
        <v>37</v>
      </c>
      <c r="R6653" t="str">
        <f t="shared" si="835"/>
        <v/>
      </c>
      <c r="S6653" t="str">
        <f t="shared" si="836"/>
        <v/>
      </c>
      <c r="T6653" s="403" t="str">
        <f t="shared" si="837"/>
        <v>NTV-3503-F03L</v>
      </c>
      <c r="U6653" s="403">
        <f t="shared" si="838"/>
        <v>1</v>
      </c>
      <c r="V6653" s="403" t="str">
        <f t="shared" si="839"/>
        <v>CPP_7_3</v>
      </c>
    </row>
    <row r="6654" spans="1:22">
      <c r="A6654" t="str">
        <f t="shared" si="832"/>
        <v>NTV-3503-F03L</v>
      </c>
      <c r="B6654" s="403" t="s">
        <v>1464</v>
      </c>
      <c r="C6654" s="403" t="s">
        <v>582</v>
      </c>
      <c r="D6654" s="403" t="s">
        <v>1465</v>
      </c>
      <c r="E6654" s="403" t="s">
        <v>778</v>
      </c>
      <c r="F6654" s="403" t="s">
        <v>1372</v>
      </c>
      <c r="G6654" s="403" t="s">
        <v>1466</v>
      </c>
      <c r="H6654" s="403" t="s">
        <v>1276</v>
      </c>
      <c r="I6654" s="403">
        <v>1</v>
      </c>
      <c r="J6654" s="403" t="s">
        <v>109</v>
      </c>
      <c r="K6654" s="403">
        <v>1280</v>
      </c>
      <c r="L6654" s="403">
        <v>720</v>
      </c>
      <c r="M6654" s="403" t="s">
        <v>109</v>
      </c>
      <c r="N6654" s="403">
        <v>1280</v>
      </c>
      <c r="O6654" s="403">
        <v>720</v>
      </c>
      <c r="P6654" t="str">
        <f t="shared" si="833"/>
        <v>25fps 720p - 720p</v>
      </c>
      <c r="Q6654">
        <f t="shared" si="834"/>
        <v>37</v>
      </c>
      <c r="R6654" t="str">
        <f t="shared" si="835"/>
        <v/>
      </c>
      <c r="S6654" t="str">
        <f t="shared" si="836"/>
        <v/>
      </c>
      <c r="T6654" s="403" t="str">
        <f t="shared" si="837"/>
        <v>NTV-3503-F03L</v>
      </c>
      <c r="U6654" s="403">
        <f t="shared" si="838"/>
        <v>1</v>
      </c>
      <c r="V6654" s="403" t="str">
        <f t="shared" si="839"/>
        <v>CPP_7_3</v>
      </c>
    </row>
    <row r="6655" spans="1:22">
      <c r="A6655" t="str">
        <f t="shared" si="832"/>
        <v>NTV-3503-F03L</v>
      </c>
      <c r="B6655" s="403" t="s">
        <v>1464</v>
      </c>
      <c r="C6655" s="403" t="s">
        <v>582</v>
      </c>
      <c r="D6655" s="403" t="s">
        <v>1465</v>
      </c>
      <c r="E6655" s="403" t="s">
        <v>778</v>
      </c>
      <c r="F6655" s="403" t="s">
        <v>1372</v>
      </c>
      <c r="G6655" s="403" t="s">
        <v>1466</v>
      </c>
      <c r="H6655" s="403" t="s">
        <v>1276</v>
      </c>
      <c r="I6655" s="403">
        <v>1</v>
      </c>
      <c r="J6655" s="403" t="s">
        <v>109</v>
      </c>
      <c r="K6655" s="403">
        <v>1280</v>
      </c>
      <c r="L6655" s="403">
        <v>720</v>
      </c>
      <c r="M6655" s="403" t="s">
        <v>111</v>
      </c>
      <c r="N6655" s="403">
        <v>768</v>
      </c>
      <c r="O6655" s="403">
        <v>432</v>
      </c>
      <c r="P6655" t="str">
        <f t="shared" si="833"/>
        <v>25fps 720p - SD</v>
      </c>
      <c r="Q6655">
        <f t="shared" si="834"/>
        <v>37</v>
      </c>
      <c r="R6655" t="str">
        <f t="shared" si="835"/>
        <v/>
      </c>
      <c r="S6655" t="str">
        <f t="shared" si="836"/>
        <v/>
      </c>
      <c r="T6655" s="403" t="str">
        <f t="shared" si="837"/>
        <v>NTV-3503-F03L</v>
      </c>
      <c r="U6655" s="403">
        <f t="shared" si="838"/>
        <v>1</v>
      </c>
      <c r="V6655" s="403" t="str">
        <f t="shared" si="839"/>
        <v>CPP_7_3</v>
      </c>
    </row>
    <row r="6656" spans="1:22">
      <c r="A6656" t="str">
        <f t="shared" si="832"/>
        <v>NTV-3503-F03L</v>
      </c>
      <c r="B6656" s="403" t="s">
        <v>1464</v>
      </c>
      <c r="C6656" s="403" t="s">
        <v>582</v>
      </c>
      <c r="D6656" s="403" t="s">
        <v>1465</v>
      </c>
      <c r="E6656" s="403" t="s">
        <v>778</v>
      </c>
      <c r="F6656" s="403" t="s">
        <v>1372</v>
      </c>
      <c r="G6656" s="403" t="s">
        <v>1466</v>
      </c>
      <c r="H6656" s="403" t="s">
        <v>1276</v>
      </c>
      <c r="I6656" s="403">
        <v>1</v>
      </c>
      <c r="J6656" s="403" t="s">
        <v>109</v>
      </c>
      <c r="K6656" s="403">
        <v>1280</v>
      </c>
      <c r="L6656" s="403">
        <v>720</v>
      </c>
      <c r="M6656" s="403" t="s">
        <v>1279</v>
      </c>
      <c r="N6656" s="403">
        <v>768</v>
      </c>
      <c r="O6656" s="403">
        <v>432</v>
      </c>
      <c r="P6656" t="str">
        <f t="shared" si="833"/>
        <v>25fps 720p - SD ROI PTZ</v>
      </c>
      <c r="Q6656">
        <f t="shared" si="834"/>
        <v>37</v>
      </c>
      <c r="R6656" t="str">
        <f t="shared" si="835"/>
        <v/>
      </c>
      <c r="S6656" t="str">
        <f t="shared" si="836"/>
        <v/>
      </c>
      <c r="T6656" s="403" t="str">
        <f t="shared" si="837"/>
        <v>NTV-3503-F03L</v>
      </c>
      <c r="U6656" s="403">
        <f t="shared" si="838"/>
        <v>1</v>
      </c>
      <c r="V6656" s="403" t="str">
        <f t="shared" si="839"/>
        <v>CPP_7_3</v>
      </c>
    </row>
    <row r="6657" spans="1:22">
      <c r="A6657" t="str">
        <f t="shared" si="832"/>
        <v>NTV-3503-F03L</v>
      </c>
      <c r="B6657" s="403" t="s">
        <v>1464</v>
      </c>
      <c r="C6657" s="403" t="s">
        <v>582</v>
      </c>
      <c r="D6657" s="403" t="s">
        <v>1465</v>
      </c>
      <c r="E6657" s="403" t="s">
        <v>778</v>
      </c>
      <c r="F6657" s="403" t="s">
        <v>1372</v>
      </c>
      <c r="G6657" s="403" t="s">
        <v>1466</v>
      </c>
      <c r="H6657" s="403" t="s">
        <v>1276</v>
      </c>
      <c r="I6657" s="403">
        <v>1</v>
      </c>
      <c r="J6657" s="403" t="s">
        <v>109</v>
      </c>
      <c r="K6657" s="403">
        <v>1280</v>
      </c>
      <c r="L6657" s="403">
        <v>720</v>
      </c>
      <c r="M6657" s="403" t="s">
        <v>1283</v>
      </c>
      <c r="N6657" s="403">
        <v>720</v>
      </c>
      <c r="O6657" s="403">
        <v>576</v>
      </c>
      <c r="P6657" t="str">
        <f t="shared" si="833"/>
        <v>25fps 720p - SD 4CIF resolution 4:3 format (cropped)</v>
      </c>
      <c r="Q6657">
        <f t="shared" si="834"/>
        <v>37</v>
      </c>
      <c r="R6657" t="str">
        <f t="shared" si="835"/>
        <v/>
      </c>
      <c r="S6657" t="str">
        <f t="shared" si="836"/>
        <v/>
      </c>
      <c r="T6657" s="403" t="str">
        <f t="shared" si="837"/>
        <v>NTV-3503-F03L</v>
      </c>
      <c r="U6657" s="403">
        <f t="shared" si="838"/>
        <v>1</v>
      </c>
      <c r="V6657" s="403" t="str">
        <f t="shared" si="839"/>
        <v>CPP_7_3</v>
      </c>
    </row>
    <row r="6658" spans="1:22">
      <c r="A6658" t="str">
        <f t="shared" si="832"/>
        <v>NTV-3503-F03L</v>
      </c>
      <c r="B6658" s="403" t="s">
        <v>1464</v>
      </c>
      <c r="C6658" s="403" t="s">
        <v>582</v>
      </c>
      <c r="D6658" s="403" t="s">
        <v>1465</v>
      </c>
      <c r="E6658" s="403" t="s">
        <v>778</v>
      </c>
      <c r="F6658" s="403" t="s">
        <v>1372</v>
      </c>
      <c r="G6658" s="403" t="s">
        <v>1466</v>
      </c>
      <c r="H6658" s="403" t="s">
        <v>1276</v>
      </c>
      <c r="I6658" s="403">
        <v>1</v>
      </c>
      <c r="J6658" s="403" t="s">
        <v>109</v>
      </c>
      <c r="K6658" s="403">
        <v>1280</v>
      </c>
      <c r="L6658" s="403">
        <v>720</v>
      </c>
      <c r="M6658" s="403" t="s">
        <v>1284</v>
      </c>
      <c r="N6658" s="403">
        <v>640</v>
      </c>
      <c r="O6658" s="403">
        <v>480</v>
      </c>
      <c r="P6658" t="str">
        <f t="shared" si="833"/>
        <v>25fps 720p - SD VGA (cropped)</v>
      </c>
      <c r="Q6658">
        <f t="shared" si="834"/>
        <v>37</v>
      </c>
      <c r="R6658" t="str">
        <f t="shared" si="835"/>
        <v/>
      </c>
      <c r="S6658" t="str">
        <f t="shared" si="836"/>
        <v/>
      </c>
      <c r="T6658" s="403" t="str">
        <f t="shared" si="837"/>
        <v>NTV-3503-F03L</v>
      </c>
      <c r="U6658" s="403">
        <f t="shared" si="838"/>
        <v>1</v>
      </c>
      <c r="V6658" s="403" t="str">
        <f t="shared" si="839"/>
        <v>CPP_7_3</v>
      </c>
    </row>
    <row r="6659" spans="1:22">
      <c r="A6659" t="str">
        <f t="shared" si="832"/>
        <v>NTV-3503-F03L</v>
      </c>
      <c r="B6659" s="403" t="s">
        <v>1464</v>
      </c>
      <c r="C6659" s="403" t="s">
        <v>582</v>
      </c>
      <c r="D6659" s="403" t="s">
        <v>1465</v>
      </c>
      <c r="E6659" s="403" t="s">
        <v>778</v>
      </c>
      <c r="F6659" s="403" t="s">
        <v>1372</v>
      </c>
      <c r="G6659" s="403" t="s">
        <v>1466</v>
      </c>
      <c r="H6659" s="403" t="s">
        <v>1281</v>
      </c>
      <c r="I6659" s="403">
        <v>1</v>
      </c>
      <c r="J6659" s="403" t="s">
        <v>1374</v>
      </c>
      <c r="K6659" s="403">
        <v>2304</v>
      </c>
      <c r="L6659" s="403">
        <v>1296</v>
      </c>
      <c r="M6659" s="403" t="s">
        <v>111</v>
      </c>
      <c r="N6659" s="403">
        <v>768</v>
      </c>
      <c r="O6659" s="403">
        <v>432</v>
      </c>
      <c r="P6659" t="str">
        <f t="shared" si="833"/>
        <v>25fps 2304x1296 - SD</v>
      </c>
      <c r="Q6659">
        <f t="shared" si="834"/>
        <v>37</v>
      </c>
      <c r="R6659" t="str">
        <f t="shared" si="835"/>
        <v/>
      </c>
      <c r="S6659" t="str">
        <f t="shared" si="836"/>
        <v/>
      </c>
      <c r="T6659" s="403" t="str">
        <f t="shared" si="837"/>
        <v>NTV-3503-F03L</v>
      </c>
      <c r="U6659" s="403">
        <f t="shared" si="838"/>
        <v>1</v>
      </c>
      <c r="V6659" s="403" t="str">
        <f t="shared" si="839"/>
        <v>CPP_7_3</v>
      </c>
    </row>
    <row r="6660" spans="1:22">
      <c r="A6660" t="str">
        <f t="shared" si="832"/>
        <v>NTV-3503-F03L</v>
      </c>
      <c r="B6660" s="403" t="s">
        <v>1464</v>
      </c>
      <c r="C6660" s="403" t="s">
        <v>582</v>
      </c>
      <c r="D6660" s="403" t="s">
        <v>1465</v>
      </c>
      <c r="E6660" s="403" t="s">
        <v>778</v>
      </c>
      <c r="F6660" s="403" t="s">
        <v>1372</v>
      </c>
      <c r="G6660" s="403" t="s">
        <v>1466</v>
      </c>
      <c r="H6660" s="403" t="s">
        <v>1281</v>
      </c>
      <c r="I6660" s="403">
        <v>1</v>
      </c>
      <c r="J6660" s="403" t="s">
        <v>1374</v>
      </c>
      <c r="K6660" s="403">
        <v>2304</v>
      </c>
      <c r="L6660" s="403">
        <v>1296</v>
      </c>
      <c r="M6660" s="403" t="s">
        <v>1279</v>
      </c>
      <c r="N6660" s="403">
        <v>768</v>
      </c>
      <c r="O6660" s="403">
        <v>432</v>
      </c>
      <c r="P6660" t="str">
        <f t="shared" si="833"/>
        <v>25fps 2304x1296 - SD ROI PTZ</v>
      </c>
      <c r="Q6660">
        <f t="shared" si="834"/>
        <v>37</v>
      </c>
      <c r="R6660" t="str">
        <f t="shared" si="835"/>
        <v/>
      </c>
      <c r="S6660" t="str">
        <f t="shared" si="836"/>
        <v/>
      </c>
      <c r="T6660" s="403" t="str">
        <f t="shared" si="837"/>
        <v>NTV-3503-F03L</v>
      </c>
      <c r="U6660" s="403">
        <f t="shared" si="838"/>
        <v>1</v>
      </c>
      <c r="V6660" s="403" t="str">
        <f t="shared" si="839"/>
        <v>CPP_7_3</v>
      </c>
    </row>
    <row r="6661" spans="1:22">
      <c r="A6661" t="str">
        <f t="shared" si="832"/>
        <v>NTV-3503-F03L</v>
      </c>
      <c r="B6661" s="403" t="s">
        <v>1464</v>
      </c>
      <c r="C6661" s="403" t="s">
        <v>582</v>
      </c>
      <c r="D6661" s="403" t="s">
        <v>1465</v>
      </c>
      <c r="E6661" s="403" t="s">
        <v>778</v>
      </c>
      <c r="F6661" s="403" t="s">
        <v>1372</v>
      </c>
      <c r="G6661" s="403" t="s">
        <v>1466</v>
      </c>
      <c r="H6661" s="403" t="s">
        <v>1281</v>
      </c>
      <c r="I6661" s="403">
        <v>1</v>
      </c>
      <c r="J6661" s="403" t="s">
        <v>1374</v>
      </c>
      <c r="K6661" s="403">
        <v>2304</v>
      </c>
      <c r="L6661" s="403">
        <v>1296</v>
      </c>
      <c r="M6661" s="403" t="s">
        <v>1283</v>
      </c>
      <c r="N6661" s="403">
        <v>720</v>
      </c>
      <c r="O6661" s="403">
        <v>576</v>
      </c>
      <c r="P6661" t="str">
        <f t="shared" si="833"/>
        <v>25fps 2304x1296 - SD 4CIF resolution 4:3 format (cropped)</v>
      </c>
      <c r="Q6661">
        <f t="shared" si="834"/>
        <v>37</v>
      </c>
      <c r="R6661" t="str">
        <f t="shared" si="835"/>
        <v/>
      </c>
      <c r="S6661" t="str">
        <f t="shared" si="836"/>
        <v/>
      </c>
      <c r="T6661" s="403" t="str">
        <f t="shared" si="837"/>
        <v>NTV-3503-F03L</v>
      </c>
      <c r="U6661" s="403">
        <f t="shared" si="838"/>
        <v>1</v>
      </c>
      <c r="V6661" s="403" t="str">
        <f t="shared" si="839"/>
        <v>CPP_7_3</v>
      </c>
    </row>
    <row r="6662" spans="1:22">
      <c r="A6662" t="str">
        <f t="shared" si="832"/>
        <v>NTV-3503-F03L</v>
      </c>
      <c r="B6662" s="403" t="s">
        <v>1464</v>
      </c>
      <c r="C6662" s="403" t="s">
        <v>582</v>
      </c>
      <c r="D6662" s="403" t="s">
        <v>1465</v>
      </c>
      <c r="E6662" s="403" t="s">
        <v>778</v>
      </c>
      <c r="F6662" s="403" t="s">
        <v>1372</v>
      </c>
      <c r="G6662" s="403" t="s">
        <v>1466</v>
      </c>
      <c r="H6662" s="403" t="s">
        <v>1281</v>
      </c>
      <c r="I6662" s="403">
        <v>1</v>
      </c>
      <c r="J6662" s="403" t="s">
        <v>1374</v>
      </c>
      <c r="K6662" s="403">
        <v>2304</v>
      </c>
      <c r="L6662" s="403">
        <v>1296</v>
      </c>
      <c r="M6662" s="403" t="s">
        <v>1284</v>
      </c>
      <c r="N6662" s="403">
        <v>640</v>
      </c>
      <c r="O6662" s="403">
        <v>480</v>
      </c>
      <c r="P6662" t="str">
        <f t="shared" si="833"/>
        <v>25fps 2304x1296 - SD VGA (cropped)</v>
      </c>
      <c r="Q6662">
        <f t="shared" si="834"/>
        <v>37</v>
      </c>
      <c r="R6662" t="str">
        <f t="shared" si="835"/>
        <v/>
      </c>
      <c r="S6662" t="str">
        <f t="shared" si="836"/>
        <v/>
      </c>
      <c r="T6662" s="403" t="str">
        <f t="shared" si="837"/>
        <v>NTV-3503-F03L</v>
      </c>
      <c r="U6662" s="403">
        <f t="shared" si="838"/>
        <v>1</v>
      </c>
      <c r="V6662" s="403" t="str">
        <f t="shared" si="839"/>
        <v>CPP_7_3</v>
      </c>
    </row>
    <row r="6663" spans="1:22">
      <c r="A6663" t="str">
        <f t="shared" si="832"/>
        <v>NTV-3503-F03L</v>
      </c>
      <c r="B6663" s="403" t="s">
        <v>1464</v>
      </c>
      <c r="C6663" s="403" t="s">
        <v>582</v>
      </c>
      <c r="D6663" s="403" t="s">
        <v>1465</v>
      </c>
      <c r="E6663" s="403" t="s">
        <v>778</v>
      </c>
      <c r="F6663" s="403" t="s">
        <v>1372</v>
      </c>
      <c r="G6663" s="403" t="s">
        <v>1466</v>
      </c>
      <c r="H6663" s="403" t="s">
        <v>1281</v>
      </c>
      <c r="I6663" s="403">
        <v>1</v>
      </c>
      <c r="J6663" s="403" t="s">
        <v>1374</v>
      </c>
      <c r="K6663" s="403">
        <v>2304</v>
      </c>
      <c r="L6663" s="403">
        <v>1296</v>
      </c>
      <c r="M6663" s="403" t="s">
        <v>1280</v>
      </c>
      <c r="N6663" s="403">
        <v>2304</v>
      </c>
      <c r="O6663" s="403">
        <v>1296</v>
      </c>
      <c r="P6663" t="str">
        <f t="shared" si="833"/>
        <v>25fps 2304x1296 - copy other stream</v>
      </c>
      <c r="Q6663">
        <f t="shared" si="834"/>
        <v>37</v>
      </c>
      <c r="R6663" t="str">
        <f t="shared" si="835"/>
        <v/>
      </c>
      <c r="S6663" t="str">
        <f t="shared" si="836"/>
        <v/>
      </c>
      <c r="T6663" s="403" t="str">
        <f t="shared" si="837"/>
        <v>NTV-3503-F03L</v>
      </c>
      <c r="U6663" s="403">
        <f t="shared" si="838"/>
        <v>1</v>
      </c>
      <c r="V6663" s="403" t="str">
        <f t="shared" si="839"/>
        <v>CPP_7_3</v>
      </c>
    </row>
    <row r="6664" spans="1:22">
      <c r="A6664" t="str">
        <f t="shared" si="832"/>
        <v>NTV-3503-F03L</v>
      </c>
      <c r="B6664" s="403" t="s">
        <v>1464</v>
      </c>
      <c r="C6664" s="403" t="s">
        <v>582</v>
      </c>
      <c r="D6664" s="403" t="s">
        <v>1465</v>
      </c>
      <c r="E6664" s="403" t="s">
        <v>778</v>
      </c>
      <c r="F6664" s="403" t="s">
        <v>1372</v>
      </c>
      <c r="G6664" s="403" t="s">
        <v>1466</v>
      </c>
      <c r="H6664" s="403" t="s">
        <v>1281</v>
      </c>
      <c r="I6664" s="403">
        <v>1</v>
      </c>
      <c r="J6664" s="403" t="s">
        <v>110</v>
      </c>
      <c r="K6664" s="403">
        <v>1920</v>
      </c>
      <c r="L6664" s="403">
        <v>1080</v>
      </c>
      <c r="M6664" s="403" t="s">
        <v>111</v>
      </c>
      <c r="N6664" s="403">
        <v>768</v>
      </c>
      <c r="O6664" s="403">
        <v>432</v>
      </c>
      <c r="P6664" t="str">
        <f t="shared" si="833"/>
        <v>25fps 1080p - SD</v>
      </c>
      <c r="Q6664">
        <f t="shared" si="834"/>
        <v>37</v>
      </c>
      <c r="R6664" t="str">
        <f t="shared" si="835"/>
        <v/>
      </c>
      <c r="S6664" t="str">
        <f t="shared" si="836"/>
        <v/>
      </c>
      <c r="T6664" s="403" t="str">
        <f t="shared" si="837"/>
        <v>NTV-3503-F03L</v>
      </c>
      <c r="U6664" s="403">
        <f t="shared" si="838"/>
        <v>1</v>
      </c>
      <c r="V6664" s="403" t="str">
        <f t="shared" si="839"/>
        <v>CPP_7_3</v>
      </c>
    </row>
    <row r="6665" spans="1:22">
      <c r="A6665" t="str">
        <f t="shared" si="832"/>
        <v>NTV-3503-F03L</v>
      </c>
      <c r="B6665" s="403" t="s">
        <v>1464</v>
      </c>
      <c r="C6665" s="403" t="s">
        <v>582</v>
      </c>
      <c r="D6665" s="403" t="s">
        <v>1465</v>
      </c>
      <c r="E6665" s="403" t="s">
        <v>778</v>
      </c>
      <c r="F6665" s="403" t="s">
        <v>1372</v>
      </c>
      <c r="G6665" s="403" t="s">
        <v>1466</v>
      </c>
      <c r="H6665" s="403" t="s">
        <v>1281</v>
      </c>
      <c r="I6665" s="403">
        <v>1</v>
      </c>
      <c r="J6665" s="403" t="s">
        <v>110</v>
      </c>
      <c r="K6665" s="403">
        <v>1920</v>
      </c>
      <c r="L6665" s="403">
        <v>1080</v>
      </c>
      <c r="M6665" s="403" t="s">
        <v>109</v>
      </c>
      <c r="N6665" s="403">
        <v>1280</v>
      </c>
      <c r="O6665" s="403">
        <v>720</v>
      </c>
      <c r="P6665" t="str">
        <f t="shared" si="833"/>
        <v>25fps 1080p - 720p</v>
      </c>
      <c r="Q6665">
        <f t="shared" si="834"/>
        <v>37</v>
      </c>
      <c r="R6665" t="str">
        <f t="shared" si="835"/>
        <v/>
      </c>
      <c r="S6665" t="str">
        <f t="shared" si="836"/>
        <v/>
      </c>
      <c r="T6665" s="403" t="str">
        <f t="shared" si="837"/>
        <v>NTV-3503-F03L</v>
      </c>
      <c r="U6665" s="403">
        <f t="shared" si="838"/>
        <v>1</v>
      </c>
      <c r="V6665" s="403" t="str">
        <f t="shared" si="839"/>
        <v>CPP_7_3</v>
      </c>
    </row>
    <row r="6666" spans="1:22">
      <c r="A6666" t="str">
        <f t="shared" si="832"/>
        <v>NTV-3503-F03L</v>
      </c>
      <c r="B6666" s="403" t="s">
        <v>1464</v>
      </c>
      <c r="C6666" s="403" t="s">
        <v>582</v>
      </c>
      <c r="D6666" s="403" t="s">
        <v>1465</v>
      </c>
      <c r="E6666" s="403" t="s">
        <v>778</v>
      </c>
      <c r="F6666" s="403" t="s">
        <v>1372</v>
      </c>
      <c r="G6666" s="403" t="s">
        <v>1466</v>
      </c>
      <c r="H6666" s="403" t="s">
        <v>1281</v>
      </c>
      <c r="I6666" s="403">
        <v>1</v>
      </c>
      <c r="J6666" s="403" t="s">
        <v>110</v>
      </c>
      <c r="K6666" s="403">
        <v>1920</v>
      </c>
      <c r="L6666" s="403">
        <v>1080</v>
      </c>
      <c r="M6666" s="403" t="s">
        <v>1285</v>
      </c>
      <c r="N6666" s="403">
        <v>1280</v>
      </c>
      <c r="O6666" s="403">
        <v>1024</v>
      </c>
      <c r="P6666" t="str">
        <f t="shared" si="833"/>
        <v>25fps 1080p - 1280x1024 5:4 (cropped)</v>
      </c>
      <c r="Q6666">
        <f t="shared" si="834"/>
        <v>37</v>
      </c>
      <c r="R6666" t="str">
        <f t="shared" si="835"/>
        <v/>
      </c>
      <c r="S6666" t="str">
        <f t="shared" si="836"/>
        <v/>
      </c>
      <c r="T6666" s="403" t="str">
        <f t="shared" si="837"/>
        <v>NTV-3503-F03L</v>
      </c>
      <c r="U6666" s="403">
        <f t="shared" si="838"/>
        <v>1</v>
      </c>
      <c r="V6666" s="403" t="str">
        <f t="shared" si="839"/>
        <v>CPP_7_3</v>
      </c>
    </row>
    <row r="6667" spans="1:22">
      <c r="A6667" t="str">
        <f t="shared" si="832"/>
        <v>NTV-3503-F03L</v>
      </c>
      <c r="B6667" s="403" t="s">
        <v>1464</v>
      </c>
      <c r="C6667" s="403" t="s">
        <v>582</v>
      </c>
      <c r="D6667" s="403" t="s">
        <v>1465</v>
      </c>
      <c r="E6667" s="403" t="s">
        <v>778</v>
      </c>
      <c r="F6667" s="403" t="s">
        <v>1372</v>
      </c>
      <c r="G6667" s="403" t="s">
        <v>1466</v>
      </c>
      <c r="H6667" s="403" t="s">
        <v>1281</v>
      </c>
      <c r="I6667" s="403">
        <v>1</v>
      </c>
      <c r="J6667" s="403" t="s">
        <v>110</v>
      </c>
      <c r="K6667" s="403">
        <v>1920</v>
      </c>
      <c r="L6667" s="403">
        <v>1080</v>
      </c>
      <c r="M6667" s="403" t="s">
        <v>1279</v>
      </c>
      <c r="N6667" s="403">
        <v>768</v>
      </c>
      <c r="O6667" s="403">
        <v>432</v>
      </c>
      <c r="P6667" t="str">
        <f t="shared" si="833"/>
        <v>25fps 1080p - SD ROI PTZ</v>
      </c>
      <c r="Q6667">
        <f t="shared" si="834"/>
        <v>37</v>
      </c>
      <c r="R6667" t="str">
        <f t="shared" si="835"/>
        <v/>
      </c>
      <c r="S6667" t="str">
        <f t="shared" si="836"/>
        <v/>
      </c>
      <c r="T6667" s="403" t="str">
        <f t="shared" si="837"/>
        <v>NTV-3503-F03L</v>
      </c>
      <c r="U6667" s="403">
        <f t="shared" si="838"/>
        <v>1</v>
      </c>
      <c r="V6667" s="403" t="str">
        <f t="shared" si="839"/>
        <v>CPP_7_3</v>
      </c>
    </row>
    <row r="6668" spans="1:22">
      <c r="A6668" t="str">
        <f t="shared" si="832"/>
        <v>NTV-3503-F03L</v>
      </c>
      <c r="B6668" s="403" t="s">
        <v>1464</v>
      </c>
      <c r="C6668" s="403" t="s">
        <v>582</v>
      </c>
      <c r="D6668" s="403" t="s">
        <v>1465</v>
      </c>
      <c r="E6668" s="403" t="s">
        <v>778</v>
      </c>
      <c r="F6668" s="403" t="s">
        <v>1372</v>
      </c>
      <c r="G6668" s="403" t="s">
        <v>1466</v>
      </c>
      <c r="H6668" s="403" t="s">
        <v>1281</v>
      </c>
      <c r="I6668" s="403">
        <v>1</v>
      </c>
      <c r="J6668" s="403" t="s">
        <v>110</v>
      </c>
      <c r="K6668" s="403">
        <v>1920</v>
      </c>
      <c r="L6668" s="403">
        <v>1080</v>
      </c>
      <c r="M6668" s="403" t="s">
        <v>1283</v>
      </c>
      <c r="N6668" s="403">
        <v>720</v>
      </c>
      <c r="O6668" s="403">
        <v>576</v>
      </c>
      <c r="P6668" t="str">
        <f t="shared" si="833"/>
        <v>25fps 1080p - SD 4CIF resolution 4:3 format (cropped)</v>
      </c>
      <c r="Q6668">
        <f t="shared" si="834"/>
        <v>37</v>
      </c>
      <c r="R6668" t="str">
        <f t="shared" si="835"/>
        <v/>
      </c>
      <c r="S6668" t="str">
        <f t="shared" si="836"/>
        <v/>
      </c>
      <c r="T6668" s="403" t="str">
        <f t="shared" si="837"/>
        <v>NTV-3503-F03L</v>
      </c>
      <c r="U6668" s="403">
        <f t="shared" si="838"/>
        <v>1</v>
      </c>
      <c r="V6668" s="403" t="str">
        <f t="shared" si="839"/>
        <v>CPP_7_3</v>
      </c>
    </row>
    <row r="6669" spans="1:22">
      <c r="A6669" t="str">
        <f t="shared" si="832"/>
        <v>NTV-3503-F03L</v>
      </c>
      <c r="B6669" s="403" t="s">
        <v>1464</v>
      </c>
      <c r="C6669" s="403" t="s">
        <v>582</v>
      </c>
      <c r="D6669" s="403" t="s">
        <v>1465</v>
      </c>
      <c r="E6669" s="403" t="s">
        <v>778</v>
      </c>
      <c r="F6669" s="403" t="s">
        <v>1372</v>
      </c>
      <c r="G6669" s="403" t="s">
        <v>1466</v>
      </c>
      <c r="H6669" s="403" t="s">
        <v>1281</v>
      </c>
      <c r="I6669" s="403">
        <v>1</v>
      </c>
      <c r="J6669" s="403" t="s">
        <v>110</v>
      </c>
      <c r="K6669" s="403">
        <v>1920</v>
      </c>
      <c r="L6669" s="403">
        <v>1080</v>
      </c>
      <c r="M6669" s="403" t="s">
        <v>1284</v>
      </c>
      <c r="N6669" s="403">
        <v>640</v>
      </c>
      <c r="O6669" s="403">
        <v>480</v>
      </c>
      <c r="P6669" t="str">
        <f t="shared" si="833"/>
        <v>25fps 1080p - SD VGA (cropped)</v>
      </c>
      <c r="Q6669">
        <f t="shared" si="834"/>
        <v>37</v>
      </c>
      <c r="R6669" t="str">
        <f t="shared" si="835"/>
        <v/>
      </c>
      <c r="S6669" t="str">
        <f t="shared" si="836"/>
        <v/>
      </c>
      <c r="T6669" s="403" t="str">
        <f t="shared" si="837"/>
        <v>NTV-3503-F03L</v>
      </c>
      <c r="U6669" s="403">
        <f t="shared" si="838"/>
        <v>1</v>
      </c>
      <c r="V6669" s="403" t="str">
        <f t="shared" si="839"/>
        <v>CPP_7_3</v>
      </c>
    </row>
    <row r="6670" spans="1:22">
      <c r="A6670" t="str">
        <f t="shared" si="832"/>
        <v>NTV-3503-F03L</v>
      </c>
      <c r="B6670" s="403" t="s">
        <v>1464</v>
      </c>
      <c r="C6670" s="403" t="s">
        <v>582</v>
      </c>
      <c r="D6670" s="403" t="s">
        <v>1465</v>
      </c>
      <c r="E6670" s="403" t="s">
        <v>778</v>
      </c>
      <c r="F6670" s="403" t="s">
        <v>1372</v>
      </c>
      <c r="G6670" s="403" t="s">
        <v>1466</v>
      </c>
      <c r="H6670" s="403" t="s">
        <v>1281</v>
      </c>
      <c r="I6670" s="403">
        <v>1</v>
      </c>
      <c r="J6670" s="403" t="s">
        <v>109</v>
      </c>
      <c r="K6670" s="403">
        <v>1280</v>
      </c>
      <c r="L6670" s="403">
        <v>720</v>
      </c>
      <c r="M6670" s="403" t="s">
        <v>109</v>
      </c>
      <c r="N6670" s="403">
        <v>1280</v>
      </c>
      <c r="O6670" s="403">
        <v>720</v>
      </c>
      <c r="P6670" t="str">
        <f t="shared" si="833"/>
        <v>25fps 720p - 720p</v>
      </c>
      <c r="Q6670">
        <f t="shared" si="834"/>
        <v>37</v>
      </c>
      <c r="R6670" t="str">
        <f t="shared" si="835"/>
        <v/>
      </c>
      <c r="S6670" t="str">
        <f t="shared" si="836"/>
        <v/>
      </c>
      <c r="T6670" s="403" t="str">
        <f t="shared" si="837"/>
        <v>NTV-3503-F03L</v>
      </c>
      <c r="U6670" s="403">
        <f t="shared" si="838"/>
        <v>1</v>
      </c>
      <c r="V6670" s="403" t="str">
        <f t="shared" si="839"/>
        <v>CPP_7_3</v>
      </c>
    </row>
    <row r="6671" spans="1:22">
      <c r="A6671" t="str">
        <f t="shared" si="832"/>
        <v>NTV-3503-F03L</v>
      </c>
      <c r="B6671" s="403" t="s">
        <v>1464</v>
      </c>
      <c r="C6671" s="403" t="s">
        <v>582</v>
      </c>
      <c r="D6671" s="403" t="s">
        <v>1465</v>
      </c>
      <c r="E6671" s="403" t="s">
        <v>778</v>
      </c>
      <c r="F6671" s="403" t="s">
        <v>1372</v>
      </c>
      <c r="G6671" s="403" t="s">
        <v>1466</v>
      </c>
      <c r="H6671" s="403" t="s">
        <v>1281</v>
      </c>
      <c r="I6671" s="403">
        <v>1</v>
      </c>
      <c r="J6671" s="403" t="s">
        <v>109</v>
      </c>
      <c r="K6671" s="403">
        <v>1280</v>
      </c>
      <c r="L6671" s="403">
        <v>720</v>
      </c>
      <c r="M6671" s="403" t="s">
        <v>111</v>
      </c>
      <c r="N6671" s="403">
        <v>768</v>
      </c>
      <c r="O6671" s="403">
        <v>432</v>
      </c>
      <c r="P6671" t="str">
        <f t="shared" si="833"/>
        <v>25fps 720p - SD</v>
      </c>
      <c r="Q6671">
        <f t="shared" si="834"/>
        <v>37</v>
      </c>
      <c r="R6671" t="str">
        <f t="shared" si="835"/>
        <v/>
      </c>
      <c r="S6671" t="str">
        <f t="shared" si="836"/>
        <v/>
      </c>
      <c r="T6671" s="403" t="str">
        <f t="shared" si="837"/>
        <v>NTV-3503-F03L</v>
      </c>
      <c r="U6671" s="403">
        <f t="shared" si="838"/>
        <v>1</v>
      </c>
      <c r="V6671" s="403" t="str">
        <f t="shared" si="839"/>
        <v>CPP_7_3</v>
      </c>
    </row>
    <row r="6672" spans="1:22">
      <c r="A6672" t="str">
        <f t="shared" si="832"/>
        <v>NTV-3503-F03L</v>
      </c>
      <c r="B6672" s="403" t="s">
        <v>1464</v>
      </c>
      <c r="C6672" s="403" t="s">
        <v>582</v>
      </c>
      <c r="D6672" s="403" t="s">
        <v>1465</v>
      </c>
      <c r="E6672" s="403" t="s">
        <v>778</v>
      </c>
      <c r="F6672" s="403" t="s">
        <v>1372</v>
      </c>
      <c r="G6672" s="403" t="s">
        <v>1466</v>
      </c>
      <c r="H6672" s="403" t="s">
        <v>1281</v>
      </c>
      <c r="I6672" s="403">
        <v>1</v>
      </c>
      <c r="J6672" s="403" t="s">
        <v>109</v>
      </c>
      <c r="K6672" s="403">
        <v>1280</v>
      </c>
      <c r="L6672" s="403">
        <v>720</v>
      </c>
      <c r="M6672" s="403" t="s">
        <v>1279</v>
      </c>
      <c r="N6672" s="403">
        <v>768</v>
      </c>
      <c r="O6672" s="403">
        <v>432</v>
      </c>
      <c r="P6672" t="str">
        <f t="shared" si="833"/>
        <v>25fps 720p - SD ROI PTZ</v>
      </c>
      <c r="Q6672">
        <f t="shared" si="834"/>
        <v>37</v>
      </c>
      <c r="R6672" t="str">
        <f t="shared" si="835"/>
        <v/>
      </c>
      <c r="S6672" t="str">
        <f t="shared" si="836"/>
        <v/>
      </c>
      <c r="T6672" s="403" t="str">
        <f t="shared" si="837"/>
        <v>NTV-3503-F03L</v>
      </c>
      <c r="U6672" s="403">
        <f t="shared" si="838"/>
        <v>1</v>
      </c>
      <c r="V6672" s="403" t="str">
        <f t="shared" si="839"/>
        <v>CPP_7_3</v>
      </c>
    </row>
    <row r="6673" spans="1:22">
      <c r="A6673" t="str">
        <f t="shared" si="832"/>
        <v>NTV-3503-F03L</v>
      </c>
      <c r="B6673" s="403" t="s">
        <v>1464</v>
      </c>
      <c r="C6673" s="403" t="s">
        <v>582</v>
      </c>
      <c r="D6673" s="403" t="s">
        <v>1465</v>
      </c>
      <c r="E6673" s="403" t="s">
        <v>778</v>
      </c>
      <c r="F6673" s="403" t="s">
        <v>1372</v>
      </c>
      <c r="G6673" s="403" t="s">
        <v>1466</v>
      </c>
      <c r="H6673" s="403" t="s">
        <v>1281</v>
      </c>
      <c r="I6673" s="403">
        <v>1</v>
      </c>
      <c r="J6673" s="403" t="s">
        <v>109</v>
      </c>
      <c r="K6673" s="403">
        <v>1280</v>
      </c>
      <c r="L6673" s="403">
        <v>720</v>
      </c>
      <c r="M6673" s="403" t="s">
        <v>1283</v>
      </c>
      <c r="N6673" s="403">
        <v>720</v>
      </c>
      <c r="O6673" s="403">
        <v>576</v>
      </c>
      <c r="P6673" t="str">
        <f t="shared" si="833"/>
        <v>25fps 720p - SD 4CIF resolution 4:3 format (cropped)</v>
      </c>
      <c r="Q6673">
        <f t="shared" si="834"/>
        <v>37</v>
      </c>
      <c r="R6673" t="str">
        <f t="shared" si="835"/>
        <v/>
      </c>
      <c r="S6673" t="str">
        <f t="shared" si="836"/>
        <v/>
      </c>
      <c r="T6673" s="403" t="str">
        <f t="shared" si="837"/>
        <v>NTV-3503-F03L</v>
      </c>
      <c r="U6673" s="403">
        <f t="shared" si="838"/>
        <v>1</v>
      </c>
      <c r="V6673" s="403" t="str">
        <f t="shared" si="839"/>
        <v>CPP_7_3</v>
      </c>
    </row>
    <row r="6674" spans="1:22">
      <c r="A6674" t="str">
        <f t="shared" si="832"/>
        <v>NTV-3503-F03L</v>
      </c>
      <c r="B6674" s="403" t="s">
        <v>1464</v>
      </c>
      <c r="C6674" s="403" t="s">
        <v>582</v>
      </c>
      <c r="D6674" s="403" t="s">
        <v>1465</v>
      </c>
      <c r="E6674" s="403" t="s">
        <v>778</v>
      </c>
      <c r="F6674" s="403" t="s">
        <v>1372</v>
      </c>
      <c r="G6674" s="403" t="s">
        <v>1466</v>
      </c>
      <c r="H6674" s="403" t="s">
        <v>1281</v>
      </c>
      <c r="I6674" s="403">
        <v>1</v>
      </c>
      <c r="J6674" s="403" t="s">
        <v>109</v>
      </c>
      <c r="K6674" s="403">
        <v>1280</v>
      </c>
      <c r="L6674" s="403">
        <v>720</v>
      </c>
      <c r="M6674" s="403" t="s">
        <v>1284</v>
      </c>
      <c r="N6674" s="403">
        <v>640</v>
      </c>
      <c r="O6674" s="403">
        <v>480</v>
      </c>
      <c r="P6674" t="str">
        <f t="shared" si="833"/>
        <v>25fps 720p - SD VGA (cropped)</v>
      </c>
      <c r="Q6674">
        <f t="shared" si="834"/>
        <v>37</v>
      </c>
      <c r="R6674" t="str">
        <f t="shared" si="835"/>
        <v/>
      </c>
      <c r="S6674" t="str">
        <f t="shared" si="836"/>
        <v/>
      </c>
      <c r="T6674" s="403" t="str">
        <f t="shared" si="837"/>
        <v>NTV-3503-F03L</v>
      </c>
      <c r="U6674" s="403">
        <f t="shared" si="838"/>
        <v>1</v>
      </c>
      <c r="V6674" s="403" t="str">
        <f t="shared" si="839"/>
        <v>CPP_7_3</v>
      </c>
    </row>
    <row r="6675" spans="1:22">
      <c r="A6675" t="str">
        <f t="shared" si="832"/>
        <v>NTV-3503-F03L</v>
      </c>
      <c r="B6675" s="403" t="s">
        <v>1464</v>
      </c>
      <c r="C6675" s="403" t="s">
        <v>582</v>
      </c>
      <c r="D6675" s="403" t="s">
        <v>1465</v>
      </c>
      <c r="E6675" s="403" t="s">
        <v>778</v>
      </c>
      <c r="F6675" s="403" t="s">
        <v>1372</v>
      </c>
      <c r="G6675" s="403" t="s">
        <v>1467</v>
      </c>
      <c r="H6675" s="403" t="s">
        <v>1276</v>
      </c>
      <c r="I6675" s="403">
        <v>1</v>
      </c>
      <c r="J6675" s="403" t="s">
        <v>1374</v>
      </c>
      <c r="K6675" s="403">
        <v>1296</v>
      </c>
      <c r="L6675" s="403">
        <v>2304</v>
      </c>
      <c r="M6675" s="403" t="s">
        <v>111</v>
      </c>
      <c r="N6675" s="403">
        <v>432</v>
      </c>
      <c r="O6675" s="403">
        <v>768</v>
      </c>
      <c r="P6675" t="str">
        <f t="shared" si="833"/>
        <v>25fps 2304x1296 - SD</v>
      </c>
      <c r="Q6675">
        <f t="shared" si="834"/>
        <v>37</v>
      </c>
      <c r="R6675" t="str">
        <f t="shared" si="835"/>
        <v/>
      </c>
      <c r="S6675" t="str">
        <f t="shared" si="836"/>
        <v/>
      </c>
      <c r="T6675" s="403" t="str">
        <f t="shared" si="837"/>
        <v>NTV-3503-F03L</v>
      </c>
      <c r="U6675" s="403">
        <f t="shared" si="838"/>
        <v>1</v>
      </c>
      <c r="V6675" s="403" t="str">
        <f t="shared" si="839"/>
        <v>CPP_7_3</v>
      </c>
    </row>
    <row r="6676" spans="1:22">
      <c r="A6676" t="str">
        <f t="shared" si="832"/>
        <v>NTV-3503-F03L</v>
      </c>
      <c r="B6676" s="403" t="s">
        <v>1464</v>
      </c>
      <c r="C6676" s="403" t="s">
        <v>582</v>
      </c>
      <c r="D6676" s="403" t="s">
        <v>1465</v>
      </c>
      <c r="E6676" s="403" t="s">
        <v>778</v>
      </c>
      <c r="F6676" s="403" t="s">
        <v>1372</v>
      </c>
      <c r="G6676" s="403" t="s">
        <v>1467</v>
      </c>
      <c r="H6676" s="403" t="s">
        <v>1276</v>
      </c>
      <c r="I6676" s="403">
        <v>1</v>
      </c>
      <c r="J6676" s="403" t="s">
        <v>1374</v>
      </c>
      <c r="K6676" s="403">
        <v>1296</v>
      </c>
      <c r="L6676" s="403">
        <v>2304</v>
      </c>
      <c r="M6676" s="403" t="s">
        <v>1279</v>
      </c>
      <c r="N6676" s="403">
        <v>432</v>
      </c>
      <c r="O6676" s="403">
        <v>768</v>
      </c>
      <c r="P6676" t="str">
        <f t="shared" si="833"/>
        <v>25fps 2304x1296 - SD ROI PTZ</v>
      </c>
      <c r="Q6676">
        <f t="shared" si="834"/>
        <v>37</v>
      </c>
      <c r="R6676" t="str">
        <f t="shared" si="835"/>
        <v/>
      </c>
      <c r="S6676" t="str">
        <f t="shared" si="836"/>
        <v/>
      </c>
      <c r="T6676" s="403" t="str">
        <f t="shared" si="837"/>
        <v>NTV-3503-F03L</v>
      </c>
      <c r="U6676" s="403">
        <f t="shared" si="838"/>
        <v>1</v>
      </c>
      <c r="V6676" s="403" t="str">
        <f t="shared" si="839"/>
        <v>CPP_7_3</v>
      </c>
    </row>
    <row r="6677" spans="1:22">
      <c r="A6677" t="str">
        <f t="shared" si="832"/>
        <v>NTV-3503-F03L</v>
      </c>
      <c r="B6677" s="403" t="s">
        <v>1464</v>
      </c>
      <c r="C6677" s="403" t="s">
        <v>582</v>
      </c>
      <c r="D6677" s="403" t="s">
        <v>1465</v>
      </c>
      <c r="E6677" s="403" t="s">
        <v>778</v>
      </c>
      <c r="F6677" s="403" t="s">
        <v>1372</v>
      </c>
      <c r="G6677" s="403" t="s">
        <v>1467</v>
      </c>
      <c r="H6677" s="403" t="s">
        <v>1276</v>
      </c>
      <c r="I6677" s="403">
        <v>1</v>
      </c>
      <c r="J6677" s="403" t="s">
        <v>1374</v>
      </c>
      <c r="K6677" s="403">
        <v>1296</v>
      </c>
      <c r="L6677" s="403">
        <v>2304</v>
      </c>
      <c r="M6677" s="403" t="s">
        <v>1283</v>
      </c>
      <c r="N6677" s="403">
        <v>576</v>
      </c>
      <c r="O6677" s="403">
        <v>720</v>
      </c>
      <c r="P6677" t="str">
        <f t="shared" si="833"/>
        <v>25fps 2304x1296 - SD 4CIF resolution 4:3 format (cropped)</v>
      </c>
      <c r="Q6677">
        <f t="shared" si="834"/>
        <v>37</v>
      </c>
      <c r="R6677" t="str">
        <f t="shared" si="835"/>
        <v/>
      </c>
      <c r="S6677" t="str">
        <f t="shared" si="836"/>
        <v/>
      </c>
      <c r="T6677" s="403" t="str">
        <f t="shared" si="837"/>
        <v>NTV-3503-F03L</v>
      </c>
      <c r="U6677" s="403">
        <f t="shared" si="838"/>
        <v>1</v>
      </c>
      <c r="V6677" s="403" t="str">
        <f t="shared" si="839"/>
        <v>CPP_7_3</v>
      </c>
    </row>
    <row r="6678" spans="1:22">
      <c r="A6678" t="str">
        <f t="shared" si="832"/>
        <v>NTV-3503-F03L</v>
      </c>
      <c r="B6678" s="403" t="s">
        <v>1464</v>
      </c>
      <c r="C6678" s="403" t="s">
        <v>582</v>
      </c>
      <c r="D6678" s="403" t="s">
        <v>1465</v>
      </c>
      <c r="E6678" s="403" t="s">
        <v>778</v>
      </c>
      <c r="F6678" s="403" t="s">
        <v>1372</v>
      </c>
      <c r="G6678" s="403" t="s">
        <v>1467</v>
      </c>
      <c r="H6678" s="403" t="s">
        <v>1276</v>
      </c>
      <c r="I6678" s="403">
        <v>1</v>
      </c>
      <c r="J6678" s="403" t="s">
        <v>1374</v>
      </c>
      <c r="K6678" s="403">
        <v>1296</v>
      </c>
      <c r="L6678" s="403">
        <v>2304</v>
      </c>
      <c r="M6678" s="403" t="s">
        <v>1284</v>
      </c>
      <c r="N6678" s="403">
        <v>480</v>
      </c>
      <c r="O6678" s="403">
        <v>640</v>
      </c>
      <c r="P6678" t="str">
        <f t="shared" si="833"/>
        <v>25fps 2304x1296 - SD VGA (cropped)</v>
      </c>
      <c r="Q6678">
        <f t="shared" si="834"/>
        <v>37</v>
      </c>
      <c r="R6678" t="str">
        <f t="shared" si="835"/>
        <v/>
      </c>
      <c r="S6678" t="str">
        <f t="shared" si="836"/>
        <v/>
      </c>
      <c r="T6678" s="403" t="str">
        <f t="shared" si="837"/>
        <v>NTV-3503-F03L</v>
      </c>
      <c r="U6678" s="403">
        <f t="shared" si="838"/>
        <v>1</v>
      </c>
      <c r="V6678" s="403" t="str">
        <f t="shared" si="839"/>
        <v>CPP_7_3</v>
      </c>
    </row>
    <row r="6679" spans="1:22">
      <c r="A6679" t="str">
        <f t="shared" si="832"/>
        <v>NTV-3503-F03L</v>
      </c>
      <c r="B6679" s="403" t="s">
        <v>1464</v>
      </c>
      <c r="C6679" s="403" t="s">
        <v>582</v>
      </c>
      <c r="D6679" s="403" t="s">
        <v>1465</v>
      </c>
      <c r="E6679" s="403" t="s">
        <v>778</v>
      </c>
      <c r="F6679" s="403" t="s">
        <v>1372</v>
      </c>
      <c r="G6679" s="403" t="s">
        <v>1467</v>
      </c>
      <c r="H6679" s="403" t="s">
        <v>1276</v>
      </c>
      <c r="I6679" s="403">
        <v>1</v>
      </c>
      <c r="J6679" s="403" t="s">
        <v>1374</v>
      </c>
      <c r="K6679" s="403">
        <v>1296</v>
      </c>
      <c r="L6679" s="403">
        <v>2304</v>
      </c>
      <c r="M6679" s="403" t="s">
        <v>1280</v>
      </c>
      <c r="N6679" s="403">
        <v>1296</v>
      </c>
      <c r="O6679" s="403">
        <v>2304</v>
      </c>
      <c r="P6679" t="str">
        <f t="shared" si="833"/>
        <v>25fps 2304x1296 - copy other stream</v>
      </c>
      <c r="Q6679">
        <f t="shared" si="834"/>
        <v>37</v>
      </c>
      <c r="R6679" t="str">
        <f t="shared" si="835"/>
        <v/>
      </c>
      <c r="S6679" t="str">
        <f t="shared" si="836"/>
        <v/>
      </c>
      <c r="T6679" s="403" t="str">
        <f t="shared" si="837"/>
        <v>NTV-3503-F03L</v>
      </c>
      <c r="U6679" s="403">
        <f t="shared" si="838"/>
        <v>1</v>
      </c>
      <c r="V6679" s="403" t="str">
        <f t="shared" si="839"/>
        <v>CPP_7_3</v>
      </c>
    </row>
    <row r="6680" spans="1:22">
      <c r="A6680" t="str">
        <f t="shared" si="832"/>
        <v>NTV-3503-F03L</v>
      </c>
      <c r="B6680" s="403" t="s">
        <v>1464</v>
      </c>
      <c r="C6680" s="403" t="s">
        <v>582</v>
      </c>
      <c r="D6680" s="403" t="s">
        <v>1465</v>
      </c>
      <c r="E6680" s="403" t="s">
        <v>778</v>
      </c>
      <c r="F6680" s="403" t="s">
        <v>1372</v>
      </c>
      <c r="G6680" s="403" t="s">
        <v>1467</v>
      </c>
      <c r="H6680" s="403" t="s">
        <v>1276</v>
      </c>
      <c r="I6680" s="403">
        <v>1</v>
      </c>
      <c r="J6680" s="403" t="s">
        <v>110</v>
      </c>
      <c r="K6680" s="403">
        <v>1080</v>
      </c>
      <c r="L6680" s="403">
        <v>1920</v>
      </c>
      <c r="M6680" s="403" t="s">
        <v>111</v>
      </c>
      <c r="N6680" s="403">
        <v>432</v>
      </c>
      <c r="O6680" s="403">
        <v>768</v>
      </c>
      <c r="P6680" t="str">
        <f t="shared" si="833"/>
        <v>25fps 1080p - SD</v>
      </c>
      <c r="Q6680">
        <f t="shared" si="834"/>
        <v>37</v>
      </c>
      <c r="R6680" t="str">
        <f t="shared" si="835"/>
        <v/>
      </c>
      <c r="S6680" t="str">
        <f t="shared" si="836"/>
        <v/>
      </c>
      <c r="T6680" s="403" t="str">
        <f t="shared" si="837"/>
        <v>NTV-3503-F03L</v>
      </c>
      <c r="U6680" s="403">
        <f t="shared" si="838"/>
        <v>1</v>
      </c>
      <c r="V6680" s="403" t="str">
        <f t="shared" si="839"/>
        <v>CPP_7_3</v>
      </c>
    </row>
    <row r="6681" spans="1:22">
      <c r="A6681" t="str">
        <f t="shared" si="832"/>
        <v>NTV-3503-F03L</v>
      </c>
      <c r="B6681" s="403" t="s">
        <v>1464</v>
      </c>
      <c r="C6681" s="403" t="s">
        <v>582</v>
      </c>
      <c r="D6681" s="403" t="s">
        <v>1465</v>
      </c>
      <c r="E6681" s="403" t="s">
        <v>778</v>
      </c>
      <c r="F6681" s="403" t="s">
        <v>1372</v>
      </c>
      <c r="G6681" s="403" t="s">
        <v>1467</v>
      </c>
      <c r="H6681" s="403" t="s">
        <v>1276</v>
      </c>
      <c r="I6681" s="403">
        <v>1</v>
      </c>
      <c r="J6681" s="403" t="s">
        <v>110</v>
      </c>
      <c r="K6681" s="403">
        <v>1080</v>
      </c>
      <c r="L6681" s="403">
        <v>1920</v>
      </c>
      <c r="M6681" s="403" t="s">
        <v>109</v>
      </c>
      <c r="N6681" s="403">
        <v>720</v>
      </c>
      <c r="O6681" s="403">
        <v>1280</v>
      </c>
      <c r="P6681" t="str">
        <f t="shared" si="833"/>
        <v>25fps 1080p - 720p</v>
      </c>
      <c r="Q6681">
        <f t="shared" si="834"/>
        <v>37</v>
      </c>
      <c r="R6681" t="str">
        <f t="shared" si="835"/>
        <v/>
      </c>
      <c r="S6681" t="str">
        <f t="shared" si="836"/>
        <v/>
      </c>
      <c r="T6681" s="403" t="str">
        <f t="shared" si="837"/>
        <v>NTV-3503-F03L</v>
      </c>
      <c r="U6681" s="403">
        <f t="shared" si="838"/>
        <v>1</v>
      </c>
      <c r="V6681" s="403" t="str">
        <f t="shared" si="839"/>
        <v>CPP_7_3</v>
      </c>
    </row>
    <row r="6682" spans="1:22">
      <c r="A6682" t="str">
        <f t="shared" si="832"/>
        <v>NTV-3503-F03L</v>
      </c>
      <c r="B6682" s="403" t="s">
        <v>1464</v>
      </c>
      <c r="C6682" s="403" t="s">
        <v>582</v>
      </c>
      <c r="D6682" s="403" t="s">
        <v>1465</v>
      </c>
      <c r="E6682" s="403" t="s">
        <v>778</v>
      </c>
      <c r="F6682" s="403" t="s">
        <v>1372</v>
      </c>
      <c r="G6682" s="403" t="s">
        <v>1467</v>
      </c>
      <c r="H6682" s="403" t="s">
        <v>1276</v>
      </c>
      <c r="I6682" s="403">
        <v>1</v>
      </c>
      <c r="J6682" s="403" t="s">
        <v>110</v>
      </c>
      <c r="K6682" s="403">
        <v>1080</v>
      </c>
      <c r="L6682" s="403">
        <v>1920</v>
      </c>
      <c r="M6682" s="403" t="s">
        <v>1285</v>
      </c>
      <c r="N6682" s="403">
        <v>1024</v>
      </c>
      <c r="O6682" s="403">
        <v>1280</v>
      </c>
      <c r="P6682" t="str">
        <f t="shared" si="833"/>
        <v>25fps 1080p - 1280x1024 5:4 (cropped)</v>
      </c>
      <c r="Q6682">
        <f t="shared" si="834"/>
        <v>37</v>
      </c>
      <c r="R6682" t="str">
        <f t="shared" si="835"/>
        <v/>
      </c>
      <c r="S6682" t="str">
        <f t="shared" si="836"/>
        <v/>
      </c>
      <c r="T6682" s="403" t="str">
        <f t="shared" si="837"/>
        <v>NTV-3503-F03L</v>
      </c>
      <c r="U6682" s="403">
        <f t="shared" si="838"/>
        <v>1</v>
      </c>
      <c r="V6682" s="403" t="str">
        <f t="shared" si="839"/>
        <v>CPP_7_3</v>
      </c>
    </row>
    <row r="6683" spans="1:22">
      <c r="A6683" t="str">
        <f t="shared" si="832"/>
        <v>NTV-3503-F03L</v>
      </c>
      <c r="B6683" s="403" t="s">
        <v>1464</v>
      </c>
      <c r="C6683" s="403" t="s">
        <v>582</v>
      </c>
      <c r="D6683" s="403" t="s">
        <v>1465</v>
      </c>
      <c r="E6683" s="403" t="s">
        <v>778</v>
      </c>
      <c r="F6683" s="403" t="s">
        <v>1372</v>
      </c>
      <c r="G6683" s="403" t="s">
        <v>1467</v>
      </c>
      <c r="H6683" s="403" t="s">
        <v>1276</v>
      </c>
      <c r="I6683" s="403">
        <v>1</v>
      </c>
      <c r="J6683" s="403" t="s">
        <v>110</v>
      </c>
      <c r="K6683" s="403">
        <v>1080</v>
      </c>
      <c r="L6683" s="403">
        <v>1920</v>
      </c>
      <c r="M6683" s="403" t="s">
        <v>1279</v>
      </c>
      <c r="N6683" s="403">
        <v>432</v>
      </c>
      <c r="O6683" s="403">
        <v>768</v>
      </c>
      <c r="P6683" t="str">
        <f t="shared" si="833"/>
        <v>25fps 1080p - SD ROI PTZ</v>
      </c>
      <c r="Q6683">
        <f t="shared" si="834"/>
        <v>37</v>
      </c>
      <c r="R6683" t="str">
        <f t="shared" si="835"/>
        <v/>
      </c>
      <c r="S6683" t="str">
        <f t="shared" si="836"/>
        <v/>
      </c>
      <c r="T6683" s="403" t="str">
        <f t="shared" si="837"/>
        <v>NTV-3503-F03L</v>
      </c>
      <c r="U6683" s="403">
        <f t="shared" si="838"/>
        <v>1</v>
      </c>
      <c r="V6683" s="403" t="str">
        <f t="shared" si="839"/>
        <v>CPP_7_3</v>
      </c>
    </row>
    <row r="6684" spans="1:22">
      <c r="A6684" t="str">
        <f t="shared" si="832"/>
        <v>NTV-3503-F03L</v>
      </c>
      <c r="B6684" s="403" t="s">
        <v>1464</v>
      </c>
      <c r="C6684" s="403" t="s">
        <v>582</v>
      </c>
      <c r="D6684" s="403" t="s">
        <v>1465</v>
      </c>
      <c r="E6684" s="403" t="s">
        <v>778</v>
      </c>
      <c r="F6684" s="403" t="s">
        <v>1372</v>
      </c>
      <c r="G6684" s="403" t="s">
        <v>1467</v>
      </c>
      <c r="H6684" s="403" t="s">
        <v>1276</v>
      </c>
      <c r="I6684" s="403">
        <v>1</v>
      </c>
      <c r="J6684" s="403" t="s">
        <v>110</v>
      </c>
      <c r="K6684" s="403">
        <v>1080</v>
      </c>
      <c r="L6684" s="403">
        <v>1920</v>
      </c>
      <c r="M6684" s="403" t="s">
        <v>1283</v>
      </c>
      <c r="N6684" s="403">
        <v>576</v>
      </c>
      <c r="O6684" s="403">
        <v>720</v>
      </c>
      <c r="P6684" t="str">
        <f t="shared" si="833"/>
        <v>25fps 1080p - SD 4CIF resolution 4:3 format (cropped)</v>
      </c>
      <c r="Q6684">
        <f t="shared" si="834"/>
        <v>37</v>
      </c>
      <c r="R6684" t="str">
        <f t="shared" si="835"/>
        <v/>
      </c>
      <c r="S6684" t="str">
        <f t="shared" si="836"/>
        <v/>
      </c>
      <c r="T6684" s="403" t="str">
        <f t="shared" si="837"/>
        <v>NTV-3503-F03L</v>
      </c>
      <c r="U6684" s="403">
        <f t="shared" si="838"/>
        <v>1</v>
      </c>
      <c r="V6684" s="403" t="str">
        <f t="shared" si="839"/>
        <v>CPP_7_3</v>
      </c>
    </row>
    <row r="6685" spans="1:22">
      <c r="A6685" t="str">
        <f t="shared" si="832"/>
        <v>NTV-3503-F03L</v>
      </c>
      <c r="B6685" s="403" t="s">
        <v>1464</v>
      </c>
      <c r="C6685" s="403" t="s">
        <v>582</v>
      </c>
      <c r="D6685" s="403" t="s">
        <v>1465</v>
      </c>
      <c r="E6685" s="403" t="s">
        <v>778</v>
      </c>
      <c r="F6685" s="403" t="s">
        <v>1372</v>
      </c>
      <c r="G6685" s="403" t="s">
        <v>1467</v>
      </c>
      <c r="H6685" s="403" t="s">
        <v>1276</v>
      </c>
      <c r="I6685" s="403">
        <v>1</v>
      </c>
      <c r="J6685" s="403" t="s">
        <v>110</v>
      </c>
      <c r="K6685" s="403">
        <v>1080</v>
      </c>
      <c r="L6685" s="403">
        <v>1920</v>
      </c>
      <c r="M6685" s="403" t="s">
        <v>1284</v>
      </c>
      <c r="N6685" s="403">
        <v>480</v>
      </c>
      <c r="O6685" s="403">
        <v>640</v>
      </c>
      <c r="P6685" t="str">
        <f t="shared" si="833"/>
        <v>25fps 1080p - SD VGA (cropped)</v>
      </c>
      <c r="Q6685">
        <f t="shared" si="834"/>
        <v>37</v>
      </c>
      <c r="R6685" t="str">
        <f t="shared" si="835"/>
        <v/>
      </c>
      <c r="S6685" t="str">
        <f t="shared" si="836"/>
        <v/>
      </c>
      <c r="T6685" s="403" t="str">
        <f t="shared" si="837"/>
        <v>NTV-3503-F03L</v>
      </c>
      <c r="U6685" s="403">
        <f t="shared" si="838"/>
        <v>1</v>
      </c>
      <c r="V6685" s="403" t="str">
        <f t="shared" si="839"/>
        <v>CPP_7_3</v>
      </c>
    </row>
    <row r="6686" spans="1:22">
      <c r="A6686" t="str">
        <f t="shared" si="832"/>
        <v>NTV-3503-F03L</v>
      </c>
      <c r="B6686" s="403" t="s">
        <v>1464</v>
      </c>
      <c r="C6686" s="403" t="s">
        <v>582</v>
      </c>
      <c r="D6686" s="403" t="s">
        <v>1465</v>
      </c>
      <c r="E6686" s="403" t="s">
        <v>778</v>
      </c>
      <c r="F6686" s="403" t="s">
        <v>1372</v>
      </c>
      <c r="G6686" s="403" t="s">
        <v>1467</v>
      </c>
      <c r="H6686" s="403" t="s">
        <v>1276</v>
      </c>
      <c r="I6686" s="403">
        <v>1</v>
      </c>
      <c r="J6686" s="403" t="s">
        <v>109</v>
      </c>
      <c r="K6686" s="403">
        <v>720</v>
      </c>
      <c r="L6686" s="403">
        <v>1280</v>
      </c>
      <c r="M6686" s="403" t="s">
        <v>109</v>
      </c>
      <c r="N6686" s="403">
        <v>720</v>
      </c>
      <c r="O6686" s="403">
        <v>1280</v>
      </c>
      <c r="P6686" t="str">
        <f t="shared" si="833"/>
        <v>25fps 720p - 720p</v>
      </c>
      <c r="Q6686">
        <f t="shared" si="834"/>
        <v>37</v>
      </c>
      <c r="R6686" t="str">
        <f t="shared" si="835"/>
        <v/>
      </c>
      <c r="S6686" t="str">
        <f t="shared" si="836"/>
        <v/>
      </c>
      <c r="T6686" s="403" t="str">
        <f t="shared" si="837"/>
        <v>NTV-3503-F03L</v>
      </c>
      <c r="U6686" s="403">
        <f t="shared" si="838"/>
        <v>1</v>
      </c>
      <c r="V6686" s="403" t="str">
        <f t="shared" si="839"/>
        <v>CPP_7_3</v>
      </c>
    </row>
    <row r="6687" spans="1:22">
      <c r="A6687" t="str">
        <f t="shared" si="832"/>
        <v>NTV-3503-F03L</v>
      </c>
      <c r="B6687" s="403" t="s">
        <v>1464</v>
      </c>
      <c r="C6687" s="403" t="s">
        <v>582</v>
      </c>
      <c r="D6687" s="403" t="s">
        <v>1465</v>
      </c>
      <c r="E6687" s="403" t="s">
        <v>778</v>
      </c>
      <c r="F6687" s="403" t="s">
        <v>1372</v>
      </c>
      <c r="G6687" s="403" t="s">
        <v>1467</v>
      </c>
      <c r="H6687" s="403" t="s">
        <v>1276</v>
      </c>
      <c r="I6687" s="403">
        <v>1</v>
      </c>
      <c r="J6687" s="403" t="s">
        <v>109</v>
      </c>
      <c r="K6687" s="403">
        <v>720</v>
      </c>
      <c r="L6687" s="403">
        <v>1280</v>
      </c>
      <c r="M6687" s="403" t="s">
        <v>111</v>
      </c>
      <c r="N6687" s="403">
        <v>432</v>
      </c>
      <c r="O6687" s="403">
        <v>768</v>
      </c>
      <c r="P6687" t="str">
        <f t="shared" si="833"/>
        <v>25fps 720p - SD</v>
      </c>
      <c r="Q6687">
        <f t="shared" si="834"/>
        <v>37</v>
      </c>
      <c r="R6687" t="str">
        <f t="shared" si="835"/>
        <v/>
      </c>
      <c r="S6687" t="str">
        <f t="shared" si="836"/>
        <v/>
      </c>
      <c r="T6687" s="403" t="str">
        <f t="shared" si="837"/>
        <v>NTV-3503-F03L</v>
      </c>
      <c r="U6687" s="403">
        <f t="shared" si="838"/>
        <v>1</v>
      </c>
      <c r="V6687" s="403" t="str">
        <f t="shared" si="839"/>
        <v>CPP_7_3</v>
      </c>
    </row>
    <row r="6688" spans="1:22">
      <c r="A6688" t="str">
        <f t="shared" si="832"/>
        <v>NTV-3503-F03L</v>
      </c>
      <c r="B6688" s="403" t="s">
        <v>1464</v>
      </c>
      <c r="C6688" s="403" t="s">
        <v>582</v>
      </c>
      <c r="D6688" s="403" t="s">
        <v>1465</v>
      </c>
      <c r="E6688" s="403" t="s">
        <v>778</v>
      </c>
      <c r="F6688" s="403" t="s">
        <v>1372</v>
      </c>
      <c r="G6688" s="403" t="s">
        <v>1467</v>
      </c>
      <c r="H6688" s="403" t="s">
        <v>1276</v>
      </c>
      <c r="I6688" s="403">
        <v>1</v>
      </c>
      <c r="J6688" s="403" t="s">
        <v>109</v>
      </c>
      <c r="K6688" s="403">
        <v>720</v>
      </c>
      <c r="L6688" s="403">
        <v>1280</v>
      </c>
      <c r="M6688" s="403" t="s">
        <v>1279</v>
      </c>
      <c r="N6688" s="403">
        <v>432</v>
      </c>
      <c r="O6688" s="403">
        <v>768</v>
      </c>
      <c r="P6688" t="str">
        <f t="shared" si="833"/>
        <v>25fps 720p - SD ROI PTZ</v>
      </c>
      <c r="Q6688">
        <f t="shared" si="834"/>
        <v>37</v>
      </c>
      <c r="R6688" t="str">
        <f t="shared" si="835"/>
        <v/>
      </c>
      <c r="S6688" t="str">
        <f t="shared" si="836"/>
        <v/>
      </c>
      <c r="T6688" s="403" t="str">
        <f t="shared" si="837"/>
        <v>NTV-3503-F03L</v>
      </c>
      <c r="U6688" s="403">
        <f t="shared" si="838"/>
        <v>1</v>
      </c>
      <c r="V6688" s="403" t="str">
        <f t="shared" si="839"/>
        <v>CPP_7_3</v>
      </c>
    </row>
    <row r="6689" spans="1:22">
      <c r="A6689" t="str">
        <f t="shared" si="832"/>
        <v>NTV-3503-F03L</v>
      </c>
      <c r="B6689" s="403" t="s">
        <v>1464</v>
      </c>
      <c r="C6689" s="403" t="s">
        <v>582</v>
      </c>
      <c r="D6689" s="403" t="s">
        <v>1465</v>
      </c>
      <c r="E6689" s="403" t="s">
        <v>778</v>
      </c>
      <c r="F6689" s="403" t="s">
        <v>1372</v>
      </c>
      <c r="G6689" s="403" t="s">
        <v>1467</v>
      </c>
      <c r="H6689" s="403" t="s">
        <v>1276</v>
      </c>
      <c r="I6689" s="403">
        <v>1</v>
      </c>
      <c r="J6689" s="403" t="s">
        <v>109</v>
      </c>
      <c r="K6689" s="403">
        <v>720</v>
      </c>
      <c r="L6689" s="403">
        <v>1280</v>
      </c>
      <c r="M6689" s="403" t="s">
        <v>1283</v>
      </c>
      <c r="N6689" s="403">
        <v>576</v>
      </c>
      <c r="O6689" s="403">
        <v>720</v>
      </c>
      <c r="P6689" t="str">
        <f t="shared" si="833"/>
        <v>25fps 720p - SD 4CIF resolution 4:3 format (cropped)</v>
      </c>
      <c r="Q6689">
        <f t="shared" si="834"/>
        <v>37</v>
      </c>
      <c r="R6689" t="str">
        <f t="shared" si="835"/>
        <v/>
      </c>
      <c r="S6689" t="str">
        <f t="shared" si="836"/>
        <v/>
      </c>
      <c r="T6689" s="403" t="str">
        <f t="shared" si="837"/>
        <v>NTV-3503-F03L</v>
      </c>
      <c r="U6689" s="403">
        <f t="shared" si="838"/>
        <v>1</v>
      </c>
      <c r="V6689" s="403" t="str">
        <f t="shared" si="839"/>
        <v>CPP_7_3</v>
      </c>
    </row>
    <row r="6690" spans="1:22">
      <c r="A6690" t="str">
        <f t="shared" si="832"/>
        <v>NTV-3503-F03L</v>
      </c>
      <c r="B6690" s="403" t="s">
        <v>1464</v>
      </c>
      <c r="C6690" s="403" t="s">
        <v>582</v>
      </c>
      <c r="D6690" s="403" t="s">
        <v>1465</v>
      </c>
      <c r="E6690" s="403" t="s">
        <v>778</v>
      </c>
      <c r="F6690" s="403" t="s">
        <v>1372</v>
      </c>
      <c r="G6690" s="403" t="s">
        <v>1467</v>
      </c>
      <c r="H6690" s="403" t="s">
        <v>1276</v>
      </c>
      <c r="I6690" s="403">
        <v>1</v>
      </c>
      <c r="J6690" s="403" t="s">
        <v>109</v>
      </c>
      <c r="K6690" s="403">
        <v>720</v>
      </c>
      <c r="L6690" s="403">
        <v>1280</v>
      </c>
      <c r="M6690" s="403" t="s">
        <v>1284</v>
      </c>
      <c r="N6690" s="403">
        <v>480</v>
      </c>
      <c r="O6690" s="403">
        <v>640</v>
      </c>
      <c r="P6690" t="str">
        <f t="shared" si="833"/>
        <v>25fps 720p - SD VGA (cropped)</v>
      </c>
      <c r="Q6690">
        <f t="shared" si="834"/>
        <v>37</v>
      </c>
      <c r="R6690" t="str">
        <f t="shared" si="835"/>
        <v/>
      </c>
      <c r="S6690" t="str">
        <f t="shared" si="836"/>
        <v/>
      </c>
      <c r="T6690" s="403" t="str">
        <f t="shared" si="837"/>
        <v>NTV-3503-F03L</v>
      </c>
      <c r="U6690" s="403">
        <f t="shared" si="838"/>
        <v>1</v>
      </c>
      <c r="V6690" s="403" t="str">
        <f t="shared" si="839"/>
        <v>CPP_7_3</v>
      </c>
    </row>
    <row r="6691" spans="1:22">
      <c r="A6691" t="str">
        <f t="shared" si="832"/>
        <v>NTV-3503-F03L</v>
      </c>
      <c r="B6691" s="403" t="s">
        <v>1464</v>
      </c>
      <c r="C6691" s="403" t="s">
        <v>582</v>
      </c>
      <c r="D6691" s="403" t="s">
        <v>1465</v>
      </c>
      <c r="E6691" s="403" t="s">
        <v>778</v>
      </c>
      <c r="F6691" s="403" t="s">
        <v>1372</v>
      </c>
      <c r="G6691" s="403" t="s">
        <v>1467</v>
      </c>
      <c r="H6691" s="403" t="s">
        <v>1281</v>
      </c>
      <c r="I6691" s="403">
        <v>1</v>
      </c>
      <c r="J6691" s="403" t="s">
        <v>1374</v>
      </c>
      <c r="K6691" s="403">
        <v>1296</v>
      </c>
      <c r="L6691" s="403">
        <v>2304</v>
      </c>
      <c r="M6691" s="403" t="s">
        <v>111</v>
      </c>
      <c r="N6691" s="403">
        <v>432</v>
      </c>
      <c r="O6691" s="403">
        <v>768</v>
      </c>
      <c r="P6691" t="str">
        <f t="shared" si="833"/>
        <v>25fps 2304x1296 - SD</v>
      </c>
      <c r="Q6691">
        <f t="shared" si="834"/>
        <v>37</v>
      </c>
      <c r="R6691" t="str">
        <f t="shared" si="835"/>
        <v/>
      </c>
      <c r="S6691" t="str">
        <f t="shared" si="836"/>
        <v/>
      </c>
      <c r="T6691" s="403" t="str">
        <f t="shared" si="837"/>
        <v>NTV-3503-F03L</v>
      </c>
      <c r="U6691" s="403">
        <f t="shared" si="838"/>
        <v>1</v>
      </c>
      <c r="V6691" s="403" t="str">
        <f t="shared" si="839"/>
        <v>CPP_7_3</v>
      </c>
    </row>
    <row r="6692" spans="1:22">
      <c r="A6692" t="str">
        <f t="shared" si="832"/>
        <v>NTV-3503-F03L</v>
      </c>
      <c r="B6692" s="403" t="s">
        <v>1464</v>
      </c>
      <c r="C6692" s="403" t="s">
        <v>582</v>
      </c>
      <c r="D6692" s="403" t="s">
        <v>1465</v>
      </c>
      <c r="E6692" s="403" t="s">
        <v>778</v>
      </c>
      <c r="F6692" s="403" t="s">
        <v>1372</v>
      </c>
      <c r="G6692" s="403" t="s">
        <v>1467</v>
      </c>
      <c r="H6692" s="403" t="s">
        <v>1281</v>
      </c>
      <c r="I6692" s="403">
        <v>1</v>
      </c>
      <c r="J6692" s="403" t="s">
        <v>1374</v>
      </c>
      <c r="K6692" s="403">
        <v>1296</v>
      </c>
      <c r="L6692" s="403">
        <v>2304</v>
      </c>
      <c r="M6692" s="403" t="s">
        <v>1279</v>
      </c>
      <c r="N6692" s="403">
        <v>432</v>
      </c>
      <c r="O6692" s="403">
        <v>768</v>
      </c>
      <c r="P6692" t="str">
        <f t="shared" si="833"/>
        <v>25fps 2304x1296 - SD ROI PTZ</v>
      </c>
      <c r="Q6692">
        <f t="shared" si="834"/>
        <v>37</v>
      </c>
      <c r="R6692" t="str">
        <f t="shared" si="835"/>
        <v/>
      </c>
      <c r="S6692" t="str">
        <f t="shared" si="836"/>
        <v/>
      </c>
      <c r="T6692" s="403" t="str">
        <f t="shared" si="837"/>
        <v>NTV-3503-F03L</v>
      </c>
      <c r="U6692" s="403">
        <f t="shared" si="838"/>
        <v>1</v>
      </c>
      <c r="V6692" s="403" t="str">
        <f t="shared" si="839"/>
        <v>CPP_7_3</v>
      </c>
    </row>
    <row r="6693" spans="1:22">
      <c r="A6693" t="str">
        <f t="shared" si="832"/>
        <v>NTV-3503-F03L</v>
      </c>
      <c r="B6693" s="403" t="s">
        <v>1464</v>
      </c>
      <c r="C6693" s="403" t="s">
        <v>582</v>
      </c>
      <c r="D6693" s="403" t="s">
        <v>1465</v>
      </c>
      <c r="E6693" s="403" t="s">
        <v>778</v>
      </c>
      <c r="F6693" s="403" t="s">
        <v>1372</v>
      </c>
      <c r="G6693" s="403" t="s">
        <v>1467</v>
      </c>
      <c r="H6693" s="403" t="s">
        <v>1281</v>
      </c>
      <c r="I6693" s="403">
        <v>1</v>
      </c>
      <c r="J6693" s="403" t="s">
        <v>1374</v>
      </c>
      <c r="K6693" s="403">
        <v>1296</v>
      </c>
      <c r="L6693" s="403">
        <v>2304</v>
      </c>
      <c r="M6693" s="403" t="s">
        <v>1283</v>
      </c>
      <c r="N6693" s="403">
        <v>576</v>
      </c>
      <c r="O6693" s="403">
        <v>720</v>
      </c>
      <c r="P6693" t="str">
        <f t="shared" si="833"/>
        <v>25fps 2304x1296 - SD 4CIF resolution 4:3 format (cropped)</v>
      </c>
      <c r="Q6693">
        <f t="shared" si="834"/>
        <v>37</v>
      </c>
      <c r="R6693" t="str">
        <f t="shared" si="835"/>
        <v/>
      </c>
      <c r="S6693" t="str">
        <f t="shared" si="836"/>
        <v/>
      </c>
      <c r="T6693" s="403" t="str">
        <f t="shared" si="837"/>
        <v>NTV-3503-F03L</v>
      </c>
      <c r="U6693" s="403">
        <f t="shared" si="838"/>
        <v>1</v>
      </c>
      <c r="V6693" s="403" t="str">
        <f t="shared" si="839"/>
        <v>CPP_7_3</v>
      </c>
    </row>
    <row r="6694" spans="1:22">
      <c r="A6694" t="str">
        <f t="shared" si="832"/>
        <v>NTV-3503-F03L</v>
      </c>
      <c r="B6694" s="403" t="s">
        <v>1464</v>
      </c>
      <c r="C6694" s="403" t="s">
        <v>582</v>
      </c>
      <c r="D6694" s="403" t="s">
        <v>1465</v>
      </c>
      <c r="E6694" s="403" t="s">
        <v>778</v>
      </c>
      <c r="F6694" s="403" t="s">
        <v>1372</v>
      </c>
      <c r="G6694" s="403" t="s">
        <v>1467</v>
      </c>
      <c r="H6694" s="403" t="s">
        <v>1281</v>
      </c>
      <c r="I6694" s="403">
        <v>1</v>
      </c>
      <c r="J6694" s="403" t="s">
        <v>1374</v>
      </c>
      <c r="K6694" s="403">
        <v>1296</v>
      </c>
      <c r="L6694" s="403">
        <v>2304</v>
      </c>
      <c r="M6694" s="403" t="s">
        <v>1284</v>
      </c>
      <c r="N6694" s="403">
        <v>480</v>
      </c>
      <c r="O6694" s="403">
        <v>640</v>
      </c>
      <c r="P6694" t="str">
        <f t="shared" si="833"/>
        <v>25fps 2304x1296 - SD VGA (cropped)</v>
      </c>
      <c r="Q6694">
        <f t="shared" si="834"/>
        <v>37</v>
      </c>
      <c r="R6694" t="str">
        <f t="shared" si="835"/>
        <v/>
      </c>
      <c r="S6694" t="str">
        <f t="shared" si="836"/>
        <v/>
      </c>
      <c r="T6694" s="403" t="str">
        <f t="shared" si="837"/>
        <v>NTV-3503-F03L</v>
      </c>
      <c r="U6694" s="403">
        <f t="shared" si="838"/>
        <v>1</v>
      </c>
      <c r="V6694" s="403" t="str">
        <f t="shared" si="839"/>
        <v>CPP_7_3</v>
      </c>
    </row>
    <row r="6695" spans="1:22">
      <c r="A6695" t="str">
        <f t="shared" si="832"/>
        <v>NTV-3503-F03L</v>
      </c>
      <c r="B6695" s="403" t="s">
        <v>1464</v>
      </c>
      <c r="C6695" s="403" t="s">
        <v>582</v>
      </c>
      <c r="D6695" s="403" t="s">
        <v>1465</v>
      </c>
      <c r="E6695" s="403" t="s">
        <v>778</v>
      </c>
      <c r="F6695" s="403" t="s">
        <v>1372</v>
      </c>
      <c r="G6695" s="403" t="s">
        <v>1467</v>
      </c>
      <c r="H6695" s="403" t="s">
        <v>1281</v>
      </c>
      <c r="I6695" s="403">
        <v>1</v>
      </c>
      <c r="J6695" s="403" t="s">
        <v>1374</v>
      </c>
      <c r="K6695" s="403">
        <v>1296</v>
      </c>
      <c r="L6695" s="403">
        <v>2304</v>
      </c>
      <c r="M6695" s="403" t="s">
        <v>1280</v>
      </c>
      <c r="N6695" s="403">
        <v>1296</v>
      </c>
      <c r="O6695" s="403">
        <v>2304</v>
      </c>
      <c r="P6695" t="str">
        <f t="shared" si="833"/>
        <v>25fps 2304x1296 - copy other stream</v>
      </c>
      <c r="Q6695">
        <f t="shared" si="834"/>
        <v>37</v>
      </c>
      <c r="R6695" t="str">
        <f t="shared" si="835"/>
        <v/>
      </c>
      <c r="S6695" t="str">
        <f t="shared" si="836"/>
        <v/>
      </c>
      <c r="T6695" s="403" t="str">
        <f t="shared" si="837"/>
        <v>NTV-3503-F03L</v>
      </c>
      <c r="U6695" s="403">
        <f t="shared" si="838"/>
        <v>1</v>
      </c>
      <c r="V6695" s="403" t="str">
        <f t="shared" si="839"/>
        <v>CPP_7_3</v>
      </c>
    </row>
    <row r="6696" spans="1:22">
      <c r="A6696" t="str">
        <f t="shared" si="832"/>
        <v>NTV-3503-F03L</v>
      </c>
      <c r="B6696" s="403" t="s">
        <v>1464</v>
      </c>
      <c r="C6696" s="403" t="s">
        <v>582</v>
      </c>
      <c r="D6696" s="403" t="s">
        <v>1465</v>
      </c>
      <c r="E6696" s="403" t="s">
        <v>778</v>
      </c>
      <c r="F6696" s="403" t="s">
        <v>1372</v>
      </c>
      <c r="G6696" s="403" t="s">
        <v>1467</v>
      </c>
      <c r="H6696" s="403" t="s">
        <v>1281</v>
      </c>
      <c r="I6696" s="403">
        <v>1</v>
      </c>
      <c r="J6696" s="403" t="s">
        <v>110</v>
      </c>
      <c r="K6696" s="403">
        <v>1080</v>
      </c>
      <c r="L6696" s="403">
        <v>1920</v>
      </c>
      <c r="M6696" s="403" t="s">
        <v>111</v>
      </c>
      <c r="N6696" s="403">
        <v>432</v>
      </c>
      <c r="O6696" s="403">
        <v>768</v>
      </c>
      <c r="P6696" t="str">
        <f t="shared" si="833"/>
        <v>25fps 1080p - SD</v>
      </c>
      <c r="Q6696">
        <f t="shared" si="834"/>
        <v>37</v>
      </c>
      <c r="R6696" t="str">
        <f t="shared" si="835"/>
        <v/>
      </c>
      <c r="S6696" t="str">
        <f t="shared" si="836"/>
        <v/>
      </c>
      <c r="T6696" s="403" t="str">
        <f t="shared" si="837"/>
        <v>NTV-3503-F03L</v>
      </c>
      <c r="U6696" s="403">
        <f t="shared" si="838"/>
        <v>1</v>
      </c>
      <c r="V6696" s="403" t="str">
        <f t="shared" si="839"/>
        <v>CPP_7_3</v>
      </c>
    </row>
    <row r="6697" spans="1:22">
      <c r="A6697" t="str">
        <f t="shared" si="832"/>
        <v>NTV-3503-F03L</v>
      </c>
      <c r="B6697" s="403" t="s">
        <v>1464</v>
      </c>
      <c r="C6697" s="403" t="s">
        <v>582</v>
      </c>
      <c r="D6697" s="403" t="s">
        <v>1465</v>
      </c>
      <c r="E6697" s="403" t="s">
        <v>778</v>
      </c>
      <c r="F6697" s="403" t="s">
        <v>1372</v>
      </c>
      <c r="G6697" s="403" t="s">
        <v>1467</v>
      </c>
      <c r="H6697" s="403" t="s">
        <v>1281</v>
      </c>
      <c r="I6697" s="403">
        <v>1</v>
      </c>
      <c r="J6697" s="403" t="s">
        <v>110</v>
      </c>
      <c r="K6697" s="403">
        <v>1080</v>
      </c>
      <c r="L6697" s="403">
        <v>1920</v>
      </c>
      <c r="M6697" s="403" t="s">
        <v>109</v>
      </c>
      <c r="N6697" s="403">
        <v>720</v>
      </c>
      <c r="O6697" s="403">
        <v>1280</v>
      </c>
      <c r="P6697" t="str">
        <f t="shared" si="833"/>
        <v>25fps 1080p - 720p</v>
      </c>
      <c r="Q6697">
        <f t="shared" si="834"/>
        <v>37</v>
      </c>
      <c r="R6697" t="str">
        <f t="shared" si="835"/>
        <v/>
      </c>
      <c r="S6697" t="str">
        <f t="shared" si="836"/>
        <v/>
      </c>
      <c r="T6697" s="403" t="str">
        <f t="shared" si="837"/>
        <v>NTV-3503-F03L</v>
      </c>
      <c r="U6697" s="403">
        <f t="shared" si="838"/>
        <v>1</v>
      </c>
      <c r="V6697" s="403" t="str">
        <f t="shared" si="839"/>
        <v>CPP_7_3</v>
      </c>
    </row>
    <row r="6698" spans="1:22">
      <c r="A6698" t="str">
        <f t="shared" ref="A6698:A6761" si="840">IF(AND(G6698&lt;&gt;"rotate 90°"),D6698,"")</f>
        <v>NTV-3503-F03L</v>
      </c>
      <c r="B6698" s="403" t="s">
        <v>1464</v>
      </c>
      <c r="C6698" s="403" t="s">
        <v>582</v>
      </c>
      <c r="D6698" s="403" t="s">
        <v>1465</v>
      </c>
      <c r="E6698" s="403" t="s">
        <v>778</v>
      </c>
      <c r="F6698" s="403" t="s">
        <v>1372</v>
      </c>
      <c r="G6698" s="403" t="s">
        <v>1467</v>
      </c>
      <c r="H6698" s="403" t="s">
        <v>1281</v>
      </c>
      <c r="I6698" s="403">
        <v>1</v>
      </c>
      <c r="J6698" s="403" t="s">
        <v>110</v>
      </c>
      <c r="K6698" s="403">
        <v>1080</v>
      </c>
      <c r="L6698" s="403">
        <v>1920</v>
      </c>
      <c r="M6698" s="403" t="s">
        <v>1285</v>
      </c>
      <c r="N6698" s="403">
        <v>1024</v>
      </c>
      <c r="O6698" s="403">
        <v>1280</v>
      </c>
      <c r="P6698" t="str">
        <f t="shared" ref="P6698:P6761" si="841">LEFT(F6698,5)&amp;" "&amp;J6698&amp;" - "&amp;M6698</f>
        <v>25fps 1080p - 1280x1024 5:4 (cropped)</v>
      </c>
      <c r="Q6698">
        <f t="shared" ref="Q6698:Q6761" si="842">IF(A6697=A6698,Q6697,Q6697+1)</f>
        <v>37</v>
      </c>
      <c r="R6698" t="str">
        <f t="shared" ref="R6698:R6761" si="843">IF(Q6697&lt;&gt;Q6698,Q6698,"")</f>
        <v/>
      </c>
      <c r="S6698" t="str">
        <f t="shared" ref="S6698:S6761" si="844">IF(R6698&lt;&gt;"",B6698&amp;" ("&amp;D6698&amp;")","")</f>
        <v/>
      </c>
      <c r="T6698" s="403" t="str">
        <f t="shared" ref="T6698:T6761" si="845">D6698</f>
        <v>NTV-3503-F03L</v>
      </c>
      <c r="U6698" s="403">
        <f t="shared" ref="U6698:U6761" si="846">I6698</f>
        <v>1</v>
      </c>
      <c r="V6698" s="403" t="str">
        <f t="shared" ref="V6698:V6761" si="847">C6698</f>
        <v>CPP_7_3</v>
      </c>
    </row>
    <row r="6699" spans="1:22">
      <c r="A6699" t="str">
        <f t="shared" si="840"/>
        <v>NTV-3503-F03L</v>
      </c>
      <c r="B6699" s="403" t="s">
        <v>1464</v>
      </c>
      <c r="C6699" s="403" t="s">
        <v>582</v>
      </c>
      <c r="D6699" s="403" t="s">
        <v>1465</v>
      </c>
      <c r="E6699" s="403" t="s">
        <v>778</v>
      </c>
      <c r="F6699" s="403" t="s">
        <v>1372</v>
      </c>
      <c r="G6699" s="403" t="s">
        <v>1467</v>
      </c>
      <c r="H6699" s="403" t="s">
        <v>1281</v>
      </c>
      <c r="I6699" s="403">
        <v>1</v>
      </c>
      <c r="J6699" s="403" t="s">
        <v>110</v>
      </c>
      <c r="K6699" s="403">
        <v>1080</v>
      </c>
      <c r="L6699" s="403">
        <v>1920</v>
      </c>
      <c r="M6699" s="403" t="s">
        <v>1279</v>
      </c>
      <c r="N6699" s="403">
        <v>432</v>
      </c>
      <c r="O6699" s="403">
        <v>768</v>
      </c>
      <c r="P6699" t="str">
        <f t="shared" si="841"/>
        <v>25fps 1080p - SD ROI PTZ</v>
      </c>
      <c r="Q6699">
        <f t="shared" si="842"/>
        <v>37</v>
      </c>
      <c r="R6699" t="str">
        <f t="shared" si="843"/>
        <v/>
      </c>
      <c r="S6699" t="str">
        <f t="shared" si="844"/>
        <v/>
      </c>
      <c r="T6699" s="403" t="str">
        <f t="shared" si="845"/>
        <v>NTV-3503-F03L</v>
      </c>
      <c r="U6699" s="403">
        <f t="shared" si="846"/>
        <v>1</v>
      </c>
      <c r="V6699" s="403" t="str">
        <f t="shared" si="847"/>
        <v>CPP_7_3</v>
      </c>
    </row>
    <row r="6700" spans="1:22">
      <c r="A6700" t="str">
        <f t="shared" si="840"/>
        <v>NTV-3503-F03L</v>
      </c>
      <c r="B6700" s="403" t="s">
        <v>1464</v>
      </c>
      <c r="C6700" s="403" t="s">
        <v>582</v>
      </c>
      <c r="D6700" s="403" t="s">
        <v>1465</v>
      </c>
      <c r="E6700" s="403" t="s">
        <v>778</v>
      </c>
      <c r="F6700" s="403" t="s">
        <v>1372</v>
      </c>
      <c r="G6700" s="403" t="s">
        <v>1467</v>
      </c>
      <c r="H6700" s="403" t="s">
        <v>1281</v>
      </c>
      <c r="I6700" s="403">
        <v>1</v>
      </c>
      <c r="J6700" s="403" t="s">
        <v>110</v>
      </c>
      <c r="K6700" s="403">
        <v>1080</v>
      </c>
      <c r="L6700" s="403">
        <v>1920</v>
      </c>
      <c r="M6700" s="403" t="s">
        <v>1283</v>
      </c>
      <c r="N6700" s="403">
        <v>576</v>
      </c>
      <c r="O6700" s="403">
        <v>720</v>
      </c>
      <c r="P6700" t="str">
        <f t="shared" si="841"/>
        <v>25fps 1080p - SD 4CIF resolution 4:3 format (cropped)</v>
      </c>
      <c r="Q6700">
        <f t="shared" si="842"/>
        <v>37</v>
      </c>
      <c r="R6700" t="str">
        <f t="shared" si="843"/>
        <v/>
      </c>
      <c r="S6700" t="str">
        <f t="shared" si="844"/>
        <v/>
      </c>
      <c r="T6700" s="403" t="str">
        <f t="shared" si="845"/>
        <v>NTV-3503-F03L</v>
      </c>
      <c r="U6700" s="403">
        <f t="shared" si="846"/>
        <v>1</v>
      </c>
      <c r="V6700" s="403" t="str">
        <f t="shared" si="847"/>
        <v>CPP_7_3</v>
      </c>
    </row>
    <row r="6701" spans="1:22">
      <c r="A6701" t="str">
        <f t="shared" si="840"/>
        <v>NTV-3503-F03L</v>
      </c>
      <c r="B6701" s="403" t="s">
        <v>1464</v>
      </c>
      <c r="C6701" s="403" t="s">
        <v>582</v>
      </c>
      <c r="D6701" s="403" t="s">
        <v>1465</v>
      </c>
      <c r="E6701" s="403" t="s">
        <v>778</v>
      </c>
      <c r="F6701" s="403" t="s">
        <v>1372</v>
      </c>
      <c r="G6701" s="403" t="s">
        <v>1467</v>
      </c>
      <c r="H6701" s="403" t="s">
        <v>1281</v>
      </c>
      <c r="I6701" s="403">
        <v>1</v>
      </c>
      <c r="J6701" s="403" t="s">
        <v>110</v>
      </c>
      <c r="K6701" s="403">
        <v>1080</v>
      </c>
      <c r="L6701" s="403">
        <v>1920</v>
      </c>
      <c r="M6701" s="403" t="s">
        <v>1284</v>
      </c>
      <c r="N6701" s="403">
        <v>480</v>
      </c>
      <c r="O6701" s="403">
        <v>640</v>
      </c>
      <c r="P6701" t="str">
        <f t="shared" si="841"/>
        <v>25fps 1080p - SD VGA (cropped)</v>
      </c>
      <c r="Q6701">
        <f t="shared" si="842"/>
        <v>37</v>
      </c>
      <c r="R6701" t="str">
        <f t="shared" si="843"/>
        <v/>
      </c>
      <c r="S6701" t="str">
        <f t="shared" si="844"/>
        <v/>
      </c>
      <c r="T6701" s="403" t="str">
        <f t="shared" si="845"/>
        <v>NTV-3503-F03L</v>
      </c>
      <c r="U6701" s="403">
        <f t="shared" si="846"/>
        <v>1</v>
      </c>
      <c r="V6701" s="403" t="str">
        <f t="shared" si="847"/>
        <v>CPP_7_3</v>
      </c>
    </row>
    <row r="6702" spans="1:22">
      <c r="A6702" t="str">
        <f t="shared" si="840"/>
        <v>NTV-3503-F03L</v>
      </c>
      <c r="B6702" s="403" t="s">
        <v>1464</v>
      </c>
      <c r="C6702" s="403" t="s">
        <v>582</v>
      </c>
      <c r="D6702" s="403" t="s">
        <v>1465</v>
      </c>
      <c r="E6702" s="403" t="s">
        <v>778</v>
      </c>
      <c r="F6702" s="403" t="s">
        <v>1372</v>
      </c>
      <c r="G6702" s="403" t="s">
        <v>1467</v>
      </c>
      <c r="H6702" s="403" t="s">
        <v>1281</v>
      </c>
      <c r="I6702" s="403">
        <v>1</v>
      </c>
      <c r="J6702" s="403" t="s">
        <v>109</v>
      </c>
      <c r="K6702" s="403">
        <v>720</v>
      </c>
      <c r="L6702" s="403">
        <v>1280</v>
      </c>
      <c r="M6702" s="403" t="s">
        <v>109</v>
      </c>
      <c r="N6702" s="403">
        <v>720</v>
      </c>
      <c r="O6702" s="403">
        <v>1280</v>
      </c>
      <c r="P6702" t="str">
        <f t="shared" si="841"/>
        <v>25fps 720p - 720p</v>
      </c>
      <c r="Q6702">
        <f t="shared" si="842"/>
        <v>37</v>
      </c>
      <c r="R6702" t="str">
        <f t="shared" si="843"/>
        <v/>
      </c>
      <c r="S6702" t="str">
        <f t="shared" si="844"/>
        <v/>
      </c>
      <c r="T6702" s="403" t="str">
        <f t="shared" si="845"/>
        <v>NTV-3503-F03L</v>
      </c>
      <c r="U6702" s="403">
        <f t="shared" si="846"/>
        <v>1</v>
      </c>
      <c r="V6702" s="403" t="str">
        <f t="shared" si="847"/>
        <v>CPP_7_3</v>
      </c>
    </row>
    <row r="6703" spans="1:22">
      <c r="A6703" t="str">
        <f t="shared" si="840"/>
        <v>NTV-3503-F03L</v>
      </c>
      <c r="B6703" s="403" t="s">
        <v>1464</v>
      </c>
      <c r="C6703" s="403" t="s">
        <v>582</v>
      </c>
      <c r="D6703" s="403" t="s">
        <v>1465</v>
      </c>
      <c r="E6703" s="403" t="s">
        <v>778</v>
      </c>
      <c r="F6703" s="403" t="s">
        <v>1372</v>
      </c>
      <c r="G6703" s="403" t="s">
        <v>1467</v>
      </c>
      <c r="H6703" s="403" t="s">
        <v>1281</v>
      </c>
      <c r="I6703" s="403">
        <v>1</v>
      </c>
      <c r="J6703" s="403" t="s">
        <v>109</v>
      </c>
      <c r="K6703" s="403">
        <v>720</v>
      </c>
      <c r="L6703" s="403">
        <v>1280</v>
      </c>
      <c r="M6703" s="403" t="s">
        <v>111</v>
      </c>
      <c r="N6703" s="403">
        <v>432</v>
      </c>
      <c r="O6703" s="403">
        <v>768</v>
      </c>
      <c r="P6703" t="str">
        <f t="shared" si="841"/>
        <v>25fps 720p - SD</v>
      </c>
      <c r="Q6703">
        <f t="shared" si="842"/>
        <v>37</v>
      </c>
      <c r="R6703" t="str">
        <f t="shared" si="843"/>
        <v/>
      </c>
      <c r="S6703" t="str">
        <f t="shared" si="844"/>
        <v/>
      </c>
      <c r="T6703" s="403" t="str">
        <f t="shared" si="845"/>
        <v>NTV-3503-F03L</v>
      </c>
      <c r="U6703" s="403">
        <f t="shared" si="846"/>
        <v>1</v>
      </c>
      <c r="V6703" s="403" t="str">
        <f t="shared" si="847"/>
        <v>CPP_7_3</v>
      </c>
    </row>
    <row r="6704" spans="1:22">
      <c r="A6704" t="str">
        <f t="shared" si="840"/>
        <v>NTV-3503-F03L</v>
      </c>
      <c r="B6704" s="403" t="s">
        <v>1464</v>
      </c>
      <c r="C6704" s="403" t="s">
        <v>582</v>
      </c>
      <c r="D6704" s="403" t="s">
        <v>1465</v>
      </c>
      <c r="E6704" s="403" t="s">
        <v>778</v>
      </c>
      <c r="F6704" s="403" t="s">
        <v>1372</v>
      </c>
      <c r="G6704" s="403" t="s">
        <v>1467</v>
      </c>
      <c r="H6704" s="403" t="s">
        <v>1281</v>
      </c>
      <c r="I6704" s="403">
        <v>1</v>
      </c>
      <c r="J6704" s="403" t="s">
        <v>109</v>
      </c>
      <c r="K6704" s="403">
        <v>720</v>
      </c>
      <c r="L6704" s="403">
        <v>1280</v>
      </c>
      <c r="M6704" s="403" t="s">
        <v>1279</v>
      </c>
      <c r="N6704" s="403">
        <v>432</v>
      </c>
      <c r="O6704" s="403">
        <v>768</v>
      </c>
      <c r="P6704" t="str">
        <f t="shared" si="841"/>
        <v>25fps 720p - SD ROI PTZ</v>
      </c>
      <c r="Q6704">
        <f t="shared" si="842"/>
        <v>37</v>
      </c>
      <c r="R6704" t="str">
        <f t="shared" si="843"/>
        <v/>
      </c>
      <c r="S6704" t="str">
        <f t="shared" si="844"/>
        <v/>
      </c>
      <c r="T6704" s="403" t="str">
        <f t="shared" si="845"/>
        <v>NTV-3503-F03L</v>
      </c>
      <c r="U6704" s="403">
        <f t="shared" si="846"/>
        <v>1</v>
      </c>
      <c r="V6704" s="403" t="str">
        <f t="shared" si="847"/>
        <v>CPP_7_3</v>
      </c>
    </row>
    <row r="6705" spans="1:22">
      <c r="A6705" t="str">
        <f t="shared" si="840"/>
        <v>NTV-3503-F03L</v>
      </c>
      <c r="B6705" s="403" t="s">
        <v>1464</v>
      </c>
      <c r="C6705" s="403" t="s">
        <v>582</v>
      </c>
      <c r="D6705" s="403" t="s">
        <v>1465</v>
      </c>
      <c r="E6705" s="403" t="s">
        <v>778</v>
      </c>
      <c r="F6705" s="403" t="s">
        <v>1372</v>
      </c>
      <c r="G6705" s="403" t="s">
        <v>1467</v>
      </c>
      <c r="H6705" s="403" t="s">
        <v>1281</v>
      </c>
      <c r="I6705" s="403">
        <v>1</v>
      </c>
      <c r="J6705" s="403" t="s">
        <v>109</v>
      </c>
      <c r="K6705" s="403">
        <v>720</v>
      </c>
      <c r="L6705" s="403">
        <v>1280</v>
      </c>
      <c r="M6705" s="403" t="s">
        <v>1283</v>
      </c>
      <c r="N6705" s="403">
        <v>576</v>
      </c>
      <c r="O6705" s="403">
        <v>720</v>
      </c>
      <c r="P6705" t="str">
        <f t="shared" si="841"/>
        <v>25fps 720p - SD 4CIF resolution 4:3 format (cropped)</v>
      </c>
      <c r="Q6705">
        <f t="shared" si="842"/>
        <v>37</v>
      </c>
      <c r="R6705" t="str">
        <f t="shared" si="843"/>
        <v/>
      </c>
      <c r="S6705" t="str">
        <f t="shared" si="844"/>
        <v/>
      </c>
      <c r="T6705" s="403" t="str">
        <f t="shared" si="845"/>
        <v>NTV-3503-F03L</v>
      </c>
      <c r="U6705" s="403">
        <f t="shared" si="846"/>
        <v>1</v>
      </c>
      <c r="V6705" s="403" t="str">
        <f t="shared" si="847"/>
        <v>CPP_7_3</v>
      </c>
    </row>
    <row r="6706" spans="1:22">
      <c r="A6706" t="str">
        <f t="shared" si="840"/>
        <v>NTV-3503-F03L</v>
      </c>
      <c r="B6706" s="403" t="s">
        <v>1464</v>
      </c>
      <c r="C6706" s="403" t="s">
        <v>582</v>
      </c>
      <c r="D6706" s="403" t="s">
        <v>1465</v>
      </c>
      <c r="E6706" s="403" t="s">
        <v>778</v>
      </c>
      <c r="F6706" s="403" t="s">
        <v>1372</v>
      </c>
      <c r="G6706" s="403" t="s">
        <v>1467</v>
      </c>
      <c r="H6706" s="403" t="s">
        <v>1281</v>
      </c>
      <c r="I6706" s="403">
        <v>1</v>
      </c>
      <c r="J6706" s="403" t="s">
        <v>109</v>
      </c>
      <c r="K6706" s="403">
        <v>720</v>
      </c>
      <c r="L6706" s="403">
        <v>1280</v>
      </c>
      <c r="M6706" s="403" t="s">
        <v>1284</v>
      </c>
      <c r="N6706" s="403">
        <v>480</v>
      </c>
      <c r="O6706" s="403">
        <v>640</v>
      </c>
      <c r="P6706" t="str">
        <f t="shared" si="841"/>
        <v>25fps 720p - SD VGA (cropped)</v>
      </c>
      <c r="Q6706">
        <f t="shared" si="842"/>
        <v>37</v>
      </c>
      <c r="R6706" t="str">
        <f t="shared" si="843"/>
        <v/>
      </c>
      <c r="S6706" t="str">
        <f t="shared" si="844"/>
        <v/>
      </c>
      <c r="T6706" s="403" t="str">
        <f t="shared" si="845"/>
        <v>NTV-3503-F03L</v>
      </c>
      <c r="U6706" s="403">
        <f t="shared" si="846"/>
        <v>1</v>
      </c>
      <c r="V6706" s="403" t="str">
        <f t="shared" si="847"/>
        <v>CPP_7_3</v>
      </c>
    </row>
    <row r="6707" spans="1:22">
      <c r="A6707" t="str">
        <f t="shared" si="840"/>
        <v>NTV-3503-F03L</v>
      </c>
      <c r="B6707" s="403" t="s">
        <v>1464</v>
      </c>
      <c r="C6707" s="403" t="s">
        <v>582</v>
      </c>
      <c r="D6707" s="403" t="s">
        <v>1465</v>
      </c>
      <c r="E6707" s="403" t="s">
        <v>778</v>
      </c>
      <c r="F6707" s="403" t="s">
        <v>1375</v>
      </c>
      <c r="G6707" s="403" t="s">
        <v>1466</v>
      </c>
      <c r="H6707" s="403" t="s">
        <v>1276</v>
      </c>
      <c r="I6707" s="403">
        <v>1</v>
      </c>
      <c r="J6707" s="403" t="s">
        <v>1376</v>
      </c>
      <c r="K6707" s="403">
        <v>3072</v>
      </c>
      <c r="L6707" s="403">
        <v>1728</v>
      </c>
      <c r="M6707" s="403" t="s">
        <v>111</v>
      </c>
      <c r="N6707" s="403">
        <v>768</v>
      </c>
      <c r="O6707" s="403">
        <v>432</v>
      </c>
      <c r="P6707" t="str">
        <f t="shared" si="841"/>
        <v>20fps 3072x1728 - SD</v>
      </c>
      <c r="Q6707">
        <f t="shared" si="842"/>
        <v>37</v>
      </c>
      <c r="R6707" t="str">
        <f t="shared" si="843"/>
        <v/>
      </c>
      <c r="S6707" t="str">
        <f t="shared" si="844"/>
        <v/>
      </c>
      <c r="T6707" s="403" t="str">
        <f t="shared" si="845"/>
        <v>NTV-3503-F03L</v>
      </c>
      <c r="U6707" s="403">
        <f t="shared" si="846"/>
        <v>1</v>
      </c>
      <c r="V6707" s="403" t="str">
        <f t="shared" si="847"/>
        <v>CPP_7_3</v>
      </c>
    </row>
    <row r="6708" spans="1:22">
      <c r="A6708" t="str">
        <f t="shared" si="840"/>
        <v>NTV-3503-F03L</v>
      </c>
      <c r="B6708" s="403" t="s">
        <v>1464</v>
      </c>
      <c r="C6708" s="403" t="s">
        <v>582</v>
      </c>
      <c r="D6708" s="403" t="s">
        <v>1465</v>
      </c>
      <c r="E6708" s="403" t="s">
        <v>778</v>
      </c>
      <c r="F6708" s="403" t="s">
        <v>1375</v>
      </c>
      <c r="G6708" s="403" t="s">
        <v>1466</v>
      </c>
      <c r="H6708" s="403" t="s">
        <v>1276</v>
      </c>
      <c r="I6708" s="403">
        <v>1</v>
      </c>
      <c r="J6708" s="403" t="s">
        <v>1376</v>
      </c>
      <c r="K6708" s="403">
        <v>3072</v>
      </c>
      <c r="L6708" s="403">
        <v>1728</v>
      </c>
      <c r="M6708" s="403" t="s">
        <v>1280</v>
      </c>
      <c r="N6708" s="403">
        <v>3072</v>
      </c>
      <c r="O6708" s="403">
        <v>1728</v>
      </c>
      <c r="P6708" t="str">
        <f t="shared" si="841"/>
        <v>20fps 3072x1728 - copy other stream</v>
      </c>
      <c r="Q6708">
        <f t="shared" si="842"/>
        <v>37</v>
      </c>
      <c r="R6708" t="str">
        <f t="shared" si="843"/>
        <v/>
      </c>
      <c r="S6708" t="str">
        <f t="shared" si="844"/>
        <v/>
      </c>
      <c r="T6708" s="403" t="str">
        <f t="shared" si="845"/>
        <v>NTV-3503-F03L</v>
      </c>
      <c r="U6708" s="403">
        <f t="shared" si="846"/>
        <v>1</v>
      </c>
      <c r="V6708" s="403" t="str">
        <f t="shared" si="847"/>
        <v>CPP_7_3</v>
      </c>
    </row>
    <row r="6709" spans="1:22">
      <c r="A6709" t="str">
        <f t="shared" si="840"/>
        <v>NTV-3503-F03L</v>
      </c>
      <c r="B6709" s="403" t="s">
        <v>1464</v>
      </c>
      <c r="C6709" s="403" t="s">
        <v>582</v>
      </c>
      <c r="D6709" s="403" t="s">
        <v>1465</v>
      </c>
      <c r="E6709" s="403" t="s">
        <v>778</v>
      </c>
      <c r="F6709" s="403" t="s">
        <v>1375</v>
      </c>
      <c r="G6709" s="403" t="s">
        <v>1466</v>
      </c>
      <c r="H6709" s="403" t="s">
        <v>1276</v>
      </c>
      <c r="I6709" s="403">
        <v>1</v>
      </c>
      <c r="J6709" s="403" t="s">
        <v>1376</v>
      </c>
      <c r="K6709" s="403">
        <v>3072</v>
      </c>
      <c r="L6709" s="403">
        <v>1728</v>
      </c>
      <c r="M6709" s="403" t="s">
        <v>1283</v>
      </c>
      <c r="N6709" s="403">
        <v>720</v>
      </c>
      <c r="O6709" s="403">
        <v>480</v>
      </c>
      <c r="P6709" t="str">
        <f t="shared" si="841"/>
        <v>20fps 3072x1728 - SD 4CIF resolution 4:3 format (cropped)</v>
      </c>
      <c r="Q6709">
        <f t="shared" si="842"/>
        <v>37</v>
      </c>
      <c r="R6709" t="str">
        <f t="shared" si="843"/>
        <v/>
      </c>
      <c r="S6709" t="str">
        <f t="shared" si="844"/>
        <v/>
      </c>
      <c r="T6709" s="403" t="str">
        <f t="shared" si="845"/>
        <v>NTV-3503-F03L</v>
      </c>
      <c r="U6709" s="403">
        <f t="shared" si="846"/>
        <v>1</v>
      </c>
      <c r="V6709" s="403" t="str">
        <f t="shared" si="847"/>
        <v>CPP_7_3</v>
      </c>
    </row>
    <row r="6710" spans="1:22">
      <c r="A6710" t="str">
        <f t="shared" si="840"/>
        <v>NTV-3503-F03L</v>
      </c>
      <c r="B6710" s="403" t="s">
        <v>1464</v>
      </c>
      <c r="C6710" s="403" t="s">
        <v>582</v>
      </c>
      <c r="D6710" s="403" t="s">
        <v>1465</v>
      </c>
      <c r="E6710" s="403" t="s">
        <v>778</v>
      </c>
      <c r="F6710" s="403" t="s">
        <v>1375</v>
      </c>
      <c r="G6710" s="403" t="s">
        <v>1466</v>
      </c>
      <c r="H6710" s="403" t="s">
        <v>1276</v>
      </c>
      <c r="I6710" s="403">
        <v>1</v>
      </c>
      <c r="J6710" s="403" t="s">
        <v>1376</v>
      </c>
      <c r="K6710" s="403">
        <v>3072</v>
      </c>
      <c r="L6710" s="403">
        <v>1728</v>
      </c>
      <c r="M6710" s="403" t="s">
        <v>1279</v>
      </c>
      <c r="N6710" s="403">
        <v>768</v>
      </c>
      <c r="O6710" s="403">
        <v>432</v>
      </c>
      <c r="P6710" t="str">
        <f t="shared" si="841"/>
        <v>20fps 3072x1728 - SD ROI PTZ</v>
      </c>
      <c r="Q6710">
        <f t="shared" si="842"/>
        <v>37</v>
      </c>
      <c r="R6710" t="str">
        <f t="shared" si="843"/>
        <v/>
      </c>
      <c r="S6710" t="str">
        <f t="shared" si="844"/>
        <v/>
      </c>
      <c r="T6710" s="403" t="str">
        <f t="shared" si="845"/>
        <v>NTV-3503-F03L</v>
      </c>
      <c r="U6710" s="403">
        <f t="shared" si="846"/>
        <v>1</v>
      </c>
      <c r="V6710" s="403" t="str">
        <f t="shared" si="847"/>
        <v>CPP_7_3</v>
      </c>
    </row>
    <row r="6711" spans="1:22">
      <c r="A6711" t="str">
        <f t="shared" si="840"/>
        <v>NTV-3503-F03L</v>
      </c>
      <c r="B6711" s="403" t="s">
        <v>1464</v>
      </c>
      <c r="C6711" s="403" t="s">
        <v>582</v>
      </c>
      <c r="D6711" s="403" t="s">
        <v>1465</v>
      </c>
      <c r="E6711" s="403" t="s">
        <v>778</v>
      </c>
      <c r="F6711" s="403" t="s">
        <v>1375</v>
      </c>
      <c r="G6711" s="403" t="s">
        <v>1466</v>
      </c>
      <c r="H6711" s="403" t="s">
        <v>1276</v>
      </c>
      <c r="I6711" s="403">
        <v>1</v>
      </c>
      <c r="J6711" s="403" t="s">
        <v>1376</v>
      </c>
      <c r="K6711" s="403">
        <v>3072</v>
      </c>
      <c r="L6711" s="403">
        <v>1728</v>
      </c>
      <c r="M6711" s="403" t="s">
        <v>1284</v>
      </c>
      <c r="N6711" s="403">
        <v>640</v>
      </c>
      <c r="O6711" s="403">
        <v>480</v>
      </c>
      <c r="P6711" t="str">
        <f t="shared" si="841"/>
        <v>20fps 3072x1728 - SD VGA (cropped)</v>
      </c>
      <c r="Q6711">
        <f t="shared" si="842"/>
        <v>37</v>
      </c>
      <c r="R6711" t="str">
        <f t="shared" si="843"/>
        <v/>
      </c>
      <c r="S6711" t="str">
        <f t="shared" si="844"/>
        <v/>
      </c>
      <c r="T6711" s="403" t="str">
        <f t="shared" si="845"/>
        <v>NTV-3503-F03L</v>
      </c>
      <c r="U6711" s="403">
        <f t="shared" si="846"/>
        <v>1</v>
      </c>
      <c r="V6711" s="403" t="str">
        <f t="shared" si="847"/>
        <v>CPP_7_3</v>
      </c>
    </row>
    <row r="6712" spans="1:22">
      <c r="A6712" t="str">
        <f t="shared" si="840"/>
        <v>NTV-3503-F03L</v>
      </c>
      <c r="B6712" s="403" t="s">
        <v>1464</v>
      </c>
      <c r="C6712" s="403" t="s">
        <v>582</v>
      </c>
      <c r="D6712" s="403" t="s">
        <v>1465</v>
      </c>
      <c r="E6712" s="403" t="s">
        <v>778</v>
      </c>
      <c r="F6712" s="403" t="s">
        <v>1375</v>
      </c>
      <c r="G6712" s="403" t="s">
        <v>1466</v>
      </c>
      <c r="H6712" s="403" t="s">
        <v>1276</v>
      </c>
      <c r="I6712" s="403">
        <v>1</v>
      </c>
      <c r="J6712" s="403" t="s">
        <v>1377</v>
      </c>
      <c r="K6712" s="403">
        <v>2720</v>
      </c>
      <c r="L6712" s="403">
        <v>1528</v>
      </c>
      <c r="M6712" s="403" t="s">
        <v>109</v>
      </c>
      <c r="N6712" s="403">
        <v>1280</v>
      </c>
      <c r="O6712" s="403">
        <v>720</v>
      </c>
      <c r="P6712" t="str">
        <f t="shared" si="841"/>
        <v>20fps 2720x1530 - 720p</v>
      </c>
      <c r="Q6712">
        <f t="shared" si="842"/>
        <v>37</v>
      </c>
      <c r="R6712" t="str">
        <f t="shared" si="843"/>
        <v/>
      </c>
      <c r="S6712" t="str">
        <f t="shared" si="844"/>
        <v/>
      </c>
      <c r="T6712" s="403" t="str">
        <f t="shared" si="845"/>
        <v>NTV-3503-F03L</v>
      </c>
      <c r="U6712" s="403">
        <f t="shared" si="846"/>
        <v>1</v>
      </c>
      <c r="V6712" s="403" t="str">
        <f t="shared" si="847"/>
        <v>CPP_7_3</v>
      </c>
    </row>
    <row r="6713" spans="1:22">
      <c r="A6713" t="str">
        <f t="shared" si="840"/>
        <v>NTV-3503-F03L</v>
      </c>
      <c r="B6713" s="403" t="s">
        <v>1464</v>
      </c>
      <c r="C6713" s="403" t="s">
        <v>582</v>
      </c>
      <c r="D6713" s="403" t="s">
        <v>1465</v>
      </c>
      <c r="E6713" s="403" t="s">
        <v>778</v>
      </c>
      <c r="F6713" s="403" t="s">
        <v>1375</v>
      </c>
      <c r="G6713" s="403" t="s">
        <v>1466</v>
      </c>
      <c r="H6713" s="403" t="s">
        <v>1276</v>
      </c>
      <c r="I6713" s="403">
        <v>1</v>
      </c>
      <c r="J6713" s="403" t="s">
        <v>1377</v>
      </c>
      <c r="K6713" s="403">
        <v>2720</v>
      </c>
      <c r="L6713" s="403">
        <v>1528</v>
      </c>
      <c r="M6713" s="403" t="s">
        <v>111</v>
      </c>
      <c r="N6713" s="403">
        <v>768</v>
      </c>
      <c r="O6713" s="403">
        <v>432</v>
      </c>
      <c r="P6713" t="str">
        <f t="shared" si="841"/>
        <v>20fps 2720x1530 - SD</v>
      </c>
      <c r="Q6713">
        <f t="shared" si="842"/>
        <v>37</v>
      </c>
      <c r="R6713" t="str">
        <f t="shared" si="843"/>
        <v/>
      </c>
      <c r="S6713" t="str">
        <f t="shared" si="844"/>
        <v/>
      </c>
      <c r="T6713" s="403" t="str">
        <f t="shared" si="845"/>
        <v>NTV-3503-F03L</v>
      </c>
      <c r="U6713" s="403">
        <f t="shared" si="846"/>
        <v>1</v>
      </c>
      <c r="V6713" s="403" t="str">
        <f t="shared" si="847"/>
        <v>CPP_7_3</v>
      </c>
    </row>
    <row r="6714" spans="1:22">
      <c r="A6714" t="str">
        <f t="shared" si="840"/>
        <v>NTV-3503-F03L</v>
      </c>
      <c r="B6714" s="403" t="s">
        <v>1464</v>
      </c>
      <c r="C6714" s="403" t="s">
        <v>582</v>
      </c>
      <c r="D6714" s="403" t="s">
        <v>1465</v>
      </c>
      <c r="E6714" s="403" t="s">
        <v>778</v>
      </c>
      <c r="F6714" s="403" t="s">
        <v>1375</v>
      </c>
      <c r="G6714" s="403" t="s">
        <v>1466</v>
      </c>
      <c r="H6714" s="403" t="s">
        <v>1276</v>
      </c>
      <c r="I6714" s="403">
        <v>1</v>
      </c>
      <c r="J6714" s="403" t="s">
        <v>1377</v>
      </c>
      <c r="K6714" s="403">
        <v>2720</v>
      </c>
      <c r="L6714" s="403">
        <v>1528</v>
      </c>
      <c r="M6714" s="403" t="s">
        <v>1279</v>
      </c>
      <c r="N6714" s="403">
        <v>768</v>
      </c>
      <c r="O6714" s="403">
        <v>432</v>
      </c>
      <c r="P6714" t="str">
        <f t="shared" si="841"/>
        <v>20fps 2720x1530 - SD ROI PTZ</v>
      </c>
      <c r="Q6714">
        <f t="shared" si="842"/>
        <v>37</v>
      </c>
      <c r="R6714" t="str">
        <f t="shared" si="843"/>
        <v/>
      </c>
      <c r="S6714" t="str">
        <f t="shared" si="844"/>
        <v/>
      </c>
      <c r="T6714" s="403" t="str">
        <f t="shared" si="845"/>
        <v>NTV-3503-F03L</v>
      </c>
      <c r="U6714" s="403">
        <f t="shared" si="846"/>
        <v>1</v>
      </c>
      <c r="V6714" s="403" t="str">
        <f t="shared" si="847"/>
        <v>CPP_7_3</v>
      </c>
    </row>
    <row r="6715" spans="1:22">
      <c r="A6715" t="str">
        <f t="shared" si="840"/>
        <v>NTV-3503-F03L</v>
      </c>
      <c r="B6715" s="403" t="s">
        <v>1464</v>
      </c>
      <c r="C6715" s="403" t="s">
        <v>582</v>
      </c>
      <c r="D6715" s="403" t="s">
        <v>1465</v>
      </c>
      <c r="E6715" s="403" t="s">
        <v>778</v>
      </c>
      <c r="F6715" s="403" t="s">
        <v>1375</v>
      </c>
      <c r="G6715" s="403" t="s">
        <v>1466</v>
      </c>
      <c r="H6715" s="403" t="s">
        <v>1276</v>
      </c>
      <c r="I6715" s="403">
        <v>1</v>
      </c>
      <c r="J6715" s="403" t="s">
        <v>1377</v>
      </c>
      <c r="K6715" s="403">
        <v>2720</v>
      </c>
      <c r="L6715" s="403">
        <v>1528</v>
      </c>
      <c r="M6715" s="403" t="s">
        <v>1285</v>
      </c>
      <c r="N6715" s="403">
        <v>1280</v>
      </c>
      <c r="O6715" s="403">
        <v>1024</v>
      </c>
      <c r="P6715" t="str">
        <f t="shared" si="841"/>
        <v>20fps 2720x1530 - 1280x1024 5:4 (cropped)</v>
      </c>
      <c r="Q6715">
        <f t="shared" si="842"/>
        <v>37</v>
      </c>
      <c r="R6715" t="str">
        <f t="shared" si="843"/>
        <v/>
      </c>
      <c r="S6715" t="str">
        <f t="shared" si="844"/>
        <v/>
      </c>
      <c r="T6715" s="403" t="str">
        <f t="shared" si="845"/>
        <v>NTV-3503-F03L</v>
      </c>
      <c r="U6715" s="403">
        <f t="shared" si="846"/>
        <v>1</v>
      </c>
      <c r="V6715" s="403" t="str">
        <f t="shared" si="847"/>
        <v>CPP_7_3</v>
      </c>
    </row>
    <row r="6716" spans="1:22">
      <c r="A6716" t="str">
        <f t="shared" si="840"/>
        <v>NTV-3503-F03L</v>
      </c>
      <c r="B6716" s="403" t="s">
        <v>1464</v>
      </c>
      <c r="C6716" s="403" t="s">
        <v>582</v>
      </c>
      <c r="D6716" s="403" t="s">
        <v>1465</v>
      </c>
      <c r="E6716" s="403" t="s">
        <v>778</v>
      </c>
      <c r="F6716" s="403" t="s">
        <v>1375</v>
      </c>
      <c r="G6716" s="403" t="s">
        <v>1466</v>
      </c>
      <c r="H6716" s="403" t="s">
        <v>1276</v>
      </c>
      <c r="I6716" s="403">
        <v>1</v>
      </c>
      <c r="J6716" s="403" t="s">
        <v>1377</v>
      </c>
      <c r="K6716" s="403">
        <v>2720</v>
      </c>
      <c r="L6716" s="403">
        <v>1528</v>
      </c>
      <c r="M6716" s="403" t="s">
        <v>1283</v>
      </c>
      <c r="N6716" s="403">
        <v>720</v>
      </c>
      <c r="O6716" s="403">
        <v>480</v>
      </c>
      <c r="P6716" t="str">
        <f t="shared" si="841"/>
        <v>20fps 2720x1530 - SD 4CIF resolution 4:3 format (cropped)</v>
      </c>
      <c r="Q6716">
        <f t="shared" si="842"/>
        <v>37</v>
      </c>
      <c r="R6716" t="str">
        <f t="shared" si="843"/>
        <v/>
      </c>
      <c r="S6716" t="str">
        <f t="shared" si="844"/>
        <v/>
      </c>
      <c r="T6716" s="403" t="str">
        <f t="shared" si="845"/>
        <v>NTV-3503-F03L</v>
      </c>
      <c r="U6716" s="403">
        <f t="shared" si="846"/>
        <v>1</v>
      </c>
      <c r="V6716" s="403" t="str">
        <f t="shared" si="847"/>
        <v>CPP_7_3</v>
      </c>
    </row>
    <row r="6717" spans="1:22">
      <c r="A6717" t="str">
        <f t="shared" si="840"/>
        <v>NTV-3503-F03L</v>
      </c>
      <c r="B6717" s="403" t="s">
        <v>1464</v>
      </c>
      <c r="C6717" s="403" t="s">
        <v>582</v>
      </c>
      <c r="D6717" s="403" t="s">
        <v>1465</v>
      </c>
      <c r="E6717" s="403" t="s">
        <v>778</v>
      </c>
      <c r="F6717" s="403" t="s">
        <v>1375</v>
      </c>
      <c r="G6717" s="403" t="s">
        <v>1466</v>
      </c>
      <c r="H6717" s="403" t="s">
        <v>1276</v>
      </c>
      <c r="I6717" s="403">
        <v>1</v>
      </c>
      <c r="J6717" s="403" t="s">
        <v>1377</v>
      </c>
      <c r="K6717" s="403">
        <v>2720</v>
      </c>
      <c r="L6717" s="403">
        <v>1528</v>
      </c>
      <c r="M6717" s="403" t="s">
        <v>1284</v>
      </c>
      <c r="N6717" s="403">
        <v>640</v>
      </c>
      <c r="O6717" s="403">
        <v>480</v>
      </c>
      <c r="P6717" t="str">
        <f t="shared" si="841"/>
        <v>20fps 2720x1530 - SD VGA (cropped)</v>
      </c>
      <c r="Q6717">
        <f t="shared" si="842"/>
        <v>37</v>
      </c>
      <c r="R6717" t="str">
        <f t="shared" si="843"/>
        <v/>
      </c>
      <c r="S6717" t="str">
        <f t="shared" si="844"/>
        <v/>
      </c>
      <c r="T6717" s="403" t="str">
        <f t="shared" si="845"/>
        <v>NTV-3503-F03L</v>
      </c>
      <c r="U6717" s="403">
        <f t="shared" si="846"/>
        <v>1</v>
      </c>
      <c r="V6717" s="403" t="str">
        <f t="shared" si="847"/>
        <v>CPP_7_3</v>
      </c>
    </row>
    <row r="6718" spans="1:22">
      <c r="A6718" t="str">
        <f t="shared" si="840"/>
        <v>NTV-3503-F03L</v>
      </c>
      <c r="B6718" s="403" t="s">
        <v>1464</v>
      </c>
      <c r="C6718" s="403" t="s">
        <v>582</v>
      </c>
      <c r="D6718" s="403" t="s">
        <v>1465</v>
      </c>
      <c r="E6718" s="403" t="s">
        <v>778</v>
      </c>
      <c r="F6718" s="403" t="s">
        <v>1375</v>
      </c>
      <c r="G6718" s="403" t="s">
        <v>1466</v>
      </c>
      <c r="H6718" s="403" t="s">
        <v>1276</v>
      </c>
      <c r="I6718" s="403">
        <v>1</v>
      </c>
      <c r="J6718" s="403" t="s">
        <v>1377</v>
      </c>
      <c r="K6718" s="403">
        <v>2720</v>
      </c>
      <c r="L6718" s="403">
        <v>1528</v>
      </c>
      <c r="M6718" s="403" t="s">
        <v>1280</v>
      </c>
      <c r="N6718" s="403">
        <v>2720</v>
      </c>
      <c r="O6718" s="403">
        <v>1528</v>
      </c>
      <c r="P6718" t="str">
        <f t="shared" si="841"/>
        <v>20fps 2720x1530 - copy other stream</v>
      </c>
      <c r="Q6718">
        <f t="shared" si="842"/>
        <v>37</v>
      </c>
      <c r="R6718" t="str">
        <f t="shared" si="843"/>
        <v/>
      </c>
      <c r="S6718" t="str">
        <f t="shared" si="844"/>
        <v/>
      </c>
      <c r="T6718" s="403" t="str">
        <f t="shared" si="845"/>
        <v>NTV-3503-F03L</v>
      </c>
      <c r="U6718" s="403">
        <f t="shared" si="846"/>
        <v>1</v>
      </c>
      <c r="V6718" s="403" t="str">
        <f t="shared" si="847"/>
        <v>CPP_7_3</v>
      </c>
    </row>
    <row r="6719" spans="1:22">
      <c r="A6719" t="str">
        <f t="shared" si="840"/>
        <v>NTV-3503-F03L</v>
      </c>
      <c r="B6719" s="403" t="s">
        <v>1464</v>
      </c>
      <c r="C6719" s="403" t="s">
        <v>582</v>
      </c>
      <c r="D6719" s="403" t="s">
        <v>1465</v>
      </c>
      <c r="E6719" s="403" t="s">
        <v>778</v>
      </c>
      <c r="F6719" s="403" t="s">
        <v>1375</v>
      </c>
      <c r="G6719" s="403" t="s">
        <v>1466</v>
      </c>
      <c r="H6719" s="403" t="s">
        <v>1276</v>
      </c>
      <c r="I6719" s="403">
        <v>1</v>
      </c>
      <c r="J6719" s="403" t="s">
        <v>1374</v>
      </c>
      <c r="K6719" s="403">
        <v>2304</v>
      </c>
      <c r="L6719" s="403">
        <v>1296</v>
      </c>
      <c r="M6719" s="403" t="s">
        <v>110</v>
      </c>
      <c r="N6719" s="403">
        <v>1920</v>
      </c>
      <c r="O6719" s="403">
        <v>1080</v>
      </c>
      <c r="P6719" t="str">
        <f t="shared" si="841"/>
        <v>20fps 2304x1296 - 1080p</v>
      </c>
      <c r="Q6719">
        <f t="shared" si="842"/>
        <v>37</v>
      </c>
      <c r="R6719" t="str">
        <f t="shared" si="843"/>
        <v/>
      </c>
      <c r="S6719" t="str">
        <f t="shared" si="844"/>
        <v/>
      </c>
      <c r="T6719" s="403" t="str">
        <f t="shared" si="845"/>
        <v>NTV-3503-F03L</v>
      </c>
      <c r="U6719" s="403">
        <f t="shared" si="846"/>
        <v>1</v>
      </c>
      <c r="V6719" s="403" t="str">
        <f t="shared" si="847"/>
        <v>CPP_7_3</v>
      </c>
    </row>
    <row r="6720" spans="1:22">
      <c r="A6720" t="str">
        <f t="shared" si="840"/>
        <v>NTV-3503-F03L</v>
      </c>
      <c r="B6720" s="403" t="s">
        <v>1464</v>
      </c>
      <c r="C6720" s="403" t="s">
        <v>582</v>
      </c>
      <c r="D6720" s="403" t="s">
        <v>1465</v>
      </c>
      <c r="E6720" s="403" t="s">
        <v>778</v>
      </c>
      <c r="F6720" s="403" t="s">
        <v>1375</v>
      </c>
      <c r="G6720" s="403" t="s">
        <v>1466</v>
      </c>
      <c r="H6720" s="403" t="s">
        <v>1276</v>
      </c>
      <c r="I6720" s="403">
        <v>1</v>
      </c>
      <c r="J6720" s="403" t="s">
        <v>1374</v>
      </c>
      <c r="K6720" s="403">
        <v>2304</v>
      </c>
      <c r="L6720" s="403">
        <v>1296</v>
      </c>
      <c r="M6720" s="403" t="s">
        <v>109</v>
      </c>
      <c r="N6720" s="403">
        <v>1280</v>
      </c>
      <c r="O6720" s="403">
        <v>720</v>
      </c>
      <c r="P6720" t="str">
        <f t="shared" si="841"/>
        <v>20fps 2304x1296 - 720p</v>
      </c>
      <c r="Q6720">
        <f t="shared" si="842"/>
        <v>37</v>
      </c>
      <c r="R6720" t="str">
        <f t="shared" si="843"/>
        <v/>
      </c>
      <c r="S6720" t="str">
        <f t="shared" si="844"/>
        <v/>
      </c>
      <c r="T6720" s="403" t="str">
        <f t="shared" si="845"/>
        <v>NTV-3503-F03L</v>
      </c>
      <c r="U6720" s="403">
        <f t="shared" si="846"/>
        <v>1</v>
      </c>
      <c r="V6720" s="403" t="str">
        <f t="shared" si="847"/>
        <v>CPP_7_3</v>
      </c>
    </row>
    <row r="6721" spans="1:22">
      <c r="A6721" t="str">
        <f t="shared" si="840"/>
        <v>NTV-3503-F03L</v>
      </c>
      <c r="B6721" s="403" t="s">
        <v>1464</v>
      </c>
      <c r="C6721" s="403" t="s">
        <v>582</v>
      </c>
      <c r="D6721" s="403" t="s">
        <v>1465</v>
      </c>
      <c r="E6721" s="403" t="s">
        <v>778</v>
      </c>
      <c r="F6721" s="403" t="s">
        <v>1375</v>
      </c>
      <c r="G6721" s="403" t="s">
        <v>1466</v>
      </c>
      <c r="H6721" s="403" t="s">
        <v>1276</v>
      </c>
      <c r="I6721" s="403">
        <v>1</v>
      </c>
      <c r="J6721" s="403" t="s">
        <v>1374</v>
      </c>
      <c r="K6721" s="403">
        <v>2304</v>
      </c>
      <c r="L6721" s="403">
        <v>1296</v>
      </c>
      <c r="M6721" s="403" t="s">
        <v>111</v>
      </c>
      <c r="N6721" s="403">
        <v>768</v>
      </c>
      <c r="O6721" s="403">
        <v>432</v>
      </c>
      <c r="P6721" t="str">
        <f t="shared" si="841"/>
        <v>20fps 2304x1296 - SD</v>
      </c>
      <c r="Q6721">
        <f t="shared" si="842"/>
        <v>37</v>
      </c>
      <c r="R6721" t="str">
        <f t="shared" si="843"/>
        <v/>
      </c>
      <c r="S6721" t="str">
        <f t="shared" si="844"/>
        <v/>
      </c>
      <c r="T6721" s="403" t="str">
        <f t="shared" si="845"/>
        <v>NTV-3503-F03L</v>
      </c>
      <c r="U6721" s="403">
        <f t="shared" si="846"/>
        <v>1</v>
      </c>
      <c r="V6721" s="403" t="str">
        <f t="shared" si="847"/>
        <v>CPP_7_3</v>
      </c>
    </row>
    <row r="6722" spans="1:22">
      <c r="A6722" t="str">
        <f t="shared" si="840"/>
        <v>NTV-3503-F03L</v>
      </c>
      <c r="B6722" s="403" t="s">
        <v>1464</v>
      </c>
      <c r="C6722" s="403" t="s">
        <v>582</v>
      </c>
      <c r="D6722" s="403" t="s">
        <v>1465</v>
      </c>
      <c r="E6722" s="403" t="s">
        <v>778</v>
      </c>
      <c r="F6722" s="403" t="s">
        <v>1375</v>
      </c>
      <c r="G6722" s="403" t="s">
        <v>1466</v>
      </c>
      <c r="H6722" s="403" t="s">
        <v>1276</v>
      </c>
      <c r="I6722" s="403">
        <v>1</v>
      </c>
      <c r="J6722" s="403" t="s">
        <v>1374</v>
      </c>
      <c r="K6722" s="403">
        <v>2304</v>
      </c>
      <c r="L6722" s="403">
        <v>1296</v>
      </c>
      <c r="M6722" s="403" t="s">
        <v>1279</v>
      </c>
      <c r="N6722" s="403">
        <v>768</v>
      </c>
      <c r="O6722" s="403">
        <v>432</v>
      </c>
      <c r="P6722" t="str">
        <f t="shared" si="841"/>
        <v>20fps 2304x1296 - SD ROI PTZ</v>
      </c>
      <c r="Q6722">
        <f t="shared" si="842"/>
        <v>37</v>
      </c>
      <c r="R6722" t="str">
        <f t="shared" si="843"/>
        <v/>
      </c>
      <c r="S6722" t="str">
        <f t="shared" si="844"/>
        <v/>
      </c>
      <c r="T6722" s="403" t="str">
        <f t="shared" si="845"/>
        <v>NTV-3503-F03L</v>
      </c>
      <c r="U6722" s="403">
        <f t="shared" si="846"/>
        <v>1</v>
      </c>
      <c r="V6722" s="403" t="str">
        <f t="shared" si="847"/>
        <v>CPP_7_3</v>
      </c>
    </row>
    <row r="6723" spans="1:22">
      <c r="A6723" t="str">
        <f t="shared" si="840"/>
        <v>NTV-3503-F03L</v>
      </c>
      <c r="B6723" s="403" t="s">
        <v>1464</v>
      </c>
      <c r="C6723" s="403" t="s">
        <v>582</v>
      </c>
      <c r="D6723" s="403" t="s">
        <v>1465</v>
      </c>
      <c r="E6723" s="403" t="s">
        <v>778</v>
      </c>
      <c r="F6723" s="403" t="s">
        <v>1375</v>
      </c>
      <c r="G6723" s="403" t="s">
        <v>1466</v>
      </c>
      <c r="H6723" s="403" t="s">
        <v>1276</v>
      </c>
      <c r="I6723" s="403">
        <v>1</v>
      </c>
      <c r="J6723" s="403" t="s">
        <v>1374</v>
      </c>
      <c r="K6723" s="403">
        <v>2304</v>
      </c>
      <c r="L6723" s="403">
        <v>1296</v>
      </c>
      <c r="M6723" s="403" t="s">
        <v>1285</v>
      </c>
      <c r="N6723" s="403">
        <v>1280</v>
      </c>
      <c r="O6723" s="403">
        <v>1024</v>
      </c>
      <c r="P6723" t="str">
        <f t="shared" si="841"/>
        <v>20fps 2304x1296 - 1280x1024 5:4 (cropped)</v>
      </c>
      <c r="Q6723">
        <f t="shared" si="842"/>
        <v>37</v>
      </c>
      <c r="R6723" t="str">
        <f t="shared" si="843"/>
        <v/>
      </c>
      <c r="S6723" t="str">
        <f t="shared" si="844"/>
        <v/>
      </c>
      <c r="T6723" s="403" t="str">
        <f t="shared" si="845"/>
        <v>NTV-3503-F03L</v>
      </c>
      <c r="U6723" s="403">
        <f t="shared" si="846"/>
        <v>1</v>
      </c>
      <c r="V6723" s="403" t="str">
        <f t="shared" si="847"/>
        <v>CPP_7_3</v>
      </c>
    </row>
    <row r="6724" spans="1:22">
      <c r="A6724" t="str">
        <f t="shared" si="840"/>
        <v>NTV-3503-F03L</v>
      </c>
      <c r="B6724" s="403" t="s">
        <v>1464</v>
      </c>
      <c r="C6724" s="403" t="s">
        <v>582</v>
      </c>
      <c r="D6724" s="403" t="s">
        <v>1465</v>
      </c>
      <c r="E6724" s="403" t="s">
        <v>778</v>
      </c>
      <c r="F6724" s="403" t="s">
        <v>1375</v>
      </c>
      <c r="G6724" s="403" t="s">
        <v>1466</v>
      </c>
      <c r="H6724" s="403" t="s">
        <v>1276</v>
      </c>
      <c r="I6724" s="403">
        <v>1</v>
      </c>
      <c r="J6724" s="403" t="s">
        <v>1374</v>
      </c>
      <c r="K6724" s="403">
        <v>2304</v>
      </c>
      <c r="L6724" s="403">
        <v>1296</v>
      </c>
      <c r="M6724" s="403" t="s">
        <v>1283</v>
      </c>
      <c r="N6724" s="403">
        <v>720</v>
      </c>
      <c r="O6724" s="403">
        <v>480</v>
      </c>
      <c r="P6724" t="str">
        <f t="shared" si="841"/>
        <v>20fps 2304x1296 - SD 4CIF resolution 4:3 format (cropped)</v>
      </c>
      <c r="Q6724">
        <f t="shared" si="842"/>
        <v>37</v>
      </c>
      <c r="R6724" t="str">
        <f t="shared" si="843"/>
        <v/>
      </c>
      <c r="S6724" t="str">
        <f t="shared" si="844"/>
        <v/>
      </c>
      <c r="T6724" s="403" t="str">
        <f t="shared" si="845"/>
        <v>NTV-3503-F03L</v>
      </c>
      <c r="U6724" s="403">
        <f t="shared" si="846"/>
        <v>1</v>
      </c>
      <c r="V6724" s="403" t="str">
        <f t="shared" si="847"/>
        <v>CPP_7_3</v>
      </c>
    </row>
    <row r="6725" spans="1:22">
      <c r="A6725" t="str">
        <f t="shared" si="840"/>
        <v>NTV-3503-F03L</v>
      </c>
      <c r="B6725" s="403" t="s">
        <v>1464</v>
      </c>
      <c r="C6725" s="403" t="s">
        <v>582</v>
      </c>
      <c r="D6725" s="403" t="s">
        <v>1465</v>
      </c>
      <c r="E6725" s="403" t="s">
        <v>778</v>
      </c>
      <c r="F6725" s="403" t="s">
        <v>1375</v>
      </c>
      <c r="G6725" s="403" t="s">
        <v>1466</v>
      </c>
      <c r="H6725" s="403" t="s">
        <v>1276</v>
      </c>
      <c r="I6725" s="403">
        <v>1</v>
      </c>
      <c r="J6725" s="403" t="s">
        <v>1374</v>
      </c>
      <c r="K6725" s="403">
        <v>2304</v>
      </c>
      <c r="L6725" s="403">
        <v>1296</v>
      </c>
      <c r="M6725" s="403" t="s">
        <v>1284</v>
      </c>
      <c r="N6725" s="403">
        <v>640</v>
      </c>
      <c r="O6725" s="403">
        <v>480</v>
      </c>
      <c r="P6725" t="str">
        <f t="shared" si="841"/>
        <v>20fps 2304x1296 - SD VGA (cropped)</v>
      </c>
      <c r="Q6725">
        <f t="shared" si="842"/>
        <v>37</v>
      </c>
      <c r="R6725" t="str">
        <f t="shared" si="843"/>
        <v/>
      </c>
      <c r="S6725" t="str">
        <f t="shared" si="844"/>
        <v/>
      </c>
      <c r="T6725" s="403" t="str">
        <f t="shared" si="845"/>
        <v>NTV-3503-F03L</v>
      </c>
      <c r="U6725" s="403">
        <f t="shared" si="846"/>
        <v>1</v>
      </c>
      <c r="V6725" s="403" t="str">
        <f t="shared" si="847"/>
        <v>CPP_7_3</v>
      </c>
    </row>
    <row r="6726" spans="1:22">
      <c r="A6726" t="str">
        <f t="shared" si="840"/>
        <v>NTV-3503-F03L</v>
      </c>
      <c r="B6726" s="403" t="s">
        <v>1464</v>
      </c>
      <c r="C6726" s="403" t="s">
        <v>582</v>
      </c>
      <c r="D6726" s="403" t="s">
        <v>1465</v>
      </c>
      <c r="E6726" s="403" t="s">
        <v>778</v>
      </c>
      <c r="F6726" s="403" t="s">
        <v>1375</v>
      </c>
      <c r="G6726" s="403" t="s">
        <v>1466</v>
      </c>
      <c r="H6726" s="403" t="s">
        <v>1276</v>
      </c>
      <c r="I6726" s="403">
        <v>1</v>
      </c>
      <c r="J6726" s="403" t="s">
        <v>1374</v>
      </c>
      <c r="K6726" s="403">
        <v>2304</v>
      </c>
      <c r="L6726" s="403">
        <v>1296</v>
      </c>
      <c r="M6726" s="403" t="s">
        <v>1280</v>
      </c>
      <c r="N6726" s="403">
        <v>2304</v>
      </c>
      <c r="O6726" s="403">
        <v>1296</v>
      </c>
      <c r="P6726" t="str">
        <f t="shared" si="841"/>
        <v>20fps 2304x1296 - copy other stream</v>
      </c>
      <c r="Q6726">
        <f t="shared" si="842"/>
        <v>37</v>
      </c>
      <c r="R6726" t="str">
        <f t="shared" si="843"/>
        <v/>
      </c>
      <c r="S6726" t="str">
        <f t="shared" si="844"/>
        <v/>
      </c>
      <c r="T6726" s="403" t="str">
        <f t="shared" si="845"/>
        <v>NTV-3503-F03L</v>
      </c>
      <c r="U6726" s="403">
        <f t="shared" si="846"/>
        <v>1</v>
      </c>
      <c r="V6726" s="403" t="str">
        <f t="shared" si="847"/>
        <v>CPP_7_3</v>
      </c>
    </row>
    <row r="6727" spans="1:22">
      <c r="A6727" t="str">
        <f t="shared" si="840"/>
        <v>NTV-3503-F03L</v>
      </c>
      <c r="B6727" s="403" t="s">
        <v>1464</v>
      </c>
      <c r="C6727" s="403" t="s">
        <v>582</v>
      </c>
      <c r="D6727" s="403" t="s">
        <v>1465</v>
      </c>
      <c r="E6727" s="403" t="s">
        <v>778</v>
      </c>
      <c r="F6727" s="403" t="s">
        <v>1375</v>
      </c>
      <c r="G6727" s="403" t="s">
        <v>1466</v>
      </c>
      <c r="H6727" s="403" t="s">
        <v>1276</v>
      </c>
      <c r="I6727" s="403">
        <v>1</v>
      </c>
      <c r="J6727" s="403" t="s">
        <v>110</v>
      </c>
      <c r="K6727" s="403">
        <v>1920</v>
      </c>
      <c r="L6727" s="403">
        <v>1080</v>
      </c>
      <c r="M6727" s="403" t="s">
        <v>111</v>
      </c>
      <c r="N6727" s="403">
        <v>768</v>
      </c>
      <c r="O6727" s="403">
        <v>432</v>
      </c>
      <c r="P6727" t="str">
        <f t="shared" si="841"/>
        <v>20fps 1080p - SD</v>
      </c>
      <c r="Q6727">
        <f t="shared" si="842"/>
        <v>37</v>
      </c>
      <c r="R6727" t="str">
        <f t="shared" si="843"/>
        <v/>
      </c>
      <c r="S6727" t="str">
        <f t="shared" si="844"/>
        <v/>
      </c>
      <c r="T6727" s="403" t="str">
        <f t="shared" si="845"/>
        <v>NTV-3503-F03L</v>
      </c>
      <c r="U6727" s="403">
        <f t="shared" si="846"/>
        <v>1</v>
      </c>
      <c r="V6727" s="403" t="str">
        <f t="shared" si="847"/>
        <v>CPP_7_3</v>
      </c>
    </row>
    <row r="6728" spans="1:22">
      <c r="A6728" t="str">
        <f t="shared" si="840"/>
        <v>NTV-3503-F03L</v>
      </c>
      <c r="B6728" s="403" t="s">
        <v>1464</v>
      </c>
      <c r="C6728" s="403" t="s">
        <v>582</v>
      </c>
      <c r="D6728" s="403" t="s">
        <v>1465</v>
      </c>
      <c r="E6728" s="403" t="s">
        <v>778</v>
      </c>
      <c r="F6728" s="403" t="s">
        <v>1375</v>
      </c>
      <c r="G6728" s="403" t="s">
        <v>1466</v>
      </c>
      <c r="H6728" s="403" t="s">
        <v>1276</v>
      </c>
      <c r="I6728" s="403">
        <v>1</v>
      </c>
      <c r="J6728" s="403" t="s">
        <v>110</v>
      </c>
      <c r="K6728" s="403">
        <v>1920</v>
      </c>
      <c r="L6728" s="403">
        <v>1080</v>
      </c>
      <c r="M6728" s="403" t="s">
        <v>110</v>
      </c>
      <c r="N6728" s="403">
        <v>1920</v>
      </c>
      <c r="O6728" s="403">
        <v>1080</v>
      </c>
      <c r="P6728" t="str">
        <f t="shared" si="841"/>
        <v>20fps 1080p - 1080p</v>
      </c>
      <c r="Q6728">
        <f t="shared" si="842"/>
        <v>37</v>
      </c>
      <c r="R6728" t="str">
        <f t="shared" si="843"/>
        <v/>
      </c>
      <c r="S6728" t="str">
        <f t="shared" si="844"/>
        <v/>
      </c>
      <c r="T6728" s="403" t="str">
        <f t="shared" si="845"/>
        <v>NTV-3503-F03L</v>
      </c>
      <c r="U6728" s="403">
        <f t="shared" si="846"/>
        <v>1</v>
      </c>
      <c r="V6728" s="403" t="str">
        <f t="shared" si="847"/>
        <v>CPP_7_3</v>
      </c>
    </row>
    <row r="6729" spans="1:22">
      <c r="A6729" t="str">
        <f t="shared" si="840"/>
        <v>NTV-3503-F03L</v>
      </c>
      <c r="B6729" s="403" t="s">
        <v>1464</v>
      </c>
      <c r="C6729" s="403" t="s">
        <v>582</v>
      </c>
      <c r="D6729" s="403" t="s">
        <v>1465</v>
      </c>
      <c r="E6729" s="403" t="s">
        <v>778</v>
      </c>
      <c r="F6729" s="403" t="s">
        <v>1375</v>
      </c>
      <c r="G6729" s="403" t="s">
        <v>1466</v>
      </c>
      <c r="H6729" s="403" t="s">
        <v>1276</v>
      </c>
      <c r="I6729" s="403">
        <v>1</v>
      </c>
      <c r="J6729" s="403" t="s">
        <v>110</v>
      </c>
      <c r="K6729" s="403">
        <v>1920</v>
      </c>
      <c r="L6729" s="403">
        <v>1080</v>
      </c>
      <c r="M6729" s="403" t="s">
        <v>109</v>
      </c>
      <c r="N6729" s="403">
        <v>1280</v>
      </c>
      <c r="O6729" s="403">
        <v>720</v>
      </c>
      <c r="P6729" t="str">
        <f t="shared" si="841"/>
        <v>20fps 1080p - 720p</v>
      </c>
      <c r="Q6729">
        <f t="shared" si="842"/>
        <v>37</v>
      </c>
      <c r="R6729" t="str">
        <f t="shared" si="843"/>
        <v/>
      </c>
      <c r="S6729" t="str">
        <f t="shared" si="844"/>
        <v/>
      </c>
      <c r="T6729" s="403" t="str">
        <f t="shared" si="845"/>
        <v>NTV-3503-F03L</v>
      </c>
      <c r="U6729" s="403">
        <f t="shared" si="846"/>
        <v>1</v>
      </c>
      <c r="V6729" s="403" t="str">
        <f t="shared" si="847"/>
        <v>CPP_7_3</v>
      </c>
    </row>
    <row r="6730" spans="1:22">
      <c r="A6730" t="str">
        <f t="shared" si="840"/>
        <v>NTV-3503-F03L</v>
      </c>
      <c r="B6730" s="403" t="s">
        <v>1464</v>
      </c>
      <c r="C6730" s="403" t="s">
        <v>582</v>
      </c>
      <c r="D6730" s="403" t="s">
        <v>1465</v>
      </c>
      <c r="E6730" s="403" t="s">
        <v>778</v>
      </c>
      <c r="F6730" s="403" t="s">
        <v>1375</v>
      </c>
      <c r="G6730" s="403" t="s">
        <v>1466</v>
      </c>
      <c r="H6730" s="403" t="s">
        <v>1276</v>
      </c>
      <c r="I6730" s="403">
        <v>1</v>
      </c>
      <c r="J6730" s="403" t="s">
        <v>110</v>
      </c>
      <c r="K6730" s="403">
        <v>1920</v>
      </c>
      <c r="L6730" s="403">
        <v>1080</v>
      </c>
      <c r="M6730" s="403" t="s">
        <v>1285</v>
      </c>
      <c r="N6730" s="403">
        <v>1280</v>
      </c>
      <c r="O6730" s="403">
        <v>1024</v>
      </c>
      <c r="P6730" t="str">
        <f t="shared" si="841"/>
        <v>20fps 1080p - 1280x1024 5:4 (cropped)</v>
      </c>
      <c r="Q6730">
        <f t="shared" si="842"/>
        <v>37</v>
      </c>
      <c r="R6730" t="str">
        <f t="shared" si="843"/>
        <v/>
      </c>
      <c r="S6730" t="str">
        <f t="shared" si="844"/>
        <v/>
      </c>
      <c r="T6730" s="403" t="str">
        <f t="shared" si="845"/>
        <v>NTV-3503-F03L</v>
      </c>
      <c r="U6730" s="403">
        <f t="shared" si="846"/>
        <v>1</v>
      </c>
      <c r="V6730" s="403" t="str">
        <f t="shared" si="847"/>
        <v>CPP_7_3</v>
      </c>
    </row>
    <row r="6731" spans="1:22">
      <c r="A6731" t="str">
        <f t="shared" si="840"/>
        <v>NTV-3503-F03L</v>
      </c>
      <c r="B6731" s="403" t="s">
        <v>1464</v>
      </c>
      <c r="C6731" s="403" t="s">
        <v>582</v>
      </c>
      <c r="D6731" s="403" t="s">
        <v>1465</v>
      </c>
      <c r="E6731" s="403" t="s">
        <v>778</v>
      </c>
      <c r="F6731" s="403" t="s">
        <v>1375</v>
      </c>
      <c r="G6731" s="403" t="s">
        <v>1466</v>
      </c>
      <c r="H6731" s="403" t="s">
        <v>1276</v>
      </c>
      <c r="I6731" s="403">
        <v>1</v>
      </c>
      <c r="J6731" s="403" t="s">
        <v>110</v>
      </c>
      <c r="K6731" s="403">
        <v>1920</v>
      </c>
      <c r="L6731" s="403">
        <v>1080</v>
      </c>
      <c r="M6731" s="403" t="s">
        <v>1279</v>
      </c>
      <c r="N6731" s="403">
        <v>768</v>
      </c>
      <c r="O6731" s="403">
        <v>432</v>
      </c>
      <c r="P6731" t="str">
        <f t="shared" si="841"/>
        <v>20fps 1080p - SD ROI PTZ</v>
      </c>
      <c r="Q6731">
        <f t="shared" si="842"/>
        <v>37</v>
      </c>
      <c r="R6731" t="str">
        <f t="shared" si="843"/>
        <v/>
      </c>
      <c r="S6731" t="str">
        <f t="shared" si="844"/>
        <v/>
      </c>
      <c r="T6731" s="403" t="str">
        <f t="shared" si="845"/>
        <v>NTV-3503-F03L</v>
      </c>
      <c r="U6731" s="403">
        <f t="shared" si="846"/>
        <v>1</v>
      </c>
      <c r="V6731" s="403" t="str">
        <f t="shared" si="847"/>
        <v>CPP_7_3</v>
      </c>
    </row>
    <row r="6732" spans="1:22">
      <c r="A6732" t="str">
        <f t="shared" si="840"/>
        <v>NTV-3503-F03L</v>
      </c>
      <c r="B6732" s="403" t="s">
        <v>1464</v>
      </c>
      <c r="C6732" s="403" t="s">
        <v>582</v>
      </c>
      <c r="D6732" s="403" t="s">
        <v>1465</v>
      </c>
      <c r="E6732" s="403" t="s">
        <v>778</v>
      </c>
      <c r="F6732" s="403" t="s">
        <v>1375</v>
      </c>
      <c r="G6732" s="403" t="s">
        <v>1466</v>
      </c>
      <c r="H6732" s="403" t="s">
        <v>1276</v>
      </c>
      <c r="I6732" s="403">
        <v>1</v>
      </c>
      <c r="J6732" s="403" t="s">
        <v>110</v>
      </c>
      <c r="K6732" s="403">
        <v>1920</v>
      </c>
      <c r="L6732" s="403">
        <v>1080</v>
      </c>
      <c r="M6732" s="403" t="s">
        <v>1283</v>
      </c>
      <c r="N6732" s="403">
        <v>720</v>
      </c>
      <c r="O6732" s="403">
        <v>480</v>
      </c>
      <c r="P6732" t="str">
        <f t="shared" si="841"/>
        <v>20fps 1080p - SD 4CIF resolution 4:3 format (cropped)</v>
      </c>
      <c r="Q6732">
        <f t="shared" si="842"/>
        <v>37</v>
      </c>
      <c r="R6732" t="str">
        <f t="shared" si="843"/>
        <v/>
      </c>
      <c r="S6732" t="str">
        <f t="shared" si="844"/>
        <v/>
      </c>
      <c r="T6732" s="403" t="str">
        <f t="shared" si="845"/>
        <v>NTV-3503-F03L</v>
      </c>
      <c r="U6732" s="403">
        <f t="shared" si="846"/>
        <v>1</v>
      </c>
      <c r="V6732" s="403" t="str">
        <f t="shared" si="847"/>
        <v>CPP_7_3</v>
      </c>
    </row>
    <row r="6733" spans="1:22">
      <c r="A6733" t="str">
        <f t="shared" si="840"/>
        <v>NTV-3503-F03L</v>
      </c>
      <c r="B6733" s="403" t="s">
        <v>1464</v>
      </c>
      <c r="C6733" s="403" t="s">
        <v>582</v>
      </c>
      <c r="D6733" s="403" t="s">
        <v>1465</v>
      </c>
      <c r="E6733" s="403" t="s">
        <v>778</v>
      </c>
      <c r="F6733" s="403" t="s">
        <v>1375</v>
      </c>
      <c r="G6733" s="403" t="s">
        <v>1466</v>
      </c>
      <c r="H6733" s="403" t="s">
        <v>1276</v>
      </c>
      <c r="I6733" s="403">
        <v>1</v>
      </c>
      <c r="J6733" s="403" t="s">
        <v>110</v>
      </c>
      <c r="K6733" s="403">
        <v>1920</v>
      </c>
      <c r="L6733" s="403">
        <v>1080</v>
      </c>
      <c r="M6733" s="403" t="s">
        <v>1284</v>
      </c>
      <c r="N6733" s="403">
        <v>640</v>
      </c>
      <c r="O6733" s="403">
        <v>480</v>
      </c>
      <c r="P6733" t="str">
        <f t="shared" si="841"/>
        <v>20fps 1080p - SD VGA (cropped)</v>
      </c>
      <c r="Q6733">
        <f t="shared" si="842"/>
        <v>37</v>
      </c>
      <c r="R6733" t="str">
        <f t="shared" si="843"/>
        <v/>
      </c>
      <c r="S6733" t="str">
        <f t="shared" si="844"/>
        <v/>
      </c>
      <c r="T6733" s="403" t="str">
        <f t="shared" si="845"/>
        <v>NTV-3503-F03L</v>
      </c>
      <c r="U6733" s="403">
        <f t="shared" si="846"/>
        <v>1</v>
      </c>
      <c r="V6733" s="403" t="str">
        <f t="shared" si="847"/>
        <v>CPP_7_3</v>
      </c>
    </row>
    <row r="6734" spans="1:22">
      <c r="A6734" t="str">
        <f t="shared" si="840"/>
        <v>NTV-3503-F03L</v>
      </c>
      <c r="B6734" s="403" t="s">
        <v>1464</v>
      </c>
      <c r="C6734" s="403" t="s">
        <v>582</v>
      </c>
      <c r="D6734" s="403" t="s">
        <v>1465</v>
      </c>
      <c r="E6734" s="403" t="s">
        <v>778</v>
      </c>
      <c r="F6734" s="403" t="s">
        <v>1375</v>
      </c>
      <c r="G6734" s="403" t="s">
        <v>1466</v>
      </c>
      <c r="H6734" s="403" t="s">
        <v>1276</v>
      </c>
      <c r="I6734" s="403">
        <v>1</v>
      </c>
      <c r="J6734" s="403" t="s">
        <v>109</v>
      </c>
      <c r="K6734" s="403">
        <v>1280</v>
      </c>
      <c r="L6734" s="403">
        <v>720</v>
      </c>
      <c r="M6734" s="403" t="s">
        <v>109</v>
      </c>
      <c r="N6734" s="403">
        <v>1280</v>
      </c>
      <c r="O6734" s="403">
        <v>720</v>
      </c>
      <c r="P6734" t="str">
        <f t="shared" si="841"/>
        <v>20fps 720p - 720p</v>
      </c>
      <c r="Q6734">
        <f t="shared" si="842"/>
        <v>37</v>
      </c>
      <c r="R6734" t="str">
        <f t="shared" si="843"/>
        <v/>
      </c>
      <c r="S6734" t="str">
        <f t="shared" si="844"/>
        <v/>
      </c>
      <c r="T6734" s="403" t="str">
        <f t="shared" si="845"/>
        <v>NTV-3503-F03L</v>
      </c>
      <c r="U6734" s="403">
        <f t="shared" si="846"/>
        <v>1</v>
      </c>
      <c r="V6734" s="403" t="str">
        <f t="shared" si="847"/>
        <v>CPP_7_3</v>
      </c>
    </row>
    <row r="6735" spans="1:22">
      <c r="A6735" t="str">
        <f t="shared" si="840"/>
        <v>NTV-3503-F03L</v>
      </c>
      <c r="B6735" s="403" t="s">
        <v>1464</v>
      </c>
      <c r="C6735" s="403" t="s">
        <v>582</v>
      </c>
      <c r="D6735" s="403" t="s">
        <v>1465</v>
      </c>
      <c r="E6735" s="403" t="s">
        <v>778</v>
      </c>
      <c r="F6735" s="403" t="s">
        <v>1375</v>
      </c>
      <c r="G6735" s="403" t="s">
        <v>1466</v>
      </c>
      <c r="H6735" s="403" t="s">
        <v>1276</v>
      </c>
      <c r="I6735" s="403">
        <v>1</v>
      </c>
      <c r="J6735" s="403" t="s">
        <v>109</v>
      </c>
      <c r="K6735" s="403">
        <v>1280</v>
      </c>
      <c r="L6735" s="403">
        <v>720</v>
      </c>
      <c r="M6735" s="403" t="s">
        <v>111</v>
      </c>
      <c r="N6735" s="403">
        <v>768</v>
      </c>
      <c r="O6735" s="403">
        <v>432</v>
      </c>
      <c r="P6735" t="str">
        <f t="shared" si="841"/>
        <v>20fps 720p - SD</v>
      </c>
      <c r="Q6735">
        <f t="shared" si="842"/>
        <v>37</v>
      </c>
      <c r="R6735" t="str">
        <f t="shared" si="843"/>
        <v/>
      </c>
      <c r="S6735" t="str">
        <f t="shared" si="844"/>
        <v/>
      </c>
      <c r="T6735" s="403" t="str">
        <f t="shared" si="845"/>
        <v>NTV-3503-F03L</v>
      </c>
      <c r="U6735" s="403">
        <f t="shared" si="846"/>
        <v>1</v>
      </c>
      <c r="V6735" s="403" t="str">
        <f t="shared" si="847"/>
        <v>CPP_7_3</v>
      </c>
    </row>
    <row r="6736" spans="1:22">
      <c r="A6736" t="str">
        <f t="shared" si="840"/>
        <v>NTV-3503-F03L</v>
      </c>
      <c r="B6736" s="403" t="s">
        <v>1464</v>
      </c>
      <c r="C6736" s="403" t="s">
        <v>582</v>
      </c>
      <c r="D6736" s="403" t="s">
        <v>1465</v>
      </c>
      <c r="E6736" s="403" t="s">
        <v>778</v>
      </c>
      <c r="F6736" s="403" t="s">
        <v>1375</v>
      </c>
      <c r="G6736" s="403" t="s">
        <v>1466</v>
      </c>
      <c r="H6736" s="403" t="s">
        <v>1276</v>
      </c>
      <c r="I6736" s="403">
        <v>1</v>
      </c>
      <c r="J6736" s="403" t="s">
        <v>109</v>
      </c>
      <c r="K6736" s="403">
        <v>1280</v>
      </c>
      <c r="L6736" s="403">
        <v>720</v>
      </c>
      <c r="M6736" s="403" t="s">
        <v>1279</v>
      </c>
      <c r="N6736" s="403">
        <v>768</v>
      </c>
      <c r="O6736" s="403">
        <v>432</v>
      </c>
      <c r="P6736" t="str">
        <f t="shared" si="841"/>
        <v>20fps 720p - SD ROI PTZ</v>
      </c>
      <c r="Q6736">
        <f t="shared" si="842"/>
        <v>37</v>
      </c>
      <c r="R6736" t="str">
        <f t="shared" si="843"/>
        <v/>
      </c>
      <c r="S6736" t="str">
        <f t="shared" si="844"/>
        <v/>
      </c>
      <c r="T6736" s="403" t="str">
        <f t="shared" si="845"/>
        <v>NTV-3503-F03L</v>
      </c>
      <c r="U6736" s="403">
        <f t="shared" si="846"/>
        <v>1</v>
      </c>
      <c r="V6736" s="403" t="str">
        <f t="shared" si="847"/>
        <v>CPP_7_3</v>
      </c>
    </row>
    <row r="6737" spans="1:22">
      <c r="A6737" t="str">
        <f t="shared" si="840"/>
        <v>NTV-3503-F03L</v>
      </c>
      <c r="B6737" s="403" t="s">
        <v>1464</v>
      </c>
      <c r="C6737" s="403" t="s">
        <v>582</v>
      </c>
      <c r="D6737" s="403" t="s">
        <v>1465</v>
      </c>
      <c r="E6737" s="403" t="s">
        <v>778</v>
      </c>
      <c r="F6737" s="403" t="s">
        <v>1375</v>
      </c>
      <c r="G6737" s="403" t="s">
        <v>1466</v>
      </c>
      <c r="H6737" s="403" t="s">
        <v>1276</v>
      </c>
      <c r="I6737" s="403">
        <v>1</v>
      </c>
      <c r="J6737" s="403" t="s">
        <v>109</v>
      </c>
      <c r="K6737" s="403">
        <v>1280</v>
      </c>
      <c r="L6737" s="403">
        <v>720</v>
      </c>
      <c r="M6737" s="403" t="s">
        <v>1283</v>
      </c>
      <c r="N6737" s="403">
        <v>720</v>
      </c>
      <c r="O6737" s="403">
        <v>480</v>
      </c>
      <c r="P6737" t="str">
        <f t="shared" si="841"/>
        <v>20fps 720p - SD 4CIF resolution 4:3 format (cropped)</v>
      </c>
      <c r="Q6737">
        <f t="shared" si="842"/>
        <v>37</v>
      </c>
      <c r="R6737" t="str">
        <f t="shared" si="843"/>
        <v/>
      </c>
      <c r="S6737" t="str">
        <f t="shared" si="844"/>
        <v/>
      </c>
      <c r="T6737" s="403" t="str">
        <f t="shared" si="845"/>
        <v>NTV-3503-F03L</v>
      </c>
      <c r="U6737" s="403">
        <f t="shared" si="846"/>
        <v>1</v>
      </c>
      <c r="V6737" s="403" t="str">
        <f t="shared" si="847"/>
        <v>CPP_7_3</v>
      </c>
    </row>
    <row r="6738" spans="1:22">
      <c r="A6738" t="str">
        <f t="shared" si="840"/>
        <v>NTV-3503-F03L</v>
      </c>
      <c r="B6738" s="403" t="s">
        <v>1464</v>
      </c>
      <c r="C6738" s="403" t="s">
        <v>582</v>
      </c>
      <c r="D6738" s="403" t="s">
        <v>1465</v>
      </c>
      <c r="E6738" s="403" t="s">
        <v>778</v>
      </c>
      <c r="F6738" s="403" t="s">
        <v>1375</v>
      </c>
      <c r="G6738" s="403" t="s">
        <v>1466</v>
      </c>
      <c r="H6738" s="403" t="s">
        <v>1276</v>
      </c>
      <c r="I6738" s="403">
        <v>1</v>
      </c>
      <c r="J6738" s="403" t="s">
        <v>109</v>
      </c>
      <c r="K6738" s="403">
        <v>1280</v>
      </c>
      <c r="L6738" s="403">
        <v>720</v>
      </c>
      <c r="M6738" s="403" t="s">
        <v>1284</v>
      </c>
      <c r="N6738" s="403">
        <v>640</v>
      </c>
      <c r="O6738" s="403">
        <v>480</v>
      </c>
      <c r="P6738" t="str">
        <f t="shared" si="841"/>
        <v>20fps 720p - SD VGA (cropped)</v>
      </c>
      <c r="Q6738">
        <f t="shared" si="842"/>
        <v>37</v>
      </c>
      <c r="R6738" t="str">
        <f t="shared" si="843"/>
        <v/>
      </c>
      <c r="S6738" t="str">
        <f t="shared" si="844"/>
        <v/>
      </c>
      <c r="T6738" s="403" t="str">
        <f t="shared" si="845"/>
        <v>NTV-3503-F03L</v>
      </c>
      <c r="U6738" s="403">
        <f t="shared" si="846"/>
        <v>1</v>
      </c>
      <c r="V6738" s="403" t="str">
        <f t="shared" si="847"/>
        <v>CPP_7_3</v>
      </c>
    </row>
    <row r="6739" spans="1:22">
      <c r="A6739" t="str">
        <f t="shared" si="840"/>
        <v>NTV-3503-F03L</v>
      </c>
      <c r="B6739" s="403" t="s">
        <v>1464</v>
      </c>
      <c r="C6739" s="403" t="s">
        <v>582</v>
      </c>
      <c r="D6739" s="403" t="s">
        <v>1465</v>
      </c>
      <c r="E6739" s="403" t="s">
        <v>778</v>
      </c>
      <c r="F6739" s="403" t="s">
        <v>1375</v>
      </c>
      <c r="G6739" s="403" t="s">
        <v>1466</v>
      </c>
      <c r="H6739" s="403" t="s">
        <v>1281</v>
      </c>
      <c r="I6739" s="403">
        <v>1</v>
      </c>
      <c r="J6739" s="403" t="s">
        <v>1377</v>
      </c>
      <c r="K6739" s="403">
        <v>2720</v>
      </c>
      <c r="L6739" s="403">
        <v>1528</v>
      </c>
      <c r="M6739" s="403" t="s">
        <v>1280</v>
      </c>
      <c r="N6739" s="403">
        <v>2720</v>
      </c>
      <c r="O6739" s="403">
        <v>1528</v>
      </c>
      <c r="P6739" t="str">
        <f t="shared" si="841"/>
        <v>20fps 2720x1530 - copy other stream</v>
      </c>
      <c r="Q6739">
        <f t="shared" si="842"/>
        <v>37</v>
      </c>
      <c r="R6739" t="str">
        <f t="shared" si="843"/>
        <v/>
      </c>
      <c r="S6739" t="str">
        <f t="shared" si="844"/>
        <v/>
      </c>
      <c r="T6739" s="403" t="str">
        <f t="shared" si="845"/>
        <v>NTV-3503-F03L</v>
      </c>
      <c r="U6739" s="403">
        <f t="shared" si="846"/>
        <v>1</v>
      </c>
      <c r="V6739" s="403" t="str">
        <f t="shared" si="847"/>
        <v>CPP_7_3</v>
      </c>
    </row>
    <row r="6740" spans="1:22">
      <c r="A6740" t="str">
        <f t="shared" si="840"/>
        <v>NTV-3503-F03L</v>
      </c>
      <c r="B6740" s="403" t="s">
        <v>1464</v>
      </c>
      <c r="C6740" s="403" t="s">
        <v>582</v>
      </c>
      <c r="D6740" s="403" t="s">
        <v>1465</v>
      </c>
      <c r="E6740" s="403" t="s">
        <v>778</v>
      </c>
      <c r="F6740" s="403" t="s">
        <v>1375</v>
      </c>
      <c r="G6740" s="403" t="s">
        <v>1466</v>
      </c>
      <c r="H6740" s="403" t="s">
        <v>1281</v>
      </c>
      <c r="I6740" s="403">
        <v>1</v>
      </c>
      <c r="J6740" s="403" t="s">
        <v>1374</v>
      </c>
      <c r="K6740" s="403">
        <v>2304</v>
      </c>
      <c r="L6740" s="403">
        <v>1296</v>
      </c>
      <c r="M6740" s="403" t="s">
        <v>109</v>
      </c>
      <c r="N6740" s="403">
        <v>1280</v>
      </c>
      <c r="O6740" s="403">
        <v>720</v>
      </c>
      <c r="P6740" t="str">
        <f t="shared" si="841"/>
        <v>20fps 2304x1296 - 720p</v>
      </c>
      <c r="Q6740">
        <f t="shared" si="842"/>
        <v>37</v>
      </c>
      <c r="R6740" t="str">
        <f t="shared" si="843"/>
        <v/>
      </c>
      <c r="S6740" t="str">
        <f t="shared" si="844"/>
        <v/>
      </c>
      <c r="T6740" s="403" t="str">
        <f t="shared" si="845"/>
        <v>NTV-3503-F03L</v>
      </c>
      <c r="U6740" s="403">
        <f t="shared" si="846"/>
        <v>1</v>
      </c>
      <c r="V6740" s="403" t="str">
        <f t="shared" si="847"/>
        <v>CPP_7_3</v>
      </c>
    </row>
    <row r="6741" spans="1:22">
      <c r="A6741" t="str">
        <f t="shared" si="840"/>
        <v>NTV-3503-F03L</v>
      </c>
      <c r="B6741" s="403" t="s">
        <v>1464</v>
      </c>
      <c r="C6741" s="403" t="s">
        <v>582</v>
      </c>
      <c r="D6741" s="403" t="s">
        <v>1465</v>
      </c>
      <c r="E6741" s="403" t="s">
        <v>778</v>
      </c>
      <c r="F6741" s="403" t="s">
        <v>1375</v>
      </c>
      <c r="G6741" s="403" t="s">
        <v>1466</v>
      </c>
      <c r="H6741" s="403" t="s">
        <v>1281</v>
      </c>
      <c r="I6741" s="403">
        <v>1</v>
      </c>
      <c r="J6741" s="403" t="s">
        <v>1374</v>
      </c>
      <c r="K6741" s="403">
        <v>2304</v>
      </c>
      <c r="L6741" s="403">
        <v>1296</v>
      </c>
      <c r="M6741" s="403" t="s">
        <v>111</v>
      </c>
      <c r="N6741" s="403">
        <v>768</v>
      </c>
      <c r="O6741" s="403">
        <v>432</v>
      </c>
      <c r="P6741" t="str">
        <f t="shared" si="841"/>
        <v>20fps 2304x1296 - SD</v>
      </c>
      <c r="Q6741">
        <f t="shared" si="842"/>
        <v>37</v>
      </c>
      <c r="R6741" t="str">
        <f t="shared" si="843"/>
        <v/>
      </c>
      <c r="S6741" t="str">
        <f t="shared" si="844"/>
        <v/>
      </c>
      <c r="T6741" s="403" t="str">
        <f t="shared" si="845"/>
        <v>NTV-3503-F03L</v>
      </c>
      <c r="U6741" s="403">
        <f t="shared" si="846"/>
        <v>1</v>
      </c>
      <c r="V6741" s="403" t="str">
        <f t="shared" si="847"/>
        <v>CPP_7_3</v>
      </c>
    </row>
    <row r="6742" spans="1:22">
      <c r="A6742" t="str">
        <f t="shared" si="840"/>
        <v>NTV-3503-F03L</v>
      </c>
      <c r="B6742" s="403" t="s">
        <v>1464</v>
      </c>
      <c r="C6742" s="403" t="s">
        <v>582</v>
      </c>
      <c r="D6742" s="403" t="s">
        <v>1465</v>
      </c>
      <c r="E6742" s="403" t="s">
        <v>778</v>
      </c>
      <c r="F6742" s="403" t="s">
        <v>1375</v>
      </c>
      <c r="G6742" s="403" t="s">
        <v>1466</v>
      </c>
      <c r="H6742" s="403" t="s">
        <v>1281</v>
      </c>
      <c r="I6742" s="403">
        <v>1</v>
      </c>
      <c r="J6742" s="403" t="s">
        <v>1374</v>
      </c>
      <c r="K6742" s="403">
        <v>2304</v>
      </c>
      <c r="L6742" s="403">
        <v>1296</v>
      </c>
      <c r="M6742" s="403" t="s">
        <v>1279</v>
      </c>
      <c r="N6742" s="403">
        <v>768</v>
      </c>
      <c r="O6742" s="403">
        <v>432</v>
      </c>
      <c r="P6742" t="str">
        <f t="shared" si="841"/>
        <v>20fps 2304x1296 - SD ROI PTZ</v>
      </c>
      <c r="Q6742">
        <f t="shared" si="842"/>
        <v>37</v>
      </c>
      <c r="R6742" t="str">
        <f t="shared" si="843"/>
        <v/>
      </c>
      <c r="S6742" t="str">
        <f t="shared" si="844"/>
        <v/>
      </c>
      <c r="T6742" s="403" t="str">
        <f t="shared" si="845"/>
        <v>NTV-3503-F03L</v>
      </c>
      <c r="U6742" s="403">
        <f t="shared" si="846"/>
        <v>1</v>
      </c>
      <c r="V6742" s="403" t="str">
        <f t="shared" si="847"/>
        <v>CPP_7_3</v>
      </c>
    </row>
    <row r="6743" spans="1:22">
      <c r="A6743" t="str">
        <f t="shared" si="840"/>
        <v>NTV-3503-F03L</v>
      </c>
      <c r="B6743" s="403" t="s">
        <v>1464</v>
      </c>
      <c r="C6743" s="403" t="s">
        <v>582</v>
      </c>
      <c r="D6743" s="403" t="s">
        <v>1465</v>
      </c>
      <c r="E6743" s="403" t="s">
        <v>778</v>
      </c>
      <c r="F6743" s="403" t="s">
        <v>1375</v>
      </c>
      <c r="G6743" s="403" t="s">
        <v>1466</v>
      </c>
      <c r="H6743" s="403" t="s">
        <v>1281</v>
      </c>
      <c r="I6743" s="403">
        <v>1</v>
      </c>
      <c r="J6743" s="403" t="s">
        <v>1374</v>
      </c>
      <c r="K6743" s="403">
        <v>2304</v>
      </c>
      <c r="L6743" s="403">
        <v>1296</v>
      </c>
      <c r="M6743" s="403" t="s">
        <v>1285</v>
      </c>
      <c r="N6743" s="403">
        <v>1280</v>
      </c>
      <c r="O6743" s="403">
        <v>1024</v>
      </c>
      <c r="P6743" t="str">
        <f t="shared" si="841"/>
        <v>20fps 2304x1296 - 1280x1024 5:4 (cropped)</v>
      </c>
      <c r="Q6743">
        <f t="shared" si="842"/>
        <v>37</v>
      </c>
      <c r="R6743" t="str">
        <f t="shared" si="843"/>
        <v/>
      </c>
      <c r="S6743" t="str">
        <f t="shared" si="844"/>
        <v/>
      </c>
      <c r="T6743" s="403" t="str">
        <f t="shared" si="845"/>
        <v>NTV-3503-F03L</v>
      </c>
      <c r="U6743" s="403">
        <f t="shared" si="846"/>
        <v>1</v>
      </c>
      <c r="V6743" s="403" t="str">
        <f t="shared" si="847"/>
        <v>CPP_7_3</v>
      </c>
    </row>
    <row r="6744" spans="1:22">
      <c r="A6744" t="str">
        <f t="shared" si="840"/>
        <v>NTV-3503-F03L</v>
      </c>
      <c r="B6744" s="403" t="s">
        <v>1464</v>
      </c>
      <c r="C6744" s="403" t="s">
        <v>582</v>
      </c>
      <c r="D6744" s="403" t="s">
        <v>1465</v>
      </c>
      <c r="E6744" s="403" t="s">
        <v>778</v>
      </c>
      <c r="F6744" s="403" t="s">
        <v>1375</v>
      </c>
      <c r="G6744" s="403" t="s">
        <v>1466</v>
      </c>
      <c r="H6744" s="403" t="s">
        <v>1281</v>
      </c>
      <c r="I6744" s="403">
        <v>1</v>
      </c>
      <c r="J6744" s="403" t="s">
        <v>1374</v>
      </c>
      <c r="K6744" s="403">
        <v>2304</v>
      </c>
      <c r="L6744" s="403">
        <v>1296</v>
      </c>
      <c r="M6744" s="403" t="s">
        <v>1283</v>
      </c>
      <c r="N6744" s="403">
        <v>720</v>
      </c>
      <c r="O6744" s="403">
        <v>480</v>
      </c>
      <c r="P6744" t="str">
        <f t="shared" si="841"/>
        <v>20fps 2304x1296 - SD 4CIF resolution 4:3 format (cropped)</v>
      </c>
      <c r="Q6744">
        <f t="shared" si="842"/>
        <v>37</v>
      </c>
      <c r="R6744" t="str">
        <f t="shared" si="843"/>
        <v/>
      </c>
      <c r="S6744" t="str">
        <f t="shared" si="844"/>
        <v/>
      </c>
      <c r="T6744" s="403" t="str">
        <f t="shared" si="845"/>
        <v>NTV-3503-F03L</v>
      </c>
      <c r="U6744" s="403">
        <f t="shared" si="846"/>
        <v>1</v>
      </c>
      <c r="V6744" s="403" t="str">
        <f t="shared" si="847"/>
        <v>CPP_7_3</v>
      </c>
    </row>
    <row r="6745" spans="1:22">
      <c r="A6745" t="str">
        <f t="shared" si="840"/>
        <v>NTV-3503-F03L</v>
      </c>
      <c r="B6745" s="403" t="s">
        <v>1464</v>
      </c>
      <c r="C6745" s="403" t="s">
        <v>582</v>
      </c>
      <c r="D6745" s="403" t="s">
        <v>1465</v>
      </c>
      <c r="E6745" s="403" t="s">
        <v>778</v>
      </c>
      <c r="F6745" s="403" t="s">
        <v>1375</v>
      </c>
      <c r="G6745" s="403" t="s">
        <v>1466</v>
      </c>
      <c r="H6745" s="403" t="s">
        <v>1281</v>
      </c>
      <c r="I6745" s="403">
        <v>1</v>
      </c>
      <c r="J6745" s="403" t="s">
        <v>1374</v>
      </c>
      <c r="K6745" s="403">
        <v>2304</v>
      </c>
      <c r="L6745" s="403">
        <v>1296</v>
      </c>
      <c r="M6745" s="403" t="s">
        <v>1284</v>
      </c>
      <c r="N6745" s="403">
        <v>640</v>
      </c>
      <c r="O6745" s="403">
        <v>480</v>
      </c>
      <c r="P6745" t="str">
        <f t="shared" si="841"/>
        <v>20fps 2304x1296 - SD VGA (cropped)</v>
      </c>
      <c r="Q6745">
        <f t="shared" si="842"/>
        <v>37</v>
      </c>
      <c r="R6745" t="str">
        <f t="shared" si="843"/>
        <v/>
      </c>
      <c r="S6745" t="str">
        <f t="shared" si="844"/>
        <v/>
      </c>
      <c r="T6745" s="403" t="str">
        <f t="shared" si="845"/>
        <v>NTV-3503-F03L</v>
      </c>
      <c r="U6745" s="403">
        <f t="shared" si="846"/>
        <v>1</v>
      </c>
      <c r="V6745" s="403" t="str">
        <f t="shared" si="847"/>
        <v>CPP_7_3</v>
      </c>
    </row>
    <row r="6746" spans="1:22">
      <c r="A6746" t="str">
        <f t="shared" si="840"/>
        <v>NTV-3503-F03L</v>
      </c>
      <c r="B6746" s="403" t="s">
        <v>1464</v>
      </c>
      <c r="C6746" s="403" t="s">
        <v>582</v>
      </c>
      <c r="D6746" s="403" t="s">
        <v>1465</v>
      </c>
      <c r="E6746" s="403" t="s">
        <v>778</v>
      </c>
      <c r="F6746" s="403" t="s">
        <v>1375</v>
      </c>
      <c r="G6746" s="403" t="s">
        <v>1466</v>
      </c>
      <c r="H6746" s="403" t="s">
        <v>1281</v>
      </c>
      <c r="I6746" s="403">
        <v>1</v>
      </c>
      <c r="J6746" s="403" t="s">
        <v>1374</v>
      </c>
      <c r="K6746" s="403">
        <v>2304</v>
      </c>
      <c r="L6746" s="403">
        <v>1296</v>
      </c>
      <c r="M6746" s="403" t="s">
        <v>1280</v>
      </c>
      <c r="N6746" s="403">
        <v>2304</v>
      </c>
      <c r="O6746" s="403">
        <v>1296</v>
      </c>
      <c r="P6746" t="str">
        <f t="shared" si="841"/>
        <v>20fps 2304x1296 - copy other stream</v>
      </c>
      <c r="Q6746">
        <f t="shared" si="842"/>
        <v>37</v>
      </c>
      <c r="R6746" t="str">
        <f t="shared" si="843"/>
        <v/>
      </c>
      <c r="S6746" t="str">
        <f t="shared" si="844"/>
        <v/>
      </c>
      <c r="T6746" s="403" t="str">
        <f t="shared" si="845"/>
        <v>NTV-3503-F03L</v>
      </c>
      <c r="U6746" s="403">
        <f t="shared" si="846"/>
        <v>1</v>
      </c>
      <c r="V6746" s="403" t="str">
        <f t="shared" si="847"/>
        <v>CPP_7_3</v>
      </c>
    </row>
    <row r="6747" spans="1:22">
      <c r="A6747" t="str">
        <f t="shared" si="840"/>
        <v>NTV-3503-F03L</v>
      </c>
      <c r="B6747" s="403" t="s">
        <v>1464</v>
      </c>
      <c r="C6747" s="403" t="s">
        <v>582</v>
      </c>
      <c r="D6747" s="403" t="s">
        <v>1465</v>
      </c>
      <c r="E6747" s="403" t="s">
        <v>778</v>
      </c>
      <c r="F6747" s="403" t="s">
        <v>1375</v>
      </c>
      <c r="G6747" s="403" t="s">
        <v>1466</v>
      </c>
      <c r="H6747" s="403" t="s">
        <v>1281</v>
      </c>
      <c r="I6747" s="403">
        <v>1</v>
      </c>
      <c r="J6747" s="403" t="s">
        <v>110</v>
      </c>
      <c r="K6747" s="403">
        <v>1920</v>
      </c>
      <c r="L6747" s="403">
        <v>1080</v>
      </c>
      <c r="M6747" s="403" t="s">
        <v>111</v>
      </c>
      <c r="N6747" s="403">
        <v>768</v>
      </c>
      <c r="O6747" s="403">
        <v>432</v>
      </c>
      <c r="P6747" t="str">
        <f t="shared" si="841"/>
        <v>20fps 1080p - SD</v>
      </c>
      <c r="Q6747">
        <f t="shared" si="842"/>
        <v>37</v>
      </c>
      <c r="R6747" t="str">
        <f t="shared" si="843"/>
        <v/>
      </c>
      <c r="S6747" t="str">
        <f t="shared" si="844"/>
        <v/>
      </c>
      <c r="T6747" s="403" t="str">
        <f t="shared" si="845"/>
        <v>NTV-3503-F03L</v>
      </c>
      <c r="U6747" s="403">
        <f t="shared" si="846"/>
        <v>1</v>
      </c>
      <c r="V6747" s="403" t="str">
        <f t="shared" si="847"/>
        <v>CPP_7_3</v>
      </c>
    </row>
    <row r="6748" spans="1:22">
      <c r="A6748" t="str">
        <f t="shared" si="840"/>
        <v>NTV-3503-F03L</v>
      </c>
      <c r="B6748" s="403" t="s">
        <v>1464</v>
      </c>
      <c r="C6748" s="403" t="s">
        <v>582</v>
      </c>
      <c r="D6748" s="403" t="s">
        <v>1465</v>
      </c>
      <c r="E6748" s="403" t="s">
        <v>778</v>
      </c>
      <c r="F6748" s="403" t="s">
        <v>1375</v>
      </c>
      <c r="G6748" s="403" t="s">
        <v>1466</v>
      </c>
      <c r="H6748" s="403" t="s">
        <v>1281</v>
      </c>
      <c r="I6748" s="403">
        <v>1</v>
      </c>
      <c r="J6748" s="403" t="s">
        <v>110</v>
      </c>
      <c r="K6748" s="403">
        <v>1920</v>
      </c>
      <c r="L6748" s="403">
        <v>1080</v>
      </c>
      <c r="M6748" s="403" t="s">
        <v>110</v>
      </c>
      <c r="N6748" s="403">
        <v>1920</v>
      </c>
      <c r="O6748" s="403">
        <v>1080</v>
      </c>
      <c r="P6748" t="str">
        <f t="shared" si="841"/>
        <v>20fps 1080p - 1080p</v>
      </c>
      <c r="Q6748">
        <f t="shared" si="842"/>
        <v>37</v>
      </c>
      <c r="R6748" t="str">
        <f t="shared" si="843"/>
        <v/>
      </c>
      <c r="S6748" t="str">
        <f t="shared" si="844"/>
        <v/>
      </c>
      <c r="T6748" s="403" t="str">
        <f t="shared" si="845"/>
        <v>NTV-3503-F03L</v>
      </c>
      <c r="U6748" s="403">
        <f t="shared" si="846"/>
        <v>1</v>
      </c>
      <c r="V6748" s="403" t="str">
        <f t="shared" si="847"/>
        <v>CPP_7_3</v>
      </c>
    </row>
    <row r="6749" spans="1:22">
      <c r="A6749" t="str">
        <f t="shared" si="840"/>
        <v>NTV-3503-F03L</v>
      </c>
      <c r="B6749" s="403" t="s">
        <v>1464</v>
      </c>
      <c r="C6749" s="403" t="s">
        <v>582</v>
      </c>
      <c r="D6749" s="403" t="s">
        <v>1465</v>
      </c>
      <c r="E6749" s="403" t="s">
        <v>778</v>
      </c>
      <c r="F6749" s="403" t="s">
        <v>1375</v>
      </c>
      <c r="G6749" s="403" t="s">
        <v>1466</v>
      </c>
      <c r="H6749" s="403" t="s">
        <v>1281</v>
      </c>
      <c r="I6749" s="403">
        <v>1</v>
      </c>
      <c r="J6749" s="403" t="s">
        <v>110</v>
      </c>
      <c r="K6749" s="403">
        <v>1920</v>
      </c>
      <c r="L6749" s="403">
        <v>1080</v>
      </c>
      <c r="M6749" s="403" t="s">
        <v>109</v>
      </c>
      <c r="N6749" s="403">
        <v>1280</v>
      </c>
      <c r="O6749" s="403">
        <v>720</v>
      </c>
      <c r="P6749" t="str">
        <f t="shared" si="841"/>
        <v>20fps 1080p - 720p</v>
      </c>
      <c r="Q6749">
        <f t="shared" si="842"/>
        <v>37</v>
      </c>
      <c r="R6749" t="str">
        <f t="shared" si="843"/>
        <v/>
      </c>
      <c r="S6749" t="str">
        <f t="shared" si="844"/>
        <v/>
      </c>
      <c r="T6749" s="403" t="str">
        <f t="shared" si="845"/>
        <v>NTV-3503-F03L</v>
      </c>
      <c r="U6749" s="403">
        <f t="shared" si="846"/>
        <v>1</v>
      </c>
      <c r="V6749" s="403" t="str">
        <f t="shared" si="847"/>
        <v>CPP_7_3</v>
      </c>
    </row>
    <row r="6750" spans="1:22">
      <c r="A6750" t="str">
        <f t="shared" si="840"/>
        <v>NTV-3503-F03L</v>
      </c>
      <c r="B6750" s="403" t="s">
        <v>1464</v>
      </c>
      <c r="C6750" s="403" t="s">
        <v>582</v>
      </c>
      <c r="D6750" s="403" t="s">
        <v>1465</v>
      </c>
      <c r="E6750" s="403" t="s">
        <v>778</v>
      </c>
      <c r="F6750" s="403" t="s">
        <v>1375</v>
      </c>
      <c r="G6750" s="403" t="s">
        <v>1466</v>
      </c>
      <c r="H6750" s="403" t="s">
        <v>1281</v>
      </c>
      <c r="I6750" s="403">
        <v>1</v>
      </c>
      <c r="J6750" s="403" t="s">
        <v>110</v>
      </c>
      <c r="K6750" s="403">
        <v>1920</v>
      </c>
      <c r="L6750" s="403">
        <v>1080</v>
      </c>
      <c r="M6750" s="403" t="s">
        <v>1285</v>
      </c>
      <c r="N6750" s="403">
        <v>1280</v>
      </c>
      <c r="O6750" s="403">
        <v>1024</v>
      </c>
      <c r="P6750" t="str">
        <f t="shared" si="841"/>
        <v>20fps 1080p - 1280x1024 5:4 (cropped)</v>
      </c>
      <c r="Q6750">
        <f t="shared" si="842"/>
        <v>37</v>
      </c>
      <c r="R6750" t="str">
        <f t="shared" si="843"/>
        <v/>
      </c>
      <c r="S6750" t="str">
        <f t="shared" si="844"/>
        <v/>
      </c>
      <c r="T6750" s="403" t="str">
        <f t="shared" si="845"/>
        <v>NTV-3503-F03L</v>
      </c>
      <c r="U6750" s="403">
        <f t="shared" si="846"/>
        <v>1</v>
      </c>
      <c r="V6750" s="403" t="str">
        <f t="shared" si="847"/>
        <v>CPP_7_3</v>
      </c>
    </row>
    <row r="6751" spans="1:22">
      <c r="A6751" t="str">
        <f t="shared" si="840"/>
        <v>NTV-3503-F03L</v>
      </c>
      <c r="B6751" s="403" t="s">
        <v>1464</v>
      </c>
      <c r="C6751" s="403" t="s">
        <v>582</v>
      </c>
      <c r="D6751" s="403" t="s">
        <v>1465</v>
      </c>
      <c r="E6751" s="403" t="s">
        <v>778</v>
      </c>
      <c r="F6751" s="403" t="s">
        <v>1375</v>
      </c>
      <c r="G6751" s="403" t="s">
        <v>1466</v>
      </c>
      <c r="H6751" s="403" t="s">
        <v>1281</v>
      </c>
      <c r="I6751" s="403">
        <v>1</v>
      </c>
      <c r="J6751" s="403" t="s">
        <v>110</v>
      </c>
      <c r="K6751" s="403">
        <v>1920</v>
      </c>
      <c r="L6751" s="403">
        <v>1080</v>
      </c>
      <c r="M6751" s="403" t="s">
        <v>1279</v>
      </c>
      <c r="N6751" s="403">
        <v>768</v>
      </c>
      <c r="O6751" s="403">
        <v>432</v>
      </c>
      <c r="P6751" t="str">
        <f t="shared" si="841"/>
        <v>20fps 1080p - SD ROI PTZ</v>
      </c>
      <c r="Q6751">
        <f t="shared" si="842"/>
        <v>37</v>
      </c>
      <c r="R6751" t="str">
        <f t="shared" si="843"/>
        <v/>
      </c>
      <c r="S6751" t="str">
        <f t="shared" si="844"/>
        <v/>
      </c>
      <c r="T6751" s="403" t="str">
        <f t="shared" si="845"/>
        <v>NTV-3503-F03L</v>
      </c>
      <c r="U6751" s="403">
        <f t="shared" si="846"/>
        <v>1</v>
      </c>
      <c r="V6751" s="403" t="str">
        <f t="shared" si="847"/>
        <v>CPP_7_3</v>
      </c>
    </row>
    <row r="6752" spans="1:22">
      <c r="A6752" t="str">
        <f t="shared" si="840"/>
        <v>NTV-3503-F03L</v>
      </c>
      <c r="B6752" s="403" t="s">
        <v>1464</v>
      </c>
      <c r="C6752" s="403" t="s">
        <v>582</v>
      </c>
      <c r="D6752" s="403" t="s">
        <v>1465</v>
      </c>
      <c r="E6752" s="403" t="s">
        <v>778</v>
      </c>
      <c r="F6752" s="403" t="s">
        <v>1375</v>
      </c>
      <c r="G6752" s="403" t="s">
        <v>1466</v>
      </c>
      <c r="H6752" s="403" t="s">
        <v>1281</v>
      </c>
      <c r="I6752" s="403">
        <v>1</v>
      </c>
      <c r="J6752" s="403" t="s">
        <v>110</v>
      </c>
      <c r="K6752" s="403">
        <v>1920</v>
      </c>
      <c r="L6752" s="403">
        <v>1080</v>
      </c>
      <c r="M6752" s="403" t="s">
        <v>1283</v>
      </c>
      <c r="N6752" s="403">
        <v>720</v>
      </c>
      <c r="O6752" s="403">
        <v>480</v>
      </c>
      <c r="P6752" t="str">
        <f t="shared" si="841"/>
        <v>20fps 1080p - SD 4CIF resolution 4:3 format (cropped)</v>
      </c>
      <c r="Q6752">
        <f t="shared" si="842"/>
        <v>37</v>
      </c>
      <c r="R6752" t="str">
        <f t="shared" si="843"/>
        <v/>
      </c>
      <c r="S6752" t="str">
        <f t="shared" si="844"/>
        <v/>
      </c>
      <c r="T6752" s="403" t="str">
        <f t="shared" si="845"/>
        <v>NTV-3503-F03L</v>
      </c>
      <c r="U6752" s="403">
        <f t="shared" si="846"/>
        <v>1</v>
      </c>
      <c r="V6752" s="403" t="str">
        <f t="shared" si="847"/>
        <v>CPP_7_3</v>
      </c>
    </row>
    <row r="6753" spans="1:22">
      <c r="A6753" t="str">
        <f t="shared" si="840"/>
        <v>NTV-3503-F03L</v>
      </c>
      <c r="B6753" s="403" t="s">
        <v>1464</v>
      </c>
      <c r="C6753" s="403" t="s">
        <v>582</v>
      </c>
      <c r="D6753" s="403" t="s">
        <v>1465</v>
      </c>
      <c r="E6753" s="403" t="s">
        <v>778</v>
      </c>
      <c r="F6753" s="403" t="s">
        <v>1375</v>
      </c>
      <c r="G6753" s="403" t="s">
        <v>1466</v>
      </c>
      <c r="H6753" s="403" t="s">
        <v>1281</v>
      </c>
      <c r="I6753" s="403">
        <v>1</v>
      </c>
      <c r="J6753" s="403" t="s">
        <v>110</v>
      </c>
      <c r="K6753" s="403">
        <v>1920</v>
      </c>
      <c r="L6753" s="403">
        <v>1080</v>
      </c>
      <c r="M6753" s="403" t="s">
        <v>1284</v>
      </c>
      <c r="N6753" s="403">
        <v>640</v>
      </c>
      <c r="O6753" s="403">
        <v>480</v>
      </c>
      <c r="P6753" t="str">
        <f t="shared" si="841"/>
        <v>20fps 1080p - SD VGA (cropped)</v>
      </c>
      <c r="Q6753">
        <f t="shared" si="842"/>
        <v>37</v>
      </c>
      <c r="R6753" t="str">
        <f t="shared" si="843"/>
        <v/>
      </c>
      <c r="S6753" t="str">
        <f t="shared" si="844"/>
        <v/>
      </c>
      <c r="T6753" s="403" t="str">
        <f t="shared" si="845"/>
        <v>NTV-3503-F03L</v>
      </c>
      <c r="U6753" s="403">
        <f t="shared" si="846"/>
        <v>1</v>
      </c>
      <c r="V6753" s="403" t="str">
        <f t="shared" si="847"/>
        <v>CPP_7_3</v>
      </c>
    </row>
    <row r="6754" spans="1:22">
      <c r="A6754" t="str">
        <f t="shared" si="840"/>
        <v>NTV-3503-F03L</v>
      </c>
      <c r="B6754" s="403" t="s">
        <v>1464</v>
      </c>
      <c r="C6754" s="403" t="s">
        <v>582</v>
      </c>
      <c r="D6754" s="403" t="s">
        <v>1465</v>
      </c>
      <c r="E6754" s="403" t="s">
        <v>778</v>
      </c>
      <c r="F6754" s="403" t="s">
        <v>1375</v>
      </c>
      <c r="G6754" s="403" t="s">
        <v>1466</v>
      </c>
      <c r="H6754" s="403" t="s">
        <v>1281</v>
      </c>
      <c r="I6754" s="403">
        <v>1</v>
      </c>
      <c r="J6754" s="403" t="s">
        <v>109</v>
      </c>
      <c r="K6754" s="403">
        <v>1280</v>
      </c>
      <c r="L6754" s="403">
        <v>720</v>
      </c>
      <c r="M6754" s="403" t="s">
        <v>109</v>
      </c>
      <c r="N6754" s="403">
        <v>1280</v>
      </c>
      <c r="O6754" s="403">
        <v>720</v>
      </c>
      <c r="P6754" t="str">
        <f t="shared" si="841"/>
        <v>20fps 720p - 720p</v>
      </c>
      <c r="Q6754">
        <f t="shared" si="842"/>
        <v>37</v>
      </c>
      <c r="R6754" t="str">
        <f t="shared" si="843"/>
        <v/>
      </c>
      <c r="S6754" t="str">
        <f t="shared" si="844"/>
        <v/>
      </c>
      <c r="T6754" s="403" t="str">
        <f t="shared" si="845"/>
        <v>NTV-3503-F03L</v>
      </c>
      <c r="U6754" s="403">
        <f t="shared" si="846"/>
        <v>1</v>
      </c>
      <c r="V6754" s="403" t="str">
        <f t="shared" si="847"/>
        <v>CPP_7_3</v>
      </c>
    </row>
    <row r="6755" spans="1:22">
      <c r="A6755" t="str">
        <f t="shared" si="840"/>
        <v>NTV-3503-F03L</v>
      </c>
      <c r="B6755" s="403" t="s">
        <v>1464</v>
      </c>
      <c r="C6755" s="403" t="s">
        <v>582</v>
      </c>
      <c r="D6755" s="403" t="s">
        <v>1465</v>
      </c>
      <c r="E6755" s="403" t="s">
        <v>778</v>
      </c>
      <c r="F6755" s="403" t="s">
        <v>1375</v>
      </c>
      <c r="G6755" s="403" t="s">
        <v>1466</v>
      </c>
      <c r="H6755" s="403" t="s">
        <v>1281</v>
      </c>
      <c r="I6755" s="403">
        <v>1</v>
      </c>
      <c r="J6755" s="403" t="s">
        <v>109</v>
      </c>
      <c r="K6755" s="403">
        <v>1280</v>
      </c>
      <c r="L6755" s="403">
        <v>720</v>
      </c>
      <c r="M6755" s="403" t="s">
        <v>111</v>
      </c>
      <c r="N6755" s="403">
        <v>768</v>
      </c>
      <c r="O6755" s="403">
        <v>432</v>
      </c>
      <c r="P6755" t="str">
        <f t="shared" si="841"/>
        <v>20fps 720p - SD</v>
      </c>
      <c r="Q6755">
        <f t="shared" si="842"/>
        <v>37</v>
      </c>
      <c r="R6755" t="str">
        <f t="shared" si="843"/>
        <v/>
      </c>
      <c r="S6755" t="str">
        <f t="shared" si="844"/>
        <v/>
      </c>
      <c r="T6755" s="403" t="str">
        <f t="shared" si="845"/>
        <v>NTV-3503-F03L</v>
      </c>
      <c r="U6755" s="403">
        <f t="shared" si="846"/>
        <v>1</v>
      </c>
      <c r="V6755" s="403" t="str">
        <f t="shared" si="847"/>
        <v>CPP_7_3</v>
      </c>
    </row>
    <row r="6756" spans="1:22">
      <c r="A6756" t="str">
        <f t="shared" si="840"/>
        <v>NTV-3503-F03L</v>
      </c>
      <c r="B6756" s="403" t="s">
        <v>1464</v>
      </c>
      <c r="C6756" s="403" t="s">
        <v>582</v>
      </c>
      <c r="D6756" s="403" t="s">
        <v>1465</v>
      </c>
      <c r="E6756" s="403" t="s">
        <v>778</v>
      </c>
      <c r="F6756" s="403" t="s">
        <v>1375</v>
      </c>
      <c r="G6756" s="403" t="s">
        <v>1466</v>
      </c>
      <c r="H6756" s="403" t="s">
        <v>1281</v>
      </c>
      <c r="I6756" s="403">
        <v>1</v>
      </c>
      <c r="J6756" s="403" t="s">
        <v>109</v>
      </c>
      <c r="K6756" s="403">
        <v>1280</v>
      </c>
      <c r="L6756" s="403">
        <v>720</v>
      </c>
      <c r="M6756" s="403" t="s">
        <v>1279</v>
      </c>
      <c r="N6756" s="403">
        <v>768</v>
      </c>
      <c r="O6756" s="403">
        <v>432</v>
      </c>
      <c r="P6756" t="str">
        <f t="shared" si="841"/>
        <v>20fps 720p - SD ROI PTZ</v>
      </c>
      <c r="Q6756">
        <f t="shared" si="842"/>
        <v>37</v>
      </c>
      <c r="R6756" t="str">
        <f t="shared" si="843"/>
        <v/>
      </c>
      <c r="S6756" t="str">
        <f t="shared" si="844"/>
        <v/>
      </c>
      <c r="T6756" s="403" t="str">
        <f t="shared" si="845"/>
        <v>NTV-3503-F03L</v>
      </c>
      <c r="U6756" s="403">
        <f t="shared" si="846"/>
        <v>1</v>
      </c>
      <c r="V6756" s="403" t="str">
        <f t="shared" si="847"/>
        <v>CPP_7_3</v>
      </c>
    </row>
    <row r="6757" spans="1:22">
      <c r="A6757" t="str">
        <f t="shared" si="840"/>
        <v>NTV-3503-F03L</v>
      </c>
      <c r="B6757" s="403" t="s">
        <v>1464</v>
      </c>
      <c r="C6757" s="403" t="s">
        <v>582</v>
      </c>
      <c r="D6757" s="403" t="s">
        <v>1465</v>
      </c>
      <c r="E6757" s="403" t="s">
        <v>778</v>
      </c>
      <c r="F6757" s="403" t="s">
        <v>1375</v>
      </c>
      <c r="G6757" s="403" t="s">
        <v>1466</v>
      </c>
      <c r="H6757" s="403" t="s">
        <v>1281</v>
      </c>
      <c r="I6757" s="403">
        <v>1</v>
      </c>
      <c r="J6757" s="403" t="s">
        <v>109</v>
      </c>
      <c r="K6757" s="403">
        <v>1280</v>
      </c>
      <c r="L6757" s="403">
        <v>720</v>
      </c>
      <c r="M6757" s="403" t="s">
        <v>1283</v>
      </c>
      <c r="N6757" s="403">
        <v>720</v>
      </c>
      <c r="O6757" s="403">
        <v>480</v>
      </c>
      <c r="P6757" t="str">
        <f t="shared" si="841"/>
        <v>20fps 720p - SD 4CIF resolution 4:3 format (cropped)</v>
      </c>
      <c r="Q6757">
        <f t="shared" si="842"/>
        <v>37</v>
      </c>
      <c r="R6757" t="str">
        <f t="shared" si="843"/>
        <v/>
      </c>
      <c r="S6757" t="str">
        <f t="shared" si="844"/>
        <v/>
      </c>
      <c r="T6757" s="403" t="str">
        <f t="shared" si="845"/>
        <v>NTV-3503-F03L</v>
      </c>
      <c r="U6757" s="403">
        <f t="shared" si="846"/>
        <v>1</v>
      </c>
      <c r="V6757" s="403" t="str">
        <f t="shared" si="847"/>
        <v>CPP_7_3</v>
      </c>
    </row>
    <row r="6758" spans="1:22">
      <c r="A6758" t="str">
        <f t="shared" si="840"/>
        <v>NTV-3503-F03L</v>
      </c>
      <c r="B6758" s="403" t="s">
        <v>1464</v>
      </c>
      <c r="C6758" s="403" t="s">
        <v>582</v>
      </c>
      <c r="D6758" s="403" t="s">
        <v>1465</v>
      </c>
      <c r="E6758" s="403" t="s">
        <v>778</v>
      </c>
      <c r="F6758" s="403" t="s">
        <v>1375</v>
      </c>
      <c r="G6758" s="403" t="s">
        <v>1466</v>
      </c>
      <c r="H6758" s="403" t="s">
        <v>1281</v>
      </c>
      <c r="I6758" s="403">
        <v>1</v>
      </c>
      <c r="J6758" s="403" t="s">
        <v>109</v>
      </c>
      <c r="K6758" s="403">
        <v>1280</v>
      </c>
      <c r="L6758" s="403">
        <v>720</v>
      </c>
      <c r="M6758" s="403" t="s">
        <v>1284</v>
      </c>
      <c r="N6758" s="403">
        <v>640</v>
      </c>
      <c r="O6758" s="403">
        <v>480</v>
      </c>
      <c r="P6758" t="str">
        <f t="shared" si="841"/>
        <v>20fps 720p - SD VGA (cropped)</v>
      </c>
      <c r="Q6758">
        <f t="shared" si="842"/>
        <v>37</v>
      </c>
      <c r="R6758" t="str">
        <f t="shared" si="843"/>
        <v/>
      </c>
      <c r="S6758" t="str">
        <f t="shared" si="844"/>
        <v/>
      </c>
      <c r="T6758" s="403" t="str">
        <f t="shared" si="845"/>
        <v>NTV-3503-F03L</v>
      </c>
      <c r="U6758" s="403">
        <f t="shared" si="846"/>
        <v>1</v>
      </c>
      <c r="V6758" s="403" t="str">
        <f t="shared" si="847"/>
        <v>CPP_7_3</v>
      </c>
    </row>
    <row r="6759" spans="1:22">
      <c r="A6759" t="str">
        <f t="shared" si="840"/>
        <v>NTV-3503-F03L</v>
      </c>
      <c r="B6759" s="403" t="s">
        <v>1464</v>
      </c>
      <c r="C6759" s="403" t="s">
        <v>582</v>
      </c>
      <c r="D6759" s="403" t="s">
        <v>1465</v>
      </c>
      <c r="E6759" s="403" t="s">
        <v>778</v>
      </c>
      <c r="F6759" s="403" t="s">
        <v>1375</v>
      </c>
      <c r="G6759" s="403" t="s">
        <v>1467</v>
      </c>
      <c r="H6759" s="403" t="s">
        <v>1276</v>
      </c>
      <c r="I6759" s="403">
        <v>1</v>
      </c>
      <c r="J6759" s="403" t="s">
        <v>1377</v>
      </c>
      <c r="K6759" s="403">
        <v>1528</v>
      </c>
      <c r="L6759" s="403">
        <v>2720</v>
      </c>
      <c r="M6759" s="403" t="s">
        <v>1280</v>
      </c>
      <c r="N6759" s="403">
        <v>1528</v>
      </c>
      <c r="O6759" s="403">
        <v>2720</v>
      </c>
      <c r="P6759" t="str">
        <f t="shared" si="841"/>
        <v>20fps 2720x1530 - copy other stream</v>
      </c>
      <c r="Q6759">
        <f t="shared" si="842"/>
        <v>37</v>
      </c>
      <c r="R6759" t="str">
        <f t="shared" si="843"/>
        <v/>
      </c>
      <c r="S6759" t="str">
        <f t="shared" si="844"/>
        <v/>
      </c>
      <c r="T6759" s="403" t="str">
        <f t="shared" si="845"/>
        <v>NTV-3503-F03L</v>
      </c>
      <c r="U6759" s="403">
        <f t="shared" si="846"/>
        <v>1</v>
      </c>
      <c r="V6759" s="403" t="str">
        <f t="shared" si="847"/>
        <v>CPP_7_3</v>
      </c>
    </row>
    <row r="6760" spans="1:22">
      <c r="A6760" t="str">
        <f t="shared" si="840"/>
        <v>NTV-3503-F03L</v>
      </c>
      <c r="B6760" s="403" t="s">
        <v>1464</v>
      </c>
      <c r="C6760" s="403" t="s">
        <v>582</v>
      </c>
      <c r="D6760" s="403" t="s">
        <v>1465</v>
      </c>
      <c r="E6760" s="403" t="s">
        <v>778</v>
      </c>
      <c r="F6760" s="403" t="s">
        <v>1375</v>
      </c>
      <c r="G6760" s="403" t="s">
        <v>1467</v>
      </c>
      <c r="H6760" s="403" t="s">
        <v>1276</v>
      </c>
      <c r="I6760" s="403">
        <v>1</v>
      </c>
      <c r="J6760" s="403" t="s">
        <v>1374</v>
      </c>
      <c r="K6760" s="403">
        <v>1296</v>
      </c>
      <c r="L6760" s="403">
        <v>2304</v>
      </c>
      <c r="M6760" s="403" t="s">
        <v>109</v>
      </c>
      <c r="N6760" s="403">
        <v>720</v>
      </c>
      <c r="O6760" s="403">
        <v>1280</v>
      </c>
      <c r="P6760" t="str">
        <f t="shared" si="841"/>
        <v>20fps 2304x1296 - 720p</v>
      </c>
      <c r="Q6760">
        <f t="shared" si="842"/>
        <v>37</v>
      </c>
      <c r="R6760" t="str">
        <f t="shared" si="843"/>
        <v/>
      </c>
      <c r="S6760" t="str">
        <f t="shared" si="844"/>
        <v/>
      </c>
      <c r="T6760" s="403" t="str">
        <f t="shared" si="845"/>
        <v>NTV-3503-F03L</v>
      </c>
      <c r="U6760" s="403">
        <f t="shared" si="846"/>
        <v>1</v>
      </c>
      <c r="V6760" s="403" t="str">
        <f t="shared" si="847"/>
        <v>CPP_7_3</v>
      </c>
    </row>
    <row r="6761" spans="1:22">
      <c r="A6761" t="str">
        <f t="shared" si="840"/>
        <v>NTV-3503-F03L</v>
      </c>
      <c r="B6761" s="403" t="s">
        <v>1464</v>
      </c>
      <c r="C6761" s="403" t="s">
        <v>582</v>
      </c>
      <c r="D6761" s="403" t="s">
        <v>1465</v>
      </c>
      <c r="E6761" s="403" t="s">
        <v>778</v>
      </c>
      <c r="F6761" s="403" t="s">
        <v>1375</v>
      </c>
      <c r="G6761" s="403" t="s">
        <v>1467</v>
      </c>
      <c r="H6761" s="403" t="s">
        <v>1276</v>
      </c>
      <c r="I6761" s="403">
        <v>1</v>
      </c>
      <c r="J6761" s="403" t="s">
        <v>1374</v>
      </c>
      <c r="K6761" s="403">
        <v>1296</v>
      </c>
      <c r="L6761" s="403">
        <v>2304</v>
      </c>
      <c r="M6761" s="403" t="s">
        <v>111</v>
      </c>
      <c r="N6761" s="403">
        <v>432</v>
      </c>
      <c r="O6761" s="403">
        <v>768</v>
      </c>
      <c r="P6761" t="str">
        <f t="shared" si="841"/>
        <v>20fps 2304x1296 - SD</v>
      </c>
      <c r="Q6761">
        <f t="shared" si="842"/>
        <v>37</v>
      </c>
      <c r="R6761" t="str">
        <f t="shared" si="843"/>
        <v/>
      </c>
      <c r="S6761" t="str">
        <f t="shared" si="844"/>
        <v/>
      </c>
      <c r="T6761" s="403" t="str">
        <f t="shared" si="845"/>
        <v>NTV-3503-F03L</v>
      </c>
      <c r="U6761" s="403">
        <f t="shared" si="846"/>
        <v>1</v>
      </c>
      <c r="V6761" s="403" t="str">
        <f t="shared" si="847"/>
        <v>CPP_7_3</v>
      </c>
    </row>
    <row r="6762" spans="1:22">
      <c r="A6762" t="str">
        <f t="shared" ref="A6762:A6825" si="848">IF(AND(G6762&lt;&gt;"rotate 90°"),D6762,"")</f>
        <v>NTV-3503-F03L</v>
      </c>
      <c r="B6762" s="403" t="s">
        <v>1464</v>
      </c>
      <c r="C6762" s="403" t="s">
        <v>582</v>
      </c>
      <c r="D6762" s="403" t="s">
        <v>1465</v>
      </c>
      <c r="E6762" s="403" t="s">
        <v>778</v>
      </c>
      <c r="F6762" s="403" t="s">
        <v>1375</v>
      </c>
      <c r="G6762" s="403" t="s">
        <v>1467</v>
      </c>
      <c r="H6762" s="403" t="s">
        <v>1276</v>
      </c>
      <c r="I6762" s="403">
        <v>1</v>
      </c>
      <c r="J6762" s="403" t="s">
        <v>1374</v>
      </c>
      <c r="K6762" s="403">
        <v>1296</v>
      </c>
      <c r="L6762" s="403">
        <v>2304</v>
      </c>
      <c r="M6762" s="403" t="s">
        <v>1279</v>
      </c>
      <c r="N6762" s="403">
        <v>432</v>
      </c>
      <c r="O6762" s="403">
        <v>768</v>
      </c>
      <c r="P6762" t="str">
        <f t="shared" ref="P6762:P6825" si="849">LEFT(F6762,5)&amp;" "&amp;J6762&amp;" - "&amp;M6762</f>
        <v>20fps 2304x1296 - SD ROI PTZ</v>
      </c>
      <c r="Q6762">
        <f t="shared" ref="Q6762:Q6825" si="850">IF(A6761=A6762,Q6761,Q6761+1)</f>
        <v>37</v>
      </c>
      <c r="R6762" t="str">
        <f t="shared" ref="R6762:R6825" si="851">IF(Q6761&lt;&gt;Q6762,Q6762,"")</f>
        <v/>
      </c>
      <c r="S6762" t="str">
        <f t="shared" ref="S6762:S6825" si="852">IF(R6762&lt;&gt;"",B6762&amp;" ("&amp;D6762&amp;")","")</f>
        <v/>
      </c>
      <c r="T6762" s="403" t="str">
        <f t="shared" ref="T6762:T6825" si="853">D6762</f>
        <v>NTV-3503-F03L</v>
      </c>
      <c r="U6762" s="403">
        <f t="shared" ref="U6762:U6825" si="854">I6762</f>
        <v>1</v>
      </c>
      <c r="V6762" s="403" t="str">
        <f t="shared" ref="V6762:V6825" si="855">C6762</f>
        <v>CPP_7_3</v>
      </c>
    </row>
    <row r="6763" spans="1:22">
      <c r="A6763" t="str">
        <f t="shared" si="848"/>
        <v>NTV-3503-F03L</v>
      </c>
      <c r="B6763" s="403" t="s">
        <v>1464</v>
      </c>
      <c r="C6763" s="403" t="s">
        <v>582</v>
      </c>
      <c r="D6763" s="403" t="s">
        <v>1465</v>
      </c>
      <c r="E6763" s="403" t="s">
        <v>778</v>
      </c>
      <c r="F6763" s="403" t="s">
        <v>1375</v>
      </c>
      <c r="G6763" s="403" t="s">
        <v>1467</v>
      </c>
      <c r="H6763" s="403" t="s">
        <v>1276</v>
      </c>
      <c r="I6763" s="403">
        <v>1</v>
      </c>
      <c r="J6763" s="403" t="s">
        <v>1374</v>
      </c>
      <c r="K6763" s="403">
        <v>1296</v>
      </c>
      <c r="L6763" s="403">
        <v>2304</v>
      </c>
      <c r="M6763" s="403" t="s">
        <v>1285</v>
      </c>
      <c r="N6763" s="403">
        <v>1024</v>
      </c>
      <c r="O6763" s="403">
        <v>1280</v>
      </c>
      <c r="P6763" t="str">
        <f t="shared" si="849"/>
        <v>20fps 2304x1296 - 1280x1024 5:4 (cropped)</v>
      </c>
      <c r="Q6763">
        <f t="shared" si="850"/>
        <v>37</v>
      </c>
      <c r="R6763" t="str">
        <f t="shared" si="851"/>
        <v/>
      </c>
      <c r="S6763" t="str">
        <f t="shared" si="852"/>
        <v/>
      </c>
      <c r="T6763" s="403" t="str">
        <f t="shared" si="853"/>
        <v>NTV-3503-F03L</v>
      </c>
      <c r="U6763" s="403">
        <f t="shared" si="854"/>
        <v>1</v>
      </c>
      <c r="V6763" s="403" t="str">
        <f t="shared" si="855"/>
        <v>CPP_7_3</v>
      </c>
    </row>
    <row r="6764" spans="1:22">
      <c r="A6764" t="str">
        <f t="shared" si="848"/>
        <v>NTV-3503-F03L</v>
      </c>
      <c r="B6764" s="403" t="s">
        <v>1464</v>
      </c>
      <c r="C6764" s="403" t="s">
        <v>582</v>
      </c>
      <c r="D6764" s="403" t="s">
        <v>1465</v>
      </c>
      <c r="E6764" s="403" t="s">
        <v>778</v>
      </c>
      <c r="F6764" s="403" t="s">
        <v>1375</v>
      </c>
      <c r="G6764" s="403" t="s">
        <v>1467</v>
      </c>
      <c r="H6764" s="403" t="s">
        <v>1276</v>
      </c>
      <c r="I6764" s="403">
        <v>1</v>
      </c>
      <c r="J6764" s="403" t="s">
        <v>1374</v>
      </c>
      <c r="K6764" s="403">
        <v>1296</v>
      </c>
      <c r="L6764" s="403">
        <v>2304</v>
      </c>
      <c r="M6764" s="403" t="s">
        <v>1283</v>
      </c>
      <c r="N6764" s="403">
        <v>480</v>
      </c>
      <c r="O6764" s="403">
        <v>720</v>
      </c>
      <c r="P6764" t="str">
        <f t="shared" si="849"/>
        <v>20fps 2304x1296 - SD 4CIF resolution 4:3 format (cropped)</v>
      </c>
      <c r="Q6764">
        <f t="shared" si="850"/>
        <v>37</v>
      </c>
      <c r="R6764" t="str">
        <f t="shared" si="851"/>
        <v/>
      </c>
      <c r="S6764" t="str">
        <f t="shared" si="852"/>
        <v/>
      </c>
      <c r="T6764" s="403" t="str">
        <f t="shared" si="853"/>
        <v>NTV-3503-F03L</v>
      </c>
      <c r="U6764" s="403">
        <f t="shared" si="854"/>
        <v>1</v>
      </c>
      <c r="V6764" s="403" t="str">
        <f t="shared" si="855"/>
        <v>CPP_7_3</v>
      </c>
    </row>
    <row r="6765" spans="1:22">
      <c r="A6765" t="str">
        <f t="shared" si="848"/>
        <v>NTV-3503-F03L</v>
      </c>
      <c r="B6765" s="403" t="s">
        <v>1464</v>
      </c>
      <c r="C6765" s="403" t="s">
        <v>582</v>
      </c>
      <c r="D6765" s="403" t="s">
        <v>1465</v>
      </c>
      <c r="E6765" s="403" t="s">
        <v>778</v>
      </c>
      <c r="F6765" s="403" t="s">
        <v>1375</v>
      </c>
      <c r="G6765" s="403" t="s">
        <v>1467</v>
      </c>
      <c r="H6765" s="403" t="s">
        <v>1276</v>
      </c>
      <c r="I6765" s="403">
        <v>1</v>
      </c>
      <c r="J6765" s="403" t="s">
        <v>1374</v>
      </c>
      <c r="K6765" s="403">
        <v>1296</v>
      </c>
      <c r="L6765" s="403">
        <v>2304</v>
      </c>
      <c r="M6765" s="403" t="s">
        <v>1284</v>
      </c>
      <c r="N6765" s="403">
        <v>480</v>
      </c>
      <c r="O6765" s="403">
        <v>640</v>
      </c>
      <c r="P6765" t="str">
        <f t="shared" si="849"/>
        <v>20fps 2304x1296 - SD VGA (cropped)</v>
      </c>
      <c r="Q6765">
        <f t="shared" si="850"/>
        <v>37</v>
      </c>
      <c r="R6765" t="str">
        <f t="shared" si="851"/>
        <v/>
      </c>
      <c r="S6765" t="str">
        <f t="shared" si="852"/>
        <v/>
      </c>
      <c r="T6765" s="403" t="str">
        <f t="shared" si="853"/>
        <v>NTV-3503-F03L</v>
      </c>
      <c r="U6765" s="403">
        <f t="shared" si="854"/>
        <v>1</v>
      </c>
      <c r="V6765" s="403" t="str">
        <f t="shared" si="855"/>
        <v>CPP_7_3</v>
      </c>
    </row>
    <row r="6766" spans="1:22">
      <c r="A6766" t="str">
        <f t="shared" si="848"/>
        <v>NTV-3503-F03L</v>
      </c>
      <c r="B6766" s="403" t="s">
        <v>1464</v>
      </c>
      <c r="C6766" s="403" t="s">
        <v>582</v>
      </c>
      <c r="D6766" s="403" t="s">
        <v>1465</v>
      </c>
      <c r="E6766" s="403" t="s">
        <v>778</v>
      </c>
      <c r="F6766" s="403" t="s">
        <v>1375</v>
      </c>
      <c r="G6766" s="403" t="s">
        <v>1467</v>
      </c>
      <c r="H6766" s="403" t="s">
        <v>1276</v>
      </c>
      <c r="I6766" s="403">
        <v>1</v>
      </c>
      <c r="J6766" s="403" t="s">
        <v>1374</v>
      </c>
      <c r="K6766" s="403">
        <v>1296</v>
      </c>
      <c r="L6766" s="403">
        <v>2304</v>
      </c>
      <c r="M6766" s="403" t="s">
        <v>1280</v>
      </c>
      <c r="N6766" s="403">
        <v>1296</v>
      </c>
      <c r="O6766" s="403">
        <v>2304</v>
      </c>
      <c r="P6766" t="str">
        <f t="shared" si="849"/>
        <v>20fps 2304x1296 - copy other stream</v>
      </c>
      <c r="Q6766">
        <f t="shared" si="850"/>
        <v>37</v>
      </c>
      <c r="R6766" t="str">
        <f t="shared" si="851"/>
        <v/>
      </c>
      <c r="S6766" t="str">
        <f t="shared" si="852"/>
        <v/>
      </c>
      <c r="T6766" s="403" t="str">
        <f t="shared" si="853"/>
        <v>NTV-3503-F03L</v>
      </c>
      <c r="U6766" s="403">
        <f t="shared" si="854"/>
        <v>1</v>
      </c>
      <c r="V6766" s="403" t="str">
        <f t="shared" si="855"/>
        <v>CPP_7_3</v>
      </c>
    </row>
    <row r="6767" spans="1:22">
      <c r="A6767" t="str">
        <f t="shared" si="848"/>
        <v>NTV-3503-F03L</v>
      </c>
      <c r="B6767" s="403" t="s">
        <v>1464</v>
      </c>
      <c r="C6767" s="403" t="s">
        <v>582</v>
      </c>
      <c r="D6767" s="403" t="s">
        <v>1465</v>
      </c>
      <c r="E6767" s="403" t="s">
        <v>778</v>
      </c>
      <c r="F6767" s="403" t="s">
        <v>1375</v>
      </c>
      <c r="G6767" s="403" t="s">
        <v>1467</v>
      </c>
      <c r="H6767" s="403" t="s">
        <v>1276</v>
      </c>
      <c r="I6767" s="403">
        <v>1</v>
      </c>
      <c r="J6767" s="403" t="s">
        <v>110</v>
      </c>
      <c r="K6767" s="403">
        <v>1080</v>
      </c>
      <c r="L6767" s="403">
        <v>1920</v>
      </c>
      <c r="M6767" s="403" t="s">
        <v>111</v>
      </c>
      <c r="N6767" s="403">
        <v>432</v>
      </c>
      <c r="O6767" s="403">
        <v>768</v>
      </c>
      <c r="P6767" t="str">
        <f t="shared" si="849"/>
        <v>20fps 1080p - SD</v>
      </c>
      <c r="Q6767">
        <f t="shared" si="850"/>
        <v>37</v>
      </c>
      <c r="R6767" t="str">
        <f t="shared" si="851"/>
        <v/>
      </c>
      <c r="S6767" t="str">
        <f t="shared" si="852"/>
        <v/>
      </c>
      <c r="T6767" s="403" t="str">
        <f t="shared" si="853"/>
        <v>NTV-3503-F03L</v>
      </c>
      <c r="U6767" s="403">
        <f t="shared" si="854"/>
        <v>1</v>
      </c>
      <c r="V6767" s="403" t="str">
        <f t="shared" si="855"/>
        <v>CPP_7_3</v>
      </c>
    </row>
    <row r="6768" spans="1:22">
      <c r="A6768" t="str">
        <f t="shared" si="848"/>
        <v>NTV-3503-F03L</v>
      </c>
      <c r="B6768" s="403" t="s">
        <v>1464</v>
      </c>
      <c r="C6768" s="403" t="s">
        <v>582</v>
      </c>
      <c r="D6768" s="403" t="s">
        <v>1465</v>
      </c>
      <c r="E6768" s="403" t="s">
        <v>778</v>
      </c>
      <c r="F6768" s="403" t="s">
        <v>1375</v>
      </c>
      <c r="G6768" s="403" t="s">
        <v>1467</v>
      </c>
      <c r="H6768" s="403" t="s">
        <v>1276</v>
      </c>
      <c r="I6768" s="403">
        <v>1</v>
      </c>
      <c r="J6768" s="403" t="s">
        <v>110</v>
      </c>
      <c r="K6768" s="403">
        <v>1080</v>
      </c>
      <c r="L6768" s="403">
        <v>1920</v>
      </c>
      <c r="M6768" s="403" t="s">
        <v>110</v>
      </c>
      <c r="N6768" s="403">
        <v>1080</v>
      </c>
      <c r="O6768" s="403">
        <v>1920</v>
      </c>
      <c r="P6768" t="str">
        <f t="shared" si="849"/>
        <v>20fps 1080p - 1080p</v>
      </c>
      <c r="Q6768">
        <f t="shared" si="850"/>
        <v>37</v>
      </c>
      <c r="R6768" t="str">
        <f t="shared" si="851"/>
        <v/>
      </c>
      <c r="S6768" t="str">
        <f t="shared" si="852"/>
        <v/>
      </c>
      <c r="T6768" s="403" t="str">
        <f t="shared" si="853"/>
        <v>NTV-3503-F03L</v>
      </c>
      <c r="U6768" s="403">
        <f t="shared" si="854"/>
        <v>1</v>
      </c>
      <c r="V6768" s="403" t="str">
        <f t="shared" si="855"/>
        <v>CPP_7_3</v>
      </c>
    </row>
    <row r="6769" spans="1:22">
      <c r="A6769" t="str">
        <f t="shared" si="848"/>
        <v>NTV-3503-F03L</v>
      </c>
      <c r="B6769" s="403" t="s">
        <v>1464</v>
      </c>
      <c r="C6769" s="403" t="s">
        <v>582</v>
      </c>
      <c r="D6769" s="403" t="s">
        <v>1465</v>
      </c>
      <c r="E6769" s="403" t="s">
        <v>778</v>
      </c>
      <c r="F6769" s="403" t="s">
        <v>1375</v>
      </c>
      <c r="G6769" s="403" t="s">
        <v>1467</v>
      </c>
      <c r="H6769" s="403" t="s">
        <v>1276</v>
      </c>
      <c r="I6769" s="403">
        <v>1</v>
      </c>
      <c r="J6769" s="403" t="s">
        <v>110</v>
      </c>
      <c r="K6769" s="403">
        <v>1080</v>
      </c>
      <c r="L6769" s="403">
        <v>1920</v>
      </c>
      <c r="M6769" s="403" t="s">
        <v>109</v>
      </c>
      <c r="N6769" s="403">
        <v>720</v>
      </c>
      <c r="O6769" s="403">
        <v>1280</v>
      </c>
      <c r="P6769" t="str">
        <f t="shared" si="849"/>
        <v>20fps 1080p - 720p</v>
      </c>
      <c r="Q6769">
        <f t="shared" si="850"/>
        <v>37</v>
      </c>
      <c r="R6769" t="str">
        <f t="shared" si="851"/>
        <v/>
      </c>
      <c r="S6769" t="str">
        <f t="shared" si="852"/>
        <v/>
      </c>
      <c r="T6769" s="403" t="str">
        <f t="shared" si="853"/>
        <v>NTV-3503-F03L</v>
      </c>
      <c r="U6769" s="403">
        <f t="shared" si="854"/>
        <v>1</v>
      </c>
      <c r="V6769" s="403" t="str">
        <f t="shared" si="855"/>
        <v>CPP_7_3</v>
      </c>
    </row>
    <row r="6770" spans="1:22">
      <c r="A6770" t="str">
        <f t="shared" si="848"/>
        <v>NTV-3503-F03L</v>
      </c>
      <c r="B6770" s="403" t="s">
        <v>1464</v>
      </c>
      <c r="C6770" s="403" t="s">
        <v>582</v>
      </c>
      <c r="D6770" s="403" t="s">
        <v>1465</v>
      </c>
      <c r="E6770" s="403" t="s">
        <v>778</v>
      </c>
      <c r="F6770" s="403" t="s">
        <v>1375</v>
      </c>
      <c r="G6770" s="403" t="s">
        <v>1467</v>
      </c>
      <c r="H6770" s="403" t="s">
        <v>1276</v>
      </c>
      <c r="I6770" s="403">
        <v>1</v>
      </c>
      <c r="J6770" s="403" t="s">
        <v>110</v>
      </c>
      <c r="K6770" s="403">
        <v>1080</v>
      </c>
      <c r="L6770" s="403">
        <v>1920</v>
      </c>
      <c r="M6770" s="403" t="s">
        <v>1285</v>
      </c>
      <c r="N6770" s="403">
        <v>1024</v>
      </c>
      <c r="O6770" s="403">
        <v>1280</v>
      </c>
      <c r="P6770" t="str">
        <f t="shared" si="849"/>
        <v>20fps 1080p - 1280x1024 5:4 (cropped)</v>
      </c>
      <c r="Q6770">
        <f t="shared" si="850"/>
        <v>37</v>
      </c>
      <c r="R6770" t="str">
        <f t="shared" si="851"/>
        <v/>
      </c>
      <c r="S6770" t="str">
        <f t="shared" si="852"/>
        <v/>
      </c>
      <c r="T6770" s="403" t="str">
        <f t="shared" si="853"/>
        <v>NTV-3503-F03L</v>
      </c>
      <c r="U6770" s="403">
        <f t="shared" si="854"/>
        <v>1</v>
      </c>
      <c r="V6770" s="403" t="str">
        <f t="shared" si="855"/>
        <v>CPP_7_3</v>
      </c>
    </row>
    <row r="6771" spans="1:22">
      <c r="A6771" t="str">
        <f t="shared" si="848"/>
        <v>NTV-3503-F03L</v>
      </c>
      <c r="B6771" s="403" t="s">
        <v>1464</v>
      </c>
      <c r="C6771" s="403" t="s">
        <v>582</v>
      </c>
      <c r="D6771" s="403" t="s">
        <v>1465</v>
      </c>
      <c r="E6771" s="403" t="s">
        <v>778</v>
      </c>
      <c r="F6771" s="403" t="s">
        <v>1375</v>
      </c>
      <c r="G6771" s="403" t="s">
        <v>1467</v>
      </c>
      <c r="H6771" s="403" t="s">
        <v>1276</v>
      </c>
      <c r="I6771" s="403">
        <v>1</v>
      </c>
      <c r="J6771" s="403" t="s">
        <v>110</v>
      </c>
      <c r="K6771" s="403">
        <v>1080</v>
      </c>
      <c r="L6771" s="403">
        <v>1920</v>
      </c>
      <c r="M6771" s="403" t="s">
        <v>1279</v>
      </c>
      <c r="N6771" s="403">
        <v>432</v>
      </c>
      <c r="O6771" s="403">
        <v>768</v>
      </c>
      <c r="P6771" t="str">
        <f t="shared" si="849"/>
        <v>20fps 1080p - SD ROI PTZ</v>
      </c>
      <c r="Q6771">
        <f t="shared" si="850"/>
        <v>37</v>
      </c>
      <c r="R6771" t="str">
        <f t="shared" si="851"/>
        <v/>
      </c>
      <c r="S6771" t="str">
        <f t="shared" si="852"/>
        <v/>
      </c>
      <c r="T6771" s="403" t="str">
        <f t="shared" si="853"/>
        <v>NTV-3503-F03L</v>
      </c>
      <c r="U6771" s="403">
        <f t="shared" si="854"/>
        <v>1</v>
      </c>
      <c r="V6771" s="403" t="str">
        <f t="shared" si="855"/>
        <v>CPP_7_3</v>
      </c>
    </row>
    <row r="6772" spans="1:22">
      <c r="A6772" t="str">
        <f t="shared" si="848"/>
        <v>NTV-3503-F03L</v>
      </c>
      <c r="B6772" s="403" t="s">
        <v>1464</v>
      </c>
      <c r="C6772" s="403" t="s">
        <v>582</v>
      </c>
      <c r="D6772" s="403" t="s">
        <v>1465</v>
      </c>
      <c r="E6772" s="403" t="s">
        <v>778</v>
      </c>
      <c r="F6772" s="403" t="s">
        <v>1375</v>
      </c>
      <c r="G6772" s="403" t="s">
        <v>1467</v>
      </c>
      <c r="H6772" s="403" t="s">
        <v>1276</v>
      </c>
      <c r="I6772" s="403">
        <v>1</v>
      </c>
      <c r="J6772" s="403" t="s">
        <v>110</v>
      </c>
      <c r="K6772" s="403">
        <v>1080</v>
      </c>
      <c r="L6772" s="403">
        <v>1920</v>
      </c>
      <c r="M6772" s="403" t="s">
        <v>1283</v>
      </c>
      <c r="N6772" s="403">
        <v>480</v>
      </c>
      <c r="O6772" s="403">
        <v>720</v>
      </c>
      <c r="P6772" t="str">
        <f t="shared" si="849"/>
        <v>20fps 1080p - SD 4CIF resolution 4:3 format (cropped)</v>
      </c>
      <c r="Q6772">
        <f t="shared" si="850"/>
        <v>37</v>
      </c>
      <c r="R6772" t="str">
        <f t="shared" si="851"/>
        <v/>
      </c>
      <c r="S6772" t="str">
        <f t="shared" si="852"/>
        <v/>
      </c>
      <c r="T6772" s="403" t="str">
        <f t="shared" si="853"/>
        <v>NTV-3503-F03L</v>
      </c>
      <c r="U6772" s="403">
        <f t="shared" si="854"/>
        <v>1</v>
      </c>
      <c r="V6772" s="403" t="str">
        <f t="shared" si="855"/>
        <v>CPP_7_3</v>
      </c>
    </row>
    <row r="6773" spans="1:22">
      <c r="A6773" t="str">
        <f t="shared" si="848"/>
        <v>NTV-3503-F03L</v>
      </c>
      <c r="B6773" s="403" t="s">
        <v>1464</v>
      </c>
      <c r="C6773" s="403" t="s">
        <v>582</v>
      </c>
      <c r="D6773" s="403" t="s">
        <v>1465</v>
      </c>
      <c r="E6773" s="403" t="s">
        <v>778</v>
      </c>
      <c r="F6773" s="403" t="s">
        <v>1375</v>
      </c>
      <c r="G6773" s="403" t="s">
        <v>1467</v>
      </c>
      <c r="H6773" s="403" t="s">
        <v>1276</v>
      </c>
      <c r="I6773" s="403">
        <v>1</v>
      </c>
      <c r="J6773" s="403" t="s">
        <v>110</v>
      </c>
      <c r="K6773" s="403">
        <v>1080</v>
      </c>
      <c r="L6773" s="403">
        <v>1920</v>
      </c>
      <c r="M6773" s="403" t="s">
        <v>1284</v>
      </c>
      <c r="N6773" s="403">
        <v>480</v>
      </c>
      <c r="O6773" s="403">
        <v>640</v>
      </c>
      <c r="P6773" t="str">
        <f t="shared" si="849"/>
        <v>20fps 1080p - SD VGA (cropped)</v>
      </c>
      <c r="Q6773">
        <f t="shared" si="850"/>
        <v>37</v>
      </c>
      <c r="R6773" t="str">
        <f t="shared" si="851"/>
        <v/>
      </c>
      <c r="S6773" t="str">
        <f t="shared" si="852"/>
        <v/>
      </c>
      <c r="T6773" s="403" t="str">
        <f t="shared" si="853"/>
        <v>NTV-3503-F03L</v>
      </c>
      <c r="U6773" s="403">
        <f t="shared" si="854"/>
        <v>1</v>
      </c>
      <c r="V6773" s="403" t="str">
        <f t="shared" si="855"/>
        <v>CPP_7_3</v>
      </c>
    </row>
    <row r="6774" spans="1:22">
      <c r="A6774" t="str">
        <f t="shared" si="848"/>
        <v>NTV-3503-F03L</v>
      </c>
      <c r="B6774" s="403" t="s">
        <v>1464</v>
      </c>
      <c r="C6774" s="403" t="s">
        <v>582</v>
      </c>
      <c r="D6774" s="403" t="s">
        <v>1465</v>
      </c>
      <c r="E6774" s="403" t="s">
        <v>778</v>
      </c>
      <c r="F6774" s="403" t="s">
        <v>1375</v>
      </c>
      <c r="G6774" s="403" t="s">
        <v>1467</v>
      </c>
      <c r="H6774" s="403" t="s">
        <v>1276</v>
      </c>
      <c r="I6774" s="403">
        <v>1</v>
      </c>
      <c r="J6774" s="403" t="s">
        <v>109</v>
      </c>
      <c r="K6774" s="403">
        <v>720</v>
      </c>
      <c r="L6774" s="403">
        <v>1280</v>
      </c>
      <c r="M6774" s="403" t="s">
        <v>109</v>
      </c>
      <c r="N6774" s="403">
        <v>720</v>
      </c>
      <c r="O6774" s="403">
        <v>1280</v>
      </c>
      <c r="P6774" t="str">
        <f t="shared" si="849"/>
        <v>20fps 720p - 720p</v>
      </c>
      <c r="Q6774">
        <f t="shared" si="850"/>
        <v>37</v>
      </c>
      <c r="R6774" t="str">
        <f t="shared" si="851"/>
        <v/>
      </c>
      <c r="S6774" t="str">
        <f t="shared" si="852"/>
        <v/>
      </c>
      <c r="T6774" s="403" t="str">
        <f t="shared" si="853"/>
        <v>NTV-3503-F03L</v>
      </c>
      <c r="U6774" s="403">
        <f t="shared" si="854"/>
        <v>1</v>
      </c>
      <c r="V6774" s="403" t="str">
        <f t="shared" si="855"/>
        <v>CPP_7_3</v>
      </c>
    </row>
    <row r="6775" spans="1:22">
      <c r="A6775" t="str">
        <f t="shared" si="848"/>
        <v>NTV-3503-F03L</v>
      </c>
      <c r="B6775" s="403" t="s">
        <v>1464</v>
      </c>
      <c r="C6775" s="403" t="s">
        <v>582</v>
      </c>
      <c r="D6775" s="403" t="s">
        <v>1465</v>
      </c>
      <c r="E6775" s="403" t="s">
        <v>778</v>
      </c>
      <c r="F6775" s="403" t="s">
        <v>1375</v>
      </c>
      <c r="G6775" s="403" t="s">
        <v>1467</v>
      </c>
      <c r="H6775" s="403" t="s">
        <v>1276</v>
      </c>
      <c r="I6775" s="403">
        <v>1</v>
      </c>
      <c r="J6775" s="403" t="s">
        <v>109</v>
      </c>
      <c r="K6775" s="403">
        <v>720</v>
      </c>
      <c r="L6775" s="403">
        <v>1280</v>
      </c>
      <c r="M6775" s="403" t="s">
        <v>111</v>
      </c>
      <c r="N6775" s="403">
        <v>432</v>
      </c>
      <c r="O6775" s="403">
        <v>768</v>
      </c>
      <c r="P6775" t="str">
        <f t="shared" si="849"/>
        <v>20fps 720p - SD</v>
      </c>
      <c r="Q6775">
        <f t="shared" si="850"/>
        <v>37</v>
      </c>
      <c r="R6775" t="str">
        <f t="shared" si="851"/>
        <v/>
      </c>
      <c r="S6775" t="str">
        <f t="shared" si="852"/>
        <v/>
      </c>
      <c r="T6775" s="403" t="str">
        <f t="shared" si="853"/>
        <v>NTV-3503-F03L</v>
      </c>
      <c r="U6775" s="403">
        <f t="shared" si="854"/>
        <v>1</v>
      </c>
      <c r="V6775" s="403" t="str">
        <f t="shared" si="855"/>
        <v>CPP_7_3</v>
      </c>
    </row>
    <row r="6776" spans="1:22">
      <c r="A6776" t="str">
        <f t="shared" si="848"/>
        <v>NTV-3503-F03L</v>
      </c>
      <c r="B6776" s="403" t="s">
        <v>1464</v>
      </c>
      <c r="C6776" s="403" t="s">
        <v>582</v>
      </c>
      <c r="D6776" s="403" t="s">
        <v>1465</v>
      </c>
      <c r="E6776" s="403" t="s">
        <v>778</v>
      </c>
      <c r="F6776" s="403" t="s">
        <v>1375</v>
      </c>
      <c r="G6776" s="403" t="s">
        <v>1467</v>
      </c>
      <c r="H6776" s="403" t="s">
        <v>1276</v>
      </c>
      <c r="I6776" s="403">
        <v>1</v>
      </c>
      <c r="J6776" s="403" t="s">
        <v>109</v>
      </c>
      <c r="K6776" s="403">
        <v>720</v>
      </c>
      <c r="L6776" s="403">
        <v>1280</v>
      </c>
      <c r="M6776" s="403" t="s">
        <v>1279</v>
      </c>
      <c r="N6776" s="403">
        <v>432</v>
      </c>
      <c r="O6776" s="403">
        <v>768</v>
      </c>
      <c r="P6776" t="str">
        <f t="shared" si="849"/>
        <v>20fps 720p - SD ROI PTZ</v>
      </c>
      <c r="Q6776">
        <f t="shared" si="850"/>
        <v>37</v>
      </c>
      <c r="R6776" t="str">
        <f t="shared" si="851"/>
        <v/>
      </c>
      <c r="S6776" t="str">
        <f t="shared" si="852"/>
        <v/>
      </c>
      <c r="T6776" s="403" t="str">
        <f t="shared" si="853"/>
        <v>NTV-3503-F03L</v>
      </c>
      <c r="U6776" s="403">
        <f t="shared" si="854"/>
        <v>1</v>
      </c>
      <c r="V6776" s="403" t="str">
        <f t="shared" si="855"/>
        <v>CPP_7_3</v>
      </c>
    </row>
    <row r="6777" spans="1:22">
      <c r="A6777" t="str">
        <f t="shared" si="848"/>
        <v>NTV-3503-F03L</v>
      </c>
      <c r="B6777" s="403" t="s">
        <v>1464</v>
      </c>
      <c r="C6777" s="403" t="s">
        <v>582</v>
      </c>
      <c r="D6777" s="403" t="s">
        <v>1465</v>
      </c>
      <c r="E6777" s="403" t="s">
        <v>778</v>
      </c>
      <c r="F6777" s="403" t="s">
        <v>1375</v>
      </c>
      <c r="G6777" s="403" t="s">
        <v>1467</v>
      </c>
      <c r="H6777" s="403" t="s">
        <v>1276</v>
      </c>
      <c r="I6777" s="403">
        <v>1</v>
      </c>
      <c r="J6777" s="403" t="s">
        <v>109</v>
      </c>
      <c r="K6777" s="403">
        <v>720</v>
      </c>
      <c r="L6777" s="403">
        <v>1280</v>
      </c>
      <c r="M6777" s="403" t="s">
        <v>1283</v>
      </c>
      <c r="N6777" s="403">
        <v>480</v>
      </c>
      <c r="O6777" s="403">
        <v>720</v>
      </c>
      <c r="P6777" t="str">
        <f t="shared" si="849"/>
        <v>20fps 720p - SD 4CIF resolution 4:3 format (cropped)</v>
      </c>
      <c r="Q6777">
        <f t="shared" si="850"/>
        <v>37</v>
      </c>
      <c r="R6777" t="str">
        <f t="shared" si="851"/>
        <v/>
      </c>
      <c r="S6777" t="str">
        <f t="shared" si="852"/>
        <v/>
      </c>
      <c r="T6777" s="403" t="str">
        <f t="shared" si="853"/>
        <v>NTV-3503-F03L</v>
      </c>
      <c r="U6777" s="403">
        <f t="shared" si="854"/>
        <v>1</v>
      </c>
      <c r="V6777" s="403" t="str">
        <f t="shared" si="855"/>
        <v>CPP_7_3</v>
      </c>
    </row>
    <row r="6778" spans="1:22">
      <c r="A6778" t="str">
        <f t="shared" si="848"/>
        <v>NTV-3503-F03L</v>
      </c>
      <c r="B6778" s="403" t="s">
        <v>1464</v>
      </c>
      <c r="C6778" s="403" t="s">
        <v>582</v>
      </c>
      <c r="D6778" s="403" t="s">
        <v>1465</v>
      </c>
      <c r="E6778" s="403" t="s">
        <v>778</v>
      </c>
      <c r="F6778" s="403" t="s">
        <v>1375</v>
      </c>
      <c r="G6778" s="403" t="s">
        <v>1467</v>
      </c>
      <c r="H6778" s="403" t="s">
        <v>1276</v>
      </c>
      <c r="I6778" s="403">
        <v>1</v>
      </c>
      <c r="J6778" s="403" t="s">
        <v>109</v>
      </c>
      <c r="K6778" s="403">
        <v>720</v>
      </c>
      <c r="L6778" s="403">
        <v>1280</v>
      </c>
      <c r="M6778" s="403" t="s">
        <v>1284</v>
      </c>
      <c r="N6778" s="403">
        <v>480</v>
      </c>
      <c r="O6778" s="403">
        <v>640</v>
      </c>
      <c r="P6778" t="str">
        <f t="shared" si="849"/>
        <v>20fps 720p - SD VGA (cropped)</v>
      </c>
      <c r="Q6778">
        <f t="shared" si="850"/>
        <v>37</v>
      </c>
      <c r="R6778" t="str">
        <f t="shared" si="851"/>
        <v/>
      </c>
      <c r="S6778" t="str">
        <f t="shared" si="852"/>
        <v/>
      </c>
      <c r="T6778" s="403" t="str">
        <f t="shared" si="853"/>
        <v>NTV-3503-F03L</v>
      </c>
      <c r="U6778" s="403">
        <f t="shared" si="854"/>
        <v>1</v>
      </c>
      <c r="V6778" s="403" t="str">
        <f t="shared" si="855"/>
        <v>CPP_7_3</v>
      </c>
    </row>
    <row r="6779" spans="1:22">
      <c r="A6779" t="str">
        <f t="shared" si="848"/>
        <v>NTV-3503-F03L</v>
      </c>
      <c r="B6779" s="403" t="s">
        <v>1464</v>
      </c>
      <c r="C6779" s="403" t="s">
        <v>582</v>
      </c>
      <c r="D6779" s="403" t="s">
        <v>1465</v>
      </c>
      <c r="E6779" s="403" t="s">
        <v>778</v>
      </c>
      <c r="F6779" s="403" t="s">
        <v>1375</v>
      </c>
      <c r="G6779" s="403" t="s">
        <v>1467</v>
      </c>
      <c r="H6779" s="403" t="s">
        <v>1281</v>
      </c>
      <c r="I6779" s="403">
        <v>1</v>
      </c>
      <c r="J6779" s="403" t="s">
        <v>1377</v>
      </c>
      <c r="K6779" s="403">
        <v>1528</v>
      </c>
      <c r="L6779" s="403">
        <v>2720</v>
      </c>
      <c r="M6779" s="403" t="s">
        <v>1280</v>
      </c>
      <c r="N6779" s="403">
        <v>1528</v>
      </c>
      <c r="O6779" s="403">
        <v>2720</v>
      </c>
      <c r="P6779" t="str">
        <f t="shared" si="849"/>
        <v>20fps 2720x1530 - copy other stream</v>
      </c>
      <c r="Q6779">
        <f t="shared" si="850"/>
        <v>37</v>
      </c>
      <c r="R6779" t="str">
        <f t="shared" si="851"/>
        <v/>
      </c>
      <c r="S6779" t="str">
        <f t="shared" si="852"/>
        <v/>
      </c>
      <c r="T6779" s="403" t="str">
        <f t="shared" si="853"/>
        <v>NTV-3503-F03L</v>
      </c>
      <c r="U6779" s="403">
        <f t="shared" si="854"/>
        <v>1</v>
      </c>
      <c r="V6779" s="403" t="str">
        <f t="shared" si="855"/>
        <v>CPP_7_3</v>
      </c>
    </row>
    <row r="6780" spans="1:22">
      <c r="A6780" t="str">
        <f t="shared" si="848"/>
        <v>NTV-3503-F03L</v>
      </c>
      <c r="B6780" s="403" t="s">
        <v>1464</v>
      </c>
      <c r="C6780" s="403" t="s">
        <v>582</v>
      </c>
      <c r="D6780" s="403" t="s">
        <v>1465</v>
      </c>
      <c r="E6780" s="403" t="s">
        <v>778</v>
      </c>
      <c r="F6780" s="403" t="s">
        <v>1375</v>
      </c>
      <c r="G6780" s="403" t="s">
        <v>1467</v>
      </c>
      <c r="H6780" s="403" t="s">
        <v>1281</v>
      </c>
      <c r="I6780" s="403">
        <v>1</v>
      </c>
      <c r="J6780" s="403" t="s">
        <v>1374</v>
      </c>
      <c r="K6780" s="403">
        <v>1296</v>
      </c>
      <c r="L6780" s="403">
        <v>2304</v>
      </c>
      <c r="M6780" s="403" t="s">
        <v>109</v>
      </c>
      <c r="N6780" s="403">
        <v>720</v>
      </c>
      <c r="O6780" s="403">
        <v>1280</v>
      </c>
      <c r="P6780" t="str">
        <f t="shared" si="849"/>
        <v>20fps 2304x1296 - 720p</v>
      </c>
      <c r="Q6780">
        <f t="shared" si="850"/>
        <v>37</v>
      </c>
      <c r="R6780" t="str">
        <f t="shared" si="851"/>
        <v/>
      </c>
      <c r="S6780" t="str">
        <f t="shared" si="852"/>
        <v/>
      </c>
      <c r="T6780" s="403" t="str">
        <f t="shared" si="853"/>
        <v>NTV-3503-F03L</v>
      </c>
      <c r="U6780" s="403">
        <f t="shared" si="854"/>
        <v>1</v>
      </c>
      <c r="V6780" s="403" t="str">
        <f t="shared" si="855"/>
        <v>CPP_7_3</v>
      </c>
    </row>
    <row r="6781" spans="1:22">
      <c r="A6781" t="str">
        <f t="shared" si="848"/>
        <v>NTV-3503-F03L</v>
      </c>
      <c r="B6781" s="403" t="s">
        <v>1464</v>
      </c>
      <c r="C6781" s="403" t="s">
        <v>582</v>
      </c>
      <c r="D6781" s="403" t="s">
        <v>1465</v>
      </c>
      <c r="E6781" s="403" t="s">
        <v>778</v>
      </c>
      <c r="F6781" s="403" t="s">
        <v>1375</v>
      </c>
      <c r="G6781" s="403" t="s">
        <v>1467</v>
      </c>
      <c r="H6781" s="403" t="s">
        <v>1281</v>
      </c>
      <c r="I6781" s="403">
        <v>1</v>
      </c>
      <c r="J6781" s="403" t="s">
        <v>1374</v>
      </c>
      <c r="K6781" s="403">
        <v>1296</v>
      </c>
      <c r="L6781" s="403">
        <v>2304</v>
      </c>
      <c r="M6781" s="403" t="s">
        <v>111</v>
      </c>
      <c r="N6781" s="403">
        <v>432</v>
      </c>
      <c r="O6781" s="403">
        <v>768</v>
      </c>
      <c r="P6781" t="str">
        <f t="shared" si="849"/>
        <v>20fps 2304x1296 - SD</v>
      </c>
      <c r="Q6781">
        <f t="shared" si="850"/>
        <v>37</v>
      </c>
      <c r="R6781" t="str">
        <f t="shared" si="851"/>
        <v/>
      </c>
      <c r="S6781" t="str">
        <f t="shared" si="852"/>
        <v/>
      </c>
      <c r="T6781" s="403" t="str">
        <f t="shared" si="853"/>
        <v>NTV-3503-F03L</v>
      </c>
      <c r="U6781" s="403">
        <f t="shared" si="854"/>
        <v>1</v>
      </c>
      <c r="V6781" s="403" t="str">
        <f t="shared" si="855"/>
        <v>CPP_7_3</v>
      </c>
    </row>
    <row r="6782" spans="1:22">
      <c r="A6782" t="str">
        <f t="shared" si="848"/>
        <v>NTV-3503-F03L</v>
      </c>
      <c r="B6782" s="403" t="s">
        <v>1464</v>
      </c>
      <c r="C6782" s="403" t="s">
        <v>582</v>
      </c>
      <c r="D6782" s="403" t="s">
        <v>1465</v>
      </c>
      <c r="E6782" s="403" t="s">
        <v>778</v>
      </c>
      <c r="F6782" s="403" t="s">
        <v>1375</v>
      </c>
      <c r="G6782" s="403" t="s">
        <v>1467</v>
      </c>
      <c r="H6782" s="403" t="s">
        <v>1281</v>
      </c>
      <c r="I6782" s="403">
        <v>1</v>
      </c>
      <c r="J6782" s="403" t="s">
        <v>1374</v>
      </c>
      <c r="K6782" s="403">
        <v>1296</v>
      </c>
      <c r="L6782" s="403">
        <v>2304</v>
      </c>
      <c r="M6782" s="403" t="s">
        <v>1279</v>
      </c>
      <c r="N6782" s="403">
        <v>432</v>
      </c>
      <c r="O6782" s="403">
        <v>768</v>
      </c>
      <c r="P6782" t="str">
        <f t="shared" si="849"/>
        <v>20fps 2304x1296 - SD ROI PTZ</v>
      </c>
      <c r="Q6782">
        <f t="shared" si="850"/>
        <v>37</v>
      </c>
      <c r="R6782" t="str">
        <f t="shared" si="851"/>
        <v/>
      </c>
      <c r="S6782" t="str">
        <f t="shared" si="852"/>
        <v/>
      </c>
      <c r="T6782" s="403" t="str">
        <f t="shared" si="853"/>
        <v>NTV-3503-F03L</v>
      </c>
      <c r="U6782" s="403">
        <f t="shared" si="854"/>
        <v>1</v>
      </c>
      <c r="V6782" s="403" t="str">
        <f t="shared" si="855"/>
        <v>CPP_7_3</v>
      </c>
    </row>
    <row r="6783" spans="1:22">
      <c r="A6783" t="str">
        <f t="shared" si="848"/>
        <v>NTV-3503-F03L</v>
      </c>
      <c r="B6783" s="403" t="s">
        <v>1464</v>
      </c>
      <c r="C6783" s="403" t="s">
        <v>582</v>
      </c>
      <c r="D6783" s="403" t="s">
        <v>1465</v>
      </c>
      <c r="E6783" s="403" t="s">
        <v>778</v>
      </c>
      <c r="F6783" s="403" t="s">
        <v>1375</v>
      </c>
      <c r="G6783" s="403" t="s">
        <v>1467</v>
      </c>
      <c r="H6783" s="403" t="s">
        <v>1281</v>
      </c>
      <c r="I6783" s="403">
        <v>1</v>
      </c>
      <c r="J6783" s="403" t="s">
        <v>1374</v>
      </c>
      <c r="K6783" s="403">
        <v>1296</v>
      </c>
      <c r="L6783" s="403">
        <v>2304</v>
      </c>
      <c r="M6783" s="403" t="s">
        <v>1285</v>
      </c>
      <c r="N6783" s="403">
        <v>1024</v>
      </c>
      <c r="O6783" s="403">
        <v>1280</v>
      </c>
      <c r="P6783" t="str">
        <f t="shared" si="849"/>
        <v>20fps 2304x1296 - 1280x1024 5:4 (cropped)</v>
      </c>
      <c r="Q6783">
        <f t="shared" si="850"/>
        <v>37</v>
      </c>
      <c r="R6783" t="str">
        <f t="shared" si="851"/>
        <v/>
      </c>
      <c r="S6783" t="str">
        <f t="shared" si="852"/>
        <v/>
      </c>
      <c r="T6783" s="403" t="str">
        <f t="shared" si="853"/>
        <v>NTV-3503-F03L</v>
      </c>
      <c r="U6783" s="403">
        <f t="shared" si="854"/>
        <v>1</v>
      </c>
      <c r="V6783" s="403" t="str">
        <f t="shared" si="855"/>
        <v>CPP_7_3</v>
      </c>
    </row>
    <row r="6784" spans="1:22">
      <c r="A6784" t="str">
        <f t="shared" si="848"/>
        <v>NTV-3503-F03L</v>
      </c>
      <c r="B6784" s="403" t="s">
        <v>1464</v>
      </c>
      <c r="C6784" s="403" t="s">
        <v>582</v>
      </c>
      <c r="D6784" s="403" t="s">
        <v>1465</v>
      </c>
      <c r="E6784" s="403" t="s">
        <v>778</v>
      </c>
      <c r="F6784" s="403" t="s">
        <v>1375</v>
      </c>
      <c r="G6784" s="403" t="s">
        <v>1467</v>
      </c>
      <c r="H6784" s="403" t="s">
        <v>1281</v>
      </c>
      <c r="I6784" s="403">
        <v>1</v>
      </c>
      <c r="J6784" s="403" t="s">
        <v>1374</v>
      </c>
      <c r="K6784" s="403">
        <v>1296</v>
      </c>
      <c r="L6784" s="403">
        <v>2304</v>
      </c>
      <c r="M6784" s="403" t="s">
        <v>1283</v>
      </c>
      <c r="N6784" s="403">
        <v>480</v>
      </c>
      <c r="O6784" s="403">
        <v>720</v>
      </c>
      <c r="P6784" t="str">
        <f t="shared" si="849"/>
        <v>20fps 2304x1296 - SD 4CIF resolution 4:3 format (cropped)</v>
      </c>
      <c r="Q6784">
        <f t="shared" si="850"/>
        <v>37</v>
      </c>
      <c r="R6784" t="str">
        <f t="shared" si="851"/>
        <v/>
      </c>
      <c r="S6784" t="str">
        <f t="shared" si="852"/>
        <v/>
      </c>
      <c r="T6784" s="403" t="str">
        <f t="shared" si="853"/>
        <v>NTV-3503-F03L</v>
      </c>
      <c r="U6784" s="403">
        <f t="shared" si="854"/>
        <v>1</v>
      </c>
      <c r="V6784" s="403" t="str">
        <f t="shared" si="855"/>
        <v>CPP_7_3</v>
      </c>
    </row>
    <row r="6785" spans="1:22">
      <c r="A6785" t="str">
        <f t="shared" si="848"/>
        <v>NTV-3503-F03L</v>
      </c>
      <c r="B6785" s="403" t="s">
        <v>1464</v>
      </c>
      <c r="C6785" s="403" t="s">
        <v>582</v>
      </c>
      <c r="D6785" s="403" t="s">
        <v>1465</v>
      </c>
      <c r="E6785" s="403" t="s">
        <v>778</v>
      </c>
      <c r="F6785" s="403" t="s">
        <v>1375</v>
      </c>
      <c r="G6785" s="403" t="s">
        <v>1467</v>
      </c>
      <c r="H6785" s="403" t="s">
        <v>1281</v>
      </c>
      <c r="I6785" s="403">
        <v>1</v>
      </c>
      <c r="J6785" s="403" t="s">
        <v>1374</v>
      </c>
      <c r="K6785" s="403">
        <v>1296</v>
      </c>
      <c r="L6785" s="403">
        <v>2304</v>
      </c>
      <c r="M6785" s="403" t="s">
        <v>1284</v>
      </c>
      <c r="N6785" s="403">
        <v>480</v>
      </c>
      <c r="O6785" s="403">
        <v>640</v>
      </c>
      <c r="P6785" t="str">
        <f t="shared" si="849"/>
        <v>20fps 2304x1296 - SD VGA (cropped)</v>
      </c>
      <c r="Q6785">
        <f t="shared" si="850"/>
        <v>37</v>
      </c>
      <c r="R6785" t="str">
        <f t="shared" si="851"/>
        <v/>
      </c>
      <c r="S6785" t="str">
        <f t="shared" si="852"/>
        <v/>
      </c>
      <c r="T6785" s="403" t="str">
        <f t="shared" si="853"/>
        <v>NTV-3503-F03L</v>
      </c>
      <c r="U6785" s="403">
        <f t="shared" si="854"/>
        <v>1</v>
      </c>
      <c r="V6785" s="403" t="str">
        <f t="shared" si="855"/>
        <v>CPP_7_3</v>
      </c>
    </row>
    <row r="6786" spans="1:22">
      <c r="A6786" t="str">
        <f t="shared" si="848"/>
        <v>NTV-3503-F03L</v>
      </c>
      <c r="B6786" s="403" t="s">
        <v>1464</v>
      </c>
      <c r="C6786" s="403" t="s">
        <v>582</v>
      </c>
      <c r="D6786" s="403" t="s">
        <v>1465</v>
      </c>
      <c r="E6786" s="403" t="s">
        <v>778</v>
      </c>
      <c r="F6786" s="403" t="s">
        <v>1375</v>
      </c>
      <c r="G6786" s="403" t="s">
        <v>1467</v>
      </c>
      <c r="H6786" s="403" t="s">
        <v>1281</v>
      </c>
      <c r="I6786" s="403">
        <v>1</v>
      </c>
      <c r="J6786" s="403" t="s">
        <v>1374</v>
      </c>
      <c r="K6786" s="403">
        <v>1296</v>
      </c>
      <c r="L6786" s="403">
        <v>2304</v>
      </c>
      <c r="M6786" s="403" t="s">
        <v>1280</v>
      </c>
      <c r="N6786" s="403">
        <v>1296</v>
      </c>
      <c r="O6786" s="403">
        <v>2304</v>
      </c>
      <c r="P6786" t="str">
        <f t="shared" si="849"/>
        <v>20fps 2304x1296 - copy other stream</v>
      </c>
      <c r="Q6786">
        <f t="shared" si="850"/>
        <v>37</v>
      </c>
      <c r="R6786" t="str">
        <f t="shared" si="851"/>
        <v/>
      </c>
      <c r="S6786" t="str">
        <f t="shared" si="852"/>
        <v/>
      </c>
      <c r="T6786" s="403" t="str">
        <f t="shared" si="853"/>
        <v>NTV-3503-F03L</v>
      </c>
      <c r="U6786" s="403">
        <f t="shared" si="854"/>
        <v>1</v>
      </c>
      <c r="V6786" s="403" t="str">
        <f t="shared" si="855"/>
        <v>CPP_7_3</v>
      </c>
    </row>
    <row r="6787" spans="1:22">
      <c r="A6787" t="str">
        <f t="shared" si="848"/>
        <v>NTV-3503-F03L</v>
      </c>
      <c r="B6787" s="403" t="s">
        <v>1464</v>
      </c>
      <c r="C6787" s="403" t="s">
        <v>582</v>
      </c>
      <c r="D6787" s="403" t="s">
        <v>1465</v>
      </c>
      <c r="E6787" s="403" t="s">
        <v>778</v>
      </c>
      <c r="F6787" s="403" t="s">
        <v>1375</v>
      </c>
      <c r="G6787" s="403" t="s">
        <v>1467</v>
      </c>
      <c r="H6787" s="403" t="s">
        <v>1281</v>
      </c>
      <c r="I6787" s="403">
        <v>1</v>
      </c>
      <c r="J6787" s="403" t="s">
        <v>110</v>
      </c>
      <c r="K6787" s="403">
        <v>1080</v>
      </c>
      <c r="L6787" s="403">
        <v>1920</v>
      </c>
      <c r="M6787" s="403" t="s">
        <v>111</v>
      </c>
      <c r="N6787" s="403">
        <v>432</v>
      </c>
      <c r="O6787" s="403">
        <v>768</v>
      </c>
      <c r="P6787" t="str">
        <f t="shared" si="849"/>
        <v>20fps 1080p - SD</v>
      </c>
      <c r="Q6787">
        <f t="shared" si="850"/>
        <v>37</v>
      </c>
      <c r="R6787" t="str">
        <f t="shared" si="851"/>
        <v/>
      </c>
      <c r="S6787" t="str">
        <f t="shared" si="852"/>
        <v/>
      </c>
      <c r="T6787" s="403" t="str">
        <f t="shared" si="853"/>
        <v>NTV-3503-F03L</v>
      </c>
      <c r="U6787" s="403">
        <f t="shared" si="854"/>
        <v>1</v>
      </c>
      <c r="V6787" s="403" t="str">
        <f t="shared" si="855"/>
        <v>CPP_7_3</v>
      </c>
    </row>
    <row r="6788" spans="1:22">
      <c r="A6788" t="str">
        <f t="shared" si="848"/>
        <v>NTV-3503-F03L</v>
      </c>
      <c r="B6788" s="403" t="s">
        <v>1464</v>
      </c>
      <c r="C6788" s="403" t="s">
        <v>582</v>
      </c>
      <c r="D6788" s="403" t="s">
        <v>1465</v>
      </c>
      <c r="E6788" s="403" t="s">
        <v>778</v>
      </c>
      <c r="F6788" s="403" t="s">
        <v>1375</v>
      </c>
      <c r="G6788" s="403" t="s">
        <v>1467</v>
      </c>
      <c r="H6788" s="403" t="s">
        <v>1281</v>
      </c>
      <c r="I6788" s="403">
        <v>1</v>
      </c>
      <c r="J6788" s="403" t="s">
        <v>110</v>
      </c>
      <c r="K6788" s="403">
        <v>1080</v>
      </c>
      <c r="L6788" s="403">
        <v>1920</v>
      </c>
      <c r="M6788" s="403" t="s">
        <v>110</v>
      </c>
      <c r="N6788" s="403">
        <v>1080</v>
      </c>
      <c r="O6788" s="403">
        <v>1920</v>
      </c>
      <c r="P6788" t="str">
        <f t="shared" si="849"/>
        <v>20fps 1080p - 1080p</v>
      </c>
      <c r="Q6788">
        <f t="shared" si="850"/>
        <v>37</v>
      </c>
      <c r="R6788" t="str">
        <f t="shared" si="851"/>
        <v/>
      </c>
      <c r="S6788" t="str">
        <f t="shared" si="852"/>
        <v/>
      </c>
      <c r="T6788" s="403" t="str">
        <f t="shared" si="853"/>
        <v>NTV-3503-F03L</v>
      </c>
      <c r="U6788" s="403">
        <f t="shared" si="854"/>
        <v>1</v>
      </c>
      <c r="V6788" s="403" t="str">
        <f t="shared" si="855"/>
        <v>CPP_7_3</v>
      </c>
    </row>
    <row r="6789" spans="1:22">
      <c r="A6789" t="str">
        <f t="shared" si="848"/>
        <v>NTV-3503-F03L</v>
      </c>
      <c r="B6789" s="403" t="s">
        <v>1464</v>
      </c>
      <c r="C6789" s="403" t="s">
        <v>582</v>
      </c>
      <c r="D6789" s="403" t="s">
        <v>1465</v>
      </c>
      <c r="E6789" s="403" t="s">
        <v>778</v>
      </c>
      <c r="F6789" s="403" t="s">
        <v>1375</v>
      </c>
      <c r="G6789" s="403" t="s">
        <v>1467</v>
      </c>
      <c r="H6789" s="403" t="s">
        <v>1281</v>
      </c>
      <c r="I6789" s="403">
        <v>1</v>
      </c>
      <c r="J6789" s="403" t="s">
        <v>110</v>
      </c>
      <c r="K6789" s="403">
        <v>1080</v>
      </c>
      <c r="L6789" s="403">
        <v>1920</v>
      </c>
      <c r="M6789" s="403" t="s">
        <v>109</v>
      </c>
      <c r="N6789" s="403">
        <v>720</v>
      </c>
      <c r="O6789" s="403">
        <v>1280</v>
      </c>
      <c r="P6789" t="str">
        <f t="shared" si="849"/>
        <v>20fps 1080p - 720p</v>
      </c>
      <c r="Q6789">
        <f t="shared" si="850"/>
        <v>37</v>
      </c>
      <c r="R6789" t="str">
        <f t="shared" si="851"/>
        <v/>
      </c>
      <c r="S6789" t="str">
        <f t="shared" si="852"/>
        <v/>
      </c>
      <c r="T6789" s="403" t="str">
        <f t="shared" si="853"/>
        <v>NTV-3503-F03L</v>
      </c>
      <c r="U6789" s="403">
        <f t="shared" si="854"/>
        <v>1</v>
      </c>
      <c r="V6789" s="403" t="str">
        <f t="shared" si="855"/>
        <v>CPP_7_3</v>
      </c>
    </row>
    <row r="6790" spans="1:22">
      <c r="A6790" t="str">
        <f t="shared" si="848"/>
        <v>NTV-3503-F03L</v>
      </c>
      <c r="B6790" s="403" t="s">
        <v>1464</v>
      </c>
      <c r="C6790" s="403" t="s">
        <v>582</v>
      </c>
      <c r="D6790" s="403" t="s">
        <v>1465</v>
      </c>
      <c r="E6790" s="403" t="s">
        <v>778</v>
      </c>
      <c r="F6790" s="403" t="s">
        <v>1375</v>
      </c>
      <c r="G6790" s="403" t="s">
        <v>1467</v>
      </c>
      <c r="H6790" s="403" t="s">
        <v>1281</v>
      </c>
      <c r="I6790" s="403">
        <v>1</v>
      </c>
      <c r="J6790" s="403" t="s">
        <v>110</v>
      </c>
      <c r="K6790" s="403">
        <v>1080</v>
      </c>
      <c r="L6790" s="403">
        <v>1920</v>
      </c>
      <c r="M6790" s="403" t="s">
        <v>1285</v>
      </c>
      <c r="N6790" s="403">
        <v>1024</v>
      </c>
      <c r="O6790" s="403">
        <v>1280</v>
      </c>
      <c r="P6790" t="str">
        <f t="shared" si="849"/>
        <v>20fps 1080p - 1280x1024 5:4 (cropped)</v>
      </c>
      <c r="Q6790">
        <f t="shared" si="850"/>
        <v>37</v>
      </c>
      <c r="R6790" t="str">
        <f t="shared" si="851"/>
        <v/>
      </c>
      <c r="S6790" t="str">
        <f t="shared" si="852"/>
        <v/>
      </c>
      <c r="T6790" s="403" t="str">
        <f t="shared" si="853"/>
        <v>NTV-3503-F03L</v>
      </c>
      <c r="U6790" s="403">
        <f t="shared" si="854"/>
        <v>1</v>
      </c>
      <c r="V6790" s="403" t="str">
        <f t="shared" si="855"/>
        <v>CPP_7_3</v>
      </c>
    </row>
    <row r="6791" spans="1:22">
      <c r="A6791" t="str">
        <f t="shared" si="848"/>
        <v>NTV-3503-F03L</v>
      </c>
      <c r="B6791" s="403" t="s">
        <v>1464</v>
      </c>
      <c r="C6791" s="403" t="s">
        <v>582</v>
      </c>
      <c r="D6791" s="403" t="s">
        <v>1465</v>
      </c>
      <c r="E6791" s="403" t="s">
        <v>778</v>
      </c>
      <c r="F6791" s="403" t="s">
        <v>1375</v>
      </c>
      <c r="G6791" s="403" t="s">
        <v>1467</v>
      </c>
      <c r="H6791" s="403" t="s">
        <v>1281</v>
      </c>
      <c r="I6791" s="403">
        <v>1</v>
      </c>
      <c r="J6791" s="403" t="s">
        <v>110</v>
      </c>
      <c r="K6791" s="403">
        <v>1080</v>
      </c>
      <c r="L6791" s="403">
        <v>1920</v>
      </c>
      <c r="M6791" s="403" t="s">
        <v>1279</v>
      </c>
      <c r="N6791" s="403">
        <v>432</v>
      </c>
      <c r="O6791" s="403">
        <v>768</v>
      </c>
      <c r="P6791" t="str">
        <f t="shared" si="849"/>
        <v>20fps 1080p - SD ROI PTZ</v>
      </c>
      <c r="Q6791">
        <f t="shared" si="850"/>
        <v>37</v>
      </c>
      <c r="R6791" t="str">
        <f t="shared" si="851"/>
        <v/>
      </c>
      <c r="S6791" t="str">
        <f t="shared" si="852"/>
        <v/>
      </c>
      <c r="T6791" s="403" t="str">
        <f t="shared" si="853"/>
        <v>NTV-3503-F03L</v>
      </c>
      <c r="U6791" s="403">
        <f t="shared" si="854"/>
        <v>1</v>
      </c>
      <c r="V6791" s="403" t="str">
        <f t="shared" si="855"/>
        <v>CPP_7_3</v>
      </c>
    </row>
    <row r="6792" spans="1:22">
      <c r="A6792" t="str">
        <f t="shared" si="848"/>
        <v>NTV-3503-F03L</v>
      </c>
      <c r="B6792" s="403" t="s">
        <v>1464</v>
      </c>
      <c r="C6792" s="403" t="s">
        <v>582</v>
      </c>
      <c r="D6792" s="403" t="s">
        <v>1465</v>
      </c>
      <c r="E6792" s="403" t="s">
        <v>778</v>
      </c>
      <c r="F6792" s="403" t="s">
        <v>1375</v>
      </c>
      <c r="G6792" s="403" t="s">
        <v>1467</v>
      </c>
      <c r="H6792" s="403" t="s">
        <v>1281</v>
      </c>
      <c r="I6792" s="403">
        <v>1</v>
      </c>
      <c r="J6792" s="403" t="s">
        <v>110</v>
      </c>
      <c r="K6792" s="403">
        <v>1080</v>
      </c>
      <c r="L6792" s="403">
        <v>1920</v>
      </c>
      <c r="M6792" s="403" t="s">
        <v>1283</v>
      </c>
      <c r="N6792" s="403">
        <v>480</v>
      </c>
      <c r="O6792" s="403">
        <v>720</v>
      </c>
      <c r="P6792" t="str">
        <f t="shared" si="849"/>
        <v>20fps 1080p - SD 4CIF resolution 4:3 format (cropped)</v>
      </c>
      <c r="Q6792">
        <f t="shared" si="850"/>
        <v>37</v>
      </c>
      <c r="R6792" t="str">
        <f t="shared" si="851"/>
        <v/>
      </c>
      <c r="S6792" t="str">
        <f t="shared" si="852"/>
        <v/>
      </c>
      <c r="T6792" s="403" t="str">
        <f t="shared" si="853"/>
        <v>NTV-3503-F03L</v>
      </c>
      <c r="U6792" s="403">
        <f t="shared" si="854"/>
        <v>1</v>
      </c>
      <c r="V6792" s="403" t="str">
        <f t="shared" si="855"/>
        <v>CPP_7_3</v>
      </c>
    </row>
    <row r="6793" spans="1:22">
      <c r="A6793" t="str">
        <f t="shared" si="848"/>
        <v>NTV-3503-F03L</v>
      </c>
      <c r="B6793" s="403" t="s">
        <v>1464</v>
      </c>
      <c r="C6793" s="403" t="s">
        <v>582</v>
      </c>
      <c r="D6793" s="403" t="s">
        <v>1465</v>
      </c>
      <c r="E6793" s="403" t="s">
        <v>778</v>
      </c>
      <c r="F6793" s="403" t="s">
        <v>1375</v>
      </c>
      <c r="G6793" s="403" t="s">
        <v>1467</v>
      </c>
      <c r="H6793" s="403" t="s">
        <v>1281</v>
      </c>
      <c r="I6793" s="403">
        <v>1</v>
      </c>
      <c r="J6793" s="403" t="s">
        <v>110</v>
      </c>
      <c r="K6793" s="403">
        <v>1080</v>
      </c>
      <c r="L6793" s="403">
        <v>1920</v>
      </c>
      <c r="M6793" s="403" t="s">
        <v>1284</v>
      </c>
      <c r="N6793" s="403">
        <v>480</v>
      </c>
      <c r="O6793" s="403">
        <v>640</v>
      </c>
      <c r="P6793" t="str">
        <f t="shared" si="849"/>
        <v>20fps 1080p - SD VGA (cropped)</v>
      </c>
      <c r="Q6793">
        <f t="shared" si="850"/>
        <v>37</v>
      </c>
      <c r="R6793" t="str">
        <f t="shared" si="851"/>
        <v/>
      </c>
      <c r="S6793" t="str">
        <f t="shared" si="852"/>
        <v/>
      </c>
      <c r="T6793" s="403" t="str">
        <f t="shared" si="853"/>
        <v>NTV-3503-F03L</v>
      </c>
      <c r="U6793" s="403">
        <f t="shared" si="854"/>
        <v>1</v>
      </c>
      <c r="V6793" s="403" t="str">
        <f t="shared" si="855"/>
        <v>CPP_7_3</v>
      </c>
    </row>
    <row r="6794" spans="1:22">
      <c r="A6794" t="str">
        <f t="shared" si="848"/>
        <v>NTV-3503-F03L</v>
      </c>
      <c r="B6794" s="403" t="s">
        <v>1464</v>
      </c>
      <c r="C6794" s="403" t="s">
        <v>582</v>
      </c>
      <c r="D6794" s="403" t="s">
        <v>1465</v>
      </c>
      <c r="E6794" s="403" t="s">
        <v>778</v>
      </c>
      <c r="F6794" s="403" t="s">
        <v>1375</v>
      </c>
      <c r="G6794" s="403" t="s">
        <v>1467</v>
      </c>
      <c r="H6794" s="403" t="s">
        <v>1281</v>
      </c>
      <c r="I6794" s="403">
        <v>1</v>
      </c>
      <c r="J6794" s="403" t="s">
        <v>109</v>
      </c>
      <c r="K6794" s="403">
        <v>720</v>
      </c>
      <c r="L6794" s="403">
        <v>1280</v>
      </c>
      <c r="M6794" s="403" t="s">
        <v>109</v>
      </c>
      <c r="N6794" s="403">
        <v>720</v>
      </c>
      <c r="O6794" s="403">
        <v>1280</v>
      </c>
      <c r="P6794" t="str">
        <f t="shared" si="849"/>
        <v>20fps 720p - 720p</v>
      </c>
      <c r="Q6794">
        <f t="shared" si="850"/>
        <v>37</v>
      </c>
      <c r="R6794" t="str">
        <f t="shared" si="851"/>
        <v/>
      </c>
      <c r="S6794" t="str">
        <f t="shared" si="852"/>
        <v/>
      </c>
      <c r="T6794" s="403" t="str">
        <f t="shared" si="853"/>
        <v>NTV-3503-F03L</v>
      </c>
      <c r="U6794" s="403">
        <f t="shared" si="854"/>
        <v>1</v>
      </c>
      <c r="V6794" s="403" t="str">
        <f t="shared" si="855"/>
        <v>CPP_7_3</v>
      </c>
    </row>
    <row r="6795" spans="1:22">
      <c r="A6795" t="str">
        <f t="shared" si="848"/>
        <v>NTV-3503-F03L</v>
      </c>
      <c r="B6795" s="403" t="s">
        <v>1464</v>
      </c>
      <c r="C6795" s="403" t="s">
        <v>582</v>
      </c>
      <c r="D6795" s="403" t="s">
        <v>1465</v>
      </c>
      <c r="E6795" s="403" t="s">
        <v>778</v>
      </c>
      <c r="F6795" s="403" t="s">
        <v>1375</v>
      </c>
      <c r="G6795" s="403" t="s">
        <v>1467</v>
      </c>
      <c r="H6795" s="403" t="s">
        <v>1281</v>
      </c>
      <c r="I6795" s="403">
        <v>1</v>
      </c>
      <c r="J6795" s="403" t="s">
        <v>109</v>
      </c>
      <c r="K6795" s="403">
        <v>720</v>
      </c>
      <c r="L6795" s="403">
        <v>1280</v>
      </c>
      <c r="M6795" s="403" t="s">
        <v>111</v>
      </c>
      <c r="N6795" s="403">
        <v>432</v>
      </c>
      <c r="O6795" s="403">
        <v>768</v>
      </c>
      <c r="P6795" t="str">
        <f t="shared" si="849"/>
        <v>20fps 720p - SD</v>
      </c>
      <c r="Q6795">
        <f t="shared" si="850"/>
        <v>37</v>
      </c>
      <c r="R6795" t="str">
        <f t="shared" si="851"/>
        <v/>
      </c>
      <c r="S6795" t="str">
        <f t="shared" si="852"/>
        <v/>
      </c>
      <c r="T6795" s="403" t="str">
        <f t="shared" si="853"/>
        <v>NTV-3503-F03L</v>
      </c>
      <c r="U6795" s="403">
        <f t="shared" si="854"/>
        <v>1</v>
      </c>
      <c r="V6795" s="403" t="str">
        <f t="shared" si="855"/>
        <v>CPP_7_3</v>
      </c>
    </row>
    <row r="6796" spans="1:22">
      <c r="A6796" t="str">
        <f t="shared" si="848"/>
        <v>NTV-3503-F03L</v>
      </c>
      <c r="B6796" s="403" t="s">
        <v>1464</v>
      </c>
      <c r="C6796" s="403" t="s">
        <v>582</v>
      </c>
      <c r="D6796" s="403" t="s">
        <v>1465</v>
      </c>
      <c r="E6796" s="403" t="s">
        <v>778</v>
      </c>
      <c r="F6796" s="403" t="s">
        <v>1375</v>
      </c>
      <c r="G6796" s="403" t="s">
        <v>1467</v>
      </c>
      <c r="H6796" s="403" t="s">
        <v>1281</v>
      </c>
      <c r="I6796" s="403">
        <v>1</v>
      </c>
      <c r="J6796" s="403" t="s">
        <v>109</v>
      </c>
      <c r="K6796" s="403">
        <v>720</v>
      </c>
      <c r="L6796" s="403">
        <v>1280</v>
      </c>
      <c r="M6796" s="403" t="s">
        <v>1279</v>
      </c>
      <c r="N6796" s="403">
        <v>432</v>
      </c>
      <c r="O6796" s="403">
        <v>768</v>
      </c>
      <c r="P6796" t="str">
        <f t="shared" si="849"/>
        <v>20fps 720p - SD ROI PTZ</v>
      </c>
      <c r="Q6796">
        <f t="shared" si="850"/>
        <v>37</v>
      </c>
      <c r="R6796" t="str">
        <f t="shared" si="851"/>
        <v/>
      </c>
      <c r="S6796" t="str">
        <f t="shared" si="852"/>
        <v/>
      </c>
      <c r="T6796" s="403" t="str">
        <f t="shared" si="853"/>
        <v>NTV-3503-F03L</v>
      </c>
      <c r="U6796" s="403">
        <f t="shared" si="854"/>
        <v>1</v>
      </c>
      <c r="V6796" s="403" t="str">
        <f t="shared" si="855"/>
        <v>CPP_7_3</v>
      </c>
    </row>
    <row r="6797" spans="1:22">
      <c r="A6797" t="str">
        <f t="shared" si="848"/>
        <v>NTV-3503-F03L</v>
      </c>
      <c r="B6797" s="403" t="s">
        <v>1464</v>
      </c>
      <c r="C6797" s="403" t="s">
        <v>582</v>
      </c>
      <c r="D6797" s="403" t="s">
        <v>1465</v>
      </c>
      <c r="E6797" s="403" t="s">
        <v>778</v>
      </c>
      <c r="F6797" s="403" t="s">
        <v>1375</v>
      </c>
      <c r="G6797" s="403" t="s">
        <v>1467</v>
      </c>
      <c r="H6797" s="403" t="s">
        <v>1281</v>
      </c>
      <c r="I6797" s="403">
        <v>1</v>
      </c>
      <c r="J6797" s="403" t="s">
        <v>109</v>
      </c>
      <c r="K6797" s="403">
        <v>720</v>
      </c>
      <c r="L6797" s="403">
        <v>1280</v>
      </c>
      <c r="M6797" s="403" t="s">
        <v>1283</v>
      </c>
      <c r="N6797" s="403">
        <v>480</v>
      </c>
      <c r="O6797" s="403">
        <v>720</v>
      </c>
      <c r="P6797" t="str">
        <f t="shared" si="849"/>
        <v>20fps 720p - SD 4CIF resolution 4:3 format (cropped)</v>
      </c>
      <c r="Q6797">
        <f t="shared" si="850"/>
        <v>37</v>
      </c>
      <c r="R6797" t="str">
        <f t="shared" si="851"/>
        <v/>
      </c>
      <c r="S6797" t="str">
        <f t="shared" si="852"/>
        <v/>
      </c>
      <c r="T6797" s="403" t="str">
        <f t="shared" si="853"/>
        <v>NTV-3503-F03L</v>
      </c>
      <c r="U6797" s="403">
        <f t="shared" si="854"/>
        <v>1</v>
      </c>
      <c r="V6797" s="403" t="str">
        <f t="shared" si="855"/>
        <v>CPP_7_3</v>
      </c>
    </row>
    <row r="6798" spans="1:22">
      <c r="A6798" t="str">
        <f t="shared" si="848"/>
        <v>NTV-3503-F03L</v>
      </c>
      <c r="B6798" s="403" t="s">
        <v>1464</v>
      </c>
      <c r="C6798" s="403" t="s">
        <v>582</v>
      </c>
      <c r="D6798" s="403" t="s">
        <v>1465</v>
      </c>
      <c r="E6798" s="403" t="s">
        <v>778</v>
      </c>
      <c r="F6798" s="403" t="s">
        <v>1375</v>
      </c>
      <c r="G6798" s="403" t="s">
        <v>1467</v>
      </c>
      <c r="H6798" s="403" t="s">
        <v>1281</v>
      </c>
      <c r="I6798" s="403">
        <v>1</v>
      </c>
      <c r="J6798" s="403" t="s">
        <v>109</v>
      </c>
      <c r="K6798" s="403">
        <v>720</v>
      </c>
      <c r="L6798" s="403">
        <v>1280</v>
      </c>
      <c r="M6798" s="403" t="s">
        <v>1284</v>
      </c>
      <c r="N6798" s="403">
        <v>480</v>
      </c>
      <c r="O6798" s="403">
        <v>640</v>
      </c>
      <c r="P6798" t="str">
        <f t="shared" si="849"/>
        <v>20fps 720p - SD VGA (cropped)</v>
      </c>
      <c r="Q6798">
        <f t="shared" si="850"/>
        <v>37</v>
      </c>
      <c r="R6798" t="str">
        <f t="shared" si="851"/>
        <v/>
      </c>
      <c r="S6798" t="str">
        <f t="shared" si="852"/>
        <v/>
      </c>
      <c r="T6798" s="403" t="str">
        <f t="shared" si="853"/>
        <v>NTV-3503-F03L</v>
      </c>
      <c r="U6798" s="403">
        <f t="shared" si="854"/>
        <v>1</v>
      </c>
      <c r="V6798" s="403" t="str">
        <f t="shared" si="855"/>
        <v>CPP_7_3</v>
      </c>
    </row>
    <row r="6799" spans="1:22">
      <c r="A6799" t="str">
        <f t="shared" si="848"/>
        <v>MIC-7522-Z30x</v>
      </c>
      <c r="B6799" t="s">
        <v>1523</v>
      </c>
      <c r="C6799" s="403" t="s">
        <v>582</v>
      </c>
      <c r="D6799" t="s">
        <v>1524</v>
      </c>
      <c r="E6799" t="s">
        <v>1523</v>
      </c>
      <c r="F6799" t="s">
        <v>1287</v>
      </c>
      <c r="G6799" t="s">
        <v>1525</v>
      </c>
      <c r="H6799" t="s">
        <v>1276</v>
      </c>
      <c r="I6799">
        <v>1</v>
      </c>
      <c r="J6799" t="s">
        <v>110</v>
      </c>
      <c r="K6799">
        <v>1920</v>
      </c>
      <c r="L6799">
        <v>1080</v>
      </c>
      <c r="M6799" t="s">
        <v>111</v>
      </c>
      <c r="N6799">
        <v>768</v>
      </c>
      <c r="O6799">
        <v>432</v>
      </c>
      <c r="P6799" t="str">
        <f t="shared" si="849"/>
        <v>25fps 1080p - SD</v>
      </c>
      <c r="Q6799">
        <f t="shared" si="850"/>
        <v>38</v>
      </c>
      <c r="R6799">
        <f t="shared" si="851"/>
        <v>38</v>
      </c>
      <c r="S6799" t="str">
        <f t="shared" si="852"/>
        <v>MIC IP starlight 7100i (MIC-7522-Z30x)</v>
      </c>
      <c r="T6799" s="403" t="str">
        <f t="shared" si="853"/>
        <v>MIC-7522-Z30x</v>
      </c>
      <c r="U6799" s="403">
        <f t="shared" si="854"/>
        <v>1</v>
      </c>
      <c r="V6799" s="403" t="str">
        <f t="shared" si="855"/>
        <v>CPP_7_3</v>
      </c>
    </row>
    <row r="6800" spans="1:22">
      <c r="A6800" t="str">
        <f t="shared" si="848"/>
        <v>MIC-7522-Z30x</v>
      </c>
      <c r="B6800" t="s">
        <v>1523</v>
      </c>
      <c r="C6800" s="403" t="s">
        <v>582</v>
      </c>
      <c r="D6800" t="s">
        <v>1524</v>
      </c>
      <c r="E6800" t="s">
        <v>1523</v>
      </c>
      <c r="F6800" t="s">
        <v>1287</v>
      </c>
      <c r="G6800" t="s">
        <v>1525</v>
      </c>
      <c r="H6800" t="s">
        <v>1276</v>
      </c>
      <c r="I6800">
        <v>1</v>
      </c>
      <c r="J6800" t="s">
        <v>110</v>
      </c>
      <c r="K6800">
        <v>1920</v>
      </c>
      <c r="L6800">
        <v>1080</v>
      </c>
      <c r="M6800" t="s">
        <v>110</v>
      </c>
      <c r="N6800">
        <v>1920</v>
      </c>
      <c r="O6800">
        <v>1080</v>
      </c>
      <c r="P6800" t="str">
        <f t="shared" si="849"/>
        <v>25fps 1080p - 1080p</v>
      </c>
      <c r="Q6800">
        <f t="shared" si="850"/>
        <v>38</v>
      </c>
      <c r="R6800" t="str">
        <f t="shared" si="851"/>
        <v/>
      </c>
      <c r="S6800" t="str">
        <f t="shared" si="852"/>
        <v/>
      </c>
      <c r="T6800" s="403" t="str">
        <f t="shared" si="853"/>
        <v>MIC-7522-Z30x</v>
      </c>
      <c r="U6800" s="403">
        <f t="shared" si="854"/>
        <v>1</v>
      </c>
      <c r="V6800" s="403" t="str">
        <f t="shared" si="855"/>
        <v>CPP_7_3</v>
      </c>
    </row>
    <row r="6801" spans="1:22">
      <c r="A6801" t="str">
        <f t="shared" si="848"/>
        <v>MIC-7522-Z30x</v>
      </c>
      <c r="B6801" t="s">
        <v>1523</v>
      </c>
      <c r="C6801" s="403" t="s">
        <v>582</v>
      </c>
      <c r="D6801" t="s">
        <v>1524</v>
      </c>
      <c r="E6801" t="s">
        <v>1523</v>
      </c>
      <c r="F6801" t="s">
        <v>1287</v>
      </c>
      <c r="G6801" t="s">
        <v>1525</v>
      </c>
      <c r="H6801" t="s">
        <v>1276</v>
      </c>
      <c r="I6801">
        <v>1</v>
      </c>
      <c r="J6801" t="s">
        <v>110</v>
      </c>
      <c r="K6801">
        <v>1920</v>
      </c>
      <c r="L6801">
        <v>1080</v>
      </c>
      <c r="M6801" t="s">
        <v>109</v>
      </c>
      <c r="N6801">
        <v>1280</v>
      </c>
      <c r="O6801">
        <v>720</v>
      </c>
      <c r="P6801" t="str">
        <f t="shared" si="849"/>
        <v>25fps 1080p - 720p</v>
      </c>
      <c r="Q6801">
        <f t="shared" si="850"/>
        <v>38</v>
      </c>
      <c r="R6801" t="str">
        <f t="shared" si="851"/>
        <v/>
      </c>
      <c r="S6801" t="str">
        <f t="shared" si="852"/>
        <v/>
      </c>
      <c r="T6801" s="403" t="str">
        <f t="shared" si="853"/>
        <v>MIC-7522-Z30x</v>
      </c>
      <c r="U6801" s="403">
        <f t="shared" si="854"/>
        <v>1</v>
      </c>
      <c r="V6801" s="403" t="str">
        <f t="shared" si="855"/>
        <v>CPP_7_3</v>
      </c>
    </row>
    <row r="6802" spans="1:22">
      <c r="A6802" t="str">
        <f t="shared" si="848"/>
        <v>MIC-7522-Z30x</v>
      </c>
      <c r="B6802" t="s">
        <v>1523</v>
      </c>
      <c r="C6802" s="403" t="s">
        <v>582</v>
      </c>
      <c r="D6802" t="s">
        <v>1524</v>
      </c>
      <c r="E6802" t="s">
        <v>1523</v>
      </c>
      <c r="F6802" t="s">
        <v>1287</v>
      </c>
      <c r="G6802" t="s">
        <v>1525</v>
      </c>
      <c r="H6802" t="s">
        <v>1276</v>
      </c>
      <c r="I6802">
        <v>1</v>
      </c>
      <c r="J6802" t="s">
        <v>110</v>
      </c>
      <c r="K6802">
        <v>1920</v>
      </c>
      <c r="L6802">
        <v>1080</v>
      </c>
      <c r="M6802" t="s">
        <v>1285</v>
      </c>
      <c r="N6802">
        <v>1280</v>
      </c>
      <c r="O6802">
        <v>1024</v>
      </c>
      <c r="P6802" t="str">
        <f t="shared" si="849"/>
        <v>25fps 1080p - 1280x1024 5:4 (cropped)</v>
      </c>
      <c r="Q6802">
        <f t="shared" si="850"/>
        <v>38</v>
      </c>
      <c r="R6802" t="str">
        <f t="shared" si="851"/>
        <v/>
      </c>
      <c r="S6802" t="str">
        <f t="shared" si="852"/>
        <v/>
      </c>
      <c r="T6802" s="403" t="str">
        <f t="shared" si="853"/>
        <v>MIC-7522-Z30x</v>
      </c>
      <c r="U6802" s="403">
        <f t="shared" si="854"/>
        <v>1</v>
      </c>
      <c r="V6802" s="403" t="str">
        <f t="shared" si="855"/>
        <v>CPP_7_3</v>
      </c>
    </row>
    <row r="6803" spans="1:22">
      <c r="A6803" t="str">
        <f t="shared" si="848"/>
        <v>MIC-7522-Z30x</v>
      </c>
      <c r="B6803" t="s">
        <v>1523</v>
      </c>
      <c r="C6803" s="403" t="s">
        <v>582</v>
      </c>
      <c r="D6803" t="s">
        <v>1524</v>
      </c>
      <c r="E6803" t="s">
        <v>1523</v>
      </c>
      <c r="F6803" t="s">
        <v>1287</v>
      </c>
      <c r="G6803" t="s">
        <v>1525</v>
      </c>
      <c r="H6803" t="s">
        <v>1276</v>
      </c>
      <c r="I6803">
        <v>1</v>
      </c>
      <c r="J6803" t="s">
        <v>110</v>
      </c>
      <c r="K6803">
        <v>1920</v>
      </c>
      <c r="L6803">
        <v>1080</v>
      </c>
      <c r="M6803" t="s">
        <v>1283</v>
      </c>
      <c r="N6803">
        <v>720</v>
      </c>
      <c r="O6803">
        <v>576</v>
      </c>
      <c r="P6803" t="str">
        <f t="shared" si="849"/>
        <v>25fps 1080p - SD 4CIF resolution 4:3 format (cropped)</v>
      </c>
      <c r="Q6803">
        <f t="shared" si="850"/>
        <v>38</v>
      </c>
      <c r="R6803" t="str">
        <f t="shared" si="851"/>
        <v/>
      </c>
      <c r="S6803" t="str">
        <f t="shared" si="852"/>
        <v/>
      </c>
      <c r="T6803" s="403" t="str">
        <f t="shared" si="853"/>
        <v>MIC-7522-Z30x</v>
      </c>
      <c r="U6803" s="403">
        <f t="shared" si="854"/>
        <v>1</v>
      </c>
      <c r="V6803" s="403" t="str">
        <f t="shared" si="855"/>
        <v>CPP_7_3</v>
      </c>
    </row>
    <row r="6804" spans="1:22">
      <c r="A6804" t="str">
        <f t="shared" si="848"/>
        <v>MIC-7522-Z30x</v>
      </c>
      <c r="B6804" t="s">
        <v>1523</v>
      </c>
      <c r="C6804" s="403" t="s">
        <v>582</v>
      </c>
      <c r="D6804" t="s">
        <v>1524</v>
      </c>
      <c r="E6804" t="s">
        <v>1523</v>
      </c>
      <c r="F6804" t="s">
        <v>1287</v>
      </c>
      <c r="G6804" t="s">
        <v>1525</v>
      </c>
      <c r="H6804" t="s">
        <v>1276</v>
      </c>
      <c r="I6804">
        <v>1</v>
      </c>
      <c r="J6804" t="s">
        <v>110</v>
      </c>
      <c r="K6804">
        <v>1920</v>
      </c>
      <c r="L6804">
        <v>1080</v>
      </c>
      <c r="M6804" t="s">
        <v>1284</v>
      </c>
      <c r="N6804">
        <v>640</v>
      </c>
      <c r="O6804">
        <v>480</v>
      </c>
      <c r="P6804" t="str">
        <f t="shared" si="849"/>
        <v>25fps 1080p - SD VGA (cropped)</v>
      </c>
      <c r="Q6804">
        <f t="shared" si="850"/>
        <v>38</v>
      </c>
      <c r="R6804" t="str">
        <f t="shared" si="851"/>
        <v/>
      </c>
      <c r="S6804" t="str">
        <f t="shared" si="852"/>
        <v/>
      </c>
      <c r="T6804" s="403" t="str">
        <f t="shared" si="853"/>
        <v>MIC-7522-Z30x</v>
      </c>
      <c r="U6804" s="403">
        <f t="shared" si="854"/>
        <v>1</v>
      </c>
      <c r="V6804" s="403" t="str">
        <f t="shared" si="855"/>
        <v>CPP_7_3</v>
      </c>
    </row>
    <row r="6805" spans="1:22">
      <c r="A6805" t="str">
        <f t="shared" si="848"/>
        <v>MIC-7522-Z30x</v>
      </c>
      <c r="B6805" t="s">
        <v>1523</v>
      </c>
      <c r="C6805" s="403" t="s">
        <v>582</v>
      </c>
      <c r="D6805" t="s">
        <v>1524</v>
      </c>
      <c r="E6805" t="s">
        <v>1523</v>
      </c>
      <c r="F6805" t="s">
        <v>1287</v>
      </c>
      <c r="G6805" t="s">
        <v>1525</v>
      </c>
      <c r="H6805" t="s">
        <v>1276</v>
      </c>
      <c r="I6805">
        <v>1</v>
      </c>
      <c r="J6805" t="s">
        <v>109</v>
      </c>
      <c r="K6805">
        <v>1280</v>
      </c>
      <c r="L6805">
        <v>720</v>
      </c>
      <c r="M6805" t="s">
        <v>109</v>
      </c>
      <c r="N6805">
        <v>1280</v>
      </c>
      <c r="O6805">
        <v>720</v>
      </c>
      <c r="P6805" t="str">
        <f t="shared" si="849"/>
        <v>25fps 720p - 720p</v>
      </c>
      <c r="Q6805">
        <f t="shared" si="850"/>
        <v>38</v>
      </c>
      <c r="R6805" t="str">
        <f t="shared" si="851"/>
        <v/>
      </c>
      <c r="S6805" t="str">
        <f t="shared" si="852"/>
        <v/>
      </c>
      <c r="T6805" s="403" t="str">
        <f t="shared" si="853"/>
        <v>MIC-7522-Z30x</v>
      </c>
      <c r="U6805" s="403">
        <f t="shared" si="854"/>
        <v>1</v>
      </c>
      <c r="V6805" s="403" t="str">
        <f t="shared" si="855"/>
        <v>CPP_7_3</v>
      </c>
    </row>
    <row r="6806" spans="1:22">
      <c r="A6806" t="str">
        <f t="shared" si="848"/>
        <v>MIC-7522-Z30x</v>
      </c>
      <c r="B6806" t="s">
        <v>1523</v>
      </c>
      <c r="C6806" s="403" t="s">
        <v>582</v>
      </c>
      <c r="D6806" t="s">
        <v>1524</v>
      </c>
      <c r="E6806" t="s">
        <v>1523</v>
      </c>
      <c r="F6806" t="s">
        <v>1287</v>
      </c>
      <c r="G6806" t="s">
        <v>1525</v>
      </c>
      <c r="H6806" t="s">
        <v>1276</v>
      </c>
      <c r="I6806">
        <v>1</v>
      </c>
      <c r="J6806" t="s">
        <v>109</v>
      </c>
      <c r="K6806">
        <v>1280</v>
      </c>
      <c r="L6806">
        <v>720</v>
      </c>
      <c r="M6806" t="s">
        <v>111</v>
      </c>
      <c r="N6806">
        <v>768</v>
      </c>
      <c r="O6806">
        <v>432</v>
      </c>
      <c r="P6806" t="str">
        <f t="shared" si="849"/>
        <v>25fps 720p - SD</v>
      </c>
      <c r="Q6806">
        <f t="shared" si="850"/>
        <v>38</v>
      </c>
      <c r="R6806" t="str">
        <f t="shared" si="851"/>
        <v/>
      </c>
      <c r="S6806" t="str">
        <f t="shared" si="852"/>
        <v/>
      </c>
      <c r="T6806" s="403" t="str">
        <f t="shared" si="853"/>
        <v>MIC-7522-Z30x</v>
      </c>
      <c r="U6806" s="403">
        <f t="shared" si="854"/>
        <v>1</v>
      </c>
      <c r="V6806" s="403" t="str">
        <f t="shared" si="855"/>
        <v>CPP_7_3</v>
      </c>
    </row>
    <row r="6807" spans="1:22">
      <c r="A6807" t="str">
        <f t="shared" si="848"/>
        <v>MIC-7522-Z30x</v>
      </c>
      <c r="B6807" t="s">
        <v>1523</v>
      </c>
      <c r="C6807" s="403" t="s">
        <v>582</v>
      </c>
      <c r="D6807" t="s">
        <v>1524</v>
      </c>
      <c r="E6807" t="s">
        <v>1523</v>
      </c>
      <c r="F6807" t="s">
        <v>1287</v>
      </c>
      <c r="G6807" t="s">
        <v>1525</v>
      </c>
      <c r="H6807" t="s">
        <v>1276</v>
      </c>
      <c r="I6807">
        <v>1</v>
      </c>
      <c r="J6807" t="s">
        <v>109</v>
      </c>
      <c r="K6807">
        <v>1280</v>
      </c>
      <c r="L6807">
        <v>720</v>
      </c>
      <c r="M6807" t="s">
        <v>1283</v>
      </c>
      <c r="N6807">
        <v>720</v>
      </c>
      <c r="O6807">
        <v>576</v>
      </c>
      <c r="P6807" t="str">
        <f t="shared" si="849"/>
        <v>25fps 720p - SD 4CIF resolution 4:3 format (cropped)</v>
      </c>
      <c r="Q6807">
        <f t="shared" si="850"/>
        <v>38</v>
      </c>
      <c r="R6807" t="str">
        <f t="shared" si="851"/>
        <v/>
      </c>
      <c r="S6807" t="str">
        <f t="shared" si="852"/>
        <v/>
      </c>
      <c r="T6807" s="403" t="str">
        <f t="shared" si="853"/>
        <v>MIC-7522-Z30x</v>
      </c>
      <c r="U6807" s="403">
        <f t="shared" si="854"/>
        <v>1</v>
      </c>
      <c r="V6807" s="403" t="str">
        <f t="shared" si="855"/>
        <v>CPP_7_3</v>
      </c>
    </row>
    <row r="6808" spans="1:22">
      <c r="A6808" t="str">
        <f t="shared" si="848"/>
        <v>MIC-7522-Z30x</v>
      </c>
      <c r="B6808" t="s">
        <v>1523</v>
      </c>
      <c r="C6808" s="403" t="s">
        <v>582</v>
      </c>
      <c r="D6808" t="s">
        <v>1524</v>
      </c>
      <c r="E6808" t="s">
        <v>1523</v>
      </c>
      <c r="F6808" t="s">
        <v>1287</v>
      </c>
      <c r="G6808" t="s">
        <v>1525</v>
      </c>
      <c r="H6808" t="s">
        <v>1276</v>
      </c>
      <c r="I6808">
        <v>1</v>
      </c>
      <c r="J6808" t="s">
        <v>109</v>
      </c>
      <c r="K6808">
        <v>1280</v>
      </c>
      <c r="L6808">
        <v>720</v>
      </c>
      <c r="M6808" t="s">
        <v>1284</v>
      </c>
      <c r="N6808">
        <v>640</v>
      </c>
      <c r="O6808">
        <v>480</v>
      </c>
      <c r="P6808" t="str">
        <f t="shared" si="849"/>
        <v>25fps 720p - SD VGA (cropped)</v>
      </c>
      <c r="Q6808">
        <f t="shared" si="850"/>
        <v>38</v>
      </c>
      <c r="R6808" t="str">
        <f t="shared" si="851"/>
        <v/>
      </c>
      <c r="S6808" t="str">
        <f t="shared" si="852"/>
        <v/>
      </c>
      <c r="T6808" s="403" t="str">
        <f t="shared" si="853"/>
        <v>MIC-7522-Z30x</v>
      </c>
      <c r="U6808" s="403">
        <f t="shared" si="854"/>
        <v>1</v>
      </c>
      <c r="V6808" s="403" t="str">
        <f t="shared" si="855"/>
        <v>CPP_7_3</v>
      </c>
    </row>
    <row r="6809" spans="1:22">
      <c r="A6809" t="str">
        <f t="shared" si="848"/>
        <v>MIC-7522-Z30x</v>
      </c>
      <c r="B6809" t="s">
        <v>1523</v>
      </c>
      <c r="C6809" s="403" t="s">
        <v>582</v>
      </c>
      <c r="D6809" t="s">
        <v>1524</v>
      </c>
      <c r="E6809" t="s">
        <v>1523</v>
      </c>
      <c r="F6809" t="s">
        <v>1287</v>
      </c>
      <c r="G6809" t="s">
        <v>1525</v>
      </c>
      <c r="H6809" t="s">
        <v>1281</v>
      </c>
      <c r="I6809">
        <v>1</v>
      </c>
      <c r="J6809" t="s">
        <v>110</v>
      </c>
      <c r="K6809">
        <v>1920</v>
      </c>
      <c r="L6809">
        <v>1080</v>
      </c>
      <c r="M6809" t="s">
        <v>111</v>
      </c>
      <c r="N6809">
        <v>768</v>
      </c>
      <c r="O6809">
        <v>432</v>
      </c>
      <c r="P6809" t="str">
        <f t="shared" si="849"/>
        <v>25fps 1080p - SD</v>
      </c>
      <c r="Q6809">
        <f t="shared" si="850"/>
        <v>38</v>
      </c>
      <c r="R6809" t="str">
        <f t="shared" si="851"/>
        <v/>
      </c>
      <c r="S6809" t="str">
        <f t="shared" si="852"/>
        <v/>
      </c>
      <c r="T6809" s="403" t="str">
        <f t="shared" si="853"/>
        <v>MIC-7522-Z30x</v>
      </c>
      <c r="U6809" s="403">
        <f t="shared" si="854"/>
        <v>1</v>
      </c>
      <c r="V6809" s="403" t="str">
        <f t="shared" si="855"/>
        <v>CPP_7_3</v>
      </c>
    </row>
    <row r="6810" spans="1:22">
      <c r="A6810" t="str">
        <f t="shared" si="848"/>
        <v>MIC-7522-Z30x</v>
      </c>
      <c r="B6810" t="s">
        <v>1523</v>
      </c>
      <c r="C6810" s="403" t="s">
        <v>582</v>
      </c>
      <c r="D6810" t="s">
        <v>1524</v>
      </c>
      <c r="E6810" t="s">
        <v>1523</v>
      </c>
      <c r="F6810" t="s">
        <v>1287</v>
      </c>
      <c r="G6810" t="s">
        <v>1525</v>
      </c>
      <c r="H6810" t="s">
        <v>1281</v>
      </c>
      <c r="I6810">
        <v>1</v>
      </c>
      <c r="J6810" t="s">
        <v>110</v>
      </c>
      <c r="K6810">
        <v>1920</v>
      </c>
      <c r="L6810">
        <v>1080</v>
      </c>
      <c r="M6810" t="s">
        <v>110</v>
      </c>
      <c r="N6810">
        <v>1920</v>
      </c>
      <c r="O6810">
        <v>1080</v>
      </c>
      <c r="P6810" t="str">
        <f t="shared" si="849"/>
        <v>25fps 1080p - 1080p</v>
      </c>
      <c r="Q6810">
        <f t="shared" si="850"/>
        <v>38</v>
      </c>
      <c r="R6810" t="str">
        <f t="shared" si="851"/>
        <v/>
      </c>
      <c r="S6810" t="str">
        <f t="shared" si="852"/>
        <v/>
      </c>
      <c r="T6810" s="403" t="str">
        <f t="shared" si="853"/>
        <v>MIC-7522-Z30x</v>
      </c>
      <c r="U6810" s="403">
        <f t="shared" si="854"/>
        <v>1</v>
      </c>
      <c r="V6810" s="403" t="str">
        <f t="shared" si="855"/>
        <v>CPP_7_3</v>
      </c>
    </row>
    <row r="6811" spans="1:22">
      <c r="A6811" t="str">
        <f t="shared" si="848"/>
        <v>MIC-7522-Z30x</v>
      </c>
      <c r="B6811" t="s">
        <v>1523</v>
      </c>
      <c r="C6811" s="403" t="s">
        <v>582</v>
      </c>
      <c r="D6811" t="s">
        <v>1524</v>
      </c>
      <c r="E6811" t="s">
        <v>1523</v>
      </c>
      <c r="F6811" t="s">
        <v>1287</v>
      </c>
      <c r="G6811" t="s">
        <v>1525</v>
      </c>
      <c r="H6811" t="s">
        <v>1281</v>
      </c>
      <c r="I6811">
        <v>1</v>
      </c>
      <c r="J6811" t="s">
        <v>110</v>
      </c>
      <c r="K6811">
        <v>1920</v>
      </c>
      <c r="L6811">
        <v>1080</v>
      </c>
      <c r="M6811" t="s">
        <v>109</v>
      </c>
      <c r="N6811">
        <v>1280</v>
      </c>
      <c r="O6811">
        <v>720</v>
      </c>
      <c r="P6811" t="str">
        <f t="shared" si="849"/>
        <v>25fps 1080p - 720p</v>
      </c>
      <c r="Q6811">
        <f t="shared" si="850"/>
        <v>38</v>
      </c>
      <c r="R6811" t="str">
        <f t="shared" si="851"/>
        <v/>
      </c>
      <c r="S6811" t="str">
        <f t="shared" si="852"/>
        <v/>
      </c>
      <c r="T6811" s="403" t="str">
        <f t="shared" si="853"/>
        <v>MIC-7522-Z30x</v>
      </c>
      <c r="U6811" s="403">
        <f t="shared" si="854"/>
        <v>1</v>
      </c>
      <c r="V6811" s="403" t="str">
        <f t="shared" si="855"/>
        <v>CPP_7_3</v>
      </c>
    </row>
    <row r="6812" spans="1:22">
      <c r="A6812" t="str">
        <f t="shared" si="848"/>
        <v>MIC-7522-Z30x</v>
      </c>
      <c r="B6812" t="s">
        <v>1523</v>
      </c>
      <c r="C6812" s="403" t="s">
        <v>582</v>
      </c>
      <c r="D6812" t="s">
        <v>1524</v>
      </c>
      <c r="E6812" t="s">
        <v>1523</v>
      </c>
      <c r="F6812" t="s">
        <v>1287</v>
      </c>
      <c r="G6812" t="s">
        <v>1525</v>
      </c>
      <c r="H6812" t="s">
        <v>1281</v>
      </c>
      <c r="I6812">
        <v>1</v>
      </c>
      <c r="J6812" t="s">
        <v>110</v>
      </c>
      <c r="K6812">
        <v>1920</v>
      </c>
      <c r="L6812">
        <v>1080</v>
      </c>
      <c r="M6812" t="s">
        <v>1285</v>
      </c>
      <c r="N6812">
        <v>1280</v>
      </c>
      <c r="O6812">
        <v>1024</v>
      </c>
      <c r="P6812" t="str">
        <f t="shared" si="849"/>
        <v>25fps 1080p - 1280x1024 5:4 (cropped)</v>
      </c>
      <c r="Q6812">
        <f t="shared" si="850"/>
        <v>38</v>
      </c>
      <c r="R6812" t="str">
        <f t="shared" si="851"/>
        <v/>
      </c>
      <c r="S6812" t="str">
        <f t="shared" si="852"/>
        <v/>
      </c>
      <c r="T6812" s="403" t="str">
        <f t="shared" si="853"/>
        <v>MIC-7522-Z30x</v>
      </c>
      <c r="U6812" s="403">
        <f t="shared" si="854"/>
        <v>1</v>
      </c>
      <c r="V6812" s="403" t="str">
        <f t="shared" si="855"/>
        <v>CPP_7_3</v>
      </c>
    </row>
    <row r="6813" spans="1:22">
      <c r="A6813" t="str">
        <f t="shared" si="848"/>
        <v>MIC-7522-Z30x</v>
      </c>
      <c r="B6813" t="s">
        <v>1523</v>
      </c>
      <c r="C6813" s="403" t="s">
        <v>582</v>
      </c>
      <c r="D6813" t="s">
        <v>1524</v>
      </c>
      <c r="E6813" t="s">
        <v>1523</v>
      </c>
      <c r="F6813" t="s">
        <v>1287</v>
      </c>
      <c r="G6813" t="s">
        <v>1525</v>
      </c>
      <c r="H6813" t="s">
        <v>1281</v>
      </c>
      <c r="I6813">
        <v>1</v>
      </c>
      <c r="J6813" t="s">
        <v>110</v>
      </c>
      <c r="K6813">
        <v>1920</v>
      </c>
      <c r="L6813">
        <v>1080</v>
      </c>
      <c r="M6813" t="s">
        <v>1283</v>
      </c>
      <c r="N6813">
        <v>720</v>
      </c>
      <c r="O6813">
        <v>576</v>
      </c>
      <c r="P6813" t="str">
        <f t="shared" si="849"/>
        <v>25fps 1080p - SD 4CIF resolution 4:3 format (cropped)</v>
      </c>
      <c r="Q6813">
        <f t="shared" si="850"/>
        <v>38</v>
      </c>
      <c r="R6813" t="str">
        <f t="shared" si="851"/>
        <v/>
      </c>
      <c r="S6813" t="str">
        <f t="shared" si="852"/>
        <v/>
      </c>
      <c r="T6813" s="403" t="str">
        <f t="shared" si="853"/>
        <v>MIC-7522-Z30x</v>
      </c>
      <c r="U6813" s="403">
        <f t="shared" si="854"/>
        <v>1</v>
      </c>
      <c r="V6813" s="403" t="str">
        <f t="shared" si="855"/>
        <v>CPP_7_3</v>
      </c>
    </row>
    <row r="6814" spans="1:22">
      <c r="A6814" t="str">
        <f t="shared" si="848"/>
        <v>MIC-7522-Z30x</v>
      </c>
      <c r="B6814" t="s">
        <v>1523</v>
      </c>
      <c r="C6814" s="403" t="s">
        <v>582</v>
      </c>
      <c r="D6814" t="s">
        <v>1524</v>
      </c>
      <c r="E6814" t="s">
        <v>1523</v>
      </c>
      <c r="F6814" t="s">
        <v>1287</v>
      </c>
      <c r="G6814" t="s">
        <v>1525</v>
      </c>
      <c r="H6814" t="s">
        <v>1281</v>
      </c>
      <c r="I6814">
        <v>1</v>
      </c>
      <c r="J6814" t="s">
        <v>110</v>
      </c>
      <c r="K6814">
        <v>1920</v>
      </c>
      <c r="L6814">
        <v>1080</v>
      </c>
      <c r="M6814" t="s">
        <v>1284</v>
      </c>
      <c r="N6814">
        <v>640</v>
      </c>
      <c r="O6814">
        <v>480</v>
      </c>
      <c r="P6814" t="str">
        <f t="shared" si="849"/>
        <v>25fps 1080p - SD VGA (cropped)</v>
      </c>
      <c r="Q6814">
        <f t="shared" si="850"/>
        <v>38</v>
      </c>
      <c r="R6814" t="str">
        <f t="shared" si="851"/>
        <v/>
      </c>
      <c r="S6814" t="str">
        <f t="shared" si="852"/>
        <v/>
      </c>
      <c r="T6814" s="403" t="str">
        <f t="shared" si="853"/>
        <v>MIC-7522-Z30x</v>
      </c>
      <c r="U6814" s="403">
        <f t="shared" si="854"/>
        <v>1</v>
      </c>
      <c r="V6814" s="403" t="str">
        <f t="shared" si="855"/>
        <v>CPP_7_3</v>
      </c>
    </row>
    <row r="6815" spans="1:22">
      <c r="A6815" t="str">
        <f t="shared" si="848"/>
        <v>MIC-7522-Z30x</v>
      </c>
      <c r="B6815" t="s">
        <v>1523</v>
      </c>
      <c r="C6815" s="403" t="s">
        <v>582</v>
      </c>
      <c r="D6815" t="s">
        <v>1524</v>
      </c>
      <c r="E6815" t="s">
        <v>1523</v>
      </c>
      <c r="F6815" t="s">
        <v>1287</v>
      </c>
      <c r="G6815" t="s">
        <v>1525</v>
      </c>
      <c r="H6815" t="s">
        <v>1281</v>
      </c>
      <c r="I6815">
        <v>1</v>
      </c>
      <c r="J6815" t="s">
        <v>109</v>
      </c>
      <c r="K6815">
        <v>1280</v>
      </c>
      <c r="L6815">
        <v>720</v>
      </c>
      <c r="M6815" t="s">
        <v>109</v>
      </c>
      <c r="N6815">
        <v>1280</v>
      </c>
      <c r="O6815">
        <v>720</v>
      </c>
      <c r="P6815" t="str">
        <f t="shared" si="849"/>
        <v>25fps 720p - 720p</v>
      </c>
      <c r="Q6815">
        <f t="shared" si="850"/>
        <v>38</v>
      </c>
      <c r="R6815" t="str">
        <f t="shared" si="851"/>
        <v/>
      </c>
      <c r="S6815" t="str">
        <f t="shared" si="852"/>
        <v/>
      </c>
      <c r="T6815" s="403" t="str">
        <f t="shared" si="853"/>
        <v>MIC-7522-Z30x</v>
      </c>
      <c r="U6815" s="403">
        <f t="shared" si="854"/>
        <v>1</v>
      </c>
      <c r="V6815" s="403" t="str">
        <f t="shared" si="855"/>
        <v>CPP_7_3</v>
      </c>
    </row>
    <row r="6816" spans="1:22">
      <c r="A6816" t="str">
        <f t="shared" si="848"/>
        <v>MIC-7522-Z30x</v>
      </c>
      <c r="B6816" t="s">
        <v>1523</v>
      </c>
      <c r="C6816" s="403" t="s">
        <v>582</v>
      </c>
      <c r="D6816" t="s">
        <v>1524</v>
      </c>
      <c r="E6816" t="s">
        <v>1523</v>
      </c>
      <c r="F6816" t="s">
        <v>1287</v>
      </c>
      <c r="G6816" t="s">
        <v>1525</v>
      </c>
      <c r="H6816" t="s">
        <v>1281</v>
      </c>
      <c r="I6816">
        <v>1</v>
      </c>
      <c r="J6816" t="s">
        <v>109</v>
      </c>
      <c r="K6816">
        <v>1280</v>
      </c>
      <c r="L6816">
        <v>720</v>
      </c>
      <c r="M6816" t="s">
        <v>111</v>
      </c>
      <c r="N6816">
        <v>768</v>
      </c>
      <c r="O6816">
        <v>432</v>
      </c>
      <c r="P6816" t="str">
        <f t="shared" si="849"/>
        <v>25fps 720p - SD</v>
      </c>
      <c r="Q6816">
        <f t="shared" si="850"/>
        <v>38</v>
      </c>
      <c r="R6816" t="str">
        <f t="shared" si="851"/>
        <v/>
      </c>
      <c r="S6816" t="str">
        <f t="shared" si="852"/>
        <v/>
      </c>
      <c r="T6816" s="403" t="str">
        <f t="shared" si="853"/>
        <v>MIC-7522-Z30x</v>
      </c>
      <c r="U6816" s="403">
        <f t="shared" si="854"/>
        <v>1</v>
      </c>
      <c r="V6816" s="403" t="str">
        <f t="shared" si="855"/>
        <v>CPP_7_3</v>
      </c>
    </row>
    <row r="6817" spans="1:22">
      <c r="A6817" t="str">
        <f t="shared" si="848"/>
        <v>MIC-7522-Z30x</v>
      </c>
      <c r="B6817" t="s">
        <v>1523</v>
      </c>
      <c r="C6817" s="403" t="s">
        <v>582</v>
      </c>
      <c r="D6817" t="s">
        <v>1524</v>
      </c>
      <c r="E6817" t="s">
        <v>1523</v>
      </c>
      <c r="F6817" t="s">
        <v>1287</v>
      </c>
      <c r="G6817" t="s">
        <v>1525</v>
      </c>
      <c r="H6817" t="s">
        <v>1281</v>
      </c>
      <c r="I6817">
        <v>1</v>
      </c>
      <c r="J6817" t="s">
        <v>109</v>
      </c>
      <c r="K6817">
        <v>1280</v>
      </c>
      <c r="L6817">
        <v>720</v>
      </c>
      <c r="M6817" t="s">
        <v>1283</v>
      </c>
      <c r="N6817">
        <v>720</v>
      </c>
      <c r="O6817">
        <v>576</v>
      </c>
      <c r="P6817" t="str">
        <f t="shared" si="849"/>
        <v>25fps 720p - SD 4CIF resolution 4:3 format (cropped)</v>
      </c>
      <c r="Q6817">
        <f t="shared" si="850"/>
        <v>38</v>
      </c>
      <c r="R6817" t="str">
        <f t="shared" si="851"/>
        <v/>
      </c>
      <c r="S6817" t="str">
        <f t="shared" si="852"/>
        <v/>
      </c>
      <c r="T6817" s="403" t="str">
        <f t="shared" si="853"/>
        <v>MIC-7522-Z30x</v>
      </c>
      <c r="U6817" s="403">
        <f t="shared" si="854"/>
        <v>1</v>
      </c>
      <c r="V6817" s="403" t="str">
        <f t="shared" si="855"/>
        <v>CPP_7_3</v>
      </c>
    </row>
    <row r="6818" spans="1:22">
      <c r="A6818" t="str">
        <f t="shared" si="848"/>
        <v>MIC-7522-Z30x</v>
      </c>
      <c r="B6818" t="s">
        <v>1523</v>
      </c>
      <c r="C6818" s="403" t="s">
        <v>582</v>
      </c>
      <c r="D6818" t="s">
        <v>1524</v>
      </c>
      <c r="E6818" t="s">
        <v>1523</v>
      </c>
      <c r="F6818" t="s">
        <v>1287</v>
      </c>
      <c r="G6818" t="s">
        <v>1525</v>
      </c>
      <c r="H6818" t="s">
        <v>1281</v>
      </c>
      <c r="I6818">
        <v>1</v>
      </c>
      <c r="J6818" t="s">
        <v>109</v>
      </c>
      <c r="K6818">
        <v>1280</v>
      </c>
      <c r="L6818">
        <v>720</v>
      </c>
      <c r="M6818" t="s">
        <v>1284</v>
      </c>
      <c r="N6818">
        <v>640</v>
      </c>
      <c r="O6818">
        <v>480</v>
      </c>
      <c r="P6818" t="str">
        <f t="shared" si="849"/>
        <v>25fps 720p - SD VGA (cropped)</v>
      </c>
      <c r="Q6818">
        <f t="shared" si="850"/>
        <v>38</v>
      </c>
      <c r="R6818" t="str">
        <f t="shared" si="851"/>
        <v/>
      </c>
      <c r="S6818" t="str">
        <f t="shared" si="852"/>
        <v/>
      </c>
      <c r="T6818" s="403" t="str">
        <f t="shared" si="853"/>
        <v>MIC-7522-Z30x</v>
      </c>
      <c r="U6818" s="403">
        <f t="shared" si="854"/>
        <v>1</v>
      </c>
      <c r="V6818" s="403" t="str">
        <f t="shared" si="855"/>
        <v>CPP_7_3</v>
      </c>
    </row>
    <row r="6819" spans="1:22">
      <c r="A6819" t="str">
        <f t="shared" si="848"/>
        <v>MIC-7522-Z30x</v>
      </c>
      <c r="B6819" t="s">
        <v>1523</v>
      </c>
      <c r="C6819" s="403" t="s">
        <v>582</v>
      </c>
      <c r="D6819" t="s">
        <v>1524</v>
      </c>
      <c r="E6819" t="s">
        <v>1523</v>
      </c>
      <c r="F6819" t="s">
        <v>1287</v>
      </c>
      <c r="G6819" t="s">
        <v>1525</v>
      </c>
      <c r="H6819" t="s">
        <v>1282</v>
      </c>
      <c r="I6819">
        <v>1</v>
      </c>
      <c r="J6819" t="s">
        <v>110</v>
      </c>
      <c r="K6819">
        <v>1920</v>
      </c>
      <c r="L6819">
        <v>1080</v>
      </c>
      <c r="M6819" t="s">
        <v>111</v>
      </c>
      <c r="N6819">
        <v>768</v>
      </c>
      <c r="O6819">
        <v>432</v>
      </c>
      <c r="P6819" t="str">
        <f t="shared" si="849"/>
        <v>25fps 1080p - SD</v>
      </c>
      <c r="Q6819">
        <f t="shared" si="850"/>
        <v>38</v>
      </c>
      <c r="R6819" t="str">
        <f t="shared" si="851"/>
        <v/>
      </c>
      <c r="S6819" t="str">
        <f t="shared" si="852"/>
        <v/>
      </c>
      <c r="T6819" s="403" t="str">
        <f t="shared" si="853"/>
        <v>MIC-7522-Z30x</v>
      </c>
      <c r="U6819" s="403">
        <f t="shared" si="854"/>
        <v>1</v>
      </c>
      <c r="V6819" s="403" t="str">
        <f t="shared" si="855"/>
        <v>CPP_7_3</v>
      </c>
    </row>
    <row r="6820" spans="1:22">
      <c r="A6820" t="str">
        <f t="shared" si="848"/>
        <v>MIC-7522-Z30x</v>
      </c>
      <c r="B6820" t="s">
        <v>1523</v>
      </c>
      <c r="C6820" s="403" t="s">
        <v>582</v>
      </c>
      <c r="D6820" t="s">
        <v>1524</v>
      </c>
      <c r="E6820" t="s">
        <v>1523</v>
      </c>
      <c r="F6820" t="s">
        <v>1287</v>
      </c>
      <c r="G6820" t="s">
        <v>1525</v>
      </c>
      <c r="H6820" t="s">
        <v>1282</v>
      </c>
      <c r="I6820">
        <v>1</v>
      </c>
      <c r="J6820" t="s">
        <v>110</v>
      </c>
      <c r="K6820">
        <v>1920</v>
      </c>
      <c r="L6820">
        <v>1080</v>
      </c>
      <c r="M6820" t="s">
        <v>110</v>
      </c>
      <c r="N6820">
        <v>1920</v>
      </c>
      <c r="O6820">
        <v>1080</v>
      </c>
      <c r="P6820" t="str">
        <f t="shared" si="849"/>
        <v>25fps 1080p - 1080p</v>
      </c>
      <c r="Q6820">
        <f t="shared" si="850"/>
        <v>38</v>
      </c>
      <c r="R6820" t="str">
        <f t="shared" si="851"/>
        <v/>
      </c>
      <c r="S6820" t="str">
        <f t="shared" si="852"/>
        <v/>
      </c>
      <c r="T6820" s="403" t="str">
        <f t="shared" si="853"/>
        <v>MIC-7522-Z30x</v>
      </c>
      <c r="U6820" s="403">
        <f t="shared" si="854"/>
        <v>1</v>
      </c>
      <c r="V6820" s="403" t="str">
        <f t="shared" si="855"/>
        <v>CPP_7_3</v>
      </c>
    </row>
    <row r="6821" spans="1:22">
      <c r="A6821" t="str">
        <f t="shared" si="848"/>
        <v>MIC-7522-Z30x</v>
      </c>
      <c r="B6821" t="s">
        <v>1523</v>
      </c>
      <c r="C6821" s="403" t="s">
        <v>582</v>
      </c>
      <c r="D6821" t="s">
        <v>1524</v>
      </c>
      <c r="E6821" t="s">
        <v>1523</v>
      </c>
      <c r="F6821" t="s">
        <v>1287</v>
      </c>
      <c r="G6821" t="s">
        <v>1525</v>
      </c>
      <c r="H6821" t="s">
        <v>1282</v>
      </c>
      <c r="I6821">
        <v>1</v>
      </c>
      <c r="J6821" t="s">
        <v>110</v>
      </c>
      <c r="K6821">
        <v>1920</v>
      </c>
      <c r="L6821">
        <v>1080</v>
      </c>
      <c r="M6821" t="s">
        <v>109</v>
      </c>
      <c r="N6821">
        <v>1280</v>
      </c>
      <c r="O6821">
        <v>720</v>
      </c>
      <c r="P6821" t="str">
        <f t="shared" si="849"/>
        <v>25fps 1080p - 720p</v>
      </c>
      <c r="Q6821">
        <f t="shared" si="850"/>
        <v>38</v>
      </c>
      <c r="R6821" t="str">
        <f t="shared" si="851"/>
        <v/>
      </c>
      <c r="S6821" t="str">
        <f t="shared" si="852"/>
        <v/>
      </c>
      <c r="T6821" s="403" t="str">
        <f t="shared" si="853"/>
        <v>MIC-7522-Z30x</v>
      </c>
      <c r="U6821" s="403">
        <f t="shared" si="854"/>
        <v>1</v>
      </c>
      <c r="V6821" s="403" t="str">
        <f t="shared" si="855"/>
        <v>CPP_7_3</v>
      </c>
    </row>
    <row r="6822" spans="1:22">
      <c r="A6822" t="str">
        <f t="shared" si="848"/>
        <v>MIC-7522-Z30x</v>
      </c>
      <c r="B6822" t="s">
        <v>1523</v>
      </c>
      <c r="C6822" s="403" t="s">
        <v>582</v>
      </c>
      <c r="D6822" t="s">
        <v>1524</v>
      </c>
      <c r="E6822" t="s">
        <v>1523</v>
      </c>
      <c r="F6822" t="s">
        <v>1287</v>
      </c>
      <c r="G6822" t="s">
        <v>1525</v>
      </c>
      <c r="H6822" t="s">
        <v>1282</v>
      </c>
      <c r="I6822">
        <v>1</v>
      </c>
      <c r="J6822" t="s">
        <v>110</v>
      </c>
      <c r="K6822">
        <v>1920</v>
      </c>
      <c r="L6822">
        <v>1080</v>
      </c>
      <c r="M6822" t="s">
        <v>1285</v>
      </c>
      <c r="N6822">
        <v>1280</v>
      </c>
      <c r="O6822">
        <v>1024</v>
      </c>
      <c r="P6822" t="str">
        <f t="shared" si="849"/>
        <v>25fps 1080p - 1280x1024 5:4 (cropped)</v>
      </c>
      <c r="Q6822">
        <f t="shared" si="850"/>
        <v>38</v>
      </c>
      <c r="R6822" t="str">
        <f t="shared" si="851"/>
        <v/>
      </c>
      <c r="S6822" t="str">
        <f t="shared" si="852"/>
        <v/>
      </c>
      <c r="T6822" s="403" t="str">
        <f t="shared" si="853"/>
        <v>MIC-7522-Z30x</v>
      </c>
      <c r="U6822" s="403">
        <f t="shared" si="854"/>
        <v>1</v>
      </c>
      <c r="V6822" s="403" t="str">
        <f t="shared" si="855"/>
        <v>CPP_7_3</v>
      </c>
    </row>
    <row r="6823" spans="1:22">
      <c r="A6823" t="str">
        <f t="shared" si="848"/>
        <v>MIC-7522-Z30x</v>
      </c>
      <c r="B6823" t="s">
        <v>1523</v>
      </c>
      <c r="C6823" s="403" t="s">
        <v>582</v>
      </c>
      <c r="D6823" t="s">
        <v>1524</v>
      </c>
      <c r="E6823" t="s">
        <v>1523</v>
      </c>
      <c r="F6823" t="s">
        <v>1287</v>
      </c>
      <c r="G6823" t="s">
        <v>1525</v>
      </c>
      <c r="H6823" t="s">
        <v>1282</v>
      </c>
      <c r="I6823">
        <v>1</v>
      </c>
      <c r="J6823" t="s">
        <v>110</v>
      </c>
      <c r="K6823">
        <v>1920</v>
      </c>
      <c r="L6823">
        <v>1080</v>
      </c>
      <c r="M6823" t="s">
        <v>1283</v>
      </c>
      <c r="N6823">
        <v>720</v>
      </c>
      <c r="O6823">
        <v>576</v>
      </c>
      <c r="P6823" t="str">
        <f t="shared" si="849"/>
        <v>25fps 1080p - SD 4CIF resolution 4:3 format (cropped)</v>
      </c>
      <c r="Q6823">
        <f t="shared" si="850"/>
        <v>38</v>
      </c>
      <c r="R6823" t="str">
        <f t="shared" si="851"/>
        <v/>
      </c>
      <c r="S6823" t="str">
        <f t="shared" si="852"/>
        <v/>
      </c>
      <c r="T6823" s="403" t="str">
        <f t="shared" si="853"/>
        <v>MIC-7522-Z30x</v>
      </c>
      <c r="U6823" s="403">
        <f t="shared" si="854"/>
        <v>1</v>
      </c>
      <c r="V6823" s="403" t="str">
        <f t="shared" si="855"/>
        <v>CPP_7_3</v>
      </c>
    </row>
    <row r="6824" spans="1:22">
      <c r="A6824" t="str">
        <f t="shared" si="848"/>
        <v>MIC-7522-Z30x</v>
      </c>
      <c r="B6824" t="s">
        <v>1523</v>
      </c>
      <c r="C6824" s="403" t="s">
        <v>582</v>
      </c>
      <c r="D6824" t="s">
        <v>1524</v>
      </c>
      <c r="E6824" t="s">
        <v>1523</v>
      </c>
      <c r="F6824" t="s">
        <v>1287</v>
      </c>
      <c r="G6824" t="s">
        <v>1525</v>
      </c>
      <c r="H6824" t="s">
        <v>1282</v>
      </c>
      <c r="I6824">
        <v>1</v>
      </c>
      <c r="J6824" t="s">
        <v>110</v>
      </c>
      <c r="K6824">
        <v>1920</v>
      </c>
      <c r="L6824">
        <v>1080</v>
      </c>
      <c r="M6824" t="s">
        <v>1284</v>
      </c>
      <c r="N6824">
        <v>640</v>
      </c>
      <c r="O6824">
        <v>480</v>
      </c>
      <c r="P6824" t="str">
        <f t="shared" si="849"/>
        <v>25fps 1080p - SD VGA (cropped)</v>
      </c>
      <c r="Q6824">
        <f t="shared" si="850"/>
        <v>38</v>
      </c>
      <c r="R6824" t="str">
        <f t="shared" si="851"/>
        <v/>
      </c>
      <c r="S6824" t="str">
        <f t="shared" si="852"/>
        <v/>
      </c>
      <c r="T6824" s="403" t="str">
        <f t="shared" si="853"/>
        <v>MIC-7522-Z30x</v>
      </c>
      <c r="U6824" s="403">
        <f t="shared" si="854"/>
        <v>1</v>
      </c>
      <c r="V6824" s="403" t="str">
        <f t="shared" si="855"/>
        <v>CPP_7_3</v>
      </c>
    </row>
    <row r="6825" spans="1:22">
      <c r="A6825" t="str">
        <f t="shared" si="848"/>
        <v>MIC-7522-Z30x</v>
      </c>
      <c r="B6825" t="s">
        <v>1523</v>
      </c>
      <c r="C6825" s="403" t="s">
        <v>582</v>
      </c>
      <c r="D6825" t="s">
        <v>1524</v>
      </c>
      <c r="E6825" t="s">
        <v>1523</v>
      </c>
      <c r="F6825" t="s">
        <v>1287</v>
      </c>
      <c r="G6825" t="s">
        <v>1525</v>
      </c>
      <c r="H6825" t="s">
        <v>1282</v>
      </c>
      <c r="I6825">
        <v>1</v>
      </c>
      <c r="J6825" t="s">
        <v>109</v>
      </c>
      <c r="K6825">
        <v>1280</v>
      </c>
      <c r="L6825">
        <v>720</v>
      </c>
      <c r="M6825" t="s">
        <v>109</v>
      </c>
      <c r="N6825">
        <v>1280</v>
      </c>
      <c r="O6825">
        <v>720</v>
      </c>
      <c r="P6825" t="str">
        <f t="shared" si="849"/>
        <v>25fps 720p - 720p</v>
      </c>
      <c r="Q6825">
        <f t="shared" si="850"/>
        <v>38</v>
      </c>
      <c r="R6825" t="str">
        <f t="shared" si="851"/>
        <v/>
      </c>
      <c r="S6825" t="str">
        <f t="shared" si="852"/>
        <v/>
      </c>
      <c r="T6825" s="403" t="str">
        <f t="shared" si="853"/>
        <v>MIC-7522-Z30x</v>
      </c>
      <c r="U6825" s="403">
        <f t="shared" si="854"/>
        <v>1</v>
      </c>
      <c r="V6825" s="403" t="str">
        <f t="shared" si="855"/>
        <v>CPP_7_3</v>
      </c>
    </row>
    <row r="6826" spans="1:22">
      <c r="A6826" t="str">
        <f t="shared" ref="A6826:A6889" si="856">IF(AND(G6826&lt;&gt;"rotate 90°"),D6826,"")</f>
        <v>MIC-7522-Z30x</v>
      </c>
      <c r="B6826" t="s">
        <v>1523</v>
      </c>
      <c r="C6826" s="403" t="s">
        <v>582</v>
      </c>
      <c r="D6826" t="s">
        <v>1524</v>
      </c>
      <c r="E6826" t="s">
        <v>1523</v>
      </c>
      <c r="F6826" t="s">
        <v>1287</v>
      </c>
      <c r="G6826" t="s">
        <v>1525</v>
      </c>
      <c r="H6826" t="s">
        <v>1282</v>
      </c>
      <c r="I6826">
        <v>1</v>
      </c>
      <c r="J6826" t="s">
        <v>109</v>
      </c>
      <c r="K6826">
        <v>1280</v>
      </c>
      <c r="L6826">
        <v>720</v>
      </c>
      <c r="M6826" t="s">
        <v>111</v>
      </c>
      <c r="N6826">
        <v>768</v>
      </c>
      <c r="O6826">
        <v>432</v>
      </c>
      <c r="P6826" t="str">
        <f t="shared" ref="P6826:P6889" si="857">LEFT(F6826,5)&amp;" "&amp;J6826&amp;" - "&amp;M6826</f>
        <v>25fps 720p - SD</v>
      </c>
      <c r="Q6826">
        <f t="shared" ref="Q6826:Q6889" si="858">IF(A6825=A6826,Q6825,Q6825+1)</f>
        <v>38</v>
      </c>
      <c r="R6826" t="str">
        <f t="shared" ref="R6826:R6889" si="859">IF(Q6825&lt;&gt;Q6826,Q6826,"")</f>
        <v/>
      </c>
      <c r="S6826" t="str">
        <f t="shared" ref="S6826:S6889" si="860">IF(R6826&lt;&gt;"",B6826&amp;" ("&amp;D6826&amp;")","")</f>
        <v/>
      </c>
      <c r="T6826" s="403" t="str">
        <f t="shared" ref="T6826:T6889" si="861">D6826</f>
        <v>MIC-7522-Z30x</v>
      </c>
      <c r="U6826" s="403">
        <f t="shared" ref="U6826:U6889" si="862">I6826</f>
        <v>1</v>
      </c>
      <c r="V6826" s="403" t="str">
        <f t="shared" ref="V6826:V6889" si="863">C6826</f>
        <v>CPP_7_3</v>
      </c>
    </row>
    <row r="6827" spans="1:22">
      <c r="A6827" t="str">
        <f t="shared" si="856"/>
        <v>MIC-7522-Z30x</v>
      </c>
      <c r="B6827" t="s">
        <v>1523</v>
      </c>
      <c r="C6827" s="403" t="s">
        <v>582</v>
      </c>
      <c r="D6827" t="s">
        <v>1524</v>
      </c>
      <c r="E6827" t="s">
        <v>1523</v>
      </c>
      <c r="F6827" t="s">
        <v>1287</v>
      </c>
      <c r="G6827" t="s">
        <v>1525</v>
      </c>
      <c r="H6827" t="s">
        <v>1282</v>
      </c>
      <c r="I6827">
        <v>1</v>
      </c>
      <c r="J6827" t="s">
        <v>109</v>
      </c>
      <c r="K6827">
        <v>1280</v>
      </c>
      <c r="L6827">
        <v>720</v>
      </c>
      <c r="M6827" t="s">
        <v>1283</v>
      </c>
      <c r="N6827">
        <v>720</v>
      </c>
      <c r="O6827">
        <v>576</v>
      </c>
      <c r="P6827" t="str">
        <f t="shared" si="857"/>
        <v>25fps 720p - SD 4CIF resolution 4:3 format (cropped)</v>
      </c>
      <c r="Q6827">
        <f t="shared" si="858"/>
        <v>38</v>
      </c>
      <c r="R6827" t="str">
        <f t="shared" si="859"/>
        <v/>
      </c>
      <c r="S6827" t="str">
        <f t="shared" si="860"/>
        <v/>
      </c>
      <c r="T6827" s="403" t="str">
        <f t="shared" si="861"/>
        <v>MIC-7522-Z30x</v>
      </c>
      <c r="U6827" s="403">
        <f t="shared" si="862"/>
        <v>1</v>
      </c>
      <c r="V6827" s="403" t="str">
        <f t="shared" si="863"/>
        <v>CPP_7_3</v>
      </c>
    </row>
    <row r="6828" spans="1:22">
      <c r="A6828" t="str">
        <f t="shared" si="856"/>
        <v>MIC-7522-Z30x</v>
      </c>
      <c r="B6828" t="s">
        <v>1523</v>
      </c>
      <c r="C6828" s="403" t="s">
        <v>582</v>
      </c>
      <c r="D6828" t="s">
        <v>1524</v>
      </c>
      <c r="E6828" t="s">
        <v>1523</v>
      </c>
      <c r="F6828" t="s">
        <v>1287</v>
      </c>
      <c r="G6828" t="s">
        <v>1525</v>
      </c>
      <c r="H6828" t="s">
        <v>1282</v>
      </c>
      <c r="I6828">
        <v>1</v>
      </c>
      <c r="J6828" t="s">
        <v>109</v>
      </c>
      <c r="K6828">
        <v>1280</v>
      </c>
      <c r="L6828">
        <v>720</v>
      </c>
      <c r="M6828" t="s">
        <v>1284</v>
      </c>
      <c r="N6828">
        <v>640</v>
      </c>
      <c r="O6828">
        <v>480</v>
      </c>
      <c r="P6828" t="str">
        <f t="shared" si="857"/>
        <v>25fps 720p - SD VGA (cropped)</v>
      </c>
      <c r="Q6828">
        <f t="shared" si="858"/>
        <v>38</v>
      </c>
      <c r="R6828" t="str">
        <f t="shared" si="859"/>
        <v/>
      </c>
      <c r="S6828" t="str">
        <f t="shared" si="860"/>
        <v/>
      </c>
      <c r="T6828" s="403" t="str">
        <f t="shared" si="861"/>
        <v>MIC-7522-Z30x</v>
      </c>
      <c r="U6828" s="403">
        <f t="shared" si="862"/>
        <v>1</v>
      </c>
      <c r="V6828" s="403" t="str">
        <f t="shared" si="863"/>
        <v>CPP_7_3</v>
      </c>
    </row>
    <row r="6829" spans="1:22">
      <c r="A6829" t="str">
        <f t="shared" si="856"/>
        <v>MIC-7522-Z30x</v>
      </c>
      <c r="B6829" t="s">
        <v>1523</v>
      </c>
      <c r="C6829" s="403" t="s">
        <v>582</v>
      </c>
      <c r="D6829" t="s">
        <v>1524</v>
      </c>
      <c r="E6829" t="s">
        <v>1523</v>
      </c>
      <c r="F6829" t="s">
        <v>1286</v>
      </c>
      <c r="G6829" t="s">
        <v>1525</v>
      </c>
      <c r="H6829" t="s">
        <v>1276</v>
      </c>
      <c r="I6829">
        <v>1</v>
      </c>
      <c r="J6829" t="s">
        <v>110</v>
      </c>
      <c r="K6829">
        <v>1920</v>
      </c>
      <c r="L6829">
        <v>1080</v>
      </c>
      <c r="M6829" t="s">
        <v>111</v>
      </c>
      <c r="N6829">
        <v>768</v>
      </c>
      <c r="O6829">
        <v>432</v>
      </c>
      <c r="P6829" t="str">
        <f t="shared" si="857"/>
        <v>30fps 1080p - SD</v>
      </c>
      <c r="Q6829">
        <f t="shared" si="858"/>
        <v>38</v>
      </c>
      <c r="R6829" t="str">
        <f t="shared" si="859"/>
        <v/>
      </c>
      <c r="S6829" t="str">
        <f t="shared" si="860"/>
        <v/>
      </c>
      <c r="T6829" s="403" t="str">
        <f t="shared" si="861"/>
        <v>MIC-7522-Z30x</v>
      </c>
      <c r="U6829" s="403">
        <f t="shared" si="862"/>
        <v>1</v>
      </c>
      <c r="V6829" s="403" t="str">
        <f t="shared" si="863"/>
        <v>CPP_7_3</v>
      </c>
    </row>
    <row r="6830" spans="1:22">
      <c r="A6830" t="str">
        <f t="shared" si="856"/>
        <v>MIC-7522-Z30x</v>
      </c>
      <c r="B6830" t="s">
        <v>1523</v>
      </c>
      <c r="C6830" s="403" t="s">
        <v>582</v>
      </c>
      <c r="D6830" t="s">
        <v>1524</v>
      </c>
      <c r="E6830" t="s">
        <v>1523</v>
      </c>
      <c r="F6830" t="s">
        <v>1286</v>
      </c>
      <c r="G6830" t="s">
        <v>1525</v>
      </c>
      <c r="H6830" t="s">
        <v>1276</v>
      </c>
      <c r="I6830">
        <v>1</v>
      </c>
      <c r="J6830" t="s">
        <v>110</v>
      </c>
      <c r="K6830">
        <v>1920</v>
      </c>
      <c r="L6830">
        <v>1080</v>
      </c>
      <c r="M6830" t="s">
        <v>110</v>
      </c>
      <c r="N6830">
        <v>1920</v>
      </c>
      <c r="O6830">
        <v>1080</v>
      </c>
      <c r="P6830" t="str">
        <f t="shared" si="857"/>
        <v>30fps 1080p - 1080p</v>
      </c>
      <c r="Q6830">
        <f t="shared" si="858"/>
        <v>38</v>
      </c>
      <c r="R6830" t="str">
        <f t="shared" si="859"/>
        <v/>
      </c>
      <c r="S6830" t="str">
        <f t="shared" si="860"/>
        <v/>
      </c>
      <c r="T6830" s="403" t="str">
        <f t="shared" si="861"/>
        <v>MIC-7522-Z30x</v>
      </c>
      <c r="U6830" s="403">
        <f t="shared" si="862"/>
        <v>1</v>
      </c>
      <c r="V6830" s="403" t="str">
        <f t="shared" si="863"/>
        <v>CPP_7_3</v>
      </c>
    </row>
    <row r="6831" spans="1:22">
      <c r="A6831" t="str">
        <f t="shared" si="856"/>
        <v>MIC-7522-Z30x</v>
      </c>
      <c r="B6831" t="s">
        <v>1523</v>
      </c>
      <c r="C6831" s="403" t="s">
        <v>582</v>
      </c>
      <c r="D6831" t="s">
        <v>1524</v>
      </c>
      <c r="E6831" t="s">
        <v>1523</v>
      </c>
      <c r="F6831" t="s">
        <v>1286</v>
      </c>
      <c r="G6831" t="s">
        <v>1525</v>
      </c>
      <c r="H6831" t="s">
        <v>1276</v>
      </c>
      <c r="I6831">
        <v>1</v>
      </c>
      <c r="J6831" t="s">
        <v>110</v>
      </c>
      <c r="K6831">
        <v>1920</v>
      </c>
      <c r="L6831">
        <v>1080</v>
      </c>
      <c r="M6831" t="s">
        <v>109</v>
      </c>
      <c r="N6831">
        <v>1280</v>
      </c>
      <c r="O6831">
        <v>720</v>
      </c>
      <c r="P6831" t="str">
        <f t="shared" si="857"/>
        <v>30fps 1080p - 720p</v>
      </c>
      <c r="Q6831">
        <f t="shared" si="858"/>
        <v>38</v>
      </c>
      <c r="R6831" t="str">
        <f t="shared" si="859"/>
        <v/>
      </c>
      <c r="S6831" t="str">
        <f t="shared" si="860"/>
        <v/>
      </c>
      <c r="T6831" s="403" t="str">
        <f t="shared" si="861"/>
        <v>MIC-7522-Z30x</v>
      </c>
      <c r="U6831" s="403">
        <f t="shared" si="862"/>
        <v>1</v>
      </c>
      <c r="V6831" s="403" t="str">
        <f t="shared" si="863"/>
        <v>CPP_7_3</v>
      </c>
    </row>
    <row r="6832" spans="1:22">
      <c r="A6832" t="str">
        <f t="shared" si="856"/>
        <v>MIC-7522-Z30x</v>
      </c>
      <c r="B6832" t="s">
        <v>1523</v>
      </c>
      <c r="C6832" s="403" t="s">
        <v>582</v>
      </c>
      <c r="D6832" t="s">
        <v>1524</v>
      </c>
      <c r="E6832" t="s">
        <v>1523</v>
      </c>
      <c r="F6832" t="s">
        <v>1286</v>
      </c>
      <c r="G6832" t="s">
        <v>1525</v>
      </c>
      <c r="H6832" t="s">
        <v>1276</v>
      </c>
      <c r="I6832">
        <v>1</v>
      </c>
      <c r="J6832" t="s">
        <v>110</v>
      </c>
      <c r="K6832">
        <v>1920</v>
      </c>
      <c r="L6832">
        <v>1080</v>
      </c>
      <c r="M6832" t="s">
        <v>1285</v>
      </c>
      <c r="N6832">
        <v>1280</v>
      </c>
      <c r="O6832">
        <v>1024</v>
      </c>
      <c r="P6832" t="str">
        <f t="shared" si="857"/>
        <v>30fps 1080p - 1280x1024 5:4 (cropped)</v>
      </c>
      <c r="Q6832">
        <f t="shared" si="858"/>
        <v>38</v>
      </c>
      <c r="R6832" t="str">
        <f t="shared" si="859"/>
        <v/>
      </c>
      <c r="S6832" t="str">
        <f t="shared" si="860"/>
        <v/>
      </c>
      <c r="T6832" s="403" t="str">
        <f t="shared" si="861"/>
        <v>MIC-7522-Z30x</v>
      </c>
      <c r="U6832" s="403">
        <f t="shared" si="862"/>
        <v>1</v>
      </c>
      <c r="V6832" s="403" t="str">
        <f t="shared" si="863"/>
        <v>CPP_7_3</v>
      </c>
    </row>
    <row r="6833" spans="1:22">
      <c r="A6833" t="str">
        <f t="shared" si="856"/>
        <v>MIC-7522-Z30x</v>
      </c>
      <c r="B6833" t="s">
        <v>1523</v>
      </c>
      <c r="C6833" s="403" t="s">
        <v>582</v>
      </c>
      <c r="D6833" t="s">
        <v>1524</v>
      </c>
      <c r="E6833" t="s">
        <v>1523</v>
      </c>
      <c r="F6833" t="s">
        <v>1286</v>
      </c>
      <c r="G6833" t="s">
        <v>1525</v>
      </c>
      <c r="H6833" t="s">
        <v>1276</v>
      </c>
      <c r="I6833">
        <v>1</v>
      </c>
      <c r="J6833" t="s">
        <v>110</v>
      </c>
      <c r="K6833">
        <v>1920</v>
      </c>
      <c r="L6833">
        <v>1080</v>
      </c>
      <c r="M6833" t="s">
        <v>1283</v>
      </c>
      <c r="N6833">
        <v>720</v>
      </c>
      <c r="O6833">
        <v>480</v>
      </c>
      <c r="P6833" t="str">
        <f t="shared" si="857"/>
        <v>30fps 1080p - SD 4CIF resolution 4:3 format (cropped)</v>
      </c>
      <c r="Q6833">
        <f t="shared" si="858"/>
        <v>38</v>
      </c>
      <c r="R6833" t="str">
        <f t="shared" si="859"/>
        <v/>
      </c>
      <c r="S6833" t="str">
        <f t="shared" si="860"/>
        <v/>
      </c>
      <c r="T6833" s="403" t="str">
        <f t="shared" si="861"/>
        <v>MIC-7522-Z30x</v>
      </c>
      <c r="U6833" s="403">
        <f t="shared" si="862"/>
        <v>1</v>
      </c>
      <c r="V6833" s="403" t="str">
        <f t="shared" si="863"/>
        <v>CPP_7_3</v>
      </c>
    </row>
    <row r="6834" spans="1:22">
      <c r="A6834" t="str">
        <f t="shared" si="856"/>
        <v>MIC-7522-Z30x</v>
      </c>
      <c r="B6834" t="s">
        <v>1523</v>
      </c>
      <c r="C6834" s="403" t="s">
        <v>582</v>
      </c>
      <c r="D6834" t="s">
        <v>1524</v>
      </c>
      <c r="E6834" t="s">
        <v>1523</v>
      </c>
      <c r="F6834" t="s">
        <v>1286</v>
      </c>
      <c r="G6834" t="s">
        <v>1525</v>
      </c>
      <c r="H6834" t="s">
        <v>1276</v>
      </c>
      <c r="I6834">
        <v>1</v>
      </c>
      <c r="J6834" t="s">
        <v>110</v>
      </c>
      <c r="K6834">
        <v>1920</v>
      </c>
      <c r="L6834">
        <v>1080</v>
      </c>
      <c r="M6834" t="s">
        <v>1284</v>
      </c>
      <c r="N6834">
        <v>640</v>
      </c>
      <c r="O6834">
        <v>480</v>
      </c>
      <c r="P6834" t="str">
        <f t="shared" si="857"/>
        <v>30fps 1080p - SD VGA (cropped)</v>
      </c>
      <c r="Q6834">
        <f t="shared" si="858"/>
        <v>38</v>
      </c>
      <c r="R6834" t="str">
        <f t="shared" si="859"/>
        <v/>
      </c>
      <c r="S6834" t="str">
        <f t="shared" si="860"/>
        <v/>
      </c>
      <c r="T6834" s="403" t="str">
        <f t="shared" si="861"/>
        <v>MIC-7522-Z30x</v>
      </c>
      <c r="U6834" s="403">
        <f t="shared" si="862"/>
        <v>1</v>
      </c>
      <c r="V6834" s="403" t="str">
        <f t="shared" si="863"/>
        <v>CPP_7_3</v>
      </c>
    </row>
    <row r="6835" spans="1:22">
      <c r="A6835" t="str">
        <f t="shared" si="856"/>
        <v>MIC-7522-Z30x</v>
      </c>
      <c r="B6835" t="s">
        <v>1523</v>
      </c>
      <c r="C6835" s="403" t="s">
        <v>582</v>
      </c>
      <c r="D6835" t="s">
        <v>1524</v>
      </c>
      <c r="E6835" t="s">
        <v>1523</v>
      </c>
      <c r="F6835" t="s">
        <v>1286</v>
      </c>
      <c r="G6835" t="s">
        <v>1525</v>
      </c>
      <c r="H6835" t="s">
        <v>1276</v>
      </c>
      <c r="I6835">
        <v>1</v>
      </c>
      <c r="J6835" t="s">
        <v>109</v>
      </c>
      <c r="K6835">
        <v>1280</v>
      </c>
      <c r="L6835">
        <v>720</v>
      </c>
      <c r="M6835" t="s">
        <v>109</v>
      </c>
      <c r="N6835">
        <v>1280</v>
      </c>
      <c r="O6835">
        <v>720</v>
      </c>
      <c r="P6835" t="str">
        <f t="shared" si="857"/>
        <v>30fps 720p - 720p</v>
      </c>
      <c r="Q6835">
        <f t="shared" si="858"/>
        <v>38</v>
      </c>
      <c r="R6835" t="str">
        <f t="shared" si="859"/>
        <v/>
      </c>
      <c r="S6835" t="str">
        <f t="shared" si="860"/>
        <v/>
      </c>
      <c r="T6835" s="403" t="str">
        <f t="shared" si="861"/>
        <v>MIC-7522-Z30x</v>
      </c>
      <c r="U6835" s="403">
        <f t="shared" si="862"/>
        <v>1</v>
      </c>
      <c r="V6835" s="403" t="str">
        <f t="shared" si="863"/>
        <v>CPP_7_3</v>
      </c>
    </row>
    <row r="6836" spans="1:22">
      <c r="A6836" t="str">
        <f t="shared" si="856"/>
        <v>MIC-7522-Z30x</v>
      </c>
      <c r="B6836" t="s">
        <v>1523</v>
      </c>
      <c r="C6836" s="403" t="s">
        <v>582</v>
      </c>
      <c r="D6836" t="s">
        <v>1524</v>
      </c>
      <c r="E6836" t="s">
        <v>1523</v>
      </c>
      <c r="F6836" t="s">
        <v>1286</v>
      </c>
      <c r="G6836" t="s">
        <v>1525</v>
      </c>
      <c r="H6836" t="s">
        <v>1276</v>
      </c>
      <c r="I6836">
        <v>1</v>
      </c>
      <c r="J6836" t="s">
        <v>109</v>
      </c>
      <c r="K6836">
        <v>1280</v>
      </c>
      <c r="L6836">
        <v>720</v>
      </c>
      <c r="M6836" t="s">
        <v>111</v>
      </c>
      <c r="N6836">
        <v>768</v>
      </c>
      <c r="O6836">
        <v>432</v>
      </c>
      <c r="P6836" t="str">
        <f t="shared" si="857"/>
        <v>30fps 720p - SD</v>
      </c>
      <c r="Q6836">
        <f t="shared" si="858"/>
        <v>38</v>
      </c>
      <c r="R6836" t="str">
        <f t="shared" si="859"/>
        <v/>
      </c>
      <c r="S6836" t="str">
        <f t="shared" si="860"/>
        <v/>
      </c>
      <c r="T6836" s="403" t="str">
        <f t="shared" si="861"/>
        <v>MIC-7522-Z30x</v>
      </c>
      <c r="U6836" s="403">
        <f t="shared" si="862"/>
        <v>1</v>
      </c>
      <c r="V6836" s="403" t="str">
        <f t="shared" si="863"/>
        <v>CPP_7_3</v>
      </c>
    </row>
    <row r="6837" spans="1:22">
      <c r="A6837" t="str">
        <f t="shared" si="856"/>
        <v>MIC-7522-Z30x</v>
      </c>
      <c r="B6837" t="s">
        <v>1523</v>
      </c>
      <c r="C6837" s="403" t="s">
        <v>582</v>
      </c>
      <c r="D6837" t="s">
        <v>1524</v>
      </c>
      <c r="E6837" t="s">
        <v>1523</v>
      </c>
      <c r="F6837" t="s">
        <v>1286</v>
      </c>
      <c r="G6837" t="s">
        <v>1525</v>
      </c>
      <c r="H6837" t="s">
        <v>1276</v>
      </c>
      <c r="I6837">
        <v>1</v>
      </c>
      <c r="J6837" t="s">
        <v>109</v>
      </c>
      <c r="K6837">
        <v>1280</v>
      </c>
      <c r="L6837">
        <v>720</v>
      </c>
      <c r="M6837" t="s">
        <v>1283</v>
      </c>
      <c r="N6837">
        <v>720</v>
      </c>
      <c r="O6837">
        <v>480</v>
      </c>
      <c r="P6837" t="str">
        <f t="shared" si="857"/>
        <v>30fps 720p - SD 4CIF resolution 4:3 format (cropped)</v>
      </c>
      <c r="Q6837">
        <f t="shared" si="858"/>
        <v>38</v>
      </c>
      <c r="R6837" t="str">
        <f t="shared" si="859"/>
        <v/>
      </c>
      <c r="S6837" t="str">
        <f t="shared" si="860"/>
        <v/>
      </c>
      <c r="T6837" s="403" t="str">
        <f t="shared" si="861"/>
        <v>MIC-7522-Z30x</v>
      </c>
      <c r="U6837" s="403">
        <f t="shared" si="862"/>
        <v>1</v>
      </c>
      <c r="V6837" s="403" t="str">
        <f t="shared" si="863"/>
        <v>CPP_7_3</v>
      </c>
    </row>
    <row r="6838" spans="1:22">
      <c r="A6838" t="str">
        <f t="shared" si="856"/>
        <v>MIC-7522-Z30x</v>
      </c>
      <c r="B6838" t="s">
        <v>1523</v>
      </c>
      <c r="C6838" s="403" t="s">
        <v>582</v>
      </c>
      <c r="D6838" t="s">
        <v>1524</v>
      </c>
      <c r="E6838" t="s">
        <v>1523</v>
      </c>
      <c r="F6838" t="s">
        <v>1286</v>
      </c>
      <c r="G6838" t="s">
        <v>1525</v>
      </c>
      <c r="H6838" t="s">
        <v>1276</v>
      </c>
      <c r="I6838">
        <v>1</v>
      </c>
      <c r="J6838" t="s">
        <v>109</v>
      </c>
      <c r="K6838">
        <v>1280</v>
      </c>
      <c r="L6838">
        <v>720</v>
      </c>
      <c r="M6838" t="s">
        <v>1284</v>
      </c>
      <c r="N6838">
        <v>640</v>
      </c>
      <c r="O6838">
        <v>480</v>
      </c>
      <c r="P6838" t="str">
        <f t="shared" si="857"/>
        <v>30fps 720p - SD VGA (cropped)</v>
      </c>
      <c r="Q6838">
        <f t="shared" si="858"/>
        <v>38</v>
      </c>
      <c r="R6838" t="str">
        <f t="shared" si="859"/>
        <v/>
      </c>
      <c r="S6838" t="str">
        <f t="shared" si="860"/>
        <v/>
      </c>
      <c r="T6838" s="403" t="str">
        <f t="shared" si="861"/>
        <v>MIC-7522-Z30x</v>
      </c>
      <c r="U6838" s="403">
        <f t="shared" si="862"/>
        <v>1</v>
      </c>
      <c r="V6838" s="403" t="str">
        <f t="shared" si="863"/>
        <v>CPP_7_3</v>
      </c>
    </row>
    <row r="6839" spans="1:22">
      <c r="A6839" t="str">
        <f t="shared" si="856"/>
        <v>MIC-7522-Z30x</v>
      </c>
      <c r="B6839" t="s">
        <v>1523</v>
      </c>
      <c r="C6839" s="403" t="s">
        <v>582</v>
      </c>
      <c r="D6839" t="s">
        <v>1524</v>
      </c>
      <c r="E6839" t="s">
        <v>1523</v>
      </c>
      <c r="F6839" t="s">
        <v>1286</v>
      </c>
      <c r="G6839" t="s">
        <v>1525</v>
      </c>
      <c r="H6839" t="s">
        <v>1281</v>
      </c>
      <c r="I6839">
        <v>1</v>
      </c>
      <c r="J6839" t="s">
        <v>110</v>
      </c>
      <c r="K6839">
        <v>1920</v>
      </c>
      <c r="L6839">
        <v>1080</v>
      </c>
      <c r="M6839" t="s">
        <v>111</v>
      </c>
      <c r="N6839">
        <v>768</v>
      </c>
      <c r="O6839">
        <v>432</v>
      </c>
      <c r="P6839" t="str">
        <f t="shared" si="857"/>
        <v>30fps 1080p - SD</v>
      </c>
      <c r="Q6839">
        <f t="shared" si="858"/>
        <v>38</v>
      </c>
      <c r="R6839" t="str">
        <f t="shared" si="859"/>
        <v/>
      </c>
      <c r="S6839" t="str">
        <f t="shared" si="860"/>
        <v/>
      </c>
      <c r="T6839" s="403" t="str">
        <f t="shared" si="861"/>
        <v>MIC-7522-Z30x</v>
      </c>
      <c r="U6839" s="403">
        <f t="shared" si="862"/>
        <v>1</v>
      </c>
      <c r="V6839" s="403" t="str">
        <f t="shared" si="863"/>
        <v>CPP_7_3</v>
      </c>
    </row>
    <row r="6840" spans="1:22">
      <c r="A6840" t="str">
        <f t="shared" si="856"/>
        <v>MIC-7522-Z30x</v>
      </c>
      <c r="B6840" t="s">
        <v>1523</v>
      </c>
      <c r="C6840" s="403" t="s">
        <v>582</v>
      </c>
      <c r="D6840" t="s">
        <v>1524</v>
      </c>
      <c r="E6840" t="s">
        <v>1523</v>
      </c>
      <c r="F6840" t="s">
        <v>1286</v>
      </c>
      <c r="G6840" t="s">
        <v>1525</v>
      </c>
      <c r="H6840" t="s">
        <v>1281</v>
      </c>
      <c r="I6840">
        <v>1</v>
      </c>
      <c r="J6840" t="s">
        <v>110</v>
      </c>
      <c r="K6840">
        <v>1920</v>
      </c>
      <c r="L6840">
        <v>1080</v>
      </c>
      <c r="M6840" t="s">
        <v>110</v>
      </c>
      <c r="N6840">
        <v>1920</v>
      </c>
      <c r="O6840">
        <v>1080</v>
      </c>
      <c r="P6840" t="str">
        <f t="shared" si="857"/>
        <v>30fps 1080p - 1080p</v>
      </c>
      <c r="Q6840">
        <f t="shared" si="858"/>
        <v>38</v>
      </c>
      <c r="R6840" t="str">
        <f t="shared" si="859"/>
        <v/>
      </c>
      <c r="S6840" t="str">
        <f t="shared" si="860"/>
        <v/>
      </c>
      <c r="T6840" s="403" t="str">
        <f t="shared" si="861"/>
        <v>MIC-7522-Z30x</v>
      </c>
      <c r="U6840" s="403">
        <f t="shared" si="862"/>
        <v>1</v>
      </c>
      <c r="V6840" s="403" t="str">
        <f t="shared" si="863"/>
        <v>CPP_7_3</v>
      </c>
    </row>
    <row r="6841" spans="1:22">
      <c r="A6841" t="str">
        <f t="shared" si="856"/>
        <v>MIC-7522-Z30x</v>
      </c>
      <c r="B6841" t="s">
        <v>1523</v>
      </c>
      <c r="C6841" s="403" t="s">
        <v>582</v>
      </c>
      <c r="D6841" t="s">
        <v>1524</v>
      </c>
      <c r="E6841" t="s">
        <v>1523</v>
      </c>
      <c r="F6841" t="s">
        <v>1286</v>
      </c>
      <c r="G6841" t="s">
        <v>1525</v>
      </c>
      <c r="H6841" t="s">
        <v>1281</v>
      </c>
      <c r="I6841">
        <v>1</v>
      </c>
      <c r="J6841" t="s">
        <v>110</v>
      </c>
      <c r="K6841">
        <v>1920</v>
      </c>
      <c r="L6841">
        <v>1080</v>
      </c>
      <c r="M6841" t="s">
        <v>109</v>
      </c>
      <c r="N6841">
        <v>1280</v>
      </c>
      <c r="O6841">
        <v>720</v>
      </c>
      <c r="P6841" t="str">
        <f t="shared" si="857"/>
        <v>30fps 1080p - 720p</v>
      </c>
      <c r="Q6841">
        <f t="shared" si="858"/>
        <v>38</v>
      </c>
      <c r="R6841" t="str">
        <f t="shared" si="859"/>
        <v/>
      </c>
      <c r="S6841" t="str">
        <f t="shared" si="860"/>
        <v/>
      </c>
      <c r="T6841" s="403" t="str">
        <f t="shared" si="861"/>
        <v>MIC-7522-Z30x</v>
      </c>
      <c r="U6841" s="403">
        <f t="shared" si="862"/>
        <v>1</v>
      </c>
      <c r="V6841" s="403" t="str">
        <f t="shared" si="863"/>
        <v>CPP_7_3</v>
      </c>
    </row>
    <row r="6842" spans="1:22">
      <c r="A6842" t="str">
        <f t="shared" si="856"/>
        <v>MIC-7522-Z30x</v>
      </c>
      <c r="B6842" t="s">
        <v>1523</v>
      </c>
      <c r="C6842" s="403" t="s">
        <v>582</v>
      </c>
      <c r="D6842" t="s">
        <v>1524</v>
      </c>
      <c r="E6842" t="s">
        <v>1523</v>
      </c>
      <c r="F6842" t="s">
        <v>1286</v>
      </c>
      <c r="G6842" t="s">
        <v>1525</v>
      </c>
      <c r="H6842" t="s">
        <v>1281</v>
      </c>
      <c r="I6842">
        <v>1</v>
      </c>
      <c r="J6842" t="s">
        <v>110</v>
      </c>
      <c r="K6842">
        <v>1920</v>
      </c>
      <c r="L6842">
        <v>1080</v>
      </c>
      <c r="M6842" t="s">
        <v>1285</v>
      </c>
      <c r="N6842">
        <v>1280</v>
      </c>
      <c r="O6842">
        <v>1024</v>
      </c>
      <c r="P6842" t="str">
        <f t="shared" si="857"/>
        <v>30fps 1080p - 1280x1024 5:4 (cropped)</v>
      </c>
      <c r="Q6842">
        <f t="shared" si="858"/>
        <v>38</v>
      </c>
      <c r="R6842" t="str">
        <f t="shared" si="859"/>
        <v/>
      </c>
      <c r="S6842" t="str">
        <f t="shared" si="860"/>
        <v/>
      </c>
      <c r="T6842" s="403" t="str">
        <f t="shared" si="861"/>
        <v>MIC-7522-Z30x</v>
      </c>
      <c r="U6842" s="403">
        <f t="shared" si="862"/>
        <v>1</v>
      </c>
      <c r="V6842" s="403" t="str">
        <f t="shared" si="863"/>
        <v>CPP_7_3</v>
      </c>
    </row>
    <row r="6843" spans="1:22">
      <c r="A6843" t="str">
        <f t="shared" si="856"/>
        <v>MIC-7522-Z30x</v>
      </c>
      <c r="B6843" t="s">
        <v>1523</v>
      </c>
      <c r="C6843" s="403" t="s">
        <v>582</v>
      </c>
      <c r="D6843" t="s">
        <v>1524</v>
      </c>
      <c r="E6843" t="s">
        <v>1523</v>
      </c>
      <c r="F6843" t="s">
        <v>1286</v>
      </c>
      <c r="G6843" t="s">
        <v>1525</v>
      </c>
      <c r="H6843" t="s">
        <v>1281</v>
      </c>
      <c r="I6843">
        <v>1</v>
      </c>
      <c r="J6843" t="s">
        <v>110</v>
      </c>
      <c r="K6843">
        <v>1920</v>
      </c>
      <c r="L6843">
        <v>1080</v>
      </c>
      <c r="M6843" t="s">
        <v>1283</v>
      </c>
      <c r="N6843">
        <v>720</v>
      </c>
      <c r="O6843">
        <v>480</v>
      </c>
      <c r="P6843" t="str">
        <f t="shared" si="857"/>
        <v>30fps 1080p - SD 4CIF resolution 4:3 format (cropped)</v>
      </c>
      <c r="Q6843">
        <f t="shared" si="858"/>
        <v>38</v>
      </c>
      <c r="R6843" t="str">
        <f t="shared" si="859"/>
        <v/>
      </c>
      <c r="S6843" t="str">
        <f t="shared" si="860"/>
        <v/>
      </c>
      <c r="T6843" s="403" t="str">
        <f t="shared" si="861"/>
        <v>MIC-7522-Z30x</v>
      </c>
      <c r="U6843" s="403">
        <f t="shared" si="862"/>
        <v>1</v>
      </c>
      <c r="V6843" s="403" t="str">
        <f t="shared" si="863"/>
        <v>CPP_7_3</v>
      </c>
    </row>
    <row r="6844" spans="1:22">
      <c r="A6844" t="str">
        <f t="shared" si="856"/>
        <v>MIC-7522-Z30x</v>
      </c>
      <c r="B6844" t="s">
        <v>1523</v>
      </c>
      <c r="C6844" s="403" t="s">
        <v>582</v>
      </c>
      <c r="D6844" t="s">
        <v>1524</v>
      </c>
      <c r="E6844" t="s">
        <v>1523</v>
      </c>
      <c r="F6844" t="s">
        <v>1286</v>
      </c>
      <c r="G6844" t="s">
        <v>1525</v>
      </c>
      <c r="H6844" t="s">
        <v>1281</v>
      </c>
      <c r="I6844">
        <v>1</v>
      </c>
      <c r="J6844" t="s">
        <v>110</v>
      </c>
      <c r="K6844">
        <v>1920</v>
      </c>
      <c r="L6844">
        <v>1080</v>
      </c>
      <c r="M6844" t="s">
        <v>1284</v>
      </c>
      <c r="N6844">
        <v>640</v>
      </c>
      <c r="O6844">
        <v>480</v>
      </c>
      <c r="P6844" t="str">
        <f t="shared" si="857"/>
        <v>30fps 1080p - SD VGA (cropped)</v>
      </c>
      <c r="Q6844">
        <f t="shared" si="858"/>
        <v>38</v>
      </c>
      <c r="R6844" t="str">
        <f t="shared" si="859"/>
        <v/>
      </c>
      <c r="S6844" t="str">
        <f t="shared" si="860"/>
        <v/>
      </c>
      <c r="T6844" s="403" t="str">
        <f t="shared" si="861"/>
        <v>MIC-7522-Z30x</v>
      </c>
      <c r="U6844" s="403">
        <f t="shared" si="862"/>
        <v>1</v>
      </c>
      <c r="V6844" s="403" t="str">
        <f t="shared" si="863"/>
        <v>CPP_7_3</v>
      </c>
    </row>
    <row r="6845" spans="1:22">
      <c r="A6845" t="str">
        <f t="shared" si="856"/>
        <v>MIC-7522-Z30x</v>
      </c>
      <c r="B6845" t="s">
        <v>1523</v>
      </c>
      <c r="C6845" s="403" t="s">
        <v>582</v>
      </c>
      <c r="D6845" t="s">
        <v>1524</v>
      </c>
      <c r="E6845" t="s">
        <v>1523</v>
      </c>
      <c r="F6845" t="s">
        <v>1286</v>
      </c>
      <c r="G6845" t="s">
        <v>1525</v>
      </c>
      <c r="H6845" t="s">
        <v>1281</v>
      </c>
      <c r="I6845">
        <v>1</v>
      </c>
      <c r="J6845" t="s">
        <v>109</v>
      </c>
      <c r="K6845">
        <v>1280</v>
      </c>
      <c r="L6845">
        <v>720</v>
      </c>
      <c r="M6845" t="s">
        <v>109</v>
      </c>
      <c r="N6845">
        <v>1280</v>
      </c>
      <c r="O6845">
        <v>720</v>
      </c>
      <c r="P6845" t="str">
        <f t="shared" si="857"/>
        <v>30fps 720p - 720p</v>
      </c>
      <c r="Q6845">
        <f t="shared" si="858"/>
        <v>38</v>
      </c>
      <c r="R6845" t="str">
        <f t="shared" si="859"/>
        <v/>
      </c>
      <c r="S6845" t="str">
        <f t="shared" si="860"/>
        <v/>
      </c>
      <c r="T6845" s="403" t="str">
        <f t="shared" si="861"/>
        <v>MIC-7522-Z30x</v>
      </c>
      <c r="U6845" s="403">
        <f t="shared" si="862"/>
        <v>1</v>
      </c>
      <c r="V6845" s="403" t="str">
        <f t="shared" si="863"/>
        <v>CPP_7_3</v>
      </c>
    </row>
    <row r="6846" spans="1:22">
      <c r="A6846" t="str">
        <f t="shared" si="856"/>
        <v>MIC-7522-Z30x</v>
      </c>
      <c r="B6846" t="s">
        <v>1523</v>
      </c>
      <c r="C6846" s="403" t="s">
        <v>582</v>
      </c>
      <c r="D6846" t="s">
        <v>1524</v>
      </c>
      <c r="E6846" t="s">
        <v>1523</v>
      </c>
      <c r="F6846" t="s">
        <v>1286</v>
      </c>
      <c r="G6846" t="s">
        <v>1525</v>
      </c>
      <c r="H6846" t="s">
        <v>1281</v>
      </c>
      <c r="I6846">
        <v>1</v>
      </c>
      <c r="J6846" t="s">
        <v>109</v>
      </c>
      <c r="K6846">
        <v>1280</v>
      </c>
      <c r="L6846">
        <v>720</v>
      </c>
      <c r="M6846" t="s">
        <v>111</v>
      </c>
      <c r="N6846">
        <v>768</v>
      </c>
      <c r="O6846">
        <v>432</v>
      </c>
      <c r="P6846" t="str">
        <f t="shared" si="857"/>
        <v>30fps 720p - SD</v>
      </c>
      <c r="Q6846">
        <f t="shared" si="858"/>
        <v>38</v>
      </c>
      <c r="R6846" t="str">
        <f t="shared" si="859"/>
        <v/>
      </c>
      <c r="S6846" t="str">
        <f t="shared" si="860"/>
        <v/>
      </c>
      <c r="T6846" s="403" t="str">
        <f t="shared" si="861"/>
        <v>MIC-7522-Z30x</v>
      </c>
      <c r="U6846" s="403">
        <f t="shared" si="862"/>
        <v>1</v>
      </c>
      <c r="V6846" s="403" t="str">
        <f t="shared" si="863"/>
        <v>CPP_7_3</v>
      </c>
    </row>
    <row r="6847" spans="1:22">
      <c r="A6847" t="str">
        <f t="shared" si="856"/>
        <v>MIC-7522-Z30x</v>
      </c>
      <c r="B6847" t="s">
        <v>1523</v>
      </c>
      <c r="C6847" s="403" t="s">
        <v>582</v>
      </c>
      <c r="D6847" t="s">
        <v>1524</v>
      </c>
      <c r="E6847" t="s">
        <v>1523</v>
      </c>
      <c r="F6847" t="s">
        <v>1286</v>
      </c>
      <c r="G6847" t="s">
        <v>1525</v>
      </c>
      <c r="H6847" t="s">
        <v>1281</v>
      </c>
      <c r="I6847">
        <v>1</v>
      </c>
      <c r="J6847" t="s">
        <v>109</v>
      </c>
      <c r="K6847">
        <v>1280</v>
      </c>
      <c r="L6847">
        <v>720</v>
      </c>
      <c r="M6847" t="s">
        <v>1283</v>
      </c>
      <c r="N6847">
        <v>720</v>
      </c>
      <c r="O6847">
        <v>480</v>
      </c>
      <c r="P6847" t="str">
        <f t="shared" si="857"/>
        <v>30fps 720p - SD 4CIF resolution 4:3 format (cropped)</v>
      </c>
      <c r="Q6847">
        <f t="shared" si="858"/>
        <v>38</v>
      </c>
      <c r="R6847" t="str">
        <f t="shared" si="859"/>
        <v/>
      </c>
      <c r="S6847" t="str">
        <f t="shared" si="860"/>
        <v/>
      </c>
      <c r="T6847" s="403" t="str">
        <f t="shared" si="861"/>
        <v>MIC-7522-Z30x</v>
      </c>
      <c r="U6847" s="403">
        <f t="shared" si="862"/>
        <v>1</v>
      </c>
      <c r="V6847" s="403" t="str">
        <f t="shared" si="863"/>
        <v>CPP_7_3</v>
      </c>
    </row>
    <row r="6848" spans="1:22">
      <c r="A6848" t="str">
        <f t="shared" si="856"/>
        <v>MIC-7522-Z30x</v>
      </c>
      <c r="B6848" t="s">
        <v>1523</v>
      </c>
      <c r="C6848" s="403" t="s">
        <v>582</v>
      </c>
      <c r="D6848" t="s">
        <v>1524</v>
      </c>
      <c r="E6848" t="s">
        <v>1523</v>
      </c>
      <c r="F6848" t="s">
        <v>1286</v>
      </c>
      <c r="G6848" t="s">
        <v>1525</v>
      </c>
      <c r="H6848" t="s">
        <v>1281</v>
      </c>
      <c r="I6848">
        <v>1</v>
      </c>
      <c r="J6848" t="s">
        <v>109</v>
      </c>
      <c r="K6848">
        <v>1280</v>
      </c>
      <c r="L6848">
        <v>720</v>
      </c>
      <c r="M6848" t="s">
        <v>1284</v>
      </c>
      <c r="N6848">
        <v>640</v>
      </c>
      <c r="O6848">
        <v>480</v>
      </c>
      <c r="P6848" t="str">
        <f t="shared" si="857"/>
        <v>30fps 720p - SD VGA (cropped)</v>
      </c>
      <c r="Q6848">
        <f t="shared" si="858"/>
        <v>38</v>
      </c>
      <c r="R6848" t="str">
        <f t="shared" si="859"/>
        <v/>
      </c>
      <c r="S6848" t="str">
        <f t="shared" si="860"/>
        <v/>
      </c>
      <c r="T6848" s="403" t="str">
        <f t="shared" si="861"/>
        <v>MIC-7522-Z30x</v>
      </c>
      <c r="U6848" s="403">
        <f t="shared" si="862"/>
        <v>1</v>
      </c>
      <c r="V6848" s="403" t="str">
        <f t="shared" si="863"/>
        <v>CPP_7_3</v>
      </c>
    </row>
    <row r="6849" spans="1:22">
      <c r="A6849" t="str">
        <f t="shared" si="856"/>
        <v>MIC-7522-Z30x</v>
      </c>
      <c r="B6849" t="s">
        <v>1523</v>
      </c>
      <c r="C6849" s="403" t="s">
        <v>582</v>
      </c>
      <c r="D6849" t="s">
        <v>1524</v>
      </c>
      <c r="E6849" t="s">
        <v>1523</v>
      </c>
      <c r="F6849" t="s">
        <v>1286</v>
      </c>
      <c r="G6849" t="s">
        <v>1525</v>
      </c>
      <c r="H6849" t="s">
        <v>1282</v>
      </c>
      <c r="I6849">
        <v>1</v>
      </c>
      <c r="J6849" t="s">
        <v>110</v>
      </c>
      <c r="K6849">
        <v>1920</v>
      </c>
      <c r="L6849">
        <v>1080</v>
      </c>
      <c r="M6849" t="s">
        <v>111</v>
      </c>
      <c r="N6849">
        <v>768</v>
      </c>
      <c r="O6849">
        <v>432</v>
      </c>
      <c r="P6849" t="str">
        <f t="shared" si="857"/>
        <v>30fps 1080p - SD</v>
      </c>
      <c r="Q6849">
        <f t="shared" si="858"/>
        <v>38</v>
      </c>
      <c r="R6849" t="str">
        <f t="shared" si="859"/>
        <v/>
      </c>
      <c r="S6849" t="str">
        <f t="shared" si="860"/>
        <v/>
      </c>
      <c r="T6849" s="403" t="str">
        <f t="shared" si="861"/>
        <v>MIC-7522-Z30x</v>
      </c>
      <c r="U6849" s="403">
        <f t="shared" si="862"/>
        <v>1</v>
      </c>
      <c r="V6849" s="403" t="str">
        <f t="shared" si="863"/>
        <v>CPP_7_3</v>
      </c>
    </row>
    <row r="6850" spans="1:22">
      <c r="A6850" t="str">
        <f t="shared" si="856"/>
        <v>MIC-7522-Z30x</v>
      </c>
      <c r="B6850" t="s">
        <v>1523</v>
      </c>
      <c r="C6850" s="403" t="s">
        <v>582</v>
      </c>
      <c r="D6850" t="s">
        <v>1524</v>
      </c>
      <c r="E6850" t="s">
        <v>1523</v>
      </c>
      <c r="F6850" t="s">
        <v>1286</v>
      </c>
      <c r="G6850" t="s">
        <v>1525</v>
      </c>
      <c r="H6850" t="s">
        <v>1282</v>
      </c>
      <c r="I6850">
        <v>1</v>
      </c>
      <c r="J6850" t="s">
        <v>110</v>
      </c>
      <c r="K6850">
        <v>1920</v>
      </c>
      <c r="L6850">
        <v>1080</v>
      </c>
      <c r="M6850" t="s">
        <v>110</v>
      </c>
      <c r="N6850">
        <v>1920</v>
      </c>
      <c r="O6850">
        <v>1080</v>
      </c>
      <c r="P6850" t="str">
        <f t="shared" si="857"/>
        <v>30fps 1080p - 1080p</v>
      </c>
      <c r="Q6850">
        <f t="shared" si="858"/>
        <v>38</v>
      </c>
      <c r="R6850" t="str">
        <f t="shared" si="859"/>
        <v/>
      </c>
      <c r="S6850" t="str">
        <f t="shared" si="860"/>
        <v/>
      </c>
      <c r="T6850" s="403" t="str">
        <f t="shared" si="861"/>
        <v>MIC-7522-Z30x</v>
      </c>
      <c r="U6850" s="403">
        <f t="shared" si="862"/>
        <v>1</v>
      </c>
      <c r="V6850" s="403" t="str">
        <f t="shared" si="863"/>
        <v>CPP_7_3</v>
      </c>
    </row>
    <row r="6851" spans="1:22">
      <c r="A6851" t="str">
        <f t="shared" si="856"/>
        <v>MIC-7522-Z30x</v>
      </c>
      <c r="B6851" t="s">
        <v>1523</v>
      </c>
      <c r="C6851" s="403" t="s">
        <v>582</v>
      </c>
      <c r="D6851" t="s">
        <v>1524</v>
      </c>
      <c r="E6851" t="s">
        <v>1523</v>
      </c>
      <c r="F6851" t="s">
        <v>1286</v>
      </c>
      <c r="G6851" t="s">
        <v>1525</v>
      </c>
      <c r="H6851" t="s">
        <v>1282</v>
      </c>
      <c r="I6851">
        <v>1</v>
      </c>
      <c r="J6851" t="s">
        <v>110</v>
      </c>
      <c r="K6851">
        <v>1920</v>
      </c>
      <c r="L6851">
        <v>1080</v>
      </c>
      <c r="M6851" t="s">
        <v>109</v>
      </c>
      <c r="N6851">
        <v>1280</v>
      </c>
      <c r="O6851">
        <v>720</v>
      </c>
      <c r="P6851" t="str">
        <f t="shared" si="857"/>
        <v>30fps 1080p - 720p</v>
      </c>
      <c r="Q6851">
        <f t="shared" si="858"/>
        <v>38</v>
      </c>
      <c r="R6851" t="str">
        <f t="shared" si="859"/>
        <v/>
      </c>
      <c r="S6851" t="str">
        <f t="shared" si="860"/>
        <v/>
      </c>
      <c r="T6851" s="403" t="str">
        <f t="shared" si="861"/>
        <v>MIC-7522-Z30x</v>
      </c>
      <c r="U6851" s="403">
        <f t="shared" si="862"/>
        <v>1</v>
      </c>
      <c r="V6851" s="403" t="str">
        <f t="shared" si="863"/>
        <v>CPP_7_3</v>
      </c>
    </row>
    <row r="6852" spans="1:22">
      <c r="A6852" t="str">
        <f t="shared" si="856"/>
        <v>MIC-7522-Z30x</v>
      </c>
      <c r="B6852" t="s">
        <v>1523</v>
      </c>
      <c r="C6852" s="403" t="s">
        <v>582</v>
      </c>
      <c r="D6852" t="s">
        <v>1524</v>
      </c>
      <c r="E6852" t="s">
        <v>1523</v>
      </c>
      <c r="F6852" t="s">
        <v>1286</v>
      </c>
      <c r="G6852" t="s">
        <v>1525</v>
      </c>
      <c r="H6852" t="s">
        <v>1282</v>
      </c>
      <c r="I6852">
        <v>1</v>
      </c>
      <c r="J6852" t="s">
        <v>110</v>
      </c>
      <c r="K6852">
        <v>1920</v>
      </c>
      <c r="L6852">
        <v>1080</v>
      </c>
      <c r="M6852" t="s">
        <v>1285</v>
      </c>
      <c r="N6852">
        <v>1280</v>
      </c>
      <c r="O6852">
        <v>1024</v>
      </c>
      <c r="P6852" t="str">
        <f t="shared" si="857"/>
        <v>30fps 1080p - 1280x1024 5:4 (cropped)</v>
      </c>
      <c r="Q6852">
        <f t="shared" si="858"/>
        <v>38</v>
      </c>
      <c r="R6852" t="str">
        <f t="shared" si="859"/>
        <v/>
      </c>
      <c r="S6852" t="str">
        <f t="shared" si="860"/>
        <v/>
      </c>
      <c r="T6852" s="403" t="str">
        <f t="shared" si="861"/>
        <v>MIC-7522-Z30x</v>
      </c>
      <c r="U6852" s="403">
        <f t="shared" si="862"/>
        <v>1</v>
      </c>
      <c r="V6852" s="403" t="str">
        <f t="shared" si="863"/>
        <v>CPP_7_3</v>
      </c>
    </row>
    <row r="6853" spans="1:22">
      <c r="A6853" t="str">
        <f t="shared" si="856"/>
        <v>MIC-7522-Z30x</v>
      </c>
      <c r="B6853" t="s">
        <v>1523</v>
      </c>
      <c r="C6853" s="403" t="s">
        <v>582</v>
      </c>
      <c r="D6853" t="s">
        <v>1524</v>
      </c>
      <c r="E6853" t="s">
        <v>1523</v>
      </c>
      <c r="F6853" t="s">
        <v>1286</v>
      </c>
      <c r="G6853" t="s">
        <v>1525</v>
      </c>
      <c r="H6853" t="s">
        <v>1282</v>
      </c>
      <c r="I6853">
        <v>1</v>
      </c>
      <c r="J6853" t="s">
        <v>110</v>
      </c>
      <c r="K6853">
        <v>1920</v>
      </c>
      <c r="L6853">
        <v>1080</v>
      </c>
      <c r="M6853" t="s">
        <v>1283</v>
      </c>
      <c r="N6853">
        <v>720</v>
      </c>
      <c r="O6853">
        <v>480</v>
      </c>
      <c r="P6853" t="str">
        <f t="shared" si="857"/>
        <v>30fps 1080p - SD 4CIF resolution 4:3 format (cropped)</v>
      </c>
      <c r="Q6853">
        <f t="shared" si="858"/>
        <v>38</v>
      </c>
      <c r="R6853" t="str">
        <f t="shared" si="859"/>
        <v/>
      </c>
      <c r="S6853" t="str">
        <f t="shared" si="860"/>
        <v/>
      </c>
      <c r="T6853" s="403" t="str">
        <f t="shared" si="861"/>
        <v>MIC-7522-Z30x</v>
      </c>
      <c r="U6853" s="403">
        <f t="shared" si="862"/>
        <v>1</v>
      </c>
      <c r="V6853" s="403" t="str">
        <f t="shared" si="863"/>
        <v>CPP_7_3</v>
      </c>
    </row>
    <row r="6854" spans="1:22">
      <c r="A6854" t="str">
        <f t="shared" si="856"/>
        <v>MIC-7522-Z30x</v>
      </c>
      <c r="B6854" t="s">
        <v>1523</v>
      </c>
      <c r="C6854" s="403" t="s">
        <v>582</v>
      </c>
      <c r="D6854" t="s">
        <v>1524</v>
      </c>
      <c r="E6854" t="s">
        <v>1523</v>
      </c>
      <c r="F6854" t="s">
        <v>1286</v>
      </c>
      <c r="G6854" t="s">
        <v>1525</v>
      </c>
      <c r="H6854" t="s">
        <v>1282</v>
      </c>
      <c r="I6854">
        <v>1</v>
      </c>
      <c r="J6854" t="s">
        <v>110</v>
      </c>
      <c r="K6854">
        <v>1920</v>
      </c>
      <c r="L6854">
        <v>1080</v>
      </c>
      <c r="M6854" t="s">
        <v>1284</v>
      </c>
      <c r="N6854">
        <v>640</v>
      </c>
      <c r="O6854">
        <v>480</v>
      </c>
      <c r="P6854" t="str">
        <f t="shared" si="857"/>
        <v>30fps 1080p - SD VGA (cropped)</v>
      </c>
      <c r="Q6854">
        <f t="shared" si="858"/>
        <v>38</v>
      </c>
      <c r="R6854" t="str">
        <f t="shared" si="859"/>
        <v/>
      </c>
      <c r="S6854" t="str">
        <f t="shared" si="860"/>
        <v/>
      </c>
      <c r="T6854" s="403" t="str">
        <f t="shared" si="861"/>
        <v>MIC-7522-Z30x</v>
      </c>
      <c r="U6854" s="403">
        <f t="shared" si="862"/>
        <v>1</v>
      </c>
      <c r="V6854" s="403" t="str">
        <f t="shared" si="863"/>
        <v>CPP_7_3</v>
      </c>
    </row>
    <row r="6855" spans="1:22">
      <c r="A6855" t="str">
        <f t="shared" si="856"/>
        <v>MIC-7522-Z30x</v>
      </c>
      <c r="B6855" t="s">
        <v>1523</v>
      </c>
      <c r="C6855" s="403" t="s">
        <v>582</v>
      </c>
      <c r="D6855" t="s">
        <v>1524</v>
      </c>
      <c r="E6855" t="s">
        <v>1523</v>
      </c>
      <c r="F6855" t="s">
        <v>1286</v>
      </c>
      <c r="G6855" t="s">
        <v>1525</v>
      </c>
      <c r="H6855" t="s">
        <v>1282</v>
      </c>
      <c r="I6855">
        <v>1</v>
      </c>
      <c r="J6855" t="s">
        <v>109</v>
      </c>
      <c r="K6855">
        <v>1280</v>
      </c>
      <c r="L6855">
        <v>720</v>
      </c>
      <c r="M6855" t="s">
        <v>109</v>
      </c>
      <c r="N6855">
        <v>1280</v>
      </c>
      <c r="O6855">
        <v>720</v>
      </c>
      <c r="P6855" t="str">
        <f t="shared" si="857"/>
        <v>30fps 720p - 720p</v>
      </c>
      <c r="Q6855">
        <f t="shared" si="858"/>
        <v>38</v>
      </c>
      <c r="R6855" t="str">
        <f t="shared" si="859"/>
        <v/>
      </c>
      <c r="S6855" t="str">
        <f t="shared" si="860"/>
        <v/>
      </c>
      <c r="T6855" s="403" t="str">
        <f t="shared" si="861"/>
        <v>MIC-7522-Z30x</v>
      </c>
      <c r="U6855" s="403">
        <f t="shared" si="862"/>
        <v>1</v>
      </c>
      <c r="V6855" s="403" t="str">
        <f t="shared" si="863"/>
        <v>CPP_7_3</v>
      </c>
    </row>
    <row r="6856" spans="1:22">
      <c r="A6856" t="str">
        <f t="shared" si="856"/>
        <v>MIC-7522-Z30x</v>
      </c>
      <c r="B6856" t="s">
        <v>1523</v>
      </c>
      <c r="C6856" s="403" t="s">
        <v>582</v>
      </c>
      <c r="D6856" t="s">
        <v>1524</v>
      </c>
      <c r="E6856" t="s">
        <v>1523</v>
      </c>
      <c r="F6856" t="s">
        <v>1286</v>
      </c>
      <c r="G6856" t="s">
        <v>1525</v>
      </c>
      <c r="H6856" t="s">
        <v>1282</v>
      </c>
      <c r="I6856">
        <v>1</v>
      </c>
      <c r="J6856" t="s">
        <v>109</v>
      </c>
      <c r="K6856">
        <v>1280</v>
      </c>
      <c r="L6856">
        <v>720</v>
      </c>
      <c r="M6856" t="s">
        <v>111</v>
      </c>
      <c r="N6856">
        <v>768</v>
      </c>
      <c r="O6856">
        <v>432</v>
      </c>
      <c r="P6856" t="str">
        <f t="shared" si="857"/>
        <v>30fps 720p - SD</v>
      </c>
      <c r="Q6856">
        <f t="shared" si="858"/>
        <v>38</v>
      </c>
      <c r="R6856" t="str">
        <f t="shared" si="859"/>
        <v/>
      </c>
      <c r="S6856" t="str">
        <f t="shared" si="860"/>
        <v/>
      </c>
      <c r="T6856" s="403" t="str">
        <f t="shared" si="861"/>
        <v>MIC-7522-Z30x</v>
      </c>
      <c r="U6856" s="403">
        <f t="shared" si="862"/>
        <v>1</v>
      </c>
      <c r="V6856" s="403" t="str">
        <f t="shared" si="863"/>
        <v>CPP_7_3</v>
      </c>
    </row>
    <row r="6857" spans="1:22">
      <c r="A6857" t="str">
        <f t="shared" si="856"/>
        <v>MIC-7522-Z30x</v>
      </c>
      <c r="B6857" t="s">
        <v>1523</v>
      </c>
      <c r="C6857" s="403" t="s">
        <v>582</v>
      </c>
      <c r="D6857" t="s">
        <v>1524</v>
      </c>
      <c r="E6857" t="s">
        <v>1523</v>
      </c>
      <c r="F6857" t="s">
        <v>1286</v>
      </c>
      <c r="G6857" t="s">
        <v>1525</v>
      </c>
      <c r="H6857" t="s">
        <v>1282</v>
      </c>
      <c r="I6857">
        <v>1</v>
      </c>
      <c r="J6857" t="s">
        <v>109</v>
      </c>
      <c r="K6857">
        <v>1280</v>
      </c>
      <c r="L6857">
        <v>720</v>
      </c>
      <c r="M6857" t="s">
        <v>1283</v>
      </c>
      <c r="N6857">
        <v>720</v>
      </c>
      <c r="O6857">
        <v>480</v>
      </c>
      <c r="P6857" t="str">
        <f t="shared" si="857"/>
        <v>30fps 720p - SD 4CIF resolution 4:3 format (cropped)</v>
      </c>
      <c r="Q6857">
        <f t="shared" si="858"/>
        <v>38</v>
      </c>
      <c r="R6857" t="str">
        <f t="shared" si="859"/>
        <v/>
      </c>
      <c r="S6857" t="str">
        <f t="shared" si="860"/>
        <v/>
      </c>
      <c r="T6857" s="403" t="str">
        <f t="shared" si="861"/>
        <v>MIC-7522-Z30x</v>
      </c>
      <c r="U6857" s="403">
        <f t="shared" si="862"/>
        <v>1</v>
      </c>
      <c r="V6857" s="403" t="str">
        <f t="shared" si="863"/>
        <v>CPP_7_3</v>
      </c>
    </row>
    <row r="6858" spans="1:22">
      <c r="A6858" t="str">
        <f t="shared" si="856"/>
        <v>MIC-7522-Z30x</v>
      </c>
      <c r="B6858" t="s">
        <v>1523</v>
      </c>
      <c r="C6858" s="403" t="s">
        <v>582</v>
      </c>
      <c r="D6858" t="s">
        <v>1524</v>
      </c>
      <c r="E6858" t="s">
        <v>1523</v>
      </c>
      <c r="F6858" t="s">
        <v>1286</v>
      </c>
      <c r="G6858" t="s">
        <v>1525</v>
      </c>
      <c r="H6858" t="s">
        <v>1282</v>
      </c>
      <c r="I6858">
        <v>1</v>
      </c>
      <c r="J6858" t="s">
        <v>109</v>
      </c>
      <c r="K6858">
        <v>1280</v>
      </c>
      <c r="L6858">
        <v>720</v>
      </c>
      <c r="M6858" t="s">
        <v>1284</v>
      </c>
      <c r="N6858">
        <v>640</v>
      </c>
      <c r="O6858">
        <v>480</v>
      </c>
      <c r="P6858" t="str">
        <f t="shared" si="857"/>
        <v>30fps 720p - SD VGA (cropped)</v>
      </c>
      <c r="Q6858">
        <f t="shared" si="858"/>
        <v>38</v>
      </c>
      <c r="R6858" t="str">
        <f t="shared" si="859"/>
        <v/>
      </c>
      <c r="S6858" t="str">
        <f t="shared" si="860"/>
        <v/>
      </c>
      <c r="T6858" s="403" t="str">
        <f t="shared" si="861"/>
        <v>MIC-7522-Z30x</v>
      </c>
      <c r="U6858" s="403">
        <f t="shared" si="862"/>
        <v>1</v>
      </c>
      <c r="V6858" s="403" t="str">
        <f t="shared" si="863"/>
        <v>CPP_7_3</v>
      </c>
    </row>
    <row r="6859" spans="1:22">
      <c r="A6859" t="str">
        <f t="shared" si="856"/>
        <v>MIC-7522-Z30x</v>
      </c>
      <c r="B6859" t="s">
        <v>1523</v>
      </c>
      <c r="C6859" s="403" t="s">
        <v>582</v>
      </c>
      <c r="D6859" t="s">
        <v>1524</v>
      </c>
      <c r="E6859" t="s">
        <v>1523</v>
      </c>
      <c r="F6859" t="s">
        <v>1290</v>
      </c>
      <c r="G6859" t="s">
        <v>1525</v>
      </c>
      <c r="H6859" t="s">
        <v>1276</v>
      </c>
      <c r="I6859">
        <v>1</v>
      </c>
      <c r="J6859" t="s">
        <v>110</v>
      </c>
      <c r="K6859">
        <v>1920</v>
      </c>
      <c r="L6859">
        <v>1080</v>
      </c>
      <c r="M6859" t="s">
        <v>111</v>
      </c>
      <c r="N6859">
        <v>768</v>
      </c>
      <c r="O6859">
        <v>432</v>
      </c>
      <c r="P6859" t="str">
        <f t="shared" si="857"/>
        <v>50fps 1080p - SD</v>
      </c>
      <c r="Q6859">
        <f t="shared" si="858"/>
        <v>38</v>
      </c>
      <c r="R6859" t="str">
        <f t="shared" si="859"/>
        <v/>
      </c>
      <c r="S6859" t="str">
        <f t="shared" si="860"/>
        <v/>
      </c>
      <c r="T6859" s="403" t="str">
        <f t="shared" si="861"/>
        <v>MIC-7522-Z30x</v>
      </c>
      <c r="U6859" s="403">
        <f t="shared" si="862"/>
        <v>1</v>
      </c>
      <c r="V6859" s="403" t="str">
        <f t="shared" si="863"/>
        <v>CPP_7_3</v>
      </c>
    </row>
    <row r="6860" spans="1:22">
      <c r="A6860" t="str">
        <f t="shared" si="856"/>
        <v>MIC-7522-Z30x</v>
      </c>
      <c r="B6860" t="s">
        <v>1523</v>
      </c>
      <c r="C6860" s="403" t="s">
        <v>582</v>
      </c>
      <c r="D6860" t="s">
        <v>1524</v>
      </c>
      <c r="E6860" t="s">
        <v>1523</v>
      </c>
      <c r="F6860" t="s">
        <v>1290</v>
      </c>
      <c r="G6860" t="s">
        <v>1525</v>
      </c>
      <c r="H6860" t="s">
        <v>1276</v>
      </c>
      <c r="I6860">
        <v>1</v>
      </c>
      <c r="J6860" t="s">
        <v>110</v>
      </c>
      <c r="K6860">
        <v>1920</v>
      </c>
      <c r="L6860">
        <v>1080</v>
      </c>
      <c r="M6860" t="s">
        <v>110</v>
      </c>
      <c r="N6860">
        <v>1920</v>
      </c>
      <c r="O6860">
        <v>1080</v>
      </c>
      <c r="P6860" t="str">
        <f t="shared" si="857"/>
        <v>50fps 1080p - 1080p</v>
      </c>
      <c r="Q6860">
        <f t="shared" si="858"/>
        <v>38</v>
      </c>
      <c r="R6860" t="str">
        <f t="shared" si="859"/>
        <v/>
      </c>
      <c r="S6860" t="str">
        <f t="shared" si="860"/>
        <v/>
      </c>
      <c r="T6860" s="403" t="str">
        <f t="shared" si="861"/>
        <v>MIC-7522-Z30x</v>
      </c>
      <c r="U6860" s="403">
        <f t="shared" si="862"/>
        <v>1</v>
      </c>
      <c r="V6860" s="403" t="str">
        <f t="shared" si="863"/>
        <v>CPP_7_3</v>
      </c>
    </row>
    <row r="6861" spans="1:22">
      <c r="A6861" t="str">
        <f t="shared" si="856"/>
        <v>MIC-7522-Z30x</v>
      </c>
      <c r="B6861" t="s">
        <v>1523</v>
      </c>
      <c r="C6861" s="403" t="s">
        <v>582</v>
      </c>
      <c r="D6861" t="s">
        <v>1524</v>
      </c>
      <c r="E6861" t="s">
        <v>1523</v>
      </c>
      <c r="F6861" t="s">
        <v>1290</v>
      </c>
      <c r="G6861" t="s">
        <v>1525</v>
      </c>
      <c r="H6861" t="s">
        <v>1276</v>
      </c>
      <c r="I6861">
        <v>1</v>
      </c>
      <c r="J6861" t="s">
        <v>110</v>
      </c>
      <c r="K6861">
        <v>1920</v>
      </c>
      <c r="L6861">
        <v>1080</v>
      </c>
      <c r="M6861" t="s">
        <v>1289</v>
      </c>
      <c r="N6861">
        <v>1280</v>
      </c>
      <c r="O6861">
        <v>720</v>
      </c>
      <c r="P6861" t="str">
        <f t="shared" si="857"/>
        <v>50fps 1080p - 720p full frame rate</v>
      </c>
      <c r="Q6861">
        <f t="shared" si="858"/>
        <v>38</v>
      </c>
      <c r="R6861" t="str">
        <f t="shared" si="859"/>
        <v/>
      </c>
      <c r="S6861" t="str">
        <f t="shared" si="860"/>
        <v/>
      </c>
      <c r="T6861" s="403" t="str">
        <f t="shared" si="861"/>
        <v>MIC-7522-Z30x</v>
      </c>
      <c r="U6861" s="403">
        <f t="shared" si="862"/>
        <v>1</v>
      </c>
      <c r="V6861" s="403" t="str">
        <f t="shared" si="863"/>
        <v>CPP_7_3</v>
      </c>
    </row>
    <row r="6862" spans="1:22">
      <c r="A6862" t="str">
        <f t="shared" si="856"/>
        <v>MIC-7522-Z30x</v>
      </c>
      <c r="B6862" t="s">
        <v>1523</v>
      </c>
      <c r="C6862" s="403" t="s">
        <v>582</v>
      </c>
      <c r="D6862" t="s">
        <v>1524</v>
      </c>
      <c r="E6862" t="s">
        <v>1523</v>
      </c>
      <c r="F6862" t="s">
        <v>1290</v>
      </c>
      <c r="G6862" t="s">
        <v>1525</v>
      </c>
      <c r="H6862" t="s">
        <v>1276</v>
      </c>
      <c r="I6862">
        <v>1</v>
      </c>
      <c r="J6862" t="s">
        <v>110</v>
      </c>
      <c r="K6862">
        <v>1920</v>
      </c>
      <c r="L6862">
        <v>1080</v>
      </c>
      <c r="M6862" t="s">
        <v>1285</v>
      </c>
      <c r="N6862">
        <v>1280</v>
      </c>
      <c r="O6862">
        <v>1024</v>
      </c>
      <c r="P6862" t="str">
        <f t="shared" si="857"/>
        <v>50fps 1080p - 1280x1024 5:4 (cropped)</v>
      </c>
      <c r="Q6862">
        <f t="shared" si="858"/>
        <v>38</v>
      </c>
      <c r="R6862" t="str">
        <f t="shared" si="859"/>
        <v/>
      </c>
      <c r="S6862" t="str">
        <f t="shared" si="860"/>
        <v/>
      </c>
      <c r="T6862" s="403" t="str">
        <f t="shared" si="861"/>
        <v>MIC-7522-Z30x</v>
      </c>
      <c r="U6862" s="403">
        <f t="shared" si="862"/>
        <v>1</v>
      </c>
      <c r="V6862" s="403" t="str">
        <f t="shared" si="863"/>
        <v>CPP_7_3</v>
      </c>
    </row>
    <row r="6863" spans="1:22">
      <c r="A6863" t="str">
        <f t="shared" si="856"/>
        <v>MIC-7522-Z30x</v>
      </c>
      <c r="B6863" t="s">
        <v>1523</v>
      </c>
      <c r="C6863" s="403" t="s">
        <v>582</v>
      </c>
      <c r="D6863" t="s">
        <v>1524</v>
      </c>
      <c r="E6863" t="s">
        <v>1523</v>
      </c>
      <c r="F6863" t="s">
        <v>1290</v>
      </c>
      <c r="G6863" t="s">
        <v>1525</v>
      </c>
      <c r="H6863" t="s">
        <v>1276</v>
      </c>
      <c r="I6863">
        <v>1</v>
      </c>
      <c r="J6863" t="s">
        <v>110</v>
      </c>
      <c r="K6863">
        <v>1920</v>
      </c>
      <c r="L6863">
        <v>1080</v>
      </c>
      <c r="M6863" t="s">
        <v>1283</v>
      </c>
      <c r="N6863">
        <v>720</v>
      </c>
      <c r="O6863">
        <v>576</v>
      </c>
      <c r="P6863" t="str">
        <f t="shared" si="857"/>
        <v>50fps 1080p - SD 4CIF resolution 4:3 format (cropped)</v>
      </c>
      <c r="Q6863">
        <f t="shared" si="858"/>
        <v>38</v>
      </c>
      <c r="R6863" t="str">
        <f t="shared" si="859"/>
        <v/>
      </c>
      <c r="S6863" t="str">
        <f t="shared" si="860"/>
        <v/>
      </c>
      <c r="T6863" s="403" t="str">
        <f t="shared" si="861"/>
        <v>MIC-7522-Z30x</v>
      </c>
      <c r="U6863" s="403">
        <f t="shared" si="862"/>
        <v>1</v>
      </c>
      <c r="V6863" s="403" t="str">
        <f t="shared" si="863"/>
        <v>CPP_7_3</v>
      </c>
    </row>
    <row r="6864" spans="1:22">
      <c r="A6864" t="str">
        <f t="shared" si="856"/>
        <v>MIC-7522-Z30x</v>
      </c>
      <c r="B6864" t="s">
        <v>1523</v>
      </c>
      <c r="C6864" s="403" t="s">
        <v>582</v>
      </c>
      <c r="D6864" t="s">
        <v>1524</v>
      </c>
      <c r="E6864" t="s">
        <v>1523</v>
      </c>
      <c r="F6864" t="s">
        <v>1290</v>
      </c>
      <c r="G6864" t="s">
        <v>1525</v>
      </c>
      <c r="H6864" t="s">
        <v>1276</v>
      </c>
      <c r="I6864">
        <v>1</v>
      </c>
      <c r="J6864" t="s">
        <v>110</v>
      </c>
      <c r="K6864">
        <v>1920</v>
      </c>
      <c r="L6864">
        <v>1080</v>
      </c>
      <c r="M6864" t="s">
        <v>1284</v>
      </c>
      <c r="N6864">
        <v>640</v>
      </c>
      <c r="O6864">
        <v>480</v>
      </c>
      <c r="P6864" t="str">
        <f t="shared" si="857"/>
        <v>50fps 1080p - SD VGA (cropped)</v>
      </c>
      <c r="Q6864">
        <f t="shared" si="858"/>
        <v>38</v>
      </c>
      <c r="R6864" t="str">
        <f t="shared" si="859"/>
        <v/>
      </c>
      <c r="S6864" t="str">
        <f t="shared" si="860"/>
        <v/>
      </c>
      <c r="T6864" s="403" t="str">
        <f t="shared" si="861"/>
        <v>MIC-7522-Z30x</v>
      </c>
      <c r="U6864" s="403">
        <f t="shared" si="862"/>
        <v>1</v>
      </c>
      <c r="V6864" s="403" t="str">
        <f t="shared" si="863"/>
        <v>CPP_7_3</v>
      </c>
    </row>
    <row r="6865" spans="1:22">
      <c r="A6865" t="str">
        <f t="shared" si="856"/>
        <v>MIC-7522-Z30x</v>
      </c>
      <c r="B6865" t="s">
        <v>1523</v>
      </c>
      <c r="C6865" s="403" t="s">
        <v>582</v>
      </c>
      <c r="D6865" t="s">
        <v>1524</v>
      </c>
      <c r="E6865" t="s">
        <v>1523</v>
      </c>
      <c r="F6865" t="s">
        <v>1290</v>
      </c>
      <c r="G6865" t="s">
        <v>1525</v>
      </c>
      <c r="H6865" t="s">
        <v>1276</v>
      </c>
      <c r="I6865">
        <v>1</v>
      </c>
      <c r="J6865" t="s">
        <v>1289</v>
      </c>
      <c r="K6865">
        <v>1280</v>
      </c>
      <c r="L6865">
        <v>720</v>
      </c>
      <c r="M6865" t="s">
        <v>1289</v>
      </c>
      <c r="N6865">
        <v>1280</v>
      </c>
      <c r="O6865">
        <v>720</v>
      </c>
      <c r="P6865" t="str">
        <f t="shared" si="857"/>
        <v>50fps 720p full frame rate - 720p full frame rate</v>
      </c>
      <c r="Q6865">
        <f t="shared" si="858"/>
        <v>38</v>
      </c>
      <c r="R6865" t="str">
        <f t="shared" si="859"/>
        <v/>
      </c>
      <c r="S6865" t="str">
        <f t="shared" si="860"/>
        <v/>
      </c>
      <c r="T6865" s="403" t="str">
        <f t="shared" si="861"/>
        <v>MIC-7522-Z30x</v>
      </c>
      <c r="U6865" s="403">
        <f t="shared" si="862"/>
        <v>1</v>
      </c>
      <c r="V6865" s="403" t="str">
        <f t="shared" si="863"/>
        <v>CPP_7_3</v>
      </c>
    </row>
    <row r="6866" spans="1:22">
      <c r="A6866" t="str">
        <f t="shared" si="856"/>
        <v>MIC-7522-Z30x</v>
      </c>
      <c r="B6866" t="s">
        <v>1523</v>
      </c>
      <c r="C6866" s="403" t="s">
        <v>582</v>
      </c>
      <c r="D6866" t="s">
        <v>1524</v>
      </c>
      <c r="E6866" t="s">
        <v>1523</v>
      </c>
      <c r="F6866" t="s">
        <v>1290</v>
      </c>
      <c r="G6866" t="s">
        <v>1525</v>
      </c>
      <c r="H6866" t="s">
        <v>1276</v>
      </c>
      <c r="I6866">
        <v>1</v>
      </c>
      <c r="J6866" t="s">
        <v>1289</v>
      </c>
      <c r="K6866">
        <v>1280</v>
      </c>
      <c r="L6866">
        <v>720</v>
      </c>
      <c r="M6866" t="s">
        <v>111</v>
      </c>
      <c r="N6866">
        <v>768</v>
      </c>
      <c r="O6866">
        <v>432</v>
      </c>
      <c r="P6866" t="str">
        <f t="shared" si="857"/>
        <v>50fps 720p full frame rate - SD</v>
      </c>
      <c r="Q6866">
        <f t="shared" si="858"/>
        <v>38</v>
      </c>
      <c r="R6866" t="str">
        <f t="shared" si="859"/>
        <v/>
      </c>
      <c r="S6866" t="str">
        <f t="shared" si="860"/>
        <v/>
      </c>
      <c r="T6866" s="403" t="str">
        <f t="shared" si="861"/>
        <v>MIC-7522-Z30x</v>
      </c>
      <c r="U6866" s="403">
        <f t="shared" si="862"/>
        <v>1</v>
      </c>
      <c r="V6866" s="403" t="str">
        <f t="shared" si="863"/>
        <v>CPP_7_3</v>
      </c>
    </row>
    <row r="6867" spans="1:22">
      <c r="A6867" t="str">
        <f t="shared" si="856"/>
        <v>MIC-7522-Z30x</v>
      </c>
      <c r="B6867" t="s">
        <v>1523</v>
      </c>
      <c r="C6867" s="403" t="s">
        <v>582</v>
      </c>
      <c r="D6867" t="s">
        <v>1524</v>
      </c>
      <c r="E6867" t="s">
        <v>1523</v>
      </c>
      <c r="F6867" t="s">
        <v>1290</v>
      </c>
      <c r="G6867" t="s">
        <v>1525</v>
      </c>
      <c r="H6867" t="s">
        <v>1276</v>
      </c>
      <c r="I6867">
        <v>1</v>
      </c>
      <c r="J6867" t="s">
        <v>1289</v>
      </c>
      <c r="K6867">
        <v>1280</v>
      </c>
      <c r="L6867">
        <v>720</v>
      </c>
      <c r="M6867" t="s">
        <v>1283</v>
      </c>
      <c r="N6867">
        <v>720</v>
      </c>
      <c r="O6867">
        <v>576</v>
      </c>
      <c r="P6867" t="str">
        <f t="shared" si="857"/>
        <v>50fps 720p full frame rate - SD 4CIF resolution 4:3 format (cropped)</v>
      </c>
      <c r="Q6867">
        <f t="shared" si="858"/>
        <v>38</v>
      </c>
      <c r="R6867" t="str">
        <f t="shared" si="859"/>
        <v/>
      </c>
      <c r="S6867" t="str">
        <f t="shared" si="860"/>
        <v/>
      </c>
      <c r="T6867" s="403" t="str">
        <f t="shared" si="861"/>
        <v>MIC-7522-Z30x</v>
      </c>
      <c r="U6867" s="403">
        <f t="shared" si="862"/>
        <v>1</v>
      </c>
      <c r="V6867" s="403" t="str">
        <f t="shared" si="863"/>
        <v>CPP_7_3</v>
      </c>
    </row>
    <row r="6868" spans="1:22">
      <c r="A6868" t="str">
        <f t="shared" si="856"/>
        <v>MIC-7522-Z30x</v>
      </c>
      <c r="B6868" t="s">
        <v>1523</v>
      </c>
      <c r="C6868" s="403" t="s">
        <v>582</v>
      </c>
      <c r="D6868" t="s">
        <v>1524</v>
      </c>
      <c r="E6868" t="s">
        <v>1523</v>
      </c>
      <c r="F6868" t="s">
        <v>1290</v>
      </c>
      <c r="G6868" t="s">
        <v>1525</v>
      </c>
      <c r="H6868" t="s">
        <v>1276</v>
      </c>
      <c r="I6868">
        <v>1</v>
      </c>
      <c r="J6868" t="s">
        <v>1289</v>
      </c>
      <c r="K6868">
        <v>1280</v>
      </c>
      <c r="L6868">
        <v>720</v>
      </c>
      <c r="M6868" t="s">
        <v>1284</v>
      </c>
      <c r="N6868">
        <v>640</v>
      </c>
      <c r="O6868">
        <v>480</v>
      </c>
      <c r="P6868" t="str">
        <f t="shared" si="857"/>
        <v>50fps 720p full frame rate - SD VGA (cropped)</v>
      </c>
      <c r="Q6868">
        <f t="shared" si="858"/>
        <v>38</v>
      </c>
      <c r="R6868" t="str">
        <f t="shared" si="859"/>
        <v/>
      </c>
      <c r="S6868" t="str">
        <f t="shared" si="860"/>
        <v/>
      </c>
      <c r="T6868" s="403" t="str">
        <f t="shared" si="861"/>
        <v>MIC-7522-Z30x</v>
      </c>
      <c r="U6868" s="403">
        <f t="shared" si="862"/>
        <v>1</v>
      </c>
      <c r="V6868" s="403" t="str">
        <f t="shared" si="863"/>
        <v>CPP_7_3</v>
      </c>
    </row>
    <row r="6869" spans="1:22">
      <c r="A6869" t="str">
        <f t="shared" si="856"/>
        <v>MIC-7522-Z30x</v>
      </c>
      <c r="B6869" t="s">
        <v>1523</v>
      </c>
      <c r="C6869" s="403" t="s">
        <v>582</v>
      </c>
      <c r="D6869" t="s">
        <v>1524</v>
      </c>
      <c r="E6869" t="s">
        <v>1523</v>
      </c>
      <c r="F6869" t="s">
        <v>1290</v>
      </c>
      <c r="G6869" t="s">
        <v>1525</v>
      </c>
      <c r="H6869" t="s">
        <v>1281</v>
      </c>
      <c r="I6869">
        <v>1</v>
      </c>
      <c r="J6869" t="s">
        <v>110</v>
      </c>
      <c r="K6869">
        <v>1920</v>
      </c>
      <c r="L6869">
        <v>1080</v>
      </c>
      <c r="M6869" t="s">
        <v>111</v>
      </c>
      <c r="N6869">
        <v>768</v>
      </c>
      <c r="O6869">
        <v>432</v>
      </c>
      <c r="P6869" t="str">
        <f t="shared" si="857"/>
        <v>50fps 1080p - SD</v>
      </c>
      <c r="Q6869">
        <f t="shared" si="858"/>
        <v>38</v>
      </c>
      <c r="R6869" t="str">
        <f t="shared" si="859"/>
        <v/>
      </c>
      <c r="S6869" t="str">
        <f t="shared" si="860"/>
        <v/>
      </c>
      <c r="T6869" s="403" t="str">
        <f t="shared" si="861"/>
        <v>MIC-7522-Z30x</v>
      </c>
      <c r="U6869" s="403">
        <f t="shared" si="862"/>
        <v>1</v>
      </c>
      <c r="V6869" s="403" t="str">
        <f t="shared" si="863"/>
        <v>CPP_7_3</v>
      </c>
    </row>
    <row r="6870" spans="1:22">
      <c r="A6870" t="str">
        <f t="shared" si="856"/>
        <v>MIC-7522-Z30x</v>
      </c>
      <c r="B6870" t="s">
        <v>1523</v>
      </c>
      <c r="C6870" s="403" t="s">
        <v>582</v>
      </c>
      <c r="D6870" t="s">
        <v>1524</v>
      </c>
      <c r="E6870" t="s">
        <v>1523</v>
      </c>
      <c r="F6870" t="s">
        <v>1290</v>
      </c>
      <c r="G6870" t="s">
        <v>1525</v>
      </c>
      <c r="H6870" t="s">
        <v>1281</v>
      </c>
      <c r="I6870">
        <v>1</v>
      </c>
      <c r="J6870" t="s">
        <v>110</v>
      </c>
      <c r="K6870">
        <v>1920</v>
      </c>
      <c r="L6870">
        <v>1080</v>
      </c>
      <c r="M6870" t="s">
        <v>1289</v>
      </c>
      <c r="N6870">
        <v>1280</v>
      </c>
      <c r="O6870">
        <v>720</v>
      </c>
      <c r="P6870" t="str">
        <f t="shared" si="857"/>
        <v>50fps 1080p - 720p full frame rate</v>
      </c>
      <c r="Q6870">
        <f t="shared" si="858"/>
        <v>38</v>
      </c>
      <c r="R6870" t="str">
        <f t="shared" si="859"/>
        <v/>
      </c>
      <c r="S6870" t="str">
        <f t="shared" si="860"/>
        <v/>
      </c>
      <c r="T6870" s="403" t="str">
        <f t="shared" si="861"/>
        <v>MIC-7522-Z30x</v>
      </c>
      <c r="U6870" s="403">
        <f t="shared" si="862"/>
        <v>1</v>
      </c>
      <c r="V6870" s="403" t="str">
        <f t="shared" si="863"/>
        <v>CPP_7_3</v>
      </c>
    </row>
    <row r="6871" spans="1:22">
      <c r="A6871" t="str">
        <f t="shared" si="856"/>
        <v>MIC-7522-Z30x</v>
      </c>
      <c r="B6871" t="s">
        <v>1523</v>
      </c>
      <c r="C6871" s="403" t="s">
        <v>582</v>
      </c>
      <c r="D6871" t="s">
        <v>1524</v>
      </c>
      <c r="E6871" t="s">
        <v>1523</v>
      </c>
      <c r="F6871" t="s">
        <v>1290</v>
      </c>
      <c r="G6871" t="s">
        <v>1525</v>
      </c>
      <c r="H6871" t="s">
        <v>1281</v>
      </c>
      <c r="I6871">
        <v>1</v>
      </c>
      <c r="J6871" t="s">
        <v>110</v>
      </c>
      <c r="K6871">
        <v>1920</v>
      </c>
      <c r="L6871">
        <v>1080</v>
      </c>
      <c r="M6871" t="s">
        <v>1283</v>
      </c>
      <c r="N6871">
        <v>720</v>
      </c>
      <c r="O6871">
        <v>576</v>
      </c>
      <c r="P6871" t="str">
        <f t="shared" si="857"/>
        <v>50fps 1080p - SD 4CIF resolution 4:3 format (cropped)</v>
      </c>
      <c r="Q6871">
        <f t="shared" si="858"/>
        <v>38</v>
      </c>
      <c r="R6871" t="str">
        <f t="shared" si="859"/>
        <v/>
      </c>
      <c r="S6871" t="str">
        <f t="shared" si="860"/>
        <v/>
      </c>
      <c r="T6871" s="403" t="str">
        <f t="shared" si="861"/>
        <v>MIC-7522-Z30x</v>
      </c>
      <c r="U6871" s="403">
        <f t="shared" si="862"/>
        <v>1</v>
      </c>
      <c r="V6871" s="403" t="str">
        <f t="shared" si="863"/>
        <v>CPP_7_3</v>
      </c>
    </row>
    <row r="6872" spans="1:22">
      <c r="A6872" t="str">
        <f t="shared" si="856"/>
        <v>MIC-7522-Z30x</v>
      </c>
      <c r="B6872" t="s">
        <v>1523</v>
      </c>
      <c r="C6872" s="403" t="s">
        <v>582</v>
      </c>
      <c r="D6872" t="s">
        <v>1524</v>
      </c>
      <c r="E6872" t="s">
        <v>1523</v>
      </c>
      <c r="F6872" t="s">
        <v>1290</v>
      </c>
      <c r="G6872" t="s">
        <v>1525</v>
      </c>
      <c r="H6872" t="s">
        <v>1281</v>
      </c>
      <c r="I6872">
        <v>1</v>
      </c>
      <c r="J6872" t="s">
        <v>110</v>
      </c>
      <c r="K6872">
        <v>1920</v>
      </c>
      <c r="L6872">
        <v>1080</v>
      </c>
      <c r="M6872" t="s">
        <v>1284</v>
      </c>
      <c r="N6872">
        <v>640</v>
      </c>
      <c r="O6872">
        <v>480</v>
      </c>
      <c r="P6872" t="str">
        <f t="shared" si="857"/>
        <v>50fps 1080p - SD VGA (cropped)</v>
      </c>
      <c r="Q6872">
        <f t="shared" si="858"/>
        <v>38</v>
      </c>
      <c r="R6872" t="str">
        <f t="shared" si="859"/>
        <v/>
      </c>
      <c r="S6872" t="str">
        <f t="shared" si="860"/>
        <v/>
      </c>
      <c r="T6872" s="403" t="str">
        <f t="shared" si="861"/>
        <v>MIC-7522-Z30x</v>
      </c>
      <c r="U6872" s="403">
        <f t="shared" si="862"/>
        <v>1</v>
      </c>
      <c r="V6872" s="403" t="str">
        <f t="shared" si="863"/>
        <v>CPP_7_3</v>
      </c>
    </row>
    <row r="6873" spans="1:22">
      <c r="A6873" t="str">
        <f t="shared" si="856"/>
        <v>MIC-7522-Z30x</v>
      </c>
      <c r="B6873" t="s">
        <v>1523</v>
      </c>
      <c r="C6873" s="403" t="s">
        <v>582</v>
      </c>
      <c r="D6873" t="s">
        <v>1524</v>
      </c>
      <c r="E6873" t="s">
        <v>1523</v>
      </c>
      <c r="F6873" t="s">
        <v>1290</v>
      </c>
      <c r="G6873" t="s">
        <v>1525</v>
      </c>
      <c r="H6873" t="s">
        <v>1281</v>
      </c>
      <c r="I6873">
        <v>1</v>
      </c>
      <c r="J6873" t="s">
        <v>1289</v>
      </c>
      <c r="K6873">
        <v>1280</v>
      </c>
      <c r="L6873">
        <v>720</v>
      </c>
      <c r="M6873" t="s">
        <v>1289</v>
      </c>
      <c r="N6873">
        <v>1280</v>
      </c>
      <c r="O6873">
        <v>720</v>
      </c>
      <c r="P6873" t="str">
        <f t="shared" si="857"/>
        <v>50fps 720p full frame rate - 720p full frame rate</v>
      </c>
      <c r="Q6873">
        <f t="shared" si="858"/>
        <v>38</v>
      </c>
      <c r="R6873" t="str">
        <f t="shared" si="859"/>
        <v/>
      </c>
      <c r="S6873" t="str">
        <f t="shared" si="860"/>
        <v/>
      </c>
      <c r="T6873" s="403" t="str">
        <f t="shared" si="861"/>
        <v>MIC-7522-Z30x</v>
      </c>
      <c r="U6873" s="403">
        <f t="shared" si="862"/>
        <v>1</v>
      </c>
      <c r="V6873" s="403" t="str">
        <f t="shared" si="863"/>
        <v>CPP_7_3</v>
      </c>
    </row>
    <row r="6874" spans="1:22">
      <c r="A6874" t="str">
        <f t="shared" si="856"/>
        <v>MIC-7522-Z30x</v>
      </c>
      <c r="B6874" t="s">
        <v>1523</v>
      </c>
      <c r="C6874" s="403" t="s">
        <v>582</v>
      </c>
      <c r="D6874" t="s">
        <v>1524</v>
      </c>
      <c r="E6874" t="s">
        <v>1523</v>
      </c>
      <c r="F6874" t="s">
        <v>1290</v>
      </c>
      <c r="G6874" t="s">
        <v>1525</v>
      </c>
      <c r="H6874" t="s">
        <v>1281</v>
      </c>
      <c r="I6874">
        <v>1</v>
      </c>
      <c r="J6874" t="s">
        <v>1289</v>
      </c>
      <c r="K6874">
        <v>1280</v>
      </c>
      <c r="L6874">
        <v>720</v>
      </c>
      <c r="M6874" t="s">
        <v>111</v>
      </c>
      <c r="N6874">
        <v>768</v>
      </c>
      <c r="O6874">
        <v>432</v>
      </c>
      <c r="P6874" t="str">
        <f t="shared" si="857"/>
        <v>50fps 720p full frame rate - SD</v>
      </c>
      <c r="Q6874">
        <f t="shared" si="858"/>
        <v>38</v>
      </c>
      <c r="R6874" t="str">
        <f t="shared" si="859"/>
        <v/>
      </c>
      <c r="S6874" t="str">
        <f t="shared" si="860"/>
        <v/>
      </c>
      <c r="T6874" s="403" t="str">
        <f t="shared" si="861"/>
        <v>MIC-7522-Z30x</v>
      </c>
      <c r="U6874" s="403">
        <f t="shared" si="862"/>
        <v>1</v>
      </c>
      <c r="V6874" s="403" t="str">
        <f t="shared" si="863"/>
        <v>CPP_7_3</v>
      </c>
    </row>
    <row r="6875" spans="1:22">
      <c r="A6875" t="str">
        <f t="shared" si="856"/>
        <v>MIC-7522-Z30x</v>
      </c>
      <c r="B6875" t="s">
        <v>1523</v>
      </c>
      <c r="C6875" s="403" t="s">
        <v>582</v>
      </c>
      <c r="D6875" t="s">
        <v>1524</v>
      </c>
      <c r="E6875" t="s">
        <v>1523</v>
      </c>
      <c r="F6875" t="s">
        <v>1290</v>
      </c>
      <c r="G6875" t="s">
        <v>1525</v>
      </c>
      <c r="H6875" t="s">
        <v>1281</v>
      </c>
      <c r="I6875">
        <v>1</v>
      </c>
      <c r="J6875" t="s">
        <v>1289</v>
      </c>
      <c r="K6875">
        <v>1280</v>
      </c>
      <c r="L6875">
        <v>720</v>
      </c>
      <c r="M6875" t="s">
        <v>1283</v>
      </c>
      <c r="N6875">
        <v>720</v>
      </c>
      <c r="O6875">
        <v>576</v>
      </c>
      <c r="P6875" t="str">
        <f t="shared" si="857"/>
        <v>50fps 720p full frame rate - SD 4CIF resolution 4:3 format (cropped)</v>
      </c>
      <c r="Q6875">
        <f t="shared" si="858"/>
        <v>38</v>
      </c>
      <c r="R6875" t="str">
        <f t="shared" si="859"/>
        <v/>
      </c>
      <c r="S6875" t="str">
        <f t="shared" si="860"/>
        <v/>
      </c>
      <c r="T6875" s="403" t="str">
        <f t="shared" si="861"/>
        <v>MIC-7522-Z30x</v>
      </c>
      <c r="U6875" s="403">
        <f t="shared" si="862"/>
        <v>1</v>
      </c>
      <c r="V6875" s="403" t="str">
        <f t="shared" si="863"/>
        <v>CPP_7_3</v>
      </c>
    </row>
    <row r="6876" spans="1:22">
      <c r="A6876" t="str">
        <f t="shared" si="856"/>
        <v>MIC-7522-Z30x</v>
      </c>
      <c r="B6876" t="s">
        <v>1523</v>
      </c>
      <c r="C6876" s="403" t="s">
        <v>582</v>
      </c>
      <c r="D6876" t="s">
        <v>1524</v>
      </c>
      <c r="E6876" t="s">
        <v>1523</v>
      </c>
      <c r="F6876" t="s">
        <v>1290</v>
      </c>
      <c r="G6876" t="s">
        <v>1525</v>
      </c>
      <c r="H6876" t="s">
        <v>1281</v>
      </c>
      <c r="I6876">
        <v>1</v>
      </c>
      <c r="J6876" t="s">
        <v>1289</v>
      </c>
      <c r="K6876">
        <v>1280</v>
      </c>
      <c r="L6876">
        <v>720</v>
      </c>
      <c r="M6876" t="s">
        <v>1284</v>
      </c>
      <c r="N6876">
        <v>640</v>
      </c>
      <c r="O6876">
        <v>480</v>
      </c>
      <c r="P6876" t="str">
        <f t="shared" si="857"/>
        <v>50fps 720p full frame rate - SD VGA (cropped)</v>
      </c>
      <c r="Q6876">
        <f t="shared" si="858"/>
        <v>38</v>
      </c>
      <c r="R6876" t="str">
        <f t="shared" si="859"/>
        <v/>
      </c>
      <c r="S6876" t="str">
        <f t="shared" si="860"/>
        <v/>
      </c>
      <c r="T6876" s="403" t="str">
        <f t="shared" si="861"/>
        <v>MIC-7522-Z30x</v>
      </c>
      <c r="U6876" s="403">
        <f t="shared" si="862"/>
        <v>1</v>
      </c>
      <c r="V6876" s="403" t="str">
        <f t="shared" si="863"/>
        <v>CPP_7_3</v>
      </c>
    </row>
    <row r="6877" spans="1:22">
      <c r="A6877" t="str">
        <f t="shared" si="856"/>
        <v>MIC-7522-Z30x</v>
      </c>
      <c r="B6877" t="s">
        <v>1523</v>
      </c>
      <c r="C6877" s="403" t="s">
        <v>582</v>
      </c>
      <c r="D6877" t="s">
        <v>1524</v>
      </c>
      <c r="E6877" t="s">
        <v>1523</v>
      </c>
      <c r="F6877" t="s">
        <v>1290</v>
      </c>
      <c r="G6877" t="s">
        <v>1525</v>
      </c>
      <c r="H6877" t="s">
        <v>1282</v>
      </c>
      <c r="I6877">
        <v>1</v>
      </c>
      <c r="J6877" t="s">
        <v>110</v>
      </c>
      <c r="K6877">
        <v>1920</v>
      </c>
      <c r="L6877">
        <v>1080</v>
      </c>
      <c r="M6877" t="s">
        <v>111</v>
      </c>
      <c r="N6877">
        <v>768</v>
      </c>
      <c r="O6877">
        <v>432</v>
      </c>
      <c r="P6877" t="str">
        <f t="shared" si="857"/>
        <v>50fps 1080p - SD</v>
      </c>
      <c r="Q6877">
        <f t="shared" si="858"/>
        <v>38</v>
      </c>
      <c r="R6877" t="str">
        <f t="shared" si="859"/>
        <v/>
      </c>
      <c r="S6877" t="str">
        <f t="shared" si="860"/>
        <v/>
      </c>
      <c r="T6877" s="403" t="str">
        <f t="shared" si="861"/>
        <v>MIC-7522-Z30x</v>
      </c>
      <c r="U6877" s="403">
        <f t="shared" si="862"/>
        <v>1</v>
      </c>
      <c r="V6877" s="403" t="str">
        <f t="shared" si="863"/>
        <v>CPP_7_3</v>
      </c>
    </row>
    <row r="6878" spans="1:22">
      <c r="A6878" t="str">
        <f t="shared" si="856"/>
        <v>MIC-7522-Z30x</v>
      </c>
      <c r="B6878" t="s">
        <v>1523</v>
      </c>
      <c r="C6878" s="403" t="s">
        <v>582</v>
      </c>
      <c r="D6878" t="s">
        <v>1524</v>
      </c>
      <c r="E6878" t="s">
        <v>1523</v>
      </c>
      <c r="F6878" t="s">
        <v>1290</v>
      </c>
      <c r="G6878" t="s">
        <v>1525</v>
      </c>
      <c r="H6878" t="s">
        <v>1282</v>
      </c>
      <c r="I6878">
        <v>1</v>
      </c>
      <c r="J6878" t="s">
        <v>110</v>
      </c>
      <c r="K6878">
        <v>1920</v>
      </c>
      <c r="L6878">
        <v>1080</v>
      </c>
      <c r="M6878" t="s">
        <v>110</v>
      </c>
      <c r="N6878">
        <v>1920</v>
      </c>
      <c r="O6878">
        <v>1080</v>
      </c>
      <c r="P6878" t="str">
        <f t="shared" si="857"/>
        <v>50fps 1080p - 1080p</v>
      </c>
      <c r="Q6878">
        <f t="shared" si="858"/>
        <v>38</v>
      </c>
      <c r="R6878" t="str">
        <f t="shared" si="859"/>
        <v/>
      </c>
      <c r="S6878" t="str">
        <f t="shared" si="860"/>
        <v/>
      </c>
      <c r="T6878" s="403" t="str">
        <f t="shared" si="861"/>
        <v>MIC-7522-Z30x</v>
      </c>
      <c r="U6878" s="403">
        <f t="shared" si="862"/>
        <v>1</v>
      </c>
      <c r="V6878" s="403" t="str">
        <f t="shared" si="863"/>
        <v>CPP_7_3</v>
      </c>
    </row>
    <row r="6879" spans="1:22">
      <c r="A6879" t="str">
        <f t="shared" si="856"/>
        <v>MIC-7522-Z30x</v>
      </c>
      <c r="B6879" t="s">
        <v>1523</v>
      </c>
      <c r="C6879" s="403" t="s">
        <v>582</v>
      </c>
      <c r="D6879" t="s">
        <v>1524</v>
      </c>
      <c r="E6879" t="s">
        <v>1523</v>
      </c>
      <c r="F6879" t="s">
        <v>1290</v>
      </c>
      <c r="G6879" t="s">
        <v>1525</v>
      </c>
      <c r="H6879" t="s">
        <v>1282</v>
      </c>
      <c r="I6879">
        <v>1</v>
      </c>
      <c r="J6879" t="s">
        <v>110</v>
      </c>
      <c r="K6879">
        <v>1920</v>
      </c>
      <c r="L6879">
        <v>1080</v>
      </c>
      <c r="M6879" t="s">
        <v>1289</v>
      </c>
      <c r="N6879">
        <v>1280</v>
      </c>
      <c r="O6879">
        <v>720</v>
      </c>
      <c r="P6879" t="str">
        <f t="shared" si="857"/>
        <v>50fps 1080p - 720p full frame rate</v>
      </c>
      <c r="Q6879">
        <f t="shared" si="858"/>
        <v>38</v>
      </c>
      <c r="R6879" t="str">
        <f t="shared" si="859"/>
        <v/>
      </c>
      <c r="S6879" t="str">
        <f t="shared" si="860"/>
        <v/>
      </c>
      <c r="T6879" s="403" t="str">
        <f t="shared" si="861"/>
        <v>MIC-7522-Z30x</v>
      </c>
      <c r="U6879" s="403">
        <f t="shared" si="862"/>
        <v>1</v>
      </c>
      <c r="V6879" s="403" t="str">
        <f t="shared" si="863"/>
        <v>CPP_7_3</v>
      </c>
    </row>
    <row r="6880" spans="1:22">
      <c r="A6880" t="str">
        <f t="shared" si="856"/>
        <v>MIC-7522-Z30x</v>
      </c>
      <c r="B6880" t="s">
        <v>1523</v>
      </c>
      <c r="C6880" s="403" t="s">
        <v>582</v>
      </c>
      <c r="D6880" t="s">
        <v>1524</v>
      </c>
      <c r="E6880" t="s">
        <v>1523</v>
      </c>
      <c r="F6880" t="s">
        <v>1290</v>
      </c>
      <c r="G6880" t="s">
        <v>1525</v>
      </c>
      <c r="H6880" t="s">
        <v>1282</v>
      </c>
      <c r="I6880">
        <v>1</v>
      </c>
      <c r="J6880" t="s">
        <v>110</v>
      </c>
      <c r="K6880">
        <v>1920</v>
      </c>
      <c r="L6880">
        <v>1080</v>
      </c>
      <c r="M6880" t="s">
        <v>1285</v>
      </c>
      <c r="N6880">
        <v>1280</v>
      </c>
      <c r="O6880">
        <v>1024</v>
      </c>
      <c r="P6880" t="str">
        <f t="shared" si="857"/>
        <v>50fps 1080p - 1280x1024 5:4 (cropped)</v>
      </c>
      <c r="Q6880">
        <f t="shared" si="858"/>
        <v>38</v>
      </c>
      <c r="R6880" t="str">
        <f t="shared" si="859"/>
        <v/>
      </c>
      <c r="S6880" t="str">
        <f t="shared" si="860"/>
        <v/>
      </c>
      <c r="T6880" s="403" t="str">
        <f t="shared" si="861"/>
        <v>MIC-7522-Z30x</v>
      </c>
      <c r="U6880" s="403">
        <f t="shared" si="862"/>
        <v>1</v>
      </c>
      <c r="V6880" s="403" t="str">
        <f t="shared" si="863"/>
        <v>CPP_7_3</v>
      </c>
    </row>
    <row r="6881" spans="1:22">
      <c r="A6881" t="str">
        <f t="shared" si="856"/>
        <v>MIC-7522-Z30x</v>
      </c>
      <c r="B6881" t="s">
        <v>1523</v>
      </c>
      <c r="C6881" s="403" t="s">
        <v>582</v>
      </c>
      <c r="D6881" t="s">
        <v>1524</v>
      </c>
      <c r="E6881" t="s">
        <v>1523</v>
      </c>
      <c r="F6881" t="s">
        <v>1290</v>
      </c>
      <c r="G6881" t="s">
        <v>1525</v>
      </c>
      <c r="H6881" t="s">
        <v>1282</v>
      </c>
      <c r="I6881">
        <v>1</v>
      </c>
      <c r="J6881" t="s">
        <v>110</v>
      </c>
      <c r="K6881">
        <v>1920</v>
      </c>
      <c r="L6881">
        <v>1080</v>
      </c>
      <c r="M6881" t="s">
        <v>1283</v>
      </c>
      <c r="N6881">
        <v>720</v>
      </c>
      <c r="O6881">
        <v>576</v>
      </c>
      <c r="P6881" t="str">
        <f t="shared" si="857"/>
        <v>50fps 1080p - SD 4CIF resolution 4:3 format (cropped)</v>
      </c>
      <c r="Q6881">
        <f t="shared" si="858"/>
        <v>38</v>
      </c>
      <c r="R6881" t="str">
        <f t="shared" si="859"/>
        <v/>
      </c>
      <c r="S6881" t="str">
        <f t="shared" si="860"/>
        <v/>
      </c>
      <c r="T6881" s="403" t="str">
        <f t="shared" si="861"/>
        <v>MIC-7522-Z30x</v>
      </c>
      <c r="U6881" s="403">
        <f t="shared" si="862"/>
        <v>1</v>
      </c>
      <c r="V6881" s="403" t="str">
        <f t="shared" si="863"/>
        <v>CPP_7_3</v>
      </c>
    </row>
    <row r="6882" spans="1:22">
      <c r="A6882" t="str">
        <f t="shared" si="856"/>
        <v>MIC-7522-Z30x</v>
      </c>
      <c r="B6882" t="s">
        <v>1523</v>
      </c>
      <c r="C6882" s="403" t="s">
        <v>582</v>
      </c>
      <c r="D6882" t="s">
        <v>1524</v>
      </c>
      <c r="E6882" t="s">
        <v>1523</v>
      </c>
      <c r="F6882" t="s">
        <v>1290</v>
      </c>
      <c r="G6882" t="s">
        <v>1525</v>
      </c>
      <c r="H6882" t="s">
        <v>1282</v>
      </c>
      <c r="I6882">
        <v>1</v>
      </c>
      <c r="J6882" t="s">
        <v>110</v>
      </c>
      <c r="K6882">
        <v>1920</v>
      </c>
      <c r="L6882">
        <v>1080</v>
      </c>
      <c r="M6882" t="s">
        <v>1284</v>
      </c>
      <c r="N6882">
        <v>640</v>
      </c>
      <c r="O6882">
        <v>480</v>
      </c>
      <c r="P6882" t="str">
        <f t="shared" si="857"/>
        <v>50fps 1080p - SD VGA (cropped)</v>
      </c>
      <c r="Q6882">
        <f t="shared" si="858"/>
        <v>38</v>
      </c>
      <c r="R6882" t="str">
        <f t="shared" si="859"/>
        <v/>
      </c>
      <c r="S6882" t="str">
        <f t="shared" si="860"/>
        <v/>
      </c>
      <c r="T6882" s="403" t="str">
        <f t="shared" si="861"/>
        <v>MIC-7522-Z30x</v>
      </c>
      <c r="U6882" s="403">
        <f t="shared" si="862"/>
        <v>1</v>
      </c>
      <c r="V6882" s="403" t="str">
        <f t="shared" si="863"/>
        <v>CPP_7_3</v>
      </c>
    </row>
    <row r="6883" spans="1:22">
      <c r="A6883" t="str">
        <f t="shared" si="856"/>
        <v>MIC-7522-Z30x</v>
      </c>
      <c r="B6883" t="s">
        <v>1523</v>
      </c>
      <c r="C6883" s="403" t="s">
        <v>582</v>
      </c>
      <c r="D6883" t="s">
        <v>1524</v>
      </c>
      <c r="E6883" t="s">
        <v>1523</v>
      </c>
      <c r="F6883" t="s">
        <v>1290</v>
      </c>
      <c r="G6883" t="s">
        <v>1525</v>
      </c>
      <c r="H6883" t="s">
        <v>1282</v>
      </c>
      <c r="I6883">
        <v>1</v>
      </c>
      <c r="J6883" t="s">
        <v>1289</v>
      </c>
      <c r="K6883">
        <v>1280</v>
      </c>
      <c r="L6883">
        <v>720</v>
      </c>
      <c r="M6883" t="s">
        <v>1289</v>
      </c>
      <c r="N6883">
        <v>1280</v>
      </c>
      <c r="O6883">
        <v>720</v>
      </c>
      <c r="P6883" t="str">
        <f t="shared" si="857"/>
        <v>50fps 720p full frame rate - 720p full frame rate</v>
      </c>
      <c r="Q6883">
        <f t="shared" si="858"/>
        <v>38</v>
      </c>
      <c r="R6883" t="str">
        <f t="shared" si="859"/>
        <v/>
      </c>
      <c r="S6883" t="str">
        <f t="shared" si="860"/>
        <v/>
      </c>
      <c r="T6883" s="403" t="str">
        <f t="shared" si="861"/>
        <v>MIC-7522-Z30x</v>
      </c>
      <c r="U6883" s="403">
        <f t="shared" si="862"/>
        <v>1</v>
      </c>
      <c r="V6883" s="403" t="str">
        <f t="shared" si="863"/>
        <v>CPP_7_3</v>
      </c>
    </row>
    <row r="6884" spans="1:22">
      <c r="A6884" t="str">
        <f t="shared" si="856"/>
        <v>MIC-7522-Z30x</v>
      </c>
      <c r="B6884" t="s">
        <v>1523</v>
      </c>
      <c r="C6884" s="403" t="s">
        <v>582</v>
      </c>
      <c r="D6884" t="s">
        <v>1524</v>
      </c>
      <c r="E6884" t="s">
        <v>1523</v>
      </c>
      <c r="F6884" t="s">
        <v>1290</v>
      </c>
      <c r="G6884" t="s">
        <v>1525</v>
      </c>
      <c r="H6884" t="s">
        <v>1282</v>
      </c>
      <c r="I6884">
        <v>1</v>
      </c>
      <c r="J6884" t="s">
        <v>1289</v>
      </c>
      <c r="K6884">
        <v>1280</v>
      </c>
      <c r="L6884">
        <v>720</v>
      </c>
      <c r="M6884" t="s">
        <v>111</v>
      </c>
      <c r="N6884">
        <v>768</v>
      </c>
      <c r="O6884">
        <v>432</v>
      </c>
      <c r="P6884" t="str">
        <f t="shared" si="857"/>
        <v>50fps 720p full frame rate - SD</v>
      </c>
      <c r="Q6884">
        <f t="shared" si="858"/>
        <v>38</v>
      </c>
      <c r="R6884" t="str">
        <f t="shared" si="859"/>
        <v/>
      </c>
      <c r="S6884" t="str">
        <f t="shared" si="860"/>
        <v/>
      </c>
      <c r="T6884" s="403" t="str">
        <f t="shared" si="861"/>
        <v>MIC-7522-Z30x</v>
      </c>
      <c r="U6884" s="403">
        <f t="shared" si="862"/>
        <v>1</v>
      </c>
      <c r="V6884" s="403" t="str">
        <f t="shared" si="863"/>
        <v>CPP_7_3</v>
      </c>
    </row>
    <row r="6885" spans="1:22">
      <c r="A6885" t="str">
        <f t="shared" si="856"/>
        <v>MIC-7522-Z30x</v>
      </c>
      <c r="B6885" t="s">
        <v>1523</v>
      </c>
      <c r="C6885" s="403" t="s">
        <v>582</v>
      </c>
      <c r="D6885" t="s">
        <v>1524</v>
      </c>
      <c r="E6885" t="s">
        <v>1523</v>
      </c>
      <c r="F6885" t="s">
        <v>1290</v>
      </c>
      <c r="G6885" t="s">
        <v>1525</v>
      </c>
      <c r="H6885" t="s">
        <v>1282</v>
      </c>
      <c r="I6885">
        <v>1</v>
      </c>
      <c r="J6885" t="s">
        <v>1289</v>
      </c>
      <c r="K6885">
        <v>1280</v>
      </c>
      <c r="L6885">
        <v>720</v>
      </c>
      <c r="M6885" t="s">
        <v>1283</v>
      </c>
      <c r="N6885">
        <v>720</v>
      </c>
      <c r="O6885">
        <v>576</v>
      </c>
      <c r="P6885" t="str">
        <f t="shared" si="857"/>
        <v>50fps 720p full frame rate - SD 4CIF resolution 4:3 format (cropped)</v>
      </c>
      <c r="Q6885">
        <f t="shared" si="858"/>
        <v>38</v>
      </c>
      <c r="R6885" t="str">
        <f t="shared" si="859"/>
        <v/>
      </c>
      <c r="S6885" t="str">
        <f t="shared" si="860"/>
        <v/>
      </c>
      <c r="T6885" s="403" t="str">
        <f t="shared" si="861"/>
        <v>MIC-7522-Z30x</v>
      </c>
      <c r="U6885" s="403">
        <f t="shared" si="862"/>
        <v>1</v>
      </c>
      <c r="V6885" s="403" t="str">
        <f t="shared" si="863"/>
        <v>CPP_7_3</v>
      </c>
    </row>
    <row r="6886" spans="1:22">
      <c r="A6886" t="str">
        <f t="shared" si="856"/>
        <v>MIC-7522-Z30x</v>
      </c>
      <c r="B6886" t="s">
        <v>1523</v>
      </c>
      <c r="C6886" s="403" t="s">
        <v>582</v>
      </c>
      <c r="D6886" t="s">
        <v>1524</v>
      </c>
      <c r="E6886" t="s">
        <v>1523</v>
      </c>
      <c r="F6886" t="s">
        <v>1290</v>
      </c>
      <c r="G6886" t="s">
        <v>1525</v>
      </c>
      <c r="H6886" t="s">
        <v>1282</v>
      </c>
      <c r="I6886">
        <v>1</v>
      </c>
      <c r="J6886" t="s">
        <v>1289</v>
      </c>
      <c r="K6886">
        <v>1280</v>
      </c>
      <c r="L6886">
        <v>720</v>
      </c>
      <c r="M6886" t="s">
        <v>1284</v>
      </c>
      <c r="N6886">
        <v>640</v>
      </c>
      <c r="O6886">
        <v>480</v>
      </c>
      <c r="P6886" t="str">
        <f t="shared" si="857"/>
        <v>50fps 720p full frame rate - SD VGA (cropped)</v>
      </c>
      <c r="Q6886">
        <f t="shared" si="858"/>
        <v>38</v>
      </c>
      <c r="R6886" t="str">
        <f t="shared" si="859"/>
        <v/>
      </c>
      <c r="S6886" t="str">
        <f t="shared" si="860"/>
        <v/>
      </c>
      <c r="T6886" s="403" t="str">
        <f t="shared" si="861"/>
        <v>MIC-7522-Z30x</v>
      </c>
      <c r="U6886" s="403">
        <f t="shared" si="862"/>
        <v>1</v>
      </c>
      <c r="V6886" s="403" t="str">
        <f t="shared" si="863"/>
        <v>CPP_7_3</v>
      </c>
    </row>
    <row r="6887" spans="1:22">
      <c r="A6887" t="str">
        <f t="shared" si="856"/>
        <v>MIC-7522-Z30x</v>
      </c>
      <c r="B6887" t="s">
        <v>1523</v>
      </c>
      <c r="C6887" s="403" t="s">
        <v>582</v>
      </c>
      <c r="D6887" t="s">
        <v>1524</v>
      </c>
      <c r="E6887" t="s">
        <v>1523</v>
      </c>
      <c r="F6887" t="s">
        <v>1288</v>
      </c>
      <c r="G6887" t="s">
        <v>1525</v>
      </c>
      <c r="H6887" t="s">
        <v>1276</v>
      </c>
      <c r="I6887">
        <v>1</v>
      </c>
      <c r="J6887" t="s">
        <v>110</v>
      </c>
      <c r="K6887">
        <v>1920</v>
      </c>
      <c r="L6887">
        <v>1080</v>
      </c>
      <c r="M6887" t="s">
        <v>111</v>
      </c>
      <c r="N6887">
        <v>768</v>
      </c>
      <c r="O6887">
        <v>432</v>
      </c>
      <c r="P6887" t="str">
        <f t="shared" si="857"/>
        <v>60fps 1080p - SD</v>
      </c>
      <c r="Q6887">
        <f t="shared" si="858"/>
        <v>38</v>
      </c>
      <c r="R6887" t="str">
        <f t="shared" si="859"/>
        <v/>
      </c>
      <c r="S6887" t="str">
        <f t="shared" si="860"/>
        <v/>
      </c>
      <c r="T6887" s="403" t="str">
        <f t="shared" si="861"/>
        <v>MIC-7522-Z30x</v>
      </c>
      <c r="U6887" s="403">
        <f t="shared" si="862"/>
        <v>1</v>
      </c>
      <c r="V6887" s="403" t="str">
        <f t="shared" si="863"/>
        <v>CPP_7_3</v>
      </c>
    </row>
    <row r="6888" spans="1:22">
      <c r="A6888" t="str">
        <f t="shared" si="856"/>
        <v>MIC-7522-Z30x</v>
      </c>
      <c r="B6888" t="s">
        <v>1523</v>
      </c>
      <c r="C6888" s="403" t="s">
        <v>582</v>
      </c>
      <c r="D6888" t="s">
        <v>1524</v>
      </c>
      <c r="E6888" t="s">
        <v>1523</v>
      </c>
      <c r="F6888" t="s">
        <v>1288</v>
      </c>
      <c r="G6888" t="s">
        <v>1525</v>
      </c>
      <c r="H6888" t="s">
        <v>1276</v>
      </c>
      <c r="I6888">
        <v>1</v>
      </c>
      <c r="J6888" t="s">
        <v>110</v>
      </c>
      <c r="K6888">
        <v>1920</v>
      </c>
      <c r="L6888">
        <v>1080</v>
      </c>
      <c r="M6888" t="s">
        <v>110</v>
      </c>
      <c r="N6888">
        <v>1920</v>
      </c>
      <c r="O6888">
        <v>1080</v>
      </c>
      <c r="P6888" t="str">
        <f t="shared" si="857"/>
        <v>60fps 1080p - 1080p</v>
      </c>
      <c r="Q6888">
        <f t="shared" si="858"/>
        <v>38</v>
      </c>
      <c r="R6888" t="str">
        <f t="shared" si="859"/>
        <v/>
      </c>
      <c r="S6888" t="str">
        <f t="shared" si="860"/>
        <v/>
      </c>
      <c r="T6888" s="403" t="str">
        <f t="shared" si="861"/>
        <v>MIC-7522-Z30x</v>
      </c>
      <c r="U6888" s="403">
        <f t="shared" si="862"/>
        <v>1</v>
      </c>
      <c r="V6888" s="403" t="str">
        <f t="shared" si="863"/>
        <v>CPP_7_3</v>
      </c>
    </row>
    <row r="6889" spans="1:22">
      <c r="A6889" t="str">
        <f t="shared" si="856"/>
        <v>MIC-7522-Z30x</v>
      </c>
      <c r="B6889" t="s">
        <v>1523</v>
      </c>
      <c r="C6889" s="403" t="s">
        <v>582</v>
      </c>
      <c r="D6889" t="s">
        <v>1524</v>
      </c>
      <c r="E6889" t="s">
        <v>1523</v>
      </c>
      <c r="F6889" t="s">
        <v>1288</v>
      </c>
      <c r="G6889" t="s">
        <v>1525</v>
      </c>
      <c r="H6889" t="s">
        <v>1276</v>
      </c>
      <c r="I6889">
        <v>1</v>
      </c>
      <c r="J6889" t="s">
        <v>110</v>
      </c>
      <c r="K6889">
        <v>1920</v>
      </c>
      <c r="L6889">
        <v>1080</v>
      </c>
      <c r="M6889" t="s">
        <v>1289</v>
      </c>
      <c r="N6889">
        <v>1280</v>
      </c>
      <c r="O6889">
        <v>720</v>
      </c>
      <c r="P6889" t="str">
        <f t="shared" si="857"/>
        <v>60fps 1080p - 720p full frame rate</v>
      </c>
      <c r="Q6889">
        <f t="shared" si="858"/>
        <v>38</v>
      </c>
      <c r="R6889" t="str">
        <f t="shared" si="859"/>
        <v/>
      </c>
      <c r="S6889" t="str">
        <f t="shared" si="860"/>
        <v/>
      </c>
      <c r="T6889" s="403" t="str">
        <f t="shared" si="861"/>
        <v>MIC-7522-Z30x</v>
      </c>
      <c r="U6889" s="403">
        <f t="shared" si="862"/>
        <v>1</v>
      </c>
      <c r="V6889" s="403" t="str">
        <f t="shared" si="863"/>
        <v>CPP_7_3</v>
      </c>
    </row>
    <row r="6890" spans="1:22">
      <c r="A6890" t="str">
        <f t="shared" ref="A6890:A6953" si="864">IF(AND(G6890&lt;&gt;"rotate 90°"),D6890,"")</f>
        <v>MIC-7522-Z30x</v>
      </c>
      <c r="B6890" t="s">
        <v>1523</v>
      </c>
      <c r="C6890" s="403" t="s">
        <v>582</v>
      </c>
      <c r="D6890" t="s">
        <v>1524</v>
      </c>
      <c r="E6890" t="s">
        <v>1523</v>
      </c>
      <c r="F6890" t="s">
        <v>1288</v>
      </c>
      <c r="G6890" t="s">
        <v>1525</v>
      </c>
      <c r="H6890" t="s">
        <v>1276</v>
      </c>
      <c r="I6890">
        <v>1</v>
      </c>
      <c r="J6890" t="s">
        <v>110</v>
      </c>
      <c r="K6890">
        <v>1920</v>
      </c>
      <c r="L6890">
        <v>1080</v>
      </c>
      <c r="M6890" t="s">
        <v>1285</v>
      </c>
      <c r="N6890">
        <v>1280</v>
      </c>
      <c r="O6890">
        <v>1024</v>
      </c>
      <c r="P6890" t="str">
        <f t="shared" ref="P6890:P6953" si="865">LEFT(F6890,5)&amp;" "&amp;J6890&amp;" - "&amp;M6890</f>
        <v>60fps 1080p - 1280x1024 5:4 (cropped)</v>
      </c>
      <c r="Q6890">
        <f t="shared" ref="Q6890:Q6953" si="866">IF(A6889=A6890,Q6889,Q6889+1)</f>
        <v>38</v>
      </c>
      <c r="R6890" t="str">
        <f t="shared" ref="R6890:R6953" si="867">IF(Q6889&lt;&gt;Q6890,Q6890,"")</f>
        <v/>
      </c>
      <c r="S6890" t="str">
        <f t="shared" ref="S6890:S6953" si="868">IF(R6890&lt;&gt;"",B6890&amp;" ("&amp;D6890&amp;")","")</f>
        <v/>
      </c>
      <c r="T6890" s="403" t="str">
        <f t="shared" ref="T6890:T6953" si="869">D6890</f>
        <v>MIC-7522-Z30x</v>
      </c>
      <c r="U6890" s="403">
        <f t="shared" ref="U6890:U6953" si="870">I6890</f>
        <v>1</v>
      </c>
      <c r="V6890" s="403" t="str">
        <f t="shared" ref="V6890:V6953" si="871">C6890</f>
        <v>CPP_7_3</v>
      </c>
    </row>
    <row r="6891" spans="1:22">
      <c r="A6891" t="str">
        <f t="shared" si="864"/>
        <v>MIC-7522-Z30x</v>
      </c>
      <c r="B6891" t="s">
        <v>1523</v>
      </c>
      <c r="C6891" s="403" t="s">
        <v>582</v>
      </c>
      <c r="D6891" t="s">
        <v>1524</v>
      </c>
      <c r="E6891" t="s">
        <v>1523</v>
      </c>
      <c r="F6891" t="s">
        <v>1288</v>
      </c>
      <c r="G6891" t="s">
        <v>1525</v>
      </c>
      <c r="H6891" t="s">
        <v>1276</v>
      </c>
      <c r="I6891">
        <v>1</v>
      </c>
      <c r="J6891" t="s">
        <v>110</v>
      </c>
      <c r="K6891">
        <v>1920</v>
      </c>
      <c r="L6891">
        <v>1080</v>
      </c>
      <c r="M6891" t="s">
        <v>1283</v>
      </c>
      <c r="N6891">
        <v>720</v>
      </c>
      <c r="O6891">
        <v>480</v>
      </c>
      <c r="P6891" t="str">
        <f t="shared" si="865"/>
        <v>60fps 1080p - SD 4CIF resolution 4:3 format (cropped)</v>
      </c>
      <c r="Q6891">
        <f t="shared" si="866"/>
        <v>38</v>
      </c>
      <c r="R6891" t="str">
        <f t="shared" si="867"/>
        <v/>
      </c>
      <c r="S6891" t="str">
        <f t="shared" si="868"/>
        <v/>
      </c>
      <c r="T6891" s="403" t="str">
        <f t="shared" si="869"/>
        <v>MIC-7522-Z30x</v>
      </c>
      <c r="U6891" s="403">
        <f t="shared" si="870"/>
        <v>1</v>
      </c>
      <c r="V6891" s="403" t="str">
        <f t="shared" si="871"/>
        <v>CPP_7_3</v>
      </c>
    </row>
    <row r="6892" spans="1:22">
      <c r="A6892" t="str">
        <f t="shared" si="864"/>
        <v>MIC-7522-Z30x</v>
      </c>
      <c r="B6892" t="s">
        <v>1523</v>
      </c>
      <c r="C6892" s="403" t="s">
        <v>582</v>
      </c>
      <c r="D6892" t="s">
        <v>1524</v>
      </c>
      <c r="E6892" t="s">
        <v>1523</v>
      </c>
      <c r="F6892" t="s">
        <v>1288</v>
      </c>
      <c r="G6892" t="s">
        <v>1525</v>
      </c>
      <c r="H6892" t="s">
        <v>1276</v>
      </c>
      <c r="I6892">
        <v>1</v>
      </c>
      <c r="J6892" t="s">
        <v>110</v>
      </c>
      <c r="K6892">
        <v>1920</v>
      </c>
      <c r="L6892">
        <v>1080</v>
      </c>
      <c r="M6892" t="s">
        <v>1284</v>
      </c>
      <c r="N6892">
        <v>640</v>
      </c>
      <c r="O6892">
        <v>480</v>
      </c>
      <c r="P6892" t="str">
        <f t="shared" si="865"/>
        <v>60fps 1080p - SD VGA (cropped)</v>
      </c>
      <c r="Q6892">
        <f t="shared" si="866"/>
        <v>38</v>
      </c>
      <c r="R6892" t="str">
        <f t="shared" si="867"/>
        <v/>
      </c>
      <c r="S6892" t="str">
        <f t="shared" si="868"/>
        <v/>
      </c>
      <c r="T6892" s="403" t="str">
        <f t="shared" si="869"/>
        <v>MIC-7522-Z30x</v>
      </c>
      <c r="U6892" s="403">
        <f t="shared" si="870"/>
        <v>1</v>
      </c>
      <c r="V6892" s="403" t="str">
        <f t="shared" si="871"/>
        <v>CPP_7_3</v>
      </c>
    </row>
    <row r="6893" spans="1:22">
      <c r="A6893" t="str">
        <f t="shared" si="864"/>
        <v>MIC-7522-Z30x</v>
      </c>
      <c r="B6893" t="s">
        <v>1523</v>
      </c>
      <c r="C6893" s="403" t="s">
        <v>582</v>
      </c>
      <c r="D6893" t="s">
        <v>1524</v>
      </c>
      <c r="E6893" t="s">
        <v>1523</v>
      </c>
      <c r="F6893" t="s">
        <v>1288</v>
      </c>
      <c r="G6893" t="s">
        <v>1525</v>
      </c>
      <c r="H6893" t="s">
        <v>1276</v>
      </c>
      <c r="I6893">
        <v>1</v>
      </c>
      <c r="J6893" t="s">
        <v>1289</v>
      </c>
      <c r="K6893">
        <v>1280</v>
      </c>
      <c r="L6893">
        <v>720</v>
      </c>
      <c r="M6893" t="s">
        <v>1289</v>
      </c>
      <c r="N6893">
        <v>1280</v>
      </c>
      <c r="O6893">
        <v>720</v>
      </c>
      <c r="P6893" t="str">
        <f t="shared" si="865"/>
        <v>60fps 720p full frame rate - 720p full frame rate</v>
      </c>
      <c r="Q6893">
        <f t="shared" si="866"/>
        <v>38</v>
      </c>
      <c r="R6893" t="str">
        <f t="shared" si="867"/>
        <v/>
      </c>
      <c r="S6893" t="str">
        <f t="shared" si="868"/>
        <v/>
      </c>
      <c r="T6893" s="403" t="str">
        <f t="shared" si="869"/>
        <v>MIC-7522-Z30x</v>
      </c>
      <c r="U6893" s="403">
        <f t="shared" si="870"/>
        <v>1</v>
      </c>
      <c r="V6893" s="403" t="str">
        <f t="shared" si="871"/>
        <v>CPP_7_3</v>
      </c>
    </row>
    <row r="6894" spans="1:22">
      <c r="A6894" t="str">
        <f t="shared" si="864"/>
        <v>MIC-7522-Z30x</v>
      </c>
      <c r="B6894" t="s">
        <v>1523</v>
      </c>
      <c r="C6894" s="403" t="s">
        <v>582</v>
      </c>
      <c r="D6894" t="s">
        <v>1524</v>
      </c>
      <c r="E6894" t="s">
        <v>1523</v>
      </c>
      <c r="F6894" t="s">
        <v>1288</v>
      </c>
      <c r="G6894" t="s">
        <v>1525</v>
      </c>
      <c r="H6894" t="s">
        <v>1276</v>
      </c>
      <c r="I6894">
        <v>1</v>
      </c>
      <c r="J6894" t="s">
        <v>1289</v>
      </c>
      <c r="K6894">
        <v>1280</v>
      </c>
      <c r="L6894">
        <v>720</v>
      </c>
      <c r="M6894" t="s">
        <v>111</v>
      </c>
      <c r="N6894">
        <v>768</v>
      </c>
      <c r="O6894">
        <v>432</v>
      </c>
      <c r="P6894" t="str">
        <f t="shared" si="865"/>
        <v>60fps 720p full frame rate - SD</v>
      </c>
      <c r="Q6894">
        <f t="shared" si="866"/>
        <v>38</v>
      </c>
      <c r="R6894" t="str">
        <f t="shared" si="867"/>
        <v/>
      </c>
      <c r="S6894" t="str">
        <f t="shared" si="868"/>
        <v/>
      </c>
      <c r="T6894" s="403" t="str">
        <f t="shared" si="869"/>
        <v>MIC-7522-Z30x</v>
      </c>
      <c r="U6894" s="403">
        <f t="shared" si="870"/>
        <v>1</v>
      </c>
      <c r="V6894" s="403" t="str">
        <f t="shared" si="871"/>
        <v>CPP_7_3</v>
      </c>
    </row>
    <row r="6895" spans="1:22">
      <c r="A6895" t="str">
        <f t="shared" si="864"/>
        <v>MIC-7522-Z30x</v>
      </c>
      <c r="B6895" t="s">
        <v>1523</v>
      </c>
      <c r="C6895" s="403" t="s">
        <v>582</v>
      </c>
      <c r="D6895" t="s">
        <v>1524</v>
      </c>
      <c r="E6895" t="s">
        <v>1523</v>
      </c>
      <c r="F6895" t="s">
        <v>1288</v>
      </c>
      <c r="G6895" t="s">
        <v>1525</v>
      </c>
      <c r="H6895" t="s">
        <v>1276</v>
      </c>
      <c r="I6895">
        <v>1</v>
      </c>
      <c r="J6895" t="s">
        <v>1289</v>
      </c>
      <c r="K6895">
        <v>1280</v>
      </c>
      <c r="L6895">
        <v>720</v>
      </c>
      <c r="M6895" t="s">
        <v>1283</v>
      </c>
      <c r="N6895">
        <v>720</v>
      </c>
      <c r="O6895">
        <v>480</v>
      </c>
      <c r="P6895" t="str">
        <f t="shared" si="865"/>
        <v>60fps 720p full frame rate - SD 4CIF resolution 4:3 format (cropped)</v>
      </c>
      <c r="Q6895">
        <f t="shared" si="866"/>
        <v>38</v>
      </c>
      <c r="R6895" t="str">
        <f t="shared" si="867"/>
        <v/>
      </c>
      <c r="S6895" t="str">
        <f t="shared" si="868"/>
        <v/>
      </c>
      <c r="T6895" s="403" t="str">
        <f t="shared" si="869"/>
        <v>MIC-7522-Z30x</v>
      </c>
      <c r="U6895" s="403">
        <f t="shared" si="870"/>
        <v>1</v>
      </c>
      <c r="V6895" s="403" t="str">
        <f t="shared" si="871"/>
        <v>CPP_7_3</v>
      </c>
    </row>
    <row r="6896" spans="1:22">
      <c r="A6896" t="str">
        <f t="shared" si="864"/>
        <v>MIC-7522-Z30x</v>
      </c>
      <c r="B6896" t="s">
        <v>1523</v>
      </c>
      <c r="C6896" s="403" t="s">
        <v>582</v>
      </c>
      <c r="D6896" t="s">
        <v>1524</v>
      </c>
      <c r="E6896" t="s">
        <v>1523</v>
      </c>
      <c r="F6896" t="s">
        <v>1288</v>
      </c>
      <c r="G6896" t="s">
        <v>1525</v>
      </c>
      <c r="H6896" t="s">
        <v>1276</v>
      </c>
      <c r="I6896">
        <v>1</v>
      </c>
      <c r="J6896" t="s">
        <v>1289</v>
      </c>
      <c r="K6896">
        <v>1280</v>
      </c>
      <c r="L6896">
        <v>720</v>
      </c>
      <c r="M6896" t="s">
        <v>1284</v>
      </c>
      <c r="N6896">
        <v>640</v>
      </c>
      <c r="O6896">
        <v>480</v>
      </c>
      <c r="P6896" t="str">
        <f t="shared" si="865"/>
        <v>60fps 720p full frame rate - SD VGA (cropped)</v>
      </c>
      <c r="Q6896">
        <f t="shared" si="866"/>
        <v>38</v>
      </c>
      <c r="R6896" t="str">
        <f t="shared" si="867"/>
        <v/>
      </c>
      <c r="S6896" t="str">
        <f t="shared" si="868"/>
        <v/>
      </c>
      <c r="T6896" s="403" t="str">
        <f t="shared" si="869"/>
        <v>MIC-7522-Z30x</v>
      </c>
      <c r="U6896" s="403">
        <f t="shared" si="870"/>
        <v>1</v>
      </c>
      <c r="V6896" s="403" t="str">
        <f t="shared" si="871"/>
        <v>CPP_7_3</v>
      </c>
    </row>
    <row r="6897" spans="1:22">
      <c r="A6897" t="str">
        <f t="shared" si="864"/>
        <v>MIC-7522-Z30x</v>
      </c>
      <c r="B6897" t="s">
        <v>1523</v>
      </c>
      <c r="C6897" s="403" t="s">
        <v>582</v>
      </c>
      <c r="D6897" t="s">
        <v>1524</v>
      </c>
      <c r="E6897" t="s">
        <v>1523</v>
      </c>
      <c r="F6897" t="s">
        <v>1288</v>
      </c>
      <c r="G6897" t="s">
        <v>1525</v>
      </c>
      <c r="H6897" t="s">
        <v>1281</v>
      </c>
      <c r="I6897">
        <v>1</v>
      </c>
      <c r="J6897" t="s">
        <v>110</v>
      </c>
      <c r="K6897">
        <v>1920</v>
      </c>
      <c r="L6897">
        <v>1080</v>
      </c>
      <c r="M6897" t="s">
        <v>111</v>
      </c>
      <c r="N6897">
        <v>768</v>
      </c>
      <c r="O6897">
        <v>432</v>
      </c>
      <c r="P6897" t="str">
        <f t="shared" si="865"/>
        <v>60fps 1080p - SD</v>
      </c>
      <c r="Q6897">
        <f t="shared" si="866"/>
        <v>38</v>
      </c>
      <c r="R6897" t="str">
        <f t="shared" si="867"/>
        <v/>
      </c>
      <c r="S6897" t="str">
        <f t="shared" si="868"/>
        <v/>
      </c>
      <c r="T6897" s="403" t="str">
        <f t="shared" si="869"/>
        <v>MIC-7522-Z30x</v>
      </c>
      <c r="U6897" s="403">
        <f t="shared" si="870"/>
        <v>1</v>
      </c>
      <c r="V6897" s="403" t="str">
        <f t="shared" si="871"/>
        <v>CPP_7_3</v>
      </c>
    </row>
    <row r="6898" spans="1:22">
      <c r="A6898" t="str">
        <f t="shared" si="864"/>
        <v>MIC-7522-Z30x</v>
      </c>
      <c r="B6898" t="s">
        <v>1523</v>
      </c>
      <c r="C6898" s="403" t="s">
        <v>582</v>
      </c>
      <c r="D6898" t="s">
        <v>1524</v>
      </c>
      <c r="E6898" t="s">
        <v>1523</v>
      </c>
      <c r="F6898" t="s">
        <v>1288</v>
      </c>
      <c r="G6898" t="s">
        <v>1525</v>
      </c>
      <c r="H6898" t="s">
        <v>1281</v>
      </c>
      <c r="I6898">
        <v>1</v>
      </c>
      <c r="J6898" t="s">
        <v>110</v>
      </c>
      <c r="K6898">
        <v>1920</v>
      </c>
      <c r="L6898">
        <v>1080</v>
      </c>
      <c r="M6898" t="s">
        <v>1283</v>
      </c>
      <c r="N6898">
        <v>720</v>
      </c>
      <c r="O6898">
        <v>480</v>
      </c>
      <c r="P6898" t="str">
        <f t="shared" si="865"/>
        <v>60fps 1080p - SD 4CIF resolution 4:3 format (cropped)</v>
      </c>
      <c r="Q6898">
        <f t="shared" si="866"/>
        <v>38</v>
      </c>
      <c r="R6898" t="str">
        <f t="shared" si="867"/>
        <v/>
      </c>
      <c r="S6898" t="str">
        <f t="shared" si="868"/>
        <v/>
      </c>
      <c r="T6898" s="403" t="str">
        <f t="shared" si="869"/>
        <v>MIC-7522-Z30x</v>
      </c>
      <c r="U6898" s="403">
        <f t="shared" si="870"/>
        <v>1</v>
      </c>
      <c r="V6898" s="403" t="str">
        <f t="shared" si="871"/>
        <v>CPP_7_3</v>
      </c>
    </row>
    <row r="6899" spans="1:22">
      <c r="A6899" t="str">
        <f t="shared" si="864"/>
        <v>MIC-7522-Z30x</v>
      </c>
      <c r="B6899" t="s">
        <v>1523</v>
      </c>
      <c r="C6899" s="403" t="s">
        <v>582</v>
      </c>
      <c r="D6899" t="s">
        <v>1524</v>
      </c>
      <c r="E6899" t="s">
        <v>1523</v>
      </c>
      <c r="F6899" t="s">
        <v>1288</v>
      </c>
      <c r="G6899" t="s">
        <v>1525</v>
      </c>
      <c r="H6899" t="s">
        <v>1281</v>
      </c>
      <c r="I6899">
        <v>1</v>
      </c>
      <c r="J6899" t="s">
        <v>110</v>
      </c>
      <c r="K6899">
        <v>1920</v>
      </c>
      <c r="L6899">
        <v>1080</v>
      </c>
      <c r="M6899" t="s">
        <v>1284</v>
      </c>
      <c r="N6899">
        <v>640</v>
      </c>
      <c r="O6899">
        <v>480</v>
      </c>
      <c r="P6899" t="str">
        <f t="shared" si="865"/>
        <v>60fps 1080p - SD VGA (cropped)</v>
      </c>
      <c r="Q6899">
        <f t="shared" si="866"/>
        <v>38</v>
      </c>
      <c r="R6899" t="str">
        <f t="shared" si="867"/>
        <v/>
      </c>
      <c r="S6899" t="str">
        <f t="shared" si="868"/>
        <v/>
      </c>
      <c r="T6899" s="403" t="str">
        <f t="shared" si="869"/>
        <v>MIC-7522-Z30x</v>
      </c>
      <c r="U6899" s="403">
        <f t="shared" si="870"/>
        <v>1</v>
      </c>
      <c r="V6899" s="403" t="str">
        <f t="shared" si="871"/>
        <v>CPP_7_3</v>
      </c>
    </row>
    <row r="6900" spans="1:22">
      <c r="A6900" t="str">
        <f t="shared" si="864"/>
        <v>MIC-7522-Z30x</v>
      </c>
      <c r="B6900" t="s">
        <v>1523</v>
      </c>
      <c r="C6900" s="403" t="s">
        <v>582</v>
      </c>
      <c r="D6900" t="s">
        <v>1524</v>
      </c>
      <c r="E6900" t="s">
        <v>1523</v>
      </c>
      <c r="F6900" t="s">
        <v>1288</v>
      </c>
      <c r="G6900" t="s">
        <v>1525</v>
      </c>
      <c r="H6900" t="s">
        <v>1281</v>
      </c>
      <c r="I6900">
        <v>1</v>
      </c>
      <c r="J6900" t="s">
        <v>1289</v>
      </c>
      <c r="K6900">
        <v>1280</v>
      </c>
      <c r="L6900">
        <v>720</v>
      </c>
      <c r="M6900" t="s">
        <v>1289</v>
      </c>
      <c r="N6900">
        <v>1280</v>
      </c>
      <c r="O6900">
        <v>720</v>
      </c>
      <c r="P6900" t="str">
        <f t="shared" si="865"/>
        <v>60fps 720p full frame rate - 720p full frame rate</v>
      </c>
      <c r="Q6900">
        <f t="shared" si="866"/>
        <v>38</v>
      </c>
      <c r="R6900" t="str">
        <f t="shared" si="867"/>
        <v/>
      </c>
      <c r="S6900" t="str">
        <f t="shared" si="868"/>
        <v/>
      </c>
      <c r="T6900" s="403" t="str">
        <f t="shared" si="869"/>
        <v>MIC-7522-Z30x</v>
      </c>
      <c r="U6900" s="403">
        <f t="shared" si="870"/>
        <v>1</v>
      </c>
      <c r="V6900" s="403" t="str">
        <f t="shared" si="871"/>
        <v>CPP_7_3</v>
      </c>
    </row>
    <row r="6901" spans="1:22">
      <c r="A6901" t="str">
        <f t="shared" si="864"/>
        <v>MIC-7522-Z30x</v>
      </c>
      <c r="B6901" t="s">
        <v>1523</v>
      </c>
      <c r="C6901" s="403" t="s">
        <v>582</v>
      </c>
      <c r="D6901" t="s">
        <v>1524</v>
      </c>
      <c r="E6901" t="s">
        <v>1523</v>
      </c>
      <c r="F6901" t="s">
        <v>1288</v>
      </c>
      <c r="G6901" t="s">
        <v>1525</v>
      </c>
      <c r="H6901" t="s">
        <v>1281</v>
      </c>
      <c r="I6901">
        <v>1</v>
      </c>
      <c r="J6901" t="s">
        <v>1289</v>
      </c>
      <c r="K6901">
        <v>1280</v>
      </c>
      <c r="L6901">
        <v>720</v>
      </c>
      <c r="M6901" t="s">
        <v>111</v>
      </c>
      <c r="N6901">
        <v>768</v>
      </c>
      <c r="O6901">
        <v>432</v>
      </c>
      <c r="P6901" t="str">
        <f t="shared" si="865"/>
        <v>60fps 720p full frame rate - SD</v>
      </c>
      <c r="Q6901">
        <f t="shared" si="866"/>
        <v>38</v>
      </c>
      <c r="R6901" t="str">
        <f t="shared" si="867"/>
        <v/>
      </c>
      <c r="S6901" t="str">
        <f t="shared" si="868"/>
        <v/>
      </c>
      <c r="T6901" s="403" t="str">
        <f t="shared" si="869"/>
        <v>MIC-7522-Z30x</v>
      </c>
      <c r="U6901" s="403">
        <f t="shared" si="870"/>
        <v>1</v>
      </c>
      <c r="V6901" s="403" t="str">
        <f t="shared" si="871"/>
        <v>CPP_7_3</v>
      </c>
    </row>
    <row r="6902" spans="1:22">
      <c r="A6902" t="str">
        <f t="shared" si="864"/>
        <v>MIC-7522-Z30x</v>
      </c>
      <c r="B6902" t="s">
        <v>1523</v>
      </c>
      <c r="C6902" s="403" t="s">
        <v>582</v>
      </c>
      <c r="D6902" t="s">
        <v>1524</v>
      </c>
      <c r="E6902" t="s">
        <v>1523</v>
      </c>
      <c r="F6902" t="s">
        <v>1288</v>
      </c>
      <c r="G6902" t="s">
        <v>1525</v>
      </c>
      <c r="H6902" t="s">
        <v>1281</v>
      </c>
      <c r="I6902">
        <v>1</v>
      </c>
      <c r="J6902" t="s">
        <v>1289</v>
      </c>
      <c r="K6902">
        <v>1280</v>
      </c>
      <c r="L6902">
        <v>720</v>
      </c>
      <c r="M6902" t="s">
        <v>1283</v>
      </c>
      <c r="N6902">
        <v>720</v>
      </c>
      <c r="O6902">
        <v>480</v>
      </c>
      <c r="P6902" t="str">
        <f t="shared" si="865"/>
        <v>60fps 720p full frame rate - SD 4CIF resolution 4:3 format (cropped)</v>
      </c>
      <c r="Q6902">
        <f t="shared" si="866"/>
        <v>38</v>
      </c>
      <c r="R6902" t="str">
        <f t="shared" si="867"/>
        <v/>
      </c>
      <c r="S6902" t="str">
        <f t="shared" si="868"/>
        <v/>
      </c>
      <c r="T6902" s="403" t="str">
        <f t="shared" si="869"/>
        <v>MIC-7522-Z30x</v>
      </c>
      <c r="U6902" s="403">
        <f t="shared" si="870"/>
        <v>1</v>
      </c>
      <c r="V6902" s="403" t="str">
        <f t="shared" si="871"/>
        <v>CPP_7_3</v>
      </c>
    </row>
    <row r="6903" spans="1:22">
      <c r="A6903" t="str">
        <f t="shared" si="864"/>
        <v>MIC-7522-Z30x</v>
      </c>
      <c r="B6903" t="s">
        <v>1523</v>
      </c>
      <c r="C6903" s="403" t="s">
        <v>582</v>
      </c>
      <c r="D6903" t="s">
        <v>1524</v>
      </c>
      <c r="E6903" t="s">
        <v>1523</v>
      </c>
      <c r="F6903" t="s">
        <v>1288</v>
      </c>
      <c r="G6903" t="s">
        <v>1525</v>
      </c>
      <c r="H6903" t="s">
        <v>1281</v>
      </c>
      <c r="I6903">
        <v>1</v>
      </c>
      <c r="J6903" t="s">
        <v>1289</v>
      </c>
      <c r="K6903">
        <v>1280</v>
      </c>
      <c r="L6903">
        <v>720</v>
      </c>
      <c r="M6903" t="s">
        <v>1284</v>
      </c>
      <c r="N6903">
        <v>640</v>
      </c>
      <c r="O6903">
        <v>480</v>
      </c>
      <c r="P6903" t="str">
        <f t="shared" si="865"/>
        <v>60fps 720p full frame rate - SD VGA (cropped)</v>
      </c>
      <c r="Q6903">
        <f t="shared" si="866"/>
        <v>38</v>
      </c>
      <c r="R6903" t="str">
        <f t="shared" si="867"/>
        <v/>
      </c>
      <c r="S6903" t="str">
        <f t="shared" si="868"/>
        <v/>
      </c>
      <c r="T6903" s="403" t="str">
        <f t="shared" si="869"/>
        <v>MIC-7522-Z30x</v>
      </c>
      <c r="U6903" s="403">
        <f t="shared" si="870"/>
        <v>1</v>
      </c>
      <c r="V6903" s="403" t="str">
        <f t="shared" si="871"/>
        <v>CPP_7_3</v>
      </c>
    </row>
    <row r="6904" spans="1:22">
      <c r="A6904" t="str">
        <f t="shared" si="864"/>
        <v>MIC-7522-Z30x</v>
      </c>
      <c r="B6904" t="s">
        <v>1523</v>
      </c>
      <c r="C6904" s="403" t="s">
        <v>582</v>
      </c>
      <c r="D6904" t="s">
        <v>1524</v>
      </c>
      <c r="E6904" t="s">
        <v>1523</v>
      </c>
      <c r="F6904" t="s">
        <v>1288</v>
      </c>
      <c r="G6904" t="s">
        <v>1525</v>
      </c>
      <c r="H6904" t="s">
        <v>1282</v>
      </c>
      <c r="I6904">
        <v>1</v>
      </c>
      <c r="J6904" t="s">
        <v>110</v>
      </c>
      <c r="K6904">
        <v>1920</v>
      </c>
      <c r="L6904">
        <v>1080</v>
      </c>
      <c r="M6904" t="s">
        <v>111</v>
      </c>
      <c r="N6904">
        <v>768</v>
      </c>
      <c r="O6904">
        <v>432</v>
      </c>
      <c r="P6904" t="str">
        <f t="shared" si="865"/>
        <v>60fps 1080p - SD</v>
      </c>
      <c r="Q6904">
        <f t="shared" si="866"/>
        <v>38</v>
      </c>
      <c r="R6904" t="str">
        <f t="shared" si="867"/>
        <v/>
      </c>
      <c r="S6904" t="str">
        <f t="shared" si="868"/>
        <v/>
      </c>
      <c r="T6904" s="403" t="str">
        <f t="shared" si="869"/>
        <v>MIC-7522-Z30x</v>
      </c>
      <c r="U6904" s="403">
        <f t="shared" si="870"/>
        <v>1</v>
      </c>
      <c r="V6904" s="403" t="str">
        <f t="shared" si="871"/>
        <v>CPP_7_3</v>
      </c>
    </row>
    <row r="6905" spans="1:22">
      <c r="A6905" t="str">
        <f t="shared" si="864"/>
        <v>MIC-7522-Z30x</v>
      </c>
      <c r="B6905" t="s">
        <v>1523</v>
      </c>
      <c r="C6905" s="403" t="s">
        <v>582</v>
      </c>
      <c r="D6905" t="s">
        <v>1524</v>
      </c>
      <c r="E6905" t="s">
        <v>1523</v>
      </c>
      <c r="F6905" t="s">
        <v>1288</v>
      </c>
      <c r="G6905" t="s">
        <v>1525</v>
      </c>
      <c r="H6905" t="s">
        <v>1282</v>
      </c>
      <c r="I6905">
        <v>1</v>
      </c>
      <c r="J6905" t="s">
        <v>110</v>
      </c>
      <c r="K6905">
        <v>1920</v>
      </c>
      <c r="L6905">
        <v>1080</v>
      </c>
      <c r="M6905" t="s">
        <v>1289</v>
      </c>
      <c r="N6905">
        <v>1280</v>
      </c>
      <c r="O6905">
        <v>720</v>
      </c>
      <c r="P6905" t="str">
        <f t="shared" si="865"/>
        <v>60fps 1080p - 720p full frame rate</v>
      </c>
      <c r="Q6905">
        <f t="shared" si="866"/>
        <v>38</v>
      </c>
      <c r="R6905" t="str">
        <f t="shared" si="867"/>
        <v/>
      </c>
      <c r="S6905" t="str">
        <f t="shared" si="868"/>
        <v/>
      </c>
      <c r="T6905" s="403" t="str">
        <f t="shared" si="869"/>
        <v>MIC-7522-Z30x</v>
      </c>
      <c r="U6905" s="403">
        <f t="shared" si="870"/>
        <v>1</v>
      </c>
      <c r="V6905" s="403" t="str">
        <f t="shared" si="871"/>
        <v>CPP_7_3</v>
      </c>
    </row>
    <row r="6906" spans="1:22">
      <c r="A6906" t="str">
        <f t="shared" si="864"/>
        <v>MIC-7522-Z30x</v>
      </c>
      <c r="B6906" t="s">
        <v>1523</v>
      </c>
      <c r="C6906" s="403" t="s">
        <v>582</v>
      </c>
      <c r="D6906" t="s">
        <v>1524</v>
      </c>
      <c r="E6906" t="s">
        <v>1523</v>
      </c>
      <c r="F6906" t="s">
        <v>1288</v>
      </c>
      <c r="G6906" t="s">
        <v>1525</v>
      </c>
      <c r="H6906" t="s">
        <v>1282</v>
      </c>
      <c r="I6906">
        <v>1</v>
      </c>
      <c r="J6906" t="s">
        <v>110</v>
      </c>
      <c r="K6906">
        <v>1920</v>
      </c>
      <c r="L6906">
        <v>1080</v>
      </c>
      <c r="M6906" t="s">
        <v>1285</v>
      </c>
      <c r="N6906">
        <v>1280</v>
      </c>
      <c r="O6906">
        <v>1024</v>
      </c>
      <c r="P6906" t="str">
        <f t="shared" si="865"/>
        <v>60fps 1080p - 1280x1024 5:4 (cropped)</v>
      </c>
      <c r="Q6906">
        <f t="shared" si="866"/>
        <v>38</v>
      </c>
      <c r="R6906" t="str">
        <f t="shared" si="867"/>
        <v/>
      </c>
      <c r="S6906" t="str">
        <f t="shared" si="868"/>
        <v/>
      </c>
      <c r="T6906" s="403" t="str">
        <f t="shared" si="869"/>
        <v>MIC-7522-Z30x</v>
      </c>
      <c r="U6906" s="403">
        <f t="shared" si="870"/>
        <v>1</v>
      </c>
      <c r="V6906" s="403" t="str">
        <f t="shared" si="871"/>
        <v>CPP_7_3</v>
      </c>
    </row>
    <row r="6907" spans="1:22">
      <c r="A6907" t="str">
        <f t="shared" si="864"/>
        <v>MIC-7522-Z30x</v>
      </c>
      <c r="B6907" t="s">
        <v>1523</v>
      </c>
      <c r="C6907" s="403" t="s">
        <v>582</v>
      </c>
      <c r="D6907" t="s">
        <v>1524</v>
      </c>
      <c r="E6907" t="s">
        <v>1523</v>
      </c>
      <c r="F6907" t="s">
        <v>1288</v>
      </c>
      <c r="G6907" t="s">
        <v>1525</v>
      </c>
      <c r="H6907" t="s">
        <v>1282</v>
      </c>
      <c r="I6907">
        <v>1</v>
      </c>
      <c r="J6907" t="s">
        <v>110</v>
      </c>
      <c r="K6907">
        <v>1920</v>
      </c>
      <c r="L6907">
        <v>1080</v>
      </c>
      <c r="M6907" t="s">
        <v>1283</v>
      </c>
      <c r="N6907">
        <v>720</v>
      </c>
      <c r="O6907">
        <v>480</v>
      </c>
      <c r="P6907" t="str">
        <f t="shared" si="865"/>
        <v>60fps 1080p - SD 4CIF resolution 4:3 format (cropped)</v>
      </c>
      <c r="Q6907">
        <f t="shared" si="866"/>
        <v>38</v>
      </c>
      <c r="R6907" t="str">
        <f t="shared" si="867"/>
        <v/>
      </c>
      <c r="S6907" t="str">
        <f t="shared" si="868"/>
        <v/>
      </c>
      <c r="T6907" s="403" t="str">
        <f t="shared" si="869"/>
        <v>MIC-7522-Z30x</v>
      </c>
      <c r="U6907" s="403">
        <f t="shared" si="870"/>
        <v>1</v>
      </c>
      <c r="V6907" s="403" t="str">
        <f t="shared" si="871"/>
        <v>CPP_7_3</v>
      </c>
    </row>
    <row r="6908" spans="1:22">
      <c r="A6908" t="str">
        <f t="shared" si="864"/>
        <v>MIC-7522-Z30x</v>
      </c>
      <c r="B6908" t="s">
        <v>1523</v>
      </c>
      <c r="C6908" s="403" t="s">
        <v>582</v>
      </c>
      <c r="D6908" t="s">
        <v>1524</v>
      </c>
      <c r="E6908" t="s">
        <v>1523</v>
      </c>
      <c r="F6908" t="s">
        <v>1288</v>
      </c>
      <c r="G6908" t="s">
        <v>1525</v>
      </c>
      <c r="H6908" t="s">
        <v>1282</v>
      </c>
      <c r="I6908">
        <v>1</v>
      </c>
      <c r="J6908" t="s">
        <v>110</v>
      </c>
      <c r="K6908">
        <v>1920</v>
      </c>
      <c r="L6908">
        <v>1080</v>
      </c>
      <c r="M6908" t="s">
        <v>1284</v>
      </c>
      <c r="N6908">
        <v>640</v>
      </c>
      <c r="O6908">
        <v>480</v>
      </c>
      <c r="P6908" t="str">
        <f t="shared" si="865"/>
        <v>60fps 1080p - SD VGA (cropped)</v>
      </c>
      <c r="Q6908">
        <f t="shared" si="866"/>
        <v>38</v>
      </c>
      <c r="R6908" t="str">
        <f t="shared" si="867"/>
        <v/>
      </c>
      <c r="S6908" t="str">
        <f t="shared" si="868"/>
        <v/>
      </c>
      <c r="T6908" s="403" t="str">
        <f t="shared" si="869"/>
        <v>MIC-7522-Z30x</v>
      </c>
      <c r="U6908" s="403">
        <f t="shared" si="870"/>
        <v>1</v>
      </c>
      <c r="V6908" s="403" t="str">
        <f t="shared" si="871"/>
        <v>CPP_7_3</v>
      </c>
    </row>
    <row r="6909" spans="1:22">
      <c r="A6909" t="str">
        <f t="shared" si="864"/>
        <v>MIC-7522-Z30x</v>
      </c>
      <c r="B6909" t="s">
        <v>1523</v>
      </c>
      <c r="C6909" s="403" t="s">
        <v>582</v>
      </c>
      <c r="D6909" t="s">
        <v>1524</v>
      </c>
      <c r="E6909" t="s">
        <v>1523</v>
      </c>
      <c r="F6909" t="s">
        <v>1288</v>
      </c>
      <c r="G6909" t="s">
        <v>1525</v>
      </c>
      <c r="H6909" t="s">
        <v>1282</v>
      </c>
      <c r="I6909">
        <v>1</v>
      </c>
      <c r="J6909" t="s">
        <v>1289</v>
      </c>
      <c r="K6909">
        <v>1280</v>
      </c>
      <c r="L6909">
        <v>720</v>
      </c>
      <c r="M6909" t="s">
        <v>1289</v>
      </c>
      <c r="N6909">
        <v>1280</v>
      </c>
      <c r="O6909">
        <v>720</v>
      </c>
      <c r="P6909" t="str">
        <f t="shared" si="865"/>
        <v>60fps 720p full frame rate - 720p full frame rate</v>
      </c>
      <c r="Q6909">
        <f t="shared" si="866"/>
        <v>38</v>
      </c>
      <c r="R6909" t="str">
        <f t="shared" si="867"/>
        <v/>
      </c>
      <c r="S6909" t="str">
        <f t="shared" si="868"/>
        <v/>
      </c>
      <c r="T6909" s="403" t="str">
        <f t="shared" si="869"/>
        <v>MIC-7522-Z30x</v>
      </c>
      <c r="U6909" s="403">
        <f t="shared" si="870"/>
        <v>1</v>
      </c>
      <c r="V6909" s="403" t="str">
        <f t="shared" si="871"/>
        <v>CPP_7_3</v>
      </c>
    </row>
    <row r="6910" spans="1:22">
      <c r="A6910" t="str">
        <f t="shared" si="864"/>
        <v>MIC-7522-Z30x</v>
      </c>
      <c r="B6910" t="s">
        <v>1523</v>
      </c>
      <c r="C6910" s="403" t="s">
        <v>582</v>
      </c>
      <c r="D6910" t="s">
        <v>1524</v>
      </c>
      <c r="E6910" t="s">
        <v>1523</v>
      </c>
      <c r="F6910" t="s">
        <v>1288</v>
      </c>
      <c r="G6910" t="s">
        <v>1525</v>
      </c>
      <c r="H6910" t="s">
        <v>1282</v>
      </c>
      <c r="I6910">
        <v>1</v>
      </c>
      <c r="J6910" t="s">
        <v>1289</v>
      </c>
      <c r="K6910">
        <v>1280</v>
      </c>
      <c r="L6910">
        <v>720</v>
      </c>
      <c r="M6910" t="s">
        <v>111</v>
      </c>
      <c r="N6910">
        <v>768</v>
      </c>
      <c r="O6910">
        <v>432</v>
      </c>
      <c r="P6910" t="str">
        <f t="shared" si="865"/>
        <v>60fps 720p full frame rate - SD</v>
      </c>
      <c r="Q6910">
        <f t="shared" si="866"/>
        <v>38</v>
      </c>
      <c r="R6910" t="str">
        <f t="shared" si="867"/>
        <v/>
      </c>
      <c r="S6910" t="str">
        <f t="shared" si="868"/>
        <v/>
      </c>
      <c r="T6910" s="403" t="str">
        <f t="shared" si="869"/>
        <v>MIC-7522-Z30x</v>
      </c>
      <c r="U6910" s="403">
        <f t="shared" si="870"/>
        <v>1</v>
      </c>
      <c r="V6910" s="403" t="str">
        <f t="shared" si="871"/>
        <v>CPP_7_3</v>
      </c>
    </row>
    <row r="6911" spans="1:22">
      <c r="A6911" t="str">
        <f t="shared" si="864"/>
        <v>MIC-7522-Z30x</v>
      </c>
      <c r="B6911" t="s">
        <v>1523</v>
      </c>
      <c r="C6911" s="403" t="s">
        <v>582</v>
      </c>
      <c r="D6911" t="s">
        <v>1524</v>
      </c>
      <c r="E6911" t="s">
        <v>1523</v>
      </c>
      <c r="F6911" t="s">
        <v>1288</v>
      </c>
      <c r="G6911" t="s">
        <v>1525</v>
      </c>
      <c r="H6911" t="s">
        <v>1282</v>
      </c>
      <c r="I6911">
        <v>1</v>
      </c>
      <c r="J6911" t="s">
        <v>1289</v>
      </c>
      <c r="K6911">
        <v>1280</v>
      </c>
      <c r="L6911">
        <v>720</v>
      </c>
      <c r="M6911" t="s">
        <v>1283</v>
      </c>
      <c r="N6911">
        <v>720</v>
      </c>
      <c r="O6911">
        <v>480</v>
      </c>
      <c r="P6911" t="str">
        <f t="shared" si="865"/>
        <v>60fps 720p full frame rate - SD 4CIF resolution 4:3 format (cropped)</v>
      </c>
      <c r="Q6911">
        <f t="shared" si="866"/>
        <v>38</v>
      </c>
      <c r="R6911" t="str">
        <f t="shared" si="867"/>
        <v/>
      </c>
      <c r="S6911" t="str">
        <f t="shared" si="868"/>
        <v/>
      </c>
      <c r="T6911" s="403" t="str">
        <f t="shared" si="869"/>
        <v>MIC-7522-Z30x</v>
      </c>
      <c r="U6911" s="403">
        <f t="shared" si="870"/>
        <v>1</v>
      </c>
      <c r="V6911" s="403" t="str">
        <f t="shared" si="871"/>
        <v>CPP_7_3</v>
      </c>
    </row>
    <row r="6912" spans="1:22">
      <c r="A6912" t="str">
        <f t="shared" si="864"/>
        <v>MIC-7522-Z30x</v>
      </c>
      <c r="B6912" t="s">
        <v>1523</v>
      </c>
      <c r="C6912" s="403" t="s">
        <v>582</v>
      </c>
      <c r="D6912" t="s">
        <v>1524</v>
      </c>
      <c r="E6912" t="s">
        <v>1523</v>
      </c>
      <c r="F6912" t="s">
        <v>1288</v>
      </c>
      <c r="G6912" t="s">
        <v>1525</v>
      </c>
      <c r="H6912" t="s">
        <v>1282</v>
      </c>
      <c r="I6912">
        <v>1</v>
      </c>
      <c r="J6912" t="s">
        <v>1289</v>
      </c>
      <c r="K6912">
        <v>1280</v>
      </c>
      <c r="L6912">
        <v>720</v>
      </c>
      <c r="M6912" t="s">
        <v>1284</v>
      </c>
      <c r="N6912">
        <v>640</v>
      </c>
      <c r="O6912">
        <v>480</v>
      </c>
      <c r="P6912" t="str">
        <f t="shared" si="865"/>
        <v>60fps 720p full frame rate - SD VGA (cropped)</v>
      </c>
      <c r="Q6912">
        <f t="shared" si="866"/>
        <v>38</v>
      </c>
      <c r="R6912" t="str">
        <f t="shared" si="867"/>
        <v/>
      </c>
      <c r="S6912" t="str">
        <f t="shared" si="868"/>
        <v/>
      </c>
      <c r="T6912" s="403" t="str">
        <f t="shared" si="869"/>
        <v>MIC-7522-Z30x</v>
      </c>
      <c r="U6912" s="403">
        <f t="shared" si="870"/>
        <v>1</v>
      </c>
      <c r="V6912" s="403" t="str">
        <f t="shared" si="871"/>
        <v>CPP_7_3</v>
      </c>
    </row>
    <row r="6913" spans="1:22">
      <c r="A6913" t="str">
        <f t="shared" si="864"/>
        <v>MIC-7522-Z30x</v>
      </c>
      <c r="B6913" t="s">
        <v>1523</v>
      </c>
      <c r="C6913" s="403" t="s">
        <v>582</v>
      </c>
      <c r="D6913" t="s">
        <v>1524</v>
      </c>
      <c r="E6913" t="s">
        <v>1526</v>
      </c>
      <c r="F6913" t="s">
        <v>1287</v>
      </c>
      <c r="G6913" t="s">
        <v>1525</v>
      </c>
      <c r="H6913" t="s">
        <v>1276</v>
      </c>
      <c r="I6913">
        <v>1</v>
      </c>
      <c r="J6913" t="s">
        <v>110</v>
      </c>
      <c r="K6913">
        <v>1920</v>
      </c>
      <c r="L6913">
        <v>1080</v>
      </c>
      <c r="M6913" t="s">
        <v>111</v>
      </c>
      <c r="N6913">
        <v>768</v>
      </c>
      <c r="O6913">
        <v>432</v>
      </c>
      <c r="P6913" t="str">
        <f t="shared" si="865"/>
        <v>25fps 1080p - SD</v>
      </c>
      <c r="Q6913">
        <f t="shared" si="866"/>
        <v>38</v>
      </c>
      <c r="R6913" t="str">
        <f t="shared" si="867"/>
        <v/>
      </c>
      <c r="S6913" t="str">
        <f t="shared" si="868"/>
        <v/>
      </c>
      <c r="T6913" s="403" t="str">
        <f t="shared" si="869"/>
        <v>MIC-7522-Z30x</v>
      </c>
      <c r="U6913" s="403">
        <f t="shared" si="870"/>
        <v>1</v>
      </c>
      <c r="V6913" s="403" t="str">
        <f t="shared" si="871"/>
        <v>CPP_7_3</v>
      </c>
    </row>
    <row r="6914" spans="1:22">
      <c r="A6914" t="str">
        <f t="shared" si="864"/>
        <v>MIC-7522-Z30x</v>
      </c>
      <c r="B6914" t="s">
        <v>1523</v>
      </c>
      <c r="C6914" s="403" t="s">
        <v>582</v>
      </c>
      <c r="D6914" t="s">
        <v>1524</v>
      </c>
      <c r="E6914" t="s">
        <v>1526</v>
      </c>
      <c r="F6914" t="s">
        <v>1287</v>
      </c>
      <c r="G6914" t="s">
        <v>1525</v>
      </c>
      <c r="H6914" t="s">
        <v>1276</v>
      </c>
      <c r="I6914">
        <v>1</v>
      </c>
      <c r="J6914" t="s">
        <v>110</v>
      </c>
      <c r="K6914">
        <v>1920</v>
      </c>
      <c r="L6914">
        <v>1080</v>
      </c>
      <c r="M6914" t="s">
        <v>110</v>
      </c>
      <c r="N6914">
        <v>1920</v>
      </c>
      <c r="O6914">
        <v>1080</v>
      </c>
      <c r="P6914" t="str">
        <f t="shared" si="865"/>
        <v>25fps 1080p - 1080p</v>
      </c>
      <c r="Q6914">
        <f t="shared" si="866"/>
        <v>38</v>
      </c>
      <c r="R6914" t="str">
        <f t="shared" si="867"/>
        <v/>
      </c>
      <c r="S6914" t="str">
        <f t="shared" si="868"/>
        <v/>
      </c>
      <c r="T6914" s="403" t="str">
        <f t="shared" si="869"/>
        <v>MIC-7522-Z30x</v>
      </c>
      <c r="U6914" s="403">
        <f t="shared" si="870"/>
        <v>1</v>
      </c>
      <c r="V6914" s="403" t="str">
        <f t="shared" si="871"/>
        <v>CPP_7_3</v>
      </c>
    </row>
    <row r="6915" spans="1:22">
      <c r="A6915" t="str">
        <f t="shared" si="864"/>
        <v>MIC-7522-Z30x</v>
      </c>
      <c r="B6915" t="s">
        <v>1523</v>
      </c>
      <c r="C6915" s="403" t="s">
        <v>582</v>
      </c>
      <c r="D6915" t="s">
        <v>1524</v>
      </c>
      <c r="E6915" t="s">
        <v>1526</v>
      </c>
      <c r="F6915" t="s">
        <v>1287</v>
      </c>
      <c r="G6915" t="s">
        <v>1525</v>
      </c>
      <c r="H6915" t="s">
        <v>1276</v>
      </c>
      <c r="I6915">
        <v>1</v>
      </c>
      <c r="J6915" t="s">
        <v>110</v>
      </c>
      <c r="K6915">
        <v>1920</v>
      </c>
      <c r="L6915">
        <v>1080</v>
      </c>
      <c r="M6915" t="s">
        <v>109</v>
      </c>
      <c r="N6915">
        <v>1280</v>
      </c>
      <c r="O6915">
        <v>720</v>
      </c>
      <c r="P6915" t="str">
        <f t="shared" si="865"/>
        <v>25fps 1080p - 720p</v>
      </c>
      <c r="Q6915">
        <f t="shared" si="866"/>
        <v>38</v>
      </c>
      <c r="R6915" t="str">
        <f t="shared" si="867"/>
        <v/>
      </c>
      <c r="S6915" t="str">
        <f t="shared" si="868"/>
        <v/>
      </c>
      <c r="T6915" s="403" t="str">
        <f t="shared" si="869"/>
        <v>MIC-7522-Z30x</v>
      </c>
      <c r="U6915" s="403">
        <f t="shared" si="870"/>
        <v>1</v>
      </c>
      <c r="V6915" s="403" t="str">
        <f t="shared" si="871"/>
        <v>CPP_7_3</v>
      </c>
    </row>
    <row r="6916" spans="1:22">
      <c r="A6916" t="str">
        <f t="shared" si="864"/>
        <v>MIC-7522-Z30x</v>
      </c>
      <c r="B6916" t="s">
        <v>1523</v>
      </c>
      <c r="C6916" s="403" t="s">
        <v>582</v>
      </c>
      <c r="D6916" t="s">
        <v>1524</v>
      </c>
      <c r="E6916" t="s">
        <v>1526</v>
      </c>
      <c r="F6916" t="s">
        <v>1287</v>
      </c>
      <c r="G6916" t="s">
        <v>1525</v>
      </c>
      <c r="H6916" t="s">
        <v>1276</v>
      </c>
      <c r="I6916">
        <v>1</v>
      </c>
      <c r="J6916" t="s">
        <v>110</v>
      </c>
      <c r="K6916">
        <v>1920</v>
      </c>
      <c r="L6916">
        <v>1080</v>
      </c>
      <c r="M6916" t="s">
        <v>1285</v>
      </c>
      <c r="N6916">
        <v>1280</v>
      </c>
      <c r="O6916">
        <v>1024</v>
      </c>
      <c r="P6916" t="str">
        <f t="shared" si="865"/>
        <v>25fps 1080p - 1280x1024 5:4 (cropped)</v>
      </c>
      <c r="Q6916">
        <f t="shared" si="866"/>
        <v>38</v>
      </c>
      <c r="R6916" t="str">
        <f t="shared" si="867"/>
        <v/>
      </c>
      <c r="S6916" t="str">
        <f t="shared" si="868"/>
        <v/>
      </c>
      <c r="T6916" s="403" t="str">
        <f t="shared" si="869"/>
        <v>MIC-7522-Z30x</v>
      </c>
      <c r="U6916" s="403">
        <f t="shared" si="870"/>
        <v>1</v>
      </c>
      <c r="V6916" s="403" t="str">
        <f t="shared" si="871"/>
        <v>CPP_7_3</v>
      </c>
    </row>
    <row r="6917" spans="1:22">
      <c r="A6917" t="str">
        <f t="shared" si="864"/>
        <v>MIC-7522-Z30x</v>
      </c>
      <c r="B6917" t="s">
        <v>1523</v>
      </c>
      <c r="C6917" s="403" t="s">
        <v>582</v>
      </c>
      <c r="D6917" t="s">
        <v>1524</v>
      </c>
      <c r="E6917" t="s">
        <v>1526</v>
      </c>
      <c r="F6917" t="s">
        <v>1287</v>
      </c>
      <c r="G6917" t="s">
        <v>1525</v>
      </c>
      <c r="H6917" t="s">
        <v>1276</v>
      </c>
      <c r="I6917">
        <v>1</v>
      </c>
      <c r="J6917" t="s">
        <v>110</v>
      </c>
      <c r="K6917">
        <v>1920</v>
      </c>
      <c r="L6917">
        <v>1080</v>
      </c>
      <c r="M6917" t="s">
        <v>1283</v>
      </c>
      <c r="N6917">
        <v>720</v>
      </c>
      <c r="O6917">
        <v>576</v>
      </c>
      <c r="P6917" t="str">
        <f t="shared" si="865"/>
        <v>25fps 1080p - SD 4CIF resolution 4:3 format (cropped)</v>
      </c>
      <c r="Q6917">
        <f t="shared" si="866"/>
        <v>38</v>
      </c>
      <c r="R6917" t="str">
        <f t="shared" si="867"/>
        <v/>
      </c>
      <c r="S6917" t="str">
        <f t="shared" si="868"/>
        <v/>
      </c>
      <c r="T6917" s="403" t="str">
        <f t="shared" si="869"/>
        <v>MIC-7522-Z30x</v>
      </c>
      <c r="U6917" s="403">
        <f t="shared" si="870"/>
        <v>1</v>
      </c>
      <c r="V6917" s="403" t="str">
        <f t="shared" si="871"/>
        <v>CPP_7_3</v>
      </c>
    </row>
    <row r="6918" spans="1:22">
      <c r="A6918" t="str">
        <f t="shared" si="864"/>
        <v>MIC-7522-Z30x</v>
      </c>
      <c r="B6918" t="s">
        <v>1523</v>
      </c>
      <c r="C6918" s="403" t="s">
        <v>582</v>
      </c>
      <c r="D6918" t="s">
        <v>1524</v>
      </c>
      <c r="E6918" t="s">
        <v>1526</v>
      </c>
      <c r="F6918" t="s">
        <v>1287</v>
      </c>
      <c r="G6918" t="s">
        <v>1525</v>
      </c>
      <c r="H6918" t="s">
        <v>1276</v>
      </c>
      <c r="I6918">
        <v>1</v>
      </c>
      <c r="J6918" t="s">
        <v>110</v>
      </c>
      <c r="K6918">
        <v>1920</v>
      </c>
      <c r="L6918">
        <v>1080</v>
      </c>
      <c r="M6918" t="s">
        <v>1284</v>
      </c>
      <c r="N6918">
        <v>640</v>
      </c>
      <c r="O6918">
        <v>480</v>
      </c>
      <c r="P6918" t="str">
        <f t="shared" si="865"/>
        <v>25fps 1080p - SD VGA (cropped)</v>
      </c>
      <c r="Q6918">
        <f t="shared" si="866"/>
        <v>38</v>
      </c>
      <c r="R6918" t="str">
        <f t="shared" si="867"/>
        <v/>
      </c>
      <c r="S6918" t="str">
        <f t="shared" si="868"/>
        <v/>
      </c>
      <c r="T6918" s="403" t="str">
        <f t="shared" si="869"/>
        <v>MIC-7522-Z30x</v>
      </c>
      <c r="U6918" s="403">
        <f t="shared" si="870"/>
        <v>1</v>
      </c>
      <c r="V6918" s="403" t="str">
        <f t="shared" si="871"/>
        <v>CPP_7_3</v>
      </c>
    </row>
    <row r="6919" spans="1:22">
      <c r="A6919" t="str">
        <f t="shared" si="864"/>
        <v>MIC-7522-Z30x</v>
      </c>
      <c r="B6919" t="s">
        <v>1523</v>
      </c>
      <c r="C6919" s="403" t="s">
        <v>582</v>
      </c>
      <c r="D6919" t="s">
        <v>1524</v>
      </c>
      <c r="E6919" t="s">
        <v>1526</v>
      </c>
      <c r="F6919" t="s">
        <v>1287</v>
      </c>
      <c r="G6919" t="s">
        <v>1525</v>
      </c>
      <c r="H6919" t="s">
        <v>1276</v>
      </c>
      <c r="I6919">
        <v>1</v>
      </c>
      <c r="J6919" t="s">
        <v>109</v>
      </c>
      <c r="K6919">
        <v>1280</v>
      </c>
      <c r="L6919">
        <v>720</v>
      </c>
      <c r="M6919" t="s">
        <v>109</v>
      </c>
      <c r="N6919">
        <v>1280</v>
      </c>
      <c r="O6919">
        <v>720</v>
      </c>
      <c r="P6919" t="str">
        <f t="shared" si="865"/>
        <v>25fps 720p - 720p</v>
      </c>
      <c r="Q6919">
        <f t="shared" si="866"/>
        <v>38</v>
      </c>
      <c r="R6919" t="str">
        <f t="shared" si="867"/>
        <v/>
      </c>
      <c r="S6919" t="str">
        <f t="shared" si="868"/>
        <v/>
      </c>
      <c r="T6919" s="403" t="str">
        <f t="shared" si="869"/>
        <v>MIC-7522-Z30x</v>
      </c>
      <c r="U6919" s="403">
        <f t="shared" si="870"/>
        <v>1</v>
      </c>
      <c r="V6919" s="403" t="str">
        <f t="shared" si="871"/>
        <v>CPP_7_3</v>
      </c>
    </row>
    <row r="6920" spans="1:22">
      <c r="A6920" t="str">
        <f t="shared" si="864"/>
        <v>MIC-7522-Z30x</v>
      </c>
      <c r="B6920" t="s">
        <v>1523</v>
      </c>
      <c r="C6920" s="403" t="s">
        <v>582</v>
      </c>
      <c r="D6920" t="s">
        <v>1524</v>
      </c>
      <c r="E6920" t="s">
        <v>1526</v>
      </c>
      <c r="F6920" t="s">
        <v>1287</v>
      </c>
      <c r="G6920" t="s">
        <v>1525</v>
      </c>
      <c r="H6920" t="s">
        <v>1276</v>
      </c>
      <c r="I6920">
        <v>1</v>
      </c>
      <c r="J6920" t="s">
        <v>109</v>
      </c>
      <c r="K6920">
        <v>1280</v>
      </c>
      <c r="L6920">
        <v>720</v>
      </c>
      <c r="M6920" t="s">
        <v>111</v>
      </c>
      <c r="N6920">
        <v>768</v>
      </c>
      <c r="O6920">
        <v>432</v>
      </c>
      <c r="P6920" t="str">
        <f t="shared" si="865"/>
        <v>25fps 720p - SD</v>
      </c>
      <c r="Q6920">
        <f t="shared" si="866"/>
        <v>38</v>
      </c>
      <c r="R6920" t="str">
        <f t="shared" si="867"/>
        <v/>
      </c>
      <c r="S6920" t="str">
        <f t="shared" si="868"/>
        <v/>
      </c>
      <c r="T6920" s="403" t="str">
        <f t="shared" si="869"/>
        <v>MIC-7522-Z30x</v>
      </c>
      <c r="U6920" s="403">
        <f t="shared" si="870"/>
        <v>1</v>
      </c>
      <c r="V6920" s="403" t="str">
        <f t="shared" si="871"/>
        <v>CPP_7_3</v>
      </c>
    </row>
    <row r="6921" spans="1:22">
      <c r="A6921" t="str">
        <f t="shared" si="864"/>
        <v>MIC-7522-Z30x</v>
      </c>
      <c r="B6921" t="s">
        <v>1523</v>
      </c>
      <c r="C6921" s="403" t="s">
        <v>582</v>
      </c>
      <c r="D6921" t="s">
        <v>1524</v>
      </c>
      <c r="E6921" t="s">
        <v>1526</v>
      </c>
      <c r="F6921" t="s">
        <v>1287</v>
      </c>
      <c r="G6921" t="s">
        <v>1525</v>
      </c>
      <c r="H6921" t="s">
        <v>1276</v>
      </c>
      <c r="I6921">
        <v>1</v>
      </c>
      <c r="J6921" t="s">
        <v>109</v>
      </c>
      <c r="K6921">
        <v>1280</v>
      </c>
      <c r="L6921">
        <v>720</v>
      </c>
      <c r="M6921" t="s">
        <v>1283</v>
      </c>
      <c r="N6921">
        <v>720</v>
      </c>
      <c r="O6921">
        <v>576</v>
      </c>
      <c r="P6921" t="str">
        <f t="shared" si="865"/>
        <v>25fps 720p - SD 4CIF resolution 4:3 format (cropped)</v>
      </c>
      <c r="Q6921">
        <f t="shared" si="866"/>
        <v>38</v>
      </c>
      <c r="R6921" t="str">
        <f t="shared" si="867"/>
        <v/>
      </c>
      <c r="S6921" t="str">
        <f t="shared" si="868"/>
        <v/>
      </c>
      <c r="T6921" s="403" t="str">
        <f t="shared" si="869"/>
        <v>MIC-7522-Z30x</v>
      </c>
      <c r="U6921" s="403">
        <f t="shared" si="870"/>
        <v>1</v>
      </c>
      <c r="V6921" s="403" t="str">
        <f t="shared" si="871"/>
        <v>CPP_7_3</v>
      </c>
    </row>
    <row r="6922" spans="1:22">
      <c r="A6922" t="str">
        <f t="shared" si="864"/>
        <v>MIC-7522-Z30x</v>
      </c>
      <c r="B6922" t="s">
        <v>1523</v>
      </c>
      <c r="C6922" s="403" t="s">
        <v>582</v>
      </c>
      <c r="D6922" t="s">
        <v>1524</v>
      </c>
      <c r="E6922" t="s">
        <v>1526</v>
      </c>
      <c r="F6922" t="s">
        <v>1287</v>
      </c>
      <c r="G6922" t="s">
        <v>1525</v>
      </c>
      <c r="H6922" t="s">
        <v>1276</v>
      </c>
      <c r="I6922">
        <v>1</v>
      </c>
      <c r="J6922" t="s">
        <v>109</v>
      </c>
      <c r="K6922">
        <v>1280</v>
      </c>
      <c r="L6922">
        <v>720</v>
      </c>
      <c r="M6922" t="s">
        <v>1284</v>
      </c>
      <c r="N6922">
        <v>640</v>
      </c>
      <c r="O6922">
        <v>480</v>
      </c>
      <c r="P6922" t="str">
        <f t="shared" si="865"/>
        <v>25fps 720p - SD VGA (cropped)</v>
      </c>
      <c r="Q6922">
        <f t="shared" si="866"/>
        <v>38</v>
      </c>
      <c r="R6922" t="str">
        <f t="shared" si="867"/>
        <v/>
      </c>
      <c r="S6922" t="str">
        <f t="shared" si="868"/>
        <v/>
      </c>
      <c r="T6922" s="403" t="str">
        <f t="shared" si="869"/>
        <v>MIC-7522-Z30x</v>
      </c>
      <c r="U6922" s="403">
        <f t="shared" si="870"/>
        <v>1</v>
      </c>
      <c r="V6922" s="403" t="str">
        <f t="shared" si="871"/>
        <v>CPP_7_3</v>
      </c>
    </row>
    <row r="6923" spans="1:22">
      <c r="A6923" t="str">
        <f t="shared" si="864"/>
        <v>MIC-7522-Z30x</v>
      </c>
      <c r="B6923" t="s">
        <v>1523</v>
      </c>
      <c r="C6923" s="403" t="s">
        <v>582</v>
      </c>
      <c r="D6923" t="s">
        <v>1524</v>
      </c>
      <c r="E6923" t="s">
        <v>1526</v>
      </c>
      <c r="F6923" t="s">
        <v>1287</v>
      </c>
      <c r="G6923" t="s">
        <v>1525</v>
      </c>
      <c r="H6923" t="s">
        <v>1281</v>
      </c>
      <c r="I6923">
        <v>1</v>
      </c>
      <c r="J6923" t="s">
        <v>110</v>
      </c>
      <c r="K6923">
        <v>1920</v>
      </c>
      <c r="L6923">
        <v>1080</v>
      </c>
      <c r="M6923" t="s">
        <v>111</v>
      </c>
      <c r="N6923">
        <v>768</v>
      </c>
      <c r="O6923">
        <v>432</v>
      </c>
      <c r="P6923" t="str">
        <f t="shared" si="865"/>
        <v>25fps 1080p - SD</v>
      </c>
      <c r="Q6923">
        <f t="shared" si="866"/>
        <v>38</v>
      </c>
      <c r="R6923" t="str">
        <f t="shared" si="867"/>
        <v/>
      </c>
      <c r="S6923" t="str">
        <f t="shared" si="868"/>
        <v/>
      </c>
      <c r="T6923" s="403" t="str">
        <f t="shared" si="869"/>
        <v>MIC-7522-Z30x</v>
      </c>
      <c r="U6923" s="403">
        <f t="shared" si="870"/>
        <v>1</v>
      </c>
      <c r="V6923" s="403" t="str">
        <f t="shared" si="871"/>
        <v>CPP_7_3</v>
      </c>
    </row>
    <row r="6924" spans="1:22">
      <c r="A6924" t="str">
        <f t="shared" si="864"/>
        <v>MIC-7522-Z30x</v>
      </c>
      <c r="B6924" t="s">
        <v>1523</v>
      </c>
      <c r="C6924" s="403" t="s">
        <v>582</v>
      </c>
      <c r="D6924" t="s">
        <v>1524</v>
      </c>
      <c r="E6924" t="s">
        <v>1526</v>
      </c>
      <c r="F6924" t="s">
        <v>1287</v>
      </c>
      <c r="G6924" t="s">
        <v>1525</v>
      </c>
      <c r="H6924" t="s">
        <v>1281</v>
      </c>
      <c r="I6924">
        <v>1</v>
      </c>
      <c r="J6924" t="s">
        <v>110</v>
      </c>
      <c r="K6924">
        <v>1920</v>
      </c>
      <c r="L6924">
        <v>1080</v>
      </c>
      <c r="M6924" t="s">
        <v>110</v>
      </c>
      <c r="N6924">
        <v>1920</v>
      </c>
      <c r="O6924">
        <v>1080</v>
      </c>
      <c r="P6924" t="str">
        <f t="shared" si="865"/>
        <v>25fps 1080p - 1080p</v>
      </c>
      <c r="Q6924">
        <f t="shared" si="866"/>
        <v>38</v>
      </c>
      <c r="R6924" t="str">
        <f t="shared" si="867"/>
        <v/>
      </c>
      <c r="S6924" t="str">
        <f t="shared" si="868"/>
        <v/>
      </c>
      <c r="T6924" s="403" t="str">
        <f t="shared" si="869"/>
        <v>MIC-7522-Z30x</v>
      </c>
      <c r="U6924" s="403">
        <f t="shared" si="870"/>
        <v>1</v>
      </c>
      <c r="V6924" s="403" t="str">
        <f t="shared" si="871"/>
        <v>CPP_7_3</v>
      </c>
    </row>
    <row r="6925" spans="1:22">
      <c r="A6925" t="str">
        <f t="shared" si="864"/>
        <v>MIC-7522-Z30x</v>
      </c>
      <c r="B6925" t="s">
        <v>1523</v>
      </c>
      <c r="C6925" s="403" t="s">
        <v>582</v>
      </c>
      <c r="D6925" t="s">
        <v>1524</v>
      </c>
      <c r="E6925" t="s">
        <v>1526</v>
      </c>
      <c r="F6925" t="s">
        <v>1287</v>
      </c>
      <c r="G6925" t="s">
        <v>1525</v>
      </c>
      <c r="H6925" t="s">
        <v>1281</v>
      </c>
      <c r="I6925">
        <v>1</v>
      </c>
      <c r="J6925" t="s">
        <v>110</v>
      </c>
      <c r="K6925">
        <v>1920</v>
      </c>
      <c r="L6925">
        <v>1080</v>
      </c>
      <c r="M6925" t="s">
        <v>109</v>
      </c>
      <c r="N6925">
        <v>1280</v>
      </c>
      <c r="O6925">
        <v>720</v>
      </c>
      <c r="P6925" t="str">
        <f t="shared" si="865"/>
        <v>25fps 1080p - 720p</v>
      </c>
      <c r="Q6925">
        <f t="shared" si="866"/>
        <v>38</v>
      </c>
      <c r="R6925" t="str">
        <f t="shared" si="867"/>
        <v/>
      </c>
      <c r="S6925" t="str">
        <f t="shared" si="868"/>
        <v/>
      </c>
      <c r="T6925" s="403" t="str">
        <f t="shared" si="869"/>
        <v>MIC-7522-Z30x</v>
      </c>
      <c r="U6925" s="403">
        <f t="shared" si="870"/>
        <v>1</v>
      </c>
      <c r="V6925" s="403" t="str">
        <f t="shared" si="871"/>
        <v>CPP_7_3</v>
      </c>
    </row>
    <row r="6926" spans="1:22">
      <c r="A6926" t="str">
        <f t="shared" si="864"/>
        <v>MIC-7522-Z30x</v>
      </c>
      <c r="B6926" t="s">
        <v>1523</v>
      </c>
      <c r="C6926" s="403" t="s">
        <v>582</v>
      </c>
      <c r="D6926" t="s">
        <v>1524</v>
      </c>
      <c r="E6926" t="s">
        <v>1526</v>
      </c>
      <c r="F6926" t="s">
        <v>1287</v>
      </c>
      <c r="G6926" t="s">
        <v>1525</v>
      </c>
      <c r="H6926" t="s">
        <v>1281</v>
      </c>
      <c r="I6926">
        <v>1</v>
      </c>
      <c r="J6926" t="s">
        <v>110</v>
      </c>
      <c r="K6926">
        <v>1920</v>
      </c>
      <c r="L6926">
        <v>1080</v>
      </c>
      <c r="M6926" t="s">
        <v>1285</v>
      </c>
      <c r="N6926">
        <v>1280</v>
      </c>
      <c r="O6926">
        <v>1024</v>
      </c>
      <c r="P6926" t="str">
        <f t="shared" si="865"/>
        <v>25fps 1080p - 1280x1024 5:4 (cropped)</v>
      </c>
      <c r="Q6926">
        <f t="shared" si="866"/>
        <v>38</v>
      </c>
      <c r="R6926" t="str">
        <f t="shared" si="867"/>
        <v/>
      </c>
      <c r="S6926" t="str">
        <f t="shared" si="868"/>
        <v/>
      </c>
      <c r="T6926" s="403" t="str">
        <f t="shared" si="869"/>
        <v>MIC-7522-Z30x</v>
      </c>
      <c r="U6926" s="403">
        <f t="shared" si="870"/>
        <v>1</v>
      </c>
      <c r="V6926" s="403" t="str">
        <f t="shared" si="871"/>
        <v>CPP_7_3</v>
      </c>
    </row>
    <row r="6927" spans="1:22">
      <c r="A6927" t="str">
        <f t="shared" si="864"/>
        <v>MIC-7522-Z30x</v>
      </c>
      <c r="B6927" t="s">
        <v>1523</v>
      </c>
      <c r="C6927" s="403" t="s">
        <v>582</v>
      </c>
      <c r="D6927" t="s">
        <v>1524</v>
      </c>
      <c r="E6927" t="s">
        <v>1526</v>
      </c>
      <c r="F6927" t="s">
        <v>1287</v>
      </c>
      <c r="G6927" t="s">
        <v>1525</v>
      </c>
      <c r="H6927" t="s">
        <v>1281</v>
      </c>
      <c r="I6927">
        <v>1</v>
      </c>
      <c r="J6927" t="s">
        <v>110</v>
      </c>
      <c r="K6927">
        <v>1920</v>
      </c>
      <c r="L6927">
        <v>1080</v>
      </c>
      <c r="M6927" t="s">
        <v>1283</v>
      </c>
      <c r="N6927">
        <v>720</v>
      </c>
      <c r="O6927">
        <v>576</v>
      </c>
      <c r="P6927" t="str">
        <f t="shared" si="865"/>
        <v>25fps 1080p - SD 4CIF resolution 4:3 format (cropped)</v>
      </c>
      <c r="Q6927">
        <f t="shared" si="866"/>
        <v>38</v>
      </c>
      <c r="R6927" t="str">
        <f t="shared" si="867"/>
        <v/>
      </c>
      <c r="S6927" t="str">
        <f t="shared" si="868"/>
        <v/>
      </c>
      <c r="T6927" s="403" t="str">
        <f t="shared" si="869"/>
        <v>MIC-7522-Z30x</v>
      </c>
      <c r="U6927" s="403">
        <f t="shared" si="870"/>
        <v>1</v>
      </c>
      <c r="V6927" s="403" t="str">
        <f t="shared" si="871"/>
        <v>CPP_7_3</v>
      </c>
    </row>
    <row r="6928" spans="1:22">
      <c r="A6928" t="str">
        <f t="shared" si="864"/>
        <v>MIC-7522-Z30x</v>
      </c>
      <c r="B6928" t="s">
        <v>1523</v>
      </c>
      <c r="C6928" s="403" t="s">
        <v>582</v>
      </c>
      <c r="D6928" t="s">
        <v>1524</v>
      </c>
      <c r="E6928" t="s">
        <v>1526</v>
      </c>
      <c r="F6928" t="s">
        <v>1287</v>
      </c>
      <c r="G6928" t="s">
        <v>1525</v>
      </c>
      <c r="H6928" t="s">
        <v>1281</v>
      </c>
      <c r="I6928">
        <v>1</v>
      </c>
      <c r="J6928" t="s">
        <v>110</v>
      </c>
      <c r="K6928">
        <v>1920</v>
      </c>
      <c r="L6928">
        <v>1080</v>
      </c>
      <c r="M6928" t="s">
        <v>1284</v>
      </c>
      <c r="N6928">
        <v>640</v>
      </c>
      <c r="O6928">
        <v>480</v>
      </c>
      <c r="P6928" t="str">
        <f t="shared" si="865"/>
        <v>25fps 1080p - SD VGA (cropped)</v>
      </c>
      <c r="Q6928">
        <f t="shared" si="866"/>
        <v>38</v>
      </c>
      <c r="R6928" t="str">
        <f t="shared" si="867"/>
        <v/>
      </c>
      <c r="S6928" t="str">
        <f t="shared" si="868"/>
        <v/>
      </c>
      <c r="T6928" s="403" t="str">
        <f t="shared" si="869"/>
        <v>MIC-7522-Z30x</v>
      </c>
      <c r="U6928" s="403">
        <f t="shared" si="870"/>
        <v>1</v>
      </c>
      <c r="V6928" s="403" t="str">
        <f t="shared" si="871"/>
        <v>CPP_7_3</v>
      </c>
    </row>
    <row r="6929" spans="1:22">
      <c r="A6929" t="str">
        <f t="shared" si="864"/>
        <v>MIC-7522-Z30x</v>
      </c>
      <c r="B6929" t="s">
        <v>1523</v>
      </c>
      <c r="C6929" s="403" t="s">
        <v>582</v>
      </c>
      <c r="D6929" t="s">
        <v>1524</v>
      </c>
      <c r="E6929" t="s">
        <v>1526</v>
      </c>
      <c r="F6929" t="s">
        <v>1287</v>
      </c>
      <c r="G6929" t="s">
        <v>1525</v>
      </c>
      <c r="H6929" t="s">
        <v>1281</v>
      </c>
      <c r="I6929">
        <v>1</v>
      </c>
      <c r="J6929" t="s">
        <v>109</v>
      </c>
      <c r="K6929">
        <v>1280</v>
      </c>
      <c r="L6929">
        <v>720</v>
      </c>
      <c r="M6929" t="s">
        <v>109</v>
      </c>
      <c r="N6929">
        <v>1280</v>
      </c>
      <c r="O6929">
        <v>720</v>
      </c>
      <c r="P6929" t="str">
        <f t="shared" si="865"/>
        <v>25fps 720p - 720p</v>
      </c>
      <c r="Q6929">
        <f t="shared" si="866"/>
        <v>38</v>
      </c>
      <c r="R6929" t="str">
        <f t="shared" si="867"/>
        <v/>
      </c>
      <c r="S6929" t="str">
        <f t="shared" si="868"/>
        <v/>
      </c>
      <c r="T6929" s="403" t="str">
        <f t="shared" si="869"/>
        <v>MIC-7522-Z30x</v>
      </c>
      <c r="U6929" s="403">
        <f t="shared" si="870"/>
        <v>1</v>
      </c>
      <c r="V6929" s="403" t="str">
        <f t="shared" si="871"/>
        <v>CPP_7_3</v>
      </c>
    </row>
    <row r="6930" spans="1:22">
      <c r="A6930" t="str">
        <f t="shared" si="864"/>
        <v>MIC-7522-Z30x</v>
      </c>
      <c r="B6930" t="s">
        <v>1523</v>
      </c>
      <c r="C6930" s="403" t="s">
        <v>582</v>
      </c>
      <c r="D6930" t="s">
        <v>1524</v>
      </c>
      <c r="E6930" t="s">
        <v>1526</v>
      </c>
      <c r="F6930" t="s">
        <v>1287</v>
      </c>
      <c r="G6930" t="s">
        <v>1525</v>
      </c>
      <c r="H6930" t="s">
        <v>1281</v>
      </c>
      <c r="I6930">
        <v>1</v>
      </c>
      <c r="J6930" t="s">
        <v>109</v>
      </c>
      <c r="K6930">
        <v>1280</v>
      </c>
      <c r="L6930">
        <v>720</v>
      </c>
      <c r="M6930" t="s">
        <v>111</v>
      </c>
      <c r="N6930">
        <v>768</v>
      </c>
      <c r="O6930">
        <v>432</v>
      </c>
      <c r="P6930" t="str">
        <f t="shared" si="865"/>
        <v>25fps 720p - SD</v>
      </c>
      <c r="Q6930">
        <f t="shared" si="866"/>
        <v>38</v>
      </c>
      <c r="R6930" t="str">
        <f t="shared" si="867"/>
        <v/>
      </c>
      <c r="S6930" t="str">
        <f t="shared" si="868"/>
        <v/>
      </c>
      <c r="T6930" s="403" t="str">
        <f t="shared" si="869"/>
        <v>MIC-7522-Z30x</v>
      </c>
      <c r="U6930" s="403">
        <f t="shared" si="870"/>
        <v>1</v>
      </c>
      <c r="V6930" s="403" t="str">
        <f t="shared" si="871"/>
        <v>CPP_7_3</v>
      </c>
    </row>
    <row r="6931" spans="1:22">
      <c r="A6931" t="str">
        <f t="shared" si="864"/>
        <v>MIC-7522-Z30x</v>
      </c>
      <c r="B6931" t="s">
        <v>1523</v>
      </c>
      <c r="C6931" s="403" t="s">
        <v>582</v>
      </c>
      <c r="D6931" t="s">
        <v>1524</v>
      </c>
      <c r="E6931" t="s">
        <v>1526</v>
      </c>
      <c r="F6931" t="s">
        <v>1287</v>
      </c>
      <c r="G6931" t="s">
        <v>1525</v>
      </c>
      <c r="H6931" t="s">
        <v>1281</v>
      </c>
      <c r="I6931">
        <v>1</v>
      </c>
      <c r="J6931" t="s">
        <v>109</v>
      </c>
      <c r="K6931">
        <v>1280</v>
      </c>
      <c r="L6931">
        <v>720</v>
      </c>
      <c r="M6931" t="s">
        <v>1283</v>
      </c>
      <c r="N6931">
        <v>720</v>
      </c>
      <c r="O6931">
        <v>576</v>
      </c>
      <c r="P6931" t="str">
        <f t="shared" si="865"/>
        <v>25fps 720p - SD 4CIF resolution 4:3 format (cropped)</v>
      </c>
      <c r="Q6931">
        <f t="shared" si="866"/>
        <v>38</v>
      </c>
      <c r="R6931" t="str">
        <f t="shared" si="867"/>
        <v/>
      </c>
      <c r="S6931" t="str">
        <f t="shared" si="868"/>
        <v/>
      </c>
      <c r="T6931" s="403" t="str">
        <f t="shared" si="869"/>
        <v>MIC-7522-Z30x</v>
      </c>
      <c r="U6931" s="403">
        <f t="shared" si="870"/>
        <v>1</v>
      </c>
      <c r="V6931" s="403" t="str">
        <f t="shared" si="871"/>
        <v>CPP_7_3</v>
      </c>
    </row>
    <row r="6932" spans="1:22">
      <c r="A6932" t="str">
        <f t="shared" si="864"/>
        <v>MIC-7522-Z30x</v>
      </c>
      <c r="B6932" t="s">
        <v>1523</v>
      </c>
      <c r="C6932" s="403" t="s">
        <v>582</v>
      </c>
      <c r="D6932" t="s">
        <v>1524</v>
      </c>
      <c r="E6932" t="s">
        <v>1526</v>
      </c>
      <c r="F6932" t="s">
        <v>1287</v>
      </c>
      <c r="G6932" t="s">
        <v>1525</v>
      </c>
      <c r="H6932" t="s">
        <v>1281</v>
      </c>
      <c r="I6932">
        <v>1</v>
      </c>
      <c r="J6932" t="s">
        <v>109</v>
      </c>
      <c r="K6932">
        <v>1280</v>
      </c>
      <c r="L6932">
        <v>720</v>
      </c>
      <c r="M6932" t="s">
        <v>1284</v>
      </c>
      <c r="N6932">
        <v>640</v>
      </c>
      <c r="O6932">
        <v>480</v>
      </c>
      <c r="P6932" t="str">
        <f t="shared" si="865"/>
        <v>25fps 720p - SD VGA (cropped)</v>
      </c>
      <c r="Q6932">
        <f t="shared" si="866"/>
        <v>38</v>
      </c>
      <c r="R6932" t="str">
        <f t="shared" si="867"/>
        <v/>
      </c>
      <c r="S6932" t="str">
        <f t="shared" si="868"/>
        <v/>
      </c>
      <c r="T6932" s="403" t="str">
        <f t="shared" si="869"/>
        <v>MIC-7522-Z30x</v>
      </c>
      <c r="U6932" s="403">
        <f t="shared" si="870"/>
        <v>1</v>
      </c>
      <c r="V6932" s="403" t="str">
        <f t="shared" si="871"/>
        <v>CPP_7_3</v>
      </c>
    </row>
    <row r="6933" spans="1:22">
      <c r="A6933" t="str">
        <f t="shared" si="864"/>
        <v>MIC-7522-Z30x</v>
      </c>
      <c r="B6933" t="s">
        <v>1523</v>
      </c>
      <c r="C6933" s="403" t="s">
        <v>582</v>
      </c>
      <c r="D6933" t="s">
        <v>1524</v>
      </c>
      <c r="E6933" t="s">
        <v>1526</v>
      </c>
      <c r="F6933" t="s">
        <v>1287</v>
      </c>
      <c r="G6933" t="s">
        <v>1525</v>
      </c>
      <c r="H6933" t="s">
        <v>1282</v>
      </c>
      <c r="I6933">
        <v>1</v>
      </c>
      <c r="J6933" t="s">
        <v>110</v>
      </c>
      <c r="K6933">
        <v>1920</v>
      </c>
      <c r="L6933">
        <v>1080</v>
      </c>
      <c r="M6933" t="s">
        <v>111</v>
      </c>
      <c r="N6933">
        <v>768</v>
      </c>
      <c r="O6933">
        <v>432</v>
      </c>
      <c r="P6933" t="str">
        <f t="shared" si="865"/>
        <v>25fps 1080p - SD</v>
      </c>
      <c r="Q6933">
        <f t="shared" si="866"/>
        <v>38</v>
      </c>
      <c r="R6933" t="str">
        <f t="shared" si="867"/>
        <v/>
      </c>
      <c r="S6933" t="str">
        <f t="shared" si="868"/>
        <v/>
      </c>
      <c r="T6933" s="403" t="str">
        <f t="shared" si="869"/>
        <v>MIC-7522-Z30x</v>
      </c>
      <c r="U6933" s="403">
        <f t="shared" si="870"/>
        <v>1</v>
      </c>
      <c r="V6933" s="403" t="str">
        <f t="shared" si="871"/>
        <v>CPP_7_3</v>
      </c>
    </row>
    <row r="6934" spans="1:22">
      <c r="A6934" t="str">
        <f t="shared" si="864"/>
        <v>MIC-7522-Z30x</v>
      </c>
      <c r="B6934" t="s">
        <v>1523</v>
      </c>
      <c r="C6934" s="403" t="s">
        <v>582</v>
      </c>
      <c r="D6934" t="s">
        <v>1524</v>
      </c>
      <c r="E6934" t="s">
        <v>1526</v>
      </c>
      <c r="F6934" t="s">
        <v>1287</v>
      </c>
      <c r="G6934" t="s">
        <v>1525</v>
      </c>
      <c r="H6934" t="s">
        <v>1282</v>
      </c>
      <c r="I6934">
        <v>1</v>
      </c>
      <c r="J6934" t="s">
        <v>110</v>
      </c>
      <c r="K6934">
        <v>1920</v>
      </c>
      <c r="L6934">
        <v>1080</v>
      </c>
      <c r="M6934" t="s">
        <v>110</v>
      </c>
      <c r="N6934">
        <v>1920</v>
      </c>
      <c r="O6934">
        <v>1080</v>
      </c>
      <c r="P6934" t="str">
        <f t="shared" si="865"/>
        <v>25fps 1080p - 1080p</v>
      </c>
      <c r="Q6934">
        <f t="shared" si="866"/>
        <v>38</v>
      </c>
      <c r="R6934" t="str">
        <f t="shared" si="867"/>
        <v/>
      </c>
      <c r="S6934" t="str">
        <f t="shared" si="868"/>
        <v/>
      </c>
      <c r="T6934" s="403" t="str">
        <f t="shared" si="869"/>
        <v>MIC-7522-Z30x</v>
      </c>
      <c r="U6934" s="403">
        <f t="shared" si="870"/>
        <v>1</v>
      </c>
      <c r="V6934" s="403" t="str">
        <f t="shared" si="871"/>
        <v>CPP_7_3</v>
      </c>
    </row>
    <row r="6935" spans="1:22">
      <c r="A6935" t="str">
        <f t="shared" si="864"/>
        <v>MIC-7522-Z30x</v>
      </c>
      <c r="B6935" t="s">
        <v>1523</v>
      </c>
      <c r="C6935" s="403" t="s">
        <v>582</v>
      </c>
      <c r="D6935" t="s">
        <v>1524</v>
      </c>
      <c r="E6935" t="s">
        <v>1526</v>
      </c>
      <c r="F6935" t="s">
        <v>1287</v>
      </c>
      <c r="G6935" t="s">
        <v>1525</v>
      </c>
      <c r="H6935" t="s">
        <v>1282</v>
      </c>
      <c r="I6935">
        <v>1</v>
      </c>
      <c r="J6935" t="s">
        <v>110</v>
      </c>
      <c r="K6935">
        <v>1920</v>
      </c>
      <c r="L6935">
        <v>1080</v>
      </c>
      <c r="M6935" t="s">
        <v>109</v>
      </c>
      <c r="N6935">
        <v>1280</v>
      </c>
      <c r="O6935">
        <v>720</v>
      </c>
      <c r="P6935" t="str">
        <f t="shared" si="865"/>
        <v>25fps 1080p - 720p</v>
      </c>
      <c r="Q6935">
        <f t="shared" si="866"/>
        <v>38</v>
      </c>
      <c r="R6935" t="str">
        <f t="shared" si="867"/>
        <v/>
      </c>
      <c r="S6935" t="str">
        <f t="shared" si="868"/>
        <v/>
      </c>
      <c r="T6935" s="403" t="str">
        <f t="shared" si="869"/>
        <v>MIC-7522-Z30x</v>
      </c>
      <c r="U6935" s="403">
        <f t="shared" si="870"/>
        <v>1</v>
      </c>
      <c r="V6935" s="403" t="str">
        <f t="shared" si="871"/>
        <v>CPP_7_3</v>
      </c>
    </row>
    <row r="6936" spans="1:22">
      <c r="A6936" t="str">
        <f t="shared" si="864"/>
        <v>MIC-7522-Z30x</v>
      </c>
      <c r="B6936" t="s">
        <v>1523</v>
      </c>
      <c r="C6936" s="403" t="s">
        <v>582</v>
      </c>
      <c r="D6936" t="s">
        <v>1524</v>
      </c>
      <c r="E6936" t="s">
        <v>1526</v>
      </c>
      <c r="F6936" t="s">
        <v>1287</v>
      </c>
      <c r="G6936" t="s">
        <v>1525</v>
      </c>
      <c r="H6936" t="s">
        <v>1282</v>
      </c>
      <c r="I6936">
        <v>1</v>
      </c>
      <c r="J6936" t="s">
        <v>110</v>
      </c>
      <c r="K6936">
        <v>1920</v>
      </c>
      <c r="L6936">
        <v>1080</v>
      </c>
      <c r="M6936" t="s">
        <v>1285</v>
      </c>
      <c r="N6936">
        <v>1280</v>
      </c>
      <c r="O6936">
        <v>1024</v>
      </c>
      <c r="P6936" t="str">
        <f t="shared" si="865"/>
        <v>25fps 1080p - 1280x1024 5:4 (cropped)</v>
      </c>
      <c r="Q6936">
        <f t="shared" si="866"/>
        <v>38</v>
      </c>
      <c r="R6936" t="str">
        <f t="shared" si="867"/>
        <v/>
      </c>
      <c r="S6936" t="str">
        <f t="shared" si="868"/>
        <v/>
      </c>
      <c r="T6936" s="403" t="str">
        <f t="shared" si="869"/>
        <v>MIC-7522-Z30x</v>
      </c>
      <c r="U6936" s="403">
        <f t="shared" si="870"/>
        <v>1</v>
      </c>
      <c r="V6936" s="403" t="str">
        <f t="shared" si="871"/>
        <v>CPP_7_3</v>
      </c>
    </row>
    <row r="6937" spans="1:22">
      <c r="A6937" t="str">
        <f t="shared" si="864"/>
        <v>MIC-7522-Z30x</v>
      </c>
      <c r="B6937" t="s">
        <v>1523</v>
      </c>
      <c r="C6937" s="403" t="s">
        <v>582</v>
      </c>
      <c r="D6937" t="s">
        <v>1524</v>
      </c>
      <c r="E6937" t="s">
        <v>1526</v>
      </c>
      <c r="F6937" t="s">
        <v>1287</v>
      </c>
      <c r="G6937" t="s">
        <v>1525</v>
      </c>
      <c r="H6937" t="s">
        <v>1282</v>
      </c>
      <c r="I6937">
        <v>1</v>
      </c>
      <c r="J6937" t="s">
        <v>110</v>
      </c>
      <c r="K6937">
        <v>1920</v>
      </c>
      <c r="L6937">
        <v>1080</v>
      </c>
      <c r="M6937" t="s">
        <v>1283</v>
      </c>
      <c r="N6937">
        <v>720</v>
      </c>
      <c r="O6937">
        <v>576</v>
      </c>
      <c r="P6937" t="str">
        <f t="shared" si="865"/>
        <v>25fps 1080p - SD 4CIF resolution 4:3 format (cropped)</v>
      </c>
      <c r="Q6937">
        <f t="shared" si="866"/>
        <v>38</v>
      </c>
      <c r="R6937" t="str">
        <f t="shared" si="867"/>
        <v/>
      </c>
      <c r="S6937" t="str">
        <f t="shared" si="868"/>
        <v/>
      </c>
      <c r="T6937" s="403" t="str">
        <f t="shared" si="869"/>
        <v>MIC-7522-Z30x</v>
      </c>
      <c r="U6937" s="403">
        <f t="shared" si="870"/>
        <v>1</v>
      </c>
      <c r="V6937" s="403" t="str">
        <f t="shared" si="871"/>
        <v>CPP_7_3</v>
      </c>
    </row>
    <row r="6938" spans="1:22">
      <c r="A6938" t="str">
        <f t="shared" si="864"/>
        <v>MIC-7522-Z30x</v>
      </c>
      <c r="B6938" t="s">
        <v>1523</v>
      </c>
      <c r="C6938" s="403" t="s">
        <v>582</v>
      </c>
      <c r="D6938" t="s">
        <v>1524</v>
      </c>
      <c r="E6938" t="s">
        <v>1526</v>
      </c>
      <c r="F6938" t="s">
        <v>1287</v>
      </c>
      <c r="G6938" t="s">
        <v>1525</v>
      </c>
      <c r="H6938" t="s">
        <v>1282</v>
      </c>
      <c r="I6938">
        <v>1</v>
      </c>
      <c r="J6938" t="s">
        <v>110</v>
      </c>
      <c r="K6938">
        <v>1920</v>
      </c>
      <c r="L6938">
        <v>1080</v>
      </c>
      <c r="M6938" t="s">
        <v>1284</v>
      </c>
      <c r="N6938">
        <v>640</v>
      </c>
      <c r="O6938">
        <v>480</v>
      </c>
      <c r="P6938" t="str">
        <f t="shared" si="865"/>
        <v>25fps 1080p - SD VGA (cropped)</v>
      </c>
      <c r="Q6938">
        <f t="shared" si="866"/>
        <v>38</v>
      </c>
      <c r="R6938" t="str">
        <f t="shared" si="867"/>
        <v/>
      </c>
      <c r="S6938" t="str">
        <f t="shared" si="868"/>
        <v/>
      </c>
      <c r="T6938" s="403" t="str">
        <f t="shared" si="869"/>
        <v>MIC-7522-Z30x</v>
      </c>
      <c r="U6938" s="403">
        <f t="shared" si="870"/>
        <v>1</v>
      </c>
      <c r="V6938" s="403" t="str">
        <f t="shared" si="871"/>
        <v>CPP_7_3</v>
      </c>
    </row>
    <row r="6939" spans="1:22">
      <c r="A6939" t="str">
        <f t="shared" si="864"/>
        <v>MIC-7522-Z30x</v>
      </c>
      <c r="B6939" t="s">
        <v>1523</v>
      </c>
      <c r="C6939" s="403" t="s">
        <v>582</v>
      </c>
      <c r="D6939" t="s">
        <v>1524</v>
      </c>
      <c r="E6939" t="s">
        <v>1526</v>
      </c>
      <c r="F6939" t="s">
        <v>1287</v>
      </c>
      <c r="G6939" t="s">
        <v>1525</v>
      </c>
      <c r="H6939" t="s">
        <v>1282</v>
      </c>
      <c r="I6939">
        <v>1</v>
      </c>
      <c r="J6939" t="s">
        <v>109</v>
      </c>
      <c r="K6939">
        <v>1280</v>
      </c>
      <c r="L6939">
        <v>720</v>
      </c>
      <c r="M6939" t="s">
        <v>109</v>
      </c>
      <c r="N6939">
        <v>1280</v>
      </c>
      <c r="O6939">
        <v>720</v>
      </c>
      <c r="P6939" t="str">
        <f t="shared" si="865"/>
        <v>25fps 720p - 720p</v>
      </c>
      <c r="Q6939">
        <f t="shared" si="866"/>
        <v>38</v>
      </c>
      <c r="R6939" t="str">
        <f t="shared" si="867"/>
        <v/>
      </c>
      <c r="S6939" t="str">
        <f t="shared" si="868"/>
        <v/>
      </c>
      <c r="T6939" s="403" t="str">
        <f t="shared" si="869"/>
        <v>MIC-7522-Z30x</v>
      </c>
      <c r="U6939" s="403">
        <f t="shared" si="870"/>
        <v>1</v>
      </c>
      <c r="V6939" s="403" t="str">
        <f t="shared" si="871"/>
        <v>CPP_7_3</v>
      </c>
    </row>
    <row r="6940" spans="1:22">
      <c r="A6940" t="str">
        <f t="shared" si="864"/>
        <v>MIC-7522-Z30x</v>
      </c>
      <c r="B6940" t="s">
        <v>1523</v>
      </c>
      <c r="C6940" s="403" t="s">
        <v>582</v>
      </c>
      <c r="D6940" t="s">
        <v>1524</v>
      </c>
      <c r="E6940" t="s">
        <v>1526</v>
      </c>
      <c r="F6940" t="s">
        <v>1287</v>
      </c>
      <c r="G6940" t="s">
        <v>1525</v>
      </c>
      <c r="H6940" t="s">
        <v>1282</v>
      </c>
      <c r="I6940">
        <v>1</v>
      </c>
      <c r="J6940" t="s">
        <v>109</v>
      </c>
      <c r="K6940">
        <v>1280</v>
      </c>
      <c r="L6940">
        <v>720</v>
      </c>
      <c r="M6940" t="s">
        <v>111</v>
      </c>
      <c r="N6940">
        <v>768</v>
      </c>
      <c r="O6940">
        <v>432</v>
      </c>
      <c r="P6940" t="str">
        <f t="shared" si="865"/>
        <v>25fps 720p - SD</v>
      </c>
      <c r="Q6940">
        <f t="shared" si="866"/>
        <v>38</v>
      </c>
      <c r="R6940" t="str">
        <f t="shared" si="867"/>
        <v/>
      </c>
      <c r="S6940" t="str">
        <f t="shared" si="868"/>
        <v/>
      </c>
      <c r="T6940" s="403" t="str">
        <f t="shared" si="869"/>
        <v>MIC-7522-Z30x</v>
      </c>
      <c r="U6940" s="403">
        <f t="shared" si="870"/>
        <v>1</v>
      </c>
      <c r="V6940" s="403" t="str">
        <f t="shared" si="871"/>
        <v>CPP_7_3</v>
      </c>
    </row>
    <row r="6941" spans="1:22">
      <c r="A6941" t="str">
        <f t="shared" si="864"/>
        <v>MIC-7522-Z30x</v>
      </c>
      <c r="B6941" t="s">
        <v>1523</v>
      </c>
      <c r="C6941" s="403" t="s">
        <v>582</v>
      </c>
      <c r="D6941" t="s">
        <v>1524</v>
      </c>
      <c r="E6941" t="s">
        <v>1526</v>
      </c>
      <c r="F6941" t="s">
        <v>1287</v>
      </c>
      <c r="G6941" t="s">
        <v>1525</v>
      </c>
      <c r="H6941" t="s">
        <v>1282</v>
      </c>
      <c r="I6941">
        <v>1</v>
      </c>
      <c r="J6941" t="s">
        <v>109</v>
      </c>
      <c r="K6941">
        <v>1280</v>
      </c>
      <c r="L6941">
        <v>720</v>
      </c>
      <c r="M6941" t="s">
        <v>1283</v>
      </c>
      <c r="N6941">
        <v>720</v>
      </c>
      <c r="O6941">
        <v>576</v>
      </c>
      <c r="P6941" t="str">
        <f t="shared" si="865"/>
        <v>25fps 720p - SD 4CIF resolution 4:3 format (cropped)</v>
      </c>
      <c r="Q6941">
        <f t="shared" si="866"/>
        <v>38</v>
      </c>
      <c r="R6941" t="str">
        <f t="shared" si="867"/>
        <v/>
      </c>
      <c r="S6941" t="str">
        <f t="shared" si="868"/>
        <v/>
      </c>
      <c r="T6941" s="403" t="str">
        <f t="shared" si="869"/>
        <v>MIC-7522-Z30x</v>
      </c>
      <c r="U6941" s="403">
        <f t="shared" si="870"/>
        <v>1</v>
      </c>
      <c r="V6941" s="403" t="str">
        <f t="shared" si="871"/>
        <v>CPP_7_3</v>
      </c>
    </row>
    <row r="6942" spans="1:22">
      <c r="A6942" t="str">
        <f t="shared" si="864"/>
        <v>MIC-7522-Z30x</v>
      </c>
      <c r="B6942" t="s">
        <v>1523</v>
      </c>
      <c r="C6942" s="403" t="s">
        <v>582</v>
      </c>
      <c r="D6942" t="s">
        <v>1524</v>
      </c>
      <c r="E6942" t="s">
        <v>1526</v>
      </c>
      <c r="F6942" t="s">
        <v>1287</v>
      </c>
      <c r="G6942" t="s">
        <v>1525</v>
      </c>
      <c r="H6942" t="s">
        <v>1282</v>
      </c>
      <c r="I6942">
        <v>1</v>
      </c>
      <c r="J6942" t="s">
        <v>109</v>
      </c>
      <c r="K6942">
        <v>1280</v>
      </c>
      <c r="L6942">
        <v>720</v>
      </c>
      <c r="M6942" t="s">
        <v>1284</v>
      </c>
      <c r="N6942">
        <v>640</v>
      </c>
      <c r="O6942">
        <v>480</v>
      </c>
      <c r="P6942" t="str">
        <f t="shared" si="865"/>
        <v>25fps 720p - SD VGA (cropped)</v>
      </c>
      <c r="Q6942">
        <f t="shared" si="866"/>
        <v>38</v>
      </c>
      <c r="R6942" t="str">
        <f t="shared" si="867"/>
        <v/>
      </c>
      <c r="S6942" t="str">
        <f t="shared" si="868"/>
        <v/>
      </c>
      <c r="T6942" s="403" t="str">
        <f t="shared" si="869"/>
        <v>MIC-7522-Z30x</v>
      </c>
      <c r="U6942" s="403">
        <f t="shared" si="870"/>
        <v>1</v>
      </c>
      <c r="V6942" s="403" t="str">
        <f t="shared" si="871"/>
        <v>CPP_7_3</v>
      </c>
    </row>
    <row r="6943" spans="1:22">
      <c r="A6943" t="str">
        <f t="shared" si="864"/>
        <v>MIC-7522-Z30x</v>
      </c>
      <c r="B6943" t="s">
        <v>1523</v>
      </c>
      <c r="C6943" s="403" t="s">
        <v>582</v>
      </c>
      <c r="D6943" t="s">
        <v>1524</v>
      </c>
      <c r="E6943" t="s">
        <v>1526</v>
      </c>
      <c r="F6943" t="s">
        <v>1286</v>
      </c>
      <c r="G6943" t="s">
        <v>1525</v>
      </c>
      <c r="H6943" t="s">
        <v>1276</v>
      </c>
      <c r="I6943">
        <v>1</v>
      </c>
      <c r="J6943" t="s">
        <v>110</v>
      </c>
      <c r="K6943">
        <v>1920</v>
      </c>
      <c r="L6943">
        <v>1080</v>
      </c>
      <c r="M6943" t="s">
        <v>111</v>
      </c>
      <c r="N6943">
        <v>768</v>
      </c>
      <c r="O6943">
        <v>432</v>
      </c>
      <c r="P6943" t="str">
        <f t="shared" si="865"/>
        <v>30fps 1080p - SD</v>
      </c>
      <c r="Q6943">
        <f t="shared" si="866"/>
        <v>38</v>
      </c>
      <c r="R6943" t="str">
        <f t="shared" si="867"/>
        <v/>
      </c>
      <c r="S6943" t="str">
        <f t="shared" si="868"/>
        <v/>
      </c>
      <c r="T6943" s="403" t="str">
        <f t="shared" si="869"/>
        <v>MIC-7522-Z30x</v>
      </c>
      <c r="U6943" s="403">
        <f t="shared" si="870"/>
        <v>1</v>
      </c>
      <c r="V6943" s="403" t="str">
        <f t="shared" si="871"/>
        <v>CPP_7_3</v>
      </c>
    </row>
    <row r="6944" spans="1:22">
      <c r="A6944" t="str">
        <f t="shared" si="864"/>
        <v>MIC-7522-Z30x</v>
      </c>
      <c r="B6944" t="s">
        <v>1523</v>
      </c>
      <c r="C6944" s="403" t="s">
        <v>582</v>
      </c>
      <c r="D6944" t="s">
        <v>1524</v>
      </c>
      <c r="E6944" t="s">
        <v>1526</v>
      </c>
      <c r="F6944" t="s">
        <v>1286</v>
      </c>
      <c r="G6944" t="s">
        <v>1525</v>
      </c>
      <c r="H6944" t="s">
        <v>1276</v>
      </c>
      <c r="I6944">
        <v>1</v>
      </c>
      <c r="J6944" t="s">
        <v>110</v>
      </c>
      <c r="K6944">
        <v>1920</v>
      </c>
      <c r="L6944">
        <v>1080</v>
      </c>
      <c r="M6944" t="s">
        <v>110</v>
      </c>
      <c r="N6944">
        <v>1920</v>
      </c>
      <c r="O6944">
        <v>1080</v>
      </c>
      <c r="P6944" t="str">
        <f t="shared" si="865"/>
        <v>30fps 1080p - 1080p</v>
      </c>
      <c r="Q6944">
        <f t="shared" si="866"/>
        <v>38</v>
      </c>
      <c r="R6944" t="str">
        <f t="shared" si="867"/>
        <v/>
      </c>
      <c r="S6944" t="str">
        <f t="shared" si="868"/>
        <v/>
      </c>
      <c r="T6944" s="403" t="str">
        <f t="shared" si="869"/>
        <v>MIC-7522-Z30x</v>
      </c>
      <c r="U6944" s="403">
        <f t="shared" si="870"/>
        <v>1</v>
      </c>
      <c r="V6944" s="403" t="str">
        <f t="shared" si="871"/>
        <v>CPP_7_3</v>
      </c>
    </row>
    <row r="6945" spans="1:22">
      <c r="A6945" t="str">
        <f t="shared" si="864"/>
        <v>MIC-7522-Z30x</v>
      </c>
      <c r="B6945" t="s">
        <v>1523</v>
      </c>
      <c r="C6945" s="403" t="s">
        <v>582</v>
      </c>
      <c r="D6945" t="s">
        <v>1524</v>
      </c>
      <c r="E6945" t="s">
        <v>1526</v>
      </c>
      <c r="F6945" t="s">
        <v>1286</v>
      </c>
      <c r="G6945" t="s">
        <v>1525</v>
      </c>
      <c r="H6945" t="s">
        <v>1276</v>
      </c>
      <c r="I6945">
        <v>1</v>
      </c>
      <c r="J6945" t="s">
        <v>110</v>
      </c>
      <c r="K6945">
        <v>1920</v>
      </c>
      <c r="L6945">
        <v>1080</v>
      </c>
      <c r="M6945" t="s">
        <v>109</v>
      </c>
      <c r="N6945">
        <v>1280</v>
      </c>
      <c r="O6945">
        <v>720</v>
      </c>
      <c r="P6945" t="str">
        <f t="shared" si="865"/>
        <v>30fps 1080p - 720p</v>
      </c>
      <c r="Q6945">
        <f t="shared" si="866"/>
        <v>38</v>
      </c>
      <c r="R6945" t="str">
        <f t="shared" si="867"/>
        <v/>
      </c>
      <c r="S6945" t="str">
        <f t="shared" si="868"/>
        <v/>
      </c>
      <c r="T6945" s="403" t="str">
        <f t="shared" si="869"/>
        <v>MIC-7522-Z30x</v>
      </c>
      <c r="U6945" s="403">
        <f t="shared" si="870"/>
        <v>1</v>
      </c>
      <c r="V6945" s="403" t="str">
        <f t="shared" si="871"/>
        <v>CPP_7_3</v>
      </c>
    </row>
    <row r="6946" spans="1:22">
      <c r="A6946" t="str">
        <f t="shared" si="864"/>
        <v>MIC-7522-Z30x</v>
      </c>
      <c r="B6946" t="s">
        <v>1523</v>
      </c>
      <c r="C6946" s="403" t="s">
        <v>582</v>
      </c>
      <c r="D6946" t="s">
        <v>1524</v>
      </c>
      <c r="E6946" t="s">
        <v>1526</v>
      </c>
      <c r="F6946" t="s">
        <v>1286</v>
      </c>
      <c r="G6946" t="s">
        <v>1525</v>
      </c>
      <c r="H6946" t="s">
        <v>1276</v>
      </c>
      <c r="I6946">
        <v>1</v>
      </c>
      <c r="J6946" t="s">
        <v>110</v>
      </c>
      <c r="K6946">
        <v>1920</v>
      </c>
      <c r="L6946">
        <v>1080</v>
      </c>
      <c r="M6946" t="s">
        <v>1285</v>
      </c>
      <c r="N6946">
        <v>1280</v>
      </c>
      <c r="O6946">
        <v>1024</v>
      </c>
      <c r="P6946" t="str">
        <f t="shared" si="865"/>
        <v>30fps 1080p - 1280x1024 5:4 (cropped)</v>
      </c>
      <c r="Q6946">
        <f t="shared" si="866"/>
        <v>38</v>
      </c>
      <c r="R6946" t="str">
        <f t="shared" si="867"/>
        <v/>
      </c>
      <c r="S6946" t="str">
        <f t="shared" si="868"/>
        <v/>
      </c>
      <c r="T6946" s="403" t="str">
        <f t="shared" si="869"/>
        <v>MIC-7522-Z30x</v>
      </c>
      <c r="U6946" s="403">
        <f t="shared" si="870"/>
        <v>1</v>
      </c>
      <c r="V6946" s="403" t="str">
        <f t="shared" si="871"/>
        <v>CPP_7_3</v>
      </c>
    </row>
    <row r="6947" spans="1:22">
      <c r="A6947" t="str">
        <f t="shared" si="864"/>
        <v>MIC-7522-Z30x</v>
      </c>
      <c r="B6947" t="s">
        <v>1523</v>
      </c>
      <c r="C6947" s="403" t="s">
        <v>582</v>
      </c>
      <c r="D6947" t="s">
        <v>1524</v>
      </c>
      <c r="E6947" t="s">
        <v>1526</v>
      </c>
      <c r="F6947" t="s">
        <v>1286</v>
      </c>
      <c r="G6947" t="s">
        <v>1525</v>
      </c>
      <c r="H6947" t="s">
        <v>1276</v>
      </c>
      <c r="I6947">
        <v>1</v>
      </c>
      <c r="J6947" t="s">
        <v>110</v>
      </c>
      <c r="K6947">
        <v>1920</v>
      </c>
      <c r="L6947">
        <v>1080</v>
      </c>
      <c r="M6947" t="s">
        <v>1283</v>
      </c>
      <c r="N6947">
        <v>720</v>
      </c>
      <c r="O6947">
        <v>480</v>
      </c>
      <c r="P6947" t="str">
        <f t="shared" si="865"/>
        <v>30fps 1080p - SD 4CIF resolution 4:3 format (cropped)</v>
      </c>
      <c r="Q6947">
        <f t="shared" si="866"/>
        <v>38</v>
      </c>
      <c r="R6947" t="str">
        <f t="shared" si="867"/>
        <v/>
      </c>
      <c r="S6947" t="str">
        <f t="shared" si="868"/>
        <v/>
      </c>
      <c r="T6947" s="403" t="str">
        <f t="shared" si="869"/>
        <v>MIC-7522-Z30x</v>
      </c>
      <c r="U6947" s="403">
        <f t="shared" si="870"/>
        <v>1</v>
      </c>
      <c r="V6947" s="403" t="str">
        <f t="shared" si="871"/>
        <v>CPP_7_3</v>
      </c>
    </row>
    <row r="6948" spans="1:22">
      <c r="A6948" t="str">
        <f t="shared" si="864"/>
        <v>MIC-7522-Z30x</v>
      </c>
      <c r="B6948" t="s">
        <v>1523</v>
      </c>
      <c r="C6948" s="403" t="s">
        <v>582</v>
      </c>
      <c r="D6948" t="s">
        <v>1524</v>
      </c>
      <c r="E6948" t="s">
        <v>1526</v>
      </c>
      <c r="F6948" t="s">
        <v>1286</v>
      </c>
      <c r="G6948" t="s">
        <v>1525</v>
      </c>
      <c r="H6948" t="s">
        <v>1276</v>
      </c>
      <c r="I6948">
        <v>1</v>
      </c>
      <c r="J6948" t="s">
        <v>110</v>
      </c>
      <c r="K6948">
        <v>1920</v>
      </c>
      <c r="L6948">
        <v>1080</v>
      </c>
      <c r="M6948" t="s">
        <v>1284</v>
      </c>
      <c r="N6948">
        <v>640</v>
      </c>
      <c r="O6948">
        <v>480</v>
      </c>
      <c r="P6948" t="str">
        <f t="shared" si="865"/>
        <v>30fps 1080p - SD VGA (cropped)</v>
      </c>
      <c r="Q6948">
        <f t="shared" si="866"/>
        <v>38</v>
      </c>
      <c r="R6948" t="str">
        <f t="shared" si="867"/>
        <v/>
      </c>
      <c r="S6948" t="str">
        <f t="shared" si="868"/>
        <v/>
      </c>
      <c r="T6948" s="403" t="str">
        <f t="shared" si="869"/>
        <v>MIC-7522-Z30x</v>
      </c>
      <c r="U6948" s="403">
        <f t="shared" si="870"/>
        <v>1</v>
      </c>
      <c r="V6948" s="403" t="str">
        <f t="shared" si="871"/>
        <v>CPP_7_3</v>
      </c>
    </row>
    <row r="6949" spans="1:22">
      <c r="A6949" t="str">
        <f t="shared" si="864"/>
        <v>MIC-7522-Z30x</v>
      </c>
      <c r="B6949" t="s">
        <v>1523</v>
      </c>
      <c r="C6949" s="403" t="s">
        <v>582</v>
      </c>
      <c r="D6949" t="s">
        <v>1524</v>
      </c>
      <c r="E6949" t="s">
        <v>1526</v>
      </c>
      <c r="F6949" t="s">
        <v>1286</v>
      </c>
      <c r="G6949" t="s">
        <v>1525</v>
      </c>
      <c r="H6949" t="s">
        <v>1276</v>
      </c>
      <c r="I6949">
        <v>1</v>
      </c>
      <c r="J6949" t="s">
        <v>109</v>
      </c>
      <c r="K6949">
        <v>1280</v>
      </c>
      <c r="L6949">
        <v>720</v>
      </c>
      <c r="M6949" t="s">
        <v>109</v>
      </c>
      <c r="N6949">
        <v>1280</v>
      </c>
      <c r="O6949">
        <v>720</v>
      </c>
      <c r="P6949" t="str">
        <f t="shared" si="865"/>
        <v>30fps 720p - 720p</v>
      </c>
      <c r="Q6949">
        <f t="shared" si="866"/>
        <v>38</v>
      </c>
      <c r="R6949" t="str">
        <f t="shared" si="867"/>
        <v/>
      </c>
      <c r="S6949" t="str">
        <f t="shared" si="868"/>
        <v/>
      </c>
      <c r="T6949" s="403" t="str">
        <f t="shared" si="869"/>
        <v>MIC-7522-Z30x</v>
      </c>
      <c r="U6949" s="403">
        <f t="shared" si="870"/>
        <v>1</v>
      </c>
      <c r="V6949" s="403" t="str">
        <f t="shared" si="871"/>
        <v>CPP_7_3</v>
      </c>
    </row>
    <row r="6950" spans="1:22">
      <c r="A6950" t="str">
        <f t="shared" si="864"/>
        <v>MIC-7522-Z30x</v>
      </c>
      <c r="B6950" t="s">
        <v>1523</v>
      </c>
      <c r="C6950" s="403" t="s">
        <v>582</v>
      </c>
      <c r="D6950" t="s">
        <v>1524</v>
      </c>
      <c r="E6950" t="s">
        <v>1526</v>
      </c>
      <c r="F6950" t="s">
        <v>1286</v>
      </c>
      <c r="G6950" t="s">
        <v>1525</v>
      </c>
      <c r="H6950" t="s">
        <v>1276</v>
      </c>
      <c r="I6950">
        <v>1</v>
      </c>
      <c r="J6950" t="s">
        <v>109</v>
      </c>
      <c r="K6950">
        <v>1280</v>
      </c>
      <c r="L6950">
        <v>720</v>
      </c>
      <c r="M6950" t="s">
        <v>111</v>
      </c>
      <c r="N6950">
        <v>768</v>
      </c>
      <c r="O6950">
        <v>432</v>
      </c>
      <c r="P6950" t="str">
        <f t="shared" si="865"/>
        <v>30fps 720p - SD</v>
      </c>
      <c r="Q6950">
        <f t="shared" si="866"/>
        <v>38</v>
      </c>
      <c r="R6950" t="str">
        <f t="shared" si="867"/>
        <v/>
      </c>
      <c r="S6950" t="str">
        <f t="shared" si="868"/>
        <v/>
      </c>
      <c r="T6950" s="403" t="str">
        <f t="shared" si="869"/>
        <v>MIC-7522-Z30x</v>
      </c>
      <c r="U6950" s="403">
        <f t="shared" si="870"/>
        <v>1</v>
      </c>
      <c r="V6950" s="403" t="str">
        <f t="shared" si="871"/>
        <v>CPP_7_3</v>
      </c>
    </row>
    <row r="6951" spans="1:22">
      <c r="A6951" t="str">
        <f t="shared" si="864"/>
        <v>MIC-7522-Z30x</v>
      </c>
      <c r="B6951" t="s">
        <v>1523</v>
      </c>
      <c r="C6951" s="403" t="s">
        <v>582</v>
      </c>
      <c r="D6951" t="s">
        <v>1524</v>
      </c>
      <c r="E6951" t="s">
        <v>1526</v>
      </c>
      <c r="F6951" t="s">
        <v>1286</v>
      </c>
      <c r="G6951" t="s">
        <v>1525</v>
      </c>
      <c r="H6951" t="s">
        <v>1276</v>
      </c>
      <c r="I6951">
        <v>1</v>
      </c>
      <c r="J6951" t="s">
        <v>109</v>
      </c>
      <c r="K6951">
        <v>1280</v>
      </c>
      <c r="L6951">
        <v>720</v>
      </c>
      <c r="M6951" t="s">
        <v>1283</v>
      </c>
      <c r="N6951">
        <v>720</v>
      </c>
      <c r="O6951">
        <v>480</v>
      </c>
      <c r="P6951" t="str">
        <f t="shared" si="865"/>
        <v>30fps 720p - SD 4CIF resolution 4:3 format (cropped)</v>
      </c>
      <c r="Q6951">
        <f t="shared" si="866"/>
        <v>38</v>
      </c>
      <c r="R6951" t="str">
        <f t="shared" si="867"/>
        <v/>
      </c>
      <c r="S6951" t="str">
        <f t="shared" si="868"/>
        <v/>
      </c>
      <c r="T6951" s="403" t="str">
        <f t="shared" si="869"/>
        <v>MIC-7522-Z30x</v>
      </c>
      <c r="U6951" s="403">
        <f t="shared" si="870"/>
        <v>1</v>
      </c>
      <c r="V6951" s="403" t="str">
        <f t="shared" si="871"/>
        <v>CPP_7_3</v>
      </c>
    </row>
    <row r="6952" spans="1:22">
      <c r="A6952" t="str">
        <f t="shared" si="864"/>
        <v>MIC-7522-Z30x</v>
      </c>
      <c r="B6952" t="s">
        <v>1523</v>
      </c>
      <c r="C6952" s="403" t="s">
        <v>582</v>
      </c>
      <c r="D6952" t="s">
        <v>1524</v>
      </c>
      <c r="E6952" t="s">
        <v>1526</v>
      </c>
      <c r="F6952" t="s">
        <v>1286</v>
      </c>
      <c r="G6952" t="s">
        <v>1525</v>
      </c>
      <c r="H6952" t="s">
        <v>1276</v>
      </c>
      <c r="I6952">
        <v>1</v>
      </c>
      <c r="J6952" t="s">
        <v>109</v>
      </c>
      <c r="K6952">
        <v>1280</v>
      </c>
      <c r="L6952">
        <v>720</v>
      </c>
      <c r="M6952" t="s">
        <v>1284</v>
      </c>
      <c r="N6952">
        <v>640</v>
      </c>
      <c r="O6952">
        <v>480</v>
      </c>
      <c r="P6952" t="str">
        <f t="shared" si="865"/>
        <v>30fps 720p - SD VGA (cropped)</v>
      </c>
      <c r="Q6952">
        <f t="shared" si="866"/>
        <v>38</v>
      </c>
      <c r="R6952" t="str">
        <f t="shared" si="867"/>
        <v/>
      </c>
      <c r="S6952" t="str">
        <f t="shared" si="868"/>
        <v/>
      </c>
      <c r="T6952" s="403" t="str">
        <f t="shared" si="869"/>
        <v>MIC-7522-Z30x</v>
      </c>
      <c r="U6952" s="403">
        <f t="shared" si="870"/>
        <v>1</v>
      </c>
      <c r="V6952" s="403" t="str">
        <f t="shared" si="871"/>
        <v>CPP_7_3</v>
      </c>
    </row>
    <row r="6953" spans="1:22">
      <c r="A6953" t="str">
        <f t="shared" si="864"/>
        <v>MIC-7522-Z30x</v>
      </c>
      <c r="B6953" t="s">
        <v>1523</v>
      </c>
      <c r="C6953" s="403" t="s">
        <v>582</v>
      </c>
      <c r="D6953" t="s">
        <v>1524</v>
      </c>
      <c r="E6953" t="s">
        <v>1526</v>
      </c>
      <c r="F6953" t="s">
        <v>1286</v>
      </c>
      <c r="G6953" t="s">
        <v>1525</v>
      </c>
      <c r="H6953" t="s">
        <v>1281</v>
      </c>
      <c r="I6953">
        <v>1</v>
      </c>
      <c r="J6953" t="s">
        <v>110</v>
      </c>
      <c r="K6953">
        <v>1920</v>
      </c>
      <c r="L6953">
        <v>1080</v>
      </c>
      <c r="M6953" t="s">
        <v>111</v>
      </c>
      <c r="N6953">
        <v>768</v>
      </c>
      <c r="O6953">
        <v>432</v>
      </c>
      <c r="P6953" t="str">
        <f t="shared" si="865"/>
        <v>30fps 1080p - SD</v>
      </c>
      <c r="Q6953">
        <f t="shared" si="866"/>
        <v>38</v>
      </c>
      <c r="R6953" t="str">
        <f t="shared" si="867"/>
        <v/>
      </c>
      <c r="S6953" t="str">
        <f t="shared" si="868"/>
        <v/>
      </c>
      <c r="T6953" s="403" t="str">
        <f t="shared" si="869"/>
        <v>MIC-7522-Z30x</v>
      </c>
      <c r="U6953" s="403">
        <f t="shared" si="870"/>
        <v>1</v>
      </c>
      <c r="V6953" s="403" t="str">
        <f t="shared" si="871"/>
        <v>CPP_7_3</v>
      </c>
    </row>
    <row r="6954" spans="1:22">
      <c r="A6954" t="str">
        <f t="shared" ref="A6954:A7017" si="872">IF(AND(G6954&lt;&gt;"rotate 90°"),D6954,"")</f>
        <v>MIC-7522-Z30x</v>
      </c>
      <c r="B6954" t="s">
        <v>1523</v>
      </c>
      <c r="C6954" s="403" t="s">
        <v>582</v>
      </c>
      <c r="D6954" t="s">
        <v>1524</v>
      </c>
      <c r="E6954" t="s">
        <v>1526</v>
      </c>
      <c r="F6954" t="s">
        <v>1286</v>
      </c>
      <c r="G6954" t="s">
        <v>1525</v>
      </c>
      <c r="H6954" t="s">
        <v>1281</v>
      </c>
      <c r="I6954">
        <v>1</v>
      </c>
      <c r="J6954" t="s">
        <v>110</v>
      </c>
      <c r="K6954">
        <v>1920</v>
      </c>
      <c r="L6954">
        <v>1080</v>
      </c>
      <c r="M6954" t="s">
        <v>110</v>
      </c>
      <c r="N6954">
        <v>1920</v>
      </c>
      <c r="O6954">
        <v>1080</v>
      </c>
      <c r="P6954" t="str">
        <f t="shared" ref="P6954:P7017" si="873">LEFT(F6954,5)&amp;" "&amp;J6954&amp;" - "&amp;M6954</f>
        <v>30fps 1080p - 1080p</v>
      </c>
      <c r="Q6954">
        <f t="shared" ref="Q6954:Q7017" si="874">IF(A6953=A6954,Q6953,Q6953+1)</f>
        <v>38</v>
      </c>
      <c r="R6954" t="str">
        <f t="shared" ref="R6954:R7017" si="875">IF(Q6953&lt;&gt;Q6954,Q6954,"")</f>
        <v/>
      </c>
      <c r="S6954" t="str">
        <f t="shared" ref="S6954:S7017" si="876">IF(R6954&lt;&gt;"",B6954&amp;" ("&amp;D6954&amp;")","")</f>
        <v/>
      </c>
      <c r="T6954" s="403" t="str">
        <f t="shared" ref="T6954:T7017" si="877">D6954</f>
        <v>MIC-7522-Z30x</v>
      </c>
      <c r="U6954" s="403">
        <f t="shared" ref="U6954:U7017" si="878">I6954</f>
        <v>1</v>
      </c>
      <c r="V6954" s="403" t="str">
        <f t="shared" ref="V6954:V7017" si="879">C6954</f>
        <v>CPP_7_3</v>
      </c>
    </row>
    <row r="6955" spans="1:22">
      <c r="A6955" t="str">
        <f t="shared" si="872"/>
        <v>MIC-7522-Z30x</v>
      </c>
      <c r="B6955" t="s">
        <v>1523</v>
      </c>
      <c r="C6955" s="403" t="s">
        <v>582</v>
      </c>
      <c r="D6955" t="s">
        <v>1524</v>
      </c>
      <c r="E6955" t="s">
        <v>1526</v>
      </c>
      <c r="F6955" t="s">
        <v>1286</v>
      </c>
      <c r="G6955" t="s">
        <v>1525</v>
      </c>
      <c r="H6955" t="s">
        <v>1281</v>
      </c>
      <c r="I6955">
        <v>1</v>
      </c>
      <c r="J6955" t="s">
        <v>110</v>
      </c>
      <c r="K6955">
        <v>1920</v>
      </c>
      <c r="L6955">
        <v>1080</v>
      </c>
      <c r="M6955" t="s">
        <v>109</v>
      </c>
      <c r="N6955">
        <v>1280</v>
      </c>
      <c r="O6955">
        <v>720</v>
      </c>
      <c r="P6955" t="str">
        <f t="shared" si="873"/>
        <v>30fps 1080p - 720p</v>
      </c>
      <c r="Q6955">
        <f t="shared" si="874"/>
        <v>38</v>
      </c>
      <c r="R6955" t="str">
        <f t="shared" si="875"/>
        <v/>
      </c>
      <c r="S6955" t="str">
        <f t="shared" si="876"/>
        <v/>
      </c>
      <c r="T6955" s="403" t="str">
        <f t="shared" si="877"/>
        <v>MIC-7522-Z30x</v>
      </c>
      <c r="U6955" s="403">
        <f t="shared" si="878"/>
        <v>1</v>
      </c>
      <c r="V6955" s="403" t="str">
        <f t="shared" si="879"/>
        <v>CPP_7_3</v>
      </c>
    </row>
    <row r="6956" spans="1:22">
      <c r="A6956" t="str">
        <f t="shared" si="872"/>
        <v>MIC-7522-Z30x</v>
      </c>
      <c r="B6956" t="s">
        <v>1523</v>
      </c>
      <c r="C6956" s="403" t="s">
        <v>582</v>
      </c>
      <c r="D6956" t="s">
        <v>1524</v>
      </c>
      <c r="E6956" t="s">
        <v>1526</v>
      </c>
      <c r="F6956" t="s">
        <v>1286</v>
      </c>
      <c r="G6956" t="s">
        <v>1525</v>
      </c>
      <c r="H6956" t="s">
        <v>1281</v>
      </c>
      <c r="I6956">
        <v>1</v>
      </c>
      <c r="J6956" t="s">
        <v>110</v>
      </c>
      <c r="K6956">
        <v>1920</v>
      </c>
      <c r="L6956">
        <v>1080</v>
      </c>
      <c r="M6956" t="s">
        <v>1285</v>
      </c>
      <c r="N6956">
        <v>1280</v>
      </c>
      <c r="O6956">
        <v>1024</v>
      </c>
      <c r="P6956" t="str">
        <f t="shared" si="873"/>
        <v>30fps 1080p - 1280x1024 5:4 (cropped)</v>
      </c>
      <c r="Q6956">
        <f t="shared" si="874"/>
        <v>38</v>
      </c>
      <c r="R6956" t="str">
        <f t="shared" si="875"/>
        <v/>
      </c>
      <c r="S6956" t="str">
        <f t="shared" si="876"/>
        <v/>
      </c>
      <c r="T6956" s="403" t="str">
        <f t="shared" si="877"/>
        <v>MIC-7522-Z30x</v>
      </c>
      <c r="U6956" s="403">
        <f t="shared" si="878"/>
        <v>1</v>
      </c>
      <c r="V6956" s="403" t="str">
        <f t="shared" si="879"/>
        <v>CPP_7_3</v>
      </c>
    </row>
    <row r="6957" spans="1:22">
      <c r="A6957" t="str">
        <f t="shared" si="872"/>
        <v>MIC-7522-Z30x</v>
      </c>
      <c r="B6957" t="s">
        <v>1523</v>
      </c>
      <c r="C6957" s="403" t="s">
        <v>582</v>
      </c>
      <c r="D6957" t="s">
        <v>1524</v>
      </c>
      <c r="E6957" t="s">
        <v>1526</v>
      </c>
      <c r="F6957" t="s">
        <v>1286</v>
      </c>
      <c r="G6957" t="s">
        <v>1525</v>
      </c>
      <c r="H6957" t="s">
        <v>1281</v>
      </c>
      <c r="I6957">
        <v>1</v>
      </c>
      <c r="J6957" t="s">
        <v>110</v>
      </c>
      <c r="K6957">
        <v>1920</v>
      </c>
      <c r="L6957">
        <v>1080</v>
      </c>
      <c r="M6957" t="s">
        <v>1283</v>
      </c>
      <c r="N6957">
        <v>720</v>
      </c>
      <c r="O6957">
        <v>480</v>
      </c>
      <c r="P6957" t="str">
        <f t="shared" si="873"/>
        <v>30fps 1080p - SD 4CIF resolution 4:3 format (cropped)</v>
      </c>
      <c r="Q6957">
        <f t="shared" si="874"/>
        <v>38</v>
      </c>
      <c r="R6957" t="str">
        <f t="shared" si="875"/>
        <v/>
      </c>
      <c r="S6957" t="str">
        <f t="shared" si="876"/>
        <v/>
      </c>
      <c r="T6957" s="403" t="str">
        <f t="shared" si="877"/>
        <v>MIC-7522-Z30x</v>
      </c>
      <c r="U6957" s="403">
        <f t="shared" si="878"/>
        <v>1</v>
      </c>
      <c r="V6957" s="403" t="str">
        <f t="shared" si="879"/>
        <v>CPP_7_3</v>
      </c>
    </row>
    <row r="6958" spans="1:22">
      <c r="A6958" t="str">
        <f t="shared" si="872"/>
        <v>MIC-7522-Z30x</v>
      </c>
      <c r="B6958" t="s">
        <v>1523</v>
      </c>
      <c r="C6958" s="403" t="s">
        <v>582</v>
      </c>
      <c r="D6958" t="s">
        <v>1524</v>
      </c>
      <c r="E6958" t="s">
        <v>1526</v>
      </c>
      <c r="F6958" t="s">
        <v>1286</v>
      </c>
      <c r="G6958" t="s">
        <v>1525</v>
      </c>
      <c r="H6958" t="s">
        <v>1281</v>
      </c>
      <c r="I6958">
        <v>1</v>
      </c>
      <c r="J6958" t="s">
        <v>110</v>
      </c>
      <c r="K6958">
        <v>1920</v>
      </c>
      <c r="L6958">
        <v>1080</v>
      </c>
      <c r="M6958" t="s">
        <v>1284</v>
      </c>
      <c r="N6958">
        <v>640</v>
      </c>
      <c r="O6958">
        <v>480</v>
      </c>
      <c r="P6958" t="str">
        <f t="shared" si="873"/>
        <v>30fps 1080p - SD VGA (cropped)</v>
      </c>
      <c r="Q6958">
        <f t="shared" si="874"/>
        <v>38</v>
      </c>
      <c r="R6958" t="str">
        <f t="shared" si="875"/>
        <v/>
      </c>
      <c r="S6958" t="str">
        <f t="shared" si="876"/>
        <v/>
      </c>
      <c r="T6958" s="403" t="str">
        <f t="shared" si="877"/>
        <v>MIC-7522-Z30x</v>
      </c>
      <c r="U6958" s="403">
        <f t="shared" si="878"/>
        <v>1</v>
      </c>
      <c r="V6958" s="403" t="str">
        <f t="shared" si="879"/>
        <v>CPP_7_3</v>
      </c>
    </row>
    <row r="6959" spans="1:22">
      <c r="A6959" t="str">
        <f t="shared" si="872"/>
        <v>MIC-7522-Z30x</v>
      </c>
      <c r="B6959" t="s">
        <v>1523</v>
      </c>
      <c r="C6959" s="403" t="s">
        <v>582</v>
      </c>
      <c r="D6959" t="s">
        <v>1524</v>
      </c>
      <c r="E6959" t="s">
        <v>1526</v>
      </c>
      <c r="F6959" t="s">
        <v>1286</v>
      </c>
      <c r="G6959" t="s">
        <v>1525</v>
      </c>
      <c r="H6959" t="s">
        <v>1281</v>
      </c>
      <c r="I6959">
        <v>1</v>
      </c>
      <c r="J6959" t="s">
        <v>109</v>
      </c>
      <c r="K6959">
        <v>1280</v>
      </c>
      <c r="L6959">
        <v>720</v>
      </c>
      <c r="M6959" t="s">
        <v>109</v>
      </c>
      <c r="N6959">
        <v>1280</v>
      </c>
      <c r="O6959">
        <v>720</v>
      </c>
      <c r="P6959" t="str">
        <f t="shared" si="873"/>
        <v>30fps 720p - 720p</v>
      </c>
      <c r="Q6959">
        <f t="shared" si="874"/>
        <v>38</v>
      </c>
      <c r="R6959" t="str">
        <f t="shared" si="875"/>
        <v/>
      </c>
      <c r="S6959" t="str">
        <f t="shared" si="876"/>
        <v/>
      </c>
      <c r="T6959" s="403" t="str">
        <f t="shared" si="877"/>
        <v>MIC-7522-Z30x</v>
      </c>
      <c r="U6959" s="403">
        <f t="shared" si="878"/>
        <v>1</v>
      </c>
      <c r="V6959" s="403" t="str">
        <f t="shared" si="879"/>
        <v>CPP_7_3</v>
      </c>
    </row>
    <row r="6960" spans="1:22">
      <c r="A6960" t="str">
        <f t="shared" si="872"/>
        <v>MIC-7522-Z30x</v>
      </c>
      <c r="B6960" t="s">
        <v>1523</v>
      </c>
      <c r="C6960" s="403" t="s">
        <v>582</v>
      </c>
      <c r="D6960" t="s">
        <v>1524</v>
      </c>
      <c r="E6960" t="s">
        <v>1526</v>
      </c>
      <c r="F6960" t="s">
        <v>1286</v>
      </c>
      <c r="G6960" t="s">
        <v>1525</v>
      </c>
      <c r="H6960" t="s">
        <v>1281</v>
      </c>
      <c r="I6960">
        <v>1</v>
      </c>
      <c r="J6960" t="s">
        <v>109</v>
      </c>
      <c r="K6960">
        <v>1280</v>
      </c>
      <c r="L6960">
        <v>720</v>
      </c>
      <c r="M6960" t="s">
        <v>111</v>
      </c>
      <c r="N6960">
        <v>768</v>
      </c>
      <c r="O6960">
        <v>432</v>
      </c>
      <c r="P6960" t="str">
        <f t="shared" si="873"/>
        <v>30fps 720p - SD</v>
      </c>
      <c r="Q6960">
        <f t="shared" si="874"/>
        <v>38</v>
      </c>
      <c r="R6960" t="str">
        <f t="shared" si="875"/>
        <v/>
      </c>
      <c r="S6960" t="str">
        <f t="shared" si="876"/>
        <v/>
      </c>
      <c r="T6960" s="403" t="str">
        <f t="shared" si="877"/>
        <v>MIC-7522-Z30x</v>
      </c>
      <c r="U6960" s="403">
        <f t="shared" si="878"/>
        <v>1</v>
      </c>
      <c r="V6960" s="403" t="str">
        <f t="shared" si="879"/>
        <v>CPP_7_3</v>
      </c>
    </row>
    <row r="6961" spans="1:22">
      <c r="A6961" t="str">
        <f t="shared" si="872"/>
        <v>MIC-7522-Z30x</v>
      </c>
      <c r="B6961" t="s">
        <v>1523</v>
      </c>
      <c r="C6961" s="403" t="s">
        <v>582</v>
      </c>
      <c r="D6961" t="s">
        <v>1524</v>
      </c>
      <c r="E6961" t="s">
        <v>1526</v>
      </c>
      <c r="F6961" t="s">
        <v>1286</v>
      </c>
      <c r="G6961" t="s">
        <v>1525</v>
      </c>
      <c r="H6961" t="s">
        <v>1281</v>
      </c>
      <c r="I6961">
        <v>1</v>
      </c>
      <c r="J6961" t="s">
        <v>109</v>
      </c>
      <c r="K6961">
        <v>1280</v>
      </c>
      <c r="L6961">
        <v>720</v>
      </c>
      <c r="M6961" t="s">
        <v>1283</v>
      </c>
      <c r="N6961">
        <v>720</v>
      </c>
      <c r="O6961">
        <v>480</v>
      </c>
      <c r="P6961" t="str">
        <f t="shared" si="873"/>
        <v>30fps 720p - SD 4CIF resolution 4:3 format (cropped)</v>
      </c>
      <c r="Q6961">
        <f t="shared" si="874"/>
        <v>38</v>
      </c>
      <c r="R6961" t="str">
        <f t="shared" si="875"/>
        <v/>
      </c>
      <c r="S6961" t="str">
        <f t="shared" si="876"/>
        <v/>
      </c>
      <c r="T6961" s="403" t="str">
        <f t="shared" si="877"/>
        <v>MIC-7522-Z30x</v>
      </c>
      <c r="U6961" s="403">
        <f t="shared" si="878"/>
        <v>1</v>
      </c>
      <c r="V6961" s="403" t="str">
        <f t="shared" si="879"/>
        <v>CPP_7_3</v>
      </c>
    </row>
    <row r="6962" spans="1:22">
      <c r="A6962" t="str">
        <f t="shared" si="872"/>
        <v>MIC-7522-Z30x</v>
      </c>
      <c r="B6962" t="s">
        <v>1523</v>
      </c>
      <c r="C6962" s="403" t="s">
        <v>582</v>
      </c>
      <c r="D6962" t="s">
        <v>1524</v>
      </c>
      <c r="E6962" t="s">
        <v>1526</v>
      </c>
      <c r="F6962" t="s">
        <v>1286</v>
      </c>
      <c r="G6962" t="s">
        <v>1525</v>
      </c>
      <c r="H6962" t="s">
        <v>1281</v>
      </c>
      <c r="I6962">
        <v>1</v>
      </c>
      <c r="J6962" t="s">
        <v>109</v>
      </c>
      <c r="K6962">
        <v>1280</v>
      </c>
      <c r="L6962">
        <v>720</v>
      </c>
      <c r="M6962" t="s">
        <v>1284</v>
      </c>
      <c r="N6962">
        <v>640</v>
      </c>
      <c r="O6962">
        <v>480</v>
      </c>
      <c r="P6962" t="str">
        <f t="shared" si="873"/>
        <v>30fps 720p - SD VGA (cropped)</v>
      </c>
      <c r="Q6962">
        <f t="shared" si="874"/>
        <v>38</v>
      </c>
      <c r="R6962" t="str">
        <f t="shared" si="875"/>
        <v/>
      </c>
      <c r="S6962" t="str">
        <f t="shared" si="876"/>
        <v/>
      </c>
      <c r="T6962" s="403" t="str">
        <f t="shared" si="877"/>
        <v>MIC-7522-Z30x</v>
      </c>
      <c r="U6962" s="403">
        <f t="shared" si="878"/>
        <v>1</v>
      </c>
      <c r="V6962" s="403" t="str">
        <f t="shared" si="879"/>
        <v>CPP_7_3</v>
      </c>
    </row>
    <row r="6963" spans="1:22">
      <c r="A6963" t="str">
        <f t="shared" si="872"/>
        <v>MIC-7522-Z30x</v>
      </c>
      <c r="B6963" t="s">
        <v>1523</v>
      </c>
      <c r="C6963" s="403" t="s">
        <v>582</v>
      </c>
      <c r="D6963" t="s">
        <v>1524</v>
      </c>
      <c r="E6963" t="s">
        <v>1526</v>
      </c>
      <c r="F6963" t="s">
        <v>1286</v>
      </c>
      <c r="G6963" t="s">
        <v>1525</v>
      </c>
      <c r="H6963" t="s">
        <v>1282</v>
      </c>
      <c r="I6963">
        <v>1</v>
      </c>
      <c r="J6963" t="s">
        <v>110</v>
      </c>
      <c r="K6963">
        <v>1920</v>
      </c>
      <c r="L6963">
        <v>1080</v>
      </c>
      <c r="M6963" t="s">
        <v>111</v>
      </c>
      <c r="N6963">
        <v>768</v>
      </c>
      <c r="O6963">
        <v>432</v>
      </c>
      <c r="P6963" t="str">
        <f t="shared" si="873"/>
        <v>30fps 1080p - SD</v>
      </c>
      <c r="Q6963">
        <f t="shared" si="874"/>
        <v>38</v>
      </c>
      <c r="R6963" t="str">
        <f t="shared" si="875"/>
        <v/>
      </c>
      <c r="S6963" t="str">
        <f t="shared" si="876"/>
        <v/>
      </c>
      <c r="T6963" s="403" t="str">
        <f t="shared" si="877"/>
        <v>MIC-7522-Z30x</v>
      </c>
      <c r="U6963" s="403">
        <f t="shared" si="878"/>
        <v>1</v>
      </c>
      <c r="V6963" s="403" t="str">
        <f t="shared" si="879"/>
        <v>CPP_7_3</v>
      </c>
    </row>
    <row r="6964" spans="1:22">
      <c r="A6964" t="str">
        <f t="shared" si="872"/>
        <v>MIC-7522-Z30x</v>
      </c>
      <c r="B6964" t="s">
        <v>1523</v>
      </c>
      <c r="C6964" s="403" t="s">
        <v>582</v>
      </c>
      <c r="D6964" t="s">
        <v>1524</v>
      </c>
      <c r="E6964" t="s">
        <v>1526</v>
      </c>
      <c r="F6964" t="s">
        <v>1286</v>
      </c>
      <c r="G6964" t="s">
        <v>1525</v>
      </c>
      <c r="H6964" t="s">
        <v>1282</v>
      </c>
      <c r="I6964">
        <v>1</v>
      </c>
      <c r="J6964" t="s">
        <v>110</v>
      </c>
      <c r="K6964">
        <v>1920</v>
      </c>
      <c r="L6964">
        <v>1080</v>
      </c>
      <c r="M6964" t="s">
        <v>110</v>
      </c>
      <c r="N6964">
        <v>1920</v>
      </c>
      <c r="O6964">
        <v>1080</v>
      </c>
      <c r="P6964" t="str">
        <f t="shared" si="873"/>
        <v>30fps 1080p - 1080p</v>
      </c>
      <c r="Q6964">
        <f t="shared" si="874"/>
        <v>38</v>
      </c>
      <c r="R6964" t="str">
        <f t="shared" si="875"/>
        <v/>
      </c>
      <c r="S6964" t="str">
        <f t="shared" si="876"/>
        <v/>
      </c>
      <c r="T6964" s="403" t="str">
        <f t="shared" si="877"/>
        <v>MIC-7522-Z30x</v>
      </c>
      <c r="U6964" s="403">
        <f t="shared" si="878"/>
        <v>1</v>
      </c>
      <c r="V6964" s="403" t="str">
        <f t="shared" si="879"/>
        <v>CPP_7_3</v>
      </c>
    </row>
    <row r="6965" spans="1:22">
      <c r="A6965" t="str">
        <f t="shared" si="872"/>
        <v>MIC-7522-Z30x</v>
      </c>
      <c r="B6965" t="s">
        <v>1523</v>
      </c>
      <c r="C6965" s="403" t="s">
        <v>582</v>
      </c>
      <c r="D6965" t="s">
        <v>1524</v>
      </c>
      <c r="E6965" t="s">
        <v>1526</v>
      </c>
      <c r="F6965" t="s">
        <v>1286</v>
      </c>
      <c r="G6965" t="s">
        <v>1525</v>
      </c>
      <c r="H6965" t="s">
        <v>1282</v>
      </c>
      <c r="I6965">
        <v>1</v>
      </c>
      <c r="J6965" t="s">
        <v>110</v>
      </c>
      <c r="K6965">
        <v>1920</v>
      </c>
      <c r="L6965">
        <v>1080</v>
      </c>
      <c r="M6965" t="s">
        <v>109</v>
      </c>
      <c r="N6965">
        <v>1280</v>
      </c>
      <c r="O6965">
        <v>720</v>
      </c>
      <c r="P6965" t="str">
        <f t="shared" si="873"/>
        <v>30fps 1080p - 720p</v>
      </c>
      <c r="Q6965">
        <f t="shared" si="874"/>
        <v>38</v>
      </c>
      <c r="R6965" t="str">
        <f t="shared" si="875"/>
        <v/>
      </c>
      <c r="S6965" t="str">
        <f t="shared" si="876"/>
        <v/>
      </c>
      <c r="T6965" s="403" t="str">
        <f t="shared" si="877"/>
        <v>MIC-7522-Z30x</v>
      </c>
      <c r="U6965" s="403">
        <f t="shared" si="878"/>
        <v>1</v>
      </c>
      <c r="V6965" s="403" t="str">
        <f t="shared" si="879"/>
        <v>CPP_7_3</v>
      </c>
    </row>
    <row r="6966" spans="1:22">
      <c r="A6966" t="str">
        <f t="shared" si="872"/>
        <v>MIC-7522-Z30x</v>
      </c>
      <c r="B6966" t="s">
        <v>1523</v>
      </c>
      <c r="C6966" s="403" t="s">
        <v>582</v>
      </c>
      <c r="D6966" t="s">
        <v>1524</v>
      </c>
      <c r="E6966" t="s">
        <v>1526</v>
      </c>
      <c r="F6966" t="s">
        <v>1286</v>
      </c>
      <c r="G6966" t="s">
        <v>1525</v>
      </c>
      <c r="H6966" t="s">
        <v>1282</v>
      </c>
      <c r="I6966">
        <v>1</v>
      </c>
      <c r="J6966" t="s">
        <v>110</v>
      </c>
      <c r="K6966">
        <v>1920</v>
      </c>
      <c r="L6966">
        <v>1080</v>
      </c>
      <c r="M6966" t="s">
        <v>1285</v>
      </c>
      <c r="N6966">
        <v>1280</v>
      </c>
      <c r="O6966">
        <v>1024</v>
      </c>
      <c r="P6966" t="str">
        <f t="shared" si="873"/>
        <v>30fps 1080p - 1280x1024 5:4 (cropped)</v>
      </c>
      <c r="Q6966">
        <f t="shared" si="874"/>
        <v>38</v>
      </c>
      <c r="R6966" t="str">
        <f t="shared" si="875"/>
        <v/>
      </c>
      <c r="S6966" t="str">
        <f t="shared" si="876"/>
        <v/>
      </c>
      <c r="T6966" s="403" t="str">
        <f t="shared" si="877"/>
        <v>MIC-7522-Z30x</v>
      </c>
      <c r="U6966" s="403">
        <f t="shared" si="878"/>
        <v>1</v>
      </c>
      <c r="V6966" s="403" t="str">
        <f t="shared" si="879"/>
        <v>CPP_7_3</v>
      </c>
    </row>
    <row r="6967" spans="1:22">
      <c r="A6967" t="str">
        <f t="shared" si="872"/>
        <v>MIC-7522-Z30x</v>
      </c>
      <c r="B6967" t="s">
        <v>1523</v>
      </c>
      <c r="C6967" s="403" t="s">
        <v>582</v>
      </c>
      <c r="D6967" t="s">
        <v>1524</v>
      </c>
      <c r="E6967" t="s">
        <v>1526</v>
      </c>
      <c r="F6967" t="s">
        <v>1286</v>
      </c>
      <c r="G6967" t="s">
        <v>1525</v>
      </c>
      <c r="H6967" t="s">
        <v>1282</v>
      </c>
      <c r="I6967">
        <v>1</v>
      </c>
      <c r="J6967" t="s">
        <v>110</v>
      </c>
      <c r="K6967">
        <v>1920</v>
      </c>
      <c r="L6967">
        <v>1080</v>
      </c>
      <c r="M6967" t="s">
        <v>1283</v>
      </c>
      <c r="N6967">
        <v>720</v>
      </c>
      <c r="O6967">
        <v>480</v>
      </c>
      <c r="P6967" t="str">
        <f t="shared" si="873"/>
        <v>30fps 1080p - SD 4CIF resolution 4:3 format (cropped)</v>
      </c>
      <c r="Q6967">
        <f t="shared" si="874"/>
        <v>38</v>
      </c>
      <c r="R6967" t="str">
        <f t="shared" si="875"/>
        <v/>
      </c>
      <c r="S6967" t="str">
        <f t="shared" si="876"/>
        <v/>
      </c>
      <c r="T6967" s="403" t="str">
        <f t="shared" si="877"/>
        <v>MIC-7522-Z30x</v>
      </c>
      <c r="U6967" s="403">
        <f t="shared" si="878"/>
        <v>1</v>
      </c>
      <c r="V6967" s="403" t="str">
        <f t="shared" si="879"/>
        <v>CPP_7_3</v>
      </c>
    </row>
    <row r="6968" spans="1:22">
      <c r="A6968" t="str">
        <f t="shared" si="872"/>
        <v>MIC-7522-Z30x</v>
      </c>
      <c r="B6968" t="s">
        <v>1523</v>
      </c>
      <c r="C6968" s="403" t="s">
        <v>582</v>
      </c>
      <c r="D6968" t="s">
        <v>1524</v>
      </c>
      <c r="E6968" t="s">
        <v>1526</v>
      </c>
      <c r="F6968" t="s">
        <v>1286</v>
      </c>
      <c r="G6968" t="s">
        <v>1525</v>
      </c>
      <c r="H6968" t="s">
        <v>1282</v>
      </c>
      <c r="I6968">
        <v>1</v>
      </c>
      <c r="J6968" t="s">
        <v>110</v>
      </c>
      <c r="K6968">
        <v>1920</v>
      </c>
      <c r="L6968">
        <v>1080</v>
      </c>
      <c r="M6968" t="s">
        <v>1284</v>
      </c>
      <c r="N6968">
        <v>640</v>
      </c>
      <c r="O6968">
        <v>480</v>
      </c>
      <c r="P6968" t="str">
        <f t="shared" si="873"/>
        <v>30fps 1080p - SD VGA (cropped)</v>
      </c>
      <c r="Q6968">
        <f t="shared" si="874"/>
        <v>38</v>
      </c>
      <c r="R6968" t="str">
        <f t="shared" si="875"/>
        <v/>
      </c>
      <c r="S6968" t="str">
        <f t="shared" si="876"/>
        <v/>
      </c>
      <c r="T6968" s="403" t="str">
        <f t="shared" si="877"/>
        <v>MIC-7522-Z30x</v>
      </c>
      <c r="U6968" s="403">
        <f t="shared" si="878"/>
        <v>1</v>
      </c>
      <c r="V6968" s="403" t="str">
        <f t="shared" si="879"/>
        <v>CPP_7_3</v>
      </c>
    </row>
    <row r="6969" spans="1:22">
      <c r="A6969" t="str">
        <f t="shared" si="872"/>
        <v>MIC-7522-Z30x</v>
      </c>
      <c r="B6969" t="s">
        <v>1523</v>
      </c>
      <c r="C6969" s="403" t="s">
        <v>582</v>
      </c>
      <c r="D6969" t="s">
        <v>1524</v>
      </c>
      <c r="E6969" t="s">
        <v>1526</v>
      </c>
      <c r="F6969" t="s">
        <v>1286</v>
      </c>
      <c r="G6969" t="s">
        <v>1525</v>
      </c>
      <c r="H6969" t="s">
        <v>1282</v>
      </c>
      <c r="I6969">
        <v>1</v>
      </c>
      <c r="J6969" t="s">
        <v>109</v>
      </c>
      <c r="K6969">
        <v>1280</v>
      </c>
      <c r="L6969">
        <v>720</v>
      </c>
      <c r="M6969" t="s">
        <v>109</v>
      </c>
      <c r="N6969">
        <v>1280</v>
      </c>
      <c r="O6969">
        <v>720</v>
      </c>
      <c r="P6969" t="str">
        <f t="shared" si="873"/>
        <v>30fps 720p - 720p</v>
      </c>
      <c r="Q6969">
        <f t="shared" si="874"/>
        <v>38</v>
      </c>
      <c r="R6969" t="str">
        <f t="shared" si="875"/>
        <v/>
      </c>
      <c r="S6969" t="str">
        <f t="shared" si="876"/>
        <v/>
      </c>
      <c r="T6969" s="403" t="str">
        <f t="shared" si="877"/>
        <v>MIC-7522-Z30x</v>
      </c>
      <c r="U6969" s="403">
        <f t="shared" si="878"/>
        <v>1</v>
      </c>
      <c r="V6969" s="403" t="str">
        <f t="shared" si="879"/>
        <v>CPP_7_3</v>
      </c>
    </row>
    <row r="6970" spans="1:22">
      <c r="A6970" t="str">
        <f t="shared" si="872"/>
        <v>MIC-7522-Z30x</v>
      </c>
      <c r="B6970" t="s">
        <v>1523</v>
      </c>
      <c r="C6970" s="403" t="s">
        <v>582</v>
      </c>
      <c r="D6970" t="s">
        <v>1524</v>
      </c>
      <c r="E6970" t="s">
        <v>1526</v>
      </c>
      <c r="F6970" t="s">
        <v>1286</v>
      </c>
      <c r="G6970" t="s">
        <v>1525</v>
      </c>
      <c r="H6970" t="s">
        <v>1282</v>
      </c>
      <c r="I6970">
        <v>1</v>
      </c>
      <c r="J6970" t="s">
        <v>109</v>
      </c>
      <c r="K6970">
        <v>1280</v>
      </c>
      <c r="L6970">
        <v>720</v>
      </c>
      <c r="M6970" t="s">
        <v>111</v>
      </c>
      <c r="N6970">
        <v>768</v>
      </c>
      <c r="O6970">
        <v>432</v>
      </c>
      <c r="P6970" t="str">
        <f t="shared" si="873"/>
        <v>30fps 720p - SD</v>
      </c>
      <c r="Q6970">
        <f t="shared" si="874"/>
        <v>38</v>
      </c>
      <c r="R6970" t="str">
        <f t="shared" si="875"/>
        <v/>
      </c>
      <c r="S6970" t="str">
        <f t="shared" si="876"/>
        <v/>
      </c>
      <c r="T6970" s="403" t="str">
        <f t="shared" si="877"/>
        <v>MIC-7522-Z30x</v>
      </c>
      <c r="U6970" s="403">
        <f t="shared" si="878"/>
        <v>1</v>
      </c>
      <c r="V6970" s="403" t="str">
        <f t="shared" si="879"/>
        <v>CPP_7_3</v>
      </c>
    </row>
    <row r="6971" spans="1:22">
      <c r="A6971" t="str">
        <f t="shared" si="872"/>
        <v>MIC-7522-Z30x</v>
      </c>
      <c r="B6971" t="s">
        <v>1523</v>
      </c>
      <c r="C6971" s="403" t="s">
        <v>582</v>
      </c>
      <c r="D6971" t="s">
        <v>1524</v>
      </c>
      <c r="E6971" t="s">
        <v>1526</v>
      </c>
      <c r="F6971" t="s">
        <v>1286</v>
      </c>
      <c r="G6971" t="s">
        <v>1525</v>
      </c>
      <c r="H6971" t="s">
        <v>1282</v>
      </c>
      <c r="I6971">
        <v>1</v>
      </c>
      <c r="J6971" t="s">
        <v>109</v>
      </c>
      <c r="K6971">
        <v>1280</v>
      </c>
      <c r="L6971">
        <v>720</v>
      </c>
      <c r="M6971" t="s">
        <v>1283</v>
      </c>
      <c r="N6971">
        <v>720</v>
      </c>
      <c r="O6971">
        <v>480</v>
      </c>
      <c r="P6971" t="str">
        <f t="shared" si="873"/>
        <v>30fps 720p - SD 4CIF resolution 4:3 format (cropped)</v>
      </c>
      <c r="Q6971">
        <f t="shared" si="874"/>
        <v>38</v>
      </c>
      <c r="R6971" t="str">
        <f t="shared" si="875"/>
        <v/>
      </c>
      <c r="S6971" t="str">
        <f t="shared" si="876"/>
        <v/>
      </c>
      <c r="T6971" s="403" t="str">
        <f t="shared" si="877"/>
        <v>MIC-7522-Z30x</v>
      </c>
      <c r="U6971" s="403">
        <f t="shared" si="878"/>
        <v>1</v>
      </c>
      <c r="V6971" s="403" t="str">
        <f t="shared" si="879"/>
        <v>CPP_7_3</v>
      </c>
    </row>
    <row r="6972" spans="1:22">
      <c r="A6972" t="str">
        <f t="shared" si="872"/>
        <v>MIC-7522-Z30x</v>
      </c>
      <c r="B6972" t="s">
        <v>1523</v>
      </c>
      <c r="C6972" s="403" t="s">
        <v>582</v>
      </c>
      <c r="D6972" t="s">
        <v>1524</v>
      </c>
      <c r="E6972" t="s">
        <v>1526</v>
      </c>
      <c r="F6972" t="s">
        <v>1286</v>
      </c>
      <c r="G6972" t="s">
        <v>1525</v>
      </c>
      <c r="H6972" t="s">
        <v>1282</v>
      </c>
      <c r="I6972">
        <v>1</v>
      </c>
      <c r="J6972" t="s">
        <v>109</v>
      </c>
      <c r="K6972">
        <v>1280</v>
      </c>
      <c r="L6972">
        <v>720</v>
      </c>
      <c r="M6972" t="s">
        <v>1284</v>
      </c>
      <c r="N6972">
        <v>640</v>
      </c>
      <c r="O6972">
        <v>480</v>
      </c>
      <c r="P6972" t="str">
        <f t="shared" si="873"/>
        <v>30fps 720p - SD VGA (cropped)</v>
      </c>
      <c r="Q6972">
        <f t="shared" si="874"/>
        <v>38</v>
      </c>
      <c r="R6972" t="str">
        <f t="shared" si="875"/>
        <v/>
      </c>
      <c r="S6972" t="str">
        <f t="shared" si="876"/>
        <v/>
      </c>
      <c r="T6972" s="403" t="str">
        <f t="shared" si="877"/>
        <v>MIC-7522-Z30x</v>
      </c>
      <c r="U6972" s="403">
        <f t="shared" si="878"/>
        <v>1</v>
      </c>
      <c r="V6972" s="403" t="str">
        <f t="shared" si="879"/>
        <v>CPP_7_3</v>
      </c>
    </row>
    <row r="6973" spans="1:22">
      <c r="A6973" t="str">
        <f t="shared" si="872"/>
        <v>MIC-7522-Z30x</v>
      </c>
      <c r="B6973" t="s">
        <v>1523</v>
      </c>
      <c r="C6973" s="403" t="s">
        <v>582</v>
      </c>
      <c r="D6973" t="s">
        <v>1524</v>
      </c>
      <c r="E6973" t="s">
        <v>1526</v>
      </c>
      <c r="F6973" t="s">
        <v>1290</v>
      </c>
      <c r="G6973" t="s">
        <v>1525</v>
      </c>
      <c r="H6973" t="s">
        <v>1276</v>
      </c>
      <c r="I6973">
        <v>1</v>
      </c>
      <c r="J6973" t="s">
        <v>110</v>
      </c>
      <c r="K6973">
        <v>1920</v>
      </c>
      <c r="L6973">
        <v>1080</v>
      </c>
      <c r="M6973" t="s">
        <v>111</v>
      </c>
      <c r="N6973">
        <v>768</v>
      </c>
      <c r="O6973">
        <v>432</v>
      </c>
      <c r="P6973" t="str">
        <f t="shared" si="873"/>
        <v>50fps 1080p - SD</v>
      </c>
      <c r="Q6973">
        <f t="shared" si="874"/>
        <v>38</v>
      </c>
      <c r="R6973" t="str">
        <f t="shared" si="875"/>
        <v/>
      </c>
      <c r="S6973" t="str">
        <f t="shared" si="876"/>
        <v/>
      </c>
      <c r="T6973" s="403" t="str">
        <f t="shared" si="877"/>
        <v>MIC-7522-Z30x</v>
      </c>
      <c r="U6973" s="403">
        <f t="shared" si="878"/>
        <v>1</v>
      </c>
      <c r="V6973" s="403" t="str">
        <f t="shared" si="879"/>
        <v>CPP_7_3</v>
      </c>
    </row>
    <row r="6974" spans="1:22">
      <c r="A6974" t="str">
        <f t="shared" si="872"/>
        <v>MIC-7522-Z30x</v>
      </c>
      <c r="B6974" t="s">
        <v>1523</v>
      </c>
      <c r="C6974" s="403" t="s">
        <v>582</v>
      </c>
      <c r="D6974" t="s">
        <v>1524</v>
      </c>
      <c r="E6974" t="s">
        <v>1526</v>
      </c>
      <c r="F6974" t="s">
        <v>1290</v>
      </c>
      <c r="G6974" t="s">
        <v>1525</v>
      </c>
      <c r="H6974" t="s">
        <v>1276</v>
      </c>
      <c r="I6974">
        <v>1</v>
      </c>
      <c r="J6974" t="s">
        <v>110</v>
      </c>
      <c r="K6974">
        <v>1920</v>
      </c>
      <c r="L6974">
        <v>1080</v>
      </c>
      <c r="M6974" t="s">
        <v>110</v>
      </c>
      <c r="N6974">
        <v>1920</v>
      </c>
      <c r="O6974">
        <v>1080</v>
      </c>
      <c r="P6974" t="str">
        <f t="shared" si="873"/>
        <v>50fps 1080p - 1080p</v>
      </c>
      <c r="Q6974">
        <f t="shared" si="874"/>
        <v>38</v>
      </c>
      <c r="R6974" t="str">
        <f t="shared" si="875"/>
        <v/>
      </c>
      <c r="S6974" t="str">
        <f t="shared" si="876"/>
        <v/>
      </c>
      <c r="T6974" s="403" t="str">
        <f t="shared" si="877"/>
        <v>MIC-7522-Z30x</v>
      </c>
      <c r="U6974" s="403">
        <f t="shared" si="878"/>
        <v>1</v>
      </c>
      <c r="V6974" s="403" t="str">
        <f t="shared" si="879"/>
        <v>CPP_7_3</v>
      </c>
    </row>
    <row r="6975" spans="1:22">
      <c r="A6975" t="str">
        <f t="shared" si="872"/>
        <v>MIC-7522-Z30x</v>
      </c>
      <c r="B6975" t="s">
        <v>1523</v>
      </c>
      <c r="C6975" s="403" t="s">
        <v>582</v>
      </c>
      <c r="D6975" t="s">
        <v>1524</v>
      </c>
      <c r="E6975" t="s">
        <v>1526</v>
      </c>
      <c r="F6975" t="s">
        <v>1290</v>
      </c>
      <c r="G6975" t="s">
        <v>1525</v>
      </c>
      <c r="H6975" t="s">
        <v>1276</v>
      </c>
      <c r="I6975">
        <v>1</v>
      </c>
      <c r="J6975" t="s">
        <v>110</v>
      </c>
      <c r="K6975">
        <v>1920</v>
      </c>
      <c r="L6975">
        <v>1080</v>
      </c>
      <c r="M6975" t="s">
        <v>1289</v>
      </c>
      <c r="N6975">
        <v>1280</v>
      </c>
      <c r="O6975">
        <v>720</v>
      </c>
      <c r="P6975" t="str">
        <f t="shared" si="873"/>
        <v>50fps 1080p - 720p full frame rate</v>
      </c>
      <c r="Q6975">
        <f t="shared" si="874"/>
        <v>38</v>
      </c>
      <c r="R6975" t="str">
        <f t="shared" si="875"/>
        <v/>
      </c>
      <c r="S6975" t="str">
        <f t="shared" si="876"/>
        <v/>
      </c>
      <c r="T6975" s="403" t="str">
        <f t="shared" si="877"/>
        <v>MIC-7522-Z30x</v>
      </c>
      <c r="U6975" s="403">
        <f t="shared" si="878"/>
        <v>1</v>
      </c>
      <c r="V6975" s="403" t="str">
        <f t="shared" si="879"/>
        <v>CPP_7_3</v>
      </c>
    </row>
    <row r="6976" spans="1:22">
      <c r="A6976" t="str">
        <f t="shared" si="872"/>
        <v>MIC-7522-Z30x</v>
      </c>
      <c r="B6976" t="s">
        <v>1523</v>
      </c>
      <c r="C6976" s="403" t="s">
        <v>582</v>
      </c>
      <c r="D6976" t="s">
        <v>1524</v>
      </c>
      <c r="E6976" t="s">
        <v>1526</v>
      </c>
      <c r="F6976" t="s">
        <v>1290</v>
      </c>
      <c r="G6976" t="s">
        <v>1525</v>
      </c>
      <c r="H6976" t="s">
        <v>1276</v>
      </c>
      <c r="I6976">
        <v>1</v>
      </c>
      <c r="J6976" t="s">
        <v>110</v>
      </c>
      <c r="K6976">
        <v>1920</v>
      </c>
      <c r="L6976">
        <v>1080</v>
      </c>
      <c r="M6976" t="s">
        <v>1285</v>
      </c>
      <c r="N6976">
        <v>1280</v>
      </c>
      <c r="O6976">
        <v>1024</v>
      </c>
      <c r="P6976" t="str">
        <f t="shared" si="873"/>
        <v>50fps 1080p - 1280x1024 5:4 (cropped)</v>
      </c>
      <c r="Q6976">
        <f t="shared" si="874"/>
        <v>38</v>
      </c>
      <c r="R6976" t="str">
        <f t="shared" si="875"/>
        <v/>
      </c>
      <c r="S6976" t="str">
        <f t="shared" si="876"/>
        <v/>
      </c>
      <c r="T6976" s="403" t="str">
        <f t="shared" si="877"/>
        <v>MIC-7522-Z30x</v>
      </c>
      <c r="U6976" s="403">
        <f t="shared" si="878"/>
        <v>1</v>
      </c>
      <c r="V6976" s="403" t="str">
        <f t="shared" si="879"/>
        <v>CPP_7_3</v>
      </c>
    </row>
    <row r="6977" spans="1:22">
      <c r="A6977" t="str">
        <f t="shared" si="872"/>
        <v>MIC-7522-Z30x</v>
      </c>
      <c r="B6977" t="s">
        <v>1523</v>
      </c>
      <c r="C6977" s="403" t="s">
        <v>582</v>
      </c>
      <c r="D6977" t="s">
        <v>1524</v>
      </c>
      <c r="E6977" t="s">
        <v>1526</v>
      </c>
      <c r="F6977" t="s">
        <v>1290</v>
      </c>
      <c r="G6977" t="s">
        <v>1525</v>
      </c>
      <c r="H6977" t="s">
        <v>1276</v>
      </c>
      <c r="I6977">
        <v>1</v>
      </c>
      <c r="J6977" t="s">
        <v>110</v>
      </c>
      <c r="K6977">
        <v>1920</v>
      </c>
      <c r="L6977">
        <v>1080</v>
      </c>
      <c r="M6977" t="s">
        <v>1283</v>
      </c>
      <c r="N6977">
        <v>720</v>
      </c>
      <c r="O6977">
        <v>576</v>
      </c>
      <c r="P6977" t="str">
        <f t="shared" si="873"/>
        <v>50fps 1080p - SD 4CIF resolution 4:3 format (cropped)</v>
      </c>
      <c r="Q6977">
        <f t="shared" si="874"/>
        <v>38</v>
      </c>
      <c r="R6977" t="str">
        <f t="shared" si="875"/>
        <v/>
      </c>
      <c r="S6977" t="str">
        <f t="shared" si="876"/>
        <v/>
      </c>
      <c r="T6977" s="403" t="str">
        <f t="shared" si="877"/>
        <v>MIC-7522-Z30x</v>
      </c>
      <c r="U6977" s="403">
        <f t="shared" si="878"/>
        <v>1</v>
      </c>
      <c r="V6977" s="403" t="str">
        <f t="shared" si="879"/>
        <v>CPP_7_3</v>
      </c>
    </row>
    <row r="6978" spans="1:22">
      <c r="A6978" t="str">
        <f t="shared" si="872"/>
        <v>MIC-7522-Z30x</v>
      </c>
      <c r="B6978" t="s">
        <v>1523</v>
      </c>
      <c r="C6978" s="403" t="s">
        <v>582</v>
      </c>
      <c r="D6978" t="s">
        <v>1524</v>
      </c>
      <c r="E6978" t="s">
        <v>1526</v>
      </c>
      <c r="F6978" t="s">
        <v>1290</v>
      </c>
      <c r="G6978" t="s">
        <v>1525</v>
      </c>
      <c r="H6978" t="s">
        <v>1276</v>
      </c>
      <c r="I6978">
        <v>1</v>
      </c>
      <c r="J6978" t="s">
        <v>110</v>
      </c>
      <c r="K6978">
        <v>1920</v>
      </c>
      <c r="L6978">
        <v>1080</v>
      </c>
      <c r="M6978" t="s">
        <v>1284</v>
      </c>
      <c r="N6978">
        <v>640</v>
      </c>
      <c r="O6978">
        <v>480</v>
      </c>
      <c r="P6978" t="str">
        <f t="shared" si="873"/>
        <v>50fps 1080p - SD VGA (cropped)</v>
      </c>
      <c r="Q6978">
        <f t="shared" si="874"/>
        <v>38</v>
      </c>
      <c r="R6978" t="str">
        <f t="shared" si="875"/>
        <v/>
      </c>
      <c r="S6978" t="str">
        <f t="shared" si="876"/>
        <v/>
      </c>
      <c r="T6978" s="403" t="str">
        <f t="shared" si="877"/>
        <v>MIC-7522-Z30x</v>
      </c>
      <c r="U6978" s="403">
        <f t="shared" si="878"/>
        <v>1</v>
      </c>
      <c r="V6978" s="403" t="str">
        <f t="shared" si="879"/>
        <v>CPP_7_3</v>
      </c>
    </row>
    <row r="6979" spans="1:22">
      <c r="A6979" t="str">
        <f t="shared" si="872"/>
        <v>MIC-7522-Z30x</v>
      </c>
      <c r="B6979" t="s">
        <v>1523</v>
      </c>
      <c r="C6979" s="403" t="s">
        <v>582</v>
      </c>
      <c r="D6979" t="s">
        <v>1524</v>
      </c>
      <c r="E6979" t="s">
        <v>1526</v>
      </c>
      <c r="F6979" t="s">
        <v>1290</v>
      </c>
      <c r="G6979" t="s">
        <v>1525</v>
      </c>
      <c r="H6979" t="s">
        <v>1276</v>
      </c>
      <c r="I6979">
        <v>1</v>
      </c>
      <c r="J6979" t="s">
        <v>1289</v>
      </c>
      <c r="K6979">
        <v>1280</v>
      </c>
      <c r="L6979">
        <v>720</v>
      </c>
      <c r="M6979" t="s">
        <v>1289</v>
      </c>
      <c r="N6979">
        <v>1280</v>
      </c>
      <c r="O6979">
        <v>720</v>
      </c>
      <c r="P6979" t="str">
        <f t="shared" si="873"/>
        <v>50fps 720p full frame rate - 720p full frame rate</v>
      </c>
      <c r="Q6979">
        <f t="shared" si="874"/>
        <v>38</v>
      </c>
      <c r="R6979" t="str">
        <f t="shared" si="875"/>
        <v/>
      </c>
      <c r="S6979" t="str">
        <f t="shared" si="876"/>
        <v/>
      </c>
      <c r="T6979" s="403" t="str">
        <f t="shared" si="877"/>
        <v>MIC-7522-Z30x</v>
      </c>
      <c r="U6979" s="403">
        <f t="shared" si="878"/>
        <v>1</v>
      </c>
      <c r="V6979" s="403" t="str">
        <f t="shared" si="879"/>
        <v>CPP_7_3</v>
      </c>
    </row>
    <row r="6980" spans="1:22">
      <c r="A6980" t="str">
        <f t="shared" si="872"/>
        <v>MIC-7522-Z30x</v>
      </c>
      <c r="B6980" t="s">
        <v>1523</v>
      </c>
      <c r="C6980" s="403" t="s">
        <v>582</v>
      </c>
      <c r="D6980" t="s">
        <v>1524</v>
      </c>
      <c r="E6980" t="s">
        <v>1526</v>
      </c>
      <c r="F6980" t="s">
        <v>1290</v>
      </c>
      <c r="G6980" t="s">
        <v>1525</v>
      </c>
      <c r="H6980" t="s">
        <v>1276</v>
      </c>
      <c r="I6980">
        <v>1</v>
      </c>
      <c r="J6980" t="s">
        <v>1289</v>
      </c>
      <c r="K6980">
        <v>1280</v>
      </c>
      <c r="L6980">
        <v>720</v>
      </c>
      <c r="M6980" t="s">
        <v>111</v>
      </c>
      <c r="N6980">
        <v>768</v>
      </c>
      <c r="O6980">
        <v>432</v>
      </c>
      <c r="P6980" t="str">
        <f t="shared" si="873"/>
        <v>50fps 720p full frame rate - SD</v>
      </c>
      <c r="Q6980">
        <f t="shared" si="874"/>
        <v>38</v>
      </c>
      <c r="R6980" t="str">
        <f t="shared" si="875"/>
        <v/>
      </c>
      <c r="S6980" t="str">
        <f t="shared" si="876"/>
        <v/>
      </c>
      <c r="T6980" s="403" t="str">
        <f t="shared" si="877"/>
        <v>MIC-7522-Z30x</v>
      </c>
      <c r="U6980" s="403">
        <f t="shared" si="878"/>
        <v>1</v>
      </c>
      <c r="V6980" s="403" t="str">
        <f t="shared" si="879"/>
        <v>CPP_7_3</v>
      </c>
    </row>
    <row r="6981" spans="1:22">
      <c r="A6981" t="str">
        <f t="shared" si="872"/>
        <v>MIC-7522-Z30x</v>
      </c>
      <c r="B6981" t="s">
        <v>1523</v>
      </c>
      <c r="C6981" s="403" t="s">
        <v>582</v>
      </c>
      <c r="D6981" t="s">
        <v>1524</v>
      </c>
      <c r="E6981" t="s">
        <v>1526</v>
      </c>
      <c r="F6981" t="s">
        <v>1290</v>
      </c>
      <c r="G6981" t="s">
        <v>1525</v>
      </c>
      <c r="H6981" t="s">
        <v>1276</v>
      </c>
      <c r="I6981">
        <v>1</v>
      </c>
      <c r="J6981" t="s">
        <v>1289</v>
      </c>
      <c r="K6981">
        <v>1280</v>
      </c>
      <c r="L6981">
        <v>720</v>
      </c>
      <c r="M6981" t="s">
        <v>1283</v>
      </c>
      <c r="N6981">
        <v>720</v>
      </c>
      <c r="O6981">
        <v>576</v>
      </c>
      <c r="P6981" t="str">
        <f t="shared" si="873"/>
        <v>50fps 720p full frame rate - SD 4CIF resolution 4:3 format (cropped)</v>
      </c>
      <c r="Q6981">
        <f t="shared" si="874"/>
        <v>38</v>
      </c>
      <c r="R6981" t="str">
        <f t="shared" si="875"/>
        <v/>
      </c>
      <c r="S6981" t="str">
        <f t="shared" si="876"/>
        <v/>
      </c>
      <c r="T6981" s="403" t="str">
        <f t="shared" si="877"/>
        <v>MIC-7522-Z30x</v>
      </c>
      <c r="U6981" s="403">
        <f t="shared" si="878"/>
        <v>1</v>
      </c>
      <c r="V6981" s="403" t="str">
        <f t="shared" si="879"/>
        <v>CPP_7_3</v>
      </c>
    </row>
    <row r="6982" spans="1:22">
      <c r="A6982" t="str">
        <f t="shared" si="872"/>
        <v>MIC-7522-Z30x</v>
      </c>
      <c r="B6982" t="s">
        <v>1523</v>
      </c>
      <c r="C6982" s="403" t="s">
        <v>582</v>
      </c>
      <c r="D6982" t="s">
        <v>1524</v>
      </c>
      <c r="E6982" t="s">
        <v>1526</v>
      </c>
      <c r="F6982" t="s">
        <v>1290</v>
      </c>
      <c r="G6982" t="s">
        <v>1525</v>
      </c>
      <c r="H6982" t="s">
        <v>1276</v>
      </c>
      <c r="I6982">
        <v>1</v>
      </c>
      <c r="J6982" t="s">
        <v>1289</v>
      </c>
      <c r="K6982">
        <v>1280</v>
      </c>
      <c r="L6982">
        <v>720</v>
      </c>
      <c r="M6982" t="s">
        <v>1284</v>
      </c>
      <c r="N6982">
        <v>640</v>
      </c>
      <c r="O6982">
        <v>480</v>
      </c>
      <c r="P6982" t="str">
        <f t="shared" si="873"/>
        <v>50fps 720p full frame rate - SD VGA (cropped)</v>
      </c>
      <c r="Q6982">
        <f t="shared" si="874"/>
        <v>38</v>
      </c>
      <c r="R6982" t="str">
        <f t="shared" si="875"/>
        <v/>
      </c>
      <c r="S6982" t="str">
        <f t="shared" si="876"/>
        <v/>
      </c>
      <c r="T6982" s="403" t="str">
        <f t="shared" si="877"/>
        <v>MIC-7522-Z30x</v>
      </c>
      <c r="U6982" s="403">
        <f t="shared" si="878"/>
        <v>1</v>
      </c>
      <c r="V6982" s="403" t="str">
        <f t="shared" si="879"/>
        <v>CPP_7_3</v>
      </c>
    </row>
    <row r="6983" spans="1:22">
      <c r="A6983" t="str">
        <f t="shared" si="872"/>
        <v>MIC-7522-Z30x</v>
      </c>
      <c r="B6983" t="s">
        <v>1523</v>
      </c>
      <c r="C6983" s="403" t="s">
        <v>582</v>
      </c>
      <c r="D6983" t="s">
        <v>1524</v>
      </c>
      <c r="E6983" t="s">
        <v>1526</v>
      </c>
      <c r="F6983" t="s">
        <v>1290</v>
      </c>
      <c r="G6983" t="s">
        <v>1525</v>
      </c>
      <c r="H6983" t="s">
        <v>1281</v>
      </c>
      <c r="I6983">
        <v>1</v>
      </c>
      <c r="J6983" t="s">
        <v>110</v>
      </c>
      <c r="K6983">
        <v>1920</v>
      </c>
      <c r="L6983">
        <v>1080</v>
      </c>
      <c r="M6983" t="s">
        <v>111</v>
      </c>
      <c r="N6983">
        <v>768</v>
      </c>
      <c r="O6983">
        <v>432</v>
      </c>
      <c r="P6983" t="str">
        <f t="shared" si="873"/>
        <v>50fps 1080p - SD</v>
      </c>
      <c r="Q6983">
        <f t="shared" si="874"/>
        <v>38</v>
      </c>
      <c r="R6983" t="str">
        <f t="shared" si="875"/>
        <v/>
      </c>
      <c r="S6983" t="str">
        <f t="shared" si="876"/>
        <v/>
      </c>
      <c r="T6983" s="403" t="str">
        <f t="shared" si="877"/>
        <v>MIC-7522-Z30x</v>
      </c>
      <c r="U6983" s="403">
        <f t="shared" si="878"/>
        <v>1</v>
      </c>
      <c r="V6983" s="403" t="str">
        <f t="shared" si="879"/>
        <v>CPP_7_3</v>
      </c>
    </row>
    <row r="6984" spans="1:22">
      <c r="A6984" t="str">
        <f t="shared" si="872"/>
        <v>MIC-7522-Z30x</v>
      </c>
      <c r="B6984" t="s">
        <v>1523</v>
      </c>
      <c r="C6984" s="403" t="s">
        <v>582</v>
      </c>
      <c r="D6984" t="s">
        <v>1524</v>
      </c>
      <c r="E6984" t="s">
        <v>1526</v>
      </c>
      <c r="F6984" t="s">
        <v>1290</v>
      </c>
      <c r="G6984" t="s">
        <v>1525</v>
      </c>
      <c r="H6984" t="s">
        <v>1281</v>
      </c>
      <c r="I6984">
        <v>1</v>
      </c>
      <c r="J6984" t="s">
        <v>110</v>
      </c>
      <c r="K6984">
        <v>1920</v>
      </c>
      <c r="L6984">
        <v>1080</v>
      </c>
      <c r="M6984" t="s">
        <v>1289</v>
      </c>
      <c r="N6984">
        <v>1280</v>
      </c>
      <c r="O6984">
        <v>720</v>
      </c>
      <c r="P6984" t="str">
        <f t="shared" si="873"/>
        <v>50fps 1080p - 720p full frame rate</v>
      </c>
      <c r="Q6984">
        <f t="shared" si="874"/>
        <v>38</v>
      </c>
      <c r="R6984" t="str">
        <f t="shared" si="875"/>
        <v/>
      </c>
      <c r="S6984" t="str">
        <f t="shared" si="876"/>
        <v/>
      </c>
      <c r="T6984" s="403" t="str">
        <f t="shared" si="877"/>
        <v>MIC-7522-Z30x</v>
      </c>
      <c r="U6984" s="403">
        <f t="shared" si="878"/>
        <v>1</v>
      </c>
      <c r="V6984" s="403" t="str">
        <f t="shared" si="879"/>
        <v>CPP_7_3</v>
      </c>
    </row>
    <row r="6985" spans="1:22">
      <c r="A6985" t="str">
        <f t="shared" si="872"/>
        <v>MIC-7522-Z30x</v>
      </c>
      <c r="B6985" t="s">
        <v>1523</v>
      </c>
      <c r="C6985" s="403" t="s">
        <v>582</v>
      </c>
      <c r="D6985" t="s">
        <v>1524</v>
      </c>
      <c r="E6985" t="s">
        <v>1526</v>
      </c>
      <c r="F6985" t="s">
        <v>1290</v>
      </c>
      <c r="G6985" t="s">
        <v>1525</v>
      </c>
      <c r="H6985" t="s">
        <v>1281</v>
      </c>
      <c r="I6985">
        <v>1</v>
      </c>
      <c r="J6985" t="s">
        <v>110</v>
      </c>
      <c r="K6985">
        <v>1920</v>
      </c>
      <c r="L6985">
        <v>1080</v>
      </c>
      <c r="M6985" t="s">
        <v>1283</v>
      </c>
      <c r="N6985">
        <v>720</v>
      </c>
      <c r="O6985">
        <v>576</v>
      </c>
      <c r="P6985" t="str">
        <f t="shared" si="873"/>
        <v>50fps 1080p - SD 4CIF resolution 4:3 format (cropped)</v>
      </c>
      <c r="Q6985">
        <f t="shared" si="874"/>
        <v>38</v>
      </c>
      <c r="R6985" t="str">
        <f t="shared" si="875"/>
        <v/>
      </c>
      <c r="S6985" t="str">
        <f t="shared" si="876"/>
        <v/>
      </c>
      <c r="T6985" s="403" t="str">
        <f t="shared" si="877"/>
        <v>MIC-7522-Z30x</v>
      </c>
      <c r="U6985" s="403">
        <f t="shared" si="878"/>
        <v>1</v>
      </c>
      <c r="V6985" s="403" t="str">
        <f t="shared" si="879"/>
        <v>CPP_7_3</v>
      </c>
    </row>
    <row r="6986" spans="1:22">
      <c r="A6986" t="str">
        <f t="shared" si="872"/>
        <v>MIC-7522-Z30x</v>
      </c>
      <c r="B6986" t="s">
        <v>1523</v>
      </c>
      <c r="C6986" s="403" t="s">
        <v>582</v>
      </c>
      <c r="D6986" t="s">
        <v>1524</v>
      </c>
      <c r="E6986" t="s">
        <v>1526</v>
      </c>
      <c r="F6986" t="s">
        <v>1290</v>
      </c>
      <c r="G6986" t="s">
        <v>1525</v>
      </c>
      <c r="H6986" t="s">
        <v>1281</v>
      </c>
      <c r="I6986">
        <v>1</v>
      </c>
      <c r="J6986" t="s">
        <v>110</v>
      </c>
      <c r="K6986">
        <v>1920</v>
      </c>
      <c r="L6986">
        <v>1080</v>
      </c>
      <c r="M6986" t="s">
        <v>1284</v>
      </c>
      <c r="N6986">
        <v>640</v>
      </c>
      <c r="O6986">
        <v>480</v>
      </c>
      <c r="P6986" t="str">
        <f t="shared" si="873"/>
        <v>50fps 1080p - SD VGA (cropped)</v>
      </c>
      <c r="Q6986">
        <f t="shared" si="874"/>
        <v>38</v>
      </c>
      <c r="R6986" t="str">
        <f t="shared" si="875"/>
        <v/>
      </c>
      <c r="S6986" t="str">
        <f t="shared" si="876"/>
        <v/>
      </c>
      <c r="T6986" s="403" t="str">
        <f t="shared" si="877"/>
        <v>MIC-7522-Z30x</v>
      </c>
      <c r="U6986" s="403">
        <f t="shared" si="878"/>
        <v>1</v>
      </c>
      <c r="V6986" s="403" t="str">
        <f t="shared" si="879"/>
        <v>CPP_7_3</v>
      </c>
    </row>
    <row r="6987" spans="1:22">
      <c r="A6987" t="str">
        <f t="shared" si="872"/>
        <v>MIC-7522-Z30x</v>
      </c>
      <c r="B6987" t="s">
        <v>1523</v>
      </c>
      <c r="C6987" s="403" t="s">
        <v>582</v>
      </c>
      <c r="D6987" t="s">
        <v>1524</v>
      </c>
      <c r="E6987" t="s">
        <v>1526</v>
      </c>
      <c r="F6987" t="s">
        <v>1290</v>
      </c>
      <c r="G6987" t="s">
        <v>1525</v>
      </c>
      <c r="H6987" t="s">
        <v>1281</v>
      </c>
      <c r="I6987">
        <v>1</v>
      </c>
      <c r="J6987" t="s">
        <v>1289</v>
      </c>
      <c r="K6987">
        <v>1280</v>
      </c>
      <c r="L6987">
        <v>720</v>
      </c>
      <c r="M6987" t="s">
        <v>1289</v>
      </c>
      <c r="N6987">
        <v>1280</v>
      </c>
      <c r="O6987">
        <v>720</v>
      </c>
      <c r="P6987" t="str">
        <f t="shared" si="873"/>
        <v>50fps 720p full frame rate - 720p full frame rate</v>
      </c>
      <c r="Q6987">
        <f t="shared" si="874"/>
        <v>38</v>
      </c>
      <c r="R6987" t="str">
        <f t="shared" si="875"/>
        <v/>
      </c>
      <c r="S6987" t="str">
        <f t="shared" si="876"/>
        <v/>
      </c>
      <c r="T6987" s="403" t="str">
        <f t="shared" si="877"/>
        <v>MIC-7522-Z30x</v>
      </c>
      <c r="U6987" s="403">
        <f t="shared" si="878"/>
        <v>1</v>
      </c>
      <c r="V6987" s="403" t="str">
        <f t="shared" si="879"/>
        <v>CPP_7_3</v>
      </c>
    </row>
    <row r="6988" spans="1:22">
      <c r="A6988" t="str">
        <f t="shared" si="872"/>
        <v>MIC-7522-Z30x</v>
      </c>
      <c r="B6988" t="s">
        <v>1523</v>
      </c>
      <c r="C6988" s="403" t="s">
        <v>582</v>
      </c>
      <c r="D6988" t="s">
        <v>1524</v>
      </c>
      <c r="E6988" t="s">
        <v>1526</v>
      </c>
      <c r="F6988" t="s">
        <v>1290</v>
      </c>
      <c r="G6988" t="s">
        <v>1525</v>
      </c>
      <c r="H6988" t="s">
        <v>1281</v>
      </c>
      <c r="I6988">
        <v>1</v>
      </c>
      <c r="J6988" t="s">
        <v>1289</v>
      </c>
      <c r="K6988">
        <v>1280</v>
      </c>
      <c r="L6988">
        <v>720</v>
      </c>
      <c r="M6988" t="s">
        <v>111</v>
      </c>
      <c r="N6988">
        <v>768</v>
      </c>
      <c r="O6988">
        <v>432</v>
      </c>
      <c r="P6988" t="str">
        <f t="shared" si="873"/>
        <v>50fps 720p full frame rate - SD</v>
      </c>
      <c r="Q6988">
        <f t="shared" si="874"/>
        <v>38</v>
      </c>
      <c r="R6988" t="str">
        <f t="shared" si="875"/>
        <v/>
      </c>
      <c r="S6988" t="str">
        <f t="shared" si="876"/>
        <v/>
      </c>
      <c r="T6988" s="403" t="str">
        <f t="shared" si="877"/>
        <v>MIC-7522-Z30x</v>
      </c>
      <c r="U6988" s="403">
        <f t="shared" si="878"/>
        <v>1</v>
      </c>
      <c r="V6988" s="403" t="str">
        <f t="shared" si="879"/>
        <v>CPP_7_3</v>
      </c>
    </row>
    <row r="6989" spans="1:22">
      <c r="A6989" t="str">
        <f t="shared" si="872"/>
        <v>MIC-7522-Z30x</v>
      </c>
      <c r="B6989" t="s">
        <v>1523</v>
      </c>
      <c r="C6989" s="403" t="s">
        <v>582</v>
      </c>
      <c r="D6989" t="s">
        <v>1524</v>
      </c>
      <c r="E6989" t="s">
        <v>1526</v>
      </c>
      <c r="F6989" t="s">
        <v>1290</v>
      </c>
      <c r="G6989" t="s">
        <v>1525</v>
      </c>
      <c r="H6989" t="s">
        <v>1281</v>
      </c>
      <c r="I6989">
        <v>1</v>
      </c>
      <c r="J6989" t="s">
        <v>1289</v>
      </c>
      <c r="K6989">
        <v>1280</v>
      </c>
      <c r="L6989">
        <v>720</v>
      </c>
      <c r="M6989" t="s">
        <v>1283</v>
      </c>
      <c r="N6989">
        <v>720</v>
      </c>
      <c r="O6989">
        <v>576</v>
      </c>
      <c r="P6989" t="str">
        <f t="shared" si="873"/>
        <v>50fps 720p full frame rate - SD 4CIF resolution 4:3 format (cropped)</v>
      </c>
      <c r="Q6989">
        <f t="shared" si="874"/>
        <v>38</v>
      </c>
      <c r="R6989" t="str">
        <f t="shared" si="875"/>
        <v/>
      </c>
      <c r="S6989" t="str">
        <f t="shared" si="876"/>
        <v/>
      </c>
      <c r="T6989" s="403" t="str">
        <f t="shared" si="877"/>
        <v>MIC-7522-Z30x</v>
      </c>
      <c r="U6989" s="403">
        <f t="shared" si="878"/>
        <v>1</v>
      </c>
      <c r="V6989" s="403" t="str">
        <f t="shared" si="879"/>
        <v>CPP_7_3</v>
      </c>
    </row>
    <row r="6990" spans="1:22">
      <c r="A6990" t="str">
        <f t="shared" si="872"/>
        <v>MIC-7522-Z30x</v>
      </c>
      <c r="B6990" t="s">
        <v>1523</v>
      </c>
      <c r="C6990" s="403" t="s">
        <v>582</v>
      </c>
      <c r="D6990" t="s">
        <v>1524</v>
      </c>
      <c r="E6990" t="s">
        <v>1526</v>
      </c>
      <c r="F6990" t="s">
        <v>1290</v>
      </c>
      <c r="G6990" t="s">
        <v>1525</v>
      </c>
      <c r="H6990" t="s">
        <v>1281</v>
      </c>
      <c r="I6990">
        <v>1</v>
      </c>
      <c r="J6990" t="s">
        <v>1289</v>
      </c>
      <c r="K6990">
        <v>1280</v>
      </c>
      <c r="L6990">
        <v>720</v>
      </c>
      <c r="M6990" t="s">
        <v>1284</v>
      </c>
      <c r="N6990">
        <v>640</v>
      </c>
      <c r="O6990">
        <v>480</v>
      </c>
      <c r="P6990" t="str">
        <f t="shared" si="873"/>
        <v>50fps 720p full frame rate - SD VGA (cropped)</v>
      </c>
      <c r="Q6990">
        <f t="shared" si="874"/>
        <v>38</v>
      </c>
      <c r="R6990" t="str">
        <f t="shared" si="875"/>
        <v/>
      </c>
      <c r="S6990" t="str">
        <f t="shared" si="876"/>
        <v/>
      </c>
      <c r="T6990" s="403" t="str">
        <f t="shared" si="877"/>
        <v>MIC-7522-Z30x</v>
      </c>
      <c r="U6990" s="403">
        <f t="shared" si="878"/>
        <v>1</v>
      </c>
      <c r="V6990" s="403" t="str">
        <f t="shared" si="879"/>
        <v>CPP_7_3</v>
      </c>
    </row>
    <row r="6991" spans="1:22">
      <c r="A6991" t="str">
        <f t="shared" si="872"/>
        <v>MIC-7522-Z30x</v>
      </c>
      <c r="B6991" t="s">
        <v>1523</v>
      </c>
      <c r="C6991" s="403" t="s">
        <v>582</v>
      </c>
      <c r="D6991" t="s">
        <v>1524</v>
      </c>
      <c r="E6991" t="s">
        <v>1526</v>
      </c>
      <c r="F6991" t="s">
        <v>1290</v>
      </c>
      <c r="G6991" t="s">
        <v>1525</v>
      </c>
      <c r="H6991" t="s">
        <v>1282</v>
      </c>
      <c r="I6991">
        <v>1</v>
      </c>
      <c r="J6991" t="s">
        <v>110</v>
      </c>
      <c r="K6991">
        <v>1920</v>
      </c>
      <c r="L6991">
        <v>1080</v>
      </c>
      <c r="M6991" t="s">
        <v>111</v>
      </c>
      <c r="N6991">
        <v>768</v>
      </c>
      <c r="O6991">
        <v>432</v>
      </c>
      <c r="P6991" t="str">
        <f t="shared" si="873"/>
        <v>50fps 1080p - SD</v>
      </c>
      <c r="Q6991">
        <f t="shared" si="874"/>
        <v>38</v>
      </c>
      <c r="R6991" t="str">
        <f t="shared" si="875"/>
        <v/>
      </c>
      <c r="S6991" t="str">
        <f t="shared" si="876"/>
        <v/>
      </c>
      <c r="T6991" s="403" t="str">
        <f t="shared" si="877"/>
        <v>MIC-7522-Z30x</v>
      </c>
      <c r="U6991" s="403">
        <f t="shared" si="878"/>
        <v>1</v>
      </c>
      <c r="V6991" s="403" t="str">
        <f t="shared" si="879"/>
        <v>CPP_7_3</v>
      </c>
    </row>
    <row r="6992" spans="1:22">
      <c r="A6992" t="str">
        <f t="shared" si="872"/>
        <v>MIC-7522-Z30x</v>
      </c>
      <c r="B6992" t="s">
        <v>1523</v>
      </c>
      <c r="C6992" s="403" t="s">
        <v>582</v>
      </c>
      <c r="D6992" t="s">
        <v>1524</v>
      </c>
      <c r="E6992" t="s">
        <v>1526</v>
      </c>
      <c r="F6992" t="s">
        <v>1290</v>
      </c>
      <c r="G6992" t="s">
        <v>1525</v>
      </c>
      <c r="H6992" t="s">
        <v>1282</v>
      </c>
      <c r="I6992">
        <v>1</v>
      </c>
      <c r="J6992" t="s">
        <v>110</v>
      </c>
      <c r="K6992">
        <v>1920</v>
      </c>
      <c r="L6992">
        <v>1080</v>
      </c>
      <c r="M6992" t="s">
        <v>110</v>
      </c>
      <c r="N6992">
        <v>1920</v>
      </c>
      <c r="O6992">
        <v>1080</v>
      </c>
      <c r="P6992" t="str">
        <f t="shared" si="873"/>
        <v>50fps 1080p - 1080p</v>
      </c>
      <c r="Q6992">
        <f t="shared" si="874"/>
        <v>38</v>
      </c>
      <c r="R6992" t="str">
        <f t="shared" si="875"/>
        <v/>
      </c>
      <c r="S6992" t="str">
        <f t="shared" si="876"/>
        <v/>
      </c>
      <c r="T6992" s="403" t="str">
        <f t="shared" si="877"/>
        <v>MIC-7522-Z30x</v>
      </c>
      <c r="U6992" s="403">
        <f t="shared" si="878"/>
        <v>1</v>
      </c>
      <c r="V6992" s="403" t="str">
        <f t="shared" si="879"/>
        <v>CPP_7_3</v>
      </c>
    </row>
    <row r="6993" spans="1:22">
      <c r="A6993" t="str">
        <f t="shared" si="872"/>
        <v>MIC-7522-Z30x</v>
      </c>
      <c r="B6993" t="s">
        <v>1523</v>
      </c>
      <c r="C6993" s="403" t="s">
        <v>582</v>
      </c>
      <c r="D6993" t="s">
        <v>1524</v>
      </c>
      <c r="E6993" t="s">
        <v>1526</v>
      </c>
      <c r="F6993" t="s">
        <v>1290</v>
      </c>
      <c r="G6993" t="s">
        <v>1525</v>
      </c>
      <c r="H6993" t="s">
        <v>1282</v>
      </c>
      <c r="I6993">
        <v>1</v>
      </c>
      <c r="J6993" t="s">
        <v>110</v>
      </c>
      <c r="K6993">
        <v>1920</v>
      </c>
      <c r="L6993">
        <v>1080</v>
      </c>
      <c r="M6993" t="s">
        <v>1289</v>
      </c>
      <c r="N6993">
        <v>1280</v>
      </c>
      <c r="O6993">
        <v>720</v>
      </c>
      <c r="P6993" t="str">
        <f t="shared" si="873"/>
        <v>50fps 1080p - 720p full frame rate</v>
      </c>
      <c r="Q6993">
        <f t="shared" si="874"/>
        <v>38</v>
      </c>
      <c r="R6993" t="str">
        <f t="shared" si="875"/>
        <v/>
      </c>
      <c r="S6993" t="str">
        <f t="shared" si="876"/>
        <v/>
      </c>
      <c r="T6993" s="403" t="str">
        <f t="shared" si="877"/>
        <v>MIC-7522-Z30x</v>
      </c>
      <c r="U6993" s="403">
        <f t="shared" si="878"/>
        <v>1</v>
      </c>
      <c r="V6993" s="403" t="str">
        <f t="shared" si="879"/>
        <v>CPP_7_3</v>
      </c>
    </row>
    <row r="6994" spans="1:22">
      <c r="A6994" t="str">
        <f t="shared" si="872"/>
        <v>MIC-7522-Z30x</v>
      </c>
      <c r="B6994" t="s">
        <v>1523</v>
      </c>
      <c r="C6994" s="403" t="s">
        <v>582</v>
      </c>
      <c r="D6994" t="s">
        <v>1524</v>
      </c>
      <c r="E6994" t="s">
        <v>1526</v>
      </c>
      <c r="F6994" t="s">
        <v>1290</v>
      </c>
      <c r="G6994" t="s">
        <v>1525</v>
      </c>
      <c r="H6994" t="s">
        <v>1282</v>
      </c>
      <c r="I6994">
        <v>1</v>
      </c>
      <c r="J6994" t="s">
        <v>110</v>
      </c>
      <c r="K6994">
        <v>1920</v>
      </c>
      <c r="L6994">
        <v>1080</v>
      </c>
      <c r="M6994" t="s">
        <v>1285</v>
      </c>
      <c r="N6994">
        <v>1280</v>
      </c>
      <c r="O6994">
        <v>1024</v>
      </c>
      <c r="P6994" t="str">
        <f t="shared" si="873"/>
        <v>50fps 1080p - 1280x1024 5:4 (cropped)</v>
      </c>
      <c r="Q6994">
        <f t="shared" si="874"/>
        <v>38</v>
      </c>
      <c r="R6994" t="str">
        <f t="shared" si="875"/>
        <v/>
      </c>
      <c r="S6994" t="str">
        <f t="shared" si="876"/>
        <v/>
      </c>
      <c r="T6994" s="403" t="str">
        <f t="shared" si="877"/>
        <v>MIC-7522-Z30x</v>
      </c>
      <c r="U6994" s="403">
        <f t="shared" si="878"/>
        <v>1</v>
      </c>
      <c r="V6994" s="403" t="str">
        <f t="shared" si="879"/>
        <v>CPP_7_3</v>
      </c>
    </row>
    <row r="6995" spans="1:22">
      <c r="A6995" t="str">
        <f t="shared" si="872"/>
        <v>MIC-7522-Z30x</v>
      </c>
      <c r="B6995" t="s">
        <v>1523</v>
      </c>
      <c r="C6995" s="403" t="s">
        <v>582</v>
      </c>
      <c r="D6995" t="s">
        <v>1524</v>
      </c>
      <c r="E6995" t="s">
        <v>1526</v>
      </c>
      <c r="F6995" t="s">
        <v>1290</v>
      </c>
      <c r="G6995" t="s">
        <v>1525</v>
      </c>
      <c r="H6995" t="s">
        <v>1282</v>
      </c>
      <c r="I6995">
        <v>1</v>
      </c>
      <c r="J6995" t="s">
        <v>110</v>
      </c>
      <c r="K6995">
        <v>1920</v>
      </c>
      <c r="L6995">
        <v>1080</v>
      </c>
      <c r="M6995" t="s">
        <v>1283</v>
      </c>
      <c r="N6995">
        <v>720</v>
      </c>
      <c r="O6995">
        <v>576</v>
      </c>
      <c r="P6995" t="str">
        <f t="shared" si="873"/>
        <v>50fps 1080p - SD 4CIF resolution 4:3 format (cropped)</v>
      </c>
      <c r="Q6995">
        <f t="shared" si="874"/>
        <v>38</v>
      </c>
      <c r="R6995" t="str">
        <f t="shared" si="875"/>
        <v/>
      </c>
      <c r="S6995" t="str">
        <f t="shared" si="876"/>
        <v/>
      </c>
      <c r="T6995" s="403" t="str">
        <f t="shared" si="877"/>
        <v>MIC-7522-Z30x</v>
      </c>
      <c r="U6995" s="403">
        <f t="shared" si="878"/>
        <v>1</v>
      </c>
      <c r="V6995" s="403" t="str">
        <f t="shared" si="879"/>
        <v>CPP_7_3</v>
      </c>
    </row>
    <row r="6996" spans="1:22">
      <c r="A6996" t="str">
        <f t="shared" si="872"/>
        <v>MIC-7522-Z30x</v>
      </c>
      <c r="B6996" t="s">
        <v>1523</v>
      </c>
      <c r="C6996" s="403" t="s">
        <v>582</v>
      </c>
      <c r="D6996" t="s">
        <v>1524</v>
      </c>
      <c r="E6996" t="s">
        <v>1526</v>
      </c>
      <c r="F6996" t="s">
        <v>1290</v>
      </c>
      <c r="G6996" t="s">
        <v>1525</v>
      </c>
      <c r="H6996" t="s">
        <v>1282</v>
      </c>
      <c r="I6996">
        <v>1</v>
      </c>
      <c r="J6996" t="s">
        <v>110</v>
      </c>
      <c r="K6996">
        <v>1920</v>
      </c>
      <c r="L6996">
        <v>1080</v>
      </c>
      <c r="M6996" t="s">
        <v>1284</v>
      </c>
      <c r="N6996">
        <v>640</v>
      </c>
      <c r="O6996">
        <v>480</v>
      </c>
      <c r="P6996" t="str">
        <f t="shared" si="873"/>
        <v>50fps 1080p - SD VGA (cropped)</v>
      </c>
      <c r="Q6996">
        <f t="shared" si="874"/>
        <v>38</v>
      </c>
      <c r="R6996" t="str">
        <f t="shared" si="875"/>
        <v/>
      </c>
      <c r="S6996" t="str">
        <f t="shared" si="876"/>
        <v/>
      </c>
      <c r="T6996" s="403" t="str">
        <f t="shared" si="877"/>
        <v>MIC-7522-Z30x</v>
      </c>
      <c r="U6996" s="403">
        <f t="shared" si="878"/>
        <v>1</v>
      </c>
      <c r="V6996" s="403" t="str">
        <f t="shared" si="879"/>
        <v>CPP_7_3</v>
      </c>
    </row>
    <row r="6997" spans="1:22">
      <c r="A6997" t="str">
        <f t="shared" si="872"/>
        <v>MIC-7522-Z30x</v>
      </c>
      <c r="B6997" t="s">
        <v>1523</v>
      </c>
      <c r="C6997" s="403" t="s">
        <v>582</v>
      </c>
      <c r="D6997" t="s">
        <v>1524</v>
      </c>
      <c r="E6997" t="s">
        <v>1526</v>
      </c>
      <c r="F6997" t="s">
        <v>1290</v>
      </c>
      <c r="G6997" t="s">
        <v>1525</v>
      </c>
      <c r="H6997" t="s">
        <v>1282</v>
      </c>
      <c r="I6997">
        <v>1</v>
      </c>
      <c r="J6997" t="s">
        <v>1289</v>
      </c>
      <c r="K6997">
        <v>1280</v>
      </c>
      <c r="L6997">
        <v>720</v>
      </c>
      <c r="M6997" t="s">
        <v>1289</v>
      </c>
      <c r="N6997">
        <v>1280</v>
      </c>
      <c r="O6997">
        <v>720</v>
      </c>
      <c r="P6997" t="str">
        <f t="shared" si="873"/>
        <v>50fps 720p full frame rate - 720p full frame rate</v>
      </c>
      <c r="Q6997">
        <f t="shared" si="874"/>
        <v>38</v>
      </c>
      <c r="R6997" t="str">
        <f t="shared" si="875"/>
        <v/>
      </c>
      <c r="S6997" t="str">
        <f t="shared" si="876"/>
        <v/>
      </c>
      <c r="T6997" s="403" t="str">
        <f t="shared" si="877"/>
        <v>MIC-7522-Z30x</v>
      </c>
      <c r="U6997" s="403">
        <f t="shared" si="878"/>
        <v>1</v>
      </c>
      <c r="V6997" s="403" t="str">
        <f t="shared" si="879"/>
        <v>CPP_7_3</v>
      </c>
    </row>
    <row r="6998" spans="1:22">
      <c r="A6998" t="str">
        <f t="shared" si="872"/>
        <v>MIC-7522-Z30x</v>
      </c>
      <c r="B6998" t="s">
        <v>1523</v>
      </c>
      <c r="C6998" s="403" t="s">
        <v>582</v>
      </c>
      <c r="D6998" t="s">
        <v>1524</v>
      </c>
      <c r="E6998" t="s">
        <v>1526</v>
      </c>
      <c r="F6998" t="s">
        <v>1290</v>
      </c>
      <c r="G6998" t="s">
        <v>1525</v>
      </c>
      <c r="H6998" t="s">
        <v>1282</v>
      </c>
      <c r="I6998">
        <v>1</v>
      </c>
      <c r="J6998" t="s">
        <v>1289</v>
      </c>
      <c r="K6998">
        <v>1280</v>
      </c>
      <c r="L6998">
        <v>720</v>
      </c>
      <c r="M6998" t="s">
        <v>111</v>
      </c>
      <c r="N6998">
        <v>768</v>
      </c>
      <c r="O6998">
        <v>432</v>
      </c>
      <c r="P6998" t="str">
        <f t="shared" si="873"/>
        <v>50fps 720p full frame rate - SD</v>
      </c>
      <c r="Q6998">
        <f t="shared" si="874"/>
        <v>38</v>
      </c>
      <c r="R6998" t="str">
        <f t="shared" si="875"/>
        <v/>
      </c>
      <c r="S6998" t="str">
        <f t="shared" si="876"/>
        <v/>
      </c>
      <c r="T6998" s="403" t="str">
        <f t="shared" si="877"/>
        <v>MIC-7522-Z30x</v>
      </c>
      <c r="U6998" s="403">
        <f t="shared" si="878"/>
        <v>1</v>
      </c>
      <c r="V6998" s="403" t="str">
        <f t="shared" si="879"/>
        <v>CPP_7_3</v>
      </c>
    </row>
    <row r="6999" spans="1:22">
      <c r="A6999" t="str">
        <f t="shared" si="872"/>
        <v>MIC-7522-Z30x</v>
      </c>
      <c r="B6999" t="s">
        <v>1523</v>
      </c>
      <c r="C6999" s="403" t="s">
        <v>582</v>
      </c>
      <c r="D6999" t="s">
        <v>1524</v>
      </c>
      <c r="E6999" t="s">
        <v>1526</v>
      </c>
      <c r="F6999" t="s">
        <v>1290</v>
      </c>
      <c r="G6999" t="s">
        <v>1525</v>
      </c>
      <c r="H6999" t="s">
        <v>1282</v>
      </c>
      <c r="I6999">
        <v>1</v>
      </c>
      <c r="J6999" t="s">
        <v>1289</v>
      </c>
      <c r="K6999">
        <v>1280</v>
      </c>
      <c r="L6999">
        <v>720</v>
      </c>
      <c r="M6999" t="s">
        <v>1283</v>
      </c>
      <c r="N6999">
        <v>720</v>
      </c>
      <c r="O6999">
        <v>576</v>
      </c>
      <c r="P6999" t="str">
        <f t="shared" si="873"/>
        <v>50fps 720p full frame rate - SD 4CIF resolution 4:3 format (cropped)</v>
      </c>
      <c r="Q6999">
        <f t="shared" si="874"/>
        <v>38</v>
      </c>
      <c r="R6999" t="str">
        <f t="shared" si="875"/>
        <v/>
      </c>
      <c r="S6999" t="str">
        <f t="shared" si="876"/>
        <v/>
      </c>
      <c r="T6999" s="403" t="str">
        <f t="shared" si="877"/>
        <v>MIC-7522-Z30x</v>
      </c>
      <c r="U6999" s="403">
        <f t="shared" si="878"/>
        <v>1</v>
      </c>
      <c r="V6999" s="403" t="str">
        <f t="shared" si="879"/>
        <v>CPP_7_3</v>
      </c>
    </row>
    <row r="7000" spans="1:22">
      <c r="A7000" t="str">
        <f t="shared" si="872"/>
        <v>MIC-7522-Z30x</v>
      </c>
      <c r="B7000" t="s">
        <v>1523</v>
      </c>
      <c r="C7000" s="403" t="s">
        <v>582</v>
      </c>
      <c r="D7000" t="s">
        <v>1524</v>
      </c>
      <c r="E7000" t="s">
        <v>1526</v>
      </c>
      <c r="F7000" t="s">
        <v>1290</v>
      </c>
      <c r="G7000" t="s">
        <v>1525</v>
      </c>
      <c r="H7000" t="s">
        <v>1282</v>
      </c>
      <c r="I7000">
        <v>1</v>
      </c>
      <c r="J7000" t="s">
        <v>1289</v>
      </c>
      <c r="K7000">
        <v>1280</v>
      </c>
      <c r="L7000">
        <v>720</v>
      </c>
      <c r="M7000" t="s">
        <v>1284</v>
      </c>
      <c r="N7000">
        <v>640</v>
      </c>
      <c r="O7000">
        <v>480</v>
      </c>
      <c r="P7000" t="str">
        <f t="shared" si="873"/>
        <v>50fps 720p full frame rate - SD VGA (cropped)</v>
      </c>
      <c r="Q7000">
        <f t="shared" si="874"/>
        <v>38</v>
      </c>
      <c r="R7000" t="str">
        <f t="shared" si="875"/>
        <v/>
      </c>
      <c r="S7000" t="str">
        <f t="shared" si="876"/>
        <v/>
      </c>
      <c r="T7000" s="403" t="str">
        <f t="shared" si="877"/>
        <v>MIC-7522-Z30x</v>
      </c>
      <c r="U7000" s="403">
        <f t="shared" si="878"/>
        <v>1</v>
      </c>
      <c r="V7000" s="403" t="str">
        <f t="shared" si="879"/>
        <v>CPP_7_3</v>
      </c>
    </row>
    <row r="7001" spans="1:22">
      <c r="A7001" t="str">
        <f t="shared" si="872"/>
        <v>MIC-7522-Z30x</v>
      </c>
      <c r="B7001" t="s">
        <v>1523</v>
      </c>
      <c r="C7001" s="403" t="s">
        <v>582</v>
      </c>
      <c r="D7001" t="s">
        <v>1524</v>
      </c>
      <c r="E7001" t="s">
        <v>1526</v>
      </c>
      <c r="F7001" t="s">
        <v>1288</v>
      </c>
      <c r="G7001" t="s">
        <v>1525</v>
      </c>
      <c r="H7001" t="s">
        <v>1276</v>
      </c>
      <c r="I7001">
        <v>1</v>
      </c>
      <c r="J7001" t="s">
        <v>110</v>
      </c>
      <c r="K7001">
        <v>1920</v>
      </c>
      <c r="L7001">
        <v>1080</v>
      </c>
      <c r="M7001" t="s">
        <v>111</v>
      </c>
      <c r="N7001">
        <v>768</v>
      </c>
      <c r="O7001">
        <v>432</v>
      </c>
      <c r="P7001" t="str">
        <f t="shared" si="873"/>
        <v>60fps 1080p - SD</v>
      </c>
      <c r="Q7001">
        <f t="shared" si="874"/>
        <v>38</v>
      </c>
      <c r="R7001" t="str">
        <f t="shared" si="875"/>
        <v/>
      </c>
      <c r="S7001" t="str">
        <f t="shared" si="876"/>
        <v/>
      </c>
      <c r="T7001" s="403" t="str">
        <f t="shared" si="877"/>
        <v>MIC-7522-Z30x</v>
      </c>
      <c r="U7001" s="403">
        <f t="shared" si="878"/>
        <v>1</v>
      </c>
      <c r="V7001" s="403" t="str">
        <f t="shared" si="879"/>
        <v>CPP_7_3</v>
      </c>
    </row>
    <row r="7002" spans="1:22">
      <c r="A7002" t="str">
        <f t="shared" si="872"/>
        <v>MIC-7522-Z30x</v>
      </c>
      <c r="B7002" t="s">
        <v>1523</v>
      </c>
      <c r="C7002" s="403" t="s">
        <v>582</v>
      </c>
      <c r="D7002" t="s">
        <v>1524</v>
      </c>
      <c r="E7002" t="s">
        <v>1526</v>
      </c>
      <c r="F7002" t="s">
        <v>1288</v>
      </c>
      <c r="G7002" t="s">
        <v>1525</v>
      </c>
      <c r="H7002" t="s">
        <v>1276</v>
      </c>
      <c r="I7002">
        <v>1</v>
      </c>
      <c r="J7002" t="s">
        <v>110</v>
      </c>
      <c r="K7002">
        <v>1920</v>
      </c>
      <c r="L7002">
        <v>1080</v>
      </c>
      <c r="M7002" t="s">
        <v>110</v>
      </c>
      <c r="N7002">
        <v>1920</v>
      </c>
      <c r="O7002">
        <v>1080</v>
      </c>
      <c r="P7002" t="str">
        <f t="shared" si="873"/>
        <v>60fps 1080p - 1080p</v>
      </c>
      <c r="Q7002">
        <f t="shared" si="874"/>
        <v>38</v>
      </c>
      <c r="R7002" t="str">
        <f t="shared" si="875"/>
        <v/>
      </c>
      <c r="S7002" t="str">
        <f t="shared" si="876"/>
        <v/>
      </c>
      <c r="T7002" s="403" t="str">
        <f t="shared" si="877"/>
        <v>MIC-7522-Z30x</v>
      </c>
      <c r="U7002" s="403">
        <f t="shared" si="878"/>
        <v>1</v>
      </c>
      <c r="V7002" s="403" t="str">
        <f t="shared" si="879"/>
        <v>CPP_7_3</v>
      </c>
    </row>
    <row r="7003" spans="1:22">
      <c r="A7003" t="str">
        <f t="shared" si="872"/>
        <v>MIC-7522-Z30x</v>
      </c>
      <c r="B7003" t="s">
        <v>1523</v>
      </c>
      <c r="C7003" s="403" t="s">
        <v>582</v>
      </c>
      <c r="D7003" t="s">
        <v>1524</v>
      </c>
      <c r="E7003" t="s">
        <v>1526</v>
      </c>
      <c r="F7003" t="s">
        <v>1288</v>
      </c>
      <c r="G7003" t="s">
        <v>1525</v>
      </c>
      <c r="H7003" t="s">
        <v>1276</v>
      </c>
      <c r="I7003">
        <v>1</v>
      </c>
      <c r="J7003" t="s">
        <v>110</v>
      </c>
      <c r="K7003">
        <v>1920</v>
      </c>
      <c r="L7003">
        <v>1080</v>
      </c>
      <c r="M7003" t="s">
        <v>1289</v>
      </c>
      <c r="N7003">
        <v>1280</v>
      </c>
      <c r="O7003">
        <v>720</v>
      </c>
      <c r="P7003" t="str">
        <f t="shared" si="873"/>
        <v>60fps 1080p - 720p full frame rate</v>
      </c>
      <c r="Q7003">
        <f t="shared" si="874"/>
        <v>38</v>
      </c>
      <c r="R7003" t="str">
        <f t="shared" si="875"/>
        <v/>
      </c>
      <c r="S7003" t="str">
        <f t="shared" si="876"/>
        <v/>
      </c>
      <c r="T7003" s="403" t="str">
        <f t="shared" si="877"/>
        <v>MIC-7522-Z30x</v>
      </c>
      <c r="U7003" s="403">
        <f t="shared" si="878"/>
        <v>1</v>
      </c>
      <c r="V7003" s="403" t="str">
        <f t="shared" si="879"/>
        <v>CPP_7_3</v>
      </c>
    </row>
    <row r="7004" spans="1:22">
      <c r="A7004" t="str">
        <f t="shared" si="872"/>
        <v>MIC-7522-Z30x</v>
      </c>
      <c r="B7004" t="s">
        <v>1523</v>
      </c>
      <c r="C7004" s="403" t="s">
        <v>582</v>
      </c>
      <c r="D7004" t="s">
        <v>1524</v>
      </c>
      <c r="E7004" t="s">
        <v>1526</v>
      </c>
      <c r="F7004" t="s">
        <v>1288</v>
      </c>
      <c r="G7004" t="s">
        <v>1525</v>
      </c>
      <c r="H7004" t="s">
        <v>1276</v>
      </c>
      <c r="I7004">
        <v>1</v>
      </c>
      <c r="J7004" t="s">
        <v>110</v>
      </c>
      <c r="K7004">
        <v>1920</v>
      </c>
      <c r="L7004">
        <v>1080</v>
      </c>
      <c r="M7004" t="s">
        <v>1285</v>
      </c>
      <c r="N7004">
        <v>1280</v>
      </c>
      <c r="O7004">
        <v>1024</v>
      </c>
      <c r="P7004" t="str">
        <f t="shared" si="873"/>
        <v>60fps 1080p - 1280x1024 5:4 (cropped)</v>
      </c>
      <c r="Q7004">
        <f t="shared" si="874"/>
        <v>38</v>
      </c>
      <c r="R7004" t="str">
        <f t="shared" si="875"/>
        <v/>
      </c>
      <c r="S7004" t="str">
        <f t="shared" si="876"/>
        <v/>
      </c>
      <c r="T7004" s="403" t="str">
        <f t="shared" si="877"/>
        <v>MIC-7522-Z30x</v>
      </c>
      <c r="U7004" s="403">
        <f t="shared" si="878"/>
        <v>1</v>
      </c>
      <c r="V7004" s="403" t="str">
        <f t="shared" si="879"/>
        <v>CPP_7_3</v>
      </c>
    </row>
    <row r="7005" spans="1:22">
      <c r="A7005" t="str">
        <f t="shared" si="872"/>
        <v>MIC-7522-Z30x</v>
      </c>
      <c r="B7005" t="s">
        <v>1523</v>
      </c>
      <c r="C7005" s="403" t="s">
        <v>582</v>
      </c>
      <c r="D7005" t="s">
        <v>1524</v>
      </c>
      <c r="E7005" t="s">
        <v>1526</v>
      </c>
      <c r="F7005" t="s">
        <v>1288</v>
      </c>
      <c r="G7005" t="s">
        <v>1525</v>
      </c>
      <c r="H7005" t="s">
        <v>1276</v>
      </c>
      <c r="I7005">
        <v>1</v>
      </c>
      <c r="J7005" t="s">
        <v>110</v>
      </c>
      <c r="K7005">
        <v>1920</v>
      </c>
      <c r="L7005">
        <v>1080</v>
      </c>
      <c r="M7005" t="s">
        <v>1283</v>
      </c>
      <c r="N7005">
        <v>720</v>
      </c>
      <c r="O7005">
        <v>480</v>
      </c>
      <c r="P7005" t="str">
        <f t="shared" si="873"/>
        <v>60fps 1080p - SD 4CIF resolution 4:3 format (cropped)</v>
      </c>
      <c r="Q7005">
        <f t="shared" si="874"/>
        <v>38</v>
      </c>
      <c r="R7005" t="str">
        <f t="shared" si="875"/>
        <v/>
      </c>
      <c r="S7005" t="str">
        <f t="shared" si="876"/>
        <v/>
      </c>
      <c r="T7005" s="403" t="str">
        <f t="shared" si="877"/>
        <v>MIC-7522-Z30x</v>
      </c>
      <c r="U7005" s="403">
        <f t="shared" si="878"/>
        <v>1</v>
      </c>
      <c r="V7005" s="403" t="str">
        <f t="shared" si="879"/>
        <v>CPP_7_3</v>
      </c>
    </row>
    <row r="7006" spans="1:22">
      <c r="A7006" t="str">
        <f t="shared" si="872"/>
        <v>MIC-7522-Z30x</v>
      </c>
      <c r="B7006" t="s">
        <v>1523</v>
      </c>
      <c r="C7006" s="403" t="s">
        <v>582</v>
      </c>
      <c r="D7006" t="s">
        <v>1524</v>
      </c>
      <c r="E7006" t="s">
        <v>1526</v>
      </c>
      <c r="F7006" t="s">
        <v>1288</v>
      </c>
      <c r="G7006" t="s">
        <v>1525</v>
      </c>
      <c r="H7006" t="s">
        <v>1276</v>
      </c>
      <c r="I7006">
        <v>1</v>
      </c>
      <c r="J7006" t="s">
        <v>110</v>
      </c>
      <c r="K7006">
        <v>1920</v>
      </c>
      <c r="L7006">
        <v>1080</v>
      </c>
      <c r="M7006" t="s">
        <v>1284</v>
      </c>
      <c r="N7006">
        <v>640</v>
      </c>
      <c r="O7006">
        <v>480</v>
      </c>
      <c r="P7006" t="str">
        <f t="shared" si="873"/>
        <v>60fps 1080p - SD VGA (cropped)</v>
      </c>
      <c r="Q7006">
        <f t="shared" si="874"/>
        <v>38</v>
      </c>
      <c r="R7006" t="str">
        <f t="shared" si="875"/>
        <v/>
      </c>
      <c r="S7006" t="str">
        <f t="shared" si="876"/>
        <v/>
      </c>
      <c r="T7006" s="403" t="str">
        <f t="shared" si="877"/>
        <v>MIC-7522-Z30x</v>
      </c>
      <c r="U7006" s="403">
        <f t="shared" si="878"/>
        <v>1</v>
      </c>
      <c r="V7006" s="403" t="str">
        <f t="shared" si="879"/>
        <v>CPP_7_3</v>
      </c>
    </row>
    <row r="7007" spans="1:22">
      <c r="A7007" t="str">
        <f t="shared" si="872"/>
        <v>MIC-7522-Z30x</v>
      </c>
      <c r="B7007" t="s">
        <v>1523</v>
      </c>
      <c r="C7007" s="403" t="s">
        <v>582</v>
      </c>
      <c r="D7007" t="s">
        <v>1524</v>
      </c>
      <c r="E7007" t="s">
        <v>1526</v>
      </c>
      <c r="F7007" t="s">
        <v>1288</v>
      </c>
      <c r="G7007" t="s">
        <v>1525</v>
      </c>
      <c r="H7007" t="s">
        <v>1276</v>
      </c>
      <c r="I7007">
        <v>1</v>
      </c>
      <c r="J7007" t="s">
        <v>1289</v>
      </c>
      <c r="K7007">
        <v>1280</v>
      </c>
      <c r="L7007">
        <v>720</v>
      </c>
      <c r="M7007" t="s">
        <v>1289</v>
      </c>
      <c r="N7007">
        <v>1280</v>
      </c>
      <c r="O7007">
        <v>720</v>
      </c>
      <c r="P7007" t="str">
        <f t="shared" si="873"/>
        <v>60fps 720p full frame rate - 720p full frame rate</v>
      </c>
      <c r="Q7007">
        <f t="shared" si="874"/>
        <v>38</v>
      </c>
      <c r="R7007" t="str">
        <f t="shared" si="875"/>
        <v/>
      </c>
      <c r="S7007" t="str">
        <f t="shared" si="876"/>
        <v/>
      </c>
      <c r="T7007" s="403" t="str">
        <f t="shared" si="877"/>
        <v>MIC-7522-Z30x</v>
      </c>
      <c r="U7007" s="403">
        <f t="shared" si="878"/>
        <v>1</v>
      </c>
      <c r="V7007" s="403" t="str">
        <f t="shared" si="879"/>
        <v>CPP_7_3</v>
      </c>
    </row>
    <row r="7008" spans="1:22">
      <c r="A7008" t="str">
        <f t="shared" si="872"/>
        <v>MIC-7522-Z30x</v>
      </c>
      <c r="B7008" t="s">
        <v>1523</v>
      </c>
      <c r="C7008" s="403" t="s">
        <v>582</v>
      </c>
      <c r="D7008" t="s">
        <v>1524</v>
      </c>
      <c r="E7008" t="s">
        <v>1526</v>
      </c>
      <c r="F7008" t="s">
        <v>1288</v>
      </c>
      <c r="G7008" t="s">
        <v>1525</v>
      </c>
      <c r="H7008" t="s">
        <v>1276</v>
      </c>
      <c r="I7008">
        <v>1</v>
      </c>
      <c r="J7008" t="s">
        <v>1289</v>
      </c>
      <c r="K7008">
        <v>1280</v>
      </c>
      <c r="L7008">
        <v>720</v>
      </c>
      <c r="M7008" t="s">
        <v>111</v>
      </c>
      <c r="N7008">
        <v>768</v>
      </c>
      <c r="O7008">
        <v>432</v>
      </c>
      <c r="P7008" t="str">
        <f t="shared" si="873"/>
        <v>60fps 720p full frame rate - SD</v>
      </c>
      <c r="Q7008">
        <f t="shared" si="874"/>
        <v>38</v>
      </c>
      <c r="R7008" t="str">
        <f t="shared" si="875"/>
        <v/>
      </c>
      <c r="S7008" t="str">
        <f t="shared" si="876"/>
        <v/>
      </c>
      <c r="T7008" s="403" t="str">
        <f t="shared" si="877"/>
        <v>MIC-7522-Z30x</v>
      </c>
      <c r="U7008" s="403">
        <f t="shared" si="878"/>
        <v>1</v>
      </c>
      <c r="V7008" s="403" t="str">
        <f t="shared" si="879"/>
        <v>CPP_7_3</v>
      </c>
    </row>
    <row r="7009" spans="1:22">
      <c r="A7009" t="str">
        <f t="shared" si="872"/>
        <v>MIC-7522-Z30x</v>
      </c>
      <c r="B7009" t="s">
        <v>1523</v>
      </c>
      <c r="C7009" s="403" t="s">
        <v>582</v>
      </c>
      <c r="D7009" t="s">
        <v>1524</v>
      </c>
      <c r="E7009" t="s">
        <v>1526</v>
      </c>
      <c r="F7009" t="s">
        <v>1288</v>
      </c>
      <c r="G7009" t="s">
        <v>1525</v>
      </c>
      <c r="H7009" t="s">
        <v>1276</v>
      </c>
      <c r="I7009">
        <v>1</v>
      </c>
      <c r="J7009" t="s">
        <v>1289</v>
      </c>
      <c r="K7009">
        <v>1280</v>
      </c>
      <c r="L7009">
        <v>720</v>
      </c>
      <c r="M7009" t="s">
        <v>1283</v>
      </c>
      <c r="N7009">
        <v>720</v>
      </c>
      <c r="O7009">
        <v>480</v>
      </c>
      <c r="P7009" t="str">
        <f t="shared" si="873"/>
        <v>60fps 720p full frame rate - SD 4CIF resolution 4:3 format (cropped)</v>
      </c>
      <c r="Q7009">
        <f t="shared" si="874"/>
        <v>38</v>
      </c>
      <c r="R7009" t="str">
        <f t="shared" si="875"/>
        <v/>
      </c>
      <c r="S7009" t="str">
        <f t="shared" si="876"/>
        <v/>
      </c>
      <c r="T7009" s="403" t="str">
        <f t="shared" si="877"/>
        <v>MIC-7522-Z30x</v>
      </c>
      <c r="U7009" s="403">
        <f t="shared" si="878"/>
        <v>1</v>
      </c>
      <c r="V7009" s="403" t="str">
        <f t="shared" si="879"/>
        <v>CPP_7_3</v>
      </c>
    </row>
    <row r="7010" spans="1:22">
      <c r="A7010" t="str">
        <f t="shared" si="872"/>
        <v>MIC-7522-Z30x</v>
      </c>
      <c r="B7010" t="s">
        <v>1523</v>
      </c>
      <c r="C7010" s="403" t="s">
        <v>582</v>
      </c>
      <c r="D7010" t="s">
        <v>1524</v>
      </c>
      <c r="E7010" t="s">
        <v>1526</v>
      </c>
      <c r="F7010" t="s">
        <v>1288</v>
      </c>
      <c r="G7010" t="s">
        <v>1525</v>
      </c>
      <c r="H7010" t="s">
        <v>1276</v>
      </c>
      <c r="I7010">
        <v>1</v>
      </c>
      <c r="J7010" t="s">
        <v>1289</v>
      </c>
      <c r="K7010">
        <v>1280</v>
      </c>
      <c r="L7010">
        <v>720</v>
      </c>
      <c r="M7010" t="s">
        <v>1284</v>
      </c>
      <c r="N7010">
        <v>640</v>
      </c>
      <c r="O7010">
        <v>480</v>
      </c>
      <c r="P7010" t="str">
        <f t="shared" si="873"/>
        <v>60fps 720p full frame rate - SD VGA (cropped)</v>
      </c>
      <c r="Q7010">
        <f t="shared" si="874"/>
        <v>38</v>
      </c>
      <c r="R7010" t="str">
        <f t="shared" si="875"/>
        <v/>
      </c>
      <c r="S7010" t="str">
        <f t="shared" si="876"/>
        <v/>
      </c>
      <c r="T7010" s="403" t="str">
        <f t="shared" si="877"/>
        <v>MIC-7522-Z30x</v>
      </c>
      <c r="U7010" s="403">
        <f t="shared" si="878"/>
        <v>1</v>
      </c>
      <c r="V7010" s="403" t="str">
        <f t="shared" si="879"/>
        <v>CPP_7_3</v>
      </c>
    </row>
    <row r="7011" spans="1:22">
      <c r="A7011" t="str">
        <f t="shared" si="872"/>
        <v>MIC-7522-Z30x</v>
      </c>
      <c r="B7011" t="s">
        <v>1523</v>
      </c>
      <c r="C7011" s="403" t="s">
        <v>582</v>
      </c>
      <c r="D7011" t="s">
        <v>1524</v>
      </c>
      <c r="E7011" t="s">
        <v>1526</v>
      </c>
      <c r="F7011" t="s">
        <v>1288</v>
      </c>
      <c r="G7011" t="s">
        <v>1525</v>
      </c>
      <c r="H7011" t="s">
        <v>1281</v>
      </c>
      <c r="I7011">
        <v>1</v>
      </c>
      <c r="J7011" t="s">
        <v>110</v>
      </c>
      <c r="K7011">
        <v>1920</v>
      </c>
      <c r="L7011">
        <v>1080</v>
      </c>
      <c r="M7011" t="s">
        <v>111</v>
      </c>
      <c r="N7011">
        <v>768</v>
      </c>
      <c r="O7011">
        <v>432</v>
      </c>
      <c r="P7011" t="str">
        <f t="shared" si="873"/>
        <v>60fps 1080p - SD</v>
      </c>
      <c r="Q7011">
        <f t="shared" si="874"/>
        <v>38</v>
      </c>
      <c r="R7011" t="str">
        <f t="shared" si="875"/>
        <v/>
      </c>
      <c r="S7011" t="str">
        <f t="shared" si="876"/>
        <v/>
      </c>
      <c r="T7011" s="403" t="str">
        <f t="shared" si="877"/>
        <v>MIC-7522-Z30x</v>
      </c>
      <c r="U7011" s="403">
        <f t="shared" si="878"/>
        <v>1</v>
      </c>
      <c r="V7011" s="403" t="str">
        <f t="shared" si="879"/>
        <v>CPP_7_3</v>
      </c>
    </row>
    <row r="7012" spans="1:22">
      <c r="A7012" t="str">
        <f t="shared" si="872"/>
        <v>MIC-7522-Z30x</v>
      </c>
      <c r="B7012" t="s">
        <v>1523</v>
      </c>
      <c r="C7012" s="403" t="s">
        <v>582</v>
      </c>
      <c r="D7012" t="s">
        <v>1524</v>
      </c>
      <c r="E7012" t="s">
        <v>1526</v>
      </c>
      <c r="F7012" t="s">
        <v>1288</v>
      </c>
      <c r="G7012" t="s">
        <v>1525</v>
      </c>
      <c r="H7012" t="s">
        <v>1281</v>
      </c>
      <c r="I7012">
        <v>1</v>
      </c>
      <c r="J7012" t="s">
        <v>110</v>
      </c>
      <c r="K7012">
        <v>1920</v>
      </c>
      <c r="L7012">
        <v>1080</v>
      </c>
      <c r="M7012" t="s">
        <v>1283</v>
      </c>
      <c r="N7012">
        <v>720</v>
      </c>
      <c r="O7012">
        <v>480</v>
      </c>
      <c r="P7012" t="str">
        <f t="shared" si="873"/>
        <v>60fps 1080p - SD 4CIF resolution 4:3 format (cropped)</v>
      </c>
      <c r="Q7012">
        <f t="shared" si="874"/>
        <v>38</v>
      </c>
      <c r="R7012" t="str">
        <f t="shared" si="875"/>
        <v/>
      </c>
      <c r="S7012" t="str">
        <f t="shared" si="876"/>
        <v/>
      </c>
      <c r="T7012" s="403" t="str">
        <f t="shared" si="877"/>
        <v>MIC-7522-Z30x</v>
      </c>
      <c r="U7012" s="403">
        <f t="shared" si="878"/>
        <v>1</v>
      </c>
      <c r="V7012" s="403" t="str">
        <f t="shared" si="879"/>
        <v>CPP_7_3</v>
      </c>
    </row>
    <row r="7013" spans="1:22">
      <c r="A7013" t="str">
        <f t="shared" si="872"/>
        <v>MIC-7522-Z30x</v>
      </c>
      <c r="B7013" t="s">
        <v>1523</v>
      </c>
      <c r="C7013" s="403" t="s">
        <v>582</v>
      </c>
      <c r="D7013" t="s">
        <v>1524</v>
      </c>
      <c r="E7013" t="s">
        <v>1526</v>
      </c>
      <c r="F7013" t="s">
        <v>1288</v>
      </c>
      <c r="G7013" t="s">
        <v>1525</v>
      </c>
      <c r="H7013" t="s">
        <v>1281</v>
      </c>
      <c r="I7013">
        <v>1</v>
      </c>
      <c r="J7013" t="s">
        <v>110</v>
      </c>
      <c r="K7013">
        <v>1920</v>
      </c>
      <c r="L7013">
        <v>1080</v>
      </c>
      <c r="M7013" t="s">
        <v>1284</v>
      </c>
      <c r="N7013">
        <v>640</v>
      </c>
      <c r="O7013">
        <v>480</v>
      </c>
      <c r="P7013" t="str">
        <f t="shared" si="873"/>
        <v>60fps 1080p - SD VGA (cropped)</v>
      </c>
      <c r="Q7013">
        <f t="shared" si="874"/>
        <v>38</v>
      </c>
      <c r="R7013" t="str">
        <f t="shared" si="875"/>
        <v/>
      </c>
      <c r="S7013" t="str">
        <f t="shared" si="876"/>
        <v/>
      </c>
      <c r="T7013" s="403" t="str">
        <f t="shared" si="877"/>
        <v>MIC-7522-Z30x</v>
      </c>
      <c r="U7013" s="403">
        <f t="shared" si="878"/>
        <v>1</v>
      </c>
      <c r="V7013" s="403" t="str">
        <f t="shared" si="879"/>
        <v>CPP_7_3</v>
      </c>
    </row>
    <row r="7014" spans="1:22">
      <c r="A7014" t="str">
        <f t="shared" si="872"/>
        <v>MIC-7522-Z30x</v>
      </c>
      <c r="B7014" t="s">
        <v>1523</v>
      </c>
      <c r="C7014" s="403" t="s">
        <v>582</v>
      </c>
      <c r="D7014" t="s">
        <v>1524</v>
      </c>
      <c r="E7014" t="s">
        <v>1526</v>
      </c>
      <c r="F7014" t="s">
        <v>1288</v>
      </c>
      <c r="G7014" t="s">
        <v>1525</v>
      </c>
      <c r="H7014" t="s">
        <v>1281</v>
      </c>
      <c r="I7014">
        <v>1</v>
      </c>
      <c r="J7014" t="s">
        <v>1289</v>
      </c>
      <c r="K7014">
        <v>1280</v>
      </c>
      <c r="L7014">
        <v>720</v>
      </c>
      <c r="M7014" t="s">
        <v>1289</v>
      </c>
      <c r="N7014">
        <v>1280</v>
      </c>
      <c r="O7014">
        <v>720</v>
      </c>
      <c r="P7014" t="str">
        <f t="shared" si="873"/>
        <v>60fps 720p full frame rate - 720p full frame rate</v>
      </c>
      <c r="Q7014">
        <f t="shared" si="874"/>
        <v>38</v>
      </c>
      <c r="R7014" t="str">
        <f t="shared" si="875"/>
        <v/>
      </c>
      <c r="S7014" t="str">
        <f t="shared" si="876"/>
        <v/>
      </c>
      <c r="T7014" s="403" t="str">
        <f t="shared" si="877"/>
        <v>MIC-7522-Z30x</v>
      </c>
      <c r="U7014" s="403">
        <f t="shared" si="878"/>
        <v>1</v>
      </c>
      <c r="V7014" s="403" t="str">
        <f t="shared" si="879"/>
        <v>CPP_7_3</v>
      </c>
    </row>
    <row r="7015" spans="1:22">
      <c r="A7015" t="str">
        <f t="shared" si="872"/>
        <v>MIC-7522-Z30x</v>
      </c>
      <c r="B7015" t="s">
        <v>1523</v>
      </c>
      <c r="C7015" s="403" t="s">
        <v>582</v>
      </c>
      <c r="D7015" t="s">
        <v>1524</v>
      </c>
      <c r="E7015" t="s">
        <v>1526</v>
      </c>
      <c r="F7015" t="s">
        <v>1288</v>
      </c>
      <c r="G7015" t="s">
        <v>1525</v>
      </c>
      <c r="H7015" t="s">
        <v>1281</v>
      </c>
      <c r="I7015">
        <v>1</v>
      </c>
      <c r="J7015" t="s">
        <v>1289</v>
      </c>
      <c r="K7015">
        <v>1280</v>
      </c>
      <c r="L7015">
        <v>720</v>
      </c>
      <c r="M7015" t="s">
        <v>111</v>
      </c>
      <c r="N7015">
        <v>768</v>
      </c>
      <c r="O7015">
        <v>432</v>
      </c>
      <c r="P7015" t="str">
        <f t="shared" si="873"/>
        <v>60fps 720p full frame rate - SD</v>
      </c>
      <c r="Q7015">
        <f t="shared" si="874"/>
        <v>38</v>
      </c>
      <c r="R7015" t="str">
        <f t="shared" si="875"/>
        <v/>
      </c>
      <c r="S7015" t="str">
        <f t="shared" si="876"/>
        <v/>
      </c>
      <c r="T7015" s="403" t="str">
        <f t="shared" si="877"/>
        <v>MIC-7522-Z30x</v>
      </c>
      <c r="U7015" s="403">
        <f t="shared" si="878"/>
        <v>1</v>
      </c>
      <c r="V7015" s="403" t="str">
        <f t="shared" si="879"/>
        <v>CPP_7_3</v>
      </c>
    </row>
    <row r="7016" spans="1:22">
      <c r="A7016" t="str">
        <f t="shared" si="872"/>
        <v>MIC-7522-Z30x</v>
      </c>
      <c r="B7016" t="s">
        <v>1523</v>
      </c>
      <c r="C7016" s="403" t="s">
        <v>582</v>
      </c>
      <c r="D7016" t="s">
        <v>1524</v>
      </c>
      <c r="E7016" t="s">
        <v>1526</v>
      </c>
      <c r="F7016" t="s">
        <v>1288</v>
      </c>
      <c r="G7016" t="s">
        <v>1525</v>
      </c>
      <c r="H7016" t="s">
        <v>1281</v>
      </c>
      <c r="I7016">
        <v>1</v>
      </c>
      <c r="J7016" t="s">
        <v>1289</v>
      </c>
      <c r="K7016">
        <v>1280</v>
      </c>
      <c r="L7016">
        <v>720</v>
      </c>
      <c r="M7016" t="s">
        <v>1283</v>
      </c>
      <c r="N7016">
        <v>720</v>
      </c>
      <c r="O7016">
        <v>480</v>
      </c>
      <c r="P7016" t="str">
        <f t="shared" si="873"/>
        <v>60fps 720p full frame rate - SD 4CIF resolution 4:3 format (cropped)</v>
      </c>
      <c r="Q7016">
        <f t="shared" si="874"/>
        <v>38</v>
      </c>
      <c r="R7016" t="str">
        <f t="shared" si="875"/>
        <v/>
      </c>
      <c r="S7016" t="str">
        <f t="shared" si="876"/>
        <v/>
      </c>
      <c r="T7016" s="403" t="str">
        <f t="shared" si="877"/>
        <v>MIC-7522-Z30x</v>
      </c>
      <c r="U7016" s="403">
        <f t="shared" si="878"/>
        <v>1</v>
      </c>
      <c r="V7016" s="403" t="str">
        <f t="shared" si="879"/>
        <v>CPP_7_3</v>
      </c>
    </row>
    <row r="7017" spans="1:22">
      <c r="A7017" t="str">
        <f t="shared" si="872"/>
        <v>MIC-7522-Z30x</v>
      </c>
      <c r="B7017" t="s">
        <v>1523</v>
      </c>
      <c r="C7017" s="403" t="s">
        <v>582</v>
      </c>
      <c r="D7017" t="s">
        <v>1524</v>
      </c>
      <c r="E7017" t="s">
        <v>1526</v>
      </c>
      <c r="F7017" t="s">
        <v>1288</v>
      </c>
      <c r="G7017" t="s">
        <v>1525</v>
      </c>
      <c r="H7017" t="s">
        <v>1281</v>
      </c>
      <c r="I7017">
        <v>1</v>
      </c>
      <c r="J7017" t="s">
        <v>1289</v>
      </c>
      <c r="K7017">
        <v>1280</v>
      </c>
      <c r="L7017">
        <v>720</v>
      </c>
      <c r="M7017" t="s">
        <v>1284</v>
      </c>
      <c r="N7017">
        <v>640</v>
      </c>
      <c r="O7017">
        <v>480</v>
      </c>
      <c r="P7017" t="str">
        <f t="shared" si="873"/>
        <v>60fps 720p full frame rate - SD VGA (cropped)</v>
      </c>
      <c r="Q7017">
        <f t="shared" si="874"/>
        <v>38</v>
      </c>
      <c r="R7017" t="str">
        <f t="shared" si="875"/>
        <v/>
      </c>
      <c r="S7017" t="str">
        <f t="shared" si="876"/>
        <v/>
      </c>
      <c r="T7017" s="403" t="str">
        <f t="shared" si="877"/>
        <v>MIC-7522-Z30x</v>
      </c>
      <c r="U7017" s="403">
        <f t="shared" si="878"/>
        <v>1</v>
      </c>
      <c r="V7017" s="403" t="str">
        <f t="shared" si="879"/>
        <v>CPP_7_3</v>
      </c>
    </row>
    <row r="7018" spans="1:22">
      <c r="A7018" t="str">
        <f t="shared" ref="A7018:A7081" si="880">IF(AND(G7018&lt;&gt;"rotate 90°"),D7018,"")</f>
        <v>MIC-7522-Z30x</v>
      </c>
      <c r="B7018" t="s">
        <v>1523</v>
      </c>
      <c r="C7018" s="403" t="s">
        <v>582</v>
      </c>
      <c r="D7018" t="s">
        <v>1524</v>
      </c>
      <c r="E7018" t="s">
        <v>1526</v>
      </c>
      <c r="F7018" t="s">
        <v>1288</v>
      </c>
      <c r="G7018" t="s">
        <v>1525</v>
      </c>
      <c r="H7018" t="s">
        <v>1282</v>
      </c>
      <c r="I7018">
        <v>1</v>
      </c>
      <c r="J7018" t="s">
        <v>110</v>
      </c>
      <c r="K7018">
        <v>1920</v>
      </c>
      <c r="L7018">
        <v>1080</v>
      </c>
      <c r="M7018" t="s">
        <v>111</v>
      </c>
      <c r="N7018">
        <v>768</v>
      </c>
      <c r="O7018">
        <v>432</v>
      </c>
      <c r="P7018" t="str">
        <f t="shared" ref="P7018:P7081" si="881">LEFT(F7018,5)&amp;" "&amp;J7018&amp;" - "&amp;M7018</f>
        <v>60fps 1080p - SD</v>
      </c>
      <c r="Q7018">
        <f t="shared" ref="Q7018:Q7081" si="882">IF(A7017=A7018,Q7017,Q7017+1)</f>
        <v>38</v>
      </c>
      <c r="R7018" t="str">
        <f t="shared" ref="R7018:R7081" si="883">IF(Q7017&lt;&gt;Q7018,Q7018,"")</f>
        <v/>
      </c>
      <c r="S7018" t="str">
        <f t="shared" ref="S7018:S7081" si="884">IF(R7018&lt;&gt;"",B7018&amp;" ("&amp;D7018&amp;")","")</f>
        <v/>
      </c>
      <c r="T7018" s="403" t="str">
        <f t="shared" ref="T7018:T7081" si="885">D7018</f>
        <v>MIC-7522-Z30x</v>
      </c>
      <c r="U7018" s="403">
        <f t="shared" ref="U7018:U7081" si="886">I7018</f>
        <v>1</v>
      </c>
      <c r="V7018" s="403" t="str">
        <f t="shared" ref="V7018:V7081" si="887">C7018</f>
        <v>CPP_7_3</v>
      </c>
    </row>
    <row r="7019" spans="1:22">
      <c r="A7019" t="str">
        <f t="shared" si="880"/>
        <v>MIC-7522-Z30x</v>
      </c>
      <c r="B7019" t="s">
        <v>1523</v>
      </c>
      <c r="C7019" s="403" t="s">
        <v>582</v>
      </c>
      <c r="D7019" t="s">
        <v>1524</v>
      </c>
      <c r="E7019" t="s">
        <v>1526</v>
      </c>
      <c r="F7019" t="s">
        <v>1288</v>
      </c>
      <c r="G7019" t="s">
        <v>1525</v>
      </c>
      <c r="H7019" t="s">
        <v>1282</v>
      </c>
      <c r="I7019">
        <v>1</v>
      </c>
      <c r="J7019" t="s">
        <v>110</v>
      </c>
      <c r="K7019">
        <v>1920</v>
      </c>
      <c r="L7019">
        <v>1080</v>
      </c>
      <c r="M7019" t="s">
        <v>1289</v>
      </c>
      <c r="N7019">
        <v>1280</v>
      </c>
      <c r="O7019">
        <v>720</v>
      </c>
      <c r="P7019" t="str">
        <f t="shared" si="881"/>
        <v>60fps 1080p - 720p full frame rate</v>
      </c>
      <c r="Q7019">
        <f t="shared" si="882"/>
        <v>38</v>
      </c>
      <c r="R7019" t="str">
        <f t="shared" si="883"/>
        <v/>
      </c>
      <c r="S7019" t="str">
        <f t="shared" si="884"/>
        <v/>
      </c>
      <c r="T7019" s="403" t="str">
        <f t="shared" si="885"/>
        <v>MIC-7522-Z30x</v>
      </c>
      <c r="U7019" s="403">
        <f t="shared" si="886"/>
        <v>1</v>
      </c>
      <c r="V7019" s="403" t="str">
        <f t="shared" si="887"/>
        <v>CPP_7_3</v>
      </c>
    </row>
    <row r="7020" spans="1:22">
      <c r="A7020" t="str">
        <f t="shared" si="880"/>
        <v>MIC-7522-Z30x</v>
      </c>
      <c r="B7020" t="s">
        <v>1523</v>
      </c>
      <c r="C7020" s="403" t="s">
        <v>582</v>
      </c>
      <c r="D7020" t="s">
        <v>1524</v>
      </c>
      <c r="E7020" t="s">
        <v>1526</v>
      </c>
      <c r="F7020" t="s">
        <v>1288</v>
      </c>
      <c r="G7020" t="s">
        <v>1525</v>
      </c>
      <c r="H7020" t="s">
        <v>1282</v>
      </c>
      <c r="I7020">
        <v>1</v>
      </c>
      <c r="J7020" t="s">
        <v>110</v>
      </c>
      <c r="K7020">
        <v>1920</v>
      </c>
      <c r="L7020">
        <v>1080</v>
      </c>
      <c r="M7020" t="s">
        <v>1285</v>
      </c>
      <c r="N7020">
        <v>1280</v>
      </c>
      <c r="O7020">
        <v>1024</v>
      </c>
      <c r="P7020" t="str">
        <f t="shared" si="881"/>
        <v>60fps 1080p - 1280x1024 5:4 (cropped)</v>
      </c>
      <c r="Q7020">
        <f t="shared" si="882"/>
        <v>38</v>
      </c>
      <c r="R7020" t="str">
        <f t="shared" si="883"/>
        <v/>
      </c>
      <c r="S7020" t="str">
        <f t="shared" si="884"/>
        <v/>
      </c>
      <c r="T7020" s="403" t="str">
        <f t="shared" si="885"/>
        <v>MIC-7522-Z30x</v>
      </c>
      <c r="U7020" s="403">
        <f t="shared" si="886"/>
        <v>1</v>
      </c>
      <c r="V7020" s="403" t="str">
        <f t="shared" si="887"/>
        <v>CPP_7_3</v>
      </c>
    </row>
    <row r="7021" spans="1:22">
      <c r="A7021" t="str">
        <f t="shared" si="880"/>
        <v>MIC-7522-Z30x</v>
      </c>
      <c r="B7021" t="s">
        <v>1523</v>
      </c>
      <c r="C7021" s="403" t="s">
        <v>582</v>
      </c>
      <c r="D7021" t="s">
        <v>1524</v>
      </c>
      <c r="E7021" t="s">
        <v>1526</v>
      </c>
      <c r="F7021" t="s">
        <v>1288</v>
      </c>
      <c r="G7021" t="s">
        <v>1525</v>
      </c>
      <c r="H7021" t="s">
        <v>1282</v>
      </c>
      <c r="I7021">
        <v>1</v>
      </c>
      <c r="J7021" t="s">
        <v>110</v>
      </c>
      <c r="K7021">
        <v>1920</v>
      </c>
      <c r="L7021">
        <v>1080</v>
      </c>
      <c r="M7021" t="s">
        <v>1283</v>
      </c>
      <c r="N7021">
        <v>720</v>
      </c>
      <c r="O7021">
        <v>480</v>
      </c>
      <c r="P7021" t="str">
        <f t="shared" si="881"/>
        <v>60fps 1080p - SD 4CIF resolution 4:3 format (cropped)</v>
      </c>
      <c r="Q7021">
        <f t="shared" si="882"/>
        <v>38</v>
      </c>
      <c r="R7021" t="str">
        <f t="shared" si="883"/>
        <v/>
      </c>
      <c r="S7021" t="str">
        <f t="shared" si="884"/>
        <v/>
      </c>
      <c r="T7021" s="403" t="str">
        <f t="shared" si="885"/>
        <v>MIC-7522-Z30x</v>
      </c>
      <c r="U7021" s="403">
        <f t="shared" si="886"/>
        <v>1</v>
      </c>
      <c r="V7021" s="403" t="str">
        <f t="shared" si="887"/>
        <v>CPP_7_3</v>
      </c>
    </row>
    <row r="7022" spans="1:22">
      <c r="A7022" t="str">
        <f t="shared" si="880"/>
        <v>MIC-7522-Z30x</v>
      </c>
      <c r="B7022" t="s">
        <v>1523</v>
      </c>
      <c r="C7022" s="403" t="s">
        <v>582</v>
      </c>
      <c r="D7022" t="s">
        <v>1524</v>
      </c>
      <c r="E7022" t="s">
        <v>1526</v>
      </c>
      <c r="F7022" t="s">
        <v>1288</v>
      </c>
      <c r="G7022" t="s">
        <v>1525</v>
      </c>
      <c r="H7022" t="s">
        <v>1282</v>
      </c>
      <c r="I7022">
        <v>1</v>
      </c>
      <c r="J7022" t="s">
        <v>110</v>
      </c>
      <c r="K7022">
        <v>1920</v>
      </c>
      <c r="L7022">
        <v>1080</v>
      </c>
      <c r="M7022" t="s">
        <v>1284</v>
      </c>
      <c r="N7022">
        <v>640</v>
      </c>
      <c r="O7022">
        <v>480</v>
      </c>
      <c r="P7022" t="str">
        <f t="shared" si="881"/>
        <v>60fps 1080p - SD VGA (cropped)</v>
      </c>
      <c r="Q7022">
        <f t="shared" si="882"/>
        <v>38</v>
      </c>
      <c r="R7022" t="str">
        <f t="shared" si="883"/>
        <v/>
      </c>
      <c r="S7022" t="str">
        <f t="shared" si="884"/>
        <v/>
      </c>
      <c r="T7022" s="403" t="str">
        <f t="shared" si="885"/>
        <v>MIC-7522-Z30x</v>
      </c>
      <c r="U7022" s="403">
        <f t="shared" si="886"/>
        <v>1</v>
      </c>
      <c r="V7022" s="403" t="str">
        <f t="shared" si="887"/>
        <v>CPP_7_3</v>
      </c>
    </row>
    <row r="7023" spans="1:22">
      <c r="A7023" t="str">
        <f t="shared" si="880"/>
        <v>MIC-7522-Z30x</v>
      </c>
      <c r="B7023" t="s">
        <v>1523</v>
      </c>
      <c r="C7023" s="403" t="s">
        <v>582</v>
      </c>
      <c r="D7023" t="s">
        <v>1524</v>
      </c>
      <c r="E7023" t="s">
        <v>1526</v>
      </c>
      <c r="F7023" t="s">
        <v>1288</v>
      </c>
      <c r="G7023" t="s">
        <v>1525</v>
      </c>
      <c r="H7023" t="s">
        <v>1282</v>
      </c>
      <c r="I7023">
        <v>1</v>
      </c>
      <c r="J7023" t="s">
        <v>1289</v>
      </c>
      <c r="K7023">
        <v>1280</v>
      </c>
      <c r="L7023">
        <v>720</v>
      </c>
      <c r="M7023" t="s">
        <v>1289</v>
      </c>
      <c r="N7023">
        <v>1280</v>
      </c>
      <c r="O7023">
        <v>720</v>
      </c>
      <c r="P7023" t="str">
        <f t="shared" si="881"/>
        <v>60fps 720p full frame rate - 720p full frame rate</v>
      </c>
      <c r="Q7023">
        <f t="shared" si="882"/>
        <v>38</v>
      </c>
      <c r="R7023" t="str">
        <f t="shared" si="883"/>
        <v/>
      </c>
      <c r="S7023" t="str">
        <f t="shared" si="884"/>
        <v/>
      </c>
      <c r="T7023" s="403" t="str">
        <f t="shared" si="885"/>
        <v>MIC-7522-Z30x</v>
      </c>
      <c r="U7023" s="403">
        <f t="shared" si="886"/>
        <v>1</v>
      </c>
      <c r="V7023" s="403" t="str">
        <f t="shared" si="887"/>
        <v>CPP_7_3</v>
      </c>
    </row>
    <row r="7024" spans="1:22">
      <c r="A7024" t="str">
        <f t="shared" si="880"/>
        <v>MIC-7522-Z30x</v>
      </c>
      <c r="B7024" t="s">
        <v>1523</v>
      </c>
      <c r="C7024" s="403" t="s">
        <v>582</v>
      </c>
      <c r="D7024" t="s">
        <v>1524</v>
      </c>
      <c r="E7024" t="s">
        <v>1526</v>
      </c>
      <c r="F7024" t="s">
        <v>1288</v>
      </c>
      <c r="G7024" t="s">
        <v>1525</v>
      </c>
      <c r="H7024" t="s">
        <v>1282</v>
      </c>
      <c r="I7024">
        <v>1</v>
      </c>
      <c r="J7024" t="s">
        <v>1289</v>
      </c>
      <c r="K7024">
        <v>1280</v>
      </c>
      <c r="L7024">
        <v>720</v>
      </c>
      <c r="M7024" t="s">
        <v>111</v>
      </c>
      <c r="N7024">
        <v>768</v>
      </c>
      <c r="O7024">
        <v>432</v>
      </c>
      <c r="P7024" t="str">
        <f t="shared" si="881"/>
        <v>60fps 720p full frame rate - SD</v>
      </c>
      <c r="Q7024">
        <f t="shared" si="882"/>
        <v>38</v>
      </c>
      <c r="R7024" t="str">
        <f t="shared" si="883"/>
        <v/>
      </c>
      <c r="S7024" t="str">
        <f t="shared" si="884"/>
        <v/>
      </c>
      <c r="T7024" s="403" t="str">
        <f t="shared" si="885"/>
        <v>MIC-7522-Z30x</v>
      </c>
      <c r="U7024" s="403">
        <f t="shared" si="886"/>
        <v>1</v>
      </c>
      <c r="V7024" s="403" t="str">
        <f t="shared" si="887"/>
        <v>CPP_7_3</v>
      </c>
    </row>
    <row r="7025" spans="1:22">
      <c r="A7025" t="str">
        <f t="shared" si="880"/>
        <v>MIC-7522-Z30x</v>
      </c>
      <c r="B7025" t="s">
        <v>1523</v>
      </c>
      <c r="C7025" s="403" t="s">
        <v>582</v>
      </c>
      <c r="D7025" t="s">
        <v>1524</v>
      </c>
      <c r="E7025" t="s">
        <v>1526</v>
      </c>
      <c r="F7025" t="s">
        <v>1288</v>
      </c>
      <c r="G7025" t="s">
        <v>1525</v>
      </c>
      <c r="H7025" t="s">
        <v>1282</v>
      </c>
      <c r="I7025">
        <v>1</v>
      </c>
      <c r="J7025" t="s">
        <v>1289</v>
      </c>
      <c r="K7025">
        <v>1280</v>
      </c>
      <c r="L7025">
        <v>720</v>
      </c>
      <c r="M7025" t="s">
        <v>1283</v>
      </c>
      <c r="N7025">
        <v>720</v>
      </c>
      <c r="O7025">
        <v>480</v>
      </c>
      <c r="P7025" t="str">
        <f t="shared" si="881"/>
        <v>60fps 720p full frame rate - SD 4CIF resolution 4:3 format (cropped)</v>
      </c>
      <c r="Q7025">
        <f t="shared" si="882"/>
        <v>38</v>
      </c>
      <c r="R7025" t="str">
        <f t="shared" si="883"/>
        <v/>
      </c>
      <c r="S7025" t="str">
        <f t="shared" si="884"/>
        <v/>
      </c>
      <c r="T7025" s="403" t="str">
        <f t="shared" si="885"/>
        <v>MIC-7522-Z30x</v>
      </c>
      <c r="U7025" s="403">
        <f t="shared" si="886"/>
        <v>1</v>
      </c>
      <c r="V7025" s="403" t="str">
        <f t="shared" si="887"/>
        <v>CPP_7_3</v>
      </c>
    </row>
    <row r="7026" spans="1:22">
      <c r="A7026" t="str">
        <f t="shared" si="880"/>
        <v>MIC-7522-Z30x</v>
      </c>
      <c r="B7026" t="s">
        <v>1523</v>
      </c>
      <c r="C7026" s="403" t="s">
        <v>582</v>
      </c>
      <c r="D7026" t="s">
        <v>1524</v>
      </c>
      <c r="E7026" t="s">
        <v>1526</v>
      </c>
      <c r="F7026" t="s">
        <v>1288</v>
      </c>
      <c r="G7026" t="s">
        <v>1525</v>
      </c>
      <c r="H7026" t="s">
        <v>1282</v>
      </c>
      <c r="I7026">
        <v>1</v>
      </c>
      <c r="J7026" t="s">
        <v>1289</v>
      </c>
      <c r="K7026">
        <v>1280</v>
      </c>
      <c r="L7026">
        <v>720</v>
      </c>
      <c r="M7026" t="s">
        <v>1284</v>
      </c>
      <c r="N7026">
        <v>640</v>
      </c>
      <c r="O7026">
        <v>480</v>
      </c>
      <c r="P7026" t="str">
        <f t="shared" si="881"/>
        <v>60fps 720p full frame rate - SD VGA (cropped)</v>
      </c>
      <c r="Q7026">
        <f t="shared" si="882"/>
        <v>38</v>
      </c>
      <c r="R7026" t="str">
        <f t="shared" si="883"/>
        <v/>
      </c>
      <c r="S7026" t="str">
        <f t="shared" si="884"/>
        <v/>
      </c>
      <c r="T7026" s="403" t="str">
        <f t="shared" si="885"/>
        <v>MIC-7522-Z30x</v>
      </c>
      <c r="U7026" s="403">
        <f t="shared" si="886"/>
        <v>1</v>
      </c>
      <c r="V7026" s="403" t="str">
        <f t="shared" si="887"/>
        <v>CPP_7_3</v>
      </c>
    </row>
    <row r="7027" spans="1:22">
      <c r="A7027" t="str">
        <f t="shared" si="880"/>
        <v>MIC-7522-Z30xR</v>
      </c>
      <c r="B7027" t="s">
        <v>1523</v>
      </c>
      <c r="C7027" s="403" t="s">
        <v>582</v>
      </c>
      <c r="D7027" t="s">
        <v>1527</v>
      </c>
      <c r="E7027" t="s">
        <v>1523</v>
      </c>
      <c r="F7027" t="s">
        <v>1287</v>
      </c>
      <c r="G7027" t="s">
        <v>1525</v>
      </c>
      <c r="H7027" t="s">
        <v>1276</v>
      </c>
      <c r="I7027">
        <v>1</v>
      </c>
      <c r="J7027" t="s">
        <v>110</v>
      </c>
      <c r="K7027">
        <v>1920</v>
      </c>
      <c r="L7027">
        <v>1080</v>
      </c>
      <c r="M7027" t="s">
        <v>111</v>
      </c>
      <c r="N7027">
        <v>768</v>
      </c>
      <c r="O7027">
        <v>432</v>
      </c>
      <c r="P7027" t="str">
        <f t="shared" si="881"/>
        <v>25fps 1080p - SD</v>
      </c>
      <c r="Q7027">
        <f t="shared" si="882"/>
        <v>39</v>
      </c>
      <c r="R7027">
        <f t="shared" si="883"/>
        <v>39</v>
      </c>
      <c r="S7027" t="str">
        <f t="shared" si="884"/>
        <v>MIC IP starlight 7100i (MIC-7522-Z30xR)</v>
      </c>
      <c r="T7027" s="403" t="str">
        <f t="shared" si="885"/>
        <v>MIC-7522-Z30xR</v>
      </c>
      <c r="U7027" s="403">
        <f t="shared" si="886"/>
        <v>1</v>
      </c>
      <c r="V7027" s="403" t="str">
        <f t="shared" si="887"/>
        <v>CPP_7_3</v>
      </c>
    </row>
    <row r="7028" spans="1:22">
      <c r="A7028" t="str">
        <f t="shared" si="880"/>
        <v>MIC-7522-Z30xR</v>
      </c>
      <c r="B7028" t="s">
        <v>1523</v>
      </c>
      <c r="C7028" s="403" t="s">
        <v>582</v>
      </c>
      <c r="D7028" t="s">
        <v>1527</v>
      </c>
      <c r="E7028" t="s">
        <v>1523</v>
      </c>
      <c r="F7028" t="s">
        <v>1287</v>
      </c>
      <c r="G7028" t="s">
        <v>1525</v>
      </c>
      <c r="H7028" t="s">
        <v>1276</v>
      </c>
      <c r="I7028">
        <v>1</v>
      </c>
      <c r="J7028" t="s">
        <v>110</v>
      </c>
      <c r="K7028">
        <v>1920</v>
      </c>
      <c r="L7028">
        <v>1080</v>
      </c>
      <c r="M7028" t="s">
        <v>110</v>
      </c>
      <c r="N7028">
        <v>1920</v>
      </c>
      <c r="O7028">
        <v>1080</v>
      </c>
      <c r="P7028" t="str">
        <f t="shared" si="881"/>
        <v>25fps 1080p - 1080p</v>
      </c>
      <c r="Q7028">
        <f t="shared" si="882"/>
        <v>39</v>
      </c>
      <c r="R7028" t="str">
        <f t="shared" si="883"/>
        <v/>
      </c>
      <c r="S7028" t="str">
        <f t="shared" si="884"/>
        <v/>
      </c>
      <c r="T7028" s="403" t="str">
        <f t="shared" si="885"/>
        <v>MIC-7522-Z30xR</v>
      </c>
      <c r="U7028" s="403">
        <f t="shared" si="886"/>
        <v>1</v>
      </c>
      <c r="V7028" s="403" t="str">
        <f t="shared" si="887"/>
        <v>CPP_7_3</v>
      </c>
    </row>
    <row r="7029" spans="1:22">
      <c r="A7029" t="str">
        <f t="shared" si="880"/>
        <v>MIC-7522-Z30xR</v>
      </c>
      <c r="B7029" t="s">
        <v>1523</v>
      </c>
      <c r="C7029" s="403" t="s">
        <v>582</v>
      </c>
      <c r="D7029" t="s">
        <v>1527</v>
      </c>
      <c r="E7029" t="s">
        <v>1523</v>
      </c>
      <c r="F7029" t="s">
        <v>1287</v>
      </c>
      <c r="G7029" t="s">
        <v>1525</v>
      </c>
      <c r="H7029" t="s">
        <v>1276</v>
      </c>
      <c r="I7029">
        <v>1</v>
      </c>
      <c r="J7029" t="s">
        <v>110</v>
      </c>
      <c r="K7029">
        <v>1920</v>
      </c>
      <c r="L7029">
        <v>1080</v>
      </c>
      <c r="M7029" t="s">
        <v>109</v>
      </c>
      <c r="N7029">
        <v>1280</v>
      </c>
      <c r="O7029">
        <v>720</v>
      </c>
      <c r="P7029" t="str">
        <f t="shared" si="881"/>
        <v>25fps 1080p - 720p</v>
      </c>
      <c r="Q7029">
        <f t="shared" si="882"/>
        <v>39</v>
      </c>
      <c r="R7029" t="str">
        <f t="shared" si="883"/>
        <v/>
      </c>
      <c r="S7029" t="str">
        <f t="shared" si="884"/>
        <v/>
      </c>
      <c r="T7029" s="403" t="str">
        <f t="shared" si="885"/>
        <v>MIC-7522-Z30xR</v>
      </c>
      <c r="U7029" s="403">
        <f t="shared" si="886"/>
        <v>1</v>
      </c>
      <c r="V7029" s="403" t="str">
        <f t="shared" si="887"/>
        <v>CPP_7_3</v>
      </c>
    </row>
    <row r="7030" spans="1:22">
      <c r="A7030" t="str">
        <f t="shared" si="880"/>
        <v>MIC-7522-Z30xR</v>
      </c>
      <c r="B7030" t="s">
        <v>1523</v>
      </c>
      <c r="C7030" s="403" t="s">
        <v>582</v>
      </c>
      <c r="D7030" t="s">
        <v>1527</v>
      </c>
      <c r="E7030" t="s">
        <v>1523</v>
      </c>
      <c r="F7030" t="s">
        <v>1287</v>
      </c>
      <c r="G7030" t="s">
        <v>1525</v>
      </c>
      <c r="H7030" t="s">
        <v>1276</v>
      </c>
      <c r="I7030">
        <v>1</v>
      </c>
      <c r="J7030" t="s">
        <v>110</v>
      </c>
      <c r="K7030">
        <v>1920</v>
      </c>
      <c r="L7030">
        <v>1080</v>
      </c>
      <c r="M7030" t="s">
        <v>1285</v>
      </c>
      <c r="N7030">
        <v>1280</v>
      </c>
      <c r="O7030">
        <v>1024</v>
      </c>
      <c r="P7030" t="str">
        <f t="shared" si="881"/>
        <v>25fps 1080p - 1280x1024 5:4 (cropped)</v>
      </c>
      <c r="Q7030">
        <f t="shared" si="882"/>
        <v>39</v>
      </c>
      <c r="R7030" t="str">
        <f t="shared" si="883"/>
        <v/>
      </c>
      <c r="S7030" t="str">
        <f t="shared" si="884"/>
        <v/>
      </c>
      <c r="T7030" s="403" t="str">
        <f t="shared" si="885"/>
        <v>MIC-7522-Z30xR</v>
      </c>
      <c r="U7030" s="403">
        <f t="shared" si="886"/>
        <v>1</v>
      </c>
      <c r="V7030" s="403" t="str">
        <f t="shared" si="887"/>
        <v>CPP_7_3</v>
      </c>
    </row>
    <row r="7031" spans="1:22">
      <c r="A7031" t="str">
        <f t="shared" si="880"/>
        <v>MIC-7522-Z30xR</v>
      </c>
      <c r="B7031" t="s">
        <v>1523</v>
      </c>
      <c r="C7031" s="403" t="s">
        <v>582</v>
      </c>
      <c r="D7031" t="s">
        <v>1527</v>
      </c>
      <c r="E7031" t="s">
        <v>1523</v>
      </c>
      <c r="F7031" t="s">
        <v>1287</v>
      </c>
      <c r="G7031" t="s">
        <v>1525</v>
      </c>
      <c r="H7031" t="s">
        <v>1276</v>
      </c>
      <c r="I7031">
        <v>1</v>
      </c>
      <c r="J7031" t="s">
        <v>110</v>
      </c>
      <c r="K7031">
        <v>1920</v>
      </c>
      <c r="L7031">
        <v>1080</v>
      </c>
      <c r="M7031" t="s">
        <v>1283</v>
      </c>
      <c r="N7031">
        <v>720</v>
      </c>
      <c r="O7031">
        <v>576</v>
      </c>
      <c r="P7031" t="str">
        <f t="shared" si="881"/>
        <v>25fps 1080p - SD 4CIF resolution 4:3 format (cropped)</v>
      </c>
      <c r="Q7031">
        <f t="shared" si="882"/>
        <v>39</v>
      </c>
      <c r="R7031" t="str">
        <f t="shared" si="883"/>
        <v/>
      </c>
      <c r="S7031" t="str">
        <f t="shared" si="884"/>
        <v/>
      </c>
      <c r="T7031" s="403" t="str">
        <f t="shared" si="885"/>
        <v>MIC-7522-Z30xR</v>
      </c>
      <c r="U7031" s="403">
        <f t="shared" si="886"/>
        <v>1</v>
      </c>
      <c r="V7031" s="403" t="str">
        <f t="shared" si="887"/>
        <v>CPP_7_3</v>
      </c>
    </row>
    <row r="7032" spans="1:22">
      <c r="A7032" t="str">
        <f t="shared" si="880"/>
        <v>MIC-7522-Z30xR</v>
      </c>
      <c r="B7032" t="s">
        <v>1523</v>
      </c>
      <c r="C7032" s="403" t="s">
        <v>582</v>
      </c>
      <c r="D7032" t="s">
        <v>1527</v>
      </c>
      <c r="E7032" t="s">
        <v>1523</v>
      </c>
      <c r="F7032" t="s">
        <v>1287</v>
      </c>
      <c r="G7032" t="s">
        <v>1525</v>
      </c>
      <c r="H7032" t="s">
        <v>1276</v>
      </c>
      <c r="I7032">
        <v>1</v>
      </c>
      <c r="J7032" t="s">
        <v>110</v>
      </c>
      <c r="K7032">
        <v>1920</v>
      </c>
      <c r="L7032">
        <v>1080</v>
      </c>
      <c r="M7032" t="s">
        <v>1284</v>
      </c>
      <c r="N7032">
        <v>640</v>
      </c>
      <c r="O7032">
        <v>480</v>
      </c>
      <c r="P7032" t="str">
        <f t="shared" si="881"/>
        <v>25fps 1080p - SD VGA (cropped)</v>
      </c>
      <c r="Q7032">
        <f t="shared" si="882"/>
        <v>39</v>
      </c>
      <c r="R7032" t="str">
        <f t="shared" si="883"/>
        <v/>
      </c>
      <c r="S7032" t="str">
        <f t="shared" si="884"/>
        <v/>
      </c>
      <c r="T7032" s="403" t="str">
        <f t="shared" si="885"/>
        <v>MIC-7522-Z30xR</v>
      </c>
      <c r="U7032" s="403">
        <f t="shared" si="886"/>
        <v>1</v>
      </c>
      <c r="V7032" s="403" t="str">
        <f t="shared" si="887"/>
        <v>CPP_7_3</v>
      </c>
    </row>
    <row r="7033" spans="1:22">
      <c r="A7033" t="str">
        <f t="shared" si="880"/>
        <v>MIC-7522-Z30xR</v>
      </c>
      <c r="B7033" t="s">
        <v>1523</v>
      </c>
      <c r="C7033" s="403" t="s">
        <v>582</v>
      </c>
      <c r="D7033" t="s">
        <v>1527</v>
      </c>
      <c r="E7033" t="s">
        <v>1523</v>
      </c>
      <c r="F7033" t="s">
        <v>1287</v>
      </c>
      <c r="G7033" t="s">
        <v>1525</v>
      </c>
      <c r="H7033" t="s">
        <v>1276</v>
      </c>
      <c r="I7033">
        <v>1</v>
      </c>
      <c r="J7033" t="s">
        <v>109</v>
      </c>
      <c r="K7033">
        <v>1280</v>
      </c>
      <c r="L7033">
        <v>720</v>
      </c>
      <c r="M7033" t="s">
        <v>109</v>
      </c>
      <c r="N7033">
        <v>1280</v>
      </c>
      <c r="O7033">
        <v>720</v>
      </c>
      <c r="P7033" t="str">
        <f t="shared" si="881"/>
        <v>25fps 720p - 720p</v>
      </c>
      <c r="Q7033">
        <f t="shared" si="882"/>
        <v>39</v>
      </c>
      <c r="R7033" t="str">
        <f t="shared" si="883"/>
        <v/>
      </c>
      <c r="S7033" t="str">
        <f t="shared" si="884"/>
        <v/>
      </c>
      <c r="T7033" s="403" t="str">
        <f t="shared" si="885"/>
        <v>MIC-7522-Z30xR</v>
      </c>
      <c r="U7033" s="403">
        <f t="shared" si="886"/>
        <v>1</v>
      </c>
      <c r="V7033" s="403" t="str">
        <f t="shared" si="887"/>
        <v>CPP_7_3</v>
      </c>
    </row>
    <row r="7034" spans="1:22">
      <c r="A7034" t="str">
        <f t="shared" si="880"/>
        <v>MIC-7522-Z30xR</v>
      </c>
      <c r="B7034" t="s">
        <v>1523</v>
      </c>
      <c r="C7034" s="403" t="s">
        <v>582</v>
      </c>
      <c r="D7034" t="s">
        <v>1527</v>
      </c>
      <c r="E7034" t="s">
        <v>1523</v>
      </c>
      <c r="F7034" t="s">
        <v>1287</v>
      </c>
      <c r="G7034" t="s">
        <v>1525</v>
      </c>
      <c r="H7034" t="s">
        <v>1276</v>
      </c>
      <c r="I7034">
        <v>1</v>
      </c>
      <c r="J7034" t="s">
        <v>109</v>
      </c>
      <c r="K7034">
        <v>1280</v>
      </c>
      <c r="L7034">
        <v>720</v>
      </c>
      <c r="M7034" t="s">
        <v>111</v>
      </c>
      <c r="N7034">
        <v>768</v>
      </c>
      <c r="O7034">
        <v>432</v>
      </c>
      <c r="P7034" t="str">
        <f t="shared" si="881"/>
        <v>25fps 720p - SD</v>
      </c>
      <c r="Q7034">
        <f t="shared" si="882"/>
        <v>39</v>
      </c>
      <c r="R7034" t="str">
        <f t="shared" si="883"/>
        <v/>
      </c>
      <c r="S7034" t="str">
        <f t="shared" si="884"/>
        <v/>
      </c>
      <c r="T7034" s="403" t="str">
        <f t="shared" si="885"/>
        <v>MIC-7522-Z30xR</v>
      </c>
      <c r="U7034" s="403">
        <f t="shared" si="886"/>
        <v>1</v>
      </c>
      <c r="V7034" s="403" t="str">
        <f t="shared" si="887"/>
        <v>CPP_7_3</v>
      </c>
    </row>
    <row r="7035" spans="1:22">
      <c r="A7035" t="str">
        <f t="shared" si="880"/>
        <v>MIC-7522-Z30xR</v>
      </c>
      <c r="B7035" t="s">
        <v>1523</v>
      </c>
      <c r="C7035" s="403" t="s">
        <v>582</v>
      </c>
      <c r="D7035" t="s">
        <v>1527</v>
      </c>
      <c r="E7035" t="s">
        <v>1523</v>
      </c>
      <c r="F7035" t="s">
        <v>1287</v>
      </c>
      <c r="G7035" t="s">
        <v>1525</v>
      </c>
      <c r="H7035" t="s">
        <v>1276</v>
      </c>
      <c r="I7035">
        <v>1</v>
      </c>
      <c r="J7035" t="s">
        <v>109</v>
      </c>
      <c r="K7035">
        <v>1280</v>
      </c>
      <c r="L7035">
        <v>720</v>
      </c>
      <c r="M7035" t="s">
        <v>1283</v>
      </c>
      <c r="N7035">
        <v>720</v>
      </c>
      <c r="O7035">
        <v>576</v>
      </c>
      <c r="P7035" t="str">
        <f t="shared" si="881"/>
        <v>25fps 720p - SD 4CIF resolution 4:3 format (cropped)</v>
      </c>
      <c r="Q7035">
        <f t="shared" si="882"/>
        <v>39</v>
      </c>
      <c r="R7035" t="str">
        <f t="shared" si="883"/>
        <v/>
      </c>
      <c r="S7035" t="str">
        <f t="shared" si="884"/>
        <v/>
      </c>
      <c r="T7035" s="403" t="str">
        <f t="shared" si="885"/>
        <v>MIC-7522-Z30xR</v>
      </c>
      <c r="U7035" s="403">
        <f t="shared" si="886"/>
        <v>1</v>
      </c>
      <c r="V7035" s="403" t="str">
        <f t="shared" si="887"/>
        <v>CPP_7_3</v>
      </c>
    </row>
    <row r="7036" spans="1:22">
      <c r="A7036" t="str">
        <f t="shared" si="880"/>
        <v>MIC-7522-Z30xR</v>
      </c>
      <c r="B7036" t="s">
        <v>1523</v>
      </c>
      <c r="C7036" s="403" t="s">
        <v>582</v>
      </c>
      <c r="D7036" t="s">
        <v>1527</v>
      </c>
      <c r="E7036" t="s">
        <v>1523</v>
      </c>
      <c r="F7036" t="s">
        <v>1287</v>
      </c>
      <c r="G7036" t="s">
        <v>1525</v>
      </c>
      <c r="H7036" t="s">
        <v>1276</v>
      </c>
      <c r="I7036">
        <v>1</v>
      </c>
      <c r="J7036" t="s">
        <v>109</v>
      </c>
      <c r="K7036">
        <v>1280</v>
      </c>
      <c r="L7036">
        <v>720</v>
      </c>
      <c r="M7036" t="s">
        <v>1284</v>
      </c>
      <c r="N7036">
        <v>640</v>
      </c>
      <c r="O7036">
        <v>480</v>
      </c>
      <c r="P7036" t="str">
        <f t="shared" si="881"/>
        <v>25fps 720p - SD VGA (cropped)</v>
      </c>
      <c r="Q7036">
        <f t="shared" si="882"/>
        <v>39</v>
      </c>
      <c r="R7036" t="str">
        <f t="shared" si="883"/>
        <v/>
      </c>
      <c r="S7036" t="str">
        <f t="shared" si="884"/>
        <v/>
      </c>
      <c r="T7036" s="403" t="str">
        <f t="shared" si="885"/>
        <v>MIC-7522-Z30xR</v>
      </c>
      <c r="U7036" s="403">
        <f t="shared" si="886"/>
        <v>1</v>
      </c>
      <c r="V7036" s="403" t="str">
        <f t="shared" si="887"/>
        <v>CPP_7_3</v>
      </c>
    </row>
    <row r="7037" spans="1:22">
      <c r="A7037" t="str">
        <f t="shared" si="880"/>
        <v>MIC-7522-Z30xR</v>
      </c>
      <c r="B7037" t="s">
        <v>1523</v>
      </c>
      <c r="C7037" s="403" t="s">
        <v>582</v>
      </c>
      <c r="D7037" t="s">
        <v>1527</v>
      </c>
      <c r="E7037" t="s">
        <v>1523</v>
      </c>
      <c r="F7037" t="s">
        <v>1287</v>
      </c>
      <c r="G7037" t="s">
        <v>1525</v>
      </c>
      <c r="H7037" t="s">
        <v>1281</v>
      </c>
      <c r="I7037">
        <v>1</v>
      </c>
      <c r="J7037" t="s">
        <v>110</v>
      </c>
      <c r="K7037">
        <v>1920</v>
      </c>
      <c r="L7037">
        <v>1080</v>
      </c>
      <c r="M7037" t="s">
        <v>111</v>
      </c>
      <c r="N7037">
        <v>768</v>
      </c>
      <c r="O7037">
        <v>432</v>
      </c>
      <c r="P7037" t="str">
        <f t="shared" si="881"/>
        <v>25fps 1080p - SD</v>
      </c>
      <c r="Q7037">
        <f t="shared" si="882"/>
        <v>39</v>
      </c>
      <c r="R7037" t="str">
        <f t="shared" si="883"/>
        <v/>
      </c>
      <c r="S7037" t="str">
        <f t="shared" si="884"/>
        <v/>
      </c>
      <c r="T7037" s="403" t="str">
        <f t="shared" si="885"/>
        <v>MIC-7522-Z30xR</v>
      </c>
      <c r="U7037" s="403">
        <f t="shared" si="886"/>
        <v>1</v>
      </c>
      <c r="V7037" s="403" t="str">
        <f t="shared" si="887"/>
        <v>CPP_7_3</v>
      </c>
    </row>
    <row r="7038" spans="1:22">
      <c r="A7038" t="str">
        <f t="shared" si="880"/>
        <v>MIC-7522-Z30xR</v>
      </c>
      <c r="B7038" t="s">
        <v>1523</v>
      </c>
      <c r="C7038" s="403" t="s">
        <v>582</v>
      </c>
      <c r="D7038" t="s">
        <v>1527</v>
      </c>
      <c r="E7038" t="s">
        <v>1523</v>
      </c>
      <c r="F7038" t="s">
        <v>1287</v>
      </c>
      <c r="G7038" t="s">
        <v>1525</v>
      </c>
      <c r="H7038" t="s">
        <v>1281</v>
      </c>
      <c r="I7038">
        <v>1</v>
      </c>
      <c r="J7038" t="s">
        <v>110</v>
      </c>
      <c r="K7038">
        <v>1920</v>
      </c>
      <c r="L7038">
        <v>1080</v>
      </c>
      <c r="M7038" t="s">
        <v>110</v>
      </c>
      <c r="N7038">
        <v>1920</v>
      </c>
      <c r="O7038">
        <v>1080</v>
      </c>
      <c r="P7038" t="str">
        <f t="shared" si="881"/>
        <v>25fps 1080p - 1080p</v>
      </c>
      <c r="Q7038">
        <f t="shared" si="882"/>
        <v>39</v>
      </c>
      <c r="R7038" t="str">
        <f t="shared" si="883"/>
        <v/>
      </c>
      <c r="S7038" t="str">
        <f t="shared" si="884"/>
        <v/>
      </c>
      <c r="T7038" s="403" t="str">
        <f t="shared" si="885"/>
        <v>MIC-7522-Z30xR</v>
      </c>
      <c r="U7038" s="403">
        <f t="shared" si="886"/>
        <v>1</v>
      </c>
      <c r="V7038" s="403" t="str">
        <f t="shared" si="887"/>
        <v>CPP_7_3</v>
      </c>
    </row>
    <row r="7039" spans="1:22">
      <c r="A7039" t="str">
        <f t="shared" si="880"/>
        <v>MIC-7522-Z30xR</v>
      </c>
      <c r="B7039" t="s">
        <v>1523</v>
      </c>
      <c r="C7039" s="403" t="s">
        <v>582</v>
      </c>
      <c r="D7039" t="s">
        <v>1527</v>
      </c>
      <c r="E7039" t="s">
        <v>1523</v>
      </c>
      <c r="F7039" t="s">
        <v>1287</v>
      </c>
      <c r="G7039" t="s">
        <v>1525</v>
      </c>
      <c r="H7039" t="s">
        <v>1281</v>
      </c>
      <c r="I7039">
        <v>1</v>
      </c>
      <c r="J7039" t="s">
        <v>110</v>
      </c>
      <c r="K7039">
        <v>1920</v>
      </c>
      <c r="L7039">
        <v>1080</v>
      </c>
      <c r="M7039" t="s">
        <v>109</v>
      </c>
      <c r="N7039">
        <v>1280</v>
      </c>
      <c r="O7039">
        <v>720</v>
      </c>
      <c r="P7039" t="str">
        <f t="shared" si="881"/>
        <v>25fps 1080p - 720p</v>
      </c>
      <c r="Q7039">
        <f t="shared" si="882"/>
        <v>39</v>
      </c>
      <c r="R7039" t="str">
        <f t="shared" si="883"/>
        <v/>
      </c>
      <c r="S7039" t="str">
        <f t="shared" si="884"/>
        <v/>
      </c>
      <c r="T7039" s="403" t="str">
        <f t="shared" si="885"/>
        <v>MIC-7522-Z30xR</v>
      </c>
      <c r="U7039" s="403">
        <f t="shared" si="886"/>
        <v>1</v>
      </c>
      <c r="V7039" s="403" t="str">
        <f t="shared" si="887"/>
        <v>CPP_7_3</v>
      </c>
    </row>
    <row r="7040" spans="1:22">
      <c r="A7040" t="str">
        <f t="shared" si="880"/>
        <v>MIC-7522-Z30xR</v>
      </c>
      <c r="B7040" t="s">
        <v>1523</v>
      </c>
      <c r="C7040" s="403" t="s">
        <v>582</v>
      </c>
      <c r="D7040" t="s">
        <v>1527</v>
      </c>
      <c r="E7040" t="s">
        <v>1523</v>
      </c>
      <c r="F7040" t="s">
        <v>1287</v>
      </c>
      <c r="G7040" t="s">
        <v>1525</v>
      </c>
      <c r="H7040" t="s">
        <v>1281</v>
      </c>
      <c r="I7040">
        <v>1</v>
      </c>
      <c r="J7040" t="s">
        <v>110</v>
      </c>
      <c r="K7040">
        <v>1920</v>
      </c>
      <c r="L7040">
        <v>1080</v>
      </c>
      <c r="M7040" t="s">
        <v>1285</v>
      </c>
      <c r="N7040">
        <v>1280</v>
      </c>
      <c r="O7040">
        <v>1024</v>
      </c>
      <c r="P7040" t="str">
        <f t="shared" si="881"/>
        <v>25fps 1080p - 1280x1024 5:4 (cropped)</v>
      </c>
      <c r="Q7040">
        <f t="shared" si="882"/>
        <v>39</v>
      </c>
      <c r="R7040" t="str">
        <f t="shared" si="883"/>
        <v/>
      </c>
      <c r="S7040" t="str">
        <f t="shared" si="884"/>
        <v/>
      </c>
      <c r="T7040" s="403" t="str">
        <f t="shared" si="885"/>
        <v>MIC-7522-Z30xR</v>
      </c>
      <c r="U7040" s="403">
        <f t="shared" si="886"/>
        <v>1</v>
      </c>
      <c r="V7040" s="403" t="str">
        <f t="shared" si="887"/>
        <v>CPP_7_3</v>
      </c>
    </row>
    <row r="7041" spans="1:22">
      <c r="A7041" t="str">
        <f t="shared" si="880"/>
        <v>MIC-7522-Z30xR</v>
      </c>
      <c r="B7041" t="s">
        <v>1523</v>
      </c>
      <c r="C7041" s="403" t="s">
        <v>582</v>
      </c>
      <c r="D7041" t="s">
        <v>1527</v>
      </c>
      <c r="E7041" t="s">
        <v>1523</v>
      </c>
      <c r="F7041" t="s">
        <v>1287</v>
      </c>
      <c r="G7041" t="s">
        <v>1525</v>
      </c>
      <c r="H7041" t="s">
        <v>1281</v>
      </c>
      <c r="I7041">
        <v>1</v>
      </c>
      <c r="J7041" t="s">
        <v>110</v>
      </c>
      <c r="K7041">
        <v>1920</v>
      </c>
      <c r="L7041">
        <v>1080</v>
      </c>
      <c r="M7041" t="s">
        <v>1283</v>
      </c>
      <c r="N7041">
        <v>720</v>
      </c>
      <c r="O7041">
        <v>576</v>
      </c>
      <c r="P7041" t="str">
        <f t="shared" si="881"/>
        <v>25fps 1080p - SD 4CIF resolution 4:3 format (cropped)</v>
      </c>
      <c r="Q7041">
        <f t="shared" si="882"/>
        <v>39</v>
      </c>
      <c r="R7041" t="str">
        <f t="shared" si="883"/>
        <v/>
      </c>
      <c r="S7041" t="str">
        <f t="shared" si="884"/>
        <v/>
      </c>
      <c r="T7041" s="403" t="str">
        <f t="shared" si="885"/>
        <v>MIC-7522-Z30xR</v>
      </c>
      <c r="U7041" s="403">
        <f t="shared" si="886"/>
        <v>1</v>
      </c>
      <c r="V7041" s="403" t="str">
        <f t="shared" si="887"/>
        <v>CPP_7_3</v>
      </c>
    </row>
    <row r="7042" spans="1:22">
      <c r="A7042" t="str">
        <f t="shared" si="880"/>
        <v>MIC-7522-Z30xR</v>
      </c>
      <c r="B7042" t="s">
        <v>1523</v>
      </c>
      <c r="C7042" s="403" t="s">
        <v>582</v>
      </c>
      <c r="D7042" t="s">
        <v>1527</v>
      </c>
      <c r="E7042" t="s">
        <v>1523</v>
      </c>
      <c r="F7042" t="s">
        <v>1287</v>
      </c>
      <c r="G7042" t="s">
        <v>1525</v>
      </c>
      <c r="H7042" t="s">
        <v>1281</v>
      </c>
      <c r="I7042">
        <v>1</v>
      </c>
      <c r="J7042" t="s">
        <v>110</v>
      </c>
      <c r="K7042">
        <v>1920</v>
      </c>
      <c r="L7042">
        <v>1080</v>
      </c>
      <c r="M7042" t="s">
        <v>1284</v>
      </c>
      <c r="N7042">
        <v>640</v>
      </c>
      <c r="O7042">
        <v>480</v>
      </c>
      <c r="P7042" t="str">
        <f t="shared" si="881"/>
        <v>25fps 1080p - SD VGA (cropped)</v>
      </c>
      <c r="Q7042">
        <f t="shared" si="882"/>
        <v>39</v>
      </c>
      <c r="R7042" t="str">
        <f t="shared" si="883"/>
        <v/>
      </c>
      <c r="S7042" t="str">
        <f t="shared" si="884"/>
        <v/>
      </c>
      <c r="T7042" s="403" t="str">
        <f t="shared" si="885"/>
        <v>MIC-7522-Z30xR</v>
      </c>
      <c r="U7042" s="403">
        <f t="shared" si="886"/>
        <v>1</v>
      </c>
      <c r="V7042" s="403" t="str">
        <f t="shared" si="887"/>
        <v>CPP_7_3</v>
      </c>
    </row>
    <row r="7043" spans="1:22">
      <c r="A7043" t="str">
        <f t="shared" si="880"/>
        <v>MIC-7522-Z30xR</v>
      </c>
      <c r="B7043" t="s">
        <v>1523</v>
      </c>
      <c r="C7043" s="403" t="s">
        <v>582</v>
      </c>
      <c r="D7043" t="s">
        <v>1527</v>
      </c>
      <c r="E7043" t="s">
        <v>1523</v>
      </c>
      <c r="F7043" t="s">
        <v>1287</v>
      </c>
      <c r="G7043" t="s">
        <v>1525</v>
      </c>
      <c r="H7043" t="s">
        <v>1281</v>
      </c>
      <c r="I7043">
        <v>1</v>
      </c>
      <c r="J7043" t="s">
        <v>109</v>
      </c>
      <c r="K7043">
        <v>1280</v>
      </c>
      <c r="L7043">
        <v>720</v>
      </c>
      <c r="M7043" t="s">
        <v>109</v>
      </c>
      <c r="N7043">
        <v>1280</v>
      </c>
      <c r="O7043">
        <v>720</v>
      </c>
      <c r="P7043" t="str">
        <f t="shared" si="881"/>
        <v>25fps 720p - 720p</v>
      </c>
      <c r="Q7043">
        <f t="shared" si="882"/>
        <v>39</v>
      </c>
      <c r="R7043" t="str">
        <f t="shared" si="883"/>
        <v/>
      </c>
      <c r="S7043" t="str">
        <f t="shared" si="884"/>
        <v/>
      </c>
      <c r="T7043" s="403" t="str">
        <f t="shared" si="885"/>
        <v>MIC-7522-Z30xR</v>
      </c>
      <c r="U7043" s="403">
        <f t="shared" si="886"/>
        <v>1</v>
      </c>
      <c r="V7043" s="403" t="str">
        <f t="shared" si="887"/>
        <v>CPP_7_3</v>
      </c>
    </row>
    <row r="7044" spans="1:22">
      <c r="A7044" t="str">
        <f t="shared" si="880"/>
        <v>MIC-7522-Z30xR</v>
      </c>
      <c r="B7044" t="s">
        <v>1523</v>
      </c>
      <c r="C7044" s="403" t="s">
        <v>582</v>
      </c>
      <c r="D7044" t="s">
        <v>1527</v>
      </c>
      <c r="E7044" t="s">
        <v>1523</v>
      </c>
      <c r="F7044" t="s">
        <v>1287</v>
      </c>
      <c r="G7044" t="s">
        <v>1525</v>
      </c>
      <c r="H7044" t="s">
        <v>1281</v>
      </c>
      <c r="I7044">
        <v>1</v>
      </c>
      <c r="J7044" t="s">
        <v>109</v>
      </c>
      <c r="K7044">
        <v>1280</v>
      </c>
      <c r="L7044">
        <v>720</v>
      </c>
      <c r="M7044" t="s">
        <v>111</v>
      </c>
      <c r="N7044">
        <v>768</v>
      </c>
      <c r="O7044">
        <v>432</v>
      </c>
      <c r="P7044" t="str">
        <f t="shared" si="881"/>
        <v>25fps 720p - SD</v>
      </c>
      <c r="Q7044">
        <f t="shared" si="882"/>
        <v>39</v>
      </c>
      <c r="R7044" t="str">
        <f t="shared" si="883"/>
        <v/>
      </c>
      <c r="S7044" t="str">
        <f t="shared" si="884"/>
        <v/>
      </c>
      <c r="T7044" s="403" t="str">
        <f t="shared" si="885"/>
        <v>MIC-7522-Z30xR</v>
      </c>
      <c r="U7044" s="403">
        <f t="shared" si="886"/>
        <v>1</v>
      </c>
      <c r="V7044" s="403" t="str">
        <f t="shared" si="887"/>
        <v>CPP_7_3</v>
      </c>
    </row>
    <row r="7045" spans="1:22">
      <c r="A7045" t="str">
        <f t="shared" si="880"/>
        <v>MIC-7522-Z30xR</v>
      </c>
      <c r="B7045" t="s">
        <v>1523</v>
      </c>
      <c r="C7045" s="403" t="s">
        <v>582</v>
      </c>
      <c r="D7045" t="s">
        <v>1527</v>
      </c>
      <c r="E7045" t="s">
        <v>1523</v>
      </c>
      <c r="F7045" t="s">
        <v>1287</v>
      </c>
      <c r="G7045" t="s">
        <v>1525</v>
      </c>
      <c r="H7045" t="s">
        <v>1281</v>
      </c>
      <c r="I7045">
        <v>1</v>
      </c>
      <c r="J7045" t="s">
        <v>109</v>
      </c>
      <c r="K7045">
        <v>1280</v>
      </c>
      <c r="L7045">
        <v>720</v>
      </c>
      <c r="M7045" t="s">
        <v>1283</v>
      </c>
      <c r="N7045">
        <v>720</v>
      </c>
      <c r="O7045">
        <v>576</v>
      </c>
      <c r="P7045" t="str">
        <f t="shared" si="881"/>
        <v>25fps 720p - SD 4CIF resolution 4:3 format (cropped)</v>
      </c>
      <c r="Q7045">
        <f t="shared" si="882"/>
        <v>39</v>
      </c>
      <c r="R7045" t="str">
        <f t="shared" si="883"/>
        <v/>
      </c>
      <c r="S7045" t="str">
        <f t="shared" si="884"/>
        <v/>
      </c>
      <c r="T7045" s="403" t="str">
        <f t="shared" si="885"/>
        <v>MIC-7522-Z30xR</v>
      </c>
      <c r="U7045" s="403">
        <f t="shared" si="886"/>
        <v>1</v>
      </c>
      <c r="V7045" s="403" t="str">
        <f t="shared" si="887"/>
        <v>CPP_7_3</v>
      </c>
    </row>
    <row r="7046" spans="1:22">
      <c r="A7046" t="str">
        <f t="shared" si="880"/>
        <v>MIC-7522-Z30xR</v>
      </c>
      <c r="B7046" t="s">
        <v>1523</v>
      </c>
      <c r="C7046" s="403" t="s">
        <v>582</v>
      </c>
      <c r="D7046" t="s">
        <v>1527</v>
      </c>
      <c r="E7046" t="s">
        <v>1523</v>
      </c>
      <c r="F7046" t="s">
        <v>1287</v>
      </c>
      <c r="G7046" t="s">
        <v>1525</v>
      </c>
      <c r="H7046" t="s">
        <v>1281</v>
      </c>
      <c r="I7046">
        <v>1</v>
      </c>
      <c r="J7046" t="s">
        <v>109</v>
      </c>
      <c r="K7046">
        <v>1280</v>
      </c>
      <c r="L7046">
        <v>720</v>
      </c>
      <c r="M7046" t="s">
        <v>1284</v>
      </c>
      <c r="N7046">
        <v>640</v>
      </c>
      <c r="O7046">
        <v>480</v>
      </c>
      <c r="P7046" t="str">
        <f t="shared" si="881"/>
        <v>25fps 720p - SD VGA (cropped)</v>
      </c>
      <c r="Q7046">
        <f t="shared" si="882"/>
        <v>39</v>
      </c>
      <c r="R7046" t="str">
        <f t="shared" si="883"/>
        <v/>
      </c>
      <c r="S7046" t="str">
        <f t="shared" si="884"/>
        <v/>
      </c>
      <c r="T7046" s="403" t="str">
        <f t="shared" si="885"/>
        <v>MIC-7522-Z30xR</v>
      </c>
      <c r="U7046" s="403">
        <f t="shared" si="886"/>
        <v>1</v>
      </c>
      <c r="V7046" s="403" t="str">
        <f t="shared" si="887"/>
        <v>CPP_7_3</v>
      </c>
    </row>
    <row r="7047" spans="1:22">
      <c r="A7047" t="str">
        <f t="shared" si="880"/>
        <v>MIC-7522-Z30xR</v>
      </c>
      <c r="B7047" t="s">
        <v>1523</v>
      </c>
      <c r="C7047" s="403" t="s">
        <v>582</v>
      </c>
      <c r="D7047" t="s">
        <v>1527</v>
      </c>
      <c r="E7047" t="s">
        <v>1523</v>
      </c>
      <c r="F7047" t="s">
        <v>1287</v>
      </c>
      <c r="G7047" t="s">
        <v>1525</v>
      </c>
      <c r="H7047" t="s">
        <v>1282</v>
      </c>
      <c r="I7047">
        <v>1</v>
      </c>
      <c r="J7047" t="s">
        <v>110</v>
      </c>
      <c r="K7047">
        <v>1920</v>
      </c>
      <c r="L7047">
        <v>1080</v>
      </c>
      <c r="M7047" t="s">
        <v>111</v>
      </c>
      <c r="N7047">
        <v>768</v>
      </c>
      <c r="O7047">
        <v>432</v>
      </c>
      <c r="P7047" t="str">
        <f t="shared" si="881"/>
        <v>25fps 1080p - SD</v>
      </c>
      <c r="Q7047">
        <f t="shared" si="882"/>
        <v>39</v>
      </c>
      <c r="R7047" t="str">
        <f t="shared" si="883"/>
        <v/>
      </c>
      <c r="S7047" t="str">
        <f t="shared" si="884"/>
        <v/>
      </c>
      <c r="T7047" s="403" t="str">
        <f t="shared" si="885"/>
        <v>MIC-7522-Z30xR</v>
      </c>
      <c r="U7047" s="403">
        <f t="shared" si="886"/>
        <v>1</v>
      </c>
      <c r="V7047" s="403" t="str">
        <f t="shared" si="887"/>
        <v>CPP_7_3</v>
      </c>
    </row>
    <row r="7048" spans="1:22">
      <c r="A7048" t="str">
        <f t="shared" si="880"/>
        <v>MIC-7522-Z30xR</v>
      </c>
      <c r="B7048" t="s">
        <v>1523</v>
      </c>
      <c r="C7048" s="403" t="s">
        <v>582</v>
      </c>
      <c r="D7048" t="s">
        <v>1527</v>
      </c>
      <c r="E7048" t="s">
        <v>1523</v>
      </c>
      <c r="F7048" t="s">
        <v>1287</v>
      </c>
      <c r="G7048" t="s">
        <v>1525</v>
      </c>
      <c r="H7048" t="s">
        <v>1282</v>
      </c>
      <c r="I7048">
        <v>1</v>
      </c>
      <c r="J7048" t="s">
        <v>110</v>
      </c>
      <c r="K7048">
        <v>1920</v>
      </c>
      <c r="L7048">
        <v>1080</v>
      </c>
      <c r="M7048" t="s">
        <v>110</v>
      </c>
      <c r="N7048">
        <v>1920</v>
      </c>
      <c r="O7048">
        <v>1080</v>
      </c>
      <c r="P7048" t="str">
        <f t="shared" si="881"/>
        <v>25fps 1080p - 1080p</v>
      </c>
      <c r="Q7048">
        <f t="shared" si="882"/>
        <v>39</v>
      </c>
      <c r="R7048" t="str">
        <f t="shared" si="883"/>
        <v/>
      </c>
      <c r="S7048" t="str">
        <f t="shared" si="884"/>
        <v/>
      </c>
      <c r="T7048" s="403" t="str">
        <f t="shared" si="885"/>
        <v>MIC-7522-Z30xR</v>
      </c>
      <c r="U7048" s="403">
        <f t="shared" si="886"/>
        <v>1</v>
      </c>
      <c r="V7048" s="403" t="str">
        <f t="shared" si="887"/>
        <v>CPP_7_3</v>
      </c>
    </row>
    <row r="7049" spans="1:22">
      <c r="A7049" t="str">
        <f t="shared" si="880"/>
        <v>MIC-7522-Z30xR</v>
      </c>
      <c r="B7049" t="s">
        <v>1523</v>
      </c>
      <c r="C7049" s="403" t="s">
        <v>582</v>
      </c>
      <c r="D7049" t="s">
        <v>1527</v>
      </c>
      <c r="E7049" t="s">
        <v>1523</v>
      </c>
      <c r="F7049" t="s">
        <v>1287</v>
      </c>
      <c r="G7049" t="s">
        <v>1525</v>
      </c>
      <c r="H7049" t="s">
        <v>1282</v>
      </c>
      <c r="I7049">
        <v>1</v>
      </c>
      <c r="J7049" t="s">
        <v>110</v>
      </c>
      <c r="K7049">
        <v>1920</v>
      </c>
      <c r="L7049">
        <v>1080</v>
      </c>
      <c r="M7049" t="s">
        <v>109</v>
      </c>
      <c r="N7049">
        <v>1280</v>
      </c>
      <c r="O7049">
        <v>720</v>
      </c>
      <c r="P7049" t="str">
        <f t="shared" si="881"/>
        <v>25fps 1080p - 720p</v>
      </c>
      <c r="Q7049">
        <f t="shared" si="882"/>
        <v>39</v>
      </c>
      <c r="R7049" t="str">
        <f t="shared" si="883"/>
        <v/>
      </c>
      <c r="S7049" t="str">
        <f t="shared" si="884"/>
        <v/>
      </c>
      <c r="T7049" s="403" t="str">
        <f t="shared" si="885"/>
        <v>MIC-7522-Z30xR</v>
      </c>
      <c r="U7049" s="403">
        <f t="shared" si="886"/>
        <v>1</v>
      </c>
      <c r="V7049" s="403" t="str">
        <f t="shared" si="887"/>
        <v>CPP_7_3</v>
      </c>
    </row>
    <row r="7050" spans="1:22">
      <c r="A7050" t="str">
        <f t="shared" si="880"/>
        <v>MIC-7522-Z30xR</v>
      </c>
      <c r="B7050" t="s">
        <v>1523</v>
      </c>
      <c r="C7050" s="403" t="s">
        <v>582</v>
      </c>
      <c r="D7050" t="s">
        <v>1527</v>
      </c>
      <c r="E7050" t="s">
        <v>1523</v>
      </c>
      <c r="F7050" t="s">
        <v>1287</v>
      </c>
      <c r="G7050" t="s">
        <v>1525</v>
      </c>
      <c r="H7050" t="s">
        <v>1282</v>
      </c>
      <c r="I7050">
        <v>1</v>
      </c>
      <c r="J7050" t="s">
        <v>110</v>
      </c>
      <c r="K7050">
        <v>1920</v>
      </c>
      <c r="L7050">
        <v>1080</v>
      </c>
      <c r="M7050" t="s">
        <v>1285</v>
      </c>
      <c r="N7050">
        <v>1280</v>
      </c>
      <c r="O7050">
        <v>1024</v>
      </c>
      <c r="P7050" t="str">
        <f t="shared" si="881"/>
        <v>25fps 1080p - 1280x1024 5:4 (cropped)</v>
      </c>
      <c r="Q7050">
        <f t="shared" si="882"/>
        <v>39</v>
      </c>
      <c r="R7050" t="str">
        <f t="shared" si="883"/>
        <v/>
      </c>
      <c r="S7050" t="str">
        <f t="shared" si="884"/>
        <v/>
      </c>
      <c r="T7050" s="403" t="str">
        <f t="shared" si="885"/>
        <v>MIC-7522-Z30xR</v>
      </c>
      <c r="U7050" s="403">
        <f t="shared" si="886"/>
        <v>1</v>
      </c>
      <c r="V7050" s="403" t="str">
        <f t="shared" si="887"/>
        <v>CPP_7_3</v>
      </c>
    </row>
    <row r="7051" spans="1:22">
      <c r="A7051" t="str">
        <f t="shared" si="880"/>
        <v>MIC-7522-Z30xR</v>
      </c>
      <c r="B7051" t="s">
        <v>1523</v>
      </c>
      <c r="C7051" s="403" t="s">
        <v>582</v>
      </c>
      <c r="D7051" t="s">
        <v>1527</v>
      </c>
      <c r="E7051" t="s">
        <v>1523</v>
      </c>
      <c r="F7051" t="s">
        <v>1287</v>
      </c>
      <c r="G7051" t="s">
        <v>1525</v>
      </c>
      <c r="H7051" t="s">
        <v>1282</v>
      </c>
      <c r="I7051">
        <v>1</v>
      </c>
      <c r="J7051" t="s">
        <v>110</v>
      </c>
      <c r="K7051">
        <v>1920</v>
      </c>
      <c r="L7051">
        <v>1080</v>
      </c>
      <c r="M7051" t="s">
        <v>1283</v>
      </c>
      <c r="N7051">
        <v>720</v>
      </c>
      <c r="O7051">
        <v>576</v>
      </c>
      <c r="P7051" t="str">
        <f t="shared" si="881"/>
        <v>25fps 1080p - SD 4CIF resolution 4:3 format (cropped)</v>
      </c>
      <c r="Q7051">
        <f t="shared" si="882"/>
        <v>39</v>
      </c>
      <c r="R7051" t="str">
        <f t="shared" si="883"/>
        <v/>
      </c>
      <c r="S7051" t="str">
        <f t="shared" si="884"/>
        <v/>
      </c>
      <c r="T7051" s="403" t="str">
        <f t="shared" si="885"/>
        <v>MIC-7522-Z30xR</v>
      </c>
      <c r="U7051" s="403">
        <f t="shared" si="886"/>
        <v>1</v>
      </c>
      <c r="V7051" s="403" t="str">
        <f t="shared" si="887"/>
        <v>CPP_7_3</v>
      </c>
    </row>
    <row r="7052" spans="1:22">
      <c r="A7052" t="str">
        <f t="shared" si="880"/>
        <v>MIC-7522-Z30xR</v>
      </c>
      <c r="B7052" t="s">
        <v>1523</v>
      </c>
      <c r="C7052" s="403" t="s">
        <v>582</v>
      </c>
      <c r="D7052" t="s">
        <v>1527</v>
      </c>
      <c r="E7052" t="s">
        <v>1523</v>
      </c>
      <c r="F7052" t="s">
        <v>1287</v>
      </c>
      <c r="G7052" t="s">
        <v>1525</v>
      </c>
      <c r="H7052" t="s">
        <v>1282</v>
      </c>
      <c r="I7052">
        <v>1</v>
      </c>
      <c r="J7052" t="s">
        <v>110</v>
      </c>
      <c r="K7052">
        <v>1920</v>
      </c>
      <c r="L7052">
        <v>1080</v>
      </c>
      <c r="M7052" t="s">
        <v>1284</v>
      </c>
      <c r="N7052">
        <v>640</v>
      </c>
      <c r="O7052">
        <v>480</v>
      </c>
      <c r="P7052" t="str">
        <f t="shared" si="881"/>
        <v>25fps 1080p - SD VGA (cropped)</v>
      </c>
      <c r="Q7052">
        <f t="shared" si="882"/>
        <v>39</v>
      </c>
      <c r="R7052" t="str">
        <f t="shared" si="883"/>
        <v/>
      </c>
      <c r="S7052" t="str">
        <f t="shared" si="884"/>
        <v/>
      </c>
      <c r="T7052" s="403" t="str">
        <f t="shared" si="885"/>
        <v>MIC-7522-Z30xR</v>
      </c>
      <c r="U7052" s="403">
        <f t="shared" si="886"/>
        <v>1</v>
      </c>
      <c r="V7052" s="403" t="str">
        <f t="shared" si="887"/>
        <v>CPP_7_3</v>
      </c>
    </row>
    <row r="7053" spans="1:22">
      <c r="A7053" t="str">
        <f t="shared" si="880"/>
        <v>MIC-7522-Z30xR</v>
      </c>
      <c r="B7053" t="s">
        <v>1523</v>
      </c>
      <c r="C7053" s="403" t="s">
        <v>582</v>
      </c>
      <c r="D7053" t="s">
        <v>1527</v>
      </c>
      <c r="E7053" t="s">
        <v>1523</v>
      </c>
      <c r="F7053" t="s">
        <v>1287</v>
      </c>
      <c r="G7053" t="s">
        <v>1525</v>
      </c>
      <c r="H7053" t="s">
        <v>1282</v>
      </c>
      <c r="I7053">
        <v>1</v>
      </c>
      <c r="J7053" t="s">
        <v>109</v>
      </c>
      <c r="K7053">
        <v>1280</v>
      </c>
      <c r="L7053">
        <v>720</v>
      </c>
      <c r="M7053" t="s">
        <v>109</v>
      </c>
      <c r="N7053">
        <v>1280</v>
      </c>
      <c r="O7053">
        <v>720</v>
      </c>
      <c r="P7053" t="str">
        <f t="shared" si="881"/>
        <v>25fps 720p - 720p</v>
      </c>
      <c r="Q7053">
        <f t="shared" si="882"/>
        <v>39</v>
      </c>
      <c r="R7053" t="str">
        <f t="shared" si="883"/>
        <v/>
      </c>
      <c r="S7053" t="str">
        <f t="shared" si="884"/>
        <v/>
      </c>
      <c r="T7053" s="403" t="str">
        <f t="shared" si="885"/>
        <v>MIC-7522-Z30xR</v>
      </c>
      <c r="U7053" s="403">
        <f t="shared" si="886"/>
        <v>1</v>
      </c>
      <c r="V7053" s="403" t="str">
        <f t="shared" si="887"/>
        <v>CPP_7_3</v>
      </c>
    </row>
    <row r="7054" spans="1:22">
      <c r="A7054" t="str">
        <f t="shared" si="880"/>
        <v>MIC-7522-Z30xR</v>
      </c>
      <c r="B7054" t="s">
        <v>1523</v>
      </c>
      <c r="C7054" s="403" t="s">
        <v>582</v>
      </c>
      <c r="D7054" t="s">
        <v>1527</v>
      </c>
      <c r="E7054" t="s">
        <v>1523</v>
      </c>
      <c r="F7054" t="s">
        <v>1287</v>
      </c>
      <c r="G7054" t="s">
        <v>1525</v>
      </c>
      <c r="H7054" t="s">
        <v>1282</v>
      </c>
      <c r="I7054">
        <v>1</v>
      </c>
      <c r="J7054" t="s">
        <v>109</v>
      </c>
      <c r="K7054">
        <v>1280</v>
      </c>
      <c r="L7054">
        <v>720</v>
      </c>
      <c r="M7054" t="s">
        <v>111</v>
      </c>
      <c r="N7054">
        <v>768</v>
      </c>
      <c r="O7054">
        <v>432</v>
      </c>
      <c r="P7054" t="str">
        <f t="shared" si="881"/>
        <v>25fps 720p - SD</v>
      </c>
      <c r="Q7054">
        <f t="shared" si="882"/>
        <v>39</v>
      </c>
      <c r="R7054" t="str">
        <f t="shared" si="883"/>
        <v/>
      </c>
      <c r="S7054" t="str">
        <f t="shared" si="884"/>
        <v/>
      </c>
      <c r="T7054" s="403" t="str">
        <f t="shared" si="885"/>
        <v>MIC-7522-Z30xR</v>
      </c>
      <c r="U7054" s="403">
        <f t="shared" si="886"/>
        <v>1</v>
      </c>
      <c r="V7054" s="403" t="str">
        <f t="shared" si="887"/>
        <v>CPP_7_3</v>
      </c>
    </row>
    <row r="7055" spans="1:22">
      <c r="A7055" t="str">
        <f t="shared" si="880"/>
        <v>MIC-7522-Z30xR</v>
      </c>
      <c r="B7055" t="s">
        <v>1523</v>
      </c>
      <c r="C7055" s="403" t="s">
        <v>582</v>
      </c>
      <c r="D7055" t="s">
        <v>1527</v>
      </c>
      <c r="E7055" t="s">
        <v>1523</v>
      </c>
      <c r="F7055" t="s">
        <v>1287</v>
      </c>
      <c r="G7055" t="s">
        <v>1525</v>
      </c>
      <c r="H7055" t="s">
        <v>1282</v>
      </c>
      <c r="I7055">
        <v>1</v>
      </c>
      <c r="J7055" t="s">
        <v>109</v>
      </c>
      <c r="K7055">
        <v>1280</v>
      </c>
      <c r="L7055">
        <v>720</v>
      </c>
      <c r="M7055" t="s">
        <v>1283</v>
      </c>
      <c r="N7055">
        <v>720</v>
      </c>
      <c r="O7055">
        <v>576</v>
      </c>
      <c r="P7055" t="str">
        <f t="shared" si="881"/>
        <v>25fps 720p - SD 4CIF resolution 4:3 format (cropped)</v>
      </c>
      <c r="Q7055">
        <f t="shared" si="882"/>
        <v>39</v>
      </c>
      <c r="R7055" t="str">
        <f t="shared" si="883"/>
        <v/>
      </c>
      <c r="S7055" t="str">
        <f t="shared" si="884"/>
        <v/>
      </c>
      <c r="T7055" s="403" t="str">
        <f t="shared" si="885"/>
        <v>MIC-7522-Z30xR</v>
      </c>
      <c r="U7055" s="403">
        <f t="shared" si="886"/>
        <v>1</v>
      </c>
      <c r="V7055" s="403" t="str">
        <f t="shared" si="887"/>
        <v>CPP_7_3</v>
      </c>
    </row>
    <row r="7056" spans="1:22">
      <c r="A7056" t="str">
        <f t="shared" si="880"/>
        <v>MIC-7522-Z30xR</v>
      </c>
      <c r="B7056" t="s">
        <v>1523</v>
      </c>
      <c r="C7056" s="403" t="s">
        <v>582</v>
      </c>
      <c r="D7056" t="s">
        <v>1527</v>
      </c>
      <c r="E7056" t="s">
        <v>1523</v>
      </c>
      <c r="F7056" t="s">
        <v>1287</v>
      </c>
      <c r="G7056" t="s">
        <v>1525</v>
      </c>
      <c r="H7056" t="s">
        <v>1282</v>
      </c>
      <c r="I7056">
        <v>1</v>
      </c>
      <c r="J7056" t="s">
        <v>109</v>
      </c>
      <c r="K7056">
        <v>1280</v>
      </c>
      <c r="L7056">
        <v>720</v>
      </c>
      <c r="M7056" t="s">
        <v>1284</v>
      </c>
      <c r="N7056">
        <v>640</v>
      </c>
      <c r="O7056">
        <v>480</v>
      </c>
      <c r="P7056" t="str">
        <f t="shared" si="881"/>
        <v>25fps 720p - SD VGA (cropped)</v>
      </c>
      <c r="Q7056">
        <f t="shared" si="882"/>
        <v>39</v>
      </c>
      <c r="R7056" t="str">
        <f t="shared" si="883"/>
        <v/>
      </c>
      <c r="S7056" t="str">
        <f t="shared" si="884"/>
        <v/>
      </c>
      <c r="T7056" s="403" t="str">
        <f t="shared" si="885"/>
        <v>MIC-7522-Z30xR</v>
      </c>
      <c r="U7056" s="403">
        <f t="shared" si="886"/>
        <v>1</v>
      </c>
      <c r="V7056" s="403" t="str">
        <f t="shared" si="887"/>
        <v>CPP_7_3</v>
      </c>
    </row>
    <row r="7057" spans="1:22">
      <c r="A7057" t="str">
        <f t="shared" si="880"/>
        <v>MIC-7522-Z30xR</v>
      </c>
      <c r="B7057" t="s">
        <v>1523</v>
      </c>
      <c r="C7057" s="403" t="s">
        <v>582</v>
      </c>
      <c r="D7057" t="s">
        <v>1527</v>
      </c>
      <c r="E7057" t="s">
        <v>1523</v>
      </c>
      <c r="F7057" t="s">
        <v>1286</v>
      </c>
      <c r="G7057" t="s">
        <v>1525</v>
      </c>
      <c r="H7057" t="s">
        <v>1276</v>
      </c>
      <c r="I7057">
        <v>1</v>
      </c>
      <c r="J7057" t="s">
        <v>110</v>
      </c>
      <c r="K7057">
        <v>1920</v>
      </c>
      <c r="L7057">
        <v>1080</v>
      </c>
      <c r="M7057" t="s">
        <v>111</v>
      </c>
      <c r="N7057">
        <v>768</v>
      </c>
      <c r="O7057">
        <v>432</v>
      </c>
      <c r="P7057" t="str">
        <f t="shared" si="881"/>
        <v>30fps 1080p - SD</v>
      </c>
      <c r="Q7057">
        <f t="shared" si="882"/>
        <v>39</v>
      </c>
      <c r="R7057" t="str">
        <f t="shared" si="883"/>
        <v/>
      </c>
      <c r="S7057" t="str">
        <f t="shared" si="884"/>
        <v/>
      </c>
      <c r="T7057" s="403" t="str">
        <f t="shared" si="885"/>
        <v>MIC-7522-Z30xR</v>
      </c>
      <c r="U7057" s="403">
        <f t="shared" si="886"/>
        <v>1</v>
      </c>
      <c r="V7057" s="403" t="str">
        <f t="shared" si="887"/>
        <v>CPP_7_3</v>
      </c>
    </row>
    <row r="7058" spans="1:22">
      <c r="A7058" t="str">
        <f t="shared" si="880"/>
        <v>MIC-7522-Z30xR</v>
      </c>
      <c r="B7058" t="s">
        <v>1523</v>
      </c>
      <c r="C7058" s="403" t="s">
        <v>582</v>
      </c>
      <c r="D7058" t="s">
        <v>1527</v>
      </c>
      <c r="E7058" t="s">
        <v>1523</v>
      </c>
      <c r="F7058" t="s">
        <v>1286</v>
      </c>
      <c r="G7058" t="s">
        <v>1525</v>
      </c>
      <c r="H7058" t="s">
        <v>1276</v>
      </c>
      <c r="I7058">
        <v>1</v>
      </c>
      <c r="J7058" t="s">
        <v>110</v>
      </c>
      <c r="K7058">
        <v>1920</v>
      </c>
      <c r="L7058">
        <v>1080</v>
      </c>
      <c r="M7058" t="s">
        <v>110</v>
      </c>
      <c r="N7058">
        <v>1920</v>
      </c>
      <c r="O7058">
        <v>1080</v>
      </c>
      <c r="P7058" t="str">
        <f t="shared" si="881"/>
        <v>30fps 1080p - 1080p</v>
      </c>
      <c r="Q7058">
        <f t="shared" si="882"/>
        <v>39</v>
      </c>
      <c r="R7058" t="str">
        <f t="shared" si="883"/>
        <v/>
      </c>
      <c r="S7058" t="str">
        <f t="shared" si="884"/>
        <v/>
      </c>
      <c r="T7058" s="403" t="str">
        <f t="shared" si="885"/>
        <v>MIC-7522-Z30xR</v>
      </c>
      <c r="U7058" s="403">
        <f t="shared" si="886"/>
        <v>1</v>
      </c>
      <c r="V7058" s="403" t="str">
        <f t="shared" si="887"/>
        <v>CPP_7_3</v>
      </c>
    </row>
    <row r="7059" spans="1:22">
      <c r="A7059" t="str">
        <f t="shared" si="880"/>
        <v>MIC-7522-Z30xR</v>
      </c>
      <c r="B7059" t="s">
        <v>1523</v>
      </c>
      <c r="C7059" s="403" t="s">
        <v>582</v>
      </c>
      <c r="D7059" t="s">
        <v>1527</v>
      </c>
      <c r="E7059" t="s">
        <v>1523</v>
      </c>
      <c r="F7059" t="s">
        <v>1286</v>
      </c>
      <c r="G7059" t="s">
        <v>1525</v>
      </c>
      <c r="H7059" t="s">
        <v>1276</v>
      </c>
      <c r="I7059">
        <v>1</v>
      </c>
      <c r="J7059" t="s">
        <v>110</v>
      </c>
      <c r="K7059">
        <v>1920</v>
      </c>
      <c r="L7059">
        <v>1080</v>
      </c>
      <c r="M7059" t="s">
        <v>109</v>
      </c>
      <c r="N7059">
        <v>1280</v>
      </c>
      <c r="O7059">
        <v>720</v>
      </c>
      <c r="P7059" t="str">
        <f t="shared" si="881"/>
        <v>30fps 1080p - 720p</v>
      </c>
      <c r="Q7059">
        <f t="shared" si="882"/>
        <v>39</v>
      </c>
      <c r="R7059" t="str">
        <f t="shared" si="883"/>
        <v/>
      </c>
      <c r="S7059" t="str">
        <f t="shared" si="884"/>
        <v/>
      </c>
      <c r="T7059" s="403" t="str">
        <f t="shared" si="885"/>
        <v>MIC-7522-Z30xR</v>
      </c>
      <c r="U7059" s="403">
        <f t="shared" si="886"/>
        <v>1</v>
      </c>
      <c r="V7059" s="403" t="str">
        <f t="shared" si="887"/>
        <v>CPP_7_3</v>
      </c>
    </row>
    <row r="7060" spans="1:22">
      <c r="A7060" t="str">
        <f t="shared" si="880"/>
        <v>MIC-7522-Z30xR</v>
      </c>
      <c r="B7060" t="s">
        <v>1523</v>
      </c>
      <c r="C7060" s="403" t="s">
        <v>582</v>
      </c>
      <c r="D7060" t="s">
        <v>1527</v>
      </c>
      <c r="E7060" t="s">
        <v>1523</v>
      </c>
      <c r="F7060" t="s">
        <v>1286</v>
      </c>
      <c r="G7060" t="s">
        <v>1525</v>
      </c>
      <c r="H7060" t="s">
        <v>1276</v>
      </c>
      <c r="I7060">
        <v>1</v>
      </c>
      <c r="J7060" t="s">
        <v>110</v>
      </c>
      <c r="K7060">
        <v>1920</v>
      </c>
      <c r="L7060">
        <v>1080</v>
      </c>
      <c r="M7060" t="s">
        <v>1285</v>
      </c>
      <c r="N7060">
        <v>1280</v>
      </c>
      <c r="O7060">
        <v>1024</v>
      </c>
      <c r="P7060" t="str">
        <f t="shared" si="881"/>
        <v>30fps 1080p - 1280x1024 5:4 (cropped)</v>
      </c>
      <c r="Q7060">
        <f t="shared" si="882"/>
        <v>39</v>
      </c>
      <c r="R7060" t="str">
        <f t="shared" si="883"/>
        <v/>
      </c>
      <c r="S7060" t="str">
        <f t="shared" si="884"/>
        <v/>
      </c>
      <c r="T7060" s="403" t="str">
        <f t="shared" si="885"/>
        <v>MIC-7522-Z30xR</v>
      </c>
      <c r="U7060" s="403">
        <f t="shared" si="886"/>
        <v>1</v>
      </c>
      <c r="V7060" s="403" t="str">
        <f t="shared" si="887"/>
        <v>CPP_7_3</v>
      </c>
    </row>
    <row r="7061" spans="1:22">
      <c r="A7061" t="str">
        <f t="shared" si="880"/>
        <v>MIC-7522-Z30xR</v>
      </c>
      <c r="B7061" t="s">
        <v>1523</v>
      </c>
      <c r="C7061" s="403" t="s">
        <v>582</v>
      </c>
      <c r="D7061" t="s">
        <v>1527</v>
      </c>
      <c r="E7061" t="s">
        <v>1523</v>
      </c>
      <c r="F7061" t="s">
        <v>1286</v>
      </c>
      <c r="G7061" t="s">
        <v>1525</v>
      </c>
      <c r="H7061" t="s">
        <v>1276</v>
      </c>
      <c r="I7061">
        <v>1</v>
      </c>
      <c r="J7061" t="s">
        <v>110</v>
      </c>
      <c r="K7061">
        <v>1920</v>
      </c>
      <c r="L7061">
        <v>1080</v>
      </c>
      <c r="M7061" t="s">
        <v>1283</v>
      </c>
      <c r="N7061">
        <v>720</v>
      </c>
      <c r="O7061">
        <v>480</v>
      </c>
      <c r="P7061" t="str">
        <f t="shared" si="881"/>
        <v>30fps 1080p - SD 4CIF resolution 4:3 format (cropped)</v>
      </c>
      <c r="Q7061">
        <f t="shared" si="882"/>
        <v>39</v>
      </c>
      <c r="R7061" t="str">
        <f t="shared" si="883"/>
        <v/>
      </c>
      <c r="S7061" t="str">
        <f t="shared" si="884"/>
        <v/>
      </c>
      <c r="T7061" s="403" t="str">
        <f t="shared" si="885"/>
        <v>MIC-7522-Z30xR</v>
      </c>
      <c r="U7061" s="403">
        <f t="shared" si="886"/>
        <v>1</v>
      </c>
      <c r="V7061" s="403" t="str">
        <f t="shared" si="887"/>
        <v>CPP_7_3</v>
      </c>
    </row>
    <row r="7062" spans="1:22">
      <c r="A7062" t="str">
        <f t="shared" si="880"/>
        <v>MIC-7522-Z30xR</v>
      </c>
      <c r="B7062" t="s">
        <v>1523</v>
      </c>
      <c r="C7062" s="403" t="s">
        <v>582</v>
      </c>
      <c r="D7062" t="s">
        <v>1527</v>
      </c>
      <c r="E7062" t="s">
        <v>1523</v>
      </c>
      <c r="F7062" t="s">
        <v>1286</v>
      </c>
      <c r="G7062" t="s">
        <v>1525</v>
      </c>
      <c r="H7062" t="s">
        <v>1276</v>
      </c>
      <c r="I7062">
        <v>1</v>
      </c>
      <c r="J7062" t="s">
        <v>110</v>
      </c>
      <c r="K7062">
        <v>1920</v>
      </c>
      <c r="L7062">
        <v>1080</v>
      </c>
      <c r="M7062" t="s">
        <v>1284</v>
      </c>
      <c r="N7062">
        <v>640</v>
      </c>
      <c r="O7062">
        <v>480</v>
      </c>
      <c r="P7062" t="str">
        <f t="shared" si="881"/>
        <v>30fps 1080p - SD VGA (cropped)</v>
      </c>
      <c r="Q7062">
        <f t="shared" si="882"/>
        <v>39</v>
      </c>
      <c r="R7062" t="str">
        <f t="shared" si="883"/>
        <v/>
      </c>
      <c r="S7062" t="str">
        <f t="shared" si="884"/>
        <v/>
      </c>
      <c r="T7062" s="403" t="str">
        <f t="shared" si="885"/>
        <v>MIC-7522-Z30xR</v>
      </c>
      <c r="U7062" s="403">
        <f t="shared" si="886"/>
        <v>1</v>
      </c>
      <c r="V7062" s="403" t="str">
        <f t="shared" si="887"/>
        <v>CPP_7_3</v>
      </c>
    </row>
    <row r="7063" spans="1:22">
      <c r="A7063" t="str">
        <f t="shared" si="880"/>
        <v>MIC-7522-Z30xR</v>
      </c>
      <c r="B7063" t="s">
        <v>1523</v>
      </c>
      <c r="C7063" s="403" t="s">
        <v>582</v>
      </c>
      <c r="D7063" t="s">
        <v>1527</v>
      </c>
      <c r="E7063" t="s">
        <v>1523</v>
      </c>
      <c r="F7063" t="s">
        <v>1286</v>
      </c>
      <c r="G7063" t="s">
        <v>1525</v>
      </c>
      <c r="H7063" t="s">
        <v>1276</v>
      </c>
      <c r="I7063">
        <v>1</v>
      </c>
      <c r="J7063" t="s">
        <v>109</v>
      </c>
      <c r="K7063">
        <v>1280</v>
      </c>
      <c r="L7063">
        <v>720</v>
      </c>
      <c r="M7063" t="s">
        <v>109</v>
      </c>
      <c r="N7063">
        <v>1280</v>
      </c>
      <c r="O7063">
        <v>720</v>
      </c>
      <c r="P7063" t="str">
        <f t="shared" si="881"/>
        <v>30fps 720p - 720p</v>
      </c>
      <c r="Q7063">
        <f t="shared" si="882"/>
        <v>39</v>
      </c>
      <c r="R7063" t="str">
        <f t="shared" si="883"/>
        <v/>
      </c>
      <c r="S7063" t="str">
        <f t="shared" si="884"/>
        <v/>
      </c>
      <c r="T7063" s="403" t="str">
        <f t="shared" si="885"/>
        <v>MIC-7522-Z30xR</v>
      </c>
      <c r="U7063" s="403">
        <f t="shared" si="886"/>
        <v>1</v>
      </c>
      <c r="V7063" s="403" t="str">
        <f t="shared" si="887"/>
        <v>CPP_7_3</v>
      </c>
    </row>
    <row r="7064" spans="1:22">
      <c r="A7064" t="str">
        <f t="shared" si="880"/>
        <v>MIC-7522-Z30xR</v>
      </c>
      <c r="B7064" t="s">
        <v>1523</v>
      </c>
      <c r="C7064" s="403" t="s">
        <v>582</v>
      </c>
      <c r="D7064" t="s">
        <v>1527</v>
      </c>
      <c r="E7064" t="s">
        <v>1523</v>
      </c>
      <c r="F7064" t="s">
        <v>1286</v>
      </c>
      <c r="G7064" t="s">
        <v>1525</v>
      </c>
      <c r="H7064" t="s">
        <v>1276</v>
      </c>
      <c r="I7064">
        <v>1</v>
      </c>
      <c r="J7064" t="s">
        <v>109</v>
      </c>
      <c r="K7064">
        <v>1280</v>
      </c>
      <c r="L7064">
        <v>720</v>
      </c>
      <c r="M7064" t="s">
        <v>111</v>
      </c>
      <c r="N7064">
        <v>768</v>
      </c>
      <c r="O7064">
        <v>432</v>
      </c>
      <c r="P7064" t="str">
        <f t="shared" si="881"/>
        <v>30fps 720p - SD</v>
      </c>
      <c r="Q7064">
        <f t="shared" si="882"/>
        <v>39</v>
      </c>
      <c r="R7064" t="str">
        <f t="shared" si="883"/>
        <v/>
      </c>
      <c r="S7064" t="str">
        <f t="shared" si="884"/>
        <v/>
      </c>
      <c r="T7064" s="403" t="str">
        <f t="shared" si="885"/>
        <v>MIC-7522-Z30xR</v>
      </c>
      <c r="U7064" s="403">
        <f t="shared" si="886"/>
        <v>1</v>
      </c>
      <c r="V7064" s="403" t="str">
        <f t="shared" si="887"/>
        <v>CPP_7_3</v>
      </c>
    </row>
    <row r="7065" spans="1:22">
      <c r="A7065" t="str">
        <f t="shared" si="880"/>
        <v>MIC-7522-Z30xR</v>
      </c>
      <c r="B7065" t="s">
        <v>1523</v>
      </c>
      <c r="C7065" s="403" t="s">
        <v>582</v>
      </c>
      <c r="D7065" t="s">
        <v>1527</v>
      </c>
      <c r="E7065" t="s">
        <v>1523</v>
      </c>
      <c r="F7065" t="s">
        <v>1286</v>
      </c>
      <c r="G7065" t="s">
        <v>1525</v>
      </c>
      <c r="H7065" t="s">
        <v>1276</v>
      </c>
      <c r="I7065">
        <v>1</v>
      </c>
      <c r="J7065" t="s">
        <v>109</v>
      </c>
      <c r="K7065">
        <v>1280</v>
      </c>
      <c r="L7065">
        <v>720</v>
      </c>
      <c r="M7065" t="s">
        <v>1283</v>
      </c>
      <c r="N7065">
        <v>720</v>
      </c>
      <c r="O7065">
        <v>480</v>
      </c>
      <c r="P7065" t="str">
        <f t="shared" si="881"/>
        <v>30fps 720p - SD 4CIF resolution 4:3 format (cropped)</v>
      </c>
      <c r="Q7065">
        <f t="shared" si="882"/>
        <v>39</v>
      </c>
      <c r="R7065" t="str">
        <f t="shared" si="883"/>
        <v/>
      </c>
      <c r="S7065" t="str">
        <f t="shared" si="884"/>
        <v/>
      </c>
      <c r="T7065" s="403" t="str">
        <f t="shared" si="885"/>
        <v>MIC-7522-Z30xR</v>
      </c>
      <c r="U7065" s="403">
        <f t="shared" si="886"/>
        <v>1</v>
      </c>
      <c r="V7065" s="403" t="str">
        <f t="shared" si="887"/>
        <v>CPP_7_3</v>
      </c>
    </row>
    <row r="7066" spans="1:22">
      <c r="A7066" t="str">
        <f t="shared" si="880"/>
        <v>MIC-7522-Z30xR</v>
      </c>
      <c r="B7066" t="s">
        <v>1523</v>
      </c>
      <c r="C7066" s="403" t="s">
        <v>582</v>
      </c>
      <c r="D7066" t="s">
        <v>1527</v>
      </c>
      <c r="E7066" t="s">
        <v>1523</v>
      </c>
      <c r="F7066" t="s">
        <v>1286</v>
      </c>
      <c r="G7066" t="s">
        <v>1525</v>
      </c>
      <c r="H7066" t="s">
        <v>1276</v>
      </c>
      <c r="I7066">
        <v>1</v>
      </c>
      <c r="J7066" t="s">
        <v>109</v>
      </c>
      <c r="K7066">
        <v>1280</v>
      </c>
      <c r="L7066">
        <v>720</v>
      </c>
      <c r="M7066" t="s">
        <v>1284</v>
      </c>
      <c r="N7066">
        <v>640</v>
      </c>
      <c r="O7066">
        <v>480</v>
      </c>
      <c r="P7066" t="str">
        <f t="shared" si="881"/>
        <v>30fps 720p - SD VGA (cropped)</v>
      </c>
      <c r="Q7066">
        <f t="shared" si="882"/>
        <v>39</v>
      </c>
      <c r="R7066" t="str">
        <f t="shared" si="883"/>
        <v/>
      </c>
      <c r="S7066" t="str">
        <f t="shared" si="884"/>
        <v/>
      </c>
      <c r="T7066" s="403" t="str">
        <f t="shared" si="885"/>
        <v>MIC-7522-Z30xR</v>
      </c>
      <c r="U7066" s="403">
        <f t="shared" si="886"/>
        <v>1</v>
      </c>
      <c r="V7066" s="403" t="str">
        <f t="shared" si="887"/>
        <v>CPP_7_3</v>
      </c>
    </row>
    <row r="7067" spans="1:22">
      <c r="A7067" t="str">
        <f t="shared" si="880"/>
        <v>MIC-7522-Z30xR</v>
      </c>
      <c r="B7067" t="s">
        <v>1523</v>
      </c>
      <c r="C7067" s="403" t="s">
        <v>582</v>
      </c>
      <c r="D7067" t="s">
        <v>1527</v>
      </c>
      <c r="E7067" t="s">
        <v>1523</v>
      </c>
      <c r="F7067" t="s">
        <v>1286</v>
      </c>
      <c r="G7067" t="s">
        <v>1525</v>
      </c>
      <c r="H7067" t="s">
        <v>1281</v>
      </c>
      <c r="I7067">
        <v>1</v>
      </c>
      <c r="J7067" t="s">
        <v>110</v>
      </c>
      <c r="K7067">
        <v>1920</v>
      </c>
      <c r="L7067">
        <v>1080</v>
      </c>
      <c r="M7067" t="s">
        <v>111</v>
      </c>
      <c r="N7067">
        <v>768</v>
      </c>
      <c r="O7067">
        <v>432</v>
      </c>
      <c r="P7067" t="str">
        <f t="shared" si="881"/>
        <v>30fps 1080p - SD</v>
      </c>
      <c r="Q7067">
        <f t="shared" si="882"/>
        <v>39</v>
      </c>
      <c r="R7067" t="str">
        <f t="shared" si="883"/>
        <v/>
      </c>
      <c r="S7067" t="str">
        <f t="shared" si="884"/>
        <v/>
      </c>
      <c r="T7067" s="403" t="str">
        <f t="shared" si="885"/>
        <v>MIC-7522-Z30xR</v>
      </c>
      <c r="U7067" s="403">
        <f t="shared" si="886"/>
        <v>1</v>
      </c>
      <c r="V7067" s="403" t="str">
        <f t="shared" si="887"/>
        <v>CPP_7_3</v>
      </c>
    </row>
    <row r="7068" spans="1:22">
      <c r="A7068" t="str">
        <f t="shared" si="880"/>
        <v>MIC-7522-Z30xR</v>
      </c>
      <c r="B7068" t="s">
        <v>1523</v>
      </c>
      <c r="C7068" s="403" t="s">
        <v>582</v>
      </c>
      <c r="D7068" t="s">
        <v>1527</v>
      </c>
      <c r="E7068" t="s">
        <v>1523</v>
      </c>
      <c r="F7068" t="s">
        <v>1286</v>
      </c>
      <c r="G7068" t="s">
        <v>1525</v>
      </c>
      <c r="H7068" t="s">
        <v>1281</v>
      </c>
      <c r="I7068">
        <v>1</v>
      </c>
      <c r="J7068" t="s">
        <v>110</v>
      </c>
      <c r="K7068">
        <v>1920</v>
      </c>
      <c r="L7068">
        <v>1080</v>
      </c>
      <c r="M7068" t="s">
        <v>110</v>
      </c>
      <c r="N7068">
        <v>1920</v>
      </c>
      <c r="O7068">
        <v>1080</v>
      </c>
      <c r="P7068" t="str">
        <f t="shared" si="881"/>
        <v>30fps 1080p - 1080p</v>
      </c>
      <c r="Q7068">
        <f t="shared" si="882"/>
        <v>39</v>
      </c>
      <c r="R7068" t="str">
        <f t="shared" si="883"/>
        <v/>
      </c>
      <c r="S7068" t="str">
        <f t="shared" si="884"/>
        <v/>
      </c>
      <c r="T7068" s="403" t="str">
        <f t="shared" si="885"/>
        <v>MIC-7522-Z30xR</v>
      </c>
      <c r="U7068" s="403">
        <f t="shared" si="886"/>
        <v>1</v>
      </c>
      <c r="V7068" s="403" t="str">
        <f t="shared" si="887"/>
        <v>CPP_7_3</v>
      </c>
    </row>
    <row r="7069" spans="1:22">
      <c r="A7069" t="str">
        <f t="shared" si="880"/>
        <v>MIC-7522-Z30xR</v>
      </c>
      <c r="B7069" t="s">
        <v>1523</v>
      </c>
      <c r="C7069" s="403" t="s">
        <v>582</v>
      </c>
      <c r="D7069" t="s">
        <v>1527</v>
      </c>
      <c r="E7069" t="s">
        <v>1523</v>
      </c>
      <c r="F7069" t="s">
        <v>1286</v>
      </c>
      <c r="G7069" t="s">
        <v>1525</v>
      </c>
      <c r="H7069" t="s">
        <v>1281</v>
      </c>
      <c r="I7069">
        <v>1</v>
      </c>
      <c r="J7069" t="s">
        <v>110</v>
      </c>
      <c r="K7069">
        <v>1920</v>
      </c>
      <c r="L7069">
        <v>1080</v>
      </c>
      <c r="M7069" t="s">
        <v>109</v>
      </c>
      <c r="N7069">
        <v>1280</v>
      </c>
      <c r="O7069">
        <v>720</v>
      </c>
      <c r="P7069" t="str">
        <f t="shared" si="881"/>
        <v>30fps 1080p - 720p</v>
      </c>
      <c r="Q7069">
        <f t="shared" si="882"/>
        <v>39</v>
      </c>
      <c r="R7069" t="str">
        <f t="shared" si="883"/>
        <v/>
      </c>
      <c r="S7069" t="str">
        <f t="shared" si="884"/>
        <v/>
      </c>
      <c r="T7069" s="403" t="str">
        <f t="shared" si="885"/>
        <v>MIC-7522-Z30xR</v>
      </c>
      <c r="U7069" s="403">
        <f t="shared" si="886"/>
        <v>1</v>
      </c>
      <c r="V7069" s="403" t="str">
        <f t="shared" si="887"/>
        <v>CPP_7_3</v>
      </c>
    </row>
    <row r="7070" spans="1:22">
      <c r="A7070" t="str">
        <f t="shared" si="880"/>
        <v>MIC-7522-Z30xR</v>
      </c>
      <c r="B7070" t="s">
        <v>1523</v>
      </c>
      <c r="C7070" s="403" t="s">
        <v>582</v>
      </c>
      <c r="D7070" t="s">
        <v>1527</v>
      </c>
      <c r="E7070" t="s">
        <v>1523</v>
      </c>
      <c r="F7070" t="s">
        <v>1286</v>
      </c>
      <c r="G7070" t="s">
        <v>1525</v>
      </c>
      <c r="H7070" t="s">
        <v>1281</v>
      </c>
      <c r="I7070">
        <v>1</v>
      </c>
      <c r="J7070" t="s">
        <v>110</v>
      </c>
      <c r="K7070">
        <v>1920</v>
      </c>
      <c r="L7070">
        <v>1080</v>
      </c>
      <c r="M7070" t="s">
        <v>1285</v>
      </c>
      <c r="N7070">
        <v>1280</v>
      </c>
      <c r="O7070">
        <v>1024</v>
      </c>
      <c r="P7070" t="str">
        <f t="shared" si="881"/>
        <v>30fps 1080p - 1280x1024 5:4 (cropped)</v>
      </c>
      <c r="Q7070">
        <f t="shared" si="882"/>
        <v>39</v>
      </c>
      <c r="R7070" t="str">
        <f t="shared" si="883"/>
        <v/>
      </c>
      <c r="S7070" t="str">
        <f t="shared" si="884"/>
        <v/>
      </c>
      <c r="T7070" s="403" t="str">
        <f t="shared" si="885"/>
        <v>MIC-7522-Z30xR</v>
      </c>
      <c r="U7070" s="403">
        <f t="shared" si="886"/>
        <v>1</v>
      </c>
      <c r="V7070" s="403" t="str">
        <f t="shared" si="887"/>
        <v>CPP_7_3</v>
      </c>
    </row>
    <row r="7071" spans="1:22">
      <c r="A7071" t="str">
        <f t="shared" si="880"/>
        <v>MIC-7522-Z30xR</v>
      </c>
      <c r="B7071" t="s">
        <v>1523</v>
      </c>
      <c r="C7071" s="403" t="s">
        <v>582</v>
      </c>
      <c r="D7071" t="s">
        <v>1527</v>
      </c>
      <c r="E7071" t="s">
        <v>1523</v>
      </c>
      <c r="F7071" t="s">
        <v>1286</v>
      </c>
      <c r="G7071" t="s">
        <v>1525</v>
      </c>
      <c r="H7071" t="s">
        <v>1281</v>
      </c>
      <c r="I7071">
        <v>1</v>
      </c>
      <c r="J7071" t="s">
        <v>110</v>
      </c>
      <c r="K7071">
        <v>1920</v>
      </c>
      <c r="L7071">
        <v>1080</v>
      </c>
      <c r="M7071" t="s">
        <v>1283</v>
      </c>
      <c r="N7071">
        <v>720</v>
      </c>
      <c r="O7071">
        <v>480</v>
      </c>
      <c r="P7071" t="str">
        <f t="shared" si="881"/>
        <v>30fps 1080p - SD 4CIF resolution 4:3 format (cropped)</v>
      </c>
      <c r="Q7071">
        <f t="shared" si="882"/>
        <v>39</v>
      </c>
      <c r="R7071" t="str">
        <f t="shared" si="883"/>
        <v/>
      </c>
      <c r="S7071" t="str">
        <f t="shared" si="884"/>
        <v/>
      </c>
      <c r="T7071" s="403" t="str">
        <f t="shared" si="885"/>
        <v>MIC-7522-Z30xR</v>
      </c>
      <c r="U7071" s="403">
        <f t="shared" si="886"/>
        <v>1</v>
      </c>
      <c r="V7071" s="403" t="str">
        <f t="shared" si="887"/>
        <v>CPP_7_3</v>
      </c>
    </row>
    <row r="7072" spans="1:22">
      <c r="A7072" t="str">
        <f t="shared" si="880"/>
        <v>MIC-7522-Z30xR</v>
      </c>
      <c r="B7072" t="s">
        <v>1523</v>
      </c>
      <c r="C7072" s="403" t="s">
        <v>582</v>
      </c>
      <c r="D7072" t="s">
        <v>1527</v>
      </c>
      <c r="E7072" t="s">
        <v>1523</v>
      </c>
      <c r="F7072" t="s">
        <v>1286</v>
      </c>
      <c r="G7072" t="s">
        <v>1525</v>
      </c>
      <c r="H7072" t="s">
        <v>1281</v>
      </c>
      <c r="I7072">
        <v>1</v>
      </c>
      <c r="J7072" t="s">
        <v>110</v>
      </c>
      <c r="K7072">
        <v>1920</v>
      </c>
      <c r="L7072">
        <v>1080</v>
      </c>
      <c r="M7072" t="s">
        <v>1284</v>
      </c>
      <c r="N7072">
        <v>640</v>
      </c>
      <c r="O7072">
        <v>480</v>
      </c>
      <c r="P7072" t="str">
        <f t="shared" si="881"/>
        <v>30fps 1080p - SD VGA (cropped)</v>
      </c>
      <c r="Q7072">
        <f t="shared" si="882"/>
        <v>39</v>
      </c>
      <c r="R7072" t="str">
        <f t="shared" si="883"/>
        <v/>
      </c>
      <c r="S7072" t="str">
        <f t="shared" si="884"/>
        <v/>
      </c>
      <c r="T7072" s="403" t="str">
        <f t="shared" si="885"/>
        <v>MIC-7522-Z30xR</v>
      </c>
      <c r="U7072" s="403">
        <f t="shared" si="886"/>
        <v>1</v>
      </c>
      <c r="V7072" s="403" t="str">
        <f t="shared" si="887"/>
        <v>CPP_7_3</v>
      </c>
    </row>
    <row r="7073" spans="1:22">
      <c r="A7073" t="str">
        <f t="shared" si="880"/>
        <v>MIC-7522-Z30xR</v>
      </c>
      <c r="B7073" t="s">
        <v>1523</v>
      </c>
      <c r="C7073" s="403" t="s">
        <v>582</v>
      </c>
      <c r="D7073" t="s">
        <v>1527</v>
      </c>
      <c r="E7073" t="s">
        <v>1523</v>
      </c>
      <c r="F7073" t="s">
        <v>1286</v>
      </c>
      <c r="G7073" t="s">
        <v>1525</v>
      </c>
      <c r="H7073" t="s">
        <v>1281</v>
      </c>
      <c r="I7073">
        <v>1</v>
      </c>
      <c r="J7073" t="s">
        <v>109</v>
      </c>
      <c r="K7073">
        <v>1280</v>
      </c>
      <c r="L7073">
        <v>720</v>
      </c>
      <c r="M7073" t="s">
        <v>109</v>
      </c>
      <c r="N7073">
        <v>1280</v>
      </c>
      <c r="O7073">
        <v>720</v>
      </c>
      <c r="P7073" t="str">
        <f t="shared" si="881"/>
        <v>30fps 720p - 720p</v>
      </c>
      <c r="Q7073">
        <f t="shared" si="882"/>
        <v>39</v>
      </c>
      <c r="R7073" t="str">
        <f t="shared" si="883"/>
        <v/>
      </c>
      <c r="S7073" t="str">
        <f t="shared" si="884"/>
        <v/>
      </c>
      <c r="T7073" s="403" t="str">
        <f t="shared" si="885"/>
        <v>MIC-7522-Z30xR</v>
      </c>
      <c r="U7073" s="403">
        <f t="shared" si="886"/>
        <v>1</v>
      </c>
      <c r="V7073" s="403" t="str">
        <f t="shared" si="887"/>
        <v>CPP_7_3</v>
      </c>
    </row>
    <row r="7074" spans="1:22">
      <c r="A7074" t="str">
        <f t="shared" si="880"/>
        <v>MIC-7522-Z30xR</v>
      </c>
      <c r="B7074" t="s">
        <v>1523</v>
      </c>
      <c r="C7074" s="403" t="s">
        <v>582</v>
      </c>
      <c r="D7074" t="s">
        <v>1527</v>
      </c>
      <c r="E7074" t="s">
        <v>1523</v>
      </c>
      <c r="F7074" t="s">
        <v>1286</v>
      </c>
      <c r="G7074" t="s">
        <v>1525</v>
      </c>
      <c r="H7074" t="s">
        <v>1281</v>
      </c>
      <c r="I7074">
        <v>1</v>
      </c>
      <c r="J7074" t="s">
        <v>109</v>
      </c>
      <c r="K7074">
        <v>1280</v>
      </c>
      <c r="L7074">
        <v>720</v>
      </c>
      <c r="M7074" t="s">
        <v>111</v>
      </c>
      <c r="N7074">
        <v>768</v>
      </c>
      <c r="O7074">
        <v>432</v>
      </c>
      <c r="P7074" t="str">
        <f t="shared" si="881"/>
        <v>30fps 720p - SD</v>
      </c>
      <c r="Q7074">
        <f t="shared" si="882"/>
        <v>39</v>
      </c>
      <c r="R7074" t="str">
        <f t="shared" si="883"/>
        <v/>
      </c>
      <c r="S7074" t="str">
        <f t="shared" si="884"/>
        <v/>
      </c>
      <c r="T7074" s="403" t="str">
        <f t="shared" si="885"/>
        <v>MIC-7522-Z30xR</v>
      </c>
      <c r="U7074" s="403">
        <f t="shared" si="886"/>
        <v>1</v>
      </c>
      <c r="V7074" s="403" t="str">
        <f t="shared" si="887"/>
        <v>CPP_7_3</v>
      </c>
    </row>
    <row r="7075" spans="1:22">
      <c r="A7075" t="str">
        <f t="shared" si="880"/>
        <v>MIC-7522-Z30xR</v>
      </c>
      <c r="B7075" t="s">
        <v>1523</v>
      </c>
      <c r="C7075" s="403" t="s">
        <v>582</v>
      </c>
      <c r="D7075" t="s">
        <v>1527</v>
      </c>
      <c r="E7075" t="s">
        <v>1523</v>
      </c>
      <c r="F7075" t="s">
        <v>1286</v>
      </c>
      <c r="G7075" t="s">
        <v>1525</v>
      </c>
      <c r="H7075" t="s">
        <v>1281</v>
      </c>
      <c r="I7075">
        <v>1</v>
      </c>
      <c r="J7075" t="s">
        <v>109</v>
      </c>
      <c r="K7075">
        <v>1280</v>
      </c>
      <c r="L7075">
        <v>720</v>
      </c>
      <c r="M7075" t="s">
        <v>1283</v>
      </c>
      <c r="N7075">
        <v>720</v>
      </c>
      <c r="O7075">
        <v>480</v>
      </c>
      <c r="P7075" t="str">
        <f t="shared" si="881"/>
        <v>30fps 720p - SD 4CIF resolution 4:3 format (cropped)</v>
      </c>
      <c r="Q7075">
        <f t="shared" si="882"/>
        <v>39</v>
      </c>
      <c r="R7075" t="str">
        <f t="shared" si="883"/>
        <v/>
      </c>
      <c r="S7075" t="str">
        <f t="shared" si="884"/>
        <v/>
      </c>
      <c r="T7075" s="403" t="str">
        <f t="shared" si="885"/>
        <v>MIC-7522-Z30xR</v>
      </c>
      <c r="U7075" s="403">
        <f t="shared" si="886"/>
        <v>1</v>
      </c>
      <c r="V7075" s="403" t="str">
        <f t="shared" si="887"/>
        <v>CPP_7_3</v>
      </c>
    </row>
    <row r="7076" spans="1:22">
      <c r="A7076" t="str">
        <f t="shared" si="880"/>
        <v>MIC-7522-Z30xR</v>
      </c>
      <c r="B7076" t="s">
        <v>1523</v>
      </c>
      <c r="C7076" s="403" t="s">
        <v>582</v>
      </c>
      <c r="D7076" t="s">
        <v>1527</v>
      </c>
      <c r="E7076" t="s">
        <v>1523</v>
      </c>
      <c r="F7076" t="s">
        <v>1286</v>
      </c>
      <c r="G7076" t="s">
        <v>1525</v>
      </c>
      <c r="H7076" t="s">
        <v>1281</v>
      </c>
      <c r="I7076">
        <v>1</v>
      </c>
      <c r="J7076" t="s">
        <v>109</v>
      </c>
      <c r="K7076">
        <v>1280</v>
      </c>
      <c r="L7076">
        <v>720</v>
      </c>
      <c r="M7076" t="s">
        <v>1284</v>
      </c>
      <c r="N7076">
        <v>640</v>
      </c>
      <c r="O7076">
        <v>480</v>
      </c>
      <c r="P7076" t="str">
        <f t="shared" si="881"/>
        <v>30fps 720p - SD VGA (cropped)</v>
      </c>
      <c r="Q7076">
        <f t="shared" si="882"/>
        <v>39</v>
      </c>
      <c r="R7076" t="str">
        <f t="shared" si="883"/>
        <v/>
      </c>
      <c r="S7076" t="str">
        <f t="shared" si="884"/>
        <v/>
      </c>
      <c r="T7076" s="403" t="str">
        <f t="shared" si="885"/>
        <v>MIC-7522-Z30xR</v>
      </c>
      <c r="U7076" s="403">
        <f t="shared" si="886"/>
        <v>1</v>
      </c>
      <c r="V7076" s="403" t="str">
        <f t="shared" si="887"/>
        <v>CPP_7_3</v>
      </c>
    </row>
    <row r="7077" spans="1:22">
      <c r="A7077" t="str">
        <f t="shared" si="880"/>
        <v>MIC-7522-Z30xR</v>
      </c>
      <c r="B7077" t="s">
        <v>1523</v>
      </c>
      <c r="C7077" s="403" t="s">
        <v>582</v>
      </c>
      <c r="D7077" t="s">
        <v>1527</v>
      </c>
      <c r="E7077" t="s">
        <v>1523</v>
      </c>
      <c r="F7077" t="s">
        <v>1286</v>
      </c>
      <c r="G7077" t="s">
        <v>1525</v>
      </c>
      <c r="H7077" t="s">
        <v>1282</v>
      </c>
      <c r="I7077">
        <v>1</v>
      </c>
      <c r="J7077" t="s">
        <v>110</v>
      </c>
      <c r="K7077">
        <v>1920</v>
      </c>
      <c r="L7077">
        <v>1080</v>
      </c>
      <c r="M7077" t="s">
        <v>111</v>
      </c>
      <c r="N7077">
        <v>768</v>
      </c>
      <c r="O7077">
        <v>432</v>
      </c>
      <c r="P7077" t="str">
        <f t="shared" si="881"/>
        <v>30fps 1080p - SD</v>
      </c>
      <c r="Q7077">
        <f t="shared" si="882"/>
        <v>39</v>
      </c>
      <c r="R7077" t="str">
        <f t="shared" si="883"/>
        <v/>
      </c>
      <c r="S7077" t="str">
        <f t="shared" si="884"/>
        <v/>
      </c>
      <c r="T7077" s="403" t="str">
        <f t="shared" si="885"/>
        <v>MIC-7522-Z30xR</v>
      </c>
      <c r="U7077" s="403">
        <f t="shared" si="886"/>
        <v>1</v>
      </c>
      <c r="V7077" s="403" t="str">
        <f t="shared" si="887"/>
        <v>CPP_7_3</v>
      </c>
    </row>
    <row r="7078" spans="1:22">
      <c r="A7078" t="str">
        <f t="shared" si="880"/>
        <v>MIC-7522-Z30xR</v>
      </c>
      <c r="B7078" t="s">
        <v>1523</v>
      </c>
      <c r="C7078" s="403" t="s">
        <v>582</v>
      </c>
      <c r="D7078" t="s">
        <v>1527</v>
      </c>
      <c r="E7078" t="s">
        <v>1523</v>
      </c>
      <c r="F7078" t="s">
        <v>1286</v>
      </c>
      <c r="G7078" t="s">
        <v>1525</v>
      </c>
      <c r="H7078" t="s">
        <v>1282</v>
      </c>
      <c r="I7078">
        <v>1</v>
      </c>
      <c r="J7078" t="s">
        <v>110</v>
      </c>
      <c r="K7078">
        <v>1920</v>
      </c>
      <c r="L7078">
        <v>1080</v>
      </c>
      <c r="M7078" t="s">
        <v>110</v>
      </c>
      <c r="N7078">
        <v>1920</v>
      </c>
      <c r="O7078">
        <v>1080</v>
      </c>
      <c r="P7078" t="str">
        <f t="shared" si="881"/>
        <v>30fps 1080p - 1080p</v>
      </c>
      <c r="Q7078">
        <f t="shared" si="882"/>
        <v>39</v>
      </c>
      <c r="R7078" t="str">
        <f t="shared" si="883"/>
        <v/>
      </c>
      <c r="S7078" t="str">
        <f t="shared" si="884"/>
        <v/>
      </c>
      <c r="T7078" s="403" t="str">
        <f t="shared" si="885"/>
        <v>MIC-7522-Z30xR</v>
      </c>
      <c r="U7078" s="403">
        <f t="shared" si="886"/>
        <v>1</v>
      </c>
      <c r="V7078" s="403" t="str">
        <f t="shared" si="887"/>
        <v>CPP_7_3</v>
      </c>
    </row>
    <row r="7079" spans="1:22">
      <c r="A7079" t="str">
        <f t="shared" si="880"/>
        <v>MIC-7522-Z30xR</v>
      </c>
      <c r="B7079" t="s">
        <v>1523</v>
      </c>
      <c r="C7079" s="403" t="s">
        <v>582</v>
      </c>
      <c r="D7079" t="s">
        <v>1527</v>
      </c>
      <c r="E7079" t="s">
        <v>1523</v>
      </c>
      <c r="F7079" t="s">
        <v>1286</v>
      </c>
      <c r="G7079" t="s">
        <v>1525</v>
      </c>
      <c r="H7079" t="s">
        <v>1282</v>
      </c>
      <c r="I7079">
        <v>1</v>
      </c>
      <c r="J7079" t="s">
        <v>110</v>
      </c>
      <c r="K7079">
        <v>1920</v>
      </c>
      <c r="L7079">
        <v>1080</v>
      </c>
      <c r="M7079" t="s">
        <v>109</v>
      </c>
      <c r="N7079">
        <v>1280</v>
      </c>
      <c r="O7079">
        <v>720</v>
      </c>
      <c r="P7079" t="str">
        <f t="shared" si="881"/>
        <v>30fps 1080p - 720p</v>
      </c>
      <c r="Q7079">
        <f t="shared" si="882"/>
        <v>39</v>
      </c>
      <c r="R7079" t="str">
        <f t="shared" si="883"/>
        <v/>
      </c>
      <c r="S7079" t="str">
        <f t="shared" si="884"/>
        <v/>
      </c>
      <c r="T7079" s="403" t="str">
        <f t="shared" si="885"/>
        <v>MIC-7522-Z30xR</v>
      </c>
      <c r="U7079" s="403">
        <f t="shared" si="886"/>
        <v>1</v>
      </c>
      <c r="V7079" s="403" t="str">
        <f t="shared" si="887"/>
        <v>CPP_7_3</v>
      </c>
    </row>
    <row r="7080" spans="1:22">
      <c r="A7080" t="str">
        <f t="shared" si="880"/>
        <v>MIC-7522-Z30xR</v>
      </c>
      <c r="B7080" t="s">
        <v>1523</v>
      </c>
      <c r="C7080" s="403" t="s">
        <v>582</v>
      </c>
      <c r="D7080" t="s">
        <v>1527</v>
      </c>
      <c r="E7080" t="s">
        <v>1523</v>
      </c>
      <c r="F7080" t="s">
        <v>1286</v>
      </c>
      <c r="G7080" t="s">
        <v>1525</v>
      </c>
      <c r="H7080" t="s">
        <v>1282</v>
      </c>
      <c r="I7080">
        <v>1</v>
      </c>
      <c r="J7080" t="s">
        <v>110</v>
      </c>
      <c r="K7080">
        <v>1920</v>
      </c>
      <c r="L7080">
        <v>1080</v>
      </c>
      <c r="M7080" t="s">
        <v>1285</v>
      </c>
      <c r="N7080">
        <v>1280</v>
      </c>
      <c r="O7080">
        <v>1024</v>
      </c>
      <c r="P7080" t="str">
        <f t="shared" si="881"/>
        <v>30fps 1080p - 1280x1024 5:4 (cropped)</v>
      </c>
      <c r="Q7080">
        <f t="shared" si="882"/>
        <v>39</v>
      </c>
      <c r="R7080" t="str">
        <f t="shared" si="883"/>
        <v/>
      </c>
      <c r="S7080" t="str">
        <f t="shared" si="884"/>
        <v/>
      </c>
      <c r="T7080" s="403" t="str">
        <f t="shared" si="885"/>
        <v>MIC-7522-Z30xR</v>
      </c>
      <c r="U7080" s="403">
        <f t="shared" si="886"/>
        <v>1</v>
      </c>
      <c r="V7080" s="403" t="str">
        <f t="shared" si="887"/>
        <v>CPP_7_3</v>
      </c>
    </row>
    <row r="7081" spans="1:22">
      <c r="A7081" t="str">
        <f t="shared" si="880"/>
        <v>MIC-7522-Z30xR</v>
      </c>
      <c r="B7081" t="s">
        <v>1523</v>
      </c>
      <c r="C7081" s="403" t="s">
        <v>582</v>
      </c>
      <c r="D7081" t="s">
        <v>1527</v>
      </c>
      <c r="E7081" t="s">
        <v>1523</v>
      </c>
      <c r="F7081" t="s">
        <v>1286</v>
      </c>
      <c r="G7081" t="s">
        <v>1525</v>
      </c>
      <c r="H7081" t="s">
        <v>1282</v>
      </c>
      <c r="I7081">
        <v>1</v>
      </c>
      <c r="J7081" t="s">
        <v>110</v>
      </c>
      <c r="K7081">
        <v>1920</v>
      </c>
      <c r="L7081">
        <v>1080</v>
      </c>
      <c r="M7081" t="s">
        <v>1283</v>
      </c>
      <c r="N7081">
        <v>720</v>
      </c>
      <c r="O7081">
        <v>480</v>
      </c>
      <c r="P7081" t="str">
        <f t="shared" si="881"/>
        <v>30fps 1080p - SD 4CIF resolution 4:3 format (cropped)</v>
      </c>
      <c r="Q7081">
        <f t="shared" si="882"/>
        <v>39</v>
      </c>
      <c r="R7081" t="str">
        <f t="shared" si="883"/>
        <v/>
      </c>
      <c r="S7081" t="str">
        <f t="shared" si="884"/>
        <v/>
      </c>
      <c r="T7081" s="403" t="str">
        <f t="shared" si="885"/>
        <v>MIC-7522-Z30xR</v>
      </c>
      <c r="U7081" s="403">
        <f t="shared" si="886"/>
        <v>1</v>
      </c>
      <c r="V7081" s="403" t="str">
        <f t="shared" si="887"/>
        <v>CPP_7_3</v>
      </c>
    </row>
    <row r="7082" spans="1:22">
      <c r="A7082" t="str">
        <f t="shared" ref="A7082:A7145" si="888">IF(AND(G7082&lt;&gt;"rotate 90°"),D7082,"")</f>
        <v>MIC-7522-Z30xR</v>
      </c>
      <c r="B7082" t="s">
        <v>1523</v>
      </c>
      <c r="C7082" s="403" t="s">
        <v>582</v>
      </c>
      <c r="D7082" t="s">
        <v>1527</v>
      </c>
      <c r="E7082" t="s">
        <v>1523</v>
      </c>
      <c r="F7082" t="s">
        <v>1286</v>
      </c>
      <c r="G7082" t="s">
        <v>1525</v>
      </c>
      <c r="H7082" t="s">
        <v>1282</v>
      </c>
      <c r="I7082">
        <v>1</v>
      </c>
      <c r="J7082" t="s">
        <v>110</v>
      </c>
      <c r="K7082">
        <v>1920</v>
      </c>
      <c r="L7082">
        <v>1080</v>
      </c>
      <c r="M7082" t="s">
        <v>1284</v>
      </c>
      <c r="N7082">
        <v>640</v>
      </c>
      <c r="O7082">
        <v>480</v>
      </c>
      <c r="P7082" t="str">
        <f t="shared" ref="P7082:P7145" si="889">LEFT(F7082,5)&amp;" "&amp;J7082&amp;" - "&amp;M7082</f>
        <v>30fps 1080p - SD VGA (cropped)</v>
      </c>
      <c r="Q7082">
        <f t="shared" ref="Q7082:Q7145" si="890">IF(A7081=A7082,Q7081,Q7081+1)</f>
        <v>39</v>
      </c>
      <c r="R7082" t="str">
        <f t="shared" ref="R7082:R7145" si="891">IF(Q7081&lt;&gt;Q7082,Q7082,"")</f>
        <v/>
      </c>
      <c r="S7082" t="str">
        <f t="shared" ref="S7082:S7145" si="892">IF(R7082&lt;&gt;"",B7082&amp;" ("&amp;D7082&amp;")","")</f>
        <v/>
      </c>
      <c r="T7082" s="403" t="str">
        <f t="shared" ref="T7082:T7145" si="893">D7082</f>
        <v>MIC-7522-Z30xR</v>
      </c>
      <c r="U7082" s="403">
        <f t="shared" ref="U7082:U7145" si="894">I7082</f>
        <v>1</v>
      </c>
      <c r="V7082" s="403" t="str">
        <f t="shared" ref="V7082:V7145" si="895">C7082</f>
        <v>CPP_7_3</v>
      </c>
    </row>
    <row r="7083" spans="1:22">
      <c r="A7083" t="str">
        <f t="shared" si="888"/>
        <v>MIC-7522-Z30xR</v>
      </c>
      <c r="B7083" t="s">
        <v>1523</v>
      </c>
      <c r="C7083" s="403" t="s">
        <v>582</v>
      </c>
      <c r="D7083" t="s">
        <v>1527</v>
      </c>
      <c r="E7083" t="s">
        <v>1523</v>
      </c>
      <c r="F7083" t="s">
        <v>1286</v>
      </c>
      <c r="G7083" t="s">
        <v>1525</v>
      </c>
      <c r="H7083" t="s">
        <v>1282</v>
      </c>
      <c r="I7083">
        <v>1</v>
      </c>
      <c r="J7083" t="s">
        <v>109</v>
      </c>
      <c r="K7083">
        <v>1280</v>
      </c>
      <c r="L7083">
        <v>720</v>
      </c>
      <c r="M7083" t="s">
        <v>109</v>
      </c>
      <c r="N7083">
        <v>1280</v>
      </c>
      <c r="O7083">
        <v>720</v>
      </c>
      <c r="P7083" t="str">
        <f t="shared" si="889"/>
        <v>30fps 720p - 720p</v>
      </c>
      <c r="Q7083">
        <f t="shared" si="890"/>
        <v>39</v>
      </c>
      <c r="R7083" t="str">
        <f t="shared" si="891"/>
        <v/>
      </c>
      <c r="S7083" t="str">
        <f t="shared" si="892"/>
        <v/>
      </c>
      <c r="T7083" s="403" t="str">
        <f t="shared" si="893"/>
        <v>MIC-7522-Z30xR</v>
      </c>
      <c r="U7083" s="403">
        <f t="shared" si="894"/>
        <v>1</v>
      </c>
      <c r="V7083" s="403" t="str">
        <f t="shared" si="895"/>
        <v>CPP_7_3</v>
      </c>
    </row>
    <row r="7084" spans="1:22">
      <c r="A7084" t="str">
        <f t="shared" si="888"/>
        <v>MIC-7522-Z30xR</v>
      </c>
      <c r="B7084" t="s">
        <v>1523</v>
      </c>
      <c r="C7084" s="403" t="s">
        <v>582</v>
      </c>
      <c r="D7084" t="s">
        <v>1527</v>
      </c>
      <c r="E7084" t="s">
        <v>1523</v>
      </c>
      <c r="F7084" t="s">
        <v>1286</v>
      </c>
      <c r="G7084" t="s">
        <v>1525</v>
      </c>
      <c r="H7084" t="s">
        <v>1282</v>
      </c>
      <c r="I7084">
        <v>1</v>
      </c>
      <c r="J7084" t="s">
        <v>109</v>
      </c>
      <c r="K7084">
        <v>1280</v>
      </c>
      <c r="L7084">
        <v>720</v>
      </c>
      <c r="M7084" t="s">
        <v>111</v>
      </c>
      <c r="N7084">
        <v>768</v>
      </c>
      <c r="O7084">
        <v>432</v>
      </c>
      <c r="P7084" t="str">
        <f t="shared" si="889"/>
        <v>30fps 720p - SD</v>
      </c>
      <c r="Q7084">
        <f t="shared" si="890"/>
        <v>39</v>
      </c>
      <c r="R7084" t="str">
        <f t="shared" si="891"/>
        <v/>
      </c>
      <c r="S7084" t="str">
        <f t="shared" si="892"/>
        <v/>
      </c>
      <c r="T7084" s="403" t="str">
        <f t="shared" si="893"/>
        <v>MIC-7522-Z30xR</v>
      </c>
      <c r="U7084" s="403">
        <f t="shared" si="894"/>
        <v>1</v>
      </c>
      <c r="V7084" s="403" t="str">
        <f t="shared" si="895"/>
        <v>CPP_7_3</v>
      </c>
    </row>
    <row r="7085" spans="1:22">
      <c r="A7085" t="str">
        <f t="shared" si="888"/>
        <v>MIC-7522-Z30xR</v>
      </c>
      <c r="B7085" t="s">
        <v>1523</v>
      </c>
      <c r="C7085" s="403" t="s">
        <v>582</v>
      </c>
      <c r="D7085" t="s">
        <v>1527</v>
      </c>
      <c r="E7085" t="s">
        <v>1523</v>
      </c>
      <c r="F7085" t="s">
        <v>1286</v>
      </c>
      <c r="G7085" t="s">
        <v>1525</v>
      </c>
      <c r="H7085" t="s">
        <v>1282</v>
      </c>
      <c r="I7085">
        <v>1</v>
      </c>
      <c r="J7085" t="s">
        <v>109</v>
      </c>
      <c r="K7085">
        <v>1280</v>
      </c>
      <c r="L7085">
        <v>720</v>
      </c>
      <c r="M7085" t="s">
        <v>1283</v>
      </c>
      <c r="N7085">
        <v>720</v>
      </c>
      <c r="O7085">
        <v>480</v>
      </c>
      <c r="P7085" t="str">
        <f t="shared" si="889"/>
        <v>30fps 720p - SD 4CIF resolution 4:3 format (cropped)</v>
      </c>
      <c r="Q7085">
        <f t="shared" si="890"/>
        <v>39</v>
      </c>
      <c r="R7085" t="str">
        <f t="shared" si="891"/>
        <v/>
      </c>
      <c r="S7085" t="str">
        <f t="shared" si="892"/>
        <v/>
      </c>
      <c r="T7085" s="403" t="str">
        <f t="shared" si="893"/>
        <v>MIC-7522-Z30xR</v>
      </c>
      <c r="U7085" s="403">
        <f t="shared" si="894"/>
        <v>1</v>
      </c>
      <c r="V7085" s="403" t="str">
        <f t="shared" si="895"/>
        <v>CPP_7_3</v>
      </c>
    </row>
    <row r="7086" spans="1:22">
      <c r="A7086" t="str">
        <f t="shared" si="888"/>
        <v>MIC-7522-Z30xR</v>
      </c>
      <c r="B7086" t="s">
        <v>1523</v>
      </c>
      <c r="C7086" s="403" t="s">
        <v>582</v>
      </c>
      <c r="D7086" t="s">
        <v>1527</v>
      </c>
      <c r="E7086" t="s">
        <v>1523</v>
      </c>
      <c r="F7086" t="s">
        <v>1286</v>
      </c>
      <c r="G7086" t="s">
        <v>1525</v>
      </c>
      <c r="H7086" t="s">
        <v>1282</v>
      </c>
      <c r="I7086">
        <v>1</v>
      </c>
      <c r="J7086" t="s">
        <v>109</v>
      </c>
      <c r="K7086">
        <v>1280</v>
      </c>
      <c r="L7086">
        <v>720</v>
      </c>
      <c r="M7086" t="s">
        <v>1284</v>
      </c>
      <c r="N7086">
        <v>640</v>
      </c>
      <c r="O7086">
        <v>480</v>
      </c>
      <c r="P7086" t="str">
        <f t="shared" si="889"/>
        <v>30fps 720p - SD VGA (cropped)</v>
      </c>
      <c r="Q7086">
        <f t="shared" si="890"/>
        <v>39</v>
      </c>
      <c r="R7086" t="str">
        <f t="shared" si="891"/>
        <v/>
      </c>
      <c r="S7086" t="str">
        <f t="shared" si="892"/>
        <v/>
      </c>
      <c r="T7086" s="403" t="str">
        <f t="shared" si="893"/>
        <v>MIC-7522-Z30xR</v>
      </c>
      <c r="U7086" s="403">
        <f t="shared" si="894"/>
        <v>1</v>
      </c>
      <c r="V7086" s="403" t="str">
        <f t="shared" si="895"/>
        <v>CPP_7_3</v>
      </c>
    </row>
    <row r="7087" spans="1:22">
      <c r="A7087" t="str">
        <f t="shared" si="888"/>
        <v>MIC-7522-Z30xR</v>
      </c>
      <c r="B7087" t="s">
        <v>1523</v>
      </c>
      <c r="C7087" s="403" t="s">
        <v>582</v>
      </c>
      <c r="D7087" t="s">
        <v>1527</v>
      </c>
      <c r="E7087" t="s">
        <v>1523</v>
      </c>
      <c r="F7087" t="s">
        <v>1290</v>
      </c>
      <c r="G7087" t="s">
        <v>1525</v>
      </c>
      <c r="H7087" t="s">
        <v>1276</v>
      </c>
      <c r="I7087">
        <v>1</v>
      </c>
      <c r="J7087" t="s">
        <v>110</v>
      </c>
      <c r="K7087">
        <v>1920</v>
      </c>
      <c r="L7087">
        <v>1080</v>
      </c>
      <c r="M7087" t="s">
        <v>111</v>
      </c>
      <c r="N7087">
        <v>768</v>
      </c>
      <c r="O7087">
        <v>432</v>
      </c>
      <c r="P7087" t="str">
        <f t="shared" si="889"/>
        <v>50fps 1080p - SD</v>
      </c>
      <c r="Q7087">
        <f t="shared" si="890"/>
        <v>39</v>
      </c>
      <c r="R7087" t="str">
        <f t="shared" si="891"/>
        <v/>
      </c>
      <c r="S7087" t="str">
        <f t="shared" si="892"/>
        <v/>
      </c>
      <c r="T7087" s="403" t="str">
        <f t="shared" si="893"/>
        <v>MIC-7522-Z30xR</v>
      </c>
      <c r="U7087" s="403">
        <f t="shared" si="894"/>
        <v>1</v>
      </c>
      <c r="V7087" s="403" t="str">
        <f t="shared" si="895"/>
        <v>CPP_7_3</v>
      </c>
    </row>
    <row r="7088" spans="1:22">
      <c r="A7088" t="str">
        <f t="shared" si="888"/>
        <v>MIC-7522-Z30xR</v>
      </c>
      <c r="B7088" t="s">
        <v>1523</v>
      </c>
      <c r="C7088" s="403" t="s">
        <v>582</v>
      </c>
      <c r="D7088" t="s">
        <v>1527</v>
      </c>
      <c r="E7088" t="s">
        <v>1523</v>
      </c>
      <c r="F7088" t="s">
        <v>1290</v>
      </c>
      <c r="G7088" t="s">
        <v>1525</v>
      </c>
      <c r="H7088" t="s">
        <v>1276</v>
      </c>
      <c r="I7088">
        <v>1</v>
      </c>
      <c r="J7088" t="s">
        <v>110</v>
      </c>
      <c r="K7088">
        <v>1920</v>
      </c>
      <c r="L7088">
        <v>1080</v>
      </c>
      <c r="M7088" t="s">
        <v>110</v>
      </c>
      <c r="N7088">
        <v>1920</v>
      </c>
      <c r="O7088">
        <v>1080</v>
      </c>
      <c r="P7088" t="str">
        <f t="shared" si="889"/>
        <v>50fps 1080p - 1080p</v>
      </c>
      <c r="Q7088">
        <f t="shared" si="890"/>
        <v>39</v>
      </c>
      <c r="R7088" t="str">
        <f t="shared" si="891"/>
        <v/>
      </c>
      <c r="S7088" t="str">
        <f t="shared" si="892"/>
        <v/>
      </c>
      <c r="T7088" s="403" t="str">
        <f t="shared" si="893"/>
        <v>MIC-7522-Z30xR</v>
      </c>
      <c r="U7088" s="403">
        <f t="shared" si="894"/>
        <v>1</v>
      </c>
      <c r="V7088" s="403" t="str">
        <f t="shared" si="895"/>
        <v>CPP_7_3</v>
      </c>
    </row>
    <row r="7089" spans="1:22">
      <c r="A7089" t="str">
        <f t="shared" si="888"/>
        <v>MIC-7522-Z30xR</v>
      </c>
      <c r="B7089" t="s">
        <v>1523</v>
      </c>
      <c r="C7089" s="403" t="s">
        <v>582</v>
      </c>
      <c r="D7089" t="s">
        <v>1527</v>
      </c>
      <c r="E7089" t="s">
        <v>1523</v>
      </c>
      <c r="F7089" t="s">
        <v>1290</v>
      </c>
      <c r="G7089" t="s">
        <v>1525</v>
      </c>
      <c r="H7089" t="s">
        <v>1276</v>
      </c>
      <c r="I7089">
        <v>1</v>
      </c>
      <c r="J7089" t="s">
        <v>110</v>
      </c>
      <c r="K7089">
        <v>1920</v>
      </c>
      <c r="L7089">
        <v>1080</v>
      </c>
      <c r="M7089" t="s">
        <v>1289</v>
      </c>
      <c r="N7089">
        <v>1280</v>
      </c>
      <c r="O7089">
        <v>720</v>
      </c>
      <c r="P7089" t="str">
        <f t="shared" si="889"/>
        <v>50fps 1080p - 720p full frame rate</v>
      </c>
      <c r="Q7089">
        <f t="shared" si="890"/>
        <v>39</v>
      </c>
      <c r="R7089" t="str">
        <f t="shared" si="891"/>
        <v/>
      </c>
      <c r="S7089" t="str">
        <f t="shared" si="892"/>
        <v/>
      </c>
      <c r="T7089" s="403" t="str">
        <f t="shared" si="893"/>
        <v>MIC-7522-Z30xR</v>
      </c>
      <c r="U7089" s="403">
        <f t="shared" si="894"/>
        <v>1</v>
      </c>
      <c r="V7089" s="403" t="str">
        <f t="shared" si="895"/>
        <v>CPP_7_3</v>
      </c>
    </row>
    <row r="7090" spans="1:22">
      <c r="A7090" t="str">
        <f t="shared" si="888"/>
        <v>MIC-7522-Z30xR</v>
      </c>
      <c r="B7090" t="s">
        <v>1523</v>
      </c>
      <c r="C7090" s="403" t="s">
        <v>582</v>
      </c>
      <c r="D7090" t="s">
        <v>1527</v>
      </c>
      <c r="E7090" t="s">
        <v>1523</v>
      </c>
      <c r="F7090" t="s">
        <v>1290</v>
      </c>
      <c r="G7090" t="s">
        <v>1525</v>
      </c>
      <c r="H7090" t="s">
        <v>1276</v>
      </c>
      <c r="I7090">
        <v>1</v>
      </c>
      <c r="J7090" t="s">
        <v>110</v>
      </c>
      <c r="K7090">
        <v>1920</v>
      </c>
      <c r="L7090">
        <v>1080</v>
      </c>
      <c r="M7090" t="s">
        <v>1285</v>
      </c>
      <c r="N7090">
        <v>1280</v>
      </c>
      <c r="O7090">
        <v>1024</v>
      </c>
      <c r="P7090" t="str">
        <f t="shared" si="889"/>
        <v>50fps 1080p - 1280x1024 5:4 (cropped)</v>
      </c>
      <c r="Q7090">
        <f t="shared" si="890"/>
        <v>39</v>
      </c>
      <c r="R7090" t="str">
        <f t="shared" si="891"/>
        <v/>
      </c>
      <c r="S7090" t="str">
        <f t="shared" si="892"/>
        <v/>
      </c>
      <c r="T7090" s="403" t="str">
        <f t="shared" si="893"/>
        <v>MIC-7522-Z30xR</v>
      </c>
      <c r="U7090" s="403">
        <f t="shared" si="894"/>
        <v>1</v>
      </c>
      <c r="V7090" s="403" t="str">
        <f t="shared" si="895"/>
        <v>CPP_7_3</v>
      </c>
    </row>
    <row r="7091" spans="1:22">
      <c r="A7091" t="str">
        <f t="shared" si="888"/>
        <v>MIC-7522-Z30xR</v>
      </c>
      <c r="B7091" t="s">
        <v>1523</v>
      </c>
      <c r="C7091" s="403" t="s">
        <v>582</v>
      </c>
      <c r="D7091" t="s">
        <v>1527</v>
      </c>
      <c r="E7091" t="s">
        <v>1523</v>
      </c>
      <c r="F7091" t="s">
        <v>1290</v>
      </c>
      <c r="G7091" t="s">
        <v>1525</v>
      </c>
      <c r="H7091" t="s">
        <v>1276</v>
      </c>
      <c r="I7091">
        <v>1</v>
      </c>
      <c r="J7091" t="s">
        <v>110</v>
      </c>
      <c r="K7091">
        <v>1920</v>
      </c>
      <c r="L7091">
        <v>1080</v>
      </c>
      <c r="M7091" t="s">
        <v>1283</v>
      </c>
      <c r="N7091">
        <v>720</v>
      </c>
      <c r="O7091">
        <v>576</v>
      </c>
      <c r="P7091" t="str">
        <f t="shared" si="889"/>
        <v>50fps 1080p - SD 4CIF resolution 4:3 format (cropped)</v>
      </c>
      <c r="Q7091">
        <f t="shared" si="890"/>
        <v>39</v>
      </c>
      <c r="R7091" t="str">
        <f t="shared" si="891"/>
        <v/>
      </c>
      <c r="S7091" t="str">
        <f t="shared" si="892"/>
        <v/>
      </c>
      <c r="T7091" s="403" t="str">
        <f t="shared" si="893"/>
        <v>MIC-7522-Z30xR</v>
      </c>
      <c r="U7091" s="403">
        <f t="shared" si="894"/>
        <v>1</v>
      </c>
      <c r="V7091" s="403" t="str">
        <f t="shared" si="895"/>
        <v>CPP_7_3</v>
      </c>
    </row>
    <row r="7092" spans="1:22">
      <c r="A7092" t="str">
        <f t="shared" si="888"/>
        <v>MIC-7522-Z30xR</v>
      </c>
      <c r="B7092" t="s">
        <v>1523</v>
      </c>
      <c r="C7092" s="403" t="s">
        <v>582</v>
      </c>
      <c r="D7092" t="s">
        <v>1527</v>
      </c>
      <c r="E7092" t="s">
        <v>1523</v>
      </c>
      <c r="F7092" t="s">
        <v>1290</v>
      </c>
      <c r="G7092" t="s">
        <v>1525</v>
      </c>
      <c r="H7092" t="s">
        <v>1276</v>
      </c>
      <c r="I7092">
        <v>1</v>
      </c>
      <c r="J7092" t="s">
        <v>110</v>
      </c>
      <c r="K7092">
        <v>1920</v>
      </c>
      <c r="L7092">
        <v>1080</v>
      </c>
      <c r="M7092" t="s">
        <v>1284</v>
      </c>
      <c r="N7092">
        <v>640</v>
      </c>
      <c r="O7092">
        <v>480</v>
      </c>
      <c r="P7092" t="str">
        <f t="shared" si="889"/>
        <v>50fps 1080p - SD VGA (cropped)</v>
      </c>
      <c r="Q7092">
        <f t="shared" si="890"/>
        <v>39</v>
      </c>
      <c r="R7092" t="str">
        <f t="shared" si="891"/>
        <v/>
      </c>
      <c r="S7092" t="str">
        <f t="shared" si="892"/>
        <v/>
      </c>
      <c r="T7092" s="403" t="str">
        <f t="shared" si="893"/>
        <v>MIC-7522-Z30xR</v>
      </c>
      <c r="U7092" s="403">
        <f t="shared" si="894"/>
        <v>1</v>
      </c>
      <c r="V7092" s="403" t="str">
        <f t="shared" si="895"/>
        <v>CPP_7_3</v>
      </c>
    </row>
    <row r="7093" spans="1:22">
      <c r="A7093" t="str">
        <f t="shared" si="888"/>
        <v>MIC-7522-Z30xR</v>
      </c>
      <c r="B7093" t="s">
        <v>1523</v>
      </c>
      <c r="C7093" s="403" t="s">
        <v>582</v>
      </c>
      <c r="D7093" t="s">
        <v>1527</v>
      </c>
      <c r="E7093" t="s">
        <v>1523</v>
      </c>
      <c r="F7093" t="s">
        <v>1290</v>
      </c>
      <c r="G7093" t="s">
        <v>1525</v>
      </c>
      <c r="H7093" t="s">
        <v>1276</v>
      </c>
      <c r="I7093">
        <v>1</v>
      </c>
      <c r="J7093" t="s">
        <v>1289</v>
      </c>
      <c r="K7093">
        <v>1280</v>
      </c>
      <c r="L7093">
        <v>720</v>
      </c>
      <c r="M7093" t="s">
        <v>1289</v>
      </c>
      <c r="N7093">
        <v>1280</v>
      </c>
      <c r="O7093">
        <v>720</v>
      </c>
      <c r="P7093" t="str">
        <f t="shared" si="889"/>
        <v>50fps 720p full frame rate - 720p full frame rate</v>
      </c>
      <c r="Q7093">
        <f t="shared" si="890"/>
        <v>39</v>
      </c>
      <c r="R7093" t="str">
        <f t="shared" si="891"/>
        <v/>
      </c>
      <c r="S7093" t="str">
        <f t="shared" si="892"/>
        <v/>
      </c>
      <c r="T7093" s="403" t="str">
        <f t="shared" si="893"/>
        <v>MIC-7522-Z30xR</v>
      </c>
      <c r="U7093" s="403">
        <f t="shared" si="894"/>
        <v>1</v>
      </c>
      <c r="V7093" s="403" t="str">
        <f t="shared" si="895"/>
        <v>CPP_7_3</v>
      </c>
    </row>
    <row r="7094" spans="1:22">
      <c r="A7094" t="str">
        <f t="shared" si="888"/>
        <v>MIC-7522-Z30xR</v>
      </c>
      <c r="B7094" t="s">
        <v>1523</v>
      </c>
      <c r="C7094" s="403" t="s">
        <v>582</v>
      </c>
      <c r="D7094" t="s">
        <v>1527</v>
      </c>
      <c r="E7094" t="s">
        <v>1523</v>
      </c>
      <c r="F7094" t="s">
        <v>1290</v>
      </c>
      <c r="G7094" t="s">
        <v>1525</v>
      </c>
      <c r="H7094" t="s">
        <v>1276</v>
      </c>
      <c r="I7094">
        <v>1</v>
      </c>
      <c r="J7094" t="s">
        <v>1289</v>
      </c>
      <c r="K7094">
        <v>1280</v>
      </c>
      <c r="L7094">
        <v>720</v>
      </c>
      <c r="M7094" t="s">
        <v>111</v>
      </c>
      <c r="N7094">
        <v>768</v>
      </c>
      <c r="O7094">
        <v>432</v>
      </c>
      <c r="P7094" t="str">
        <f t="shared" si="889"/>
        <v>50fps 720p full frame rate - SD</v>
      </c>
      <c r="Q7094">
        <f t="shared" si="890"/>
        <v>39</v>
      </c>
      <c r="R7094" t="str">
        <f t="shared" si="891"/>
        <v/>
      </c>
      <c r="S7094" t="str">
        <f t="shared" si="892"/>
        <v/>
      </c>
      <c r="T7094" s="403" t="str">
        <f t="shared" si="893"/>
        <v>MIC-7522-Z30xR</v>
      </c>
      <c r="U7094" s="403">
        <f t="shared" si="894"/>
        <v>1</v>
      </c>
      <c r="V7094" s="403" t="str">
        <f t="shared" si="895"/>
        <v>CPP_7_3</v>
      </c>
    </row>
    <row r="7095" spans="1:22">
      <c r="A7095" t="str">
        <f t="shared" si="888"/>
        <v>MIC-7522-Z30xR</v>
      </c>
      <c r="B7095" t="s">
        <v>1523</v>
      </c>
      <c r="C7095" s="403" t="s">
        <v>582</v>
      </c>
      <c r="D7095" t="s">
        <v>1527</v>
      </c>
      <c r="E7095" t="s">
        <v>1523</v>
      </c>
      <c r="F7095" t="s">
        <v>1290</v>
      </c>
      <c r="G7095" t="s">
        <v>1525</v>
      </c>
      <c r="H7095" t="s">
        <v>1276</v>
      </c>
      <c r="I7095">
        <v>1</v>
      </c>
      <c r="J7095" t="s">
        <v>1289</v>
      </c>
      <c r="K7095">
        <v>1280</v>
      </c>
      <c r="L7095">
        <v>720</v>
      </c>
      <c r="M7095" t="s">
        <v>1283</v>
      </c>
      <c r="N7095">
        <v>720</v>
      </c>
      <c r="O7095">
        <v>576</v>
      </c>
      <c r="P7095" t="str">
        <f t="shared" si="889"/>
        <v>50fps 720p full frame rate - SD 4CIF resolution 4:3 format (cropped)</v>
      </c>
      <c r="Q7095">
        <f t="shared" si="890"/>
        <v>39</v>
      </c>
      <c r="R7095" t="str">
        <f t="shared" si="891"/>
        <v/>
      </c>
      <c r="S7095" t="str">
        <f t="shared" si="892"/>
        <v/>
      </c>
      <c r="T7095" s="403" t="str">
        <f t="shared" si="893"/>
        <v>MIC-7522-Z30xR</v>
      </c>
      <c r="U7095" s="403">
        <f t="shared" si="894"/>
        <v>1</v>
      </c>
      <c r="V7095" s="403" t="str">
        <f t="shared" si="895"/>
        <v>CPP_7_3</v>
      </c>
    </row>
    <row r="7096" spans="1:22">
      <c r="A7096" t="str">
        <f t="shared" si="888"/>
        <v>MIC-7522-Z30xR</v>
      </c>
      <c r="B7096" t="s">
        <v>1523</v>
      </c>
      <c r="C7096" s="403" t="s">
        <v>582</v>
      </c>
      <c r="D7096" t="s">
        <v>1527</v>
      </c>
      <c r="E7096" t="s">
        <v>1523</v>
      </c>
      <c r="F7096" t="s">
        <v>1290</v>
      </c>
      <c r="G7096" t="s">
        <v>1525</v>
      </c>
      <c r="H7096" t="s">
        <v>1276</v>
      </c>
      <c r="I7096">
        <v>1</v>
      </c>
      <c r="J7096" t="s">
        <v>1289</v>
      </c>
      <c r="K7096">
        <v>1280</v>
      </c>
      <c r="L7096">
        <v>720</v>
      </c>
      <c r="M7096" t="s">
        <v>1284</v>
      </c>
      <c r="N7096">
        <v>640</v>
      </c>
      <c r="O7096">
        <v>480</v>
      </c>
      <c r="P7096" t="str">
        <f t="shared" si="889"/>
        <v>50fps 720p full frame rate - SD VGA (cropped)</v>
      </c>
      <c r="Q7096">
        <f t="shared" si="890"/>
        <v>39</v>
      </c>
      <c r="R7096" t="str">
        <f t="shared" si="891"/>
        <v/>
      </c>
      <c r="S7096" t="str">
        <f t="shared" si="892"/>
        <v/>
      </c>
      <c r="T7096" s="403" t="str">
        <f t="shared" si="893"/>
        <v>MIC-7522-Z30xR</v>
      </c>
      <c r="U7096" s="403">
        <f t="shared" si="894"/>
        <v>1</v>
      </c>
      <c r="V7096" s="403" t="str">
        <f t="shared" si="895"/>
        <v>CPP_7_3</v>
      </c>
    </row>
    <row r="7097" spans="1:22">
      <c r="A7097" t="str">
        <f t="shared" si="888"/>
        <v>MIC-7522-Z30xR</v>
      </c>
      <c r="B7097" t="s">
        <v>1523</v>
      </c>
      <c r="C7097" s="403" t="s">
        <v>582</v>
      </c>
      <c r="D7097" t="s">
        <v>1527</v>
      </c>
      <c r="E7097" t="s">
        <v>1523</v>
      </c>
      <c r="F7097" t="s">
        <v>1290</v>
      </c>
      <c r="G7097" t="s">
        <v>1525</v>
      </c>
      <c r="H7097" t="s">
        <v>1281</v>
      </c>
      <c r="I7097">
        <v>1</v>
      </c>
      <c r="J7097" t="s">
        <v>110</v>
      </c>
      <c r="K7097">
        <v>1920</v>
      </c>
      <c r="L7097">
        <v>1080</v>
      </c>
      <c r="M7097" t="s">
        <v>111</v>
      </c>
      <c r="N7097">
        <v>768</v>
      </c>
      <c r="O7097">
        <v>432</v>
      </c>
      <c r="P7097" t="str">
        <f t="shared" si="889"/>
        <v>50fps 1080p - SD</v>
      </c>
      <c r="Q7097">
        <f t="shared" si="890"/>
        <v>39</v>
      </c>
      <c r="R7097" t="str">
        <f t="shared" si="891"/>
        <v/>
      </c>
      <c r="S7097" t="str">
        <f t="shared" si="892"/>
        <v/>
      </c>
      <c r="T7097" s="403" t="str">
        <f t="shared" si="893"/>
        <v>MIC-7522-Z30xR</v>
      </c>
      <c r="U7097" s="403">
        <f t="shared" si="894"/>
        <v>1</v>
      </c>
      <c r="V7097" s="403" t="str">
        <f t="shared" si="895"/>
        <v>CPP_7_3</v>
      </c>
    </row>
    <row r="7098" spans="1:22">
      <c r="A7098" t="str">
        <f t="shared" si="888"/>
        <v>MIC-7522-Z30xR</v>
      </c>
      <c r="B7098" t="s">
        <v>1523</v>
      </c>
      <c r="C7098" s="403" t="s">
        <v>582</v>
      </c>
      <c r="D7098" t="s">
        <v>1527</v>
      </c>
      <c r="E7098" t="s">
        <v>1523</v>
      </c>
      <c r="F7098" t="s">
        <v>1290</v>
      </c>
      <c r="G7098" t="s">
        <v>1525</v>
      </c>
      <c r="H7098" t="s">
        <v>1281</v>
      </c>
      <c r="I7098">
        <v>1</v>
      </c>
      <c r="J7098" t="s">
        <v>110</v>
      </c>
      <c r="K7098">
        <v>1920</v>
      </c>
      <c r="L7098">
        <v>1080</v>
      </c>
      <c r="M7098" t="s">
        <v>1289</v>
      </c>
      <c r="N7098">
        <v>1280</v>
      </c>
      <c r="O7098">
        <v>720</v>
      </c>
      <c r="P7098" t="str">
        <f t="shared" si="889"/>
        <v>50fps 1080p - 720p full frame rate</v>
      </c>
      <c r="Q7098">
        <f t="shared" si="890"/>
        <v>39</v>
      </c>
      <c r="R7098" t="str">
        <f t="shared" si="891"/>
        <v/>
      </c>
      <c r="S7098" t="str">
        <f t="shared" si="892"/>
        <v/>
      </c>
      <c r="T7098" s="403" t="str">
        <f t="shared" si="893"/>
        <v>MIC-7522-Z30xR</v>
      </c>
      <c r="U7098" s="403">
        <f t="shared" si="894"/>
        <v>1</v>
      </c>
      <c r="V7098" s="403" t="str">
        <f t="shared" si="895"/>
        <v>CPP_7_3</v>
      </c>
    </row>
    <row r="7099" spans="1:22">
      <c r="A7099" t="str">
        <f t="shared" si="888"/>
        <v>MIC-7522-Z30xR</v>
      </c>
      <c r="B7099" t="s">
        <v>1523</v>
      </c>
      <c r="C7099" s="403" t="s">
        <v>582</v>
      </c>
      <c r="D7099" t="s">
        <v>1527</v>
      </c>
      <c r="E7099" t="s">
        <v>1523</v>
      </c>
      <c r="F7099" t="s">
        <v>1290</v>
      </c>
      <c r="G7099" t="s">
        <v>1525</v>
      </c>
      <c r="H7099" t="s">
        <v>1281</v>
      </c>
      <c r="I7099">
        <v>1</v>
      </c>
      <c r="J7099" t="s">
        <v>110</v>
      </c>
      <c r="K7099">
        <v>1920</v>
      </c>
      <c r="L7099">
        <v>1080</v>
      </c>
      <c r="M7099" t="s">
        <v>1283</v>
      </c>
      <c r="N7099">
        <v>720</v>
      </c>
      <c r="O7099">
        <v>576</v>
      </c>
      <c r="P7099" t="str">
        <f t="shared" si="889"/>
        <v>50fps 1080p - SD 4CIF resolution 4:3 format (cropped)</v>
      </c>
      <c r="Q7099">
        <f t="shared" si="890"/>
        <v>39</v>
      </c>
      <c r="R7099" t="str">
        <f t="shared" si="891"/>
        <v/>
      </c>
      <c r="S7099" t="str">
        <f t="shared" si="892"/>
        <v/>
      </c>
      <c r="T7099" s="403" t="str">
        <f t="shared" si="893"/>
        <v>MIC-7522-Z30xR</v>
      </c>
      <c r="U7099" s="403">
        <f t="shared" si="894"/>
        <v>1</v>
      </c>
      <c r="V7099" s="403" t="str">
        <f t="shared" si="895"/>
        <v>CPP_7_3</v>
      </c>
    </row>
    <row r="7100" spans="1:22">
      <c r="A7100" t="str">
        <f t="shared" si="888"/>
        <v>MIC-7522-Z30xR</v>
      </c>
      <c r="B7100" t="s">
        <v>1523</v>
      </c>
      <c r="C7100" s="403" t="s">
        <v>582</v>
      </c>
      <c r="D7100" t="s">
        <v>1527</v>
      </c>
      <c r="E7100" t="s">
        <v>1523</v>
      </c>
      <c r="F7100" t="s">
        <v>1290</v>
      </c>
      <c r="G7100" t="s">
        <v>1525</v>
      </c>
      <c r="H7100" t="s">
        <v>1281</v>
      </c>
      <c r="I7100">
        <v>1</v>
      </c>
      <c r="J7100" t="s">
        <v>110</v>
      </c>
      <c r="K7100">
        <v>1920</v>
      </c>
      <c r="L7100">
        <v>1080</v>
      </c>
      <c r="M7100" t="s">
        <v>1284</v>
      </c>
      <c r="N7100">
        <v>640</v>
      </c>
      <c r="O7100">
        <v>480</v>
      </c>
      <c r="P7100" t="str">
        <f t="shared" si="889"/>
        <v>50fps 1080p - SD VGA (cropped)</v>
      </c>
      <c r="Q7100">
        <f t="shared" si="890"/>
        <v>39</v>
      </c>
      <c r="R7100" t="str">
        <f t="shared" si="891"/>
        <v/>
      </c>
      <c r="S7100" t="str">
        <f t="shared" si="892"/>
        <v/>
      </c>
      <c r="T7100" s="403" t="str">
        <f t="shared" si="893"/>
        <v>MIC-7522-Z30xR</v>
      </c>
      <c r="U7100" s="403">
        <f t="shared" si="894"/>
        <v>1</v>
      </c>
      <c r="V7100" s="403" t="str">
        <f t="shared" si="895"/>
        <v>CPP_7_3</v>
      </c>
    </row>
    <row r="7101" spans="1:22">
      <c r="A7101" t="str">
        <f t="shared" si="888"/>
        <v>MIC-7522-Z30xR</v>
      </c>
      <c r="B7101" t="s">
        <v>1523</v>
      </c>
      <c r="C7101" s="403" t="s">
        <v>582</v>
      </c>
      <c r="D7101" t="s">
        <v>1527</v>
      </c>
      <c r="E7101" t="s">
        <v>1523</v>
      </c>
      <c r="F7101" t="s">
        <v>1290</v>
      </c>
      <c r="G7101" t="s">
        <v>1525</v>
      </c>
      <c r="H7101" t="s">
        <v>1281</v>
      </c>
      <c r="I7101">
        <v>1</v>
      </c>
      <c r="J7101" t="s">
        <v>1289</v>
      </c>
      <c r="K7101">
        <v>1280</v>
      </c>
      <c r="L7101">
        <v>720</v>
      </c>
      <c r="M7101" t="s">
        <v>1289</v>
      </c>
      <c r="N7101">
        <v>1280</v>
      </c>
      <c r="O7101">
        <v>720</v>
      </c>
      <c r="P7101" t="str">
        <f t="shared" si="889"/>
        <v>50fps 720p full frame rate - 720p full frame rate</v>
      </c>
      <c r="Q7101">
        <f t="shared" si="890"/>
        <v>39</v>
      </c>
      <c r="R7101" t="str">
        <f t="shared" si="891"/>
        <v/>
      </c>
      <c r="S7101" t="str">
        <f t="shared" si="892"/>
        <v/>
      </c>
      <c r="T7101" s="403" t="str">
        <f t="shared" si="893"/>
        <v>MIC-7522-Z30xR</v>
      </c>
      <c r="U7101" s="403">
        <f t="shared" si="894"/>
        <v>1</v>
      </c>
      <c r="V7101" s="403" t="str">
        <f t="shared" si="895"/>
        <v>CPP_7_3</v>
      </c>
    </row>
    <row r="7102" spans="1:22">
      <c r="A7102" t="str">
        <f t="shared" si="888"/>
        <v>MIC-7522-Z30xR</v>
      </c>
      <c r="B7102" t="s">
        <v>1523</v>
      </c>
      <c r="C7102" s="403" t="s">
        <v>582</v>
      </c>
      <c r="D7102" t="s">
        <v>1527</v>
      </c>
      <c r="E7102" t="s">
        <v>1523</v>
      </c>
      <c r="F7102" t="s">
        <v>1290</v>
      </c>
      <c r="G7102" t="s">
        <v>1525</v>
      </c>
      <c r="H7102" t="s">
        <v>1281</v>
      </c>
      <c r="I7102">
        <v>1</v>
      </c>
      <c r="J7102" t="s">
        <v>1289</v>
      </c>
      <c r="K7102">
        <v>1280</v>
      </c>
      <c r="L7102">
        <v>720</v>
      </c>
      <c r="M7102" t="s">
        <v>111</v>
      </c>
      <c r="N7102">
        <v>768</v>
      </c>
      <c r="O7102">
        <v>432</v>
      </c>
      <c r="P7102" t="str">
        <f t="shared" si="889"/>
        <v>50fps 720p full frame rate - SD</v>
      </c>
      <c r="Q7102">
        <f t="shared" si="890"/>
        <v>39</v>
      </c>
      <c r="R7102" t="str">
        <f t="shared" si="891"/>
        <v/>
      </c>
      <c r="S7102" t="str">
        <f t="shared" si="892"/>
        <v/>
      </c>
      <c r="T7102" s="403" t="str">
        <f t="shared" si="893"/>
        <v>MIC-7522-Z30xR</v>
      </c>
      <c r="U7102" s="403">
        <f t="shared" si="894"/>
        <v>1</v>
      </c>
      <c r="V7102" s="403" t="str">
        <f t="shared" si="895"/>
        <v>CPP_7_3</v>
      </c>
    </row>
    <row r="7103" spans="1:22">
      <c r="A7103" t="str">
        <f t="shared" si="888"/>
        <v>MIC-7522-Z30xR</v>
      </c>
      <c r="B7103" t="s">
        <v>1523</v>
      </c>
      <c r="C7103" s="403" t="s">
        <v>582</v>
      </c>
      <c r="D7103" t="s">
        <v>1527</v>
      </c>
      <c r="E7103" t="s">
        <v>1523</v>
      </c>
      <c r="F7103" t="s">
        <v>1290</v>
      </c>
      <c r="G7103" t="s">
        <v>1525</v>
      </c>
      <c r="H7103" t="s">
        <v>1281</v>
      </c>
      <c r="I7103">
        <v>1</v>
      </c>
      <c r="J7103" t="s">
        <v>1289</v>
      </c>
      <c r="K7103">
        <v>1280</v>
      </c>
      <c r="L7103">
        <v>720</v>
      </c>
      <c r="M7103" t="s">
        <v>1283</v>
      </c>
      <c r="N7103">
        <v>720</v>
      </c>
      <c r="O7103">
        <v>576</v>
      </c>
      <c r="P7103" t="str">
        <f t="shared" si="889"/>
        <v>50fps 720p full frame rate - SD 4CIF resolution 4:3 format (cropped)</v>
      </c>
      <c r="Q7103">
        <f t="shared" si="890"/>
        <v>39</v>
      </c>
      <c r="R7103" t="str">
        <f t="shared" si="891"/>
        <v/>
      </c>
      <c r="S7103" t="str">
        <f t="shared" si="892"/>
        <v/>
      </c>
      <c r="T7103" s="403" t="str">
        <f t="shared" si="893"/>
        <v>MIC-7522-Z30xR</v>
      </c>
      <c r="U7103" s="403">
        <f t="shared" si="894"/>
        <v>1</v>
      </c>
      <c r="V7103" s="403" t="str">
        <f t="shared" si="895"/>
        <v>CPP_7_3</v>
      </c>
    </row>
    <row r="7104" spans="1:22">
      <c r="A7104" t="str">
        <f t="shared" si="888"/>
        <v>MIC-7522-Z30xR</v>
      </c>
      <c r="B7104" t="s">
        <v>1523</v>
      </c>
      <c r="C7104" s="403" t="s">
        <v>582</v>
      </c>
      <c r="D7104" t="s">
        <v>1527</v>
      </c>
      <c r="E7104" t="s">
        <v>1523</v>
      </c>
      <c r="F7104" t="s">
        <v>1290</v>
      </c>
      <c r="G7104" t="s">
        <v>1525</v>
      </c>
      <c r="H7104" t="s">
        <v>1281</v>
      </c>
      <c r="I7104">
        <v>1</v>
      </c>
      <c r="J7104" t="s">
        <v>1289</v>
      </c>
      <c r="K7104">
        <v>1280</v>
      </c>
      <c r="L7104">
        <v>720</v>
      </c>
      <c r="M7104" t="s">
        <v>1284</v>
      </c>
      <c r="N7104">
        <v>640</v>
      </c>
      <c r="O7104">
        <v>480</v>
      </c>
      <c r="P7104" t="str">
        <f t="shared" si="889"/>
        <v>50fps 720p full frame rate - SD VGA (cropped)</v>
      </c>
      <c r="Q7104">
        <f t="shared" si="890"/>
        <v>39</v>
      </c>
      <c r="R7104" t="str">
        <f t="shared" si="891"/>
        <v/>
      </c>
      <c r="S7104" t="str">
        <f t="shared" si="892"/>
        <v/>
      </c>
      <c r="T7104" s="403" t="str">
        <f t="shared" si="893"/>
        <v>MIC-7522-Z30xR</v>
      </c>
      <c r="U7104" s="403">
        <f t="shared" si="894"/>
        <v>1</v>
      </c>
      <c r="V7104" s="403" t="str">
        <f t="shared" si="895"/>
        <v>CPP_7_3</v>
      </c>
    </row>
    <row r="7105" spans="1:22">
      <c r="A7105" t="str">
        <f t="shared" si="888"/>
        <v>MIC-7522-Z30xR</v>
      </c>
      <c r="B7105" t="s">
        <v>1523</v>
      </c>
      <c r="C7105" s="403" t="s">
        <v>582</v>
      </c>
      <c r="D7105" t="s">
        <v>1527</v>
      </c>
      <c r="E7105" t="s">
        <v>1523</v>
      </c>
      <c r="F7105" t="s">
        <v>1290</v>
      </c>
      <c r="G7105" t="s">
        <v>1525</v>
      </c>
      <c r="H7105" t="s">
        <v>1282</v>
      </c>
      <c r="I7105">
        <v>1</v>
      </c>
      <c r="J7105" t="s">
        <v>110</v>
      </c>
      <c r="K7105">
        <v>1920</v>
      </c>
      <c r="L7105">
        <v>1080</v>
      </c>
      <c r="M7105" t="s">
        <v>111</v>
      </c>
      <c r="N7105">
        <v>768</v>
      </c>
      <c r="O7105">
        <v>432</v>
      </c>
      <c r="P7105" t="str">
        <f t="shared" si="889"/>
        <v>50fps 1080p - SD</v>
      </c>
      <c r="Q7105">
        <f t="shared" si="890"/>
        <v>39</v>
      </c>
      <c r="R7105" t="str">
        <f t="shared" si="891"/>
        <v/>
      </c>
      <c r="S7105" t="str">
        <f t="shared" si="892"/>
        <v/>
      </c>
      <c r="T7105" s="403" t="str">
        <f t="shared" si="893"/>
        <v>MIC-7522-Z30xR</v>
      </c>
      <c r="U7105" s="403">
        <f t="shared" si="894"/>
        <v>1</v>
      </c>
      <c r="V7105" s="403" t="str">
        <f t="shared" si="895"/>
        <v>CPP_7_3</v>
      </c>
    </row>
    <row r="7106" spans="1:22">
      <c r="A7106" t="str">
        <f t="shared" si="888"/>
        <v>MIC-7522-Z30xR</v>
      </c>
      <c r="B7106" t="s">
        <v>1523</v>
      </c>
      <c r="C7106" s="403" t="s">
        <v>582</v>
      </c>
      <c r="D7106" t="s">
        <v>1527</v>
      </c>
      <c r="E7106" t="s">
        <v>1523</v>
      </c>
      <c r="F7106" t="s">
        <v>1290</v>
      </c>
      <c r="G7106" t="s">
        <v>1525</v>
      </c>
      <c r="H7106" t="s">
        <v>1282</v>
      </c>
      <c r="I7106">
        <v>1</v>
      </c>
      <c r="J7106" t="s">
        <v>110</v>
      </c>
      <c r="K7106">
        <v>1920</v>
      </c>
      <c r="L7106">
        <v>1080</v>
      </c>
      <c r="M7106" t="s">
        <v>110</v>
      </c>
      <c r="N7106">
        <v>1920</v>
      </c>
      <c r="O7106">
        <v>1080</v>
      </c>
      <c r="P7106" t="str">
        <f t="shared" si="889"/>
        <v>50fps 1080p - 1080p</v>
      </c>
      <c r="Q7106">
        <f t="shared" si="890"/>
        <v>39</v>
      </c>
      <c r="R7106" t="str">
        <f t="shared" si="891"/>
        <v/>
      </c>
      <c r="S7106" t="str">
        <f t="shared" si="892"/>
        <v/>
      </c>
      <c r="T7106" s="403" t="str">
        <f t="shared" si="893"/>
        <v>MIC-7522-Z30xR</v>
      </c>
      <c r="U7106" s="403">
        <f t="shared" si="894"/>
        <v>1</v>
      </c>
      <c r="V7106" s="403" t="str">
        <f t="shared" si="895"/>
        <v>CPP_7_3</v>
      </c>
    </row>
    <row r="7107" spans="1:22">
      <c r="A7107" t="str">
        <f t="shared" si="888"/>
        <v>MIC-7522-Z30xR</v>
      </c>
      <c r="B7107" t="s">
        <v>1523</v>
      </c>
      <c r="C7107" s="403" t="s">
        <v>582</v>
      </c>
      <c r="D7107" t="s">
        <v>1527</v>
      </c>
      <c r="E7107" t="s">
        <v>1523</v>
      </c>
      <c r="F7107" t="s">
        <v>1290</v>
      </c>
      <c r="G7107" t="s">
        <v>1525</v>
      </c>
      <c r="H7107" t="s">
        <v>1282</v>
      </c>
      <c r="I7107">
        <v>1</v>
      </c>
      <c r="J7107" t="s">
        <v>110</v>
      </c>
      <c r="K7107">
        <v>1920</v>
      </c>
      <c r="L7107">
        <v>1080</v>
      </c>
      <c r="M7107" t="s">
        <v>1289</v>
      </c>
      <c r="N7107">
        <v>1280</v>
      </c>
      <c r="O7107">
        <v>720</v>
      </c>
      <c r="P7107" t="str">
        <f t="shared" si="889"/>
        <v>50fps 1080p - 720p full frame rate</v>
      </c>
      <c r="Q7107">
        <f t="shared" si="890"/>
        <v>39</v>
      </c>
      <c r="R7107" t="str">
        <f t="shared" si="891"/>
        <v/>
      </c>
      <c r="S7107" t="str">
        <f t="shared" si="892"/>
        <v/>
      </c>
      <c r="T7107" s="403" t="str">
        <f t="shared" si="893"/>
        <v>MIC-7522-Z30xR</v>
      </c>
      <c r="U7107" s="403">
        <f t="shared" si="894"/>
        <v>1</v>
      </c>
      <c r="V7107" s="403" t="str">
        <f t="shared" si="895"/>
        <v>CPP_7_3</v>
      </c>
    </row>
    <row r="7108" spans="1:22">
      <c r="A7108" t="str">
        <f t="shared" si="888"/>
        <v>MIC-7522-Z30xR</v>
      </c>
      <c r="B7108" t="s">
        <v>1523</v>
      </c>
      <c r="C7108" s="403" t="s">
        <v>582</v>
      </c>
      <c r="D7108" t="s">
        <v>1527</v>
      </c>
      <c r="E7108" t="s">
        <v>1523</v>
      </c>
      <c r="F7108" t="s">
        <v>1290</v>
      </c>
      <c r="G7108" t="s">
        <v>1525</v>
      </c>
      <c r="H7108" t="s">
        <v>1282</v>
      </c>
      <c r="I7108">
        <v>1</v>
      </c>
      <c r="J7108" t="s">
        <v>110</v>
      </c>
      <c r="K7108">
        <v>1920</v>
      </c>
      <c r="L7108">
        <v>1080</v>
      </c>
      <c r="M7108" t="s">
        <v>1285</v>
      </c>
      <c r="N7108">
        <v>1280</v>
      </c>
      <c r="O7108">
        <v>1024</v>
      </c>
      <c r="P7108" t="str">
        <f t="shared" si="889"/>
        <v>50fps 1080p - 1280x1024 5:4 (cropped)</v>
      </c>
      <c r="Q7108">
        <f t="shared" si="890"/>
        <v>39</v>
      </c>
      <c r="R7108" t="str">
        <f t="shared" si="891"/>
        <v/>
      </c>
      <c r="S7108" t="str">
        <f t="shared" si="892"/>
        <v/>
      </c>
      <c r="T7108" s="403" t="str">
        <f t="shared" si="893"/>
        <v>MIC-7522-Z30xR</v>
      </c>
      <c r="U7108" s="403">
        <f t="shared" si="894"/>
        <v>1</v>
      </c>
      <c r="V7108" s="403" t="str">
        <f t="shared" si="895"/>
        <v>CPP_7_3</v>
      </c>
    </row>
    <row r="7109" spans="1:22">
      <c r="A7109" t="str">
        <f t="shared" si="888"/>
        <v>MIC-7522-Z30xR</v>
      </c>
      <c r="B7109" t="s">
        <v>1523</v>
      </c>
      <c r="C7109" s="403" t="s">
        <v>582</v>
      </c>
      <c r="D7109" t="s">
        <v>1527</v>
      </c>
      <c r="E7109" t="s">
        <v>1523</v>
      </c>
      <c r="F7109" t="s">
        <v>1290</v>
      </c>
      <c r="G7109" t="s">
        <v>1525</v>
      </c>
      <c r="H7109" t="s">
        <v>1282</v>
      </c>
      <c r="I7109">
        <v>1</v>
      </c>
      <c r="J7109" t="s">
        <v>110</v>
      </c>
      <c r="K7109">
        <v>1920</v>
      </c>
      <c r="L7109">
        <v>1080</v>
      </c>
      <c r="M7109" t="s">
        <v>1283</v>
      </c>
      <c r="N7109">
        <v>720</v>
      </c>
      <c r="O7109">
        <v>576</v>
      </c>
      <c r="P7109" t="str">
        <f t="shared" si="889"/>
        <v>50fps 1080p - SD 4CIF resolution 4:3 format (cropped)</v>
      </c>
      <c r="Q7109">
        <f t="shared" si="890"/>
        <v>39</v>
      </c>
      <c r="R7109" t="str">
        <f t="shared" si="891"/>
        <v/>
      </c>
      <c r="S7109" t="str">
        <f t="shared" si="892"/>
        <v/>
      </c>
      <c r="T7109" s="403" t="str">
        <f t="shared" si="893"/>
        <v>MIC-7522-Z30xR</v>
      </c>
      <c r="U7109" s="403">
        <f t="shared" si="894"/>
        <v>1</v>
      </c>
      <c r="V7109" s="403" t="str">
        <f t="shared" si="895"/>
        <v>CPP_7_3</v>
      </c>
    </row>
    <row r="7110" spans="1:22">
      <c r="A7110" t="str">
        <f t="shared" si="888"/>
        <v>MIC-7522-Z30xR</v>
      </c>
      <c r="B7110" t="s">
        <v>1523</v>
      </c>
      <c r="C7110" s="403" t="s">
        <v>582</v>
      </c>
      <c r="D7110" t="s">
        <v>1527</v>
      </c>
      <c r="E7110" t="s">
        <v>1523</v>
      </c>
      <c r="F7110" t="s">
        <v>1290</v>
      </c>
      <c r="G7110" t="s">
        <v>1525</v>
      </c>
      <c r="H7110" t="s">
        <v>1282</v>
      </c>
      <c r="I7110">
        <v>1</v>
      </c>
      <c r="J7110" t="s">
        <v>110</v>
      </c>
      <c r="K7110">
        <v>1920</v>
      </c>
      <c r="L7110">
        <v>1080</v>
      </c>
      <c r="M7110" t="s">
        <v>1284</v>
      </c>
      <c r="N7110">
        <v>640</v>
      </c>
      <c r="O7110">
        <v>480</v>
      </c>
      <c r="P7110" t="str">
        <f t="shared" si="889"/>
        <v>50fps 1080p - SD VGA (cropped)</v>
      </c>
      <c r="Q7110">
        <f t="shared" si="890"/>
        <v>39</v>
      </c>
      <c r="R7110" t="str">
        <f t="shared" si="891"/>
        <v/>
      </c>
      <c r="S7110" t="str">
        <f t="shared" si="892"/>
        <v/>
      </c>
      <c r="T7110" s="403" t="str">
        <f t="shared" si="893"/>
        <v>MIC-7522-Z30xR</v>
      </c>
      <c r="U7110" s="403">
        <f t="shared" si="894"/>
        <v>1</v>
      </c>
      <c r="V7110" s="403" t="str">
        <f t="shared" si="895"/>
        <v>CPP_7_3</v>
      </c>
    </row>
    <row r="7111" spans="1:22">
      <c r="A7111" t="str">
        <f t="shared" si="888"/>
        <v>MIC-7522-Z30xR</v>
      </c>
      <c r="B7111" t="s">
        <v>1523</v>
      </c>
      <c r="C7111" s="403" t="s">
        <v>582</v>
      </c>
      <c r="D7111" t="s">
        <v>1527</v>
      </c>
      <c r="E7111" t="s">
        <v>1523</v>
      </c>
      <c r="F7111" t="s">
        <v>1290</v>
      </c>
      <c r="G7111" t="s">
        <v>1525</v>
      </c>
      <c r="H7111" t="s">
        <v>1282</v>
      </c>
      <c r="I7111">
        <v>1</v>
      </c>
      <c r="J7111" t="s">
        <v>1289</v>
      </c>
      <c r="K7111">
        <v>1280</v>
      </c>
      <c r="L7111">
        <v>720</v>
      </c>
      <c r="M7111" t="s">
        <v>1289</v>
      </c>
      <c r="N7111">
        <v>1280</v>
      </c>
      <c r="O7111">
        <v>720</v>
      </c>
      <c r="P7111" t="str">
        <f t="shared" si="889"/>
        <v>50fps 720p full frame rate - 720p full frame rate</v>
      </c>
      <c r="Q7111">
        <f t="shared" si="890"/>
        <v>39</v>
      </c>
      <c r="R7111" t="str">
        <f t="shared" si="891"/>
        <v/>
      </c>
      <c r="S7111" t="str">
        <f t="shared" si="892"/>
        <v/>
      </c>
      <c r="T7111" s="403" t="str">
        <f t="shared" si="893"/>
        <v>MIC-7522-Z30xR</v>
      </c>
      <c r="U7111" s="403">
        <f t="shared" si="894"/>
        <v>1</v>
      </c>
      <c r="V7111" s="403" t="str">
        <f t="shared" si="895"/>
        <v>CPP_7_3</v>
      </c>
    </row>
    <row r="7112" spans="1:22">
      <c r="A7112" t="str">
        <f t="shared" si="888"/>
        <v>MIC-7522-Z30xR</v>
      </c>
      <c r="B7112" t="s">
        <v>1523</v>
      </c>
      <c r="C7112" s="403" t="s">
        <v>582</v>
      </c>
      <c r="D7112" t="s">
        <v>1527</v>
      </c>
      <c r="E7112" t="s">
        <v>1523</v>
      </c>
      <c r="F7112" t="s">
        <v>1290</v>
      </c>
      <c r="G7112" t="s">
        <v>1525</v>
      </c>
      <c r="H7112" t="s">
        <v>1282</v>
      </c>
      <c r="I7112">
        <v>1</v>
      </c>
      <c r="J7112" t="s">
        <v>1289</v>
      </c>
      <c r="K7112">
        <v>1280</v>
      </c>
      <c r="L7112">
        <v>720</v>
      </c>
      <c r="M7112" t="s">
        <v>111</v>
      </c>
      <c r="N7112">
        <v>768</v>
      </c>
      <c r="O7112">
        <v>432</v>
      </c>
      <c r="P7112" t="str">
        <f t="shared" si="889"/>
        <v>50fps 720p full frame rate - SD</v>
      </c>
      <c r="Q7112">
        <f t="shared" si="890"/>
        <v>39</v>
      </c>
      <c r="R7112" t="str">
        <f t="shared" si="891"/>
        <v/>
      </c>
      <c r="S7112" t="str">
        <f t="shared" si="892"/>
        <v/>
      </c>
      <c r="T7112" s="403" t="str">
        <f t="shared" si="893"/>
        <v>MIC-7522-Z30xR</v>
      </c>
      <c r="U7112" s="403">
        <f t="shared" si="894"/>
        <v>1</v>
      </c>
      <c r="V7112" s="403" t="str">
        <f t="shared" si="895"/>
        <v>CPP_7_3</v>
      </c>
    </row>
    <row r="7113" spans="1:22">
      <c r="A7113" t="str">
        <f t="shared" si="888"/>
        <v>MIC-7522-Z30xR</v>
      </c>
      <c r="B7113" t="s">
        <v>1523</v>
      </c>
      <c r="C7113" s="403" t="s">
        <v>582</v>
      </c>
      <c r="D7113" t="s">
        <v>1527</v>
      </c>
      <c r="E7113" t="s">
        <v>1523</v>
      </c>
      <c r="F7113" t="s">
        <v>1290</v>
      </c>
      <c r="G7113" t="s">
        <v>1525</v>
      </c>
      <c r="H7113" t="s">
        <v>1282</v>
      </c>
      <c r="I7113">
        <v>1</v>
      </c>
      <c r="J7113" t="s">
        <v>1289</v>
      </c>
      <c r="K7113">
        <v>1280</v>
      </c>
      <c r="L7113">
        <v>720</v>
      </c>
      <c r="M7113" t="s">
        <v>1283</v>
      </c>
      <c r="N7113">
        <v>720</v>
      </c>
      <c r="O7113">
        <v>576</v>
      </c>
      <c r="P7113" t="str">
        <f t="shared" si="889"/>
        <v>50fps 720p full frame rate - SD 4CIF resolution 4:3 format (cropped)</v>
      </c>
      <c r="Q7113">
        <f t="shared" si="890"/>
        <v>39</v>
      </c>
      <c r="R7113" t="str">
        <f t="shared" si="891"/>
        <v/>
      </c>
      <c r="S7113" t="str">
        <f t="shared" si="892"/>
        <v/>
      </c>
      <c r="T7113" s="403" t="str">
        <f t="shared" si="893"/>
        <v>MIC-7522-Z30xR</v>
      </c>
      <c r="U7113" s="403">
        <f t="shared" si="894"/>
        <v>1</v>
      </c>
      <c r="V7113" s="403" t="str">
        <f t="shared" si="895"/>
        <v>CPP_7_3</v>
      </c>
    </row>
    <row r="7114" spans="1:22">
      <c r="A7114" t="str">
        <f t="shared" si="888"/>
        <v>MIC-7522-Z30xR</v>
      </c>
      <c r="B7114" t="s">
        <v>1523</v>
      </c>
      <c r="C7114" s="403" t="s">
        <v>582</v>
      </c>
      <c r="D7114" t="s">
        <v>1527</v>
      </c>
      <c r="E7114" t="s">
        <v>1523</v>
      </c>
      <c r="F7114" t="s">
        <v>1290</v>
      </c>
      <c r="G7114" t="s">
        <v>1525</v>
      </c>
      <c r="H7114" t="s">
        <v>1282</v>
      </c>
      <c r="I7114">
        <v>1</v>
      </c>
      <c r="J7114" t="s">
        <v>1289</v>
      </c>
      <c r="K7114">
        <v>1280</v>
      </c>
      <c r="L7114">
        <v>720</v>
      </c>
      <c r="M7114" t="s">
        <v>1284</v>
      </c>
      <c r="N7114">
        <v>640</v>
      </c>
      <c r="O7114">
        <v>480</v>
      </c>
      <c r="P7114" t="str">
        <f t="shared" si="889"/>
        <v>50fps 720p full frame rate - SD VGA (cropped)</v>
      </c>
      <c r="Q7114">
        <f t="shared" si="890"/>
        <v>39</v>
      </c>
      <c r="R7114" t="str">
        <f t="shared" si="891"/>
        <v/>
      </c>
      <c r="S7114" t="str">
        <f t="shared" si="892"/>
        <v/>
      </c>
      <c r="T7114" s="403" t="str">
        <f t="shared" si="893"/>
        <v>MIC-7522-Z30xR</v>
      </c>
      <c r="U7114" s="403">
        <f t="shared" si="894"/>
        <v>1</v>
      </c>
      <c r="V7114" s="403" t="str">
        <f t="shared" si="895"/>
        <v>CPP_7_3</v>
      </c>
    </row>
    <row r="7115" spans="1:22">
      <c r="A7115" t="str">
        <f t="shared" si="888"/>
        <v>MIC-7522-Z30xR</v>
      </c>
      <c r="B7115" t="s">
        <v>1523</v>
      </c>
      <c r="C7115" s="403" t="s">
        <v>582</v>
      </c>
      <c r="D7115" t="s">
        <v>1527</v>
      </c>
      <c r="E7115" t="s">
        <v>1523</v>
      </c>
      <c r="F7115" t="s">
        <v>1288</v>
      </c>
      <c r="G7115" t="s">
        <v>1525</v>
      </c>
      <c r="H7115" t="s">
        <v>1276</v>
      </c>
      <c r="I7115">
        <v>1</v>
      </c>
      <c r="J7115" t="s">
        <v>110</v>
      </c>
      <c r="K7115">
        <v>1920</v>
      </c>
      <c r="L7115">
        <v>1080</v>
      </c>
      <c r="M7115" t="s">
        <v>111</v>
      </c>
      <c r="N7115">
        <v>768</v>
      </c>
      <c r="O7115">
        <v>432</v>
      </c>
      <c r="P7115" t="str">
        <f t="shared" si="889"/>
        <v>60fps 1080p - SD</v>
      </c>
      <c r="Q7115">
        <f t="shared" si="890"/>
        <v>39</v>
      </c>
      <c r="R7115" t="str">
        <f t="shared" si="891"/>
        <v/>
      </c>
      <c r="S7115" t="str">
        <f t="shared" si="892"/>
        <v/>
      </c>
      <c r="T7115" s="403" t="str">
        <f t="shared" si="893"/>
        <v>MIC-7522-Z30xR</v>
      </c>
      <c r="U7115" s="403">
        <f t="shared" si="894"/>
        <v>1</v>
      </c>
      <c r="V7115" s="403" t="str">
        <f t="shared" si="895"/>
        <v>CPP_7_3</v>
      </c>
    </row>
    <row r="7116" spans="1:22">
      <c r="A7116" t="str">
        <f t="shared" si="888"/>
        <v>MIC-7522-Z30xR</v>
      </c>
      <c r="B7116" t="s">
        <v>1523</v>
      </c>
      <c r="C7116" s="403" t="s">
        <v>582</v>
      </c>
      <c r="D7116" t="s">
        <v>1527</v>
      </c>
      <c r="E7116" t="s">
        <v>1523</v>
      </c>
      <c r="F7116" t="s">
        <v>1288</v>
      </c>
      <c r="G7116" t="s">
        <v>1525</v>
      </c>
      <c r="H7116" t="s">
        <v>1276</v>
      </c>
      <c r="I7116">
        <v>1</v>
      </c>
      <c r="J7116" t="s">
        <v>110</v>
      </c>
      <c r="K7116">
        <v>1920</v>
      </c>
      <c r="L7116">
        <v>1080</v>
      </c>
      <c r="M7116" t="s">
        <v>110</v>
      </c>
      <c r="N7116">
        <v>1920</v>
      </c>
      <c r="O7116">
        <v>1080</v>
      </c>
      <c r="P7116" t="str">
        <f t="shared" si="889"/>
        <v>60fps 1080p - 1080p</v>
      </c>
      <c r="Q7116">
        <f t="shared" si="890"/>
        <v>39</v>
      </c>
      <c r="R7116" t="str">
        <f t="shared" si="891"/>
        <v/>
      </c>
      <c r="S7116" t="str">
        <f t="shared" si="892"/>
        <v/>
      </c>
      <c r="T7116" s="403" t="str">
        <f t="shared" si="893"/>
        <v>MIC-7522-Z30xR</v>
      </c>
      <c r="U7116" s="403">
        <f t="shared" si="894"/>
        <v>1</v>
      </c>
      <c r="V7116" s="403" t="str">
        <f t="shared" si="895"/>
        <v>CPP_7_3</v>
      </c>
    </row>
    <row r="7117" spans="1:22">
      <c r="A7117" t="str">
        <f t="shared" si="888"/>
        <v>MIC-7522-Z30xR</v>
      </c>
      <c r="B7117" t="s">
        <v>1523</v>
      </c>
      <c r="C7117" s="403" t="s">
        <v>582</v>
      </c>
      <c r="D7117" t="s">
        <v>1527</v>
      </c>
      <c r="E7117" t="s">
        <v>1523</v>
      </c>
      <c r="F7117" t="s">
        <v>1288</v>
      </c>
      <c r="G7117" t="s">
        <v>1525</v>
      </c>
      <c r="H7117" t="s">
        <v>1276</v>
      </c>
      <c r="I7117">
        <v>1</v>
      </c>
      <c r="J7117" t="s">
        <v>110</v>
      </c>
      <c r="K7117">
        <v>1920</v>
      </c>
      <c r="L7117">
        <v>1080</v>
      </c>
      <c r="M7117" t="s">
        <v>1289</v>
      </c>
      <c r="N7117">
        <v>1280</v>
      </c>
      <c r="O7117">
        <v>720</v>
      </c>
      <c r="P7117" t="str">
        <f t="shared" si="889"/>
        <v>60fps 1080p - 720p full frame rate</v>
      </c>
      <c r="Q7117">
        <f t="shared" si="890"/>
        <v>39</v>
      </c>
      <c r="R7117" t="str">
        <f t="shared" si="891"/>
        <v/>
      </c>
      <c r="S7117" t="str">
        <f t="shared" si="892"/>
        <v/>
      </c>
      <c r="T7117" s="403" t="str">
        <f t="shared" si="893"/>
        <v>MIC-7522-Z30xR</v>
      </c>
      <c r="U7117" s="403">
        <f t="shared" si="894"/>
        <v>1</v>
      </c>
      <c r="V7117" s="403" t="str">
        <f t="shared" si="895"/>
        <v>CPP_7_3</v>
      </c>
    </row>
    <row r="7118" spans="1:22">
      <c r="A7118" t="str">
        <f t="shared" si="888"/>
        <v>MIC-7522-Z30xR</v>
      </c>
      <c r="B7118" t="s">
        <v>1523</v>
      </c>
      <c r="C7118" s="403" t="s">
        <v>582</v>
      </c>
      <c r="D7118" t="s">
        <v>1527</v>
      </c>
      <c r="E7118" t="s">
        <v>1523</v>
      </c>
      <c r="F7118" t="s">
        <v>1288</v>
      </c>
      <c r="G7118" t="s">
        <v>1525</v>
      </c>
      <c r="H7118" t="s">
        <v>1276</v>
      </c>
      <c r="I7118">
        <v>1</v>
      </c>
      <c r="J7118" t="s">
        <v>110</v>
      </c>
      <c r="K7118">
        <v>1920</v>
      </c>
      <c r="L7118">
        <v>1080</v>
      </c>
      <c r="M7118" t="s">
        <v>1285</v>
      </c>
      <c r="N7118">
        <v>1280</v>
      </c>
      <c r="O7118">
        <v>1024</v>
      </c>
      <c r="P7118" t="str">
        <f t="shared" si="889"/>
        <v>60fps 1080p - 1280x1024 5:4 (cropped)</v>
      </c>
      <c r="Q7118">
        <f t="shared" si="890"/>
        <v>39</v>
      </c>
      <c r="R7118" t="str">
        <f t="shared" si="891"/>
        <v/>
      </c>
      <c r="S7118" t="str">
        <f t="shared" si="892"/>
        <v/>
      </c>
      <c r="T7118" s="403" t="str">
        <f t="shared" si="893"/>
        <v>MIC-7522-Z30xR</v>
      </c>
      <c r="U7118" s="403">
        <f t="shared" si="894"/>
        <v>1</v>
      </c>
      <c r="V7118" s="403" t="str">
        <f t="shared" si="895"/>
        <v>CPP_7_3</v>
      </c>
    </row>
    <row r="7119" spans="1:22">
      <c r="A7119" t="str">
        <f t="shared" si="888"/>
        <v>MIC-7522-Z30xR</v>
      </c>
      <c r="B7119" t="s">
        <v>1523</v>
      </c>
      <c r="C7119" s="403" t="s">
        <v>582</v>
      </c>
      <c r="D7119" t="s">
        <v>1527</v>
      </c>
      <c r="E7119" t="s">
        <v>1523</v>
      </c>
      <c r="F7119" t="s">
        <v>1288</v>
      </c>
      <c r="G7119" t="s">
        <v>1525</v>
      </c>
      <c r="H7119" t="s">
        <v>1276</v>
      </c>
      <c r="I7119">
        <v>1</v>
      </c>
      <c r="J7119" t="s">
        <v>110</v>
      </c>
      <c r="K7119">
        <v>1920</v>
      </c>
      <c r="L7119">
        <v>1080</v>
      </c>
      <c r="M7119" t="s">
        <v>1283</v>
      </c>
      <c r="N7119">
        <v>720</v>
      </c>
      <c r="O7119">
        <v>480</v>
      </c>
      <c r="P7119" t="str">
        <f t="shared" si="889"/>
        <v>60fps 1080p - SD 4CIF resolution 4:3 format (cropped)</v>
      </c>
      <c r="Q7119">
        <f t="shared" si="890"/>
        <v>39</v>
      </c>
      <c r="R7119" t="str">
        <f t="shared" si="891"/>
        <v/>
      </c>
      <c r="S7119" t="str">
        <f t="shared" si="892"/>
        <v/>
      </c>
      <c r="T7119" s="403" t="str">
        <f t="shared" si="893"/>
        <v>MIC-7522-Z30xR</v>
      </c>
      <c r="U7119" s="403">
        <f t="shared" si="894"/>
        <v>1</v>
      </c>
      <c r="V7119" s="403" t="str">
        <f t="shared" si="895"/>
        <v>CPP_7_3</v>
      </c>
    </row>
    <row r="7120" spans="1:22">
      <c r="A7120" t="str">
        <f t="shared" si="888"/>
        <v>MIC-7522-Z30xR</v>
      </c>
      <c r="B7120" t="s">
        <v>1523</v>
      </c>
      <c r="C7120" s="403" t="s">
        <v>582</v>
      </c>
      <c r="D7120" t="s">
        <v>1527</v>
      </c>
      <c r="E7120" t="s">
        <v>1523</v>
      </c>
      <c r="F7120" t="s">
        <v>1288</v>
      </c>
      <c r="G7120" t="s">
        <v>1525</v>
      </c>
      <c r="H7120" t="s">
        <v>1276</v>
      </c>
      <c r="I7120">
        <v>1</v>
      </c>
      <c r="J7120" t="s">
        <v>110</v>
      </c>
      <c r="K7120">
        <v>1920</v>
      </c>
      <c r="L7120">
        <v>1080</v>
      </c>
      <c r="M7120" t="s">
        <v>1284</v>
      </c>
      <c r="N7120">
        <v>640</v>
      </c>
      <c r="O7120">
        <v>480</v>
      </c>
      <c r="P7120" t="str">
        <f t="shared" si="889"/>
        <v>60fps 1080p - SD VGA (cropped)</v>
      </c>
      <c r="Q7120">
        <f t="shared" si="890"/>
        <v>39</v>
      </c>
      <c r="R7120" t="str">
        <f t="shared" si="891"/>
        <v/>
      </c>
      <c r="S7120" t="str">
        <f t="shared" si="892"/>
        <v/>
      </c>
      <c r="T7120" s="403" t="str">
        <f t="shared" si="893"/>
        <v>MIC-7522-Z30xR</v>
      </c>
      <c r="U7120" s="403">
        <f t="shared" si="894"/>
        <v>1</v>
      </c>
      <c r="V7120" s="403" t="str">
        <f t="shared" si="895"/>
        <v>CPP_7_3</v>
      </c>
    </row>
    <row r="7121" spans="1:22">
      <c r="A7121" t="str">
        <f t="shared" si="888"/>
        <v>MIC-7522-Z30xR</v>
      </c>
      <c r="B7121" t="s">
        <v>1523</v>
      </c>
      <c r="C7121" s="403" t="s">
        <v>582</v>
      </c>
      <c r="D7121" t="s">
        <v>1527</v>
      </c>
      <c r="E7121" t="s">
        <v>1523</v>
      </c>
      <c r="F7121" t="s">
        <v>1288</v>
      </c>
      <c r="G7121" t="s">
        <v>1525</v>
      </c>
      <c r="H7121" t="s">
        <v>1276</v>
      </c>
      <c r="I7121">
        <v>1</v>
      </c>
      <c r="J7121" t="s">
        <v>1289</v>
      </c>
      <c r="K7121">
        <v>1280</v>
      </c>
      <c r="L7121">
        <v>720</v>
      </c>
      <c r="M7121" t="s">
        <v>1289</v>
      </c>
      <c r="N7121">
        <v>1280</v>
      </c>
      <c r="O7121">
        <v>720</v>
      </c>
      <c r="P7121" t="str">
        <f t="shared" si="889"/>
        <v>60fps 720p full frame rate - 720p full frame rate</v>
      </c>
      <c r="Q7121">
        <f t="shared" si="890"/>
        <v>39</v>
      </c>
      <c r="R7121" t="str">
        <f t="shared" si="891"/>
        <v/>
      </c>
      <c r="S7121" t="str">
        <f t="shared" si="892"/>
        <v/>
      </c>
      <c r="T7121" s="403" t="str">
        <f t="shared" si="893"/>
        <v>MIC-7522-Z30xR</v>
      </c>
      <c r="U7121" s="403">
        <f t="shared" si="894"/>
        <v>1</v>
      </c>
      <c r="V7121" s="403" t="str">
        <f t="shared" si="895"/>
        <v>CPP_7_3</v>
      </c>
    </row>
    <row r="7122" spans="1:22">
      <c r="A7122" t="str">
        <f t="shared" si="888"/>
        <v>MIC-7522-Z30xR</v>
      </c>
      <c r="B7122" t="s">
        <v>1523</v>
      </c>
      <c r="C7122" s="403" t="s">
        <v>582</v>
      </c>
      <c r="D7122" t="s">
        <v>1527</v>
      </c>
      <c r="E7122" t="s">
        <v>1523</v>
      </c>
      <c r="F7122" t="s">
        <v>1288</v>
      </c>
      <c r="G7122" t="s">
        <v>1525</v>
      </c>
      <c r="H7122" t="s">
        <v>1276</v>
      </c>
      <c r="I7122">
        <v>1</v>
      </c>
      <c r="J7122" t="s">
        <v>1289</v>
      </c>
      <c r="K7122">
        <v>1280</v>
      </c>
      <c r="L7122">
        <v>720</v>
      </c>
      <c r="M7122" t="s">
        <v>111</v>
      </c>
      <c r="N7122">
        <v>768</v>
      </c>
      <c r="O7122">
        <v>432</v>
      </c>
      <c r="P7122" t="str">
        <f t="shared" si="889"/>
        <v>60fps 720p full frame rate - SD</v>
      </c>
      <c r="Q7122">
        <f t="shared" si="890"/>
        <v>39</v>
      </c>
      <c r="R7122" t="str">
        <f t="shared" si="891"/>
        <v/>
      </c>
      <c r="S7122" t="str">
        <f t="shared" si="892"/>
        <v/>
      </c>
      <c r="T7122" s="403" t="str">
        <f t="shared" si="893"/>
        <v>MIC-7522-Z30xR</v>
      </c>
      <c r="U7122" s="403">
        <f t="shared" si="894"/>
        <v>1</v>
      </c>
      <c r="V7122" s="403" t="str">
        <f t="shared" si="895"/>
        <v>CPP_7_3</v>
      </c>
    </row>
    <row r="7123" spans="1:22">
      <c r="A7123" t="str">
        <f t="shared" si="888"/>
        <v>MIC-7522-Z30xR</v>
      </c>
      <c r="B7123" t="s">
        <v>1523</v>
      </c>
      <c r="C7123" s="403" t="s">
        <v>582</v>
      </c>
      <c r="D7123" t="s">
        <v>1527</v>
      </c>
      <c r="E7123" t="s">
        <v>1523</v>
      </c>
      <c r="F7123" t="s">
        <v>1288</v>
      </c>
      <c r="G7123" t="s">
        <v>1525</v>
      </c>
      <c r="H7123" t="s">
        <v>1276</v>
      </c>
      <c r="I7123">
        <v>1</v>
      </c>
      <c r="J7123" t="s">
        <v>1289</v>
      </c>
      <c r="K7123">
        <v>1280</v>
      </c>
      <c r="L7123">
        <v>720</v>
      </c>
      <c r="M7123" t="s">
        <v>1283</v>
      </c>
      <c r="N7123">
        <v>720</v>
      </c>
      <c r="O7123">
        <v>480</v>
      </c>
      <c r="P7123" t="str">
        <f t="shared" si="889"/>
        <v>60fps 720p full frame rate - SD 4CIF resolution 4:3 format (cropped)</v>
      </c>
      <c r="Q7123">
        <f t="shared" si="890"/>
        <v>39</v>
      </c>
      <c r="R7123" t="str">
        <f t="shared" si="891"/>
        <v/>
      </c>
      <c r="S7123" t="str">
        <f t="shared" si="892"/>
        <v/>
      </c>
      <c r="T7123" s="403" t="str">
        <f t="shared" si="893"/>
        <v>MIC-7522-Z30xR</v>
      </c>
      <c r="U7123" s="403">
        <f t="shared" si="894"/>
        <v>1</v>
      </c>
      <c r="V7123" s="403" t="str">
        <f t="shared" si="895"/>
        <v>CPP_7_3</v>
      </c>
    </row>
    <row r="7124" spans="1:22">
      <c r="A7124" t="str">
        <f t="shared" si="888"/>
        <v>MIC-7522-Z30xR</v>
      </c>
      <c r="B7124" t="s">
        <v>1523</v>
      </c>
      <c r="C7124" s="403" t="s">
        <v>582</v>
      </c>
      <c r="D7124" t="s">
        <v>1527</v>
      </c>
      <c r="E7124" t="s">
        <v>1523</v>
      </c>
      <c r="F7124" t="s">
        <v>1288</v>
      </c>
      <c r="G7124" t="s">
        <v>1525</v>
      </c>
      <c r="H7124" t="s">
        <v>1276</v>
      </c>
      <c r="I7124">
        <v>1</v>
      </c>
      <c r="J7124" t="s">
        <v>1289</v>
      </c>
      <c r="K7124">
        <v>1280</v>
      </c>
      <c r="L7124">
        <v>720</v>
      </c>
      <c r="M7124" t="s">
        <v>1284</v>
      </c>
      <c r="N7124">
        <v>640</v>
      </c>
      <c r="O7124">
        <v>480</v>
      </c>
      <c r="P7124" t="str">
        <f t="shared" si="889"/>
        <v>60fps 720p full frame rate - SD VGA (cropped)</v>
      </c>
      <c r="Q7124">
        <f t="shared" si="890"/>
        <v>39</v>
      </c>
      <c r="R7124" t="str">
        <f t="shared" si="891"/>
        <v/>
      </c>
      <c r="S7124" t="str">
        <f t="shared" si="892"/>
        <v/>
      </c>
      <c r="T7124" s="403" t="str">
        <f t="shared" si="893"/>
        <v>MIC-7522-Z30xR</v>
      </c>
      <c r="U7124" s="403">
        <f t="shared" si="894"/>
        <v>1</v>
      </c>
      <c r="V7124" s="403" t="str">
        <f t="shared" si="895"/>
        <v>CPP_7_3</v>
      </c>
    </row>
    <row r="7125" spans="1:22">
      <c r="A7125" t="str">
        <f t="shared" si="888"/>
        <v>MIC-7522-Z30xR</v>
      </c>
      <c r="B7125" t="s">
        <v>1523</v>
      </c>
      <c r="C7125" s="403" t="s">
        <v>582</v>
      </c>
      <c r="D7125" t="s">
        <v>1527</v>
      </c>
      <c r="E7125" t="s">
        <v>1523</v>
      </c>
      <c r="F7125" t="s">
        <v>1288</v>
      </c>
      <c r="G7125" t="s">
        <v>1525</v>
      </c>
      <c r="H7125" t="s">
        <v>1281</v>
      </c>
      <c r="I7125">
        <v>1</v>
      </c>
      <c r="J7125" t="s">
        <v>110</v>
      </c>
      <c r="K7125">
        <v>1920</v>
      </c>
      <c r="L7125">
        <v>1080</v>
      </c>
      <c r="M7125" t="s">
        <v>111</v>
      </c>
      <c r="N7125">
        <v>768</v>
      </c>
      <c r="O7125">
        <v>432</v>
      </c>
      <c r="P7125" t="str">
        <f t="shared" si="889"/>
        <v>60fps 1080p - SD</v>
      </c>
      <c r="Q7125">
        <f t="shared" si="890"/>
        <v>39</v>
      </c>
      <c r="R7125" t="str">
        <f t="shared" si="891"/>
        <v/>
      </c>
      <c r="S7125" t="str">
        <f t="shared" si="892"/>
        <v/>
      </c>
      <c r="T7125" s="403" t="str">
        <f t="shared" si="893"/>
        <v>MIC-7522-Z30xR</v>
      </c>
      <c r="U7125" s="403">
        <f t="shared" si="894"/>
        <v>1</v>
      </c>
      <c r="V7125" s="403" t="str">
        <f t="shared" si="895"/>
        <v>CPP_7_3</v>
      </c>
    </row>
    <row r="7126" spans="1:22">
      <c r="A7126" t="str">
        <f t="shared" si="888"/>
        <v>MIC-7522-Z30xR</v>
      </c>
      <c r="B7126" t="s">
        <v>1523</v>
      </c>
      <c r="C7126" s="403" t="s">
        <v>582</v>
      </c>
      <c r="D7126" t="s">
        <v>1527</v>
      </c>
      <c r="E7126" t="s">
        <v>1523</v>
      </c>
      <c r="F7126" t="s">
        <v>1288</v>
      </c>
      <c r="G7126" t="s">
        <v>1525</v>
      </c>
      <c r="H7126" t="s">
        <v>1281</v>
      </c>
      <c r="I7126">
        <v>1</v>
      </c>
      <c r="J7126" t="s">
        <v>110</v>
      </c>
      <c r="K7126">
        <v>1920</v>
      </c>
      <c r="L7126">
        <v>1080</v>
      </c>
      <c r="M7126" t="s">
        <v>1283</v>
      </c>
      <c r="N7126">
        <v>720</v>
      </c>
      <c r="O7126">
        <v>480</v>
      </c>
      <c r="P7126" t="str">
        <f t="shared" si="889"/>
        <v>60fps 1080p - SD 4CIF resolution 4:3 format (cropped)</v>
      </c>
      <c r="Q7126">
        <f t="shared" si="890"/>
        <v>39</v>
      </c>
      <c r="R7126" t="str">
        <f t="shared" si="891"/>
        <v/>
      </c>
      <c r="S7126" t="str">
        <f t="shared" si="892"/>
        <v/>
      </c>
      <c r="T7126" s="403" t="str">
        <f t="shared" si="893"/>
        <v>MIC-7522-Z30xR</v>
      </c>
      <c r="U7126" s="403">
        <f t="shared" si="894"/>
        <v>1</v>
      </c>
      <c r="V7126" s="403" t="str">
        <f t="shared" si="895"/>
        <v>CPP_7_3</v>
      </c>
    </row>
    <row r="7127" spans="1:22">
      <c r="A7127" t="str">
        <f t="shared" si="888"/>
        <v>MIC-7522-Z30xR</v>
      </c>
      <c r="B7127" t="s">
        <v>1523</v>
      </c>
      <c r="C7127" s="403" t="s">
        <v>582</v>
      </c>
      <c r="D7127" t="s">
        <v>1527</v>
      </c>
      <c r="E7127" t="s">
        <v>1523</v>
      </c>
      <c r="F7127" t="s">
        <v>1288</v>
      </c>
      <c r="G7127" t="s">
        <v>1525</v>
      </c>
      <c r="H7127" t="s">
        <v>1281</v>
      </c>
      <c r="I7127">
        <v>1</v>
      </c>
      <c r="J7127" t="s">
        <v>110</v>
      </c>
      <c r="K7127">
        <v>1920</v>
      </c>
      <c r="L7127">
        <v>1080</v>
      </c>
      <c r="M7127" t="s">
        <v>1284</v>
      </c>
      <c r="N7127">
        <v>640</v>
      </c>
      <c r="O7127">
        <v>480</v>
      </c>
      <c r="P7127" t="str">
        <f t="shared" si="889"/>
        <v>60fps 1080p - SD VGA (cropped)</v>
      </c>
      <c r="Q7127">
        <f t="shared" si="890"/>
        <v>39</v>
      </c>
      <c r="R7127" t="str">
        <f t="shared" si="891"/>
        <v/>
      </c>
      <c r="S7127" t="str">
        <f t="shared" si="892"/>
        <v/>
      </c>
      <c r="T7127" s="403" t="str">
        <f t="shared" si="893"/>
        <v>MIC-7522-Z30xR</v>
      </c>
      <c r="U7127" s="403">
        <f t="shared" si="894"/>
        <v>1</v>
      </c>
      <c r="V7127" s="403" t="str">
        <f t="shared" si="895"/>
        <v>CPP_7_3</v>
      </c>
    </row>
    <row r="7128" spans="1:22">
      <c r="A7128" t="str">
        <f t="shared" si="888"/>
        <v>MIC-7522-Z30xR</v>
      </c>
      <c r="B7128" t="s">
        <v>1523</v>
      </c>
      <c r="C7128" s="403" t="s">
        <v>582</v>
      </c>
      <c r="D7128" t="s">
        <v>1527</v>
      </c>
      <c r="E7128" t="s">
        <v>1523</v>
      </c>
      <c r="F7128" t="s">
        <v>1288</v>
      </c>
      <c r="G7128" t="s">
        <v>1525</v>
      </c>
      <c r="H7128" t="s">
        <v>1281</v>
      </c>
      <c r="I7128">
        <v>1</v>
      </c>
      <c r="J7128" t="s">
        <v>1289</v>
      </c>
      <c r="K7128">
        <v>1280</v>
      </c>
      <c r="L7128">
        <v>720</v>
      </c>
      <c r="M7128" t="s">
        <v>1289</v>
      </c>
      <c r="N7128">
        <v>1280</v>
      </c>
      <c r="O7128">
        <v>720</v>
      </c>
      <c r="P7128" t="str">
        <f t="shared" si="889"/>
        <v>60fps 720p full frame rate - 720p full frame rate</v>
      </c>
      <c r="Q7128">
        <f t="shared" si="890"/>
        <v>39</v>
      </c>
      <c r="R7128" t="str">
        <f t="shared" si="891"/>
        <v/>
      </c>
      <c r="S7128" t="str">
        <f t="shared" si="892"/>
        <v/>
      </c>
      <c r="T7128" s="403" t="str">
        <f t="shared" si="893"/>
        <v>MIC-7522-Z30xR</v>
      </c>
      <c r="U7128" s="403">
        <f t="shared" si="894"/>
        <v>1</v>
      </c>
      <c r="V7128" s="403" t="str">
        <f t="shared" si="895"/>
        <v>CPP_7_3</v>
      </c>
    </row>
    <row r="7129" spans="1:22">
      <c r="A7129" t="str">
        <f t="shared" si="888"/>
        <v>MIC-7522-Z30xR</v>
      </c>
      <c r="B7129" t="s">
        <v>1523</v>
      </c>
      <c r="C7129" s="403" t="s">
        <v>582</v>
      </c>
      <c r="D7129" t="s">
        <v>1527</v>
      </c>
      <c r="E7129" t="s">
        <v>1523</v>
      </c>
      <c r="F7129" t="s">
        <v>1288</v>
      </c>
      <c r="G7129" t="s">
        <v>1525</v>
      </c>
      <c r="H7129" t="s">
        <v>1281</v>
      </c>
      <c r="I7129">
        <v>1</v>
      </c>
      <c r="J7129" t="s">
        <v>1289</v>
      </c>
      <c r="K7129">
        <v>1280</v>
      </c>
      <c r="L7129">
        <v>720</v>
      </c>
      <c r="M7129" t="s">
        <v>111</v>
      </c>
      <c r="N7129">
        <v>768</v>
      </c>
      <c r="O7129">
        <v>432</v>
      </c>
      <c r="P7129" t="str">
        <f t="shared" si="889"/>
        <v>60fps 720p full frame rate - SD</v>
      </c>
      <c r="Q7129">
        <f t="shared" si="890"/>
        <v>39</v>
      </c>
      <c r="R7129" t="str">
        <f t="shared" si="891"/>
        <v/>
      </c>
      <c r="S7129" t="str">
        <f t="shared" si="892"/>
        <v/>
      </c>
      <c r="T7129" s="403" t="str">
        <f t="shared" si="893"/>
        <v>MIC-7522-Z30xR</v>
      </c>
      <c r="U7129" s="403">
        <f t="shared" si="894"/>
        <v>1</v>
      </c>
      <c r="V7129" s="403" t="str">
        <f t="shared" si="895"/>
        <v>CPP_7_3</v>
      </c>
    </row>
    <row r="7130" spans="1:22">
      <c r="A7130" t="str">
        <f t="shared" si="888"/>
        <v>MIC-7522-Z30xR</v>
      </c>
      <c r="B7130" t="s">
        <v>1523</v>
      </c>
      <c r="C7130" s="403" t="s">
        <v>582</v>
      </c>
      <c r="D7130" t="s">
        <v>1527</v>
      </c>
      <c r="E7130" t="s">
        <v>1523</v>
      </c>
      <c r="F7130" t="s">
        <v>1288</v>
      </c>
      <c r="G7130" t="s">
        <v>1525</v>
      </c>
      <c r="H7130" t="s">
        <v>1281</v>
      </c>
      <c r="I7130">
        <v>1</v>
      </c>
      <c r="J7130" t="s">
        <v>1289</v>
      </c>
      <c r="K7130">
        <v>1280</v>
      </c>
      <c r="L7130">
        <v>720</v>
      </c>
      <c r="M7130" t="s">
        <v>1283</v>
      </c>
      <c r="N7130">
        <v>720</v>
      </c>
      <c r="O7130">
        <v>480</v>
      </c>
      <c r="P7130" t="str">
        <f t="shared" si="889"/>
        <v>60fps 720p full frame rate - SD 4CIF resolution 4:3 format (cropped)</v>
      </c>
      <c r="Q7130">
        <f t="shared" si="890"/>
        <v>39</v>
      </c>
      <c r="R7130" t="str">
        <f t="shared" si="891"/>
        <v/>
      </c>
      <c r="S7130" t="str">
        <f t="shared" si="892"/>
        <v/>
      </c>
      <c r="T7130" s="403" t="str">
        <f t="shared" si="893"/>
        <v>MIC-7522-Z30xR</v>
      </c>
      <c r="U7130" s="403">
        <f t="shared" si="894"/>
        <v>1</v>
      </c>
      <c r="V7130" s="403" t="str">
        <f t="shared" si="895"/>
        <v>CPP_7_3</v>
      </c>
    </row>
    <row r="7131" spans="1:22">
      <c r="A7131" t="str">
        <f t="shared" si="888"/>
        <v>MIC-7522-Z30xR</v>
      </c>
      <c r="B7131" t="s">
        <v>1523</v>
      </c>
      <c r="C7131" s="403" t="s">
        <v>582</v>
      </c>
      <c r="D7131" t="s">
        <v>1527</v>
      </c>
      <c r="E7131" t="s">
        <v>1523</v>
      </c>
      <c r="F7131" t="s">
        <v>1288</v>
      </c>
      <c r="G7131" t="s">
        <v>1525</v>
      </c>
      <c r="H7131" t="s">
        <v>1281</v>
      </c>
      <c r="I7131">
        <v>1</v>
      </c>
      <c r="J7131" t="s">
        <v>1289</v>
      </c>
      <c r="K7131">
        <v>1280</v>
      </c>
      <c r="L7131">
        <v>720</v>
      </c>
      <c r="M7131" t="s">
        <v>1284</v>
      </c>
      <c r="N7131">
        <v>640</v>
      </c>
      <c r="O7131">
        <v>480</v>
      </c>
      <c r="P7131" t="str">
        <f t="shared" si="889"/>
        <v>60fps 720p full frame rate - SD VGA (cropped)</v>
      </c>
      <c r="Q7131">
        <f t="shared" si="890"/>
        <v>39</v>
      </c>
      <c r="R7131" t="str">
        <f t="shared" si="891"/>
        <v/>
      </c>
      <c r="S7131" t="str">
        <f t="shared" si="892"/>
        <v/>
      </c>
      <c r="T7131" s="403" t="str">
        <f t="shared" si="893"/>
        <v>MIC-7522-Z30xR</v>
      </c>
      <c r="U7131" s="403">
        <f t="shared" si="894"/>
        <v>1</v>
      </c>
      <c r="V7131" s="403" t="str">
        <f t="shared" si="895"/>
        <v>CPP_7_3</v>
      </c>
    </row>
    <row r="7132" spans="1:22">
      <c r="A7132" t="str">
        <f t="shared" si="888"/>
        <v>MIC-7522-Z30xR</v>
      </c>
      <c r="B7132" t="s">
        <v>1523</v>
      </c>
      <c r="C7132" s="403" t="s">
        <v>582</v>
      </c>
      <c r="D7132" t="s">
        <v>1527</v>
      </c>
      <c r="E7132" t="s">
        <v>1523</v>
      </c>
      <c r="F7132" t="s">
        <v>1288</v>
      </c>
      <c r="G7132" t="s">
        <v>1525</v>
      </c>
      <c r="H7132" t="s">
        <v>1282</v>
      </c>
      <c r="I7132">
        <v>1</v>
      </c>
      <c r="J7132" t="s">
        <v>110</v>
      </c>
      <c r="K7132">
        <v>1920</v>
      </c>
      <c r="L7132">
        <v>1080</v>
      </c>
      <c r="M7132" t="s">
        <v>111</v>
      </c>
      <c r="N7132">
        <v>768</v>
      </c>
      <c r="O7132">
        <v>432</v>
      </c>
      <c r="P7132" t="str">
        <f t="shared" si="889"/>
        <v>60fps 1080p - SD</v>
      </c>
      <c r="Q7132">
        <f t="shared" si="890"/>
        <v>39</v>
      </c>
      <c r="R7132" t="str">
        <f t="shared" si="891"/>
        <v/>
      </c>
      <c r="S7132" t="str">
        <f t="shared" si="892"/>
        <v/>
      </c>
      <c r="T7132" s="403" t="str">
        <f t="shared" si="893"/>
        <v>MIC-7522-Z30xR</v>
      </c>
      <c r="U7132" s="403">
        <f t="shared" si="894"/>
        <v>1</v>
      </c>
      <c r="V7132" s="403" t="str">
        <f t="shared" si="895"/>
        <v>CPP_7_3</v>
      </c>
    </row>
    <row r="7133" spans="1:22">
      <c r="A7133" t="str">
        <f t="shared" si="888"/>
        <v>MIC-7522-Z30xR</v>
      </c>
      <c r="B7133" t="s">
        <v>1523</v>
      </c>
      <c r="C7133" s="403" t="s">
        <v>582</v>
      </c>
      <c r="D7133" t="s">
        <v>1527</v>
      </c>
      <c r="E7133" t="s">
        <v>1523</v>
      </c>
      <c r="F7133" t="s">
        <v>1288</v>
      </c>
      <c r="G7133" t="s">
        <v>1525</v>
      </c>
      <c r="H7133" t="s">
        <v>1282</v>
      </c>
      <c r="I7133">
        <v>1</v>
      </c>
      <c r="J7133" t="s">
        <v>110</v>
      </c>
      <c r="K7133">
        <v>1920</v>
      </c>
      <c r="L7133">
        <v>1080</v>
      </c>
      <c r="M7133" t="s">
        <v>1289</v>
      </c>
      <c r="N7133">
        <v>1280</v>
      </c>
      <c r="O7133">
        <v>720</v>
      </c>
      <c r="P7133" t="str">
        <f t="shared" si="889"/>
        <v>60fps 1080p - 720p full frame rate</v>
      </c>
      <c r="Q7133">
        <f t="shared" si="890"/>
        <v>39</v>
      </c>
      <c r="R7133" t="str">
        <f t="shared" si="891"/>
        <v/>
      </c>
      <c r="S7133" t="str">
        <f t="shared" si="892"/>
        <v/>
      </c>
      <c r="T7133" s="403" t="str">
        <f t="shared" si="893"/>
        <v>MIC-7522-Z30xR</v>
      </c>
      <c r="U7133" s="403">
        <f t="shared" si="894"/>
        <v>1</v>
      </c>
      <c r="V7133" s="403" t="str">
        <f t="shared" si="895"/>
        <v>CPP_7_3</v>
      </c>
    </row>
    <row r="7134" spans="1:22">
      <c r="A7134" t="str">
        <f t="shared" si="888"/>
        <v>MIC-7522-Z30xR</v>
      </c>
      <c r="B7134" t="s">
        <v>1523</v>
      </c>
      <c r="C7134" s="403" t="s">
        <v>582</v>
      </c>
      <c r="D7134" t="s">
        <v>1527</v>
      </c>
      <c r="E7134" t="s">
        <v>1523</v>
      </c>
      <c r="F7134" t="s">
        <v>1288</v>
      </c>
      <c r="G7134" t="s">
        <v>1525</v>
      </c>
      <c r="H7134" t="s">
        <v>1282</v>
      </c>
      <c r="I7134">
        <v>1</v>
      </c>
      <c r="J7134" t="s">
        <v>110</v>
      </c>
      <c r="K7134">
        <v>1920</v>
      </c>
      <c r="L7134">
        <v>1080</v>
      </c>
      <c r="M7134" t="s">
        <v>1285</v>
      </c>
      <c r="N7134">
        <v>1280</v>
      </c>
      <c r="O7134">
        <v>1024</v>
      </c>
      <c r="P7134" t="str">
        <f t="shared" si="889"/>
        <v>60fps 1080p - 1280x1024 5:4 (cropped)</v>
      </c>
      <c r="Q7134">
        <f t="shared" si="890"/>
        <v>39</v>
      </c>
      <c r="R7134" t="str">
        <f t="shared" si="891"/>
        <v/>
      </c>
      <c r="S7134" t="str">
        <f t="shared" si="892"/>
        <v/>
      </c>
      <c r="T7134" s="403" t="str">
        <f t="shared" si="893"/>
        <v>MIC-7522-Z30xR</v>
      </c>
      <c r="U7134" s="403">
        <f t="shared" si="894"/>
        <v>1</v>
      </c>
      <c r="V7134" s="403" t="str">
        <f t="shared" si="895"/>
        <v>CPP_7_3</v>
      </c>
    </row>
    <row r="7135" spans="1:22">
      <c r="A7135" t="str">
        <f t="shared" si="888"/>
        <v>MIC-7522-Z30xR</v>
      </c>
      <c r="B7135" t="s">
        <v>1523</v>
      </c>
      <c r="C7135" s="403" t="s">
        <v>582</v>
      </c>
      <c r="D7135" t="s">
        <v>1527</v>
      </c>
      <c r="E7135" t="s">
        <v>1523</v>
      </c>
      <c r="F7135" t="s">
        <v>1288</v>
      </c>
      <c r="G7135" t="s">
        <v>1525</v>
      </c>
      <c r="H7135" t="s">
        <v>1282</v>
      </c>
      <c r="I7135">
        <v>1</v>
      </c>
      <c r="J7135" t="s">
        <v>110</v>
      </c>
      <c r="K7135">
        <v>1920</v>
      </c>
      <c r="L7135">
        <v>1080</v>
      </c>
      <c r="M7135" t="s">
        <v>1283</v>
      </c>
      <c r="N7135">
        <v>720</v>
      </c>
      <c r="O7135">
        <v>480</v>
      </c>
      <c r="P7135" t="str">
        <f t="shared" si="889"/>
        <v>60fps 1080p - SD 4CIF resolution 4:3 format (cropped)</v>
      </c>
      <c r="Q7135">
        <f t="shared" si="890"/>
        <v>39</v>
      </c>
      <c r="R7135" t="str">
        <f t="shared" si="891"/>
        <v/>
      </c>
      <c r="S7135" t="str">
        <f t="shared" si="892"/>
        <v/>
      </c>
      <c r="T7135" s="403" t="str">
        <f t="shared" si="893"/>
        <v>MIC-7522-Z30xR</v>
      </c>
      <c r="U7135" s="403">
        <f t="shared" si="894"/>
        <v>1</v>
      </c>
      <c r="V7135" s="403" t="str">
        <f t="shared" si="895"/>
        <v>CPP_7_3</v>
      </c>
    </row>
    <row r="7136" spans="1:22">
      <c r="A7136" t="str">
        <f t="shared" si="888"/>
        <v>MIC-7522-Z30xR</v>
      </c>
      <c r="B7136" t="s">
        <v>1523</v>
      </c>
      <c r="C7136" s="403" t="s">
        <v>582</v>
      </c>
      <c r="D7136" t="s">
        <v>1527</v>
      </c>
      <c r="E7136" t="s">
        <v>1523</v>
      </c>
      <c r="F7136" t="s">
        <v>1288</v>
      </c>
      <c r="G7136" t="s">
        <v>1525</v>
      </c>
      <c r="H7136" t="s">
        <v>1282</v>
      </c>
      <c r="I7136">
        <v>1</v>
      </c>
      <c r="J7136" t="s">
        <v>110</v>
      </c>
      <c r="K7136">
        <v>1920</v>
      </c>
      <c r="L7136">
        <v>1080</v>
      </c>
      <c r="M7136" t="s">
        <v>1284</v>
      </c>
      <c r="N7136">
        <v>640</v>
      </c>
      <c r="O7136">
        <v>480</v>
      </c>
      <c r="P7136" t="str">
        <f t="shared" si="889"/>
        <v>60fps 1080p - SD VGA (cropped)</v>
      </c>
      <c r="Q7136">
        <f t="shared" si="890"/>
        <v>39</v>
      </c>
      <c r="R7136" t="str">
        <f t="shared" si="891"/>
        <v/>
      </c>
      <c r="S7136" t="str">
        <f t="shared" si="892"/>
        <v/>
      </c>
      <c r="T7136" s="403" t="str">
        <f t="shared" si="893"/>
        <v>MIC-7522-Z30xR</v>
      </c>
      <c r="U7136" s="403">
        <f t="shared" si="894"/>
        <v>1</v>
      </c>
      <c r="V7136" s="403" t="str">
        <f t="shared" si="895"/>
        <v>CPP_7_3</v>
      </c>
    </row>
    <row r="7137" spans="1:22">
      <c r="A7137" t="str">
        <f t="shared" si="888"/>
        <v>MIC-7522-Z30xR</v>
      </c>
      <c r="B7137" t="s">
        <v>1523</v>
      </c>
      <c r="C7137" s="403" t="s">
        <v>582</v>
      </c>
      <c r="D7137" t="s">
        <v>1527</v>
      </c>
      <c r="E7137" t="s">
        <v>1523</v>
      </c>
      <c r="F7137" t="s">
        <v>1288</v>
      </c>
      <c r="G7137" t="s">
        <v>1525</v>
      </c>
      <c r="H7137" t="s">
        <v>1282</v>
      </c>
      <c r="I7137">
        <v>1</v>
      </c>
      <c r="J7137" t="s">
        <v>1289</v>
      </c>
      <c r="K7137">
        <v>1280</v>
      </c>
      <c r="L7137">
        <v>720</v>
      </c>
      <c r="M7137" t="s">
        <v>1289</v>
      </c>
      <c r="N7137">
        <v>1280</v>
      </c>
      <c r="O7137">
        <v>720</v>
      </c>
      <c r="P7137" t="str">
        <f t="shared" si="889"/>
        <v>60fps 720p full frame rate - 720p full frame rate</v>
      </c>
      <c r="Q7137">
        <f t="shared" si="890"/>
        <v>39</v>
      </c>
      <c r="R7137" t="str">
        <f t="shared" si="891"/>
        <v/>
      </c>
      <c r="S7137" t="str">
        <f t="shared" si="892"/>
        <v/>
      </c>
      <c r="T7137" s="403" t="str">
        <f t="shared" si="893"/>
        <v>MIC-7522-Z30xR</v>
      </c>
      <c r="U7137" s="403">
        <f t="shared" si="894"/>
        <v>1</v>
      </c>
      <c r="V7137" s="403" t="str">
        <f t="shared" si="895"/>
        <v>CPP_7_3</v>
      </c>
    </row>
    <row r="7138" spans="1:22">
      <c r="A7138" t="str">
        <f t="shared" si="888"/>
        <v>MIC-7522-Z30xR</v>
      </c>
      <c r="B7138" t="s">
        <v>1523</v>
      </c>
      <c r="C7138" s="403" t="s">
        <v>582</v>
      </c>
      <c r="D7138" t="s">
        <v>1527</v>
      </c>
      <c r="E7138" t="s">
        <v>1523</v>
      </c>
      <c r="F7138" t="s">
        <v>1288</v>
      </c>
      <c r="G7138" t="s">
        <v>1525</v>
      </c>
      <c r="H7138" t="s">
        <v>1282</v>
      </c>
      <c r="I7138">
        <v>1</v>
      </c>
      <c r="J7138" t="s">
        <v>1289</v>
      </c>
      <c r="K7138">
        <v>1280</v>
      </c>
      <c r="L7138">
        <v>720</v>
      </c>
      <c r="M7138" t="s">
        <v>111</v>
      </c>
      <c r="N7138">
        <v>768</v>
      </c>
      <c r="O7138">
        <v>432</v>
      </c>
      <c r="P7138" t="str">
        <f t="shared" si="889"/>
        <v>60fps 720p full frame rate - SD</v>
      </c>
      <c r="Q7138">
        <f t="shared" si="890"/>
        <v>39</v>
      </c>
      <c r="R7138" t="str">
        <f t="shared" si="891"/>
        <v/>
      </c>
      <c r="S7138" t="str">
        <f t="shared" si="892"/>
        <v/>
      </c>
      <c r="T7138" s="403" t="str">
        <f t="shared" si="893"/>
        <v>MIC-7522-Z30xR</v>
      </c>
      <c r="U7138" s="403">
        <f t="shared" si="894"/>
        <v>1</v>
      </c>
      <c r="V7138" s="403" t="str">
        <f t="shared" si="895"/>
        <v>CPP_7_3</v>
      </c>
    </row>
    <row r="7139" spans="1:22">
      <c r="A7139" t="str">
        <f t="shared" si="888"/>
        <v>MIC-7522-Z30xR</v>
      </c>
      <c r="B7139" t="s">
        <v>1523</v>
      </c>
      <c r="C7139" s="403" t="s">
        <v>582</v>
      </c>
      <c r="D7139" t="s">
        <v>1527</v>
      </c>
      <c r="E7139" t="s">
        <v>1523</v>
      </c>
      <c r="F7139" t="s">
        <v>1288</v>
      </c>
      <c r="G7139" t="s">
        <v>1525</v>
      </c>
      <c r="H7139" t="s">
        <v>1282</v>
      </c>
      <c r="I7139">
        <v>1</v>
      </c>
      <c r="J7139" t="s">
        <v>1289</v>
      </c>
      <c r="K7139">
        <v>1280</v>
      </c>
      <c r="L7139">
        <v>720</v>
      </c>
      <c r="M7139" t="s">
        <v>1283</v>
      </c>
      <c r="N7139">
        <v>720</v>
      </c>
      <c r="O7139">
        <v>480</v>
      </c>
      <c r="P7139" t="str">
        <f t="shared" si="889"/>
        <v>60fps 720p full frame rate - SD 4CIF resolution 4:3 format (cropped)</v>
      </c>
      <c r="Q7139">
        <f t="shared" si="890"/>
        <v>39</v>
      </c>
      <c r="R7139" t="str">
        <f t="shared" si="891"/>
        <v/>
      </c>
      <c r="S7139" t="str">
        <f t="shared" si="892"/>
        <v/>
      </c>
      <c r="T7139" s="403" t="str">
        <f t="shared" si="893"/>
        <v>MIC-7522-Z30xR</v>
      </c>
      <c r="U7139" s="403">
        <f t="shared" si="894"/>
        <v>1</v>
      </c>
      <c r="V7139" s="403" t="str">
        <f t="shared" si="895"/>
        <v>CPP_7_3</v>
      </c>
    </row>
    <row r="7140" spans="1:22">
      <c r="A7140" t="str">
        <f t="shared" si="888"/>
        <v>MIC-7522-Z30xR</v>
      </c>
      <c r="B7140" t="s">
        <v>1523</v>
      </c>
      <c r="C7140" s="403" t="s">
        <v>582</v>
      </c>
      <c r="D7140" t="s">
        <v>1527</v>
      </c>
      <c r="E7140" t="s">
        <v>1523</v>
      </c>
      <c r="F7140" t="s">
        <v>1288</v>
      </c>
      <c r="G7140" t="s">
        <v>1525</v>
      </c>
      <c r="H7140" t="s">
        <v>1282</v>
      </c>
      <c r="I7140">
        <v>1</v>
      </c>
      <c r="J7140" t="s">
        <v>1289</v>
      </c>
      <c r="K7140">
        <v>1280</v>
      </c>
      <c r="L7140">
        <v>720</v>
      </c>
      <c r="M7140" t="s">
        <v>1284</v>
      </c>
      <c r="N7140">
        <v>640</v>
      </c>
      <c r="O7140">
        <v>480</v>
      </c>
      <c r="P7140" t="str">
        <f t="shared" si="889"/>
        <v>60fps 720p full frame rate - SD VGA (cropped)</v>
      </c>
      <c r="Q7140">
        <f t="shared" si="890"/>
        <v>39</v>
      </c>
      <c r="R7140" t="str">
        <f t="shared" si="891"/>
        <v/>
      </c>
      <c r="S7140" t="str">
        <f t="shared" si="892"/>
        <v/>
      </c>
      <c r="T7140" s="403" t="str">
        <f t="shared" si="893"/>
        <v>MIC-7522-Z30xR</v>
      </c>
      <c r="U7140" s="403">
        <f t="shared" si="894"/>
        <v>1</v>
      </c>
      <c r="V7140" s="403" t="str">
        <f t="shared" si="895"/>
        <v>CPP_7_3</v>
      </c>
    </row>
    <row r="7141" spans="1:22">
      <c r="A7141" t="str">
        <f t="shared" si="888"/>
        <v>MIC-7522-Z30xR</v>
      </c>
      <c r="B7141" t="s">
        <v>1523</v>
      </c>
      <c r="C7141" s="403" t="s">
        <v>582</v>
      </c>
      <c r="D7141" t="s">
        <v>1527</v>
      </c>
      <c r="E7141" t="s">
        <v>1526</v>
      </c>
      <c r="F7141" t="s">
        <v>1287</v>
      </c>
      <c r="G7141" t="s">
        <v>1525</v>
      </c>
      <c r="H7141" t="s">
        <v>1276</v>
      </c>
      <c r="I7141">
        <v>1</v>
      </c>
      <c r="J7141" t="s">
        <v>110</v>
      </c>
      <c r="K7141">
        <v>1920</v>
      </c>
      <c r="L7141">
        <v>1080</v>
      </c>
      <c r="M7141" t="s">
        <v>111</v>
      </c>
      <c r="N7141">
        <v>768</v>
      </c>
      <c r="O7141">
        <v>432</v>
      </c>
      <c r="P7141" t="str">
        <f t="shared" si="889"/>
        <v>25fps 1080p - SD</v>
      </c>
      <c r="Q7141">
        <f t="shared" si="890"/>
        <v>39</v>
      </c>
      <c r="R7141" t="str">
        <f t="shared" si="891"/>
        <v/>
      </c>
      <c r="S7141" t="str">
        <f t="shared" si="892"/>
        <v/>
      </c>
      <c r="T7141" s="403" t="str">
        <f t="shared" si="893"/>
        <v>MIC-7522-Z30xR</v>
      </c>
      <c r="U7141" s="403">
        <f t="shared" si="894"/>
        <v>1</v>
      </c>
      <c r="V7141" s="403" t="str">
        <f t="shared" si="895"/>
        <v>CPP_7_3</v>
      </c>
    </row>
    <row r="7142" spans="1:22">
      <c r="A7142" t="str">
        <f t="shared" si="888"/>
        <v>MIC-7522-Z30xR</v>
      </c>
      <c r="B7142" t="s">
        <v>1523</v>
      </c>
      <c r="C7142" s="403" t="s">
        <v>582</v>
      </c>
      <c r="D7142" t="s">
        <v>1527</v>
      </c>
      <c r="E7142" t="s">
        <v>1526</v>
      </c>
      <c r="F7142" t="s">
        <v>1287</v>
      </c>
      <c r="G7142" t="s">
        <v>1525</v>
      </c>
      <c r="H7142" t="s">
        <v>1276</v>
      </c>
      <c r="I7142">
        <v>1</v>
      </c>
      <c r="J7142" t="s">
        <v>110</v>
      </c>
      <c r="K7142">
        <v>1920</v>
      </c>
      <c r="L7142">
        <v>1080</v>
      </c>
      <c r="M7142" t="s">
        <v>110</v>
      </c>
      <c r="N7142">
        <v>1920</v>
      </c>
      <c r="O7142">
        <v>1080</v>
      </c>
      <c r="P7142" t="str">
        <f t="shared" si="889"/>
        <v>25fps 1080p - 1080p</v>
      </c>
      <c r="Q7142">
        <f t="shared" si="890"/>
        <v>39</v>
      </c>
      <c r="R7142" t="str">
        <f t="shared" si="891"/>
        <v/>
      </c>
      <c r="S7142" t="str">
        <f t="shared" si="892"/>
        <v/>
      </c>
      <c r="T7142" s="403" t="str">
        <f t="shared" si="893"/>
        <v>MIC-7522-Z30xR</v>
      </c>
      <c r="U7142" s="403">
        <f t="shared" si="894"/>
        <v>1</v>
      </c>
      <c r="V7142" s="403" t="str">
        <f t="shared" si="895"/>
        <v>CPP_7_3</v>
      </c>
    </row>
    <row r="7143" spans="1:22">
      <c r="A7143" t="str">
        <f t="shared" si="888"/>
        <v>MIC-7522-Z30xR</v>
      </c>
      <c r="B7143" t="s">
        <v>1523</v>
      </c>
      <c r="C7143" s="403" t="s">
        <v>582</v>
      </c>
      <c r="D7143" t="s">
        <v>1527</v>
      </c>
      <c r="E7143" t="s">
        <v>1526</v>
      </c>
      <c r="F7143" t="s">
        <v>1287</v>
      </c>
      <c r="G7143" t="s">
        <v>1525</v>
      </c>
      <c r="H7143" t="s">
        <v>1276</v>
      </c>
      <c r="I7143">
        <v>1</v>
      </c>
      <c r="J7143" t="s">
        <v>110</v>
      </c>
      <c r="K7143">
        <v>1920</v>
      </c>
      <c r="L7143">
        <v>1080</v>
      </c>
      <c r="M7143" t="s">
        <v>109</v>
      </c>
      <c r="N7143">
        <v>1280</v>
      </c>
      <c r="O7143">
        <v>720</v>
      </c>
      <c r="P7143" t="str">
        <f t="shared" si="889"/>
        <v>25fps 1080p - 720p</v>
      </c>
      <c r="Q7143">
        <f t="shared" si="890"/>
        <v>39</v>
      </c>
      <c r="R7143" t="str">
        <f t="shared" si="891"/>
        <v/>
      </c>
      <c r="S7143" t="str">
        <f t="shared" si="892"/>
        <v/>
      </c>
      <c r="T7143" s="403" t="str">
        <f t="shared" si="893"/>
        <v>MIC-7522-Z30xR</v>
      </c>
      <c r="U7143" s="403">
        <f t="shared" si="894"/>
        <v>1</v>
      </c>
      <c r="V7143" s="403" t="str">
        <f t="shared" si="895"/>
        <v>CPP_7_3</v>
      </c>
    </row>
    <row r="7144" spans="1:22">
      <c r="A7144" t="str">
        <f t="shared" si="888"/>
        <v>MIC-7522-Z30xR</v>
      </c>
      <c r="B7144" t="s">
        <v>1523</v>
      </c>
      <c r="C7144" s="403" t="s">
        <v>582</v>
      </c>
      <c r="D7144" t="s">
        <v>1527</v>
      </c>
      <c r="E7144" t="s">
        <v>1526</v>
      </c>
      <c r="F7144" t="s">
        <v>1287</v>
      </c>
      <c r="G7144" t="s">
        <v>1525</v>
      </c>
      <c r="H7144" t="s">
        <v>1276</v>
      </c>
      <c r="I7144">
        <v>1</v>
      </c>
      <c r="J7144" t="s">
        <v>110</v>
      </c>
      <c r="K7144">
        <v>1920</v>
      </c>
      <c r="L7144">
        <v>1080</v>
      </c>
      <c r="M7144" t="s">
        <v>1285</v>
      </c>
      <c r="N7144">
        <v>1280</v>
      </c>
      <c r="O7144">
        <v>1024</v>
      </c>
      <c r="P7144" t="str">
        <f t="shared" si="889"/>
        <v>25fps 1080p - 1280x1024 5:4 (cropped)</v>
      </c>
      <c r="Q7144">
        <f t="shared" si="890"/>
        <v>39</v>
      </c>
      <c r="R7144" t="str">
        <f t="shared" si="891"/>
        <v/>
      </c>
      <c r="S7144" t="str">
        <f t="shared" si="892"/>
        <v/>
      </c>
      <c r="T7144" s="403" t="str">
        <f t="shared" si="893"/>
        <v>MIC-7522-Z30xR</v>
      </c>
      <c r="U7144" s="403">
        <f t="shared" si="894"/>
        <v>1</v>
      </c>
      <c r="V7144" s="403" t="str">
        <f t="shared" si="895"/>
        <v>CPP_7_3</v>
      </c>
    </row>
    <row r="7145" spans="1:22">
      <c r="A7145" t="str">
        <f t="shared" si="888"/>
        <v>MIC-7522-Z30xR</v>
      </c>
      <c r="B7145" t="s">
        <v>1523</v>
      </c>
      <c r="C7145" s="403" t="s">
        <v>582</v>
      </c>
      <c r="D7145" t="s">
        <v>1527</v>
      </c>
      <c r="E7145" t="s">
        <v>1526</v>
      </c>
      <c r="F7145" t="s">
        <v>1287</v>
      </c>
      <c r="G7145" t="s">
        <v>1525</v>
      </c>
      <c r="H7145" t="s">
        <v>1276</v>
      </c>
      <c r="I7145">
        <v>1</v>
      </c>
      <c r="J7145" t="s">
        <v>110</v>
      </c>
      <c r="K7145">
        <v>1920</v>
      </c>
      <c r="L7145">
        <v>1080</v>
      </c>
      <c r="M7145" t="s">
        <v>1283</v>
      </c>
      <c r="N7145">
        <v>720</v>
      </c>
      <c r="O7145">
        <v>576</v>
      </c>
      <c r="P7145" t="str">
        <f t="shared" si="889"/>
        <v>25fps 1080p - SD 4CIF resolution 4:3 format (cropped)</v>
      </c>
      <c r="Q7145">
        <f t="shared" si="890"/>
        <v>39</v>
      </c>
      <c r="R7145" t="str">
        <f t="shared" si="891"/>
        <v/>
      </c>
      <c r="S7145" t="str">
        <f t="shared" si="892"/>
        <v/>
      </c>
      <c r="T7145" s="403" t="str">
        <f t="shared" si="893"/>
        <v>MIC-7522-Z30xR</v>
      </c>
      <c r="U7145" s="403">
        <f t="shared" si="894"/>
        <v>1</v>
      </c>
      <c r="V7145" s="403" t="str">
        <f t="shared" si="895"/>
        <v>CPP_7_3</v>
      </c>
    </row>
    <row r="7146" spans="1:22">
      <c r="A7146" t="str">
        <f t="shared" ref="A7146:A7209" si="896">IF(AND(G7146&lt;&gt;"rotate 90°"),D7146,"")</f>
        <v>MIC-7522-Z30xR</v>
      </c>
      <c r="B7146" t="s">
        <v>1523</v>
      </c>
      <c r="C7146" s="403" t="s">
        <v>582</v>
      </c>
      <c r="D7146" t="s">
        <v>1527</v>
      </c>
      <c r="E7146" t="s">
        <v>1526</v>
      </c>
      <c r="F7146" t="s">
        <v>1287</v>
      </c>
      <c r="G7146" t="s">
        <v>1525</v>
      </c>
      <c r="H7146" t="s">
        <v>1276</v>
      </c>
      <c r="I7146">
        <v>1</v>
      </c>
      <c r="J7146" t="s">
        <v>110</v>
      </c>
      <c r="K7146">
        <v>1920</v>
      </c>
      <c r="L7146">
        <v>1080</v>
      </c>
      <c r="M7146" t="s">
        <v>1284</v>
      </c>
      <c r="N7146">
        <v>640</v>
      </c>
      <c r="O7146">
        <v>480</v>
      </c>
      <c r="P7146" t="str">
        <f t="shared" ref="P7146:P7209" si="897">LEFT(F7146,5)&amp;" "&amp;J7146&amp;" - "&amp;M7146</f>
        <v>25fps 1080p - SD VGA (cropped)</v>
      </c>
      <c r="Q7146">
        <f t="shared" ref="Q7146:Q7209" si="898">IF(A7145=A7146,Q7145,Q7145+1)</f>
        <v>39</v>
      </c>
      <c r="R7146" t="str">
        <f t="shared" ref="R7146:R7209" si="899">IF(Q7145&lt;&gt;Q7146,Q7146,"")</f>
        <v/>
      </c>
      <c r="S7146" t="str">
        <f t="shared" ref="S7146:S7209" si="900">IF(R7146&lt;&gt;"",B7146&amp;" ("&amp;D7146&amp;")","")</f>
        <v/>
      </c>
      <c r="T7146" s="403" t="str">
        <f t="shared" ref="T7146:T7209" si="901">D7146</f>
        <v>MIC-7522-Z30xR</v>
      </c>
      <c r="U7146" s="403">
        <f t="shared" ref="U7146:U7209" si="902">I7146</f>
        <v>1</v>
      </c>
      <c r="V7146" s="403" t="str">
        <f t="shared" ref="V7146:V7209" si="903">C7146</f>
        <v>CPP_7_3</v>
      </c>
    </row>
    <row r="7147" spans="1:22">
      <c r="A7147" t="str">
        <f t="shared" si="896"/>
        <v>MIC-7522-Z30xR</v>
      </c>
      <c r="B7147" t="s">
        <v>1523</v>
      </c>
      <c r="C7147" s="403" t="s">
        <v>582</v>
      </c>
      <c r="D7147" t="s">
        <v>1527</v>
      </c>
      <c r="E7147" t="s">
        <v>1526</v>
      </c>
      <c r="F7147" t="s">
        <v>1287</v>
      </c>
      <c r="G7147" t="s">
        <v>1525</v>
      </c>
      <c r="H7147" t="s">
        <v>1276</v>
      </c>
      <c r="I7147">
        <v>1</v>
      </c>
      <c r="J7147" t="s">
        <v>109</v>
      </c>
      <c r="K7147">
        <v>1280</v>
      </c>
      <c r="L7147">
        <v>720</v>
      </c>
      <c r="M7147" t="s">
        <v>109</v>
      </c>
      <c r="N7147">
        <v>1280</v>
      </c>
      <c r="O7147">
        <v>720</v>
      </c>
      <c r="P7147" t="str">
        <f t="shared" si="897"/>
        <v>25fps 720p - 720p</v>
      </c>
      <c r="Q7147">
        <f t="shared" si="898"/>
        <v>39</v>
      </c>
      <c r="R7147" t="str">
        <f t="shared" si="899"/>
        <v/>
      </c>
      <c r="S7147" t="str">
        <f t="shared" si="900"/>
        <v/>
      </c>
      <c r="T7147" s="403" t="str">
        <f t="shared" si="901"/>
        <v>MIC-7522-Z30xR</v>
      </c>
      <c r="U7147" s="403">
        <f t="shared" si="902"/>
        <v>1</v>
      </c>
      <c r="V7147" s="403" t="str">
        <f t="shared" si="903"/>
        <v>CPP_7_3</v>
      </c>
    </row>
    <row r="7148" spans="1:22">
      <c r="A7148" t="str">
        <f t="shared" si="896"/>
        <v>MIC-7522-Z30xR</v>
      </c>
      <c r="B7148" t="s">
        <v>1523</v>
      </c>
      <c r="C7148" s="403" t="s">
        <v>582</v>
      </c>
      <c r="D7148" t="s">
        <v>1527</v>
      </c>
      <c r="E7148" t="s">
        <v>1526</v>
      </c>
      <c r="F7148" t="s">
        <v>1287</v>
      </c>
      <c r="G7148" t="s">
        <v>1525</v>
      </c>
      <c r="H7148" t="s">
        <v>1276</v>
      </c>
      <c r="I7148">
        <v>1</v>
      </c>
      <c r="J7148" t="s">
        <v>109</v>
      </c>
      <c r="K7148">
        <v>1280</v>
      </c>
      <c r="L7148">
        <v>720</v>
      </c>
      <c r="M7148" t="s">
        <v>111</v>
      </c>
      <c r="N7148">
        <v>768</v>
      </c>
      <c r="O7148">
        <v>432</v>
      </c>
      <c r="P7148" t="str">
        <f t="shared" si="897"/>
        <v>25fps 720p - SD</v>
      </c>
      <c r="Q7148">
        <f t="shared" si="898"/>
        <v>39</v>
      </c>
      <c r="R7148" t="str">
        <f t="shared" si="899"/>
        <v/>
      </c>
      <c r="S7148" t="str">
        <f t="shared" si="900"/>
        <v/>
      </c>
      <c r="T7148" s="403" t="str">
        <f t="shared" si="901"/>
        <v>MIC-7522-Z30xR</v>
      </c>
      <c r="U7148" s="403">
        <f t="shared" si="902"/>
        <v>1</v>
      </c>
      <c r="V7148" s="403" t="str">
        <f t="shared" si="903"/>
        <v>CPP_7_3</v>
      </c>
    </row>
    <row r="7149" spans="1:22">
      <c r="A7149" t="str">
        <f t="shared" si="896"/>
        <v>MIC-7522-Z30xR</v>
      </c>
      <c r="B7149" t="s">
        <v>1523</v>
      </c>
      <c r="C7149" s="403" t="s">
        <v>582</v>
      </c>
      <c r="D7149" t="s">
        <v>1527</v>
      </c>
      <c r="E7149" t="s">
        <v>1526</v>
      </c>
      <c r="F7149" t="s">
        <v>1287</v>
      </c>
      <c r="G7149" t="s">
        <v>1525</v>
      </c>
      <c r="H7149" t="s">
        <v>1276</v>
      </c>
      <c r="I7149">
        <v>1</v>
      </c>
      <c r="J7149" t="s">
        <v>109</v>
      </c>
      <c r="K7149">
        <v>1280</v>
      </c>
      <c r="L7149">
        <v>720</v>
      </c>
      <c r="M7149" t="s">
        <v>1283</v>
      </c>
      <c r="N7149">
        <v>720</v>
      </c>
      <c r="O7149">
        <v>576</v>
      </c>
      <c r="P7149" t="str">
        <f t="shared" si="897"/>
        <v>25fps 720p - SD 4CIF resolution 4:3 format (cropped)</v>
      </c>
      <c r="Q7149">
        <f t="shared" si="898"/>
        <v>39</v>
      </c>
      <c r="R7149" t="str">
        <f t="shared" si="899"/>
        <v/>
      </c>
      <c r="S7149" t="str">
        <f t="shared" si="900"/>
        <v/>
      </c>
      <c r="T7149" s="403" t="str">
        <f t="shared" si="901"/>
        <v>MIC-7522-Z30xR</v>
      </c>
      <c r="U7149" s="403">
        <f t="shared" si="902"/>
        <v>1</v>
      </c>
      <c r="V7149" s="403" t="str">
        <f t="shared" si="903"/>
        <v>CPP_7_3</v>
      </c>
    </row>
    <row r="7150" spans="1:22">
      <c r="A7150" t="str">
        <f t="shared" si="896"/>
        <v>MIC-7522-Z30xR</v>
      </c>
      <c r="B7150" t="s">
        <v>1523</v>
      </c>
      <c r="C7150" s="403" t="s">
        <v>582</v>
      </c>
      <c r="D7150" t="s">
        <v>1527</v>
      </c>
      <c r="E7150" t="s">
        <v>1526</v>
      </c>
      <c r="F7150" t="s">
        <v>1287</v>
      </c>
      <c r="G7150" t="s">
        <v>1525</v>
      </c>
      <c r="H7150" t="s">
        <v>1276</v>
      </c>
      <c r="I7150">
        <v>1</v>
      </c>
      <c r="J7150" t="s">
        <v>109</v>
      </c>
      <c r="K7150">
        <v>1280</v>
      </c>
      <c r="L7150">
        <v>720</v>
      </c>
      <c r="M7150" t="s">
        <v>1284</v>
      </c>
      <c r="N7150">
        <v>640</v>
      </c>
      <c r="O7150">
        <v>480</v>
      </c>
      <c r="P7150" t="str">
        <f t="shared" si="897"/>
        <v>25fps 720p - SD VGA (cropped)</v>
      </c>
      <c r="Q7150">
        <f t="shared" si="898"/>
        <v>39</v>
      </c>
      <c r="R7150" t="str">
        <f t="shared" si="899"/>
        <v/>
      </c>
      <c r="S7150" t="str">
        <f t="shared" si="900"/>
        <v/>
      </c>
      <c r="T7150" s="403" t="str">
        <f t="shared" si="901"/>
        <v>MIC-7522-Z30xR</v>
      </c>
      <c r="U7150" s="403">
        <f t="shared" si="902"/>
        <v>1</v>
      </c>
      <c r="V7150" s="403" t="str">
        <f t="shared" si="903"/>
        <v>CPP_7_3</v>
      </c>
    </row>
    <row r="7151" spans="1:22">
      <c r="A7151" t="str">
        <f t="shared" si="896"/>
        <v>MIC-7522-Z30xR</v>
      </c>
      <c r="B7151" t="s">
        <v>1523</v>
      </c>
      <c r="C7151" s="403" t="s">
        <v>582</v>
      </c>
      <c r="D7151" t="s">
        <v>1527</v>
      </c>
      <c r="E7151" t="s">
        <v>1526</v>
      </c>
      <c r="F7151" t="s">
        <v>1287</v>
      </c>
      <c r="G7151" t="s">
        <v>1525</v>
      </c>
      <c r="H7151" t="s">
        <v>1281</v>
      </c>
      <c r="I7151">
        <v>1</v>
      </c>
      <c r="J7151" t="s">
        <v>110</v>
      </c>
      <c r="K7151">
        <v>1920</v>
      </c>
      <c r="L7151">
        <v>1080</v>
      </c>
      <c r="M7151" t="s">
        <v>111</v>
      </c>
      <c r="N7151">
        <v>768</v>
      </c>
      <c r="O7151">
        <v>432</v>
      </c>
      <c r="P7151" t="str">
        <f t="shared" si="897"/>
        <v>25fps 1080p - SD</v>
      </c>
      <c r="Q7151">
        <f t="shared" si="898"/>
        <v>39</v>
      </c>
      <c r="R7151" t="str">
        <f t="shared" si="899"/>
        <v/>
      </c>
      <c r="S7151" t="str">
        <f t="shared" si="900"/>
        <v/>
      </c>
      <c r="T7151" s="403" t="str">
        <f t="shared" si="901"/>
        <v>MIC-7522-Z30xR</v>
      </c>
      <c r="U7151" s="403">
        <f t="shared" si="902"/>
        <v>1</v>
      </c>
      <c r="V7151" s="403" t="str">
        <f t="shared" si="903"/>
        <v>CPP_7_3</v>
      </c>
    </row>
    <row r="7152" spans="1:22">
      <c r="A7152" t="str">
        <f t="shared" si="896"/>
        <v>MIC-7522-Z30xR</v>
      </c>
      <c r="B7152" t="s">
        <v>1523</v>
      </c>
      <c r="C7152" s="403" t="s">
        <v>582</v>
      </c>
      <c r="D7152" t="s">
        <v>1527</v>
      </c>
      <c r="E7152" t="s">
        <v>1526</v>
      </c>
      <c r="F7152" t="s">
        <v>1287</v>
      </c>
      <c r="G7152" t="s">
        <v>1525</v>
      </c>
      <c r="H7152" t="s">
        <v>1281</v>
      </c>
      <c r="I7152">
        <v>1</v>
      </c>
      <c r="J7152" t="s">
        <v>110</v>
      </c>
      <c r="K7152">
        <v>1920</v>
      </c>
      <c r="L7152">
        <v>1080</v>
      </c>
      <c r="M7152" t="s">
        <v>110</v>
      </c>
      <c r="N7152">
        <v>1920</v>
      </c>
      <c r="O7152">
        <v>1080</v>
      </c>
      <c r="P7152" t="str">
        <f t="shared" si="897"/>
        <v>25fps 1080p - 1080p</v>
      </c>
      <c r="Q7152">
        <f t="shared" si="898"/>
        <v>39</v>
      </c>
      <c r="R7152" t="str">
        <f t="shared" si="899"/>
        <v/>
      </c>
      <c r="S7152" t="str">
        <f t="shared" si="900"/>
        <v/>
      </c>
      <c r="T7152" s="403" t="str">
        <f t="shared" si="901"/>
        <v>MIC-7522-Z30xR</v>
      </c>
      <c r="U7152" s="403">
        <f t="shared" si="902"/>
        <v>1</v>
      </c>
      <c r="V7152" s="403" t="str">
        <f t="shared" si="903"/>
        <v>CPP_7_3</v>
      </c>
    </row>
    <row r="7153" spans="1:22">
      <c r="A7153" t="str">
        <f t="shared" si="896"/>
        <v>MIC-7522-Z30xR</v>
      </c>
      <c r="B7153" t="s">
        <v>1523</v>
      </c>
      <c r="C7153" s="403" t="s">
        <v>582</v>
      </c>
      <c r="D7153" t="s">
        <v>1527</v>
      </c>
      <c r="E7153" t="s">
        <v>1526</v>
      </c>
      <c r="F7153" t="s">
        <v>1287</v>
      </c>
      <c r="G7153" t="s">
        <v>1525</v>
      </c>
      <c r="H7153" t="s">
        <v>1281</v>
      </c>
      <c r="I7153">
        <v>1</v>
      </c>
      <c r="J7153" t="s">
        <v>110</v>
      </c>
      <c r="K7153">
        <v>1920</v>
      </c>
      <c r="L7153">
        <v>1080</v>
      </c>
      <c r="M7153" t="s">
        <v>109</v>
      </c>
      <c r="N7153">
        <v>1280</v>
      </c>
      <c r="O7153">
        <v>720</v>
      </c>
      <c r="P7153" t="str">
        <f t="shared" si="897"/>
        <v>25fps 1080p - 720p</v>
      </c>
      <c r="Q7153">
        <f t="shared" si="898"/>
        <v>39</v>
      </c>
      <c r="R7153" t="str">
        <f t="shared" si="899"/>
        <v/>
      </c>
      <c r="S7153" t="str">
        <f t="shared" si="900"/>
        <v/>
      </c>
      <c r="T7153" s="403" t="str">
        <f t="shared" si="901"/>
        <v>MIC-7522-Z30xR</v>
      </c>
      <c r="U7153" s="403">
        <f t="shared" si="902"/>
        <v>1</v>
      </c>
      <c r="V7153" s="403" t="str">
        <f t="shared" si="903"/>
        <v>CPP_7_3</v>
      </c>
    </row>
    <row r="7154" spans="1:22">
      <c r="A7154" t="str">
        <f t="shared" si="896"/>
        <v>MIC-7522-Z30xR</v>
      </c>
      <c r="B7154" t="s">
        <v>1523</v>
      </c>
      <c r="C7154" s="403" t="s">
        <v>582</v>
      </c>
      <c r="D7154" t="s">
        <v>1527</v>
      </c>
      <c r="E7154" t="s">
        <v>1526</v>
      </c>
      <c r="F7154" t="s">
        <v>1287</v>
      </c>
      <c r="G7154" t="s">
        <v>1525</v>
      </c>
      <c r="H7154" t="s">
        <v>1281</v>
      </c>
      <c r="I7154">
        <v>1</v>
      </c>
      <c r="J7154" t="s">
        <v>110</v>
      </c>
      <c r="K7154">
        <v>1920</v>
      </c>
      <c r="L7154">
        <v>1080</v>
      </c>
      <c r="M7154" t="s">
        <v>1285</v>
      </c>
      <c r="N7154">
        <v>1280</v>
      </c>
      <c r="O7154">
        <v>1024</v>
      </c>
      <c r="P7154" t="str">
        <f t="shared" si="897"/>
        <v>25fps 1080p - 1280x1024 5:4 (cropped)</v>
      </c>
      <c r="Q7154">
        <f t="shared" si="898"/>
        <v>39</v>
      </c>
      <c r="R7154" t="str">
        <f t="shared" si="899"/>
        <v/>
      </c>
      <c r="S7154" t="str">
        <f t="shared" si="900"/>
        <v/>
      </c>
      <c r="T7154" s="403" t="str">
        <f t="shared" si="901"/>
        <v>MIC-7522-Z30xR</v>
      </c>
      <c r="U7154" s="403">
        <f t="shared" si="902"/>
        <v>1</v>
      </c>
      <c r="V7154" s="403" t="str">
        <f t="shared" si="903"/>
        <v>CPP_7_3</v>
      </c>
    </row>
    <row r="7155" spans="1:22">
      <c r="A7155" t="str">
        <f t="shared" si="896"/>
        <v>MIC-7522-Z30xR</v>
      </c>
      <c r="B7155" t="s">
        <v>1523</v>
      </c>
      <c r="C7155" s="403" t="s">
        <v>582</v>
      </c>
      <c r="D7155" t="s">
        <v>1527</v>
      </c>
      <c r="E7155" t="s">
        <v>1526</v>
      </c>
      <c r="F7155" t="s">
        <v>1287</v>
      </c>
      <c r="G7155" t="s">
        <v>1525</v>
      </c>
      <c r="H7155" t="s">
        <v>1281</v>
      </c>
      <c r="I7155">
        <v>1</v>
      </c>
      <c r="J7155" t="s">
        <v>110</v>
      </c>
      <c r="K7155">
        <v>1920</v>
      </c>
      <c r="L7155">
        <v>1080</v>
      </c>
      <c r="M7155" t="s">
        <v>1283</v>
      </c>
      <c r="N7155">
        <v>720</v>
      </c>
      <c r="O7155">
        <v>576</v>
      </c>
      <c r="P7155" t="str">
        <f t="shared" si="897"/>
        <v>25fps 1080p - SD 4CIF resolution 4:3 format (cropped)</v>
      </c>
      <c r="Q7155">
        <f t="shared" si="898"/>
        <v>39</v>
      </c>
      <c r="R7155" t="str">
        <f t="shared" si="899"/>
        <v/>
      </c>
      <c r="S7155" t="str">
        <f t="shared" si="900"/>
        <v/>
      </c>
      <c r="T7155" s="403" t="str">
        <f t="shared" si="901"/>
        <v>MIC-7522-Z30xR</v>
      </c>
      <c r="U7155" s="403">
        <f t="shared" si="902"/>
        <v>1</v>
      </c>
      <c r="V7155" s="403" t="str">
        <f t="shared" si="903"/>
        <v>CPP_7_3</v>
      </c>
    </row>
    <row r="7156" spans="1:22">
      <c r="A7156" t="str">
        <f t="shared" si="896"/>
        <v>MIC-7522-Z30xR</v>
      </c>
      <c r="B7156" t="s">
        <v>1523</v>
      </c>
      <c r="C7156" s="403" t="s">
        <v>582</v>
      </c>
      <c r="D7156" t="s">
        <v>1527</v>
      </c>
      <c r="E7156" t="s">
        <v>1526</v>
      </c>
      <c r="F7156" t="s">
        <v>1287</v>
      </c>
      <c r="G7156" t="s">
        <v>1525</v>
      </c>
      <c r="H7156" t="s">
        <v>1281</v>
      </c>
      <c r="I7156">
        <v>1</v>
      </c>
      <c r="J7156" t="s">
        <v>110</v>
      </c>
      <c r="K7156">
        <v>1920</v>
      </c>
      <c r="L7156">
        <v>1080</v>
      </c>
      <c r="M7156" t="s">
        <v>1284</v>
      </c>
      <c r="N7156">
        <v>640</v>
      </c>
      <c r="O7156">
        <v>480</v>
      </c>
      <c r="P7156" t="str">
        <f t="shared" si="897"/>
        <v>25fps 1080p - SD VGA (cropped)</v>
      </c>
      <c r="Q7156">
        <f t="shared" si="898"/>
        <v>39</v>
      </c>
      <c r="R7156" t="str">
        <f t="shared" si="899"/>
        <v/>
      </c>
      <c r="S7156" t="str">
        <f t="shared" si="900"/>
        <v/>
      </c>
      <c r="T7156" s="403" t="str">
        <f t="shared" si="901"/>
        <v>MIC-7522-Z30xR</v>
      </c>
      <c r="U7156" s="403">
        <f t="shared" si="902"/>
        <v>1</v>
      </c>
      <c r="V7156" s="403" t="str">
        <f t="shared" si="903"/>
        <v>CPP_7_3</v>
      </c>
    </row>
    <row r="7157" spans="1:22">
      <c r="A7157" t="str">
        <f t="shared" si="896"/>
        <v>MIC-7522-Z30xR</v>
      </c>
      <c r="B7157" t="s">
        <v>1523</v>
      </c>
      <c r="C7157" s="403" t="s">
        <v>582</v>
      </c>
      <c r="D7157" t="s">
        <v>1527</v>
      </c>
      <c r="E7157" t="s">
        <v>1526</v>
      </c>
      <c r="F7157" t="s">
        <v>1287</v>
      </c>
      <c r="G7157" t="s">
        <v>1525</v>
      </c>
      <c r="H7157" t="s">
        <v>1281</v>
      </c>
      <c r="I7157">
        <v>1</v>
      </c>
      <c r="J7157" t="s">
        <v>109</v>
      </c>
      <c r="K7157">
        <v>1280</v>
      </c>
      <c r="L7157">
        <v>720</v>
      </c>
      <c r="M7157" t="s">
        <v>109</v>
      </c>
      <c r="N7157">
        <v>1280</v>
      </c>
      <c r="O7157">
        <v>720</v>
      </c>
      <c r="P7157" t="str">
        <f t="shared" si="897"/>
        <v>25fps 720p - 720p</v>
      </c>
      <c r="Q7157">
        <f t="shared" si="898"/>
        <v>39</v>
      </c>
      <c r="R7157" t="str">
        <f t="shared" si="899"/>
        <v/>
      </c>
      <c r="S7157" t="str">
        <f t="shared" si="900"/>
        <v/>
      </c>
      <c r="T7157" s="403" t="str">
        <f t="shared" si="901"/>
        <v>MIC-7522-Z30xR</v>
      </c>
      <c r="U7157" s="403">
        <f t="shared" si="902"/>
        <v>1</v>
      </c>
      <c r="V7157" s="403" t="str">
        <f t="shared" si="903"/>
        <v>CPP_7_3</v>
      </c>
    </row>
    <row r="7158" spans="1:22">
      <c r="A7158" t="str">
        <f t="shared" si="896"/>
        <v>MIC-7522-Z30xR</v>
      </c>
      <c r="B7158" t="s">
        <v>1523</v>
      </c>
      <c r="C7158" s="403" t="s">
        <v>582</v>
      </c>
      <c r="D7158" t="s">
        <v>1527</v>
      </c>
      <c r="E7158" t="s">
        <v>1526</v>
      </c>
      <c r="F7158" t="s">
        <v>1287</v>
      </c>
      <c r="G7158" t="s">
        <v>1525</v>
      </c>
      <c r="H7158" t="s">
        <v>1281</v>
      </c>
      <c r="I7158">
        <v>1</v>
      </c>
      <c r="J7158" t="s">
        <v>109</v>
      </c>
      <c r="K7158">
        <v>1280</v>
      </c>
      <c r="L7158">
        <v>720</v>
      </c>
      <c r="M7158" t="s">
        <v>111</v>
      </c>
      <c r="N7158">
        <v>768</v>
      </c>
      <c r="O7158">
        <v>432</v>
      </c>
      <c r="P7158" t="str">
        <f t="shared" si="897"/>
        <v>25fps 720p - SD</v>
      </c>
      <c r="Q7158">
        <f t="shared" si="898"/>
        <v>39</v>
      </c>
      <c r="R7158" t="str">
        <f t="shared" si="899"/>
        <v/>
      </c>
      <c r="S7158" t="str">
        <f t="shared" si="900"/>
        <v/>
      </c>
      <c r="T7158" s="403" t="str">
        <f t="shared" si="901"/>
        <v>MIC-7522-Z30xR</v>
      </c>
      <c r="U7158" s="403">
        <f t="shared" si="902"/>
        <v>1</v>
      </c>
      <c r="V7158" s="403" t="str">
        <f t="shared" si="903"/>
        <v>CPP_7_3</v>
      </c>
    </row>
    <row r="7159" spans="1:22">
      <c r="A7159" t="str">
        <f t="shared" si="896"/>
        <v>MIC-7522-Z30xR</v>
      </c>
      <c r="B7159" t="s">
        <v>1523</v>
      </c>
      <c r="C7159" s="403" t="s">
        <v>582</v>
      </c>
      <c r="D7159" t="s">
        <v>1527</v>
      </c>
      <c r="E7159" t="s">
        <v>1526</v>
      </c>
      <c r="F7159" t="s">
        <v>1287</v>
      </c>
      <c r="G7159" t="s">
        <v>1525</v>
      </c>
      <c r="H7159" t="s">
        <v>1281</v>
      </c>
      <c r="I7159">
        <v>1</v>
      </c>
      <c r="J7159" t="s">
        <v>109</v>
      </c>
      <c r="K7159">
        <v>1280</v>
      </c>
      <c r="L7159">
        <v>720</v>
      </c>
      <c r="M7159" t="s">
        <v>1283</v>
      </c>
      <c r="N7159">
        <v>720</v>
      </c>
      <c r="O7159">
        <v>576</v>
      </c>
      <c r="P7159" t="str">
        <f t="shared" si="897"/>
        <v>25fps 720p - SD 4CIF resolution 4:3 format (cropped)</v>
      </c>
      <c r="Q7159">
        <f t="shared" si="898"/>
        <v>39</v>
      </c>
      <c r="R7159" t="str">
        <f t="shared" si="899"/>
        <v/>
      </c>
      <c r="S7159" t="str">
        <f t="shared" si="900"/>
        <v/>
      </c>
      <c r="T7159" s="403" t="str">
        <f t="shared" si="901"/>
        <v>MIC-7522-Z30xR</v>
      </c>
      <c r="U7159" s="403">
        <f t="shared" si="902"/>
        <v>1</v>
      </c>
      <c r="V7159" s="403" t="str">
        <f t="shared" si="903"/>
        <v>CPP_7_3</v>
      </c>
    </row>
    <row r="7160" spans="1:22">
      <c r="A7160" t="str">
        <f t="shared" si="896"/>
        <v>MIC-7522-Z30xR</v>
      </c>
      <c r="B7160" t="s">
        <v>1523</v>
      </c>
      <c r="C7160" s="403" t="s">
        <v>582</v>
      </c>
      <c r="D7160" t="s">
        <v>1527</v>
      </c>
      <c r="E7160" t="s">
        <v>1526</v>
      </c>
      <c r="F7160" t="s">
        <v>1287</v>
      </c>
      <c r="G7160" t="s">
        <v>1525</v>
      </c>
      <c r="H7160" t="s">
        <v>1281</v>
      </c>
      <c r="I7160">
        <v>1</v>
      </c>
      <c r="J7160" t="s">
        <v>109</v>
      </c>
      <c r="K7160">
        <v>1280</v>
      </c>
      <c r="L7160">
        <v>720</v>
      </c>
      <c r="M7160" t="s">
        <v>1284</v>
      </c>
      <c r="N7160">
        <v>640</v>
      </c>
      <c r="O7160">
        <v>480</v>
      </c>
      <c r="P7160" t="str">
        <f t="shared" si="897"/>
        <v>25fps 720p - SD VGA (cropped)</v>
      </c>
      <c r="Q7160">
        <f t="shared" si="898"/>
        <v>39</v>
      </c>
      <c r="R7160" t="str">
        <f t="shared" si="899"/>
        <v/>
      </c>
      <c r="S7160" t="str">
        <f t="shared" si="900"/>
        <v/>
      </c>
      <c r="T7160" s="403" t="str">
        <f t="shared" si="901"/>
        <v>MIC-7522-Z30xR</v>
      </c>
      <c r="U7160" s="403">
        <f t="shared" si="902"/>
        <v>1</v>
      </c>
      <c r="V7160" s="403" t="str">
        <f t="shared" si="903"/>
        <v>CPP_7_3</v>
      </c>
    </row>
    <row r="7161" spans="1:22">
      <c r="A7161" t="str">
        <f t="shared" si="896"/>
        <v>MIC-7522-Z30xR</v>
      </c>
      <c r="B7161" t="s">
        <v>1523</v>
      </c>
      <c r="C7161" s="403" t="s">
        <v>582</v>
      </c>
      <c r="D7161" t="s">
        <v>1527</v>
      </c>
      <c r="E7161" t="s">
        <v>1526</v>
      </c>
      <c r="F7161" t="s">
        <v>1287</v>
      </c>
      <c r="G7161" t="s">
        <v>1525</v>
      </c>
      <c r="H7161" t="s">
        <v>1282</v>
      </c>
      <c r="I7161">
        <v>1</v>
      </c>
      <c r="J7161" t="s">
        <v>110</v>
      </c>
      <c r="K7161">
        <v>1920</v>
      </c>
      <c r="L7161">
        <v>1080</v>
      </c>
      <c r="M7161" t="s">
        <v>111</v>
      </c>
      <c r="N7161">
        <v>768</v>
      </c>
      <c r="O7161">
        <v>432</v>
      </c>
      <c r="P7161" t="str">
        <f t="shared" si="897"/>
        <v>25fps 1080p - SD</v>
      </c>
      <c r="Q7161">
        <f t="shared" si="898"/>
        <v>39</v>
      </c>
      <c r="R7161" t="str">
        <f t="shared" si="899"/>
        <v/>
      </c>
      <c r="S7161" t="str">
        <f t="shared" si="900"/>
        <v/>
      </c>
      <c r="T7161" s="403" t="str">
        <f t="shared" si="901"/>
        <v>MIC-7522-Z30xR</v>
      </c>
      <c r="U7161" s="403">
        <f t="shared" si="902"/>
        <v>1</v>
      </c>
      <c r="V7161" s="403" t="str">
        <f t="shared" si="903"/>
        <v>CPP_7_3</v>
      </c>
    </row>
    <row r="7162" spans="1:22">
      <c r="A7162" t="str">
        <f t="shared" si="896"/>
        <v>MIC-7522-Z30xR</v>
      </c>
      <c r="B7162" t="s">
        <v>1523</v>
      </c>
      <c r="C7162" s="403" t="s">
        <v>582</v>
      </c>
      <c r="D7162" t="s">
        <v>1527</v>
      </c>
      <c r="E7162" t="s">
        <v>1526</v>
      </c>
      <c r="F7162" t="s">
        <v>1287</v>
      </c>
      <c r="G7162" t="s">
        <v>1525</v>
      </c>
      <c r="H7162" t="s">
        <v>1282</v>
      </c>
      <c r="I7162">
        <v>1</v>
      </c>
      <c r="J7162" t="s">
        <v>110</v>
      </c>
      <c r="K7162">
        <v>1920</v>
      </c>
      <c r="L7162">
        <v>1080</v>
      </c>
      <c r="M7162" t="s">
        <v>110</v>
      </c>
      <c r="N7162">
        <v>1920</v>
      </c>
      <c r="O7162">
        <v>1080</v>
      </c>
      <c r="P7162" t="str">
        <f t="shared" si="897"/>
        <v>25fps 1080p - 1080p</v>
      </c>
      <c r="Q7162">
        <f t="shared" si="898"/>
        <v>39</v>
      </c>
      <c r="R7162" t="str">
        <f t="shared" si="899"/>
        <v/>
      </c>
      <c r="S7162" t="str">
        <f t="shared" si="900"/>
        <v/>
      </c>
      <c r="T7162" s="403" t="str">
        <f t="shared" si="901"/>
        <v>MIC-7522-Z30xR</v>
      </c>
      <c r="U7162" s="403">
        <f t="shared" si="902"/>
        <v>1</v>
      </c>
      <c r="V7162" s="403" t="str">
        <f t="shared" si="903"/>
        <v>CPP_7_3</v>
      </c>
    </row>
    <row r="7163" spans="1:22">
      <c r="A7163" t="str">
        <f t="shared" si="896"/>
        <v>MIC-7522-Z30xR</v>
      </c>
      <c r="B7163" t="s">
        <v>1523</v>
      </c>
      <c r="C7163" s="403" t="s">
        <v>582</v>
      </c>
      <c r="D7163" t="s">
        <v>1527</v>
      </c>
      <c r="E7163" t="s">
        <v>1526</v>
      </c>
      <c r="F7163" t="s">
        <v>1287</v>
      </c>
      <c r="G7163" t="s">
        <v>1525</v>
      </c>
      <c r="H7163" t="s">
        <v>1282</v>
      </c>
      <c r="I7163">
        <v>1</v>
      </c>
      <c r="J7163" t="s">
        <v>110</v>
      </c>
      <c r="K7163">
        <v>1920</v>
      </c>
      <c r="L7163">
        <v>1080</v>
      </c>
      <c r="M7163" t="s">
        <v>109</v>
      </c>
      <c r="N7163">
        <v>1280</v>
      </c>
      <c r="O7163">
        <v>720</v>
      </c>
      <c r="P7163" t="str">
        <f t="shared" si="897"/>
        <v>25fps 1080p - 720p</v>
      </c>
      <c r="Q7163">
        <f t="shared" si="898"/>
        <v>39</v>
      </c>
      <c r="R7163" t="str">
        <f t="shared" si="899"/>
        <v/>
      </c>
      <c r="S7163" t="str">
        <f t="shared" si="900"/>
        <v/>
      </c>
      <c r="T7163" s="403" t="str">
        <f t="shared" si="901"/>
        <v>MIC-7522-Z30xR</v>
      </c>
      <c r="U7163" s="403">
        <f t="shared" si="902"/>
        <v>1</v>
      </c>
      <c r="V7163" s="403" t="str">
        <f t="shared" si="903"/>
        <v>CPP_7_3</v>
      </c>
    </row>
    <row r="7164" spans="1:22">
      <c r="A7164" t="str">
        <f t="shared" si="896"/>
        <v>MIC-7522-Z30xR</v>
      </c>
      <c r="B7164" t="s">
        <v>1523</v>
      </c>
      <c r="C7164" s="403" t="s">
        <v>582</v>
      </c>
      <c r="D7164" t="s">
        <v>1527</v>
      </c>
      <c r="E7164" t="s">
        <v>1526</v>
      </c>
      <c r="F7164" t="s">
        <v>1287</v>
      </c>
      <c r="G7164" t="s">
        <v>1525</v>
      </c>
      <c r="H7164" t="s">
        <v>1282</v>
      </c>
      <c r="I7164">
        <v>1</v>
      </c>
      <c r="J7164" t="s">
        <v>110</v>
      </c>
      <c r="K7164">
        <v>1920</v>
      </c>
      <c r="L7164">
        <v>1080</v>
      </c>
      <c r="M7164" t="s">
        <v>1285</v>
      </c>
      <c r="N7164">
        <v>1280</v>
      </c>
      <c r="O7164">
        <v>1024</v>
      </c>
      <c r="P7164" t="str">
        <f t="shared" si="897"/>
        <v>25fps 1080p - 1280x1024 5:4 (cropped)</v>
      </c>
      <c r="Q7164">
        <f t="shared" si="898"/>
        <v>39</v>
      </c>
      <c r="R7164" t="str">
        <f t="shared" si="899"/>
        <v/>
      </c>
      <c r="S7164" t="str">
        <f t="shared" si="900"/>
        <v/>
      </c>
      <c r="T7164" s="403" t="str">
        <f t="shared" si="901"/>
        <v>MIC-7522-Z30xR</v>
      </c>
      <c r="U7164" s="403">
        <f t="shared" si="902"/>
        <v>1</v>
      </c>
      <c r="V7164" s="403" t="str">
        <f t="shared" si="903"/>
        <v>CPP_7_3</v>
      </c>
    </row>
    <row r="7165" spans="1:22">
      <c r="A7165" t="str">
        <f t="shared" si="896"/>
        <v>MIC-7522-Z30xR</v>
      </c>
      <c r="B7165" t="s">
        <v>1523</v>
      </c>
      <c r="C7165" s="403" t="s">
        <v>582</v>
      </c>
      <c r="D7165" t="s">
        <v>1527</v>
      </c>
      <c r="E7165" t="s">
        <v>1526</v>
      </c>
      <c r="F7165" t="s">
        <v>1287</v>
      </c>
      <c r="G7165" t="s">
        <v>1525</v>
      </c>
      <c r="H7165" t="s">
        <v>1282</v>
      </c>
      <c r="I7165">
        <v>1</v>
      </c>
      <c r="J7165" t="s">
        <v>110</v>
      </c>
      <c r="K7165">
        <v>1920</v>
      </c>
      <c r="L7165">
        <v>1080</v>
      </c>
      <c r="M7165" t="s">
        <v>1283</v>
      </c>
      <c r="N7165">
        <v>720</v>
      </c>
      <c r="O7165">
        <v>576</v>
      </c>
      <c r="P7165" t="str">
        <f t="shared" si="897"/>
        <v>25fps 1080p - SD 4CIF resolution 4:3 format (cropped)</v>
      </c>
      <c r="Q7165">
        <f t="shared" si="898"/>
        <v>39</v>
      </c>
      <c r="R7165" t="str">
        <f t="shared" si="899"/>
        <v/>
      </c>
      <c r="S7165" t="str">
        <f t="shared" si="900"/>
        <v/>
      </c>
      <c r="T7165" s="403" t="str">
        <f t="shared" si="901"/>
        <v>MIC-7522-Z30xR</v>
      </c>
      <c r="U7165" s="403">
        <f t="shared" si="902"/>
        <v>1</v>
      </c>
      <c r="V7165" s="403" t="str">
        <f t="shared" si="903"/>
        <v>CPP_7_3</v>
      </c>
    </row>
    <row r="7166" spans="1:22">
      <c r="A7166" t="str">
        <f t="shared" si="896"/>
        <v>MIC-7522-Z30xR</v>
      </c>
      <c r="B7166" t="s">
        <v>1523</v>
      </c>
      <c r="C7166" s="403" t="s">
        <v>582</v>
      </c>
      <c r="D7166" t="s">
        <v>1527</v>
      </c>
      <c r="E7166" t="s">
        <v>1526</v>
      </c>
      <c r="F7166" t="s">
        <v>1287</v>
      </c>
      <c r="G7166" t="s">
        <v>1525</v>
      </c>
      <c r="H7166" t="s">
        <v>1282</v>
      </c>
      <c r="I7166">
        <v>1</v>
      </c>
      <c r="J7166" t="s">
        <v>110</v>
      </c>
      <c r="K7166">
        <v>1920</v>
      </c>
      <c r="L7166">
        <v>1080</v>
      </c>
      <c r="M7166" t="s">
        <v>1284</v>
      </c>
      <c r="N7166">
        <v>640</v>
      </c>
      <c r="O7166">
        <v>480</v>
      </c>
      <c r="P7166" t="str">
        <f t="shared" si="897"/>
        <v>25fps 1080p - SD VGA (cropped)</v>
      </c>
      <c r="Q7166">
        <f t="shared" si="898"/>
        <v>39</v>
      </c>
      <c r="R7166" t="str">
        <f t="shared" si="899"/>
        <v/>
      </c>
      <c r="S7166" t="str">
        <f t="shared" si="900"/>
        <v/>
      </c>
      <c r="T7166" s="403" t="str">
        <f t="shared" si="901"/>
        <v>MIC-7522-Z30xR</v>
      </c>
      <c r="U7166" s="403">
        <f t="shared" si="902"/>
        <v>1</v>
      </c>
      <c r="V7166" s="403" t="str">
        <f t="shared" si="903"/>
        <v>CPP_7_3</v>
      </c>
    </row>
    <row r="7167" spans="1:22">
      <c r="A7167" t="str">
        <f t="shared" si="896"/>
        <v>MIC-7522-Z30xR</v>
      </c>
      <c r="B7167" t="s">
        <v>1523</v>
      </c>
      <c r="C7167" s="403" t="s">
        <v>582</v>
      </c>
      <c r="D7167" t="s">
        <v>1527</v>
      </c>
      <c r="E7167" t="s">
        <v>1526</v>
      </c>
      <c r="F7167" t="s">
        <v>1287</v>
      </c>
      <c r="G7167" t="s">
        <v>1525</v>
      </c>
      <c r="H7167" t="s">
        <v>1282</v>
      </c>
      <c r="I7167">
        <v>1</v>
      </c>
      <c r="J7167" t="s">
        <v>109</v>
      </c>
      <c r="K7167">
        <v>1280</v>
      </c>
      <c r="L7167">
        <v>720</v>
      </c>
      <c r="M7167" t="s">
        <v>109</v>
      </c>
      <c r="N7167">
        <v>1280</v>
      </c>
      <c r="O7167">
        <v>720</v>
      </c>
      <c r="P7167" t="str">
        <f t="shared" si="897"/>
        <v>25fps 720p - 720p</v>
      </c>
      <c r="Q7167">
        <f t="shared" si="898"/>
        <v>39</v>
      </c>
      <c r="R7167" t="str">
        <f t="shared" si="899"/>
        <v/>
      </c>
      <c r="S7167" t="str">
        <f t="shared" si="900"/>
        <v/>
      </c>
      <c r="T7167" s="403" t="str">
        <f t="shared" si="901"/>
        <v>MIC-7522-Z30xR</v>
      </c>
      <c r="U7167" s="403">
        <f t="shared" si="902"/>
        <v>1</v>
      </c>
      <c r="V7167" s="403" t="str">
        <f t="shared" si="903"/>
        <v>CPP_7_3</v>
      </c>
    </row>
    <row r="7168" spans="1:22">
      <c r="A7168" t="str">
        <f t="shared" si="896"/>
        <v>MIC-7522-Z30xR</v>
      </c>
      <c r="B7168" t="s">
        <v>1523</v>
      </c>
      <c r="C7168" s="403" t="s">
        <v>582</v>
      </c>
      <c r="D7168" t="s">
        <v>1527</v>
      </c>
      <c r="E7168" t="s">
        <v>1526</v>
      </c>
      <c r="F7168" t="s">
        <v>1287</v>
      </c>
      <c r="G7168" t="s">
        <v>1525</v>
      </c>
      <c r="H7168" t="s">
        <v>1282</v>
      </c>
      <c r="I7168">
        <v>1</v>
      </c>
      <c r="J7168" t="s">
        <v>109</v>
      </c>
      <c r="K7168">
        <v>1280</v>
      </c>
      <c r="L7168">
        <v>720</v>
      </c>
      <c r="M7168" t="s">
        <v>111</v>
      </c>
      <c r="N7168">
        <v>768</v>
      </c>
      <c r="O7168">
        <v>432</v>
      </c>
      <c r="P7168" t="str">
        <f t="shared" si="897"/>
        <v>25fps 720p - SD</v>
      </c>
      <c r="Q7168">
        <f t="shared" si="898"/>
        <v>39</v>
      </c>
      <c r="R7168" t="str">
        <f t="shared" si="899"/>
        <v/>
      </c>
      <c r="S7168" t="str">
        <f t="shared" si="900"/>
        <v/>
      </c>
      <c r="T7168" s="403" t="str">
        <f t="shared" si="901"/>
        <v>MIC-7522-Z30xR</v>
      </c>
      <c r="U7168" s="403">
        <f t="shared" si="902"/>
        <v>1</v>
      </c>
      <c r="V7168" s="403" t="str">
        <f t="shared" si="903"/>
        <v>CPP_7_3</v>
      </c>
    </row>
    <row r="7169" spans="1:22">
      <c r="A7169" t="str">
        <f t="shared" si="896"/>
        <v>MIC-7522-Z30xR</v>
      </c>
      <c r="B7169" t="s">
        <v>1523</v>
      </c>
      <c r="C7169" s="403" t="s">
        <v>582</v>
      </c>
      <c r="D7169" t="s">
        <v>1527</v>
      </c>
      <c r="E7169" t="s">
        <v>1526</v>
      </c>
      <c r="F7169" t="s">
        <v>1287</v>
      </c>
      <c r="G7169" t="s">
        <v>1525</v>
      </c>
      <c r="H7169" t="s">
        <v>1282</v>
      </c>
      <c r="I7169">
        <v>1</v>
      </c>
      <c r="J7169" t="s">
        <v>109</v>
      </c>
      <c r="K7169">
        <v>1280</v>
      </c>
      <c r="L7169">
        <v>720</v>
      </c>
      <c r="M7169" t="s">
        <v>1283</v>
      </c>
      <c r="N7169">
        <v>720</v>
      </c>
      <c r="O7169">
        <v>576</v>
      </c>
      <c r="P7169" t="str">
        <f t="shared" si="897"/>
        <v>25fps 720p - SD 4CIF resolution 4:3 format (cropped)</v>
      </c>
      <c r="Q7169">
        <f t="shared" si="898"/>
        <v>39</v>
      </c>
      <c r="R7169" t="str">
        <f t="shared" si="899"/>
        <v/>
      </c>
      <c r="S7169" t="str">
        <f t="shared" si="900"/>
        <v/>
      </c>
      <c r="T7169" s="403" t="str">
        <f t="shared" si="901"/>
        <v>MIC-7522-Z30xR</v>
      </c>
      <c r="U7169" s="403">
        <f t="shared" si="902"/>
        <v>1</v>
      </c>
      <c r="V7169" s="403" t="str">
        <f t="shared" si="903"/>
        <v>CPP_7_3</v>
      </c>
    </row>
    <row r="7170" spans="1:22">
      <c r="A7170" t="str">
        <f t="shared" si="896"/>
        <v>MIC-7522-Z30xR</v>
      </c>
      <c r="B7170" t="s">
        <v>1523</v>
      </c>
      <c r="C7170" s="403" t="s">
        <v>582</v>
      </c>
      <c r="D7170" t="s">
        <v>1527</v>
      </c>
      <c r="E7170" t="s">
        <v>1526</v>
      </c>
      <c r="F7170" t="s">
        <v>1287</v>
      </c>
      <c r="G7170" t="s">
        <v>1525</v>
      </c>
      <c r="H7170" t="s">
        <v>1282</v>
      </c>
      <c r="I7170">
        <v>1</v>
      </c>
      <c r="J7170" t="s">
        <v>109</v>
      </c>
      <c r="K7170">
        <v>1280</v>
      </c>
      <c r="L7170">
        <v>720</v>
      </c>
      <c r="M7170" t="s">
        <v>1284</v>
      </c>
      <c r="N7170">
        <v>640</v>
      </c>
      <c r="O7170">
        <v>480</v>
      </c>
      <c r="P7170" t="str">
        <f t="shared" si="897"/>
        <v>25fps 720p - SD VGA (cropped)</v>
      </c>
      <c r="Q7170">
        <f t="shared" si="898"/>
        <v>39</v>
      </c>
      <c r="R7170" t="str">
        <f t="shared" si="899"/>
        <v/>
      </c>
      <c r="S7170" t="str">
        <f t="shared" si="900"/>
        <v/>
      </c>
      <c r="T7170" s="403" t="str">
        <f t="shared" si="901"/>
        <v>MIC-7522-Z30xR</v>
      </c>
      <c r="U7170" s="403">
        <f t="shared" si="902"/>
        <v>1</v>
      </c>
      <c r="V7170" s="403" t="str">
        <f t="shared" si="903"/>
        <v>CPP_7_3</v>
      </c>
    </row>
    <row r="7171" spans="1:22">
      <c r="A7171" t="str">
        <f t="shared" si="896"/>
        <v>MIC-7522-Z30xR</v>
      </c>
      <c r="B7171" t="s">
        <v>1523</v>
      </c>
      <c r="C7171" s="403" t="s">
        <v>582</v>
      </c>
      <c r="D7171" t="s">
        <v>1527</v>
      </c>
      <c r="E7171" t="s">
        <v>1526</v>
      </c>
      <c r="F7171" t="s">
        <v>1286</v>
      </c>
      <c r="G7171" t="s">
        <v>1525</v>
      </c>
      <c r="H7171" t="s">
        <v>1276</v>
      </c>
      <c r="I7171">
        <v>1</v>
      </c>
      <c r="J7171" t="s">
        <v>110</v>
      </c>
      <c r="K7171">
        <v>1920</v>
      </c>
      <c r="L7171">
        <v>1080</v>
      </c>
      <c r="M7171" t="s">
        <v>111</v>
      </c>
      <c r="N7171">
        <v>768</v>
      </c>
      <c r="O7171">
        <v>432</v>
      </c>
      <c r="P7171" t="str">
        <f t="shared" si="897"/>
        <v>30fps 1080p - SD</v>
      </c>
      <c r="Q7171">
        <f t="shared" si="898"/>
        <v>39</v>
      </c>
      <c r="R7171" t="str">
        <f t="shared" si="899"/>
        <v/>
      </c>
      <c r="S7171" t="str">
        <f t="shared" si="900"/>
        <v/>
      </c>
      <c r="T7171" s="403" t="str">
        <f t="shared" si="901"/>
        <v>MIC-7522-Z30xR</v>
      </c>
      <c r="U7171" s="403">
        <f t="shared" si="902"/>
        <v>1</v>
      </c>
      <c r="V7171" s="403" t="str">
        <f t="shared" si="903"/>
        <v>CPP_7_3</v>
      </c>
    </row>
    <row r="7172" spans="1:22">
      <c r="A7172" t="str">
        <f t="shared" si="896"/>
        <v>MIC-7522-Z30xR</v>
      </c>
      <c r="B7172" t="s">
        <v>1523</v>
      </c>
      <c r="C7172" s="403" t="s">
        <v>582</v>
      </c>
      <c r="D7172" t="s">
        <v>1527</v>
      </c>
      <c r="E7172" t="s">
        <v>1526</v>
      </c>
      <c r="F7172" t="s">
        <v>1286</v>
      </c>
      <c r="G7172" t="s">
        <v>1525</v>
      </c>
      <c r="H7172" t="s">
        <v>1276</v>
      </c>
      <c r="I7172">
        <v>1</v>
      </c>
      <c r="J7172" t="s">
        <v>110</v>
      </c>
      <c r="K7172">
        <v>1920</v>
      </c>
      <c r="L7172">
        <v>1080</v>
      </c>
      <c r="M7172" t="s">
        <v>110</v>
      </c>
      <c r="N7172">
        <v>1920</v>
      </c>
      <c r="O7172">
        <v>1080</v>
      </c>
      <c r="P7172" t="str">
        <f t="shared" si="897"/>
        <v>30fps 1080p - 1080p</v>
      </c>
      <c r="Q7172">
        <f t="shared" si="898"/>
        <v>39</v>
      </c>
      <c r="R7172" t="str">
        <f t="shared" si="899"/>
        <v/>
      </c>
      <c r="S7172" t="str">
        <f t="shared" si="900"/>
        <v/>
      </c>
      <c r="T7172" s="403" t="str">
        <f t="shared" si="901"/>
        <v>MIC-7522-Z30xR</v>
      </c>
      <c r="U7172" s="403">
        <f t="shared" si="902"/>
        <v>1</v>
      </c>
      <c r="V7172" s="403" t="str">
        <f t="shared" si="903"/>
        <v>CPP_7_3</v>
      </c>
    </row>
    <row r="7173" spans="1:22">
      <c r="A7173" t="str">
        <f t="shared" si="896"/>
        <v>MIC-7522-Z30xR</v>
      </c>
      <c r="B7173" t="s">
        <v>1523</v>
      </c>
      <c r="C7173" s="403" t="s">
        <v>582</v>
      </c>
      <c r="D7173" t="s">
        <v>1527</v>
      </c>
      <c r="E7173" t="s">
        <v>1526</v>
      </c>
      <c r="F7173" t="s">
        <v>1286</v>
      </c>
      <c r="G7173" t="s">
        <v>1525</v>
      </c>
      <c r="H7173" t="s">
        <v>1276</v>
      </c>
      <c r="I7173">
        <v>1</v>
      </c>
      <c r="J7173" t="s">
        <v>110</v>
      </c>
      <c r="K7173">
        <v>1920</v>
      </c>
      <c r="L7173">
        <v>1080</v>
      </c>
      <c r="M7173" t="s">
        <v>109</v>
      </c>
      <c r="N7173">
        <v>1280</v>
      </c>
      <c r="O7173">
        <v>720</v>
      </c>
      <c r="P7173" t="str">
        <f t="shared" si="897"/>
        <v>30fps 1080p - 720p</v>
      </c>
      <c r="Q7173">
        <f t="shared" si="898"/>
        <v>39</v>
      </c>
      <c r="R7173" t="str">
        <f t="shared" si="899"/>
        <v/>
      </c>
      <c r="S7173" t="str">
        <f t="shared" si="900"/>
        <v/>
      </c>
      <c r="T7173" s="403" t="str">
        <f t="shared" si="901"/>
        <v>MIC-7522-Z30xR</v>
      </c>
      <c r="U7173" s="403">
        <f t="shared" si="902"/>
        <v>1</v>
      </c>
      <c r="V7173" s="403" t="str">
        <f t="shared" si="903"/>
        <v>CPP_7_3</v>
      </c>
    </row>
    <row r="7174" spans="1:22">
      <c r="A7174" t="str">
        <f t="shared" si="896"/>
        <v>MIC-7522-Z30xR</v>
      </c>
      <c r="B7174" t="s">
        <v>1523</v>
      </c>
      <c r="C7174" s="403" t="s">
        <v>582</v>
      </c>
      <c r="D7174" t="s">
        <v>1527</v>
      </c>
      <c r="E7174" t="s">
        <v>1526</v>
      </c>
      <c r="F7174" t="s">
        <v>1286</v>
      </c>
      <c r="G7174" t="s">
        <v>1525</v>
      </c>
      <c r="H7174" t="s">
        <v>1276</v>
      </c>
      <c r="I7174">
        <v>1</v>
      </c>
      <c r="J7174" t="s">
        <v>110</v>
      </c>
      <c r="K7174">
        <v>1920</v>
      </c>
      <c r="L7174">
        <v>1080</v>
      </c>
      <c r="M7174" t="s">
        <v>1285</v>
      </c>
      <c r="N7174">
        <v>1280</v>
      </c>
      <c r="O7174">
        <v>1024</v>
      </c>
      <c r="P7174" t="str">
        <f t="shared" si="897"/>
        <v>30fps 1080p - 1280x1024 5:4 (cropped)</v>
      </c>
      <c r="Q7174">
        <f t="shared" si="898"/>
        <v>39</v>
      </c>
      <c r="R7174" t="str">
        <f t="shared" si="899"/>
        <v/>
      </c>
      <c r="S7174" t="str">
        <f t="shared" si="900"/>
        <v/>
      </c>
      <c r="T7174" s="403" t="str">
        <f t="shared" si="901"/>
        <v>MIC-7522-Z30xR</v>
      </c>
      <c r="U7174" s="403">
        <f t="shared" si="902"/>
        <v>1</v>
      </c>
      <c r="V7174" s="403" t="str">
        <f t="shared" si="903"/>
        <v>CPP_7_3</v>
      </c>
    </row>
    <row r="7175" spans="1:22">
      <c r="A7175" t="str">
        <f t="shared" si="896"/>
        <v>MIC-7522-Z30xR</v>
      </c>
      <c r="B7175" t="s">
        <v>1523</v>
      </c>
      <c r="C7175" s="403" t="s">
        <v>582</v>
      </c>
      <c r="D7175" t="s">
        <v>1527</v>
      </c>
      <c r="E7175" t="s">
        <v>1526</v>
      </c>
      <c r="F7175" t="s">
        <v>1286</v>
      </c>
      <c r="G7175" t="s">
        <v>1525</v>
      </c>
      <c r="H7175" t="s">
        <v>1276</v>
      </c>
      <c r="I7175">
        <v>1</v>
      </c>
      <c r="J7175" t="s">
        <v>110</v>
      </c>
      <c r="K7175">
        <v>1920</v>
      </c>
      <c r="L7175">
        <v>1080</v>
      </c>
      <c r="M7175" t="s">
        <v>1283</v>
      </c>
      <c r="N7175">
        <v>720</v>
      </c>
      <c r="O7175">
        <v>480</v>
      </c>
      <c r="P7175" t="str">
        <f t="shared" si="897"/>
        <v>30fps 1080p - SD 4CIF resolution 4:3 format (cropped)</v>
      </c>
      <c r="Q7175">
        <f t="shared" si="898"/>
        <v>39</v>
      </c>
      <c r="R7175" t="str">
        <f t="shared" si="899"/>
        <v/>
      </c>
      <c r="S7175" t="str">
        <f t="shared" si="900"/>
        <v/>
      </c>
      <c r="T7175" s="403" t="str">
        <f t="shared" si="901"/>
        <v>MIC-7522-Z30xR</v>
      </c>
      <c r="U7175" s="403">
        <f t="shared" si="902"/>
        <v>1</v>
      </c>
      <c r="V7175" s="403" t="str">
        <f t="shared" si="903"/>
        <v>CPP_7_3</v>
      </c>
    </row>
    <row r="7176" spans="1:22">
      <c r="A7176" t="str">
        <f t="shared" si="896"/>
        <v>MIC-7522-Z30xR</v>
      </c>
      <c r="B7176" t="s">
        <v>1523</v>
      </c>
      <c r="C7176" s="403" t="s">
        <v>582</v>
      </c>
      <c r="D7176" t="s">
        <v>1527</v>
      </c>
      <c r="E7176" t="s">
        <v>1526</v>
      </c>
      <c r="F7176" t="s">
        <v>1286</v>
      </c>
      <c r="G7176" t="s">
        <v>1525</v>
      </c>
      <c r="H7176" t="s">
        <v>1276</v>
      </c>
      <c r="I7176">
        <v>1</v>
      </c>
      <c r="J7176" t="s">
        <v>110</v>
      </c>
      <c r="K7176">
        <v>1920</v>
      </c>
      <c r="L7176">
        <v>1080</v>
      </c>
      <c r="M7176" t="s">
        <v>1284</v>
      </c>
      <c r="N7176">
        <v>640</v>
      </c>
      <c r="O7176">
        <v>480</v>
      </c>
      <c r="P7176" t="str">
        <f t="shared" si="897"/>
        <v>30fps 1080p - SD VGA (cropped)</v>
      </c>
      <c r="Q7176">
        <f t="shared" si="898"/>
        <v>39</v>
      </c>
      <c r="R7176" t="str">
        <f t="shared" si="899"/>
        <v/>
      </c>
      <c r="S7176" t="str">
        <f t="shared" si="900"/>
        <v/>
      </c>
      <c r="T7176" s="403" t="str">
        <f t="shared" si="901"/>
        <v>MIC-7522-Z30xR</v>
      </c>
      <c r="U7176" s="403">
        <f t="shared" si="902"/>
        <v>1</v>
      </c>
      <c r="V7176" s="403" t="str">
        <f t="shared" si="903"/>
        <v>CPP_7_3</v>
      </c>
    </row>
    <row r="7177" spans="1:22">
      <c r="A7177" t="str">
        <f t="shared" si="896"/>
        <v>MIC-7522-Z30xR</v>
      </c>
      <c r="B7177" t="s">
        <v>1523</v>
      </c>
      <c r="C7177" s="403" t="s">
        <v>582</v>
      </c>
      <c r="D7177" t="s">
        <v>1527</v>
      </c>
      <c r="E7177" t="s">
        <v>1526</v>
      </c>
      <c r="F7177" t="s">
        <v>1286</v>
      </c>
      <c r="G7177" t="s">
        <v>1525</v>
      </c>
      <c r="H7177" t="s">
        <v>1276</v>
      </c>
      <c r="I7177">
        <v>1</v>
      </c>
      <c r="J7177" t="s">
        <v>109</v>
      </c>
      <c r="K7177">
        <v>1280</v>
      </c>
      <c r="L7177">
        <v>720</v>
      </c>
      <c r="M7177" t="s">
        <v>109</v>
      </c>
      <c r="N7177">
        <v>1280</v>
      </c>
      <c r="O7177">
        <v>720</v>
      </c>
      <c r="P7177" t="str">
        <f t="shared" si="897"/>
        <v>30fps 720p - 720p</v>
      </c>
      <c r="Q7177">
        <f t="shared" si="898"/>
        <v>39</v>
      </c>
      <c r="R7177" t="str">
        <f t="shared" si="899"/>
        <v/>
      </c>
      <c r="S7177" t="str">
        <f t="shared" si="900"/>
        <v/>
      </c>
      <c r="T7177" s="403" t="str">
        <f t="shared" si="901"/>
        <v>MIC-7522-Z30xR</v>
      </c>
      <c r="U7177" s="403">
        <f t="shared" si="902"/>
        <v>1</v>
      </c>
      <c r="V7177" s="403" t="str">
        <f t="shared" si="903"/>
        <v>CPP_7_3</v>
      </c>
    </row>
    <row r="7178" spans="1:22">
      <c r="A7178" t="str">
        <f t="shared" si="896"/>
        <v>MIC-7522-Z30xR</v>
      </c>
      <c r="B7178" t="s">
        <v>1523</v>
      </c>
      <c r="C7178" s="403" t="s">
        <v>582</v>
      </c>
      <c r="D7178" t="s">
        <v>1527</v>
      </c>
      <c r="E7178" t="s">
        <v>1526</v>
      </c>
      <c r="F7178" t="s">
        <v>1286</v>
      </c>
      <c r="G7178" t="s">
        <v>1525</v>
      </c>
      <c r="H7178" t="s">
        <v>1276</v>
      </c>
      <c r="I7178">
        <v>1</v>
      </c>
      <c r="J7178" t="s">
        <v>109</v>
      </c>
      <c r="K7178">
        <v>1280</v>
      </c>
      <c r="L7178">
        <v>720</v>
      </c>
      <c r="M7178" t="s">
        <v>111</v>
      </c>
      <c r="N7178">
        <v>768</v>
      </c>
      <c r="O7178">
        <v>432</v>
      </c>
      <c r="P7178" t="str">
        <f t="shared" si="897"/>
        <v>30fps 720p - SD</v>
      </c>
      <c r="Q7178">
        <f t="shared" si="898"/>
        <v>39</v>
      </c>
      <c r="R7178" t="str">
        <f t="shared" si="899"/>
        <v/>
      </c>
      <c r="S7178" t="str">
        <f t="shared" si="900"/>
        <v/>
      </c>
      <c r="T7178" s="403" t="str">
        <f t="shared" si="901"/>
        <v>MIC-7522-Z30xR</v>
      </c>
      <c r="U7178" s="403">
        <f t="shared" si="902"/>
        <v>1</v>
      </c>
      <c r="V7178" s="403" t="str">
        <f t="shared" si="903"/>
        <v>CPP_7_3</v>
      </c>
    </row>
    <row r="7179" spans="1:22">
      <c r="A7179" t="str">
        <f t="shared" si="896"/>
        <v>MIC-7522-Z30xR</v>
      </c>
      <c r="B7179" t="s">
        <v>1523</v>
      </c>
      <c r="C7179" s="403" t="s">
        <v>582</v>
      </c>
      <c r="D7179" t="s">
        <v>1527</v>
      </c>
      <c r="E7179" t="s">
        <v>1526</v>
      </c>
      <c r="F7179" t="s">
        <v>1286</v>
      </c>
      <c r="G7179" t="s">
        <v>1525</v>
      </c>
      <c r="H7179" t="s">
        <v>1276</v>
      </c>
      <c r="I7179">
        <v>1</v>
      </c>
      <c r="J7179" t="s">
        <v>109</v>
      </c>
      <c r="K7179">
        <v>1280</v>
      </c>
      <c r="L7179">
        <v>720</v>
      </c>
      <c r="M7179" t="s">
        <v>1283</v>
      </c>
      <c r="N7179">
        <v>720</v>
      </c>
      <c r="O7179">
        <v>480</v>
      </c>
      <c r="P7179" t="str">
        <f t="shared" si="897"/>
        <v>30fps 720p - SD 4CIF resolution 4:3 format (cropped)</v>
      </c>
      <c r="Q7179">
        <f t="shared" si="898"/>
        <v>39</v>
      </c>
      <c r="R7179" t="str">
        <f t="shared" si="899"/>
        <v/>
      </c>
      <c r="S7179" t="str">
        <f t="shared" si="900"/>
        <v/>
      </c>
      <c r="T7179" s="403" t="str">
        <f t="shared" si="901"/>
        <v>MIC-7522-Z30xR</v>
      </c>
      <c r="U7179" s="403">
        <f t="shared" si="902"/>
        <v>1</v>
      </c>
      <c r="V7179" s="403" t="str">
        <f t="shared" si="903"/>
        <v>CPP_7_3</v>
      </c>
    </row>
    <row r="7180" spans="1:22">
      <c r="A7180" t="str">
        <f t="shared" si="896"/>
        <v>MIC-7522-Z30xR</v>
      </c>
      <c r="B7180" t="s">
        <v>1523</v>
      </c>
      <c r="C7180" s="403" t="s">
        <v>582</v>
      </c>
      <c r="D7180" t="s">
        <v>1527</v>
      </c>
      <c r="E7180" t="s">
        <v>1526</v>
      </c>
      <c r="F7180" t="s">
        <v>1286</v>
      </c>
      <c r="G7180" t="s">
        <v>1525</v>
      </c>
      <c r="H7180" t="s">
        <v>1276</v>
      </c>
      <c r="I7180">
        <v>1</v>
      </c>
      <c r="J7180" t="s">
        <v>109</v>
      </c>
      <c r="K7180">
        <v>1280</v>
      </c>
      <c r="L7180">
        <v>720</v>
      </c>
      <c r="M7180" t="s">
        <v>1284</v>
      </c>
      <c r="N7180">
        <v>640</v>
      </c>
      <c r="O7180">
        <v>480</v>
      </c>
      <c r="P7180" t="str">
        <f t="shared" si="897"/>
        <v>30fps 720p - SD VGA (cropped)</v>
      </c>
      <c r="Q7180">
        <f t="shared" si="898"/>
        <v>39</v>
      </c>
      <c r="R7180" t="str">
        <f t="shared" si="899"/>
        <v/>
      </c>
      <c r="S7180" t="str">
        <f t="shared" si="900"/>
        <v/>
      </c>
      <c r="T7180" s="403" t="str">
        <f t="shared" si="901"/>
        <v>MIC-7522-Z30xR</v>
      </c>
      <c r="U7180" s="403">
        <f t="shared" si="902"/>
        <v>1</v>
      </c>
      <c r="V7180" s="403" t="str">
        <f t="shared" si="903"/>
        <v>CPP_7_3</v>
      </c>
    </row>
    <row r="7181" spans="1:22">
      <c r="A7181" t="str">
        <f t="shared" si="896"/>
        <v>MIC-7522-Z30xR</v>
      </c>
      <c r="B7181" t="s">
        <v>1523</v>
      </c>
      <c r="C7181" s="403" t="s">
        <v>582</v>
      </c>
      <c r="D7181" t="s">
        <v>1527</v>
      </c>
      <c r="E7181" t="s">
        <v>1526</v>
      </c>
      <c r="F7181" t="s">
        <v>1286</v>
      </c>
      <c r="G7181" t="s">
        <v>1525</v>
      </c>
      <c r="H7181" t="s">
        <v>1281</v>
      </c>
      <c r="I7181">
        <v>1</v>
      </c>
      <c r="J7181" t="s">
        <v>110</v>
      </c>
      <c r="K7181">
        <v>1920</v>
      </c>
      <c r="L7181">
        <v>1080</v>
      </c>
      <c r="M7181" t="s">
        <v>111</v>
      </c>
      <c r="N7181">
        <v>768</v>
      </c>
      <c r="O7181">
        <v>432</v>
      </c>
      <c r="P7181" t="str">
        <f t="shared" si="897"/>
        <v>30fps 1080p - SD</v>
      </c>
      <c r="Q7181">
        <f t="shared" si="898"/>
        <v>39</v>
      </c>
      <c r="R7181" t="str">
        <f t="shared" si="899"/>
        <v/>
      </c>
      <c r="S7181" t="str">
        <f t="shared" si="900"/>
        <v/>
      </c>
      <c r="T7181" s="403" t="str">
        <f t="shared" si="901"/>
        <v>MIC-7522-Z30xR</v>
      </c>
      <c r="U7181" s="403">
        <f t="shared" si="902"/>
        <v>1</v>
      </c>
      <c r="V7181" s="403" t="str">
        <f t="shared" si="903"/>
        <v>CPP_7_3</v>
      </c>
    </row>
    <row r="7182" spans="1:22">
      <c r="A7182" t="str">
        <f t="shared" si="896"/>
        <v>MIC-7522-Z30xR</v>
      </c>
      <c r="B7182" t="s">
        <v>1523</v>
      </c>
      <c r="C7182" s="403" t="s">
        <v>582</v>
      </c>
      <c r="D7182" t="s">
        <v>1527</v>
      </c>
      <c r="E7182" t="s">
        <v>1526</v>
      </c>
      <c r="F7182" t="s">
        <v>1286</v>
      </c>
      <c r="G7182" t="s">
        <v>1525</v>
      </c>
      <c r="H7182" t="s">
        <v>1281</v>
      </c>
      <c r="I7182">
        <v>1</v>
      </c>
      <c r="J7182" t="s">
        <v>110</v>
      </c>
      <c r="K7182">
        <v>1920</v>
      </c>
      <c r="L7182">
        <v>1080</v>
      </c>
      <c r="M7182" t="s">
        <v>110</v>
      </c>
      <c r="N7182">
        <v>1920</v>
      </c>
      <c r="O7182">
        <v>1080</v>
      </c>
      <c r="P7182" t="str">
        <f t="shared" si="897"/>
        <v>30fps 1080p - 1080p</v>
      </c>
      <c r="Q7182">
        <f t="shared" si="898"/>
        <v>39</v>
      </c>
      <c r="R7182" t="str">
        <f t="shared" si="899"/>
        <v/>
      </c>
      <c r="S7182" t="str">
        <f t="shared" si="900"/>
        <v/>
      </c>
      <c r="T7182" s="403" t="str">
        <f t="shared" si="901"/>
        <v>MIC-7522-Z30xR</v>
      </c>
      <c r="U7182" s="403">
        <f t="shared" si="902"/>
        <v>1</v>
      </c>
      <c r="V7182" s="403" t="str">
        <f t="shared" si="903"/>
        <v>CPP_7_3</v>
      </c>
    </row>
    <row r="7183" spans="1:22">
      <c r="A7183" t="str">
        <f t="shared" si="896"/>
        <v>MIC-7522-Z30xR</v>
      </c>
      <c r="B7183" t="s">
        <v>1523</v>
      </c>
      <c r="C7183" s="403" t="s">
        <v>582</v>
      </c>
      <c r="D7183" t="s">
        <v>1527</v>
      </c>
      <c r="E7183" t="s">
        <v>1526</v>
      </c>
      <c r="F7183" t="s">
        <v>1286</v>
      </c>
      <c r="G7183" t="s">
        <v>1525</v>
      </c>
      <c r="H7183" t="s">
        <v>1281</v>
      </c>
      <c r="I7183">
        <v>1</v>
      </c>
      <c r="J7183" t="s">
        <v>110</v>
      </c>
      <c r="K7183">
        <v>1920</v>
      </c>
      <c r="L7183">
        <v>1080</v>
      </c>
      <c r="M7183" t="s">
        <v>109</v>
      </c>
      <c r="N7183">
        <v>1280</v>
      </c>
      <c r="O7183">
        <v>720</v>
      </c>
      <c r="P7183" t="str">
        <f t="shared" si="897"/>
        <v>30fps 1080p - 720p</v>
      </c>
      <c r="Q7183">
        <f t="shared" si="898"/>
        <v>39</v>
      </c>
      <c r="R7183" t="str">
        <f t="shared" si="899"/>
        <v/>
      </c>
      <c r="S7183" t="str">
        <f t="shared" si="900"/>
        <v/>
      </c>
      <c r="T7183" s="403" t="str">
        <f t="shared" si="901"/>
        <v>MIC-7522-Z30xR</v>
      </c>
      <c r="U7183" s="403">
        <f t="shared" si="902"/>
        <v>1</v>
      </c>
      <c r="V7183" s="403" t="str">
        <f t="shared" si="903"/>
        <v>CPP_7_3</v>
      </c>
    </row>
    <row r="7184" spans="1:22">
      <c r="A7184" t="str">
        <f t="shared" si="896"/>
        <v>MIC-7522-Z30xR</v>
      </c>
      <c r="B7184" t="s">
        <v>1523</v>
      </c>
      <c r="C7184" s="403" t="s">
        <v>582</v>
      </c>
      <c r="D7184" t="s">
        <v>1527</v>
      </c>
      <c r="E7184" t="s">
        <v>1526</v>
      </c>
      <c r="F7184" t="s">
        <v>1286</v>
      </c>
      <c r="G7184" t="s">
        <v>1525</v>
      </c>
      <c r="H7184" t="s">
        <v>1281</v>
      </c>
      <c r="I7184">
        <v>1</v>
      </c>
      <c r="J7184" t="s">
        <v>110</v>
      </c>
      <c r="K7184">
        <v>1920</v>
      </c>
      <c r="L7184">
        <v>1080</v>
      </c>
      <c r="M7184" t="s">
        <v>1285</v>
      </c>
      <c r="N7184">
        <v>1280</v>
      </c>
      <c r="O7184">
        <v>1024</v>
      </c>
      <c r="P7184" t="str">
        <f t="shared" si="897"/>
        <v>30fps 1080p - 1280x1024 5:4 (cropped)</v>
      </c>
      <c r="Q7184">
        <f t="shared" si="898"/>
        <v>39</v>
      </c>
      <c r="R7184" t="str">
        <f t="shared" si="899"/>
        <v/>
      </c>
      <c r="S7184" t="str">
        <f t="shared" si="900"/>
        <v/>
      </c>
      <c r="T7184" s="403" t="str">
        <f t="shared" si="901"/>
        <v>MIC-7522-Z30xR</v>
      </c>
      <c r="U7184" s="403">
        <f t="shared" si="902"/>
        <v>1</v>
      </c>
      <c r="V7184" s="403" t="str">
        <f t="shared" si="903"/>
        <v>CPP_7_3</v>
      </c>
    </row>
    <row r="7185" spans="1:22">
      <c r="A7185" t="str">
        <f t="shared" si="896"/>
        <v>MIC-7522-Z30xR</v>
      </c>
      <c r="B7185" t="s">
        <v>1523</v>
      </c>
      <c r="C7185" s="403" t="s">
        <v>582</v>
      </c>
      <c r="D7185" t="s">
        <v>1527</v>
      </c>
      <c r="E7185" t="s">
        <v>1526</v>
      </c>
      <c r="F7185" t="s">
        <v>1286</v>
      </c>
      <c r="G7185" t="s">
        <v>1525</v>
      </c>
      <c r="H7185" t="s">
        <v>1281</v>
      </c>
      <c r="I7185">
        <v>1</v>
      </c>
      <c r="J7185" t="s">
        <v>110</v>
      </c>
      <c r="K7185">
        <v>1920</v>
      </c>
      <c r="L7185">
        <v>1080</v>
      </c>
      <c r="M7185" t="s">
        <v>1283</v>
      </c>
      <c r="N7185">
        <v>720</v>
      </c>
      <c r="O7185">
        <v>480</v>
      </c>
      <c r="P7185" t="str">
        <f t="shared" si="897"/>
        <v>30fps 1080p - SD 4CIF resolution 4:3 format (cropped)</v>
      </c>
      <c r="Q7185">
        <f t="shared" si="898"/>
        <v>39</v>
      </c>
      <c r="R7185" t="str">
        <f t="shared" si="899"/>
        <v/>
      </c>
      <c r="S7185" t="str">
        <f t="shared" si="900"/>
        <v/>
      </c>
      <c r="T7185" s="403" t="str">
        <f t="shared" si="901"/>
        <v>MIC-7522-Z30xR</v>
      </c>
      <c r="U7185" s="403">
        <f t="shared" si="902"/>
        <v>1</v>
      </c>
      <c r="V7185" s="403" t="str">
        <f t="shared" si="903"/>
        <v>CPP_7_3</v>
      </c>
    </row>
    <row r="7186" spans="1:22">
      <c r="A7186" t="str">
        <f t="shared" si="896"/>
        <v>MIC-7522-Z30xR</v>
      </c>
      <c r="B7186" t="s">
        <v>1523</v>
      </c>
      <c r="C7186" s="403" t="s">
        <v>582</v>
      </c>
      <c r="D7186" t="s">
        <v>1527</v>
      </c>
      <c r="E7186" t="s">
        <v>1526</v>
      </c>
      <c r="F7186" t="s">
        <v>1286</v>
      </c>
      <c r="G7186" t="s">
        <v>1525</v>
      </c>
      <c r="H7186" t="s">
        <v>1281</v>
      </c>
      <c r="I7186">
        <v>1</v>
      </c>
      <c r="J7186" t="s">
        <v>110</v>
      </c>
      <c r="K7186">
        <v>1920</v>
      </c>
      <c r="L7186">
        <v>1080</v>
      </c>
      <c r="M7186" t="s">
        <v>1284</v>
      </c>
      <c r="N7186">
        <v>640</v>
      </c>
      <c r="O7186">
        <v>480</v>
      </c>
      <c r="P7186" t="str">
        <f t="shared" si="897"/>
        <v>30fps 1080p - SD VGA (cropped)</v>
      </c>
      <c r="Q7186">
        <f t="shared" si="898"/>
        <v>39</v>
      </c>
      <c r="R7186" t="str">
        <f t="shared" si="899"/>
        <v/>
      </c>
      <c r="S7186" t="str">
        <f t="shared" si="900"/>
        <v/>
      </c>
      <c r="T7186" s="403" t="str">
        <f t="shared" si="901"/>
        <v>MIC-7522-Z30xR</v>
      </c>
      <c r="U7186" s="403">
        <f t="shared" si="902"/>
        <v>1</v>
      </c>
      <c r="V7186" s="403" t="str">
        <f t="shared" si="903"/>
        <v>CPP_7_3</v>
      </c>
    </row>
    <row r="7187" spans="1:22">
      <c r="A7187" t="str">
        <f t="shared" si="896"/>
        <v>MIC-7522-Z30xR</v>
      </c>
      <c r="B7187" t="s">
        <v>1523</v>
      </c>
      <c r="C7187" s="403" t="s">
        <v>582</v>
      </c>
      <c r="D7187" t="s">
        <v>1527</v>
      </c>
      <c r="E7187" t="s">
        <v>1526</v>
      </c>
      <c r="F7187" t="s">
        <v>1286</v>
      </c>
      <c r="G7187" t="s">
        <v>1525</v>
      </c>
      <c r="H7187" t="s">
        <v>1281</v>
      </c>
      <c r="I7187">
        <v>1</v>
      </c>
      <c r="J7187" t="s">
        <v>109</v>
      </c>
      <c r="K7187">
        <v>1280</v>
      </c>
      <c r="L7187">
        <v>720</v>
      </c>
      <c r="M7187" t="s">
        <v>109</v>
      </c>
      <c r="N7187">
        <v>1280</v>
      </c>
      <c r="O7187">
        <v>720</v>
      </c>
      <c r="P7187" t="str">
        <f t="shared" si="897"/>
        <v>30fps 720p - 720p</v>
      </c>
      <c r="Q7187">
        <f t="shared" si="898"/>
        <v>39</v>
      </c>
      <c r="R7187" t="str">
        <f t="shared" si="899"/>
        <v/>
      </c>
      <c r="S7187" t="str">
        <f t="shared" si="900"/>
        <v/>
      </c>
      <c r="T7187" s="403" t="str">
        <f t="shared" si="901"/>
        <v>MIC-7522-Z30xR</v>
      </c>
      <c r="U7187" s="403">
        <f t="shared" si="902"/>
        <v>1</v>
      </c>
      <c r="V7187" s="403" t="str">
        <f t="shared" si="903"/>
        <v>CPP_7_3</v>
      </c>
    </row>
    <row r="7188" spans="1:22">
      <c r="A7188" t="str">
        <f t="shared" si="896"/>
        <v>MIC-7522-Z30xR</v>
      </c>
      <c r="B7188" t="s">
        <v>1523</v>
      </c>
      <c r="C7188" s="403" t="s">
        <v>582</v>
      </c>
      <c r="D7188" t="s">
        <v>1527</v>
      </c>
      <c r="E7188" t="s">
        <v>1526</v>
      </c>
      <c r="F7188" t="s">
        <v>1286</v>
      </c>
      <c r="G7188" t="s">
        <v>1525</v>
      </c>
      <c r="H7188" t="s">
        <v>1281</v>
      </c>
      <c r="I7188">
        <v>1</v>
      </c>
      <c r="J7188" t="s">
        <v>109</v>
      </c>
      <c r="K7188">
        <v>1280</v>
      </c>
      <c r="L7188">
        <v>720</v>
      </c>
      <c r="M7188" t="s">
        <v>111</v>
      </c>
      <c r="N7188">
        <v>768</v>
      </c>
      <c r="O7188">
        <v>432</v>
      </c>
      <c r="P7188" t="str">
        <f t="shared" si="897"/>
        <v>30fps 720p - SD</v>
      </c>
      <c r="Q7188">
        <f t="shared" si="898"/>
        <v>39</v>
      </c>
      <c r="R7188" t="str">
        <f t="shared" si="899"/>
        <v/>
      </c>
      <c r="S7188" t="str">
        <f t="shared" si="900"/>
        <v/>
      </c>
      <c r="T7188" s="403" t="str">
        <f t="shared" si="901"/>
        <v>MIC-7522-Z30xR</v>
      </c>
      <c r="U7188" s="403">
        <f t="shared" si="902"/>
        <v>1</v>
      </c>
      <c r="V7188" s="403" t="str">
        <f t="shared" si="903"/>
        <v>CPP_7_3</v>
      </c>
    </row>
    <row r="7189" spans="1:22">
      <c r="A7189" t="str">
        <f t="shared" si="896"/>
        <v>MIC-7522-Z30xR</v>
      </c>
      <c r="B7189" t="s">
        <v>1523</v>
      </c>
      <c r="C7189" s="403" t="s">
        <v>582</v>
      </c>
      <c r="D7189" t="s">
        <v>1527</v>
      </c>
      <c r="E7189" t="s">
        <v>1526</v>
      </c>
      <c r="F7189" t="s">
        <v>1286</v>
      </c>
      <c r="G7189" t="s">
        <v>1525</v>
      </c>
      <c r="H7189" t="s">
        <v>1281</v>
      </c>
      <c r="I7189">
        <v>1</v>
      </c>
      <c r="J7189" t="s">
        <v>109</v>
      </c>
      <c r="K7189">
        <v>1280</v>
      </c>
      <c r="L7189">
        <v>720</v>
      </c>
      <c r="M7189" t="s">
        <v>1283</v>
      </c>
      <c r="N7189">
        <v>720</v>
      </c>
      <c r="O7189">
        <v>480</v>
      </c>
      <c r="P7189" t="str">
        <f t="shared" si="897"/>
        <v>30fps 720p - SD 4CIF resolution 4:3 format (cropped)</v>
      </c>
      <c r="Q7189">
        <f t="shared" si="898"/>
        <v>39</v>
      </c>
      <c r="R7189" t="str">
        <f t="shared" si="899"/>
        <v/>
      </c>
      <c r="S7189" t="str">
        <f t="shared" si="900"/>
        <v/>
      </c>
      <c r="T7189" s="403" t="str">
        <f t="shared" si="901"/>
        <v>MIC-7522-Z30xR</v>
      </c>
      <c r="U7189" s="403">
        <f t="shared" si="902"/>
        <v>1</v>
      </c>
      <c r="V7189" s="403" t="str">
        <f t="shared" si="903"/>
        <v>CPP_7_3</v>
      </c>
    </row>
    <row r="7190" spans="1:22">
      <c r="A7190" t="str">
        <f t="shared" si="896"/>
        <v>MIC-7522-Z30xR</v>
      </c>
      <c r="B7190" t="s">
        <v>1523</v>
      </c>
      <c r="C7190" s="403" t="s">
        <v>582</v>
      </c>
      <c r="D7190" t="s">
        <v>1527</v>
      </c>
      <c r="E7190" t="s">
        <v>1526</v>
      </c>
      <c r="F7190" t="s">
        <v>1286</v>
      </c>
      <c r="G7190" t="s">
        <v>1525</v>
      </c>
      <c r="H7190" t="s">
        <v>1281</v>
      </c>
      <c r="I7190">
        <v>1</v>
      </c>
      <c r="J7190" t="s">
        <v>109</v>
      </c>
      <c r="K7190">
        <v>1280</v>
      </c>
      <c r="L7190">
        <v>720</v>
      </c>
      <c r="M7190" t="s">
        <v>1284</v>
      </c>
      <c r="N7190">
        <v>640</v>
      </c>
      <c r="O7190">
        <v>480</v>
      </c>
      <c r="P7190" t="str">
        <f t="shared" si="897"/>
        <v>30fps 720p - SD VGA (cropped)</v>
      </c>
      <c r="Q7190">
        <f t="shared" si="898"/>
        <v>39</v>
      </c>
      <c r="R7190" t="str">
        <f t="shared" si="899"/>
        <v/>
      </c>
      <c r="S7190" t="str">
        <f t="shared" si="900"/>
        <v/>
      </c>
      <c r="T7190" s="403" t="str">
        <f t="shared" si="901"/>
        <v>MIC-7522-Z30xR</v>
      </c>
      <c r="U7190" s="403">
        <f t="shared" si="902"/>
        <v>1</v>
      </c>
      <c r="V7190" s="403" t="str">
        <f t="shared" si="903"/>
        <v>CPP_7_3</v>
      </c>
    </row>
    <row r="7191" spans="1:22">
      <c r="A7191" t="str">
        <f t="shared" si="896"/>
        <v>MIC-7522-Z30xR</v>
      </c>
      <c r="B7191" t="s">
        <v>1523</v>
      </c>
      <c r="C7191" s="403" t="s">
        <v>582</v>
      </c>
      <c r="D7191" t="s">
        <v>1527</v>
      </c>
      <c r="E7191" t="s">
        <v>1526</v>
      </c>
      <c r="F7191" t="s">
        <v>1286</v>
      </c>
      <c r="G7191" t="s">
        <v>1525</v>
      </c>
      <c r="H7191" t="s">
        <v>1282</v>
      </c>
      <c r="I7191">
        <v>1</v>
      </c>
      <c r="J7191" t="s">
        <v>110</v>
      </c>
      <c r="K7191">
        <v>1920</v>
      </c>
      <c r="L7191">
        <v>1080</v>
      </c>
      <c r="M7191" t="s">
        <v>111</v>
      </c>
      <c r="N7191">
        <v>768</v>
      </c>
      <c r="O7191">
        <v>432</v>
      </c>
      <c r="P7191" t="str">
        <f t="shared" si="897"/>
        <v>30fps 1080p - SD</v>
      </c>
      <c r="Q7191">
        <f t="shared" si="898"/>
        <v>39</v>
      </c>
      <c r="R7191" t="str">
        <f t="shared" si="899"/>
        <v/>
      </c>
      <c r="S7191" t="str">
        <f t="shared" si="900"/>
        <v/>
      </c>
      <c r="T7191" s="403" t="str">
        <f t="shared" si="901"/>
        <v>MIC-7522-Z30xR</v>
      </c>
      <c r="U7191" s="403">
        <f t="shared" si="902"/>
        <v>1</v>
      </c>
      <c r="V7191" s="403" t="str">
        <f t="shared" si="903"/>
        <v>CPP_7_3</v>
      </c>
    </row>
    <row r="7192" spans="1:22">
      <c r="A7192" t="str">
        <f t="shared" si="896"/>
        <v>MIC-7522-Z30xR</v>
      </c>
      <c r="B7192" t="s">
        <v>1523</v>
      </c>
      <c r="C7192" s="403" t="s">
        <v>582</v>
      </c>
      <c r="D7192" t="s">
        <v>1527</v>
      </c>
      <c r="E7192" t="s">
        <v>1526</v>
      </c>
      <c r="F7192" t="s">
        <v>1286</v>
      </c>
      <c r="G7192" t="s">
        <v>1525</v>
      </c>
      <c r="H7192" t="s">
        <v>1282</v>
      </c>
      <c r="I7192">
        <v>1</v>
      </c>
      <c r="J7192" t="s">
        <v>110</v>
      </c>
      <c r="K7192">
        <v>1920</v>
      </c>
      <c r="L7192">
        <v>1080</v>
      </c>
      <c r="M7192" t="s">
        <v>110</v>
      </c>
      <c r="N7192">
        <v>1920</v>
      </c>
      <c r="O7192">
        <v>1080</v>
      </c>
      <c r="P7192" t="str">
        <f t="shared" si="897"/>
        <v>30fps 1080p - 1080p</v>
      </c>
      <c r="Q7192">
        <f t="shared" si="898"/>
        <v>39</v>
      </c>
      <c r="R7192" t="str">
        <f t="shared" si="899"/>
        <v/>
      </c>
      <c r="S7192" t="str">
        <f t="shared" si="900"/>
        <v/>
      </c>
      <c r="T7192" s="403" t="str">
        <f t="shared" si="901"/>
        <v>MIC-7522-Z30xR</v>
      </c>
      <c r="U7192" s="403">
        <f t="shared" si="902"/>
        <v>1</v>
      </c>
      <c r="V7192" s="403" t="str">
        <f t="shared" si="903"/>
        <v>CPP_7_3</v>
      </c>
    </row>
    <row r="7193" spans="1:22">
      <c r="A7193" t="str">
        <f t="shared" si="896"/>
        <v>MIC-7522-Z30xR</v>
      </c>
      <c r="B7193" t="s">
        <v>1523</v>
      </c>
      <c r="C7193" s="403" t="s">
        <v>582</v>
      </c>
      <c r="D7193" t="s">
        <v>1527</v>
      </c>
      <c r="E7193" t="s">
        <v>1526</v>
      </c>
      <c r="F7193" t="s">
        <v>1286</v>
      </c>
      <c r="G7193" t="s">
        <v>1525</v>
      </c>
      <c r="H7193" t="s">
        <v>1282</v>
      </c>
      <c r="I7193">
        <v>1</v>
      </c>
      <c r="J7193" t="s">
        <v>110</v>
      </c>
      <c r="K7193">
        <v>1920</v>
      </c>
      <c r="L7193">
        <v>1080</v>
      </c>
      <c r="M7193" t="s">
        <v>109</v>
      </c>
      <c r="N7193">
        <v>1280</v>
      </c>
      <c r="O7193">
        <v>720</v>
      </c>
      <c r="P7193" t="str">
        <f t="shared" si="897"/>
        <v>30fps 1080p - 720p</v>
      </c>
      <c r="Q7193">
        <f t="shared" si="898"/>
        <v>39</v>
      </c>
      <c r="R7193" t="str">
        <f t="shared" si="899"/>
        <v/>
      </c>
      <c r="S7193" t="str">
        <f t="shared" si="900"/>
        <v/>
      </c>
      <c r="T7193" s="403" t="str">
        <f t="shared" si="901"/>
        <v>MIC-7522-Z30xR</v>
      </c>
      <c r="U7193" s="403">
        <f t="shared" si="902"/>
        <v>1</v>
      </c>
      <c r="V7193" s="403" t="str">
        <f t="shared" si="903"/>
        <v>CPP_7_3</v>
      </c>
    </row>
    <row r="7194" spans="1:22">
      <c r="A7194" t="str">
        <f t="shared" si="896"/>
        <v>MIC-7522-Z30xR</v>
      </c>
      <c r="B7194" t="s">
        <v>1523</v>
      </c>
      <c r="C7194" s="403" t="s">
        <v>582</v>
      </c>
      <c r="D7194" t="s">
        <v>1527</v>
      </c>
      <c r="E7194" t="s">
        <v>1526</v>
      </c>
      <c r="F7194" t="s">
        <v>1286</v>
      </c>
      <c r="G7194" t="s">
        <v>1525</v>
      </c>
      <c r="H7194" t="s">
        <v>1282</v>
      </c>
      <c r="I7194">
        <v>1</v>
      </c>
      <c r="J7194" t="s">
        <v>110</v>
      </c>
      <c r="K7194">
        <v>1920</v>
      </c>
      <c r="L7194">
        <v>1080</v>
      </c>
      <c r="M7194" t="s">
        <v>1285</v>
      </c>
      <c r="N7194">
        <v>1280</v>
      </c>
      <c r="O7194">
        <v>1024</v>
      </c>
      <c r="P7194" t="str">
        <f t="shared" si="897"/>
        <v>30fps 1080p - 1280x1024 5:4 (cropped)</v>
      </c>
      <c r="Q7194">
        <f t="shared" si="898"/>
        <v>39</v>
      </c>
      <c r="R7194" t="str">
        <f t="shared" si="899"/>
        <v/>
      </c>
      <c r="S7194" t="str">
        <f t="shared" si="900"/>
        <v/>
      </c>
      <c r="T7194" s="403" t="str">
        <f t="shared" si="901"/>
        <v>MIC-7522-Z30xR</v>
      </c>
      <c r="U7194" s="403">
        <f t="shared" si="902"/>
        <v>1</v>
      </c>
      <c r="V7194" s="403" t="str">
        <f t="shared" si="903"/>
        <v>CPP_7_3</v>
      </c>
    </row>
    <row r="7195" spans="1:22">
      <c r="A7195" t="str">
        <f t="shared" si="896"/>
        <v>MIC-7522-Z30xR</v>
      </c>
      <c r="B7195" t="s">
        <v>1523</v>
      </c>
      <c r="C7195" s="403" t="s">
        <v>582</v>
      </c>
      <c r="D7195" t="s">
        <v>1527</v>
      </c>
      <c r="E7195" t="s">
        <v>1526</v>
      </c>
      <c r="F7195" t="s">
        <v>1286</v>
      </c>
      <c r="G7195" t="s">
        <v>1525</v>
      </c>
      <c r="H7195" t="s">
        <v>1282</v>
      </c>
      <c r="I7195">
        <v>1</v>
      </c>
      <c r="J7195" t="s">
        <v>110</v>
      </c>
      <c r="K7195">
        <v>1920</v>
      </c>
      <c r="L7195">
        <v>1080</v>
      </c>
      <c r="M7195" t="s">
        <v>1283</v>
      </c>
      <c r="N7195">
        <v>720</v>
      </c>
      <c r="O7195">
        <v>480</v>
      </c>
      <c r="P7195" t="str">
        <f t="shared" si="897"/>
        <v>30fps 1080p - SD 4CIF resolution 4:3 format (cropped)</v>
      </c>
      <c r="Q7195">
        <f t="shared" si="898"/>
        <v>39</v>
      </c>
      <c r="R7195" t="str">
        <f t="shared" si="899"/>
        <v/>
      </c>
      <c r="S7195" t="str">
        <f t="shared" si="900"/>
        <v/>
      </c>
      <c r="T7195" s="403" t="str">
        <f t="shared" si="901"/>
        <v>MIC-7522-Z30xR</v>
      </c>
      <c r="U7195" s="403">
        <f t="shared" si="902"/>
        <v>1</v>
      </c>
      <c r="V7195" s="403" t="str">
        <f t="shared" si="903"/>
        <v>CPP_7_3</v>
      </c>
    </row>
    <row r="7196" spans="1:22">
      <c r="A7196" t="str">
        <f t="shared" si="896"/>
        <v>MIC-7522-Z30xR</v>
      </c>
      <c r="B7196" t="s">
        <v>1523</v>
      </c>
      <c r="C7196" s="403" t="s">
        <v>582</v>
      </c>
      <c r="D7196" t="s">
        <v>1527</v>
      </c>
      <c r="E7196" t="s">
        <v>1526</v>
      </c>
      <c r="F7196" t="s">
        <v>1286</v>
      </c>
      <c r="G7196" t="s">
        <v>1525</v>
      </c>
      <c r="H7196" t="s">
        <v>1282</v>
      </c>
      <c r="I7196">
        <v>1</v>
      </c>
      <c r="J7196" t="s">
        <v>110</v>
      </c>
      <c r="K7196">
        <v>1920</v>
      </c>
      <c r="L7196">
        <v>1080</v>
      </c>
      <c r="M7196" t="s">
        <v>1284</v>
      </c>
      <c r="N7196">
        <v>640</v>
      </c>
      <c r="O7196">
        <v>480</v>
      </c>
      <c r="P7196" t="str">
        <f t="shared" si="897"/>
        <v>30fps 1080p - SD VGA (cropped)</v>
      </c>
      <c r="Q7196">
        <f t="shared" si="898"/>
        <v>39</v>
      </c>
      <c r="R7196" t="str">
        <f t="shared" si="899"/>
        <v/>
      </c>
      <c r="S7196" t="str">
        <f t="shared" si="900"/>
        <v/>
      </c>
      <c r="T7196" s="403" t="str">
        <f t="shared" si="901"/>
        <v>MIC-7522-Z30xR</v>
      </c>
      <c r="U7196" s="403">
        <f t="shared" si="902"/>
        <v>1</v>
      </c>
      <c r="V7196" s="403" t="str">
        <f t="shared" si="903"/>
        <v>CPP_7_3</v>
      </c>
    </row>
    <row r="7197" spans="1:22">
      <c r="A7197" t="str">
        <f t="shared" si="896"/>
        <v>MIC-7522-Z30xR</v>
      </c>
      <c r="B7197" t="s">
        <v>1523</v>
      </c>
      <c r="C7197" s="403" t="s">
        <v>582</v>
      </c>
      <c r="D7197" t="s">
        <v>1527</v>
      </c>
      <c r="E7197" t="s">
        <v>1526</v>
      </c>
      <c r="F7197" t="s">
        <v>1286</v>
      </c>
      <c r="G7197" t="s">
        <v>1525</v>
      </c>
      <c r="H7197" t="s">
        <v>1282</v>
      </c>
      <c r="I7197">
        <v>1</v>
      </c>
      <c r="J7197" t="s">
        <v>109</v>
      </c>
      <c r="K7197">
        <v>1280</v>
      </c>
      <c r="L7197">
        <v>720</v>
      </c>
      <c r="M7197" t="s">
        <v>109</v>
      </c>
      <c r="N7197">
        <v>1280</v>
      </c>
      <c r="O7197">
        <v>720</v>
      </c>
      <c r="P7197" t="str">
        <f t="shared" si="897"/>
        <v>30fps 720p - 720p</v>
      </c>
      <c r="Q7197">
        <f t="shared" si="898"/>
        <v>39</v>
      </c>
      <c r="R7197" t="str">
        <f t="shared" si="899"/>
        <v/>
      </c>
      <c r="S7197" t="str">
        <f t="shared" si="900"/>
        <v/>
      </c>
      <c r="T7197" s="403" t="str">
        <f t="shared" si="901"/>
        <v>MIC-7522-Z30xR</v>
      </c>
      <c r="U7197" s="403">
        <f t="shared" si="902"/>
        <v>1</v>
      </c>
      <c r="V7197" s="403" t="str">
        <f t="shared" si="903"/>
        <v>CPP_7_3</v>
      </c>
    </row>
    <row r="7198" spans="1:22">
      <c r="A7198" t="str">
        <f t="shared" si="896"/>
        <v>MIC-7522-Z30xR</v>
      </c>
      <c r="B7198" t="s">
        <v>1523</v>
      </c>
      <c r="C7198" s="403" t="s">
        <v>582</v>
      </c>
      <c r="D7198" t="s">
        <v>1527</v>
      </c>
      <c r="E7198" t="s">
        <v>1526</v>
      </c>
      <c r="F7198" t="s">
        <v>1286</v>
      </c>
      <c r="G7198" t="s">
        <v>1525</v>
      </c>
      <c r="H7198" t="s">
        <v>1282</v>
      </c>
      <c r="I7198">
        <v>1</v>
      </c>
      <c r="J7198" t="s">
        <v>109</v>
      </c>
      <c r="K7198">
        <v>1280</v>
      </c>
      <c r="L7198">
        <v>720</v>
      </c>
      <c r="M7198" t="s">
        <v>111</v>
      </c>
      <c r="N7198">
        <v>768</v>
      </c>
      <c r="O7198">
        <v>432</v>
      </c>
      <c r="P7198" t="str">
        <f t="shared" si="897"/>
        <v>30fps 720p - SD</v>
      </c>
      <c r="Q7198">
        <f t="shared" si="898"/>
        <v>39</v>
      </c>
      <c r="R7198" t="str">
        <f t="shared" si="899"/>
        <v/>
      </c>
      <c r="S7198" t="str">
        <f t="shared" si="900"/>
        <v/>
      </c>
      <c r="T7198" s="403" t="str">
        <f t="shared" si="901"/>
        <v>MIC-7522-Z30xR</v>
      </c>
      <c r="U7198" s="403">
        <f t="shared" si="902"/>
        <v>1</v>
      </c>
      <c r="V7198" s="403" t="str">
        <f t="shared" si="903"/>
        <v>CPP_7_3</v>
      </c>
    </row>
    <row r="7199" spans="1:22">
      <c r="A7199" t="str">
        <f t="shared" si="896"/>
        <v>MIC-7522-Z30xR</v>
      </c>
      <c r="B7199" t="s">
        <v>1523</v>
      </c>
      <c r="C7199" s="403" t="s">
        <v>582</v>
      </c>
      <c r="D7199" t="s">
        <v>1527</v>
      </c>
      <c r="E7199" t="s">
        <v>1526</v>
      </c>
      <c r="F7199" t="s">
        <v>1286</v>
      </c>
      <c r="G7199" t="s">
        <v>1525</v>
      </c>
      <c r="H7199" t="s">
        <v>1282</v>
      </c>
      <c r="I7199">
        <v>1</v>
      </c>
      <c r="J7199" t="s">
        <v>109</v>
      </c>
      <c r="K7199">
        <v>1280</v>
      </c>
      <c r="L7199">
        <v>720</v>
      </c>
      <c r="M7199" t="s">
        <v>1283</v>
      </c>
      <c r="N7199">
        <v>720</v>
      </c>
      <c r="O7199">
        <v>480</v>
      </c>
      <c r="P7199" t="str">
        <f t="shared" si="897"/>
        <v>30fps 720p - SD 4CIF resolution 4:3 format (cropped)</v>
      </c>
      <c r="Q7199">
        <f t="shared" si="898"/>
        <v>39</v>
      </c>
      <c r="R7199" t="str">
        <f t="shared" si="899"/>
        <v/>
      </c>
      <c r="S7199" t="str">
        <f t="shared" si="900"/>
        <v/>
      </c>
      <c r="T7199" s="403" t="str">
        <f t="shared" si="901"/>
        <v>MIC-7522-Z30xR</v>
      </c>
      <c r="U7199" s="403">
        <f t="shared" si="902"/>
        <v>1</v>
      </c>
      <c r="V7199" s="403" t="str">
        <f t="shared" si="903"/>
        <v>CPP_7_3</v>
      </c>
    </row>
    <row r="7200" spans="1:22">
      <c r="A7200" t="str">
        <f t="shared" si="896"/>
        <v>MIC-7522-Z30xR</v>
      </c>
      <c r="B7200" t="s">
        <v>1523</v>
      </c>
      <c r="C7200" s="403" t="s">
        <v>582</v>
      </c>
      <c r="D7200" t="s">
        <v>1527</v>
      </c>
      <c r="E7200" t="s">
        <v>1526</v>
      </c>
      <c r="F7200" t="s">
        <v>1286</v>
      </c>
      <c r="G7200" t="s">
        <v>1525</v>
      </c>
      <c r="H7200" t="s">
        <v>1282</v>
      </c>
      <c r="I7200">
        <v>1</v>
      </c>
      <c r="J7200" t="s">
        <v>109</v>
      </c>
      <c r="K7200">
        <v>1280</v>
      </c>
      <c r="L7200">
        <v>720</v>
      </c>
      <c r="M7200" t="s">
        <v>1284</v>
      </c>
      <c r="N7200">
        <v>640</v>
      </c>
      <c r="O7200">
        <v>480</v>
      </c>
      <c r="P7200" t="str">
        <f t="shared" si="897"/>
        <v>30fps 720p - SD VGA (cropped)</v>
      </c>
      <c r="Q7200">
        <f t="shared" si="898"/>
        <v>39</v>
      </c>
      <c r="R7200" t="str">
        <f t="shared" si="899"/>
        <v/>
      </c>
      <c r="S7200" t="str">
        <f t="shared" si="900"/>
        <v/>
      </c>
      <c r="T7200" s="403" t="str">
        <f t="shared" si="901"/>
        <v>MIC-7522-Z30xR</v>
      </c>
      <c r="U7200" s="403">
        <f t="shared" si="902"/>
        <v>1</v>
      </c>
      <c r="V7200" s="403" t="str">
        <f t="shared" si="903"/>
        <v>CPP_7_3</v>
      </c>
    </row>
    <row r="7201" spans="1:22">
      <c r="A7201" t="str">
        <f t="shared" si="896"/>
        <v>MIC-7522-Z30xR</v>
      </c>
      <c r="B7201" t="s">
        <v>1523</v>
      </c>
      <c r="C7201" s="403" t="s">
        <v>582</v>
      </c>
      <c r="D7201" t="s">
        <v>1527</v>
      </c>
      <c r="E7201" t="s">
        <v>1526</v>
      </c>
      <c r="F7201" t="s">
        <v>1290</v>
      </c>
      <c r="G7201" t="s">
        <v>1525</v>
      </c>
      <c r="H7201" t="s">
        <v>1276</v>
      </c>
      <c r="I7201">
        <v>1</v>
      </c>
      <c r="J7201" t="s">
        <v>110</v>
      </c>
      <c r="K7201">
        <v>1920</v>
      </c>
      <c r="L7201">
        <v>1080</v>
      </c>
      <c r="M7201" t="s">
        <v>111</v>
      </c>
      <c r="N7201">
        <v>768</v>
      </c>
      <c r="O7201">
        <v>432</v>
      </c>
      <c r="P7201" t="str">
        <f t="shared" si="897"/>
        <v>50fps 1080p - SD</v>
      </c>
      <c r="Q7201">
        <f t="shared" si="898"/>
        <v>39</v>
      </c>
      <c r="R7201" t="str">
        <f t="shared" si="899"/>
        <v/>
      </c>
      <c r="S7201" t="str">
        <f t="shared" si="900"/>
        <v/>
      </c>
      <c r="T7201" s="403" t="str">
        <f t="shared" si="901"/>
        <v>MIC-7522-Z30xR</v>
      </c>
      <c r="U7201" s="403">
        <f t="shared" si="902"/>
        <v>1</v>
      </c>
      <c r="V7201" s="403" t="str">
        <f t="shared" si="903"/>
        <v>CPP_7_3</v>
      </c>
    </row>
    <row r="7202" spans="1:22">
      <c r="A7202" t="str">
        <f t="shared" si="896"/>
        <v>MIC-7522-Z30xR</v>
      </c>
      <c r="B7202" t="s">
        <v>1523</v>
      </c>
      <c r="C7202" s="403" t="s">
        <v>582</v>
      </c>
      <c r="D7202" t="s">
        <v>1527</v>
      </c>
      <c r="E7202" t="s">
        <v>1526</v>
      </c>
      <c r="F7202" t="s">
        <v>1290</v>
      </c>
      <c r="G7202" t="s">
        <v>1525</v>
      </c>
      <c r="H7202" t="s">
        <v>1276</v>
      </c>
      <c r="I7202">
        <v>1</v>
      </c>
      <c r="J7202" t="s">
        <v>110</v>
      </c>
      <c r="K7202">
        <v>1920</v>
      </c>
      <c r="L7202">
        <v>1080</v>
      </c>
      <c r="M7202" t="s">
        <v>110</v>
      </c>
      <c r="N7202">
        <v>1920</v>
      </c>
      <c r="O7202">
        <v>1080</v>
      </c>
      <c r="P7202" t="str">
        <f t="shared" si="897"/>
        <v>50fps 1080p - 1080p</v>
      </c>
      <c r="Q7202">
        <f t="shared" si="898"/>
        <v>39</v>
      </c>
      <c r="R7202" t="str">
        <f t="shared" si="899"/>
        <v/>
      </c>
      <c r="S7202" t="str">
        <f t="shared" si="900"/>
        <v/>
      </c>
      <c r="T7202" s="403" t="str">
        <f t="shared" si="901"/>
        <v>MIC-7522-Z30xR</v>
      </c>
      <c r="U7202" s="403">
        <f t="shared" si="902"/>
        <v>1</v>
      </c>
      <c r="V7202" s="403" t="str">
        <f t="shared" si="903"/>
        <v>CPP_7_3</v>
      </c>
    </row>
    <row r="7203" spans="1:22">
      <c r="A7203" t="str">
        <f t="shared" si="896"/>
        <v>MIC-7522-Z30xR</v>
      </c>
      <c r="B7203" t="s">
        <v>1523</v>
      </c>
      <c r="C7203" s="403" t="s">
        <v>582</v>
      </c>
      <c r="D7203" t="s">
        <v>1527</v>
      </c>
      <c r="E7203" t="s">
        <v>1526</v>
      </c>
      <c r="F7203" t="s">
        <v>1290</v>
      </c>
      <c r="G7203" t="s">
        <v>1525</v>
      </c>
      <c r="H7203" t="s">
        <v>1276</v>
      </c>
      <c r="I7203">
        <v>1</v>
      </c>
      <c r="J7203" t="s">
        <v>110</v>
      </c>
      <c r="K7203">
        <v>1920</v>
      </c>
      <c r="L7203">
        <v>1080</v>
      </c>
      <c r="M7203" t="s">
        <v>1289</v>
      </c>
      <c r="N7203">
        <v>1280</v>
      </c>
      <c r="O7203">
        <v>720</v>
      </c>
      <c r="P7203" t="str">
        <f t="shared" si="897"/>
        <v>50fps 1080p - 720p full frame rate</v>
      </c>
      <c r="Q7203">
        <f t="shared" si="898"/>
        <v>39</v>
      </c>
      <c r="R7203" t="str">
        <f t="shared" si="899"/>
        <v/>
      </c>
      <c r="S7203" t="str">
        <f t="shared" si="900"/>
        <v/>
      </c>
      <c r="T7203" s="403" t="str">
        <f t="shared" si="901"/>
        <v>MIC-7522-Z30xR</v>
      </c>
      <c r="U7203" s="403">
        <f t="shared" si="902"/>
        <v>1</v>
      </c>
      <c r="V7203" s="403" t="str">
        <f t="shared" si="903"/>
        <v>CPP_7_3</v>
      </c>
    </row>
    <row r="7204" spans="1:22">
      <c r="A7204" t="str">
        <f t="shared" si="896"/>
        <v>MIC-7522-Z30xR</v>
      </c>
      <c r="B7204" t="s">
        <v>1523</v>
      </c>
      <c r="C7204" s="403" t="s">
        <v>582</v>
      </c>
      <c r="D7204" t="s">
        <v>1527</v>
      </c>
      <c r="E7204" t="s">
        <v>1526</v>
      </c>
      <c r="F7204" t="s">
        <v>1290</v>
      </c>
      <c r="G7204" t="s">
        <v>1525</v>
      </c>
      <c r="H7204" t="s">
        <v>1276</v>
      </c>
      <c r="I7204">
        <v>1</v>
      </c>
      <c r="J7204" t="s">
        <v>110</v>
      </c>
      <c r="K7204">
        <v>1920</v>
      </c>
      <c r="L7204">
        <v>1080</v>
      </c>
      <c r="M7204" t="s">
        <v>1285</v>
      </c>
      <c r="N7204">
        <v>1280</v>
      </c>
      <c r="O7204">
        <v>1024</v>
      </c>
      <c r="P7204" t="str">
        <f t="shared" si="897"/>
        <v>50fps 1080p - 1280x1024 5:4 (cropped)</v>
      </c>
      <c r="Q7204">
        <f t="shared" si="898"/>
        <v>39</v>
      </c>
      <c r="R7204" t="str">
        <f t="shared" si="899"/>
        <v/>
      </c>
      <c r="S7204" t="str">
        <f t="shared" si="900"/>
        <v/>
      </c>
      <c r="T7204" s="403" t="str">
        <f t="shared" si="901"/>
        <v>MIC-7522-Z30xR</v>
      </c>
      <c r="U7204" s="403">
        <f t="shared" si="902"/>
        <v>1</v>
      </c>
      <c r="V7204" s="403" t="str">
        <f t="shared" si="903"/>
        <v>CPP_7_3</v>
      </c>
    </row>
    <row r="7205" spans="1:22">
      <c r="A7205" t="str">
        <f t="shared" si="896"/>
        <v>MIC-7522-Z30xR</v>
      </c>
      <c r="B7205" t="s">
        <v>1523</v>
      </c>
      <c r="C7205" s="403" t="s">
        <v>582</v>
      </c>
      <c r="D7205" t="s">
        <v>1527</v>
      </c>
      <c r="E7205" t="s">
        <v>1526</v>
      </c>
      <c r="F7205" t="s">
        <v>1290</v>
      </c>
      <c r="G7205" t="s">
        <v>1525</v>
      </c>
      <c r="H7205" t="s">
        <v>1276</v>
      </c>
      <c r="I7205">
        <v>1</v>
      </c>
      <c r="J7205" t="s">
        <v>110</v>
      </c>
      <c r="K7205">
        <v>1920</v>
      </c>
      <c r="L7205">
        <v>1080</v>
      </c>
      <c r="M7205" t="s">
        <v>1283</v>
      </c>
      <c r="N7205">
        <v>720</v>
      </c>
      <c r="O7205">
        <v>576</v>
      </c>
      <c r="P7205" t="str">
        <f t="shared" si="897"/>
        <v>50fps 1080p - SD 4CIF resolution 4:3 format (cropped)</v>
      </c>
      <c r="Q7205">
        <f t="shared" si="898"/>
        <v>39</v>
      </c>
      <c r="R7205" t="str">
        <f t="shared" si="899"/>
        <v/>
      </c>
      <c r="S7205" t="str">
        <f t="shared" si="900"/>
        <v/>
      </c>
      <c r="T7205" s="403" t="str">
        <f t="shared" si="901"/>
        <v>MIC-7522-Z30xR</v>
      </c>
      <c r="U7205" s="403">
        <f t="shared" si="902"/>
        <v>1</v>
      </c>
      <c r="V7205" s="403" t="str">
        <f t="shared" si="903"/>
        <v>CPP_7_3</v>
      </c>
    </row>
    <row r="7206" spans="1:22">
      <c r="A7206" t="str">
        <f t="shared" si="896"/>
        <v>MIC-7522-Z30xR</v>
      </c>
      <c r="B7206" t="s">
        <v>1523</v>
      </c>
      <c r="C7206" s="403" t="s">
        <v>582</v>
      </c>
      <c r="D7206" t="s">
        <v>1527</v>
      </c>
      <c r="E7206" t="s">
        <v>1526</v>
      </c>
      <c r="F7206" t="s">
        <v>1290</v>
      </c>
      <c r="G7206" t="s">
        <v>1525</v>
      </c>
      <c r="H7206" t="s">
        <v>1276</v>
      </c>
      <c r="I7206">
        <v>1</v>
      </c>
      <c r="J7206" t="s">
        <v>110</v>
      </c>
      <c r="K7206">
        <v>1920</v>
      </c>
      <c r="L7206">
        <v>1080</v>
      </c>
      <c r="M7206" t="s">
        <v>1284</v>
      </c>
      <c r="N7206">
        <v>640</v>
      </c>
      <c r="O7206">
        <v>480</v>
      </c>
      <c r="P7206" t="str">
        <f t="shared" si="897"/>
        <v>50fps 1080p - SD VGA (cropped)</v>
      </c>
      <c r="Q7206">
        <f t="shared" si="898"/>
        <v>39</v>
      </c>
      <c r="R7206" t="str">
        <f t="shared" si="899"/>
        <v/>
      </c>
      <c r="S7206" t="str">
        <f t="shared" si="900"/>
        <v/>
      </c>
      <c r="T7206" s="403" t="str">
        <f t="shared" si="901"/>
        <v>MIC-7522-Z30xR</v>
      </c>
      <c r="U7206" s="403">
        <f t="shared" si="902"/>
        <v>1</v>
      </c>
      <c r="V7206" s="403" t="str">
        <f t="shared" si="903"/>
        <v>CPP_7_3</v>
      </c>
    </row>
    <row r="7207" spans="1:22">
      <c r="A7207" t="str">
        <f t="shared" si="896"/>
        <v>MIC-7522-Z30xR</v>
      </c>
      <c r="B7207" t="s">
        <v>1523</v>
      </c>
      <c r="C7207" s="403" t="s">
        <v>582</v>
      </c>
      <c r="D7207" t="s">
        <v>1527</v>
      </c>
      <c r="E7207" t="s">
        <v>1526</v>
      </c>
      <c r="F7207" t="s">
        <v>1290</v>
      </c>
      <c r="G7207" t="s">
        <v>1525</v>
      </c>
      <c r="H7207" t="s">
        <v>1276</v>
      </c>
      <c r="I7207">
        <v>1</v>
      </c>
      <c r="J7207" t="s">
        <v>1289</v>
      </c>
      <c r="K7207">
        <v>1280</v>
      </c>
      <c r="L7207">
        <v>720</v>
      </c>
      <c r="M7207" t="s">
        <v>1289</v>
      </c>
      <c r="N7207">
        <v>1280</v>
      </c>
      <c r="O7207">
        <v>720</v>
      </c>
      <c r="P7207" t="str">
        <f t="shared" si="897"/>
        <v>50fps 720p full frame rate - 720p full frame rate</v>
      </c>
      <c r="Q7207">
        <f t="shared" si="898"/>
        <v>39</v>
      </c>
      <c r="R7207" t="str">
        <f t="shared" si="899"/>
        <v/>
      </c>
      <c r="S7207" t="str">
        <f t="shared" si="900"/>
        <v/>
      </c>
      <c r="T7207" s="403" t="str">
        <f t="shared" si="901"/>
        <v>MIC-7522-Z30xR</v>
      </c>
      <c r="U7207" s="403">
        <f t="shared" si="902"/>
        <v>1</v>
      </c>
      <c r="V7207" s="403" t="str">
        <f t="shared" si="903"/>
        <v>CPP_7_3</v>
      </c>
    </row>
    <row r="7208" spans="1:22">
      <c r="A7208" t="str">
        <f t="shared" si="896"/>
        <v>MIC-7522-Z30xR</v>
      </c>
      <c r="B7208" t="s">
        <v>1523</v>
      </c>
      <c r="C7208" s="403" t="s">
        <v>582</v>
      </c>
      <c r="D7208" t="s">
        <v>1527</v>
      </c>
      <c r="E7208" t="s">
        <v>1526</v>
      </c>
      <c r="F7208" t="s">
        <v>1290</v>
      </c>
      <c r="G7208" t="s">
        <v>1525</v>
      </c>
      <c r="H7208" t="s">
        <v>1276</v>
      </c>
      <c r="I7208">
        <v>1</v>
      </c>
      <c r="J7208" t="s">
        <v>1289</v>
      </c>
      <c r="K7208">
        <v>1280</v>
      </c>
      <c r="L7208">
        <v>720</v>
      </c>
      <c r="M7208" t="s">
        <v>111</v>
      </c>
      <c r="N7208">
        <v>768</v>
      </c>
      <c r="O7208">
        <v>432</v>
      </c>
      <c r="P7208" t="str">
        <f t="shared" si="897"/>
        <v>50fps 720p full frame rate - SD</v>
      </c>
      <c r="Q7208">
        <f t="shared" si="898"/>
        <v>39</v>
      </c>
      <c r="R7208" t="str">
        <f t="shared" si="899"/>
        <v/>
      </c>
      <c r="S7208" t="str">
        <f t="shared" si="900"/>
        <v/>
      </c>
      <c r="T7208" s="403" t="str">
        <f t="shared" si="901"/>
        <v>MIC-7522-Z30xR</v>
      </c>
      <c r="U7208" s="403">
        <f t="shared" si="902"/>
        <v>1</v>
      </c>
      <c r="V7208" s="403" t="str">
        <f t="shared" si="903"/>
        <v>CPP_7_3</v>
      </c>
    </row>
    <row r="7209" spans="1:22">
      <c r="A7209" t="str">
        <f t="shared" si="896"/>
        <v>MIC-7522-Z30xR</v>
      </c>
      <c r="B7209" t="s">
        <v>1523</v>
      </c>
      <c r="C7209" s="403" t="s">
        <v>582</v>
      </c>
      <c r="D7209" t="s">
        <v>1527</v>
      </c>
      <c r="E7209" t="s">
        <v>1526</v>
      </c>
      <c r="F7209" t="s">
        <v>1290</v>
      </c>
      <c r="G7209" t="s">
        <v>1525</v>
      </c>
      <c r="H7209" t="s">
        <v>1276</v>
      </c>
      <c r="I7209">
        <v>1</v>
      </c>
      <c r="J7209" t="s">
        <v>1289</v>
      </c>
      <c r="K7209">
        <v>1280</v>
      </c>
      <c r="L7209">
        <v>720</v>
      </c>
      <c r="M7209" t="s">
        <v>1283</v>
      </c>
      <c r="N7209">
        <v>720</v>
      </c>
      <c r="O7209">
        <v>576</v>
      </c>
      <c r="P7209" t="str">
        <f t="shared" si="897"/>
        <v>50fps 720p full frame rate - SD 4CIF resolution 4:3 format (cropped)</v>
      </c>
      <c r="Q7209">
        <f t="shared" si="898"/>
        <v>39</v>
      </c>
      <c r="R7209" t="str">
        <f t="shared" si="899"/>
        <v/>
      </c>
      <c r="S7209" t="str">
        <f t="shared" si="900"/>
        <v/>
      </c>
      <c r="T7209" s="403" t="str">
        <f t="shared" si="901"/>
        <v>MIC-7522-Z30xR</v>
      </c>
      <c r="U7209" s="403">
        <f t="shared" si="902"/>
        <v>1</v>
      </c>
      <c r="V7209" s="403" t="str">
        <f t="shared" si="903"/>
        <v>CPP_7_3</v>
      </c>
    </row>
    <row r="7210" spans="1:22">
      <c r="A7210" t="str">
        <f t="shared" ref="A7210:A7273" si="904">IF(AND(G7210&lt;&gt;"rotate 90°"),D7210,"")</f>
        <v>MIC-7522-Z30xR</v>
      </c>
      <c r="B7210" t="s">
        <v>1523</v>
      </c>
      <c r="C7210" s="403" t="s">
        <v>582</v>
      </c>
      <c r="D7210" t="s">
        <v>1527</v>
      </c>
      <c r="E7210" t="s">
        <v>1526</v>
      </c>
      <c r="F7210" t="s">
        <v>1290</v>
      </c>
      <c r="G7210" t="s">
        <v>1525</v>
      </c>
      <c r="H7210" t="s">
        <v>1276</v>
      </c>
      <c r="I7210">
        <v>1</v>
      </c>
      <c r="J7210" t="s">
        <v>1289</v>
      </c>
      <c r="K7210">
        <v>1280</v>
      </c>
      <c r="L7210">
        <v>720</v>
      </c>
      <c r="M7210" t="s">
        <v>1284</v>
      </c>
      <c r="N7210">
        <v>640</v>
      </c>
      <c r="O7210">
        <v>480</v>
      </c>
      <c r="P7210" t="str">
        <f t="shared" ref="P7210:P7273" si="905">LEFT(F7210,5)&amp;" "&amp;J7210&amp;" - "&amp;M7210</f>
        <v>50fps 720p full frame rate - SD VGA (cropped)</v>
      </c>
      <c r="Q7210">
        <f t="shared" ref="Q7210:Q7273" si="906">IF(A7209=A7210,Q7209,Q7209+1)</f>
        <v>39</v>
      </c>
      <c r="R7210" t="str">
        <f t="shared" ref="R7210:R7273" si="907">IF(Q7209&lt;&gt;Q7210,Q7210,"")</f>
        <v/>
      </c>
      <c r="S7210" t="str">
        <f t="shared" ref="S7210:S7273" si="908">IF(R7210&lt;&gt;"",B7210&amp;" ("&amp;D7210&amp;")","")</f>
        <v/>
      </c>
      <c r="T7210" s="403" t="str">
        <f t="shared" ref="T7210:T7273" si="909">D7210</f>
        <v>MIC-7522-Z30xR</v>
      </c>
      <c r="U7210" s="403">
        <f t="shared" ref="U7210:U7273" si="910">I7210</f>
        <v>1</v>
      </c>
      <c r="V7210" s="403" t="str">
        <f t="shared" ref="V7210:V7273" si="911">C7210</f>
        <v>CPP_7_3</v>
      </c>
    </row>
    <row r="7211" spans="1:22">
      <c r="A7211" t="str">
        <f t="shared" si="904"/>
        <v>MIC-7522-Z30xR</v>
      </c>
      <c r="B7211" t="s">
        <v>1523</v>
      </c>
      <c r="C7211" s="403" t="s">
        <v>582</v>
      </c>
      <c r="D7211" t="s">
        <v>1527</v>
      </c>
      <c r="E7211" t="s">
        <v>1526</v>
      </c>
      <c r="F7211" t="s">
        <v>1290</v>
      </c>
      <c r="G7211" t="s">
        <v>1525</v>
      </c>
      <c r="H7211" t="s">
        <v>1281</v>
      </c>
      <c r="I7211">
        <v>1</v>
      </c>
      <c r="J7211" t="s">
        <v>110</v>
      </c>
      <c r="K7211">
        <v>1920</v>
      </c>
      <c r="L7211">
        <v>1080</v>
      </c>
      <c r="M7211" t="s">
        <v>111</v>
      </c>
      <c r="N7211">
        <v>768</v>
      </c>
      <c r="O7211">
        <v>432</v>
      </c>
      <c r="P7211" t="str">
        <f t="shared" si="905"/>
        <v>50fps 1080p - SD</v>
      </c>
      <c r="Q7211">
        <f t="shared" si="906"/>
        <v>39</v>
      </c>
      <c r="R7211" t="str">
        <f t="shared" si="907"/>
        <v/>
      </c>
      <c r="S7211" t="str">
        <f t="shared" si="908"/>
        <v/>
      </c>
      <c r="T7211" s="403" t="str">
        <f t="shared" si="909"/>
        <v>MIC-7522-Z30xR</v>
      </c>
      <c r="U7211" s="403">
        <f t="shared" si="910"/>
        <v>1</v>
      </c>
      <c r="V7211" s="403" t="str">
        <f t="shared" si="911"/>
        <v>CPP_7_3</v>
      </c>
    </row>
    <row r="7212" spans="1:22">
      <c r="A7212" t="str">
        <f t="shared" si="904"/>
        <v>MIC-7522-Z30xR</v>
      </c>
      <c r="B7212" t="s">
        <v>1523</v>
      </c>
      <c r="C7212" s="403" t="s">
        <v>582</v>
      </c>
      <c r="D7212" t="s">
        <v>1527</v>
      </c>
      <c r="E7212" t="s">
        <v>1526</v>
      </c>
      <c r="F7212" t="s">
        <v>1290</v>
      </c>
      <c r="G7212" t="s">
        <v>1525</v>
      </c>
      <c r="H7212" t="s">
        <v>1281</v>
      </c>
      <c r="I7212">
        <v>1</v>
      </c>
      <c r="J7212" t="s">
        <v>110</v>
      </c>
      <c r="K7212">
        <v>1920</v>
      </c>
      <c r="L7212">
        <v>1080</v>
      </c>
      <c r="M7212" t="s">
        <v>1289</v>
      </c>
      <c r="N7212">
        <v>1280</v>
      </c>
      <c r="O7212">
        <v>720</v>
      </c>
      <c r="P7212" t="str">
        <f t="shared" si="905"/>
        <v>50fps 1080p - 720p full frame rate</v>
      </c>
      <c r="Q7212">
        <f t="shared" si="906"/>
        <v>39</v>
      </c>
      <c r="R7212" t="str">
        <f t="shared" si="907"/>
        <v/>
      </c>
      <c r="S7212" t="str">
        <f t="shared" si="908"/>
        <v/>
      </c>
      <c r="T7212" s="403" t="str">
        <f t="shared" si="909"/>
        <v>MIC-7522-Z30xR</v>
      </c>
      <c r="U7212" s="403">
        <f t="shared" si="910"/>
        <v>1</v>
      </c>
      <c r="V7212" s="403" t="str">
        <f t="shared" si="911"/>
        <v>CPP_7_3</v>
      </c>
    </row>
    <row r="7213" spans="1:22">
      <c r="A7213" t="str">
        <f t="shared" si="904"/>
        <v>MIC-7522-Z30xR</v>
      </c>
      <c r="B7213" t="s">
        <v>1523</v>
      </c>
      <c r="C7213" s="403" t="s">
        <v>582</v>
      </c>
      <c r="D7213" t="s">
        <v>1527</v>
      </c>
      <c r="E7213" t="s">
        <v>1526</v>
      </c>
      <c r="F7213" t="s">
        <v>1290</v>
      </c>
      <c r="G7213" t="s">
        <v>1525</v>
      </c>
      <c r="H7213" t="s">
        <v>1281</v>
      </c>
      <c r="I7213">
        <v>1</v>
      </c>
      <c r="J7213" t="s">
        <v>110</v>
      </c>
      <c r="K7213">
        <v>1920</v>
      </c>
      <c r="L7213">
        <v>1080</v>
      </c>
      <c r="M7213" t="s">
        <v>1283</v>
      </c>
      <c r="N7213">
        <v>720</v>
      </c>
      <c r="O7213">
        <v>576</v>
      </c>
      <c r="P7213" t="str">
        <f t="shared" si="905"/>
        <v>50fps 1080p - SD 4CIF resolution 4:3 format (cropped)</v>
      </c>
      <c r="Q7213">
        <f t="shared" si="906"/>
        <v>39</v>
      </c>
      <c r="R7213" t="str">
        <f t="shared" si="907"/>
        <v/>
      </c>
      <c r="S7213" t="str">
        <f t="shared" si="908"/>
        <v/>
      </c>
      <c r="T7213" s="403" t="str">
        <f t="shared" si="909"/>
        <v>MIC-7522-Z30xR</v>
      </c>
      <c r="U7213" s="403">
        <f t="shared" si="910"/>
        <v>1</v>
      </c>
      <c r="V7213" s="403" t="str">
        <f t="shared" si="911"/>
        <v>CPP_7_3</v>
      </c>
    </row>
    <row r="7214" spans="1:22">
      <c r="A7214" t="str">
        <f t="shared" si="904"/>
        <v>MIC-7522-Z30xR</v>
      </c>
      <c r="B7214" t="s">
        <v>1523</v>
      </c>
      <c r="C7214" s="403" t="s">
        <v>582</v>
      </c>
      <c r="D7214" t="s">
        <v>1527</v>
      </c>
      <c r="E7214" t="s">
        <v>1526</v>
      </c>
      <c r="F7214" t="s">
        <v>1290</v>
      </c>
      <c r="G7214" t="s">
        <v>1525</v>
      </c>
      <c r="H7214" t="s">
        <v>1281</v>
      </c>
      <c r="I7214">
        <v>1</v>
      </c>
      <c r="J7214" t="s">
        <v>110</v>
      </c>
      <c r="K7214">
        <v>1920</v>
      </c>
      <c r="L7214">
        <v>1080</v>
      </c>
      <c r="M7214" t="s">
        <v>1284</v>
      </c>
      <c r="N7214">
        <v>640</v>
      </c>
      <c r="O7214">
        <v>480</v>
      </c>
      <c r="P7214" t="str">
        <f t="shared" si="905"/>
        <v>50fps 1080p - SD VGA (cropped)</v>
      </c>
      <c r="Q7214">
        <f t="shared" si="906"/>
        <v>39</v>
      </c>
      <c r="R7214" t="str">
        <f t="shared" si="907"/>
        <v/>
      </c>
      <c r="S7214" t="str">
        <f t="shared" si="908"/>
        <v/>
      </c>
      <c r="T7214" s="403" t="str">
        <f t="shared" si="909"/>
        <v>MIC-7522-Z30xR</v>
      </c>
      <c r="U7214" s="403">
        <f t="shared" si="910"/>
        <v>1</v>
      </c>
      <c r="V7214" s="403" t="str">
        <f t="shared" si="911"/>
        <v>CPP_7_3</v>
      </c>
    </row>
    <row r="7215" spans="1:22">
      <c r="A7215" t="str">
        <f t="shared" si="904"/>
        <v>MIC-7522-Z30xR</v>
      </c>
      <c r="B7215" t="s">
        <v>1523</v>
      </c>
      <c r="C7215" s="403" t="s">
        <v>582</v>
      </c>
      <c r="D7215" t="s">
        <v>1527</v>
      </c>
      <c r="E7215" t="s">
        <v>1526</v>
      </c>
      <c r="F7215" t="s">
        <v>1290</v>
      </c>
      <c r="G7215" t="s">
        <v>1525</v>
      </c>
      <c r="H7215" t="s">
        <v>1281</v>
      </c>
      <c r="I7215">
        <v>1</v>
      </c>
      <c r="J7215" t="s">
        <v>1289</v>
      </c>
      <c r="K7215">
        <v>1280</v>
      </c>
      <c r="L7215">
        <v>720</v>
      </c>
      <c r="M7215" t="s">
        <v>1289</v>
      </c>
      <c r="N7215">
        <v>1280</v>
      </c>
      <c r="O7215">
        <v>720</v>
      </c>
      <c r="P7215" t="str">
        <f t="shared" si="905"/>
        <v>50fps 720p full frame rate - 720p full frame rate</v>
      </c>
      <c r="Q7215">
        <f t="shared" si="906"/>
        <v>39</v>
      </c>
      <c r="R7215" t="str">
        <f t="shared" si="907"/>
        <v/>
      </c>
      <c r="S7215" t="str">
        <f t="shared" si="908"/>
        <v/>
      </c>
      <c r="T7215" s="403" t="str">
        <f t="shared" si="909"/>
        <v>MIC-7522-Z30xR</v>
      </c>
      <c r="U7215" s="403">
        <f t="shared" si="910"/>
        <v>1</v>
      </c>
      <c r="V7215" s="403" t="str">
        <f t="shared" si="911"/>
        <v>CPP_7_3</v>
      </c>
    </row>
    <row r="7216" spans="1:22">
      <c r="A7216" t="str">
        <f t="shared" si="904"/>
        <v>MIC-7522-Z30xR</v>
      </c>
      <c r="B7216" t="s">
        <v>1523</v>
      </c>
      <c r="C7216" s="403" t="s">
        <v>582</v>
      </c>
      <c r="D7216" t="s">
        <v>1527</v>
      </c>
      <c r="E7216" t="s">
        <v>1526</v>
      </c>
      <c r="F7216" t="s">
        <v>1290</v>
      </c>
      <c r="G7216" t="s">
        <v>1525</v>
      </c>
      <c r="H7216" t="s">
        <v>1281</v>
      </c>
      <c r="I7216">
        <v>1</v>
      </c>
      <c r="J7216" t="s">
        <v>1289</v>
      </c>
      <c r="K7216">
        <v>1280</v>
      </c>
      <c r="L7216">
        <v>720</v>
      </c>
      <c r="M7216" t="s">
        <v>111</v>
      </c>
      <c r="N7216">
        <v>768</v>
      </c>
      <c r="O7216">
        <v>432</v>
      </c>
      <c r="P7216" t="str">
        <f t="shared" si="905"/>
        <v>50fps 720p full frame rate - SD</v>
      </c>
      <c r="Q7216">
        <f t="shared" si="906"/>
        <v>39</v>
      </c>
      <c r="R7216" t="str">
        <f t="shared" si="907"/>
        <v/>
      </c>
      <c r="S7216" t="str">
        <f t="shared" si="908"/>
        <v/>
      </c>
      <c r="T7216" s="403" t="str">
        <f t="shared" si="909"/>
        <v>MIC-7522-Z30xR</v>
      </c>
      <c r="U7216" s="403">
        <f t="shared" si="910"/>
        <v>1</v>
      </c>
      <c r="V7216" s="403" t="str">
        <f t="shared" si="911"/>
        <v>CPP_7_3</v>
      </c>
    </row>
    <row r="7217" spans="1:22">
      <c r="A7217" t="str">
        <f t="shared" si="904"/>
        <v>MIC-7522-Z30xR</v>
      </c>
      <c r="B7217" t="s">
        <v>1523</v>
      </c>
      <c r="C7217" s="403" t="s">
        <v>582</v>
      </c>
      <c r="D7217" t="s">
        <v>1527</v>
      </c>
      <c r="E7217" t="s">
        <v>1526</v>
      </c>
      <c r="F7217" t="s">
        <v>1290</v>
      </c>
      <c r="G7217" t="s">
        <v>1525</v>
      </c>
      <c r="H7217" t="s">
        <v>1281</v>
      </c>
      <c r="I7217">
        <v>1</v>
      </c>
      <c r="J7217" t="s">
        <v>1289</v>
      </c>
      <c r="K7217">
        <v>1280</v>
      </c>
      <c r="L7217">
        <v>720</v>
      </c>
      <c r="M7217" t="s">
        <v>1283</v>
      </c>
      <c r="N7217">
        <v>720</v>
      </c>
      <c r="O7217">
        <v>576</v>
      </c>
      <c r="P7217" t="str">
        <f t="shared" si="905"/>
        <v>50fps 720p full frame rate - SD 4CIF resolution 4:3 format (cropped)</v>
      </c>
      <c r="Q7217">
        <f t="shared" si="906"/>
        <v>39</v>
      </c>
      <c r="R7217" t="str">
        <f t="shared" si="907"/>
        <v/>
      </c>
      <c r="S7217" t="str">
        <f t="shared" si="908"/>
        <v/>
      </c>
      <c r="T7217" s="403" t="str">
        <f t="shared" si="909"/>
        <v>MIC-7522-Z30xR</v>
      </c>
      <c r="U7217" s="403">
        <f t="shared" si="910"/>
        <v>1</v>
      </c>
      <c r="V7217" s="403" t="str">
        <f t="shared" si="911"/>
        <v>CPP_7_3</v>
      </c>
    </row>
    <row r="7218" spans="1:22">
      <c r="A7218" t="str">
        <f t="shared" si="904"/>
        <v>MIC-7522-Z30xR</v>
      </c>
      <c r="B7218" t="s">
        <v>1523</v>
      </c>
      <c r="C7218" s="403" t="s">
        <v>582</v>
      </c>
      <c r="D7218" t="s">
        <v>1527</v>
      </c>
      <c r="E7218" t="s">
        <v>1526</v>
      </c>
      <c r="F7218" t="s">
        <v>1290</v>
      </c>
      <c r="G7218" t="s">
        <v>1525</v>
      </c>
      <c r="H7218" t="s">
        <v>1281</v>
      </c>
      <c r="I7218">
        <v>1</v>
      </c>
      <c r="J7218" t="s">
        <v>1289</v>
      </c>
      <c r="K7218">
        <v>1280</v>
      </c>
      <c r="L7218">
        <v>720</v>
      </c>
      <c r="M7218" t="s">
        <v>1284</v>
      </c>
      <c r="N7218">
        <v>640</v>
      </c>
      <c r="O7218">
        <v>480</v>
      </c>
      <c r="P7218" t="str">
        <f t="shared" si="905"/>
        <v>50fps 720p full frame rate - SD VGA (cropped)</v>
      </c>
      <c r="Q7218">
        <f t="shared" si="906"/>
        <v>39</v>
      </c>
      <c r="R7218" t="str">
        <f t="shared" si="907"/>
        <v/>
      </c>
      <c r="S7218" t="str">
        <f t="shared" si="908"/>
        <v/>
      </c>
      <c r="T7218" s="403" t="str">
        <f t="shared" si="909"/>
        <v>MIC-7522-Z30xR</v>
      </c>
      <c r="U7218" s="403">
        <f t="shared" si="910"/>
        <v>1</v>
      </c>
      <c r="V7218" s="403" t="str">
        <f t="shared" si="911"/>
        <v>CPP_7_3</v>
      </c>
    </row>
    <row r="7219" spans="1:22">
      <c r="A7219" t="str">
        <f t="shared" si="904"/>
        <v>MIC-7522-Z30xR</v>
      </c>
      <c r="B7219" t="s">
        <v>1523</v>
      </c>
      <c r="C7219" s="403" t="s">
        <v>582</v>
      </c>
      <c r="D7219" t="s">
        <v>1527</v>
      </c>
      <c r="E7219" t="s">
        <v>1526</v>
      </c>
      <c r="F7219" t="s">
        <v>1290</v>
      </c>
      <c r="G7219" t="s">
        <v>1525</v>
      </c>
      <c r="H7219" t="s">
        <v>1282</v>
      </c>
      <c r="I7219">
        <v>1</v>
      </c>
      <c r="J7219" t="s">
        <v>110</v>
      </c>
      <c r="K7219">
        <v>1920</v>
      </c>
      <c r="L7219">
        <v>1080</v>
      </c>
      <c r="M7219" t="s">
        <v>111</v>
      </c>
      <c r="N7219">
        <v>768</v>
      </c>
      <c r="O7219">
        <v>432</v>
      </c>
      <c r="P7219" t="str">
        <f t="shared" si="905"/>
        <v>50fps 1080p - SD</v>
      </c>
      <c r="Q7219">
        <f t="shared" si="906"/>
        <v>39</v>
      </c>
      <c r="R7219" t="str">
        <f t="shared" si="907"/>
        <v/>
      </c>
      <c r="S7219" t="str">
        <f t="shared" si="908"/>
        <v/>
      </c>
      <c r="T7219" s="403" t="str">
        <f t="shared" si="909"/>
        <v>MIC-7522-Z30xR</v>
      </c>
      <c r="U7219" s="403">
        <f t="shared" si="910"/>
        <v>1</v>
      </c>
      <c r="V7219" s="403" t="str">
        <f t="shared" si="911"/>
        <v>CPP_7_3</v>
      </c>
    </row>
    <row r="7220" spans="1:22">
      <c r="A7220" t="str">
        <f t="shared" si="904"/>
        <v>MIC-7522-Z30xR</v>
      </c>
      <c r="B7220" t="s">
        <v>1523</v>
      </c>
      <c r="C7220" s="403" t="s">
        <v>582</v>
      </c>
      <c r="D7220" t="s">
        <v>1527</v>
      </c>
      <c r="E7220" t="s">
        <v>1526</v>
      </c>
      <c r="F7220" t="s">
        <v>1290</v>
      </c>
      <c r="G7220" t="s">
        <v>1525</v>
      </c>
      <c r="H7220" t="s">
        <v>1282</v>
      </c>
      <c r="I7220">
        <v>1</v>
      </c>
      <c r="J7220" t="s">
        <v>110</v>
      </c>
      <c r="K7220">
        <v>1920</v>
      </c>
      <c r="L7220">
        <v>1080</v>
      </c>
      <c r="M7220" t="s">
        <v>110</v>
      </c>
      <c r="N7220">
        <v>1920</v>
      </c>
      <c r="O7220">
        <v>1080</v>
      </c>
      <c r="P7220" t="str">
        <f t="shared" si="905"/>
        <v>50fps 1080p - 1080p</v>
      </c>
      <c r="Q7220">
        <f t="shared" si="906"/>
        <v>39</v>
      </c>
      <c r="R7220" t="str">
        <f t="shared" si="907"/>
        <v/>
      </c>
      <c r="S7220" t="str">
        <f t="shared" si="908"/>
        <v/>
      </c>
      <c r="T7220" s="403" t="str">
        <f t="shared" si="909"/>
        <v>MIC-7522-Z30xR</v>
      </c>
      <c r="U7220" s="403">
        <f t="shared" si="910"/>
        <v>1</v>
      </c>
      <c r="V7220" s="403" t="str">
        <f t="shared" si="911"/>
        <v>CPP_7_3</v>
      </c>
    </row>
    <row r="7221" spans="1:22">
      <c r="A7221" t="str">
        <f t="shared" si="904"/>
        <v>MIC-7522-Z30xR</v>
      </c>
      <c r="B7221" t="s">
        <v>1523</v>
      </c>
      <c r="C7221" s="403" t="s">
        <v>582</v>
      </c>
      <c r="D7221" t="s">
        <v>1527</v>
      </c>
      <c r="E7221" t="s">
        <v>1526</v>
      </c>
      <c r="F7221" t="s">
        <v>1290</v>
      </c>
      <c r="G7221" t="s">
        <v>1525</v>
      </c>
      <c r="H7221" t="s">
        <v>1282</v>
      </c>
      <c r="I7221">
        <v>1</v>
      </c>
      <c r="J7221" t="s">
        <v>110</v>
      </c>
      <c r="K7221">
        <v>1920</v>
      </c>
      <c r="L7221">
        <v>1080</v>
      </c>
      <c r="M7221" t="s">
        <v>1289</v>
      </c>
      <c r="N7221">
        <v>1280</v>
      </c>
      <c r="O7221">
        <v>720</v>
      </c>
      <c r="P7221" t="str">
        <f t="shared" si="905"/>
        <v>50fps 1080p - 720p full frame rate</v>
      </c>
      <c r="Q7221">
        <f t="shared" si="906"/>
        <v>39</v>
      </c>
      <c r="R7221" t="str">
        <f t="shared" si="907"/>
        <v/>
      </c>
      <c r="S7221" t="str">
        <f t="shared" si="908"/>
        <v/>
      </c>
      <c r="T7221" s="403" t="str">
        <f t="shared" si="909"/>
        <v>MIC-7522-Z30xR</v>
      </c>
      <c r="U7221" s="403">
        <f t="shared" si="910"/>
        <v>1</v>
      </c>
      <c r="V7221" s="403" t="str">
        <f t="shared" si="911"/>
        <v>CPP_7_3</v>
      </c>
    </row>
    <row r="7222" spans="1:22">
      <c r="A7222" t="str">
        <f t="shared" si="904"/>
        <v>MIC-7522-Z30xR</v>
      </c>
      <c r="B7222" t="s">
        <v>1523</v>
      </c>
      <c r="C7222" s="403" t="s">
        <v>582</v>
      </c>
      <c r="D7222" t="s">
        <v>1527</v>
      </c>
      <c r="E7222" t="s">
        <v>1526</v>
      </c>
      <c r="F7222" t="s">
        <v>1290</v>
      </c>
      <c r="G7222" t="s">
        <v>1525</v>
      </c>
      <c r="H7222" t="s">
        <v>1282</v>
      </c>
      <c r="I7222">
        <v>1</v>
      </c>
      <c r="J7222" t="s">
        <v>110</v>
      </c>
      <c r="K7222">
        <v>1920</v>
      </c>
      <c r="L7222">
        <v>1080</v>
      </c>
      <c r="M7222" t="s">
        <v>1285</v>
      </c>
      <c r="N7222">
        <v>1280</v>
      </c>
      <c r="O7222">
        <v>1024</v>
      </c>
      <c r="P7222" t="str">
        <f t="shared" si="905"/>
        <v>50fps 1080p - 1280x1024 5:4 (cropped)</v>
      </c>
      <c r="Q7222">
        <f t="shared" si="906"/>
        <v>39</v>
      </c>
      <c r="R7222" t="str">
        <f t="shared" si="907"/>
        <v/>
      </c>
      <c r="S7222" t="str">
        <f t="shared" si="908"/>
        <v/>
      </c>
      <c r="T7222" s="403" t="str">
        <f t="shared" si="909"/>
        <v>MIC-7522-Z30xR</v>
      </c>
      <c r="U7222" s="403">
        <f t="shared" si="910"/>
        <v>1</v>
      </c>
      <c r="V7222" s="403" t="str">
        <f t="shared" si="911"/>
        <v>CPP_7_3</v>
      </c>
    </row>
    <row r="7223" spans="1:22">
      <c r="A7223" t="str">
        <f t="shared" si="904"/>
        <v>MIC-7522-Z30xR</v>
      </c>
      <c r="B7223" t="s">
        <v>1523</v>
      </c>
      <c r="C7223" s="403" t="s">
        <v>582</v>
      </c>
      <c r="D7223" t="s">
        <v>1527</v>
      </c>
      <c r="E7223" t="s">
        <v>1526</v>
      </c>
      <c r="F7223" t="s">
        <v>1290</v>
      </c>
      <c r="G7223" t="s">
        <v>1525</v>
      </c>
      <c r="H7223" t="s">
        <v>1282</v>
      </c>
      <c r="I7223">
        <v>1</v>
      </c>
      <c r="J7223" t="s">
        <v>110</v>
      </c>
      <c r="K7223">
        <v>1920</v>
      </c>
      <c r="L7223">
        <v>1080</v>
      </c>
      <c r="M7223" t="s">
        <v>1283</v>
      </c>
      <c r="N7223">
        <v>720</v>
      </c>
      <c r="O7223">
        <v>576</v>
      </c>
      <c r="P7223" t="str">
        <f t="shared" si="905"/>
        <v>50fps 1080p - SD 4CIF resolution 4:3 format (cropped)</v>
      </c>
      <c r="Q7223">
        <f t="shared" si="906"/>
        <v>39</v>
      </c>
      <c r="R7223" t="str">
        <f t="shared" si="907"/>
        <v/>
      </c>
      <c r="S7223" t="str">
        <f t="shared" si="908"/>
        <v/>
      </c>
      <c r="T7223" s="403" t="str">
        <f t="shared" si="909"/>
        <v>MIC-7522-Z30xR</v>
      </c>
      <c r="U7223" s="403">
        <f t="shared" si="910"/>
        <v>1</v>
      </c>
      <c r="V7223" s="403" t="str">
        <f t="shared" si="911"/>
        <v>CPP_7_3</v>
      </c>
    </row>
    <row r="7224" spans="1:22">
      <c r="A7224" t="str">
        <f t="shared" si="904"/>
        <v>MIC-7522-Z30xR</v>
      </c>
      <c r="B7224" t="s">
        <v>1523</v>
      </c>
      <c r="C7224" s="403" t="s">
        <v>582</v>
      </c>
      <c r="D7224" t="s">
        <v>1527</v>
      </c>
      <c r="E7224" t="s">
        <v>1526</v>
      </c>
      <c r="F7224" t="s">
        <v>1290</v>
      </c>
      <c r="G7224" t="s">
        <v>1525</v>
      </c>
      <c r="H7224" t="s">
        <v>1282</v>
      </c>
      <c r="I7224">
        <v>1</v>
      </c>
      <c r="J7224" t="s">
        <v>110</v>
      </c>
      <c r="K7224">
        <v>1920</v>
      </c>
      <c r="L7224">
        <v>1080</v>
      </c>
      <c r="M7224" t="s">
        <v>1284</v>
      </c>
      <c r="N7224">
        <v>640</v>
      </c>
      <c r="O7224">
        <v>480</v>
      </c>
      <c r="P7224" t="str">
        <f t="shared" si="905"/>
        <v>50fps 1080p - SD VGA (cropped)</v>
      </c>
      <c r="Q7224">
        <f t="shared" si="906"/>
        <v>39</v>
      </c>
      <c r="R7224" t="str">
        <f t="shared" si="907"/>
        <v/>
      </c>
      <c r="S7224" t="str">
        <f t="shared" si="908"/>
        <v/>
      </c>
      <c r="T7224" s="403" t="str">
        <f t="shared" si="909"/>
        <v>MIC-7522-Z30xR</v>
      </c>
      <c r="U7224" s="403">
        <f t="shared" si="910"/>
        <v>1</v>
      </c>
      <c r="V7224" s="403" t="str">
        <f t="shared" si="911"/>
        <v>CPP_7_3</v>
      </c>
    </row>
    <row r="7225" spans="1:22">
      <c r="A7225" t="str">
        <f t="shared" si="904"/>
        <v>MIC-7522-Z30xR</v>
      </c>
      <c r="B7225" t="s">
        <v>1523</v>
      </c>
      <c r="C7225" s="403" t="s">
        <v>582</v>
      </c>
      <c r="D7225" t="s">
        <v>1527</v>
      </c>
      <c r="E7225" t="s">
        <v>1526</v>
      </c>
      <c r="F7225" t="s">
        <v>1290</v>
      </c>
      <c r="G7225" t="s">
        <v>1525</v>
      </c>
      <c r="H7225" t="s">
        <v>1282</v>
      </c>
      <c r="I7225">
        <v>1</v>
      </c>
      <c r="J7225" t="s">
        <v>1289</v>
      </c>
      <c r="K7225">
        <v>1280</v>
      </c>
      <c r="L7225">
        <v>720</v>
      </c>
      <c r="M7225" t="s">
        <v>1289</v>
      </c>
      <c r="N7225">
        <v>1280</v>
      </c>
      <c r="O7225">
        <v>720</v>
      </c>
      <c r="P7225" t="str">
        <f t="shared" si="905"/>
        <v>50fps 720p full frame rate - 720p full frame rate</v>
      </c>
      <c r="Q7225">
        <f t="shared" si="906"/>
        <v>39</v>
      </c>
      <c r="R7225" t="str">
        <f t="shared" si="907"/>
        <v/>
      </c>
      <c r="S7225" t="str">
        <f t="shared" si="908"/>
        <v/>
      </c>
      <c r="T7225" s="403" t="str">
        <f t="shared" si="909"/>
        <v>MIC-7522-Z30xR</v>
      </c>
      <c r="U7225" s="403">
        <f t="shared" si="910"/>
        <v>1</v>
      </c>
      <c r="V7225" s="403" t="str">
        <f t="shared" si="911"/>
        <v>CPP_7_3</v>
      </c>
    </row>
    <row r="7226" spans="1:22">
      <c r="A7226" t="str">
        <f t="shared" si="904"/>
        <v>MIC-7522-Z30xR</v>
      </c>
      <c r="B7226" t="s">
        <v>1523</v>
      </c>
      <c r="C7226" s="403" t="s">
        <v>582</v>
      </c>
      <c r="D7226" t="s">
        <v>1527</v>
      </c>
      <c r="E7226" t="s">
        <v>1526</v>
      </c>
      <c r="F7226" t="s">
        <v>1290</v>
      </c>
      <c r="G7226" t="s">
        <v>1525</v>
      </c>
      <c r="H7226" t="s">
        <v>1282</v>
      </c>
      <c r="I7226">
        <v>1</v>
      </c>
      <c r="J7226" t="s">
        <v>1289</v>
      </c>
      <c r="K7226">
        <v>1280</v>
      </c>
      <c r="L7226">
        <v>720</v>
      </c>
      <c r="M7226" t="s">
        <v>111</v>
      </c>
      <c r="N7226">
        <v>768</v>
      </c>
      <c r="O7226">
        <v>432</v>
      </c>
      <c r="P7226" t="str">
        <f t="shared" si="905"/>
        <v>50fps 720p full frame rate - SD</v>
      </c>
      <c r="Q7226">
        <f t="shared" si="906"/>
        <v>39</v>
      </c>
      <c r="R7226" t="str">
        <f t="shared" si="907"/>
        <v/>
      </c>
      <c r="S7226" t="str">
        <f t="shared" si="908"/>
        <v/>
      </c>
      <c r="T7226" s="403" t="str">
        <f t="shared" si="909"/>
        <v>MIC-7522-Z30xR</v>
      </c>
      <c r="U7226" s="403">
        <f t="shared" si="910"/>
        <v>1</v>
      </c>
      <c r="V7226" s="403" t="str">
        <f t="shared" si="911"/>
        <v>CPP_7_3</v>
      </c>
    </row>
    <row r="7227" spans="1:22">
      <c r="A7227" t="str">
        <f t="shared" si="904"/>
        <v>MIC-7522-Z30xR</v>
      </c>
      <c r="B7227" t="s">
        <v>1523</v>
      </c>
      <c r="C7227" s="403" t="s">
        <v>582</v>
      </c>
      <c r="D7227" t="s">
        <v>1527</v>
      </c>
      <c r="E7227" t="s">
        <v>1526</v>
      </c>
      <c r="F7227" t="s">
        <v>1290</v>
      </c>
      <c r="G7227" t="s">
        <v>1525</v>
      </c>
      <c r="H7227" t="s">
        <v>1282</v>
      </c>
      <c r="I7227">
        <v>1</v>
      </c>
      <c r="J7227" t="s">
        <v>1289</v>
      </c>
      <c r="K7227">
        <v>1280</v>
      </c>
      <c r="L7227">
        <v>720</v>
      </c>
      <c r="M7227" t="s">
        <v>1283</v>
      </c>
      <c r="N7227">
        <v>720</v>
      </c>
      <c r="O7227">
        <v>576</v>
      </c>
      <c r="P7227" t="str">
        <f t="shared" si="905"/>
        <v>50fps 720p full frame rate - SD 4CIF resolution 4:3 format (cropped)</v>
      </c>
      <c r="Q7227">
        <f t="shared" si="906"/>
        <v>39</v>
      </c>
      <c r="R7227" t="str">
        <f t="shared" si="907"/>
        <v/>
      </c>
      <c r="S7227" t="str">
        <f t="shared" si="908"/>
        <v/>
      </c>
      <c r="T7227" s="403" t="str">
        <f t="shared" si="909"/>
        <v>MIC-7522-Z30xR</v>
      </c>
      <c r="U7227" s="403">
        <f t="shared" si="910"/>
        <v>1</v>
      </c>
      <c r="V7227" s="403" t="str">
        <f t="shared" si="911"/>
        <v>CPP_7_3</v>
      </c>
    </row>
    <row r="7228" spans="1:22">
      <c r="A7228" t="str">
        <f t="shared" si="904"/>
        <v>MIC-7522-Z30xR</v>
      </c>
      <c r="B7228" t="s">
        <v>1523</v>
      </c>
      <c r="C7228" s="403" t="s">
        <v>582</v>
      </c>
      <c r="D7228" t="s">
        <v>1527</v>
      </c>
      <c r="E7228" t="s">
        <v>1526</v>
      </c>
      <c r="F7228" t="s">
        <v>1290</v>
      </c>
      <c r="G7228" t="s">
        <v>1525</v>
      </c>
      <c r="H7228" t="s">
        <v>1282</v>
      </c>
      <c r="I7228">
        <v>1</v>
      </c>
      <c r="J7228" t="s">
        <v>1289</v>
      </c>
      <c r="K7228">
        <v>1280</v>
      </c>
      <c r="L7228">
        <v>720</v>
      </c>
      <c r="M7228" t="s">
        <v>1284</v>
      </c>
      <c r="N7228">
        <v>640</v>
      </c>
      <c r="O7228">
        <v>480</v>
      </c>
      <c r="P7228" t="str">
        <f t="shared" si="905"/>
        <v>50fps 720p full frame rate - SD VGA (cropped)</v>
      </c>
      <c r="Q7228">
        <f t="shared" si="906"/>
        <v>39</v>
      </c>
      <c r="R7228" t="str">
        <f t="shared" si="907"/>
        <v/>
      </c>
      <c r="S7228" t="str">
        <f t="shared" si="908"/>
        <v/>
      </c>
      <c r="T7228" s="403" t="str">
        <f t="shared" si="909"/>
        <v>MIC-7522-Z30xR</v>
      </c>
      <c r="U7228" s="403">
        <f t="shared" si="910"/>
        <v>1</v>
      </c>
      <c r="V7228" s="403" t="str">
        <f t="shared" si="911"/>
        <v>CPP_7_3</v>
      </c>
    </row>
    <row r="7229" spans="1:22">
      <c r="A7229" t="str">
        <f t="shared" si="904"/>
        <v>MIC-7522-Z30xR</v>
      </c>
      <c r="B7229" t="s">
        <v>1523</v>
      </c>
      <c r="C7229" s="403" t="s">
        <v>582</v>
      </c>
      <c r="D7229" t="s">
        <v>1527</v>
      </c>
      <c r="E7229" t="s">
        <v>1526</v>
      </c>
      <c r="F7229" t="s">
        <v>1288</v>
      </c>
      <c r="G7229" t="s">
        <v>1525</v>
      </c>
      <c r="H7229" t="s">
        <v>1276</v>
      </c>
      <c r="I7229">
        <v>1</v>
      </c>
      <c r="J7229" t="s">
        <v>110</v>
      </c>
      <c r="K7229">
        <v>1920</v>
      </c>
      <c r="L7229">
        <v>1080</v>
      </c>
      <c r="M7229" t="s">
        <v>111</v>
      </c>
      <c r="N7229">
        <v>768</v>
      </c>
      <c r="O7229">
        <v>432</v>
      </c>
      <c r="P7229" t="str">
        <f t="shared" si="905"/>
        <v>60fps 1080p - SD</v>
      </c>
      <c r="Q7229">
        <f t="shared" si="906"/>
        <v>39</v>
      </c>
      <c r="R7229" t="str">
        <f t="shared" si="907"/>
        <v/>
      </c>
      <c r="S7229" t="str">
        <f t="shared" si="908"/>
        <v/>
      </c>
      <c r="T7229" s="403" t="str">
        <f t="shared" si="909"/>
        <v>MIC-7522-Z30xR</v>
      </c>
      <c r="U7229" s="403">
        <f t="shared" si="910"/>
        <v>1</v>
      </c>
      <c r="V7229" s="403" t="str">
        <f t="shared" si="911"/>
        <v>CPP_7_3</v>
      </c>
    </row>
    <row r="7230" spans="1:22">
      <c r="A7230" t="str">
        <f t="shared" si="904"/>
        <v>MIC-7522-Z30xR</v>
      </c>
      <c r="B7230" t="s">
        <v>1523</v>
      </c>
      <c r="C7230" s="403" t="s">
        <v>582</v>
      </c>
      <c r="D7230" t="s">
        <v>1527</v>
      </c>
      <c r="E7230" t="s">
        <v>1526</v>
      </c>
      <c r="F7230" t="s">
        <v>1288</v>
      </c>
      <c r="G7230" t="s">
        <v>1525</v>
      </c>
      <c r="H7230" t="s">
        <v>1276</v>
      </c>
      <c r="I7230">
        <v>1</v>
      </c>
      <c r="J7230" t="s">
        <v>110</v>
      </c>
      <c r="K7230">
        <v>1920</v>
      </c>
      <c r="L7230">
        <v>1080</v>
      </c>
      <c r="M7230" t="s">
        <v>110</v>
      </c>
      <c r="N7230">
        <v>1920</v>
      </c>
      <c r="O7230">
        <v>1080</v>
      </c>
      <c r="P7230" t="str">
        <f t="shared" si="905"/>
        <v>60fps 1080p - 1080p</v>
      </c>
      <c r="Q7230">
        <f t="shared" si="906"/>
        <v>39</v>
      </c>
      <c r="R7230" t="str">
        <f t="shared" si="907"/>
        <v/>
      </c>
      <c r="S7230" t="str">
        <f t="shared" si="908"/>
        <v/>
      </c>
      <c r="T7230" s="403" t="str">
        <f t="shared" si="909"/>
        <v>MIC-7522-Z30xR</v>
      </c>
      <c r="U7230" s="403">
        <f t="shared" si="910"/>
        <v>1</v>
      </c>
      <c r="V7230" s="403" t="str">
        <f t="shared" si="911"/>
        <v>CPP_7_3</v>
      </c>
    </row>
    <row r="7231" spans="1:22">
      <c r="A7231" t="str">
        <f t="shared" si="904"/>
        <v>MIC-7522-Z30xR</v>
      </c>
      <c r="B7231" t="s">
        <v>1523</v>
      </c>
      <c r="C7231" s="403" t="s">
        <v>582</v>
      </c>
      <c r="D7231" t="s">
        <v>1527</v>
      </c>
      <c r="E7231" t="s">
        <v>1526</v>
      </c>
      <c r="F7231" t="s">
        <v>1288</v>
      </c>
      <c r="G7231" t="s">
        <v>1525</v>
      </c>
      <c r="H7231" t="s">
        <v>1276</v>
      </c>
      <c r="I7231">
        <v>1</v>
      </c>
      <c r="J7231" t="s">
        <v>110</v>
      </c>
      <c r="K7231">
        <v>1920</v>
      </c>
      <c r="L7231">
        <v>1080</v>
      </c>
      <c r="M7231" t="s">
        <v>1289</v>
      </c>
      <c r="N7231">
        <v>1280</v>
      </c>
      <c r="O7231">
        <v>720</v>
      </c>
      <c r="P7231" t="str">
        <f t="shared" si="905"/>
        <v>60fps 1080p - 720p full frame rate</v>
      </c>
      <c r="Q7231">
        <f t="shared" si="906"/>
        <v>39</v>
      </c>
      <c r="R7231" t="str">
        <f t="shared" si="907"/>
        <v/>
      </c>
      <c r="S7231" t="str">
        <f t="shared" si="908"/>
        <v/>
      </c>
      <c r="T7231" s="403" t="str">
        <f t="shared" si="909"/>
        <v>MIC-7522-Z30xR</v>
      </c>
      <c r="U7231" s="403">
        <f t="shared" si="910"/>
        <v>1</v>
      </c>
      <c r="V7231" s="403" t="str">
        <f t="shared" si="911"/>
        <v>CPP_7_3</v>
      </c>
    </row>
    <row r="7232" spans="1:22">
      <c r="A7232" t="str">
        <f t="shared" si="904"/>
        <v>MIC-7522-Z30xR</v>
      </c>
      <c r="B7232" t="s">
        <v>1523</v>
      </c>
      <c r="C7232" s="403" t="s">
        <v>582</v>
      </c>
      <c r="D7232" t="s">
        <v>1527</v>
      </c>
      <c r="E7232" t="s">
        <v>1526</v>
      </c>
      <c r="F7232" t="s">
        <v>1288</v>
      </c>
      <c r="G7232" t="s">
        <v>1525</v>
      </c>
      <c r="H7232" t="s">
        <v>1276</v>
      </c>
      <c r="I7232">
        <v>1</v>
      </c>
      <c r="J7232" t="s">
        <v>110</v>
      </c>
      <c r="K7232">
        <v>1920</v>
      </c>
      <c r="L7232">
        <v>1080</v>
      </c>
      <c r="M7232" t="s">
        <v>1285</v>
      </c>
      <c r="N7232">
        <v>1280</v>
      </c>
      <c r="O7232">
        <v>1024</v>
      </c>
      <c r="P7232" t="str">
        <f t="shared" si="905"/>
        <v>60fps 1080p - 1280x1024 5:4 (cropped)</v>
      </c>
      <c r="Q7232">
        <f t="shared" si="906"/>
        <v>39</v>
      </c>
      <c r="R7232" t="str">
        <f t="shared" si="907"/>
        <v/>
      </c>
      <c r="S7232" t="str">
        <f t="shared" si="908"/>
        <v/>
      </c>
      <c r="T7232" s="403" t="str">
        <f t="shared" si="909"/>
        <v>MIC-7522-Z30xR</v>
      </c>
      <c r="U7232" s="403">
        <f t="shared" si="910"/>
        <v>1</v>
      </c>
      <c r="V7232" s="403" t="str">
        <f t="shared" si="911"/>
        <v>CPP_7_3</v>
      </c>
    </row>
    <row r="7233" spans="1:22">
      <c r="A7233" t="str">
        <f t="shared" si="904"/>
        <v>MIC-7522-Z30xR</v>
      </c>
      <c r="B7233" t="s">
        <v>1523</v>
      </c>
      <c r="C7233" s="403" t="s">
        <v>582</v>
      </c>
      <c r="D7233" t="s">
        <v>1527</v>
      </c>
      <c r="E7233" t="s">
        <v>1526</v>
      </c>
      <c r="F7233" t="s">
        <v>1288</v>
      </c>
      <c r="G7233" t="s">
        <v>1525</v>
      </c>
      <c r="H7233" t="s">
        <v>1276</v>
      </c>
      <c r="I7233">
        <v>1</v>
      </c>
      <c r="J7233" t="s">
        <v>110</v>
      </c>
      <c r="K7233">
        <v>1920</v>
      </c>
      <c r="L7233">
        <v>1080</v>
      </c>
      <c r="M7233" t="s">
        <v>1283</v>
      </c>
      <c r="N7233">
        <v>720</v>
      </c>
      <c r="O7233">
        <v>480</v>
      </c>
      <c r="P7233" t="str">
        <f t="shared" si="905"/>
        <v>60fps 1080p - SD 4CIF resolution 4:3 format (cropped)</v>
      </c>
      <c r="Q7233">
        <f t="shared" si="906"/>
        <v>39</v>
      </c>
      <c r="R7233" t="str">
        <f t="shared" si="907"/>
        <v/>
      </c>
      <c r="S7233" t="str">
        <f t="shared" si="908"/>
        <v/>
      </c>
      <c r="T7233" s="403" t="str">
        <f t="shared" si="909"/>
        <v>MIC-7522-Z30xR</v>
      </c>
      <c r="U7233" s="403">
        <f t="shared" si="910"/>
        <v>1</v>
      </c>
      <c r="V7233" s="403" t="str">
        <f t="shared" si="911"/>
        <v>CPP_7_3</v>
      </c>
    </row>
    <row r="7234" spans="1:22">
      <c r="A7234" t="str">
        <f t="shared" si="904"/>
        <v>MIC-7522-Z30xR</v>
      </c>
      <c r="B7234" t="s">
        <v>1523</v>
      </c>
      <c r="C7234" s="403" t="s">
        <v>582</v>
      </c>
      <c r="D7234" t="s">
        <v>1527</v>
      </c>
      <c r="E7234" t="s">
        <v>1526</v>
      </c>
      <c r="F7234" t="s">
        <v>1288</v>
      </c>
      <c r="G7234" t="s">
        <v>1525</v>
      </c>
      <c r="H7234" t="s">
        <v>1276</v>
      </c>
      <c r="I7234">
        <v>1</v>
      </c>
      <c r="J7234" t="s">
        <v>110</v>
      </c>
      <c r="K7234">
        <v>1920</v>
      </c>
      <c r="L7234">
        <v>1080</v>
      </c>
      <c r="M7234" t="s">
        <v>1284</v>
      </c>
      <c r="N7234">
        <v>640</v>
      </c>
      <c r="O7234">
        <v>480</v>
      </c>
      <c r="P7234" t="str">
        <f t="shared" si="905"/>
        <v>60fps 1080p - SD VGA (cropped)</v>
      </c>
      <c r="Q7234">
        <f t="shared" si="906"/>
        <v>39</v>
      </c>
      <c r="R7234" t="str">
        <f t="shared" si="907"/>
        <v/>
      </c>
      <c r="S7234" t="str">
        <f t="shared" si="908"/>
        <v/>
      </c>
      <c r="T7234" s="403" t="str">
        <f t="shared" si="909"/>
        <v>MIC-7522-Z30xR</v>
      </c>
      <c r="U7234" s="403">
        <f t="shared" si="910"/>
        <v>1</v>
      </c>
      <c r="V7234" s="403" t="str">
        <f t="shared" si="911"/>
        <v>CPP_7_3</v>
      </c>
    </row>
    <row r="7235" spans="1:22">
      <c r="A7235" t="str">
        <f t="shared" si="904"/>
        <v>MIC-7522-Z30xR</v>
      </c>
      <c r="B7235" t="s">
        <v>1523</v>
      </c>
      <c r="C7235" s="403" t="s">
        <v>582</v>
      </c>
      <c r="D7235" t="s">
        <v>1527</v>
      </c>
      <c r="E7235" t="s">
        <v>1526</v>
      </c>
      <c r="F7235" t="s">
        <v>1288</v>
      </c>
      <c r="G7235" t="s">
        <v>1525</v>
      </c>
      <c r="H7235" t="s">
        <v>1276</v>
      </c>
      <c r="I7235">
        <v>1</v>
      </c>
      <c r="J7235" t="s">
        <v>1289</v>
      </c>
      <c r="K7235">
        <v>1280</v>
      </c>
      <c r="L7235">
        <v>720</v>
      </c>
      <c r="M7235" t="s">
        <v>1289</v>
      </c>
      <c r="N7235">
        <v>1280</v>
      </c>
      <c r="O7235">
        <v>720</v>
      </c>
      <c r="P7235" t="str">
        <f t="shared" si="905"/>
        <v>60fps 720p full frame rate - 720p full frame rate</v>
      </c>
      <c r="Q7235">
        <f t="shared" si="906"/>
        <v>39</v>
      </c>
      <c r="R7235" t="str">
        <f t="shared" si="907"/>
        <v/>
      </c>
      <c r="S7235" t="str">
        <f t="shared" si="908"/>
        <v/>
      </c>
      <c r="T7235" s="403" t="str">
        <f t="shared" si="909"/>
        <v>MIC-7522-Z30xR</v>
      </c>
      <c r="U7235" s="403">
        <f t="shared" si="910"/>
        <v>1</v>
      </c>
      <c r="V7235" s="403" t="str">
        <f t="shared" si="911"/>
        <v>CPP_7_3</v>
      </c>
    </row>
    <row r="7236" spans="1:22">
      <c r="A7236" t="str">
        <f t="shared" si="904"/>
        <v>MIC-7522-Z30xR</v>
      </c>
      <c r="B7236" t="s">
        <v>1523</v>
      </c>
      <c r="C7236" s="403" t="s">
        <v>582</v>
      </c>
      <c r="D7236" t="s">
        <v>1527</v>
      </c>
      <c r="E7236" t="s">
        <v>1526</v>
      </c>
      <c r="F7236" t="s">
        <v>1288</v>
      </c>
      <c r="G7236" t="s">
        <v>1525</v>
      </c>
      <c r="H7236" t="s">
        <v>1276</v>
      </c>
      <c r="I7236">
        <v>1</v>
      </c>
      <c r="J7236" t="s">
        <v>1289</v>
      </c>
      <c r="K7236">
        <v>1280</v>
      </c>
      <c r="L7236">
        <v>720</v>
      </c>
      <c r="M7236" t="s">
        <v>111</v>
      </c>
      <c r="N7236">
        <v>768</v>
      </c>
      <c r="O7236">
        <v>432</v>
      </c>
      <c r="P7236" t="str">
        <f t="shared" si="905"/>
        <v>60fps 720p full frame rate - SD</v>
      </c>
      <c r="Q7236">
        <f t="shared" si="906"/>
        <v>39</v>
      </c>
      <c r="R7236" t="str">
        <f t="shared" si="907"/>
        <v/>
      </c>
      <c r="S7236" t="str">
        <f t="shared" si="908"/>
        <v/>
      </c>
      <c r="T7236" s="403" t="str">
        <f t="shared" si="909"/>
        <v>MIC-7522-Z30xR</v>
      </c>
      <c r="U7236" s="403">
        <f t="shared" si="910"/>
        <v>1</v>
      </c>
      <c r="V7236" s="403" t="str">
        <f t="shared" si="911"/>
        <v>CPP_7_3</v>
      </c>
    </row>
    <row r="7237" spans="1:22">
      <c r="A7237" t="str">
        <f t="shared" si="904"/>
        <v>MIC-7522-Z30xR</v>
      </c>
      <c r="B7237" t="s">
        <v>1523</v>
      </c>
      <c r="C7237" s="403" t="s">
        <v>582</v>
      </c>
      <c r="D7237" t="s">
        <v>1527</v>
      </c>
      <c r="E7237" t="s">
        <v>1526</v>
      </c>
      <c r="F7237" t="s">
        <v>1288</v>
      </c>
      <c r="G7237" t="s">
        <v>1525</v>
      </c>
      <c r="H7237" t="s">
        <v>1276</v>
      </c>
      <c r="I7237">
        <v>1</v>
      </c>
      <c r="J7237" t="s">
        <v>1289</v>
      </c>
      <c r="K7237">
        <v>1280</v>
      </c>
      <c r="L7237">
        <v>720</v>
      </c>
      <c r="M7237" t="s">
        <v>1283</v>
      </c>
      <c r="N7237">
        <v>720</v>
      </c>
      <c r="O7237">
        <v>480</v>
      </c>
      <c r="P7237" t="str">
        <f t="shared" si="905"/>
        <v>60fps 720p full frame rate - SD 4CIF resolution 4:3 format (cropped)</v>
      </c>
      <c r="Q7237">
        <f t="shared" si="906"/>
        <v>39</v>
      </c>
      <c r="R7237" t="str">
        <f t="shared" si="907"/>
        <v/>
      </c>
      <c r="S7237" t="str">
        <f t="shared" si="908"/>
        <v/>
      </c>
      <c r="T7237" s="403" t="str">
        <f t="shared" si="909"/>
        <v>MIC-7522-Z30xR</v>
      </c>
      <c r="U7237" s="403">
        <f t="shared" si="910"/>
        <v>1</v>
      </c>
      <c r="V7237" s="403" t="str">
        <f t="shared" si="911"/>
        <v>CPP_7_3</v>
      </c>
    </row>
    <row r="7238" spans="1:22">
      <c r="A7238" t="str">
        <f t="shared" si="904"/>
        <v>MIC-7522-Z30xR</v>
      </c>
      <c r="B7238" t="s">
        <v>1523</v>
      </c>
      <c r="C7238" s="403" t="s">
        <v>582</v>
      </c>
      <c r="D7238" t="s">
        <v>1527</v>
      </c>
      <c r="E7238" t="s">
        <v>1526</v>
      </c>
      <c r="F7238" t="s">
        <v>1288</v>
      </c>
      <c r="G7238" t="s">
        <v>1525</v>
      </c>
      <c r="H7238" t="s">
        <v>1276</v>
      </c>
      <c r="I7238">
        <v>1</v>
      </c>
      <c r="J7238" t="s">
        <v>1289</v>
      </c>
      <c r="K7238">
        <v>1280</v>
      </c>
      <c r="L7238">
        <v>720</v>
      </c>
      <c r="M7238" t="s">
        <v>1284</v>
      </c>
      <c r="N7238">
        <v>640</v>
      </c>
      <c r="O7238">
        <v>480</v>
      </c>
      <c r="P7238" t="str">
        <f t="shared" si="905"/>
        <v>60fps 720p full frame rate - SD VGA (cropped)</v>
      </c>
      <c r="Q7238">
        <f t="shared" si="906"/>
        <v>39</v>
      </c>
      <c r="R7238" t="str">
        <f t="shared" si="907"/>
        <v/>
      </c>
      <c r="S7238" t="str">
        <f t="shared" si="908"/>
        <v/>
      </c>
      <c r="T7238" s="403" t="str">
        <f t="shared" si="909"/>
        <v>MIC-7522-Z30xR</v>
      </c>
      <c r="U7238" s="403">
        <f t="shared" si="910"/>
        <v>1</v>
      </c>
      <c r="V7238" s="403" t="str">
        <f t="shared" si="911"/>
        <v>CPP_7_3</v>
      </c>
    </row>
    <row r="7239" spans="1:22">
      <c r="A7239" t="str">
        <f t="shared" si="904"/>
        <v>MIC-7522-Z30xR</v>
      </c>
      <c r="B7239" t="s">
        <v>1523</v>
      </c>
      <c r="C7239" s="403" t="s">
        <v>582</v>
      </c>
      <c r="D7239" t="s">
        <v>1527</v>
      </c>
      <c r="E7239" t="s">
        <v>1526</v>
      </c>
      <c r="F7239" t="s">
        <v>1288</v>
      </c>
      <c r="G7239" t="s">
        <v>1525</v>
      </c>
      <c r="H7239" t="s">
        <v>1281</v>
      </c>
      <c r="I7239">
        <v>1</v>
      </c>
      <c r="J7239" t="s">
        <v>110</v>
      </c>
      <c r="K7239">
        <v>1920</v>
      </c>
      <c r="L7239">
        <v>1080</v>
      </c>
      <c r="M7239" t="s">
        <v>111</v>
      </c>
      <c r="N7239">
        <v>768</v>
      </c>
      <c r="O7239">
        <v>432</v>
      </c>
      <c r="P7239" t="str">
        <f t="shared" si="905"/>
        <v>60fps 1080p - SD</v>
      </c>
      <c r="Q7239">
        <f t="shared" si="906"/>
        <v>39</v>
      </c>
      <c r="R7239" t="str">
        <f t="shared" si="907"/>
        <v/>
      </c>
      <c r="S7239" t="str">
        <f t="shared" si="908"/>
        <v/>
      </c>
      <c r="T7239" s="403" t="str">
        <f t="shared" si="909"/>
        <v>MIC-7522-Z30xR</v>
      </c>
      <c r="U7239" s="403">
        <f t="shared" si="910"/>
        <v>1</v>
      </c>
      <c r="V7239" s="403" t="str">
        <f t="shared" si="911"/>
        <v>CPP_7_3</v>
      </c>
    </row>
    <row r="7240" spans="1:22">
      <c r="A7240" t="str">
        <f t="shared" si="904"/>
        <v>MIC-7522-Z30xR</v>
      </c>
      <c r="B7240" t="s">
        <v>1523</v>
      </c>
      <c r="C7240" s="403" t="s">
        <v>582</v>
      </c>
      <c r="D7240" t="s">
        <v>1527</v>
      </c>
      <c r="E7240" t="s">
        <v>1526</v>
      </c>
      <c r="F7240" t="s">
        <v>1288</v>
      </c>
      <c r="G7240" t="s">
        <v>1525</v>
      </c>
      <c r="H7240" t="s">
        <v>1281</v>
      </c>
      <c r="I7240">
        <v>1</v>
      </c>
      <c r="J7240" t="s">
        <v>110</v>
      </c>
      <c r="K7240">
        <v>1920</v>
      </c>
      <c r="L7240">
        <v>1080</v>
      </c>
      <c r="M7240" t="s">
        <v>1283</v>
      </c>
      <c r="N7240">
        <v>720</v>
      </c>
      <c r="O7240">
        <v>480</v>
      </c>
      <c r="P7240" t="str">
        <f t="shared" si="905"/>
        <v>60fps 1080p - SD 4CIF resolution 4:3 format (cropped)</v>
      </c>
      <c r="Q7240">
        <f t="shared" si="906"/>
        <v>39</v>
      </c>
      <c r="R7240" t="str">
        <f t="shared" si="907"/>
        <v/>
      </c>
      <c r="S7240" t="str">
        <f t="shared" si="908"/>
        <v/>
      </c>
      <c r="T7240" s="403" t="str">
        <f t="shared" si="909"/>
        <v>MIC-7522-Z30xR</v>
      </c>
      <c r="U7240" s="403">
        <f t="shared" si="910"/>
        <v>1</v>
      </c>
      <c r="V7240" s="403" t="str">
        <f t="shared" si="911"/>
        <v>CPP_7_3</v>
      </c>
    </row>
    <row r="7241" spans="1:22">
      <c r="A7241" t="str">
        <f t="shared" si="904"/>
        <v>MIC-7522-Z30xR</v>
      </c>
      <c r="B7241" t="s">
        <v>1523</v>
      </c>
      <c r="C7241" s="403" t="s">
        <v>582</v>
      </c>
      <c r="D7241" t="s">
        <v>1527</v>
      </c>
      <c r="E7241" t="s">
        <v>1526</v>
      </c>
      <c r="F7241" t="s">
        <v>1288</v>
      </c>
      <c r="G7241" t="s">
        <v>1525</v>
      </c>
      <c r="H7241" t="s">
        <v>1281</v>
      </c>
      <c r="I7241">
        <v>1</v>
      </c>
      <c r="J7241" t="s">
        <v>110</v>
      </c>
      <c r="K7241">
        <v>1920</v>
      </c>
      <c r="L7241">
        <v>1080</v>
      </c>
      <c r="M7241" t="s">
        <v>1284</v>
      </c>
      <c r="N7241">
        <v>640</v>
      </c>
      <c r="O7241">
        <v>480</v>
      </c>
      <c r="P7241" t="str">
        <f t="shared" si="905"/>
        <v>60fps 1080p - SD VGA (cropped)</v>
      </c>
      <c r="Q7241">
        <f t="shared" si="906"/>
        <v>39</v>
      </c>
      <c r="R7241" t="str">
        <f t="shared" si="907"/>
        <v/>
      </c>
      <c r="S7241" t="str">
        <f t="shared" si="908"/>
        <v/>
      </c>
      <c r="T7241" s="403" t="str">
        <f t="shared" si="909"/>
        <v>MIC-7522-Z30xR</v>
      </c>
      <c r="U7241" s="403">
        <f t="shared" si="910"/>
        <v>1</v>
      </c>
      <c r="V7241" s="403" t="str">
        <f t="shared" si="911"/>
        <v>CPP_7_3</v>
      </c>
    </row>
    <row r="7242" spans="1:22">
      <c r="A7242" t="str">
        <f t="shared" si="904"/>
        <v>MIC-7522-Z30xR</v>
      </c>
      <c r="B7242" t="s">
        <v>1523</v>
      </c>
      <c r="C7242" s="403" t="s">
        <v>582</v>
      </c>
      <c r="D7242" t="s">
        <v>1527</v>
      </c>
      <c r="E7242" t="s">
        <v>1526</v>
      </c>
      <c r="F7242" t="s">
        <v>1288</v>
      </c>
      <c r="G7242" t="s">
        <v>1525</v>
      </c>
      <c r="H7242" t="s">
        <v>1281</v>
      </c>
      <c r="I7242">
        <v>1</v>
      </c>
      <c r="J7242" t="s">
        <v>1289</v>
      </c>
      <c r="K7242">
        <v>1280</v>
      </c>
      <c r="L7242">
        <v>720</v>
      </c>
      <c r="M7242" t="s">
        <v>1289</v>
      </c>
      <c r="N7242">
        <v>1280</v>
      </c>
      <c r="O7242">
        <v>720</v>
      </c>
      <c r="P7242" t="str">
        <f t="shared" si="905"/>
        <v>60fps 720p full frame rate - 720p full frame rate</v>
      </c>
      <c r="Q7242">
        <f t="shared" si="906"/>
        <v>39</v>
      </c>
      <c r="R7242" t="str">
        <f t="shared" si="907"/>
        <v/>
      </c>
      <c r="S7242" t="str">
        <f t="shared" si="908"/>
        <v/>
      </c>
      <c r="T7242" s="403" t="str">
        <f t="shared" si="909"/>
        <v>MIC-7522-Z30xR</v>
      </c>
      <c r="U7242" s="403">
        <f t="shared" si="910"/>
        <v>1</v>
      </c>
      <c r="V7242" s="403" t="str">
        <f t="shared" si="911"/>
        <v>CPP_7_3</v>
      </c>
    </row>
    <row r="7243" spans="1:22">
      <c r="A7243" t="str">
        <f t="shared" si="904"/>
        <v>MIC-7522-Z30xR</v>
      </c>
      <c r="B7243" t="s">
        <v>1523</v>
      </c>
      <c r="C7243" s="403" t="s">
        <v>582</v>
      </c>
      <c r="D7243" t="s">
        <v>1527</v>
      </c>
      <c r="E7243" t="s">
        <v>1526</v>
      </c>
      <c r="F7243" t="s">
        <v>1288</v>
      </c>
      <c r="G7243" t="s">
        <v>1525</v>
      </c>
      <c r="H7243" t="s">
        <v>1281</v>
      </c>
      <c r="I7243">
        <v>1</v>
      </c>
      <c r="J7243" t="s">
        <v>1289</v>
      </c>
      <c r="K7243">
        <v>1280</v>
      </c>
      <c r="L7243">
        <v>720</v>
      </c>
      <c r="M7243" t="s">
        <v>111</v>
      </c>
      <c r="N7243">
        <v>768</v>
      </c>
      <c r="O7243">
        <v>432</v>
      </c>
      <c r="P7243" t="str">
        <f t="shared" si="905"/>
        <v>60fps 720p full frame rate - SD</v>
      </c>
      <c r="Q7243">
        <f t="shared" si="906"/>
        <v>39</v>
      </c>
      <c r="R7243" t="str">
        <f t="shared" si="907"/>
        <v/>
      </c>
      <c r="S7243" t="str">
        <f t="shared" si="908"/>
        <v/>
      </c>
      <c r="T7243" s="403" t="str">
        <f t="shared" si="909"/>
        <v>MIC-7522-Z30xR</v>
      </c>
      <c r="U7243" s="403">
        <f t="shared" si="910"/>
        <v>1</v>
      </c>
      <c r="V7243" s="403" t="str">
        <f t="shared" si="911"/>
        <v>CPP_7_3</v>
      </c>
    </row>
    <row r="7244" spans="1:22">
      <c r="A7244" t="str">
        <f t="shared" si="904"/>
        <v>MIC-7522-Z30xR</v>
      </c>
      <c r="B7244" t="s">
        <v>1523</v>
      </c>
      <c r="C7244" s="403" t="s">
        <v>582</v>
      </c>
      <c r="D7244" t="s">
        <v>1527</v>
      </c>
      <c r="E7244" t="s">
        <v>1526</v>
      </c>
      <c r="F7244" t="s">
        <v>1288</v>
      </c>
      <c r="G7244" t="s">
        <v>1525</v>
      </c>
      <c r="H7244" t="s">
        <v>1281</v>
      </c>
      <c r="I7244">
        <v>1</v>
      </c>
      <c r="J7244" t="s">
        <v>1289</v>
      </c>
      <c r="K7244">
        <v>1280</v>
      </c>
      <c r="L7244">
        <v>720</v>
      </c>
      <c r="M7244" t="s">
        <v>1283</v>
      </c>
      <c r="N7244">
        <v>720</v>
      </c>
      <c r="O7244">
        <v>480</v>
      </c>
      <c r="P7244" t="str">
        <f t="shared" si="905"/>
        <v>60fps 720p full frame rate - SD 4CIF resolution 4:3 format (cropped)</v>
      </c>
      <c r="Q7244">
        <f t="shared" si="906"/>
        <v>39</v>
      </c>
      <c r="R7244" t="str">
        <f t="shared" si="907"/>
        <v/>
      </c>
      <c r="S7244" t="str">
        <f t="shared" si="908"/>
        <v/>
      </c>
      <c r="T7244" s="403" t="str">
        <f t="shared" si="909"/>
        <v>MIC-7522-Z30xR</v>
      </c>
      <c r="U7244" s="403">
        <f t="shared" si="910"/>
        <v>1</v>
      </c>
      <c r="V7244" s="403" t="str">
        <f t="shared" si="911"/>
        <v>CPP_7_3</v>
      </c>
    </row>
    <row r="7245" spans="1:22">
      <c r="A7245" t="str">
        <f t="shared" si="904"/>
        <v>MIC-7522-Z30xR</v>
      </c>
      <c r="B7245" t="s">
        <v>1523</v>
      </c>
      <c r="C7245" s="403" t="s">
        <v>582</v>
      </c>
      <c r="D7245" t="s">
        <v>1527</v>
      </c>
      <c r="E7245" t="s">
        <v>1526</v>
      </c>
      <c r="F7245" t="s">
        <v>1288</v>
      </c>
      <c r="G7245" t="s">
        <v>1525</v>
      </c>
      <c r="H7245" t="s">
        <v>1281</v>
      </c>
      <c r="I7245">
        <v>1</v>
      </c>
      <c r="J7245" t="s">
        <v>1289</v>
      </c>
      <c r="K7245">
        <v>1280</v>
      </c>
      <c r="L7245">
        <v>720</v>
      </c>
      <c r="M7245" t="s">
        <v>1284</v>
      </c>
      <c r="N7245">
        <v>640</v>
      </c>
      <c r="O7245">
        <v>480</v>
      </c>
      <c r="P7245" t="str">
        <f t="shared" si="905"/>
        <v>60fps 720p full frame rate - SD VGA (cropped)</v>
      </c>
      <c r="Q7245">
        <f t="shared" si="906"/>
        <v>39</v>
      </c>
      <c r="R7245" t="str">
        <f t="shared" si="907"/>
        <v/>
      </c>
      <c r="S7245" t="str">
        <f t="shared" si="908"/>
        <v/>
      </c>
      <c r="T7245" s="403" t="str">
        <f t="shared" si="909"/>
        <v>MIC-7522-Z30xR</v>
      </c>
      <c r="U7245" s="403">
        <f t="shared" si="910"/>
        <v>1</v>
      </c>
      <c r="V7245" s="403" t="str">
        <f t="shared" si="911"/>
        <v>CPP_7_3</v>
      </c>
    </row>
    <row r="7246" spans="1:22">
      <c r="A7246" t="str">
        <f t="shared" si="904"/>
        <v>MIC-7522-Z30xR</v>
      </c>
      <c r="B7246" t="s">
        <v>1523</v>
      </c>
      <c r="C7246" s="403" t="s">
        <v>582</v>
      </c>
      <c r="D7246" t="s">
        <v>1527</v>
      </c>
      <c r="E7246" t="s">
        <v>1526</v>
      </c>
      <c r="F7246" t="s">
        <v>1288</v>
      </c>
      <c r="G7246" t="s">
        <v>1525</v>
      </c>
      <c r="H7246" t="s">
        <v>1282</v>
      </c>
      <c r="I7246">
        <v>1</v>
      </c>
      <c r="J7246" t="s">
        <v>110</v>
      </c>
      <c r="K7246">
        <v>1920</v>
      </c>
      <c r="L7246">
        <v>1080</v>
      </c>
      <c r="M7246" t="s">
        <v>111</v>
      </c>
      <c r="N7246">
        <v>768</v>
      </c>
      <c r="O7246">
        <v>432</v>
      </c>
      <c r="P7246" t="str">
        <f t="shared" si="905"/>
        <v>60fps 1080p - SD</v>
      </c>
      <c r="Q7246">
        <f t="shared" si="906"/>
        <v>39</v>
      </c>
      <c r="R7246" t="str">
        <f t="shared" si="907"/>
        <v/>
      </c>
      <c r="S7246" t="str">
        <f t="shared" si="908"/>
        <v/>
      </c>
      <c r="T7246" s="403" t="str">
        <f t="shared" si="909"/>
        <v>MIC-7522-Z30xR</v>
      </c>
      <c r="U7246" s="403">
        <f t="shared" si="910"/>
        <v>1</v>
      </c>
      <c r="V7246" s="403" t="str">
        <f t="shared" si="911"/>
        <v>CPP_7_3</v>
      </c>
    </row>
    <row r="7247" spans="1:22">
      <c r="A7247" t="str">
        <f t="shared" si="904"/>
        <v>MIC-7522-Z30xR</v>
      </c>
      <c r="B7247" t="s">
        <v>1523</v>
      </c>
      <c r="C7247" s="403" t="s">
        <v>582</v>
      </c>
      <c r="D7247" t="s">
        <v>1527</v>
      </c>
      <c r="E7247" t="s">
        <v>1526</v>
      </c>
      <c r="F7247" t="s">
        <v>1288</v>
      </c>
      <c r="G7247" t="s">
        <v>1525</v>
      </c>
      <c r="H7247" t="s">
        <v>1282</v>
      </c>
      <c r="I7247">
        <v>1</v>
      </c>
      <c r="J7247" t="s">
        <v>110</v>
      </c>
      <c r="K7247">
        <v>1920</v>
      </c>
      <c r="L7247">
        <v>1080</v>
      </c>
      <c r="M7247" t="s">
        <v>1289</v>
      </c>
      <c r="N7247">
        <v>1280</v>
      </c>
      <c r="O7247">
        <v>720</v>
      </c>
      <c r="P7247" t="str">
        <f t="shared" si="905"/>
        <v>60fps 1080p - 720p full frame rate</v>
      </c>
      <c r="Q7247">
        <f t="shared" si="906"/>
        <v>39</v>
      </c>
      <c r="R7247" t="str">
        <f t="shared" si="907"/>
        <v/>
      </c>
      <c r="S7247" t="str">
        <f t="shared" si="908"/>
        <v/>
      </c>
      <c r="T7247" s="403" t="str">
        <f t="shared" si="909"/>
        <v>MIC-7522-Z30xR</v>
      </c>
      <c r="U7247" s="403">
        <f t="shared" si="910"/>
        <v>1</v>
      </c>
      <c r="V7247" s="403" t="str">
        <f t="shared" si="911"/>
        <v>CPP_7_3</v>
      </c>
    </row>
    <row r="7248" spans="1:22">
      <c r="A7248" t="str">
        <f t="shared" si="904"/>
        <v>MIC-7522-Z30xR</v>
      </c>
      <c r="B7248" t="s">
        <v>1523</v>
      </c>
      <c r="C7248" s="403" t="s">
        <v>582</v>
      </c>
      <c r="D7248" t="s">
        <v>1527</v>
      </c>
      <c r="E7248" t="s">
        <v>1526</v>
      </c>
      <c r="F7248" t="s">
        <v>1288</v>
      </c>
      <c r="G7248" t="s">
        <v>1525</v>
      </c>
      <c r="H7248" t="s">
        <v>1282</v>
      </c>
      <c r="I7248">
        <v>1</v>
      </c>
      <c r="J7248" t="s">
        <v>110</v>
      </c>
      <c r="K7248">
        <v>1920</v>
      </c>
      <c r="L7248">
        <v>1080</v>
      </c>
      <c r="M7248" t="s">
        <v>1285</v>
      </c>
      <c r="N7248">
        <v>1280</v>
      </c>
      <c r="O7248">
        <v>1024</v>
      </c>
      <c r="P7248" t="str">
        <f t="shared" si="905"/>
        <v>60fps 1080p - 1280x1024 5:4 (cropped)</v>
      </c>
      <c r="Q7248">
        <f t="shared" si="906"/>
        <v>39</v>
      </c>
      <c r="R7248" t="str">
        <f t="shared" si="907"/>
        <v/>
      </c>
      <c r="S7248" t="str">
        <f t="shared" si="908"/>
        <v/>
      </c>
      <c r="T7248" s="403" t="str">
        <f t="shared" si="909"/>
        <v>MIC-7522-Z30xR</v>
      </c>
      <c r="U7248" s="403">
        <f t="shared" si="910"/>
        <v>1</v>
      </c>
      <c r="V7248" s="403" t="str">
        <f t="shared" si="911"/>
        <v>CPP_7_3</v>
      </c>
    </row>
    <row r="7249" spans="1:22">
      <c r="A7249" t="str">
        <f t="shared" si="904"/>
        <v>MIC-7522-Z30xR</v>
      </c>
      <c r="B7249" t="s">
        <v>1523</v>
      </c>
      <c r="C7249" s="403" t="s">
        <v>582</v>
      </c>
      <c r="D7249" t="s">
        <v>1527</v>
      </c>
      <c r="E7249" t="s">
        <v>1526</v>
      </c>
      <c r="F7249" t="s">
        <v>1288</v>
      </c>
      <c r="G7249" t="s">
        <v>1525</v>
      </c>
      <c r="H7249" t="s">
        <v>1282</v>
      </c>
      <c r="I7249">
        <v>1</v>
      </c>
      <c r="J7249" t="s">
        <v>110</v>
      </c>
      <c r="K7249">
        <v>1920</v>
      </c>
      <c r="L7249">
        <v>1080</v>
      </c>
      <c r="M7249" t="s">
        <v>1283</v>
      </c>
      <c r="N7249">
        <v>720</v>
      </c>
      <c r="O7249">
        <v>480</v>
      </c>
      <c r="P7249" t="str">
        <f t="shared" si="905"/>
        <v>60fps 1080p - SD 4CIF resolution 4:3 format (cropped)</v>
      </c>
      <c r="Q7249">
        <f t="shared" si="906"/>
        <v>39</v>
      </c>
      <c r="R7249" t="str">
        <f t="shared" si="907"/>
        <v/>
      </c>
      <c r="S7249" t="str">
        <f t="shared" si="908"/>
        <v/>
      </c>
      <c r="T7249" s="403" t="str">
        <f t="shared" si="909"/>
        <v>MIC-7522-Z30xR</v>
      </c>
      <c r="U7249" s="403">
        <f t="shared" si="910"/>
        <v>1</v>
      </c>
      <c r="V7249" s="403" t="str">
        <f t="shared" si="911"/>
        <v>CPP_7_3</v>
      </c>
    </row>
    <row r="7250" spans="1:22">
      <c r="A7250" t="str">
        <f t="shared" si="904"/>
        <v>MIC-7522-Z30xR</v>
      </c>
      <c r="B7250" t="s">
        <v>1523</v>
      </c>
      <c r="C7250" s="403" t="s">
        <v>582</v>
      </c>
      <c r="D7250" t="s">
        <v>1527</v>
      </c>
      <c r="E7250" t="s">
        <v>1526</v>
      </c>
      <c r="F7250" t="s">
        <v>1288</v>
      </c>
      <c r="G7250" t="s">
        <v>1525</v>
      </c>
      <c r="H7250" t="s">
        <v>1282</v>
      </c>
      <c r="I7250">
        <v>1</v>
      </c>
      <c r="J7250" t="s">
        <v>110</v>
      </c>
      <c r="K7250">
        <v>1920</v>
      </c>
      <c r="L7250">
        <v>1080</v>
      </c>
      <c r="M7250" t="s">
        <v>1284</v>
      </c>
      <c r="N7250">
        <v>640</v>
      </c>
      <c r="O7250">
        <v>480</v>
      </c>
      <c r="P7250" t="str">
        <f t="shared" si="905"/>
        <v>60fps 1080p - SD VGA (cropped)</v>
      </c>
      <c r="Q7250">
        <f t="shared" si="906"/>
        <v>39</v>
      </c>
      <c r="R7250" t="str">
        <f t="shared" si="907"/>
        <v/>
      </c>
      <c r="S7250" t="str">
        <f t="shared" si="908"/>
        <v/>
      </c>
      <c r="T7250" s="403" t="str">
        <f t="shared" si="909"/>
        <v>MIC-7522-Z30xR</v>
      </c>
      <c r="U7250" s="403">
        <f t="shared" si="910"/>
        <v>1</v>
      </c>
      <c r="V7250" s="403" t="str">
        <f t="shared" si="911"/>
        <v>CPP_7_3</v>
      </c>
    </row>
    <row r="7251" spans="1:22">
      <c r="A7251" t="str">
        <f t="shared" si="904"/>
        <v>MIC-7522-Z30xR</v>
      </c>
      <c r="B7251" t="s">
        <v>1523</v>
      </c>
      <c r="C7251" s="403" t="s">
        <v>582</v>
      </c>
      <c r="D7251" t="s">
        <v>1527</v>
      </c>
      <c r="E7251" t="s">
        <v>1526</v>
      </c>
      <c r="F7251" t="s">
        <v>1288</v>
      </c>
      <c r="G7251" t="s">
        <v>1525</v>
      </c>
      <c r="H7251" t="s">
        <v>1282</v>
      </c>
      <c r="I7251">
        <v>1</v>
      </c>
      <c r="J7251" t="s">
        <v>1289</v>
      </c>
      <c r="K7251">
        <v>1280</v>
      </c>
      <c r="L7251">
        <v>720</v>
      </c>
      <c r="M7251" t="s">
        <v>1289</v>
      </c>
      <c r="N7251">
        <v>1280</v>
      </c>
      <c r="O7251">
        <v>720</v>
      </c>
      <c r="P7251" t="str">
        <f t="shared" si="905"/>
        <v>60fps 720p full frame rate - 720p full frame rate</v>
      </c>
      <c r="Q7251">
        <f t="shared" si="906"/>
        <v>39</v>
      </c>
      <c r="R7251" t="str">
        <f t="shared" si="907"/>
        <v/>
      </c>
      <c r="S7251" t="str">
        <f t="shared" si="908"/>
        <v/>
      </c>
      <c r="T7251" s="403" t="str">
        <f t="shared" si="909"/>
        <v>MIC-7522-Z30xR</v>
      </c>
      <c r="U7251" s="403">
        <f t="shared" si="910"/>
        <v>1</v>
      </c>
      <c r="V7251" s="403" t="str">
        <f t="shared" si="911"/>
        <v>CPP_7_3</v>
      </c>
    </row>
    <row r="7252" spans="1:22">
      <c r="A7252" t="str">
        <f t="shared" si="904"/>
        <v>MIC-7522-Z30xR</v>
      </c>
      <c r="B7252" t="s">
        <v>1523</v>
      </c>
      <c r="C7252" s="403" t="s">
        <v>582</v>
      </c>
      <c r="D7252" t="s">
        <v>1527</v>
      </c>
      <c r="E7252" t="s">
        <v>1526</v>
      </c>
      <c r="F7252" t="s">
        <v>1288</v>
      </c>
      <c r="G7252" t="s">
        <v>1525</v>
      </c>
      <c r="H7252" t="s">
        <v>1282</v>
      </c>
      <c r="I7252">
        <v>1</v>
      </c>
      <c r="J7252" t="s">
        <v>1289</v>
      </c>
      <c r="K7252">
        <v>1280</v>
      </c>
      <c r="L7252">
        <v>720</v>
      </c>
      <c r="M7252" t="s">
        <v>111</v>
      </c>
      <c r="N7252">
        <v>768</v>
      </c>
      <c r="O7252">
        <v>432</v>
      </c>
      <c r="P7252" t="str">
        <f t="shared" si="905"/>
        <v>60fps 720p full frame rate - SD</v>
      </c>
      <c r="Q7252">
        <f t="shared" si="906"/>
        <v>39</v>
      </c>
      <c r="R7252" t="str">
        <f t="shared" si="907"/>
        <v/>
      </c>
      <c r="S7252" t="str">
        <f t="shared" si="908"/>
        <v/>
      </c>
      <c r="T7252" s="403" t="str">
        <f t="shared" si="909"/>
        <v>MIC-7522-Z30xR</v>
      </c>
      <c r="U7252" s="403">
        <f t="shared" si="910"/>
        <v>1</v>
      </c>
      <c r="V7252" s="403" t="str">
        <f t="shared" si="911"/>
        <v>CPP_7_3</v>
      </c>
    </row>
    <row r="7253" spans="1:22">
      <c r="A7253" t="str">
        <f t="shared" si="904"/>
        <v>MIC-7522-Z30xR</v>
      </c>
      <c r="B7253" t="s">
        <v>1523</v>
      </c>
      <c r="C7253" s="403" t="s">
        <v>582</v>
      </c>
      <c r="D7253" t="s">
        <v>1527</v>
      </c>
      <c r="E7253" t="s">
        <v>1526</v>
      </c>
      <c r="F7253" t="s">
        <v>1288</v>
      </c>
      <c r="G7253" t="s">
        <v>1525</v>
      </c>
      <c r="H7253" t="s">
        <v>1282</v>
      </c>
      <c r="I7253">
        <v>1</v>
      </c>
      <c r="J7253" t="s">
        <v>1289</v>
      </c>
      <c r="K7253">
        <v>1280</v>
      </c>
      <c r="L7253">
        <v>720</v>
      </c>
      <c r="M7253" t="s">
        <v>1283</v>
      </c>
      <c r="N7253">
        <v>720</v>
      </c>
      <c r="O7253">
        <v>480</v>
      </c>
      <c r="P7253" t="str">
        <f t="shared" si="905"/>
        <v>60fps 720p full frame rate - SD 4CIF resolution 4:3 format (cropped)</v>
      </c>
      <c r="Q7253">
        <f t="shared" si="906"/>
        <v>39</v>
      </c>
      <c r="R7253" t="str">
        <f t="shared" si="907"/>
        <v/>
      </c>
      <c r="S7253" t="str">
        <f t="shared" si="908"/>
        <v/>
      </c>
      <c r="T7253" s="403" t="str">
        <f t="shared" si="909"/>
        <v>MIC-7522-Z30xR</v>
      </c>
      <c r="U7253" s="403">
        <f t="shared" si="910"/>
        <v>1</v>
      </c>
      <c r="V7253" s="403" t="str">
        <f t="shared" si="911"/>
        <v>CPP_7_3</v>
      </c>
    </row>
    <row r="7254" spans="1:22">
      <c r="A7254" t="str">
        <f t="shared" si="904"/>
        <v>MIC-7522-Z30xR</v>
      </c>
      <c r="B7254" t="s">
        <v>1523</v>
      </c>
      <c r="C7254" s="403" t="s">
        <v>582</v>
      </c>
      <c r="D7254" t="s">
        <v>1527</v>
      </c>
      <c r="E7254" t="s">
        <v>1526</v>
      </c>
      <c r="F7254" t="s">
        <v>1288</v>
      </c>
      <c r="G7254" t="s">
        <v>1525</v>
      </c>
      <c r="H7254" t="s">
        <v>1282</v>
      </c>
      <c r="I7254">
        <v>1</v>
      </c>
      <c r="J7254" t="s">
        <v>1289</v>
      </c>
      <c r="K7254">
        <v>1280</v>
      </c>
      <c r="L7254">
        <v>720</v>
      </c>
      <c r="M7254" t="s">
        <v>1284</v>
      </c>
      <c r="N7254">
        <v>640</v>
      </c>
      <c r="O7254">
        <v>480</v>
      </c>
      <c r="P7254" t="str">
        <f t="shared" si="905"/>
        <v>60fps 720p full frame rate - SD VGA (cropped)</v>
      </c>
      <c r="Q7254">
        <f t="shared" si="906"/>
        <v>39</v>
      </c>
      <c r="R7254" t="str">
        <f t="shared" si="907"/>
        <v/>
      </c>
      <c r="S7254" t="str">
        <f t="shared" si="908"/>
        <v/>
      </c>
      <c r="T7254" s="403" t="str">
        <f t="shared" si="909"/>
        <v>MIC-7522-Z30xR</v>
      </c>
      <c r="U7254" s="403">
        <f t="shared" si="910"/>
        <v>1</v>
      </c>
      <c r="V7254" s="403" t="str">
        <f t="shared" si="911"/>
        <v>CPP_7_3</v>
      </c>
    </row>
    <row r="7255" spans="1:22">
      <c r="A7255" t="str">
        <f t="shared" si="904"/>
        <v>MIC-7604-Z12xR</v>
      </c>
      <c r="B7255" t="s">
        <v>1810</v>
      </c>
      <c r="C7255" s="403" t="s">
        <v>582</v>
      </c>
      <c r="D7255" t="s">
        <v>1940</v>
      </c>
      <c r="F7255" t="s">
        <v>1286</v>
      </c>
      <c r="G7255" t="s">
        <v>1811</v>
      </c>
      <c r="H7255" t="s">
        <v>1812</v>
      </c>
      <c r="I7255">
        <v>1</v>
      </c>
      <c r="J7255" t="s">
        <v>1813</v>
      </c>
      <c r="K7255">
        <v>2560</v>
      </c>
      <c r="L7255">
        <v>1440</v>
      </c>
      <c r="M7255" t="s">
        <v>110</v>
      </c>
      <c r="N7255">
        <v>1920</v>
      </c>
      <c r="O7255">
        <v>1080</v>
      </c>
      <c r="P7255" t="str">
        <f t="shared" si="905"/>
        <v>30fps 2560x1440 - 1080p</v>
      </c>
      <c r="Q7255">
        <f t="shared" si="906"/>
        <v>40</v>
      </c>
      <c r="R7255">
        <f t="shared" si="907"/>
        <v>40</v>
      </c>
      <c r="S7255" t="str">
        <f t="shared" si="908"/>
        <v>MIC inteox 7000i (MIC-7604-Z12xR)</v>
      </c>
      <c r="T7255" s="403" t="str">
        <f t="shared" si="909"/>
        <v>MIC-7604-Z12xR</v>
      </c>
      <c r="U7255" s="403">
        <f t="shared" si="910"/>
        <v>1</v>
      </c>
      <c r="V7255" s="403" t="str">
        <f t="shared" si="911"/>
        <v>CPP_7_3</v>
      </c>
    </row>
    <row r="7256" spans="1:22">
      <c r="A7256" t="str">
        <f t="shared" si="904"/>
        <v>MIC-7604-Z12xR</v>
      </c>
      <c r="B7256" t="s">
        <v>1810</v>
      </c>
      <c r="C7256" s="403" t="s">
        <v>582</v>
      </c>
      <c r="D7256" t="s">
        <v>1940</v>
      </c>
      <c r="F7256" t="s">
        <v>1286</v>
      </c>
      <c r="G7256" t="s">
        <v>1811</v>
      </c>
      <c r="H7256" t="s">
        <v>1812</v>
      </c>
      <c r="I7256">
        <v>1</v>
      </c>
      <c r="J7256" t="s">
        <v>1813</v>
      </c>
      <c r="K7256">
        <v>2560</v>
      </c>
      <c r="L7256">
        <v>1440</v>
      </c>
      <c r="M7256" t="s">
        <v>110</v>
      </c>
      <c r="N7256">
        <v>1920</v>
      </c>
      <c r="O7256">
        <v>1080</v>
      </c>
      <c r="P7256" t="str">
        <f t="shared" si="905"/>
        <v>30fps 2560x1440 - 1080p</v>
      </c>
      <c r="Q7256">
        <f t="shared" si="906"/>
        <v>40</v>
      </c>
      <c r="R7256" t="str">
        <f t="shared" si="907"/>
        <v/>
      </c>
      <c r="S7256" t="str">
        <f t="shared" si="908"/>
        <v/>
      </c>
      <c r="T7256" s="403" t="str">
        <f t="shared" si="909"/>
        <v>MIC-7604-Z12xR</v>
      </c>
      <c r="U7256" s="403">
        <f t="shared" si="910"/>
        <v>1</v>
      </c>
      <c r="V7256" s="403" t="str">
        <f t="shared" si="911"/>
        <v>CPP_7_3</v>
      </c>
    </row>
    <row r="7257" spans="1:22">
      <c r="A7257" t="str">
        <f t="shared" si="904"/>
        <v>MIC-7604-Z12xR</v>
      </c>
      <c r="B7257" t="s">
        <v>1810</v>
      </c>
      <c r="C7257" s="403" t="s">
        <v>582</v>
      </c>
      <c r="D7257" t="s">
        <v>1940</v>
      </c>
      <c r="F7257" t="s">
        <v>1286</v>
      </c>
      <c r="G7257" t="s">
        <v>1811</v>
      </c>
      <c r="H7257" t="s">
        <v>1812</v>
      </c>
      <c r="I7257">
        <v>1</v>
      </c>
      <c r="J7257" t="s">
        <v>1813</v>
      </c>
      <c r="K7257">
        <v>2560</v>
      </c>
      <c r="L7257">
        <v>1440</v>
      </c>
      <c r="M7257" t="s">
        <v>1451</v>
      </c>
      <c r="N7257">
        <v>1536</v>
      </c>
      <c r="O7257">
        <v>864</v>
      </c>
      <c r="P7257" t="str">
        <f t="shared" si="905"/>
        <v>30fps 2560x1440 - 1536x864</v>
      </c>
      <c r="Q7257">
        <f t="shared" si="906"/>
        <v>40</v>
      </c>
      <c r="R7257" t="str">
        <f t="shared" si="907"/>
        <v/>
      </c>
      <c r="S7257" t="str">
        <f t="shared" si="908"/>
        <v/>
      </c>
      <c r="T7257" s="403" t="str">
        <f t="shared" si="909"/>
        <v>MIC-7604-Z12xR</v>
      </c>
      <c r="U7257" s="403">
        <f t="shared" si="910"/>
        <v>1</v>
      </c>
      <c r="V7257" s="403" t="str">
        <f t="shared" si="911"/>
        <v>CPP_7_3</v>
      </c>
    </row>
    <row r="7258" spans="1:22">
      <c r="A7258" t="str">
        <f t="shared" si="904"/>
        <v>MIC-7604-Z12xR</v>
      </c>
      <c r="B7258" t="s">
        <v>1810</v>
      </c>
      <c r="C7258" s="403" t="s">
        <v>582</v>
      </c>
      <c r="D7258" t="s">
        <v>1940</v>
      </c>
      <c r="F7258" t="s">
        <v>1286</v>
      </c>
      <c r="G7258" t="s">
        <v>1811</v>
      </c>
      <c r="H7258" t="s">
        <v>1812</v>
      </c>
      <c r="I7258">
        <v>1</v>
      </c>
      <c r="J7258" t="s">
        <v>1813</v>
      </c>
      <c r="K7258">
        <v>2560</v>
      </c>
      <c r="L7258">
        <v>1440</v>
      </c>
      <c r="M7258" t="s">
        <v>109</v>
      </c>
      <c r="N7258">
        <v>1280</v>
      </c>
      <c r="O7258">
        <v>720</v>
      </c>
      <c r="P7258" t="str">
        <f t="shared" si="905"/>
        <v>30fps 2560x1440 - 720p</v>
      </c>
      <c r="Q7258">
        <f t="shared" si="906"/>
        <v>40</v>
      </c>
      <c r="R7258" t="str">
        <f t="shared" si="907"/>
        <v/>
      </c>
      <c r="S7258" t="str">
        <f t="shared" si="908"/>
        <v/>
      </c>
      <c r="T7258" s="403" t="str">
        <f t="shared" si="909"/>
        <v>MIC-7604-Z12xR</v>
      </c>
      <c r="U7258" s="403">
        <f t="shared" si="910"/>
        <v>1</v>
      </c>
      <c r="V7258" s="403" t="str">
        <f t="shared" si="911"/>
        <v>CPP_7_3</v>
      </c>
    </row>
    <row r="7259" spans="1:22">
      <c r="A7259" t="str">
        <f t="shared" si="904"/>
        <v>MIC-7604-Z12xR</v>
      </c>
      <c r="B7259" t="s">
        <v>1810</v>
      </c>
      <c r="C7259" s="403" t="s">
        <v>582</v>
      </c>
      <c r="D7259" t="s">
        <v>1940</v>
      </c>
      <c r="F7259" t="s">
        <v>1286</v>
      </c>
      <c r="G7259" t="s">
        <v>1811</v>
      </c>
      <c r="H7259" t="s">
        <v>1812</v>
      </c>
      <c r="I7259">
        <v>1</v>
      </c>
      <c r="J7259" t="s">
        <v>1813</v>
      </c>
      <c r="K7259">
        <v>2560</v>
      </c>
      <c r="L7259">
        <v>1440</v>
      </c>
      <c r="M7259" t="s">
        <v>1814</v>
      </c>
      <c r="N7259">
        <v>768</v>
      </c>
      <c r="O7259">
        <v>432</v>
      </c>
      <c r="P7259" t="str">
        <f t="shared" si="905"/>
        <v>30fps 2560x1440 - 768x732</v>
      </c>
      <c r="Q7259">
        <f t="shared" si="906"/>
        <v>40</v>
      </c>
      <c r="R7259" t="str">
        <f t="shared" si="907"/>
        <v/>
      </c>
      <c r="S7259" t="str">
        <f t="shared" si="908"/>
        <v/>
      </c>
      <c r="T7259" s="403" t="str">
        <f t="shared" si="909"/>
        <v>MIC-7604-Z12xR</v>
      </c>
      <c r="U7259" s="403">
        <f t="shared" si="910"/>
        <v>1</v>
      </c>
      <c r="V7259" s="403" t="str">
        <f t="shared" si="911"/>
        <v>CPP_7_3</v>
      </c>
    </row>
    <row r="7260" spans="1:22">
      <c r="A7260" t="str">
        <f t="shared" si="904"/>
        <v>MIC-7604-Z12xR</v>
      </c>
      <c r="B7260" t="s">
        <v>1810</v>
      </c>
      <c r="C7260" s="403" t="s">
        <v>582</v>
      </c>
      <c r="D7260" t="s">
        <v>1940</v>
      </c>
      <c r="F7260" t="s">
        <v>1286</v>
      </c>
      <c r="G7260" t="s">
        <v>1811</v>
      </c>
      <c r="H7260" t="s">
        <v>1812</v>
      </c>
      <c r="I7260">
        <v>1</v>
      </c>
      <c r="J7260" t="s">
        <v>1813</v>
      </c>
      <c r="K7260">
        <v>2560</v>
      </c>
      <c r="L7260">
        <v>1440</v>
      </c>
      <c r="M7260" t="s">
        <v>1815</v>
      </c>
      <c r="N7260">
        <v>512</v>
      </c>
      <c r="O7260">
        <v>288</v>
      </c>
      <c r="P7260" t="str">
        <f t="shared" si="905"/>
        <v>30fps 2560x1440 - 512x288</v>
      </c>
      <c r="Q7260">
        <f t="shared" si="906"/>
        <v>40</v>
      </c>
      <c r="R7260" t="str">
        <f t="shared" si="907"/>
        <v/>
      </c>
      <c r="S7260" t="str">
        <f t="shared" si="908"/>
        <v/>
      </c>
      <c r="T7260" s="403" t="str">
        <f t="shared" si="909"/>
        <v>MIC-7604-Z12xR</v>
      </c>
      <c r="U7260" s="403">
        <f t="shared" si="910"/>
        <v>1</v>
      </c>
      <c r="V7260" s="403" t="str">
        <f t="shared" si="911"/>
        <v>CPP_7_3</v>
      </c>
    </row>
    <row r="7261" spans="1:22">
      <c r="A7261" t="str">
        <f t="shared" si="904"/>
        <v>MIC-7604-Z12xR</v>
      </c>
      <c r="B7261" t="s">
        <v>1810</v>
      </c>
      <c r="C7261" s="403" t="s">
        <v>582</v>
      </c>
      <c r="D7261" t="s">
        <v>1940</v>
      </c>
      <c r="F7261" t="s">
        <v>1286</v>
      </c>
      <c r="G7261" t="s">
        <v>1811</v>
      </c>
      <c r="H7261" t="s">
        <v>1812</v>
      </c>
      <c r="I7261">
        <v>1</v>
      </c>
      <c r="J7261" t="s">
        <v>110</v>
      </c>
      <c r="K7261">
        <v>1920</v>
      </c>
      <c r="L7261">
        <v>1080</v>
      </c>
      <c r="M7261" t="s">
        <v>110</v>
      </c>
      <c r="N7261">
        <v>1920</v>
      </c>
      <c r="O7261">
        <v>1080</v>
      </c>
      <c r="P7261" t="str">
        <f t="shared" si="905"/>
        <v>30fps 1080p - 1080p</v>
      </c>
      <c r="Q7261">
        <f t="shared" si="906"/>
        <v>40</v>
      </c>
      <c r="R7261" t="str">
        <f t="shared" si="907"/>
        <v/>
      </c>
      <c r="S7261" t="str">
        <f t="shared" si="908"/>
        <v/>
      </c>
      <c r="T7261" s="403" t="str">
        <f t="shared" si="909"/>
        <v>MIC-7604-Z12xR</v>
      </c>
      <c r="U7261" s="403">
        <f t="shared" si="910"/>
        <v>1</v>
      </c>
      <c r="V7261" s="403" t="str">
        <f t="shared" si="911"/>
        <v>CPP_7_3</v>
      </c>
    </row>
    <row r="7262" spans="1:22">
      <c r="A7262" t="str">
        <f t="shared" si="904"/>
        <v>MIC-7604-Z12xR</v>
      </c>
      <c r="B7262" t="s">
        <v>1810</v>
      </c>
      <c r="C7262" s="403" t="s">
        <v>582</v>
      </c>
      <c r="D7262" t="s">
        <v>1940</v>
      </c>
      <c r="F7262" t="s">
        <v>1286</v>
      </c>
      <c r="G7262" t="s">
        <v>1811</v>
      </c>
      <c r="H7262" t="s">
        <v>1812</v>
      </c>
      <c r="I7262">
        <v>1</v>
      </c>
      <c r="J7262" t="s">
        <v>110</v>
      </c>
      <c r="K7262">
        <v>1920</v>
      </c>
      <c r="L7262">
        <v>1080</v>
      </c>
      <c r="M7262" t="s">
        <v>1451</v>
      </c>
      <c r="N7262">
        <v>1536</v>
      </c>
      <c r="O7262">
        <v>864</v>
      </c>
      <c r="P7262" t="str">
        <f t="shared" si="905"/>
        <v>30fps 1080p - 1536x864</v>
      </c>
      <c r="Q7262">
        <f t="shared" si="906"/>
        <v>40</v>
      </c>
      <c r="R7262" t="str">
        <f t="shared" si="907"/>
        <v/>
      </c>
      <c r="S7262" t="str">
        <f t="shared" si="908"/>
        <v/>
      </c>
      <c r="T7262" s="403" t="str">
        <f t="shared" si="909"/>
        <v>MIC-7604-Z12xR</v>
      </c>
      <c r="U7262" s="403">
        <f t="shared" si="910"/>
        <v>1</v>
      </c>
      <c r="V7262" s="403" t="str">
        <f t="shared" si="911"/>
        <v>CPP_7_3</v>
      </c>
    </row>
    <row r="7263" spans="1:22">
      <c r="A7263" t="str">
        <f t="shared" si="904"/>
        <v>MIC-7604-Z12xR</v>
      </c>
      <c r="B7263" t="s">
        <v>1810</v>
      </c>
      <c r="C7263" s="403" t="s">
        <v>582</v>
      </c>
      <c r="D7263" t="s">
        <v>1940</v>
      </c>
      <c r="F7263" t="s">
        <v>1286</v>
      </c>
      <c r="G7263" t="s">
        <v>1811</v>
      </c>
      <c r="H7263" t="s">
        <v>1812</v>
      </c>
      <c r="I7263">
        <v>1</v>
      </c>
      <c r="J7263" t="s">
        <v>110</v>
      </c>
      <c r="K7263">
        <v>1920</v>
      </c>
      <c r="L7263">
        <v>1080</v>
      </c>
      <c r="M7263" t="s">
        <v>109</v>
      </c>
      <c r="N7263">
        <v>1280</v>
      </c>
      <c r="O7263">
        <v>720</v>
      </c>
      <c r="P7263" t="str">
        <f t="shared" si="905"/>
        <v>30fps 1080p - 720p</v>
      </c>
      <c r="Q7263">
        <f t="shared" si="906"/>
        <v>40</v>
      </c>
      <c r="R7263" t="str">
        <f t="shared" si="907"/>
        <v/>
      </c>
      <c r="S7263" t="str">
        <f t="shared" si="908"/>
        <v/>
      </c>
      <c r="T7263" s="403" t="str">
        <f t="shared" si="909"/>
        <v>MIC-7604-Z12xR</v>
      </c>
      <c r="U7263" s="403">
        <f t="shared" si="910"/>
        <v>1</v>
      </c>
      <c r="V7263" s="403" t="str">
        <f t="shared" si="911"/>
        <v>CPP_7_3</v>
      </c>
    </row>
    <row r="7264" spans="1:22">
      <c r="A7264" t="str">
        <f t="shared" si="904"/>
        <v>MIC-7604-Z12xR</v>
      </c>
      <c r="B7264" t="s">
        <v>1810</v>
      </c>
      <c r="C7264" s="403" t="s">
        <v>582</v>
      </c>
      <c r="D7264" t="s">
        <v>1940</v>
      </c>
      <c r="F7264" t="s">
        <v>1286</v>
      </c>
      <c r="G7264" t="s">
        <v>1811</v>
      </c>
      <c r="H7264" t="s">
        <v>1812</v>
      </c>
      <c r="I7264">
        <v>1</v>
      </c>
      <c r="J7264" t="s">
        <v>110</v>
      </c>
      <c r="K7264">
        <v>1920</v>
      </c>
      <c r="L7264">
        <v>1080</v>
      </c>
      <c r="M7264" t="s">
        <v>1814</v>
      </c>
      <c r="N7264">
        <v>768</v>
      </c>
      <c r="O7264">
        <v>432</v>
      </c>
      <c r="P7264" t="str">
        <f t="shared" si="905"/>
        <v>30fps 1080p - 768x732</v>
      </c>
      <c r="Q7264">
        <f t="shared" si="906"/>
        <v>40</v>
      </c>
      <c r="R7264" t="str">
        <f t="shared" si="907"/>
        <v/>
      </c>
      <c r="S7264" t="str">
        <f t="shared" si="908"/>
        <v/>
      </c>
      <c r="T7264" s="403" t="str">
        <f t="shared" si="909"/>
        <v>MIC-7604-Z12xR</v>
      </c>
      <c r="U7264" s="403">
        <f t="shared" si="910"/>
        <v>1</v>
      </c>
      <c r="V7264" s="403" t="str">
        <f t="shared" si="911"/>
        <v>CPP_7_3</v>
      </c>
    </row>
    <row r="7265" spans="1:22">
      <c r="A7265" t="str">
        <f t="shared" si="904"/>
        <v>MIC-7604-Z12xR</v>
      </c>
      <c r="B7265" t="s">
        <v>1810</v>
      </c>
      <c r="C7265" s="403" t="s">
        <v>582</v>
      </c>
      <c r="D7265" t="s">
        <v>1940</v>
      </c>
      <c r="F7265" t="s">
        <v>1286</v>
      </c>
      <c r="G7265" t="s">
        <v>1811</v>
      </c>
      <c r="H7265" t="s">
        <v>1812</v>
      </c>
      <c r="I7265">
        <v>1</v>
      </c>
      <c r="J7265" t="s">
        <v>110</v>
      </c>
      <c r="K7265">
        <v>1920</v>
      </c>
      <c r="L7265">
        <v>1080</v>
      </c>
      <c r="M7265" t="s">
        <v>1815</v>
      </c>
      <c r="N7265">
        <v>512</v>
      </c>
      <c r="O7265">
        <v>288</v>
      </c>
      <c r="P7265" t="str">
        <f t="shared" si="905"/>
        <v>30fps 1080p - 512x288</v>
      </c>
      <c r="Q7265">
        <f t="shared" si="906"/>
        <v>40</v>
      </c>
      <c r="R7265" t="str">
        <f t="shared" si="907"/>
        <v/>
      </c>
      <c r="S7265" t="str">
        <f t="shared" si="908"/>
        <v/>
      </c>
      <c r="T7265" s="403" t="str">
        <f t="shared" si="909"/>
        <v>MIC-7604-Z12xR</v>
      </c>
      <c r="U7265" s="403">
        <f t="shared" si="910"/>
        <v>1</v>
      </c>
      <c r="V7265" s="403" t="str">
        <f t="shared" si="911"/>
        <v>CPP_7_3</v>
      </c>
    </row>
    <row r="7266" spans="1:22">
      <c r="A7266" t="str">
        <f t="shared" si="904"/>
        <v>MIC-7604-Z12xR</v>
      </c>
      <c r="B7266" t="s">
        <v>1810</v>
      </c>
      <c r="C7266" s="403" t="s">
        <v>582</v>
      </c>
      <c r="D7266" t="s">
        <v>1940</v>
      </c>
      <c r="F7266" t="s">
        <v>1286</v>
      </c>
      <c r="G7266" t="s">
        <v>1811</v>
      </c>
      <c r="H7266" t="s">
        <v>1812</v>
      </c>
      <c r="I7266">
        <v>1</v>
      </c>
      <c r="J7266" t="s">
        <v>1451</v>
      </c>
      <c r="K7266">
        <v>1536</v>
      </c>
      <c r="L7266">
        <v>864</v>
      </c>
      <c r="M7266" t="s">
        <v>110</v>
      </c>
      <c r="N7266">
        <v>1920</v>
      </c>
      <c r="O7266">
        <v>1080</v>
      </c>
      <c r="P7266" t="str">
        <f t="shared" si="905"/>
        <v>30fps 1536x864 - 1080p</v>
      </c>
      <c r="Q7266">
        <f t="shared" si="906"/>
        <v>40</v>
      </c>
      <c r="R7266" t="str">
        <f t="shared" si="907"/>
        <v/>
      </c>
      <c r="S7266" t="str">
        <f t="shared" si="908"/>
        <v/>
      </c>
      <c r="T7266" s="403" t="str">
        <f t="shared" si="909"/>
        <v>MIC-7604-Z12xR</v>
      </c>
      <c r="U7266" s="403">
        <f t="shared" si="910"/>
        <v>1</v>
      </c>
      <c r="V7266" s="403" t="str">
        <f t="shared" si="911"/>
        <v>CPP_7_3</v>
      </c>
    </row>
    <row r="7267" spans="1:22">
      <c r="A7267" t="str">
        <f t="shared" si="904"/>
        <v>MIC-7604-Z12xR</v>
      </c>
      <c r="B7267" t="s">
        <v>1810</v>
      </c>
      <c r="C7267" s="403" t="s">
        <v>582</v>
      </c>
      <c r="D7267" t="s">
        <v>1940</v>
      </c>
      <c r="F7267" t="s">
        <v>1286</v>
      </c>
      <c r="G7267" t="s">
        <v>1811</v>
      </c>
      <c r="H7267" t="s">
        <v>1812</v>
      </c>
      <c r="I7267">
        <v>1</v>
      </c>
      <c r="J7267" t="s">
        <v>1451</v>
      </c>
      <c r="K7267">
        <v>1536</v>
      </c>
      <c r="L7267">
        <v>864</v>
      </c>
      <c r="M7267" t="s">
        <v>1451</v>
      </c>
      <c r="N7267">
        <v>1536</v>
      </c>
      <c r="O7267">
        <v>864</v>
      </c>
      <c r="P7267" t="str">
        <f t="shared" si="905"/>
        <v>30fps 1536x864 - 1536x864</v>
      </c>
      <c r="Q7267">
        <f t="shared" si="906"/>
        <v>40</v>
      </c>
      <c r="R7267" t="str">
        <f t="shared" si="907"/>
        <v/>
      </c>
      <c r="S7267" t="str">
        <f t="shared" si="908"/>
        <v/>
      </c>
      <c r="T7267" s="403" t="str">
        <f t="shared" si="909"/>
        <v>MIC-7604-Z12xR</v>
      </c>
      <c r="U7267" s="403">
        <f t="shared" si="910"/>
        <v>1</v>
      </c>
      <c r="V7267" s="403" t="str">
        <f t="shared" si="911"/>
        <v>CPP_7_3</v>
      </c>
    </row>
    <row r="7268" spans="1:22">
      <c r="A7268" t="str">
        <f t="shared" si="904"/>
        <v>MIC-7604-Z12xR</v>
      </c>
      <c r="B7268" t="s">
        <v>1810</v>
      </c>
      <c r="C7268" s="403" t="s">
        <v>582</v>
      </c>
      <c r="D7268" t="s">
        <v>1940</v>
      </c>
      <c r="F7268" t="s">
        <v>1286</v>
      </c>
      <c r="G7268" t="s">
        <v>1811</v>
      </c>
      <c r="H7268" t="s">
        <v>1812</v>
      </c>
      <c r="I7268">
        <v>1</v>
      </c>
      <c r="J7268" t="s">
        <v>1451</v>
      </c>
      <c r="K7268">
        <v>1536</v>
      </c>
      <c r="L7268">
        <v>864</v>
      </c>
      <c r="M7268" t="s">
        <v>109</v>
      </c>
      <c r="N7268">
        <v>1280</v>
      </c>
      <c r="O7268">
        <v>720</v>
      </c>
      <c r="P7268" t="str">
        <f t="shared" si="905"/>
        <v>30fps 1536x864 - 720p</v>
      </c>
      <c r="Q7268">
        <f t="shared" si="906"/>
        <v>40</v>
      </c>
      <c r="R7268" t="str">
        <f t="shared" si="907"/>
        <v/>
      </c>
      <c r="S7268" t="str">
        <f t="shared" si="908"/>
        <v/>
      </c>
      <c r="T7268" s="403" t="str">
        <f t="shared" si="909"/>
        <v>MIC-7604-Z12xR</v>
      </c>
      <c r="U7268" s="403">
        <f t="shared" si="910"/>
        <v>1</v>
      </c>
      <c r="V7268" s="403" t="str">
        <f t="shared" si="911"/>
        <v>CPP_7_3</v>
      </c>
    </row>
    <row r="7269" spans="1:22">
      <c r="A7269" t="str">
        <f t="shared" si="904"/>
        <v>MIC-7604-Z12xR</v>
      </c>
      <c r="B7269" t="s">
        <v>1810</v>
      </c>
      <c r="C7269" s="403" t="s">
        <v>582</v>
      </c>
      <c r="D7269" t="s">
        <v>1940</v>
      </c>
      <c r="F7269" t="s">
        <v>1286</v>
      </c>
      <c r="G7269" t="s">
        <v>1811</v>
      </c>
      <c r="H7269" t="s">
        <v>1812</v>
      </c>
      <c r="I7269">
        <v>1</v>
      </c>
      <c r="J7269" t="s">
        <v>1451</v>
      </c>
      <c r="K7269">
        <v>1536</v>
      </c>
      <c r="L7269">
        <v>864</v>
      </c>
      <c r="M7269" t="s">
        <v>1814</v>
      </c>
      <c r="N7269">
        <v>768</v>
      </c>
      <c r="O7269">
        <v>432</v>
      </c>
      <c r="P7269" t="str">
        <f t="shared" si="905"/>
        <v>30fps 1536x864 - 768x732</v>
      </c>
      <c r="Q7269">
        <f t="shared" si="906"/>
        <v>40</v>
      </c>
      <c r="R7269" t="str">
        <f t="shared" si="907"/>
        <v/>
      </c>
      <c r="S7269" t="str">
        <f t="shared" si="908"/>
        <v/>
      </c>
      <c r="T7269" s="403" t="str">
        <f t="shared" si="909"/>
        <v>MIC-7604-Z12xR</v>
      </c>
      <c r="U7269" s="403">
        <f t="shared" si="910"/>
        <v>1</v>
      </c>
      <c r="V7269" s="403" t="str">
        <f t="shared" si="911"/>
        <v>CPP_7_3</v>
      </c>
    </row>
    <row r="7270" spans="1:22">
      <c r="A7270" t="str">
        <f t="shared" si="904"/>
        <v>MIC-7604-Z12xR</v>
      </c>
      <c r="B7270" t="s">
        <v>1810</v>
      </c>
      <c r="C7270" s="403" t="s">
        <v>582</v>
      </c>
      <c r="D7270" t="s">
        <v>1940</v>
      </c>
      <c r="F7270" t="s">
        <v>1286</v>
      </c>
      <c r="G7270" t="s">
        <v>1811</v>
      </c>
      <c r="H7270" t="s">
        <v>1812</v>
      </c>
      <c r="I7270">
        <v>1</v>
      </c>
      <c r="J7270" t="s">
        <v>1451</v>
      </c>
      <c r="K7270">
        <v>1536</v>
      </c>
      <c r="L7270">
        <v>864</v>
      </c>
      <c r="M7270" t="s">
        <v>1815</v>
      </c>
      <c r="N7270">
        <v>512</v>
      </c>
      <c r="O7270">
        <v>288</v>
      </c>
      <c r="P7270" t="str">
        <f t="shared" si="905"/>
        <v>30fps 1536x864 - 512x288</v>
      </c>
      <c r="Q7270">
        <f t="shared" si="906"/>
        <v>40</v>
      </c>
      <c r="R7270" t="str">
        <f t="shared" si="907"/>
        <v/>
      </c>
      <c r="S7270" t="str">
        <f t="shared" si="908"/>
        <v/>
      </c>
      <c r="T7270" s="403" t="str">
        <f t="shared" si="909"/>
        <v>MIC-7604-Z12xR</v>
      </c>
      <c r="U7270" s="403">
        <f t="shared" si="910"/>
        <v>1</v>
      </c>
      <c r="V7270" s="403" t="str">
        <f t="shared" si="911"/>
        <v>CPP_7_3</v>
      </c>
    </row>
    <row r="7271" spans="1:22">
      <c r="A7271" t="str">
        <f t="shared" si="904"/>
        <v>MIC-7604-Z12xR</v>
      </c>
      <c r="B7271" t="s">
        <v>1810</v>
      </c>
      <c r="C7271" s="403" t="s">
        <v>582</v>
      </c>
      <c r="D7271" t="s">
        <v>1940</v>
      </c>
      <c r="F7271" t="s">
        <v>1286</v>
      </c>
      <c r="G7271" t="s">
        <v>1811</v>
      </c>
      <c r="H7271" t="s">
        <v>1812</v>
      </c>
      <c r="I7271">
        <v>1</v>
      </c>
      <c r="J7271" t="s">
        <v>109</v>
      </c>
      <c r="K7271">
        <v>1280</v>
      </c>
      <c r="L7271">
        <v>720</v>
      </c>
      <c r="M7271" t="s">
        <v>110</v>
      </c>
      <c r="N7271">
        <v>1920</v>
      </c>
      <c r="O7271">
        <v>1080</v>
      </c>
      <c r="P7271" t="str">
        <f t="shared" si="905"/>
        <v>30fps 720p - 1080p</v>
      </c>
      <c r="Q7271">
        <f t="shared" si="906"/>
        <v>40</v>
      </c>
      <c r="R7271" t="str">
        <f t="shared" si="907"/>
        <v/>
      </c>
      <c r="S7271" t="str">
        <f t="shared" si="908"/>
        <v/>
      </c>
      <c r="T7271" s="403" t="str">
        <f t="shared" si="909"/>
        <v>MIC-7604-Z12xR</v>
      </c>
      <c r="U7271" s="403">
        <f t="shared" si="910"/>
        <v>1</v>
      </c>
      <c r="V7271" s="403" t="str">
        <f t="shared" si="911"/>
        <v>CPP_7_3</v>
      </c>
    </row>
    <row r="7272" spans="1:22">
      <c r="A7272" t="str">
        <f t="shared" si="904"/>
        <v>MIC-7604-Z12xR</v>
      </c>
      <c r="B7272" t="s">
        <v>1810</v>
      </c>
      <c r="C7272" s="403" t="s">
        <v>582</v>
      </c>
      <c r="D7272" t="s">
        <v>1940</v>
      </c>
      <c r="F7272" t="s">
        <v>1286</v>
      </c>
      <c r="G7272" t="s">
        <v>1811</v>
      </c>
      <c r="H7272" t="s">
        <v>1812</v>
      </c>
      <c r="I7272">
        <v>1</v>
      </c>
      <c r="J7272" t="s">
        <v>109</v>
      </c>
      <c r="K7272">
        <v>1280</v>
      </c>
      <c r="L7272">
        <v>720</v>
      </c>
      <c r="M7272" t="s">
        <v>1451</v>
      </c>
      <c r="N7272">
        <v>1536</v>
      </c>
      <c r="O7272">
        <v>864</v>
      </c>
      <c r="P7272" t="str">
        <f t="shared" si="905"/>
        <v>30fps 720p - 1536x864</v>
      </c>
      <c r="Q7272">
        <f t="shared" si="906"/>
        <v>40</v>
      </c>
      <c r="R7272" t="str">
        <f t="shared" si="907"/>
        <v/>
      </c>
      <c r="S7272" t="str">
        <f t="shared" si="908"/>
        <v/>
      </c>
      <c r="T7272" s="403" t="str">
        <f t="shared" si="909"/>
        <v>MIC-7604-Z12xR</v>
      </c>
      <c r="U7272" s="403">
        <f t="shared" si="910"/>
        <v>1</v>
      </c>
      <c r="V7272" s="403" t="str">
        <f t="shared" si="911"/>
        <v>CPP_7_3</v>
      </c>
    </row>
    <row r="7273" spans="1:22">
      <c r="A7273" t="str">
        <f t="shared" si="904"/>
        <v>MIC-7604-Z12xR</v>
      </c>
      <c r="B7273" t="s">
        <v>1810</v>
      </c>
      <c r="C7273" s="403" t="s">
        <v>582</v>
      </c>
      <c r="D7273" t="s">
        <v>1940</v>
      </c>
      <c r="F7273" t="s">
        <v>1286</v>
      </c>
      <c r="G7273" t="s">
        <v>1811</v>
      </c>
      <c r="H7273" t="s">
        <v>1812</v>
      </c>
      <c r="I7273">
        <v>1</v>
      </c>
      <c r="J7273" t="s">
        <v>109</v>
      </c>
      <c r="K7273">
        <v>1280</v>
      </c>
      <c r="L7273">
        <v>720</v>
      </c>
      <c r="M7273" t="s">
        <v>109</v>
      </c>
      <c r="N7273">
        <v>1280</v>
      </c>
      <c r="O7273">
        <v>720</v>
      </c>
      <c r="P7273" t="str">
        <f t="shared" si="905"/>
        <v>30fps 720p - 720p</v>
      </c>
      <c r="Q7273">
        <f t="shared" si="906"/>
        <v>40</v>
      </c>
      <c r="R7273" t="str">
        <f t="shared" si="907"/>
        <v/>
      </c>
      <c r="S7273" t="str">
        <f t="shared" si="908"/>
        <v/>
      </c>
      <c r="T7273" s="403" t="str">
        <f t="shared" si="909"/>
        <v>MIC-7604-Z12xR</v>
      </c>
      <c r="U7273" s="403">
        <f t="shared" si="910"/>
        <v>1</v>
      </c>
      <c r="V7273" s="403" t="str">
        <f t="shared" si="911"/>
        <v>CPP_7_3</v>
      </c>
    </row>
    <row r="7274" spans="1:22">
      <c r="A7274" t="str">
        <f t="shared" ref="A7274:A7315" si="912">IF(AND(G7274&lt;&gt;"rotate 90°"),D7274,"")</f>
        <v>MIC-7604-Z12xR</v>
      </c>
      <c r="B7274" t="s">
        <v>1810</v>
      </c>
      <c r="C7274" s="403" t="s">
        <v>582</v>
      </c>
      <c r="D7274" t="s">
        <v>1940</v>
      </c>
      <c r="F7274" t="s">
        <v>1286</v>
      </c>
      <c r="G7274" t="s">
        <v>1811</v>
      </c>
      <c r="H7274" t="s">
        <v>1812</v>
      </c>
      <c r="I7274">
        <v>1</v>
      </c>
      <c r="J7274" t="s">
        <v>109</v>
      </c>
      <c r="K7274">
        <v>1280</v>
      </c>
      <c r="L7274">
        <v>720</v>
      </c>
      <c r="M7274" t="s">
        <v>1814</v>
      </c>
      <c r="N7274">
        <v>768</v>
      </c>
      <c r="O7274">
        <v>432</v>
      </c>
      <c r="P7274" t="str">
        <f t="shared" ref="P7274:P7315" si="913">LEFT(F7274,5)&amp;" "&amp;J7274&amp;" - "&amp;M7274</f>
        <v>30fps 720p - 768x732</v>
      </c>
      <c r="Q7274">
        <f t="shared" ref="Q7274:Q7316" si="914">IF(A7273=A7274,Q7273,Q7273+1)</f>
        <v>40</v>
      </c>
      <c r="R7274" t="str">
        <f t="shared" ref="R7274:R7316" si="915">IF(Q7273&lt;&gt;Q7274,Q7274,"")</f>
        <v/>
      </c>
      <c r="S7274" t="str">
        <f t="shared" ref="S7274:S7315" si="916">IF(R7274&lt;&gt;"",B7274&amp;" ("&amp;D7274&amp;")","")</f>
        <v/>
      </c>
      <c r="T7274" s="403" t="str">
        <f t="shared" ref="T7274:T7315" si="917">D7274</f>
        <v>MIC-7604-Z12xR</v>
      </c>
      <c r="U7274" s="403">
        <f t="shared" ref="U7274:U7315" si="918">I7274</f>
        <v>1</v>
      </c>
      <c r="V7274" s="403" t="str">
        <f t="shared" ref="V7274:V7315" si="919">C7274</f>
        <v>CPP_7_3</v>
      </c>
    </row>
    <row r="7275" spans="1:22">
      <c r="A7275" t="str">
        <f t="shared" si="912"/>
        <v>MIC-7604-Z12xR</v>
      </c>
      <c r="B7275" t="s">
        <v>1810</v>
      </c>
      <c r="C7275" s="403" t="s">
        <v>582</v>
      </c>
      <c r="D7275" t="s">
        <v>1940</v>
      </c>
      <c r="F7275" t="s">
        <v>1286</v>
      </c>
      <c r="G7275" t="s">
        <v>1811</v>
      </c>
      <c r="H7275" t="s">
        <v>1812</v>
      </c>
      <c r="I7275">
        <v>1</v>
      </c>
      <c r="J7275" t="s">
        <v>109</v>
      </c>
      <c r="K7275">
        <v>1280</v>
      </c>
      <c r="L7275">
        <v>720</v>
      </c>
      <c r="M7275" t="s">
        <v>1815</v>
      </c>
      <c r="N7275">
        <v>512</v>
      </c>
      <c r="O7275">
        <v>288</v>
      </c>
      <c r="P7275" t="str">
        <f t="shared" si="913"/>
        <v>30fps 720p - 512x288</v>
      </c>
      <c r="Q7275">
        <f t="shared" si="914"/>
        <v>40</v>
      </c>
      <c r="R7275" t="str">
        <f t="shared" si="915"/>
        <v/>
      </c>
      <c r="S7275" t="str">
        <f t="shared" si="916"/>
        <v/>
      </c>
      <c r="T7275" s="403" t="str">
        <f t="shared" si="917"/>
        <v>MIC-7604-Z12xR</v>
      </c>
      <c r="U7275" s="403">
        <f t="shared" si="918"/>
        <v>1</v>
      </c>
      <c r="V7275" s="403" t="str">
        <f t="shared" si="919"/>
        <v>CPP_7_3</v>
      </c>
    </row>
    <row r="7276" spans="1:22">
      <c r="A7276" t="str">
        <f t="shared" si="912"/>
        <v>MIC-7604-Z12xR</v>
      </c>
      <c r="B7276" t="s">
        <v>1810</v>
      </c>
      <c r="C7276" s="403" t="s">
        <v>582</v>
      </c>
      <c r="D7276" t="s">
        <v>1940</v>
      </c>
      <c r="F7276" t="s">
        <v>1286</v>
      </c>
      <c r="G7276" t="s">
        <v>1811</v>
      </c>
      <c r="H7276" t="s">
        <v>1812</v>
      </c>
      <c r="I7276">
        <v>1</v>
      </c>
      <c r="J7276" t="s">
        <v>1814</v>
      </c>
      <c r="K7276">
        <v>768</v>
      </c>
      <c r="L7276">
        <v>432</v>
      </c>
      <c r="M7276" t="s">
        <v>110</v>
      </c>
      <c r="N7276">
        <v>1920</v>
      </c>
      <c r="O7276">
        <v>1080</v>
      </c>
      <c r="P7276" t="str">
        <f t="shared" si="913"/>
        <v>30fps 768x732 - 1080p</v>
      </c>
      <c r="Q7276">
        <f t="shared" si="914"/>
        <v>40</v>
      </c>
      <c r="R7276" t="str">
        <f t="shared" si="915"/>
        <v/>
      </c>
      <c r="S7276" t="str">
        <f t="shared" si="916"/>
        <v/>
      </c>
      <c r="T7276" s="403" t="str">
        <f t="shared" si="917"/>
        <v>MIC-7604-Z12xR</v>
      </c>
      <c r="U7276" s="403">
        <f t="shared" si="918"/>
        <v>1</v>
      </c>
      <c r="V7276" s="403" t="str">
        <f t="shared" si="919"/>
        <v>CPP_7_3</v>
      </c>
    </row>
    <row r="7277" spans="1:22">
      <c r="A7277" t="str">
        <f t="shared" si="912"/>
        <v>MIC-7604-Z12xR</v>
      </c>
      <c r="B7277" t="s">
        <v>1810</v>
      </c>
      <c r="C7277" s="403" t="s">
        <v>582</v>
      </c>
      <c r="D7277" t="s">
        <v>1940</v>
      </c>
      <c r="F7277" t="s">
        <v>1286</v>
      </c>
      <c r="G7277" t="s">
        <v>1811</v>
      </c>
      <c r="H7277" t="s">
        <v>1812</v>
      </c>
      <c r="I7277">
        <v>1</v>
      </c>
      <c r="J7277" t="s">
        <v>1814</v>
      </c>
      <c r="K7277">
        <v>768</v>
      </c>
      <c r="L7277">
        <v>432</v>
      </c>
      <c r="M7277" t="s">
        <v>1451</v>
      </c>
      <c r="N7277">
        <v>1536</v>
      </c>
      <c r="O7277">
        <v>864</v>
      </c>
      <c r="P7277" t="str">
        <f t="shared" si="913"/>
        <v>30fps 768x732 - 1536x864</v>
      </c>
      <c r="Q7277">
        <f t="shared" si="914"/>
        <v>40</v>
      </c>
      <c r="R7277" t="str">
        <f t="shared" si="915"/>
        <v/>
      </c>
      <c r="S7277" t="str">
        <f t="shared" si="916"/>
        <v/>
      </c>
      <c r="T7277" s="403" t="str">
        <f t="shared" si="917"/>
        <v>MIC-7604-Z12xR</v>
      </c>
      <c r="U7277" s="403">
        <f t="shared" si="918"/>
        <v>1</v>
      </c>
      <c r="V7277" s="403" t="str">
        <f t="shared" si="919"/>
        <v>CPP_7_3</v>
      </c>
    </row>
    <row r="7278" spans="1:22">
      <c r="A7278" t="str">
        <f t="shared" si="912"/>
        <v>MIC-7604-Z12xR</v>
      </c>
      <c r="B7278" t="s">
        <v>1810</v>
      </c>
      <c r="C7278" s="403" t="s">
        <v>582</v>
      </c>
      <c r="D7278" t="s">
        <v>1940</v>
      </c>
      <c r="F7278" t="s">
        <v>1286</v>
      </c>
      <c r="G7278" t="s">
        <v>1811</v>
      </c>
      <c r="H7278" t="s">
        <v>1812</v>
      </c>
      <c r="I7278">
        <v>1</v>
      </c>
      <c r="J7278" t="s">
        <v>1814</v>
      </c>
      <c r="K7278">
        <v>768</v>
      </c>
      <c r="L7278">
        <v>432</v>
      </c>
      <c r="M7278" t="s">
        <v>109</v>
      </c>
      <c r="N7278">
        <v>1280</v>
      </c>
      <c r="O7278">
        <v>720</v>
      </c>
      <c r="P7278" t="str">
        <f t="shared" si="913"/>
        <v>30fps 768x732 - 720p</v>
      </c>
      <c r="Q7278">
        <f t="shared" si="914"/>
        <v>40</v>
      </c>
      <c r="R7278" t="str">
        <f t="shared" si="915"/>
        <v/>
      </c>
      <c r="S7278" t="str">
        <f t="shared" si="916"/>
        <v/>
      </c>
      <c r="T7278" s="403" t="str">
        <f t="shared" si="917"/>
        <v>MIC-7604-Z12xR</v>
      </c>
      <c r="U7278" s="403">
        <f t="shared" si="918"/>
        <v>1</v>
      </c>
      <c r="V7278" s="403" t="str">
        <f t="shared" si="919"/>
        <v>CPP_7_3</v>
      </c>
    </row>
    <row r="7279" spans="1:22">
      <c r="A7279" t="str">
        <f t="shared" si="912"/>
        <v>MIC-7604-Z12xR</v>
      </c>
      <c r="B7279" t="s">
        <v>1810</v>
      </c>
      <c r="C7279" s="403" t="s">
        <v>582</v>
      </c>
      <c r="D7279" t="s">
        <v>1940</v>
      </c>
      <c r="F7279" t="s">
        <v>1286</v>
      </c>
      <c r="G7279" t="s">
        <v>1811</v>
      </c>
      <c r="H7279" t="s">
        <v>1812</v>
      </c>
      <c r="I7279">
        <v>1</v>
      </c>
      <c r="J7279" t="s">
        <v>1814</v>
      </c>
      <c r="K7279">
        <v>768</v>
      </c>
      <c r="L7279">
        <v>432</v>
      </c>
      <c r="M7279" t="s">
        <v>1814</v>
      </c>
      <c r="N7279">
        <v>768</v>
      </c>
      <c r="O7279">
        <v>432</v>
      </c>
      <c r="P7279" t="str">
        <f t="shared" si="913"/>
        <v>30fps 768x732 - 768x732</v>
      </c>
      <c r="Q7279">
        <f t="shared" si="914"/>
        <v>40</v>
      </c>
      <c r="R7279" t="str">
        <f t="shared" si="915"/>
        <v/>
      </c>
      <c r="S7279" t="str">
        <f t="shared" si="916"/>
        <v/>
      </c>
      <c r="T7279" s="403" t="str">
        <f t="shared" si="917"/>
        <v>MIC-7604-Z12xR</v>
      </c>
      <c r="U7279" s="403">
        <f t="shared" si="918"/>
        <v>1</v>
      </c>
      <c r="V7279" s="403" t="str">
        <f t="shared" si="919"/>
        <v>CPP_7_3</v>
      </c>
    </row>
    <row r="7280" spans="1:22">
      <c r="A7280" t="str">
        <f t="shared" si="912"/>
        <v>MIC-7604-Z12xR</v>
      </c>
      <c r="B7280" t="s">
        <v>1810</v>
      </c>
      <c r="C7280" s="403" t="s">
        <v>582</v>
      </c>
      <c r="D7280" t="s">
        <v>1940</v>
      </c>
      <c r="F7280" t="s">
        <v>1286</v>
      </c>
      <c r="G7280" t="s">
        <v>1811</v>
      </c>
      <c r="H7280" t="s">
        <v>1812</v>
      </c>
      <c r="I7280">
        <v>1</v>
      </c>
      <c r="J7280" t="s">
        <v>1814</v>
      </c>
      <c r="K7280">
        <v>768</v>
      </c>
      <c r="L7280">
        <v>432</v>
      </c>
      <c r="M7280" t="s">
        <v>1815</v>
      </c>
      <c r="N7280">
        <v>512</v>
      </c>
      <c r="O7280">
        <v>288</v>
      </c>
      <c r="P7280" t="str">
        <f t="shared" si="913"/>
        <v>30fps 768x732 - 512x288</v>
      </c>
      <c r="Q7280">
        <f t="shared" si="914"/>
        <v>40</v>
      </c>
      <c r="R7280" t="str">
        <f t="shared" si="915"/>
        <v/>
      </c>
      <c r="S7280" t="str">
        <f t="shared" si="916"/>
        <v/>
      </c>
      <c r="T7280" s="403" t="str">
        <f t="shared" si="917"/>
        <v>MIC-7604-Z12xR</v>
      </c>
      <c r="U7280" s="403">
        <f t="shared" si="918"/>
        <v>1</v>
      </c>
      <c r="V7280" s="403" t="str">
        <f t="shared" si="919"/>
        <v>CPP_7_3</v>
      </c>
    </row>
    <row r="7281" spans="1:22">
      <c r="A7281" t="str">
        <f t="shared" si="912"/>
        <v>MIC-7604-Z12xR</v>
      </c>
      <c r="B7281" t="s">
        <v>1810</v>
      </c>
      <c r="C7281" s="403" t="s">
        <v>582</v>
      </c>
      <c r="D7281" t="s">
        <v>1940</v>
      </c>
      <c r="F7281" t="s">
        <v>1286</v>
      </c>
      <c r="G7281" t="s">
        <v>1811</v>
      </c>
      <c r="H7281" t="s">
        <v>1812</v>
      </c>
      <c r="I7281">
        <v>1</v>
      </c>
      <c r="J7281" t="s">
        <v>1815</v>
      </c>
      <c r="K7281">
        <v>512</v>
      </c>
      <c r="L7281">
        <v>288</v>
      </c>
      <c r="M7281" t="s">
        <v>110</v>
      </c>
      <c r="N7281">
        <v>1920</v>
      </c>
      <c r="O7281">
        <v>1080</v>
      </c>
      <c r="P7281" t="str">
        <f t="shared" si="913"/>
        <v>30fps 512x288 - 1080p</v>
      </c>
      <c r="Q7281">
        <f t="shared" si="914"/>
        <v>40</v>
      </c>
      <c r="R7281" t="str">
        <f t="shared" si="915"/>
        <v/>
      </c>
      <c r="S7281" t="str">
        <f t="shared" si="916"/>
        <v/>
      </c>
      <c r="T7281" s="403" t="str">
        <f t="shared" si="917"/>
        <v>MIC-7604-Z12xR</v>
      </c>
      <c r="U7281" s="403">
        <f t="shared" si="918"/>
        <v>1</v>
      </c>
      <c r="V7281" s="403" t="str">
        <f t="shared" si="919"/>
        <v>CPP_7_3</v>
      </c>
    </row>
    <row r="7282" spans="1:22">
      <c r="A7282" t="str">
        <f t="shared" si="912"/>
        <v>MIC-7604-Z12xR</v>
      </c>
      <c r="B7282" t="s">
        <v>1810</v>
      </c>
      <c r="C7282" s="403" t="s">
        <v>582</v>
      </c>
      <c r="D7282" t="s">
        <v>1940</v>
      </c>
      <c r="F7282" t="s">
        <v>1286</v>
      </c>
      <c r="G7282" t="s">
        <v>1811</v>
      </c>
      <c r="H7282" t="s">
        <v>1812</v>
      </c>
      <c r="I7282">
        <v>1</v>
      </c>
      <c r="J7282" t="s">
        <v>1815</v>
      </c>
      <c r="K7282">
        <v>512</v>
      </c>
      <c r="L7282">
        <v>288</v>
      </c>
      <c r="M7282" t="s">
        <v>1451</v>
      </c>
      <c r="N7282">
        <v>1536</v>
      </c>
      <c r="O7282">
        <v>864</v>
      </c>
      <c r="P7282" t="str">
        <f t="shared" si="913"/>
        <v>30fps 512x288 - 1536x864</v>
      </c>
      <c r="Q7282">
        <f t="shared" si="914"/>
        <v>40</v>
      </c>
      <c r="R7282" t="str">
        <f t="shared" si="915"/>
        <v/>
      </c>
      <c r="S7282" t="str">
        <f t="shared" si="916"/>
        <v/>
      </c>
      <c r="T7282" s="403" t="str">
        <f t="shared" si="917"/>
        <v>MIC-7604-Z12xR</v>
      </c>
      <c r="U7282" s="403">
        <f t="shared" si="918"/>
        <v>1</v>
      </c>
      <c r="V7282" s="403" t="str">
        <f t="shared" si="919"/>
        <v>CPP_7_3</v>
      </c>
    </row>
    <row r="7283" spans="1:22">
      <c r="A7283" t="str">
        <f t="shared" si="912"/>
        <v>MIC-7604-Z12xR</v>
      </c>
      <c r="B7283" t="s">
        <v>1810</v>
      </c>
      <c r="C7283" s="403" t="s">
        <v>582</v>
      </c>
      <c r="D7283" t="s">
        <v>1940</v>
      </c>
      <c r="F7283" t="s">
        <v>1286</v>
      </c>
      <c r="G7283" t="s">
        <v>1811</v>
      </c>
      <c r="H7283" t="s">
        <v>1812</v>
      </c>
      <c r="I7283">
        <v>1</v>
      </c>
      <c r="J7283" t="s">
        <v>1815</v>
      </c>
      <c r="K7283">
        <v>512</v>
      </c>
      <c r="L7283">
        <v>288</v>
      </c>
      <c r="M7283" t="s">
        <v>109</v>
      </c>
      <c r="N7283">
        <v>1280</v>
      </c>
      <c r="O7283">
        <v>720</v>
      </c>
      <c r="P7283" t="str">
        <f t="shared" si="913"/>
        <v>30fps 512x288 - 720p</v>
      </c>
      <c r="Q7283">
        <f t="shared" si="914"/>
        <v>40</v>
      </c>
      <c r="R7283" t="str">
        <f t="shared" si="915"/>
        <v/>
      </c>
      <c r="S7283" t="str">
        <f t="shared" si="916"/>
        <v/>
      </c>
      <c r="T7283" s="403" t="str">
        <f t="shared" si="917"/>
        <v>MIC-7604-Z12xR</v>
      </c>
      <c r="U7283" s="403">
        <f t="shared" si="918"/>
        <v>1</v>
      </c>
      <c r="V7283" s="403" t="str">
        <f t="shared" si="919"/>
        <v>CPP_7_3</v>
      </c>
    </row>
    <row r="7284" spans="1:22">
      <c r="A7284" t="str">
        <f t="shared" si="912"/>
        <v>MIC-7604-Z12xR</v>
      </c>
      <c r="B7284" t="s">
        <v>1810</v>
      </c>
      <c r="C7284" s="403" t="s">
        <v>582</v>
      </c>
      <c r="D7284" t="s">
        <v>1940</v>
      </c>
      <c r="F7284" t="s">
        <v>1286</v>
      </c>
      <c r="G7284" t="s">
        <v>1811</v>
      </c>
      <c r="H7284" t="s">
        <v>1812</v>
      </c>
      <c r="I7284">
        <v>1</v>
      </c>
      <c r="J7284" t="s">
        <v>1815</v>
      </c>
      <c r="K7284">
        <v>512</v>
      </c>
      <c r="L7284">
        <v>288</v>
      </c>
      <c r="M7284" t="s">
        <v>1814</v>
      </c>
      <c r="N7284">
        <v>768</v>
      </c>
      <c r="O7284">
        <v>432</v>
      </c>
      <c r="P7284" t="str">
        <f t="shared" si="913"/>
        <v>30fps 512x288 - 768x732</v>
      </c>
      <c r="Q7284">
        <f t="shared" si="914"/>
        <v>40</v>
      </c>
      <c r="R7284" t="str">
        <f t="shared" si="915"/>
        <v/>
      </c>
      <c r="S7284" t="str">
        <f t="shared" si="916"/>
        <v/>
      </c>
      <c r="T7284" s="403" t="str">
        <f t="shared" si="917"/>
        <v>MIC-7604-Z12xR</v>
      </c>
      <c r="U7284" s="403">
        <f t="shared" si="918"/>
        <v>1</v>
      </c>
      <c r="V7284" s="403" t="str">
        <f t="shared" si="919"/>
        <v>CPP_7_3</v>
      </c>
    </row>
    <row r="7285" spans="1:22">
      <c r="A7285" t="str">
        <f t="shared" si="912"/>
        <v>MIC-7604-Z12xR</v>
      </c>
      <c r="B7285" t="s">
        <v>1810</v>
      </c>
      <c r="C7285" s="403" t="s">
        <v>582</v>
      </c>
      <c r="D7285" t="s">
        <v>1940</v>
      </c>
      <c r="F7285" t="s">
        <v>1286</v>
      </c>
      <c r="G7285" t="s">
        <v>1811</v>
      </c>
      <c r="H7285" t="s">
        <v>1812</v>
      </c>
      <c r="I7285">
        <v>1</v>
      </c>
      <c r="J7285" t="s">
        <v>1815</v>
      </c>
      <c r="K7285">
        <v>512</v>
      </c>
      <c r="L7285">
        <v>288</v>
      </c>
      <c r="M7285" t="s">
        <v>1815</v>
      </c>
      <c r="N7285">
        <v>512</v>
      </c>
      <c r="O7285">
        <v>288</v>
      </c>
      <c r="P7285" t="str">
        <f t="shared" si="913"/>
        <v>30fps 512x288 - 512x288</v>
      </c>
      <c r="Q7285">
        <f t="shared" si="914"/>
        <v>40</v>
      </c>
      <c r="R7285" t="str">
        <f t="shared" si="915"/>
        <v/>
      </c>
      <c r="S7285" t="str">
        <f t="shared" si="916"/>
        <v/>
      </c>
      <c r="T7285" s="403" t="str">
        <f t="shared" si="917"/>
        <v>MIC-7604-Z12xR</v>
      </c>
      <c r="U7285" s="403">
        <f t="shared" si="918"/>
        <v>1</v>
      </c>
      <c r="V7285" s="403" t="str">
        <f t="shared" si="919"/>
        <v>CPP_7_3</v>
      </c>
    </row>
    <row r="7286" spans="1:22">
      <c r="A7286" t="str">
        <f t="shared" si="912"/>
        <v>MIC-7604-Z12xR</v>
      </c>
      <c r="B7286" t="s">
        <v>1810</v>
      </c>
      <c r="C7286" s="403" t="s">
        <v>582</v>
      </c>
      <c r="D7286" t="s">
        <v>1940</v>
      </c>
      <c r="F7286" t="s">
        <v>1286</v>
      </c>
      <c r="G7286" t="s">
        <v>1811</v>
      </c>
      <c r="H7286" t="s">
        <v>1816</v>
      </c>
      <c r="I7286">
        <v>1</v>
      </c>
      <c r="J7286" t="s">
        <v>1813</v>
      </c>
      <c r="K7286">
        <v>2560</v>
      </c>
      <c r="L7286">
        <v>1440</v>
      </c>
      <c r="M7286" t="s">
        <v>110</v>
      </c>
      <c r="N7286">
        <v>1920</v>
      </c>
      <c r="O7286">
        <v>1080</v>
      </c>
      <c r="P7286" t="str">
        <f t="shared" si="913"/>
        <v>30fps 2560x1440 - 1080p</v>
      </c>
      <c r="Q7286">
        <f t="shared" si="914"/>
        <v>40</v>
      </c>
      <c r="R7286" t="str">
        <f t="shared" si="915"/>
        <v/>
      </c>
      <c r="S7286" t="str">
        <f t="shared" si="916"/>
        <v/>
      </c>
      <c r="T7286" s="403" t="str">
        <f t="shared" si="917"/>
        <v>MIC-7604-Z12xR</v>
      </c>
      <c r="U7286" s="403">
        <f t="shared" si="918"/>
        <v>1</v>
      </c>
      <c r="V7286" s="403" t="str">
        <f t="shared" si="919"/>
        <v>CPP_7_3</v>
      </c>
    </row>
    <row r="7287" spans="1:22">
      <c r="A7287" t="str">
        <f t="shared" si="912"/>
        <v>MIC-7604-Z12xR</v>
      </c>
      <c r="B7287" t="s">
        <v>1810</v>
      </c>
      <c r="C7287" s="403" t="s">
        <v>582</v>
      </c>
      <c r="D7287" t="s">
        <v>1940</v>
      </c>
      <c r="F7287" t="s">
        <v>1286</v>
      </c>
      <c r="G7287" t="s">
        <v>1811</v>
      </c>
      <c r="H7287" t="s">
        <v>1816</v>
      </c>
      <c r="I7287">
        <v>1</v>
      </c>
      <c r="J7287" t="s">
        <v>1813</v>
      </c>
      <c r="K7287">
        <v>2560</v>
      </c>
      <c r="L7287">
        <v>1440</v>
      </c>
      <c r="M7287" t="s">
        <v>1451</v>
      </c>
      <c r="N7287">
        <v>1536</v>
      </c>
      <c r="O7287">
        <v>864</v>
      </c>
      <c r="P7287" t="str">
        <f t="shared" si="913"/>
        <v>30fps 2560x1440 - 1536x864</v>
      </c>
      <c r="Q7287">
        <f t="shared" si="914"/>
        <v>40</v>
      </c>
      <c r="R7287" t="str">
        <f t="shared" si="915"/>
        <v/>
      </c>
      <c r="S7287" t="str">
        <f t="shared" si="916"/>
        <v/>
      </c>
      <c r="T7287" s="403" t="str">
        <f t="shared" si="917"/>
        <v>MIC-7604-Z12xR</v>
      </c>
      <c r="U7287" s="403">
        <f t="shared" si="918"/>
        <v>1</v>
      </c>
      <c r="V7287" s="403" t="str">
        <f t="shared" si="919"/>
        <v>CPP_7_3</v>
      </c>
    </row>
    <row r="7288" spans="1:22">
      <c r="A7288" t="str">
        <f t="shared" si="912"/>
        <v>MIC-7604-Z12xR</v>
      </c>
      <c r="B7288" t="s">
        <v>1810</v>
      </c>
      <c r="C7288" s="403" t="s">
        <v>582</v>
      </c>
      <c r="D7288" t="s">
        <v>1940</v>
      </c>
      <c r="F7288" t="s">
        <v>1286</v>
      </c>
      <c r="G7288" t="s">
        <v>1811</v>
      </c>
      <c r="H7288" t="s">
        <v>1816</v>
      </c>
      <c r="I7288">
        <v>1</v>
      </c>
      <c r="J7288" t="s">
        <v>1813</v>
      </c>
      <c r="K7288">
        <v>2560</v>
      </c>
      <c r="L7288">
        <v>1440</v>
      </c>
      <c r="M7288" t="s">
        <v>109</v>
      </c>
      <c r="N7288">
        <v>1280</v>
      </c>
      <c r="O7288">
        <v>720</v>
      </c>
      <c r="P7288" t="str">
        <f t="shared" si="913"/>
        <v>30fps 2560x1440 - 720p</v>
      </c>
      <c r="Q7288">
        <f t="shared" si="914"/>
        <v>40</v>
      </c>
      <c r="R7288" t="str">
        <f t="shared" si="915"/>
        <v/>
      </c>
      <c r="S7288" t="str">
        <f t="shared" si="916"/>
        <v/>
      </c>
      <c r="T7288" s="403" t="str">
        <f t="shared" si="917"/>
        <v>MIC-7604-Z12xR</v>
      </c>
      <c r="U7288" s="403">
        <f t="shared" si="918"/>
        <v>1</v>
      </c>
      <c r="V7288" s="403" t="str">
        <f t="shared" si="919"/>
        <v>CPP_7_3</v>
      </c>
    </row>
    <row r="7289" spans="1:22">
      <c r="A7289" t="str">
        <f t="shared" si="912"/>
        <v>MIC-7604-Z12xR</v>
      </c>
      <c r="B7289" t="s">
        <v>1810</v>
      </c>
      <c r="C7289" s="403" t="s">
        <v>582</v>
      </c>
      <c r="D7289" t="s">
        <v>1940</v>
      </c>
      <c r="F7289" t="s">
        <v>1286</v>
      </c>
      <c r="G7289" t="s">
        <v>1811</v>
      </c>
      <c r="H7289" t="s">
        <v>1816</v>
      </c>
      <c r="I7289">
        <v>1</v>
      </c>
      <c r="J7289" t="s">
        <v>1813</v>
      </c>
      <c r="K7289">
        <v>2560</v>
      </c>
      <c r="L7289">
        <v>1440</v>
      </c>
      <c r="M7289" t="s">
        <v>1814</v>
      </c>
      <c r="N7289">
        <v>768</v>
      </c>
      <c r="O7289">
        <v>432</v>
      </c>
      <c r="P7289" t="str">
        <f t="shared" si="913"/>
        <v>30fps 2560x1440 - 768x732</v>
      </c>
      <c r="Q7289">
        <f t="shared" si="914"/>
        <v>40</v>
      </c>
      <c r="R7289" t="str">
        <f t="shared" si="915"/>
        <v/>
      </c>
      <c r="S7289" t="str">
        <f t="shared" si="916"/>
        <v/>
      </c>
      <c r="T7289" s="403" t="str">
        <f t="shared" si="917"/>
        <v>MIC-7604-Z12xR</v>
      </c>
      <c r="U7289" s="403">
        <f t="shared" si="918"/>
        <v>1</v>
      </c>
      <c r="V7289" s="403" t="str">
        <f t="shared" si="919"/>
        <v>CPP_7_3</v>
      </c>
    </row>
    <row r="7290" spans="1:22">
      <c r="A7290" t="str">
        <f t="shared" si="912"/>
        <v>MIC-7604-Z12xR</v>
      </c>
      <c r="B7290" t="s">
        <v>1810</v>
      </c>
      <c r="C7290" s="403" t="s">
        <v>582</v>
      </c>
      <c r="D7290" t="s">
        <v>1940</v>
      </c>
      <c r="F7290" t="s">
        <v>1286</v>
      </c>
      <c r="G7290" t="s">
        <v>1811</v>
      </c>
      <c r="H7290" t="s">
        <v>1816</v>
      </c>
      <c r="I7290">
        <v>1</v>
      </c>
      <c r="J7290" t="s">
        <v>1813</v>
      </c>
      <c r="K7290">
        <v>2560</v>
      </c>
      <c r="L7290">
        <v>1440</v>
      </c>
      <c r="M7290" t="s">
        <v>1815</v>
      </c>
      <c r="N7290">
        <v>512</v>
      </c>
      <c r="O7290">
        <v>288</v>
      </c>
      <c r="P7290" t="str">
        <f t="shared" si="913"/>
        <v>30fps 2560x1440 - 512x288</v>
      </c>
      <c r="Q7290">
        <f t="shared" si="914"/>
        <v>40</v>
      </c>
      <c r="R7290" t="str">
        <f t="shared" si="915"/>
        <v/>
      </c>
      <c r="S7290" t="str">
        <f t="shared" si="916"/>
        <v/>
      </c>
      <c r="T7290" s="403" t="str">
        <f t="shared" si="917"/>
        <v>MIC-7604-Z12xR</v>
      </c>
      <c r="U7290" s="403">
        <f t="shared" si="918"/>
        <v>1</v>
      </c>
      <c r="V7290" s="403" t="str">
        <f t="shared" si="919"/>
        <v>CPP_7_3</v>
      </c>
    </row>
    <row r="7291" spans="1:22">
      <c r="A7291" t="str">
        <f t="shared" si="912"/>
        <v>MIC-7604-Z12xR</v>
      </c>
      <c r="B7291" t="s">
        <v>1810</v>
      </c>
      <c r="C7291" s="403" t="s">
        <v>582</v>
      </c>
      <c r="D7291" t="s">
        <v>1940</v>
      </c>
      <c r="F7291" t="s">
        <v>1286</v>
      </c>
      <c r="G7291" t="s">
        <v>1811</v>
      </c>
      <c r="H7291" t="s">
        <v>1816</v>
      </c>
      <c r="I7291">
        <v>1</v>
      </c>
      <c r="J7291" t="s">
        <v>110</v>
      </c>
      <c r="K7291">
        <v>1920</v>
      </c>
      <c r="L7291">
        <v>1080</v>
      </c>
      <c r="M7291" t="s">
        <v>110</v>
      </c>
      <c r="N7291">
        <v>1920</v>
      </c>
      <c r="O7291">
        <v>1080</v>
      </c>
      <c r="P7291" t="str">
        <f t="shared" si="913"/>
        <v>30fps 1080p - 1080p</v>
      </c>
      <c r="Q7291">
        <f t="shared" si="914"/>
        <v>40</v>
      </c>
      <c r="R7291" t="str">
        <f t="shared" si="915"/>
        <v/>
      </c>
      <c r="S7291" t="str">
        <f t="shared" si="916"/>
        <v/>
      </c>
      <c r="T7291" s="403" t="str">
        <f t="shared" si="917"/>
        <v>MIC-7604-Z12xR</v>
      </c>
      <c r="U7291" s="403">
        <f t="shared" si="918"/>
        <v>1</v>
      </c>
      <c r="V7291" s="403" t="str">
        <f t="shared" si="919"/>
        <v>CPP_7_3</v>
      </c>
    </row>
    <row r="7292" spans="1:22">
      <c r="A7292" t="str">
        <f t="shared" si="912"/>
        <v>MIC-7604-Z12xR</v>
      </c>
      <c r="B7292" t="s">
        <v>1810</v>
      </c>
      <c r="C7292" s="403" t="s">
        <v>582</v>
      </c>
      <c r="D7292" t="s">
        <v>1940</v>
      </c>
      <c r="F7292" t="s">
        <v>1286</v>
      </c>
      <c r="G7292" t="s">
        <v>1811</v>
      </c>
      <c r="H7292" t="s">
        <v>1816</v>
      </c>
      <c r="I7292">
        <v>1</v>
      </c>
      <c r="J7292" t="s">
        <v>110</v>
      </c>
      <c r="K7292">
        <v>1920</v>
      </c>
      <c r="L7292">
        <v>1080</v>
      </c>
      <c r="M7292" t="s">
        <v>1451</v>
      </c>
      <c r="N7292">
        <v>1536</v>
      </c>
      <c r="O7292">
        <v>864</v>
      </c>
      <c r="P7292" t="str">
        <f t="shared" si="913"/>
        <v>30fps 1080p - 1536x864</v>
      </c>
      <c r="Q7292">
        <f t="shared" si="914"/>
        <v>40</v>
      </c>
      <c r="R7292" t="str">
        <f t="shared" si="915"/>
        <v/>
      </c>
      <c r="S7292" t="str">
        <f t="shared" si="916"/>
        <v/>
      </c>
      <c r="T7292" s="403" t="str">
        <f t="shared" si="917"/>
        <v>MIC-7604-Z12xR</v>
      </c>
      <c r="U7292" s="403">
        <f t="shared" si="918"/>
        <v>1</v>
      </c>
      <c r="V7292" s="403" t="str">
        <f t="shared" si="919"/>
        <v>CPP_7_3</v>
      </c>
    </row>
    <row r="7293" spans="1:22">
      <c r="A7293" t="str">
        <f t="shared" si="912"/>
        <v>MIC-7604-Z12xR</v>
      </c>
      <c r="B7293" t="s">
        <v>1810</v>
      </c>
      <c r="C7293" s="403" t="s">
        <v>582</v>
      </c>
      <c r="D7293" t="s">
        <v>1940</v>
      </c>
      <c r="F7293" t="s">
        <v>1286</v>
      </c>
      <c r="G7293" t="s">
        <v>1811</v>
      </c>
      <c r="H7293" t="s">
        <v>1816</v>
      </c>
      <c r="I7293">
        <v>1</v>
      </c>
      <c r="J7293" t="s">
        <v>110</v>
      </c>
      <c r="K7293">
        <v>1920</v>
      </c>
      <c r="L7293">
        <v>1080</v>
      </c>
      <c r="M7293" t="s">
        <v>109</v>
      </c>
      <c r="N7293">
        <v>1280</v>
      </c>
      <c r="O7293">
        <v>720</v>
      </c>
      <c r="P7293" t="str">
        <f t="shared" si="913"/>
        <v>30fps 1080p - 720p</v>
      </c>
      <c r="Q7293">
        <f t="shared" si="914"/>
        <v>40</v>
      </c>
      <c r="R7293" t="str">
        <f t="shared" si="915"/>
        <v/>
      </c>
      <c r="S7293" t="str">
        <f t="shared" si="916"/>
        <v/>
      </c>
      <c r="T7293" s="403" t="str">
        <f t="shared" si="917"/>
        <v>MIC-7604-Z12xR</v>
      </c>
      <c r="U7293" s="403">
        <f t="shared" si="918"/>
        <v>1</v>
      </c>
      <c r="V7293" s="403" t="str">
        <f t="shared" si="919"/>
        <v>CPP_7_3</v>
      </c>
    </row>
    <row r="7294" spans="1:22">
      <c r="A7294" t="str">
        <f t="shared" si="912"/>
        <v>MIC-7604-Z12xR</v>
      </c>
      <c r="B7294" t="s">
        <v>1810</v>
      </c>
      <c r="C7294" s="403" t="s">
        <v>582</v>
      </c>
      <c r="D7294" t="s">
        <v>1940</v>
      </c>
      <c r="F7294" t="s">
        <v>1286</v>
      </c>
      <c r="G7294" t="s">
        <v>1811</v>
      </c>
      <c r="H7294" t="s">
        <v>1816</v>
      </c>
      <c r="I7294">
        <v>1</v>
      </c>
      <c r="J7294" t="s">
        <v>110</v>
      </c>
      <c r="K7294">
        <v>1920</v>
      </c>
      <c r="L7294">
        <v>1080</v>
      </c>
      <c r="M7294" t="s">
        <v>1814</v>
      </c>
      <c r="N7294">
        <v>768</v>
      </c>
      <c r="O7294">
        <v>432</v>
      </c>
      <c r="P7294" t="str">
        <f t="shared" si="913"/>
        <v>30fps 1080p - 768x732</v>
      </c>
      <c r="Q7294">
        <f t="shared" si="914"/>
        <v>40</v>
      </c>
      <c r="R7294" t="str">
        <f t="shared" si="915"/>
        <v/>
      </c>
      <c r="S7294" t="str">
        <f t="shared" si="916"/>
        <v/>
      </c>
      <c r="T7294" s="403" t="str">
        <f t="shared" si="917"/>
        <v>MIC-7604-Z12xR</v>
      </c>
      <c r="U7294" s="403">
        <f t="shared" si="918"/>
        <v>1</v>
      </c>
      <c r="V7294" s="403" t="str">
        <f t="shared" si="919"/>
        <v>CPP_7_3</v>
      </c>
    </row>
    <row r="7295" spans="1:22">
      <c r="A7295" t="str">
        <f t="shared" si="912"/>
        <v>MIC-7604-Z12xR</v>
      </c>
      <c r="B7295" t="s">
        <v>1810</v>
      </c>
      <c r="C7295" s="403" t="s">
        <v>582</v>
      </c>
      <c r="D7295" t="s">
        <v>1940</v>
      </c>
      <c r="F7295" t="s">
        <v>1286</v>
      </c>
      <c r="G7295" t="s">
        <v>1811</v>
      </c>
      <c r="H7295" t="s">
        <v>1816</v>
      </c>
      <c r="I7295">
        <v>1</v>
      </c>
      <c r="J7295" t="s">
        <v>110</v>
      </c>
      <c r="K7295">
        <v>1920</v>
      </c>
      <c r="L7295">
        <v>1080</v>
      </c>
      <c r="M7295" t="s">
        <v>1815</v>
      </c>
      <c r="N7295">
        <v>512</v>
      </c>
      <c r="O7295">
        <v>288</v>
      </c>
      <c r="P7295" t="str">
        <f t="shared" si="913"/>
        <v>30fps 1080p - 512x288</v>
      </c>
      <c r="Q7295">
        <f t="shared" si="914"/>
        <v>40</v>
      </c>
      <c r="R7295" t="str">
        <f t="shared" si="915"/>
        <v/>
      </c>
      <c r="S7295" t="str">
        <f t="shared" si="916"/>
        <v/>
      </c>
      <c r="T7295" s="403" t="str">
        <f t="shared" si="917"/>
        <v>MIC-7604-Z12xR</v>
      </c>
      <c r="U7295" s="403">
        <f t="shared" si="918"/>
        <v>1</v>
      </c>
      <c r="V7295" s="403" t="str">
        <f t="shared" si="919"/>
        <v>CPP_7_3</v>
      </c>
    </row>
    <row r="7296" spans="1:22">
      <c r="A7296" t="str">
        <f t="shared" si="912"/>
        <v>MIC-7604-Z12xR</v>
      </c>
      <c r="B7296" t="s">
        <v>1810</v>
      </c>
      <c r="C7296" s="403" t="s">
        <v>582</v>
      </c>
      <c r="D7296" t="s">
        <v>1940</v>
      </c>
      <c r="F7296" t="s">
        <v>1286</v>
      </c>
      <c r="G7296" t="s">
        <v>1811</v>
      </c>
      <c r="H7296" t="s">
        <v>1816</v>
      </c>
      <c r="I7296">
        <v>1</v>
      </c>
      <c r="J7296" t="s">
        <v>1451</v>
      </c>
      <c r="K7296">
        <v>1536</v>
      </c>
      <c r="L7296">
        <v>864</v>
      </c>
      <c r="M7296" t="s">
        <v>110</v>
      </c>
      <c r="N7296">
        <v>1920</v>
      </c>
      <c r="O7296">
        <v>1080</v>
      </c>
      <c r="P7296" t="str">
        <f t="shared" si="913"/>
        <v>30fps 1536x864 - 1080p</v>
      </c>
      <c r="Q7296">
        <f t="shared" si="914"/>
        <v>40</v>
      </c>
      <c r="R7296" t="str">
        <f t="shared" si="915"/>
        <v/>
      </c>
      <c r="S7296" t="str">
        <f t="shared" si="916"/>
        <v/>
      </c>
      <c r="T7296" s="403" t="str">
        <f t="shared" si="917"/>
        <v>MIC-7604-Z12xR</v>
      </c>
      <c r="U7296" s="403">
        <f t="shared" si="918"/>
        <v>1</v>
      </c>
      <c r="V7296" s="403" t="str">
        <f t="shared" si="919"/>
        <v>CPP_7_3</v>
      </c>
    </row>
    <row r="7297" spans="1:22">
      <c r="A7297" t="str">
        <f t="shared" si="912"/>
        <v>MIC-7604-Z12xR</v>
      </c>
      <c r="B7297" t="s">
        <v>1810</v>
      </c>
      <c r="C7297" s="403" t="s">
        <v>582</v>
      </c>
      <c r="D7297" t="s">
        <v>1940</v>
      </c>
      <c r="F7297" t="s">
        <v>1286</v>
      </c>
      <c r="G7297" t="s">
        <v>1811</v>
      </c>
      <c r="H7297" t="s">
        <v>1816</v>
      </c>
      <c r="I7297">
        <v>1</v>
      </c>
      <c r="J7297" t="s">
        <v>1451</v>
      </c>
      <c r="K7297">
        <v>1536</v>
      </c>
      <c r="L7297">
        <v>864</v>
      </c>
      <c r="M7297" t="s">
        <v>1451</v>
      </c>
      <c r="N7297">
        <v>1536</v>
      </c>
      <c r="O7297">
        <v>864</v>
      </c>
      <c r="P7297" t="str">
        <f t="shared" si="913"/>
        <v>30fps 1536x864 - 1536x864</v>
      </c>
      <c r="Q7297">
        <f t="shared" si="914"/>
        <v>40</v>
      </c>
      <c r="R7297" t="str">
        <f t="shared" si="915"/>
        <v/>
      </c>
      <c r="S7297" t="str">
        <f t="shared" si="916"/>
        <v/>
      </c>
      <c r="T7297" s="403" t="str">
        <f t="shared" si="917"/>
        <v>MIC-7604-Z12xR</v>
      </c>
      <c r="U7297" s="403">
        <f t="shared" si="918"/>
        <v>1</v>
      </c>
      <c r="V7297" s="403" t="str">
        <f t="shared" si="919"/>
        <v>CPP_7_3</v>
      </c>
    </row>
    <row r="7298" spans="1:22">
      <c r="A7298" t="str">
        <f t="shared" si="912"/>
        <v>MIC-7604-Z12xR</v>
      </c>
      <c r="B7298" t="s">
        <v>1810</v>
      </c>
      <c r="C7298" s="403" t="s">
        <v>582</v>
      </c>
      <c r="D7298" t="s">
        <v>1940</v>
      </c>
      <c r="F7298" t="s">
        <v>1286</v>
      </c>
      <c r="G7298" t="s">
        <v>1811</v>
      </c>
      <c r="H7298" t="s">
        <v>1816</v>
      </c>
      <c r="I7298">
        <v>1</v>
      </c>
      <c r="J7298" t="s">
        <v>1451</v>
      </c>
      <c r="K7298">
        <v>1536</v>
      </c>
      <c r="L7298">
        <v>864</v>
      </c>
      <c r="M7298" t="s">
        <v>109</v>
      </c>
      <c r="N7298">
        <v>1280</v>
      </c>
      <c r="O7298">
        <v>720</v>
      </c>
      <c r="P7298" t="str">
        <f t="shared" si="913"/>
        <v>30fps 1536x864 - 720p</v>
      </c>
      <c r="Q7298">
        <f t="shared" si="914"/>
        <v>40</v>
      </c>
      <c r="R7298" t="str">
        <f t="shared" si="915"/>
        <v/>
      </c>
      <c r="S7298" t="str">
        <f t="shared" si="916"/>
        <v/>
      </c>
      <c r="T7298" s="403" t="str">
        <f t="shared" si="917"/>
        <v>MIC-7604-Z12xR</v>
      </c>
      <c r="U7298" s="403">
        <f t="shared" si="918"/>
        <v>1</v>
      </c>
      <c r="V7298" s="403" t="str">
        <f t="shared" si="919"/>
        <v>CPP_7_3</v>
      </c>
    </row>
    <row r="7299" spans="1:22">
      <c r="A7299" t="str">
        <f t="shared" si="912"/>
        <v>MIC-7604-Z12xR</v>
      </c>
      <c r="B7299" t="s">
        <v>1810</v>
      </c>
      <c r="C7299" s="403" t="s">
        <v>582</v>
      </c>
      <c r="D7299" t="s">
        <v>1940</v>
      </c>
      <c r="F7299" t="s">
        <v>1286</v>
      </c>
      <c r="G7299" t="s">
        <v>1811</v>
      </c>
      <c r="H7299" t="s">
        <v>1816</v>
      </c>
      <c r="I7299">
        <v>1</v>
      </c>
      <c r="J7299" t="s">
        <v>1451</v>
      </c>
      <c r="K7299">
        <v>1536</v>
      </c>
      <c r="L7299">
        <v>864</v>
      </c>
      <c r="M7299" t="s">
        <v>1814</v>
      </c>
      <c r="N7299">
        <v>768</v>
      </c>
      <c r="O7299">
        <v>432</v>
      </c>
      <c r="P7299" t="str">
        <f t="shared" si="913"/>
        <v>30fps 1536x864 - 768x732</v>
      </c>
      <c r="Q7299">
        <f t="shared" si="914"/>
        <v>40</v>
      </c>
      <c r="R7299" t="str">
        <f t="shared" si="915"/>
        <v/>
      </c>
      <c r="S7299" t="str">
        <f t="shared" si="916"/>
        <v/>
      </c>
      <c r="T7299" s="403" t="str">
        <f t="shared" si="917"/>
        <v>MIC-7604-Z12xR</v>
      </c>
      <c r="U7299" s="403">
        <f t="shared" si="918"/>
        <v>1</v>
      </c>
      <c r="V7299" s="403" t="str">
        <f t="shared" si="919"/>
        <v>CPP_7_3</v>
      </c>
    </row>
    <row r="7300" spans="1:22">
      <c r="A7300" t="str">
        <f t="shared" si="912"/>
        <v>MIC-7604-Z12xR</v>
      </c>
      <c r="B7300" t="s">
        <v>1810</v>
      </c>
      <c r="C7300" s="403" t="s">
        <v>582</v>
      </c>
      <c r="D7300" t="s">
        <v>1940</v>
      </c>
      <c r="F7300" t="s">
        <v>1286</v>
      </c>
      <c r="G7300" t="s">
        <v>1811</v>
      </c>
      <c r="H7300" t="s">
        <v>1816</v>
      </c>
      <c r="I7300">
        <v>1</v>
      </c>
      <c r="J7300" t="s">
        <v>1451</v>
      </c>
      <c r="K7300">
        <v>1536</v>
      </c>
      <c r="L7300">
        <v>864</v>
      </c>
      <c r="M7300" t="s">
        <v>1815</v>
      </c>
      <c r="N7300">
        <v>512</v>
      </c>
      <c r="O7300">
        <v>288</v>
      </c>
      <c r="P7300" t="str">
        <f t="shared" si="913"/>
        <v>30fps 1536x864 - 512x288</v>
      </c>
      <c r="Q7300">
        <f t="shared" si="914"/>
        <v>40</v>
      </c>
      <c r="R7300" t="str">
        <f t="shared" si="915"/>
        <v/>
      </c>
      <c r="S7300" t="str">
        <f t="shared" si="916"/>
        <v/>
      </c>
      <c r="T7300" s="403" t="str">
        <f t="shared" si="917"/>
        <v>MIC-7604-Z12xR</v>
      </c>
      <c r="U7300" s="403">
        <f t="shared" si="918"/>
        <v>1</v>
      </c>
      <c r="V7300" s="403" t="str">
        <f t="shared" si="919"/>
        <v>CPP_7_3</v>
      </c>
    </row>
    <row r="7301" spans="1:22">
      <c r="A7301" t="str">
        <f t="shared" si="912"/>
        <v>MIC-7604-Z12xR</v>
      </c>
      <c r="B7301" t="s">
        <v>1810</v>
      </c>
      <c r="C7301" s="403" t="s">
        <v>582</v>
      </c>
      <c r="D7301" t="s">
        <v>1940</v>
      </c>
      <c r="F7301" t="s">
        <v>1286</v>
      </c>
      <c r="G7301" t="s">
        <v>1811</v>
      </c>
      <c r="H7301" t="s">
        <v>1816</v>
      </c>
      <c r="I7301">
        <v>1</v>
      </c>
      <c r="J7301" t="s">
        <v>109</v>
      </c>
      <c r="K7301">
        <v>1280</v>
      </c>
      <c r="L7301">
        <v>720</v>
      </c>
      <c r="M7301" t="s">
        <v>110</v>
      </c>
      <c r="N7301">
        <v>1920</v>
      </c>
      <c r="O7301">
        <v>1080</v>
      </c>
      <c r="P7301" t="str">
        <f t="shared" si="913"/>
        <v>30fps 720p - 1080p</v>
      </c>
      <c r="Q7301">
        <f t="shared" si="914"/>
        <v>40</v>
      </c>
      <c r="R7301" t="str">
        <f t="shared" si="915"/>
        <v/>
      </c>
      <c r="S7301" t="str">
        <f t="shared" si="916"/>
        <v/>
      </c>
      <c r="T7301" s="403" t="str">
        <f t="shared" si="917"/>
        <v>MIC-7604-Z12xR</v>
      </c>
      <c r="U7301" s="403">
        <f t="shared" si="918"/>
        <v>1</v>
      </c>
      <c r="V7301" s="403" t="str">
        <f t="shared" si="919"/>
        <v>CPP_7_3</v>
      </c>
    </row>
    <row r="7302" spans="1:22">
      <c r="A7302" t="str">
        <f t="shared" si="912"/>
        <v>MIC-7604-Z12xR</v>
      </c>
      <c r="B7302" t="s">
        <v>1810</v>
      </c>
      <c r="C7302" s="403" t="s">
        <v>582</v>
      </c>
      <c r="D7302" t="s">
        <v>1940</v>
      </c>
      <c r="F7302" t="s">
        <v>1286</v>
      </c>
      <c r="G7302" t="s">
        <v>1811</v>
      </c>
      <c r="H7302" t="s">
        <v>1816</v>
      </c>
      <c r="I7302">
        <v>1</v>
      </c>
      <c r="J7302" t="s">
        <v>109</v>
      </c>
      <c r="K7302">
        <v>1280</v>
      </c>
      <c r="L7302">
        <v>720</v>
      </c>
      <c r="M7302" t="s">
        <v>1451</v>
      </c>
      <c r="N7302">
        <v>1536</v>
      </c>
      <c r="O7302">
        <v>864</v>
      </c>
      <c r="P7302" t="str">
        <f t="shared" si="913"/>
        <v>30fps 720p - 1536x864</v>
      </c>
      <c r="Q7302">
        <f t="shared" si="914"/>
        <v>40</v>
      </c>
      <c r="R7302" t="str">
        <f t="shared" si="915"/>
        <v/>
      </c>
      <c r="S7302" t="str">
        <f t="shared" si="916"/>
        <v/>
      </c>
      <c r="T7302" s="403" t="str">
        <f t="shared" si="917"/>
        <v>MIC-7604-Z12xR</v>
      </c>
      <c r="U7302" s="403">
        <f t="shared" si="918"/>
        <v>1</v>
      </c>
      <c r="V7302" s="403" t="str">
        <f t="shared" si="919"/>
        <v>CPP_7_3</v>
      </c>
    </row>
    <row r="7303" spans="1:22">
      <c r="A7303" t="str">
        <f t="shared" si="912"/>
        <v>MIC-7604-Z12xR</v>
      </c>
      <c r="B7303" t="s">
        <v>1810</v>
      </c>
      <c r="C7303" s="403" t="s">
        <v>582</v>
      </c>
      <c r="D7303" t="s">
        <v>1940</v>
      </c>
      <c r="F7303" t="s">
        <v>1286</v>
      </c>
      <c r="G7303" t="s">
        <v>1811</v>
      </c>
      <c r="H7303" t="s">
        <v>1816</v>
      </c>
      <c r="I7303">
        <v>1</v>
      </c>
      <c r="J7303" t="s">
        <v>109</v>
      </c>
      <c r="K7303">
        <v>1280</v>
      </c>
      <c r="L7303">
        <v>720</v>
      </c>
      <c r="M7303" t="s">
        <v>109</v>
      </c>
      <c r="N7303">
        <v>1280</v>
      </c>
      <c r="O7303">
        <v>720</v>
      </c>
      <c r="P7303" t="str">
        <f t="shared" si="913"/>
        <v>30fps 720p - 720p</v>
      </c>
      <c r="Q7303">
        <f t="shared" si="914"/>
        <v>40</v>
      </c>
      <c r="R7303" t="str">
        <f t="shared" si="915"/>
        <v/>
      </c>
      <c r="S7303" t="str">
        <f t="shared" si="916"/>
        <v/>
      </c>
      <c r="T7303" s="403" t="str">
        <f t="shared" si="917"/>
        <v>MIC-7604-Z12xR</v>
      </c>
      <c r="U7303" s="403">
        <f t="shared" si="918"/>
        <v>1</v>
      </c>
      <c r="V7303" s="403" t="str">
        <f t="shared" si="919"/>
        <v>CPP_7_3</v>
      </c>
    </row>
    <row r="7304" spans="1:22">
      <c r="A7304" t="str">
        <f t="shared" si="912"/>
        <v>MIC-7604-Z12xR</v>
      </c>
      <c r="B7304" t="s">
        <v>1810</v>
      </c>
      <c r="C7304" s="403" t="s">
        <v>582</v>
      </c>
      <c r="D7304" t="s">
        <v>1940</v>
      </c>
      <c r="F7304" t="s">
        <v>1286</v>
      </c>
      <c r="G7304" t="s">
        <v>1811</v>
      </c>
      <c r="H7304" t="s">
        <v>1816</v>
      </c>
      <c r="I7304">
        <v>1</v>
      </c>
      <c r="J7304" t="s">
        <v>109</v>
      </c>
      <c r="K7304">
        <v>1280</v>
      </c>
      <c r="L7304">
        <v>720</v>
      </c>
      <c r="M7304" t="s">
        <v>1814</v>
      </c>
      <c r="N7304">
        <v>768</v>
      </c>
      <c r="O7304">
        <v>432</v>
      </c>
      <c r="P7304" t="str">
        <f t="shared" si="913"/>
        <v>30fps 720p - 768x732</v>
      </c>
      <c r="Q7304">
        <f t="shared" si="914"/>
        <v>40</v>
      </c>
      <c r="R7304" t="str">
        <f t="shared" si="915"/>
        <v/>
      </c>
      <c r="S7304" t="str">
        <f t="shared" si="916"/>
        <v/>
      </c>
      <c r="T7304" s="403" t="str">
        <f t="shared" si="917"/>
        <v>MIC-7604-Z12xR</v>
      </c>
      <c r="U7304" s="403">
        <f t="shared" si="918"/>
        <v>1</v>
      </c>
      <c r="V7304" s="403" t="str">
        <f t="shared" si="919"/>
        <v>CPP_7_3</v>
      </c>
    </row>
    <row r="7305" spans="1:22">
      <c r="A7305" t="str">
        <f t="shared" si="912"/>
        <v>MIC-7604-Z12xR</v>
      </c>
      <c r="B7305" t="s">
        <v>1810</v>
      </c>
      <c r="C7305" s="403" t="s">
        <v>582</v>
      </c>
      <c r="D7305" t="s">
        <v>1940</v>
      </c>
      <c r="F7305" t="s">
        <v>1286</v>
      </c>
      <c r="G7305" t="s">
        <v>1811</v>
      </c>
      <c r="H7305" t="s">
        <v>1816</v>
      </c>
      <c r="I7305">
        <v>1</v>
      </c>
      <c r="J7305" t="s">
        <v>109</v>
      </c>
      <c r="K7305">
        <v>1280</v>
      </c>
      <c r="L7305">
        <v>720</v>
      </c>
      <c r="M7305" t="s">
        <v>1815</v>
      </c>
      <c r="N7305">
        <v>512</v>
      </c>
      <c r="O7305">
        <v>288</v>
      </c>
      <c r="P7305" t="str">
        <f t="shared" si="913"/>
        <v>30fps 720p - 512x288</v>
      </c>
      <c r="Q7305">
        <f t="shared" si="914"/>
        <v>40</v>
      </c>
      <c r="R7305" t="str">
        <f t="shared" si="915"/>
        <v/>
      </c>
      <c r="S7305" t="str">
        <f t="shared" si="916"/>
        <v/>
      </c>
      <c r="T7305" s="403" t="str">
        <f t="shared" si="917"/>
        <v>MIC-7604-Z12xR</v>
      </c>
      <c r="U7305" s="403">
        <f t="shared" si="918"/>
        <v>1</v>
      </c>
      <c r="V7305" s="403" t="str">
        <f t="shared" si="919"/>
        <v>CPP_7_3</v>
      </c>
    </row>
    <row r="7306" spans="1:22">
      <c r="A7306" t="str">
        <f t="shared" si="912"/>
        <v>MIC-7604-Z12xR</v>
      </c>
      <c r="B7306" t="s">
        <v>1810</v>
      </c>
      <c r="C7306" s="403" t="s">
        <v>582</v>
      </c>
      <c r="D7306" t="s">
        <v>1940</v>
      </c>
      <c r="F7306" t="s">
        <v>1286</v>
      </c>
      <c r="G7306" t="s">
        <v>1811</v>
      </c>
      <c r="H7306" t="s">
        <v>1816</v>
      </c>
      <c r="I7306">
        <v>1</v>
      </c>
      <c r="J7306" t="s">
        <v>1814</v>
      </c>
      <c r="K7306">
        <v>768</v>
      </c>
      <c r="L7306">
        <v>432</v>
      </c>
      <c r="M7306" t="s">
        <v>110</v>
      </c>
      <c r="N7306">
        <v>1920</v>
      </c>
      <c r="O7306">
        <v>1080</v>
      </c>
      <c r="P7306" t="str">
        <f t="shared" si="913"/>
        <v>30fps 768x732 - 1080p</v>
      </c>
      <c r="Q7306">
        <f t="shared" si="914"/>
        <v>40</v>
      </c>
      <c r="R7306" t="str">
        <f t="shared" si="915"/>
        <v/>
      </c>
      <c r="S7306" t="str">
        <f t="shared" si="916"/>
        <v/>
      </c>
      <c r="T7306" s="403" t="str">
        <f t="shared" si="917"/>
        <v>MIC-7604-Z12xR</v>
      </c>
      <c r="U7306" s="403">
        <f t="shared" si="918"/>
        <v>1</v>
      </c>
      <c r="V7306" s="403" t="str">
        <f t="shared" si="919"/>
        <v>CPP_7_3</v>
      </c>
    </row>
    <row r="7307" spans="1:22">
      <c r="A7307" t="str">
        <f t="shared" si="912"/>
        <v>MIC-7604-Z12xR</v>
      </c>
      <c r="B7307" t="s">
        <v>1810</v>
      </c>
      <c r="C7307" s="403" t="s">
        <v>582</v>
      </c>
      <c r="D7307" t="s">
        <v>1940</v>
      </c>
      <c r="F7307" t="s">
        <v>1286</v>
      </c>
      <c r="G7307" t="s">
        <v>1811</v>
      </c>
      <c r="H7307" t="s">
        <v>1816</v>
      </c>
      <c r="I7307">
        <v>1</v>
      </c>
      <c r="J7307" t="s">
        <v>1814</v>
      </c>
      <c r="K7307">
        <v>768</v>
      </c>
      <c r="L7307">
        <v>432</v>
      </c>
      <c r="M7307" t="s">
        <v>1451</v>
      </c>
      <c r="N7307">
        <v>1536</v>
      </c>
      <c r="O7307">
        <v>864</v>
      </c>
      <c r="P7307" t="str">
        <f t="shared" si="913"/>
        <v>30fps 768x732 - 1536x864</v>
      </c>
      <c r="Q7307">
        <f t="shared" si="914"/>
        <v>40</v>
      </c>
      <c r="R7307" t="str">
        <f t="shared" si="915"/>
        <v/>
      </c>
      <c r="S7307" t="str">
        <f t="shared" si="916"/>
        <v/>
      </c>
      <c r="T7307" s="403" t="str">
        <f t="shared" si="917"/>
        <v>MIC-7604-Z12xR</v>
      </c>
      <c r="U7307" s="403">
        <f t="shared" si="918"/>
        <v>1</v>
      </c>
      <c r="V7307" s="403" t="str">
        <f t="shared" si="919"/>
        <v>CPP_7_3</v>
      </c>
    </row>
    <row r="7308" spans="1:22">
      <c r="A7308" t="str">
        <f t="shared" si="912"/>
        <v>MIC-7604-Z12xR</v>
      </c>
      <c r="B7308" t="s">
        <v>1810</v>
      </c>
      <c r="C7308" s="403" t="s">
        <v>582</v>
      </c>
      <c r="D7308" t="s">
        <v>1940</v>
      </c>
      <c r="F7308" t="s">
        <v>1286</v>
      </c>
      <c r="G7308" t="s">
        <v>1811</v>
      </c>
      <c r="H7308" t="s">
        <v>1816</v>
      </c>
      <c r="I7308">
        <v>1</v>
      </c>
      <c r="J7308" t="s">
        <v>1814</v>
      </c>
      <c r="K7308">
        <v>768</v>
      </c>
      <c r="L7308">
        <v>432</v>
      </c>
      <c r="M7308" t="s">
        <v>109</v>
      </c>
      <c r="N7308">
        <v>1280</v>
      </c>
      <c r="O7308">
        <v>720</v>
      </c>
      <c r="P7308" t="str">
        <f t="shared" si="913"/>
        <v>30fps 768x732 - 720p</v>
      </c>
      <c r="Q7308">
        <f t="shared" si="914"/>
        <v>40</v>
      </c>
      <c r="R7308" t="str">
        <f t="shared" si="915"/>
        <v/>
      </c>
      <c r="S7308" t="str">
        <f t="shared" si="916"/>
        <v/>
      </c>
      <c r="T7308" s="403" t="str">
        <f t="shared" si="917"/>
        <v>MIC-7604-Z12xR</v>
      </c>
      <c r="U7308" s="403">
        <f t="shared" si="918"/>
        <v>1</v>
      </c>
      <c r="V7308" s="403" t="str">
        <f t="shared" si="919"/>
        <v>CPP_7_3</v>
      </c>
    </row>
    <row r="7309" spans="1:22">
      <c r="A7309" t="str">
        <f t="shared" si="912"/>
        <v>MIC-7604-Z12xR</v>
      </c>
      <c r="B7309" t="s">
        <v>1810</v>
      </c>
      <c r="C7309" s="403" t="s">
        <v>582</v>
      </c>
      <c r="D7309" t="s">
        <v>1940</v>
      </c>
      <c r="F7309" t="s">
        <v>1286</v>
      </c>
      <c r="G7309" t="s">
        <v>1811</v>
      </c>
      <c r="H7309" t="s">
        <v>1816</v>
      </c>
      <c r="I7309">
        <v>1</v>
      </c>
      <c r="J7309" t="s">
        <v>1814</v>
      </c>
      <c r="K7309">
        <v>768</v>
      </c>
      <c r="L7309">
        <v>432</v>
      </c>
      <c r="M7309" t="s">
        <v>1814</v>
      </c>
      <c r="N7309">
        <v>768</v>
      </c>
      <c r="O7309">
        <v>432</v>
      </c>
      <c r="P7309" t="str">
        <f t="shared" si="913"/>
        <v>30fps 768x732 - 768x732</v>
      </c>
      <c r="Q7309">
        <f t="shared" si="914"/>
        <v>40</v>
      </c>
      <c r="R7309" t="str">
        <f t="shared" si="915"/>
        <v/>
      </c>
      <c r="S7309" t="str">
        <f t="shared" si="916"/>
        <v/>
      </c>
      <c r="T7309" s="403" t="str">
        <f t="shared" si="917"/>
        <v>MIC-7604-Z12xR</v>
      </c>
      <c r="U7309" s="403">
        <f t="shared" si="918"/>
        <v>1</v>
      </c>
      <c r="V7309" s="403" t="str">
        <f t="shared" si="919"/>
        <v>CPP_7_3</v>
      </c>
    </row>
    <row r="7310" spans="1:22">
      <c r="A7310" t="str">
        <f t="shared" si="912"/>
        <v>MIC-7604-Z12xR</v>
      </c>
      <c r="B7310" t="s">
        <v>1810</v>
      </c>
      <c r="C7310" s="403" t="s">
        <v>582</v>
      </c>
      <c r="D7310" t="s">
        <v>1940</v>
      </c>
      <c r="F7310" t="s">
        <v>1286</v>
      </c>
      <c r="G7310" t="s">
        <v>1811</v>
      </c>
      <c r="H7310" t="s">
        <v>1816</v>
      </c>
      <c r="I7310">
        <v>1</v>
      </c>
      <c r="J7310" t="s">
        <v>1814</v>
      </c>
      <c r="K7310">
        <v>768</v>
      </c>
      <c r="L7310">
        <v>432</v>
      </c>
      <c r="M7310" t="s">
        <v>1815</v>
      </c>
      <c r="N7310">
        <v>512</v>
      </c>
      <c r="O7310">
        <v>288</v>
      </c>
      <c r="P7310" t="str">
        <f t="shared" si="913"/>
        <v>30fps 768x732 - 512x288</v>
      </c>
      <c r="Q7310">
        <f t="shared" si="914"/>
        <v>40</v>
      </c>
      <c r="R7310" t="str">
        <f t="shared" si="915"/>
        <v/>
      </c>
      <c r="S7310" t="str">
        <f t="shared" si="916"/>
        <v/>
      </c>
      <c r="T7310" s="403" t="str">
        <f t="shared" si="917"/>
        <v>MIC-7604-Z12xR</v>
      </c>
      <c r="U7310" s="403">
        <f t="shared" si="918"/>
        <v>1</v>
      </c>
      <c r="V7310" s="403" t="str">
        <f t="shared" si="919"/>
        <v>CPP_7_3</v>
      </c>
    </row>
    <row r="7311" spans="1:22">
      <c r="A7311" t="str">
        <f t="shared" si="912"/>
        <v>MIC-7604-Z12xR</v>
      </c>
      <c r="B7311" t="s">
        <v>1810</v>
      </c>
      <c r="C7311" s="403" t="s">
        <v>582</v>
      </c>
      <c r="D7311" t="s">
        <v>1940</v>
      </c>
      <c r="F7311" t="s">
        <v>1286</v>
      </c>
      <c r="G7311" t="s">
        <v>1811</v>
      </c>
      <c r="H7311" t="s">
        <v>1816</v>
      </c>
      <c r="I7311">
        <v>1</v>
      </c>
      <c r="J7311" t="s">
        <v>1815</v>
      </c>
      <c r="K7311">
        <v>512</v>
      </c>
      <c r="L7311">
        <v>288</v>
      </c>
      <c r="M7311" t="s">
        <v>110</v>
      </c>
      <c r="N7311">
        <v>1920</v>
      </c>
      <c r="O7311">
        <v>1080</v>
      </c>
      <c r="P7311" t="str">
        <f t="shared" si="913"/>
        <v>30fps 512x288 - 1080p</v>
      </c>
      <c r="Q7311">
        <f t="shared" si="914"/>
        <v>40</v>
      </c>
      <c r="R7311" t="str">
        <f t="shared" si="915"/>
        <v/>
      </c>
      <c r="S7311" t="str">
        <f t="shared" si="916"/>
        <v/>
      </c>
      <c r="T7311" s="403" t="str">
        <f t="shared" si="917"/>
        <v>MIC-7604-Z12xR</v>
      </c>
      <c r="U7311" s="403">
        <f t="shared" si="918"/>
        <v>1</v>
      </c>
      <c r="V7311" s="403" t="str">
        <f t="shared" si="919"/>
        <v>CPP_7_3</v>
      </c>
    </row>
    <row r="7312" spans="1:22">
      <c r="A7312" t="str">
        <f t="shared" si="912"/>
        <v>MIC-7604-Z12xR</v>
      </c>
      <c r="B7312" t="s">
        <v>1810</v>
      </c>
      <c r="C7312" s="403" t="s">
        <v>582</v>
      </c>
      <c r="D7312" t="s">
        <v>1940</v>
      </c>
      <c r="F7312" t="s">
        <v>1286</v>
      </c>
      <c r="G7312" t="s">
        <v>1811</v>
      </c>
      <c r="H7312" t="s">
        <v>1816</v>
      </c>
      <c r="I7312">
        <v>1</v>
      </c>
      <c r="J7312" t="s">
        <v>1815</v>
      </c>
      <c r="K7312">
        <v>512</v>
      </c>
      <c r="L7312">
        <v>288</v>
      </c>
      <c r="M7312" t="s">
        <v>1451</v>
      </c>
      <c r="N7312">
        <v>1536</v>
      </c>
      <c r="O7312">
        <v>864</v>
      </c>
      <c r="P7312" t="str">
        <f t="shared" si="913"/>
        <v>30fps 512x288 - 1536x864</v>
      </c>
      <c r="Q7312">
        <f t="shared" si="914"/>
        <v>40</v>
      </c>
      <c r="R7312" t="str">
        <f t="shared" si="915"/>
        <v/>
      </c>
      <c r="S7312" t="str">
        <f t="shared" si="916"/>
        <v/>
      </c>
      <c r="T7312" s="403" t="str">
        <f t="shared" si="917"/>
        <v>MIC-7604-Z12xR</v>
      </c>
      <c r="U7312" s="403">
        <f t="shared" si="918"/>
        <v>1</v>
      </c>
      <c r="V7312" s="403" t="str">
        <f t="shared" si="919"/>
        <v>CPP_7_3</v>
      </c>
    </row>
    <row r="7313" spans="1:22">
      <c r="A7313" t="str">
        <f t="shared" si="912"/>
        <v>MIC-7604-Z12xR</v>
      </c>
      <c r="B7313" t="s">
        <v>1810</v>
      </c>
      <c r="C7313" s="403" t="s">
        <v>582</v>
      </c>
      <c r="D7313" t="s">
        <v>1940</v>
      </c>
      <c r="F7313" t="s">
        <v>1286</v>
      </c>
      <c r="G7313" t="s">
        <v>1811</v>
      </c>
      <c r="H7313" t="s">
        <v>1816</v>
      </c>
      <c r="I7313">
        <v>1</v>
      </c>
      <c r="J7313" t="s">
        <v>1815</v>
      </c>
      <c r="K7313">
        <v>512</v>
      </c>
      <c r="L7313">
        <v>288</v>
      </c>
      <c r="M7313" t="s">
        <v>109</v>
      </c>
      <c r="N7313">
        <v>1280</v>
      </c>
      <c r="O7313">
        <v>720</v>
      </c>
      <c r="P7313" t="str">
        <f t="shared" si="913"/>
        <v>30fps 512x288 - 720p</v>
      </c>
      <c r="Q7313">
        <f t="shared" si="914"/>
        <v>40</v>
      </c>
      <c r="R7313" t="str">
        <f t="shared" si="915"/>
        <v/>
      </c>
      <c r="S7313" t="str">
        <f t="shared" si="916"/>
        <v/>
      </c>
      <c r="T7313" s="403" t="str">
        <f t="shared" si="917"/>
        <v>MIC-7604-Z12xR</v>
      </c>
      <c r="U7313" s="403">
        <f t="shared" si="918"/>
        <v>1</v>
      </c>
      <c r="V7313" s="403" t="str">
        <f t="shared" si="919"/>
        <v>CPP_7_3</v>
      </c>
    </row>
    <row r="7314" spans="1:22">
      <c r="A7314" t="str">
        <f t="shared" si="912"/>
        <v>MIC-7604-Z12xR</v>
      </c>
      <c r="B7314" t="s">
        <v>1810</v>
      </c>
      <c r="C7314" s="403" t="s">
        <v>582</v>
      </c>
      <c r="D7314" t="s">
        <v>1940</v>
      </c>
      <c r="F7314" t="s">
        <v>1286</v>
      </c>
      <c r="G7314" t="s">
        <v>1811</v>
      </c>
      <c r="H7314" t="s">
        <v>1816</v>
      </c>
      <c r="I7314">
        <v>1</v>
      </c>
      <c r="J7314" t="s">
        <v>1815</v>
      </c>
      <c r="K7314">
        <v>512</v>
      </c>
      <c r="L7314">
        <v>288</v>
      </c>
      <c r="M7314" t="s">
        <v>1814</v>
      </c>
      <c r="N7314">
        <v>768</v>
      </c>
      <c r="O7314">
        <v>432</v>
      </c>
      <c r="P7314" t="str">
        <f t="shared" si="913"/>
        <v>30fps 512x288 - 768x732</v>
      </c>
      <c r="Q7314">
        <f t="shared" si="914"/>
        <v>40</v>
      </c>
      <c r="R7314" t="str">
        <f t="shared" si="915"/>
        <v/>
      </c>
      <c r="S7314" t="str">
        <f t="shared" si="916"/>
        <v/>
      </c>
      <c r="T7314" s="403" t="str">
        <f t="shared" si="917"/>
        <v>MIC-7604-Z12xR</v>
      </c>
      <c r="U7314" s="403">
        <f t="shared" si="918"/>
        <v>1</v>
      </c>
      <c r="V7314" s="403" t="str">
        <f t="shared" si="919"/>
        <v>CPP_7_3</v>
      </c>
    </row>
    <row r="7315" spans="1:22">
      <c r="A7315" t="str">
        <f t="shared" si="912"/>
        <v>MIC-7604-Z12xR</v>
      </c>
      <c r="B7315" t="s">
        <v>1810</v>
      </c>
      <c r="C7315" s="403" t="s">
        <v>582</v>
      </c>
      <c r="D7315" t="s">
        <v>1940</v>
      </c>
      <c r="F7315" t="s">
        <v>1286</v>
      </c>
      <c r="G7315" t="s">
        <v>1811</v>
      </c>
      <c r="H7315" t="s">
        <v>1816</v>
      </c>
      <c r="I7315">
        <v>1</v>
      </c>
      <c r="J7315" t="s">
        <v>1815</v>
      </c>
      <c r="K7315">
        <v>512</v>
      </c>
      <c r="L7315">
        <v>288</v>
      </c>
      <c r="M7315" t="s">
        <v>1815</v>
      </c>
      <c r="N7315">
        <v>512</v>
      </c>
      <c r="O7315">
        <v>288</v>
      </c>
      <c r="P7315" t="str">
        <f t="shared" si="913"/>
        <v>30fps 512x288 - 512x288</v>
      </c>
      <c r="Q7315">
        <f t="shared" si="914"/>
        <v>40</v>
      </c>
      <c r="R7315" t="str">
        <f t="shared" si="915"/>
        <v/>
      </c>
      <c r="S7315" t="str">
        <f t="shared" si="916"/>
        <v/>
      </c>
      <c r="T7315" s="403" t="str">
        <f t="shared" si="917"/>
        <v>MIC-7604-Z12xR</v>
      </c>
      <c r="U7315" s="403">
        <f t="shared" si="918"/>
        <v>1</v>
      </c>
      <c r="V7315" s="403" t="str">
        <f t="shared" si="919"/>
        <v>CPP_7_3</v>
      </c>
    </row>
    <row r="7316" spans="1:22">
      <c r="A7316" t="str">
        <f t="shared" ref="A7316:A7324" si="920">IF(AND(G7316&lt;&gt;"rotate 90°"),D7316,"")</f>
        <v>NDP-7602-Z30</v>
      </c>
      <c r="B7316" t="s">
        <v>1817</v>
      </c>
      <c r="C7316" s="403" t="s">
        <v>582</v>
      </c>
      <c r="D7316" t="s">
        <v>1818</v>
      </c>
      <c r="F7316" t="s">
        <v>1286</v>
      </c>
      <c r="G7316" t="s">
        <v>1811</v>
      </c>
      <c r="H7316" t="s">
        <v>1812</v>
      </c>
      <c r="I7316">
        <v>1</v>
      </c>
      <c r="J7316" t="s">
        <v>110</v>
      </c>
      <c r="K7316">
        <v>1920</v>
      </c>
      <c r="L7316">
        <v>1080</v>
      </c>
      <c r="M7316" t="s">
        <v>110</v>
      </c>
      <c r="N7316">
        <v>1920</v>
      </c>
      <c r="O7316">
        <v>1080</v>
      </c>
      <c r="P7316" t="str">
        <f t="shared" ref="P7316:P7324" si="921">LEFT(F7316,5)&amp;" "&amp;J7316&amp;" - "&amp;M7316</f>
        <v>30fps 1080p - 1080p</v>
      </c>
      <c r="Q7316">
        <f t="shared" si="914"/>
        <v>41</v>
      </c>
      <c r="R7316">
        <f t="shared" si="915"/>
        <v>41</v>
      </c>
      <c r="S7316" t="str">
        <f t="shared" ref="S7316:S7340" si="922">IF(R7316&lt;&gt;"",B7316&amp;" ("&amp;D7316&amp;")","")</f>
        <v>AUTODOME inteox 7000i (NDP-7602-Z30)</v>
      </c>
      <c r="T7316" s="403" t="str">
        <f t="shared" ref="T7316:T7324" si="923">D7316</f>
        <v>NDP-7602-Z30</v>
      </c>
      <c r="U7316" s="403">
        <f t="shared" ref="U7316:U7324" si="924">I7316</f>
        <v>1</v>
      </c>
      <c r="V7316" s="403" t="str">
        <f t="shared" ref="V7316:V7324" si="925">C7316</f>
        <v>CPP_7_3</v>
      </c>
    </row>
    <row r="7317" spans="1:22">
      <c r="A7317" t="str">
        <f t="shared" si="920"/>
        <v>NDP-7602-Z30</v>
      </c>
      <c r="B7317" t="s">
        <v>1817</v>
      </c>
      <c r="C7317" s="403" t="s">
        <v>582</v>
      </c>
      <c r="D7317" t="s">
        <v>1818</v>
      </c>
      <c r="F7317" t="s">
        <v>1286</v>
      </c>
      <c r="G7317" t="s">
        <v>1811</v>
      </c>
      <c r="H7317" t="s">
        <v>1812</v>
      </c>
      <c r="I7317">
        <v>1</v>
      </c>
      <c r="J7317" t="s">
        <v>110</v>
      </c>
      <c r="K7317">
        <v>1920</v>
      </c>
      <c r="L7317">
        <v>1080</v>
      </c>
      <c r="M7317" t="s">
        <v>1451</v>
      </c>
      <c r="N7317">
        <v>1536</v>
      </c>
      <c r="O7317">
        <v>864</v>
      </c>
      <c r="P7317" t="str">
        <f t="shared" si="921"/>
        <v>30fps 1080p - 1536x864</v>
      </c>
      <c r="Q7317">
        <f t="shared" ref="Q7317:Q7340" si="926">IF(A7316=A7317,Q7316,Q7316+1)</f>
        <v>41</v>
      </c>
      <c r="R7317" t="str">
        <f t="shared" ref="R7317:R7340" si="927">IF(Q7316&lt;&gt;Q7317,Q7317,"")</f>
        <v/>
      </c>
      <c r="S7317" t="str">
        <f t="shared" si="922"/>
        <v/>
      </c>
      <c r="T7317" s="403" t="str">
        <f t="shared" si="923"/>
        <v>NDP-7602-Z30</v>
      </c>
      <c r="U7317" s="403">
        <f t="shared" si="924"/>
        <v>1</v>
      </c>
      <c r="V7317" s="403" t="str">
        <f t="shared" si="925"/>
        <v>CPP_7_3</v>
      </c>
    </row>
    <row r="7318" spans="1:22">
      <c r="A7318" t="str">
        <f t="shared" si="920"/>
        <v>NDP-7602-Z30</v>
      </c>
      <c r="B7318" t="s">
        <v>1817</v>
      </c>
      <c r="C7318" s="403" t="s">
        <v>582</v>
      </c>
      <c r="D7318" t="s">
        <v>1818</v>
      </c>
      <c r="F7318" t="s">
        <v>1286</v>
      </c>
      <c r="G7318" t="s">
        <v>1811</v>
      </c>
      <c r="H7318" t="s">
        <v>1812</v>
      </c>
      <c r="I7318">
        <v>1</v>
      </c>
      <c r="J7318" t="s">
        <v>110</v>
      </c>
      <c r="K7318">
        <v>1920</v>
      </c>
      <c r="L7318">
        <v>1080</v>
      </c>
      <c r="M7318" t="s">
        <v>109</v>
      </c>
      <c r="N7318">
        <v>1280</v>
      </c>
      <c r="O7318">
        <v>720</v>
      </c>
      <c r="P7318" t="str">
        <f t="shared" si="921"/>
        <v>30fps 1080p - 720p</v>
      </c>
      <c r="Q7318">
        <f t="shared" si="926"/>
        <v>41</v>
      </c>
      <c r="R7318" t="str">
        <f t="shared" si="927"/>
        <v/>
      </c>
      <c r="S7318" t="str">
        <f t="shared" si="922"/>
        <v/>
      </c>
      <c r="T7318" s="403" t="str">
        <f t="shared" si="923"/>
        <v>NDP-7602-Z30</v>
      </c>
      <c r="U7318" s="403">
        <f t="shared" si="924"/>
        <v>1</v>
      </c>
      <c r="V7318" s="403" t="str">
        <f t="shared" si="925"/>
        <v>CPP_7_3</v>
      </c>
    </row>
    <row r="7319" spans="1:22">
      <c r="A7319" t="str">
        <f t="shared" si="920"/>
        <v>NDP-7602-Z30</v>
      </c>
      <c r="B7319" t="s">
        <v>1817</v>
      </c>
      <c r="C7319" s="403" t="s">
        <v>582</v>
      </c>
      <c r="D7319" t="s">
        <v>1818</v>
      </c>
      <c r="F7319" t="s">
        <v>1286</v>
      </c>
      <c r="G7319" t="s">
        <v>1811</v>
      </c>
      <c r="H7319" t="s">
        <v>1812</v>
      </c>
      <c r="I7319">
        <v>1</v>
      </c>
      <c r="J7319" t="s">
        <v>110</v>
      </c>
      <c r="K7319">
        <v>1920</v>
      </c>
      <c r="L7319">
        <v>1080</v>
      </c>
      <c r="M7319" t="s">
        <v>1814</v>
      </c>
      <c r="N7319">
        <v>768</v>
      </c>
      <c r="O7319">
        <v>432</v>
      </c>
      <c r="P7319" t="str">
        <f t="shared" si="921"/>
        <v>30fps 1080p - 768x732</v>
      </c>
      <c r="Q7319">
        <f t="shared" si="926"/>
        <v>41</v>
      </c>
      <c r="R7319" t="str">
        <f t="shared" si="927"/>
        <v/>
      </c>
      <c r="S7319" t="str">
        <f t="shared" si="922"/>
        <v/>
      </c>
      <c r="T7319" s="403" t="str">
        <f t="shared" si="923"/>
        <v>NDP-7602-Z30</v>
      </c>
      <c r="U7319" s="403">
        <f t="shared" si="924"/>
        <v>1</v>
      </c>
      <c r="V7319" s="403" t="str">
        <f t="shared" si="925"/>
        <v>CPP_7_3</v>
      </c>
    </row>
    <row r="7320" spans="1:22">
      <c r="A7320" t="str">
        <f t="shared" si="920"/>
        <v>NDP-7602-Z30</v>
      </c>
      <c r="B7320" t="s">
        <v>1817</v>
      </c>
      <c r="C7320" s="403" t="s">
        <v>582</v>
      </c>
      <c r="D7320" t="s">
        <v>1818</v>
      </c>
      <c r="F7320" t="s">
        <v>1286</v>
      </c>
      <c r="G7320" t="s">
        <v>1811</v>
      </c>
      <c r="H7320" t="s">
        <v>1812</v>
      </c>
      <c r="I7320">
        <v>1</v>
      </c>
      <c r="J7320" t="s">
        <v>110</v>
      </c>
      <c r="K7320">
        <v>1920</v>
      </c>
      <c r="L7320">
        <v>1080</v>
      </c>
      <c r="M7320" t="s">
        <v>1815</v>
      </c>
      <c r="N7320">
        <v>512</v>
      </c>
      <c r="O7320">
        <v>288</v>
      </c>
      <c r="P7320" t="str">
        <f t="shared" si="921"/>
        <v>30fps 1080p - 512x288</v>
      </c>
      <c r="Q7320">
        <f t="shared" si="926"/>
        <v>41</v>
      </c>
      <c r="R7320" t="str">
        <f t="shared" si="927"/>
        <v/>
      </c>
      <c r="S7320" t="str">
        <f t="shared" si="922"/>
        <v/>
      </c>
      <c r="T7320" s="403" t="str">
        <f t="shared" si="923"/>
        <v>NDP-7602-Z30</v>
      </c>
      <c r="U7320" s="403">
        <f t="shared" si="924"/>
        <v>1</v>
      </c>
      <c r="V7320" s="403" t="str">
        <f t="shared" si="925"/>
        <v>CPP_7_3</v>
      </c>
    </row>
    <row r="7321" spans="1:22">
      <c r="A7321" t="str">
        <f t="shared" si="920"/>
        <v>NDP-7602-Z30</v>
      </c>
      <c r="B7321" t="s">
        <v>1817</v>
      </c>
      <c r="C7321" s="403" t="s">
        <v>582</v>
      </c>
      <c r="D7321" t="s">
        <v>1818</v>
      </c>
      <c r="F7321" t="s">
        <v>1286</v>
      </c>
      <c r="G7321" t="s">
        <v>1811</v>
      </c>
      <c r="H7321" t="s">
        <v>1812</v>
      </c>
      <c r="I7321">
        <v>1</v>
      </c>
      <c r="J7321" t="s">
        <v>1451</v>
      </c>
      <c r="K7321">
        <v>1536</v>
      </c>
      <c r="L7321">
        <v>864</v>
      </c>
      <c r="M7321" t="s">
        <v>110</v>
      </c>
      <c r="N7321">
        <v>1920</v>
      </c>
      <c r="O7321">
        <v>1080</v>
      </c>
      <c r="P7321" t="str">
        <f t="shared" si="921"/>
        <v>30fps 1536x864 - 1080p</v>
      </c>
      <c r="Q7321">
        <f t="shared" si="926"/>
        <v>41</v>
      </c>
      <c r="R7321" t="str">
        <f t="shared" si="927"/>
        <v/>
      </c>
      <c r="S7321" t="str">
        <f t="shared" si="922"/>
        <v/>
      </c>
      <c r="T7321" s="403" t="str">
        <f t="shared" si="923"/>
        <v>NDP-7602-Z30</v>
      </c>
      <c r="U7321" s="403">
        <f t="shared" si="924"/>
        <v>1</v>
      </c>
      <c r="V7321" s="403" t="str">
        <f t="shared" si="925"/>
        <v>CPP_7_3</v>
      </c>
    </row>
    <row r="7322" spans="1:22">
      <c r="A7322" t="str">
        <f t="shared" si="920"/>
        <v>NDP-7602-Z30</v>
      </c>
      <c r="B7322" t="s">
        <v>1817</v>
      </c>
      <c r="C7322" s="403" t="s">
        <v>582</v>
      </c>
      <c r="D7322" t="s">
        <v>1818</v>
      </c>
      <c r="F7322" t="s">
        <v>1286</v>
      </c>
      <c r="G7322" t="s">
        <v>1811</v>
      </c>
      <c r="H7322" t="s">
        <v>1812</v>
      </c>
      <c r="I7322">
        <v>1</v>
      </c>
      <c r="J7322" t="s">
        <v>1451</v>
      </c>
      <c r="K7322">
        <v>1536</v>
      </c>
      <c r="L7322">
        <v>864</v>
      </c>
      <c r="M7322" t="s">
        <v>1451</v>
      </c>
      <c r="N7322">
        <v>1536</v>
      </c>
      <c r="O7322">
        <v>864</v>
      </c>
      <c r="P7322" t="str">
        <f t="shared" si="921"/>
        <v>30fps 1536x864 - 1536x864</v>
      </c>
      <c r="Q7322">
        <f t="shared" si="926"/>
        <v>41</v>
      </c>
      <c r="R7322" t="str">
        <f t="shared" si="927"/>
        <v/>
      </c>
      <c r="S7322" t="str">
        <f t="shared" si="922"/>
        <v/>
      </c>
      <c r="T7322" s="403" t="str">
        <f t="shared" si="923"/>
        <v>NDP-7602-Z30</v>
      </c>
      <c r="U7322" s="403">
        <f t="shared" si="924"/>
        <v>1</v>
      </c>
      <c r="V7322" s="403" t="str">
        <f t="shared" si="925"/>
        <v>CPP_7_3</v>
      </c>
    </row>
    <row r="7323" spans="1:22">
      <c r="A7323" t="str">
        <f t="shared" si="920"/>
        <v>NDP-7602-Z30</v>
      </c>
      <c r="B7323" t="s">
        <v>1817</v>
      </c>
      <c r="C7323" s="403" t="s">
        <v>582</v>
      </c>
      <c r="D7323" t="s">
        <v>1818</v>
      </c>
      <c r="F7323" t="s">
        <v>1286</v>
      </c>
      <c r="G7323" t="s">
        <v>1811</v>
      </c>
      <c r="H7323" t="s">
        <v>1812</v>
      </c>
      <c r="I7323">
        <v>1</v>
      </c>
      <c r="J7323" t="s">
        <v>1451</v>
      </c>
      <c r="K7323">
        <v>1536</v>
      </c>
      <c r="L7323">
        <v>864</v>
      </c>
      <c r="M7323" t="s">
        <v>109</v>
      </c>
      <c r="N7323">
        <v>1280</v>
      </c>
      <c r="O7323">
        <v>720</v>
      </c>
      <c r="P7323" t="str">
        <f t="shared" si="921"/>
        <v>30fps 1536x864 - 720p</v>
      </c>
      <c r="Q7323">
        <f t="shared" si="926"/>
        <v>41</v>
      </c>
      <c r="R7323" t="str">
        <f t="shared" si="927"/>
        <v/>
      </c>
      <c r="S7323" t="str">
        <f t="shared" si="922"/>
        <v/>
      </c>
      <c r="T7323" s="403" t="str">
        <f t="shared" si="923"/>
        <v>NDP-7602-Z30</v>
      </c>
      <c r="U7323" s="403">
        <f t="shared" si="924"/>
        <v>1</v>
      </c>
      <c r="V7323" s="403" t="str">
        <f t="shared" si="925"/>
        <v>CPP_7_3</v>
      </c>
    </row>
    <row r="7324" spans="1:22">
      <c r="A7324" t="str">
        <f t="shared" si="920"/>
        <v>NDP-7602-Z30</v>
      </c>
      <c r="B7324" t="s">
        <v>1817</v>
      </c>
      <c r="C7324" s="403" t="s">
        <v>582</v>
      </c>
      <c r="D7324" t="s">
        <v>1818</v>
      </c>
      <c r="F7324" t="s">
        <v>1286</v>
      </c>
      <c r="G7324" t="s">
        <v>1811</v>
      </c>
      <c r="H7324" t="s">
        <v>1812</v>
      </c>
      <c r="I7324">
        <v>1</v>
      </c>
      <c r="J7324" t="s">
        <v>1451</v>
      </c>
      <c r="K7324">
        <v>1536</v>
      </c>
      <c r="L7324">
        <v>864</v>
      </c>
      <c r="M7324" t="s">
        <v>1814</v>
      </c>
      <c r="N7324">
        <v>768</v>
      </c>
      <c r="O7324">
        <v>432</v>
      </c>
      <c r="P7324" t="str">
        <f t="shared" si="921"/>
        <v>30fps 1536x864 - 768x732</v>
      </c>
      <c r="Q7324">
        <f t="shared" si="926"/>
        <v>41</v>
      </c>
      <c r="R7324" t="str">
        <f t="shared" si="927"/>
        <v/>
      </c>
      <c r="S7324" t="str">
        <f t="shared" si="922"/>
        <v/>
      </c>
      <c r="T7324" s="403" t="str">
        <f t="shared" si="923"/>
        <v>NDP-7602-Z30</v>
      </c>
      <c r="U7324" s="403">
        <f t="shared" si="924"/>
        <v>1</v>
      </c>
      <c r="V7324" s="403" t="str">
        <f t="shared" si="925"/>
        <v>CPP_7_3</v>
      </c>
    </row>
    <row r="7325" spans="1:22">
      <c r="A7325" t="str">
        <f t="shared" ref="A7325:A7803" si="928">IF(AND(G7325&lt;&gt;"rotate 90°"),D7325,"")</f>
        <v>NDP-7602-Z30</v>
      </c>
      <c r="B7325" t="s">
        <v>1817</v>
      </c>
      <c r="C7325" s="403" t="s">
        <v>582</v>
      </c>
      <c r="D7325" t="s">
        <v>1818</v>
      </c>
      <c r="F7325" t="s">
        <v>1286</v>
      </c>
      <c r="G7325" t="s">
        <v>1811</v>
      </c>
      <c r="H7325" t="s">
        <v>1812</v>
      </c>
      <c r="I7325">
        <v>1</v>
      </c>
      <c r="J7325" t="s">
        <v>1451</v>
      </c>
      <c r="K7325">
        <v>1536</v>
      </c>
      <c r="L7325">
        <v>864</v>
      </c>
      <c r="M7325" t="s">
        <v>1815</v>
      </c>
      <c r="N7325">
        <v>512</v>
      </c>
      <c r="O7325">
        <v>288</v>
      </c>
      <c r="P7325" t="str">
        <f t="shared" ref="P7325:P7365" si="929">LEFT(F7325,5)&amp;" "&amp;J7325&amp;" - "&amp;M7325</f>
        <v>30fps 1536x864 - 512x288</v>
      </c>
      <c r="Q7325">
        <f t="shared" si="926"/>
        <v>41</v>
      </c>
      <c r="R7325" t="str">
        <f t="shared" si="927"/>
        <v/>
      </c>
      <c r="S7325" t="str">
        <f t="shared" si="922"/>
        <v/>
      </c>
      <c r="T7325" s="403" t="str">
        <f t="shared" ref="T7325:T7365" si="930">D7325</f>
        <v>NDP-7602-Z30</v>
      </c>
      <c r="U7325" s="403">
        <f t="shared" ref="U7325:U7365" si="931">I7325</f>
        <v>1</v>
      </c>
      <c r="V7325" s="403" t="str">
        <f t="shared" ref="V7325:V7365" si="932">C7325</f>
        <v>CPP_7_3</v>
      </c>
    </row>
    <row r="7326" spans="1:22">
      <c r="A7326" t="str">
        <f t="shared" si="928"/>
        <v>NDP-7602-Z30</v>
      </c>
      <c r="B7326" t="s">
        <v>1817</v>
      </c>
      <c r="C7326" s="403" t="s">
        <v>582</v>
      </c>
      <c r="D7326" t="s">
        <v>1818</v>
      </c>
      <c r="F7326" t="s">
        <v>1286</v>
      </c>
      <c r="G7326" t="s">
        <v>1811</v>
      </c>
      <c r="H7326" t="s">
        <v>1812</v>
      </c>
      <c r="I7326">
        <v>1</v>
      </c>
      <c r="J7326" t="s">
        <v>109</v>
      </c>
      <c r="K7326">
        <v>1280</v>
      </c>
      <c r="L7326">
        <v>720</v>
      </c>
      <c r="M7326" t="s">
        <v>110</v>
      </c>
      <c r="N7326">
        <v>1920</v>
      </c>
      <c r="O7326">
        <v>1080</v>
      </c>
      <c r="P7326" t="str">
        <f t="shared" si="929"/>
        <v>30fps 720p - 1080p</v>
      </c>
      <c r="Q7326">
        <f t="shared" si="926"/>
        <v>41</v>
      </c>
      <c r="R7326" t="str">
        <f t="shared" si="927"/>
        <v/>
      </c>
      <c r="S7326" t="str">
        <f t="shared" si="922"/>
        <v/>
      </c>
      <c r="T7326" s="403" t="str">
        <f t="shared" si="930"/>
        <v>NDP-7602-Z30</v>
      </c>
      <c r="U7326" s="403">
        <f t="shared" si="931"/>
        <v>1</v>
      </c>
      <c r="V7326" s="403" t="str">
        <f t="shared" si="932"/>
        <v>CPP_7_3</v>
      </c>
    </row>
    <row r="7327" spans="1:22">
      <c r="A7327" t="str">
        <f t="shared" si="928"/>
        <v>NDP-7602-Z30</v>
      </c>
      <c r="B7327" t="s">
        <v>1817</v>
      </c>
      <c r="C7327" s="403" t="s">
        <v>582</v>
      </c>
      <c r="D7327" t="s">
        <v>1818</v>
      </c>
      <c r="F7327" t="s">
        <v>1286</v>
      </c>
      <c r="G7327" t="s">
        <v>1811</v>
      </c>
      <c r="H7327" t="s">
        <v>1812</v>
      </c>
      <c r="I7327">
        <v>1</v>
      </c>
      <c r="J7327" t="s">
        <v>109</v>
      </c>
      <c r="K7327">
        <v>1280</v>
      </c>
      <c r="L7327">
        <v>720</v>
      </c>
      <c r="M7327" t="s">
        <v>1451</v>
      </c>
      <c r="N7327">
        <v>1536</v>
      </c>
      <c r="O7327">
        <v>864</v>
      </c>
      <c r="P7327" t="str">
        <f t="shared" si="929"/>
        <v>30fps 720p - 1536x864</v>
      </c>
      <c r="Q7327">
        <f t="shared" si="926"/>
        <v>41</v>
      </c>
      <c r="R7327" t="str">
        <f t="shared" si="927"/>
        <v/>
      </c>
      <c r="S7327" t="str">
        <f t="shared" si="922"/>
        <v/>
      </c>
      <c r="T7327" s="403" t="str">
        <f t="shared" si="930"/>
        <v>NDP-7602-Z30</v>
      </c>
      <c r="U7327" s="403">
        <f t="shared" si="931"/>
        <v>1</v>
      </c>
      <c r="V7327" s="403" t="str">
        <f t="shared" si="932"/>
        <v>CPP_7_3</v>
      </c>
    </row>
    <row r="7328" spans="1:22">
      <c r="A7328" t="str">
        <f t="shared" si="928"/>
        <v>NDP-7602-Z30</v>
      </c>
      <c r="B7328" t="s">
        <v>1817</v>
      </c>
      <c r="C7328" s="403" t="s">
        <v>582</v>
      </c>
      <c r="D7328" t="s">
        <v>1818</v>
      </c>
      <c r="F7328" t="s">
        <v>1286</v>
      </c>
      <c r="G7328" t="s">
        <v>1811</v>
      </c>
      <c r="H7328" t="s">
        <v>1812</v>
      </c>
      <c r="I7328">
        <v>1</v>
      </c>
      <c r="J7328" t="s">
        <v>109</v>
      </c>
      <c r="K7328">
        <v>1280</v>
      </c>
      <c r="L7328">
        <v>720</v>
      </c>
      <c r="M7328" t="s">
        <v>109</v>
      </c>
      <c r="N7328">
        <v>1280</v>
      </c>
      <c r="O7328">
        <v>720</v>
      </c>
      <c r="P7328" t="str">
        <f t="shared" si="929"/>
        <v>30fps 720p - 720p</v>
      </c>
      <c r="Q7328">
        <f t="shared" si="926"/>
        <v>41</v>
      </c>
      <c r="R7328" t="str">
        <f t="shared" si="927"/>
        <v/>
      </c>
      <c r="S7328" t="str">
        <f t="shared" si="922"/>
        <v/>
      </c>
      <c r="T7328" s="403" t="str">
        <f t="shared" si="930"/>
        <v>NDP-7602-Z30</v>
      </c>
      <c r="U7328" s="403">
        <f t="shared" si="931"/>
        <v>1</v>
      </c>
      <c r="V7328" s="403" t="str">
        <f t="shared" si="932"/>
        <v>CPP_7_3</v>
      </c>
    </row>
    <row r="7329" spans="1:22">
      <c r="A7329" t="str">
        <f t="shared" si="928"/>
        <v>NDP-7602-Z30</v>
      </c>
      <c r="B7329" t="s">
        <v>1817</v>
      </c>
      <c r="C7329" s="403" t="s">
        <v>582</v>
      </c>
      <c r="D7329" t="s">
        <v>1818</v>
      </c>
      <c r="F7329" t="s">
        <v>1286</v>
      </c>
      <c r="G7329" t="s">
        <v>1811</v>
      </c>
      <c r="H7329" t="s">
        <v>1812</v>
      </c>
      <c r="I7329">
        <v>1</v>
      </c>
      <c r="J7329" t="s">
        <v>109</v>
      </c>
      <c r="K7329">
        <v>1280</v>
      </c>
      <c r="L7329">
        <v>720</v>
      </c>
      <c r="M7329" t="s">
        <v>1814</v>
      </c>
      <c r="N7329">
        <v>768</v>
      </c>
      <c r="O7329">
        <v>432</v>
      </c>
      <c r="P7329" t="str">
        <f t="shared" si="929"/>
        <v>30fps 720p - 768x732</v>
      </c>
      <c r="Q7329">
        <f t="shared" si="926"/>
        <v>41</v>
      </c>
      <c r="R7329" t="str">
        <f t="shared" si="927"/>
        <v/>
      </c>
      <c r="S7329" t="str">
        <f t="shared" si="922"/>
        <v/>
      </c>
      <c r="T7329" s="403" t="str">
        <f t="shared" si="930"/>
        <v>NDP-7602-Z30</v>
      </c>
      <c r="U7329" s="403">
        <f t="shared" si="931"/>
        <v>1</v>
      </c>
      <c r="V7329" s="403" t="str">
        <f t="shared" si="932"/>
        <v>CPP_7_3</v>
      </c>
    </row>
    <row r="7330" spans="1:22">
      <c r="A7330" t="str">
        <f t="shared" si="928"/>
        <v>NDP-7602-Z30</v>
      </c>
      <c r="B7330" t="s">
        <v>1817</v>
      </c>
      <c r="C7330" s="403" t="s">
        <v>582</v>
      </c>
      <c r="D7330" t="s">
        <v>1818</v>
      </c>
      <c r="F7330" t="s">
        <v>1286</v>
      </c>
      <c r="G7330" t="s">
        <v>1811</v>
      </c>
      <c r="H7330" t="s">
        <v>1812</v>
      </c>
      <c r="I7330">
        <v>1</v>
      </c>
      <c r="J7330" t="s">
        <v>109</v>
      </c>
      <c r="K7330">
        <v>1280</v>
      </c>
      <c r="L7330">
        <v>720</v>
      </c>
      <c r="M7330" t="s">
        <v>1815</v>
      </c>
      <c r="N7330">
        <v>512</v>
      </c>
      <c r="O7330">
        <v>288</v>
      </c>
      <c r="P7330" t="str">
        <f t="shared" si="929"/>
        <v>30fps 720p - 512x288</v>
      </c>
      <c r="Q7330">
        <f t="shared" si="926"/>
        <v>41</v>
      </c>
      <c r="R7330" t="str">
        <f t="shared" si="927"/>
        <v/>
      </c>
      <c r="S7330" t="str">
        <f t="shared" si="922"/>
        <v/>
      </c>
      <c r="T7330" s="403" t="str">
        <f t="shared" si="930"/>
        <v>NDP-7602-Z30</v>
      </c>
      <c r="U7330" s="403">
        <f t="shared" si="931"/>
        <v>1</v>
      </c>
      <c r="V7330" s="403" t="str">
        <f t="shared" si="932"/>
        <v>CPP_7_3</v>
      </c>
    </row>
    <row r="7331" spans="1:22">
      <c r="A7331" t="str">
        <f t="shared" si="928"/>
        <v>NDP-7602-Z30</v>
      </c>
      <c r="B7331" t="s">
        <v>1817</v>
      </c>
      <c r="C7331" s="403" t="s">
        <v>582</v>
      </c>
      <c r="D7331" t="s">
        <v>1818</v>
      </c>
      <c r="F7331" t="s">
        <v>1286</v>
      </c>
      <c r="G7331" t="s">
        <v>1811</v>
      </c>
      <c r="H7331" t="s">
        <v>1812</v>
      </c>
      <c r="I7331">
        <v>1</v>
      </c>
      <c r="J7331" t="s">
        <v>1814</v>
      </c>
      <c r="K7331">
        <v>768</v>
      </c>
      <c r="L7331">
        <v>432</v>
      </c>
      <c r="M7331" t="s">
        <v>110</v>
      </c>
      <c r="N7331">
        <v>1920</v>
      </c>
      <c r="O7331">
        <v>1080</v>
      </c>
      <c r="P7331" t="str">
        <f t="shared" si="929"/>
        <v>30fps 768x732 - 1080p</v>
      </c>
      <c r="Q7331">
        <f t="shared" si="926"/>
        <v>41</v>
      </c>
      <c r="R7331" t="str">
        <f t="shared" si="927"/>
        <v/>
      </c>
      <c r="S7331" t="str">
        <f t="shared" si="922"/>
        <v/>
      </c>
      <c r="T7331" s="403" t="str">
        <f t="shared" si="930"/>
        <v>NDP-7602-Z30</v>
      </c>
      <c r="U7331" s="403">
        <f t="shared" si="931"/>
        <v>1</v>
      </c>
      <c r="V7331" s="403" t="str">
        <f t="shared" si="932"/>
        <v>CPP_7_3</v>
      </c>
    </row>
    <row r="7332" spans="1:22">
      <c r="A7332" t="str">
        <f t="shared" si="928"/>
        <v>NDP-7602-Z30</v>
      </c>
      <c r="B7332" t="s">
        <v>1817</v>
      </c>
      <c r="C7332" s="403" t="s">
        <v>582</v>
      </c>
      <c r="D7332" t="s">
        <v>1818</v>
      </c>
      <c r="F7332" t="s">
        <v>1286</v>
      </c>
      <c r="G7332" t="s">
        <v>1811</v>
      </c>
      <c r="H7332" t="s">
        <v>1812</v>
      </c>
      <c r="I7332">
        <v>1</v>
      </c>
      <c r="J7332" t="s">
        <v>1814</v>
      </c>
      <c r="K7332">
        <v>768</v>
      </c>
      <c r="L7332">
        <v>432</v>
      </c>
      <c r="M7332" t="s">
        <v>1451</v>
      </c>
      <c r="N7332">
        <v>1536</v>
      </c>
      <c r="O7332">
        <v>864</v>
      </c>
      <c r="P7332" t="str">
        <f t="shared" si="929"/>
        <v>30fps 768x732 - 1536x864</v>
      </c>
      <c r="Q7332">
        <f t="shared" si="926"/>
        <v>41</v>
      </c>
      <c r="R7332" t="str">
        <f t="shared" si="927"/>
        <v/>
      </c>
      <c r="S7332" t="str">
        <f t="shared" si="922"/>
        <v/>
      </c>
      <c r="T7332" s="403" t="str">
        <f t="shared" si="930"/>
        <v>NDP-7602-Z30</v>
      </c>
      <c r="U7332" s="403">
        <f t="shared" si="931"/>
        <v>1</v>
      </c>
      <c r="V7332" s="403" t="str">
        <f t="shared" si="932"/>
        <v>CPP_7_3</v>
      </c>
    </row>
    <row r="7333" spans="1:22">
      <c r="A7333" t="str">
        <f t="shared" si="928"/>
        <v>NDP-7602-Z30</v>
      </c>
      <c r="B7333" t="s">
        <v>1817</v>
      </c>
      <c r="C7333" s="403" t="s">
        <v>582</v>
      </c>
      <c r="D7333" t="s">
        <v>1818</v>
      </c>
      <c r="F7333" t="s">
        <v>1286</v>
      </c>
      <c r="G7333" t="s">
        <v>1811</v>
      </c>
      <c r="H7333" t="s">
        <v>1812</v>
      </c>
      <c r="I7333">
        <v>1</v>
      </c>
      <c r="J7333" t="s">
        <v>1814</v>
      </c>
      <c r="K7333">
        <v>768</v>
      </c>
      <c r="L7333">
        <v>432</v>
      </c>
      <c r="M7333" t="s">
        <v>109</v>
      </c>
      <c r="N7333">
        <v>1280</v>
      </c>
      <c r="O7333">
        <v>720</v>
      </c>
      <c r="P7333" t="str">
        <f t="shared" si="929"/>
        <v>30fps 768x732 - 720p</v>
      </c>
      <c r="Q7333">
        <f t="shared" si="926"/>
        <v>41</v>
      </c>
      <c r="R7333" t="str">
        <f t="shared" si="927"/>
        <v/>
      </c>
      <c r="S7333" t="str">
        <f t="shared" si="922"/>
        <v/>
      </c>
      <c r="T7333" s="403" t="str">
        <f t="shared" si="930"/>
        <v>NDP-7602-Z30</v>
      </c>
      <c r="U7333" s="403">
        <f t="shared" si="931"/>
        <v>1</v>
      </c>
      <c r="V7333" s="403" t="str">
        <f t="shared" si="932"/>
        <v>CPP_7_3</v>
      </c>
    </row>
    <row r="7334" spans="1:22">
      <c r="A7334" t="str">
        <f t="shared" si="928"/>
        <v>NDP-7602-Z30</v>
      </c>
      <c r="B7334" t="s">
        <v>1817</v>
      </c>
      <c r="C7334" s="403" t="s">
        <v>582</v>
      </c>
      <c r="D7334" t="s">
        <v>1818</v>
      </c>
      <c r="F7334" t="s">
        <v>1286</v>
      </c>
      <c r="G7334" t="s">
        <v>1811</v>
      </c>
      <c r="H7334" t="s">
        <v>1812</v>
      </c>
      <c r="I7334">
        <v>1</v>
      </c>
      <c r="J7334" t="s">
        <v>1814</v>
      </c>
      <c r="K7334">
        <v>768</v>
      </c>
      <c r="L7334">
        <v>432</v>
      </c>
      <c r="M7334" t="s">
        <v>1814</v>
      </c>
      <c r="N7334">
        <v>768</v>
      </c>
      <c r="O7334">
        <v>432</v>
      </c>
      <c r="P7334" t="str">
        <f t="shared" si="929"/>
        <v>30fps 768x732 - 768x732</v>
      </c>
      <c r="Q7334">
        <f t="shared" si="926"/>
        <v>41</v>
      </c>
      <c r="R7334" t="str">
        <f t="shared" si="927"/>
        <v/>
      </c>
      <c r="S7334" t="str">
        <f t="shared" si="922"/>
        <v/>
      </c>
      <c r="T7334" s="403" t="str">
        <f t="shared" si="930"/>
        <v>NDP-7602-Z30</v>
      </c>
      <c r="U7334" s="403">
        <f t="shared" si="931"/>
        <v>1</v>
      </c>
      <c r="V7334" s="403" t="str">
        <f t="shared" si="932"/>
        <v>CPP_7_3</v>
      </c>
    </row>
    <row r="7335" spans="1:22">
      <c r="A7335" t="str">
        <f t="shared" si="928"/>
        <v>NDP-7602-Z30</v>
      </c>
      <c r="B7335" t="s">
        <v>1817</v>
      </c>
      <c r="C7335" s="403" t="s">
        <v>582</v>
      </c>
      <c r="D7335" t="s">
        <v>1818</v>
      </c>
      <c r="F7335" t="s">
        <v>1286</v>
      </c>
      <c r="G7335" t="s">
        <v>1811</v>
      </c>
      <c r="H7335" t="s">
        <v>1812</v>
      </c>
      <c r="I7335">
        <v>1</v>
      </c>
      <c r="J7335" t="s">
        <v>1814</v>
      </c>
      <c r="K7335">
        <v>768</v>
      </c>
      <c r="L7335">
        <v>432</v>
      </c>
      <c r="M7335" t="s">
        <v>1815</v>
      </c>
      <c r="N7335">
        <v>512</v>
      </c>
      <c r="O7335">
        <v>288</v>
      </c>
      <c r="P7335" t="str">
        <f t="shared" si="929"/>
        <v>30fps 768x732 - 512x288</v>
      </c>
      <c r="Q7335">
        <f t="shared" si="926"/>
        <v>41</v>
      </c>
      <c r="R7335" t="str">
        <f t="shared" si="927"/>
        <v/>
      </c>
      <c r="S7335" t="str">
        <f t="shared" si="922"/>
        <v/>
      </c>
      <c r="T7335" s="403" t="str">
        <f t="shared" si="930"/>
        <v>NDP-7602-Z30</v>
      </c>
      <c r="U7335" s="403">
        <f t="shared" si="931"/>
        <v>1</v>
      </c>
      <c r="V7335" s="403" t="str">
        <f t="shared" si="932"/>
        <v>CPP_7_3</v>
      </c>
    </row>
    <row r="7336" spans="1:22">
      <c r="A7336" t="str">
        <f t="shared" si="928"/>
        <v>NDP-7602-Z30</v>
      </c>
      <c r="B7336" t="s">
        <v>1817</v>
      </c>
      <c r="C7336" s="403" t="s">
        <v>582</v>
      </c>
      <c r="D7336" t="s">
        <v>1818</v>
      </c>
      <c r="F7336" t="s">
        <v>1286</v>
      </c>
      <c r="G7336" t="s">
        <v>1811</v>
      </c>
      <c r="H7336" t="s">
        <v>1812</v>
      </c>
      <c r="I7336">
        <v>1</v>
      </c>
      <c r="J7336" t="s">
        <v>1815</v>
      </c>
      <c r="K7336">
        <v>512</v>
      </c>
      <c r="L7336">
        <v>288</v>
      </c>
      <c r="M7336" t="s">
        <v>110</v>
      </c>
      <c r="N7336">
        <v>1920</v>
      </c>
      <c r="O7336">
        <v>1080</v>
      </c>
      <c r="P7336" t="str">
        <f t="shared" si="929"/>
        <v>30fps 512x288 - 1080p</v>
      </c>
      <c r="Q7336">
        <f t="shared" si="926"/>
        <v>41</v>
      </c>
      <c r="R7336" t="str">
        <f t="shared" si="927"/>
        <v/>
      </c>
      <c r="S7336" t="str">
        <f t="shared" si="922"/>
        <v/>
      </c>
      <c r="T7336" s="403" t="str">
        <f t="shared" si="930"/>
        <v>NDP-7602-Z30</v>
      </c>
      <c r="U7336" s="403">
        <f t="shared" si="931"/>
        <v>1</v>
      </c>
      <c r="V7336" s="403" t="str">
        <f t="shared" si="932"/>
        <v>CPP_7_3</v>
      </c>
    </row>
    <row r="7337" spans="1:22">
      <c r="A7337" t="str">
        <f t="shared" si="928"/>
        <v>NDP-7602-Z30</v>
      </c>
      <c r="B7337" t="s">
        <v>1817</v>
      </c>
      <c r="C7337" s="403" t="s">
        <v>582</v>
      </c>
      <c r="D7337" t="s">
        <v>1818</v>
      </c>
      <c r="F7337" t="s">
        <v>1286</v>
      </c>
      <c r="G7337" t="s">
        <v>1811</v>
      </c>
      <c r="H7337" t="s">
        <v>1812</v>
      </c>
      <c r="I7337">
        <v>1</v>
      </c>
      <c r="J7337" t="s">
        <v>1815</v>
      </c>
      <c r="K7337">
        <v>512</v>
      </c>
      <c r="L7337">
        <v>288</v>
      </c>
      <c r="M7337" t="s">
        <v>1451</v>
      </c>
      <c r="N7337">
        <v>1536</v>
      </c>
      <c r="O7337">
        <v>864</v>
      </c>
      <c r="P7337" t="str">
        <f t="shared" si="929"/>
        <v>30fps 512x288 - 1536x864</v>
      </c>
      <c r="Q7337">
        <f t="shared" si="926"/>
        <v>41</v>
      </c>
      <c r="R7337" t="str">
        <f t="shared" si="927"/>
        <v/>
      </c>
      <c r="S7337" t="str">
        <f t="shared" si="922"/>
        <v/>
      </c>
      <c r="T7337" s="403" t="str">
        <f t="shared" si="930"/>
        <v>NDP-7602-Z30</v>
      </c>
      <c r="U7337" s="403">
        <f t="shared" si="931"/>
        <v>1</v>
      </c>
      <c r="V7337" s="403" t="str">
        <f t="shared" si="932"/>
        <v>CPP_7_3</v>
      </c>
    </row>
    <row r="7338" spans="1:22">
      <c r="A7338" t="str">
        <f t="shared" si="928"/>
        <v>NDP-7602-Z30</v>
      </c>
      <c r="B7338" t="s">
        <v>1817</v>
      </c>
      <c r="C7338" s="403" t="s">
        <v>582</v>
      </c>
      <c r="D7338" t="s">
        <v>1818</v>
      </c>
      <c r="F7338" t="s">
        <v>1286</v>
      </c>
      <c r="G7338" t="s">
        <v>1811</v>
      </c>
      <c r="H7338" t="s">
        <v>1812</v>
      </c>
      <c r="I7338">
        <v>1</v>
      </c>
      <c r="J7338" t="s">
        <v>1815</v>
      </c>
      <c r="K7338">
        <v>512</v>
      </c>
      <c r="L7338">
        <v>288</v>
      </c>
      <c r="M7338" t="s">
        <v>109</v>
      </c>
      <c r="N7338">
        <v>1280</v>
      </c>
      <c r="O7338">
        <v>720</v>
      </c>
      <c r="P7338" t="str">
        <f t="shared" si="929"/>
        <v>30fps 512x288 - 720p</v>
      </c>
      <c r="Q7338">
        <f t="shared" si="926"/>
        <v>41</v>
      </c>
      <c r="R7338" t="str">
        <f t="shared" si="927"/>
        <v/>
      </c>
      <c r="S7338" t="str">
        <f t="shared" si="922"/>
        <v/>
      </c>
      <c r="T7338" s="403" t="str">
        <f t="shared" si="930"/>
        <v>NDP-7602-Z30</v>
      </c>
      <c r="U7338" s="403">
        <f t="shared" si="931"/>
        <v>1</v>
      </c>
      <c r="V7338" s="403" t="str">
        <f t="shared" si="932"/>
        <v>CPP_7_3</v>
      </c>
    </row>
    <row r="7339" spans="1:22">
      <c r="A7339" t="str">
        <f t="shared" si="928"/>
        <v>NDP-7602-Z30</v>
      </c>
      <c r="B7339" t="s">
        <v>1817</v>
      </c>
      <c r="C7339" s="403" t="s">
        <v>582</v>
      </c>
      <c r="D7339" t="s">
        <v>1818</v>
      </c>
      <c r="F7339" t="s">
        <v>1286</v>
      </c>
      <c r="G7339" t="s">
        <v>1811</v>
      </c>
      <c r="H7339" t="s">
        <v>1812</v>
      </c>
      <c r="I7339">
        <v>1</v>
      </c>
      <c r="J7339" t="s">
        <v>1815</v>
      </c>
      <c r="K7339">
        <v>512</v>
      </c>
      <c r="L7339">
        <v>288</v>
      </c>
      <c r="M7339" t="s">
        <v>1814</v>
      </c>
      <c r="N7339">
        <v>768</v>
      </c>
      <c r="O7339">
        <v>432</v>
      </c>
      <c r="P7339" t="str">
        <f t="shared" si="929"/>
        <v>30fps 512x288 - 768x732</v>
      </c>
      <c r="Q7339">
        <f t="shared" si="926"/>
        <v>41</v>
      </c>
      <c r="R7339" t="str">
        <f t="shared" si="927"/>
        <v/>
      </c>
      <c r="S7339" t="str">
        <f t="shared" si="922"/>
        <v/>
      </c>
      <c r="T7339" s="403" t="str">
        <f t="shared" si="930"/>
        <v>NDP-7602-Z30</v>
      </c>
      <c r="U7339" s="403">
        <f t="shared" si="931"/>
        <v>1</v>
      </c>
      <c r="V7339" s="403" t="str">
        <f t="shared" si="932"/>
        <v>CPP_7_3</v>
      </c>
    </row>
    <row r="7340" spans="1:22">
      <c r="A7340" t="str">
        <f t="shared" si="928"/>
        <v>NDP-7602-Z30</v>
      </c>
      <c r="B7340" t="s">
        <v>1817</v>
      </c>
      <c r="C7340" s="403" t="s">
        <v>582</v>
      </c>
      <c r="D7340" t="s">
        <v>1818</v>
      </c>
      <c r="F7340" t="s">
        <v>1286</v>
      </c>
      <c r="G7340" t="s">
        <v>1811</v>
      </c>
      <c r="H7340" t="s">
        <v>1812</v>
      </c>
      <c r="I7340">
        <v>1</v>
      </c>
      <c r="J7340" t="s">
        <v>1815</v>
      </c>
      <c r="K7340">
        <v>512</v>
      </c>
      <c r="L7340">
        <v>288</v>
      </c>
      <c r="M7340" t="s">
        <v>1815</v>
      </c>
      <c r="N7340">
        <v>512</v>
      </c>
      <c r="O7340">
        <v>288</v>
      </c>
      <c r="P7340" t="str">
        <f t="shared" si="929"/>
        <v>30fps 512x288 - 512x288</v>
      </c>
      <c r="Q7340">
        <f t="shared" si="926"/>
        <v>41</v>
      </c>
      <c r="R7340" t="str">
        <f t="shared" si="927"/>
        <v/>
      </c>
      <c r="S7340" t="str">
        <f t="shared" si="922"/>
        <v/>
      </c>
      <c r="T7340" s="403" t="str">
        <f t="shared" si="930"/>
        <v>NDP-7602-Z30</v>
      </c>
      <c r="U7340" s="403">
        <f t="shared" si="931"/>
        <v>1</v>
      </c>
      <c r="V7340" s="403" t="str">
        <f t="shared" si="932"/>
        <v>CPP_7_3</v>
      </c>
    </row>
    <row r="7341" spans="1:22">
      <c r="A7341" t="str">
        <f t="shared" si="928"/>
        <v>NDP-7602-Z30</v>
      </c>
      <c r="B7341" t="s">
        <v>1817</v>
      </c>
      <c r="C7341" s="403" t="s">
        <v>582</v>
      </c>
      <c r="D7341" t="s">
        <v>1818</v>
      </c>
      <c r="F7341" t="s">
        <v>1286</v>
      </c>
      <c r="G7341" t="s">
        <v>1811</v>
      </c>
      <c r="H7341" t="s">
        <v>1816</v>
      </c>
      <c r="I7341">
        <v>1</v>
      </c>
      <c r="J7341" t="s">
        <v>110</v>
      </c>
      <c r="K7341">
        <v>1920</v>
      </c>
      <c r="L7341">
        <v>1080</v>
      </c>
      <c r="M7341" t="s">
        <v>110</v>
      </c>
      <c r="N7341">
        <v>1920</v>
      </c>
      <c r="O7341">
        <v>1080</v>
      </c>
      <c r="P7341" t="str">
        <f t="shared" si="929"/>
        <v>30fps 1080p - 1080p</v>
      </c>
      <c r="Q7341">
        <f t="shared" ref="Q7341:Q7404" si="933">IF(A7340=A7341,Q7340,Q7340+1)</f>
        <v>41</v>
      </c>
      <c r="R7341" t="str">
        <f t="shared" ref="R7341:R7404" si="934">IF(Q7340&lt;&gt;Q7341,Q7341,"")</f>
        <v/>
      </c>
      <c r="S7341" t="str">
        <f t="shared" ref="S7341:S7404" si="935">IF(R7341&lt;&gt;"",B7341&amp;" ("&amp;D7341&amp;")","")</f>
        <v/>
      </c>
      <c r="T7341" s="403" t="str">
        <f t="shared" si="930"/>
        <v>NDP-7602-Z30</v>
      </c>
      <c r="U7341" s="403">
        <f t="shared" si="931"/>
        <v>1</v>
      </c>
      <c r="V7341" s="403" t="str">
        <f t="shared" si="932"/>
        <v>CPP_7_3</v>
      </c>
    </row>
    <row r="7342" spans="1:22">
      <c r="A7342" t="str">
        <f t="shared" si="928"/>
        <v>NDP-7602-Z30</v>
      </c>
      <c r="B7342" t="s">
        <v>1817</v>
      </c>
      <c r="C7342" s="403" t="s">
        <v>582</v>
      </c>
      <c r="D7342" t="s">
        <v>1818</v>
      </c>
      <c r="F7342" t="s">
        <v>1286</v>
      </c>
      <c r="G7342" t="s">
        <v>1811</v>
      </c>
      <c r="H7342" t="s">
        <v>1816</v>
      </c>
      <c r="I7342">
        <v>1</v>
      </c>
      <c r="J7342" t="s">
        <v>110</v>
      </c>
      <c r="K7342">
        <v>1920</v>
      </c>
      <c r="L7342">
        <v>1080</v>
      </c>
      <c r="M7342" t="s">
        <v>1451</v>
      </c>
      <c r="N7342">
        <v>1536</v>
      </c>
      <c r="O7342">
        <v>864</v>
      </c>
      <c r="P7342" t="str">
        <f t="shared" si="929"/>
        <v>30fps 1080p - 1536x864</v>
      </c>
      <c r="Q7342">
        <f t="shared" si="933"/>
        <v>41</v>
      </c>
      <c r="R7342" t="str">
        <f t="shared" si="934"/>
        <v/>
      </c>
      <c r="S7342" t="str">
        <f t="shared" si="935"/>
        <v/>
      </c>
      <c r="T7342" s="403" t="str">
        <f t="shared" si="930"/>
        <v>NDP-7602-Z30</v>
      </c>
      <c r="U7342" s="403">
        <f t="shared" si="931"/>
        <v>1</v>
      </c>
      <c r="V7342" s="403" t="str">
        <f t="shared" si="932"/>
        <v>CPP_7_3</v>
      </c>
    </row>
    <row r="7343" spans="1:22">
      <c r="A7343" t="str">
        <f t="shared" si="928"/>
        <v>NDP-7602-Z30</v>
      </c>
      <c r="B7343" t="s">
        <v>1817</v>
      </c>
      <c r="C7343" s="403" t="s">
        <v>582</v>
      </c>
      <c r="D7343" t="s">
        <v>1818</v>
      </c>
      <c r="F7343" t="s">
        <v>1286</v>
      </c>
      <c r="G7343" t="s">
        <v>1811</v>
      </c>
      <c r="H7343" t="s">
        <v>1816</v>
      </c>
      <c r="I7343">
        <v>1</v>
      </c>
      <c r="J7343" t="s">
        <v>110</v>
      </c>
      <c r="K7343">
        <v>1920</v>
      </c>
      <c r="L7343">
        <v>1080</v>
      </c>
      <c r="M7343" t="s">
        <v>109</v>
      </c>
      <c r="N7343">
        <v>1280</v>
      </c>
      <c r="O7343">
        <v>720</v>
      </c>
      <c r="P7343" t="str">
        <f t="shared" si="929"/>
        <v>30fps 1080p - 720p</v>
      </c>
      <c r="Q7343">
        <f t="shared" si="933"/>
        <v>41</v>
      </c>
      <c r="R7343" t="str">
        <f t="shared" si="934"/>
        <v/>
      </c>
      <c r="S7343" t="str">
        <f t="shared" si="935"/>
        <v/>
      </c>
      <c r="T7343" s="403" t="str">
        <f t="shared" si="930"/>
        <v>NDP-7602-Z30</v>
      </c>
      <c r="U7343" s="403">
        <f t="shared" si="931"/>
        <v>1</v>
      </c>
      <c r="V7343" s="403" t="str">
        <f t="shared" si="932"/>
        <v>CPP_7_3</v>
      </c>
    </row>
    <row r="7344" spans="1:22">
      <c r="A7344" t="str">
        <f t="shared" si="928"/>
        <v>NDP-7602-Z30</v>
      </c>
      <c r="B7344" t="s">
        <v>1817</v>
      </c>
      <c r="C7344" s="403" t="s">
        <v>582</v>
      </c>
      <c r="D7344" t="s">
        <v>1818</v>
      </c>
      <c r="F7344" t="s">
        <v>1286</v>
      </c>
      <c r="G7344" t="s">
        <v>1811</v>
      </c>
      <c r="H7344" t="s">
        <v>1816</v>
      </c>
      <c r="I7344">
        <v>1</v>
      </c>
      <c r="J7344" t="s">
        <v>110</v>
      </c>
      <c r="K7344">
        <v>1920</v>
      </c>
      <c r="L7344">
        <v>1080</v>
      </c>
      <c r="M7344" t="s">
        <v>1814</v>
      </c>
      <c r="N7344">
        <v>768</v>
      </c>
      <c r="O7344">
        <v>432</v>
      </c>
      <c r="P7344" t="str">
        <f t="shared" si="929"/>
        <v>30fps 1080p - 768x732</v>
      </c>
      <c r="Q7344">
        <f t="shared" si="933"/>
        <v>41</v>
      </c>
      <c r="R7344" t="str">
        <f t="shared" si="934"/>
        <v/>
      </c>
      <c r="S7344" t="str">
        <f t="shared" si="935"/>
        <v/>
      </c>
      <c r="T7344" s="403" t="str">
        <f t="shared" si="930"/>
        <v>NDP-7602-Z30</v>
      </c>
      <c r="U7344" s="403">
        <f t="shared" si="931"/>
        <v>1</v>
      </c>
      <c r="V7344" s="403" t="str">
        <f t="shared" si="932"/>
        <v>CPP_7_3</v>
      </c>
    </row>
    <row r="7345" spans="1:22">
      <c r="A7345" t="str">
        <f t="shared" si="928"/>
        <v>NDP-7602-Z30</v>
      </c>
      <c r="B7345" t="s">
        <v>1817</v>
      </c>
      <c r="C7345" s="403" t="s">
        <v>582</v>
      </c>
      <c r="D7345" t="s">
        <v>1818</v>
      </c>
      <c r="F7345" t="s">
        <v>1286</v>
      </c>
      <c r="G7345" t="s">
        <v>1811</v>
      </c>
      <c r="H7345" t="s">
        <v>1816</v>
      </c>
      <c r="I7345">
        <v>1</v>
      </c>
      <c r="J7345" t="s">
        <v>110</v>
      </c>
      <c r="K7345">
        <v>1920</v>
      </c>
      <c r="L7345">
        <v>1080</v>
      </c>
      <c r="M7345" t="s">
        <v>1815</v>
      </c>
      <c r="N7345">
        <v>512</v>
      </c>
      <c r="O7345">
        <v>288</v>
      </c>
      <c r="P7345" t="str">
        <f t="shared" si="929"/>
        <v>30fps 1080p - 512x288</v>
      </c>
      <c r="Q7345">
        <f t="shared" si="933"/>
        <v>41</v>
      </c>
      <c r="R7345" t="str">
        <f t="shared" si="934"/>
        <v/>
      </c>
      <c r="S7345" t="str">
        <f t="shared" si="935"/>
        <v/>
      </c>
      <c r="T7345" s="403" t="str">
        <f t="shared" si="930"/>
        <v>NDP-7602-Z30</v>
      </c>
      <c r="U7345" s="403">
        <f t="shared" si="931"/>
        <v>1</v>
      </c>
      <c r="V7345" s="403" t="str">
        <f t="shared" si="932"/>
        <v>CPP_7_3</v>
      </c>
    </row>
    <row r="7346" spans="1:22">
      <c r="A7346" t="str">
        <f t="shared" si="928"/>
        <v>NDP-7602-Z30</v>
      </c>
      <c r="B7346" t="s">
        <v>1817</v>
      </c>
      <c r="C7346" s="403" t="s">
        <v>582</v>
      </c>
      <c r="D7346" t="s">
        <v>1818</v>
      </c>
      <c r="F7346" t="s">
        <v>1286</v>
      </c>
      <c r="G7346" t="s">
        <v>1811</v>
      </c>
      <c r="H7346" t="s">
        <v>1816</v>
      </c>
      <c r="I7346">
        <v>1</v>
      </c>
      <c r="J7346" t="s">
        <v>1451</v>
      </c>
      <c r="K7346">
        <v>1536</v>
      </c>
      <c r="L7346">
        <v>864</v>
      </c>
      <c r="M7346" t="s">
        <v>110</v>
      </c>
      <c r="N7346">
        <v>1920</v>
      </c>
      <c r="O7346">
        <v>1080</v>
      </c>
      <c r="P7346" t="str">
        <f t="shared" si="929"/>
        <v>30fps 1536x864 - 1080p</v>
      </c>
      <c r="Q7346">
        <f t="shared" si="933"/>
        <v>41</v>
      </c>
      <c r="R7346" t="str">
        <f t="shared" si="934"/>
        <v/>
      </c>
      <c r="S7346" t="str">
        <f t="shared" si="935"/>
        <v/>
      </c>
      <c r="T7346" s="403" t="str">
        <f t="shared" si="930"/>
        <v>NDP-7602-Z30</v>
      </c>
      <c r="U7346" s="403">
        <f t="shared" si="931"/>
        <v>1</v>
      </c>
      <c r="V7346" s="403" t="str">
        <f t="shared" si="932"/>
        <v>CPP_7_3</v>
      </c>
    </row>
    <row r="7347" spans="1:22">
      <c r="A7347" t="str">
        <f t="shared" si="928"/>
        <v>NDP-7602-Z30</v>
      </c>
      <c r="B7347" t="s">
        <v>1817</v>
      </c>
      <c r="C7347" s="403" t="s">
        <v>582</v>
      </c>
      <c r="D7347" t="s">
        <v>1818</v>
      </c>
      <c r="F7347" t="s">
        <v>1286</v>
      </c>
      <c r="G7347" t="s">
        <v>1811</v>
      </c>
      <c r="H7347" t="s">
        <v>1816</v>
      </c>
      <c r="I7347">
        <v>1</v>
      </c>
      <c r="J7347" t="s">
        <v>1451</v>
      </c>
      <c r="K7347">
        <v>1536</v>
      </c>
      <c r="L7347">
        <v>864</v>
      </c>
      <c r="M7347" t="s">
        <v>1451</v>
      </c>
      <c r="N7347">
        <v>1536</v>
      </c>
      <c r="O7347">
        <v>864</v>
      </c>
      <c r="P7347" t="str">
        <f t="shared" si="929"/>
        <v>30fps 1536x864 - 1536x864</v>
      </c>
      <c r="Q7347">
        <f t="shared" si="933"/>
        <v>41</v>
      </c>
      <c r="R7347" t="str">
        <f t="shared" si="934"/>
        <v/>
      </c>
      <c r="S7347" t="str">
        <f t="shared" si="935"/>
        <v/>
      </c>
      <c r="T7347" s="403" t="str">
        <f t="shared" si="930"/>
        <v>NDP-7602-Z30</v>
      </c>
      <c r="U7347" s="403">
        <f t="shared" si="931"/>
        <v>1</v>
      </c>
      <c r="V7347" s="403" t="str">
        <f t="shared" si="932"/>
        <v>CPP_7_3</v>
      </c>
    </row>
    <row r="7348" spans="1:22">
      <c r="A7348" t="str">
        <f t="shared" si="928"/>
        <v>NDP-7602-Z30</v>
      </c>
      <c r="B7348" t="s">
        <v>1817</v>
      </c>
      <c r="C7348" s="403" t="s">
        <v>582</v>
      </c>
      <c r="D7348" t="s">
        <v>1818</v>
      </c>
      <c r="F7348" t="s">
        <v>1286</v>
      </c>
      <c r="G7348" t="s">
        <v>1811</v>
      </c>
      <c r="H7348" t="s">
        <v>1816</v>
      </c>
      <c r="I7348">
        <v>1</v>
      </c>
      <c r="J7348" t="s">
        <v>1451</v>
      </c>
      <c r="K7348">
        <v>1536</v>
      </c>
      <c r="L7348">
        <v>864</v>
      </c>
      <c r="M7348" t="s">
        <v>109</v>
      </c>
      <c r="N7348">
        <v>1280</v>
      </c>
      <c r="O7348">
        <v>720</v>
      </c>
      <c r="P7348" t="str">
        <f t="shared" si="929"/>
        <v>30fps 1536x864 - 720p</v>
      </c>
      <c r="Q7348">
        <f t="shared" si="933"/>
        <v>41</v>
      </c>
      <c r="R7348" t="str">
        <f t="shared" si="934"/>
        <v/>
      </c>
      <c r="S7348" t="str">
        <f t="shared" si="935"/>
        <v/>
      </c>
      <c r="T7348" s="403" t="str">
        <f t="shared" si="930"/>
        <v>NDP-7602-Z30</v>
      </c>
      <c r="U7348" s="403">
        <f t="shared" si="931"/>
        <v>1</v>
      </c>
      <c r="V7348" s="403" t="str">
        <f t="shared" si="932"/>
        <v>CPP_7_3</v>
      </c>
    </row>
    <row r="7349" spans="1:22">
      <c r="A7349" t="str">
        <f t="shared" si="928"/>
        <v>NDP-7602-Z30</v>
      </c>
      <c r="B7349" t="s">
        <v>1817</v>
      </c>
      <c r="C7349" s="403" t="s">
        <v>582</v>
      </c>
      <c r="D7349" t="s">
        <v>1818</v>
      </c>
      <c r="F7349" t="s">
        <v>1286</v>
      </c>
      <c r="G7349" t="s">
        <v>1811</v>
      </c>
      <c r="H7349" t="s">
        <v>1816</v>
      </c>
      <c r="I7349">
        <v>1</v>
      </c>
      <c r="J7349" t="s">
        <v>1451</v>
      </c>
      <c r="K7349">
        <v>1536</v>
      </c>
      <c r="L7349">
        <v>864</v>
      </c>
      <c r="M7349" t="s">
        <v>1814</v>
      </c>
      <c r="N7349">
        <v>768</v>
      </c>
      <c r="O7349">
        <v>432</v>
      </c>
      <c r="P7349" t="str">
        <f t="shared" si="929"/>
        <v>30fps 1536x864 - 768x732</v>
      </c>
      <c r="Q7349">
        <f t="shared" si="933"/>
        <v>41</v>
      </c>
      <c r="R7349" t="str">
        <f t="shared" si="934"/>
        <v/>
      </c>
      <c r="S7349" t="str">
        <f t="shared" si="935"/>
        <v/>
      </c>
      <c r="T7349" s="403" t="str">
        <f t="shared" si="930"/>
        <v>NDP-7602-Z30</v>
      </c>
      <c r="U7349" s="403">
        <f t="shared" si="931"/>
        <v>1</v>
      </c>
      <c r="V7349" s="403" t="str">
        <f t="shared" si="932"/>
        <v>CPP_7_3</v>
      </c>
    </row>
    <row r="7350" spans="1:22">
      <c r="A7350" t="str">
        <f t="shared" si="928"/>
        <v>NDP-7602-Z30</v>
      </c>
      <c r="B7350" t="s">
        <v>1817</v>
      </c>
      <c r="C7350" s="403" t="s">
        <v>582</v>
      </c>
      <c r="D7350" t="s">
        <v>1818</v>
      </c>
      <c r="F7350" t="s">
        <v>1286</v>
      </c>
      <c r="G7350" t="s">
        <v>1811</v>
      </c>
      <c r="H7350" t="s">
        <v>1816</v>
      </c>
      <c r="I7350">
        <v>1</v>
      </c>
      <c r="J7350" t="s">
        <v>1451</v>
      </c>
      <c r="K7350">
        <v>1536</v>
      </c>
      <c r="L7350">
        <v>864</v>
      </c>
      <c r="M7350" t="s">
        <v>1815</v>
      </c>
      <c r="N7350">
        <v>512</v>
      </c>
      <c r="O7350">
        <v>288</v>
      </c>
      <c r="P7350" t="str">
        <f t="shared" si="929"/>
        <v>30fps 1536x864 - 512x288</v>
      </c>
      <c r="Q7350">
        <f t="shared" si="933"/>
        <v>41</v>
      </c>
      <c r="R7350" t="str">
        <f t="shared" si="934"/>
        <v/>
      </c>
      <c r="S7350" t="str">
        <f t="shared" si="935"/>
        <v/>
      </c>
      <c r="T7350" s="403" t="str">
        <f t="shared" si="930"/>
        <v>NDP-7602-Z30</v>
      </c>
      <c r="U7350" s="403">
        <f t="shared" si="931"/>
        <v>1</v>
      </c>
      <c r="V7350" s="403" t="str">
        <f t="shared" si="932"/>
        <v>CPP_7_3</v>
      </c>
    </row>
    <row r="7351" spans="1:22">
      <c r="A7351" t="str">
        <f t="shared" si="928"/>
        <v>NDP-7602-Z30</v>
      </c>
      <c r="B7351" t="s">
        <v>1817</v>
      </c>
      <c r="C7351" s="403" t="s">
        <v>582</v>
      </c>
      <c r="D7351" t="s">
        <v>1818</v>
      </c>
      <c r="F7351" t="s">
        <v>1286</v>
      </c>
      <c r="G7351" t="s">
        <v>1811</v>
      </c>
      <c r="H7351" t="s">
        <v>1816</v>
      </c>
      <c r="I7351">
        <v>1</v>
      </c>
      <c r="J7351" t="s">
        <v>109</v>
      </c>
      <c r="K7351">
        <v>1280</v>
      </c>
      <c r="L7351">
        <v>720</v>
      </c>
      <c r="M7351" t="s">
        <v>110</v>
      </c>
      <c r="N7351">
        <v>1920</v>
      </c>
      <c r="O7351">
        <v>1080</v>
      </c>
      <c r="P7351" t="str">
        <f t="shared" si="929"/>
        <v>30fps 720p - 1080p</v>
      </c>
      <c r="Q7351">
        <f t="shared" si="933"/>
        <v>41</v>
      </c>
      <c r="R7351" t="str">
        <f t="shared" si="934"/>
        <v/>
      </c>
      <c r="S7351" t="str">
        <f t="shared" si="935"/>
        <v/>
      </c>
      <c r="T7351" s="403" t="str">
        <f t="shared" si="930"/>
        <v>NDP-7602-Z30</v>
      </c>
      <c r="U7351" s="403">
        <f t="shared" si="931"/>
        <v>1</v>
      </c>
      <c r="V7351" s="403" t="str">
        <f t="shared" si="932"/>
        <v>CPP_7_3</v>
      </c>
    </row>
    <row r="7352" spans="1:22">
      <c r="A7352" t="str">
        <f t="shared" si="928"/>
        <v>NDP-7602-Z30</v>
      </c>
      <c r="B7352" t="s">
        <v>1817</v>
      </c>
      <c r="C7352" s="403" t="s">
        <v>582</v>
      </c>
      <c r="D7352" t="s">
        <v>1818</v>
      </c>
      <c r="F7352" t="s">
        <v>1286</v>
      </c>
      <c r="G7352" t="s">
        <v>1811</v>
      </c>
      <c r="H7352" t="s">
        <v>1816</v>
      </c>
      <c r="I7352">
        <v>1</v>
      </c>
      <c r="J7352" t="s">
        <v>109</v>
      </c>
      <c r="K7352">
        <v>1280</v>
      </c>
      <c r="L7352">
        <v>720</v>
      </c>
      <c r="M7352" t="s">
        <v>1451</v>
      </c>
      <c r="N7352">
        <v>1536</v>
      </c>
      <c r="O7352">
        <v>864</v>
      </c>
      <c r="P7352" t="str">
        <f t="shared" si="929"/>
        <v>30fps 720p - 1536x864</v>
      </c>
      <c r="Q7352">
        <f t="shared" si="933"/>
        <v>41</v>
      </c>
      <c r="R7352" t="str">
        <f t="shared" si="934"/>
        <v/>
      </c>
      <c r="S7352" t="str">
        <f t="shared" si="935"/>
        <v/>
      </c>
      <c r="T7352" s="403" t="str">
        <f t="shared" si="930"/>
        <v>NDP-7602-Z30</v>
      </c>
      <c r="U7352" s="403">
        <f t="shared" si="931"/>
        <v>1</v>
      </c>
      <c r="V7352" s="403" t="str">
        <f t="shared" si="932"/>
        <v>CPP_7_3</v>
      </c>
    </row>
    <row r="7353" spans="1:22">
      <c r="A7353" t="str">
        <f t="shared" si="928"/>
        <v>NDP-7602-Z30</v>
      </c>
      <c r="B7353" t="s">
        <v>1817</v>
      </c>
      <c r="C7353" s="403" t="s">
        <v>582</v>
      </c>
      <c r="D7353" t="s">
        <v>1818</v>
      </c>
      <c r="F7353" t="s">
        <v>1286</v>
      </c>
      <c r="G7353" t="s">
        <v>1811</v>
      </c>
      <c r="H7353" t="s">
        <v>1816</v>
      </c>
      <c r="I7353">
        <v>1</v>
      </c>
      <c r="J7353" t="s">
        <v>109</v>
      </c>
      <c r="K7353">
        <v>1280</v>
      </c>
      <c r="L7353">
        <v>720</v>
      </c>
      <c r="M7353" t="s">
        <v>109</v>
      </c>
      <c r="N7353">
        <v>1280</v>
      </c>
      <c r="O7353">
        <v>720</v>
      </c>
      <c r="P7353" t="str">
        <f t="shared" si="929"/>
        <v>30fps 720p - 720p</v>
      </c>
      <c r="Q7353">
        <f t="shared" si="933"/>
        <v>41</v>
      </c>
      <c r="R7353" t="str">
        <f t="shared" si="934"/>
        <v/>
      </c>
      <c r="S7353" t="str">
        <f t="shared" si="935"/>
        <v/>
      </c>
      <c r="T7353" s="403" t="str">
        <f t="shared" si="930"/>
        <v>NDP-7602-Z30</v>
      </c>
      <c r="U7353" s="403">
        <f t="shared" si="931"/>
        <v>1</v>
      </c>
      <c r="V7353" s="403" t="str">
        <f t="shared" si="932"/>
        <v>CPP_7_3</v>
      </c>
    </row>
    <row r="7354" spans="1:22">
      <c r="A7354" t="str">
        <f t="shared" si="928"/>
        <v>NDP-7602-Z30</v>
      </c>
      <c r="B7354" t="s">
        <v>1817</v>
      </c>
      <c r="C7354" s="403" t="s">
        <v>582</v>
      </c>
      <c r="D7354" t="s">
        <v>1818</v>
      </c>
      <c r="F7354" t="s">
        <v>1286</v>
      </c>
      <c r="G7354" t="s">
        <v>1811</v>
      </c>
      <c r="H7354" t="s">
        <v>1816</v>
      </c>
      <c r="I7354">
        <v>1</v>
      </c>
      <c r="J7354" t="s">
        <v>109</v>
      </c>
      <c r="K7354">
        <v>1280</v>
      </c>
      <c r="L7354">
        <v>720</v>
      </c>
      <c r="M7354" t="s">
        <v>1814</v>
      </c>
      <c r="N7354">
        <v>768</v>
      </c>
      <c r="O7354">
        <v>432</v>
      </c>
      <c r="P7354" t="str">
        <f t="shared" si="929"/>
        <v>30fps 720p - 768x732</v>
      </c>
      <c r="Q7354">
        <f t="shared" si="933"/>
        <v>41</v>
      </c>
      <c r="R7354" t="str">
        <f t="shared" si="934"/>
        <v/>
      </c>
      <c r="S7354" t="str">
        <f t="shared" si="935"/>
        <v/>
      </c>
      <c r="T7354" s="403" t="str">
        <f t="shared" si="930"/>
        <v>NDP-7602-Z30</v>
      </c>
      <c r="U7354" s="403">
        <f t="shared" si="931"/>
        <v>1</v>
      </c>
      <c r="V7354" s="403" t="str">
        <f t="shared" si="932"/>
        <v>CPP_7_3</v>
      </c>
    </row>
    <row r="7355" spans="1:22">
      <c r="A7355" t="str">
        <f t="shared" si="928"/>
        <v>NDP-7602-Z30</v>
      </c>
      <c r="B7355" t="s">
        <v>1817</v>
      </c>
      <c r="C7355" s="403" t="s">
        <v>582</v>
      </c>
      <c r="D7355" t="s">
        <v>1818</v>
      </c>
      <c r="F7355" t="s">
        <v>1286</v>
      </c>
      <c r="G7355" t="s">
        <v>1811</v>
      </c>
      <c r="H7355" t="s">
        <v>1816</v>
      </c>
      <c r="I7355">
        <v>1</v>
      </c>
      <c r="J7355" t="s">
        <v>109</v>
      </c>
      <c r="K7355">
        <v>1280</v>
      </c>
      <c r="L7355">
        <v>720</v>
      </c>
      <c r="M7355" t="s">
        <v>1815</v>
      </c>
      <c r="N7355">
        <v>512</v>
      </c>
      <c r="O7355">
        <v>288</v>
      </c>
      <c r="P7355" t="str">
        <f t="shared" si="929"/>
        <v>30fps 720p - 512x288</v>
      </c>
      <c r="Q7355">
        <f t="shared" si="933"/>
        <v>41</v>
      </c>
      <c r="R7355" t="str">
        <f t="shared" si="934"/>
        <v/>
      </c>
      <c r="S7355" t="str">
        <f t="shared" si="935"/>
        <v/>
      </c>
      <c r="T7355" s="403" t="str">
        <f t="shared" si="930"/>
        <v>NDP-7602-Z30</v>
      </c>
      <c r="U7355" s="403">
        <f t="shared" si="931"/>
        <v>1</v>
      </c>
      <c r="V7355" s="403" t="str">
        <f t="shared" si="932"/>
        <v>CPP_7_3</v>
      </c>
    </row>
    <row r="7356" spans="1:22">
      <c r="A7356" t="str">
        <f t="shared" si="928"/>
        <v>NDP-7602-Z30</v>
      </c>
      <c r="B7356" t="s">
        <v>1817</v>
      </c>
      <c r="C7356" s="403" t="s">
        <v>582</v>
      </c>
      <c r="D7356" t="s">
        <v>1818</v>
      </c>
      <c r="F7356" t="s">
        <v>1286</v>
      </c>
      <c r="G7356" t="s">
        <v>1811</v>
      </c>
      <c r="H7356" t="s">
        <v>1816</v>
      </c>
      <c r="I7356">
        <v>1</v>
      </c>
      <c r="J7356" t="s">
        <v>1814</v>
      </c>
      <c r="K7356">
        <v>768</v>
      </c>
      <c r="L7356">
        <v>432</v>
      </c>
      <c r="M7356" t="s">
        <v>110</v>
      </c>
      <c r="N7356">
        <v>1920</v>
      </c>
      <c r="O7356">
        <v>1080</v>
      </c>
      <c r="P7356" t="str">
        <f t="shared" si="929"/>
        <v>30fps 768x732 - 1080p</v>
      </c>
      <c r="Q7356">
        <f t="shared" si="933"/>
        <v>41</v>
      </c>
      <c r="R7356" t="str">
        <f t="shared" si="934"/>
        <v/>
      </c>
      <c r="S7356" t="str">
        <f t="shared" si="935"/>
        <v/>
      </c>
      <c r="T7356" s="403" t="str">
        <f t="shared" si="930"/>
        <v>NDP-7602-Z30</v>
      </c>
      <c r="U7356" s="403">
        <f t="shared" si="931"/>
        <v>1</v>
      </c>
      <c r="V7356" s="403" t="str">
        <f t="shared" si="932"/>
        <v>CPP_7_3</v>
      </c>
    </row>
    <row r="7357" spans="1:22">
      <c r="A7357" t="str">
        <f t="shared" si="928"/>
        <v>NDP-7602-Z30</v>
      </c>
      <c r="B7357" t="s">
        <v>1817</v>
      </c>
      <c r="C7357" s="403" t="s">
        <v>582</v>
      </c>
      <c r="D7357" t="s">
        <v>1818</v>
      </c>
      <c r="F7357" t="s">
        <v>1286</v>
      </c>
      <c r="G7357" t="s">
        <v>1811</v>
      </c>
      <c r="H7357" t="s">
        <v>1816</v>
      </c>
      <c r="I7357">
        <v>1</v>
      </c>
      <c r="J7357" t="s">
        <v>1814</v>
      </c>
      <c r="K7357">
        <v>768</v>
      </c>
      <c r="L7357">
        <v>432</v>
      </c>
      <c r="M7357" t="s">
        <v>1451</v>
      </c>
      <c r="N7357">
        <v>1536</v>
      </c>
      <c r="O7357">
        <v>864</v>
      </c>
      <c r="P7357" t="str">
        <f t="shared" si="929"/>
        <v>30fps 768x732 - 1536x864</v>
      </c>
      <c r="Q7357">
        <f t="shared" si="933"/>
        <v>41</v>
      </c>
      <c r="R7357" t="str">
        <f t="shared" si="934"/>
        <v/>
      </c>
      <c r="S7357" t="str">
        <f t="shared" si="935"/>
        <v/>
      </c>
      <c r="T7357" s="403" t="str">
        <f t="shared" si="930"/>
        <v>NDP-7602-Z30</v>
      </c>
      <c r="U7357" s="403">
        <f t="shared" si="931"/>
        <v>1</v>
      </c>
      <c r="V7357" s="403" t="str">
        <f t="shared" si="932"/>
        <v>CPP_7_3</v>
      </c>
    </row>
    <row r="7358" spans="1:22">
      <c r="A7358" t="str">
        <f t="shared" si="928"/>
        <v>NDP-7602-Z30</v>
      </c>
      <c r="B7358" t="s">
        <v>1817</v>
      </c>
      <c r="C7358" s="403" t="s">
        <v>582</v>
      </c>
      <c r="D7358" t="s">
        <v>1818</v>
      </c>
      <c r="F7358" t="s">
        <v>1286</v>
      </c>
      <c r="G7358" t="s">
        <v>1811</v>
      </c>
      <c r="H7358" t="s">
        <v>1816</v>
      </c>
      <c r="I7358">
        <v>1</v>
      </c>
      <c r="J7358" t="s">
        <v>1814</v>
      </c>
      <c r="K7358">
        <v>768</v>
      </c>
      <c r="L7358">
        <v>432</v>
      </c>
      <c r="M7358" t="s">
        <v>109</v>
      </c>
      <c r="N7358">
        <v>1280</v>
      </c>
      <c r="O7358">
        <v>720</v>
      </c>
      <c r="P7358" t="str">
        <f t="shared" si="929"/>
        <v>30fps 768x732 - 720p</v>
      </c>
      <c r="Q7358">
        <f t="shared" si="933"/>
        <v>41</v>
      </c>
      <c r="R7358" t="str">
        <f t="shared" si="934"/>
        <v/>
      </c>
      <c r="S7358" t="str">
        <f t="shared" si="935"/>
        <v/>
      </c>
      <c r="T7358" s="403" t="str">
        <f t="shared" si="930"/>
        <v>NDP-7602-Z30</v>
      </c>
      <c r="U7358" s="403">
        <f t="shared" si="931"/>
        <v>1</v>
      </c>
      <c r="V7358" s="403" t="str">
        <f t="shared" si="932"/>
        <v>CPP_7_3</v>
      </c>
    </row>
    <row r="7359" spans="1:22">
      <c r="A7359" t="str">
        <f t="shared" si="928"/>
        <v>NDP-7602-Z30</v>
      </c>
      <c r="B7359" t="s">
        <v>1817</v>
      </c>
      <c r="C7359" s="403" t="s">
        <v>582</v>
      </c>
      <c r="D7359" t="s">
        <v>1818</v>
      </c>
      <c r="F7359" t="s">
        <v>1286</v>
      </c>
      <c r="G7359" t="s">
        <v>1811</v>
      </c>
      <c r="H7359" t="s">
        <v>1816</v>
      </c>
      <c r="I7359">
        <v>1</v>
      </c>
      <c r="J7359" t="s">
        <v>1814</v>
      </c>
      <c r="K7359">
        <v>768</v>
      </c>
      <c r="L7359">
        <v>432</v>
      </c>
      <c r="M7359" t="s">
        <v>1814</v>
      </c>
      <c r="N7359">
        <v>768</v>
      </c>
      <c r="O7359">
        <v>432</v>
      </c>
      <c r="P7359" t="str">
        <f t="shared" si="929"/>
        <v>30fps 768x732 - 768x732</v>
      </c>
      <c r="Q7359">
        <f t="shared" si="933"/>
        <v>41</v>
      </c>
      <c r="R7359" t="str">
        <f t="shared" si="934"/>
        <v/>
      </c>
      <c r="S7359" t="str">
        <f t="shared" si="935"/>
        <v/>
      </c>
      <c r="T7359" s="403" t="str">
        <f t="shared" si="930"/>
        <v>NDP-7602-Z30</v>
      </c>
      <c r="U7359" s="403">
        <f t="shared" si="931"/>
        <v>1</v>
      </c>
      <c r="V7359" s="403" t="str">
        <f t="shared" si="932"/>
        <v>CPP_7_3</v>
      </c>
    </row>
    <row r="7360" spans="1:22">
      <c r="A7360" t="str">
        <f t="shared" si="928"/>
        <v>NDP-7602-Z30</v>
      </c>
      <c r="B7360" t="s">
        <v>1817</v>
      </c>
      <c r="C7360" s="403" t="s">
        <v>582</v>
      </c>
      <c r="D7360" t="s">
        <v>1818</v>
      </c>
      <c r="F7360" t="s">
        <v>1286</v>
      </c>
      <c r="G7360" t="s">
        <v>1811</v>
      </c>
      <c r="H7360" t="s">
        <v>1816</v>
      </c>
      <c r="I7360">
        <v>1</v>
      </c>
      <c r="J7360" t="s">
        <v>1814</v>
      </c>
      <c r="K7360">
        <v>768</v>
      </c>
      <c r="L7360">
        <v>432</v>
      </c>
      <c r="M7360" t="s">
        <v>1815</v>
      </c>
      <c r="N7360">
        <v>512</v>
      </c>
      <c r="O7360">
        <v>288</v>
      </c>
      <c r="P7360" t="str">
        <f t="shared" si="929"/>
        <v>30fps 768x732 - 512x288</v>
      </c>
      <c r="Q7360">
        <f t="shared" si="933"/>
        <v>41</v>
      </c>
      <c r="R7360" t="str">
        <f t="shared" si="934"/>
        <v/>
      </c>
      <c r="S7360" t="str">
        <f t="shared" si="935"/>
        <v/>
      </c>
      <c r="T7360" s="403" t="str">
        <f t="shared" si="930"/>
        <v>NDP-7602-Z30</v>
      </c>
      <c r="U7360" s="403">
        <f t="shared" si="931"/>
        <v>1</v>
      </c>
      <c r="V7360" s="403" t="str">
        <f t="shared" si="932"/>
        <v>CPP_7_3</v>
      </c>
    </row>
    <row r="7361" spans="1:22">
      <c r="A7361" t="str">
        <f t="shared" si="928"/>
        <v>NDP-7602-Z30</v>
      </c>
      <c r="B7361" t="s">
        <v>1817</v>
      </c>
      <c r="C7361" s="403" t="s">
        <v>582</v>
      </c>
      <c r="D7361" t="s">
        <v>1818</v>
      </c>
      <c r="F7361" t="s">
        <v>1286</v>
      </c>
      <c r="G7361" t="s">
        <v>1811</v>
      </c>
      <c r="H7361" t="s">
        <v>1816</v>
      </c>
      <c r="I7361">
        <v>1</v>
      </c>
      <c r="J7361" t="s">
        <v>1815</v>
      </c>
      <c r="K7361">
        <v>512</v>
      </c>
      <c r="L7361">
        <v>288</v>
      </c>
      <c r="M7361" t="s">
        <v>110</v>
      </c>
      <c r="N7361">
        <v>1920</v>
      </c>
      <c r="O7361">
        <v>1080</v>
      </c>
      <c r="P7361" t="str">
        <f t="shared" si="929"/>
        <v>30fps 512x288 - 1080p</v>
      </c>
      <c r="Q7361">
        <f t="shared" si="933"/>
        <v>41</v>
      </c>
      <c r="R7361" t="str">
        <f t="shared" si="934"/>
        <v/>
      </c>
      <c r="S7361" t="str">
        <f t="shared" si="935"/>
        <v/>
      </c>
      <c r="T7361" s="403" t="str">
        <f t="shared" si="930"/>
        <v>NDP-7602-Z30</v>
      </c>
      <c r="U7361" s="403">
        <f t="shared" si="931"/>
        <v>1</v>
      </c>
      <c r="V7361" s="403" t="str">
        <f t="shared" si="932"/>
        <v>CPP_7_3</v>
      </c>
    </row>
    <row r="7362" spans="1:22">
      <c r="A7362" t="str">
        <f t="shared" si="928"/>
        <v>NDP-7602-Z30</v>
      </c>
      <c r="B7362" t="s">
        <v>1817</v>
      </c>
      <c r="C7362" s="403" t="s">
        <v>582</v>
      </c>
      <c r="D7362" t="s">
        <v>1818</v>
      </c>
      <c r="F7362" t="s">
        <v>1286</v>
      </c>
      <c r="G7362" t="s">
        <v>1811</v>
      </c>
      <c r="H7362" t="s">
        <v>1816</v>
      </c>
      <c r="I7362">
        <v>1</v>
      </c>
      <c r="J7362" t="s">
        <v>1815</v>
      </c>
      <c r="K7362">
        <v>512</v>
      </c>
      <c r="L7362">
        <v>288</v>
      </c>
      <c r="M7362" t="s">
        <v>1451</v>
      </c>
      <c r="N7362">
        <v>1536</v>
      </c>
      <c r="O7362">
        <v>864</v>
      </c>
      <c r="P7362" t="str">
        <f t="shared" si="929"/>
        <v>30fps 512x288 - 1536x864</v>
      </c>
      <c r="Q7362">
        <f t="shared" si="933"/>
        <v>41</v>
      </c>
      <c r="R7362" t="str">
        <f t="shared" si="934"/>
        <v/>
      </c>
      <c r="S7362" t="str">
        <f t="shared" si="935"/>
        <v/>
      </c>
      <c r="T7362" s="403" t="str">
        <f t="shared" si="930"/>
        <v>NDP-7602-Z30</v>
      </c>
      <c r="U7362" s="403">
        <f t="shared" si="931"/>
        <v>1</v>
      </c>
      <c r="V7362" s="403" t="str">
        <f t="shared" si="932"/>
        <v>CPP_7_3</v>
      </c>
    </row>
    <row r="7363" spans="1:22">
      <c r="A7363" t="str">
        <f t="shared" si="928"/>
        <v>NDP-7602-Z30</v>
      </c>
      <c r="B7363" t="s">
        <v>1817</v>
      </c>
      <c r="C7363" s="403" t="s">
        <v>582</v>
      </c>
      <c r="D7363" t="s">
        <v>1818</v>
      </c>
      <c r="F7363" t="s">
        <v>1286</v>
      </c>
      <c r="G7363" t="s">
        <v>1811</v>
      </c>
      <c r="H7363" t="s">
        <v>1816</v>
      </c>
      <c r="I7363">
        <v>1</v>
      </c>
      <c r="J7363" t="s">
        <v>1815</v>
      </c>
      <c r="K7363">
        <v>512</v>
      </c>
      <c r="L7363">
        <v>288</v>
      </c>
      <c r="M7363" t="s">
        <v>109</v>
      </c>
      <c r="N7363">
        <v>1280</v>
      </c>
      <c r="O7363">
        <v>720</v>
      </c>
      <c r="P7363" t="str">
        <f t="shared" si="929"/>
        <v>30fps 512x288 - 720p</v>
      </c>
      <c r="Q7363">
        <f t="shared" si="933"/>
        <v>41</v>
      </c>
      <c r="R7363" t="str">
        <f t="shared" si="934"/>
        <v/>
      </c>
      <c r="S7363" t="str">
        <f t="shared" si="935"/>
        <v/>
      </c>
      <c r="T7363" s="403" t="str">
        <f t="shared" si="930"/>
        <v>NDP-7602-Z30</v>
      </c>
      <c r="U7363" s="403">
        <f t="shared" si="931"/>
        <v>1</v>
      </c>
      <c r="V7363" s="403" t="str">
        <f t="shared" si="932"/>
        <v>CPP_7_3</v>
      </c>
    </row>
    <row r="7364" spans="1:22">
      <c r="A7364" t="str">
        <f t="shared" si="928"/>
        <v>NDP-7602-Z30</v>
      </c>
      <c r="B7364" t="s">
        <v>1817</v>
      </c>
      <c r="C7364" s="403" t="s">
        <v>582</v>
      </c>
      <c r="D7364" t="s">
        <v>1818</v>
      </c>
      <c r="F7364" t="s">
        <v>1286</v>
      </c>
      <c r="G7364" t="s">
        <v>1811</v>
      </c>
      <c r="H7364" t="s">
        <v>1816</v>
      </c>
      <c r="I7364">
        <v>1</v>
      </c>
      <c r="J7364" t="s">
        <v>1815</v>
      </c>
      <c r="K7364">
        <v>512</v>
      </c>
      <c r="L7364">
        <v>288</v>
      </c>
      <c r="M7364" t="s">
        <v>1814</v>
      </c>
      <c r="N7364">
        <v>768</v>
      </c>
      <c r="O7364">
        <v>432</v>
      </c>
      <c r="P7364" t="str">
        <f t="shared" si="929"/>
        <v>30fps 512x288 - 768x732</v>
      </c>
      <c r="Q7364">
        <f t="shared" si="933"/>
        <v>41</v>
      </c>
      <c r="R7364" t="str">
        <f t="shared" si="934"/>
        <v/>
      </c>
      <c r="S7364" t="str">
        <f t="shared" si="935"/>
        <v/>
      </c>
      <c r="T7364" s="403" t="str">
        <f t="shared" si="930"/>
        <v>NDP-7602-Z30</v>
      </c>
      <c r="U7364" s="403">
        <f t="shared" si="931"/>
        <v>1</v>
      </c>
      <c r="V7364" s="403" t="str">
        <f t="shared" si="932"/>
        <v>CPP_7_3</v>
      </c>
    </row>
    <row r="7365" spans="1:22">
      <c r="A7365" t="str">
        <f t="shared" si="928"/>
        <v>NDP-7602-Z30</v>
      </c>
      <c r="B7365" t="s">
        <v>1817</v>
      </c>
      <c r="C7365" s="403" t="s">
        <v>582</v>
      </c>
      <c r="D7365" t="s">
        <v>1818</v>
      </c>
      <c r="F7365" t="s">
        <v>1286</v>
      </c>
      <c r="G7365" t="s">
        <v>1811</v>
      </c>
      <c r="H7365" t="s">
        <v>1816</v>
      </c>
      <c r="I7365">
        <v>1</v>
      </c>
      <c r="J7365" t="s">
        <v>1815</v>
      </c>
      <c r="K7365">
        <v>512</v>
      </c>
      <c r="L7365">
        <v>288</v>
      </c>
      <c r="M7365" t="s">
        <v>1815</v>
      </c>
      <c r="N7365">
        <v>512</v>
      </c>
      <c r="O7365">
        <v>288</v>
      </c>
      <c r="P7365" t="str">
        <f t="shared" si="929"/>
        <v>30fps 512x288 - 512x288</v>
      </c>
      <c r="Q7365">
        <f t="shared" si="933"/>
        <v>41</v>
      </c>
      <c r="R7365" t="str">
        <f t="shared" si="934"/>
        <v/>
      </c>
      <c r="S7365" t="str">
        <f t="shared" si="935"/>
        <v/>
      </c>
      <c r="T7365" s="403" t="str">
        <f t="shared" si="930"/>
        <v>NDP-7602-Z30</v>
      </c>
      <c r="U7365" s="403">
        <f t="shared" si="931"/>
        <v>1</v>
      </c>
      <c r="V7365" s="403" t="str">
        <f t="shared" si="932"/>
        <v>CPP_7_3</v>
      </c>
    </row>
    <row r="7366" spans="1:22">
      <c r="A7366" t="str">
        <f t="shared" ref="A7366:A7398" si="936">IF(AND(G7366&lt;&gt;"rotate 90°"),D7366,"")</f>
        <v>NDP-5523-Z20C</v>
      </c>
      <c r="B7366" t="s">
        <v>1817</v>
      </c>
      <c r="C7366" s="403" t="s">
        <v>582</v>
      </c>
      <c r="D7366" t="s">
        <v>1836</v>
      </c>
      <c r="F7366" t="s">
        <v>1837</v>
      </c>
      <c r="G7366" t="s">
        <v>1811</v>
      </c>
      <c r="H7366" t="s">
        <v>1276</v>
      </c>
      <c r="I7366">
        <v>1</v>
      </c>
      <c r="J7366" t="s">
        <v>1813</v>
      </c>
      <c r="K7366">
        <v>2560</v>
      </c>
      <c r="L7366">
        <v>1440</v>
      </c>
      <c r="M7366" t="s">
        <v>110</v>
      </c>
      <c r="N7366">
        <v>1920</v>
      </c>
      <c r="O7366">
        <v>1080</v>
      </c>
      <c r="P7366" t="str">
        <f t="shared" ref="P7366:P7398" si="937">LEFT(F7366,5)&amp;" "&amp;J7366&amp;" - "&amp;M7366</f>
        <v>60fps 2560x1440 - 1080p</v>
      </c>
      <c r="Q7366">
        <f t="shared" si="933"/>
        <v>42</v>
      </c>
      <c r="R7366">
        <f t="shared" si="934"/>
        <v>42</v>
      </c>
      <c r="S7366" t="str">
        <f t="shared" si="935"/>
        <v>AUTODOME inteox 7000i (NDP-5523-Z20C)</v>
      </c>
      <c r="T7366" s="403" t="str">
        <f t="shared" ref="T7366:T7398" si="938">D7366</f>
        <v>NDP-5523-Z20C</v>
      </c>
      <c r="U7366" s="403">
        <f t="shared" ref="U7366:U7398" si="939">I7366</f>
        <v>1</v>
      </c>
      <c r="V7366" s="403" t="str">
        <f t="shared" ref="V7366:V7398" si="940">C7366</f>
        <v>CPP_7_3</v>
      </c>
    </row>
    <row r="7367" spans="1:22">
      <c r="A7367" t="str">
        <f>IF(AND(G7367&lt;&gt;"rotate 90°"),D7367,"")</f>
        <v>NDP-5523-Z20C</v>
      </c>
      <c r="B7367" t="s">
        <v>1835</v>
      </c>
      <c r="C7367" s="403" t="s">
        <v>582</v>
      </c>
      <c r="D7367" t="s">
        <v>1836</v>
      </c>
      <c r="F7367" t="s">
        <v>1837</v>
      </c>
      <c r="G7367" t="s">
        <v>1811</v>
      </c>
      <c r="H7367" t="s">
        <v>1276</v>
      </c>
      <c r="I7367">
        <v>1</v>
      </c>
      <c r="J7367" t="s">
        <v>1813</v>
      </c>
      <c r="K7367">
        <v>2560</v>
      </c>
      <c r="L7367">
        <v>1440</v>
      </c>
      <c r="M7367" t="s">
        <v>109</v>
      </c>
      <c r="N7367">
        <v>1280</v>
      </c>
      <c r="O7367">
        <v>720</v>
      </c>
      <c r="P7367" t="str">
        <f>LEFT(F7367,5)&amp;" "&amp;J7367&amp;" - "&amp;M7367</f>
        <v>60fps 2560x1440 - 720p</v>
      </c>
      <c r="Q7367">
        <f t="shared" si="933"/>
        <v>42</v>
      </c>
      <c r="R7367" t="str">
        <f t="shared" si="934"/>
        <v/>
      </c>
      <c r="S7367" t="str">
        <f t="shared" si="935"/>
        <v/>
      </c>
      <c r="T7367" s="403" t="str">
        <f>D7367</f>
        <v>NDP-5523-Z20C</v>
      </c>
      <c r="U7367" s="403">
        <f>I7367</f>
        <v>1</v>
      </c>
      <c r="V7367" s="403" t="str">
        <f>C7367</f>
        <v>CPP_7_3</v>
      </c>
    </row>
    <row r="7368" spans="1:22">
      <c r="A7368" t="str">
        <f t="shared" si="936"/>
        <v>NDP-5523-Z20C</v>
      </c>
      <c r="B7368" t="s">
        <v>1835</v>
      </c>
      <c r="C7368" s="403" t="s">
        <v>582</v>
      </c>
      <c r="D7368" t="s">
        <v>1836</v>
      </c>
      <c r="F7368" t="s">
        <v>1837</v>
      </c>
      <c r="G7368" t="s">
        <v>1811</v>
      </c>
      <c r="H7368" t="s">
        <v>1276</v>
      </c>
      <c r="I7368">
        <v>1</v>
      </c>
      <c r="J7368" t="s">
        <v>1813</v>
      </c>
      <c r="K7368">
        <v>2560</v>
      </c>
      <c r="L7368">
        <v>1440</v>
      </c>
      <c r="M7368" t="s">
        <v>111</v>
      </c>
      <c r="N7368">
        <v>768</v>
      </c>
      <c r="O7368">
        <v>432</v>
      </c>
      <c r="P7368" t="str">
        <f t="shared" si="937"/>
        <v>60fps 2560x1440 - SD</v>
      </c>
      <c r="Q7368">
        <f t="shared" si="933"/>
        <v>42</v>
      </c>
      <c r="R7368" t="str">
        <f t="shared" si="934"/>
        <v/>
      </c>
      <c r="S7368" t="str">
        <f t="shared" si="935"/>
        <v/>
      </c>
      <c r="T7368" s="403" t="str">
        <f t="shared" si="938"/>
        <v>NDP-5523-Z20C</v>
      </c>
      <c r="U7368" s="403">
        <f t="shared" si="939"/>
        <v>1</v>
      </c>
      <c r="V7368" s="403" t="str">
        <f t="shared" si="940"/>
        <v>CPP_7_3</v>
      </c>
    </row>
    <row r="7369" spans="1:22">
      <c r="A7369" t="str">
        <f t="shared" si="936"/>
        <v>NDP-5523-Z20C</v>
      </c>
      <c r="B7369" t="s">
        <v>1835</v>
      </c>
      <c r="C7369" s="403" t="s">
        <v>582</v>
      </c>
      <c r="D7369" t="s">
        <v>1836</v>
      </c>
      <c r="F7369" t="s">
        <v>1837</v>
      </c>
      <c r="G7369" t="s">
        <v>1811</v>
      </c>
      <c r="H7369" t="s">
        <v>1276</v>
      </c>
      <c r="I7369">
        <v>1</v>
      </c>
      <c r="J7369" t="s">
        <v>1813</v>
      </c>
      <c r="K7369">
        <v>2560</v>
      </c>
      <c r="L7369">
        <v>1440</v>
      </c>
      <c r="M7369" t="s">
        <v>1283</v>
      </c>
      <c r="N7369">
        <v>720</v>
      </c>
      <c r="O7369">
        <v>480</v>
      </c>
      <c r="P7369" t="str">
        <f t="shared" si="937"/>
        <v>60fps 2560x1440 - SD 4CIF resolution 4:3 format (cropped)</v>
      </c>
      <c r="Q7369">
        <f t="shared" si="933"/>
        <v>42</v>
      </c>
      <c r="R7369" t="str">
        <f t="shared" si="934"/>
        <v/>
      </c>
      <c r="S7369" t="str">
        <f t="shared" si="935"/>
        <v/>
      </c>
      <c r="T7369" s="403" t="str">
        <f t="shared" si="938"/>
        <v>NDP-5523-Z20C</v>
      </c>
      <c r="U7369" s="403">
        <f t="shared" si="939"/>
        <v>1</v>
      </c>
      <c r="V7369" s="403" t="str">
        <f t="shared" si="940"/>
        <v>CPP_7_3</v>
      </c>
    </row>
    <row r="7370" spans="1:22">
      <c r="A7370" t="str">
        <f t="shared" si="936"/>
        <v>NDP-5523-Z20C</v>
      </c>
      <c r="B7370" t="s">
        <v>1835</v>
      </c>
      <c r="C7370" s="403" t="s">
        <v>582</v>
      </c>
      <c r="D7370" t="s">
        <v>1836</v>
      </c>
      <c r="F7370" t="s">
        <v>1837</v>
      </c>
      <c r="G7370" t="s">
        <v>1811</v>
      </c>
      <c r="H7370" t="s">
        <v>1276</v>
      </c>
      <c r="I7370">
        <v>1</v>
      </c>
      <c r="J7370" t="s">
        <v>1813</v>
      </c>
      <c r="K7370">
        <v>2560</v>
      </c>
      <c r="L7370">
        <v>1440</v>
      </c>
      <c r="M7370" t="s">
        <v>1284</v>
      </c>
      <c r="N7370">
        <v>640</v>
      </c>
      <c r="O7370">
        <v>480</v>
      </c>
      <c r="P7370" t="str">
        <f t="shared" si="937"/>
        <v>60fps 2560x1440 - SD VGA (cropped)</v>
      </c>
      <c r="Q7370">
        <f t="shared" si="933"/>
        <v>42</v>
      </c>
      <c r="R7370" t="str">
        <f t="shared" si="934"/>
        <v/>
      </c>
      <c r="S7370" t="str">
        <f t="shared" si="935"/>
        <v/>
      </c>
      <c r="T7370" s="403" t="str">
        <f t="shared" si="938"/>
        <v>NDP-5523-Z20C</v>
      </c>
      <c r="U7370" s="403">
        <f t="shared" si="939"/>
        <v>1</v>
      </c>
      <c r="V7370" s="403" t="str">
        <f t="shared" si="940"/>
        <v>CPP_7_3</v>
      </c>
    </row>
    <row r="7371" spans="1:22">
      <c r="A7371" t="str">
        <f t="shared" si="936"/>
        <v>NDP-5523-Z20C</v>
      </c>
      <c r="B7371" t="s">
        <v>1835</v>
      </c>
      <c r="C7371" s="403" t="s">
        <v>582</v>
      </c>
      <c r="D7371" t="s">
        <v>1836</v>
      </c>
      <c r="F7371" t="s">
        <v>1837</v>
      </c>
      <c r="G7371" t="s">
        <v>1811</v>
      </c>
      <c r="H7371" t="s">
        <v>1276</v>
      </c>
      <c r="I7371">
        <v>1</v>
      </c>
      <c r="J7371" t="s">
        <v>1813</v>
      </c>
      <c r="K7371">
        <v>2560</v>
      </c>
      <c r="L7371">
        <v>1440</v>
      </c>
      <c r="M7371" t="s">
        <v>1280</v>
      </c>
      <c r="N7371">
        <v>2560</v>
      </c>
      <c r="O7371">
        <v>1440</v>
      </c>
      <c r="P7371" t="str">
        <f t="shared" si="937"/>
        <v>60fps 2560x1440 - copy other stream</v>
      </c>
      <c r="Q7371">
        <f t="shared" si="933"/>
        <v>42</v>
      </c>
      <c r="R7371" t="str">
        <f t="shared" si="934"/>
        <v/>
      </c>
      <c r="S7371" t="str">
        <f t="shared" si="935"/>
        <v/>
      </c>
      <c r="T7371" s="403" t="str">
        <f t="shared" si="938"/>
        <v>NDP-5523-Z20C</v>
      </c>
      <c r="U7371" s="403">
        <f t="shared" si="939"/>
        <v>1</v>
      </c>
      <c r="V7371" s="403" t="str">
        <f t="shared" si="940"/>
        <v>CPP_7_3</v>
      </c>
    </row>
    <row r="7372" spans="1:22">
      <c r="A7372" t="str">
        <f t="shared" si="936"/>
        <v>NDP-5523-Z20C</v>
      </c>
      <c r="B7372" t="s">
        <v>1835</v>
      </c>
      <c r="C7372" s="403" t="s">
        <v>582</v>
      </c>
      <c r="D7372" t="s">
        <v>1836</v>
      </c>
      <c r="F7372" t="s">
        <v>1837</v>
      </c>
      <c r="G7372" t="s">
        <v>1811</v>
      </c>
      <c r="H7372" t="s">
        <v>1276</v>
      </c>
      <c r="I7372">
        <v>1</v>
      </c>
      <c r="J7372" t="s">
        <v>1451</v>
      </c>
      <c r="K7372">
        <v>1536</v>
      </c>
      <c r="L7372">
        <v>864</v>
      </c>
      <c r="M7372" t="s">
        <v>1451</v>
      </c>
      <c r="N7372">
        <v>1536</v>
      </c>
      <c r="O7372">
        <v>864</v>
      </c>
      <c r="P7372" t="str">
        <f t="shared" si="937"/>
        <v>60fps 1536x864 - 1536x864</v>
      </c>
      <c r="Q7372">
        <f t="shared" si="933"/>
        <v>42</v>
      </c>
      <c r="R7372" t="str">
        <f t="shared" si="934"/>
        <v/>
      </c>
      <c r="S7372" t="str">
        <f t="shared" si="935"/>
        <v/>
      </c>
      <c r="T7372" s="403" t="str">
        <f t="shared" si="938"/>
        <v>NDP-5523-Z20C</v>
      </c>
      <c r="U7372" s="403">
        <f t="shared" si="939"/>
        <v>1</v>
      </c>
      <c r="V7372" s="403" t="str">
        <f t="shared" si="940"/>
        <v>CPP_7_3</v>
      </c>
    </row>
    <row r="7373" spans="1:22">
      <c r="A7373" t="str">
        <f t="shared" si="936"/>
        <v>NDP-5523-Z20C</v>
      </c>
      <c r="B7373" t="s">
        <v>1835</v>
      </c>
      <c r="C7373" s="403" t="s">
        <v>582</v>
      </c>
      <c r="D7373" t="s">
        <v>1836</v>
      </c>
      <c r="F7373" t="s">
        <v>1837</v>
      </c>
      <c r="G7373" t="s">
        <v>1811</v>
      </c>
      <c r="H7373" t="s">
        <v>1281</v>
      </c>
      <c r="I7373">
        <v>1</v>
      </c>
      <c r="J7373" t="s">
        <v>1813</v>
      </c>
      <c r="K7373">
        <v>2560</v>
      </c>
      <c r="L7373">
        <v>1440</v>
      </c>
      <c r="M7373" t="s">
        <v>1280</v>
      </c>
      <c r="N7373">
        <v>2560</v>
      </c>
      <c r="O7373">
        <v>1440</v>
      </c>
      <c r="P7373" t="str">
        <f t="shared" si="937"/>
        <v>60fps 2560x1440 - copy other stream</v>
      </c>
      <c r="Q7373">
        <f t="shared" si="933"/>
        <v>42</v>
      </c>
      <c r="R7373" t="str">
        <f t="shared" si="934"/>
        <v/>
      </c>
      <c r="S7373" t="str">
        <f t="shared" si="935"/>
        <v/>
      </c>
      <c r="T7373" s="403" t="str">
        <f t="shared" si="938"/>
        <v>NDP-5523-Z20C</v>
      </c>
      <c r="U7373" s="403">
        <f t="shared" si="939"/>
        <v>1</v>
      </c>
      <c r="V7373" s="403" t="str">
        <f t="shared" si="940"/>
        <v>CPP_7_3</v>
      </c>
    </row>
    <row r="7374" spans="1:22">
      <c r="A7374" t="str">
        <f t="shared" si="936"/>
        <v>NDP-5523-Z20C</v>
      </c>
      <c r="B7374" t="s">
        <v>1835</v>
      </c>
      <c r="C7374" s="403" t="s">
        <v>582</v>
      </c>
      <c r="D7374" t="s">
        <v>1836</v>
      </c>
      <c r="F7374" t="s">
        <v>1837</v>
      </c>
      <c r="G7374" t="s">
        <v>1811</v>
      </c>
      <c r="H7374" t="s">
        <v>1281</v>
      </c>
      <c r="I7374">
        <v>1</v>
      </c>
      <c r="J7374" t="s">
        <v>1451</v>
      </c>
      <c r="K7374">
        <v>1536</v>
      </c>
      <c r="L7374">
        <v>864</v>
      </c>
      <c r="M7374" t="s">
        <v>1451</v>
      </c>
      <c r="N7374">
        <v>1536</v>
      </c>
      <c r="O7374">
        <v>864</v>
      </c>
      <c r="P7374" t="str">
        <f t="shared" si="937"/>
        <v>60fps 1536x864 - 1536x864</v>
      </c>
      <c r="Q7374">
        <f t="shared" si="933"/>
        <v>42</v>
      </c>
      <c r="R7374" t="str">
        <f t="shared" si="934"/>
        <v/>
      </c>
      <c r="S7374" t="str">
        <f t="shared" si="935"/>
        <v/>
      </c>
      <c r="T7374" s="403" t="str">
        <f t="shared" si="938"/>
        <v>NDP-5523-Z20C</v>
      </c>
      <c r="U7374" s="403">
        <f t="shared" si="939"/>
        <v>1</v>
      </c>
      <c r="V7374" s="403" t="str">
        <f t="shared" si="940"/>
        <v>CPP_7_3</v>
      </c>
    </row>
    <row r="7375" spans="1:22">
      <c r="A7375" t="str">
        <f t="shared" si="936"/>
        <v>NDP-5523-Z20C</v>
      </c>
      <c r="B7375" t="s">
        <v>1835</v>
      </c>
      <c r="C7375" s="403" t="s">
        <v>582</v>
      </c>
      <c r="D7375" t="s">
        <v>1836</v>
      </c>
      <c r="F7375" t="s">
        <v>1838</v>
      </c>
      <c r="G7375" t="s">
        <v>1811</v>
      </c>
      <c r="H7375" t="s">
        <v>1276</v>
      </c>
      <c r="I7375">
        <v>1</v>
      </c>
      <c r="J7375" t="s">
        <v>1813</v>
      </c>
      <c r="K7375">
        <v>2560</v>
      </c>
      <c r="L7375">
        <v>1440</v>
      </c>
      <c r="M7375" t="s">
        <v>1363</v>
      </c>
      <c r="N7375">
        <v>1920</v>
      </c>
      <c r="O7375">
        <v>1080</v>
      </c>
      <c r="P7375" t="str">
        <f t="shared" si="937"/>
        <v>50fps 2560x1440 - 1920x1080 @ SKIP 2</v>
      </c>
      <c r="Q7375">
        <f t="shared" si="933"/>
        <v>42</v>
      </c>
      <c r="R7375" t="str">
        <f t="shared" si="934"/>
        <v/>
      </c>
      <c r="S7375" t="str">
        <f t="shared" si="935"/>
        <v/>
      </c>
      <c r="T7375" s="403" t="str">
        <f t="shared" si="938"/>
        <v>NDP-5523-Z20C</v>
      </c>
      <c r="U7375" s="403">
        <f t="shared" si="939"/>
        <v>1</v>
      </c>
      <c r="V7375" s="403" t="str">
        <f t="shared" si="940"/>
        <v>CPP_7_3</v>
      </c>
    </row>
    <row r="7376" spans="1:22">
      <c r="A7376" t="str">
        <f t="shared" si="936"/>
        <v>NDP-5523-Z20C</v>
      </c>
      <c r="B7376" t="s">
        <v>1835</v>
      </c>
      <c r="C7376" s="403" t="s">
        <v>582</v>
      </c>
      <c r="D7376" t="s">
        <v>1836</v>
      </c>
      <c r="F7376" t="s">
        <v>1838</v>
      </c>
      <c r="G7376" t="s">
        <v>1811</v>
      </c>
      <c r="H7376" t="s">
        <v>1276</v>
      </c>
      <c r="I7376">
        <v>1</v>
      </c>
      <c r="J7376" t="s">
        <v>1813</v>
      </c>
      <c r="K7376">
        <v>2560</v>
      </c>
      <c r="L7376">
        <v>1440</v>
      </c>
      <c r="M7376" t="s">
        <v>109</v>
      </c>
      <c r="N7376">
        <v>1280</v>
      </c>
      <c r="O7376">
        <v>720</v>
      </c>
      <c r="P7376" t="str">
        <f t="shared" si="937"/>
        <v>50fps 2560x1440 - 720p</v>
      </c>
      <c r="Q7376">
        <f t="shared" si="933"/>
        <v>42</v>
      </c>
      <c r="R7376" t="str">
        <f t="shared" si="934"/>
        <v/>
      </c>
      <c r="S7376" t="str">
        <f t="shared" si="935"/>
        <v/>
      </c>
      <c r="T7376" s="403" t="str">
        <f t="shared" si="938"/>
        <v>NDP-5523-Z20C</v>
      </c>
      <c r="U7376" s="403">
        <f t="shared" si="939"/>
        <v>1</v>
      </c>
      <c r="V7376" s="403" t="str">
        <f t="shared" si="940"/>
        <v>CPP_7_3</v>
      </c>
    </row>
    <row r="7377" spans="1:22">
      <c r="A7377" t="str">
        <f t="shared" si="936"/>
        <v>NDP-5523-Z20C</v>
      </c>
      <c r="B7377" t="s">
        <v>1835</v>
      </c>
      <c r="C7377" s="403" t="s">
        <v>582</v>
      </c>
      <c r="D7377" t="s">
        <v>1836</v>
      </c>
      <c r="F7377" t="s">
        <v>1838</v>
      </c>
      <c r="G7377" t="s">
        <v>1811</v>
      </c>
      <c r="H7377" t="s">
        <v>1276</v>
      </c>
      <c r="I7377">
        <v>1</v>
      </c>
      <c r="J7377" t="s">
        <v>1813</v>
      </c>
      <c r="K7377">
        <v>2560</v>
      </c>
      <c r="L7377">
        <v>1440</v>
      </c>
      <c r="M7377" t="s">
        <v>111</v>
      </c>
      <c r="N7377">
        <v>768</v>
      </c>
      <c r="O7377">
        <v>432</v>
      </c>
      <c r="P7377" t="str">
        <f t="shared" si="937"/>
        <v>50fps 2560x1440 - SD</v>
      </c>
      <c r="Q7377">
        <f t="shared" si="933"/>
        <v>42</v>
      </c>
      <c r="R7377" t="str">
        <f t="shared" si="934"/>
        <v/>
      </c>
      <c r="S7377" t="str">
        <f t="shared" si="935"/>
        <v/>
      </c>
      <c r="T7377" s="403" t="str">
        <f t="shared" si="938"/>
        <v>NDP-5523-Z20C</v>
      </c>
      <c r="U7377" s="403">
        <f t="shared" si="939"/>
        <v>1</v>
      </c>
      <c r="V7377" s="403" t="str">
        <f t="shared" si="940"/>
        <v>CPP_7_3</v>
      </c>
    </row>
    <row r="7378" spans="1:22">
      <c r="A7378" t="str">
        <f t="shared" si="936"/>
        <v>NDP-5523-Z20C</v>
      </c>
      <c r="B7378" t="s">
        <v>1835</v>
      </c>
      <c r="C7378" s="403" t="s">
        <v>582</v>
      </c>
      <c r="D7378" t="s">
        <v>1836</v>
      </c>
      <c r="F7378" t="s">
        <v>1838</v>
      </c>
      <c r="G7378" t="s">
        <v>1811</v>
      </c>
      <c r="H7378" t="s">
        <v>1276</v>
      </c>
      <c r="I7378">
        <v>1</v>
      </c>
      <c r="J7378" t="s">
        <v>1813</v>
      </c>
      <c r="K7378">
        <v>2560</v>
      </c>
      <c r="L7378">
        <v>1440</v>
      </c>
      <c r="M7378" t="s">
        <v>1283</v>
      </c>
      <c r="N7378">
        <v>720</v>
      </c>
      <c r="O7378">
        <v>576</v>
      </c>
      <c r="P7378" t="str">
        <f t="shared" si="937"/>
        <v>50fps 2560x1440 - SD 4CIF resolution 4:3 format (cropped)</v>
      </c>
      <c r="Q7378">
        <f t="shared" si="933"/>
        <v>42</v>
      </c>
      <c r="R7378" t="str">
        <f t="shared" si="934"/>
        <v/>
      </c>
      <c r="S7378" t="str">
        <f t="shared" si="935"/>
        <v/>
      </c>
      <c r="T7378" s="403" t="str">
        <f t="shared" si="938"/>
        <v>NDP-5523-Z20C</v>
      </c>
      <c r="U7378" s="403">
        <f t="shared" si="939"/>
        <v>1</v>
      </c>
      <c r="V7378" s="403" t="str">
        <f t="shared" si="940"/>
        <v>CPP_7_3</v>
      </c>
    </row>
    <row r="7379" spans="1:22">
      <c r="A7379" t="str">
        <f t="shared" si="936"/>
        <v>NDP-5523-Z20C</v>
      </c>
      <c r="B7379" t="s">
        <v>1835</v>
      </c>
      <c r="C7379" s="403" t="s">
        <v>582</v>
      </c>
      <c r="D7379" t="s">
        <v>1836</v>
      </c>
      <c r="F7379" t="s">
        <v>1838</v>
      </c>
      <c r="G7379" t="s">
        <v>1811</v>
      </c>
      <c r="H7379" t="s">
        <v>1276</v>
      </c>
      <c r="I7379">
        <v>1</v>
      </c>
      <c r="J7379" t="s">
        <v>1813</v>
      </c>
      <c r="K7379">
        <v>2560</v>
      </c>
      <c r="L7379">
        <v>1440</v>
      </c>
      <c r="M7379" t="s">
        <v>1284</v>
      </c>
      <c r="N7379">
        <v>640</v>
      </c>
      <c r="O7379">
        <v>480</v>
      </c>
      <c r="P7379" t="str">
        <f t="shared" si="937"/>
        <v>50fps 2560x1440 - SD VGA (cropped)</v>
      </c>
      <c r="Q7379">
        <f t="shared" si="933"/>
        <v>42</v>
      </c>
      <c r="R7379" t="str">
        <f t="shared" si="934"/>
        <v/>
      </c>
      <c r="S7379" t="str">
        <f t="shared" si="935"/>
        <v/>
      </c>
      <c r="T7379" s="403" t="str">
        <f t="shared" si="938"/>
        <v>NDP-5523-Z20C</v>
      </c>
      <c r="U7379" s="403">
        <f t="shared" si="939"/>
        <v>1</v>
      </c>
      <c r="V7379" s="403" t="str">
        <f t="shared" si="940"/>
        <v>CPP_7_3</v>
      </c>
    </row>
    <row r="7380" spans="1:22">
      <c r="A7380" t="str">
        <f t="shared" si="936"/>
        <v>NDP-5523-Z20C</v>
      </c>
      <c r="B7380" t="s">
        <v>1835</v>
      </c>
      <c r="C7380" s="403" t="s">
        <v>582</v>
      </c>
      <c r="D7380" t="s">
        <v>1836</v>
      </c>
      <c r="F7380" t="s">
        <v>1838</v>
      </c>
      <c r="G7380" t="s">
        <v>1811</v>
      </c>
      <c r="H7380" t="s">
        <v>1276</v>
      </c>
      <c r="I7380">
        <v>1</v>
      </c>
      <c r="J7380" t="s">
        <v>1813</v>
      </c>
      <c r="K7380">
        <v>2560</v>
      </c>
      <c r="L7380">
        <v>1440</v>
      </c>
      <c r="M7380" t="s">
        <v>1280</v>
      </c>
      <c r="N7380">
        <v>2560</v>
      </c>
      <c r="O7380">
        <v>1440</v>
      </c>
      <c r="P7380" t="str">
        <f t="shared" si="937"/>
        <v>50fps 2560x1440 - copy other stream</v>
      </c>
      <c r="Q7380">
        <f t="shared" si="933"/>
        <v>42</v>
      </c>
      <c r="R7380" t="str">
        <f t="shared" si="934"/>
        <v/>
      </c>
      <c r="S7380" t="str">
        <f t="shared" si="935"/>
        <v/>
      </c>
      <c r="T7380" s="403" t="str">
        <f t="shared" si="938"/>
        <v>NDP-5523-Z20C</v>
      </c>
      <c r="U7380" s="403">
        <f t="shared" si="939"/>
        <v>1</v>
      </c>
      <c r="V7380" s="403" t="str">
        <f t="shared" si="940"/>
        <v>CPP_7_3</v>
      </c>
    </row>
    <row r="7381" spans="1:22">
      <c r="A7381" t="str">
        <f t="shared" si="936"/>
        <v>NDP-5523-Z20C</v>
      </c>
      <c r="B7381" t="s">
        <v>1835</v>
      </c>
      <c r="C7381" s="403" t="s">
        <v>582</v>
      </c>
      <c r="D7381" t="s">
        <v>1836</v>
      </c>
      <c r="F7381" t="s">
        <v>1838</v>
      </c>
      <c r="G7381" t="s">
        <v>1811</v>
      </c>
      <c r="H7381" t="s">
        <v>1276</v>
      </c>
      <c r="I7381">
        <v>1</v>
      </c>
      <c r="J7381" t="s">
        <v>1451</v>
      </c>
      <c r="K7381">
        <v>1536</v>
      </c>
      <c r="L7381">
        <v>864</v>
      </c>
      <c r="M7381" t="s">
        <v>1451</v>
      </c>
      <c r="N7381">
        <v>1536</v>
      </c>
      <c r="O7381">
        <v>864</v>
      </c>
      <c r="P7381" t="str">
        <f t="shared" si="937"/>
        <v>50fps 1536x864 - 1536x864</v>
      </c>
      <c r="Q7381">
        <f t="shared" si="933"/>
        <v>42</v>
      </c>
      <c r="R7381" t="str">
        <f t="shared" si="934"/>
        <v/>
      </c>
      <c r="S7381" t="str">
        <f t="shared" si="935"/>
        <v/>
      </c>
      <c r="T7381" s="403" t="str">
        <f t="shared" si="938"/>
        <v>NDP-5523-Z20C</v>
      </c>
      <c r="U7381" s="403">
        <f t="shared" si="939"/>
        <v>1</v>
      </c>
      <c r="V7381" s="403" t="str">
        <f t="shared" si="940"/>
        <v>CPP_7_3</v>
      </c>
    </row>
    <row r="7382" spans="1:22">
      <c r="A7382" t="str">
        <f t="shared" si="936"/>
        <v>NDP-5523-Z20C</v>
      </c>
      <c r="B7382" t="s">
        <v>1835</v>
      </c>
      <c r="C7382" s="403" t="s">
        <v>582</v>
      </c>
      <c r="D7382" t="s">
        <v>1836</v>
      </c>
      <c r="F7382" t="s">
        <v>1838</v>
      </c>
      <c r="G7382" t="s">
        <v>1811</v>
      </c>
      <c r="H7382" t="s">
        <v>1281</v>
      </c>
      <c r="I7382">
        <v>1</v>
      </c>
      <c r="J7382" t="s">
        <v>1813</v>
      </c>
      <c r="K7382">
        <v>2560</v>
      </c>
      <c r="L7382">
        <v>1440</v>
      </c>
      <c r="M7382" t="s">
        <v>110</v>
      </c>
      <c r="N7382">
        <v>1920</v>
      </c>
      <c r="O7382">
        <v>1080</v>
      </c>
      <c r="P7382" t="str">
        <f t="shared" si="937"/>
        <v>50fps 2560x1440 - 1080p</v>
      </c>
      <c r="Q7382">
        <f t="shared" si="933"/>
        <v>42</v>
      </c>
      <c r="R7382" t="str">
        <f t="shared" si="934"/>
        <v/>
      </c>
      <c r="S7382" t="str">
        <f t="shared" si="935"/>
        <v/>
      </c>
      <c r="T7382" s="403" t="str">
        <f t="shared" si="938"/>
        <v>NDP-5523-Z20C</v>
      </c>
      <c r="U7382" s="403">
        <f t="shared" si="939"/>
        <v>1</v>
      </c>
      <c r="V7382" s="403" t="str">
        <f t="shared" si="940"/>
        <v>CPP_7_3</v>
      </c>
    </row>
    <row r="7383" spans="1:22">
      <c r="A7383" t="str">
        <f t="shared" si="936"/>
        <v>NDP-5523-Z20C</v>
      </c>
      <c r="B7383" t="s">
        <v>1835</v>
      </c>
      <c r="C7383" s="403" t="s">
        <v>582</v>
      </c>
      <c r="D7383" t="s">
        <v>1836</v>
      </c>
      <c r="F7383" t="s">
        <v>1838</v>
      </c>
      <c r="G7383" t="s">
        <v>1811</v>
      </c>
      <c r="H7383" t="s">
        <v>1281</v>
      </c>
      <c r="I7383">
        <v>1</v>
      </c>
      <c r="J7383" t="s">
        <v>1813</v>
      </c>
      <c r="K7383">
        <v>2560</v>
      </c>
      <c r="L7383">
        <v>1440</v>
      </c>
      <c r="M7383" t="s">
        <v>109</v>
      </c>
      <c r="N7383">
        <v>1280</v>
      </c>
      <c r="O7383">
        <v>720</v>
      </c>
      <c r="P7383" t="str">
        <f t="shared" si="937"/>
        <v>50fps 2560x1440 - 720p</v>
      </c>
      <c r="Q7383">
        <f t="shared" si="933"/>
        <v>42</v>
      </c>
      <c r="R7383" t="str">
        <f t="shared" si="934"/>
        <v/>
      </c>
      <c r="S7383" t="str">
        <f t="shared" si="935"/>
        <v/>
      </c>
      <c r="T7383" s="403" t="str">
        <f t="shared" si="938"/>
        <v>NDP-5523-Z20C</v>
      </c>
      <c r="U7383" s="403">
        <f t="shared" si="939"/>
        <v>1</v>
      </c>
      <c r="V7383" s="403" t="str">
        <f t="shared" si="940"/>
        <v>CPP_7_3</v>
      </c>
    </row>
    <row r="7384" spans="1:22">
      <c r="A7384" t="str">
        <f t="shared" si="936"/>
        <v>NDP-5523-Z20C</v>
      </c>
      <c r="B7384" t="s">
        <v>1835</v>
      </c>
      <c r="C7384" s="403" t="s">
        <v>582</v>
      </c>
      <c r="D7384" t="s">
        <v>1836</v>
      </c>
      <c r="F7384" t="s">
        <v>1838</v>
      </c>
      <c r="G7384" t="s">
        <v>1811</v>
      </c>
      <c r="H7384" t="s">
        <v>1281</v>
      </c>
      <c r="I7384">
        <v>1</v>
      </c>
      <c r="J7384" t="s">
        <v>1813</v>
      </c>
      <c r="K7384">
        <v>2560</v>
      </c>
      <c r="L7384">
        <v>1440</v>
      </c>
      <c r="M7384" t="s">
        <v>111</v>
      </c>
      <c r="N7384">
        <v>768</v>
      </c>
      <c r="O7384">
        <v>432</v>
      </c>
      <c r="P7384" t="str">
        <f t="shared" si="937"/>
        <v>50fps 2560x1440 - SD</v>
      </c>
      <c r="Q7384">
        <f t="shared" si="933"/>
        <v>42</v>
      </c>
      <c r="R7384" t="str">
        <f t="shared" si="934"/>
        <v/>
      </c>
      <c r="S7384" t="str">
        <f t="shared" si="935"/>
        <v/>
      </c>
      <c r="T7384" s="403" t="str">
        <f t="shared" si="938"/>
        <v>NDP-5523-Z20C</v>
      </c>
      <c r="U7384" s="403">
        <f t="shared" si="939"/>
        <v>1</v>
      </c>
      <c r="V7384" s="403" t="str">
        <f t="shared" si="940"/>
        <v>CPP_7_3</v>
      </c>
    </row>
    <row r="7385" spans="1:22">
      <c r="A7385" t="str">
        <f t="shared" si="936"/>
        <v>NDP-5523-Z20C</v>
      </c>
      <c r="B7385" t="s">
        <v>1835</v>
      </c>
      <c r="C7385" s="403" t="s">
        <v>582</v>
      </c>
      <c r="D7385" t="s">
        <v>1836</v>
      </c>
      <c r="F7385" t="s">
        <v>1838</v>
      </c>
      <c r="G7385" t="s">
        <v>1811</v>
      </c>
      <c r="H7385" t="s">
        <v>1281</v>
      </c>
      <c r="I7385">
        <v>1</v>
      </c>
      <c r="J7385" t="s">
        <v>1813</v>
      </c>
      <c r="K7385">
        <v>2560</v>
      </c>
      <c r="L7385">
        <v>1440</v>
      </c>
      <c r="M7385" t="s">
        <v>1283</v>
      </c>
      <c r="N7385">
        <v>720</v>
      </c>
      <c r="O7385">
        <v>576</v>
      </c>
      <c r="P7385" t="str">
        <f t="shared" si="937"/>
        <v>50fps 2560x1440 - SD 4CIF resolution 4:3 format (cropped)</v>
      </c>
      <c r="Q7385">
        <f t="shared" si="933"/>
        <v>42</v>
      </c>
      <c r="R7385" t="str">
        <f t="shared" si="934"/>
        <v/>
      </c>
      <c r="S7385" t="str">
        <f t="shared" si="935"/>
        <v/>
      </c>
      <c r="T7385" s="403" t="str">
        <f t="shared" si="938"/>
        <v>NDP-5523-Z20C</v>
      </c>
      <c r="U7385" s="403">
        <f t="shared" si="939"/>
        <v>1</v>
      </c>
      <c r="V7385" s="403" t="str">
        <f t="shared" si="940"/>
        <v>CPP_7_3</v>
      </c>
    </row>
    <row r="7386" spans="1:22">
      <c r="A7386" t="str">
        <f t="shared" si="936"/>
        <v>NDP-5523-Z20C</v>
      </c>
      <c r="B7386" t="s">
        <v>1835</v>
      </c>
      <c r="C7386" s="403" t="s">
        <v>582</v>
      </c>
      <c r="D7386" t="s">
        <v>1836</v>
      </c>
      <c r="F7386" t="s">
        <v>1838</v>
      </c>
      <c r="G7386" t="s">
        <v>1811</v>
      </c>
      <c r="H7386" t="s">
        <v>1281</v>
      </c>
      <c r="I7386">
        <v>1</v>
      </c>
      <c r="J7386" t="s">
        <v>1813</v>
      </c>
      <c r="K7386">
        <v>2560</v>
      </c>
      <c r="L7386">
        <v>1440</v>
      </c>
      <c r="M7386" t="s">
        <v>1284</v>
      </c>
      <c r="N7386">
        <v>640</v>
      </c>
      <c r="O7386">
        <v>480</v>
      </c>
      <c r="P7386" t="str">
        <f t="shared" si="937"/>
        <v>50fps 2560x1440 - SD VGA (cropped)</v>
      </c>
      <c r="Q7386">
        <f t="shared" si="933"/>
        <v>42</v>
      </c>
      <c r="R7386" t="str">
        <f t="shared" si="934"/>
        <v/>
      </c>
      <c r="S7386" t="str">
        <f t="shared" si="935"/>
        <v/>
      </c>
      <c r="T7386" s="403" t="str">
        <f t="shared" si="938"/>
        <v>NDP-5523-Z20C</v>
      </c>
      <c r="U7386" s="403">
        <f t="shared" si="939"/>
        <v>1</v>
      </c>
      <c r="V7386" s="403" t="str">
        <f t="shared" si="940"/>
        <v>CPP_7_3</v>
      </c>
    </row>
    <row r="7387" spans="1:22">
      <c r="A7387" t="str">
        <f t="shared" si="936"/>
        <v>NDP-5523-Z20C</v>
      </c>
      <c r="B7387" t="s">
        <v>1835</v>
      </c>
      <c r="C7387" s="403" t="s">
        <v>582</v>
      </c>
      <c r="D7387" t="s">
        <v>1836</v>
      </c>
      <c r="F7387" t="s">
        <v>1838</v>
      </c>
      <c r="G7387" t="s">
        <v>1811</v>
      </c>
      <c r="H7387" t="s">
        <v>1281</v>
      </c>
      <c r="I7387">
        <v>1</v>
      </c>
      <c r="J7387" t="s">
        <v>1813</v>
      </c>
      <c r="K7387">
        <v>2560</v>
      </c>
      <c r="L7387">
        <v>1440</v>
      </c>
      <c r="M7387" t="s">
        <v>1280</v>
      </c>
      <c r="N7387">
        <v>2560</v>
      </c>
      <c r="O7387">
        <v>1440</v>
      </c>
      <c r="P7387" t="str">
        <f t="shared" si="937"/>
        <v>50fps 2560x1440 - copy other stream</v>
      </c>
      <c r="Q7387">
        <f t="shared" si="933"/>
        <v>42</v>
      </c>
      <c r="R7387" t="str">
        <f t="shared" si="934"/>
        <v/>
      </c>
      <c r="S7387" t="str">
        <f t="shared" si="935"/>
        <v/>
      </c>
      <c r="T7387" s="403" t="str">
        <f t="shared" si="938"/>
        <v>NDP-5523-Z20C</v>
      </c>
      <c r="U7387" s="403">
        <f t="shared" si="939"/>
        <v>1</v>
      </c>
      <c r="V7387" s="403" t="str">
        <f t="shared" si="940"/>
        <v>CPP_7_3</v>
      </c>
    </row>
    <row r="7388" spans="1:22">
      <c r="A7388" t="str">
        <f t="shared" si="936"/>
        <v>NDP-5523-Z20C</v>
      </c>
      <c r="B7388" t="s">
        <v>1835</v>
      </c>
      <c r="C7388" s="403" t="s">
        <v>582</v>
      </c>
      <c r="D7388" t="s">
        <v>1836</v>
      </c>
      <c r="F7388" t="s">
        <v>1838</v>
      </c>
      <c r="G7388" t="s">
        <v>1811</v>
      </c>
      <c r="H7388" t="s">
        <v>1281</v>
      </c>
      <c r="I7388">
        <v>1</v>
      </c>
      <c r="J7388" t="s">
        <v>1451</v>
      </c>
      <c r="K7388">
        <v>1536</v>
      </c>
      <c r="L7388">
        <v>864</v>
      </c>
      <c r="M7388" t="s">
        <v>1451</v>
      </c>
      <c r="N7388">
        <v>1536</v>
      </c>
      <c r="O7388">
        <v>864</v>
      </c>
      <c r="P7388" t="str">
        <f t="shared" si="937"/>
        <v>50fps 1536x864 - 1536x864</v>
      </c>
      <c r="Q7388">
        <f t="shared" si="933"/>
        <v>42</v>
      </c>
      <c r="R7388" t="str">
        <f t="shared" si="934"/>
        <v/>
      </c>
      <c r="S7388" t="str">
        <f t="shared" si="935"/>
        <v/>
      </c>
      <c r="T7388" s="403" t="str">
        <f t="shared" si="938"/>
        <v>NDP-5523-Z20C</v>
      </c>
      <c r="U7388" s="403">
        <f t="shared" si="939"/>
        <v>1</v>
      </c>
      <c r="V7388" s="403" t="str">
        <f t="shared" si="940"/>
        <v>CPP_7_3</v>
      </c>
    </row>
    <row r="7389" spans="1:22">
      <c r="A7389" t="str">
        <f t="shared" si="936"/>
        <v>NDP-5523-Z20C</v>
      </c>
      <c r="B7389" t="s">
        <v>1835</v>
      </c>
      <c r="C7389" s="403" t="s">
        <v>582</v>
      </c>
      <c r="D7389" t="s">
        <v>1836</v>
      </c>
      <c r="F7389" t="s">
        <v>1839</v>
      </c>
      <c r="G7389" t="s">
        <v>1811</v>
      </c>
      <c r="H7389" t="s">
        <v>1276</v>
      </c>
      <c r="I7389">
        <v>1</v>
      </c>
      <c r="J7389" t="s">
        <v>1813</v>
      </c>
      <c r="K7389">
        <v>2560</v>
      </c>
      <c r="L7389">
        <v>1440</v>
      </c>
      <c r="M7389" t="s">
        <v>110</v>
      </c>
      <c r="N7389">
        <v>1920</v>
      </c>
      <c r="O7389">
        <v>1080</v>
      </c>
      <c r="P7389" t="str">
        <f t="shared" si="937"/>
        <v>30fps 2560x1440 - 1080p</v>
      </c>
      <c r="Q7389">
        <f t="shared" si="933"/>
        <v>42</v>
      </c>
      <c r="R7389" t="str">
        <f t="shared" si="934"/>
        <v/>
      </c>
      <c r="S7389" t="str">
        <f t="shared" si="935"/>
        <v/>
      </c>
      <c r="T7389" s="403" t="str">
        <f t="shared" si="938"/>
        <v>NDP-5523-Z20C</v>
      </c>
      <c r="U7389" s="403">
        <f t="shared" si="939"/>
        <v>1</v>
      </c>
      <c r="V7389" s="403" t="str">
        <f t="shared" si="940"/>
        <v>CPP_7_3</v>
      </c>
    </row>
    <row r="7390" spans="1:22">
      <c r="A7390" t="str">
        <f t="shared" si="936"/>
        <v>NDP-5523-Z20C</v>
      </c>
      <c r="B7390" t="s">
        <v>1835</v>
      </c>
      <c r="C7390" s="403" t="s">
        <v>582</v>
      </c>
      <c r="D7390" t="s">
        <v>1836</v>
      </c>
      <c r="F7390" t="s">
        <v>1839</v>
      </c>
      <c r="G7390" t="s">
        <v>1811</v>
      </c>
      <c r="H7390" t="s">
        <v>1276</v>
      </c>
      <c r="I7390">
        <v>1</v>
      </c>
      <c r="J7390" t="s">
        <v>1813</v>
      </c>
      <c r="K7390">
        <v>2560</v>
      </c>
      <c r="L7390">
        <v>1440</v>
      </c>
      <c r="M7390" t="s">
        <v>109</v>
      </c>
      <c r="N7390">
        <v>1280</v>
      </c>
      <c r="O7390">
        <v>720</v>
      </c>
      <c r="P7390" t="str">
        <f t="shared" si="937"/>
        <v>30fps 2560x1440 - 720p</v>
      </c>
      <c r="Q7390">
        <f t="shared" si="933"/>
        <v>42</v>
      </c>
      <c r="R7390" t="str">
        <f t="shared" si="934"/>
        <v/>
      </c>
      <c r="S7390" t="str">
        <f t="shared" si="935"/>
        <v/>
      </c>
      <c r="T7390" s="403" t="str">
        <f t="shared" si="938"/>
        <v>NDP-5523-Z20C</v>
      </c>
      <c r="U7390" s="403">
        <f t="shared" si="939"/>
        <v>1</v>
      </c>
      <c r="V7390" s="403" t="str">
        <f t="shared" si="940"/>
        <v>CPP_7_3</v>
      </c>
    </row>
    <row r="7391" spans="1:22">
      <c r="A7391" t="str">
        <f t="shared" si="936"/>
        <v>NDP-5523-Z20C</v>
      </c>
      <c r="B7391" t="s">
        <v>1835</v>
      </c>
      <c r="C7391" s="403" t="s">
        <v>582</v>
      </c>
      <c r="D7391" t="s">
        <v>1836</v>
      </c>
      <c r="F7391" t="s">
        <v>1839</v>
      </c>
      <c r="G7391" t="s">
        <v>1811</v>
      </c>
      <c r="H7391" t="s">
        <v>1276</v>
      </c>
      <c r="I7391">
        <v>1</v>
      </c>
      <c r="J7391" t="s">
        <v>1813</v>
      </c>
      <c r="K7391">
        <v>2560</v>
      </c>
      <c r="L7391">
        <v>1440</v>
      </c>
      <c r="M7391" t="s">
        <v>111</v>
      </c>
      <c r="N7391">
        <v>768</v>
      </c>
      <c r="O7391">
        <v>432</v>
      </c>
      <c r="P7391" t="str">
        <f t="shared" si="937"/>
        <v>30fps 2560x1440 - SD</v>
      </c>
      <c r="Q7391">
        <f t="shared" si="933"/>
        <v>42</v>
      </c>
      <c r="R7391" t="str">
        <f t="shared" si="934"/>
        <v/>
      </c>
      <c r="S7391" t="str">
        <f t="shared" si="935"/>
        <v/>
      </c>
      <c r="T7391" s="403" t="str">
        <f t="shared" si="938"/>
        <v>NDP-5523-Z20C</v>
      </c>
      <c r="U7391" s="403">
        <f t="shared" si="939"/>
        <v>1</v>
      </c>
      <c r="V7391" s="403" t="str">
        <f t="shared" si="940"/>
        <v>CPP_7_3</v>
      </c>
    </row>
    <row r="7392" spans="1:22">
      <c r="A7392" t="str">
        <f t="shared" si="936"/>
        <v>NDP-5523-Z20C</v>
      </c>
      <c r="B7392" t="s">
        <v>1835</v>
      </c>
      <c r="C7392" s="403" t="s">
        <v>582</v>
      </c>
      <c r="D7392" t="s">
        <v>1836</v>
      </c>
      <c r="F7392" t="s">
        <v>1839</v>
      </c>
      <c r="G7392" t="s">
        <v>1811</v>
      </c>
      <c r="H7392" t="s">
        <v>1276</v>
      </c>
      <c r="I7392">
        <v>1</v>
      </c>
      <c r="J7392" t="s">
        <v>1813</v>
      </c>
      <c r="K7392">
        <v>2560</v>
      </c>
      <c r="L7392">
        <v>1440</v>
      </c>
      <c r="M7392" t="s">
        <v>1451</v>
      </c>
      <c r="N7392">
        <v>1536</v>
      </c>
      <c r="O7392">
        <v>864</v>
      </c>
      <c r="P7392" t="str">
        <f t="shared" si="937"/>
        <v>30fps 2560x1440 - 1536x864</v>
      </c>
      <c r="Q7392">
        <f t="shared" si="933"/>
        <v>42</v>
      </c>
      <c r="R7392" t="str">
        <f t="shared" si="934"/>
        <v/>
      </c>
      <c r="S7392" t="str">
        <f t="shared" si="935"/>
        <v/>
      </c>
      <c r="T7392" s="403" t="str">
        <f t="shared" si="938"/>
        <v>NDP-5523-Z20C</v>
      </c>
      <c r="U7392" s="403">
        <f t="shared" si="939"/>
        <v>1</v>
      </c>
      <c r="V7392" s="403" t="str">
        <f t="shared" si="940"/>
        <v>CPP_7_3</v>
      </c>
    </row>
    <row r="7393" spans="1:22">
      <c r="A7393" t="str">
        <f t="shared" si="936"/>
        <v>NDP-5523-Z20C</v>
      </c>
      <c r="B7393" t="s">
        <v>1835</v>
      </c>
      <c r="C7393" s="403" t="s">
        <v>582</v>
      </c>
      <c r="D7393" t="s">
        <v>1836</v>
      </c>
      <c r="F7393" t="s">
        <v>1839</v>
      </c>
      <c r="G7393" t="s">
        <v>1811</v>
      </c>
      <c r="H7393" t="s">
        <v>1276</v>
      </c>
      <c r="I7393">
        <v>1</v>
      </c>
      <c r="J7393" t="s">
        <v>1813</v>
      </c>
      <c r="K7393">
        <v>2560</v>
      </c>
      <c r="L7393">
        <v>1440</v>
      </c>
      <c r="M7393" t="s">
        <v>1283</v>
      </c>
      <c r="N7393">
        <v>720</v>
      </c>
      <c r="O7393">
        <v>480</v>
      </c>
      <c r="P7393" t="str">
        <f t="shared" si="937"/>
        <v>30fps 2560x1440 - SD 4CIF resolution 4:3 format (cropped)</v>
      </c>
      <c r="Q7393">
        <f t="shared" si="933"/>
        <v>42</v>
      </c>
      <c r="R7393" t="str">
        <f t="shared" si="934"/>
        <v/>
      </c>
      <c r="S7393" t="str">
        <f t="shared" si="935"/>
        <v/>
      </c>
      <c r="T7393" s="403" t="str">
        <f t="shared" si="938"/>
        <v>NDP-5523-Z20C</v>
      </c>
      <c r="U7393" s="403">
        <f t="shared" si="939"/>
        <v>1</v>
      </c>
      <c r="V7393" s="403" t="str">
        <f t="shared" si="940"/>
        <v>CPP_7_3</v>
      </c>
    </row>
    <row r="7394" spans="1:22">
      <c r="A7394" t="str">
        <f t="shared" si="936"/>
        <v>NDP-5523-Z20C</v>
      </c>
      <c r="B7394" t="s">
        <v>1835</v>
      </c>
      <c r="C7394" s="403" t="s">
        <v>582</v>
      </c>
      <c r="D7394" t="s">
        <v>1836</v>
      </c>
      <c r="F7394" t="s">
        <v>1839</v>
      </c>
      <c r="G7394" t="s">
        <v>1811</v>
      </c>
      <c r="H7394" t="s">
        <v>1276</v>
      </c>
      <c r="I7394">
        <v>1</v>
      </c>
      <c r="J7394" t="s">
        <v>1813</v>
      </c>
      <c r="K7394">
        <v>2560</v>
      </c>
      <c r="L7394">
        <v>1440</v>
      </c>
      <c r="M7394" t="s">
        <v>1284</v>
      </c>
      <c r="N7394">
        <v>640</v>
      </c>
      <c r="O7394">
        <v>480</v>
      </c>
      <c r="P7394" t="str">
        <f t="shared" si="937"/>
        <v>30fps 2560x1440 - SD VGA (cropped)</v>
      </c>
      <c r="Q7394">
        <f t="shared" si="933"/>
        <v>42</v>
      </c>
      <c r="R7394" t="str">
        <f t="shared" si="934"/>
        <v/>
      </c>
      <c r="S7394" t="str">
        <f t="shared" si="935"/>
        <v/>
      </c>
      <c r="T7394" s="403" t="str">
        <f t="shared" si="938"/>
        <v>NDP-5523-Z20C</v>
      </c>
      <c r="U7394" s="403">
        <f t="shared" si="939"/>
        <v>1</v>
      </c>
      <c r="V7394" s="403" t="str">
        <f t="shared" si="940"/>
        <v>CPP_7_3</v>
      </c>
    </row>
    <row r="7395" spans="1:22">
      <c r="A7395" t="str">
        <f t="shared" si="936"/>
        <v>NDP-5523-Z20C</v>
      </c>
      <c r="B7395" t="s">
        <v>1835</v>
      </c>
      <c r="C7395" s="403" t="s">
        <v>582</v>
      </c>
      <c r="D7395" t="s">
        <v>1836</v>
      </c>
      <c r="F7395" t="s">
        <v>1839</v>
      </c>
      <c r="G7395" t="s">
        <v>1811</v>
      </c>
      <c r="H7395" t="s">
        <v>1276</v>
      </c>
      <c r="I7395">
        <v>1</v>
      </c>
      <c r="J7395" t="s">
        <v>1813</v>
      </c>
      <c r="K7395">
        <v>2560</v>
      </c>
      <c r="L7395">
        <v>1440</v>
      </c>
      <c r="M7395" t="s">
        <v>1280</v>
      </c>
      <c r="N7395">
        <v>2560</v>
      </c>
      <c r="O7395">
        <v>1440</v>
      </c>
      <c r="P7395" t="str">
        <f t="shared" si="937"/>
        <v>30fps 2560x1440 - copy other stream</v>
      </c>
      <c r="Q7395">
        <f t="shared" si="933"/>
        <v>42</v>
      </c>
      <c r="R7395" t="str">
        <f t="shared" si="934"/>
        <v/>
      </c>
      <c r="S7395" t="str">
        <f t="shared" si="935"/>
        <v/>
      </c>
      <c r="T7395" s="403" t="str">
        <f t="shared" si="938"/>
        <v>NDP-5523-Z20C</v>
      </c>
      <c r="U7395" s="403">
        <f t="shared" si="939"/>
        <v>1</v>
      </c>
      <c r="V7395" s="403" t="str">
        <f t="shared" si="940"/>
        <v>CPP_7_3</v>
      </c>
    </row>
    <row r="7396" spans="1:22">
      <c r="A7396" t="str">
        <f t="shared" si="936"/>
        <v>NDP-5523-Z20C</v>
      </c>
      <c r="B7396" t="s">
        <v>1835</v>
      </c>
      <c r="C7396" s="403" t="s">
        <v>582</v>
      </c>
      <c r="D7396" t="s">
        <v>1836</v>
      </c>
      <c r="F7396" t="s">
        <v>1839</v>
      </c>
      <c r="G7396" t="s">
        <v>1811</v>
      </c>
      <c r="H7396" t="s">
        <v>1276</v>
      </c>
      <c r="I7396">
        <v>1</v>
      </c>
      <c r="J7396" t="s">
        <v>1451</v>
      </c>
      <c r="K7396">
        <v>1536</v>
      </c>
      <c r="L7396">
        <v>864</v>
      </c>
      <c r="M7396" t="s">
        <v>1451</v>
      </c>
      <c r="N7396">
        <v>1536</v>
      </c>
      <c r="O7396">
        <v>864</v>
      </c>
      <c r="P7396" t="str">
        <f t="shared" si="937"/>
        <v>30fps 1536x864 - 1536x864</v>
      </c>
      <c r="Q7396">
        <f t="shared" si="933"/>
        <v>42</v>
      </c>
      <c r="R7396" t="str">
        <f t="shared" si="934"/>
        <v/>
      </c>
      <c r="S7396" t="str">
        <f t="shared" si="935"/>
        <v/>
      </c>
      <c r="T7396" s="403" t="str">
        <f t="shared" si="938"/>
        <v>NDP-5523-Z20C</v>
      </c>
      <c r="U7396" s="403">
        <f t="shared" si="939"/>
        <v>1</v>
      </c>
      <c r="V7396" s="403" t="str">
        <f t="shared" si="940"/>
        <v>CPP_7_3</v>
      </c>
    </row>
    <row r="7397" spans="1:22">
      <c r="A7397" t="str">
        <f t="shared" si="936"/>
        <v>NDP-5523-Z20C</v>
      </c>
      <c r="B7397" t="s">
        <v>1835</v>
      </c>
      <c r="C7397" s="403" t="s">
        <v>582</v>
      </c>
      <c r="D7397" t="s">
        <v>1836</v>
      </c>
      <c r="F7397" t="s">
        <v>1839</v>
      </c>
      <c r="G7397" t="s">
        <v>1811</v>
      </c>
      <c r="H7397" t="s">
        <v>1281</v>
      </c>
      <c r="I7397">
        <v>1</v>
      </c>
      <c r="J7397" t="s">
        <v>1813</v>
      </c>
      <c r="K7397">
        <v>2560</v>
      </c>
      <c r="L7397">
        <v>1440</v>
      </c>
      <c r="M7397" t="s">
        <v>110</v>
      </c>
      <c r="N7397">
        <v>1920</v>
      </c>
      <c r="O7397">
        <v>1080</v>
      </c>
      <c r="P7397" t="str">
        <f t="shared" si="937"/>
        <v>30fps 2560x1440 - 1080p</v>
      </c>
      <c r="Q7397">
        <f t="shared" si="933"/>
        <v>42</v>
      </c>
      <c r="R7397" t="str">
        <f t="shared" si="934"/>
        <v/>
      </c>
      <c r="S7397" t="str">
        <f t="shared" si="935"/>
        <v/>
      </c>
      <c r="T7397" s="403" t="str">
        <f t="shared" si="938"/>
        <v>NDP-5523-Z20C</v>
      </c>
      <c r="U7397" s="403">
        <f t="shared" si="939"/>
        <v>1</v>
      </c>
      <c r="V7397" s="403" t="str">
        <f t="shared" si="940"/>
        <v>CPP_7_3</v>
      </c>
    </row>
    <row r="7398" spans="1:22">
      <c r="A7398" t="str">
        <f t="shared" si="936"/>
        <v>NDP-5523-Z20C</v>
      </c>
      <c r="B7398" t="s">
        <v>1835</v>
      </c>
      <c r="C7398" s="403" t="s">
        <v>582</v>
      </c>
      <c r="D7398" t="s">
        <v>1836</v>
      </c>
      <c r="F7398" t="s">
        <v>1839</v>
      </c>
      <c r="G7398" t="s">
        <v>1811</v>
      </c>
      <c r="H7398" t="s">
        <v>1281</v>
      </c>
      <c r="I7398">
        <v>1</v>
      </c>
      <c r="J7398" t="s">
        <v>1813</v>
      </c>
      <c r="K7398">
        <v>2560</v>
      </c>
      <c r="L7398">
        <v>1440</v>
      </c>
      <c r="M7398" t="s">
        <v>109</v>
      </c>
      <c r="N7398">
        <v>1280</v>
      </c>
      <c r="O7398">
        <v>720</v>
      </c>
      <c r="P7398" t="str">
        <f t="shared" si="937"/>
        <v>30fps 2560x1440 - 720p</v>
      </c>
      <c r="Q7398">
        <f t="shared" si="933"/>
        <v>42</v>
      </c>
      <c r="R7398" t="str">
        <f t="shared" si="934"/>
        <v/>
      </c>
      <c r="S7398" t="str">
        <f t="shared" si="935"/>
        <v/>
      </c>
      <c r="T7398" s="403" t="str">
        <f t="shared" si="938"/>
        <v>NDP-5523-Z20C</v>
      </c>
      <c r="U7398" s="403">
        <f t="shared" si="939"/>
        <v>1</v>
      </c>
      <c r="V7398" s="403" t="str">
        <f t="shared" si="940"/>
        <v>CPP_7_3</v>
      </c>
    </row>
    <row r="7399" spans="1:22">
      <c r="A7399" t="str">
        <f t="shared" ref="A7399:A7414" si="941">IF(AND(G7399&lt;&gt;"rotate 90°"),D7399,"")</f>
        <v>NDP-5523-Z20C</v>
      </c>
      <c r="B7399" t="s">
        <v>1835</v>
      </c>
      <c r="C7399" s="403" t="s">
        <v>582</v>
      </c>
      <c r="D7399" t="s">
        <v>1836</v>
      </c>
      <c r="F7399" t="s">
        <v>1839</v>
      </c>
      <c r="G7399" t="s">
        <v>1811</v>
      </c>
      <c r="H7399" t="s">
        <v>1281</v>
      </c>
      <c r="I7399">
        <v>1</v>
      </c>
      <c r="J7399" t="s">
        <v>1813</v>
      </c>
      <c r="K7399">
        <v>2560</v>
      </c>
      <c r="L7399">
        <v>1440</v>
      </c>
      <c r="M7399" t="s">
        <v>111</v>
      </c>
      <c r="N7399">
        <v>768</v>
      </c>
      <c r="O7399">
        <v>432</v>
      </c>
      <c r="P7399" t="str">
        <f t="shared" ref="P7399:P7414" si="942">LEFT(F7399,5)&amp;" "&amp;J7399&amp;" - "&amp;M7399</f>
        <v>30fps 2560x1440 - SD</v>
      </c>
      <c r="Q7399">
        <f t="shared" si="933"/>
        <v>42</v>
      </c>
      <c r="R7399" t="str">
        <f t="shared" si="934"/>
        <v/>
      </c>
      <c r="S7399" t="str">
        <f t="shared" si="935"/>
        <v/>
      </c>
      <c r="T7399" s="403" t="str">
        <f t="shared" ref="T7399:T7414" si="943">D7399</f>
        <v>NDP-5523-Z20C</v>
      </c>
      <c r="U7399" s="403">
        <f t="shared" ref="U7399:U7414" si="944">I7399</f>
        <v>1</v>
      </c>
      <c r="V7399" s="403" t="str">
        <f t="shared" ref="V7399:V7414" si="945">C7399</f>
        <v>CPP_7_3</v>
      </c>
    </row>
    <row r="7400" spans="1:22">
      <c r="A7400" t="str">
        <f t="shared" si="941"/>
        <v>NDP-5523-Z20C</v>
      </c>
      <c r="B7400" t="s">
        <v>1835</v>
      </c>
      <c r="C7400" s="403" t="s">
        <v>582</v>
      </c>
      <c r="D7400" t="s">
        <v>1836</v>
      </c>
      <c r="F7400" t="s">
        <v>1839</v>
      </c>
      <c r="G7400" t="s">
        <v>1811</v>
      </c>
      <c r="H7400" t="s">
        <v>1281</v>
      </c>
      <c r="I7400">
        <v>1</v>
      </c>
      <c r="J7400" t="s">
        <v>1813</v>
      </c>
      <c r="K7400">
        <v>2560</v>
      </c>
      <c r="L7400">
        <v>1440</v>
      </c>
      <c r="M7400" t="s">
        <v>1451</v>
      </c>
      <c r="N7400">
        <v>1536</v>
      </c>
      <c r="O7400">
        <v>864</v>
      </c>
      <c r="P7400" t="str">
        <f t="shared" si="942"/>
        <v>30fps 2560x1440 - 1536x864</v>
      </c>
      <c r="Q7400">
        <f t="shared" si="933"/>
        <v>42</v>
      </c>
      <c r="R7400" t="str">
        <f t="shared" si="934"/>
        <v/>
      </c>
      <c r="S7400" t="str">
        <f t="shared" si="935"/>
        <v/>
      </c>
      <c r="T7400" s="403" t="str">
        <f t="shared" si="943"/>
        <v>NDP-5523-Z20C</v>
      </c>
      <c r="U7400" s="403">
        <f t="shared" si="944"/>
        <v>1</v>
      </c>
      <c r="V7400" s="403" t="str">
        <f t="shared" si="945"/>
        <v>CPP_7_3</v>
      </c>
    </row>
    <row r="7401" spans="1:22">
      <c r="A7401" t="str">
        <f t="shared" si="941"/>
        <v>NDP-5523-Z20C</v>
      </c>
      <c r="B7401" t="s">
        <v>1835</v>
      </c>
      <c r="C7401" s="403" t="s">
        <v>582</v>
      </c>
      <c r="D7401" t="s">
        <v>1836</v>
      </c>
      <c r="F7401" t="s">
        <v>1839</v>
      </c>
      <c r="G7401" t="s">
        <v>1811</v>
      </c>
      <c r="H7401" t="s">
        <v>1281</v>
      </c>
      <c r="I7401">
        <v>1</v>
      </c>
      <c r="J7401" t="s">
        <v>1813</v>
      </c>
      <c r="K7401">
        <v>2560</v>
      </c>
      <c r="L7401">
        <v>1440</v>
      </c>
      <c r="M7401" t="s">
        <v>1283</v>
      </c>
      <c r="N7401">
        <v>720</v>
      </c>
      <c r="O7401">
        <v>480</v>
      </c>
      <c r="P7401" t="str">
        <f t="shared" si="942"/>
        <v>30fps 2560x1440 - SD 4CIF resolution 4:3 format (cropped)</v>
      </c>
      <c r="Q7401">
        <f t="shared" si="933"/>
        <v>42</v>
      </c>
      <c r="R7401" t="str">
        <f t="shared" si="934"/>
        <v/>
      </c>
      <c r="S7401" t="str">
        <f t="shared" si="935"/>
        <v/>
      </c>
      <c r="T7401" s="403" t="str">
        <f t="shared" si="943"/>
        <v>NDP-5523-Z20C</v>
      </c>
      <c r="U7401" s="403">
        <f t="shared" si="944"/>
        <v>1</v>
      </c>
      <c r="V7401" s="403" t="str">
        <f t="shared" si="945"/>
        <v>CPP_7_3</v>
      </c>
    </row>
    <row r="7402" spans="1:22">
      <c r="A7402" t="str">
        <f t="shared" si="941"/>
        <v>NDP-5523-Z20C</v>
      </c>
      <c r="B7402" t="s">
        <v>1835</v>
      </c>
      <c r="C7402" s="403" t="s">
        <v>582</v>
      </c>
      <c r="D7402" t="s">
        <v>1836</v>
      </c>
      <c r="F7402" t="s">
        <v>1839</v>
      </c>
      <c r="G7402" t="s">
        <v>1811</v>
      </c>
      <c r="H7402" t="s">
        <v>1281</v>
      </c>
      <c r="I7402">
        <v>1</v>
      </c>
      <c r="J7402" t="s">
        <v>1813</v>
      </c>
      <c r="K7402">
        <v>2560</v>
      </c>
      <c r="L7402">
        <v>1440</v>
      </c>
      <c r="M7402" t="s">
        <v>1284</v>
      </c>
      <c r="N7402">
        <v>640</v>
      </c>
      <c r="O7402">
        <v>480</v>
      </c>
      <c r="P7402" t="str">
        <f t="shared" si="942"/>
        <v>30fps 2560x1440 - SD VGA (cropped)</v>
      </c>
      <c r="Q7402">
        <f t="shared" si="933"/>
        <v>42</v>
      </c>
      <c r="R7402" t="str">
        <f t="shared" si="934"/>
        <v/>
      </c>
      <c r="S7402" t="str">
        <f t="shared" si="935"/>
        <v/>
      </c>
      <c r="T7402" s="403" t="str">
        <f t="shared" si="943"/>
        <v>NDP-5523-Z20C</v>
      </c>
      <c r="U7402" s="403">
        <f t="shared" si="944"/>
        <v>1</v>
      </c>
      <c r="V7402" s="403" t="str">
        <f t="shared" si="945"/>
        <v>CPP_7_3</v>
      </c>
    </row>
    <row r="7403" spans="1:22">
      <c r="A7403" t="str">
        <f t="shared" si="941"/>
        <v>NDP-5523-Z20C</v>
      </c>
      <c r="B7403" t="s">
        <v>1835</v>
      </c>
      <c r="C7403" s="403" t="s">
        <v>582</v>
      </c>
      <c r="D7403" t="s">
        <v>1836</v>
      </c>
      <c r="F7403" t="s">
        <v>1839</v>
      </c>
      <c r="G7403" t="s">
        <v>1811</v>
      </c>
      <c r="H7403" t="s">
        <v>1281</v>
      </c>
      <c r="I7403">
        <v>1</v>
      </c>
      <c r="J7403" t="s">
        <v>1813</v>
      </c>
      <c r="K7403">
        <v>2560</v>
      </c>
      <c r="L7403">
        <v>1440</v>
      </c>
      <c r="M7403" t="s">
        <v>1280</v>
      </c>
      <c r="N7403">
        <v>2560</v>
      </c>
      <c r="O7403">
        <v>1440</v>
      </c>
      <c r="P7403" t="str">
        <f t="shared" si="942"/>
        <v>30fps 2560x1440 - copy other stream</v>
      </c>
      <c r="Q7403">
        <f t="shared" si="933"/>
        <v>42</v>
      </c>
      <c r="R7403" t="str">
        <f t="shared" si="934"/>
        <v/>
      </c>
      <c r="S7403" t="str">
        <f t="shared" si="935"/>
        <v/>
      </c>
      <c r="T7403" s="403" t="str">
        <f t="shared" si="943"/>
        <v>NDP-5523-Z20C</v>
      </c>
      <c r="U7403" s="403">
        <f t="shared" si="944"/>
        <v>1</v>
      </c>
      <c r="V7403" s="403" t="str">
        <f t="shared" si="945"/>
        <v>CPP_7_3</v>
      </c>
    </row>
    <row r="7404" spans="1:22">
      <c r="A7404" t="str">
        <f t="shared" si="941"/>
        <v>NDP-5523-Z20C</v>
      </c>
      <c r="B7404" t="s">
        <v>1835</v>
      </c>
      <c r="C7404" s="403" t="s">
        <v>582</v>
      </c>
      <c r="D7404" t="s">
        <v>1836</v>
      </c>
      <c r="F7404" t="s">
        <v>1839</v>
      </c>
      <c r="G7404" t="s">
        <v>1811</v>
      </c>
      <c r="H7404" t="s">
        <v>1281</v>
      </c>
      <c r="I7404">
        <v>1</v>
      </c>
      <c r="J7404" t="s">
        <v>1451</v>
      </c>
      <c r="K7404">
        <v>1536</v>
      </c>
      <c r="L7404">
        <v>864</v>
      </c>
      <c r="M7404" t="s">
        <v>1451</v>
      </c>
      <c r="N7404">
        <v>1536</v>
      </c>
      <c r="O7404">
        <v>864</v>
      </c>
      <c r="P7404" t="str">
        <f t="shared" si="942"/>
        <v>30fps 1536x864 - 1536x864</v>
      </c>
      <c r="Q7404">
        <f t="shared" si="933"/>
        <v>42</v>
      </c>
      <c r="R7404" t="str">
        <f t="shared" si="934"/>
        <v/>
      </c>
      <c r="S7404" t="str">
        <f t="shared" si="935"/>
        <v/>
      </c>
      <c r="T7404" s="403" t="str">
        <f t="shared" si="943"/>
        <v>NDP-5523-Z20C</v>
      </c>
      <c r="U7404" s="403">
        <f t="shared" si="944"/>
        <v>1</v>
      </c>
      <c r="V7404" s="403" t="str">
        <f t="shared" si="945"/>
        <v>CPP_7_3</v>
      </c>
    </row>
    <row r="7405" spans="1:22">
      <c r="A7405" t="str">
        <f t="shared" si="941"/>
        <v>NDP-5523-Z20C</v>
      </c>
      <c r="B7405" t="s">
        <v>1835</v>
      </c>
      <c r="C7405" s="403" t="s">
        <v>582</v>
      </c>
      <c r="D7405" t="s">
        <v>1836</v>
      </c>
      <c r="F7405" t="s">
        <v>1840</v>
      </c>
      <c r="G7405" t="s">
        <v>1811</v>
      </c>
      <c r="H7405" t="s">
        <v>1276</v>
      </c>
      <c r="I7405">
        <v>1</v>
      </c>
      <c r="J7405" t="s">
        <v>1813</v>
      </c>
      <c r="K7405">
        <v>2560</v>
      </c>
      <c r="L7405">
        <v>1440</v>
      </c>
      <c r="M7405" t="s">
        <v>110</v>
      </c>
      <c r="N7405">
        <v>1920</v>
      </c>
      <c r="O7405">
        <v>1080</v>
      </c>
      <c r="P7405" t="str">
        <f t="shared" si="942"/>
        <v>25fps 2560x1440 - 1080p</v>
      </c>
      <c r="Q7405">
        <f t="shared" ref="Q7405:Q7421" si="946">IF(A7404=A7405,Q7404,Q7404+1)</f>
        <v>42</v>
      </c>
      <c r="R7405" t="str">
        <f t="shared" ref="R7405:R7420" si="947">IF(Q7404&lt;&gt;Q7405,Q7405,"")</f>
        <v/>
      </c>
      <c r="S7405" t="str">
        <f t="shared" ref="S7405:S7420" si="948">IF(R7405&lt;&gt;"",B7405&amp;" ("&amp;D7405&amp;")","")</f>
        <v/>
      </c>
      <c r="T7405" s="403" t="str">
        <f t="shared" si="943"/>
        <v>NDP-5523-Z20C</v>
      </c>
      <c r="U7405" s="403">
        <f t="shared" si="944"/>
        <v>1</v>
      </c>
      <c r="V7405" s="403" t="str">
        <f t="shared" si="945"/>
        <v>CPP_7_3</v>
      </c>
    </row>
    <row r="7406" spans="1:22">
      <c r="A7406" t="str">
        <f t="shared" si="941"/>
        <v>NDP-5523-Z20C</v>
      </c>
      <c r="B7406" t="s">
        <v>1835</v>
      </c>
      <c r="C7406" s="403" t="s">
        <v>582</v>
      </c>
      <c r="D7406" t="s">
        <v>1836</v>
      </c>
      <c r="F7406" t="s">
        <v>1840</v>
      </c>
      <c r="G7406" t="s">
        <v>1811</v>
      </c>
      <c r="H7406" t="s">
        <v>1276</v>
      </c>
      <c r="I7406">
        <v>1</v>
      </c>
      <c r="J7406" t="s">
        <v>1813</v>
      </c>
      <c r="K7406">
        <v>2560</v>
      </c>
      <c r="L7406">
        <v>1440</v>
      </c>
      <c r="M7406" t="s">
        <v>109</v>
      </c>
      <c r="N7406">
        <v>1280</v>
      </c>
      <c r="O7406">
        <v>720</v>
      </c>
      <c r="P7406" t="str">
        <f t="shared" si="942"/>
        <v>25fps 2560x1440 - 720p</v>
      </c>
      <c r="Q7406">
        <f t="shared" si="946"/>
        <v>42</v>
      </c>
      <c r="R7406" t="str">
        <f t="shared" si="947"/>
        <v/>
      </c>
      <c r="S7406" t="str">
        <f t="shared" si="948"/>
        <v/>
      </c>
      <c r="T7406" s="403" t="str">
        <f t="shared" si="943"/>
        <v>NDP-5523-Z20C</v>
      </c>
      <c r="U7406" s="403">
        <f t="shared" si="944"/>
        <v>1</v>
      </c>
      <c r="V7406" s="403" t="str">
        <f t="shared" si="945"/>
        <v>CPP_7_3</v>
      </c>
    </row>
    <row r="7407" spans="1:22">
      <c r="A7407" t="str">
        <f t="shared" si="941"/>
        <v>NDP-5523-Z20C</v>
      </c>
      <c r="B7407" t="s">
        <v>1835</v>
      </c>
      <c r="C7407" s="403" t="s">
        <v>582</v>
      </c>
      <c r="D7407" t="s">
        <v>1836</v>
      </c>
      <c r="F7407" t="s">
        <v>1840</v>
      </c>
      <c r="G7407" t="s">
        <v>1811</v>
      </c>
      <c r="H7407" t="s">
        <v>1276</v>
      </c>
      <c r="I7407">
        <v>1</v>
      </c>
      <c r="J7407" t="s">
        <v>1813</v>
      </c>
      <c r="K7407">
        <v>2560</v>
      </c>
      <c r="L7407">
        <v>1440</v>
      </c>
      <c r="M7407" t="s">
        <v>111</v>
      </c>
      <c r="N7407">
        <v>768</v>
      </c>
      <c r="O7407">
        <v>432</v>
      </c>
      <c r="P7407" t="str">
        <f t="shared" si="942"/>
        <v>25fps 2560x1440 - SD</v>
      </c>
      <c r="Q7407">
        <f t="shared" si="946"/>
        <v>42</v>
      </c>
      <c r="R7407" t="str">
        <f t="shared" si="947"/>
        <v/>
      </c>
      <c r="S7407" t="str">
        <f t="shared" si="948"/>
        <v/>
      </c>
      <c r="T7407" s="403" t="str">
        <f t="shared" si="943"/>
        <v>NDP-5523-Z20C</v>
      </c>
      <c r="U7407" s="403">
        <f t="shared" si="944"/>
        <v>1</v>
      </c>
      <c r="V7407" s="403" t="str">
        <f t="shared" si="945"/>
        <v>CPP_7_3</v>
      </c>
    </row>
    <row r="7408" spans="1:22">
      <c r="A7408" t="str">
        <f t="shared" si="941"/>
        <v>NDP-5523-Z20C</v>
      </c>
      <c r="B7408" t="s">
        <v>1835</v>
      </c>
      <c r="C7408" s="403" t="s">
        <v>582</v>
      </c>
      <c r="D7408" t="s">
        <v>1836</v>
      </c>
      <c r="F7408" t="s">
        <v>1840</v>
      </c>
      <c r="G7408" t="s">
        <v>1811</v>
      </c>
      <c r="H7408" t="s">
        <v>1276</v>
      </c>
      <c r="I7408">
        <v>1</v>
      </c>
      <c r="J7408" t="s">
        <v>1813</v>
      </c>
      <c r="K7408">
        <v>2560</v>
      </c>
      <c r="L7408">
        <v>1440</v>
      </c>
      <c r="M7408" t="s">
        <v>1451</v>
      </c>
      <c r="N7408">
        <v>1536</v>
      </c>
      <c r="O7408">
        <v>864</v>
      </c>
      <c r="P7408" t="str">
        <f t="shared" si="942"/>
        <v>25fps 2560x1440 - 1536x864</v>
      </c>
      <c r="Q7408">
        <f t="shared" si="946"/>
        <v>42</v>
      </c>
      <c r="R7408" t="str">
        <f t="shared" si="947"/>
        <v/>
      </c>
      <c r="S7408" t="str">
        <f t="shared" si="948"/>
        <v/>
      </c>
      <c r="T7408" s="403" t="str">
        <f t="shared" si="943"/>
        <v>NDP-5523-Z20C</v>
      </c>
      <c r="U7408" s="403">
        <f t="shared" si="944"/>
        <v>1</v>
      </c>
      <c r="V7408" s="403" t="str">
        <f t="shared" si="945"/>
        <v>CPP_7_3</v>
      </c>
    </row>
    <row r="7409" spans="1:22">
      <c r="A7409" t="str">
        <f t="shared" si="941"/>
        <v>NDP-5523-Z20C</v>
      </c>
      <c r="B7409" t="s">
        <v>1835</v>
      </c>
      <c r="C7409" s="403" t="s">
        <v>582</v>
      </c>
      <c r="D7409" t="s">
        <v>1836</v>
      </c>
      <c r="F7409" t="s">
        <v>1840</v>
      </c>
      <c r="G7409" t="s">
        <v>1811</v>
      </c>
      <c r="H7409" t="s">
        <v>1276</v>
      </c>
      <c r="I7409">
        <v>1</v>
      </c>
      <c r="J7409" t="s">
        <v>1813</v>
      </c>
      <c r="K7409">
        <v>2560</v>
      </c>
      <c r="L7409">
        <v>1440</v>
      </c>
      <c r="M7409" t="s">
        <v>1283</v>
      </c>
      <c r="N7409">
        <v>720</v>
      </c>
      <c r="O7409">
        <v>576</v>
      </c>
      <c r="P7409" t="str">
        <f t="shared" si="942"/>
        <v>25fps 2560x1440 - SD 4CIF resolution 4:3 format (cropped)</v>
      </c>
      <c r="Q7409">
        <f t="shared" si="946"/>
        <v>42</v>
      </c>
      <c r="R7409" t="str">
        <f t="shared" si="947"/>
        <v/>
      </c>
      <c r="S7409" t="str">
        <f t="shared" si="948"/>
        <v/>
      </c>
      <c r="T7409" s="403" t="str">
        <f t="shared" si="943"/>
        <v>NDP-5523-Z20C</v>
      </c>
      <c r="U7409" s="403">
        <f t="shared" si="944"/>
        <v>1</v>
      </c>
      <c r="V7409" s="403" t="str">
        <f t="shared" si="945"/>
        <v>CPP_7_3</v>
      </c>
    </row>
    <row r="7410" spans="1:22">
      <c r="A7410" t="str">
        <f t="shared" si="941"/>
        <v>NDP-5523-Z20C</v>
      </c>
      <c r="B7410" t="s">
        <v>1835</v>
      </c>
      <c r="C7410" s="403" t="s">
        <v>582</v>
      </c>
      <c r="D7410" t="s">
        <v>1836</v>
      </c>
      <c r="F7410" t="s">
        <v>1840</v>
      </c>
      <c r="G7410" t="s">
        <v>1811</v>
      </c>
      <c r="H7410" t="s">
        <v>1276</v>
      </c>
      <c r="I7410">
        <v>1</v>
      </c>
      <c r="J7410" t="s">
        <v>1813</v>
      </c>
      <c r="K7410">
        <v>2560</v>
      </c>
      <c r="L7410">
        <v>1440</v>
      </c>
      <c r="M7410" t="s">
        <v>1284</v>
      </c>
      <c r="N7410">
        <v>640</v>
      </c>
      <c r="O7410">
        <v>480</v>
      </c>
      <c r="P7410" t="str">
        <f t="shared" si="942"/>
        <v>25fps 2560x1440 - SD VGA (cropped)</v>
      </c>
      <c r="Q7410">
        <f t="shared" si="946"/>
        <v>42</v>
      </c>
      <c r="R7410" t="str">
        <f t="shared" si="947"/>
        <v/>
      </c>
      <c r="S7410" t="str">
        <f t="shared" si="948"/>
        <v/>
      </c>
      <c r="T7410" s="403" t="str">
        <f t="shared" si="943"/>
        <v>NDP-5523-Z20C</v>
      </c>
      <c r="U7410" s="403">
        <f t="shared" si="944"/>
        <v>1</v>
      </c>
      <c r="V7410" s="403" t="str">
        <f t="shared" si="945"/>
        <v>CPP_7_3</v>
      </c>
    </row>
    <row r="7411" spans="1:22">
      <c r="A7411" t="str">
        <f t="shared" si="941"/>
        <v>NDP-5523-Z20C</v>
      </c>
      <c r="B7411" t="s">
        <v>1835</v>
      </c>
      <c r="C7411" s="403" t="s">
        <v>582</v>
      </c>
      <c r="D7411" t="s">
        <v>1836</v>
      </c>
      <c r="F7411" t="s">
        <v>1840</v>
      </c>
      <c r="G7411" t="s">
        <v>1811</v>
      </c>
      <c r="H7411" t="s">
        <v>1276</v>
      </c>
      <c r="I7411">
        <v>1</v>
      </c>
      <c r="J7411" t="s">
        <v>1813</v>
      </c>
      <c r="K7411">
        <v>2560</v>
      </c>
      <c r="L7411">
        <v>1440</v>
      </c>
      <c r="M7411" t="s">
        <v>1280</v>
      </c>
      <c r="N7411">
        <v>2560</v>
      </c>
      <c r="O7411">
        <v>1440</v>
      </c>
      <c r="P7411" t="str">
        <f t="shared" si="942"/>
        <v>25fps 2560x1440 - copy other stream</v>
      </c>
      <c r="Q7411">
        <f t="shared" si="946"/>
        <v>42</v>
      </c>
      <c r="R7411" t="str">
        <f t="shared" si="947"/>
        <v/>
      </c>
      <c r="S7411" t="str">
        <f t="shared" si="948"/>
        <v/>
      </c>
      <c r="T7411" s="403" t="str">
        <f t="shared" si="943"/>
        <v>NDP-5523-Z20C</v>
      </c>
      <c r="U7411" s="403">
        <f t="shared" si="944"/>
        <v>1</v>
      </c>
      <c r="V7411" s="403" t="str">
        <f t="shared" si="945"/>
        <v>CPP_7_3</v>
      </c>
    </row>
    <row r="7412" spans="1:22">
      <c r="A7412" t="str">
        <f t="shared" si="941"/>
        <v>NDP-5523-Z20C</v>
      </c>
      <c r="B7412" t="s">
        <v>1835</v>
      </c>
      <c r="C7412" s="403" t="s">
        <v>582</v>
      </c>
      <c r="D7412" t="s">
        <v>1836</v>
      </c>
      <c r="F7412" t="s">
        <v>1840</v>
      </c>
      <c r="G7412" t="s">
        <v>1811</v>
      </c>
      <c r="H7412" t="s">
        <v>1276</v>
      </c>
      <c r="I7412">
        <v>1</v>
      </c>
      <c r="J7412" t="s">
        <v>1451</v>
      </c>
      <c r="K7412">
        <v>1536</v>
      </c>
      <c r="L7412">
        <v>864</v>
      </c>
      <c r="M7412" t="s">
        <v>1451</v>
      </c>
      <c r="N7412">
        <v>1536</v>
      </c>
      <c r="O7412">
        <v>864</v>
      </c>
      <c r="P7412" t="str">
        <f t="shared" si="942"/>
        <v>25fps 1536x864 - 1536x864</v>
      </c>
      <c r="Q7412">
        <f t="shared" si="946"/>
        <v>42</v>
      </c>
      <c r="R7412" t="str">
        <f t="shared" si="947"/>
        <v/>
      </c>
      <c r="S7412" t="str">
        <f t="shared" si="948"/>
        <v/>
      </c>
      <c r="T7412" s="403" t="str">
        <f t="shared" si="943"/>
        <v>NDP-5523-Z20C</v>
      </c>
      <c r="U7412" s="403">
        <f t="shared" si="944"/>
        <v>1</v>
      </c>
      <c r="V7412" s="403" t="str">
        <f t="shared" si="945"/>
        <v>CPP_7_3</v>
      </c>
    </row>
    <row r="7413" spans="1:22">
      <c r="A7413" t="str">
        <f t="shared" si="941"/>
        <v>NDP-5523-Z20C</v>
      </c>
      <c r="B7413" t="s">
        <v>1835</v>
      </c>
      <c r="C7413" s="403" t="s">
        <v>582</v>
      </c>
      <c r="D7413" t="s">
        <v>1836</v>
      </c>
      <c r="F7413" t="s">
        <v>1840</v>
      </c>
      <c r="G7413" t="s">
        <v>1811</v>
      </c>
      <c r="H7413" t="s">
        <v>1281</v>
      </c>
      <c r="I7413">
        <v>1</v>
      </c>
      <c r="J7413" t="s">
        <v>1813</v>
      </c>
      <c r="K7413">
        <v>2560</v>
      </c>
      <c r="L7413">
        <v>1440</v>
      </c>
      <c r="M7413" t="s">
        <v>110</v>
      </c>
      <c r="N7413">
        <v>1920</v>
      </c>
      <c r="O7413">
        <v>1080</v>
      </c>
      <c r="P7413" t="str">
        <f t="shared" si="942"/>
        <v>25fps 2560x1440 - 1080p</v>
      </c>
      <c r="Q7413">
        <f t="shared" si="946"/>
        <v>42</v>
      </c>
      <c r="R7413" t="str">
        <f t="shared" si="947"/>
        <v/>
      </c>
      <c r="S7413" t="str">
        <f t="shared" si="948"/>
        <v/>
      </c>
      <c r="T7413" s="403" t="str">
        <f t="shared" si="943"/>
        <v>NDP-5523-Z20C</v>
      </c>
      <c r="U7413" s="403">
        <f t="shared" si="944"/>
        <v>1</v>
      </c>
      <c r="V7413" s="403" t="str">
        <f t="shared" si="945"/>
        <v>CPP_7_3</v>
      </c>
    </row>
    <row r="7414" spans="1:22">
      <c r="A7414" t="str">
        <f t="shared" si="941"/>
        <v>NDP-5523-Z20C</v>
      </c>
      <c r="B7414" t="s">
        <v>1835</v>
      </c>
      <c r="C7414" s="403" t="s">
        <v>582</v>
      </c>
      <c r="D7414" t="s">
        <v>1836</v>
      </c>
      <c r="F7414" t="s">
        <v>1840</v>
      </c>
      <c r="G7414" t="s">
        <v>1811</v>
      </c>
      <c r="H7414" t="s">
        <v>1281</v>
      </c>
      <c r="I7414">
        <v>1</v>
      </c>
      <c r="J7414" t="s">
        <v>1813</v>
      </c>
      <c r="K7414">
        <v>2560</v>
      </c>
      <c r="L7414">
        <v>1440</v>
      </c>
      <c r="M7414" t="s">
        <v>109</v>
      </c>
      <c r="N7414">
        <v>1280</v>
      </c>
      <c r="O7414">
        <v>720</v>
      </c>
      <c r="P7414" t="str">
        <f t="shared" si="942"/>
        <v>25fps 2560x1440 - 720p</v>
      </c>
      <c r="Q7414">
        <f t="shared" si="946"/>
        <v>42</v>
      </c>
      <c r="R7414" t="str">
        <f t="shared" si="947"/>
        <v/>
      </c>
      <c r="S7414" t="str">
        <f t="shared" si="948"/>
        <v/>
      </c>
      <c r="T7414" s="403" t="str">
        <f t="shared" si="943"/>
        <v>NDP-5523-Z20C</v>
      </c>
      <c r="U7414" s="403">
        <f t="shared" si="944"/>
        <v>1</v>
      </c>
      <c r="V7414" s="403" t="str">
        <f t="shared" si="945"/>
        <v>CPP_7_3</v>
      </c>
    </row>
    <row r="7415" spans="1:22">
      <c r="A7415" t="str">
        <f t="shared" ref="A7415:A7420" si="949">IF(AND(G7415&lt;&gt;"rotate 90°"),D7415,"")</f>
        <v>NDP-5523-Z20C</v>
      </c>
      <c r="B7415" t="s">
        <v>1835</v>
      </c>
      <c r="C7415" s="403" t="s">
        <v>582</v>
      </c>
      <c r="D7415" t="s">
        <v>1836</v>
      </c>
      <c r="F7415" t="s">
        <v>1840</v>
      </c>
      <c r="G7415" t="s">
        <v>1811</v>
      </c>
      <c r="H7415" t="s">
        <v>1281</v>
      </c>
      <c r="I7415">
        <v>1</v>
      </c>
      <c r="J7415" t="s">
        <v>1813</v>
      </c>
      <c r="K7415">
        <v>2560</v>
      </c>
      <c r="L7415">
        <v>1440</v>
      </c>
      <c r="M7415" t="s">
        <v>111</v>
      </c>
      <c r="N7415">
        <v>768</v>
      </c>
      <c r="O7415">
        <v>432</v>
      </c>
      <c r="P7415" t="str">
        <f t="shared" ref="P7415:P7420" si="950">LEFT(F7415,5)&amp;" "&amp;J7415&amp;" - "&amp;M7415</f>
        <v>25fps 2560x1440 - SD</v>
      </c>
      <c r="Q7415">
        <f t="shared" si="946"/>
        <v>42</v>
      </c>
      <c r="R7415" t="str">
        <f t="shared" si="947"/>
        <v/>
      </c>
      <c r="S7415" t="str">
        <f t="shared" si="948"/>
        <v/>
      </c>
      <c r="T7415" s="403" t="str">
        <f t="shared" ref="T7415:T7420" si="951">D7415</f>
        <v>NDP-5523-Z20C</v>
      </c>
      <c r="U7415" s="403">
        <f t="shared" ref="U7415:U7420" si="952">I7415</f>
        <v>1</v>
      </c>
      <c r="V7415" s="403" t="str">
        <f t="shared" ref="V7415:V7420" si="953">C7415</f>
        <v>CPP_7_3</v>
      </c>
    </row>
    <row r="7416" spans="1:22">
      <c r="A7416" t="str">
        <f t="shared" si="949"/>
        <v>NDP-5523-Z20C</v>
      </c>
      <c r="B7416" t="s">
        <v>1835</v>
      </c>
      <c r="C7416" s="403" t="s">
        <v>582</v>
      </c>
      <c r="D7416" t="s">
        <v>1836</v>
      </c>
      <c r="F7416" t="s">
        <v>1840</v>
      </c>
      <c r="G7416" t="s">
        <v>1811</v>
      </c>
      <c r="H7416" t="s">
        <v>1281</v>
      </c>
      <c r="I7416">
        <v>1</v>
      </c>
      <c r="J7416" t="s">
        <v>1813</v>
      </c>
      <c r="K7416">
        <v>2560</v>
      </c>
      <c r="L7416">
        <v>1440</v>
      </c>
      <c r="M7416" t="s">
        <v>1451</v>
      </c>
      <c r="N7416">
        <v>1536</v>
      </c>
      <c r="O7416">
        <v>864</v>
      </c>
      <c r="P7416" t="str">
        <f t="shared" si="950"/>
        <v>25fps 2560x1440 - 1536x864</v>
      </c>
      <c r="Q7416">
        <f t="shared" si="946"/>
        <v>42</v>
      </c>
      <c r="R7416" t="str">
        <f t="shared" si="947"/>
        <v/>
      </c>
      <c r="S7416" t="str">
        <f t="shared" si="948"/>
        <v/>
      </c>
      <c r="T7416" s="403" t="str">
        <f t="shared" si="951"/>
        <v>NDP-5523-Z20C</v>
      </c>
      <c r="U7416" s="403">
        <f t="shared" si="952"/>
        <v>1</v>
      </c>
      <c r="V7416" s="403" t="str">
        <f t="shared" si="953"/>
        <v>CPP_7_3</v>
      </c>
    </row>
    <row r="7417" spans="1:22">
      <c r="A7417" t="str">
        <f t="shared" si="949"/>
        <v>NDP-5523-Z20C</v>
      </c>
      <c r="B7417" t="s">
        <v>1835</v>
      </c>
      <c r="C7417" s="403" t="s">
        <v>582</v>
      </c>
      <c r="D7417" t="s">
        <v>1836</v>
      </c>
      <c r="F7417" t="s">
        <v>1840</v>
      </c>
      <c r="G7417" t="s">
        <v>1811</v>
      </c>
      <c r="H7417" t="s">
        <v>1281</v>
      </c>
      <c r="I7417">
        <v>1</v>
      </c>
      <c r="J7417" t="s">
        <v>1813</v>
      </c>
      <c r="K7417">
        <v>2560</v>
      </c>
      <c r="L7417">
        <v>1440</v>
      </c>
      <c r="M7417" t="s">
        <v>1283</v>
      </c>
      <c r="N7417">
        <v>720</v>
      </c>
      <c r="O7417">
        <v>576</v>
      </c>
      <c r="P7417" t="str">
        <f t="shared" si="950"/>
        <v>25fps 2560x1440 - SD 4CIF resolution 4:3 format (cropped)</v>
      </c>
      <c r="Q7417">
        <f t="shared" si="946"/>
        <v>42</v>
      </c>
      <c r="R7417" t="str">
        <f t="shared" si="947"/>
        <v/>
      </c>
      <c r="S7417" t="str">
        <f t="shared" si="948"/>
        <v/>
      </c>
      <c r="T7417" s="403" t="str">
        <f t="shared" si="951"/>
        <v>NDP-5523-Z20C</v>
      </c>
      <c r="U7417" s="403">
        <f t="shared" si="952"/>
        <v>1</v>
      </c>
      <c r="V7417" s="403" t="str">
        <f t="shared" si="953"/>
        <v>CPP_7_3</v>
      </c>
    </row>
    <row r="7418" spans="1:22">
      <c r="A7418" t="str">
        <f t="shared" si="949"/>
        <v>NDP-5523-Z20C</v>
      </c>
      <c r="B7418" t="s">
        <v>1835</v>
      </c>
      <c r="C7418" s="403" t="s">
        <v>582</v>
      </c>
      <c r="D7418" t="s">
        <v>1836</v>
      </c>
      <c r="F7418" t="s">
        <v>1840</v>
      </c>
      <c r="G7418" t="s">
        <v>1811</v>
      </c>
      <c r="H7418" t="s">
        <v>1281</v>
      </c>
      <c r="I7418">
        <v>1</v>
      </c>
      <c r="J7418" t="s">
        <v>1813</v>
      </c>
      <c r="K7418">
        <v>2560</v>
      </c>
      <c r="L7418">
        <v>1440</v>
      </c>
      <c r="M7418" t="s">
        <v>1284</v>
      </c>
      <c r="N7418">
        <v>640</v>
      </c>
      <c r="O7418">
        <v>480</v>
      </c>
      <c r="P7418" t="str">
        <f t="shared" si="950"/>
        <v>25fps 2560x1440 - SD VGA (cropped)</v>
      </c>
      <c r="Q7418">
        <f t="shared" si="946"/>
        <v>42</v>
      </c>
      <c r="R7418" t="str">
        <f t="shared" si="947"/>
        <v/>
      </c>
      <c r="S7418" t="str">
        <f t="shared" si="948"/>
        <v/>
      </c>
      <c r="T7418" s="403" t="str">
        <f t="shared" si="951"/>
        <v>NDP-5523-Z20C</v>
      </c>
      <c r="U7418" s="403">
        <f t="shared" si="952"/>
        <v>1</v>
      </c>
      <c r="V7418" s="403" t="str">
        <f t="shared" si="953"/>
        <v>CPP_7_3</v>
      </c>
    </row>
    <row r="7419" spans="1:22">
      <c r="A7419" t="str">
        <f t="shared" si="949"/>
        <v>NDP-5523-Z20C</v>
      </c>
      <c r="B7419" t="s">
        <v>1835</v>
      </c>
      <c r="C7419" s="403" t="s">
        <v>582</v>
      </c>
      <c r="D7419" t="s">
        <v>1836</v>
      </c>
      <c r="F7419" t="s">
        <v>1840</v>
      </c>
      <c r="G7419" t="s">
        <v>1811</v>
      </c>
      <c r="H7419" t="s">
        <v>1281</v>
      </c>
      <c r="I7419">
        <v>1</v>
      </c>
      <c r="J7419" t="s">
        <v>1813</v>
      </c>
      <c r="K7419">
        <v>2560</v>
      </c>
      <c r="L7419">
        <v>1440</v>
      </c>
      <c r="M7419" t="s">
        <v>1280</v>
      </c>
      <c r="N7419">
        <v>2560</v>
      </c>
      <c r="O7419">
        <v>1440</v>
      </c>
      <c r="P7419" t="str">
        <f t="shared" si="950"/>
        <v>25fps 2560x1440 - copy other stream</v>
      </c>
      <c r="Q7419">
        <f t="shared" si="946"/>
        <v>42</v>
      </c>
      <c r="R7419" t="str">
        <f t="shared" si="947"/>
        <v/>
      </c>
      <c r="S7419" t="str">
        <f t="shared" si="948"/>
        <v/>
      </c>
      <c r="T7419" s="403" t="str">
        <f t="shared" si="951"/>
        <v>NDP-5523-Z20C</v>
      </c>
      <c r="U7419" s="403">
        <f t="shared" si="952"/>
        <v>1</v>
      </c>
      <c r="V7419" s="403" t="str">
        <f t="shared" si="953"/>
        <v>CPP_7_3</v>
      </c>
    </row>
    <row r="7420" spans="1:22">
      <c r="A7420" t="str">
        <f t="shared" si="949"/>
        <v>NDP-5523-Z20C</v>
      </c>
      <c r="B7420" t="s">
        <v>1835</v>
      </c>
      <c r="C7420" s="403" t="s">
        <v>582</v>
      </c>
      <c r="D7420" t="s">
        <v>1836</v>
      </c>
      <c r="F7420" t="s">
        <v>1840</v>
      </c>
      <c r="G7420" t="s">
        <v>1811</v>
      </c>
      <c r="H7420" t="s">
        <v>1281</v>
      </c>
      <c r="I7420">
        <v>1</v>
      </c>
      <c r="J7420" t="s">
        <v>1451</v>
      </c>
      <c r="K7420">
        <v>1536</v>
      </c>
      <c r="L7420">
        <v>864</v>
      </c>
      <c r="M7420" t="s">
        <v>1451</v>
      </c>
      <c r="N7420">
        <v>1536</v>
      </c>
      <c r="O7420">
        <v>864</v>
      </c>
      <c r="P7420" t="str">
        <f t="shared" si="950"/>
        <v>25fps 1536x864 - 1536x864</v>
      </c>
      <c r="Q7420">
        <f t="shared" si="946"/>
        <v>42</v>
      </c>
      <c r="R7420" t="str">
        <f t="shared" si="947"/>
        <v/>
      </c>
      <c r="S7420" t="str">
        <f t="shared" si="948"/>
        <v/>
      </c>
      <c r="T7420" s="403" t="str">
        <f t="shared" si="951"/>
        <v>NDP-5523-Z20C</v>
      </c>
      <c r="U7420" s="403">
        <f t="shared" si="952"/>
        <v>1</v>
      </c>
      <c r="V7420" s="403" t="str">
        <f t="shared" si="953"/>
        <v>CPP_7_3</v>
      </c>
    </row>
    <row r="7421" spans="1:22">
      <c r="A7421" t="str">
        <f t="shared" ref="A7421:A7489" si="954">IF(AND(G7421&lt;&gt;"rotate 90°"),D7421,"")</f>
        <v>NDM-7702-A</v>
      </c>
      <c r="B7421" t="s">
        <v>1951</v>
      </c>
      <c r="C7421" s="403" t="s">
        <v>582</v>
      </c>
      <c r="D7421" s="355" t="s">
        <v>1941</v>
      </c>
      <c r="F7421" s="403"/>
      <c r="H7421" s="403"/>
      <c r="I7421" s="403">
        <v>4</v>
      </c>
      <c r="J7421" s="403"/>
      <c r="K7421" s="403"/>
      <c r="L7421" s="403"/>
      <c r="M7421" s="403"/>
      <c r="N7421" s="403"/>
      <c r="O7421" s="403"/>
      <c r="P7421" t="str">
        <f t="shared" ref="P7421:P7489" si="955">LEFT(F7421,5)&amp;" "&amp;J7421&amp;" - "&amp;M7421</f>
        <v xml:space="preserve">  - </v>
      </c>
      <c r="Q7421">
        <f t="shared" si="946"/>
        <v>43</v>
      </c>
      <c r="R7421">
        <f>IF(Q7420&lt;&gt;Q7421,Q7421,"")</f>
        <v>43</v>
      </c>
      <c r="S7421" t="str">
        <f t="shared" ref="S7421" si="956">IF(R7421&lt;&gt;"",B7421&amp;" ("&amp;D7421&amp;")","")</f>
        <v>FLEXIDOME IP multi 7000i (NDM-7702-A)</v>
      </c>
      <c r="T7421" s="403" t="str">
        <f t="shared" ref="T7421:T7489" si="957">D7421</f>
        <v>NDM-7702-A</v>
      </c>
      <c r="U7421" s="403">
        <f t="shared" ref="U7421:U7489" si="958">I7421</f>
        <v>4</v>
      </c>
      <c r="V7421" s="403" t="str">
        <f t="shared" ref="V7421:V7489" si="959">C7421</f>
        <v>CPP_7_3</v>
      </c>
    </row>
    <row r="7422" spans="1:22">
      <c r="A7422" t="str">
        <f t="shared" ref="A7422:A7423" si="960">IF(AND(G7422&lt;&gt;"rotate 90°"),D7422,"")</f>
        <v>NDM-7702-A</v>
      </c>
      <c r="B7422" t="s">
        <v>1951</v>
      </c>
      <c r="C7422" s="403" t="s">
        <v>582</v>
      </c>
      <c r="D7422" s="355" t="s">
        <v>1941</v>
      </c>
      <c r="F7422" s="403" t="s">
        <v>1952</v>
      </c>
      <c r="G7422" t="s">
        <v>1811</v>
      </c>
      <c r="H7422" s="403" t="s">
        <v>1276</v>
      </c>
      <c r="I7422" s="403">
        <v>4</v>
      </c>
      <c r="J7422" s="403" t="s">
        <v>1402</v>
      </c>
      <c r="K7422" s="403">
        <v>2048</v>
      </c>
      <c r="L7422">
        <v>1536</v>
      </c>
      <c r="M7422" s="403" t="s">
        <v>1402</v>
      </c>
      <c r="N7422" s="403">
        <v>1536</v>
      </c>
      <c r="O7422" s="403">
        <v>2048</v>
      </c>
      <c r="P7422" t="str">
        <f t="shared" ref="P7422:P7428" si="961">LEFT(F7422,5)&amp;" "&amp;J7422&amp;" - "&amp;M7422</f>
        <v>30fps 2048x1536 - 2048x1536</v>
      </c>
      <c r="Q7422">
        <f t="shared" ref="Q7422:Q7479" si="962">IF(A7421=A7422,Q7421,Q7421+1)</f>
        <v>43</v>
      </c>
      <c r="R7422" t="str">
        <f t="shared" ref="R7422:R7484" si="963">IF(Q7421&lt;&gt;Q7422,Q7422,"")</f>
        <v/>
      </c>
      <c r="S7422" t="str">
        <f t="shared" ref="S7422:S7479" si="964">IF(R7422&lt;&gt;"",B7422&amp;" ("&amp;D7422&amp;")","")</f>
        <v/>
      </c>
      <c r="T7422" s="403" t="str">
        <f t="shared" ref="T7422:T7428" si="965">D7422</f>
        <v>NDM-7702-A</v>
      </c>
      <c r="U7422" s="403">
        <f t="shared" ref="U7422:U7428" si="966">I7422</f>
        <v>4</v>
      </c>
      <c r="V7422" s="403" t="str">
        <f t="shared" ref="V7422:V7428" si="967">C7422</f>
        <v>CPP_7_3</v>
      </c>
    </row>
    <row r="7423" spans="1:22">
      <c r="A7423" t="str">
        <f t="shared" si="960"/>
        <v>NDM-7702-A</v>
      </c>
      <c r="B7423" t="s">
        <v>1951</v>
      </c>
      <c r="C7423" s="403" t="s">
        <v>582</v>
      </c>
      <c r="D7423" s="355" t="s">
        <v>1941</v>
      </c>
      <c r="F7423" s="403" t="s">
        <v>1952</v>
      </c>
      <c r="G7423" t="s">
        <v>1811</v>
      </c>
      <c r="H7423" s="403" t="s">
        <v>1276</v>
      </c>
      <c r="I7423" s="403">
        <v>4</v>
      </c>
      <c r="J7423" s="403" t="s">
        <v>1402</v>
      </c>
      <c r="K7423" s="403">
        <v>2048</v>
      </c>
      <c r="L7423">
        <v>1536</v>
      </c>
      <c r="M7423" s="403" t="s">
        <v>110</v>
      </c>
      <c r="N7423" s="403">
        <v>1920</v>
      </c>
      <c r="O7423" s="403">
        <v>1080</v>
      </c>
      <c r="P7423" t="str">
        <f t="shared" si="961"/>
        <v>30fps 2048x1536 - 1080p</v>
      </c>
      <c r="Q7423">
        <f t="shared" si="962"/>
        <v>43</v>
      </c>
      <c r="R7423" t="str">
        <f t="shared" si="963"/>
        <v/>
      </c>
      <c r="S7423" t="str">
        <f t="shared" si="964"/>
        <v/>
      </c>
      <c r="T7423" s="403" t="str">
        <f t="shared" si="965"/>
        <v>NDM-7702-A</v>
      </c>
      <c r="U7423" s="403">
        <f t="shared" si="966"/>
        <v>4</v>
      </c>
      <c r="V7423" s="403" t="str">
        <f t="shared" si="967"/>
        <v>CPP_7_3</v>
      </c>
    </row>
    <row r="7424" spans="1:22">
      <c r="A7424" t="str">
        <f t="shared" ref="A7424:A7428" si="968">IF(AND(G7424&lt;&gt;"rotate 90°"),D7424,"")</f>
        <v>NDM-7702-A</v>
      </c>
      <c r="B7424" t="s">
        <v>1951</v>
      </c>
      <c r="C7424" s="403" t="s">
        <v>582</v>
      </c>
      <c r="D7424" s="355" t="s">
        <v>1941</v>
      </c>
      <c r="F7424" s="403" t="s">
        <v>1952</v>
      </c>
      <c r="G7424" t="s">
        <v>1811</v>
      </c>
      <c r="H7424" s="403" t="s">
        <v>1276</v>
      </c>
      <c r="I7424" s="403">
        <v>4</v>
      </c>
      <c r="J7424" s="403" t="s">
        <v>1402</v>
      </c>
      <c r="K7424" s="403">
        <v>2048</v>
      </c>
      <c r="L7424">
        <v>1536</v>
      </c>
      <c r="M7424" s="403" t="s">
        <v>109</v>
      </c>
      <c r="N7424" s="403">
        <v>1280</v>
      </c>
      <c r="O7424" s="403">
        <v>720</v>
      </c>
      <c r="P7424" t="str">
        <f t="shared" si="961"/>
        <v>30fps 2048x1536 - 720p</v>
      </c>
      <c r="Q7424">
        <f t="shared" si="962"/>
        <v>43</v>
      </c>
      <c r="R7424" t="str">
        <f t="shared" si="963"/>
        <v/>
      </c>
      <c r="S7424" t="str">
        <f t="shared" si="964"/>
        <v/>
      </c>
      <c r="T7424" s="403" t="str">
        <f t="shared" si="965"/>
        <v>NDM-7702-A</v>
      </c>
      <c r="U7424" s="403">
        <f t="shared" si="966"/>
        <v>4</v>
      </c>
      <c r="V7424" s="403" t="str">
        <f t="shared" si="967"/>
        <v>CPP_7_3</v>
      </c>
    </row>
    <row r="7425" spans="1:22">
      <c r="A7425" t="str">
        <f t="shared" ref="A7425" si="969">IF(AND(G7425&lt;&gt;"rotate 90°"),D7425,"")</f>
        <v>NDM-7702-A</v>
      </c>
      <c r="B7425" t="s">
        <v>1951</v>
      </c>
      <c r="C7425" s="403" t="s">
        <v>582</v>
      </c>
      <c r="D7425" s="355" t="s">
        <v>1941</v>
      </c>
      <c r="F7425" s="403" t="s">
        <v>1952</v>
      </c>
      <c r="G7425" t="s">
        <v>1811</v>
      </c>
      <c r="H7425" s="403" t="s">
        <v>1276</v>
      </c>
      <c r="I7425" s="403">
        <v>4</v>
      </c>
      <c r="J7425" s="403" t="s">
        <v>1402</v>
      </c>
      <c r="K7425" s="403">
        <v>2048</v>
      </c>
      <c r="L7425">
        <v>1536</v>
      </c>
      <c r="M7425" s="403" t="s">
        <v>111</v>
      </c>
      <c r="N7425" s="403">
        <v>768</v>
      </c>
      <c r="O7425" s="403">
        <v>432</v>
      </c>
      <c r="P7425" t="str">
        <f>LEFT(F7425,5)&amp;" "&amp;J7425&amp;" - "&amp;M7425</f>
        <v>30fps 2048x1536 - SD</v>
      </c>
      <c r="Q7425">
        <f t="shared" si="962"/>
        <v>43</v>
      </c>
      <c r="R7425" t="str">
        <f t="shared" si="963"/>
        <v/>
      </c>
      <c r="S7425" t="str">
        <f t="shared" si="964"/>
        <v/>
      </c>
      <c r="T7425" s="403" t="str">
        <f>D7425</f>
        <v>NDM-7702-A</v>
      </c>
      <c r="U7425" s="403">
        <f>I7425</f>
        <v>4</v>
      </c>
      <c r="V7425" s="403" t="str">
        <f>C7425</f>
        <v>CPP_7_3</v>
      </c>
    </row>
    <row r="7426" spans="1:22">
      <c r="A7426" t="str">
        <f t="shared" si="968"/>
        <v>NDM-7702-A</v>
      </c>
      <c r="B7426" t="s">
        <v>1951</v>
      </c>
      <c r="C7426" s="403" t="s">
        <v>582</v>
      </c>
      <c r="D7426" s="355" t="s">
        <v>1941</v>
      </c>
      <c r="F7426" s="403" t="s">
        <v>1286</v>
      </c>
      <c r="G7426" t="s">
        <v>1811</v>
      </c>
      <c r="H7426" s="403" t="s">
        <v>1276</v>
      </c>
      <c r="I7426" s="403">
        <v>4</v>
      </c>
      <c r="J7426" s="403" t="s">
        <v>110</v>
      </c>
      <c r="K7426" s="403">
        <v>1920</v>
      </c>
      <c r="L7426" s="403">
        <v>1080</v>
      </c>
      <c r="M7426" s="403" t="s">
        <v>110</v>
      </c>
      <c r="N7426" s="403">
        <v>1920</v>
      </c>
      <c r="O7426" s="403">
        <v>1080</v>
      </c>
      <c r="P7426" t="str">
        <f t="shared" si="961"/>
        <v>30fps 1080p - 1080p</v>
      </c>
      <c r="Q7426">
        <f t="shared" si="962"/>
        <v>43</v>
      </c>
      <c r="R7426" t="str">
        <f t="shared" si="963"/>
        <v/>
      </c>
      <c r="S7426" t="str">
        <f t="shared" si="964"/>
        <v/>
      </c>
      <c r="T7426" s="403" t="str">
        <f t="shared" si="965"/>
        <v>NDM-7702-A</v>
      </c>
      <c r="U7426" s="403">
        <f t="shared" si="966"/>
        <v>4</v>
      </c>
      <c r="V7426" s="403" t="str">
        <f t="shared" si="967"/>
        <v>CPP_7_3</v>
      </c>
    </row>
    <row r="7427" spans="1:22">
      <c r="A7427" t="str">
        <f t="shared" si="968"/>
        <v>NDM-7702-A</v>
      </c>
      <c r="B7427" t="s">
        <v>1951</v>
      </c>
      <c r="C7427" s="403" t="s">
        <v>582</v>
      </c>
      <c r="D7427" s="355" t="s">
        <v>1941</v>
      </c>
      <c r="F7427" s="403" t="s">
        <v>1286</v>
      </c>
      <c r="G7427" t="s">
        <v>1811</v>
      </c>
      <c r="H7427" s="403" t="s">
        <v>1276</v>
      </c>
      <c r="I7427" s="403">
        <v>4</v>
      </c>
      <c r="J7427" s="403" t="s">
        <v>110</v>
      </c>
      <c r="K7427" s="403">
        <v>1920</v>
      </c>
      <c r="L7427" s="403">
        <v>1080</v>
      </c>
      <c r="M7427" s="403" t="s">
        <v>109</v>
      </c>
      <c r="N7427" s="403">
        <v>1280</v>
      </c>
      <c r="O7427" s="403">
        <v>720</v>
      </c>
      <c r="P7427" t="str">
        <f t="shared" si="961"/>
        <v>30fps 1080p - 720p</v>
      </c>
      <c r="Q7427">
        <f t="shared" si="962"/>
        <v>43</v>
      </c>
      <c r="R7427" t="str">
        <f t="shared" si="963"/>
        <v/>
      </c>
      <c r="S7427" t="str">
        <f t="shared" si="964"/>
        <v/>
      </c>
      <c r="T7427" s="403" t="str">
        <f t="shared" si="965"/>
        <v>NDM-7702-A</v>
      </c>
      <c r="U7427" s="403">
        <f t="shared" si="966"/>
        <v>4</v>
      </c>
      <c r="V7427" s="403" t="str">
        <f t="shared" si="967"/>
        <v>CPP_7_3</v>
      </c>
    </row>
    <row r="7428" spans="1:22">
      <c r="A7428" t="str">
        <f t="shared" si="968"/>
        <v>NDM-7702-A</v>
      </c>
      <c r="B7428" t="s">
        <v>1951</v>
      </c>
      <c r="C7428" s="403" t="s">
        <v>582</v>
      </c>
      <c r="D7428" s="355" t="s">
        <v>1941</v>
      </c>
      <c r="F7428" s="403" t="s">
        <v>1286</v>
      </c>
      <c r="G7428" t="s">
        <v>1811</v>
      </c>
      <c r="H7428" s="403" t="s">
        <v>1276</v>
      </c>
      <c r="I7428" s="403">
        <v>4</v>
      </c>
      <c r="J7428" s="403" t="s">
        <v>110</v>
      </c>
      <c r="K7428" s="403">
        <v>1920</v>
      </c>
      <c r="L7428" s="403">
        <v>1080</v>
      </c>
      <c r="M7428" s="403" t="s">
        <v>111</v>
      </c>
      <c r="N7428" s="403">
        <v>768</v>
      </c>
      <c r="O7428" s="403">
        <v>432</v>
      </c>
      <c r="P7428" t="str">
        <f t="shared" si="961"/>
        <v>30fps 1080p - SD</v>
      </c>
      <c r="Q7428">
        <f t="shared" si="962"/>
        <v>43</v>
      </c>
      <c r="R7428" t="str">
        <f t="shared" si="963"/>
        <v/>
      </c>
      <c r="S7428" t="str">
        <f t="shared" si="964"/>
        <v/>
      </c>
      <c r="T7428" s="403" t="str">
        <f t="shared" si="965"/>
        <v>NDM-7702-A</v>
      </c>
      <c r="U7428" s="403">
        <f t="shared" si="966"/>
        <v>4</v>
      </c>
      <c r="V7428" s="403" t="str">
        <f t="shared" si="967"/>
        <v>CPP_7_3</v>
      </c>
    </row>
    <row r="7429" spans="1:22">
      <c r="A7429" t="str">
        <f t="shared" ref="A7429:A7434" si="970">IF(AND(G7429&lt;&gt;"rotate 90°"),D7429,"")</f>
        <v>NDM-7702-A</v>
      </c>
      <c r="B7429" t="s">
        <v>1951</v>
      </c>
      <c r="C7429" s="403" t="s">
        <v>582</v>
      </c>
      <c r="D7429" s="355" t="s">
        <v>1941</v>
      </c>
      <c r="F7429" s="403" t="s">
        <v>1953</v>
      </c>
      <c r="G7429" t="s">
        <v>1811</v>
      </c>
      <c r="H7429" s="403" t="s">
        <v>1276</v>
      </c>
      <c r="I7429" s="403">
        <v>4</v>
      </c>
      <c r="J7429" s="403" t="s">
        <v>1402</v>
      </c>
      <c r="K7429" s="403">
        <v>2048</v>
      </c>
      <c r="L7429">
        <v>1536</v>
      </c>
      <c r="M7429" s="403" t="s">
        <v>1402</v>
      </c>
      <c r="N7429" s="403">
        <v>1536</v>
      </c>
      <c r="O7429" s="403">
        <v>2048</v>
      </c>
      <c r="P7429" t="str">
        <f t="shared" ref="P7429:P7460" si="971">LEFT(F7429,5)&amp;" "&amp;J7429&amp;" - "&amp;M7429</f>
        <v>25fps 2048x1536 - 2048x1536</v>
      </c>
      <c r="Q7429">
        <f t="shared" si="962"/>
        <v>43</v>
      </c>
      <c r="R7429" t="str">
        <f t="shared" si="963"/>
        <v/>
      </c>
      <c r="S7429" t="str">
        <f t="shared" si="964"/>
        <v/>
      </c>
      <c r="T7429" s="403" t="str">
        <f t="shared" ref="T7429:T7460" si="972">D7429</f>
        <v>NDM-7702-A</v>
      </c>
      <c r="U7429" s="403">
        <f t="shared" ref="U7429:U7460" si="973">I7429</f>
        <v>4</v>
      </c>
      <c r="V7429" s="403" t="str">
        <f t="shared" ref="V7429:V7460" si="974">C7429</f>
        <v>CPP_7_3</v>
      </c>
    </row>
    <row r="7430" spans="1:22">
      <c r="A7430" t="str">
        <f t="shared" si="970"/>
        <v>NDM-7702-A</v>
      </c>
      <c r="B7430" t="s">
        <v>1951</v>
      </c>
      <c r="C7430" s="403" t="s">
        <v>582</v>
      </c>
      <c r="D7430" s="355" t="s">
        <v>1941</v>
      </c>
      <c r="F7430" s="403" t="s">
        <v>1953</v>
      </c>
      <c r="G7430" t="s">
        <v>1811</v>
      </c>
      <c r="H7430" s="403" t="s">
        <v>1276</v>
      </c>
      <c r="I7430" s="403">
        <v>4</v>
      </c>
      <c r="J7430" s="403" t="s">
        <v>1402</v>
      </c>
      <c r="K7430" s="403">
        <v>2048</v>
      </c>
      <c r="L7430">
        <v>1536</v>
      </c>
      <c r="M7430" s="403" t="s">
        <v>110</v>
      </c>
      <c r="N7430" s="403">
        <v>1920</v>
      </c>
      <c r="O7430" s="403">
        <v>1080</v>
      </c>
      <c r="P7430" t="str">
        <f t="shared" si="971"/>
        <v>25fps 2048x1536 - 1080p</v>
      </c>
      <c r="Q7430">
        <f t="shared" si="962"/>
        <v>43</v>
      </c>
      <c r="R7430" t="str">
        <f t="shared" si="963"/>
        <v/>
      </c>
      <c r="S7430" t="str">
        <f t="shared" si="964"/>
        <v/>
      </c>
      <c r="T7430" s="403" t="str">
        <f t="shared" si="972"/>
        <v>NDM-7702-A</v>
      </c>
      <c r="U7430" s="403">
        <f t="shared" si="973"/>
        <v>4</v>
      </c>
      <c r="V7430" s="403" t="str">
        <f t="shared" si="974"/>
        <v>CPP_7_3</v>
      </c>
    </row>
    <row r="7431" spans="1:22">
      <c r="A7431" t="str">
        <f t="shared" si="970"/>
        <v>NDM-7702-A</v>
      </c>
      <c r="B7431" t="s">
        <v>1951</v>
      </c>
      <c r="C7431" s="403" t="s">
        <v>582</v>
      </c>
      <c r="D7431" s="355" t="s">
        <v>1941</v>
      </c>
      <c r="F7431" s="403" t="s">
        <v>1953</v>
      </c>
      <c r="G7431" t="s">
        <v>1811</v>
      </c>
      <c r="H7431" s="403" t="s">
        <v>1276</v>
      </c>
      <c r="I7431" s="403">
        <v>4</v>
      </c>
      <c r="J7431" s="403" t="s">
        <v>1402</v>
      </c>
      <c r="K7431" s="403">
        <v>2048</v>
      </c>
      <c r="L7431">
        <v>1536</v>
      </c>
      <c r="M7431" s="403" t="s">
        <v>109</v>
      </c>
      <c r="N7431" s="403">
        <v>1280</v>
      </c>
      <c r="O7431" s="403">
        <v>720</v>
      </c>
      <c r="P7431" t="str">
        <f t="shared" si="971"/>
        <v>25fps 2048x1536 - 720p</v>
      </c>
      <c r="Q7431">
        <f t="shared" si="962"/>
        <v>43</v>
      </c>
      <c r="R7431" t="str">
        <f t="shared" si="963"/>
        <v/>
      </c>
      <c r="S7431" t="str">
        <f t="shared" si="964"/>
        <v/>
      </c>
      <c r="T7431" s="403" t="str">
        <f t="shared" si="972"/>
        <v>NDM-7702-A</v>
      </c>
      <c r="U7431" s="403">
        <f t="shared" si="973"/>
        <v>4</v>
      </c>
      <c r="V7431" s="403" t="str">
        <f t="shared" si="974"/>
        <v>CPP_7_3</v>
      </c>
    </row>
    <row r="7432" spans="1:22">
      <c r="A7432" t="str">
        <f t="shared" si="970"/>
        <v>NDM-7702-A</v>
      </c>
      <c r="B7432" t="s">
        <v>1951</v>
      </c>
      <c r="C7432" s="403" t="s">
        <v>582</v>
      </c>
      <c r="D7432" s="355" t="s">
        <v>1941</v>
      </c>
      <c r="F7432" s="403" t="s">
        <v>1953</v>
      </c>
      <c r="G7432" t="s">
        <v>1811</v>
      </c>
      <c r="H7432" s="403" t="s">
        <v>1276</v>
      </c>
      <c r="I7432" s="403">
        <v>4</v>
      </c>
      <c r="J7432" s="403" t="s">
        <v>1402</v>
      </c>
      <c r="K7432" s="403">
        <v>2048</v>
      </c>
      <c r="L7432">
        <v>1536</v>
      </c>
      <c r="M7432" s="403" t="s">
        <v>111</v>
      </c>
      <c r="N7432" s="403">
        <v>768</v>
      </c>
      <c r="O7432" s="403">
        <v>432</v>
      </c>
      <c r="P7432" t="str">
        <f t="shared" si="971"/>
        <v>25fps 2048x1536 - SD</v>
      </c>
      <c r="Q7432">
        <f t="shared" si="962"/>
        <v>43</v>
      </c>
      <c r="R7432" t="str">
        <f t="shared" si="963"/>
        <v/>
      </c>
      <c r="S7432" t="str">
        <f t="shared" si="964"/>
        <v/>
      </c>
      <c r="T7432" s="403" t="str">
        <f t="shared" si="972"/>
        <v>NDM-7702-A</v>
      </c>
      <c r="U7432" s="403">
        <f t="shared" si="973"/>
        <v>4</v>
      </c>
      <c r="V7432" s="403" t="str">
        <f t="shared" si="974"/>
        <v>CPP_7_3</v>
      </c>
    </row>
    <row r="7433" spans="1:22">
      <c r="A7433" t="str">
        <f t="shared" si="970"/>
        <v>NDM-7702-A</v>
      </c>
      <c r="B7433" t="s">
        <v>1951</v>
      </c>
      <c r="C7433" s="403" t="s">
        <v>582</v>
      </c>
      <c r="D7433" s="355" t="s">
        <v>1941</v>
      </c>
      <c r="F7433" s="403" t="s">
        <v>1287</v>
      </c>
      <c r="G7433" t="s">
        <v>1811</v>
      </c>
      <c r="H7433" s="403" t="s">
        <v>1276</v>
      </c>
      <c r="I7433" s="403">
        <v>4</v>
      </c>
      <c r="J7433" s="403" t="s">
        <v>110</v>
      </c>
      <c r="K7433" s="403">
        <v>1920</v>
      </c>
      <c r="L7433" s="403">
        <v>1080</v>
      </c>
      <c r="M7433" s="403" t="s">
        <v>110</v>
      </c>
      <c r="N7433" s="403">
        <v>1920</v>
      </c>
      <c r="O7433" s="403">
        <v>1080</v>
      </c>
      <c r="P7433" t="str">
        <f t="shared" si="971"/>
        <v>25fps 1080p - 1080p</v>
      </c>
      <c r="Q7433">
        <f t="shared" si="962"/>
        <v>43</v>
      </c>
      <c r="R7433" t="str">
        <f t="shared" si="963"/>
        <v/>
      </c>
      <c r="S7433" t="str">
        <f t="shared" si="964"/>
        <v/>
      </c>
      <c r="T7433" s="403" t="str">
        <f t="shared" si="972"/>
        <v>NDM-7702-A</v>
      </c>
      <c r="U7433" s="403">
        <f t="shared" si="973"/>
        <v>4</v>
      </c>
      <c r="V7433" s="403" t="str">
        <f t="shared" si="974"/>
        <v>CPP_7_3</v>
      </c>
    </row>
    <row r="7434" spans="1:22">
      <c r="A7434" t="str">
        <f t="shared" si="970"/>
        <v>NDM-7702-A</v>
      </c>
      <c r="B7434" t="s">
        <v>1951</v>
      </c>
      <c r="C7434" s="403" t="s">
        <v>582</v>
      </c>
      <c r="D7434" s="355" t="s">
        <v>1941</v>
      </c>
      <c r="F7434" s="403" t="s">
        <v>1287</v>
      </c>
      <c r="G7434" t="s">
        <v>1811</v>
      </c>
      <c r="H7434" s="403" t="s">
        <v>1276</v>
      </c>
      <c r="I7434" s="403">
        <v>4</v>
      </c>
      <c r="J7434" s="403" t="s">
        <v>110</v>
      </c>
      <c r="K7434" s="403">
        <v>1920</v>
      </c>
      <c r="L7434" s="403">
        <v>1080</v>
      </c>
      <c r="M7434" s="403" t="s">
        <v>109</v>
      </c>
      <c r="N7434" s="403">
        <v>1280</v>
      </c>
      <c r="O7434" s="403">
        <v>720</v>
      </c>
      <c r="P7434" t="str">
        <f t="shared" si="971"/>
        <v>25fps 1080p - 720p</v>
      </c>
      <c r="Q7434">
        <f t="shared" si="962"/>
        <v>43</v>
      </c>
      <c r="R7434" t="str">
        <f t="shared" si="963"/>
        <v/>
      </c>
      <c r="S7434" t="str">
        <f t="shared" si="964"/>
        <v/>
      </c>
      <c r="T7434" s="403" t="str">
        <f t="shared" si="972"/>
        <v>NDM-7702-A</v>
      </c>
      <c r="U7434" s="403">
        <f t="shared" si="973"/>
        <v>4</v>
      </c>
      <c r="V7434" s="403" t="str">
        <f t="shared" si="974"/>
        <v>CPP_7_3</v>
      </c>
    </row>
    <row r="7435" spans="1:22">
      <c r="A7435" t="str">
        <f t="shared" ref="A7435" si="975">IF(AND(G7435&lt;&gt;"rotate 90°"),D7435,"")</f>
        <v>NDM-7702-A</v>
      </c>
      <c r="B7435" t="s">
        <v>1951</v>
      </c>
      <c r="C7435" s="403" t="s">
        <v>582</v>
      </c>
      <c r="D7435" s="355" t="s">
        <v>1941</v>
      </c>
      <c r="F7435" s="403" t="s">
        <v>1287</v>
      </c>
      <c r="G7435" t="s">
        <v>1811</v>
      </c>
      <c r="H7435" s="403" t="s">
        <v>1276</v>
      </c>
      <c r="I7435" s="403">
        <v>4</v>
      </c>
      <c r="J7435" s="403" t="s">
        <v>110</v>
      </c>
      <c r="K7435" s="403">
        <v>1920</v>
      </c>
      <c r="L7435" s="403">
        <v>1080</v>
      </c>
      <c r="M7435" s="403" t="s">
        <v>111</v>
      </c>
      <c r="N7435" s="403">
        <v>768</v>
      </c>
      <c r="O7435" s="403">
        <v>432</v>
      </c>
      <c r="P7435" t="str">
        <f t="shared" si="971"/>
        <v>25fps 1080p - SD</v>
      </c>
      <c r="Q7435">
        <f t="shared" si="962"/>
        <v>43</v>
      </c>
      <c r="R7435" t="str">
        <f t="shared" si="963"/>
        <v/>
      </c>
      <c r="S7435" t="str">
        <f t="shared" si="964"/>
        <v/>
      </c>
      <c r="T7435" s="403" t="str">
        <f t="shared" si="972"/>
        <v>NDM-7702-A</v>
      </c>
      <c r="U7435" s="403">
        <f t="shared" si="973"/>
        <v>4</v>
      </c>
      <c r="V7435" s="403" t="str">
        <f t="shared" si="974"/>
        <v>CPP_7_3</v>
      </c>
    </row>
    <row r="7436" spans="1:22">
      <c r="A7436" t="str">
        <f t="shared" ref="A7436:A7450" si="976">IF(AND(G7436&lt;&gt;"rotate 90°"),D7436,"")</f>
        <v>NDM-7702-A</v>
      </c>
      <c r="B7436" t="s">
        <v>1951</v>
      </c>
      <c r="C7436" s="403" t="s">
        <v>582</v>
      </c>
      <c r="D7436" s="355" t="s">
        <v>1941</v>
      </c>
      <c r="F7436" s="403" t="s">
        <v>1952</v>
      </c>
      <c r="G7436" t="s">
        <v>1811</v>
      </c>
      <c r="H7436" s="403" t="s">
        <v>1281</v>
      </c>
      <c r="I7436" s="403">
        <v>4</v>
      </c>
      <c r="J7436" s="403" t="s">
        <v>1402</v>
      </c>
      <c r="K7436" s="403">
        <v>2048</v>
      </c>
      <c r="L7436">
        <v>1536</v>
      </c>
      <c r="M7436" s="403" t="s">
        <v>1402</v>
      </c>
      <c r="N7436" s="403">
        <v>1536</v>
      </c>
      <c r="O7436" s="403">
        <v>2048</v>
      </c>
      <c r="P7436" t="str">
        <f t="shared" si="971"/>
        <v>30fps 2048x1536 - 2048x1536</v>
      </c>
      <c r="Q7436">
        <f t="shared" si="962"/>
        <v>43</v>
      </c>
      <c r="R7436" t="str">
        <f t="shared" si="963"/>
        <v/>
      </c>
      <c r="S7436" t="str">
        <f t="shared" si="964"/>
        <v/>
      </c>
      <c r="T7436" s="403" t="str">
        <f t="shared" si="972"/>
        <v>NDM-7702-A</v>
      </c>
      <c r="U7436" s="403">
        <f t="shared" si="973"/>
        <v>4</v>
      </c>
      <c r="V7436" s="403" t="str">
        <f t="shared" si="974"/>
        <v>CPP_7_3</v>
      </c>
    </row>
    <row r="7437" spans="1:22">
      <c r="A7437" t="str">
        <f t="shared" si="976"/>
        <v>NDM-7702-A</v>
      </c>
      <c r="B7437" t="s">
        <v>1951</v>
      </c>
      <c r="C7437" s="403" t="s">
        <v>582</v>
      </c>
      <c r="D7437" s="355" t="s">
        <v>1941</v>
      </c>
      <c r="F7437" s="403" t="s">
        <v>1952</v>
      </c>
      <c r="G7437" t="s">
        <v>1811</v>
      </c>
      <c r="H7437" s="403" t="s">
        <v>1281</v>
      </c>
      <c r="I7437" s="403">
        <v>4</v>
      </c>
      <c r="J7437" s="403" t="s">
        <v>1402</v>
      </c>
      <c r="K7437" s="403">
        <v>2048</v>
      </c>
      <c r="L7437">
        <v>1536</v>
      </c>
      <c r="M7437" s="403" t="s">
        <v>110</v>
      </c>
      <c r="N7437" s="403">
        <v>1920</v>
      </c>
      <c r="O7437" s="403">
        <v>1080</v>
      </c>
      <c r="P7437" t="str">
        <f t="shared" si="971"/>
        <v>30fps 2048x1536 - 1080p</v>
      </c>
      <c r="Q7437">
        <f t="shared" si="962"/>
        <v>43</v>
      </c>
      <c r="R7437" t="str">
        <f t="shared" si="963"/>
        <v/>
      </c>
      <c r="S7437" t="str">
        <f t="shared" si="964"/>
        <v/>
      </c>
      <c r="T7437" s="403" t="str">
        <f t="shared" si="972"/>
        <v>NDM-7702-A</v>
      </c>
      <c r="U7437" s="403">
        <f t="shared" si="973"/>
        <v>4</v>
      </c>
      <c r="V7437" s="403" t="str">
        <f t="shared" si="974"/>
        <v>CPP_7_3</v>
      </c>
    </row>
    <row r="7438" spans="1:22">
      <c r="A7438" t="str">
        <f t="shared" si="976"/>
        <v>NDM-7702-A</v>
      </c>
      <c r="B7438" t="s">
        <v>1951</v>
      </c>
      <c r="C7438" s="403" t="s">
        <v>582</v>
      </c>
      <c r="D7438" s="355" t="s">
        <v>1941</v>
      </c>
      <c r="F7438" s="403" t="s">
        <v>1952</v>
      </c>
      <c r="G7438" t="s">
        <v>1811</v>
      </c>
      <c r="H7438" s="403" t="s">
        <v>1281</v>
      </c>
      <c r="I7438" s="403">
        <v>4</v>
      </c>
      <c r="J7438" s="403" t="s">
        <v>1402</v>
      </c>
      <c r="K7438" s="403">
        <v>2048</v>
      </c>
      <c r="L7438">
        <v>1536</v>
      </c>
      <c r="M7438" s="403" t="s">
        <v>109</v>
      </c>
      <c r="N7438" s="403">
        <v>1280</v>
      </c>
      <c r="O7438" s="403">
        <v>720</v>
      </c>
      <c r="P7438" t="str">
        <f t="shared" si="971"/>
        <v>30fps 2048x1536 - 720p</v>
      </c>
      <c r="Q7438">
        <f t="shared" si="962"/>
        <v>43</v>
      </c>
      <c r="R7438" t="str">
        <f t="shared" si="963"/>
        <v/>
      </c>
      <c r="S7438" t="str">
        <f t="shared" si="964"/>
        <v/>
      </c>
      <c r="T7438" s="403" t="str">
        <f t="shared" si="972"/>
        <v>NDM-7702-A</v>
      </c>
      <c r="U7438" s="403">
        <f t="shared" si="973"/>
        <v>4</v>
      </c>
      <c r="V7438" s="403" t="str">
        <f t="shared" si="974"/>
        <v>CPP_7_3</v>
      </c>
    </row>
    <row r="7439" spans="1:22">
      <c r="A7439" t="str">
        <f t="shared" si="976"/>
        <v>NDM-7702-A</v>
      </c>
      <c r="B7439" t="s">
        <v>1951</v>
      </c>
      <c r="C7439" s="403" t="s">
        <v>582</v>
      </c>
      <c r="D7439" s="355" t="s">
        <v>1941</v>
      </c>
      <c r="F7439" s="403" t="s">
        <v>1952</v>
      </c>
      <c r="G7439" t="s">
        <v>1811</v>
      </c>
      <c r="H7439" s="403" t="s">
        <v>1281</v>
      </c>
      <c r="I7439" s="403">
        <v>4</v>
      </c>
      <c r="J7439" s="403" t="s">
        <v>1402</v>
      </c>
      <c r="K7439" s="403">
        <v>2048</v>
      </c>
      <c r="L7439">
        <v>1536</v>
      </c>
      <c r="M7439" s="403" t="s">
        <v>111</v>
      </c>
      <c r="N7439" s="403">
        <v>768</v>
      </c>
      <c r="O7439" s="403">
        <v>432</v>
      </c>
      <c r="P7439" t="str">
        <f t="shared" si="971"/>
        <v>30fps 2048x1536 - SD</v>
      </c>
      <c r="Q7439">
        <f t="shared" si="962"/>
        <v>43</v>
      </c>
      <c r="R7439" t="str">
        <f t="shared" si="963"/>
        <v/>
      </c>
      <c r="S7439" t="str">
        <f t="shared" si="964"/>
        <v/>
      </c>
      <c r="T7439" s="403" t="str">
        <f t="shared" si="972"/>
        <v>NDM-7702-A</v>
      </c>
      <c r="U7439" s="403">
        <f t="shared" si="973"/>
        <v>4</v>
      </c>
      <c r="V7439" s="403" t="str">
        <f t="shared" si="974"/>
        <v>CPP_7_3</v>
      </c>
    </row>
    <row r="7440" spans="1:22">
      <c r="A7440" t="str">
        <f t="shared" si="976"/>
        <v>NDM-7702-A</v>
      </c>
      <c r="B7440" t="s">
        <v>1951</v>
      </c>
      <c r="C7440" s="403" t="s">
        <v>582</v>
      </c>
      <c r="D7440" s="355" t="s">
        <v>1941</v>
      </c>
      <c r="F7440" s="403" t="s">
        <v>1286</v>
      </c>
      <c r="G7440" t="s">
        <v>1811</v>
      </c>
      <c r="H7440" s="403" t="s">
        <v>1281</v>
      </c>
      <c r="I7440" s="403">
        <v>4</v>
      </c>
      <c r="J7440" s="403" t="s">
        <v>110</v>
      </c>
      <c r="K7440" s="403">
        <v>1920</v>
      </c>
      <c r="L7440" s="403">
        <v>1080</v>
      </c>
      <c r="M7440" s="403" t="s">
        <v>110</v>
      </c>
      <c r="N7440" s="403">
        <v>1920</v>
      </c>
      <c r="O7440" s="403">
        <v>1080</v>
      </c>
      <c r="P7440" t="str">
        <f t="shared" si="971"/>
        <v>30fps 1080p - 1080p</v>
      </c>
      <c r="Q7440">
        <f t="shared" si="962"/>
        <v>43</v>
      </c>
      <c r="R7440" t="str">
        <f t="shared" si="963"/>
        <v/>
      </c>
      <c r="S7440" t="str">
        <f t="shared" si="964"/>
        <v/>
      </c>
      <c r="T7440" s="403" t="str">
        <f t="shared" si="972"/>
        <v>NDM-7702-A</v>
      </c>
      <c r="U7440" s="403">
        <f t="shared" si="973"/>
        <v>4</v>
      </c>
      <c r="V7440" s="403" t="str">
        <f t="shared" si="974"/>
        <v>CPP_7_3</v>
      </c>
    </row>
    <row r="7441" spans="1:22">
      <c r="A7441" t="str">
        <f t="shared" si="976"/>
        <v>NDM-7702-A</v>
      </c>
      <c r="B7441" t="s">
        <v>1951</v>
      </c>
      <c r="C7441" s="403" t="s">
        <v>582</v>
      </c>
      <c r="D7441" s="355" t="s">
        <v>1941</v>
      </c>
      <c r="F7441" s="403" t="s">
        <v>1286</v>
      </c>
      <c r="G7441" t="s">
        <v>1811</v>
      </c>
      <c r="H7441" s="403" t="s">
        <v>1281</v>
      </c>
      <c r="I7441" s="403">
        <v>4</v>
      </c>
      <c r="J7441" s="403" t="s">
        <v>110</v>
      </c>
      <c r="K7441" s="403">
        <v>1920</v>
      </c>
      <c r="L7441" s="403">
        <v>1080</v>
      </c>
      <c r="M7441" s="403" t="s">
        <v>109</v>
      </c>
      <c r="N7441" s="403">
        <v>1280</v>
      </c>
      <c r="O7441" s="403">
        <v>720</v>
      </c>
      <c r="P7441" t="str">
        <f t="shared" si="971"/>
        <v>30fps 1080p - 720p</v>
      </c>
      <c r="Q7441">
        <f t="shared" si="962"/>
        <v>43</v>
      </c>
      <c r="R7441" t="str">
        <f t="shared" si="963"/>
        <v/>
      </c>
      <c r="S7441" t="str">
        <f t="shared" si="964"/>
        <v/>
      </c>
      <c r="T7441" s="403" t="str">
        <f t="shared" si="972"/>
        <v>NDM-7702-A</v>
      </c>
      <c r="U7441" s="403">
        <f t="shared" si="973"/>
        <v>4</v>
      </c>
      <c r="V7441" s="403" t="str">
        <f t="shared" si="974"/>
        <v>CPP_7_3</v>
      </c>
    </row>
    <row r="7442" spans="1:22">
      <c r="A7442" t="str">
        <f t="shared" si="976"/>
        <v>NDM-7702-A</v>
      </c>
      <c r="B7442" t="s">
        <v>1951</v>
      </c>
      <c r="C7442" s="403" t="s">
        <v>582</v>
      </c>
      <c r="D7442" s="355" t="s">
        <v>1941</v>
      </c>
      <c r="F7442" s="403" t="s">
        <v>1286</v>
      </c>
      <c r="G7442" t="s">
        <v>1811</v>
      </c>
      <c r="H7442" s="403" t="s">
        <v>1281</v>
      </c>
      <c r="I7442" s="403">
        <v>4</v>
      </c>
      <c r="J7442" s="403" t="s">
        <v>110</v>
      </c>
      <c r="K7442" s="403">
        <v>1920</v>
      </c>
      <c r="L7442" s="403">
        <v>1080</v>
      </c>
      <c r="M7442" s="403" t="s">
        <v>111</v>
      </c>
      <c r="N7442" s="403">
        <v>768</v>
      </c>
      <c r="O7442" s="403">
        <v>432</v>
      </c>
      <c r="P7442" t="str">
        <f t="shared" si="971"/>
        <v>30fps 1080p - SD</v>
      </c>
      <c r="Q7442">
        <f t="shared" si="962"/>
        <v>43</v>
      </c>
      <c r="R7442" t="str">
        <f t="shared" si="963"/>
        <v/>
      </c>
      <c r="S7442" t="str">
        <f t="shared" si="964"/>
        <v/>
      </c>
      <c r="T7442" s="403" t="str">
        <f t="shared" si="972"/>
        <v>NDM-7702-A</v>
      </c>
      <c r="U7442" s="403">
        <f t="shared" si="973"/>
        <v>4</v>
      </c>
      <c r="V7442" s="403" t="str">
        <f t="shared" si="974"/>
        <v>CPP_7_3</v>
      </c>
    </row>
    <row r="7443" spans="1:22">
      <c r="A7443" t="str">
        <f t="shared" si="976"/>
        <v>NDM-7702-A</v>
      </c>
      <c r="B7443" t="s">
        <v>1951</v>
      </c>
      <c r="C7443" s="403" t="s">
        <v>582</v>
      </c>
      <c r="D7443" s="355" t="s">
        <v>1941</v>
      </c>
      <c r="F7443" s="403" t="s">
        <v>1953</v>
      </c>
      <c r="G7443" t="s">
        <v>1811</v>
      </c>
      <c r="H7443" s="403" t="s">
        <v>1281</v>
      </c>
      <c r="I7443" s="403">
        <v>4</v>
      </c>
      <c r="J7443" s="403" t="s">
        <v>1402</v>
      </c>
      <c r="K7443" s="403">
        <v>2048</v>
      </c>
      <c r="L7443">
        <v>1536</v>
      </c>
      <c r="M7443" s="403" t="s">
        <v>1402</v>
      </c>
      <c r="N7443" s="403">
        <v>1536</v>
      </c>
      <c r="O7443" s="403">
        <v>2048</v>
      </c>
      <c r="P7443" t="str">
        <f t="shared" si="971"/>
        <v>25fps 2048x1536 - 2048x1536</v>
      </c>
      <c r="Q7443">
        <f t="shared" si="962"/>
        <v>43</v>
      </c>
      <c r="R7443" t="str">
        <f t="shared" si="963"/>
        <v/>
      </c>
      <c r="S7443" t="str">
        <f t="shared" si="964"/>
        <v/>
      </c>
      <c r="T7443" s="403" t="str">
        <f t="shared" si="972"/>
        <v>NDM-7702-A</v>
      </c>
      <c r="U7443" s="403">
        <f t="shared" si="973"/>
        <v>4</v>
      </c>
      <c r="V7443" s="403" t="str">
        <f t="shared" si="974"/>
        <v>CPP_7_3</v>
      </c>
    </row>
    <row r="7444" spans="1:22">
      <c r="A7444" t="str">
        <f t="shared" si="976"/>
        <v>NDM-7702-A</v>
      </c>
      <c r="B7444" t="s">
        <v>1951</v>
      </c>
      <c r="C7444" s="403" t="s">
        <v>582</v>
      </c>
      <c r="D7444" s="355" t="s">
        <v>1941</v>
      </c>
      <c r="F7444" s="403" t="s">
        <v>1953</v>
      </c>
      <c r="G7444" t="s">
        <v>1811</v>
      </c>
      <c r="H7444" s="403" t="s">
        <v>1281</v>
      </c>
      <c r="I7444" s="403">
        <v>4</v>
      </c>
      <c r="J7444" s="403" t="s">
        <v>1402</v>
      </c>
      <c r="K7444" s="403">
        <v>2048</v>
      </c>
      <c r="L7444">
        <v>1536</v>
      </c>
      <c r="M7444" s="403" t="s">
        <v>110</v>
      </c>
      <c r="N7444" s="403">
        <v>1920</v>
      </c>
      <c r="O7444" s="403">
        <v>1080</v>
      </c>
      <c r="P7444" t="str">
        <f t="shared" si="971"/>
        <v>25fps 2048x1536 - 1080p</v>
      </c>
      <c r="Q7444">
        <f t="shared" si="962"/>
        <v>43</v>
      </c>
      <c r="R7444" t="str">
        <f t="shared" si="963"/>
        <v/>
      </c>
      <c r="S7444" t="str">
        <f t="shared" si="964"/>
        <v/>
      </c>
      <c r="T7444" s="403" t="str">
        <f t="shared" si="972"/>
        <v>NDM-7702-A</v>
      </c>
      <c r="U7444" s="403">
        <f t="shared" si="973"/>
        <v>4</v>
      </c>
      <c r="V7444" s="403" t="str">
        <f t="shared" si="974"/>
        <v>CPP_7_3</v>
      </c>
    </row>
    <row r="7445" spans="1:22">
      <c r="A7445" t="str">
        <f t="shared" si="976"/>
        <v>NDM-7702-A</v>
      </c>
      <c r="B7445" t="s">
        <v>1951</v>
      </c>
      <c r="C7445" s="403" t="s">
        <v>582</v>
      </c>
      <c r="D7445" s="355" t="s">
        <v>1941</v>
      </c>
      <c r="F7445" s="403" t="s">
        <v>1953</v>
      </c>
      <c r="G7445" t="s">
        <v>1811</v>
      </c>
      <c r="H7445" s="403" t="s">
        <v>1281</v>
      </c>
      <c r="I7445" s="403">
        <v>4</v>
      </c>
      <c r="J7445" s="403" t="s">
        <v>1402</v>
      </c>
      <c r="K7445" s="403">
        <v>2048</v>
      </c>
      <c r="L7445">
        <v>1536</v>
      </c>
      <c r="M7445" s="403" t="s">
        <v>109</v>
      </c>
      <c r="N7445" s="403">
        <v>1280</v>
      </c>
      <c r="O7445" s="403">
        <v>720</v>
      </c>
      <c r="P7445" t="str">
        <f t="shared" si="971"/>
        <v>25fps 2048x1536 - 720p</v>
      </c>
      <c r="Q7445">
        <f t="shared" si="962"/>
        <v>43</v>
      </c>
      <c r="R7445" t="str">
        <f t="shared" si="963"/>
        <v/>
      </c>
      <c r="S7445" t="str">
        <f t="shared" si="964"/>
        <v/>
      </c>
      <c r="T7445" s="403" t="str">
        <f t="shared" si="972"/>
        <v>NDM-7702-A</v>
      </c>
      <c r="U7445" s="403">
        <f t="shared" si="973"/>
        <v>4</v>
      </c>
      <c r="V7445" s="403" t="str">
        <f t="shared" si="974"/>
        <v>CPP_7_3</v>
      </c>
    </row>
    <row r="7446" spans="1:22">
      <c r="A7446" t="str">
        <f t="shared" si="976"/>
        <v>NDM-7702-A</v>
      </c>
      <c r="B7446" t="s">
        <v>1951</v>
      </c>
      <c r="C7446" s="403" t="s">
        <v>582</v>
      </c>
      <c r="D7446" s="355" t="s">
        <v>1941</v>
      </c>
      <c r="F7446" s="403" t="s">
        <v>1953</v>
      </c>
      <c r="G7446" t="s">
        <v>1811</v>
      </c>
      <c r="H7446" s="403" t="s">
        <v>1281</v>
      </c>
      <c r="I7446" s="403">
        <v>4</v>
      </c>
      <c r="J7446" s="403" t="s">
        <v>1402</v>
      </c>
      <c r="K7446" s="403">
        <v>2048</v>
      </c>
      <c r="L7446">
        <v>1536</v>
      </c>
      <c r="M7446" s="403" t="s">
        <v>111</v>
      </c>
      <c r="N7446" s="403">
        <v>768</v>
      </c>
      <c r="O7446" s="403">
        <v>432</v>
      </c>
      <c r="P7446" t="str">
        <f t="shared" si="971"/>
        <v>25fps 2048x1536 - SD</v>
      </c>
      <c r="Q7446">
        <f t="shared" si="962"/>
        <v>43</v>
      </c>
      <c r="R7446" t="str">
        <f t="shared" si="963"/>
        <v/>
      </c>
      <c r="S7446" t="str">
        <f t="shared" si="964"/>
        <v/>
      </c>
      <c r="T7446" s="403" t="str">
        <f t="shared" si="972"/>
        <v>NDM-7702-A</v>
      </c>
      <c r="U7446" s="403">
        <f t="shared" si="973"/>
        <v>4</v>
      </c>
      <c r="V7446" s="403" t="str">
        <f t="shared" si="974"/>
        <v>CPP_7_3</v>
      </c>
    </row>
    <row r="7447" spans="1:22">
      <c r="A7447" t="str">
        <f t="shared" si="976"/>
        <v>NDM-7702-A</v>
      </c>
      <c r="B7447" t="s">
        <v>1951</v>
      </c>
      <c r="C7447" s="403" t="s">
        <v>582</v>
      </c>
      <c r="D7447" s="355" t="s">
        <v>1941</v>
      </c>
      <c r="F7447" s="403" t="s">
        <v>1287</v>
      </c>
      <c r="G7447" t="s">
        <v>1811</v>
      </c>
      <c r="H7447" s="403" t="s">
        <v>1281</v>
      </c>
      <c r="I7447" s="403">
        <v>4</v>
      </c>
      <c r="J7447" s="403" t="s">
        <v>110</v>
      </c>
      <c r="K7447" s="403">
        <v>1920</v>
      </c>
      <c r="L7447" s="403">
        <v>1080</v>
      </c>
      <c r="M7447" s="403" t="s">
        <v>110</v>
      </c>
      <c r="N7447" s="403">
        <v>1920</v>
      </c>
      <c r="O7447" s="403">
        <v>1080</v>
      </c>
      <c r="P7447" t="str">
        <f t="shared" si="971"/>
        <v>25fps 1080p - 1080p</v>
      </c>
      <c r="Q7447">
        <f t="shared" si="962"/>
        <v>43</v>
      </c>
      <c r="R7447" t="str">
        <f t="shared" si="963"/>
        <v/>
      </c>
      <c r="S7447" t="str">
        <f t="shared" si="964"/>
        <v/>
      </c>
      <c r="T7447" s="403" t="str">
        <f t="shared" si="972"/>
        <v>NDM-7702-A</v>
      </c>
      <c r="U7447" s="403">
        <f t="shared" si="973"/>
        <v>4</v>
      </c>
      <c r="V7447" s="403" t="str">
        <f t="shared" si="974"/>
        <v>CPP_7_3</v>
      </c>
    </row>
    <row r="7448" spans="1:22">
      <c r="A7448" t="str">
        <f t="shared" si="976"/>
        <v>NDM-7702-A</v>
      </c>
      <c r="B7448" t="s">
        <v>1951</v>
      </c>
      <c r="C7448" s="403" t="s">
        <v>582</v>
      </c>
      <c r="D7448" s="355" t="s">
        <v>1941</v>
      </c>
      <c r="F7448" s="403" t="s">
        <v>1287</v>
      </c>
      <c r="G7448" t="s">
        <v>1811</v>
      </c>
      <c r="H7448" s="403" t="s">
        <v>1281</v>
      </c>
      <c r="I7448" s="403">
        <v>4</v>
      </c>
      <c r="J7448" s="403" t="s">
        <v>110</v>
      </c>
      <c r="K7448" s="403">
        <v>1920</v>
      </c>
      <c r="L7448" s="403">
        <v>1080</v>
      </c>
      <c r="M7448" s="403" t="s">
        <v>109</v>
      </c>
      <c r="N7448" s="403">
        <v>1280</v>
      </c>
      <c r="O7448" s="403">
        <v>720</v>
      </c>
      <c r="P7448" t="str">
        <f t="shared" si="971"/>
        <v>25fps 1080p - 720p</v>
      </c>
      <c r="Q7448">
        <f t="shared" si="962"/>
        <v>43</v>
      </c>
      <c r="R7448" t="str">
        <f t="shared" si="963"/>
        <v/>
      </c>
      <c r="S7448" t="str">
        <f t="shared" si="964"/>
        <v/>
      </c>
      <c r="T7448" s="403" t="str">
        <f t="shared" si="972"/>
        <v>NDM-7702-A</v>
      </c>
      <c r="U7448" s="403">
        <f t="shared" si="973"/>
        <v>4</v>
      </c>
      <c r="V7448" s="403" t="str">
        <f t="shared" si="974"/>
        <v>CPP_7_3</v>
      </c>
    </row>
    <row r="7449" spans="1:22">
      <c r="A7449" t="str">
        <f t="shared" si="976"/>
        <v>NDM-7702-A</v>
      </c>
      <c r="B7449" t="s">
        <v>1951</v>
      </c>
      <c r="C7449" s="403" t="s">
        <v>582</v>
      </c>
      <c r="D7449" s="355" t="s">
        <v>1941</v>
      </c>
      <c r="F7449" s="403" t="s">
        <v>1287</v>
      </c>
      <c r="G7449" t="s">
        <v>1811</v>
      </c>
      <c r="H7449" s="403" t="s">
        <v>1281</v>
      </c>
      <c r="I7449" s="403">
        <v>4</v>
      </c>
      <c r="J7449" s="403" t="s">
        <v>110</v>
      </c>
      <c r="K7449" s="403">
        <v>1920</v>
      </c>
      <c r="L7449" s="403">
        <v>1080</v>
      </c>
      <c r="M7449" s="403" t="s">
        <v>111</v>
      </c>
      <c r="N7449" s="403">
        <v>768</v>
      </c>
      <c r="O7449" s="403">
        <v>432</v>
      </c>
      <c r="P7449" t="str">
        <f t="shared" si="971"/>
        <v>25fps 1080p - SD</v>
      </c>
      <c r="Q7449">
        <f t="shared" si="962"/>
        <v>43</v>
      </c>
      <c r="R7449" t="str">
        <f t="shared" si="963"/>
        <v/>
      </c>
      <c r="S7449" t="str">
        <f t="shared" si="964"/>
        <v/>
      </c>
      <c r="T7449" s="403" t="str">
        <f t="shared" si="972"/>
        <v>NDM-7702-A</v>
      </c>
      <c r="U7449" s="403">
        <f t="shared" si="973"/>
        <v>4</v>
      </c>
      <c r="V7449" s="403" t="str">
        <f t="shared" si="974"/>
        <v>CPP_7_3</v>
      </c>
    </row>
    <row r="7450" spans="1:22">
      <c r="A7450" t="str">
        <f t="shared" si="976"/>
        <v>NDM-7703-A</v>
      </c>
      <c r="B7450" t="s">
        <v>1951</v>
      </c>
      <c r="C7450" s="403" t="s">
        <v>582</v>
      </c>
      <c r="D7450" s="355" t="s">
        <v>1942</v>
      </c>
      <c r="F7450" s="403"/>
      <c r="H7450" s="403"/>
      <c r="I7450" s="403">
        <v>4</v>
      </c>
      <c r="J7450" s="403"/>
      <c r="K7450" s="403"/>
      <c r="L7450" s="403"/>
      <c r="M7450" s="403"/>
      <c r="N7450" s="403"/>
      <c r="O7450" s="403"/>
      <c r="P7450" t="str">
        <f t="shared" si="971"/>
        <v xml:space="preserve">  - </v>
      </c>
      <c r="Q7450">
        <f t="shared" si="962"/>
        <v>44</v>
      </c>
      <c r="R7450">
        <f t="shared" si="963"/>
        <v>44</v>
      </c>
      <c r="S7450" t="str">
        <f t="shared" si="964"/>
        <v>FLEXIDOME IP multi 7000i (NDM-7703-A)</v>
      </c>
      <c r="T7450" s="403" t="str">
        <f t="shared" si="972"/>
        <v>NDM-7703-A</v>
      </c>
      <c r="U7450" s="403">
        <f t="shared" si="973"/>
        <v>4</v>
      </c>
      <c r="V7450" s="403" t="str">
        <f t="shared" si="974"/>
        <v>CPP_7_3</v>
      </c>
    </row>
    <row r="7451" spans="1:22">
      <c r="A7451" t="str">
        <f t="shared" ref="A7451:A7478" si="977">IF(AND(G7451&lt;&gt;"rotate 90°"),D7451,"")</f>
        <v>NDM-7703-A</v>
      </c>
      <c r="B7451" t="s">
        <v>1951</v>
      </c>
      <c r="C7451" s="403" t="s">
        <v>582</v>
      </c>
      <c r="D7451" s="355" t="s">
        <v>1942</v>
      </c>
      <c r="F7451" s="403" t="s">
        <v>1952</v>
      </c>
      <c r="G7451" t="s">
        <v>1811</v>
      </c>
      <c r="H7451" s="403" t="s">
        <v>1276</v>
      </c>
      <c r="I7451" s="403">
        <v>4</v>
      </c>
      <c r="J7451" s="403" t="s">
        <v>1813</v>
      </c>
      <c r="K7451" s="403">
        <v>2560</v>
      </c>
      <c r="L7451" s="403">
        <v>1440</v>
      </c>
      <c r="M7451" s="403" t="s">
        <v>1813</v>
      </c>
      <c r="N7451" s="403">
        <v>2560</v>
      </c>
      <c r="O7451" s="403">
        <v>1440</v>
      </c>
      <c r="P7451" t="str">
        <f t="shared" si="971"/>
        <v>30fps 2560x1440 - 2560x1440</v>
      </c>
      <c r="Q7451">
        <f t="shared" si="962"/>
        <v>44</v>
      </c>
      <c r="R7451" t="str">
        <f t="shared" si="963"/>
        <v/>
      </c>
      <c r="S7451" t="str">
        <f t="shared" si="964"/>
        <v/>
      </c>
      <c r="T7451" s="403" t="str">
        <f t="shared" si="972"/>
        <v>NDM-7703-A</v>
      </c>
      <c r="U7451" s="403">
        <f t="shared" si="973"/>
        <v>4</v>
      </c>
      <c r="V7451" s="403" t="str">
        <f t="shared" si="974"/>
        <v>CPP_7_3</v>
      </c>
    </row>
    <row r="7452" spans="1:22">
      <c r="A7452" t="str">
        <f t="shared" si="977"/>
        <v>NDM-7703-A</v>
      </c>
      <c r="B7452" t="s">
        <v>1951</v>
      </c>
      <c r="C7452" s="403" t="s">
        <v>582</v>
      </c>
      <c r="D7452" s="355" t="s">
        <v>1942</v>
      </c>
      <c r="F7452" s="403" t="s">
        <v>1952</v>
      </c>
      <c r="G7452" t="s">
        <v>1811</v>
      </c>
      <c r="H7452" s="403" t="s">
        <v>1276</v>
      </c>
      <c r="I7452" s="403">
        <v>4</v>
      </c>
      <c r="J7452" s="403" t="s">
        <v>1813</v>
      </c>
      <c r="K7452" s="403">
        <v>2560</v>
      </c>
      <c r="L7452" s="403">
        <v>1440</v>
      </c>
      <c r="M7452" s="403" t="s">
        <v>110</v>
      </c>
      <c r="N7452" s="403">
        <v>1920</v>
      </c>
      <c r="O7452" s="403">
        <v>1080</v>
      </c>
      <c r="P7452" t="str">
        <f t="shared" si="971"/>
        <v>30fps 2560x1440 - 1080p</v>
      </c>
      <c r="Q7452">
        <f t="shared" si="962"/>
        <v>44</v>
      </c>
      <c r="R7452" t="str">
        <f t="shared" si="963"/>
        <v/>
      </c>
      <c r="S7452" t="str">
        <f t="shared" si="964"/>
        <v/>
      </c>
      <c r="T7452" s="403" t="str">
        <f t="shared" si="972"/>
        <v>NDM-7703-A</v>
      </c>
      <c r="U7452" s="403">
        <f t="shared" si="973"/>
        <v>4</v>
      </c>
      <c r="V7452" s="403" t="str">
        <f t="shared" si="974"/>
        <v>CPP_7_3</v>
      </c>
    </row>
    <row r="7453" spans="1:22">
      <c r="A7453" t="str">
        <f t="shared" si="977"/>
        <v>NDM-7703-A</v>
      </c>
      <c r="B7453" t="s">
        <v>1951</v>
      </c>
      <c r="C7453" s="403" t="s">
        <v>582</v>
      </c>
      <c r="D7453" s="355" t="s">
        <v>1942</v>
      </c>
      <c r="F7453" s="403" t="s">
        <v>1952</v>
      </c>
      <c r="G7453" t="s">
        <v>1811</v>
      </c>
      <c r="H7453" s="403" t="s">
        <v>1276</v>
      </c>
      <c r="I7453" s="403">
        <v>4</v>
      </c>
      <c r="J7453" s="403" t="s">
        <v>1813</v>
      </c>
      <c r="K7453" s="403">
        <v>2560</v>
      </c>
      <c r="L7453" s="403">
        <v>1440</v>
      </c>
      <c r="M7453" s="403" t="s">
        <v>109</v>
      </c>
      <c r="N7453" s="403">
        <v>1280</v>
      </c>
      <c r="O7453" s="403">
        <v>720</v>
      </c>
      <c r="P7453" t="str">
        <f t="shared" si="971"/>
        <v>30fps 2560x1440 - 720p</v>
      </c>
      <c r="Q7453">
        <f t="shared" si="962"/>
        <v>44</v>
      </c>
      <c r="R7453" t="str">
        <f t="shared" si="963"/>
        <v/>
      </c>
      <c r="S7453" t="str">
        <f t="shared" si="964"/>
        <v/>
      </c>
      <c r="T7453" s="403" t="str">
        <f t="shared" si="972"/>
        <v>NDM-7703-A</v>
      </c>
      <c r="U7453" s="403">
        <f t="shared" si="973"/>
        <v>4</v>
      </c>
      <c r="V7453" s="403" t="str">
        <f t="shared" si="974"/>
        <v>CPP_7_3</v>
      </c>
    </row>
    <row r="7454" spans="1:22">
      <c r="A7454" t="str">
        <f t="shared" si="977"/>
        <v>NDM-7703-A</v>
      </c>
      <c r="B7454" t="s">
        <v>1951</v>
      </c>
      <c r="C7454" s="403" t="s">
        <v>582</v>
      </c>
      <c r="D7454" s="355" t="s">
        <v>1942</v>
      </c>
      <c r="F7454" s="403" t="s">
        <v>1952</v>
      </c>
      <c r="G7454" t="s">
        <v>1811</v>
      </c>
      <c r="H7454" s="403" t="s">
        <v>1276</v>
      </c>
      <c r="I7454" s="403">
        <v>4</v>
      </c>
      <c r="J7454" s="403" t="s">
        <v>1813</v>
      </c>
      <c r="K7454" s="403">
        <v>2560</v>
      </c>
      <c r="L7454" s="403">
        <v>1440</v>
      </c>
      <c r="M7454" s="403" t="s">
        <v>111</v>
      </c>
      <c r="N7454" s="403">
        <v>768</v>
      </c>
      <c r="O7454" s="403">
        <v>432</v>
      </c>
      <c r="P7454" t="str">
        <f t="shared" si="971"/>
        <v>30fps 2560x1440 - SD</v>
      </c>
      <c r="Q7454">
        <f t="shared" si="962"/>
        <v>44</v>
      </c>
      <c r="R7454" t="str">
        <f t="shared" si="963"/>
        <v/>
      </c>
      <c r="S7454" t="str">
        <f t="shared" si="964"/>
        <v/>
      </c>
      <c r="T7454" s="403" t="str">
        <f t="shared" si="972"/>
        <v>NDM-7703-A</v>
      </c>
      <c r="U7454" s="403">
        <f t="shared" si="973"/>
        <v>4</v>
      </c>
      <c r="V7454" s="403" t="str">
        <f t="shared" si="974"/>
        <v>CPP_7_3</v>
      </c>
    </row>
    <row r="7455" spans="1:22">
      <c r="A7455" t="str">
        <f t="shared" si="977"/>
        <v>NDM-7703-A</v>
      </c>
      <c r="B7455" t="s">
        <v>1951</v>
      </c>
      <c r="C7455" s="403" t="s">
        <v>582</v>
      </c>
      <c r="D7455" s="355" t="s">
        <v>1942</v>
      </c>
      <c r="F7455" s="403" t="s">
        <v>1286</v>
      </c>
      <c r="G7455" t="s">
        <v>1811</v>
      </c>
      <c r="H7455" s="403" t="s">
        <v>1276</v>
      </c>
      <c r="I7455" s="403">
        <v>4</v>
      </c>
      <c r="J7455" s="403" t="s">
        <v>110</v>
      </c>
      <c r="K7455" s="403">
        <v>1920</v>
      </c>
      <c r="L7455" s="403">
        <v>1080</v>
      </c>
      <c r="M7455" s="403" t="s">
        <v>110</v>
      </c>
      <c r="N7455" s="403">
        <v>1920</v>
      </c>
      <c r="O7455" s="403">
        <v>1080</v>
      </c>
      <c r="P7455" t="str">
        <f t="shared" si="971"/>
        <v>30fps 1080p - 1080p</v>
      </c>
      <c r="Q7455">
        <f t="shared" si="962"/>
        <v>44</v>
      </c>
      <c r="R7455" t="str">
        <f t="shared" si="963"/>
        <v/>
      </c>
      <c r="S7455" t="str">
        <f t="shared" si="964"/>
        <v/>
      </c>
      <c r="T7455" s="403" t="str">
        <f t="shared" si="972"/>
        <v>NDM-7703-A</v>
      </c>
      <c r="U7455" s="403">
        <f t="shared" si="973"/>
        <v>4</v>
      </c>
      <c r="V7455" s="403" t="str">
        <f t="shared" si="974"/>
        <v>CPP_7_3</v>
      </c>
    </row>
    <row r="7456" spans="1:22">
      <c r="A7456" t="str">
        <f t="shared" si="977"/>
        <v>NDM-7703-A</v>
      </c>
      <c r="B7456" t="s">
        <v>1951</v>
      </c>
      <c r="C7456" s="403" t="s">
        <v>582</v>
      </c>
      <c r="D7456" s="355" t="s">
        <v>1942</v>
      </c>
      <c r="F7456" s="403" t="s">
        <v>1286</v>
      </c>
      <c r="G7456" t="s">
        <v>1811</v>
      </c>
      <c r="H7456" s="403" t="s">
        <v>1276</v>
      </c>
      <c r="I7456" s="403">
        <v>4</v>
      </c>
      <c r="J7456" s="403" t="s">
        <v>110</v>
      </c>
      <c r="K7456" s="403">
        <v>1920</v>
      </c>
      <c r="L7456" s="403">
        <v>1080</v>
      </c>
      <c r="M7456" s="403" t="s">
        <v>109</v>
      </c>
      <c r="N7456" s="403">
        <v>1280</v>
      </c>
      <c r="O7456" s="403">
        <v>720</v>
      </c>
      <c r="P7456" t="str">
        <f t="shared" si="971"/>
        <v>30fps 1080p - 720p</v>
      </c>
      <c r="Q7456">
        <f t="shared" si="962"/>
        <v>44</v>
      </c>
      <c r="R7456" t="str">
        <f t="shared" si="963"/>
        <v/>
      </c>
      <c r="S7456" t="str">
        <f t="shared" si="964"/>
        <v/>
      </c>
      <c r="T7456" s="403" t="str">
        <f t="shared" si="972"/>
        <v>NDM-7703-A</v>
      </c>
      <c r="U7456" s="403">
        <f t="shared" si="973"/>
        <v>4</v>
      </c>
      <c r="V7456" s="403" t="str">
        <f t="shared" si="974"/>
        <v>CPP_7_3</v>
      </c>
    </row>
    <row r="7457" spans="1:22">
      <c r="A7457" t="str">
        <f t="shared" si="977"/>
        <v>NDM-7703-A</v>
      </c>
      <c r="B7457" t="s">
        <v>1951</v>
      </c>
      <c r="C7457" s="403" t="s">
        <v>582</v>
      </c>
      <c r="D7457" s="355" t="s">
        <v>1942</v>
      </c>
      <c r="F7457" s="403" t="s">
        <v>1286</v>
      </c>
      <c r="G7457" t="s">
        <v>1811</v>
      </c>
      <c r="H7457" s="403" t="s">
        <v>1276</v>
      </c>
      <c r="I7457" s="403">
        <v>4</v>
      </c>
      <c r="J7457" s="403" t="s">
        <v>110</v>
      </c>
      <c r="K7457" s="403">
        <v>1920</v>
      </c>
      <c r="L7457" s="403">
        <v>1080</v>
      </c>
      <c r="M7457" s="403" t="s">
        <v>111</v>
      </c>
      <c r="N7457" s="403">
        <v>768</v>
      </c>
      <c r="O7457" s="403">
        <v>432</v>
      </c>
      <c r="P7457" t="str">
        <f t="shared" si="971"/>
        <v>30fps 1080p - SD</v>
      </c>
      <c r="Q7457">
        <f t="shared" si="962"/>
        <v>44</v>
      </c>
      <c r="R7457" t="str">
        <f t="shared" si="963"/>
        <v/>
      </c>
      <c r="S7457" t="str">
        <f t="shared" si="964"/>
        <v/>
      </c>
      <c r="T7457" s="403" t="str">
        <f t="shared" si="972"/>
        <v>NDM-7703-A</v>
      </c>
      <c r="U7457" s="403">
        <f t="shared" si="973"/>
        <v>4</v>
      </c>
      <c r="V7457" s="403" t="str">
        <f t="shared" si="974"/>
        <v>CPP_7_3</v>
      </c>
    </row>
    <row r="7458" spans="1:22">
      <c r="A7458" t="str">
        <f t="shared" si="977"/>
        <v>NDM-7703-A</v>
      </c>
      <c r="B7458" t="s">
        <v>1951</v>
      </c>
      <c r="C7458" s="403" t="s">
        <v>582</v>
      </c>
      <c r="D7458" s="355" t="s">
        <v>1942</v>
      </c>
      <c r="F7458" s="403" t="s">
        <v>1953</v>
      </c>
      <c r="G7458" t="s">
        <v>1811</v>
      </c>
      <c r="H7458" s="403" t="s">
        <v>1276</v>
      </c>
      <c r="I7458" s="403">
        <v>4</v>
      </c>
      <c r="J7458" s="403" t="s">
        <v>1813</v>
      </c>
      <c r="K7458" s="403">
        <v>2560</v>
      </c>
      <c r="L7458" s="403">
        <v>1440</v>
      </c>
      <c r="M7458" s="403" t="s">
        <v>1813</v>
      </c>
      <c r="N7458" s="403">
        <v>2560</v>
      </c>
      <c r="O7458" s="403">
        <v>1440</v>
      </c>
      <c r="P7458" t="str">
        <f t="shared" si="971"/>
        <v>25fps 2560x1440 - 2560x1440</v>
      </c>
      <c r="Q7458">
        <f t="shared" si="962"/>
        <v>44</v>
      </c>
      <c r="R7458" t="str">
        <f t="shared" si="963"/>
        <v/>
      </c>
      <c r="S7458" t="str">
        <f t="shared" si="964"/>
        <v/>
      </c>
      <c r="T7458" s="403" t="str">
        <f t="shared" si="972"/>
        <v>NDM-7703-A</v>
      </c>
      <c r="U7458" s="403">
        <f t="shared" si="973"/>
        <v>4</v>
      </c>
      <c r="V7458" s="403" t="str">
        <f t="shared" si="974"/>
        <v>CPP_7_3</v>
      </c>
    </row>
    <row r="7459" spans="1:22">
      <c r="A7459" t="str">
        <f t="shared" si="977"/>
        <v>NDM-7703-A</v>
      </c>
      <c r="B7459" t="s">
        <v>1951</v>
      </c>
      <c r="C7459" s="403" t="s">
        <v>582</v>
      </c>
      <c r="D7459" s="355" t="s">
        <v>1942</v>
      </c>
      <c r="F7459" s="403" t="s">
        <v>1953</v>
      </c>
      <c r="G7459" t="s">
        <v>1811</v>
      </c>
      <c r="H7459" s="403" t="s">
        <v>1276</v>
      </c>
      <c r="I7459" s="403">
        <v>4</v>
      </c>
      <c r="J7459" s="403" t="s">
        <v>1813</v>
      </c>
      <c r="K7459" s="403">
        <v>2560</v>
      </c>
      <c r="L7459" s="403">
        <v>1440</v>
      </c>
      <c r="M7459" s="403" t="s">
        <v>110</v>
      </c>
      <c r="N7459" s="403">
        <v>1920</v>
      </c>
      <c r="O7459" s="403">
        <v>1080</v>
      </c>
      <c r="P7459" t="str">
        <f t="shared" si="971"/>
        <v>25fps 2560x1440 - 1080p</v>
      </c>
      <c r="Q7459">
        <f t="shared" si="962"/>
        <v>44</v>
      </c>
      <c r="R7459" t="str">
        <f t="shared" si="963"/>
        <v/>
      </c>
      <c r="S7459" t="str">
        <f t="shared" si="964"/>
        <v/>
      </c>
      <c r="T7459" s="403" t="str">
        <f t="shared" si="972"/>
        <v>NDM-7703-A</v>
      </c>
      <c r="U7459" s="403">
        <f t="shared" si="973"/>
        <v>4</v>
      </c>
      <c r="V7459" s="403" t="str">
        <f t="shared" si="974"/>
        <v>CPP_7_3</v>
      </c>
    </row>
    <row r="7460" spans="1:22">
      <c r="A7460" t="str">
        <f t="shared" si="977"/>
        <v>NDM-7703-A</v>
      </c>
      <c r="B7460" t="s">
        <v>1951</v>
      </c>
      <c r="C7460" s="403" t="s">
        <v>582</v>
      </c>
      <c r="D7460" s="355" t="s">
        <v>1942</v>
      </c>
      <c r="F7460" s="403" t="s">
        <v>1953</v>
      </c>
      <c r="G7460" t="s">
        <v>1811</v>
      </c>
      <c r="H7460" s="403" t="s">
        <v>1276</v>
      </c>
      <c r="I7460" s="403">
        <v>4</v>
      </c>
      <c r="J7460" s="403" t="s">
        <v>1813</v>
      </c>
      <c r="K7460" s="403">
        <v>2560</v>
      </c>
      <c r="L7460" s="403">
        <v>1440</v>
      </c>
      <c r="M7460" s="403" t="s">
        <v>109</v>
      </c>
      <c r="N7460" s="403">
        <v>1280</v>
      </c>
      <c r="O7460" s="403">
        <v>720</v>
      </c>
      <c r="P7460" t="str">
        <f t="shared" si="971"/>
        <v>25fps 2560x1440 - 720p</v>
      </c>
      <c r="Q7460">
        <f t="shared" si="962"/>
        <v>44</v>
      </c>
      <c r="R7460" t="str">
        <f t="shared" si="963"/>
        <v/>
      </c>
      <c r="S7460" t="str">
        <f t="shared" si="964"/>
        <v/>
      </c>
      <c r="T7460" s="403" t="str">
        <f t="shared" si="972"/>
        <v>NDM-7703-A</v>
      </c>
      <c r="U7460" s="403">
        <f t="shared" si="973"/>
        <v>4</v>
      </c>
      <c r="V7460" s="403" t="str">
        <f t="shared" si="974"/>
        <v>CPP_7_3</v>
      </c>
    </row>
    <row r="7461" spans="1:22">
      <c r="A7461" t="str">
        <f t="shared" si="977"/>
        <v>NDM-7703-A</v>
      </c>
      <c r="B7461" t="s">
        <v>1951</v>
      </c>
      <c r="C7461" s="403" t="s">
        <v>582</v>
      </c>
      <c r="D7461" s="355" t="s">
        <v>1942</v>
      </c>
      <c r="F7461" s="403" t="s">
        <v>1953</v>
      </c>
      <c r="G7461" t="s">
        <v>1811</v>
      </c>
      <c r="H7461" s="403" t="s">
        <v>1276</v>
      </c>
      <c r="I7461" s="403">
        <v>4</v>
      </c>
      <c r="J7461" s="403" t="s">
        <v>1813</v>
      </c>
      <c r="K7461" s="403">
        <v>2560</v>
      </c>
      <c r="L7461" s="403">
        <v>1440</v>
      </c>
      <c r="M7461" s="403" t="s">
        <v>111</v>
      </c>
      <c r="N7461" s="403">
        <v>768</v>
      </c>
      <c r="O7461" s="403">
        <v>432</v>
      </c>
      <c r="P7461" t="str">
        <f t="shared" ref="P7461:P7478" si="978">LEFT(F7461,5)&amp;" "&amp;J7461&amp;" - "&amp;M7461</f>
        <v>25fps 2560x1440 - SD</v>
      </c>
      <c r="Q7461">
        <f t="shared" si="962"/>
        <v>44</v>
      </c>
      <c r="R7461" t="str">
        <f t="shared" si="963"/>
        <v/>
      </c>
      <c r="S7461" t="str">
        <f t="shared" si="964"/>
        <v/>
      </c>
      <c r="T7461" s="403" t="str">
        <f t="shared" ref="T7461:T7478" si="979">D7461</f>
        <v>NDM-7703-A</v>
      </c>
      <c r="U7461" s="403">
        <f t="shared" ref="U7461:U7478" si="980">I7461</f>
        <v>4</v>
      </c>
      <c r="V7461" s="403" t="str">
        <f t="shared" ref="V7461:V7478" si="981">C7461</f>
        <v>CPP_7_3</v>
      </c>
    </row>
    <row r="7462" spans="1:22">
      <c r="A7462" t="str">
        <f t="shared" si="977"/>
        <v>NDM-7703-A</v>
      </c>
      <c r="B7462" t="s">
        <v>1951</v>
      </c>
      <c r="C7462" s="403" t="s">
        <v>582</v>
      </c>
      <c r="D7462" s="355" t="s">
        <v>1942</v>
      </c>
      <c r="F7462" s="403" t="s">
        <v>1287</v>
      </c>
      <c r="G7462" t="s">
        <v>1811</v>
      </c>
      <c r="H7462" s="403" t="s">
        <v>1276</v>
      </c>
      <c r="I7462" s="403">
        <v>4</v>
      </c>
      <c r="J7462" s="403" t="s">
        <v>110</v>
      </c>
      <c r="K7462" s="403">
        <v>1920</v>
      </c>
      <c r="L7462" s="403">
        <v>1080</v>
      </c>
      <c r="M7462" s="403" t="s">
        <v>110</v>
      </c>
      <c r="N7462" s="403">
        <v>1920</v>
      </c>
      <c r="O7462" s="403">
        <v>1080</v>
      </c>
      <c r="P7462" t="str">
        <f t="shared" si="978"/>
        <v>25fps 1080p - 1080p</v>
      </c>
      <c r="Q7462">
        <f t="shared" si="962"/>
        <v>44</v>
      </c>
      <c r="R7462" t="str">
        <f t="shared" si="963"/>
        <v/>
      </c>
      <c r="S7462" t="str">
        <f t="shared" si="964"/>
        <v/>
      </c>
      <c r="T7462" s="403" t="str">
        <f t="shared" si="979"/>
        <v>NDM-7703-A</v>
      </c>
      <c r="U7462" s="403">
        <f t="shared" si="980"/>
        <v>4</v>
      </c>
      <c r="V7462" s="403" t="str">
        <f t="shared" si="981"/>
        <v>CPP_7_3</v>
      </c>
    </row>
    <row r="7463" spans="1:22">
      <c r="A7463" t="str">
        <f t="shared" si="977"/>
        <v>NDM-7703-A</v>
      </c>
      <c r="B7463" t="s">
        <v>1951</v>
      </c>
      <c r="C7463" s="403" t="s">
        <v>582</v>
      </c>
      <c r="D7463" s="355" t="s">
        <v>1942</v>
      </c>
      <c r="F7463" s="403" t="s">
        <v>1287</v>
      </c>
      <c r="G7463" t="s">
        <v>1811</v>
      </c>
      <c r="H7463" s="403" t="s">
        <v>1276</v>
      </c>
      <c r="I7463" s="403">
        <v>4</v>
      </c>
      <c r="J7463" s="403" t="s">
        <v>110</v>
      </c>
      <c r="K7463" s="403">
        <v>1920</v>
      </c>
      <c r="L7463" s="403">
        <v>1080</v>
      </c>
      <c r="M7463" s="403" t="s">
        <v>109</v>
      </c>
      <c r="N7463" s="403">
        <v>1280</v>
      </c>
      <c r="O7463" s="403">
        <v>720</v>
      </c>
      <c r="P7463" t="str">
        <f t="shared" si="978"/>
        <v>25fps 1080p - 720p</v>
      </c>
      <c r="Q7463">
        <f t="shared" si="962"/>
        <v>44</v>
      </c>
      <c r="R7463" t="str">
        <f t="shared" si="963"/>
        <v/>
      </c>
      <c r="S7463" t="str">
        <f t="shared" si="964"/>
        <v/>
      </c>
      <c r="T7463" s="403" t="str">
        <f t="shared" si="979"/>
        <v>NDM-7703-A</v>
      </c>
      <c r="U7463" s="403">
        <f t="shared" si="980"/>
        <v>4</v>
      </c>
      <c r="V7463" s="403" t="str">
        <f t="shared" si="981"/>
        <v>CPP_7_3</v>
      </c>
    </row>
    <row r="7464" spans="1:22">
      <c r="A7464" t="str">
        <f t="shared" si="977"/>
        <v>NDM-7703-A</v>
      </c>
      <c r="B7464" t="s">
        <v>1951</v>
      </c>
      <c r="C7464" s="403" t="s">
        <v>582</v>
      </c>
      <c r="D7464" s="355" t="s">
        <v>1942</v>
      </c>
      <c r="F7464" s="403" t="s">
        <v>1287</v>
      </c>
      <c r="G7464" t="s">
        <v>1811</v>
      </c>
      <c r="H7464" s="403" t="s">
        <v>1276</v>
      </c>
      <c r="I7464" s="403">
        <v>4</v>
      </c>
      <c r="J7464" s="403" t="s">
        <v>110</v>
      </c>
      <c r="K7464" s="403">
        <v>1920</v>
      </c>
      <c r="L7464" s="403">
        <v>1080</v>
      </c>
      <c r="M7464" s="403" t="s">
        <v>111</v>
      </c>
      <c r="N7464" s="403">
        <v>768</v>
      </c>
      <c r="O7464" s="403">
        <v>432</v>
      </c>
      <c r="P7464" t="str">
        <f t="shared" si="978"/>
        <v>25fps 1080p - SD</v>
      </c>
      <c r="Q7464">
        <f t="shared" si="962"/>
        <v>44</v>
      </c>
      <c r="R7464" t="str">
        <f t="shared" si="963"/>
        <v/>
      </c>
      <c r="S7464" t="str">
        <f t="shared" si="964"/>
        <v/>
      </c>
      <c r="T7464" s="403" t="str">
        <f t="shared" si="979"/>
        <v>NDM-7703-A</v>
      </c>
      <c r="U7464" s="403">
        <f t="shared" si="980"/>
        <v>4</v>
      </c>
      <c r="V7464" s="403" t="str">
        <f t="shared" si="981"/>
        <v>CPP_7_3</v>
      </c>
    </row>
    <row r="7465" spans="1:22">
      <c r="A7465" t="str">
        <f t="shared" si="977"/>
        <v>NDM-7703-A</v>
      </c>
      <c r="B7465" t="s">
        <v>1951</v>
      </c>
      <c r="C7465" s="403" t="s">
        <v>582</v>
      </c>
      <c r="D7465" s="355" t="s">
        <v>1942</v>
      </c>
      <c r="F7465" s="403" t="s">
        <v>1952</v>
      </c>
      <c r="G7465" t="s">
        <v>1811</v>
      </c>
      <c r="H7465" s="403" t="s">
        <v>1281</v>
      </c>
      <c r="I7465" s="403">
        <v>4</v>
      </c>
      <c r="J7465" s="403" t="s">
        <v>1813</v>
      </c>
      <c r="K7465" s="403">
        <v>2560</v>
      </c>
      <c r="L7465" s="403">
        <v>1440</v>
      </c>
      <c r="M7465" s="403" t="s">
        <v>1813</v>
      </c>
      <c r="N7465" s="403">
        <v>2560</v>
      </c>
      <c r="O7465" s="403">
        <v>1440</v>
      </c>
      <c r="P7465" t="str">
        <f t="shared" si="978"/>
        <v>30fps 2560x1440 - 2560x1440</v>
      </c>
      <c r="Q7465">
        <f t="shared" si="962"/>
        <v>44</v>
      </c>
      <c r="R7465" t="str">
        <f t="shared" si="963"/>
        <v/>
      </c>
      <c r="S7465" t="str">
        <f t="shared" si="964"/>
        <v/>
      </c>
      <c r="T7465" s="403" t="str">
        <f t="shared" si="979"/>
        <v>NDM-7703-A</v>
      </c>
      <c r="U7465" s="403">
        <f t="shared" si="980"/>
        <v>4</v>
      </c>
      <c r="V7465" s="403" t="str">
        <f t="shared" si="981"/>
        <v>CPP_7_3</v>
      </c>
    </row>
    <row r="7466" spans="1:22">
      <c r="A7466" t="str">
        <f t="shared" si="977"/>
        <v>NDM-7703-A</v>
      </c>
      <c r="B7466" t="s">
        <v>1951</v>
      </c>
      <c r="C7466" s="403" t="s">
        <v>582</v>
      </c>
      <c r="D7466" s="355" t="s">
        <v>1942</v>
      </c>
      <c r="F7466" s="403" t="s">
        <v>1952</v>
      </c>
      <c r="G7466" t="s">
        <v>1811</v>
      </c>
      <c r="H7466" s="403" t="s">
        <v>1281</v>
      </c>
      <c r="I7466" s="403">
        <v>4</v>
      </c>
      <c r="J7466" s="403" t="s">
        <v>1813</v>
      </c>
      <c r="K7466" s="403">
        <v>2560</v>
      </c>
      <c r="L7466" s="403">
        <v>1440</v>
      </c>
      <c r="M7466" s="403" t="s">
        <v>110</v>
      </c>
      <c r="N7466" s="403">
        <v>1920</v>
      </c>
      <c r="O7466" s="403">
        <v>1080</v>
      </c>
      <c r="P7466" t="str">
        <f t="shared" si="978"/>
        <v>30fps 2560x1440 - 1080p</v>
      </c>
      <c r="Q7466">
        <f t="shared" si="962"/>
        <v>44</v>
      </c>
      <c r="R7466" t="str">
        <f t="shared" si="963"/>
        <v/>
      </c>
      <c r="S7466" t="str">
        <f t="shared" si="964"/>
        <v/>
      </c>
      <c r="T7466" s="403" t="str">
        <f t="shared" si="979"/>
        <v>NDM-7703-A</v>
      </c>
      <c r="U7466" s="403">
        <f t="shared" si="980"/>
        <v>4</v>
      </c>
      <c r="V7466" s="403" t="str">
        <f t="shared" si="981"/>
        <v>CPP_7_3</v>
      </c>
    </row>
    <row r="7467" spans="1:22">
      <c r="A7467" t="str">
        <f t="shared" si="977"/>
        <v>NDM-7703-A</v>
      </c>
      <c r="B7467" t="s">
        <v>1951</v>
      </c>
      <c r="C7467" s="403" t="s">
        <v>582</v>
      </c>
      <c r="D7467" s="355" t="s">
        <v>1942</v>
      </c>
      <c r="F7467" s="403" t="s">
        <v>1952</v>
      </c>
      <c r="G7467" t="s">
        <v>1811</v>
      </c>
      <c r="H7467" s="403" t="s">
        <v>1281</v>
      </c>
      <c r="I7467" s="403">
        <v>4</v>
      </c>
      <c r="J7467" s="403" t="s">
        <v>1813</v>
      </c>
      <c r="K7467" s="403">
        <v>2560</v>
      </c>
      <c r="L7467" s="403">
        <v>1440</v>
      </c>
      <c r="M7467" s="403" t="s">
        <v>109</v>
      </c>
      <c r="N7467" s="403">
        <v>1280</v>
      </c>
      <c r="O7467" s="403">
        <v>720</v>
      </c>
      <c r="P7467" t="str">
        <f t="shared" si="978"/>
        <v>30fps 2560x1440 - 720p</v>
      </c>
      <c r="Q7467">
        <f t="shared" si="962"/>
        <v>44</v>
      </c>
      <c r="R7467" t="str">
        <f t="shared" si="963"/>
        <v/>
      </c>
      <c r="S7467" t="str">
        <f t="shared" si="964"/>
        <v/>
      </c>
      <c r="T7467" s="403" t="str">
        <f t="shared" si="979"/>
        <v>NDM-7703-A</v>
      </c>
      <c r="U7467" s="403">
        <f t="shared" si="980"/>
        <v>4</v>
      </c>
      <c r="V7467" s="403" t="str">
        <f t="shared" si="981"/>
        <v>CPP_7_3</v>
      </c>
    </row>
    <row r="7468" spans="1:22">
      <c r="A7468" t="str">
        <f t="shared" si="977"/>
        <v>NDM-7703-A</v>
      </c>
      <c r="B7468" t="s">
        <v>1951</v>
      </c>
      <c r="C7468" s="403" t="s">
        <v>582</v>
      </c>
      <c r="D7468" s="355" t="s">
        <v>1942</v>
      </c>
      <c r="F7468" s="403" t="s">
        <v>1952</v>
      </c>
      <c r="G7468" t="s">
        <v>1811</v>
      </c>
      <c r="H7468" s="403" t="s">
        <v>1281</v>
      </c>
      <c r="I7468" s="403">
        <v>4</v>
      </c>
      <c r="J7468" s="403" t="s">
        <v>1813</v>
      </c>
      <c r="K7468" s="403">
        <v>2560</v>
      </c>
      <c r="L7468" s="403">
        <v>1440</v>
      </c>
      <c r="M7468" s="403" t="s">
        <v>111</v>
      </c>
      <c r="N7468" s="403">
        <v>768</v>
      </c>
      <c r="O7468" s="403">
        <v>432</v>
      </c>
      <c r="P7468" t="str">
        <f t="shared" si="978"/>
        <v>30fps 2560x1440 - SD</v>
      </c>
      <c r="Q7468">
        <f t="shared" si="962"/>
        <v>44</v>
      </c>
      <c r="R7468" t="str">
        <f t="shared" si="963"/>
        <v/>
      </c>
      <c r="S7468" t="str">
        <f t="shared" si="964"/>
        <v/>
      </c>
      <c r="T7468" s="403" t="str">
        <f t="shared" si="979"/>
        <v>NDM-7703-A</v>
      </c>
      <c r="U7468" s="403">
        <f t="shared" si="980"/>
        <v>4</v>
      </c>
      <c r="V7468" s="403" t="str">
        <f t="shared" si="981"/>
        <v>CPP_7_3</v>
      </c>
    </row>
    <row r="7469" spans="1:22">
      <c r="A7469" t="str">
        <f t="shared" si="977"/>
        <v>NDM-7703-A</v>
      </c>
      <c r="B7469" t="s">
        <v>1951</v>
      </c>
      <c r="C7469" s="403" t="s">
        <v>582</v>
      </c>
      <c r="D7469" s="355" t="s">
        <v>1942</v>
      </c>
      <c r="F7469" s="403" t="s">
        <v>1286</v>
      </c>
      <c r="G7469" t="s">
        <v>1811</v>
      </c>
      <c r="H7469" s="403" t="s">
        <v>1281</v>
      </c>
      <c r="I7469" s="403">
        <v>4</v>
      </c>
      <c r="J7469" s="403" t="s">
        <v>110</v>
      </c>
      <c r="K7469" s="403">
        <v>1920</v>
      </c>
      <c r="L7469" s="403">
        <v>1080</v>
      </c>
      <c r="M7469" s="403" t="s">
        <v>110</v>
      </c>
      <c r="N7469" s="403">
        <v>1920</v>
      </c>
      <c r="O7469" s="403">
        <v>1080</v>
      </c>
      <c r="P7469" t="str">
        <f t="shared" si="978"/>
        <v>30fps 1080p - 1080p</v>
      </c>
      <c r="Q7469">
        <f t="shared" si="962"/>
        <v>44</v>
      </c>
      <c r="R7469" t="str">
        <f t="shared" si="963"/>
        <v/>
      </c>
      <c r="S7469" t="str">
        <f t="shared" si="964"/>
        <v/>
      </c>
      <c r="T7469" s="403" t="str">
        <f t="shared" si="979"/>
        <v>NDM-7703-A</v>
      </c>
      <c r="U7469" s="403">
        <f t="shared" si="980"/>
        <v>4</v>
      </c>
      <c r="V7469" s="403" t="str">
        <f t="shared" si="981"/>
        <v>CPP_7_3</v>
      </c>
    </row>
    <row r="7470" spans="1:22">
      <c r="A7470" t="str">
        <f t="shared" si="977"/>
        <v>NDM-7703-A</v>
      </c>
      <c r="B7470" t="s">
        <v>1951</v>
      </c>
      <c r="C7470" s="403" t="s">
        <v>582</v>
      </c>
      <c r="D7470" s="355" t="s">
        <v>1942</v>
      </c>
      <c r="F7470" s="403" t="s">
        <v>1286</v>
      </c>
      <c r="G7470" t="s">
        <v>1811</v>
      </c>
      <c r="H7470" s="403" t="s">
        <v>1281</v>
      </c>
      <c r="I7470" s="403">
        <v>4</v>
      </c>
      <c r="J7470" s="403" t="s">
        <v>110</v>
      </c>
      <c r="K7470" s="403">
        <v>1920</v>
      </c>
      <c r="L7470" s="403">
        <v>1080</v>
      </c>
      <c r="M7470" s="403" t="s">
        <v>109</v>
      </c>
      <c r="N7470" s="403">
        <v>1280</v>
      </c>
      <c r="O7470" s="403">
        <v>720</v>
      </c>
      <c r="P7470" t="str">
        <f t="shared" si="978"/>
        <v>30fps 1080p - 720p</v>
      </c>
      <c r="Q7470">
        <f t="shared" si="962"/>
        <v>44</v>
      </c>
      <c r="R7470" t="str">
        <f t="shared" si="963"/>
        <v/>
      </c>
      <c r="S7470" t="str">
        <f t="shared" si="964"/>
        <v/>
      </c>
      <c r="T7470" s="403" t="str">
        <f t="shared" si="979"/>
        <v>NDM-7703-A</v>
      </c>
      <c r="U7470" s="403">
        <f t="shared" si="980"/>
        <v>4</v>
      </c>
      <c r="V7470" s="403" t="str">
        <f t="shared" si="981"/>
        <v>CPP_7_3</v>
      </c>
    </row>
    <row r="7471" spans="1:22">
      <c r="A7471" t="str">
        <f t="shared" si="977"/>
        <v>NDM-7703-A</v>
      </c>
      <c r="B7471" t="s">
        <v>1951</v>
      </c>
      <c r="C7471" s="403" t="s">
        <v>582</v>
      </c>
      <c r="D7471" s="355" t="s">
        <v>1942</v>
      </c>
      <c r="F7471" s="403" t="s">
        <v>1286</v>
      </c>
      <c r="G7471" t="s">
        <v>1811</v>
      </c>
      <c r="H7471" s="403" t="s">
        <v>1281</v>
      </c>
      <c r="I7471" s="403">
        <v>4</v>
      </c>
      <c r="J7471" s="403" t="s">
        <v>110</v>
      </c>
      <c r="K7471" s="403">
        <v>1920</v>
      </c>
      <c r="L7471" s="403">
        <v>1080</v>
      </c>
      <c r="M7471" s="403" t="s">
        <v>111</v>
      </c>
      <c r="N7471" s="403">
        <v>768</v>
      </c>
      <c r="O7471" s="403">
        <v>432</v>
      </c>
      <c r="P7471" t="str">
        <f t="shared" si="978"/>
        <v>30fps 1080p - SD</v>
      </c>
      <c r="Q7471">
        <f t="shared" si="962"/>
        <v>44</v>
      </c>
      <c r="R7471" t="str">
        <f t="shared" si="963"/>
        <v/>
      </c>
      <c r="S7471" t="str">
        <f t="shared" si="964"/>
        <v/>
      </c>
      <c r="T7471" s="403" t="str">
        <f t="shared" si="979"/>
        <v>NDM-7703-A</v>
      </c>
      <c r="U7471" s="403">
        <f t="shared" si="980"/>
        <v>4</v>
      </c>
      <c r="V7471" s="403" t="str">
        <f t="shared" si="981"/>
        <v>CPP_7_3</v>
      </c>
    </row>
    <row r="7472" spans="1:22">
      <c r="A7472" t="str">
        <f t="shared" si="977"/>
        <v>NDM-7703-A</v>
      </c>
      <c r="B7472" t="s">
        <v>1951</v>
      </c>
      <c r="C7472" s="403" t="s">
        <v>582</v>
      </c>
      <c r="D7472" s="355" t="s">
        <v>1942</v>
      </c>
      <c r="F7472" s="403" t="s">
        <v>1953</v>
      </c>
      <c r="G7472" t="s">
        <v>1811</v>
      </c>
      <c r="H7472" s="403" t="s">
        <v>1281</v>
      </c>
      <c r="I7472" s="403">
        <v>4</v>
      </c>
      <c r="J7472" s="403" t="s">
        <v>1813</v>
      </c>
      <c r="K7472" s="403">
        <v>2560</v>
      </c>
      <c r="L7472" s="403">
        <v>1440</v>
      </c>
      <c r="M7472" s="403" t="s">
        <v>1813</v>
      </c>
      <c r="N7472" s="403">
        <v>2560</v>
      </c>
      <c r="O7472" s="403">
        <v>1440</v>
      </c>
      <c r="P7472" t="str">
        <f t="shared" si="978"/>
        <v>25fps 2560x1440 - 2560x1440</v>
      </c>
      <c r="Q7472">
        <f t="shared" si="962"/>
        <v>44</v>
      </c>
      <c r="R7472" t="str">
        <f t="shared" si="963"/>
        <v/>
      </c>
      <c r="S7472" t="str">
        <f t="shared" si="964"/>
        <v/>
      </c>
      <c r="T7472" s="403" t="str">
        <f t="shared" si="979"/>
        <v>NDM-7703-A</v>
      </c>
      <c r="U7472" s="403">
        <f t="shared" si="980"/>
        <v>4</v>
      </c>
      <c r="V7472" s="403" t="str">
        <f t="shared" si="981"/>
        <v>CPP_7_3</v>
      </c>
    </row>
    <row r="7473" spans="1:22">
      <c r="A7473" t="str">
        <f t="shared" si="977"/>
        <v>NDM-7703-A</v>
      </c>
      <c r="B7473" t="s">
        <v>1951</v>
      </c>
      <c r="C7473" s="403" t="s">
        <v>582</v>
      </c>
      <c r="D7473" s="355" t="s">
        <v>1942</v>
      </c>
      <c r="F7473" s="403" t="s">
        <v>1953</v>
      </c>
      <c r="G7473" t="s">
        <v>1811</v>
      </c>
      <c r="H7473" s="403" t="s">
        <v>1281</v>
      </c>
      <c r="I7473" s="403">
        <v>4</v>
      </c>
      <c r="J7473" s="403" t="s">
        <v>1813</v>
      </c>
      <c r="K7473" s="403">
        <v>2560</v>
      </c>
      <c r="L7473" s="403">
        <v>1440</v>
      </c>
      <c r="M7473" s="403" t="s">
        <v>110</v>
      </c>
      <c r="N7473" s="403">
        <v>1920</v>
      </c>
      <c r="O7473" s="403">
        <v>1080</v>
      </c>
      <c r="P7473" t="str">
        <f t="shared" si="978"/>
        <v>25fps 2560x1440 - 1080p</v>
      </c>
      <c r="Q7473">
        <f t="shared" si="962"/>
        <v>44</v>
      </c>
      <c r="R7473" t="str">
        <f t="shared" si="963"/>
        <v/>
      </c>
      <c r="S7473" t="str">
        <f t="shared" si="964"/>
        <v/>
      </c>
      <c r="T7473" s="403" t="str">
        <f t="shared" si="979"/>
        <v>NDM-7703-A</v>
      </c>
      <c r="U7473" s="403">
        <f t="shared" si="980"/>
        <v>4</v>
      </c>
      <c r="V7473" s="403" t="str">
        <f t="shared" si="981"/>
        <v>CPP_7_3</v>
      </c>
    </row>
    <row r="7474" spans="1:22">
      <c r="A7474" t="str">
        <f t="shared" si="977"/>
        <v>NDM-7703-A</v>
      </c>
      <c r="B7474" t="s">
        <v>1951</v>
      </c>
      <c r="C7474" s="403" t="s">
        <v>582</v>
      </c>
      <c r="D7474" s="355" t="s">
        <v>1942</v>
      </c>
      <c r="F7474" s="403" t="s">
        <v>1953</v>
      </c>
      <c r="G7474" t="s">
        <v>1811</v>
      </c>
      <c r="H7474" s="403" t="s">
        <v>1281</v>
      </c>
      <c r="I7474" s="403">
        <v>4</v>
      </c>
      <c r="J7474" s="403" t="s">
        <v>1813</v>
      </c>
      <c r="K7474" s="403">
        <v>2560</v>
      </c>
      <c r="L7474" s="403">
        <v>1440</v>
      </c>
      <c r="M7474" s="403" t="s">
        <v>109</v>
      </c>
      <c r="N7474" s="403">
        <v>1280</v>
      </c>
      <c r="O7474" s="403">
        <v>720</v>
      </c>
      <c r="P7474" t="str">
        <f t="shared" si="978"/>
        <v>25fps 2560x1440 - 720p</v>
      </c>
      <c r="Q7474">
        <f t="shared" si="962"/>
        <v>44</v>
      </c>
      <c r="R7474" t="str">
        <f t="shared" si="963"/>
        <v/>
      </c>
      <c r="S7474" t="str">
        <f t="shared" si="964"/>
        <v/>
      </c>
      <c r="T7474" s="403" t="str">
        <f t="shared" si="979"/>
        <v>NDM-7703-A</v>
      </c>
      <c r="U7474" s="403">
        <f t="shared" si="980"/>
        <v>4</v>
      </c>
      <c r="V7474" s="403" t="str">
        <f t="shared" si="981"/>
        <v>CPP_7_3</v>
      </c>
    </row>
    <row r="7475" spans="1:22">
      <c r="A7475" t="str">
        <f t="shared" si="977"/>
        <v>NDM-7703-A</v>
      </c>
      <c r="B7475" t="s">
        <v>1951</v>
      </c>
      <c r="C7475" s="403" t="s">
        <v>582</v>
      </c>
      <c r="D7475" s="355" t="s">
        <v>1942</v>
      </c>
      <c r="F7475" s="403" t="s">
        <v>1953</v>
      </c>
      <c r="G7475" t="s">
        <v>1811</v>
      </c>
      <c r="H7475" s="403" t="s">
        <v>1281</v>
      </c>
      <c r="I7475" s="403">
        <v>4</v>
      </c>
      <c r="J7475" s="403" t="s">
        <v>1813</v>
      </c>
      <c r="K7475" s="403">
        <v>2560</v>
      </c>
      <c r="L7475" s="403">
        <v>1440</v>
      </c>
      <c r="M7475" s="403" t="s">
        <v>111</v>
      </c>
      <c r="N7475" s="403">
        <v>768</v>
      </c>
      <c r="O7475" s="403">
        <v>432</v>
      </c>
      <c r="P7475" t="str">
        <f t="shared" si="978"/>
        <v>25fps 2560x1440 - SD</v>
      </c>
      <c r="Q7475">
        <f t="shared" si="962"/>
        <v>44</v>
      </c>
      <c r="R7475" t="str">
        <f t="shared" si="963"/>
        <v/>
      </c>
      <c r="S7475" t="str">
        <f t="shared" si="964"/>
        <v/>
      </c>
      <c r="T7475" s="403" t="str">
        <f t="shared" si="979"/>
        <v>NDM-7703-A</v>
      </c>
      <c r="U7475" s="403">
        <f t="shared" si="980"/>
        <v>4</v>
      </c>
      <c r="V7475" s="403" t="str">
        <f t="shared" si="981"/>
        <v>CPP_7_3</v>
      </c>
    </row>
    <row r="7476" spans="1:22">
      <c r="A7476" t="str">
        <f t="shared" si="977"/>
        <v>NDM-7703-A</v>
      </c>
      <c r="B7476" t="s">
        <v>1951</v>
      </c>
      <c r="C7476" s="403" t="s">
        <v>582</v>
      </c>
      <c r="D7476" s="355" t="s">
        <v>1942</v>
      </c>
      <c r="F7476" s="403" t="s">
        <v>1287</v>
      </c>
      <c r="G7476" t="s">
        <v>1811</v>
      </c>
      <c r="H7476" s="403" t="s">
        <v>1281</v>
      </c>
      <c r="I7476" s="403">
        <v>4</v>
      </c>
      <c r="J7476" s="403" t="s">
        <v>110</v>
      </c>
      <c r="K7476" s="403">
        <v>1920</v>
      </c>
      <c r="L7476" s="403">
        <v>1080</v>
      </c>
      <c r="M7476" s="403" t="s">
        <v>110</v>
      </c>
      <c r="N7476" s="403">
        <v>1920</v>
      </c>
      <c r="O7476" s="403">
        <v>1080</v>
      </c>
      <c r="P7476" t="str">
        <f t="shared" si="978"/>
        <v>25fps 1080p - 1080p</v>
      </c>
      <c r="Q7476">
        <f t="shared" si="962"/>
        <v>44</v>
      </c>
      <c r="R7476" t="str">
        <f t="shared" si="963"/>
        <v/>
      </c>
      <c r="S7476" t="str">
        <f t="shared" si="964"/>
        <v/>
      </c>
      <c r="T7476" s="403" t="str">
        <f t="shared" si="979"/>
        <v>NDM-7703-A</v>
      </c>
      <c r="U7476" s="403">
        <f t="shared" si="980"/>
        <v>4</v>
      </c>
      <c r="V7476" s="403" t="str">
        <f t="shared" si="981"/>
        <v>CPP_7_3</v>
      </c>
    </row>
    <row r="7477" spans="1:22">
      <c r="A7477" t="str">
        <f t="shared" si="977"/>
        <v>NDM-7703-A</v>
      </c>
      <c r="B7477" t="s">
        <v>1951</v>
      </c>
      <c r="C7477" s="403" t="s">
        <v>582</v>
      </c>
      <c r="D7477" s="355" t="s">
        <v>1942</v>
      </c>
      <c r="F7477" s="403" t="s">
        <v>1287</v>
      </c>
      <c r="G7477" t="s">
        <v>1811</v>
      </c>
      <c r="H7477" s="403" t="s">
        <v>1281</v>
      </c>
      <c r="I7477" s="403">
        <v>4</v>
      </c>
      <c r="J7477" s="403" t="s">
        <v>110</v>
      </c>
      <c r="K7477" s="403">
        <v>1920</v>
      </c>
      <c r="L7477" s="403">
        <v>1080</v>
      </c>
      <c r="M7477" s="403" t="s">
        <v>109</v>
      </c>
      <c r="N7477" s="403">
        <v>1280</v>
      </c>
      <c r="O7477" s="403">
        <v>720</v>
      </c>
      <c r="P7477" t="str">
        <f t="shared" si="978"/>
        <v>25fps 1080p - 720p</v>
      </c>
      <c r="Q7477">
        <f t="shared" si="962"/>
        <v>44</v>
      </c>
      <c r="R7477" t="str">
        <f t="shared" si="963"/>
        <v/>
      </c>
      <c r="S7477" t="str">
        <f t="shared" si="964"/>
        <v/>
      </c>
      <c r="T7477" s="403" t="str">
        <f t="shared" si="979"/>
        <v>NDM-7703-A</v>
      </c>
      <c r="U7477" s="403">
        <f t="shared" si="980"/>
        <v>4</v>
      </c>
      <c r="V7477" s="403" t="str">
        <f t="shared" si="981"/>
        <v>CPP_7_3</v>
      </c>
    </row>
    <row r="7478" spans="1:22">
      <c r="A7478" t="str">
        <f t="shared" si="977"/>
        <v>NDM-7703-A</v>
      </c>
      <c r="B7478" t="s">
        <v>1951</v>
      </c>
      <c r="C7478" s="403" t="s">
        <v>582</v>
      </c>
      <c r="D7478" s="355" t="s">
        <v>1942</v>
      </c>
      <c r="F7478" s="403" t="s">
        <v>1287</v>
      </c>
      <c r="G7478" t="s">
        <v>1811</v>
      </c>
      <c r="H7478" s="403" t="s">
        <v>1281</v>
      </c>
      <c r="I7478" s="403">
        <v>4</v>
      </c>
      <c r="J7478" s="403" t="s">
        <v>110</v>
      </c>
      <c r="K7478" s="403">
        <v>1920</v>
      </c>
      <c r="L7478" s="403">
        <v>1080</v>
      </c>
      <c r="M7478" s="403" t="s">
        <v>111</v>
      </c>
      <c r="N7478" s="403">
        <v>768</v>
      </c>
      <c r="O7478" s="403">
        <v>432</v>
      </c>
      <c r="P7478" t="str">
        <f t="shared" si="978"/>
        <v>25fps 1080p - SD</v>
      </c>
      <c r="Q7478">
        <f t="shared" si="962"/>
        <v>44</v>
      </c>
      <c r="R7478" t="str">
        <f t="shared" si="963"/>
        <v/>
      </c>
      <c r="S7478" t="str">
        <f t="shared" si="964"/>
        <v/>
      </c>
      <c r="T7478" s="403" t="str">
        <f t="shared" si="979"/>
        <v>NDM-7703-A</v>
      </c>
      <c r="U7478" s="403">
        <f t="shared" si="980"/>
        <v>4</v>
      </c>
      <c r="V7478" s="403" t="str">
        <f t="shared" si="981"/>
        <v>CPP_7_3</v>
      </c>
    </row>
    <row r="7479" spans="1:22">
      <c r="A7479" t="str">
        <f t="shared" si="954"/>
        <v>NDS-5703-F360</v>
      </c>
      <c r="B7479" t="s">
        <v>1954</v>
      </c>
      <c r="C7479" s="403" t="s">
        <v>582</v>
      </c>
      <c r="D7479" s="355" t="s">
        <v>1943</v>
      </c>
      <c r="I7479">
        <v>1</v>
      </c>
      <c r="P7479" t="str">
        <f t="shared" si="955"/>
        <v xml:space="preserve">  - </v>
      </c>
      <c r="Q7479">
        <f t="shared" si="962"/>
        <v>45</v>
      </c>
      <c r="R7479">
        <f t="shared" si="963"/>
        <v>45</v>
      </c>
      <c r="S7479" t="str">
        <f t="shared" si="964"/>
        <v>FLEXIDOME IP panoramic 5100i (NDS-5703-F360)</v>
      </c>
      <c r="T7479" s="403" t="str">
        <f t="shared" si="957"/>
        <v>NDS-5703-F360</v>
      </c>
      <c r="U7479" s="403">
        <f t="shared" si="958"/>
        <v>1</v>
      </c>
      <c r="V7479" s="403" t="str">
        <f t="shared" si="959"/>
        <v>CPP_7_3</v>
      </c>
    </row>
    <row r="7480" spans="1:22">
      <c r="A7480" t="str">
        <f t="shared" ref="A7480:A7484" si="982">IF(AND(G7480&lt;&gt;"rotate 90°"),D7480,"")</f>
        <v>NDS-5703-F360</v>
      </c>
      <c r="B7480" t="s">
        <v>1954</v>
      </c>
      <c r="C7480" s="403" t="s">
        <v>582</v>
      </c>
      <c r="D7480" s="355" t="s">
        <v>1943</v>
      </c>
      <c r="F7480" s="403" t="s">
        <v>1955</v>
      </c>
      <c r="G7480" t="s">
        <v>1811</v>
      </c>
      <c r="H7480" s="403" t="s">
        <v>1281</v>
      </c>
      <c r="I7480" s="403">
        <v>1</v>
      </c>
      <c r="J7480" s="403" t="s">
        <v>1956</v>
      </c>
      <c r="K7480" s="403">
        <v>2112</v>
      </c>
      <c r="L7480" s="403">
        <v>2112</v>
      </c>
      <c r="M7480" s="403" t="s">
        <v>1956</v>
      </c>
      <c r="N7480" s="403">
        <v>2112</v>
      </c>
      <c r="O7480" s="403">
        <v>2112</v>
      </c>
      <c r="P7480" t="str">
        <f t="shared" ref="P7480:P7488" si="983">LEFT(F7480,5)&amp;" "&amp;J7480&amp;" - "&amp;M7480</f>
        <v>30fps 2112x2112 - 2112x2112</v>
      </c>
      <c r="Q7480">
        <f t="shared" ref="Q7480:Q7495" si="984">IF(A7479=A7480,Q7479,Q7479+1)</f>
        <v>45</v>
      </c>
      <c r="R7480" t="str">
        <f t="shared" si="963"/>
        <v/>
      </c>
      <c r="S7480" t="str">
        <f t="shared" ref="S7480:S7495" si="985">IF(R7480&lt;&gt;"",B7480&amp;" ("&amp;D7480&amp;")","")</f>
        <v/>
      </c>
      <c r="T7480" s="403" t="str">
        <f t="shared" ref="T7480:T7488" si="986">D7480</f>
        <v>NDS-5703-F360</v>
      </c>
      <c r="U7480" s="403">
        <f t="shared" ref="U7480:U7488" si="987">I7480</f>
        <v>1</v>
      </c>
      <c r="V7480" s="403" t="str">
        <f t="shared" ref="V7480:V7488" si="988">C7480</f>
        <v>CPP_7_3</v>
      </c>
    </row>
    <row r="7481" spans="1:22">
      <c r="A7481" t="str">
        <f t="shared" si="982"/>
        <v>NDS-5703-F360</v>
      </c>
      <c r="B7481" t="s">
        <v>1954</v>
      </c>
      <c r="C7481" s="403" t="s">
        <v>582</v>
      </c>
      <c r="D7481" s="355" t="s">
        <v>1943</v>
      </c>
      <c r="F7481" s="403" t="s">
        <v>1955</v>
      </c>
      <c r="G7481" t="s">
        <v>1811</v>
      </c>
      <c r="H7481" s="403" t="s">
        <v>1281</v>
      </c>
      <c r="I7481" s="403">
        <v>1</v>
      </c>
      <c r="J7481" s="403" t="s">
        <v>1956</v>
      </c>
      <c r="K7481" s="403">
        <v>2112</v>
      </c>
      <c r="L7481" s="403">
        <v>2112</v>
      </c>
      <c r="M7481" s="403" t="s">
        <v>1443</v>
      </c>
      <c r="N7481" s="403">
        <v>1792</v>
      </c>
      <c r="O7481" s="403">
        <v>1792</v>
      </c>
      <c r="P7481" t="str">
        <f t="shared" si="983"/>
        <v>30fps 2112x2112 - 1792x1792</v>
      </c>
      <c r="Q7481">
        <f t="shared" si="984"/>
        <v>45</v>
      </c>
      <c r="R7481" t="str">
        <f t="shared" si="963"/>
        <v/>
      </c>
      <c r="S7481" t="str">
        <f t="shared" si="985"/>
        <v/>
      </c>
      <c r="T7481" s="403" t="str">
        <f t="shared" si="986"/>
        <v>NDS-5703-F360</v>
      </c>
      <c r="U7481" s="403">
        <f t="shared" si="987"/>
        <v>1</v>
      </c>
      <c r="V7481" s="403" t="str">
        <f t="shared" si="988"/>
        <v>CPP_7_3</v>
      </c>
    </row>
    <row r="7482" spans="1:22">
      <c r="A7482" t="str">
        <f t="shared" si="982"/>
        <v>NDS-5703-F360</v>
      </c>
      <c r="B7482" t="s">
        <v>1954</v>
      </c>
      <c r="C7482" s="403" t="s">
        <v>582</v>
      </c>
      <c r="D7482" s="355" t="s">
        <v>1943</v>
      </c>
      <c r="F7482" s="403" t="s">
        <v>1955</v>
      </c>
      <c r="G7482" t="s">
        <v>1811</v>
      </c>
      <c r="H7482" s="403" t="s">
        <v>1281</v>
      </c>
      <c r="I7482" s="403">
        <v>1</v>
      </c>
      <c r="J7482" s="403" t="s">
        <v>1956</v>
      </c>
      <c r="K7482" s="403">
        <v>2112</v>
      </c>
      <c r="L7482" s="403">
        <v>2112</v>
      </c>
      <c r="M7482" s="403" t="s">
        <v>1444</v>
      </c>
      <c r="N7482" s="403">
        <v>1440</v>
      </c>
      <c r="O7482" s="403">
        <v>1440</v>
      </c>
      <c r="P7482" t="str">
        <f t="shared" si="983"/>
        <v>30fps 2112x2112 - 1440x1440</v>
      </c>
      <c r="Q7482">
        <f t="shared" si="984"/>
        <v>45</v>
      </c>
      <c r="R7482" t="str">
        <f t="shared" si="963"/>
        <v/>
      </c>
      <c r="S7482" t="str">
        <f t="shared" si="985"/>
        <v/>
      </c>
      <c r="T7482" s="403" t="str">
        <f t="shared" si="986"/>
        <v>NDS-5703-F360</v>
      </c>
      <c r="U7482" s="403">
        <f t="shared" si="987"/>
        <v>1</v>
      </c>
      <c r="V7482" s="403" t="str">
        <f t="shared" si="988"/>
        <v>CPP_7_3</v>
      </c>
    </row>
    <row r="7483" spans="1:22">
      <c r="A7483" t="str">
        <f t="shared" si="982"/>
        <v>NDS-5703-F360</v>
      </c>
      <c r="B7483" t="s">
        <v>1954</v>
      </c>
      <c r="C7483" s="403" t="s">
        <v>582</v>
      </c>
      <c r="D7483" s="355" t="s">
        <v>1943</v>
      </c>
      <c r="F7483" s="403" t="s">
        <v>1955</v>
      </c>
      <c r="G7483" t="s">
        <v>1811</v>
      </c>
      <c r="H7483" s="403" t="s">
        <v>1281</v>
      </c>
      <c r="I7483" s="403">
        <v>1</v>
      </c>
      <c r="J7483" s="403" t="s">
        <v>1956</v>
      </c>
      <c r="K7483" s="403">
        <v>2112</v>
      </c>
      <c r="L7483" s="403">
        <v>2112</v>
      </c>
      <c r="M7483" s="403" t="s">
        <v>1445</v>
      </c>
      <c r="N7483" s="403">
        <v>1024</v>
      </c>
      <c r="O7483" s="403">
        <v>1024</v>
      </c>
      <c r="P7483" t="str">
        <f t="shared" si="983"/>
        <v>30fps 2112x2112 - 1024x1024</v>
      </c>
      <c r="Q7483">
        <f t="shared" si="984"/>
        <v>45</v>
      </c>
      <c r="R7483" t="str">
        <f t="shared" si="963"/>
        <v/>
      </c>
      <c r="S7483" t="str">
        <f t="shared" si="985"/>
        <v/>
      </c>
      <c r="T7483" s="403" t="str">
        <f t="shared" si="986"/>
        <v>NDS-5703-F360</v>
      </c>
      <c r="U7483" s="403">
        <f t="shared" si="987"/>
        <v>1</v>
      </c>
      <c r="V7483" s="403" t="str">
        <f t="shared" si="988"/>
        <v>CPP_7_3</v>
      </c>
    </row>
    <row r="7484" spans="1:22">
      <c r="A7484" t="str">
        <f t="shared" si="982"/>
        <v>NDS-5703-F360</v>
      </c>
      <c r="B7484" t="s">
        <v>1954</v>
      </c>
      <c r="C7484" s="403" t="s">
        <v>582</v>
      </c>
      <c r="D7484" s="355" t="s">
        <v>1943</v>
      </c>
      <c r="F7484" s="403" t="s">
        <v>1955</v>
      </c>
      <c r="G7484" t="s">
        <v>1811</v>
      </c>
      <c r="H7484" s="403" t="s">
        <v>1281</v>
      </c>
      <c r="I7484" s="403">
        <v>1</v>
      </c>
      <c r="J7484" s="403" t="s">
        <v>1956</v>
      </c>
      <c r="K7484" s="403">
        <v>2112</v>
      </c>
      <c r="L7484" s="403">
        <v>2112</v>
      </c>
      <c r="M7484" s="403" t="s">
        <v>1957</v>
      </c>
      <c r="N7484" s="403">
        <v>720</v>
      </c>
      <c r="O7484" s="403">
        <v>720</v>
      </c>
      <c r="P7484" t="str">
        <f t="shared" si="983"/>
        <v>30fps 2112x2112 - 720x720</v>
      </c>
      <c r="Q7484">
        <f t="shared" si="984"/>
        <v>45</v>
      </c>
      <c r="R7484" t="str">
        <f t="shared" si="963"/>
        <v/>
      </c>
      <c r="S7484" t="str">
        <f t="shared" si="985"/>
        <v/>
      </c>
      <c r="T7484" s="403" t="str">
        <f t="shared" si="986"/>
        <v>NDS-5703-F360</v>
      </c>
      <c r="U7484" s="403">
        <f t="shared" si="987"/>
        <v>1</v>
      </c>
      <c r="V7484" s="403" t="str">
        <f t="shared" si="988"/>
        <v>CPP_7_3</v>
      </c>
    </row>
    <row r="7485" spans="1:22">
      <c r="A7485" t="str">
        <f t="shared" ref="A7485:A7488" si="989">IF(AND(G7485&lt;&gt;"rotate 90°"),D7485,"")</f>
        <v>NDS-5703-F360</v>
      </c>
      <c r="B7485" t="s">
        <v>1954</v>
      </c>
      <c r="C7485" s="403" t="s">
        <v>582</v>
      </c>
      <c r="D7485" s="355" t="s">
        <v>1943</v>
      </c>
      <c r="F7485" s="403" t="s">
        <v>1955</v>
      </c>
      <c r="G7485" t="s">
        <v>1811</v>
      </c>
      <c r="H7485" s="403" t="s">
        <v>1281</v>
      </c>
      <c r="I7485" s="403">
        <v>1</v>
      </c>
      <c r="J7485" s="403" t="s">
        <v>1443</v>
      </c>
      <c r="K7485" s="403">
        <v>1792</v>
      </c>
      <c r="L7485" s="403">
        <v>1792</v>
      </c>
      <c r="M7485" s="403" t="s">
        <v>1443</v>
      </c>
      <c r="N7485" s="403">
        <v>1792</v>
      </c>
      <c r="O7485" s="403">
        <v>1792</v>
      </c>
      <c r="P7485" t="str">
        <f t="shared" si="983"/>
        <v>30fps 1792x1792 - 1792x1792</v>
      </c>
      <c r="Q7485">
        <f t="shared" ref="Q7485:Q7488" si="990">IF(A7484=A7485,Q7484,Q7484+1)</f>
        <v>45</v>
      </c>
      <c r="R7485" t="str">
        <f t="shared" ref="R7485:R7488" si="991">IF(Q7484&lt;&gt;Q7485,Q7485,"")</f>
        <v/>
      </c>
      <c r="S7485" t="str">
        <f t="shared" ref="S7485:S7488" si="992">IF(R7485&lt;&gt;"",B7485&amp;" ("&amp;D7485&amp;")","")</f>
        <v/>
      </c>
      <c r="T7485" s="403" t="str">
        <f t="shared" si="986"/>
        <v>NDS-5703-F360</v>
      </c>
      <c r="U7485" s="403">
        <f t="shared" si="987"/>
        <v>1</v>
      </c>
      <c r="V7485" s="403" t="str">
        <f t="shared" si="988"/>
        <v>CPP_7_3</v>
      </c>
    </row>
    <row r="7486" spans="1:22">
      <c r="A7486" t="str">
        <f t="shared" si="989"/>
        <v>NDS-5703-F360</v>
      </c>
      <c r="B7486" t="s">
        <v>1954</v>
      </c>
      <c r="C7486" s="403" t="s">
        <v>582</v>
      </c>
      <c r="D7486" s="355" t="s">
        <v>1943</v>
      </c>
      <c r="F7486" s="403" t="s">
        <v>1955</v>
      </c>
      <c r="G7486" t="s">
        <v>1811</v>
      </c>
      <c r="H7486" s="403" t="s">
        <v>1281</v>
      </c>
      <c r="I7486" s="403">
        <v>1</v>
      </c>
      <c r="J7486" s="403" t="s">
        <v>1443</v>
      </c>
      <c r="K7486" s="403">
        <v>1792</v>
      </c>
      <c r="L7486" s="403">
        <v>1792</v>
      </c>
      <c r="M7486" s="403" t="s">
        <v>1444</v>
      </c>
      <c r="N7486" s="403">
        <v>1440</v>
      </c>
      <c r="O7486" s="403">
        <v>1440</v>
      </c>
      <c r="P7486" t="str">
        <f t="shared" si="983"/>
        <v>30fps 1792x1792 - 1440x1440</v>
      </c>
      <c r="Q7486">
        <f t="shared" si="990"/>
        <v>45</v>
      </c>
      <c r="R7486" t="str">
        <f t="shared" si="991"/>
        <v/>
      </c>
      <c r="S7486" t="str">
        <f t="shared" si="992"/>
        <v/>
      </c>
      <c r="T7486" s="403" t="str">
        <f t="shared" si="986"/>
        <v>NDS-5703-F360</v>
      </c>
      <c r="U7486" s="403">
        <f t="shared" si="987"/>
        <v>1</v>
      </c>
      <c r="V7486" s="403" t="str">
        <f t="shared" si="988"/>
        <v>CPP_7_3</v>
      </c>
    </row>
    <row r="7487" spans="1:22">
      <c r="A7487" t="str">
        <f t="shared" si="989"/>
        <v>NDS-5703-F360</v>
      </c>
      <c r="B7487" t="s">
        <v>1954</v>
      </c>
      <c r="C7487" s="403" t="s">
        <v>582</v>
      </c>
      <c r="D7487" s="355" t="s">
        <v>1943</v>
      </c>
      <c r="F7487" s="403" t="s">
        <v>1955</v>
      </c>
      <c r="G7487" t="s">
        <v>1811</v>
      </c>
      <c r="H7487" s="403" t="s">
        <v>1281</v>
      </c>
      <c r="I7487" s="403">
        <v>1</v>
      </c>
      <c r="J7487" s="403" t="s">
        <v>1443</v>
      </c>
      <c r="K7487" s="403">
        <v>1792</v>
      </c>
      <c r="L7487" s="403">
        <v>1792</v>
      </c>
      <c r="M7487" s="403" t="s">
        <v>1445</v>
      </c>
      <c r="N7487" s="403">
        <v>1024</v>
      </c>
      <c r="O7487" s="403">
        <v>1024</v>
      </c>
      <c r="P7487" t="str">
        <f t="shared" si="983"/>
        <v>30fps 1792x1792 - 1024x1024</v>
      </c>
      <c r="Q7487">
        <f t="shared" si="990"/>
        <v>45</v>
      </c>
      <c r="R7487" t="str">
        <f t="shared" si="991"/>
        <v/>
      </c>
      <c r="S7487" t="str">
        <f t="shared" si="992"/>
        <v/>
      </c>
      <c r="T7487" s="403" t="str">
        <f t="shared" si="986"/>
        <v>NDS-5703-F360</v>
      </c>
      <c r="U7487" s="403">
        <f t="shared" si="987"/>
        <v>1</v>
      </c>
      <c r="V7487" s="403" t="str">
        <f t="shared" si="988"/>
        <v>CPP_7_3</v>
      </c>
    </row>
    <row r="7488" spans="1:22">
      <c r="A7488" t="str">
        <f t="shared" si="989"/>
        <v>NDS-5703-F360</v>
      </c>
      <c r="B7488" t="s">
        <v>1954</v>
      </c>
      <c r="C7488" s="403" t="s">
        <v>582</v>
      </c>
      <c r="D7488" s="355" t="s">
        <v>1943</v>
      </c>
      <c r="F7488" s="403" t="s">
        <v>1955</v>
      </c>
      <c r="G7488" t="s">
        <v>1811</v>
      </c>
      <c r="H7488" s="403" t="s">
        <v>1281</v>
      </c>
      <c r="I7488" s="403">
        <v>1</v>
      </c>
      <c r="J7488" s="403" t="s">
        <v>1443</v>
      </c>
      <c r="K7488" s="403">
        <v>1792</v>
      </c>
      <c r="L7488" s="403">
        <v>1792</v>
      </c>
      <c r="M7488" s="403" t="s">
        <v>1957</v>
      </c>
      <c r="N7488" s="403">
        <v>720</v>
      </c>
      <c r="O7488" s="403">
        <v>720</v>
      </c>
      <c r="P7488" t="str">
        <f t="shared" si="983"/>
        <v>30fps 1792x1792 - 720x720</v>
      </c>
      <c r="Q7488">
        <f t="shared" si="990"/>
        <v>45</v>
      </c>
      <c r="R7488" t="str">
        <f t="shared" si="991"/>
        <v/>
      </c>
      <c r="S7488" t="str">
        <f t="shared" si="992"/>
        <v/>
      </c>
      <c r="T7488" s="403" t="str">
        <f t="shared" si="986"/>
        <v>NDS-5703-F360</v>
      </c>
      <c r="U7488" s="403">
        <f t="shared" si="987"/>
        <v>1</v>
      </c>
      <c r="V7488" s="403" t="str">
        <f t="shared" si="988"/>
        <v>CPP_7_3</v>
      </c>
    </row>
    <row r="7489" spans="1:22">
      <c r="A7489" t="str">
        <f t="shared" si="954"/>
        <v>NDS-5704-F360</v>
      </c>
      <c r="B7489" t="s">
        <v>1954</v>
      </c>
      <c r="C7489" s="403" t="s">
        <v>582</v>
      </c>
      <c r="D7489" s="355" t="s">
        <v>1944</v>
      </c>
      <c r="I7489">
        <v>1</v>
      </c>
      <c r="P7489" t="str">
        <f t="shared" si="955"/>
        <v xml:space="preserve">  - </v>
      </c>
      <c r="Q7489">
        <f>IF(A7484=A7489,Q7484,Q7484+1)</f>
        <v>46</v>
      </c>
      <c r="R7489">
        <f>IF(Q7484&lt;&gt;Q7489,Q7489,"")</f>
        <v>46</v>
      </c>
      <c r="S7489" t="str">
        <f t="shared" si="985"/>
        <v>FLEXIDOME IP panoramic 5100i (NDS-5704-F360)</v>
      </c>
      <c r="T7489" s="403" t="str">
        <f t="shared" si="957"/>
        <v>NDS-5704-F360</v>
      </c>
      <c r="U7489" s="403">
        <f t="shared" si="958"/>
        <v>1</v>
      </c>
      <c r="V7489" s="403" t="str">
        <f t="shared" si="959"/>
        <v>CPP_7_3</v>
      </c>
    </row>
    <row r="7490" spans="1:22">
      <c r="A7490" t="str">
        <f t="shared" ref="A7490:A7496" si="993">IF(AND(G7490&lt;&gt;"rotate 90°"),D7490,"")</f>
        <v>NDS-5704-F360</v>
      </c>
      <c r="B7490" t="s">
        <v>1954</v>
      </c>
      <c r="C7490" s="403" t="s">
        <v>582</v>
      </c>
      <c r="D7490" s="355" t="s">
        <v>1944</v>
      </c>
      <c r="F7490" t="s">
        <v>1958</v>
      </c>
      <c r="G7490" t="s">
        <v>1811</v>
      </c>
      <c r="H7490" s="403" t="s">
        <v>1281</v>
      </c>
      <c r="I7490">
        <v>1</v>
      </c>
      <c r="J7490" t="s">
        <v>1959</v>
      </c>
      <c r="K7490">
        <v>3008</v>
      </c>
      <c r="L7490">
        <v>3008</v>
      </c>
      <c r="M7490" t="s">
        <v>1959</v>
      </c>
      <c r="N7490">
        <v>3008</v>
      </c>
      <c r="O7490">
        <v>3008</v>
      </c>
      <c r="P7490" t="str">
        <f t="shared" ref="P7490:P7495" si="994">LEFT(F7490,5)&amp;" "&amp;J7490&amp;" - "&amp;M7490</f>
        <v>30fps 3008x3008 - 3008x3008</v>
      </c>
      <c r="Q7490">
        <f t="shared" si="984"/>
        <v>46</v>
      </c>
      <c r="R7490" t="str">
        <f t="shared" ref="R7490:R7495" si="995">IF(Q7489&lt;&gt;Q7490,Q7490,"")</f>
        <v/>
      </c>
      <c r="S7490" t="str">
        <f t="shared" si="985"/>
        <v/>
      </c>
      <c r="T7490" s="403" t="str">
        <f t="shared" ref="T7490:T7495" si="996">D7490</f>
        <v>NDS-5704-F360</v>
      </c>
      <c r="U7490" s="403">
        <f t="shared" ref="U7490:U7495" si="997">I7490</f>
        <v>1</v>
      </c>
      <c r="V7490" s="403" t="str">
        <f t="shared" ref="V7490:V7495" si="998">C7490</f>
        <v>CPP_7_3</v>
      </c>
    </row>
    <row r="7491" spans="1:22">
      <c r="A7491" t="str">
        <f t="shared" si="993"/>
        <v>NDS-5704-F360</v>
      </c>
      <c r="B7491" t="s">
        <v>1954</v>
      </c>
      <c r="C7491" s="403" t="s">
        <v>582</v>
      </c>
      <c r="D7491" s="355" t="s">
        <v>1944</v>
      </c>
      <c r="F7491" t="s">
        <v>1958</v>
      </c>
      <c r="G7491" t="s">
        <v>1811</v>
      </c>
      <c r="H7491" s="403" t="s">
        <v>1281</v>
      </c>
      <c r="I7491">
        <v>1</v>
      </c>
      <c r="J7491" t="s">
        <v>1959</v>
      </c>
      <c r="K7491">
        <v>3008</v>
      </c>
      <c r="L7491">
        <v>3008</v>
      </c>
      <c r="M7491" s="403" t="s">
        <v>1956</v>
      </c>
      <c r="N7491" s="403">
        <v>2112</v>
      </c>
      <c r="O7491" s="403">
        <v>2112</v>
      </c>
      <c r="P7491" t="str">
        <f t="shared" si="994"/>
        <v>30fps 3008x3008 - 2112x2112</v>
      </c>
      <c r="Q7491">
        <f t="shared" si="984"/>
        <v>46</v>
      </c>
      <c r="R7491" t="str">
        <f t="shared" si="995"/>
        <v/>
      </c>
      <c r="S7491" t="str">
        <f t="shared" si="985"/>
        <v/>
      </c>
      <c r="T7491" s="403" t="str">
        <f t="shared" si="996"/>
        <v>NDS-5704-F360</v>
      </c>
      <c r="U7491" s="403">
        <f t="shared" si="997"/>
        <v>1</v>
      </c>
      <c r="V7491" s="403" t="str">
        <f t="shared" si="998"/>
        <v>CPP_7_3</v>
      </c>
    </row>
    <row r="7492" spans="1:22">
      <c r="A7492" t="str">
        <f t="shared" si="993"/>
        <v>NDS-5704-F360</v>
      </c>
      <c r="B7492" t="s">
        <v>1954</v>
      </c>
      <c r="C7492" s="403" t="s">
        <v>582</v>
      </c>
      <c r="D7492" s="355" t="s">
        <v>1944</v>
      </c>
      <c r="F7492" t="s">
        <v>1958</v>
      </c>
      <c r="G7492" t="s">
        <v>1811</v>
      </c>
      <c r="H7492" s="403" t="s">
        <v>1281</v>
      </c>
      <c r="I7492">
        <v>1</v>
      </c>
      <c r="J7492" t="s">
        <v>1959</v>
      </c>
      <c r="K7492">
        <v>3008</v>
      </c>
      <c r="L7492">
        <v>3008</v>
      </c>
      <c r="M7492" s="403" t="s">
        <v>1443</v>
      </c>
      <c r="N7492" s="403">
        <v>1792</v>
      </c>
      <c r="O7492" s="403">
        <v>1792</v>
      </c>
      <c r="P7492" t="str">
        <f t="shared" si="994"/>
        <v>30fps 3008x3008 - 1792x1792</v>
      </c>
      <c r="Q7492">
        <f t="shared" si="984"/>
        <v>46</v>
      </c>
      <c r="R7492" t="str">
        <f t="shared" si="995"/>
        <v/>
      </c>
      <c r="S7492" t="str">
        <f t="shared" si="985"/>
        <v/>
      </c>
      <c r="T7492" s="403" t="str">
        <f t="shared" si="996"/>
        <v>NDS-5704-F360</v>
      </c>
      <c r="U7492" s="403">
        <f t="shared" si="997"/>
        <v>1</v>
      </c>
      <c r="V7492" s="403" t="str">
        <f t="shared" si="998"/>
        <v>CPP_7_3</v>
      </c>
    </row>
    <row r="7493" spans="1:22">
      <c r="A7493" t="str">
        <f t="shared" si="993"/>
        <v>NDS-5704-F360</v>
      </c>
      <c r="B7493" t="s">
        <v>1954</v>
      </c>
      <c r="C7493" s="403" t="s">
        <v>582</v>
      </c>
      <c r="D7493" s="355" t="s">
        <v>1944</v>
      </c>
      <c r="F7493" t="s">
        <v>1958</v>
      </c>
      <c r="G7493" t="s">
        <v>1811</v>
      </c>
      <c r="H7493" s="403" t="s">
        <v>1281</v>
      </c>
      <c r="I7493">
        <v>1</v>
      </c>
      <c r="J7493" t="s">
        <v>1959</v>
      </c>
      <c r="K7493">
        <v>3008</v>
      </c>
      <c r="L7493">
        <v>3008</v>
      </c>
      <c r="M7493" s="403" t="s">
        <v>1444</v>
      </c>
      <c r="N7493" s="403">
        <v>1440</v>
      </c>
      <c r="O7493" s="403">
        <v>1440</v>
      </c>
      <c r="P7493" t="str">
        <f t="shared" si="994"/>
        <v>30fps 3008x3008 - 1440x1440</v>
      </c>
      <c r="Q7493">
        <f t="shared" si="984"/>
        <v>46</v>
      </c>
      <c r="R7493" t="str">
        <f t="shared" si="995"/>
        <v/>
      </c>
      <c r="S7493" t="str">
        <f t="shared" si="985"/>
        <v/>
      </c>
      <c r="T7493" s="403" t="str">
        <f t="shared" si="996"/>
        <v>NDS-5704-F360</v>
      </c>
      <c r="U7493" s="403">
        <f t="shared" si="997"/>
        <v>1</v>
      </c>
      <c r="V7493" s="403" t="str">
        <f t="shared" si="998"/>
        <v>CPP_7_3</v>
      </c>
    </row>
    <row r="7494" spans="1:22">
      <c r="A7494" t="str">
        <f t="shared" si="993"/>
        <v>NDS-5704-F360</v>
      </c>
      <c r="B7494" t="s">
        <v>1954</v>
      </c>
      <c r="C7494" s="403" t="s">
        <v>582</v>
      </c>
      <c r="D7494" s="355" t="s">
        <v>1944</v>
      </c>
      <c r="F7494" t="s">
        <v>1958</v>
      </c>
      <c r="G7494" t="s">
        <v>1811</v>
      </c>
      <c r="H7494" s="403" t="s">
        <v>1281</v>
      </c>
      <c r="I7494">
        <v>1</v>
      </c>
      <c r="J7494" t="s">
        <v>1959</v>
      </c>
      <c r="K7494">
        <v>3008</v>
      </c>
      <c r="L7494">
        <v>3008</v>
      </c>
      <c r="M7494" s="403" t="s">
        <v>1445</v>
      </c>
      <c r="N7494" s="403">
        <v>1024</v>
      </c>
      <c r="O7494" s="403">
        <v>1024</v>
      </c>
      <c r="P7494" t="str">
        <f t="shared" si="994"/>
        <v>30fps 3008x3008 - 1024x1024</v>
      </c>
      <c r="Q7494">
        <f t="shared" si="984"/>
        <v>46</v>
      </c>
      <c r="R7494" t="str">
        <f t="shared" si="995"/>
        <v/>
      </c>
      <c r="S7494" t="str">
        <f t="shared" si="985"/>
        <v/>
      </c>
      <c r="T7494" s="403" t="str">
        <f t="shared" si="996"/>
        <v>NDS-5704-F360</v>
      </c>
      <c r="U7494" s="403">
        <f t="shared" si="997"/>
        <v>1</v>
      </c>
      <c r="V7494" s="403" t="str">
        <f t="shared" si="998"/>
        <v>CPP_7_3</v>
      </c>
    </row>
    <row r="7495" spans="1:22" ht="13.5" customHeight="1">
      <c r="A7495" t="str">
        <f t="shared" si="993"/>
        <v>NDS-5704-F360</v>
      </c>
      <c r="B7495" t="s">
        <v>1954</v>
      </c>
      <c r="C7495" s="403" t="s">
        <v>582</v>
      </c>
      <c r="D7495" s="355" t="s">
        <v>1944</v>
      </c>
      <c r="F7495" t="s">
        <v>1958</v>
      </c>
      <c r="G7495" t="s">
        <v>1811</v>
      </c>
      <c r="H7495" s="403" t="s">
        <v>1281</v>
      </c>
      <c r="I7495">
        <v>1</v>
      </c>
      <c r="J7495" t="s">
        <v>1959</v>
      </c>
      <c r="K7495">
        <v>3008</v>
      </c>
      <c r="L7495">
        <v>3008</v>
      </c>
      <c r="M7495" s="403" t="s">
        <v>1957</v>
      </c>
      <c r="N7495" s="403">
        <v>720</v>
      </c>
      <c r="O7495" s="403">
        <v>720</v>
      </c>
      <c r="P7495" t="str">
        <f t="shared" si="994"/>
        <v>30fps 3008x3008 - 720x720</v>
      </c>
      <c r="Q7495">
        <f t="shared" si="984"/>
        <v>46</v>
      </c>
      <c r="R7495" t="str">
        <f t="shared" si="995"/>
        <v/>
      </c>
      <c r="S7495" t="str">
        <f t="shared" si="985"/>
        <v/>
      </c>
      <c r="T7495" s="403" t="str">
        <f t="shared" si="996"/>
        <v>NDS-5704-F360</v>
      </c>
      <c r="U7495" s="403">
        <f t="shared" si="997"/>
        <v>1</v>
      </c>
      <c r="V7495" s="403" t="str">
        <f t="shared" si="998"/>
        <v>CPP_7_3</v>
      </c>
    </row>
    <row r="7496" spans="1:22" ht="13.5" customHeight="1">
      <c r="A7496" t="str">
        <f t="shared" si="993"/>
        <v>NDS-5704-F360</v>
      </c>
      <c r="B7496" t="s">
        <v>1954</v>
      </c>
      <c r="C7496" s="403" t="s">
        <v>582</v>
      </c>
      <c r="D7496" s="355" t="s">
        <v>1944</v>
      </c>
      <c r="F7496" t="s">
        <v>1989</v>
      </c>
      <c r="G7496" t="s">
        <v>1811</v>
      </c>
      <c r="H7496" s="403" t="s">
        <v>1281</v>
      </c>
      <c r="I7496">
        <v>1</v>
      </c>
      <c r="J7496" t="s">
        <v>1990</v>
      </c>
      <c r="K7496">
        <v>2560</v>
      </c>
      <c r="L7496">
        <v>2560</v>
      </c>
      <c r="M7496" t="s">
        <v>1990</v>
      </c>
      <c r="N7496">
        <v>2560</v>
      </c>
      <c r="O7496">
        <v>2560</v>
      </c>
      <c r="P7496" t="str">
        <f>LEFT(F7496,5)&amp;" "&amp;J7496&amp;" - "&amp;M7496</f>
        <v>30fps 2560x2560 - 2560x2560</v>
      </c>
      <c r="Q7496">
        <f>IF(A7495=A7496,Q7495,Q7495+1)</f>
        <v>46</v>
      </c>
      <c r="R7496" t="str">
        <f>IF(Q7495&lt;&gt;Q7496,Q7496,"")</f>
        <v/>
      </c>
      <c r="S7496" t="str">
        <f>IF(R7496&lt;&gt;"",B7496&amp;" ("&amp;D7496&amp;")","")</f>
        <v/>
      </c>
      <c r="T7496" s="403" t="str">
        <f>D7496</f>
        <v>NDS-5704-F360</v>
      </c>
      <c r="U7496" s="403">
        <f>I7496</f>
        <v>1</v>
      </c>
      <c r="V7496" s="403" t="str">
        <f>C7496</f>
        <v>CPP_7_3</v>
      </c>
    </row>
    <row r="7497" spans="1:22">
      <c r="A7497" t="str">
        <f t="shared" ref="A7497:A7501" si="999">IF(AND(G7497&lt;&gt;"rotate 90°"),D7497,"")</f>
        <v>NDS-5704-F360</v>
      </c>
      <c r="B7497" t="s">
        <v>1954</v>
      </c>
      <c r="C7497" s="403" t="s">
        <v>582</v>
      </c>
      <c r="D7497" s="355" t="s">
        <v>1944</v>
      </c>
      <c r="F7497" t="s">
        <v>1989</v>
      </c>
      <c r="G7497" t="s">
        <v>1811</v>
      </c>
      <c r="H7497" s="403" t="s">
        <v>1281</v>
      </c>
      <c r="I7497">
        <v>1</v>
      </c>
      <c r="J7497" t="s">
        <v>1990</v>
      </c>
      <c r="K7497">
        <v>2560</v>
      </c>
      <c r="L7497">
        <v>2560</v>
      </c>
      <c r="M7497" s="403" t="s">
        <v>1956</v>
      </c>
      <c r="N7497" s="403">
        <v>2112</v>
      </c>
      <c r="O7497" s="403">
        <v>2112</v>
      </c>
      <c r="P7497" t="str">
        <f t="shared" ref="P7497:P7501" si="1000">LEFT(F7497,5)&amp;" "&amp;J7497&amp;" - "&amp;M7497</f>
        <v>30fps 2560x2560 - 2112x2112</v>
      </c>
      <c r="Q7497">
        <f>IF(A7495=A7497,Q7495,Q7495+1)</f>
        <v>46</v>
      </c>
      <c r="R7497" t="str">
        <f>IF(Q7495&lt;&gt;Q7497,Q7497,"")</f>
        <v/>
      </c>
      <c r="S7497" t="str">
        <f t="shared" ref="S7497:S7501" si="1001">IF(R7497&lt;&gt;"",B7497&amp;" ("&amp;D7497&amp;")","")</f>
        <v/>
      </c>
      <c r="T7497" s="403" t="str">
        <f t="shared" ref="T7497:T7501" si="1002">D7497</f>
        <v>NDS-5704-F360</v>
      </c>
      <c r="U7497" s="403">
        <f t="shared" ref="U7497:U7501" si="1003">I7497</f>
        <v>1</v>
      </c>
      <c r="V7497" s="403" t="str">
        <f t="shared" ref="V7497:V7501" si="1004">C7497</f>
        <v>CPP_7_3</v>
      </c>
    </row>
    <row r="7498" spans="1:22">
      <c r="A7498" t="str">
        <f t="shared" si="999"/>
        <v>NDS-5704-F360</v>
      </c>
      <c r="B7498" t="s">
        <v>1954</v>
      </c>
      <c r="C7498" s="403" t="s">
        <v>582</v>
      </c>
      <c r="D7498" s="355" t="s">
        <v>1944</v>
      </c>
      <c r="F7498" t="s">
        <v>1989</v>
      </c>
      <c r="G7498" t="s">
        <v>1811</v>
      </c>
      <c r="H7498" s="403" t="s">
        <v>1281</v>
      </c>
      <c r="I7498">
        <v>1</v>
      </c>
      <c r="J7498" t="s">
        <v>1990</v>
      </c>
      <c r="K7498">
        <v>2560</v>
      </c>
      <c r="L7498">
        <v>2560</v>
      </c>
      <c r="M7498" s="403" t="s">
        <v>1443</v>
      </c>
      <c r="N7498" s="403">
        <v>1792</v>
      </c>
      <c r="O7498" s="403">
        <v>1792</v>
      </c>
      <c r="P7498" t="str">
        <f t="shared" si="1000"/>
        <v>30fps 2560x2560 - 1792x1792</v>
      </c>
      <c r="Q7498">
        <f t="shared" ref="Q7498:Q7501" si="1005">IF(A7497=A7498,Q7497,Q7497+1)</f>
        <v>46</v>
      </c>
      <c r="R7498" t="str">
        <f t="shared" ref="R7498:R7501" si="1006">IF(Q7497&lt;&gt;Q7498,Q7498,"")</f>
        <v/>
      </c>
      <c r="S7498" t="str">
        <f t="shared" si="1001"/>
        <v/>
      </c>
      <c r="T7498" s="403" t="str">
        <f t="shared" si="1002"/>
        <v>NDS-5704-F360</v>
      </c>
      <c r="U7498" s="403">
        <f t="shared" si="1003"/>
        <v>1</v>
      </c>
      <c r="V7498" s="403" t="str">
        <f t="shared" si="1004"/>
        <v>CPP_7_3</v>
      </c>
    </row>
    <row r="7499" spans="1:22">
      <c r="A7499" t="str">
        <f t="shared" si="999"/>
        <v>NDS-5704-F360</v>
      </c>
      <c r="B7499" t="s">
        <v>1954</v>
      </c>
      <c r="C7499" s="403" t="s">
        <v>582</v>
      </c>
      <c r="D7499" s="355" t="s">
        <v>1944</v>
      </c>
      <c r="F7499" t="s">
        <v>1989</v>
      </c>
      <c r="G7499" t="s">
        <v>1811</v>
      </c>
      <c r="H7499" s="403" t="s">
        <v>1281</v>
      </c>
      <c r="I7499">
        <v>1</v>
      </c>
      <c r="J7499" t="s">
        <v>1990</v>
      </c>
      <c r="K7499">
        <v>2560</v>
      </c>
      <c r="L7499">
        <v>2560</v>
      </c>
      <c r="M7499" s="403" t="s">
        <v>1444</v>
      </c>
      <c r="N7499" s="403">
        <v>1440</v>
      </c>
      <c r="O7499" s="403">
        <v>1440</v>
      </c>
      <c r="P7499" t="str">
        <f t="shared" si="1000"/>
        <v>30fps 2560x2560 - 1440x1440</v>
      </c>
      <c r="Q7499">
        <f t="shared" si="1005"/>
        <v>46</v>
      </c>
      <c r="R7499" t="str">
        <f t="shared" si="1006"/>
        <v/>
      </c>
      <c r="S7499" t="str">
        <f t="shared" si="1001"/>
        <v/>
      </c>
      <c r="T7499" s="403" t="str">
        <f t="shared" si="1002"/>
        <v>NDS-5704-F360</v>
      </c>
      <c r="U7499" s="403">
        <f t="shared" si="1003"/>
        <v>1</v>
      </c>
      <c r="V7499" s="403" t="str">
        <f t="shared" si="1004"/>
        <v>CPP_7_3</v>
      </c>
    </row>
    <row r="7500" spans="1:22">
      <c r="A7500" t="str">
        <f t="shared" si="999"/>
        <v>NDS-5704-F360</v>
      </c>
      <c r="B7500" t="s">
        <v>1954</v>
      </c>
      <c r="C7500" s="403" t="s">
        <v>582</v>
      </c>
      <c r="D7500" s="355" t="s">
        <v>1944</v>
      </c>
      <c r="F7500" t="s">
        <v>1989</v>
      </c>
      <c r="G7500" t="s">
        <v>1811</v>
      </c>
      <c r="H7500" s="403" t="s">
        <v>1281</v>
      </c>
      <c r="I7500">
        <v>1</v>
      </c>
      <c r="J7500" t="s">
        <v>1990</v>
      </c>
      <c r="K7500">
        <v>2560</v>
      </c>
      <c r="L7500">
        <v>2560</v>
      </c>
      <c r="M7500" s="403" t="s">
        <v>1445</v>
      </c>
      <c r="N7500" s="403">
        <v>1024</v>
      </c>
      <c r="O7500" s="403">
        <v>1024</v>
      </c>
      <c r="P7500" t="str">
        <f t="shared" si="1000"/>
        <v>30fps 2560x2560 - 1024x1024</v>
      </c>
      <c r="Q7500">
        <f t="shared" si="1005"/>
        <v>46</v>
      </c>
      <c r="R7500" t="str">
        <f t="shared" si="1006"/>
        <v/>
      </c>
      <c r="S7500" t="str">
        <f t="shared" si="1001"/>
        <v/>
      </c>
      <c r="T7500" s="403" t="str">
        <f t="shared" si="1002"/>
        <v>NDS-5704-F360</v>
      </c>
      <c r="U7500" s="403">
        <f t="shared" si="1003"/>
        <v>1</v>
      </c>
      <c r="V7500" s="403" t="str">
        <f t="shared" si="1004"/>
        <v>CPP_7_3</v>
      </c>
    </row>
    <row r="7501" spans="1:22">
      <c r="A7501" t="str">
        <f t="shared" si="999"/>
        <v>NDS-5704-F360</v>
      </c>
      <c r="B7501" t="s">
        <v>1954</v>
      </c>
      <c r="C7501" s="403" t="s">
        <v>582</v>
      </c>
      <c r="D7501" s="355" t="s">
        <v>1944</v>
      </c>
      <c r="F7501" t="s">
        <v>1989</v>
      </c>
      <c r="G7501" t="s">
        <v>1811</v>
      </c>
      <c r="H7501" s="403" t="s">
        <v>1281</v>
      </c>
      <c r="I7501">
        <v>1</v>
      </c>
      <c r="J7501" t="s">
        <v>1990</v>
      </c>
      <c r="K7501">
        <v>2560</v>
      </c>
      <c r="L7501">
        <v>2560</v>
      </c>
      <c r="M7501" s="403" t="s">
        <v>1957</v>
      </c>
      <c r="N7501" s="403">
        <v>720</v>
      </c>
      <c r="O7501" s="403">
        <v>720</v>
      </c>
      <c r="P7501" t="str">
        <f t="shared" si="1000"/>
        <v>30fps 2560x2560 - 720x720</v>
      </c>
      <c r="Q7501">
        <f t="shared" si="1005"/>
        <v>46</v>
      </c>
      <c r="R7501" t="str">
        <f t="shared" si="1006"/>
        <v/>
      </c>
      <c r="S7501" t="str">
        <f t="shared" si="1001"/>
        <v/>
      </c>
      <c r="T7501" s="403" t="str">
        <f t="shared" si="1002"/>
        <v>NDS-5704-F360</v>
      </c>
      <c r="U7501" s="403">
        <f t="shared" si="1003"/>
        <v>1</v>
      </c>
      <c r="V7501" s="403" t="str">
        <f t="shared" si="1004"/>
        <v>CPP_7_3</v>
      </c>
    </row>
    <row r="7502" spans="1:22">
      <c r="A7502" t="str">
        <f t="shared" ref="A7502:A7506" si="1007">IF(AND(G7502&lt;&gt;"rotate 90°"),D7502,"")</f>
        <v>NDS-5704-F360</v>
      </c>
      <c r="B7502" t="s">
        <v>1954</v>
      </c>
      <c r="C7502" s="403" t="s">
        <v>582</v>
      </c>
      <c r="D7502" s="355" t="s">
        <v>1944</v>
      </c>
      <c r="F7502" t="s">
        <v>1955</v>
      </c>
      <c r="G7502" t="s">
        <v>1811</v>
      </c>
      <c r="H7502" s="403" t="s">
        <v>1281</v>
      </c>
      <c r="I7502">
        <v>1</v>
      </c>
      <c r="J7502" s="403" t="s">
        <v>1956</v>
      </c>
      <c r="K7502" s="403">
        <v>2112</v>
      </c>
      <c r="L7502" s="403">
        <v>2112</v>
      </c>
      <c r="M7502" s="403" t="s">
        <v>1956</v>
      </c>
      <c r="N7502" s="403">
        <v>2112</v>
      </c>
      <c r="O7502" s="403">
        <v>2112</v>
      </c>
      <c r="P7502" t="str">
        <f t="shared" ref="P7502:P7506" si="1008">LEFT(F7502,5)&amp;" "&amp;J7502&amp;" - "&amp;M7502</f>
        <v>30fps 2112x2112 - 2112x2112</v>
      </c>
      <c r="Q7502">
        <f>IF(A7500=A7502,Q7500,Q7500+1)</f>
        <v>46</v>
      </c>
      <c r="R7502" t="str">
        <f>IF(Q7500&lt;&gt;Q7502,Q7502,"")</f>
        <v/>
      </c>
      <c r="S7502" t="str">
        <f t="shared" ref="S7502:S7506" si="1009">IF(R7502&lt;&gt;"",B7502&amp;" ("&amp;D7502&amp;")","")</f>
        <v/>
      </c>
      <c r="T7502" s="403" t="str">
        <f t="shared" ref="T7502:T7506" si="1010">D7502</f>
        <v>NDS-5704-F360</v>
      </c>
      <c r="U7502" s="403">
        <f t="shared" ref="U7502:U7506" si="1011">I7502</f>
        <v>1</v>
      </c>
      <c r="V7502" s="403" t="str">
        <f t="shared" ref="V7502:V7506" si="1012">C7502</f>
        <v>CPP_7_3</v>
      </c>
    </row>
    <row r="7503" spans="1:22">
      <c r="A7503" t="str">
        <f t="shared" si="1007"/>
        <v>NDS-5704-F360</v>
      </c>
      <c r="B7503" t="s">
        <v>1954</v>
      </c>
      <c r="C7503" s="403" t="s">
        <v>582</v>
      </c>
      <c r="D7503" s="355" t="s">
        <v>1944</v>
      </c>
      <c r="F7503" t="s">
        <v>1955</v>
      </c>
      <c r="G7503" t="s">
        <v>1811</v>
      </c>
      <c r="H7503" s="403" t="s">
        <v>1281</v>
      </c>
      <c r="I7503">
        <v>1</v>
      </c>
      <c r="J7503" s="403" t="s">
        <v>1956</v>
      </c>
      <c r="K7503" s="403">
        <v>2112</v>
      </c>
      <c r="L7503" s="403">
        <v>2112</v>
      </c>
      <c r="M7503" s="403" t="s">
        <v>1443</v>
      </c>
      <c r="N7503" s="403">
        <v>1792</v>
      </c>
      <c r="O7503" s="403">
        <v>1792</v>
      </c>
      <c r="P7503" t="str">
        <f t="shared" si="1008"/>
        <v>30fps 2112x2112 - 1792x1792</v>
      </c>
      <c r="Q7503">
        <f t="shared" ref="Q7503:Q7506" si="1013">IF(A7502=A7503,Q7502,Q7502+1)</f>
        <v>46</v>
      </c>
      <c r="R7503" t="str">
        <f t="shared" ref="R7503:R7506" si="1014">IF(Q7502&lt;&gt;Q7503,Q7503,"")</f>
        <v/>
      </c>
      <c r="S7503" t="str">
        <f t="shared" si="1009"/>
        <v/>
      </c>
      <c r="T7503" s="403" t="str">
        <f t="shared" si="1010"/>
        <v>NDS-5704-F360</v>
      </c>
      <c r="U7503" s="403">
        <f t="shared" si="1011"/>
        <v>1</v>
      </c>
      <c r="V7503" s="403" t="str">
        <f t="shared" si="1012"/>
        <v>CPP_7_3</v>
      </c>
    </row>
    <row r="7504" spans="1:22">
      <c r="A7504" t="str">
        <f t="shared" si="1007"/>
        <v>NDS-5704-F360</v>
      </c>
      <c r="B7504" t="s">
        <v>1954</v>
      </c>
      <c r="C7504" s="403" t="s">
        <v>582</v>
      </c>
      <c r="D7504" s="355" t="s">
        <v>1944</v>
      </c>
      <c r="F7504" t="s">
        <v>1955</v>
      </c>
      <c r="G7504" t="s">
        <v>1811</v>
      </c>
      <c r="H7504" s="403" t="s">
        <v>1281</v>
      </c>
      <c r="I7504">
        <v>1</v>
      </c>
      <c r="J7504" s="403" t="s">
        <v>1956</v>
      </c>
      <c r="K7504" s="403">
        <v>2112</v>
      </c>
      <c r="L7504" s="403">
        <v>2112</v>
      </c>
      <c r="M7504" s="403" t="s">
        <v>1444</v>
      </c>
      <c r="N7504" s="403">
        <v>1440</v>
      </c>
      <c r="O7504" s="403">
        <v>1440</v>
      </c>
      <c r="P7504" t="str">
        <f t="shared" si="1008"/>
        <v>30fps 2112x2112 - 1440x1440</v>
      </c>
      <c r="Q7504">
        <f t="shared" si="1013"/>
        <v>46</v>
      </c>
      <c r="R7504" t="str">
        <f t="shared" si="1014"/>
        <v/>
      </c>
      <c r="S7504" t="str">
        <f t="shared" si="1009"/>
        <v/>
      </c>
      <c r="T7504" s="403" t="str">
        <f t="shared" si="1010"/>
        <v>NDS-5704-F360</v>
      </c>
      <c r="U7504" s="403">
        <f t="shared" si="1011"/>
        <v>1</v>
      </c>
      <c r="V7504" s="403" t="str">
        <f t="shared" si="1012"/>
        <v>CPP_7_3</v>
      </c>
    </row>
    <row r="7505" spans="1:22">
      <c r="A7505" t="str">
        <f t="shared" si="1007"/>
        <v>NDS-5704-F360</v>
      </c>
      <c r="B7505" t="s">
        <v>1954</v>
      </c>
      <c r="C7505" s="403" t="s">
        <v>582</v>
      </c>
      <c r="D7505" s="355" t="s">
        <v>1944</v>
      </c>
      <c r="F7505" t="s">
        <v>1955</v>
      </c>
      <c r="G7505" t="s">
        <v>1811</v>
      </c>
      <c r="H7505" s="403" t="s">
        <v>1281</v>
      </c>
      <c r="I7505">
        <v>1</v>
      </c>
      <c r="J7505" s="403" t="s">
        <v>1956</v>
      </c>
      <c r="K7505" s="403">
        <v>2112</v>
      </c>
      <c r="L7505" s="403">
        <v>2112</v>
      </c>
      <c r="M7505" s="403" t="s">
        <v>1445</v>
      </c>
      <c r="N7505" s="403">
        <v>1024</v>
      </c>
      <c r="O7505" s="403">
        <v>1024</v>
      </c>
      <c r="P7505" t="str">
        <f t="shared" si="1008"/>
        <v>30fps 2112x2112 - 1024x1024</v>
      </c>
      <c r="Q7505">
        <f t="shared" si="1013"/>
        <v>46</v>
      </c>
      <c r="R7505" t="str">
        <f t="shared" si="1014"/>
        <v/>
      </c>
      <c r="S7505" t="str">
        <f t="shared" si="1009"/>
        <v/>
      </c>
      <c r="T7505" s="403" t="str">
        <f t="shared" si="1010"/>
        <v>NDS-5704-F360</v>
      </c>
      <c r="U7505" s="403">
        <f t="shared" si="1011"/>
        <v>1</v>
      </c>
      <c r="V7505" s="403" t="str">
        <f t="shared" si="1012"/>
        <v>CPP_7_3</v>
      </c>
    </row>
    <row r="7506" spans="1:22">
      <c r="A7506" t="str">
        <f t="shared" si="1007"/>
        <v>NDS-5704-F360</v>
      </c>
      <c r="B7506" t="s">
        <v>1954</v>
      </c>
      <c r="C7506" s="403" t="s">
        <v>582</v>
      </c>
      <c r="D7506" s="355" t="s">
        <v>1944</v>
      </c>
      <c r="F7506" t="s">
        <v>1955</v>
      </c>
      <c r="G7506" t="s">
        <v>1811</v>
      </c>
      <c r="H7506" s="403" t="s">
        <v>1281</v>
      </c>
      <c r="I7506">
        <v>1</v>
      </c>
      <c r="J7506" s="403" t="s">
        <v>1956</v>
      </c>
      <c r="K7506" s="403">
        <v>2112</v>
      </c>
      <c r="L7506" s="403">
        <v>2112</v>
      </c>
      <c r="M7506" s="403" t="s">
        <v>1957</v>
      </c>
      <c r="N7506" s="403">
        <v>720</v>
      </c>
      <c r="O7506" s="403">
        <v>720</v>
      </c>
      <c r="P7506" t="str">
        <f t="shared" si="1008"/>
        <v>30fps 2112x2112 - 720x720</v>
      </c>
      <c r="Q7506">
        <f t="shared" si="1013"/>
        <v>46</v>
      </c>
      <c r="R7506" t="str">
        <f t="shared" si="1014"/>
        <v/>
      </c>
      <c r="S7506" t="str">
        <f t="shared" si="1009"/>
        <v/>
      </c>
      <c r="T7506" s="403" t="str">
        <f t="shared" si="1010"/>
        <v>NDS-5704-F360</v>
      </c>
      <c r="U7506" s="403">
        <f t="shared" si="1011"/>
        <v>1</v>
      </c>
      <c r="V7506" s="403" t="str">
        <f t="shared" si="1012"/>
        <v>CPP_7_3</v>
      </c>
    </row>
    <row r="7507" spans="1:22">
      <c r="A7507" t="str">
        <f t="shared" ref="A7507:A7510" si="1015">IF(AND(G7507&lt;&gt;"rotate 90°"),D7507,"")</f>
        <v>NDS-5704-F360</v>
      </c>
      <c r="B7507" t="s">
        <v>1954</v>
      </c>
      <c r="C7507" s="403" t="s">
        <v>582</v>
      </c>
      <c r="D7507" s="355" t="s">
        <v>1944</v>
      </c>
      <c r="F7507" t="s">
        <v>2005</v>
      </c>
      <c r="G7507" t="s">
        <v>1811</v>
      </c>
      <c r="H7507" s="403" t="s">
        <v>1281</v>
      </c>
      <c r="I7507">
        <v>1</v>
      </c>
      <c r="J7507" s="403" t="s">
        <v>1443</v>
      </c>
      <c r="K7507" s="403">
        <v>1792</v>
      </c>
      <c r="L7507" s="403">
        <v>1792</v>
      </c>
      <c r="M7507" s="403" t="s">
        <v>1443</v>
      </c>
      <c r="N7507" s="403">
        <v>1792</v>
      </c>
      <c r="O7507" s="403">
        <v>1792</v>
      </c>
      <c r="P7507" t="str">
        <f t="shared" ref="P7507:P7510" si="1016">LEFT(F7507,5)&amp;" "&amp;J7507&amp;" - "&amp;M7507</f>
        <v>30fps 1792x1792 - 1792x1792</v>
      </c>
      <c r="Q7507">
        <f t="shared" ref="Q7507:Q7525" si="1017">IF(A7506=A7507,Q7506,Q7506+1)</f>
        <v>46</v>
      </c>
      <c r="R7507" t="str">
        <f t="shared" ref="R7507:R7525" si="1018">IF(Q7506&lt;&gt;Q7507,Q7507,"")</f>
        <v/>
      </c>
      <c r="S7507" t="str">
        <f t="shared" ref="S7507:S7510" si="1019">IF(R7507&lt;&gt;"",B7507&amp;" ("&amp;D7507&amp;")","")</f>
        <v/>
      </c>
      <c r="T7507" s="403" t="str">
        <f t="shared" ref="T7507:T7510" si="1020">D7507</f>
        <v>NDS-5704-F360</v>
      </c>
      <c r="U7507" s="403">
        <f t="shared" ref="U7507:U7510" si="1021">I7507</f>
        <v>1</v>
      </c>
      <c r="V7507" s="403" t="str">
        <f t="shared" ref="V7507:V7510" si="1022">C7507</f>
        <v>CPP_7_3</v>
      </c>
    </row>
    <row r="7508" spans="1:22">
      <c r="A7508" t="str">
        <f t="shared" si="1015"/>
        <v>NDS-5704-F360</v>
      </c>
      <c r="B7508" t="s">
        <v>1954</v>
      </c>
      <c r="C7508" s="403" t="s">
        <v>582</v>
      </c>
      <c r="D7508" s="355" t="s">
        <v>1944</v>
      </c>
      <c r="F7508" t="s">
        <v>2005</v>
      </c>
      <c r="G7508" t="s">
        <v>1811</v>
      </c>
      <c r="H7508" s="403" t="s">
        <v>1281</v>
      </c>
      <c r="I7508">
        <v>1</v>
      </c>
      <c r="J7508" s="403" t="s">
        <v>1443</v>
      </c>
      <c r="K7508" s="403">
        <v>1792</v>
      </c>
      <c r="L7508" s="403">
        <v>1792</v>
      </c>
      <c r="M7508" s="403" t="s">
        <v>1444</v>
      </c>
      <c r="N7508" s="403">
        <v>1440</v>
      </c>
      <c r="O7508" s="403">
        <v>1440</v>
      </c>
      <c r="P7508" t="str">
        <f t="shared" si="1016"/>
        <v>30fps 1792x1792 - 1440x1440</v>
      </c>
      <c r="Q7508">
        <f t="shared" si="1017"/>
        <v>46</v>
      </c>
      <c r="R7508" t="str">
        <f t="shared" si="1018"/>
        <v/>
      </c>
      <c r="S7508" t="str">
        <f t="shared" si="1019"/>
        <v/>
      </c>
      <c r="T7508" s="403" t="str">
        <f t="shared" si="1020"/>
        <v>NDS-5704-F360</v>
      </c>
      <c r="U7508" s="403">
        <f t="shared" si="1021"/>
        <v>1</v>
      </c>
      <c r="V7508" s="403" t="str">
        <f t="shared" si="1022"/>
        <v>CPP_7_3</v>
      </c>
    </row>
    <row r="7509" spans="1:22">
      <c r="A7509" t="str">
        <f t="shared" si="1015"/>
        <v>NDS-5704-F360</v>
      </c>
      <c r="B7509" t="s">
        <v>1954</v>
      </c>
      <c r="C7509" s="403" t="s">
        <v>582</v>
      </c>
      <c r="D7509" s="355" t="s">
        <v>1944</v>
      </c>
      <c r="F7509" t="s">
        <v>2005</v>
      </c>
      <c r="G7509" t="s">
        <v>1811</v>
      </c>
      <c r="H7509" s="403" t="s">
        <v>1281</v>
      </c>
      <c r="I7509">
        <v>1</v>
      </c>
      <c r="J7509" s="403" t="s">
        <v>1443</v>
      </c>
      <c r="K7509" s="403">
        <v>1792</v>
      </c>
      <c r="L7509" s="403">
        <v>1792</v>
      </c>
      <c r="M7509" s="403" t="s">
        <v>1445</v>
      </c>
      <c r="N7509" s="403">
        <v>1024</v>
      </c>
      <c r="O7509" s="403">
        <v>1024</v>
      </c>
      <c r="P7509" t="str">
        <f t="shared" si="1016"/>
        <v>30fps 1792x1792 - 1024x1024</v>
      </c>
      <c r="Q7509">
        <f t="shared" si="1017"/>
        <v>46</v>
      </c>
      <c r="R7509" t="str">
        <f t="shared" si="1018"/>
        <v/>
      </c>
      <c r="S7509" t="str">
        <f t="shared" si="1019"/>
        <v/>
      </c>
      <c r="T7509" s="403" t="str">
        <f t="shared" si="1020"/>
        <v>NDS-5704-F360</v>
      </c>
      <c r="U7509" s="403">
        <f t="shared" si="1021"/>
        <v>1</v>
      </c>
      <c r="V7509" s="403" t="str">
        <f t="shared" si="1022"/>
        <v>CPP_7_3</v>
      </c>
    </row>
    <row r="7510" spans="1:22">
      <c r="A7510" t="str">
        <f t="shared" si="1015"/>
        <v>NDS-5704-F360</v>
      </c>
      <c r="B7510" t="s">
        <v>1954</v>
      </c>
      <c r="C7510" s="403" t="s">
        <v>582</v>
      </c>
      <c r="D7510" s="355" t="s">
        <v>1944</v>
      </c>
      <c r="F7510" t="s">
        <v>2005</v>
      </c>
      <c r="G7510" t="s">
        <v>1811</v>
      </c>
      <c r="H7510" s="403" t="s">
        <v>1281</v>
      </c>
      <c r="I7510">
        <v>1</v>
      </c>
      <c r="J7510" s="403" t="s">
        <v>1443</v>
      </c>
      <c r="K7510" s="403">
        <v>1792</v>
      </c>
      <c r="L7510" s="403">
        <v>1792</v>
      </c>
      <c r="M7510" s="403" t="s">
        <v>1957</v>
      </c>
      <c r="N7510" s="403">
        <v>720</v>
      </c>
      <c r="O7510" s="403">
        <v>720</v>
      </c>
      <c r="P7510" t="str">
        <f t="shared" si="1016"/>
        <v>30fps 1792x1792 - 720x720</v>
      </c>
      <c r="Q7510">
        <f t="shared" si="1017"/>
        <v>46</v>
      </c>
      <c r="R7510" t="str">
        <f t="shared" si="1018"/>
        <v/>
      </c>
      <c r="S7510" t="str">
        <f t="shared" si="1019"/>
        <v/>
      </c>
      <c r="T7510" s="403" t="str">
        <f t="shared" si="1020"/>
        <v>NDS-5704-F360</v>
      </c>
      <c r="U7510" s="403">
        <f t="shared" si="1021"/>
        <v>1</v>
      </c>
      <c r="V7510" s="403" t="str">
        <f t="shared" si="1022"/>
        <v>CPP_7_3</v>
      </c>
    </row>
    <row r="7511" spans="1:22">
      <c r="A7511" t="s">
        <v>1995</v>
      </c>
      <c r="B7511" t="s">
        <v>1998</v>
      </c>
      <c r="C7511" s="403" t="s">
        <v>582</v>
      </c>
      <c r="D7511" t="s">
        <v>1995</v>
      </c>
      <c r="H7511" s="403"/>
      <c r="I7511">
        <v>1</v>
      </c>
      <c r="J7511" s="403"/>
      <c r="K7511" s="403"/>
      <c r="L7511" s="403"/>
      <c r="M7511" s="403"/>
      <c r="N7511" s="403"/>
      <c r="O7511" s="403"/>
      <c r="Q7511">
        <f t="shared" si="1017"/>
        <v>47</v>
      </c>
      <c r="R7511">
        <f t="shared" si="1018"/>
        <v>47</v>
      </c>
      <c r="S7511" t="str">
        <f t="shared" ref="S7511:S7534" si="1023">IF(R7511&lt;&gt;"",B7511&amp;" ("&amp;D7511&amp;")","")</f>
        <v>DINION 7100i IR (NBE-7702-ALX)</v>
      </c>
      <c r="T7511" s="403" t="str">
        <f t="shared" ref="T7511:T7534" si="1024">D7511</f>
        <v>NBE-7702-ALX</v>
      </c>
      <c r="U7511" s="403">
        <f t="shared" ref="U7511:U7534" si="1025">I7511</f>
        <v>1</v>
      </c>
      <c r="V7511" s="403" t="str">
        <f t="shared" ref="V7511:V7534" si="1026">C7511</f>
        <v>CPP_7_3</v>
      </c>
    </row>
    <row r="7512" spans="1:22">
      <c r="A7512" t="s">
        <v>1995</v>
      </c>
      <c r="B7512" t="s">
        <v>1998</v>
      </c>
      <c r="C7512" s="403" t="s">
        <v>582</v>
      </c>
      <c r="D7512" t="s">
        <v>1995</v>
      </c>
      <c r="F7512" t="s">
        <v>1288</v>
      </c>
      <c r="G7512" t="s">
        <v>1811</v>
      </c>
      <c r="H7512" s="403" t="s">
        <v>1281</v>
      </c>
      <c r="I7512">
        <v>1</v>
      </c>
      <c r="J7512" s="403" t="s">
        <v>628</v>
      </c>
      <c r="K7512" s="403">
        <v>1920</v>
      </c>
      <c r="L7512" s="403">
        <v>1080</v>
      </c>
      <c r="M7512" s="403" t="s">
        <v>628</v>
      </c>
      <c r="N7512" s="403">
        <v>2688</v>
      </c>
      <c r="O7512" s="403">
        <v>1520</v>
      </c>
      <c r="P7512" t="str">
        <f t="shared" ref="P7512:P7534" si="1027">LEFT(F7512,5)&amp;" "&amp;J7512&amp;" - "&amp;M7512</f>
        <v>60fps 1920x1080 - 1920x1080</v>
      </c>
      <c r="Q7512">
        <f t="shared" si="1017"/>
        <v>47</v>
      </c>
      <c r="R7512" t="str">
        <f t="shared" si="1018"/>
        <v/>
      </c>
      <c r="S7512" t="str">
        <f t="shared" si="1023"/>
        <v/>
      </c>
      <c r="T7512" s="403" t="str">
        <f t="shared" si="1024"/>
        <v>NBE-7702-ALX</v>
      </c>
      <c r="U7512" s="403">
        <f t="shared" si="1025"/>
        <v>1</v>
      </c>
      <c r="V7512" s="403" t="str">
        <f t="shared" si="1026"/>
        <v>CPP_7_3</v>
      </c>
    </row>
    <row r="7513" spans="1:22">
      <c r="A7513" t="s">
        <v>1995</v>
      </c>
      <c r="B7513" t="s">
        <v>1998</v>
      </c>
      <c r="C7513" s="403" t="s">
        <v>582</v>
      </c>
      <c r="D7513" t="s">
        <v>1995</v>
      </c>
      <c r="F7513" t="s">
        <v>1288</v>
      </c>
      <c r="G7513" t="s">
        <v>1811</v>
      </c>
      <c r="H7513" s="403" t="s">
        <v>1281</v>
      </c>
      <c r="I7513">
        <v>1</v>
      </c>
      <c r="J7513" s="403" t="s">
        <v>628</v>
      </c>
      <c r="K7513" s="403">
        <v>1920</v>
      </c>
      <c r="L7513" s="403">
        <v>1080</v>
      </c>
      <c r="M7513" s="403" t="s">
        <v>1451</v>
      </c>
      <c r="N7513" s="403">
        <v>1536</v>
      </c>
      <c r="O7513" s="403">
        <v>864</v>
      </c>
      <c r="P7513" t="str">
        <f t="shared" si="1027"/>
        <v>60fps 1920x1080 - 1536x864</v>
      </c>
      <c r="Q7513">
        <f t="shared" si="1017"/>
        <v>47</v>
      </c>
      <c r="R7513" t="str">
        <f t="shared" si="1018"/>
        <v/>
      </c>
      <c r="S7513" t="str">
        <f t="shared" si="1023"/>
        <v/>
      </c>
      <c r="T7513" s="403" t="str">
        <f t="shared" si="1024"/>
        <v>NBE-7702-ALX</v>
      </c>
      <c r="U7513" s="403">
        <f t="shared" si="1025"/>
        <v>1</v>
      </c>
      <c r="V7513" s="403" t="str">
        <f t="shared" si="1026"/>
        <v>CPP_7_3</v>
      </c>
    </row>
    <row r="7514" spans="1:22">
      <c r="A7514" t="s">
        <v>1995</v>
      </c>
      <c r="B7514" t="s">
        <v>1998</v>
      </c>
      <c r="C7514" s="403" t="s">
        <v>582</v>
      </c>
      <c r="D7514" t="s">
        <v>1995</v>
      </c>
      <c r="F7514" t="s">
        <v>1288</v>
      </c>
      <c r="G7514" t="s">
        <v>1811</v>
      </c>
      <c r="H7514" s="403" t="s">
        <v>1281</v>
      </c>
      <c r="I7514">
        <v>1</v>
      </c>
      <c r="J7514" s="403" t="s">
        <v>628</v>
      </c>
      <c r="K7514" s="403">
        <v>1920</v>
      </c>
      <c r="L7514" s="403">
        <v>1080</v>
      </c>
      <c r="M7514" s="403" t="s">
        <v>626</v>
      </c>
      <c r="N7514" s="403">
        <v>1280</v>
      </c>
      <c r="O7514" s="403">
        <v>720</v>
      </c>
      <c r="P7514" t="str">
        <f t="shared" si="1027"/>
        <v>60fps 1920x1080 - 1280x720</v>
      </c>
      <c r="Q7514">
        <f t="shared" si="1017"/>
        <v>47</v>
      </c>
      <c r="R7514" t="str">
        <f t="shared" si="1018"/>
        <v/>
      </c>
      <c r="S7514" t="str">
        <f t="shared" si="1023"/>
        <v/>
      </c>
      <c r="T7514" s="403" t="str">
        <f t="shared" si="1024"/>
        <v>NBE-7702-ALX</v>
      </c>
      <c r="U7514" s="403">
        <f t="shared" si="1025"/>
        <v>1</v>
      </c>
      <c r="V7514" s="403" t="str">
        <f t="shared" si="1026"/>
        <v>CPP_7_3</v>
      </c>
    </row>
    <row r="7515" spans="1:22">
      <c r="A7515" t="s">
        <v>1995</v>
      </c>
      <c r="B7515" t="s">
        <v>1998</v>
      </c>
      <c r="C7515" s="403" t="s">
        <v>582</v>
      </c>
      <c r="D7515" t="s">
        <v>1995</v>
      </c>
      <c r="F7515" t="s">
        <v>1286</v>
      </c>
      <c r="G7515" t="s">
        <v>1811</v>
      </c>
      <c r="H7515" s="403" t="s">
        <v>1281</v>
      </c>
      <c r="I7515">
        <v>1</v>
      </c>
      <c r="J7515" s="403" t="s">
        <v>628</v>
      </c>
      <c r="K7515" s="403">
        <v>1920</v>
      </c>
      <c r="L7515" s="403">
        <v>1080</v>
      </c>
      <c r="M7515" s="403" t="s">
        <v>628</v>
      </c>
      <c r="N7515" s="403">
        <v>2688</v>
      </c>
      <c r="O7515" s="403">
        <v>1520</v>
      </c>
      <c r="P7515" t="str">
        <f t="shared" ref="P7515:P7517" si="1028">LEFT(F7515,5)&amp;" "&amp;J7515&amp;" - "&amp;M7515</f>
        <v>30fps 1920x1080 - 1920x1080</v>
      </c>
      <c r="Q7515">
        <f t="shared" ref="Q7515:Q7517" si="1029">IF(A7514=A7515,Q7514,Q7514+1)</f>
        <v>47</v>
      </c>
      <c r="R7515" t="str">
        <f t="shared" ref="R7515:R7517" si="1030">IF(Q7514&lt;&gt;Q7515,Q7515,"")</f>
        <v/>
      </c>
      <c r="S7515" t="str">
        <f t="shared" ref="S7515:S7517" si="1031">IF(R7515&lt;&gt;"",B7515&amp;" ("&amp;D7515&amp;")","")</f>
        <v/>
      </c>
      <c r="T7515" s="403" t="str">
        <f t="shared" ref="T7515:T7517" si="1032">D7515</f>
        <v>NBE-7702-ALX</v>
      </c>
      <c r="U7515" s="403">
        <f t="shared" ref="U7515:U7517" si="1033">I7515</f>
        <v>1</v>
      </c>
      <c r="V7515" s="403" t="str">
        <f t="shared" ref="V7515:V7517" si="1034">C7515</f>
        <v>CPP_7_3</v>
      </c>
    </row>
    <row r="7516" spans="1:22">
      <c r="A7516" t="s">
        <v>1995</v>
      </c>
      <c r="B7516" t="s">
        <v>1998</v>
      </c>
      <c r="C7516" s="403" t="s">
        <v>582</v>
      </c>
      <c r="D7516" t="s">
        <v>1995</v>
      </c>
      <c r="F7516" t="s">
        <v>1286</v>
      </c>
      <c r="G7516" t="s">
        <v>1811</v>
      </c>
      <c r="H7516" s="403" t="s">
        <v>1281</v>
      </c>
      <c r="I7516">
        <v>1</v>
      </c>
      <c r="J7516" s="403" t="s">
        <v>628</v>
      </c>
      <c r="K7516" s="403">
        <v>1920</v>
      </c>
      <c r="L7516" s="403">
        <v>1080</v>
      </c>
      <c r="M7516" s="403" t="s">
        <v>1451</v>
      </c>
      <c r="N7516" s="403">
        <v>1536</v>
      </c>
      <c r="O7516" s="403">
        <v>864</v>
      </c>
      <c r="P7516" t="str">
        <f t="shared" si="1028"/>
        <v>30fps 1920x1080 - 1536x864</v>
      </c>
      <c r="Q7516">
        <f t="shared" si="1029"/>
        <v>47</v>
      </c>
      <c r="R7516" t="str">
        <f t="shared" si="1030"/>
        <v/>
      </c>
      <c r="S7516" t="str">
        <f t="shared" si="1031"/>
        <v/>
      </c>
      <c r="T7516" s="403" t="str">
        <f t="shared" si="1032"/>
        <v>NBE-7702-ALX</v>
      </c>
      <c r="U7516" s="403">
        <f t="shared" si="1033"/>
        <v>1</v>
      </c>
      <c r="V7516" s="403" t="str">
        <f t="shared" si="1034"/>
        <v>CPP_7_3</v>
      </c>
    </row>
    <row r="7517" spans="1:22">
      <c r="A7517" t="s">
        <v>1995</v>
      </c>
      <c r="B7517" t="s">
        <v>1998</v>
      </c>
      <c r="C7517" s="403" t="s">
        <v>582</v>
      </c>
      <c r="D7517" t="s">
        <v>1995</v>
      </c>
      <c r="F7517" t="s">
        <v>1286</v>
      </c>
      <c r="G7517" t="s">
        <v>1811</v>
      </c>
      <c r="H7517" s="403" t="s">
        <v>1281</v>
      </c>
      <c r="I7517">
        <v>1</v>
      </c>
      <c r="J7517" s="403" t="s">
        <v>628</v>
      </c>
      <c r="K7517" s="403">
        <v>1920</v>
      </c>
      <c r="L7517" s="403">
        <v>1080</v>
      </c>
      <c r="M7517" s="403" t="s">
        <v>626</v>
      </c>
      <c r="N7517" s="403">
        <v>1280</v>
      </c>
      <c r="O7517" s="403">
        <v>720</v>
      </c>
      <c r="P7517" t="str">
        <f t="shared" si="1028"/>
        <v>30fps 1920x1080 - 1280x720</v>
      </c>
      <c r="Q7517">
        <f t="shared" si="1029"/>
        <v>47</v>
      </c>
      <c r="R7517" t="str">
        <f t="shared" si="1030"/>
        <v/>
      </c>
      <c r="S7517" t="str">
        <f t="shared" si="1031"/>
        <v/>
      </c>
      <c r="T7517" s="403" t="str">
        <f t="shared" si="1032"/>
        <v>NBE-7702-ALX</v>
      </c>
      <c r="U7517" s="403">
        <f t="shared" si="1033"/>
        <v>1</v>
      </c>
      <c r="V7517" s="403" t="str">
        <f t="shared" si="1034"/>
        <v>CPP_7_3</v>
      </c>
    </row>
    <row r="7518" spans="1:22">
      <c r="A7518" t="s">
        <v>1996</v>
      </c>
      <c r="B7518" t="s">
        <v>1998</v>
      </c>
      <c r="C7518" s="403" t="s">
        <v>582</v>
      </c>
      <c r="D7518" t="s">
        <v>1996</v>
      </c>
      <c r="H7518" s="403"/>
      <c r="I7518">
        <v>1</v>
      </c>
      <c r="J7518" s="403"/>
      <c r="K7518" s="403"/>
      <c r="L7518" s="403"/>
      <c r="M7518" s="403"/>
      <c r="N7518" s="403"/>
      <c r="O7518" s="403"/>
      <c r="P7518" t="str">
        <f t="shared" si="1027"/>
        <v xml:space="preserve">  - </v>
      </c>
      <c r="Q7518">
        <f>IF(A7514=A7518,Q7514,Q7514+1)</f>
        <v>48</v>
      </c>
      <c r="R7518">
        <f>IF(Q7514&lt;&gt;Q7518,Q7518,"")</f>
        <v>48</v>
      </c>
      <c r="S7518" t="str">
        <f t="shared" si="1023"/>
        <v>DINION 7100i IR (NBE-7703-ALX)</v>
      </c>
      <c r="T7518" s="403" t="str">
        <f t="shared" si="1024"/>
        <v>NBE-7703-ALX</v>
      </c>
      <c r="U7518" s="403">
        <f t="shared" si="1025"/>
        <v>1</v>
      </c>
      <c r="V7518" s="403" t="str">
        <f t="shared" si="1026"/>
        <v>CPP_7_3</v>
      </c>
    </row>
    <row r="7519" spans="1:22">
      <c r="A7519" t="s">
        <v>1996</v>
      </c>
      <c r="B7519" t="s">
        <v>1998</v>
      </c>
      <c r="C7519" s="403" t="s">
        <v>582</v>
      </c>
      <c r="D7519" t="s">
        <v>1996</v>
      </c>
      <c r="F7519" t="s">
        <v>1999</v>
      </c>
      <c r="G7519" t="s">
        <v>1811</v>
      </c>
      <c r="H7519" s="403" t="s">
        <v>1281</v>
      </c>
      <c r="I7519">
        <v>1</v>
      </c>
      <c r="J7519" s="403" t="s">
        <v>2000</v>
      </c>
      <c r="K7519" s="403">
        <v>2688</v>
      </c>
      <c r="L7519" s="403">
        <v>1520</v>
      </c>
      <c r="M7519" s="403" t="s">
        <v>2000</v>
      </c>
      <c r="N7519" s="403">
        <v>2688</v>
      </c>
      <c r="O7519" s="403">
        <v>1520</v>
      </c>
      <c r="P7519" t="str">
        <f t="shared" si="1027"/>
        <v>60fps 2688x1520 - 2688x1520</v>
      </c>
      <c r="Q7519">
        <f t="shared" si="1017"/>
        <v>48</v>
      </c>
      <c r="R7519" t="str">
        <f t="shared" si="1018"/>
        <v/>
      </c>
      <c r="S7519" t="str">
        <f t="shared" si="1023"/>
        <v/>
      </c>
      <c r="T7519" s="403" t="str">
        <f t="shared" si="1024"/>
        <v>NBE-7703-ALX</v>
      </c>
      <c r="U7519" s="403">
        <f t="shared" si="1025"/>
        <v>1</v>
      </c>
      <c r="V7519" s="403" t="str">
        <f t="shared" si="1026"/>
        <v>CPP_7_3</v>
      </c>
    </row>
    <row r="7520" spans="1:22">
      <c r="A7520" t="s">
        <v>1996</v>
      </c>
      <c r="B7520" t="s">
        <v>1998</v>
      </c>
      <c r="C7520" s="403" t="s">
        <v>582</v>
      </c>
      <c r="D7520" t="s">
        <v>1996</v>
      </c>
      <c r="F7520" t="s">
        <v>1999</v>
      </c>
      <c r="G7520" t="s">
        <v>1811</v>
      </c>
      <c r="H7520" s="403" t="s">
        <v>1281</v>
      </c>
      <c r="I7520">
        <v>1</v>
      </c>
      <c r="J7520" s="403" t="s">
        <v>2000</v>
      </c>
      <c r="K7520" s="403">
        <v>2688</v>
      </c>
      <c r="L7520" s="403">
        <v>1520</v>
      </c>
      <c r="M7520" s="403" t="s">
        <v>628</v>
      </c>
      <c r="N7520" s="403">
        <v>1920</v>
      </c>
      <c r="O7520" s="403">
        <v>1080</v>
      </c>
      <c r="P7520" t="str">
        <f t="shared" si="1027"/>
        <v>60fps 2688x1520 - 1920x1080</v>
      </c>
      <c r="Q7520">
        <f t="shared" si="1017"/>
        <v>48</v>
      </c>
      <c r="R7520" t="str">
        <f t="shared" si="1018"/>
        <v/>
      </c>
      <c r="S7520" t="str">
        <f t="shared" si="1023"/>
        <v/>
      </c>
      <c r="T7520" s="403" t="str">
        <f t="shared" si="1024"/>
        <v>NBE-7703-ALX</v>
      </c>
      <c r="U7520" s="403">
        <f t="shared" si="1025"/>
        <v>1</v>
      </c>
      <c r="V7520" s="403" t="str">
        <f t="shared" si="1026"/>
        <v>CPP_7_3</v>
      </c>
    </row>
    <row r="7521" spans="1:22">
      <c r="A7521" t="s">
        <v>1996</v>
      </c>
      <c r="B7521" t="s">
        <v>1998</v>
      </c>
      <c r="C7521" s="403" t="s">
        <v>582</v>
      </c>
      <c r="D7521" t="s">
        <v>1996</v>
      </c>
      <c r="F7521" t="s">
        <v>1999</v>
      </c>
      <c r="G7521" t="s">
        <v>1811</v>
      </c>
      <c r="H7521" s="403" t="s">
        <v>1281</v>
      </c>
      <c r="I7521">
        <v>1</v>
      </c>
      <c r="J7521" s="403" t="s">
        <v>2000</v>
      </c>
      <c r="K7521" s="403">
        <v>2688</v>
      </c>
      <c r="L7521" s="403">
        <v>1520</v>
      </c>
      <c r="M7521" s="403" t="s">
        <v>1451</v>
      </c>
      <c r="N7521" s="403">
        <v>1536</v>
      </c>
      <c r="O7521" s="403">
        <v>864</v>
      </c>
      <c r="P7521" t="str">
        <f t="shared" si="1027"/>
        <v>60fps 2688x1520 - 1536x864</v>
      </c>
      <c r="Q7521">
        <f t="shared" si="1017"/>
        <v>48</v>
      </c>
      <c r="R7521" t="str">
        <f t="shared" si="1018"/>
        <v/>
      </c>
      <c r="S7521" t="str">
        <f t="shared" si="1023"/>
        <v/>
      </c>
      <c r="T7521" s="403" t="str">
        <f t="shared" si="1024"/>
        <v>NBE-7703-ALX</v>
      </c>
      <c r="U7521" s="403">
        <f t="shared" si="1025"/>
        <v>1</v>
      </c>
      <c r="V7521" s="403" t="str">
        <f t="shared" si="1026"/>
        <v>CPP_7_3</v>
      </c>
    </row>
    <row r="7522" spans="1:22">
      <c r="A7522" t="s">
        <v>1996</v>
      </c>
      <c r="B7522" t="s">
        <v>1998</v>
      </c>
      <c r="C7522" s="403" t="s">
        <v>582</v>
      </c>
      <c r="D7522" t="s">
        <v>1996</v>
      </c>
      <c r="F7522" t="s">
        <v>1999</v>
      </c>
      <c r="G7522" t="s">
        <v>1811</v>
      </c>
      <c r="H7522" s="403" t="s">
        <v>1281</v>
      </c>
      <c r="I7522">
        <v>1</v>
      </c>
      <c r="J7522" s="403" t="s">
        <v>2000</v>
      </c>
      <c r="K7522" s="403">
        <v>2688</v>
      </c>
      <c r="L7522" s="403">
        <v>1520</v>
      </c>
      <c r="M7522" s="403" t="s">
        <v>626</v>
      </c>
      <c r="N7522" s="403">
        <v>1280</v>
      </c>
      <c r="O7522" s="403">
        <v>720</v>
      </c>
      <c r="P7522" t="str">
        <f t="shared" si="1027"/>
        <v>60fps 2688x1520 - 1280x720</v>
      </c>
      <c r="Q7522">
        <f t="shared" si="1017"/>
        <v>48</v>
      </c>
      <c r="R7522" t="str">
        <f t="shared" si="1018"/>
        <v/>
      </c>
      <c r="S7522" t="str">
        <f t="shared" si="1023"/>
        <v/>
      </c>
      <c r="T7522" s="403" t="str">
        <f t="shared" si="1024"/>
        <v>NBE-7703-ALX</v>
      </c>
      <c r="U7522" s="403">
        <f t="shared" si="1025"/>
        <v>1</v>
      </c>
      <c r="V7522" s="403" t="str">
        <f t="shared" si="1026"/>
        <v>CPP_7_3</v>
      </c>
    </row>
    <row r="7523" spans="1:22">
      <c r="A7523" t="s">
        <v>1996</v>
      </c>
      <c r="B7523" t="s">
        <v>1998</v>
      </c>
      <c r="C7523" s="403" t="s">
        <v>582</v>
      </c>
      <c r="D7523" t="s">
        <v>1996</v>
      </c>
      <c r="F7523" t="s">
        <v>1288</v>
      </c>
      <c r="G7523" t="s">
        <v>1811</v>
      </c>
      <c r="H7523" s="403" t="s">
        <v>1281</v>
      </c>
      <c r="I7523">
        <v>1</v>
      </c>
      <c r="J7523" s="403" t="s">
        <v>628</v>
      </c>
      <c r="K7523" s="403">
        <v>1920</v>
      </c>
      <c r="L7523" s="403">
        <v>1080</v>
      </c>
      <c r="M7523" s="403" t="s">
        <v>628</v>
      </c>
      <c r="N7523" s="403">
        <v>1920</v>
      </c>
      <c r="O7523" s="403">
        <v>1080</v>
      </c>
      <c r="P7523" t="str">
        <f t="shared" si="1027"/>
        <v>60fps 1920x1080 - 1920x1080</v>
      </c>
      <c r="Q7523">
        <f t="shared" si="1017"/>
        <v>48</v>
      </c>
      <c r="R7523" t="str">
        <f t="shared" si="1018"/>
        <v/>
      </c>
      <c r="S7523" t="str">
        <f t="shared" si="1023"/>
        <v/>
      </c>
      <c r="T7523" s="403" t="str">
        <f t="shared" si="1024"/>
        <v>NBE-7703-ALX</v>
      </c>
      <c r="U7523" s="403">
        <f t="shared" si="1025"/>
        <v>1</v>
      </c>
      <c r="V7523" s="403" t="str">
        <f t="shared" si="1026"/>
        <v>CPP_7_3</v>
      </c>
    </row>
    <row r="7524" spans="1:22">
      <c r="A7524" t="s">
        <v>1996</v>
      </c>
      <c r="B7524" t="s">
        <v>1998</v>
      </c>
      <c r="C7524" s="403" t="s">
        <v>582</v>
      </c>
      <c r="D7524" t="s">
        <v>1996</v>
      </c>
      <c r="F7524" t="s">
        <v>1288</v>
      </c>
      <c r="G7524" t="s">
        <v>1811</v>
      </c>
      <c r="H7524" s="403" t="s">
        <v>1281</v>
      </c>
      <c r="I7524">
        <v>1</v>
      </c>
      <c r="J7524" s="403" t="s">
        <v>628</v>
      </c>
      <c r="K7524" s="403">
        <v>1920</v>
      </c>
      <c r="L7524" s="403">
        <v>1080</v>
      </c>
      <c r="M7524" s="403" t="s">
        <v>1451</v>
      </c>
      <c r="N7524" s="403">
        <v>1536</v>
      </c>
      <c r="O7524" s="403">
        <v>864</v>
      </c>
      <c r="P7524" t="str">
        <f t="shared" si="1027"/>
        <v>60fps 1920x1080 - 1536x864</v>
      </c>
      <c r="Q7524">
        <f t="shared" si="1017"/>
        <v>48</v>
      </c>
      <c r="R7524" t="str">
        <f t="shared" si="1018"/>
        <v/>
      </c>
      <c r="S7524" t="str">
        <f t="shared" si="1023"/>
        <v/>
      </c>
      <c r="T7524" s="403" t="str">
        <f t="shared" si="1024"/>
        <v>NBE-7703-ALX</v>
      </c>
      <c r="U7524" s="403">
        <f t="shared" si="1025"/>
        <v>1</v>
      </c>
      <c r="V7524" s="403" t="str">
        <f t="shared" si="1026"/>
        <v>CPP_7_3</v>
      </c>
    </row>
    <row r="7525" spans="1:22">
      <c r="A7525" t="s">
        <v>1996</v>
      </c>
      <c r="B7525" t="s">
        <v>1998</v>
      </c>
      <c r="C7525" s="403" t="s">
        <v>582</v>
      </c>
      <c r="D7525" t="s">
        <v>1996</v>
      </c>
      <c r="F7525" t="s">
        <v>1288</v>
      </c>
      <c r="G7525" t="s">
        <v>1811</v>
      </c>
      <c r="H7525" s="403" t="s">
        <v>1281</v>
      </c>
      <c r="I7525">
        <v>1</v>
      </c>
      <c r="J7525" s="403" t="s">
        <v>628</v>
      </c>
      <c r="K7525" s="403">
        <v>1920</v>
      </c>
      <c r="L7525" s="403">
        <v>1080</v>
      </c>
      <c r="M7525" s="403" t="s">
        <v>626</v>
      </c>
      <c r="N7525" s="403">
        <v>1280</v>
      </c>
      <c r="O7525" s="403">
        <v>720</v>
      </c>
      <c r="P7525" t="str">
        <f t="shared" si="1027"/>
        <v>60fps 1920x1080 - 1280x720</v>
      </c>
      <c r="Q7525">
        <f t="shared" si="1017"/>
        <v>48</v>
      </c>
      <c r="R7525" t="str">
        <f t="shared" si="1018"/>
        <v/>
      </c>
      <c r="S7525" t="str">
        <f t="shared" si="1023"/>
        <v/>
      </c>
      <c r="T7525" s="403" t="str">
        <f t="shared" si="1024"/>
        <v>NBE-7703-ALX</v>
      </c>
      <c r="U7525" s="403">
        <f t="shared" si="1025"/>
        <v>1</v>
      </c>
      <c r="V7525" s="403" t="str">
        <f t="shared" si="1026"/>
        <v>CPP_7_3</v>
      </c>
    </row>
    <row r="7526" spans="1:22">
      <c r="A7526" t="s">
        <v>1996</v>
      </c>
      <c r="B7526" t="s">
        <v>1998</v>
      </c>
      <c r="C7526" s="403" t="s">
        <v>582</v>
      </c>
      <c r="D7526" t="s">
        <v>1996</v>
      </c>
      <c r="F7526" t="s">
        <v>2006</v>
      </c>
      <c r="G7526" t="s">
        <v>1811</v>
      </c>
      <c r="H7526" s="403" t="s">
        <v>1281</v>
      </c>
      <c r="I7526">
        <v>1</v>
      </c>
      <c r="J7526" s="403" t="s">
        <v>2000</v>
      </c>
      <c r="K7526" s="403">
        <v>2688</v>
      </c>
      <c r="L7526" s="403">
        <v>1520</v>
      </c>
      <c r="M7526" s="403" t="s">
        <v>2000</v>
      </c>
      <c r="N7526" s="403">
        <v>2688</v>
      </c>
      <c r="O7526" s="403">
        <v>1520</v>
      </c>
      <c r="P7526" t="str">
        <f t="shared" ref="P7526:P7532" si="1035">LEFT(F7526,5)&amp;" "&amp;J7526&amp;" - "&amp;M7526</f>
        <v>30fps 2688x1520 - 2688x1520</v>
      </c>
      <c r="Q7526">
        <f t="shared" ref="Q7526:Q7539" si="1036">IF(A7525=A7526,Q7525,Q7525+1)</f>
        <v>48</v>
      </c>
      <c r="R7526" t="str">
        <f t="shared" ref="R7526:R7539" si="1037">IF(Q7525&lt;&gt;Q7526,Q7526,"")</f>
        <v/>
      </c>
      <c r="S7526" t="str">
        <f t="shared" ref="S7526:S7532" si="1038">IF(R7526&lt;&gt;"",B7526&amp;" ("&amp;D7526&amp;")","")</f>
        <v/>
      </c>
      <c r="T7526" s="403" t="str">
        <f t="shared" ref="T7526:T7532" si="1039">D7526</f>
        <v>NBE-7703-ALX</v>
      </c>
      <c r="U7526" s="403">
        <f t="shared" ref="U7526:U7532" si="1040">I7526</f>
        <v>1</v>
      </c>
      <c r="V7526" s="403" t="str">
        <f t="shared" ref="V7526:V7532" si="1041">C7526</f>
        <v>CPP_7_3</v>
      </c>
    </row>
    <row r="7527" spans="1:22">
      <c r="A7527" t="s">
        <v>1996</v>
      </c>
      <c r="B7527" t="s">
        <v>1998</v>
      </c>
      <c r="C7527" s="403" t="s">
        <v>582</v>
      </c>
      <c r="D7527" t="s">
        <v>1996</v>
      </c>
      <c r="F7527" t="s">
        <v>2006</v>
      </c>
      <c r="G7527" t="s">
        <v>1811</v>
      </c>
      <c r="H7527" s="403" t="s">
        <v>1281</v>
      </c>
      <c r="I7527">
        <v>1</v>
      </c>
      <c r="J7527" s="403" t="s">
        <v>2000</v>
      </c>
      <c r="K7527" s="403">
        <v>2688</v>
      </c>
      <c r="L7527" s="403">
        <v>1520</v>
      </c>
      <c r="M7527" s="403" t="s">
        <v>628</v>
      </c>
      <c r="N7527" s="403">
        <v>1920</v>
      </c>
      <c r="O7527" s="403">
        <v>1080</v>
      </c>
      <c r="P7527" t="str">
        <f t="shared" si="1035"/>
        <v>30fps 2688x1520 - 1920x1080</v>
      </c>
      <c r="Q7527">
        <f t="shared" si="1036"/>
        <v>48</v>
      </c>
      <c r="R7527" t="str">
        <f t="shared" si="1037"/>
        <v/>
      </c>
      <c r="S7527" t="str">
        <f t="shared" si="1038"/>
        <v/>
      </c>
      <c r="T7527" s="403" t="str">
        <f t="shared" si="1039"/>
        <v>NBE-7703-ALX</v>
      </c>
      <c r="U7527" s="403">
        <f t="shared" si="1040"/>
        <v>1</v>
      </c>
      <c r="V7527" s="403" t="str">
        <f t="shared" si="1041"/>
        <v>CPP_7_3</v>
      </c>
    </row>
    <row r="7528" spans="1:22">
      <c r="A7528" t="s">
        <v>1996</v>
      </c>
      <c r="B7528" t="s">
        <v>1998</v>
      </c>
      <c r="C7528" s="403" t="s">
        <v>582</v>
      </c>
      <c r="D7528" t="s">
        <v>1996</v>
      </c>
      <c r="F7528" t="s">
        <v>2006</v>
      </c>
      <c r="G7528" t="s">
        <v>1811</v>
      </c>
      <c r="H7528" s="403" t="s">
        <v>1281</v>
      </c>
      <c r="I7528">
        <v>1</v>
      </c>
      <c r="J7528" s="403" t="s">
        <v>2000</v>
      </c>
      <c r="K7528" s="403">
        <v>2688</v>
      </c>
      <c r="L7528" s="403">
        <v>1520</v>
      </c>
      <c r="M7528" s="403" t="s">
        <v>1451</v>
      </c>
      <c r="N7528" s="403">
        <v>1536</v>
      </c>
      <c r="O7528" s="403">
        <v>864</v>
      </c>
      <c r="P7528" t="str">
        <f t="shared" si="1035"/>
        <v>30fps 2688x1520 - 1536x864</v>
      </c>
      <c r="Q7528">
        <f t="shared" si="1036"/>
        <v>48</v>
      </c>
      <c r="R7528" t="str">
        <f t="shared" si="1037"/>
        <v/>
      </c>
      <c r="S7528" t="str">
        <f t="shared" si="1038"/>
        <v/>
      </c>
      <c r="T7528" s="403" t="str">
        <f t="shared" si="1039"/>
        <v>NBE-7703-ALX</v>
      </c>
      <c r="U7528" s="403">
        <f t="shared" si="1040"/>
        <v>1</v>
      </c>
      <c r="V7528" s="403" t="str">
        <f t="shared" si="1041"/>
        <v>CPP_7_3</v>
      </c>
    </row>
    <row r="7529" spans="1:22">
      <c r="A7529" t="s">
        <v>1996</v>
      </c>
      <c r="B7529" t="s">
        <v>1998</v>
      </c>
      <c r="C7529" s="403" t="s">
        <v>582</v>
      </c>
      <c r="D7529" t="s">
        <v>1996</v>
      </c>
      <c r="F7529" t="s">
        <v>2006</v>
      </c>
      <c r="G7529" t="s">
        <v>1811</v>
      </c>
      <c r="H7529" s="403" t="s">
        <v>1281</v>
      </c>
      <c r="I7529">
        <v>1</v>
      </c>
      <c r="J7529" s="403" t="s">
        <v>2000</v>
      </c>
      <c r="K7529" s="403">
        <v>2688</v>
      </c>
      <c r="L7529" s="403">
        <v>1520</v>
      </c>
      <c r="M7529" s="403" t="s">
        <v>626</v>
      </c>
      <c r="N7529" s="403">
        <v>1280</v>
      </c>
      <c r="O7529" s="403">
        <v>720</v>
      </c>
      <c r="P7529" t="str">
        <f t="shared" si="1035"/>
        <v>30fps 2688x1520 - 1280x720</v>
      </c>
      <c r="Q7529">
        <f t="shared" si="1036"/>
        <v>48</v>
      </c>
      <c r="R7529" t="str">
        <f t="shared" si="1037"/>
        <v/>
      </c>
      <c r="S7529" t="str">
        <f t="shared" si="1038"/>
        <v/>
      </c>
      <c r="T7529" s="403" t="str">
        <f t="shared" si="1039"/>
        <v>NBE-7703-ALX</v>
      </c>
      <c r="U7529" s="403">
        <f t="shared" si="1040"/>
        <v>1</v>
      </c>
      <c r="V7529" s="403" t="str">
        <f t="shared" si="1041"/>
        <v>CPP_7_3</v>
      </c>
    </row>
    <row r="7530" spans="1:22">
      <c r="A7530" t="s">
        <v>1996</v>
      </c>
      <c r="B7530" t="s">
        <v>1998</v>
      </c>
      <c r="C7530" s="403" t="s">
        <v>582</v>
      </c>
      <c r="D7530" t="s">
        <v>1996</v>
      </c>
      <c r="F7530" t="s">
        <v>1286</v>
      </c>
      <c r="G7530" t="s">
        <v>1811</v>
      </c>
      <c r="H7530" s="403" t="s">
        <v>1281</v>
      </c>
      <c r="I7530">
        <v>1</v>
      </c>
      <c r="J7530" s="403" t="s">
        <v>628</v>
      </c>
      <c r="K7530" s="403">
        <v>1920</v>
      </c>
      <c r="L7530" s="403">
        <v>1080</v>
      </c>
      <c r="M7530" s="403" t="s">
        <v>628</v>
      </c>
      <c r="N7530" s="403">
        <v>2688</v>
      </c>
      <c r="O7530" s="403">
        <v>1520</v>
      </c>
      <c r="P7530" t="str">
        <f t="shared" si="1035"/>
        <v>30fps 1920x1080 - 1920x1080</v>
      </c>
      <c r="Q7530">
        <f t="shared" si="1036"/>
        <v>48</v>
      </c>
      <c r="R7530" t="str">
        <f t="shared" si="1037"/>
        <v/>
      </c>
      <c r="S7530" t="str">
        <f t="shared" si="1038"/>
        <v/>
      </c>
      <c r="T7530" s="403" t="str">
        <f t="shared" si="1039"/>
        <v>NBE-7703-ALX</v>
      </c>
      <c r="U7530" s="403">
        <f t="shared" si="1040"/>
        <v>1</v>
      </c>
      <c r="V7530" s="403" t="str">
        <f t="shared" si="1041"/>
        <v>CPP_7_3</v>
      </c>
    </row>
    <row r="7531" spans="1:22">
      <c r="A7531" t="s">
        <v>1996</v>
      </c>
      <c r="B7531" t="s">
        <v>1998</v>
      </c>
      <c r="C7531" s="403" t="s">
        <v>582</v>
      </c>
      <c r="D7531" t="s">
        <v>1996</v>
      </c>
      <c r="F7531" t="s">
        <v>1286</v>
      </c>
      <c r="G7531" t="s">
        <v>1811</v>
      </c>
      <c r="H7531" s="403" t="s">
        <v>1281</v>
      </c>
      <c r="I7531">
        <v>1</v>
      </c>
      <c r="J7531" s="403" t="s">
        <v>628</v>
      </c>
      <c r="K7531" s="403">
        <v>1920</v>
      </c>
      <c r="L7531" s="403">
        <v>1080</v>
      </c>
      <c r="M7531" s="403" t="s">
        <v>1451</v>
      </c>
      <c r="N7531" s="403">
        <v>1536</v>
      </c>
      <c r="O7531" s="403">
        <v>864</v>
      </c>
      <c r="P7531" t="str">
        <f t="shared" si="1035"/>
        <v>30fps 1920x1080 - 1536x864</v>
      </c>
      <c r="Q7531">
        <f t="shared" si="1036"/>
        <v>48</v>
      </c>
      <c r="R7531" t="str">
        <f t="shared" si="1037"/>
        <v/>
      </c>
      <c r="S7531" t="str">
        <f t="shared" si="1038"/>
        <v/>
      </c>
      <c r="T7531" s="403" t="str">
        <f t="shared" si="1039"/>
        <v>NBE-7703-ALX</v>
      </c>
      <c r="U7531" s="403">
        <f t="shared" si="1040"/>
        <v>1</v>
      </c>
      <c r="V7531" s="403" t="str">
        <f t="shared" si="1041"/>
        <v>CPP_7_3</v>
      </c>
    </row>
    <row r="7532" spans="1:22">
      <c r="A7532" t="s">
        <v>1996</v>
      </c>
      <c r="B7532" t="s">
        <v>1998</v>
      </c>
      <c r="C7532" s="403" t="s">
        <v>582</v>
      </c>
      <c r="D7532" t="s">
        <v>1996</v>
      </c>
      <c r="F7532" t="s">
        <v>1286</v>
      </c>
      <c r="G7532" t="s">
        <v>1811</v>
      </c>
      <c r="H7532" s="403" t="s">
        <v>1281</v>
      </c>
      <c r="I7532">
        <v>1</v>
      </c>
      <c r="J7532" s="403" t="s">
        <v>628</v>
      </c>
      <c r="K7532" s="403">
        <v>1920</v>
      </c>
      <c r="L7532" s="403">
        <v>1080</v>
      </c>
      <c r="M7532" s="403" t="s">
        <v>626</v>
      </c>
      <c r="N7532" s="403">
        <v>1280</v>
      </c>
      <c r="O7532" s="403">
        <v>720</v>
      </c>
      <c r="P7532" t="str">
        <f t="shared" si="1035"/>
        <v>30fps 1920x1080 - 1280x720</v>
      </c>
      <c r="Q7532">
        <f t="shared" si="1036"/>
        <v>48</v>
      </c>
      <c r="R7532" t="str">
        <f t="shared" si="1037"/>
        <v/>
      </c>
      <c r="S7532" t="str">
        <f t="shared" si="1038"/>
        <v/>
      </c>
      <c r="T7532" s="403" t="str">
        <f t="shared" si="1039"/>
        <v>NBE-7703-ALX</v>
      </c>
      <c r="U7532" s="403">
        <f t="shared" si="1040"/>
        <v>1</v>
      </c>
      <c r="V7532" s="403" t="str">
        <f t="shared" si="1041"/>
        <v>CPP_7_3</v>
      </c>
    </row>
    <row r="7533" spans="1:22">
      <c r="A7533" t="s">
        <v>1997</v>
      </c>
      <c r="B7533" t="s">
        <v>1998</v>
      </c>
      <c r="C7533" s="403" t="s">
        <v>582</v>
      </c>
      <c r="D7533" t="s">
        <v>1997</v>
      </c>
      <c r="H7533" s="403"/>
      <c r="I7533">
        <v>1</v>
      </c>
      <c r="J7533" s="403"/>
      <c r="K7533" s="403"/>
      <c r="L7533" s="403"/>
      <c r="M7533" s="403"/>
      <c r="N7533" s="403"/>
      <c r="O7533" s="403"/>
      <c r="P7533" t="str">
        <f t="shared" si="1027"/>
        <v xml:space="preserve">  - </v>
      </c>
      <c r="Q7533">
        <f t="shared" si="1036"/>
        <v>49</v>
      </c>
      <c r="R7533">
        <f t="shared" si="1037"/>
        <v>49</v>
      </c>
      <c r="S7533" t="str">
        <f t="shared" si="1023"/>
        <v>DINION 7100i IR (NBE-7704-AL)</v>
      </c>
      <c r="T7533" s="403" t="str">
        <f t="shared" si="1024"/>
        <v>NBE-7704-AL</v>
      </c>
      <c r="U7533" s="403">
        <f t="shared" si="1025"/>
        <v>1</v>
      </c>
      <c r="V7533" s="403" t="str">
        <f t="shared" si="1026"/>
        <v>CPP_7_3</v>
      </c>
    </row>
    <row r="7534" spans="1:22">
      <c r="A7534" t="s">
        <v>1997</v>
      </c>
      <c r="B7534" t="s">
        <v>1998</v>
      </c>
      <c r="C7534" s="403" t="s">
        <v>582</v>
      </c>
      <c r="D7534" t="s">
        <v>1997</v>
      </c>
      <c r="F7534" t="s">
        <v>2008</v>
      </c>
      <c r="G7534" t="s">
        <v>1811</v>
      </c>
      <c r="H7534" s="403" t="s">
        <v>1281</v>
      </c>
      <c r="I7534">
        <v>1</v>
      </c>
      <c r="J7534" s="403" t="s">
        <v>194</v>
      </c>
      <c r="K7534" s="403">
        <v>3840</v>
      </c>
      <c r="L7534" s="403">
        <v>2160</v>
      </c>
      <c r="M7534" s="403" t="s">
        <v>194</v>
      </c>
      <c r="N7534" s="403">
        <v>3840</v>
      </c>
      <c r="O7534" s="403">
        <v>2160</v>
      </c>
      <c r="P7534" t="str">
        <f t="shared" si="1027"/>
        <v>30fps 3840x2160 - 3840x2160</v>
      </c>
      <c r="Q7534">
        <f t="shared" si="1036"/>
        <v>49</v>
      </c>
      <c r="R7534" t="str">
        <f t="shared" si="1037"/>
        <v/>
      </c>
      <c r="S7534" t="str">
        <f t="shared" si="1023"/>
        <v/>
      </c>
      <c r="T7534" s="403" t="str">
        <f t="shared" si="1024"/>
        <v>NBE-7704-AL</v>
      </c>
      <c r="U7534" s="403">
        <f t="shared" si="1025"/>
        <v>1</v>
      </c>
      <c r="V7534" s="403" t="str">
        <f t="shared" si="1026"/>
        <v>CPP_7_3</v>
      </c>
    </row>
    <row r="7535" spans="1:22" ht="13.5" customHeight="1">
      <c r="A7535" t="s">
        <v>1997</v>
      </c>
      <c r="B7535" t="s">
        <v>1998</v>
      </c>
      <c r="C7535" s="403" t="s">
        <v>582</v>
      </c>
      <c r="D7535" t="s">
        <v>1997</v>
      </c>
      <c r="F7535" t="s">
        <v>2008</v>
      </c>
      <c r="G7535" t="s">
        <v>1811</v>
      </c>
      <c r="H7535" s="403" t="s">
        <v>1281</v>
      </c>
      <c r="I7535">
        <v>1</v>
      </c>
      <c r="J7535" s="403" t="s">
        <v>194</v>
      </c>
      <c r="K7535" s="403">
        <v>3840</v>
      </c>
      <c r="L7535" s="403">
        <v>2160</v>
      </c>
      <c r="M7535" s="403" t="s">
        <v>1416</v>
      </c>
      <c r="N7535" s="403">
        <v>3264</v>
      </c>
      <c r="O7535" s="403">
        <v>1840</v>
      </c>
      <c r="P7535" t="str">
        <f t="shared" ref="P7535:P7551" si="1042">LEFT(F7535,5)&amp;" "&amp;J7535&amp;" - "&amp;M7535</f>
        <v>30fps 3840x2160 - 3264x1840</v>
      </c>
      <c r="Q7535">
        <f t="shared" si="1036"/>
        <v>49</v>
      </c>
      <c r="R7535" t="str">
        <f t="shared" si="1037"/>
        <v/>
      </c>
      <c r="S7535" t="str">
        <f t="shared" ref="S7535:S7551" si="1043">IF(R7535&lt;&gt;"",B7535&amp;" ("&amp;D7535&amp;")","")</f>
        <v/>
      </c>
      <c r="T7535" s="403" t="str">
        <f t="shared" ref="T7535:T7551" si="1044">D7535</f>
        <v>NBE-7704-AL</v>
      </c>
      <c r="U7535" s="403">
        <f t="shared" ref="U7535:U7551" si="1045">I7535</f>
        <v>1</v>
      </c>
      <c r="V7535" s="403" t="str">
        <f t="shared" ref="V7535:V7551" si="1046">C7535</f>
        <v>CPP_7_3</v>
      </c>
    </row>
    <row r="7536" spans="1:22" ht="13.5" customHeight="1">
      <c r="A7536" t="s">
        <v>1997</v>
      </c>
      <c r="B7536" t="s">
        <v>1998</v>
      </c>
      <c r="C7536" s="403" t="s">
        <v>582</v>
      </c>
      <c r="D7536" t="s">
        <v>1997</v>
      </c>
      <c r="F7536" t="s">
        <v>2008</v>
      </c>
      <c r="G7536" t="s">
        <v>1811</v>
      </c>
      <c r="H7536" s="403" t="s">
        <v>1281</v>
      </c>
      <c r="I7536">
        <v>1</v>
      </c>
      <c r="J7536" s="403" t="s">
        <v>194</v>
      </c>
      <c r="K7536" s="403">
        <v>3840</v>
      </c>
      <c r="L7536" s="403">
        <v>2160</v>
      </c>
      <c r="M7536" s="403" t="s">
        <v>2000</v>
      </c>
      <c r="N7536" s="403">
        <v>2688</v>
      </c>
      <c r="O7536" s="403">
        <v>1520</v>
      </c>
      <c r="P7536" t="str">
        <f t="shared" si="1042"/>
        <v>30fps 3840x2160 - 2688x1520</v>
      </c>
      <c r="Q7536">
        <f t="shared" si="1036"/>
        <v>49</v>
      </c>
      <c r="R7536" t="str">
        <f t="shared" si="1037"/>
        <v/>
      </c>
      <c r="S7536" t="str">
        <f t="shared" si="1043"/>
        <v/>
      </c>
      <c r="T7536" s="403" t="str">
        <f t="shared" si="1044"/>
        <v>NBE-7704-AL</v>
      </c>
      <c r="U7536" s="403">
        <f t="shared" si="1045"/>
        <v>1</v>
      </c>
      <c r="V7536" s="403" t="str">
        <f t="shared" si="1046"/>
        <v>CPP_7_3</v>
      </c>
    </row>
    <row r="7537" spans="1:22" ht="13.5" customHeight="1">
      <c r="A7537" t="s">
        <v>1997</v>
      </c>
      <c r="B7537" t="s">
        <v>1998</v>
      </c>
      <c r="C7537" s="403" t="s">
        <v>582</v>
      </c>
      <c r="D7537" t="s">
        <v>1997</v>
      </c>
      <c r="F7537" t="s">
        <v>2008</v>
      </c>
      <c r="G7537" t="s">
        <v>1811</v>
      </c>
      <c r="H7537" s="403" t="s">
        <v>1281</v>
      </c>
      <c r="I7537">
        <v>1</v>
      </c>
      <c r="J7537" s="403" t="s">
        <v>194</v>
      </c>
      <c r="K7537" s="403">
        <v>3840</v>
      </c>
      <c r="L7537" s="403">
        <v>2160</v>
      </c>
      <c r="M7537" s="403" t="s">
        <v>628</v>
      </c>
      <c r="N7537" s="403">
        <v>1920</v>
      </c>
      <c r="O7537" s="403">
        <v>1080</v>
      </c>
      <c r="P7537" t="str">
        <f t="shared" si="1042"/>
        <v>30fps 3840x2160 - 1920x1080</v>
      </c>
      <c r="Q7537">
        <f t="shared" si="1036"/>
        <v>49</v>
      </c>
      <c r="R7537" t="str">
        <f t="shared" si="1037"/>
        <v/>
      </c>
      <c r="S7537" t="str">
        <f t="shared" si="1043"/>
        <v/>
      </c>
      <c r="T7537" s="403" t="str">
        <f t="shared" si="1044"/>
        <v>NBE-7704-AL</v>
      </c>
      <c r="U7537" s="403">
        <f t="shared" si="1045"/>
        <v>1</v>
      </c>
      <c r="V7537" s="403" t="str">
        <f t="shared" si="1046"/>
        <v>CPP_7_3</v>
      </c>
    </row>
    <row r="7538" spans="1:22" ht="13.5" customHeight="1">
      <c r="A7538" t="s">
        <v>1997</v>
      </c>
      <c r="B7538" t="s">
        <v>1998</v>
      </c>
      <c r="C7538" s="403" t="s">
        <v>582</v>
      </c>
      <c r="D7538" t="s">
        <v>1997</v>
      </c>
      <c r="F7538" t="s">
        <v>2008</v>
      </c>
      <c r="G7538" t="s">
        <v>1811</v>
      </c>
      <c r="H7538" s="403" t="s">
        <v>1281</v>
      </c>
      <c r="I7538">
        <v>1</v>
      </c>
      <c r="J7538" s="403" t="s">
        <v>194</v>
      </c>
      <c r="K7538" s="403">
        <v>3840</v>
      </c>
      <c r="L7538" s="403">
        <v>2160</v>
      </c>
      <c r="M7538" s="403" t="s">
        <v>1451</v>
      </c>
      <c r="N7538" s="403">
        <v>1536</v>
      </c>
      <c r="O7538" s="403">
        <v>864</v>
      </c>
      <c r="P7538" t="str">
        <f t="shared" si="1042"/>
        <v>30fps 3840x2160 - 1536x864</v>
      </c>
      <c r="Q7538">
        <f t="shared" si="1036"/>
        <v>49</v>
      </c>
      <c r="R7538" t="str">
        <f t="shared" si="1037"/>
        <v/>
      </c>
      <c r="S7538" t="str">
        <f t="shared" si="1043"/>
        <v/>
      </c>
      <c r="T7538" s="403" t="str">
        <f t="shared" si="1044"/>
        <v>NBE-7704-AL</v>
      </c>
      <c r="U7538" s="403">
        <f t="shared" si="1045"/>
        <v>1</v>
      </c>
      <c r="V7538" s="403" t="str">
        <f t="shared" si="1046"/>
        <v>CPP_7_3</v>
      </c>
    </row>
    <row r="7539" spans="1:22" ht="13.5" customHeight="1">
      <c r="A7539" t="s">
        <v>1997</v>
      </c>
      <c r="B7539" t="s">
        <v>1998</v>
      </c>
      <c r="C7539" s="403" t="s">
        <v>582</v>
      </c>
      <c r="D7539" t="s">
        <v>1997</v>
      </c>
      <c r="F7539" t="s">
        <v>2008</v>
      </c>
      <c r="G7539" t="s">
        <v>1811</v>
      </c>
      <c r="H7539" s="403" t="s">
        <v>1281</v>
      </c>
      <c r="I7539">
        <v>1</v>
      </c>
      <c r="J7539" s="403" t="s">
        <v>194</v>
      </c>
      <c r="K7539" s="403">
        <v>3840</v>
      </c>
      <c r="L7539" s="403">
        <v>2160</v>
      </c>
      <c r="M7539" s="403" t="s">
        <v>626</v>
      </c>
      <c r="N7539" s="403">
        <v>1280</v>
      </c>
      <c r="O7539" s="403">
        <v>720</v>
      </c>
      <c r="P7539" t="str">
        <f t="shared" si="1042"/>
        <v>30fps 3840x2160 - 1280x720</v>
      </c>
      <c r="Q7539">
        <f t="shared" si="1036"/>
        <v>49</v>
      </c>
      <c r="R7539" t="str">
        <f t="shared" si="1037"/>
        <v/>
      </c>
      <c r="S7539" t="str">
        <f t="shared" si="1043"/>
        <v/>
      </c>
      <c r="T7539" s="403" t="str">
        <f t="shared" si="1044"/>
        <v>NBE-7704-AL</v>
      </c>
      <c r="U7539" s="403">
        <f t="shared" si="1045"/>
        <v>1</v>
      </c>
      <c r="V7539" s="403" t="str">
        <f t="shared" si="1046"/>
        <v>CPP_7_3</v>
      </c>
    </row>
    <row r="7540" spans="1:22" ht="13.5" customHeight="1">
      <c r="A7540" t="s">
        <v>1997</v>
      </c>
      <c r="B7540" t="s">
        <v>1998</v>
      </c>
      <c r="C7540" s="403" t="s">
        <v>582</v>
      </c>
      <c r="D7540" t="s">
        <v>1997</v>
      </c>
      <c r="F7540" t="s">
        <v>2009</v>
      </c>
      <c r="G7540" t="s">
        <v>1811</v>
      </c>
      <c r="H7540" s="403" t="s">
        <v>1281</v>
      </c>
      <c r="I7540">
        <v>1</v>
      </c>
      <c r="J7540" s="403" t="s">
        <v>1416</v>
      </c>
      <c r="K7540" s="403">
        <v>3264</v>
      </c>
      <c r="L7540" s="403">
        <v>1840</v>
      </c>
      <c r="M7540" s="403" t="s">
        <v>1416</v>
      </c>
      <c r="N7540" s="403">
        <v>3264</v>
      </c>
      <c r="O7540" s="403">
        <v>1840</v>
      </c>
      <c r="P7540" t="str">
        <f t="shared" si="1042"/>
        <v>30fps 3264x1840 - 3264x1840</v>
      </c>
      <c r="Q7540">
        <f t="shared" ref="Q7540:Q7544" si="1047">IF(A7539=A7540,Q7539,Q7539+1)</f>
        <v>49</v>
      </c>
      <c r="R7540" t="str">
        <f t="shared" ref="R7540:R7544" si="1048">IF(Q7539&lt;&gt;Q7540,Q7540,"")</f>
        <v/>
      </c>
      <c r="S7540" t="str">
        <f t="shared" si="1043"/>
        <v/>
      </c>
      <c r="T7540" s="403" t="str">
        <f t="shared" si="1044"/>
        <v>NBE-7704-AL</v>
      </c>
      <c r="U7540" s="403">
        <f t="shared" si="1045"/>
        <v>1</v>
      </c>
      <c r="V7540" s="403" t="str">
        <f t="shared" si="1046"/>
        <v>CPP_7_3</v>
      </c>
    </row>
    <row r="7541" spans="1:22" ht="13.5" customHeight="1">
      <c r="A7541" t="s">
        <v>1997</v>
      </c>
      <c r="B7541" t="s">
        <v>1998</v>
      </c>
      <c r="C7541" s="403" t="s">
        <v>582</v>
      </c>
      <c r="D7541" t="s">
        <v>1997</v>
      </c>
      <c r="F7541" t="s">
        <v>2009</v>
      </c>
      <c r="G7541" t="s">
        <v>1811</v>
      </c>
      <c r="H7541" s="403" t="s">
        <v>1281</v>
      </c>
      <c r="I7541">
        <v>1</v>
      </c>
      <c r="J7541" s="403" t="s">
        <v>1416</v>
      </c>
      <c r="K7541" s="403">
        <v>3264</v>
      </c>
      <c r="L7541" s="403">
        <v>1840</v>
      </c>
      <c r="M7541" s="403" t="s">
        <v>2000</v>
      </c>
      <c r="N7541" s="403">
        <v>2688</v>
      </c>
      <c r="O7541" s="403">
        <v>1520</v>
      </c>
      <c r="P7541" t="str">
        <f t="shared" si="1042"/>
        <v>30fps 3264x1840 - 2688x1520</v>
      </c>
      <c r="Q7541">
        <f t="shared" si="1047"/>
        <v>49</v>
      </c>
      <c r="R7541" t="str">
        <f t="shared" si="1048"/>
        <v/>
      </c>
      <c r="S7541" t="str">
        <f t="shared" si="1043"/>
        <v/>
      </c>
      <c r="T7541" s="403" t="str">
        <f t="shared" si="1044"/>
        <v>NBE-7704-AL</v>
      </c>
      <c r="U7541" s="403">
        <f t="shared" si="1045"/>
        <v>1</v>
      </c>
      <c r="V7541" s="403" t="str">
        <f t="shared" si="1046"/>
        <v>CPP_7_3</v>
      </c>
    </row>
    <row r="7542" spans="1:22" ht="13.5" customHeight="1">
      <c r="A7542" t="s">
        <v>1997</v>
      </c>
      <c r="B7542" t="s">
        <v>1998</v>
      </c>
      <c r="C7542" s="403" t="s">
        <v>582</v>
      </c>
      <c r="D7542" t="s">
        <v>1997</v>
      </c>
      <c r="F7542" t="s">
        <v>2009</v>
      </c>
      <c r="G7542" t="s">
        <v>1811</v>
      </c>
      <c r="H7542" s="403" t="s">
        <v>1281</v>
      </c>
      <c r="I7542">
        <v>1</v>
      </c>
      <c r="J7542" s="403" t="s">
        <v>1416</v>
      </c>
      <c r="K7542" s="403">
        <v>3264</v>
      </c>
      <c r="L7542" s="403">
        <v>1840</v>
      </c>
      <c r="M7542" s="403" t="s">
        <v>628</v>
      </c>
      <c r="N7542" s="403">
        <v>1920</v>
      </c>
      <c r="O7542" s="403">
        <v>1080</v>
      </c>
      <c r="P7542" t="str">
        <f t="shared" si="1042"/>
        <v>30fps 3264x1840 - 1920x1080</v>
      </c>
      <c r="Q7542">
        <f t="shared" si="1047"/>
        <v>49</v>
      </c>
      <c r="R7542" t="str">
        <f t="shared" si="1048"/>
        <v/>
      </c>
      <c r="S7542" t="str">
        <f t="shared" si="1043"/>
        <v/>
      </c>
      <c r="T7542" s="403" t="str">
        <f t="shared" si="1044"/>
        <v>NBE-7704-AL</v>
      </c>
      <c r="U7542" s="403">
        <f t="shared" si="1045"/>
        <v>1</v>
      </c>
      <c r="V7542" s="403" t="str">
        <f t="shared" si="1046"/>
        <v>CPP_7_3</v>
      </c>
    </row>
    <row r="7543" spans="1:22" ht="13.5" customHeight="1">
      <c r="A7543" t="s">
        <v>1997</v>
      </c>
      <c r="B7543" t="s">
        <v>1998</v>
      </c>
      <c r="C7543" s="403" t="s">
        <v>582</v>
      </c>
      <c r="D7543" t="s">
        <v>1997</v>
      </c>
      <c r="F7543" t="s">
        <v>2009</v>
      </c>
      <c r="G7543" t="s">
        <v>1811</v>
      </c>
      <c r="H7543" s="403" t="s">
        <v>1281</v>
      </c>
      <c r="I7543">
        <v>1</v>
      </c>
      <c r="J7543" s="403" t="s">
        <v>1416</v>
      </c>
      <c r="K7543" s="403">
        <v>3264</v>
      </c>
      <c r="L7543" s="403">
        <v>1840</v>
      </c>
      <c r="M7543" s="403" t="s">
        <v>1451</v>
      </c>
      <c r="N7543" s="403">
        <v>1536</v>
      </c>
      <c r="O7543" s="403">
        <v>864</v>
      </c>
      <c r="P7543" t="str">
        <f t="shared" si="1042"/>
        <v>30fps 3264x1840 - 1536x864</v>
      </c>
      <c r="Q7543">
        <f t="shared" si="1047"/>
        <v>49</v>
      </c>
      <c r="R7543" t="str">
        <f t="shared" si="1048"/>
        <v/>
      </c>
      <c r="S7543" t="str">
        <f t="shared" si="1043"/>
        <v/>
      </c>
      <c r="T7543" s="403" t="str">
        <f t="shared" si="1044"/>
        <v>NBE-7704-AL</v>
      </c>
      <c r="U7543" s="403">
        <f t="shared" si="1045"/>
        <v>1</v>
      </c>
      <c r="V7543" s="403" t="str">
        <f t="shared" si="1046"/>
        <v>CPP_7_3</v>
      </c>
    </row>
    <row r="7544" spans="1:22" ht="13.5" customHeight="1">
      <c r="A7544" t="s">
        <v>1997</v>
      </c>
      <c r="B7544" t="s">
        <v>1998</v>
      </c>
      <c r="C7544" s="403" t="s">
        <v>582</v>
      </c>
      <c r="D7544" t="s">
        <v>1997</v>
      </c>
      <c r="F7544" t="s">
        <v>2009</v>
      </c>
      <c r="G7544" t="s">
        <v>1811</v>
      </c>
      <c r="H7544" s="403" t="s">
        <v>1281</v>
      </c>
      <c r="I7544">
        <v>1</v>
      </c>
      <c r="J7544" s="403" t="s">
        <v>1416</v>
      </c>
      <c r="K7544" s="403">
        <v>3264</v>
      </c>
      <c r="L7544" s="403">
        <v>1840</v>
      </c>
      <c r="M7544" s="403" t="s">
        <v>626</v>
      </c>
      <c r="N7544" s="403">
        <v>1280</v>
      </c>
      <c r="O7544" s="403">
        <v>720</v>
      </c>
      <c r="P7544" t="str">
        <f t="shared" si="1042"/>
        <v>30fps 3264x1840 - 1280x720</v>
      </c>
      <c r="Q7544">
        <f t="shared" si="1047"/>
        <v>49</v>
      </c>
      <c r="R7544" t="str">
        <f t="shared" si="1048"/>
        <v/>
      </c>
      <c r="S7544" t="str">
        <f t="shared" si="1043"/>
        <v/>
      </c>
      <c r="T7544" s="403" t="str">
        <f t="shared" si="1044"/>
        <v>NBE-7704-AL</v>
      </c>
      <c r="U7544" s="403">
        <f t="shared" si="1045"/>
        <v>1</v>
      </c>
      <c r="V7544" s="403" t="str">
        <f t="shared" si="1046"/>
        <v>CPP_7_3</v>
      </c>
    </row>
    <row r="7545" spans="1:22" ht="13.5" customHeight="1">
      <c r="A7545" t="s">
        <v>1997</v>
      </c>
      <c r="B7545" t="s">
        <v>1998</v>
      </c>
      <c r="C7545" s="403" t="s">
        <v>582</v>
      </c>
      <c r="D7545" t="s">
        <v>1997</v>
      </c>
      <c r="F7545" t="s">
        <v>2006</v>
      </c>
      <c r="G7545" t="s">
        <v>1811</v>
      </c>
      <c r="H7545" s="403" t="s">
        <v>1281</v>
      </c>
      <c r="I7545">
        <v>1</v>
      </c>
      <c r="J7545" s="403" t="s">
        <v>2000</v>
      </c>
      <c r="K7545" s="403">
        <v>2688</v>
      </c>
      <c r="L7545" s="403">
        <v>1520</v>
      </c>
      <c r="M7545" s="403" t="s">
        <v>2000</v>
      </c>
      <c r="N7545" s="403">
        <v>2688</v>
      </c>
      <c r="O7545" s="403">
        <v>1520</v>
      </c>
      <c r="P7545" t="str">
        <f t="shared" si="1042"/>
        <v>30fps 2688x1520 - 2688x1520</v>
      </c>
      <c r="Q7545">
        <f t="shared" ref="Q7545:Q7548" si="1049">IF(A7544=A7545,Q7544,Q7544+1)</f>
        <v>49</v>
      </c>
      <c r="R7545" t="str">
        <f t="shared" ref="R7545:R7548" si="1050">IF(Q7544&lt;&gt;Q7545,Q7545,"")</f>
        <v/>
      </c>
      <c r="S7545" t="str">
        <f t="shared" si="1043"/>
        <v/>
      </c>
      <c r="T7545" s="403" t="str">
        <f t="shared" si="1044"/>
        <v>NBE-7704-AL</v>
      </c>
      <c r="U7545" s="403">
        <f t="shared" si="1045"/>
        <v>1</v>
      </c>
      <c r="V7545" s="403" t="str">
        <f t="shared" si="1046"/>
        <v>CPP_7_3</v>
      </c>
    </row>
    <row r="7546" spans="1:22" ht="13.5" customHeight="1">
      <c r="A7546" t="s">
        <v>1997</v>
      </c>
      <c r="B7546" t="s">
        <v>1998</v>
      </c>
      <c r="C7546" s="403" t="s">
        <v>582</v>
      </c>
      <c r="D7546" t="s">
        <v>1997</v>
      </c>
      <c r="F7546" t="s">
        <v>2006</v>
      </c>
      <c r="G7546" t="s">
        <v>1811</v>
      </c>
      <c r="H7546" s="403" t="s">
        <v>1281</v>
      </c>
      <c r="I7546">
        <v>1</v>
      </c>
      <c r="J7546" s="403" t="s">
        <v>2000</v>
      </c>
      <c r="K7546" s="403">
        <v>2688</v>
      </c>
      <c r="L7546" s="403">
        <v>1520</v>
      </c>
      <c r="M7546" s="403" t="s">
        <v>628</v>
      </c>
      <c r="N7546" s="403">
        <v>1920</v>
      </c>
      <c r="O7546" s="403">
        <v>1080</v>
      </c>
      <c r="P7546" t="str">
        <f t="shared" si="1042"/>
        <v>30fps 2688x1520 - 1920x1080</v>
      </c>
      <c r="Q7546">
        <f t="shared" si="1049"/>
        <v>49</v>
      </c>
      <c r="R7546" t="str">
        <f t="shared" si="1050"/>
        <v/>
      </c>
      <c r="S7546" t="str">
        <f t="shared" si="1043"/>
        <v/>
      </c>
      <c r="T7546" s="403" t="str">
        <f t="shared" si="1044"/>
        <v>NBE-7704-AL</v>
      </c>
      <c r="U7546" s="403">
        <f t="shared" si="1045"/>
        <v>1</v>
      </c>
      <c r="V7546" s="403" t="str">
        <f t="shared" si="1046"/>
        <v>CPP_7_3</v>
      </c>
    </row>
    <row r="7547" spans="1:22" ht="13.5" customHeight="1">
      <c r="A7547" t="s">
        <v>1997</v>
      </c>
      <c r="B7547" t="s">
        <v>1998</v>
      </c>
      <c r="C7547" s="403" t="s">
        <v>582</v>
      </c>
      <c r="D7547" t="s">
        <v>1997</v>
      </c>
      <c r="F7547" t="s">
        <v>2006</v>
      </c>
      <c r="G7547" t="s">
        <v>1811</v>
      </c>
      <c r="H7547" s="403" t="s">
        <v>1281</v>
      </c>
      <c r="I7547">
        <v>1</v>
      </c>
      <c r="J7547" s="403" t="s">
        <v>2000</v>
      </c>
      <c r="K7547" s="403">
        <v>2688</v>
      </c>
      <c r="L7547" s="403">
        <v>1520</v>
      </c>
      <c r="M7547" s="403" t="s">
        <v>1451</v>
      </c>
      <c r="N7547" s="403">
        <v>1536</v>
      </c>
      <c r="O7547" s="403">
        <v>864</v>
      </c>
      <c r="P7547" t="str">
        <f t="shared" si="1042"/>
        <v>30fps 2688x1520 - 1536x864</v>
      </c>
      <c r="Q7547">
        <f t="shared" si="1049"/>
        <v>49</v>
      </c>
      <c r="R7547" t="str">
        <f t="shared" si="1050"/>
        <v/>
      </c>
      <c r="S7547" t="str">
        <f t="shared" si="1043"/>
        <v/>
      </c>
      <c r="T7547" s="403" t="str">
        <f t="shared" si="1044"/>
        <v>NBE-7704-AL</v>
      </c>
      <c r="U7547" s="403">
        <f t="shared" si="1045"/>
        <v>1</v>
      </c>
      <c r="V7547" s="403" t="str">
        <f t="shared" si="1046"/>
        <v>CPP_7_3</v>
      </c>
    </row>
    <row r="7548" spans="1:22" ht="13.5" customHeight="1">
      <c r="A7548" t="s">
        <v>1997</v>
      </c>
      <c r="B7548" t="s">
        <v>1998</v>
      </c>
      <c r="C7548" s="403" t="s">
        <v>582</v>
      </c>
      <c r="D7548" t="s">
        <v>1997</v>
      </c>
      <c r="F7548" t="s">
        <v>2006</v>
      </c>
      <c r="G7548" t="s">
        <v>1811</v>
      </c>
      <c r="H7548" s="403" t="s">
        <v>1281</v>
      </c>
      <c r="I7548">
        <v>1</v>
      </c>
      <c r="J7548" s="403" t="s">
        <v>2000</v>
      </c>
      <c r="K7548" s="403">
        <v>2688</v>
      </c>
      <c r="L7548" s="403">
        <v>1520</v>
      </c>
      <c r="M7548" s="403" t="s">
        <v>626</v>
      </c>
      <c r="N7548" s="403">
        <v>1280</v>
      </c>
      <c r="O7548" s="403">
        <v>720</v>
      </c>
      <c r="P7548" t="str">
        <f t="shared" si="1042"/>
        <v>30fps 2688x1520 - 1280x720</v>
      </c>
      <c r="Q7548">
        <f t="shared" si="1049"/>
        <v>49</v>
      </c>
      <c r="R7548" t="str">
        <f t="shared" si="1050"/>
        <v/>
      </c>
      <c r="S7548" t="str">
        <f t="shared" si="1043"/>
        <v/>
      </c>
      <c r="T7548" s="403" t="str">
        <f t="shared" si="1044"/>
        <v>NBE-7704-AL</v>
      </c>
      <c r="U7548" s="403">
        <f t="shared" si="1045"/>
        <v>1</v>
      </c>
      <c r="V7548" s="403" t="str">
        <f t="shared" si="1046"/>
        <v>CPP_7_3</v>
      </c>
    </row>
    <row r="7549" spans="1:22" ht="13.5" customHeight="1">
      <c r="A7549" t="s">
        <v>1997</v>
      </c>
      <c r="B7549" t="s">
        <v>1998</v>
      </c>
      <c r="C7549" s="403" t="s">
        <v>582</v>
      </c>
      <c r="D7549" t="s">
        <v>1997</v>
      </c>
      <c r="F7549" t="s">
        <v>1286</v>
      </c>
      <c r="G7549" t="s">
        <v>1811</v>
      </c>
      <c r="H7549" s="403" t="s">
        <v>1281</v>
      </c>
      <c r="I7549">
        <v>1</v>
      </c>
      <c r="J7549" s="403" t="s">
        <v>628</v>
      </c>
      <c r="K7549" s="403">
        <v>1920</v>
      </c>
      <c r="L7549" s="403">
        <v>1080</v>
      </c>
      <c r="M7549" s="403" t="s">
        <v>628</v>
      </c>
      <c r="N7549" s="403">
        <v>1920</v>
      </c>
      <c r="O7549" s="403">
        <v>1080</v>
      </c>
      <c r="P7549" t="str">
        <f t="shared" si="1042"/>
        <v>30fps 1920x1080 - 1920x1080</v>
      </c>
      <c r="Q7549">
        <f t="shared" ref="Q7549:Q7551" si="1051">IF(A7548=A7549,Q7548,Q7548+1)</f>
        <v>49</v>
      </c>
      <c r="R7549" t="str">
        <f t="shared" ref="R7549:R7551" si="1052">IF(Q7548&lt;&gt;Q7549,Q7549,"")</f>
        <v/>
      </c>
      <c r="S7549" t="str">
        <f t="shared" si="1043"/>
        <v/>
      </c>
      <c r="T7549" s="403" t="str">
        <f t="shared" si="1044"/>
        <v>NBE-7704-AL</v>
      </c>
      <c r="U7549" s="403">
        <f t="shared" si="1045"/>
        <v>1</v>
      </c>
      <c r="V7549" s="403" t="str">
        <f t="shared" si="1046"/>
        <v>CPP_7_3</v>
      </c>
    </row>
    <row r="7550" spans="1:22" ht="13.5" customHeight="1">
      <c r="A7550" t="s">
        <v>1997</v>
      </c>
      <c r="B7550" t="s">
        <v>1998</v>
      </c>
      <c r="C7550" s="403" t="s">
        <v>582</v>
      </c>
      <c r="D7550" t="s">
        <v>1997</v>
      </c>
      <c r="F7550" t="s">
        <v>1286</v>
      </c>
      <c r="G7550" t="s">
        <v>1811</v>
      </c>
      <c r="H7550" s="403" t="s">
        <v>1281</v>
      </c>
      <c r="I7550">
        <v>1</v>
      </c>
      <c r="J7550" s="403" t="s">
        <v>628</v>
      </c>
      <c r="K7550" s="403">
        <v>1920</v>
      </c>
      <c r="L7550" s="403">
        <v>1080</v>
      </c>
      <c r="M7550" s="403" t="s">
        <v>1451</v>
      </c>
      <c r="N7550" s="403">
        <v>1536</v>
      </c>
      <c r="O7550" s="403">
        <v>864</v>
      </c>
      <c r="P7550" t="str">
        <f t="shared" si="1042"/>
        <v>30fps 1920x1080 - 1536x864</v>
      </c>
      <c r="Q7550">
        <f t="shared" si="1051"/>
        <v>49</v>
      </c>
      <c r="R7550" t="str">
        <f t="shared" si="1052"/>
        <v/>
      </c>
      <c r="S7550" t="str">
        <f t="shared" si="1043"/>
        <v/>
      </c>
      <c r="T7550" s="403" t="str">
        <f t="shared" si="1044"/>
        <v>NBE-7704-AL</v>
      </c>
      <c r="U7550" s="403">
        <f t="shared" si="1045"/>
        <v>1</v>
      </c>
      <c r="V7550" s="403" t="str">
        <f t="shared" si="1046"/>
        <v>CPP_7_3</v>
      </c>
    </row>
    <row r="7551" spans="1:22" ht="13.5" customHeight="1">
      <c r="A7551" t="s">
        <v>1997</v>
      </c>
      <c r="B7551" t="s">
        <v>1998</v>
      </c>
      <c r="C7551" s="403" t="s">
        <v>582</v>
      </c>
      <c r="D7551" t="s">
        <v>1997</v>
      </c>
      <c r="F7551" t="s">
        <v>1286</v>
      </c>
      <c r="G7551" t="s">
        <v>1811</v>
      </c>
      <c r="H7551" s="403" t="s">
        <v>1281</v>
      </c>
      <c r="I7551">
        <v>1</v>
      </c>
      <c r="J7551" s="403" t="s">
        <v>628</v>
      </c>
      <c r="K7551" s="403">
        <v>1920</v>
      </c>
      <c r="L7551" s="403">
        <v>1080</v>
      </c>
      <c r="M7551" s="403" t="s">
        <v>626</v>
      </c>
      <c r="N7551" s="403">
        <v>1280</v>
      </c>
      <c r="O7551" s="403">
        <v>720</v>
      </c>
      <c r="P7551" t="str">
        <f t="shared" si="1042"/>
        <v>30fps 1920x1080 - 1280x720</v>
      </c>
      <c r="Q7551">
        <f t="shared" si="1051"/>
        <v>49</v>
      </c>
      <c r="R7551" t="str">
        <f t="shared" si="1052"/>
        <v/>
      </c>
      <c r="S7551" t="str">
        <f t="shared" si="1043"/>
        <v/>
      </c>
      <c r="T7551" s="403" t="str">
        <f t="shared" si="1044"/>
        <v>NBE-7704-AL</v>
      </c>
      <c r="U7551" s="403">
        <f t="shared" si="1045"/>
        <v>1</v>
      </c>
      <c r="V7551" s="403" t="str">
        <f t="shared" si="1046"/>
        <v>CPP_7_3</v>
      </c>
    </row>
    <row r="7552" spans="1:22" ht="13.5" customHeight="1">
      <c r="A7552" t="str">
        <f t="shared" ref="A7552:A7566" si="1053">IF(AND(G7552&lt;&gt;"rotate 90°"),D7552,"")</f>
        <v>NDP-7604-Z12L</v>
      </c>
      <c r="B7552" s="29" t="s">
        <v>2014</v>
      </c>
      <c r="C7552" s="403" t="s">
        <v>582</v>
      </c>
      <c r="D7552" s="355" t="s">
        <v>2013</v>
      </c>
      <c r="H7552" s="403"/>
      <c r="I7552">
        <v>1</v>
      </c>
      <c r="J7552" s="403"/>
      <c r="K7552" s="403"/>
      <c r="L7552" s="403"/>
      <c r="M7552" s="403"/>
      <c r="N7552" s="403"/>
      <c r="O7552" s="403"/>
      <c r="P7552" t="str">
        <f t="shared" ref="P7552:P7575" si="1054">LEFT(F7552,5)&amp;" "&amp;J7552&amp;" - "&amp;M7552</f>
        <v xml:space="preserve">  - </v>
      </c>
      <c r="Q7552">
        <f t="shared" ref="Q7552:Q7566" si="1055">IF(A7551=A7552,Q7551,Q7551+1)</f>
        <v>50</v>
      </c>
      <c r="R7552">
        <f t="shared" ref="R7552:R7566" si="1056">IF(Q7551&lt;&gt;Q7552,Q7552,"")</f>
        <v>50</v>
      </c>
      <c r="S7552" t="str">
        <f t="shared" ref="S7552:S7566" si="1057">IF(R7552&lt;&gt;"",B7552&amp;" ("&amp;D7552&amp;")","")</f>
        <v>AUTODOME 7100i IR (NDP-7604-Z12L)</v>
      </c>
      <c r="T7552" s="403" t="str">
        <f t="shared" ref="T7552:T7566" si="1058">D7552</f>
        <v>NDP-7604-Z12L</v>
      </c>
      <c r="U7552" s="403">
        <f t="shared" ref="U7552:U7566" si="1059">I7552</f>
        <v>1</v>
      </c>
      <c r="V7552" s="403" t="str">
        <f t="shared" ref="V7552:V7566" si="1060">C7552</f>
        <v>CPP_7_3</v>
      </c>
    </row>
    <row r="7553" spans="1:22">
      <c r="A7553" t="str">
        <f t="shared" si="1053"/>
        <v>NDP-7604-Z12L</v>
      </c>
      <c r="B7553" s="29" t="s">
        <v>2014</v>
      </c>
      <c r="C7553" s="403" t="s">
        <v>582</v>
      </c>
      <c r="D7553" s="355" t="s">
        <v>2013</v>
      </c>
      <c r="F7553" t="s">
        <v>2008</v>
      </c>
      <c r="G7553" t="s">
        <v>1811</v>
      </c>
      <c r="H7553" s="403" t="s">
        <v>1281</v>
      </c>
      <c r="I7553">
        <v>1</v>
      </c>
      <c r="J7553" s="403" t="s">
        <v>194</v>
      </c>
      <c r="K7553" s="403">
        <v>3840</v>
      </c>
      <c r="L7553" s="403">
        <v>2160</v>
      </c>
      <c r="M7553" s="403" t="s">
        <v>194</v>
      </c>
      <c r="N7553" s="403">
        <v>3840</v>
      </c>
      <c r="O7553" s="403">
        <v>2160</v>
      </c>
      <c r="P7553" t="str">
        <f t="shared" si="1054"/>
        <v>30fps 3840x2160 - 3840x2160</v>
      </c>
      <c r="Q7553">
        <f t="shared" si="1055"/>
        <v>50</v>
      </c>
      <c r="R7553" t="str">
        <f t="shared" si="1056"/>
        <v/>
      </c>
      <c r="S7553" t="str">
        <f t="shared" si="1057"/>
        <v/>
      </c>
      <c r="T7553" s="403" t="str">
        <f t="shared" si="1058"/>
        <v>NDP-7604-Z12L</v>
      </c>
      <c r="U7553" s="403">
        <f t="shared" si="1059"/>
        <v>1</v>
      </c>
      <c r="V7553" s="403" t="str">
        <f t="shared" si="1060"/>
        <v>CPP_7_3</v>
      </c>
    </row>
    <row r="7554" spans="1:22">
      <c r="A7554" t="str">
        <f t="shared" si="1053"/>
        <v>NDP-7604-Z12L</v>
      </c>
      <c r="B7554" s="29" t="s">
        <v>2014</v>
      </c>
      <c r="C7554" s="403" t="s">
        <v>582</v>
      </c>
      <c r="D7554" s="355" t="s">
        <v>2013</v>
      </c>
      <c r="F7554" t="s">
        <v>2008</v>
      </c>
      <c r="G7554" t="s">
        <v>1811</v>
      </c>
      <c r="H7554" s="403" t="s">
        <v>1281</v>
      </c>
      <c r="I7554">
        <v>1</v>
      </c>
      <c r="J7554" s="403" t="s">
        <v>194</v>
      </c>
      <c r="K7554" s="403">
        <v>3840</v>
      </c>
      <c r="L7554" s="403">
        <v>2160</v>
      </c>
      <c r="M7554" s="403" t="s">
        <v>628</v>
      </c>
      <c r="N7554" s="403">
        <v>1920</v>
      </c>
      <c r="O7554" s="403">
        <v>1080</v>
      </c>
      <c r="P7554" t="str">
        <f t="shared" si="1054"/>
        <v>30fps 3840x2160 - 1920x1080</v>
      </c>
      <c r="Q7554">
        <f t="shared" si="1055"/>
        <v>50</v>
      </c>
      <c r="R7554" t="str">
        <f t="shared" si="1056"/>
        <v/>
      </c>
      <c r="S7554" t="str">
        <f t="shared" si="1057"/>
        <v/>
      </c>
      <c r="T7554" s="403" t="str">
        <f t="shared" si="1058"/>
        <v>NDP-7604-Z12L</v>
      </c>
      <c r="U7554" s="403">
        <f t="shared" si="1059"/>
        <v>1</v>
      </c>
      <c r="V7554" s="403" t="str">
        <f t="shared" si="1060"/>
        <v>CPP_7_3</v>
      </c>
    </row>
    <row r="7555" spans="1:22">
      <c r="A7555" t="str">
        <f t="shared" si="1053"/>
        <v>NDP-7604-Z12L</v>
      </c>
      <c r="B7555" s="29" t="s">
        <v>2014</v>
      </c>
      <c r="C7555" s="403" t="s">
        <v>582</v>
      </c>
      <c r="D7555" s="355" t="s">
        <v>2013</v>
      </c>
      <c r="F7555" t="s">
        <v>2008</v>
      </c>
      <c r="G7555" t="s">
        <v>1811</v>
      </c>
      <c r="H7555" s="403" t="s">
        <v>1281</v>
      </c>
      <c r="I7555">
        <v>1</v>
      </c>
      <c r="J7555" s="403" t="s">
        <v>194</v>
      </c>
      <c r="K7555" s="403">
        <v>3840</v>
      </c>
      <c r="L7555" s="403">
        <v>2160</v>
      </c>
      <c r="M7555" s="403" t="s">
        <v>1451</v>
      </c>
      <c r="N7555" s="403">
        <v>1536</v>
      </c>
      <c r="O7555" s="403">
        <v>864</v>
      </c>
      <c r="P7555" t="str">
        <f t="shared" si="1054"/>
        <v>30fps 3840x2160 - 1536x864</v>
      </c>
      <c r="Q7555">
        <f t="shared" si="1055"/>
        <v>50</v>
      </c>
      <c r="R7555" t="str">
        <f t="shared" si="1056"/>
        <v/>
      </c>
      <c r="S7555" t="str">
        <f t="shared" si="1057"/>
        <v/>
      </c>
      <c r="T7555" s="403" t="str">
        <f t="shared" si="1058"/>
        <v>NDP-7604-Z12L</v>
      </c>
      <c r="U7555" s="403">
        <f t="shared" si="1059"/>
        <v>1</v>
      </c>
      <c r="V7555" s="403" t="str">
        <f t="shared" si="1060"/>
        <v>CPP_7_3</v>
      </c>
    </row>
    <row r="7556" spans="1:22">
      <c r="A7556" t="str">
        <f t="shared" si="1053"/>
        <v>NDP-7604-Z12L</v>
      </c>
      <c r="B7556" s="29" t="s">
        <v>2014</v>
      </c>
      <c r="C7556" s="403" t="s">
        <v>582</v>
      </c>
      <c r="D7556" s="355" t="s">
        <v>2013</v>
      </c>
      <c r="F7556" t="s">
        <v>2008</v>
      </c>
      <c r="G7556" t="s">
        <v>1811</v>
      </c>
      <c r="H7556" s="403" t="s">
        <v>1281</v>
      </c>
      <c r="I7556">
        <v>1</v>
      </c>
      <c r="J7556" s="403" t="s">
        <v>194</v>
      </c>
      <c r="K7556" s="403">
        <v>3840</v>
      </c>
      <c r="L7556" s="403">
        <v>2160</v>
      </c>
      <c r="M7556" s="403" t="s">
        <v>626</v>
      </c>
      <c r="N7556" s="403">
        <v>1280</v>
      </c>
      <c r="O7556" s="403">
        <v>720</v>
      </c>
      <c r="P7556" t="str">
        <f t="shared" si="1054"/>
        <v>30fps 3840x2160 - 1280x720</v>
      </c>
      <c r="Q7556">
        <f t="shared" si="1055"/>
        <v>50</v>
      </c>
      <c r="R7556" t="str">
        <f t="shared" si="1056"/>
        <v/>
      </c>
      <c r="S7556" t="str">
        <f t="shared" si="1057"/>
        <v/>
      </c>
      <c r="T7556" s="403" t="str">
        <f t="shared" si="1058"/>
        <v>NDP-7604-Z12L</v>
      </c>
      <c r="U7556" s="403">
        <f t="shared" si="1059"/>
        <v>1</v>
      </c>
      <c r="V7556" s="403" t="str">
        <f t="shared" si="1060"/>
        <v>CPP_7_3</v>
      </c>
    </row>
    <row r="7557" spans="1:22">
      <c r="A7557" t="str">
        <f t="shared" si="1053"/>
        <v>NDP-7604-Z12L</v>
      </c>
      <c r="B7557" s="29" t="s">
        <v>2014</v>
      </c>
      <c r="C7557" s="403" t="s">
        <v>582</v>
      </c>
      <c r="D7557" s="355" t="s">
        <v>2013</v>
      </c>
      <c r="F7557" s="29" t="s">
        <v>1286</v>
      </c>
      <c r="G7557" t="s">
        <v>1811</v>
      </c>
      <c r="H7557" s="403" t="s">
        <v>1281</v>
      </c>
      <c r="I7557">
        <v>1</v>
      </c>
      <c r="J7557" s="403" t="s">
        <v>628</v>
      </c>
      <c r="K7557" s="403">
        <v>1920</v>
      </c>
      <c r="L7557" s="403">
        <v>1080</v>
      </c>
      <c r="M7557" s="403" t="s">
        <v>628</v>
      </c>
      <c r="N7557" s="403">
        <v>1920</v>
      </c>
      <c r="O7557" s="403">
        <v>1080</v>
      </c>
      <c r="P7557" t="str">
        <f t="shared" si="1054"/>
        <v>30fps 1920x1080 - 1920x1080</v>
      </c>
      <c r="Q7557">
        <f t="shared" si="1055"/>
        <v>50</v>
      </c>
      <c r="R7557" t="str">
        <f t="shared" si="1056"/>
        <v/>
      </c>
      <c r="S7557" t="str">
        <f t="shared" si="1057"/>
        <v/>
      </c>
      <c r="T7557" s="403" t="str">
        <f t="shared" si="1058"/>
        <v>NDP-7604-Z12L</v>
      </c>
      <c r="U7557" s="403">
        <f t="shared" si="1059"/>
        <v>1</v>
      </c>
      <c r="V7557" s="403" t="str">
        <f t="shared" si="1060"/>
        <v>CPP_7_3</v>
      </c>
    </row>
    <row r="7558" spans="1:22">
      <c r="A7558" t="str">
        <f t="shared" si="1053"/>
        <v>NDP-7604-Z12L</v>
      </c>
      <c r="B7558" s="29" t="s">
        <v>2014</v>
      </c>
      <c r="C7558" s="403" t="s">
        <v>582</v>
      </c>
      <c r="D7558" s="355" t="s">
        <v>2013</v>
      </c>
      <c r="F7558" s="29" t="s">
        <v>1286</v>
      </c>
      <c r="G7558" t="s">
        <v>1811</v>
      </c>
      <c r="H7558" s="403" t="s">
        <v>1281</v>
      </c>
      <c r="I7558">
        <v>1</v>
      </c>
      <c r="J7558" s="403" t="s">
        <v>628</v>
      </c>
      <c r="K7558" s="403">
        <v>1920</v>
      </c>
      <c r="L7558" s="403">
        <v>1080</v>
      </c>
      <c r="M7558" s="403" t="s">
        <v>1451</v>
      </c>
      <c r="N7558" s="403">
        <v>1536</v>
      </c>
      <c r="O7558" s="403">
        <v>864</v>
      </c>
      <c r="P7558" t="str">
        <f t="shared" si="1054"/>
        <v>30fps 1920x1080 - 1536x864</v>
      </c>
      <c r="Q7558">
        <f t="shared" si="1055"/>
        <v>50</v>
      </c>
      <c r="R7558" t="str">
        <f t="shared" si="1056"/>
        <v/>
      </c>
      <c r="S7558" t="str">
        <f t="shared" si="1057"/>
        <v/>
      </c>
      <c r="T7558" s="403" t="str">
        <f t="shared" si="1058"/>
        <v>NDP-7604-Z12L</v>
      </c>
      <c r="U7558" s="403">
        <f t="shared" si="1059"/>
        <v>1</v>
      </c>
      <c r="V7558" s="403" t="str">
        <f t="shared" si="1060"/>
        <v>CPP_7_3</v>
      </c>
    </row>
    <row r="7559" spans="1:22">
      <c r="A7559" t="str">
        <f t="shared" si="1053"/>
        <v>NDP-7604-Z12L</v>
      </c>
      <c r="B7559" s="29" t="s">
        <v>2014</v>
      </c>
      <c r="C7559" s="403" t="s">
        <v>582</v>
      </c>
      <c r="D7559" s="355" t="s">
        <v>2013</v>
      </c>
      <c r="F7559" s="29" t="s">
        <v>1286</v>
      </c>
      <c r="G7559" t="s">
        <v>1811</v>
      </c>
      <c r="H7559" s="403" t="s">
        <v>1281</v>
      </c>
      <c r="I7559">
        <v>1</v>
      </c>
      <c r="J7559" s="403" t="s">
        <v>628</v>
      </c>
      <c r="K7559" s="403">
        <v>1920</v>
      </c>
      <c r="L7559" s="403">
        <v>1080</v>
      </c>
      <c r="M7559" s="403" t="s">
        <v>626</v>
      </c>
      <c r="N7559" s="403">
        <v>1280</v>
      </c>
      <c r="O7559" s="403">
        <v>720</v>
      </c>
      <c r="P7559" t="str">
        <f t="shared" si="1054"/>
        <v>30fps 1920x1080 - 1280x720</v>
      </c>
      <c r="Q7559">
        <f t="shared" si="1055"/>
        <v>50</v>
      </c>
      <c r="R7559" t="str">
        <f t="shared" si="1056"/>
        <v/>
      </c>
      <c r="S7559" t="str">
        <f t="shared" si="1057"/>
        <v/>
      </c>
      <c r="T7559" s="403" t="str">
        <f t="shared" si="1058"/>
        <v>NDP-7604-Z12L</v>
      </c>
      <c r="U7559" s="403">
        <f t="shared" si="1059"/>
        <v>1</v>
      </c>
      <c r="V7559" s="403" t="str">
        <f t="shared" si="1060"/>
        <v>CPP_7_3</v>
      </c>
    </row>
    <row r="7560" spans="1:22">
      <c r="A7560" t="str">
        <f t="shared" si="1053"/>
        <v>NDP-7602-Z40x</v>
      </c>
      <c r="B7560" s="29" t="s">
        <v>2014</v>
      </c>
      <c r="C7560" s="403" t="s">
        <v>582</v>
      </c>
      <c r="D7560" s="355" t="s">
        <v>2015</v>
      </c>
      <c r="F7560" s="29"/>
      <c r="H7560" s="403"/>
      <c r="I7560">
        <v>1</v>
      </c>
      <c r="J7560" s="403"/>
      <c r="K7560" s="403"/>
      <c r="L7560" s="403"/>
      <c r="M7560" s="403"/>
      <c r="N7560" s="403"/>
      <c r="O7560" s="403"/>
      <c r="P7560" t="str">
        <f t="shared" si="1054"/>
        <v xml:space="preserve">  - </v>
      </c>
      <c r="Q7560">
        <f t="shared" si="1055"/>
        <v>51</v>
      </c>
      <c r="R7560">
        <f t="shared" si="1056"/>
        <v>51</v>
      </c>
      <c r="S7560" t="str">
        <f t="shared" si="1057"/>
        <v>AUTODOME 7100i IR (NDP-7602-Z40x)</v>
      </c>
      <c r="T7560" s="403" t="str">
        <f t="shared" si="1058"/>
        <v>NDP-7602-Z40x</v>
      </c>
      <c r="U7560" s="403">
        <f t="shared" si="1059"/>
        <v>1</v>
      </c>
      <c r="V7560" s="403" t="str">
        <f t="shared" si="1060"/>
        <v>CPP_7_3</v>
      </c>
    </row>
    <row r="7561" spans="1:22">
      <c r="A7561" t="str">
        <f t="shared" si="1053"/>
        <v>NDP-7602-Z40x</v>
      </c>
      <c r="B7561" s="29" t="s">
        <v>2014</v>
      </c>
      <c r="C7561" s="403" t="s">
        <v>582</v>
      </c>
      <c r="D7561" s="355" t="s">
        <v>2015</v>
      </c>
      <c r="F7561" t="s">
        <v>1288</v>
      </c>
      <c r="G7561" t="s">
        <v>1811</v>
      </c>
      <c r="H7561" s="403" t="s">
        <v>1281</v>
      </c>
      <c r="I7561">
        <v>1</v>
      </c>
      <c r="J7561" s="403" t="s">
        <v>628</v>
      </c>
      <c r="K7561" s="403">
        <v>1920</v>
      </c>
      <c r="L7561" s="403">
        <v>1080</v>
      </c>
      <c r="M7561" s="403" t="s">
        <v>628</v>
      </c>
      <c r="N7561" s="403">
        <v>2688</v>
      </c>
      <c r="O7561" s="403">
        <v>1520</v>
      </c>
      <c r="P7561" t="str">
        <f t="shared" si="1054"/>
        <v>60fps 1920x1080 - 1920x1080</v>
      </c>
      <c r="Q7561">
        <f t="shared" si="1055"/>
        <v>51</v>
      </c>
      <c r="R7561" t="str">
        <f t="shared" si="1056"/>
        <v/>
      </c>
      <c r="S7561" t="str">
        <f t="shared" si="1057"/>
        <v/>
      </c>
      <c r="T7561" s="403" t="str">
        <f t="shared" si="1058"/>
        <v>NDP-7602-Z40x</v>
      </c>
      <c r="U7561" s="403">
        <f t="shared" si="1059"/>
        <v>1</v>
      </c>
      <c r="V7561" s="403" t="str">
        <f t="shared" si="1060"/>
        <v>CPP_7_3</v>
      </c>
    </row>
    <row r="7562" spans="1:22">
      <c r="A7562" t="str">
        <f t="shared" si="1053"/>
        <v>NDP-7602-Z40x</v>
      </c>
      <c r="B7562" s="29" t="s">
        <v>2014</v>
      </c>
      <c r="C7562" s="403" t="s">
        <v>582</v>
      </c>
      <c r="D7562" s="355" t="s">
        <v>2015</v>
      </c>
      <c r="F7562" t="s">
        <v>1288</v>
      </c>
      <c r="G7562" t="s">
        <v>1811</v>
      </c>
      <c r="H7562" s="403" t="s">
        <v>1281</v>
      </c>
      <c r="I7562">
        <v>1</v>
      </c>
      <c r="J7562" s="403" t="s">
        <v>628</v>
      </c>
      <c r="K7562" s="403">
        <v>1920</v>
      </c>
      <c r="L7562" s="403">
        <v>1080</v>
      </c>
      <c r="M7562" s="403" t="s">
        <v>1451</v>
      </c>
      <c r="N7562" s="403">
        <v>1536</v>
      </c>
      <c r="O7562" s="403">
        <v>864</v>
      </c>
      <c r="P7562" t="str">
        <f t="shared" si="1054"/>
        <v>60fps 1920x1080 - 1536x864</v>
      </c>
      <c r="Q7562">
        <f t="shared" si="1055"/>
        <v>51</v>
      </c>
      <c r="R7562" t="str">
        <f t="shared" si="1056"/>
        <v/>
      </c>
      <c r="S7562" t="str">
        <f t="shared" si="1057"/>
        <v/>
      </c>
      <c r="T7562" s="403" t="str">
        <f t="shared" si="1058"/>
        <v>NDP-7602-Z40x</v>
      </c>
      <c r="U7562" s="403">
        <f t="shared" si="1059"/>
        <v>1</v>
      </c>
      <c r="V7562" s="403" t="str">
        <f t="shared" si="1060"/>
        <v>CPP_7_3</v>
      </c>
    </row>
    <row r="7563" spans="1:22">
      <c r="A7563" t="str">
        <f t="shared" si="1053"/>
        <v>NDP-7602-Z40x</v>
      </c>
      <c r="B7563" s="29" t="s">
        <v>2014</v>
      </c>
      <c r="C7563" s="403" t="s">
        <v>582</v>
      </c>
      <c r="D7563" s="355" t="s">
        <v>2015</v>
      </c>
      <c r="F7563" t="s">
        <v>1288</v>
      </c>
      <c r="G7563" t="s">
        <v>1811</v>
      </c>
      <c r="H7563" s="403" t="s">
        <v>1281</v>
      </c>
      <c r="I7563">
        <v>1</v>
      </c>
      <c r="J7563" s="403" t="s">
        <v>628</v>
      </c>
      <c r="K7563" s="403">
        <v>1920</v>
      </c>
      <c r="L7563" s="403">
        <v>1080</v>
      </c>
      <c r="M7563" s="403" t="s">
        <v>626</v>
      </c>
      <c r="N7563" s="403">
        <v>1280</v>
      </c>
      <c r="O7563" s="403">
        <v>720</v>
      </c>
      <c r="P7563" t="str">
        <f t="shared" si="1054"/>
        <v>60fps 1920x1080 - 1280x720</v>
      </c>
      <c r="Q7563">
        <f t="shared" si="1055"/>
        <v>51</v>
      </c>
      <c r="R7563" t="str">
        <f t="shared" si="1056"/>
        <v/>
      </c>
      <c r="S7563" t="str">
        <f t="shared" si="1057"/>
        <v/>
      </c>
      <c r="T7563" s="403" t="str">
        <f t="shared" si="1058"/>
        <v>NDP-7602-Z40x</v>
      </c>
      <c r="U7563" s="403">
        <f t="shared" si="1059"/>
        <v>1</v>
      </c>
      <c r="V7563" s="403" t="str">
        <f t="shared" si="1060"/>
        <v>CPP_7_3</v>
      </c>
    </row>
    <row r="7564" spans="1:22">
      <c r="A7564" t="str">
        <f t="shared" si="1053"/>
        <v>NDP-7602-Z40x</v>
      </c>
      <c r="B7564" s="29" t="s">
        <v>2014</v>
      </c>
      <c r="C7564" s="403" t="s">
        <v>582</v>
      </c>
      <c r="D7564" s="355" t="s">
        <v>2015</v>
      </c>
      <c r="F7564" t="s">
        <v>1286</v>
      </c>
      <c r="G7564" t="s">
        <v>1811</v>
      </c>
      <c r="H7564" s="403" t="s">
        <v>1281</v>
      </c>
      <c r="I7564">
        <v>1</v>
      </c>
      <c r="J7564" s="403" t="s">
        <v>628</v>
      </c>
      <c r="K7564" s="403">
        <v>1920</v>
      </c>
      <c r="L7564" s="403">
        <v>1080</v>
      </c>
      <c r="M7564" s="403" t="s">
        <v>628</v>
      </c>
      <c r="N7564" s="403">
        <v>2688</v>
      </c>
      <c r="O7564" s="403">
        <v>1520</v>
      </c>
      <c r="P7564" t="str">
        <f t="shared" si="1054"/>
        <v>30fps 1920x1080 - 1920x1080</v>
      </c>
      <c r="Q7564">
        <f t="shared" si="1055"/>
        <v>51</v>
      </c>
      <c r="R7564" t="str">
        <f t="shared" si="1056"/>
        <v/>
      </c>
      <c r="S7564" t="str">
        <f t="shared" si="1057"/>
        <v/>
      </c>
      <c r="T7564" s="403" t="str">
        <f t="shared" si="1058"/>
        <v>NDP-7602-Z40x</v>
      </c>
      <c r="U7564" s="403">
        <f t="shared" si="1059"/>
        <v>1</v>
      </c>
      <c r="V7564" s="403" t="str">
        <f t="shared" si="1060"/>
        <v>CPP_7_3</v>
      </c>
    </row>
    <row r="7565" spans="1:22">
      <c r="A7565" t="str">
        <f t="shared" si="1053"/>
        <v>NDP-7602-Z40x</v>
      </c>
      <c r="B7565" s="29" t="s">
        <v>2014</v>
      </c>
      <c r="C7565" s="403" t="s">
        <v>582</v>
      </c>
      <c r="D7565" s="355" t="s">
        <v>2015</v>
      </c>
      <c r="F7565" t="s">
        <v>1286</v>
      </c>
      <c r="G7565" t="s">
        <v>1811</v>
      </c>
      <c r="H7565" s="403" t="s">
        <v>1281</v>
      </c>
      <c r="I7565">
        <v>1</v>
      </c>
      <c r="J7565" s="403" t="s">
        <v>628</v>
      </c>
      <c r="K7565" s="403">
        <v>1920</v>
      </c>
      <c r="L7565" s="403">
        <v>1080</v>
      </c>
      <c r="M7565" s="403" t="s">
        <v>1451</v>
      </c>
      <c r="N7565" s="403">
        <v>1536</v>
      </c>
      <c r="O7565" s="403">
        <v>864</v>
      </c>
      <c r="P7565" t="str">
        <f t="shared" si="1054"/>
        <v>30fps 1920x1080 - 1536x864</v>
      </c>
      <c r="Q7565">
        <f t="shared" si="1055"/>
        <v>51</v>
      </c>
      <c r="R7565" t="str">
        <f t="shared" si="1056"/>
        <v/>
      </c>
      <c r="S7565" t="str">
        <f t="shared" si="1057"/>
        <v/>
      </c>
      <c r="T7565" s="403" t="str">
        <f t="shared" si="1058"/>
        <v>NDP-7602-Z40x</v>
      </c>
      <c r="U7565" s="403">
        <f t="shared" si="1059"/>
        <v>1</v>
      </c>
      <c r="V7565" s="403" t="str">
        <f t="shared" si="1060"/>
        <v>CPP_7_3</v>
      </c>
    </row>
    <row r="7566" spans="1:22">
      <c r="A7566" t="str">
        <f t="shared" si="1053"/>
        <v>NDP-7602-Z40x</v>
      </c>
      <c r="B7566" s="29" t="s">
        <v>2014</v>
      </c>
      <c r="C7566" s="403" t="s">
        <v>582</v>
      </c>
      <c r="D7566" s="355" t="s">
        <v>2015</v>
      </c>
      <c r="F7566" t="s">
        <v>1286</v>
      </c>
      <c r="G7566" t="s">
        <v>1811</v>
      </c>
      <c r="H7566" s="403" t="s">
        <v>1281</v>
      </c>
      <c r="I7566">
        <v>1</v>
      </c>
      <c r="J7566" s="403" t="s">
        <v>628</v>
      </c>
      <c r="K7566" s="403">
        <v>1920</v>
      </c>
      <c r="L7566" s="403">
        <v>1080</v>
      </c>
      <c r="M7566" s="403" t="s">
        <v>626</v>
      </c>
      <c r="N7566" s="403">
        <v>1280</v>
      </c>
      <c r="O7566" s="403">
        <v>720</v>
      </c>
      <c r="P7566" t="str">
        <f t="shared" si="1054"/>
        <v>30fps 1920x1080 - 1280x720</v>
      </c>
      <c r="Q7566">
        <f t="shared" si="1055"/>
        <v>51</v>
      </c>
      <c r="R7566" t="str">
        <f t="shared" si="1056"/>
        <v/>
      </c>
      <c r="S7566" t="str">
        <f t="shared" si="1057"/>
        <v/>
      </c>
      <c r="T7566" s="403" t="str">
        <f t="shared" si="1058"/>
        <v>NDP-7602-Z40x</v>
      </c>
      <c r="U7566" s="403">
        <f t="shared" si="1059"/>
        <v>1</v>
      </c>
      <c r="V7566" s="403" t="str">
        <f t="shared" si="1060"/>
        <v>CPP_7_3</v>
      </c>
    </row>
    <row r="7567" spans="1:22">
      <c r="A7567" t="s">
        <v>2052</v>
      </c>
      <c r="B7567" s="29" t="s">
        <v>2053</v>
      </c>
      <c r="C7567" s="403" t="s">
        <v>582</v>
      </c>
      <c r="D7567" t="s">
        <v>2052</v>
      </c>
      <c r="H7567" s="403"/>
      <c r="I7567">
        <v>1</v>
      </c>
      <c r="J7567" s="403"/>
      <c r="K7567" s="403"/>
      <c r="L7567" s="403"/>
      <c r="M7567" s="403"/>
      <c r="N7567" s="403"/>
      <c r="O7567" s="403"/>
      <c r="P7567" t="str">
        <f t="shared" si="1054"/>
        <v xml:space="preserve">  - </v>
      </c>
      <c r="Q7567">
        <f t="shared" ref="Q7567:Q7575" si="1061">IF(A7566=A7567,Q7566,Q7566+1)</f>
        <v>52</v>
      </c>
      <c r="R7567">
        <f t="shared" ref="R7567:R7575" si="1062">IF(Q7566&lt;&gt;Q7567,Q7567,"")</f>
        <v>52</v>
      </c>
      <c r="S7567" t="str">
        <f t="shared" ref="S7567:S7575" si="1063">IF(R7567&lt;&gt;"",B7567&amp;" ("&amp;D7567&amp;")","")</f>
        <v>FLEXIDOME corner 7100i IR (NCE-7703-FK)</v>
      </c>
      <c r="T7567" s="403" t="str">
        <f t="shared" ref="T7567:T7575" si="1064">D7567</f>
        <v>NCE-7703-FK</v>
      </c>
      <c r="U7567" s="403">
        <f t="shared" ref="U7567:U7575" si="1065">I7567</f>
        <v>1</v>
      </c>
      <c r="V7567" s="403" t="str">
        <f t="shared" ref="V7567:V7575" si="1066">C7567</f>
        <v>CPP_7_3</v>
      </c>
    </row>
    <row r="7568" spans="1:22">
      <c r="A7568" t="s">
        <v>2052</v>
      </c>
      <c r="B7568" s="29" t="s">
        <v>2053</v>
      </c>
      <c r="C7568" s="403" t="s">
        <v>582</v>
      </c>
      <c r="D7568" t="s">
        <v>2052</v>
      </c>
      <c r="F7568" t="s">
        <v>2054</v>
      </c>
      <c r="G7568" t="s">
        <v>1811</v>
      </c>
      <c r="H7568" s="403" t="s">
        <v>1281</v>
      </c>
      <c r="I7568">
        <v>1</v>
      </c>
      <c r="J7568" s="403" t="s">
        <v>2055</v>
      </c>
      <c r="K7568" s="403">
        <v>2816</v>
      </c>
      <c r="L7568" s="403">
        <v>2112</v>
      </c>
      <c r="M7568" s="403" t="s">
        <v>2055</v>
      </c>
      <c r="N7568" s="403">
        <v>2816</v>
      </c>
      <c r="O7568" s="403">
        <v>2112</v>
      </c>
      <c r="P7568" t="str">
        <f t="shared" si="1054"/>
        <v>30fps 2816x2112 - 2816x2112</v>
      </c>
      <c r="Q7568">
        <f t="shared" si="1061"/>
        <v>52</v>
      </c>
      <c r="R7568" t="str">
        <f t="shared" si="1062"/>
        <v/>
      </c>
      <c r="S7568" t="str">
        <f t="shared" si="1063"/>
        <v/>
      </c>
      <c r="T7568" s="403" t="str">
        <f t="shared" si="1064"/>
        <v>NCE-7703-FK</v>
      </c>
      <c r="U7568" s="403">
        <f t="shared" si="1065"/>
        <v>1</v>
      </c>
      <c r="V7568" s="403" t="str">
        <f t="shared" si="1066"/>
        <v>CPP_7_3</v>
      </c>
    </row>
    <row r="7569" spans="1:22">
      <c r="A7569" t="s">
        <v>2052</v>
      </c>
      <c r="B7569" s="29" t="s">
        <v>2053</v>
      </c>
      <c r="C7569" s="403" t="s">
        <v>582</v>
      </c>
      <c r="D7569" t="s">
        <v>2052</v>
      </c>
      <c r="F7569" t="s">
        <v>2054</v>
      </c>
      <c r="G7569" t="s">
        <v>1811</v>
      </c>
      <c r="H7569" s="403" t="s">
        <v>1281</v>
      </c>
      <c r="I7569">
        <v>1</v>
      </c>
      <c r="J7569" s="403" t="s">
        <v>2055</v>
      </c>
      <c r="K7569" s="403">
        <v>2816</v>
      </c>
      <c r="L7569" s="403">
        <v>2112</v>
      </c>
      <c r="M7569" s="403" t="s">
        <v>2058</v>
      </c>
      <c r="N7569" s="403">
        <v>2304</v>
      </c>
      <c r="O7569" s="403">
        <v>1728</v>
      </c>
      <c r="P7569" t="str">
        <f t="shared" si="1054"/>
        <v>30fps 2816x2112 - 2304x1728</v>
      </c>
      <c r="Q7569">
        <f t="shared" si="1061"/>
        <v>52</v>
      </c>
      <c r="R7569" t="str">
        <f t="shared" si="1062"/>
        <v/>
      </c>
      <c r="S7569" t="str">
        <f t="shared" si="1063"/>
        <v/>
      </c>
      <c r="T7569" s="403" t="str">
        <f t="shared" si="1064"/>
        <v>NCE-7703-FK</v>
      </c>
      <c r="U7569" s="403">
        <f t="shared" si="1065"/>
        <v>1</v>
      </c>
      <c r="V7569" s="403" t="str">
        <f t="shared" si="1066"/>
        <v>CPP_7_3</v>
      </c>
    </row>
    <row r="7570" spans="1:22">
      <c r="A7570" t="s">
        <v>2052</v>
      </c>
      <c r="B7570" s="29" t="s">
        <v>2053</v>
      </c>
      <c r="C7570" s="403" t="s">
        <v>582</v>
      </c>
      <c r="D7570" t="s">
        <v>2052</v>
      </c>
      <c r="F7570" t="s">
        <v>2054</v>
      </c>
      <c r="G7570" t="s">
        <v>1811</v>
      </c>
      <c r="H7570" s="403" t="s">
        <v>1281</v>
      </c>
      <c r="I7570">
        <v>1</v>
      </c>
      <c r="J7570" s="403" t="s">
        <v>2055</v>
      </c>
      <c r="K7570" s="403">
        <v>2816</v>
      </c>
      <c r="L7570" s="403">
        <v>2112</v>
      </c>
      <c r="M7570" t="s">
        <v>1402</v>
      </c>
      <c r="N7570" s="403">
        <v>2048</v>
      </c>
      <c r="O7570" s="403">
        <v>1536</v>
      </c>
      <c r="P7570" t="str">
        <f t="shared" si="1054"/>
        <v>30fps 2816x2112 - 2048x1536</v>
      </c>
      <c r="Q7570">
        <f t="shared" si="1061"/>
        <v>52</v>
      </c>
      <c r="R7570" t="str">
        <f t="shared" si="1062"/>
        <v/>
      </c>
      <c r="S7570" t="str">
        <f t="shared" si="1063"/>
        <v/>
      </c>
      <c r="T7570" s="403" t="str">
        <f t="shared" si="1064"/>
        <v>NCE-7703-FK</v>
      </c>
      <c r="U7570" s="403">
        <f t="shared" si="1065"/>
        <v>1</v>
      </c>
      <c r="V7570" s="403" t="str">
        <f t="shared" si="1066"/>
        <v>CPP_7_3</v>
      </c>
    </row>
    <row r="7571" spans="1:22">
      <c r="A7571" t="s">
        <v>2052</v>
      </c>
      <c r="B7571" s="29" t="s">
        <v>2053</v>
      </c>
      <c r="C7571" s="403" t="s">
        <v>582</v>
      </c>
      <c r="D7571" t="s">
        <v>2052</v>
      </c>
      <c r="F7571" t="s">
        <v>2054</v>
      </c>
      <c r="G7571" t="s">
        <v>1811</v>
      </c>
      <c r="H7571" s="403" t="s">
        <v>1281</v>
      </c>
      <c r="I7571">
        <v>1</v>
      </c>
      <c r="J7571" s="403" t="s">
        <v>2055</v>
      </c>
      <c r="K7571" s="403">
        <v>2816</v>
      </c>
      <c r="L7571" s="403">
        <v>2112</v>
      </c>
      <c r="M7571" t="s">
        <v>2059</v>
      </c>
      <c r="N7571" s="403">
        <v>1920</v>
      </c>
      <c r="O7571" s="403">
        <v>1440</v>
      </c>
      <c r="P7571" t="str">
        <f t="shared" si="1054"/>
        <v>30fps 2816x2112 - 1920x1440</v>
      </c>
      <c r="Q7571">
        <f t="shared" si="1061"/>
        <v>52</v>
      </c>
      <c r="R7571" t="str">
        <f t="shared" si="1062"/>
        <v/>
      </c>
      <c r="S7571" t="str">
        <f t="shared" si="1063"/>
        <v/>
      </c>
      <c r="T7571" s="403" t="str">
        <f t="shared" si="1064"/>
        <v>NCE-7703-FK</v>
      </c>
      <c r="U7571" s="403">
        <f t="shared" si="1065"/>
        <v>1</v>
      </c>
      <c r="V7571" s="403" t="str">
        <f t="shared" si="1066"/>
        <v>CPP_7_3</v>
      </c>
    </row>
    <row r="7572" spans="1:22">
      <c r="A7572" t="s">
        <v>2052</v>
      </c>
      <c r="B7572" s="29" t="s">
        <v>2053</v>
      </c>
      <c r="C7572" s="403" t="s">
        <v>582</v>
      </c>
      <c r="D7572" t="s">
        <v>2052</v>
      </c>
      <c r="F7572" t="s">
        <v>2054</v>
      </c>
      <c r="G7572" t="s">
        <v>1811</v>
      </c>
      <c r="H7572" s="403" t="s">
        <v>1281</v>
      </c>
      <c r="I7572">
        <v>1</v>
      </c>
      <c r="J7572" s="403" t="s">
        <v>2055</v>
      </c>
      <c r="K7572" s="403">
        <v>2816</v>
      </c>
      <c r="L7572" s="403">
        <v>2112</v>
      </c>
      <c r="M7572" t="s">
        <v>628</v>
      </c>
      <c r="N7572" s="403">
        <v>1920</v>
      </c>
      <c r="O7572" s="403">
        <v>1080</v>
      </c>
      <c r="P7572" t="str">
        <f t="shared" si="1054"/>
        <v>30fps 2816x2112 - 1920x1080</v>
      </c>
      <c r="Q7572">
        <f t="shared" si="1061"/>
        <v>52</v>
      </c>
      <c r="R7572" t="str">
        <f t="shared" si="1062"/>
        <v/>
      </c>
      <c r="S7572" t="str">
        <f t="shared" si="1063"/>
        <v/>
      </c>
      <c r="T7572" s="403" t="str">
        <f t="shared" si="1064"/>
        <v>NCE-7703-FK</v>
      </c>
      <c r="U7572" s="403">
        <f t="shared" si="1065"/>
        <v>1</v>
      </c>
      <c r="V7572" s="403" t="str">
        <f t="shared" si="1066"/>
        <v>CPP_7_3</v>
      </c>
    </row>
    <row r="7573" spans="1:22">
      <c r="A7573" t="s">
        <v>2052</v>
      </c>
      <c r="B7573" s="29" t="s">
        <v>2053</v>
      </c>
      <c r="C7573" s="403" t="s">
        <v>582</v>
      </c>
      <c r="D7573" t="s">
        <v>2052</v>
      </c>
      <c r="F7573" t="s">
        <v>2054</v>
      </c>
      <c r="G7573" t="s">
        <v>1811</v>
      </c>
      <c r="H7573" s="403" t="s">
        <v>1281</v>
      </c>
      <c r="I7573">
        <v>1</v>
      </c>
      <c r="J7573" s="403" t="s">
        <v>2055</v>
      </c>
      <c r="K7573" s="403">
        <v>2816</v>
      </c>
      <c r="L7573" s="403">
        <v>2112</v>
      </c>
      <c r="M7573" t="s">
        <v>1313</v>
      </c>
      <c r="N7573" s="403">
        <v>1280</v>
      </c>
      <c r="O7573" s="403">
        <v>960</v>
      </c>
      <c r="P7573" t="str">
        <f t="shared" si="1054"/>
        <v>30fps 2816x2112 - 1280x960</v>
      </c>
      <c r="Q7573">
        <f t="shared" si="1061"/>
        <v>52</v>
      </c>
      <c r="R7573" t="str">
        <f t="shared" si="1062"/>
        <v/>
      </c>
      <c r="S7573" t="str">
        <f t="shared" si="1063"/>
        <v/>
      </c>
      <c r="T7573" s="403" t="str">
        <f t="shared" si="1064"/>
        <v>NCE-7703-FK</v>
      </c>
      <c r="U7573" s="403">
        <f t="shared" si="1065"/>
        <v>1</v>
      </c>
      <c r="V7573" s="403" t="str">
        <f t="shared" si="1066"/>
        <v>CPP_7_3</v>
      </c>
    </row>
    <row r="7574" spans="1:22">
      <c r="A7574" t="s">
        <v>2052</v>
      </c>
      <c r="B7574" s="29" t="s">
        <v>2053</v>
      </c>
      <c r="C7574" s="403" t="s">
        <v>582</v>
      </c>
      <c r="D7574" t="s">
        <v>2052</v>
      </c>
      <c r="F7574" t="s">
        <v>2054</v>
      </c>
      <c r="G7574" t="s">
        <v>1811</v>
      </c>
      <c r="H7574" s="403" t="s">
        <v>1281</v>
      </c>
      <c r="I7574">
        <v>1</v>
      </c>
      <c r="J7574" s="403" t="s">
        <v>2055</v>
      </c>
      <c r="K7574" s="403">
        <v>2816</v>
      </c>
      <c r="L7574" s="403">
        <v>2112</v>
      </c>
      <c r="M7574" t="s">
        <v>111</v>
      </c>
      <c r="N7574" s="403">
        <v>640</v>
      </c>
      <c r="O7574" s="403">
        <v>480</v>
      </c>
      <c r="P7574" t="str">
        <f t="shared" si="1054"/>
        <v>30fps 2816x2112 - SD</v>
      </c>
      <c r="Q7574">
        <f t="shared" si="1061"/>
        <v>52</v>
      </c>
      <c r="R7574" t="str">
        <f t="shared" si="1062"/>
        <v/>
      </c>
      <c r="S7574" t="str">
        <f t="shared" si="1063"/>
        <v/>
      </c>
      <c r="T7574" s="403" t="str">
        <f t="shared" si="1064"/>
        <v>NCE-7703-FK</v>
      </c>
      <c r="U7574" s="403">
        <f t="shared" si="1065"/>
        <v>1</v>
      </c>
      <c r="V7574" s="403" t="str">
        <f t="shared" si="1066"/>
        <v>CPP_7_3</v>
      </c>
    </row>
    <row r="7575" spans="1:22">
      <c r="A7575" t="str">
        <f t="shared" ref="A7575:A7579" si="1067">IF(AND(G7575&lt;&gt;"rotate 90°"),D7575,"")</f>
        <v>NDI-3703-A</v>
      </c>
      <c r="B7575" s="29" t="s">
        <v>2068</v>
      </c>
      <c r="C7575" s="403" t="s">
        <v>582</v>
      </c>
      <c r="D7575" s="355" t="s">
        <v>2067</v>
      </c>
      <c r="G7575" t="s">
        <v>1811</v>
      </c>
      <c r="H7575" s="403"/>
      <c r="I7575">
        <v>1</v>
      </c>
      <c r="J7575" s="403"/>
      <c r="K7575" s="403"/>
      <c r="L7575" s="403"/>
      <c r="M7575" s="403"/>
      <c r="N7575" s="403"/>
      <c r="O7575" s="403"/>
      <c r="P7575" t="str">
        <f t="shared" si="1054"/>
        <v xml:space="preserve">  - </v>
      </c>
      <c r="Q7575">
        <f t="shared" si="1061"/>
        <v>53</v>
      </c>
      <c r="R7575">
        <f t="shared" si="1062"/>
        <v>53</v>
      </c>
      <c r="S7575" t="str">
        <f t="shared" si="1063"/>
        <v>FLEXIDOME 3100i (NDI-3703-A)</v>
      </c>
      <c r="T7575" s="403" t="str">
        <f t="shared" si="1064"/>
        <v>NDI-3703-A</v>
      </c>
      <c r="U7575" s="403">
        <f t="shared" si="1065"/>
        <v>1</v>
      </c>
      <c r="V7575" s="403" t="str">
        <f t="shared" si="1066"/>
        <v>CPP_7_3</v>
      </c>
    </row>
    <row r="7576" spans="1:22">
      <c r="A7576" t="str">
        <f t="shared" si="1067"/>
        <v>NDI-3703-A</v>
      </c>
      <c r="B7576" s="29" t="s">
        <v>2068</v>
      </c>
      <c r="C7576" s="403" t="s">
        <v>582</v>
      </c>
      <c r="D7576" s="355" t="s">
        <v>2067</v>
      </c>
      <c r="F7576" t="s">
        <v>2069</v>
      </c>
      <c r="G7576" t="s">
        <v>1811</v>
      </c>
      <c r="H7576" s="403" t="s">
        <v>1281</v>
      </c>
      <c r="I7576">
        <v>1</v>
      </c>
      <c r="J7576" s="403" t="s">
        <v>2070</v>
      </c>
      <c r="K7576" s="403">
        <v>2592</v>
      </c>
      <c r="L7576" s="403">
        <v>1944</v>
      </c>
      <c r="M7576" s="403" t="s">
        <v>2070</v>
      </c>
      <c r="N7576" s="403">
        <v>2592</v>
      </c>
      <c r="O7576" s="403">
        <v>1944</v>
      </c>
      <c r="P7576" t="str">
        <f t="shared" ref="P7576:P7609" si="1068">LEFT(F7576,5)&amp;" "&amp;J7576&amp;" - "&amp;M7576</f>
        <v>30fps 2592x1944 - 2592x1944</v>
      </c>
      <c r="Q7576">
        <f t="shared" ref="Q7576:Q7604" si="1069">IF(A7575=A7576,Q7575,Q7575+1)</f>
        <v>53</v>
      </c>
      <c r="R7576" t="str">
        <f t="shared" ref="R7576:R7604" si="1070">IF(Q7575&lt;&gt;Q7576,Q7576,"")</f>
        <v/>
      </c>
      <c r="S7576" t="str">
        <f t="shared" ref="S7576:S7604" si="1071">IF(R7576&lt;&gt;"",B7576&amp;" ("&amp;D7576&amp;")","")</f>
        <v/>
      </c>
      <c r="T7576" s="403" t="str">
        <f t="shared" ref="T7576:T7604" si="1072">D7576</f>
        <v>NDI-3703-A</v>
      </c>
      <c r="U7576" s="403">
        <f t="shared" ref="U7576:U7604" si="1073">I7576</f>
        <v>1</v>
      </c>
      <c r="V7576" s="403" t="str">
        <f t="shared" ref="V7576:V7604" si="1074">C7576</f>
        <v>CPP_7_3</v>
      </c>
    </row>
    <row r="7577" spans="1:22">
      <c r="A7577" t="str">
        <f t="shared" si="1067"/>
        <v>NDI-3703-A</v>
      </c>
      <c r="B7577" s="29" t="s">
        <v>2068</v>
      </c>
      <c r="C7577" s="403" t="s">
        <v>582</v>
      </c>
      <c r="D7577" s="355" t="s">
        <v>2067</v>
      </c>
      <c r="F7577" t="s">
        <v>2069</v>
      </c>
      <c r="G7577" t="s">
        <v>1811</v>
      </c>
      <c r="H7577" s="403" t="s">
        <v>1281</v>
      </c>
      <c r="I7577">
        <v>1</v>
      </c>
      <c r="J7577" s="403" t="s">
        <v>2070</v>
      </c>
      <c r="K7577" s="403">
        <v>2592</v>
      </c>
      <c r="L7577" s="403">
        <v>1944</v>
      </c>
      <c r="M7577" s="403" t="s">
        <v>2058</v>
      </c>
      <c r="N7577" s="403">
        <v>2304</v>
      </c>
      <c r="O7577" s="403">
        <v>1728</v>
      </c>
      <c r="P7577" t="str">
        <f t="shared" si="1068"/>
        <v>30fps 2592x1944 - 2304x1728</v>
      </c>
      <c r="Q7577">
        <f t="shared" si="1069"/>
        <v>53</v>
      </c>
      <c r="R7577" t="str">
        <f t="shared" si="1070"/>
        <v/>
      </c>
      <c r="S7577" t="str">
        <f t="shared" si="1071"/>
        <v/>
      </c>
      <c r="T7577" s="403" t="str">
        <f t="shared" si="1072"/>
        <v>NDI-3703-A</v>
      </c>
      <c r="U7577" s="403">
        <f t="shared" si="1073"/>
        <v>1</v>
      </c>
      <c r="V7577" s="403" t="str">
        <f t="shared" si="1074"/>
        <v>CPP_7_3</v>
      </c>
    </row>
    <row r="7578" spans="1:22">
      <c r="A7578" t="str">
        <f t="shared" si="1067"/>
        <v>NDI-3703-A</v>
      </c>
      <c r="B7578" s="29" t="s">
        <v>2068</v>
      </c>
      <c r="C7578" s="403" t="s">
        <v>582</v>
      </c>
      <c r="D7578" s="355" t="s">
        <v>2067</v>
      </c>
      <c r="F7578" t="s">
        <v>2069</v>
      </c>
      <c r="G7578" t="s">
        <v>1811</v>
      </c>
      <c r="H7578" s="403" t="s">
        <v>1281</v>
      </c>
      <c r="I7578">
        <v>1</v>
      </c>
      <c r="J7578" s="403" t="s">
        <v>2070</v>
      </c>
      <c r="K7578" s="403">
        <v>2592</v>
      </c>
      <c r="L7578" s="403">
        <v>1944</v>
      </c>
      <c r="M7578" t="s">
        <v>2059</v>
      </c>
      <c r="N7578" s="403">
        <v>1920</v>
      </c>
      <c r="O7578" s="403">
        <v>1440</v>
      </c>
      <c r="P7578" t="str">
        <f t="shared" si="1068"/>
        <v>30fps 2592x1944 - 1920x1440</v>
      </c>
      <c r="Q7578">
        <f t="shared" si="1069"/>
        <v>53</v>
      </c>
      <c r="R7578" t="str">
        <f t="shared" si="1070"/>
        <v/>
      </c>
      <c r="S7578" t="str">
        <f t="shared" si="1071"/>
        <v/>
      </c>
      <c r="T7578" s="403" t="str">
        <f t="shared" si="1072"/>
        <v>NDI-3703-A</v>
      </c>
      <c r="U7578" s="403">
        <f t="shared" si="1073"/>
        <v>1</v>
      </c>
      <c r="V7578" s="403" t="str">
        <f t="shared" si="1074"/>
        <v>CPP_7_3</v>
      </c>
    </row>
    <row r="7579" spans="1:22">
      <c r="A7579" t="str">
        <f t="shared" si="1067"/>
        <v>NDI-3703-A</v>
      </c>
      <c r="B7579" s="29" t="s">
        <v>2068</v>
      </c>
      <c r="C7579" s="403" t="s">
        <v>582</v>
      </c>
      <c r="D7579" s="355" t="s">
        <v>2067</v>
      </c>
      <c r="F7579" t="s">
        <v>2069</v>
      </c>
      <c r="G7579" t="s">
        <v>1811</v>
      </c>
      <c r="H7579" s="403" t="s">
        <v>1281</v>
      </c>
      <c r="I7579">
        <v>1</v>
      </c>
      <c r="J7579" s="403" t="s">
        <v>2070</v>
      </c>
      <c r="K7579" s="403">
        <v>2592</v>
      </c>
      <c r="L7579" s="403">
        <v>1944</v>
      </c>
      <c r="M7579" t="s">
        <v>628</v>
      </c>
      <c r="N7579" s="403">
        <v>1920</v>
      </c>
      <c r="O7579" s="403">
        <v>1080</v>
      </c>
      <c r="P7579" t="str">
        <f t="shared" si="1068"/>
        <v>30fps 2592x1944 - 1920x1080</v>
      </c>
      <c r="Q7579">
        <f t="shared" si="1069"/>
        <v>53</v>
      </c>
      <c r="R7579" t="str">
        <f t="shared" si="1070"/>
        <v/>
      </c>
      <c r="S7579" t="str">
        <f t="shared" si="1071"/>
        <v/>
      </c>
      <c r="T7579" s="403" t="str">
        <f t="shared" si="1072"/>
        <v>NDI-3703-A</v>
      </c>
      <c r="U7579" s="403">
        <f t="shared" si="1073"/>
        <v>1</v>
      </c>
      <c r="V7579" s="403" t="str">
        <f t="shared" si="1074"/>
        <v>CPP_7_3</v>
      </c>
    </row>
    <row r="7580" spans="1:22">
      <c r="A7580" t="str">
        <f>IF(AND(G7580&lt;&gt;"rotate 90°"),D7580,"")</f>
        <v>NDI-3703-A</v>
      </c>
      <c r="B7580" s="29" t="s">
        <v>2068</v>
      </c>
      <c r="C7580" s="403" t="s">
        <v>582</v>
      </c>
      <c r="D7580" s="355" t="s">
        <v>2067</v>
      </c>
      <c r="F7580" t="s">
        <v>2069</v>
      </c>
      <c r="G7580" t="s">
        <v>1811</v>
      </c>
      <c r="H7580" s="403" t="s">
        <v>1281</v>
      </c>
      <c r="I7580">
        <v>1</v>
      </c>
      <c r="J7580" s="403" t="s">
        <v>2070</v>
      </c>
      <c r="K7580" s="403">
        <v>2592</v>
      </c>
      <c r="L7580" s="403">
        <v>1944</v>
      </c>
      <c r="M7580" t="s">
        <v>1313</v>
      </c>
      <c r="N7580" s="403">
        <v>1280</v>
      </c>
      <c r="O7580" s="403">
        <v>960</v>
      </c>
      <c r="P7580" t="str">
        <f t="shared" si="1068"/>
        <v>30fps 2592x1944 - 1280x960</v>
      </c>
      <c r="Q7580">
        <f t="shared" si="1069"/>
        <v>53</v>
      </c>
      <c r="R7580" t="str">
        <f t="shared" si="1070"/>
        <v/>
      </c>
      <c r="S7580" t="str">
        <f t="shared" si="1071"/>
        <v/>
      </c>
      <c r="T7580" s="403" t="str">
        <f t="shared" si="1072"/>
        <v>NDI-3703-A</v>
      </c>
      <c r="U7580" s="403">
        <f t="shared" si="1073"/>
        <v>1</v>
      </c>
      <c r="V7580" s="403" t="str">
        <f t="shared" si="1074"/>
        <v>CPP_7_3</v>
      </c>
    </row>
    <row r="7581" spans="1:22">
      <c r="A7581" t="str">
        <f>IF(AND(G7581&lt;&gt;"rotate 90°"),D7581,"")</f>
        <v>NDI-3703-A</v>
      </c>
      <c r="B7581" s="29" t="s">
        <v>2068</v>
      </c>
      <c r="C7581" s="403" t="s">
        <v>582</v>
      </c>
      <c r="D7581" s="355" t="s">
        <v>2067</v>
      </c>
      <c r="F7581" t="s">
        <v>2069</v>
      </c>
      <c r="G7581" t="s">
        <v>1811</v>
      </c>
      <c r="H7581" s="403" t="s">
        <v>1281</v>
      </c>
      <c r="I7581">
        <v>1</v>
      </c>
      <c r="J7581" s="403" t="s">
        <v>2070</v>
      </c>
      <c r="K7581" s="403">
        <v>2592</v>
      </c>
      <c r="L7581" s="403">
        <v>1944</v>
      </c>
      <c r="M7581" t="s">
        <v>111</v>
      </c>
      <c r="N7581" s="403">
        <v>640</v>
      </c>
      <c r="O7581" s="403">
        <v>480</v>
      </c>
      <c r="P7581" t="str">
        <f t="shared" si="1068"/>
        <v>30fps 2592x1944 - SD</v>
      </c>
      <c r="Q7581">
        <f t="shared" si="1069"/>
        <v>53</v>
      </c>
      <c r="R7581" t="str">
        <f t="shared" si="1070"/>
        <v/>
      </c>
      <c r="S7581" t="str">
        <f t="shared" si="1071"/>
        <v/>
      </c>
      <c r="T7581" s="403" t="str">
        <f t="shared" si="1072"/>
        <v>NDI-3703-A</v>
      </c>
      <c r="U7581" s="403">
        <f t="shared" si="1073"/>
        <v>1</v>
      </c>
      <c r="V7581" s="403" t="str">
        <f t="shared" si="1074"/>
        <v>CPP_7_3</v>
      </c>
    </row>
    <row r="7582" spans="1:22">
      <c r="A7582" t="str">
        <f>IF(AND(G7582&lt;&gt;"rotate 90°"),D7582,"")</f>
        <v>NDI-3703-A</v>
      </c>
      <c r="B7582" s="29" t="s">
        <v>2068</v>
      </c>
      <c r="C7582" s="403" t="s">
        <v>582</v>
      </c>
      <c r="D7582" s="355" t="s">
        <v>2067</v>
      </c>
      <c r="F7582" t="s">
        <v>2071</v>
      </c>
      <c r="G7582" t="s">
        <v>1811</v>
      </c>
      <c r="H7582" s="403" t="s">
        <v>1281</v>
      </c>
      <c r="I7582">
        <v>1</v>
      </c>
      <c r="J7582" s="403" t="s">
        <v>2058</v>
      </c>
      <c r="K7582" s="403">
        <v>2304</v>
      </c>
      <c r="L7582" s="403">
        <v>1728</v>
      </c>
      <c r="M7582" s="403" t="s">
        <v>2058</v>
      </c>
      <c r="N7582" s="403">
        <v>2304</v>
      </c>
      <c r="O7582" s="403">
        <v>1728</v>
      </c>
      <c r="P7582" t="str">
        <f t="shared" si="1068"/>
        <v>30fps 2304x1728 - 2304x1728</v>
      </c>
      <c r="Q7582">
        <f t="shared" si="1069"/>
        <v>53</v>
      </c>
      <c r="R7582" t="str">
        <f t="shared" si="1070"/>
        <v/>
      </c>
      <c r="S7582" t="str">
        <f t="shared" si="1071"/>
        <v/>
      </c>
      <c r="T7582" s="403" t="str">
        <f t="shared" si="1072"/>
        <v>NDI-3703-A</v>
      </c>
      <c r="U7582" s="403">
        <f t="shared" si="1073"/>
        <v>1</v>
      </c>
      <c r="V7582" s="403" t="str">
        <f t="shared" si="1074"/>
        <v>CPP_7_3</v>
      </c>
    </row>
    <row r="7583" spans="1:22">
      <c r="A7583" t="str">
        <f>IF(AND(G7583&lt;&gt;"rotate 90°"),D7583,"")</f>
        <v>NDI-3703-A</v>
      </c>
      <c r="B7583" s="29" t="s">
        <v>2068</v>
      </c>
      <c r="C7583" s="403" t="s">
        <v>582</v>
      </c>
      <c r="D7583" s="355" t="s">
        <v>2067</v>
      </c>
      <c r="F7583" t="s">
        <v>2071</v>
      </c>
      <c r="G7583" t="s">
        <v>1811</v>
      </c>
      <c r="H7583" s="403" t="s">
        <v>1281</v>
      </c>
      <c r="I7583">
        <v>1</v>
      </c>
      <c r="J7583" s="403" t="s">
        <v>2058</v>
      </c>
      <c r="K7583" s="403">
        <v>2304</v>
      </c>
      <c r="L7583" s="403">
        <v>1728</v>
      </c>
      <c r="M7583" t="s">
        <v>2059</v>
      </c>
      <c r="N7583" s="403">
        <v>1920</v>
      </c>
      <c r="O7583" s="403">
        <v>1440</v>
      </c>
      <c r="P7583" t="str">
        <f t="shared" si="1068"/>
        <v>30fps 2304x1728 - 1920x1440</v>
      </c>
      <c r="Q7583">
        <f t="shared" si="1069"/>
        <v>53</v>
      </c>
      <c r="R7583" t="str">
        <f t="shared" si="1070"/>
        <v/>
      </c>
      <c r="S7583" t="str">
        <f t="shared" si="1071"/>
        <v/>
      </c>
      <c r="T7583" s="403" t="str">
        <f t="shared" si="1072"/>
        <v>NDI-3703-A</v>
      </c>
      <c r="U7583" s="403">
        <f t="shared" si="1073"/>
        <v>1</v>
      </c>
      <c r="V7583" s="403" t="str">
        <f t="shared" si="1074"/>
        <v>CPP_7_3</v>
      </c>
    </row>
    <row r="7584" spans="1:22">
      <c r="A7584" t="str">
        <f>IF(AND(G7584&lt;&gt;"rotate 90°"),D7584,"")</f>
        <v>NDI-3703-A</v>
      </c>
      <c r="B7584" s="29" t="s">
        <v>2068</v>
      </c>
      <c r="C7584" s="403" t="s">
        <v>582</v>
      </c>
      <c r="D7584" s="355" t="s">
        <v>2067</v>
      </c>
      <c r="F7584" t="s">
        <v>2071</v>
      </c>
      <c r="G7584" t="s">
        <v>1811</v>
      </c>
      <c r="H7584" s="403" t="s">
        <v>1281</v>
      </c>
      <c r="I7584">
        <v>1</v>
      </c>
      <c r="J7584" s="403" t="s">
        <v>2058</v>
      </c>
      <c r="K7584" s="403">
        <v>2304</v>
      </c>
      <c r="L7584" s="403">
        <v>1728</v>
      </c>
      <c r="M7584" t="s">
        <v>628</v>
      </c>
      <c r="N7584" s="403">
        <v>1920</v>
      </c>
      <c r="O7584" s="403">
        <v>1080</v>
      </c>
      <c r="P7584" t="str">
        <f t="shared" si="1068"/>
        <v>30fps 2304x1728 - 1920x1080</v>
      </c>
      <c r="Q7584">
        <f t="shared" si="1069"/>
        <v>53</v>
      </c>
      <c r="R7584" t="str">
        <f t="shared" si="1070"/>
        <v/>
      </c>
      <c r="S7584" t="str">
        <f t="shared" si="1071"/>
        <v/>
      </c>
      <c r="T7584" s="403" t="str">
        <f t="shared" si="1072"/>
        <v>NDI-3703-A</v>
      </c>
      <c r="U7584" s="403">
        <f t="shared" si="1073"/>
        <v>1</v>
      </c>
      <c r="V7584" s="403" t="str">
        <f t="shared" si="1074"/>
        <v>CPP_7_3</v>
      </c>
    </row>
    <row r="7585" spans="1:22">
      <c r="A7585" t="str">
        <f>IF(AND(G7585&lt;&gt;"rotate 90°"),D7585,"")</f>
        <v>NDI-3703-A</v>
      </c>
      <c r="B7585" s="29" t="s">
        <v>2068</v>
      </c>
      <c r="C7585" s="403" t="s">
        <v>582</v>
      </c>
      <c r="D7585" s="355" t="s">
        <v>2067</v>
      </c>
      <c r="F7585" t="s">
        <v>2071</v>
      </c>
      <c r="G7585" t="s">
        <v>1811</v>
      </c>
      <c r="H7585" s="403" t="s">
        <v>1281</v>
      </c>
      <c r="I7585">
        <v>1</v>
      </c>
      <c r="J7585" s="403" t="s">
        <v>2058</v>
      </c>
      <c r="K7585" s="403">
        <v>2304</v>
      </c>
      <c r="L7585" s="403">
        <v>1728</v>
      </c>
      <c r="M7585" t="s">
        <v>1313</v>
      </c>
      <c r="N7585" s="403">
        <v>1280</v>
      </c>
      <c r="O7585" s="403">
        <v>960</v>
      </c>
      <c r="P7585" t="str">
        <f t="shared" si="1068"/>
        <v>30fps 2304x1728 - 1280x960</v>
      </c>
      <c r="Q7585">
        <f t="shared" si="1069"/>
        <v>53</v>
      </c>
      <c r="R7585" t="str">
        <f t="shared" si="1070"/>
        <v/>
      </c>
      <c r="S7585" t="str">
        <f t="shared" si="1071"/>
        <v/>
      </c>
      <c r="T7585" s="403" t="str">
        <f t="shared" si="1072"/>
        <v>NDI-3703-A</v>
      </c>
      <c r="U7585" s="403">
        <f t="shared" si="1073"/>
        <v>1</v>
      </c>
      <c r="V7585" s="403" t="str">
        <f t="shared" si="1074"/>
        <v>CPP_7_3</v>
      </c>
    </row>
    <row r="7586" spans="1:22">
      <c r="A7586" t="str">
        <f>IF(AND(G7586&lt;&gt;"rotate 90°"),D7586,"")</f>
        <v>NDI-3703-A</v>
      </c>
      <c r="B7586" s="29" t="s">
        <v>2068</v>
      </c>
      <c r="C7586" s="403" t="s">
        <v>582</v>
      </c>
      <c r="D7586" s="355" t="s">
        <v>2067</v>
      </c>
      <c r="F7586" t="s">
        <v>2071</v>
      </c>
      <c r="G7586" t="s">
        <v>1811</v>
      </c>
      <c r="H7586" s="403" t="s">
        <v>1281</v>
      </c>
      <c r="I7586">
        <v>1</v>
      </c>
      <c r="J7586" s="403" t="s">
        <v>2058</v>
      </c>
      <c r="K7586" s="403">
        <v>2304</v>
      </c>
      <c r="L7586" s="403">
        <v>1728</v>
      </c>
      <c r="M7586" t="s">
        <v>111</v>
      </c>
      <c r="N7586" s="403">
        <v>640</v>
      </c>
      <c r="O7586" s="403">
        <v>480</v>
      </c>
      <c r="P7586" t="str">
        <f t="shared" si="1068"/>
        <v>30fps 2304x1728 - SD</v>
      </c>
      <c r="Q7586">
        <f t="shared" si="1069"/>
        <v>53</v>
      </c>
      <c r="R7586" t="str">
        <f t="shared" si="1070"/>
        <v/>
      </c>
      <c r="S7586" t="str">
        <f t="shared" si="1071"/>
        <v/>
      </c>
      <c r="T7586" s="403" t="str">
        <f t="shared" si="1072"/>
        <v>NDI-3703-A</v>
      </c>
      <c r="U7586" s="403">
        <f t="shared" si="1073"/>
        <v>1</v>
      </c>
      <c r="V7586" s="403" t="str">
        <f t="shared" si="1074"/>
        <v>CPP_7_3</v>
      </c>
    </row>
    <row r="7587" spans="1:22">
      <c r="A7587" t="str">
        <f>IF(AND(G7587&lt;&gt;"rotate 90°"),D7587,"")</f>
        <v>NDI-3703-A</v>
      </c>
      <c r="B7587" s="29" t="s">
        <v>2068</v>
      </c>
      <c r="C7587" s="403" t="s">
        <v>582</v>
      </c>
      <c r="D7587" s="355" t="s">
        <v>2067</v>
      </c>
      <c r="F7587" t="s">
        <v>1286</v>
      </c>
      <c r="G7587" t="s">
        <v>1811</v>
      </c>
      <c r="H7587" s="403" t="s">
        <v>1281</v>
      </c>
      <c r="I7587">
        <v>1</v>
      </c>
      <c r="J7587" t="s">
        <v>628</v>
      </c>
      <c r="K7587" s="403">
        <v>1920</v>
      </c>
      <c r="L7587" s="403">
        <v>1080</v>
      </c>
      <c r="M7587" t="s">
        <v>628</v>
      </c>
      <c r="N7587" s="403">
        <v>1920</v>
      </c>
      <c r="O7587" s="403">
        <v>1080</v>
      </c>
      <c r="P7587" t="str">
        <f t="shared" si="1068"/>
        <v>30fps 1920x1080 - 1920x1080</v>
      </c>
      <c r="Q7587">
        <f t="shared" si="1069"/>
        <v>53</v>
      </c>
      <c r="R7587" t="str">
        <f t="shared" si="1070"/>
        <v/>
      </c>
      <c r="S7587" t="str">
        <f t="shared" si="1071"/>
        <v/>
      </c>
      <c r="T7587" s="403" t="str">
        <f t="shared" si="1072"/>
        <v>NDI-3703-A</v>
      </c>
      <c r="U7587" s="403">
        <f t="shared" si="1073"/>
        <v>1</v>
      </c>
      <c r="V7587" s="403" t="str">
        <f t="shared" si="1074"/>
        <v>CPP_7_3</v>
      </c>
    </row>
    <row r="7588" spans="1:22">
      <c r="A7588" t="str">
        <f>IF(AND(G7588&lt;&gt;"rotate 90°"),D7588,"")</f>
        <v>NDI-3703-A</v>
      </c>
      <c r="B7588" s="29" t="s">
        <v>2068</v>
      </c>
      <c r="C7588" s="403" t="s">
        <v>582</v>
      </c>
      <c r="D7588" s="355" t="s">
        <v>2067</v>
      </c>
      <c r="F7588" t="s">
        <v>1286</v>
      </c>
      <c r="G7588" t="s">
        <v>1811</v>
      </c>
      <c r="H7588" s="403" t="s">
        <v>1281</v>
      </c>
      <c r="I7588">
        <v>1</v>
      </c>
      <c r="J7588" t="s">
        <v>628</v>
      </c>
      <c r="K7588" s="403">
        <v>1920</v>
      </c>
      <c r="L7588" s="403">
        <v>1080</v>
      </c>
      <c r="M7588" t="s">
        <v>1313</v>
      </c>
      <c r="N7588" s="403">
        <v>1280</v>
      </c>
      <c r="O7588" s="403">
        <v>960</v>
      </c>
      <c r="P7588" t="str">
        <f t="shared" si="1068"/>
        <v>30fps 1920x1080 - 1280x960</v>
      </c>
      <c r="Q7588">
        <f t="shared" si="1069"/>
        <v>53</v>
      </c>
      <c r="R7588" t="str">
        <f t="shared" si="1070"/>
        <v/>
      </c>
      <c r="S7588" t="str">
        <f t="shared" si="1071"/>
        <v/>
      </c>
      <c r="T7588" s="403" t="str">
        <f t="shared" si="1072"/>
        <v>NDI-3703-A</v>
      </c>
      <c r="U7588" s="403">
        <f t="shared" si="1073"/>
        <v>1</v>
      </c>
      <c r="V7588" s="403" t="str">
        <f t="shared" si="1074"/>
        <v>CPP_7_3</v>
      </c>
    </row>
    <row r="7589" spans="1:22">
      <c r="A7589" t="str">
        <f>IF(AND(G7589&lt;&gt;"rotate 90°"),D7589,"")</f>
        <v>NDI-3703-A</v>
      </c>
      <c r="B7589" s="29" t="s">
        <v>2068</v>
      </c>
      <c r="C7589" s="403" t="s">
        <v>582</v>
      </c>
      <c r="D7589" s="355" t="s">
        <v>2067</v>
      </c>
      <c r="F7589" t="s">
        <v>1286</v>
      </c>
      <c r="G7589" t="s">
        <v>1811</v>
      </c>
      <c r="H7589" s="403" t="s">
        <v>1281</v>
      </c>
      <c r="I7589">
        <v>1</v>
      </c>
      <c r="J7589" t="s">
        <v>628</v>
      </c>
      <c r="K7589" s="403">
        <v>1920</v>
      </c>
      <c r="L7589" s="403">
        <v>1080</v>
      </c>
      <c r="M7589" t="s">
        <v>111</v>
      </c>
      <c r="N7589" s="403">
        <v>640</v>
      </c>
      <c r="O7589" s="403">
        <v>480</v>
      </c>
      <c r="P7589" t="str">
        <f t="shared" si="1068"/>
        <v>30fps 1920x1080 - SD</v>
      </c>
      <c r="Q7589">
        <f t="shared" si="1069"/>
        <v>53</v>
      </c>
      <c r="R7589" t="str">
        <f t="shared" si="1070"/>
        <v/>
      </c>
      <c r="S7589" t="str">
        <f t="shared" si="1071"/>
        <v/>
      </c>
      <c r="T7589" s="403" t="str">
        <f t="shared" si="1072"/>
        <v>NDI-3703-A</v>
      </c>
      <c r="U7589" s="403">
        <f t="shared" si="1073"/>
        <v>1</v>
      </c>
      <c r="V7589" s="403" t="str">
        <f t="shared" si="1074"/>
        <v>CPP_7_3</v>
      </c>
    </row>
    <row r="7590" spans="1:22">
      <c r="A7590" t="str">
        <f>IF(AND(G7590&lt;&gt;"rotate 90°"),D7590,"")</f>
        <v>NDE-3703-AL</v>
      </c>
      <c r="B7590" s="29" t="s">
        <v>2073</v>
      </c>
      <c r="C7590" s="403" t="s">
        <v>582</v>
      </c>
      <c r="D7590" s="355" t="s">
        <v>2072</v>
      </c>
      <c r="G7590" t="s">
        <v>1811</v>
      </c>
      <c r="H7590" s="403"/>
      <c r="I7590">
        <v>1</v>
      </c>
      <c r="J7590" s="403"/>
      <c r="K7590" s="403"/>
      <c r="L7590" s="403"/>
      <c r="M7590" s="403"/>
      <c r="N7590" s="403"/>
      <c r="O7590" s="403"/>
      <c r="P7590" t="str">
        <f t="shared" si="1068"/>
        <v xml:space="preserve">  - </v>
      </c>
      <c r="Q7590">
        <f t="shared" si="1069"/>
        <v>54</v>
      </c>
      <c r="R7590">
        <f t="shared" si="1070"/>
        <v>54</v>
      </c>
      <c r="S7590" t="str">
        <f t="shared" si="1071"/>
        <v>FLEXIDOME 3100i IR (NDE-3703-AL)</v>
      </c>
      <c r="T7590" s="403" t="str">
        <f t="shared" si="1072"/>
        <v>NDE-3703-AL</v>
      </c>
      <c r="U7590" s="403">
        <f t="shared" si="1073"/>
        <v>1</v>
      </c>
      <c r="V7590" s="403" t="str">
        <f t="shared" si="1074"/>
        <v>CPP_7_3</v>
      </c>
    </row>
    <row r="7591" spans="1:22">
      <c r="A7591" t="str">
        <f>IF(AND(G7591&lt;&gt;"rotate 90°"),D7591,"")</f>
        <v>NDE-3703-AL</v>
      </c>
      <c r="B7591" s="29" t="s">
        <v>2073</v>
      </c>
      <c r="C7591" s="403" t="s">
        <v>582</v>
      </c>
      <c r="D7591" s="355" t="s">
        <v>2072</v>
      </c>
      <c r="F7591" t="s">
        <v>2069</v>
      </c>
      <c r="G7591" t="s">
        <v>1811</v>
      </c>
      <c r="H7591" s="403" t="s">
        <v>1281</v>
      </c>
      <c r="I7591">
        <v>1</v>
      </c>
      <c r="J7591" s="403" t="s">
        <v>2070</v>
      </c>
      <c r="K7591" s="403">
        <v>2592</v>
      </c>
      <c r="L7591" s="403">
        <v>1944</v>
      </c>
      <c r="M7591" s="403" t="s">
        <v>2070</v>
      </c>
      <c r="N7591" s="403">
        <v>2592</v>
      </c>
      <c r="O7591" s="403">
        <v>1944</v>
      </c>
      <c r="P7591" t="str">
        <f t="shared" si="1068"/>
        <v>30fps 2592x1944 - 2592x1944</v>
      </c>
      <c r="Q7591">
        <f t="shared" si="1069"/>
        <v>54</v>
      </c>
      <c r="R7591" t="str">
        <f t="shared" si="1070"/>
        <v/>
      </c>
      <c r="S7591" t="str">
        <f t="shared" si="1071"/>
        <v/>
      </c>
      <c r="T7591" s="403" t="str">
        <f t="shared" si="1072"/>
        <v>NDE-3703-AL</v>
      </c>
      <c r="U7591" s="403">
        <f t="shared" si="1073"/>
        <v>1</v>
      </c>
      <c r="V7591" s="403" t="str">
        <f t="shared" si="1074"/>
        <v>CPP_7_3</v>
      </c>
    </row>
    <row r="7592" spans="1:22">
      <c r="A7592" t="str">
        <f>IF(AND(G7592&lt;&gt;"rotate 90°"),D7592,"")</f>
        <v>NDE-3703-AL</v>
      </c>
      <c r="B7592" s="29" t="s">
        <v>2073</v>
      </c>
      <c r="C7592" s="403" t="s">
        <v>582</v>
      </c>
      <c r="D7592" s="355" t="s">
        <v>2072</v>
      </c>
      <c r="F7592" t="s">
        <v>2069</v>
      </c>
      <c r="G7592" t="s">
        <v>1811</v>
      </c>
      <c r="H7592" s="403" t="s">
        <v>1281</v>
      </c>
      <c r="I7592">
        <v>1</v>
      </c>
      <c r="J7592" s="403" t="s">
        <v>2070</v>
      </c>
      <c r="K7592" s="403">
        <v>2592</v>
      </c>
      <c r="L7592" s="403">
        <v>1944</v>
      </c>
      <c r="M7592" s="403" t="s">
        <v>2058</v>
      </c>
      <c r="N7592" s="403">
        <v>2304</v>
      </c>
      <c r="O7592" s="403">
        <v>1728</v>
      </c>
      <c r="P7592" t="str">
        <f t="shared" si="1068"/>
        <v>30fps 2592x1944 - 2304x1728</v>
      </c>
      <c r="Q7592">
        <f t="shared" si="1069"/>
        <v>54</v>
      </c>
      <c r="R7592" t="str">
        <f t="shared" si="1070"/>
        <v/>
      </c>
      <c r="S7592" t="str">
        <f t="shared" si="1071"/>
        <v/>
      </c>
      <c r="T7592" s="403" t="str">
        <f t="shared" si="1072"/>
        <v>NDE-3703-AL</v>
      </c>
      <c r="U7592" s="403">
        <f t="shared" si="1073"/>
        <v>1</v>
      </c>
      <c r="V7592" s="403" t="str">
        <f t="shared" si="1074"/>
        <v>CPP_7_3</v>
      </c>
    </row>
    <row r="7593" spans="1:22">
      <c r="A7593" t="str">
        <f>IF(AND(G7593&lt;&gt;"rotate 90°"),D7593,"")</f>
        <v>NDE-3703-AL</v>
      </c>
      <c r="B7593" s="29" t="s">
        <v>2073</v>
      </c>
      <c r="C7593" s="403" t="s">
        <v>582</v>
      </c>
      <c r="D7593" s="355" t="s">
        <v>2072</v>
      </c>
      <c r="F7593" t="s">
        <v>2069</v>
      </c>
      <c r="G7593" t="s">
        <v>1811</v>
      </c>
      <c r="H7593" s="403" t="s">
        <v>1281</v>
      </c>
      <c r="I7593">
        <v>1</v>
      </c>
      <c r="J7593" s="403" t="s">
        <v>2070</v>
      </c>
      <c r="K7593" s="403">
        <v>2592</v>
      </c>
      <c r="L7593" s="403">
        <v>1944</v>
      </c>
      <c r="M7593" t="s">
        <v>2059</v>
      </c>
      <c r="N7593" s="403">
        <v>1920</v>
      </c>
      <c r="O7593" s="403">
        <v>1440</v>
      </c>
      <c r="P7593" t="str">
        <f t="shared" si="1068"/>
        <v>30fps 2592x1944 - 1920x1440</v>
      </c>
      <c r="Q7593">
        <f t="shared" si="1069"/>
        <v>54</v>
      </c>
      <c r="R7593" t="str">
        <f t="shared" si="1070"/>
        <v/>
      </c>
      <c r="S7593" t="str">
        <f t="shared" si="1071"/>
        <v/>
      </c>
      <c r="T7593" s="403" t="str">
        <f t="shared" si="1072"/>
        <v>NDE-3703-AL</v>
      </c>
      <c r="U7593" s="403">
        <f t="shared" si="1073"/>
        <v>1</v>
      </c>
      <c r="V7593" s="403" t="str">
        <f t="shared" si="1074"/>
        <v>CPP_7_3</v>
      </c>
    </row>
    <row r="7594" spans="1:22">
      <c r="A7594" t="str">
        <f>IF(AND(G7594&lt;&gt;"rotate 90°"),D7594,"")</f>
        <v>NDE-3703-AL</v>
      </c>
      <c r="B7594" s="29" t="s">
        <v>2073</v>
      </c>
      <c r="C7594" s="403" t="s">
        <v>582</v>
      </c>
      <c r="D7594" s="355" t="s">
        <v>2072</v>
      </c>
      <c r="F7594" t="s">
        <v>2069</v>
      </c>
      <c r="G7594" t="s">
        <v>1811</v>
      </c>
      <c r="H7594" s="403" t="s">
        <v>1281</v>
      </c>
      <c r="I7594">
        <v>1</v>
      </c>
      <c r="J7594" s="403" t="s">
        <v>2070</v>
      </c>
      <c r="K7594" s="403">
        <v>2592</v>
      </c>
      <c r="L7594" s="403">
        <v>1944</v>
      </c>
      <c r="M7594" t="s">
        <v>628</v>
      </c>
      <c r="N7594" s="403">
        <v>1920</v>
      </c>
      <c r="O7594" s="403">
        <v>1080</v>
      </c>
      <c r="P7594" t="str">
        <f t="shared" si="1068"/>
        <v>30fps 2592x1944 - 1920x1080</v>
      </c>
      <c r="Q7594">
        <f t="shared" si="1069"/>
        <v>54</v>
      </c>
      <c r="R7594" t="str">
        <f t="shared" si="1070"/>
        <v/>
      </c>
      <c r="S7594" t="str">
        <f t="shared" si="1071"/>
        <v/>
      </c>
      <c r="T7594" s="403" t="str">
        <f t="shared" si="1072"/>
        <v>NDE-3703-AL</v>
      </c>
      <c r="U7594" s="403">
        <f t="shared" si="1073"/>
        <v>1</v>
      </c>
      <c r="V7594" s="403" t="str">
        <f t="shared" si="1074"/>
        <v>CPP_7_3</v>
      </c>
    </row>
    <row r="7595" spans="1:22">
      <c r="A7595" t="str">
        <f>IF(AND(G7595&lt;&gt;"rotate 90°"),D7595,"")</f>
        <v>NDE-3703-AL</v>
      </c>
      <c r="B7595" s="29" t="s">
        <v>2073</v>
      </c>
      <c r="C7595" s="403" t="s">
        <v>582</v>
      </c>
      <c r="D7595" s="355" t="s">
        <v>2072</v>
      </c>
      <c r="F7595" t="s">
        <v>2069</v>
      </c>
      <c r="G7595" t="s">
        <v>1811</v>
      </c>
      <c r="H7595" s="403" t="s">
        <v>1281</v>
      </c>
      <c r="I7595">
        <v>1</v>
      </c>
      <c r="J7595" s="403" t="s">
        <v>2070</v>
      </c>
      <c r="K7595" s="403">
        <v>2592</v>
      </c>
      <c r="L7595" s="403">
        <v>1944</v>
      </c>
      <c r="M7595" t="s">
        <v>1313</v>
      </c>
      <c r="N7595" s="403">
        <v>1280</v>
      </c>
      <c r="O7595" s="403">
        <v>960</v>
      </c>
      <c r="P7595" t="str">
        <f t="shared" si="1068"/>
        <v>30fps 2592x1944 - 1280x960</v>
      </c>
      <c r="Q7595">
        <f t="shared" si="1069"/>
        <v>54</v>
      </c>
      <c r="R7595" t="str">
        <f t="shared" si="1070"/>
        <v/>
      </c>
      <c r="S7595" t="str">
        <f t="shared" si="1071"/>
        <v/>
      </c>
      <c r="T7595" s="403" t="str">
        <f t="shared" si="1072"/>
        <v>NDE-3703-AL</v>
      </c>
      <c r="U7595" s="403">
        <f t="shared" si="1073"/>
        <v>1</v>
      </c>
      <c r="V7595" s="403" t="str">
        <f t="shared" si="1074"/>
        <v>CPP_7_3</v>
      </c>
    </row>
    <row r="7596" spans="1:22">
      <c r="A7596" t="str">
        <f>IF(AND(G7596&lt;&gt;"rotate 90°"),D7596,"")</f>
        <v>NDE-3703-AL</v>
      </c>
      <c r="B7596" s="29" t="s">
        <v>2073</v>
      </c>
      <c r="C7596" s="403" t="s">
        <v>582</v>
      </c>
      <c r="D7596" s="355" t="s">
        <v>2072</v>
      </c>
      <c r="F7596" t="s">
        <v>2069</v>
      </c>
      <c r="G7596" t="s">
        <v>1811</v>
      </c>
      <c r="H7596" s="403" t="s">
        <v>1281</v>
      </c>
      <c r="I7596">
        <v>1</v>
      </c>
      <c r="J7596" s="403" t="s">
        <v>2070</v>
      </c>
      <c r="K7596" s="403">
        <v>2592</v>
      </c>
      <c r="L7596" s="403">
        <v>1944</v>
      </c>
      <c r="M7596" t="s">
        <v>111</v>
      </c>
      <c r="N7596" s="403">
        <v>640</v>
      </c>
      <c r="O7596" s="403">
        <v>480</v>
      </c>
      <c r="P7596" t="str">
        <f t="shared" si="1068"/>
        <v>30fps 2592x1944 - SD</v>
      </c>
      <c r="Q7596">
        <f t="shared" si="1069"/>
        <v>54</v>
      </c>
      <c r="R7596" t="str">
        <f t="shared" si="1070"/>
        <v/>
      </c>
      <c r="S7596" t="str">
        <f t="shared" si="1071"/>
        <v/>
      </c>
      <c r="T7596" s="403" t="str">
        <f t="shared" si="1072"/>
        <v>NDE-3703-AL</v>
      </c>
      <c r="U7596" s="403">
        <f t="shared" si="1073"/>
        <v>1</v>
      </c>
      <c r="V7596" s="403" t="str">
        <f t="shared" si="1074"/>
        <v>CPP_7_3</v>
      </c>
    </row>
    <row r="7597" spans="1:22">
      <c r="A7597" t="str">
        <f>IF(AND(G7597&lt;&gt;"rotate 90°"),D7597,"")</f>
        <v>NDE-3703-AL</v>
      </c>
      <c r="B7597" s="29" t="s">
        <v>2073</v>
      </c>
      <c r="C7597" s="403" t="s">
        <v>582</v>
      </c>
      <c r="D7597" s="355" t="s">
        <v>2072</v>
      </c>
      <c r="F7597" t="s">
        <v>2071</v>
      </c>
      <c r="G7597" t="s">
        <v>1811</v>
      </c>
      <c r="H7597" s="403" t="s">
        <v>1281</v>
      </c>
      <c r="I7597">
        <v>1</v>
      </c>
      <c r="J7597" s="403" t="s">
        <v>2058</v>
      </c>
      <c r="K7597" s="403">
        <v>2304</v>
      </c>
      <c r="L7597" s="403">
        <v>1728</v>
      </c>
      <c r="M7597" s="403" t="s">
        <v>2058</v>
      </c>
      <c r="N7597" s="403">
        <v>2304</v>
      </c>
      <c r="O7597" s="403">
        <v>1728</v>
      </c>
      <c r="P7597" t="str">
        <f t="shared" si="1068"/>
        <v>30fps 2304x1728 - 2304x1728</v>
      </c>
      <c r="Q7597">
        <f t="shared" si="1069"/>
        <v>54</v>
      </c>
      <c r="R7597" t="str">
        <f t="shared" si="1070"/>
        <v/>
      </c>
      <c r="S7597" t="str">
        <f t="shared" si="1071"/>
        <v/>
      </c>
      <c r="T7597" s="403" t="str">
        <f t="shared" si="1072"/>
        <v>NDE-3703-AL</v>
      </c>
      <c r="U7597" s="403">
        <f t="shared" si="1073"/>
        <v>1</v>
      </c>
      <c r="V7597" s="403" t="str">
        <f t="shared" si="1074"/>
        <v>CPP_7_3</v>
      </c>
    </row>
    <row r="7598" spans="1:22">
      <c r="A7598" t="str">
        <f>IF(AND(G7598&lt;&gt;"rotate 90°"),D7598,"")</f>
        <v>NDE-3703-AL</v>
      </c>
      <c r="B7598" s="29" t="s">
        <v>2073</v>
      </c>
      <c r="C7598" s="403" t="s">
        <v>582</v>
      </c>
      <c r="D7598" s="355" t="s">
        <v>2072</v>
      </c>
      <c r="F7598" t="s">
        <v>2071</v>
      </c>
      <c r="G7598" t="s">
        <v>1811</v>
      </c>
      <c r="H7598" s="403" t="s">
        <v>1281</v>
      </c>
      <c r="I7598">
        <v>1</v>
      </c>
      <c r="J7598" s="403" t="s">
        <v>2058</v>
      </c>
      <c r="K7598" s="403">
        <v>2304</v>
      </c>
      <c r="L7598" s="403">
        <v>1728</v>
      </c>
      <c r="M7598" t="s">
        <v>2059</v>
      </c>
      <c r="N7598" s="403">
        <v>1920</v>
      </c>
      <c r="O7598" s="403">
        <v>1440</v>
      </c>
      <c r="P7598" t="str">
        <f t="shared" si="1068"/>
        <v>30fps 2304x1728 - 1920x1440</v>
      </c>
      <c r="Q7598">
        <f t="shared" si="1069"/>
        <v>54</v>
      </c>
      <c r="R7598" t="str">
        <f t="shared" si="1070"/>
        <v/>
      </c>
      <c r="S7598" t="str">
        <f t="shared" si="1071"/>
        <v/>
      </c>
      <c r="T7598" s="403" t="str">
        <f t="shared" si="1072"/>
        <v>NDE-3703-AL</v>
      </c>
      <c r="U7598" s="403">
        <f t="shared" si="1073"/>
        <v>1</v>
      </c>
      <c r="V7598" s="403" t="str">
        <f t="shared" si="1074"/>
        <v>CPP_7_3</v>
      </c>
    </row>
    <row r="7599" spans="1:22">
      <c r="A7599" t="str">
        <f>IF(AND(G7599&lt;&gt;"rotate 90°"),D7599,"")</f>
        <v>NDE-3703-AL</v>
      </c>
      <c r="B7599" s="29" t="s">
        <v>2073</v>
      </c>
      <c r="C7599" s="403" t="s">
        <v>582</v>
      </c>
      <c r="D7599" s="355" t="s">
        <v>2072</v>
      </c>
      <c r="F7599" t="s">
        <v>2071</v>
      </c>
      <c r="G7599" t="s">
        <v>1811</v>
      </c>
      <c r="H7599" s="403" t="s">
        <v>1281</v>
      </c>
      <c r="I7599">
        <v>1</v>
      </c>
      <c r="J7599" s="403" t="s">
        <v>2058</v>
      </c>
      <c r="K7599" s="403">
        <v>2304</v>
      </c>
      <c r="L7599" s="403">
        <v>1728</v>
      </c>
      <c r="M7599" t="s">
        <v>628</v>
      </c>
      <c r="N7599" s="403">
        <v>1920</v>
      </c>
      <c r="O7599" s="403">
        <v>1080</v>
      </c>
      <c r="P7599" t="str">
        <f t="shared" si="1068"/>
        <v>30fps 2304x1728 - 1920x1080</v>
      </c>
      <c r="Q7599">
        <f t="shared" si="1069"/>
        <v>54</v>
      </c>
      <c r="R7599" t="str">
        <f t="shared" si="1070"/>
        <v/>
      </c>
      <c r="S7599" t="str">
        <f t="shared" si="1071"/>
        <v/>
      </c>
      <c r="T7599" s="403" t="str">
        <f t="shared" si="1072"/>
        <v>NDE-3703-AL</v>
      </c>
      <c r="U7599" s="403">
        <f t="shared" si="1073"/>
        <v>1</v>
      </c>
      <c r="V7599" s="403" t="str">
        <f t="shared" si="1074"/>
        <v>CPP_7_3</v>
      </c>
    </row>
    <row r="7600" spans="1:22">
      <c r="A7600" t="str">
        <f>IF(AND(G7600&lt;&gt;"rotate 90°"),D7600,"")</f>
        <v>NDE-3703-AL</v>
      </c>
      <c r="B7600" s="29" t="s">
        <v>2073</v>
      </c>
      <c r="C7600" s="403" t="s">
        <v>582</v>
      </c>
      <c r="D7600" s="355" t="s">
        <v>2072</v>
      </c>
      <c r="F7600" t="s">
        <v>2071</v>
      </c>
      <c r="G7600" t="s">
        <v>1811</v>
      </c>
      <c r="H7600" s="403" t="s">
        <v>1281</v>
      </c>
      <c r="I7600">
        <v>1</v>
      </c>
      <c r="J7600" s="403" t="s">
        <v>2058</v>
      </c>
      <c r="K7600" s="403">
        <v>2304</v>
      </c>
      <c r="L7600" s="403">
        <v>1728</v>
      </c>
      <c r="M7600" t="s">
        <v>1313</v>
      </c>
      <c r="N7600" s="403">
        <v>1280</v>
      </c>
      <c r="O7600" s="403">
        <v>960</v>
      </c>
      <c r="P7600" t="str">
        <f t="shared" si="1068"/>
        <v>30fps 2304x1728 - 1280x960</v>
      </c>
      <c r="Q7600">
        <f t="shared" si="1069"/>
        <v>54</v>
      </c>
      <c r="R7600" t="str">
        <f t="shared" si="1070"/>
        <v/>
      </c>
      <c r="S7600" t="str">
        <f t="shared" si="1071"/>
        <v/>
      </c>
      <c r="T7600" s="403" t="str">
        <f t="shared" si="1072"/>
        <v>NDE-3703-AL</v>
      </c>
      <c r="U7600" s="403">
        <f t="shared" si="1073"/>
        <v>1</v>
      </c>
      <c r="V7600" s="403" t="str">
        <f t="shared" si="1074"/>
        <v>CPP_7_3</v>
      </c>
    </row>
    <row r="7601" spans="1:22">
      <c r="A7601" t="str">
        <f>IF(AND(G7601&lt;&gt;"rotate 90°"),D7601,"")</f>
        <v>NDE-3703-AL</v>
      </c>
      <c r="B7601" s="29" t="s">
        <v>2073</v>
      </c>
      <c r="C7601" s="403" t="s">
        <v>582</v>
      </c>
      <c r="D7601" s="355" t="s">
        <v>2072</v>
      </c>
      <c r="F7601" t="s">
        <v>2071</v>
      </c>
      <c r="G7601" t="s">
        <v>1811</v>
      </c>
      <c r="H7601" s="403" t="s">
        <v>1281</v>
      </c>
      <c r="I7601">
        <v>1</v>
      </c>
      <c r="J7601" s="403" t="s">
        <v>2058</v>
      </c>
      <c r="K7601" s="403">
        <v>2304</v>
      </c>
      <c r="L7601" s="403">
        <v>1728</v>
      </c>
      <c r="M7601" t="s">
        <v>111</v>
      </c>
      <c r="N7601" s="403">
        <v>640</v>
      </c>
      <c r="O7601" s="403">
        <v>480</v>
      </c>
      <c r="P7601" t="str">
        <f t="shared" si="1068"/>
        <v>30fps 2304x1728 - SD</v>
      </c>
      <c r="Q7601">
        <f t="shared" si="1069"/>
        <v>54</v>
      </c>
      <c r="R7601" t="str">
        <f t="shared" si="1070"/>
        <v/>
      </c>
      <c r="S7601" t="str">
        <f t="shared" si="1071"/>
        <v/>
      </c>
      <c r="T7601" s="403" t="str">
        <f t="shared" si="1072"/>
        <v>NDE-3703-AL</v>
      </c>
      <c r="U7601" s="403">
        <f t="shared" si="1073"/>
        <v>1</v>
      </c>
      <c r="V7601" s="403" t="str">
        <f t="shared" si="1074"/>
        <v>CPP_7_3</v>
      </c>
    </row>
    <row r="7602" spans="1:22">
      <c r="A7602" t="str">
        <f>IF(AND(G7602&lt;&gt;"rotate 90°"),D7602,"")</f>
        <v>NDE-3703-AL</v>
      </c>
      <c r="B7602" s="29" t="s">
        <v>2073</v>
      </c>
      <c r="C7602" s="403" t="s">
        <v>582</v>
      </c>
      <c r="D7602" s="355" t="s">
        <v>2072</v>
      </c>
      <c r="F7602" t="s">
        <v>1286</v>
      </c>
      <c r="G7602" t="s">
        <v>1811</v>
      </c>
      <c r="H7602" s="403" t="s">
        <v>1281</v>
      </c>
      <c r="I7602">
        <v>1</v>
      </c>
      <c r="J7602" t="s">
        <v>628</v>
      </c>
      <c r="K7602" s="403">
        <v>1920</v>
      </c>
      <c r="L7602" s="403">
        <v>1080</v>
      </c>
      <c r="M7602" t="s">
        <v>628</v>
      </c>
      <c r="N7602" s="403">
        <v>1920</v>
      </c>
      <c r="O7602" s="403">
        <v>1080</v>
      </c>
      <c r="P7602" t="str">
        <f t="shared" si="1068"/>
        <v>30fps 1920x1080 - 1920x1080</v>
      </c>
      <c r="Q7602">
        <f t="shared" si="1069"/>
        <v>54</v>
      </c>
      <c r="R7602" t="str">
        <f t="shared" si="1070"/>
        <v/>
      </c>
      <c r="S7602" t="str">
        <f t="shared" si="1071"/>
        <v/>
      </c>
      <c r="T7602" s="403" t="str">
        <f t="shared" si="1072"/>
        <v>NDE-3703-AL</v>
      </c>
      <c r="U7602" s="403">
        <f t="shared" si="1073"/>
        <v>1</v>
      </c>
      <c r="V7602" s="403" t="str">
        <f t="shared" si="1074"/>
        <v>CPP_7_3</v>
      </c>
    </row>
    <row r="7603" spans="1:22">
      <c r="A7603" t="str">
        <f>IF(AND(G7603&lt;&gt;"rotate 90°"),D7603,"")</f>
        <v>NDE-3703-AL</v>
      </c>
      <c r="B7603" s="29" t="s">
        <v>2073</v>
      </c>
      <c r="C7603" s="403" t="s">
        <v>582</v>
      </c>
      <c r="D7603" s="355" t="s">
        <v>2072</v>
      </c>
      <c r="F7603" t="s">
        <v>1286</v>
      </c>
      <c r="G7603" t="s">
        <v>1811</v>
      </c>
      <c r="H7603" s="403" t="s">
        <v>1281</v>
      </c>
      <c r="I7603">
        <v>1</v>
      </c>
      <c r="J7603" t="s">
        <v>628</v>
      </c>
      <c r="K7603" s="403">
        <v>1920</v>
      </c>
      <c r="L7603" s="403">
        <v>1080</v>
      </c>
      <c r="M7603" t="s">
        <v>626</v>
      </c>
      <c r="N7603" s="403">
        <v>1280</v>
      </c>
      <c r="O7603" s="403">
        <v>720</v>
      </c>
      <c r="P7603" t="str">
        <f t="shared" si="1068"/>
        <v>30fps 1920x1080 - 1280x720</v>
      </c>
      <c r="Q7603">
        <f t="shared" si="1069"/>
        <v>54</v>
      </c>
      <c r="R7603" t="str">
        <f t="shared" si="1070"/>
        <v/>
      </c>
      <c r="S7603" t="str">
        <f t="shared" si="1071"/>
        <v/>
      </c>
      <c r="T7603" s="403" t="str">
        <f t="shared" si="1072"/>
        <v>NDE-3703-AL</v>
      </c>
      <c r="U7603" s="403">
        <f t="shared" si="1073"/>
        <v>1</v>
      </c>
      <c r="V7603" s="403" t="str">
        <f t="shared" si="1074"/>
        <v>CPP_7_3</v>
      </c>
    </row>
    <row r="7604" spans="1:22">
      <c r="A7604" t="str">
        <f>IF(AND(G7604&lt;&gt;"rotate 90°"),D7604,"")</f>
        <v>NDE-3703-AL</v>
      </c>
      <c r="B7604" s="29" t="s">
        <v>2073</v>
      </c>
      <c r="C7604" s="403" t="s">
        <v>582</v>
      </c>
      <c r="D7604" s="355" t="s">
        <v>2072</v>
      </c>
      <c r="F7604" t="s">
        <v>1286</v>
      </c>
      <c r="G7604" t="s">
        <v>1811</v>
      </c>
      <c r="H7604" s="403" t="s">
        <v>1281</v>
      </c>
      <c r="I7604">
        <v>1</v>
      </c>
      <c r="J7604" t="s">
        <v>628</v>
      </c>
      <c r="K7604" s="403">
        <v>1920</v>
      </c>
      <c r="L7604" s="403">
        <v>1080</v>
      </c>
      <c r="M7604" t="s">
        <v>111</v>
      </c>
      <c r="N7604" s="403">
        <v>640</v>
      </c>
      <c r="O7604" s="403">
        <v>480</v>
      </c>
      <c r="P7604" t="str">
        <f t="shared" si="1068"/>
        <v>30fps 1920x1080 - SD</v>
      </c>
      <c r="Q7604">
        <f t="shared" si="1069"/>
        <v>54</v>
      </c>
      <c r="R7604" t="str">
        <f t="shared" si="1070"/>
        <v/>
      </c>
      <c r="S7604" t="str">
        <f t="shared" si="1071"/>
        <v/>
      </c>
      <c r="T7604" s="403" t="str">
        <f t="shared" si="1072"/>
        <v>NDE-3703-AL</v>
      </c>
      <c r="U7604" s="403">
        <f t="shared" si="1073"/>
        <v>1</v>
      </c>
      <c r="V7604" s="403" t="str">
        <f t="shared" si="1074"/>
        <v>CPP_7_3</v>
      </c>
    </row>
    <row r="7605" spans="1:22">
      <c r="A7605" t="str">
        <f>IF(AND(G7605&lt;&gt;"rotate 90°"),D7605,"")</f>
        <v>NDI-3702-A</v>
      </c>
      <c r="B7605" s="29" t="s">
        <v>2068</v>
      </c>
      <c r="C7605" s="403" t="s">
        <v>582</v>
      </c>
      <c r="D7605" s="355" t="s">
        <v>2074</v>
      </c>
      <c r="G7605" t="s">
        <v>1811</v>
      </c>
      <c r="H7605" s="403"/>
      <c r="I7605">
        <v>1</v>
      </c>
      <c r="J7605" s="403"/>
      <c r="K7605" s="403"/>
      <c r="L7605" s="403"/>
      <c r="M7605" s="403"/>
      <c r="N7605" s="403"/>
      <c r="O7605" s="403"/>
      <c r="P7605" t="str">
        <f t="shared" si="1068"/>
        <v xml:space="preserve">  - </v>
      </c>
      <c r="Q7605">
        <f t="shared" ref="Q7605:Q7623" si="1075">IF(A7604=A7605,Q7604,Q7604+1)</f>
        <v>55</v>
      </c>
      <c r="R7605">
        <f t="shared" ref="R7605:R7623" si="1076">IF(Q7604&lt;&gt;Q7605,Q7605,"")</f>
        <v>55</v>
      </c>
      <c r="S7605" t="str">
        <f t="shared" ref="S7605:S7623" si="1077">IF(R7605&lt;&gt;"",B7605&amp;" ("&amp;D7605&amp;")","")</f>
        <v>FLEXIDOME 3100i (NDI-3702-A)</v>
      </c>
      <c r="T7605" s="403" t="str">
        <f t="shared" ref="T7605:T7623" si="1078">D7605</f>
        <v>NDI-3702-A</v>
      </c>
      <c r="U7605" s="403">
        <f t="shared" ref="U7605:U7623" si="1079">I7605</f>
        <v>1</v>
      </c>
      <c r="V7605" s="403" t="str">
        <f t="shared" ref="V7605:V7623" si="1080">C7605</f>
        <v>CPP_7_3</v>
      </c>
    </row>
    <row r="7606" spans="1:22">
      <c r="A7606" t="str">
        <f>IF(AND(G7606&lt;&gt;"rotate 90°"),D7606,"")</f>
        <v>NDI-3702-A</v>
      </c>
      <c r="B7606" s="29" t="s">
        <v>2068</v>
      </c>
      <c r="C7606" s="403" t="s">
        <v>582</v>
      </c>
      <c r="D7606" s="355" t="s">
        <v>2074</v>
      </c>
      <c r="F7606" t="s">
        <v>1286</v>
      </c>
      <c r="G7606" t="s">
        <v>1811</v>
      </c>
      <c r="H7606" s="403" t="s">
        <v>1281</v>
      </c>
      <c r="I7606">
        <v>1</v>
      </c>
      <c r="J7606" t="s">
        <v>628</v>
      </c>
      <c r="K7606" s="403">
        <v>1920</v>
      </c>
      <c r="L7606" s="403">
        <v>1080</v>
      </c>
      <c r="M7606" t="s">
        <v>628</v>
      </c>
      <c r="N7606" s="403">
        <v>1920</v>
      </c>
      <c r="O7606" s="403">
        <v>1080</v>
      </c>
      <c r="P7606" t="str">
        <f t="shared" si="1068"/>
        <v>30fps 1920x1080 - 1920x1080</v>
      </c>
      <c r="Q7606">
        <f t="shared" si="1075"/>
        <v>55</v>
      </c>
      <c r="R7606" t="str">
        <f t="shared" si="1076"/>
        <v/>
      </c>
      <c r="S7606" t="str">
        <f t="shared" si="1077"/>
        <v/>
      </c>
      <c r="T7606" s="403" t="str">
        <f t="shared" si="1078"/>
        <v>NDI-3702-A</v>
      </c>
      <c r="U7606" s="403">
        <f t="shared" si="1079"/>
        <v>1</v>
      </c>
      <c r="V7606" s="403" t="str">
        <f t="shared" si="1080"/>
        <v>CPP_7_3</v>
      </c>
    </row>
    <row r="7607" spans="1:22">
      <c r="A7607" t="str">
        <f>IF(AND(G7607&lt;&gt;"rotate 90°"),D7607,"")</f>
        <v>NDI-3702-A</v>
      </c>
      <c r="B7607" s="29" t="s">
        <v>2068</v>
      </c>
      <c r="C7607" s="403" t="s">
        <v>582</v>
      </c>
      <c r="D7607" s="355" t="s">
        <v>2074</v>
      </c>
      <c r="F7607" t="s">
        <v>1286</v>
      </c>
      <c r="G7607" t="s">
        <v>1811</v>
      </c>
      <c r="H7607" s="403" t="s">
        <v>1281</v>
      </c>
      <c r="I7607">
        <v>1</v>
      </c>
      <c r="J7607" t="s">
        <v>628</v>
      </c>
      <c r="K7607" s="403">
        <v>1920</v>
      </c>
      <c r="L7607" s="403">
        <v>1080</v>
      </c>
      <c r="M7607" t="s">
        <v>626</v>
      </c>
      <c r="N7607" s="403">
        <v>1280</v>
      </c>
      <c r="O7607" s="403">
        <v>720</v>
      </c>
      <c r="P7607" t="str">
        <f t="shared" si="1068"/>
        <v>30fps 1920x1080 - 1280x720</v>
      </c>
      <c r="Q7607">
        <f t="shared" si="1075"/>
        <v>55</v>
      </c>
      <c r="R7607" t="str">
        <f t="shared" si="1076"/>
        <v/>
      </c>
      <c r="S7607" t="str">
        <f t="shared" si="1077"/>
        <v/>
      </c>
      <c r="T7607" s="403" t="str">
        <f t="shared" si="1078"/>
        <v>NDI-3702-A</v>
      </c>
      <c r="U7607" s="403">
        <f t="shared" si="1079"/>
        <v>1</v>
      </c>
      <c r="V7607" s="403" t="str">
        <f t="shared" si="1080"/>
        <v>CPP_7_3</v>
      </c>
    </row>
    <row r="7608" spans="1:22">
      <c r="A7608" t="str">
        <f>IF(AND(G7608&lt;&gt;"rotate 90°"),D7608,"")</f>
        <v>NDI-3702-A</v>
      </c>
      <c r="B7608" s="29" t="s">
        <v>2068</v>
      </c>
      <c r="C7608" s="403" t="s">
        <v>582</v>
      </c>
      <c r="D7608" s="355" t="s">
        <v>2074</v>
      </c>
      <c r="F7608" t="s">
        <v>1286</v>
      </c>
      <c r="G7608" t="s">
        <v>1811</v>
      </c>
      <c r="H7608" s="403" t="s">
        <v>1281</v>
      </c>
      <c r="I7608">
        <v>1</v>
      </c>
      <c r="J7608" t="s">
        <v>628</v>
      </c>
      <c r="K7608" s="403">
        <v>1920</v>
      </c>
      <c r="L7608" s="403">
        <v>1080</v>
      </c>
      <c r="M7608" t="s">
        <v>111</v>
      </c>
      <c r="N7608" s="403">
        <v>640</v>
      </c>
      <c r="O7608" s="403">
        <v>480</v>
      </c>
      <c r="P7608" t="str">
        <f t="shared" si="1068"/>
        <v>30fps 1920x1080 - SD</v>
      </c>
      <c r="Q7608">
        <f t="shared" si="1075"/>
        <v>55</v>
      </c>
      <c r="R7608" t="str">
        <f t="shared" si="1076"/>
        <v/>
      </c>
      <c r="S7608" t="str">
        <f t="shared" si="1077"/>
        <v/>
      </c>
      <c r="T7608" s="403" t="str">
        <f t="shared" si="1078"/>
        <v>NDI-3702-A</v>
      </c>
      <c r="U7608" s="403">
        <f t="shared" si="1079"/>
        <v>1</v>
      </c>
      <c r="V7608" s="403" t="str">
        <f t="shared" si="1080"/>
        <v>CPP_7_3</v>
      </c>
    </row>
    <row r="7609" spans="1:22">
      <c r="A7609" t="str">
        <f>IF(AND(G7609&lt;&gt;"rotate 90°"),D7609,"")</f>
        <v>NDI-3702-A</v>
      </c>
      <c r="B7609" s="29" t="s">
        <v>2068</v>
      </c>
      <c r="C7609" s="403" t="s">
        <v>582</v>
      </c>
      <c r="D7609" s="355" t="s">
        <v>2074</v>
      </c>
      <c r="F7609" t="s">
        <v>1297</v>
      </c>
      <c r="G7609" t="s">
        <v>1811</v>
      </c>
      <c r="H7609" s="403" t="s">
        <v>1281</v>
      </c>
      <c r="I7609">
        <v>1</v>
      </c>
      <c r="J7609" t="s">
        <v>626</v>
      </c>
      <c r="K7609" s="403">
        <v>1280</v>
      </c>
      <c r="L7609" s="403">
        <v>720</v>
      </c>
      <c r="M7609" t="s">
        <v>626</v>
      </c>
      <c r="N7609" s="403">
        <v>1280</v>
      </c>
      <c r="O7609" s="403">
        <v>720</v>
      </c>
      <c r="P7609" t="str">
        <f t="shared" si="1068"/>
        <v>30fps 1280x720 - 1280x720</v>
      </c>
      <c r="Q7609">
        <f t="shared" si="1075"/>
        <v>55</v>
      </c>
      <c r="R7609" t="str">
        <f t="shared" si="1076"/>
        <v/>
      </c>
      <c r="S7609" t="str">
        <f t="shared" si="1077"/>
        <v/>
      </c>
      <c r="T7609" s="403" t="str">
        <f t="shared" si="1078"/>
        <v>NDI-3702-A</v>
      </c>
      <c r="U7609" s="403">
        <f t="shared" si="1079"/>
        <v>1</v>
      </c>
      <c r="V7609" s="403" t="str">
        <f t="shared" si="1080"/>
        <v>CPP_7_3</v>
      </c>
    </row>
    <row r="7610" spans="1:22">
      <c r="A7610" t="str">
        <f>IF(AND(G7610&lt;&gt;"rotate 90°"),D7610,"")</f>
        <v>NDI-3702-A</v>
      </c>
      <c r="B7610" s="29" t="s">
        <v>2068</v>
      </c>
      <c r="C7610" s="403" t="s">
        <v>582</v>
      </c>
      <c r="D7610" s="355" t="s">
        <v>2074</v>
      </c>
      <c r="F7610" t="s">
        <v>1297</v>
      </c>
      <c r="G7610" t="s">
        <v>1811</v>
      </c>
      <c r="H7610" s="403" t="s">
        <v>1281</v>
      </c>
      <c r="I7610">
        <v>1</v>
      </c>
      <c r="J7610" t="s">
        <v>626</v>
      </c>
      <c r="K7610" s="403">
        <v>1280</v>
      </c>
      <c r="L7610" s="403">
        <v>720</v>
      </c>
      <c r="M7610" t="s">
        <v>111</v>
      </c>
      <c r="N7610" s="403">
        <v>640</v>
      </c>
      <c r="O7610" s="403">
        <v>480</v>
      </c>
      <c r="P7610" t="str">
        <f>LEFT(F7610,5)&amp;" "&amp;J7610&amp;" - "&amp;M7610</f>
        <v>30fps 1280x720 - SD</v>
      </c>
      <c r="Q7610">
        <f t="shared" si="1075"/>
        <v>55</v>
      </c>
      <c r="R7610" t="str">
        <f t="shared" si="1076"/>
        <v/>
      </c>
      <c r="S7610" t="str">
        <f t="shared" si="1077"/>
        <v/>
      </c>
      <c r="T7610" s="403" t="str">
        <f t="shared" si="1078"/>
        <v>NDI-3702-A</v>
      </c>
      <c r="U7610" s="403">
        <f t="shared" si="1079"/>
        <v>1</v>
      </c>
      <c r="V7610" s="403" t="str">
        <f t="shared" si="1080"/>
        <v>CPP_7_3</v>
      </c>
    </row>
    <row r="7611" spans="1:22">
      <c r="A7611" t="str">
        <f>IF(AND(G7611&lt;&gt;"rotate 90°"),D7611,"")</f>
        <v>NDI-3702-AL</v>
      </c>
      <c r="B7611" s="29" t="s">
        <v>2073</v>
      </c>
      <c r="C7611" s="403" t="s">
        <v>582</v>
      </c>
      <c r="D7611" s="355" t="s">
        <v>2075</v>
      </c>
      <c r="H7611" s="403"/>
      <c r="I7611">
        <v>1</v>
      </c>
      <c r="J7611" s="403"/>
      <c r="K7611" s="403"/>
      <c r="L7611" s="403"/>
      <c r="M7611" s="403"/>
      <c r="N7611" s="403"/>
      <c r="O7611" s="403"/>
      <c r="P7611" t="str">
        <f>LEFT(F7611,5)&amp;" "&amp;J7611&amp;" - "&amp;M7611</f>
        <v xml:space="preserve">  - </v>
      </c>
      <c r="Q7611">
        <f t="shared" si="1075"/>
        <v>56</v>
      </c>
      <c r="R7611">
        <f t="shared" si="1076"/>
        <v>56</v>
      </c>
      <c r="S7611" t="str">
        <f t="shared" si="1077"/>
        <v>FLEXIDOME 3100i IR (NDI-3702-AL)</v>
      </c>
      <c r="T7611" s="403" t="str">
        <f t="shared" si="1078"/>
        <v>NDI-3702-AL</v>
      </c>
      <c r="U7611" s="403">
        <f t="shared" si="1079"/>
        <v>1</v>
      </c>
      <c r="V7611" s="403" t="str">
        <f t="shared" si="1080"/>
        <v>CPP_7_3</v>
      </c>
    </row>
    <row r="7612" spans="1:22">
      <c r="A7612" t="str">
        <f>IF(AND(G7612&lt;&gt;"rotate 90°"),D7612,"")</f>
        <v>NDI-3702-AL</v>
      </c>
      <c r="B7612" s="29" t="s">
        <v>2073</v>
      </c>
      <c r="C7612" s="403" t="s">
        <v>582</v>
      </c>
      <c r="D7612" s="355" t="s">
        <v>2075</v>
      </c>
      <c r="F7612" t="s">
        <v>1286</v>
      </c>
      <c r="G7612" t="s">
        <v>1811</v>
      </c>
      <c r="H7612" s="403" t="s">
        <v>1281</v>
      </c>
      <c r="I7612">
        <v>1</v>
      </c>
      <c r="J7612" t="s">
        <v>628</v>
      </c>
      <c r="K7612" s="403">
        <v>1920</v>
      </c>
      <c r="L7612" s="403">
        <v>1080</v>
      </c>
      <c r="M7612" t="s">
        <v>628</v>
      </c>
      <c r="N7612" s="403">
        <v>1920</v>
      </c>
      <c r="O7612" s="403">
        <v>1080</v>
      </c>
      <c r="P7612" t="str">
        <f>LEFT(F7612,5)&amp;" "&amp;J7612&amp;" - "&amp;M7612</f>
        <v>30fps 1920x1080 - 1920x1080</v>
      </c>
      <c r="Q7612">
        <f t="shared" si="1075"/>
        <v>56</v>
      </c>
      <c r="R7612" t="str">
        <f t="shared" si="1076"/>
        <v/>
      </c>
      <c r="S7612" t="str">
        <f t="shared" si="1077"/>
        <v/>
      </c>
      <c r="T7612" s="403" t="str">
        <f t="shared" si="1078"/>
        <v>NDI-3702-AL</v>
      </c>
      <c r="U7612" s="403">
        <f t="shared" si="1079"/>
        <v>1</v>
      </c>
      <c r="V7612" s="403" t="str">
        <f t="shared" si="1080"/>
        <v>CPP_7_3</v>
      </c>
    </row>
    <row r="7613" spans="1:22">
      <c r="A7613" t="str">
        <f>IF(AND(G7613&lt;&gt;"rotate 90°"),D7613,"")</f>
        <v>NDI-3702-AL</v>
      </c>
      <c r="B7613" s="29" t="s">
        <v>2073</v>
      </c>
      <c r="C7613" s="403" t="s">
        <v>582</v>
      </c>
      <c r="D7613" s="355" t="s">
        <v>2075</v>
      </c>
      <c r="F7613" t="s">
        <v>1286</v>
      </c>
      <c r="G7613" t="s">
        <v>1811</v>
      </c>
      <c r="H7613" s="403" t="s">
        <v>1281</v>
      </c>
      <c r="I7613">
        <v>1</v>
      </c>
      <c r="J7613" t="s">
        <v>628</v>
      </c>
      <c r="K7613" s="403">
        <v>1920</v>
      </c>
      <c r="L7613" s="403">
        <v>1080</v>
      </c>
      <c r="M7613" t="s">
        <v>626</v>
      </c>
      <c r="N7613" s="403">
        <v>1280</v>
      </c>
      <c r="O7613" s="403">
        <v>720</v>
      </c>
      <c r="P7613" t="str">
        <f>LEFT(F7613,5)&amp;" "&amp;J7613&amp;" - "&amp;M7613</f>
        <v>30fps 1920x1080 - 1280x720</v>
      </c>
      <c r="Q7613">
        <f t="shared" si="1075"/>
        <v>56</v>
      </c>
      <c r="R7613" t="str">
        <f t="shared" si="1076"/>
        <v/>
      </c>
      <c r="S7613" t="str">
        <f t="shared" si="1077"/>
        <v/>
      </c>
      <c r="T7613" s="403" t="str">
        <f t="shared" si="1078"/>
        <v>NDI-3702-AL</v>
      </c>
      <c r="U7613" s="403">
        <f t="shared" si="1079"/>
        <v>1</v>
      </c>
      <c r="V7613" s="403" t="str">
        <f t="shared" si="1080"/>
        <v>CPP_7_3</v>
      </c>
    </row>
    <row r="7614" spans="1:22">
      <c r="A7614" t="str">
        <f>IF(AND(G7614&lt;&gt;"rotate 90°"),D7614,"")</f>
        <v>NDI-3702-AL</v>
      </c>
      <c r="B7614" s="29" t="s">
        <v>2073</v>
      </c>
      <c r="C7614" s="403" t="s">
        <v>582</v>
      </c>
      <c r="D7614" s="355" t="s">
        <v>2075</v>
      </c>
      <c r="F7614" t="s">
        <v>1286</v>
      </c>
      <c r="G7614" t="s">
        <v>1811</v>
      </c>
      <c r="H7614" s="403" t="s">
        <v>1281</v>
      </c>
      <c r="I7614">
        <v>1</v>
      </c>
      <c r="J7614" t="s">
        <v>628</v>
      </c>
      <c r="K7614" s="403">
        <v>1920</v>
      </c>
      <c r="L7614" s="403">
        <v>1080</v>
      </c>
      <c r="M7614" t="s">
        <v>111</v>
      </c>
      <c r="N7614" s="403">
        <v>640</v>
      </c>
      <c r="O7614" s="403">
        <v>480</v>
      </c>
      <c r="P7614" t="str">
        <f>LEFT(F7614,5)&amp;" "&amp;J7614&amp;" - "&amp;M7614</f>
        <v>30fps 1920x1080 - SD</v>
      </c>
      <c r="Q7614">
        <f t="shared" si="1075"/>
        <v>56</v>
      </c>
      <c r="R7614" t="str">
        <f t="shared" si="1076"/>
        <v/>
      </c>
      <c r="S7614" t="str">
        <f t="shared" si="1077"/>
        <v/>
      </c>
      <c r="T7614" s="403" t="str">
        <f t="shared" si="1078"/>
        <v>NDI-3702-AL</v>
      </c>
      <c r="U7614" s="403">
        <f t="shared" si="1079"/>
        <v>1</v>
      </c>
      <c r="V7614" s="403" t="str">
        <f t="shared" si="1080"/>
        <v>CPP_7_3</v>
      </c>
    </row>
    <row r="7615" spans="1:22">
      <c r="A7615" t="str">
        <f>IF(AND(G7615&lt;&gt;"rotate 90°"),D7615,"")</f>
        <v>NDI-3702-AL</v>
      </c>
      <c r="B7615" s="29" t="s">
        <v>2073</v>
      </c>
      <c r="C7615" s="403" t="s">
        <v>582</v>
      </c>
      <c r="D7615" s="355" t="s">
        <v>2075</v>
      </c>
      <c r="F7615" t="s">
        <v>1297</v>
      </c>
      <c r="G7615" t="s">
        <v>1811</v>
      </c>
      <c r="H7615" s="403" t="s">
        <v>1281</v>
      </c>
      <c r="I7615">
        <v>1</v>
      </c>
      <c r="J7615" t="s">
        <v>626</v>
      </c>
      <c r="K7615" s="403">
        <v>1280</v>
      </c>
      <c r="L7615" s="403">
        <v>720</v>
      </c>
      <c r="M7615" t="s">
        <v>626</v>
      </c>
      <c r="N7615" s="403">
        <v>1280</v>
      </c>
      <c r="O7615" s="403">
        <v>720</v>
      </c>
      <c r="P7615" t="str">
        <f>LEFT(F7615,5)&amp;" "&amp;J7615&amp;" - "&amp;M7615</f>
        <v>30fps 1280x720 - 1280x720</v>
      </c>
      <c r="Q7615">
        <f t="shared" si="1075"/>
        <v>56</v>
      </c>
      <c r="R7615" t="str">
        <f t="shared" si="1076"/>
        <v/>
      </c>
      <c r="S7615" t="str">
        <f t="shared" si="1077"/>
        <v/>
      </c>
      <c r="T7615" s="403" t="str">
        <f t="shared" si="1078"/>
        <v>NDI-3702-AL</v>
      </c>
      <c r="U7615" s="403">
        <f t="shared" si="1079"/>
        <v>1</v>
      </c>
      <c r="V7615" s="403" t="str">
        <f t="shared" si="1080"/>
        <v>CPP_7_3</v>
      </c>
    </row>
    <row r="7616" spans="1:22">
      <c r="A7616" t="str">
        <f>IF(AND(G7616&lt;&gt;"rotate 90°"),D7616,"")</f>
        <v>NDI-3702-AL</v>
      </c>
      <c r="B7616" s="29" t="s">
        <v>2073</v>
      </c>
      <c r="C7616" s="403" t="s">
        <v>582</v>
      </c>
      <c r="D7616" s="355" t="s">
        <v>2075</v>
      </c>
      <c r="F7616" t="s">
        <v>1297</v>
      </c>
      <c r="G7616" t="s">
        <v>1811</v>
      </c>
      <c r="H7616" s="403" t="s">
        <v>1281</v>
      </c>
      <c r="I7616">
        <v>1</v>
      </c>
      <c r="J7616" t="s">
        <v>626</v>
      </c>
      <c r="K7616" s="403">
        <v>1280</v>
      </c>
      <c r="L7616" s="403">
        <v>720</v>
      </c>
      <c r="M7616" t="s">
        <v>111</v>
      </c>
      <c r="N7616" s="403">
        <v>640</v>
      </c>
      <c r="O7616" s="403">
        <v>480</v>
      </c>
      <c r="P7616" t="str">
        <f>LEFT(F7616,5)&amp;" "&amp;J7616&amp;" - "&amp;M7616</f>
        <v>30fps 1280x720 - SD</v>
      </c>
      <c r="Q7616">
        <f t="shared" si="1075"/>
        <v>56</v>
      </c>
      <c r="R7616" t="str">
        <f t="shared" si="1076"/>
        <v/>
      </c>
      <c r="S7616" t="str">
        <f t="shared" si="1077"/>
        <v/>
      </c>
      <c r="T7616" s="403" t="str">
        <f t="shared" si="1078"/>
        <v>NDI-3702-AL</v>
      </c>
      <c r="U7616" s="403">
        <f t="shared" si="1079"/>
        <v>1</v>
      </c>
      <c r="V7616" s="403" t="str">
        <f t="shared" si="1080"/>
        <v>CPP_7_3</v>
      </c>
    </row>
    <row r="7617" spans="1:22">
      <c r="A7617" t="str">
        <f>IF(AND(G7617&lt;&gt;"rotate 90°"),D7617,"")</f>
        <v>NUV-3702</v>
      </c>
      <c r="B7617" s="29" t="s">
        <v>2076</v>
      </c>
      <c r="C7617" s="403" t="s">
        <v>582</v>
      </c>
      <c r="D7617" s="355" t="s">
        <v>2077</v>
      </c>
      <c r="H7617" s="403"/>
      <c r="I7617">
        <v>1</v>
      </c>
      <c r="J7617" s="403"/>
      <c r="K7617" s="403"/>
      <c r="L7617" s="403"/>
      <c r="M7617" s="403"/>
      <c r="N7617" s="403"/>
      <c r="O7617" s="403"/>
      <c r="P7617" t="str">
        <f>LEFT(F7617,5)&amp;" "&amp;J7617&amp;" - "&amp;M7617</f>
        <v xml:space="preserve">  - </v>
      </c>
      <c r="Q7617">
        <f t="shared" si="1075"/>
        <v>57</v>
      </c>
      <c r="R7617">
        <f t="shared" si="1076"/>
        <v>57</v>
      </c>
      <c r="S7617" t="str">
        <f t="shared" si="1077"/>
        <v>FLEXIDOME micro 3100i (NUV-3702)</v>
      </c>
      <c r="T7617" s="403" t="str">
        <f t="shared" si="1078"/>
        <v>NUV-3702</v>
      </c>
      <c r="U7617" s="403">
        <f t="shared" si="1079"/>
        <v>1</v>
      </c>
      <c r="V7617" s="403" t="str">
        <f t="shared" si="1080"/>
        <v>CPP_7_3</v>
      </c>
    </row>
    <row r="7618" spans="1:22">
      <c r="A7618" t="str">
        <f>IF(AND(G7618&lt;&gt;"rotate 90°"),D7618,"")</f>
        <v>NUV-3702</v>
      </c>
      <c r="B7618" s="29" t="s">
        <v>2076</v>
      </c>
      <c r="C7618" s="403" t="s">
        <v>582</v>
      </c>
      <c r="D7618" s="355" t="s">
        <v>2077</v>
      </c>
      <c r="F7618" t="s">
        <v>1286</v>
      </c>
      <c r="G7618" t="s">
        <v>1811</v>
      </c>
      <c r="H7618" s="403" t="s">
        <v>1281</v>
      </c>
      <c r="I7618">
        <v>1</v>
      </c>
      <c r="J7618" t="s">
        <v>628</v>
      </c>
      <c r="K7618" s="403">
        <v>1920</v>
      </c>
      <c r="L7618" s="403">
        <v>1080</v>
      </c>
      <c r="M7618" t="s">
        <v>628</v>
      </c>
      <c r="N7618" s="403">
        <v>1920</v>
      </c>
      <c r="O7618" s="403">
        <v>1080</v>
      </c>
      <c r="P7618" t="str">
        <f>LEFT(F7618,5)&amp;" "&amp;J7618&amp;" - "&amp;M7618</f>
        <v>30fps 1920x1080 - 1920x1080</v>
      </c>
      <c r="Q7618">
        <f t="shared" si="1075"/>
        <v>57</v>
      </c>
      <c r="R7618" t="str">
        <f t="shared" si="1076"/>
        <v/>
      </c>
      <c r="S7618" t="str">
        <f t="shared" si="1077"/>
        <v/>
      </c>
      <c r="T7618" s="403" t="str">
        <f t="shared" si="1078"/>
        <v>NUV-3702</v>
      </c>
      <c r="U7618" s="403">
        <f t="shared" si="1079"/>
        <v>1</v>
      </c>
      <c r="V7618" s="403" t="str">
        <f t="shared" si="1080"/>
        <v>CPP_7_3</v>
      </c>
    </row>
    <row r="7619" spans="1:22">
      <c r="A7619" t="str">
        <f>IF(AND(G7619&lt;&gt;"rotate 90°"),D7619,"")</f>
        <v>NUV-3702</v>
      </c>
      <c r="B7619" s="29" t="s">
        <v>2076</v>
      </c>
      <c r="C7619" s="403" t="s">
        <v>582</v>
      </c>
      <c r="D7619" s="355" t="s">
        <v>2077</v>
      </c>
      <c r="F7619" t="s">
        <v>1286</v>
      </c>
      <c r="G7619" t="s">
        <v>1811</v>
      </c>
      <c r="H7619" s="403" t="s">
        <v>1281</v>
      </c>
      <c r="I7619">
        <v>1</v>
      </c>
      <c r="J7619" t="s">
        <v>628</v>
      </c>
      <c r="K7619" s="403">
        <v>1920</v>
      </c>
      <c r="L7619" s="403">
        <v>1080</v>
      </c>
      <c r="M7619" t="s">
        <v>626</v>
      </c>
      <c r="N7619" s="403">
        <v>1280</v>
      </c>
      <c r="O7619" s="403">
        <v>720</v>
      </c>
      <c r="P7619" t="str">
        <f>LEFT(F7619,5)&amp;" "&amp;J7619&amp;" - "&amp;M7619</f>
        <v>30fps 1920x1080 - 1280x720</v>
      </c>
      <c r="Q7619">
        <f t="shared" si="1075"/>
        <v>57</v>
      </c>
      <c r="R7619" t="str">
        <f t="shared" si="1076"/>
        <v/>
      </c>
      <c r="S7619" t="str">
        <f t="shared" si="1077"/>
        <v/>
      </c>
      <c r="T7619" s="403" t="str">
        <f t="shared" si="1078"/>
        <v>NUV-3702</v>
      </c>
      <c r="U7619" s="403">
        <f t="shared" si="1079"/>
        <v>1</v>
      </c>
      <c r="V7619" s="403" t="str">
        <f t="shared" si="1080"/>
        <v>CPP_7_3</v>
      </c>
    </row>
    <row r="7620" spans="1:22">
      <c r="A7620" t="str">
        <f>IF(AND(G7620&lt;&gt;"rotate 90°"),D7620,"")</f>
        <v>NUV-3702</v>
      </c>
      <c r="B7620" s="29" t="s">
        <v>2076</v>
      </c>
      <c r="C7620" s="403" t="s">
        <v>582</v>
      </c>
      <c r="D7620" s="355" t="s">
        <v>2077</v>
      </c>
      <c r="F7620" t="s">
        <v>1286</v>
      </c>
      <c r="G7620" t="s">
        <v>1811</v>
      </c>
      <c r="H7620" s="403" t="s">
        <v>1281</v>
      </c>
      <c r="I7620">
        <v>1</v>
      </c>
      <c r="J7620" t="s">
        <v>628</v>
      </c>
      <c r="K7620" s="403">
        <v>1920</v>
      </c>
      <c r="L7620" s="403">
        <v>1080</v>
      </c>
      <c r="M7620" t="s">
        <v>111</v>
      </c>
      <c r="N7620" s="403">
        <v>640</v>
      </c>
      <c r="O7620" s="403">
        <v>480</v>
      </c>
      <c r="P7620" t="str">
        <f>LEFT(F7620,5)&amp;" "&amp;J7620&amp;" - "&amp;M7620</f>
        <v>30fps 1920x1080 - SD</v>
      </c>
      <c r="Q7620">
        <f t="shared" si="1075"/>
        <v>57</v>
      </c>
      <c r="R7620" t="str">
        <f t="shared" si="1076"/>
        <v/>
      </c>
      <c r="S7620" t="str">
        <f t="shared" si="1077"/>
        <v/>
      </c>
      <c r="T7620" s="403" t="str">
        <f t="shared" si="1078"/>
        <v>NUV-3702</v>
      </c>
      <c r="U7620" s="403">
        <f t="shared" si="1079"/>
        <v>1</v>
      </c>
      <c r="V7620" s="403" t="str">
        <f t="shared" si="1080"/>
        <v>CPP_7_3</v>
      </c>
    </row>
    <row r="7621" spans="1:22">
      <c r="A7621" t="str">
        <f>IF(AND(G7621&lt;&gt;"rotate 90°"),D7621,"")</f>
        <v>NUV-3702</v>
      </c>
      <c r="B7621" s="29" t="s">
        <v>2076</v>
      </c>
      <c r="C7621" s="403" t="s">
        <v>582</v>
      </c>
      <c r="D7621" s="355" t="s">
        <v>2077</v>
      </c>
      <c r="F7621" t="s">
        <v>1297</v>
      </c>
      <c r="G7621" t="s">
        <v>1811</v>
      </c>
      <c r="H7621" s="403" t="s">
        <v>1281</v>
      </c>
      <c r="I7621">
        <v>1</v>
      </c>
      <c r="J7621" t="s">
        <v>626</v>
      </c>
      <c r="K7621" s="403">
        <v>1280</v>
      </c>
      <c r="L7621" s="403">
        <v>720</v>
      </c>
      <c r="M7621" t="s">
        <v>626</v>
      </c>
      <c r="N7621" s="403">
        <v>1280</v>
      </c>
      <c r="O7621" s="403">
        <v>720</v>
      </c>
      <c r="P7621" t="str">
        <f>LEFT(F7621,5)&amp;" "&amp;J7621&amp;" - "&amp;M7621</f>
        <v>30fps 1280x720 - 1280x720</v>
      </c>
      <c r="Q7621">
        <f t="shared" si="1075"/>
        <v>57</v>
      </c>
      <c r="R7621" t="str">
        <f t="shared" si="1076"/>
        <v/>
      </c>
      <c r="S7621" t="str">
        <f t="shared" si="1077"/>
        <v/>
      </c>
      <c r="T7621" s="403" t="str">
        <f t="shared" si="1078"/>
        <v>NUV-3702</v>
      </c>
      <c r="U7621" s="403">
        <f t="shared" si="1079"/>
        <v>1</v>
      </c>
      <c r="V7621" s="403" t="str">
        <f t="shared" si="1080"/>
        <v>CPP_7_3</v>
      </c>
    </row>
    <row r="7622" spans="1:22">
      <c r="A7622" t="str">
        <f>IF(AND(G7622&lt;&gt;"rotate 90°"),D7622,"")</f>
        <v>NUV-3702</v>
      </c>
      <c r="B7622" s="29" t="s">
        <v>2076</v>
      </c>
      <c r="C7622" s="403" t="s">
        <v>582</v>
      </c>
      <c r="D7622" s="355" t="s">
        <v>2077</v>
      </c>
      <c r="F7622" t="s">
        <v>1297</v>
      </c>
      <c r="G7622" t="s">
        <v>1811</v>
      </c>
      <c r="H7622" s="403" t="s">
        <v>1281</v>
      </c>
      <c r="I7622">
        <v>1</v>
      </c>
      <c r="J7622" t="s">
        <v>626</v>
      </c>
      <c r="K7622" s="403">
        <v>1280</v>
      </c>
      <c r="L7622" s="403">
        <v>720</v>
      </c>
      <c r="M7622" t="s">
        <v>111</v>
      </c>
      <c r="N7622" s="403">
        <v>640</v>
      </c>
      <c r="O7622" s="403">
        <v>480</v>
      </c>
      <c r="P7622" t="str">
        <f>LEFT(F7622,5)&amp;" "&amp;J7622&amp;" - "&amp;M7622</f>
        <v>30fps 1280x720 - SD</v>
      </c>
      <c r="Q7622">
        <f t="shared" si="1075"/>
        <v>57</v>
      </c>
      <c r="R7622" t="str">
        <f t="shared" si="1076"/>
        <v/>
      </c>
      <c r="S7622" t="str">
        <f t="shared" si="1077"/>
        <v/>
      </c>
      <c r="T7622" s="403" t="str">
        <f t="shared" si="1078"/>
        <v>NUV-3702</v>
      </c>
      <c r="U7622" s="403">
        <f t="shared" si="1079"/>
        <v>1</v>
      </c>
      <c r="V7622" s="403" t="str">
        <f t="shared" si="1080"/>
        <v>CPP_7_3</v>
      </c>
    </row>
    <row r="7623" spans="1:22">
      <c r="A7623" t="str">
        <f>IF(AND(G7623&lt;&gt;"rotate 90°"),D7623,"")</f>
        <v>NUV-3703</v>
      </c>
      <c r="B7623" s="29" t="s">
        <v>2076</v>
      </c>
      <c r="C7623" s="403" t="s">
        <v>582</v>
      </c>
      <c r="D7623" s="355" t="s">
        <v>2078</v>
      </c>
      <c r="H7623" s="403"/>
      <c r="I7623">
        <v>1</v>
      </c>
      <c r="J7623" s="403"/>
      <c r="K7623" s="403"/>
      <c r="L7623" s="403"/>
      <c r="M7623" s="403"/>
      <c r="N7623" s="403"/>
      <c r="O7623" s="403"/>
      <c r="P7623" t="str">
        <f>LEFT(F7623,5)&amp;" "&amp;J7623&amp;" - "&amp;M7623</f>
        <v xml:space="preserve">  - </v>
      </c>
      <c r="Q7623">
        <f t="shared" si="1075"/>
        <v>58</v>
      </c>
      <c r="R7623">
        <f t="shared" si="1076"/>
        <v>58</v>
      </c>
      <c r="S7623" t="str">
        <f t="shared" si="1077"/>
        <v>FLEXIDOME micro 3100i (NUV-3703)</v>
      </c>
      <c r="T7623" s="403" t="str">
        <f t="shared" si="1078"/>
        <v>NUV-3703</v>
      </c>
      <c r="U7623" s="403">
        <f t="shared" si="1079"/>
        <v>1</v>
      </c>
      <c r="V7623" s="403" t="str">
        <f t="shared" si="1080"/>
        <v>CPP_7_3</v>
      </c>
    </row>
    <row r="7624" spans="1:22">
      <c r="A7624" t="str">
        <f>IF(AND(G7624&lt;&gt;"rotate 90°"),D7624,"")</f>
        <v>NUV-3703</v>
      </c>
      <c r="B7624" s="29" t="s">
        <v>2076</v>
      </c>
      <c r="C7624" s="403" t="s">
        <v>582</v>
      </c>
      <c r="D7624" s="355" t="s">
        <v>2078</v>
      </c>
      <c r="F7624" t="s">
        <v>1286</v>
      </c>
      <c r="G7624" t="s">
        <v>1811</v>
      </c>
      <c r="H7624" s="403" t="s">
        <v>1281</v>
      </c>
      <c r="I7624">
        <v>1</v>
      </c>
      <c r="J7624" t="s">
        <v>628</v>
      </c>
      <c r="K7624" s="403">
        <v>1920</v>
      </c>
      <c r="L7624" s="403">
        <v>1080</v>
      </c>
      <c r="M7624" t="s">
        <v>628</v>
      </c>
      <c r="N7624" s="403">
        <v>1920</v>
      </c>
      <c r="O7624" s="403">
        <v>1080</v>
      </c>
      <c r="P7624" t="str">
        <f>LEFT(F7624,5)&amp;" "&amp;J7624&amp;" - "&amp;M7624</f>
        <v>30fps 1920x1080 - 1920x1080</v>
      </c>
      <c r="Q7624">
        <f t="shared" ref="Q7624:Q7650" si="1081">IF(A7623=A7624,Q7623,Q7623+1)</f>
        <v>58</v>
      </c>
      <c r="R7624" t="str">
        <f t="shared" ref="R7624:R7650" si="1082">IF(Q7623&lt;&gt;Q7624,Q7624,"")</f>
        <v/>
      </c>
      <c r="S7624" t="str">
        <f t="shared" ref="S7624:S7650" si="1083">IF(R7624&lt;&gt;"",B7624&amp;" ("&amp;D7624&amp;")","")</f>
        <v/>
      </c>
      <c r="T7624" s="403" t="str">
        <f t="shared" ref="T7624:T7650" si="1084">D7624</f>
        <v>NUV-3703</v>
      </c>
      <c r="U7624" s="403">
        <f t="shared" ref="U7624:U7650" si="1085">I7624</f>
        <v>1</v>
      </c>
      <c r="V7624" s="403" t="str">
        <f t="shared" ref="V7624:V7650" si="1086">C7624</f>
        <v>CPP_7_3</v>
      </c>
    </row>
    <row r="7625" spans="1:22">
      <c r="A7625" t="str">
        <f>IF(AND(G7625&lt;&gt;"rotate 90°"),D7625,"")</f>
        <v>NUV-3703</v>
      </c>
      <c r="B7625" s="29" t="s">
        <v>2076</v>
      </c>
      <c r="C7625" s="403" t="s">
        <v>582</v>
      </c>
      <c r="D7625" s="355" t="s">
        <v>2078</v>
      </c>
      <c r="F7625" t="s">
        <v>1286</v>
      </c>
      <c r="G7625" t="s">
        <v>1811</v>
      </c>
      <c r="H7625" s="403" t="s">
        <v>1281</v>
      </c>
      <c r="I7625">
        <v>1</v>
      </c>
      <c r="J7625" t="s">
        <v>628</v>
      </c>
      <c r="K7625" s="403">
        <v>1920</v>
      </c>
      <c r="L7625" s="403">
        <v>1080</v>
      </c>
      <c r="M7625" t="s">
        <v>626</v>
      </c>
      <c r="N7625" s="403">
        <v>1280</v>
      </c>
      <c r="O7625" s="403">
        <v>720</v>
      </c>
      <c r="P7625" t="str">
        <f>LEFT(F7625,5)&amp;" "&amp;J7625&amp;" - "&amp;M7625</f>
        <v>30fps 1920x1080 - 1280x720</v>
      </c>
      <c r="Q7625">
        <f t="shared" si="1081"/>
        <v>58</v>
      </c>
      <c r="R7625" t="str">
        <f t="shared" si="1082"/>
        <v/>
      </c>
      <c r="S7625" t="str">
        <f t="shared" si="1083"/>
        <v/>
      </c>
      <c r="T7625" s="403" t="str">
        <f t="shared" si="1084"/>
        <v>NUV-3703</v>
      </c>
      <c r="U7625" s="403">
        <f t="shared" si="1085"/>
        <v>1</v>
      </c>
      <c r="V7625" s="403" t="str">
        <f t="shared" si="1086"/>
        <v>CPP_7_3</v>
      </c>
    </row>
    <row r="7626" spans="1:22">
      <c r="A7626" t="str">
        <f>IF(AND(G7626&lt;&gt;"rotate 90°"),D7626,"")</f>
        <v>NUV-3703</v>
      </c>
      <c r="B7626" s="29" t="s">
        <v>2076</v>
      </c>
      <c r="C7626" s="403" t="s">
        <v>582</v>
      </c>
      <c r="D7626" s="355" t="s">
        <v>2078</v>
      </c>
      <c r="F7626" t="s">
        <v>1286</v>
      </c>
      <c r="G7626" t="s">
        <v>1811</v>
      </c>
      <c r="H7626" s="403" t="s">
        <v>1281</v>
      </c>
      <c r="I7626">
        <v>1</v>
      </c>
      <c r="J7626" t="s">
        <v>628</v>
      </c>
      <c r="K7626" s="403">
        <v>1920</v>
      </c>
      <c r="L7626" s="403">
        <v>1080</v>
      </c>
      <c r="M7626" t="s">
        <v>111</v>
      </c>
      <c r="N7626" s="403">
        <v>640</v>
      </c>
      <c r="O7626" s="403">
        <v>480</v>
      </c>
      <c r="P7626" t="str">
        <f>LEFT(F7626,5)&amp;" "&amp;J7626&amp;" - "&amp;M7626</f>
        <v>30fps 1920x1080 - SD</v>
      </c>
      <c r="Q7626">
        <f t="shared" si="1081"/>
        <v>58</v>
      </c>
      <c r="R7626" t="str">
        <f t="shared" si="1082"/>
        <v/>
      </c>
      <c r="S7626" t="str">
        <f t="shared" si="1083"/>
        <v/>
      </c>
      <c r="T7626" s="403" t="str">
        <f t="shared" si="1084"/>
        <v>NUV-3703</v>
      </c>
      <c r="U7626" s="403">
        <f t="shared" si="1085"/>
        <v>1</v>
      </c>
      <c r="V7626" s="403" t="str">
        <f t="shared" si="1086"/>
        <v>CPP_7_3</v>
      </c>
    </row>
    <row r="7627" spans="1:22">
      <c r="A7627" t="str">
        <f>IF(AND(G7627&lt;&gt;"rotate 90°"),D7627,"")</f>
        <v>NUV-3703</v>
      </c>
      <c r="B7627" s="29" t="s">
        <v>2076</v>
      </c>
      <c r="C7627" s="403" t="s">
        <v>582</v>
      </c>
      <c r="D7627" s="355" t="s">
        <v>2078</v>
      </c>
      <c r="F7627" t="s">
        <v>1297</v>
      </c>
      <c r="G7627" t="s">
        <v>1811</v>
      </c>
      <c r="H7627" s="403" t="s">
        <v>1281</v>
      </c>
      <c r="I7627">
        <v>1</v>
      </c>
      <c r="J7627" t="s">
        <v>626</v>
      </c>
      <c r="K7627" s="403">
        <v>1280</v>
      </c>
      <c r="L7627" s="403">
        <v>720</v>
      </c>
      <c r="M7627" t="s">
        <v>626</v>
      </c>
      <c r="N7627" s="403">
        <v>1280</v>
      </c>
      <c r="O7627" s="403">
        <v>720</v>
      </c>
      <c r="P7627" t="str">
        <f>LEFT(F7627,5)&amp;" "&amp;J7627&amp;" - "&amp;M7627</f>
        <v>30fps 1280x720 - 1280x720</v>
      </c>
      <c r="Q7627">
        <f t="shared" si="1081"/>
        <v>58</v>
      </c>
      <c r="R7627" t="str">
        <f t="shared" si="1082"/>
        <v/>
      </c>
      <c r="S7627" t="str">
        <f t="shared" si="1083"/>
        <v/>
      </c>
      <c r="T7627" s="403" t="str">
        <f t="shared" si="1084"/>
        <v>NUV-3703</v>
      </c>
      <c r="U7627" s="403">
        <f t="shared" si="1085"/>
        <v>1</v>
      </c>
      <c r="V7627" s="403" t="str">
        <f t="shared" si="1086"/>
        <v>CPP_7_3</v>
      </c>
    </row>
    <row r="7628" spans="1:22">
      <c r="A7628" t="str">
        <f>IF(AND(G7628&lt;&gt;"rotate 90°"),D7628,"")</f>
        <v>NUV-3703</v>
      </c>
      <c r="B7628" s="29" t="s">
        <v>2076</v>
      </c>
      <c r="C7628" s="403" t="s">
        <v>582</v>
      </c>
      <c r="D7628" s="355" t="s">
        <v>2078</v>
      </c>
      <c r="F7628" t="s">
        <v>1297</v>
      </c>
      <c r="G7628" t="s">
        <v>1811</v>
      </c>
      <c r="H7628" s="403" t="s">
        <v>1281</v>
      </c>
      <c r="I7628">
        <v>1</v>
      </c>
      <c r="J7628" t="s">
        <v>626</v>
      </c>
      <c r="K7628" s="403">
        <v>1280</v>
      </c>
      <c r="L7628" s="403">
        <v>720</v>
      </c>
      <c r="M7628" t="s">
        <v>111</v>
      </c>
      <c r="N7628" s="403">
        <v>640</v>
      </c>
      <c r="O7628" s="403">
        <v>480</v>
      </c>
      <c r="P7628" t="str">
        <f>LEFT(F7628,5)&amp;" "&amp;J7628&amp;" - "&amp;M7628</f>
        <v>30fps 1280x720 - SD</v>
      </c>
      <c r="Q7628">
        <f t="shared" si="1081"/>
        <v>58</v>
      </c>
      <c r="R7628" t="str">
        <f t="shared" si="1082"/>
        <v/>
      </c>
      <c r="S7628" t="str">
        <f t="shared" si="1083"/>
        <v/>
      </c>
      <c r="T7628" s="403" t="str">
        <f t="shared" si="1084"/>
        <v>NUV-3703</v>
      </c>
      <c r="U7628" s="403">
        <f t="shared" si="1085"/>
        <v>1</v>
      </c>
      <c r="V7628" s="403" t="str">
        <f t="shared" si="1086"/>
        <v>CPP_7_3</v>
      </c>
    </row>
    <row r="7629" spans="1:22">
      <c r="A7629" t="str">
        <f>IF(AND(G7629&lt;&gt;"rotate 90°"),D7629,"")</f>
        <v>NBE-3702-AL</v>
      </c>
      <c r="B7629" t="s">
        <v>2079</v>
      </c>
      <c r="C7629" s="403" t="s">
        <v>582</v>
      </c>
      <c r="D7629" t="s">
        <v>2080</v>
      </c>
      <c r="H7629" s="403"/>
      <c r="I7629">
        <v>1</v>
      </c>
      <c r="J7629" s="403"/>
      <c r="K7629" s="403"/>
      <c r="L7629" s="403"/>
      <c r="M7629" s="403"/>
      <c r="N7629" s="403"/>
      <c r="O7629" s="403"/>
      <c r="P7629" t="str">
        <f>LEFT(F7629,5)&amp;" "&amp;J7629&amp;" - "&amp;M7629</f>
        <v xml:space="preserve">  - </v>
      </c>
      <c r="Q7629">
        <f t="shared" si="1081"/>
        <v>59</v>
      </c>
      <c r="R7629">
        <f t="shared" si="1082"/>
        <v>59</v>
      </c>
      <c r="S7629" t="str">
        <f t="shared" si="1083"/>
        <v>DINION 3100i IR (NBE-3702-AL)</v>
      </c>
      <c r="T7629" s="403" t="str">
        <f t="shared" si="1084"/>
        <v>NBE-3702-AL</v>
      </c>
      <c r="U7629" s="403">
        <f t="shared" si="1085"/>
        <v>1</v>
      </c>
      <c r="V7629" s="403" t="str">
        <f t="shared" si="1086"/>
        <v>CPP_7_3</v>
      </c>
    </row>
    <row r="7630" spans="1:22">
      <c r="A7630" t="str">
        <f>IF(AND(G7630&lt;&gt;"rotate 90°"),D7630,"")</f>
        <v>NBE-3702-AL</v>
      </c>
      <c r="B7630" t="s">
        <v>2079</v>
      </c>
      <c r="C7630" s="403" t="s">
        <v>582</v>
      </c>
      <c r="D7630" t="s">
        <v>2080</v>
      </c>
      <c r="F7630" t="s">
        <v>1286</v>
      </c>
      <c r="G7630" t="s">
        <v>1811</v>
      </c>
      <c r="H7630" s="403" t="s">
        <v>1281</v>
      </c>
      <c r="I7630">
        <v>1</v>
      </c>
      <c r="J7630" t="s">
        <v>628</v>
      </c>
      <c r="K7630" s="403">
        <v>1920</v>
      </c>
      <c r="L7630" s="403">
        <v>1080</v>
      </c>
      <c r="M7630" t="s">
        <v>628</v>
      </c>
      <c r="N7630" s="403">
        <v>1920</v>
      </c>
      <c r="O7630" s="403">
        <v>1080</v>
      </c>
      <c r="P7630" t="str">
        <f>LEFT(F7630,5)&amp;" "&amp;J7630&amp;" - "&amp;M7630</f>
        <v>30fps 1920x1080 - 1920x1080</v>
      </c>
      <c r="Q7630">
        <f t="shared" si="1081"/>
        <v>59</v>
      </c>
      <c r="R7630" t="str">
        <f t="shared" si="1082"/>
        <v/>
      </c>
      <c r="S7630" t="str">
        <f t="shared" si="1083"/>
        <v/>
      </c>
      <c r="T7630" s="403" t="str">
        <f t="shared" si="1084"/>
        <v>NBE-3702-AL</v>
      </c>
      <c r="U7630" s="403">
        <f t="shared" si="1085"/>
        <v>1</v>
      </c>
      <c r="V7630" s="403" t="str">
        <f t="shared" si="1086"/>
        <v>CPP_7_3</v>
      </c>
    </row>
    <row r="7631" spans="1:22">
      <c r="A7631" t="str">
        <f>IF(AND(G7631&lt;&gt;"rotate 90°"),D7631,"")</f>
        <v>NBE-3702-AL</v>
      </c>
      <c r="B7631" t="s">
        <v>2079</v>
      </c>
      <c r="C7631" s="403" t="s">
        <v>582</v>
      </c>
      <c r="D7631" t="s">
        <v>2080</v>
      </c>
      <c r="F7631" t="s">
        <v>1286</v>
      </c>
      <c r="G7631" t="s">
        <v>1811</v>
      </c>
      <c r="H7631" s="403" t="s">
        <v>1281</v>
      </c>
      <c r="I7631">
        <v>1</v>
      </c>
      <c r="J7631" t="s">
        <v>628</v>
      </c>
      <c r="K7631" s="403">
        <v>1920</v>
      </c>
      <c r="L7631" s="403">
        <v>1080</v>
      </c>
      <c r="M7631" t="s">
        <v>626</v>
      </c>
      <c r="N7631" s="403">
        <v>1280</v>
      </c>
      <c r="O7631" s="403">
        <v>720</v>
      </c>
      <c r="P7631" t="str">
        <f>LEFT(F7631,5)&amp;" "&amp;J7631&amp;" - "&amp;M7631</f>
        <v>30fps 1920x1080 - 1280x720</v>
      </c>
      <c r="Q7631">
        <f t="shared" si="1081"/>
        <v>59</v>
      </c>
      <c r="R7631" t="str">
        <f t="shared" si="1082"/>
        <v/>
      </c>
      <c r="S7631" t="str">
        <f t="shared" si="1083"/>
        <v/>
      </c>
      <c r="T7631" s="403" t="str">
        <f t="shared" si="1084"/>
        <v>NBE-3702-AL</v>
      </c>
      <c r="U7631" s="403">
        <f t="shared" si="1085"/>
        <v>1</v>
      </c>
      <c r="V7631" s="403" t="str">
        <f t="shared" si="1086"/>
        <v>CPP_7_3</v>
      </c>
    </row>
    <row r="7632" spans="1:22">
      <c r="A7632" t="str">
        <f>IF(AND(G7632&lt;&gt;"rotate 90°"),D7632,"")</f>
        <v>NBE-3702-AL</v>
      </c>
      <c r="B7632" t="s">
        <v>2079</v>
      </c>
      <c r="C7632" s="403" t="s">
        <v>582</v>
      </c>
      <c r="D7632" t="s">
        <v>2080</v>
      </c>
      <c r="F7632" t="s">
        <v>1286</v>
      </c>
      <c r="G7632" t="s">
        <v>1811</v>
      </c>
      <c r="H7632" s="403" t="s">
        <v>1281</v>
      </c>
      <c r="I7632">
        <v>1</v>
      </c>
      <c r="J7632" t="s">
        <v>628</v>
      </c>
      <c r="K7632" s="403">
        <v>1920</v>
      </c>
      <c r="L7632" s="403">
        <v>1080</v>
      </c>
      <c r="M7632" t="s">
        <v>111</v>
      </c>
      <c r="N7632" s="403">
        <v>640</v>
      </c>
      <c r="O7632" s="403">
        <v>480</v>
      </c>
      <c r="P7632" t="str">
        <f>LEFT(F7632,5)&amp;" "&amp;J7632&amp;" - "&amp;M7632</f>
        <v>30fps 1920x1080 - SD</v>
      </c>
      <c r="Q7632">
        <f t="shared" si="1081"/>
        <v>59</v>
      </c>
      <c r="R7632" t="str">
        <f t="shared" si="1082"/>
        <v/>
      </c>
      <c r="S7632" t="str">
        <f t="shared" si="1083"/>
        <v/>
      </c>
      <c r="T7632" s="403" t="str">
        <f t="shared" si="1084"/>
        <v>NBE-3702-AL</v>
      </c>
      <c r="U7632" s="403">
        <f t="shared" si="1085"/>
        <v>1</v>
      </c>
      <c r="V7632" s="403" t="str">
        <f t="shared" si="1086"/>
        <v>CPP_7_3</v>
      </c>
    </row>
    <row r="7633" spans="1:22">
      <c r="A7633" t="str">
        <f>IF(AND(G7633&lt;&gt;"rotate 90°"),D7633,"")</f>
        <v>NBE-3702-AL</v>
      </c>
      <c r="B7633" t="s">
        <v>2079</v>
      </c>
      <c r="C7633" s="403" t="s">
        <v>582</v>
      </c>
      <c r="D7633" t="s">
        <v>2080</v>
      </c>
      <c r="F7633" t="s">
        <v>1297</v>
      </c>
      <c r="G7633" t="s">
        <v>1811</v>
      </c>
      <c r="H7633" s="403" t="s">
        <v>1281</v>
      </c>
      <c r="I7633">
        <v>1</v>
      </c>
      <c r="J7633" t="s">
        <v>626</v>
      </c>
      <c r="K7633" s="403">
        <v>1280</v>
      </c>
      <c r="L7633" s="403">
        <v>720</v>
      </c>
      <c r="M7633" t="s">
        <v>626</v>
      </c>
      <c r="N7633" s="403">
        <v>1280</v>
      </c>
      <c r="O7633" s="403">
        <v>720</v>
      </c>
      <c r="P7633" t="str">
        <f>LEFT(F7633,5)&amp;" "&amp;J7633&amp;" - "&amp;M7633</f>
        <v>30fps 1280x720 - 1280x720</v>
      </c>
      <c r="Q7633">
        <f t="shared" si="1081"/>
        <v>59</v>
      </c>
      <c r="R7633" t="str">
        <f t="shared" si="1082"/>
        <v/>
      </c>
      <c r="S7633" t="str">
        <f t="shared" si="1083"/>
        <v/>
      </c>
      <c r="T7633" s="403" t="str">
        <f t="shared" si="1084"/>
        <v>NBE-3702-AL</v>
      </c>
      <c r="U7633" s="403">
        <f t="shared" si="1085"/>
        <v>1</v>
      </c>
      <c r="V7633" s="403" t="str">
        <f t="shared" si="1086"/>
        <v>CPP_7_3</v>
      </c>
    </row>
    <row r="7634" spans="1:22">
      <c r="A7634" t="str">
        <f>IF(AND(G7634&lt;&gt;"rotate 90°"),D7634,"")</f>
        <v>NBE-3702-AL</v>
      </c>
      <c r="B7634" t="s">
        <v>2079</v>
      </c>
      <c r="C7634" s="403" t="s">
        <v>582</v>
      </c>
      <c r="D7634" t="s">
        <v>2080</v>
      </c>
      <c r="F7634" t="s">
        <v>1297</v>
      </c>
      <c r="G7634" t="s">
        <v>1811</v>
      </c>
      <c r="H7634" s="403" t="s">
        <v>1281</v>
      </c>
      <c r="I7634">
        <v>1</v>
      </c>
      <c r="J7634" t="s">
        <v>626</v>
      </c>
      <c r="K7634" s="403">
        <v>1280</v>
      </c>
      <c r="L7634" s="403">
        <v>720</v>
      </c>
      <c r="M7634" t="s">
        <v>111</v>
      </c>
      <c r="N7634" s="403">
        <v>640</v>
      </c>
      <c r="O7634" s="403">
        <v>480</v>
      </c>
      <c r="P7634" t="str">
        <f>LEFT(F7634,5)&amp;" "&amp;J7634&amp;" - "&amp;M7634</f>
        <v>30fps 1280x720 - SD</v>
      </c>
      <c r="Q7634">
        <f t="shared" si="1081"/>
        <v>59</v>
      </c>
      <c r="R7634" t="str">
        <f t="shared" si="1082"/>
        <v/>
      </c>
      <c r="S7634" t="str">
        <f t="shared" si="1083"/>
        <v/>
      </c>
      <c r="T7634" s="403" t="str">
        <f t="shared" si="1084"/>
        <v>NBE-3702-AL</v>
      </c>
      <c r="U7634" s="403">
        <f t="shared" si="1085"/>
        <v>1</v>
      </c>
      <c r="V7634" s="403" t="str">
        <f t="shared" si="1086"/>
        <v>CPP_7_3</v>
      </c>
    </row>
    <row r="7635" spans="1:22">
      <c r="A7635" t="str">
        <f>IF(AND(G7635&lt;&gt;"rotate 90°"),D7635,"")</f>
        <v>NBE-3703-AL</v>
      </c>
      <c r="B7635" t="s">
        <v>2079</v>
      </c>
      <c r="C7635" s="403" t="s">
        <v>582</v>
      </c>
      <c r="D7635" t="s">
        <v>2081</v>
      </c>
      <c r="H7635" s="403"/>
      <c r="I7635">
        <v>1</v>
      </c>
      <c r="J7635" s="403"/>
      <c r="K7635" s="403"/>
      <c r="L7635" s="403"/>
      <c r="M7635" s="403"/>
      <c r="N7635" s="403"/>
      <c r="O7635" s="403"/>
      <c r="P7635" t="str">
        <f>LEFT(F7635,5)&amp;" "&amp;J7635&amp;" - "&amp;M7635</f>
        <v xml:space="preserve">  - </v>
      </c>
      <c r="Q7635">
        <f t="shared" si="1081"/>
        <v>60</v>
      </c>
      <c r="R7635">
        <f t="shared" si="1082"/>
        <v>60</v>
      </c>
      <c r="S7635" t="str">
        <f t="shared" si="1083"/>
        <v>DINION 3100i IR (NBE-3703-AL)</v>
      </c>
      <c r="T7635" s="403" t="str">
        <f t="shared" si="1084"/>
        <v>NBE-3703-AL</v>
      </c>
      <c r="U7635" s="403">
        <f t="shared" si="1085"/>
        <v>1</v>
      </c>
      <c r="V7635" s="403" t="str">
        <f t="shared" si="1086"/>
        <v>CPP_7_3</v>
      </c>
    </row>
    <row r="7636" spans="1:22">
      <c r="A7636" t="str">
        <f>IF(AND(G7636&lt;&gt;"rotate 90°"),D7636,"")</f>
        <v>NBE-3703-AL</v>
      </c>
      <c r="B7636" t="s">
        <v>2079</v>
      </c>
      <c r="C7636" s="403" t="s">
        <v>582</v>
      </c>
      <c r="D7636" t="s">
        <v>2081</v>
      </c>
      <c r="F7636" t="s">
        <v>2069</v>
      </c>
      <c r="G7636" t="s">
        <v>1811</v>
      </c>
      <c r="H7636" s="403" t="s">
        <v>1281</v>
      </c>
      <c r="I7636">
        <v>1</v>
      </c>
      <c r="J7636" s="403" t="s">
        <v>2070</v>
      </c>
      <c r="K7636" s="403">
        <v>2592</v>
      </c>
      <c r="L7636" s="403">
        <v>1944</v>
      </c>
      <c r="M7636" s="403" t="s">
        <v>2070</v>
      </c>
      <c r="N7636" s="403">
        <v>2592</v>
      </c>
      <c r="O7636" s="403">
        <v>1944</v>
      </c>
      <c r="P7636" t="str">
        <f>LEFT(F7636,5)&amp;" "&amp;J7636&amp;" - "&amp;M7636</f>
        <v>30fps 2592x1944 - 2592x1944</v>
      </c>
      <c r="Q7636">
        <f t="shared" si="1081"/>
        <v>60</v>
      </c>
      <c r="R7636" t="str">
        <f t="shared" si="1082"/>
        <v/>
      </c>
      <c r="S7636" t="str">
        <f t="shared" si="1083"/>
        <v/>
      </c>
      <c r="T7636" s="403" t="str">
        <f t="shared" si="1084"/>
        <v>NBE-3703-AL</v>
      </c>
      <c r="U7636" s="403">
        <f t="shared" si="1085"/>
        <v>1</v>
      </c>
      <c r="V7636" s="403" t="str">
        <f t="shared" si="1086"/>
        <v>CPP_7_3</v>
      </c>
    </row>
    <row r="7637" spans="1:22">
      <c r="A7637" t="str">
        <f>IF(AND(G7637&lt;&gt;"rotate 90°"),D7637,"")</f>
        <v>NBE-3703-AL</v>
      </c>
      <c r="B7637" t="s">
        <v>2079</v>
      </c>
      <c r="C7637" s="403" t="s">
        <v>582</v>
      </c>
      <c r="D7637" t="s">
        <v>2081</v>
      </c>
      <c r="F7637" t="s">
        <v>2069</v>
      </c>
      <c r="G7637" t="s">
        <v>1811</v>
      </c>
      <c r="H7637" s="403" t="s">
        <v>1281</v>
      </c>
      <c r="I7637">
        <v>1</v>
      </c>
      <c r="J7637" s="403" t="s">
        <v>2070</v>
      </c>
      <c r="K7637" s="403">
        <v>2592</v>
      </c>
      <c r="L7637" s="403">
        <v>1944</v>
      </c>
      <c r="M7637" s="403" t="s">
        <v>2058</v>
      </c>
      <c r="N7637" s="403">
        <v>2304</v>
      </c>
      <c r="O7637" s="403">
        <v>1728</v>
      </c>
      <c r="P7637" t="str">
        <f>LEFT(F7637,5)&amp;" "&amp;J7637&amp;" - "&amp;M7637</f>
        <v>30fps 2592x1944 - 2304x1728</v>
      </c>
      <c r="Q7637">
        <f t="shared" si="1081"/>
        <v>60</v>
      </c>
      <c r="R7637" t="str">
        <f t="shared" si="1082"/>
        <v/>
      </c>
      <c r="S7637" t="str">
        <f t="shared" si="1083"/>
        <v/>
      </c>
      <c r="T7637" s="403" t="str">
        <f t="shared" si="1084"/>
        <v>NBE-3703-AL</v>
      </c>
      <c r="U7637" s="403">
        <f t="shared" si="1085"/>
        <v>1</v>
      </c>
      <c r="V7637" s="403" t="str">
        <f t="shared" si="1086"/>
        <v>CPP_7_3</v>
      </c>
    </row>
    <row r="7638" spans="1:22">
      <c r="A7638" t="str">
        <f>IF(AND(G7638&lt;&gt;"rotate 90°"),D7638,"")</f>
        <v>NBE-3703-AL</v>
      </c>
      <c r="B7638" t="s">
        <v>2079</v>
      </c>
      <c r="C7638" s="403" t="s">
        <v>582</v>
      </c>
      <c r="D7638" t="s">
        <v>2081</v>
      </c>
      <c r="F7638" t="s">
        <v>2069</v>
      </c>
      <c r="G7638" t="s">
        <v>1811</v>
      </c>
      <c r="H7638" s="403" t="s">
        <v>1281</v>
      </c>
      <c r="I7638">
        <v>1</v>
      </c>
      <c r="J7638" s="403" t="s">
        <v>2070</v>
      </c>
      <c r="K7638" s="403">
        <v>2592</v>
      </c>
      <c r="L7638" s="403">
        <v>1944</v>
      </c>
      <c r="M7638" t="s">
        <v>2059</v>
      </c>
      <c r="N7638" s="403">
        <v>1920</v>
      </c>
      <c r="O7638" s="403">
        <v>1440</v>
      </c>
      <c r="P7638" t="str">
        <f>LEFT(F7638,5)&amp;" "&amp;J7638&amp;" - "&amp;M7638</f>
        <v>30fps 2592x1944 - 1920x1440</v>
      </c>
      <c r="Q7638">
        <f t="shared" si="1081"/>
        <v>60</v>
      </c>
      <c r="R7638" t="str">
        <f t="shared" si="1082"/>
        <v/>
      </c>
      <c r="S7638" t="str">
        <f t="shared" si="1083"/>
        <v/>
      </c>
      <c r="T7638" s="403" t="str">
        <f t="shared" si="1084"/>
        <v>NBE-3703-AL</v>
      </c>
      <c r="U7638" s="403">
        <f t="shared" si="1085"/>
        <v>1</v>
      </c>
      <c r="V7638" s="403" t="str">
        <f t="shared" si="1086"/>
        <v>CPP_7_3</v>
      </c>
    </row>
    <row r="7639" spans="1:22">
      <c r="A7639" t="str">
        <f>IF(AND(G7639&lt;&gt;"rotate 90°"),D7639,"")</f>
        <v>NBE-3703-AL</v>
      </c>
      <c r="B7639" t="s">
        <v>2079</v>
      </c>
      <c r="C7639" s="403" t="s">
        <v>582</v>
      </c>
      <c r="D7639" t="s">
        <v>2081</v>
      </c>
      <c r="F7639" t="s">
        <v>2069</v>
      </c>
      <c r="G7639" t="s">
        <v>1811</v>
      </c>
      <c r="H7639" s="403" t="s">
        <v>1281</v>
      </c>
      <c r="I7639">
        <v>1</v>
      </c>
      <c r="J7639" s="403" t="s">
        <v>2070</v>
      </c>
      <c r="K7639" s="403">
        <v>2592</v>
      </c>
      <c r="L7639" s="403">
        <v>1944</v>
      </c>
      <c r="M7639" t="s">
        <v>628</v>
      </c>
      <c r="N7639" s="403">
        <v>1920</v>
      </c>
      <c r="O7639" s="403">
        <v>1080</v>
      </c>
      <c r="P7639" t="str">
        <f>LEFT(F7639,5)&amp;" "&amp;J7639&amp;" - "&amp;M7639</f>
        <v>30fps 2592x1944 - 1920x1080</v>
      </c>
      <c r="Q7639">
        <f t="shared" si="1081"/>
        <v>60</v>
      </c>
      <c r="R7639" t="str">
        <f t="shared" si="1082"/>
        <v/>
      </c>
      <c r="S7639" t="str">
        <f t="shared" si="1083"/>
        <v/>
      </c>
      <c r="T7639" s="403" t="str">
        <f t="shared" si="1084"/>
        <v>NBE-3703-AL</v>
      </c>
      <c r="U7639" s="403">
        <f t="shared" si="1085"/>
        <v>1</v>
      </c>
      <c r="V7639" s="403" t="str">
        <f t="shared" si="1086"/>
        <v>CPP_7_3</v>
      </c>
    </row>
    <row r="7640" spans="1:22">
      <c r="A7640" t="str">
        <f>IF(AND(G7640&lt;&gt;"rotate 90°"),D7640,"")</f>
        <v>NBE-3703-AL</v>
      </c>
      <c r="B7640" t="s">
        <v>2079</v>
      </c>
      <c r="C7640" s="403" t="s">
        <v>582</v>
      </c>
      <c r="D7640" t="s">
        <v>2081</v>
      </c>
      <c r="F7640" t="s">
        <v>2069</v>
      </c>
      <c r="G7640" t="s">
        <v>1811</v>
      </c>
      <c r="H7640" s="403" t="s">
        <v>1281</v>
      </c>
      <c r="I7640">
        <v>1</v>
      </c>
      <c r="J7640" s="403" t="s">
        <v>2070</v>
      </c>
      <c r="K7640" s="403">
        <v>2592</v>
      </c>
      <c r="L7640" s="403">
        <v>1944</v>
      </c>
      <c r="M7640" t="s">
        <v>1313</v>
      </c>
      <c r="N7640" s="403">
        <v>1280</v>
      </c>
      <c r="O7640" s="403">
        <v>960</v>
      </c>
      <c r="P7640" t="str">
        <f>LEFT(F7640,5)&amp;" "&amp;J7640&amp;" - "&amp;M7640</f>
        <v>30fps 2592x1944 - 1280x960</v>
      </c>
      <c r="Q7640">
        <f t="shared" si="1081"/>
        <v>60</v>
      </c>
      <c r="R7640" t="str">
        <f t="shared" si="1082"/>
        <v/>
      </c>
      <c r="S7640" t="str">
        <f t="shared" si="1083"/>
        <v/>
      </c>
      <c r="T7640" s="403" t="str">
        <f t="shared" si="1084"/>
        <v>NBE-3703-AL</v>
      </c>
      <c r="U7640" s="403">
        <f t="shared" si="1085"/>
        <v>1</v>
      </c>
      <c r="V7640" s="403" t="str">
        <f t="shared" si="1086"/>
        <v>CPP_7_3</v>
      </c>
    </row>
    <row r="7641" spans="1:22">
      <c r="A7641" t="str">
        <f>IF(AND(G7641&lt;&gt;"rotate 90°"),D7641,"")</f>
        <v>NBE-3703-AL</v>
      </c>
      <c r="B7641" t="s">
        <v>2079</v>
      </c>
      <c r="C7641" s="403" t="s">
        <v>582</v>
      </c>
      <c r="D7641" t="s">
        <v>2081</v>
      </c>
      <c r="F7641" t="s">
        <v>2069</v>
      </c>
      <c r="G7641" t="s">
        <v>1811</v>
      </c>
      <c r="H7641" s="403" t="s">
        <v>1281</v>
      </c>
      <c r="I7641">
        <v>1</v>
      </c>
      <c r="J7641" s="403" t="s">
        <v>2070</v>
      </c>
      <c r="K7641" s="403">
        <v>2592</v>
      </c>
      <c r="L7641" s="403">
        <v>1944</v>
      </c>
      <c r="M7641" t="s">
        <v>111</v>
      </c>
      <c r="N7641" s="403">
        <v>640</v>
      </c>
      <c r="O7641" s="403">
        <v>480</v>
      </c>
      <c r="P7641" t="str">
        <f>LEFT(F7641,5)&amp;" "&amp;J7641&amp;" - "&amp;M7641</f>
        <v>30fps 2592x1944 - SD</v>
      </c>
      <c r="Q7641">
        <f t="shared" si="1081"/>
        <v>60</v>
      </c>
      <c r="R7641" t="str">
        <f t="shared" si="1082"/>
        <v/>
      </c>
      <c r="S7641" t="str">
        <f t="shared" si="1083"/>
        <v/>
      </c>
      <c r="T7641" s="403" t="str">
        <f t="shared" si="1084"/>
        <v>NBE-3703-AL</v>
      </c>
      <c r="U7641" s="403">
        <f t="shared" si="1085"/>
        <v>1</v>
      </c>
      <c r="V7641" s="403" t="str">
        <f t="shared" si="1086"/>
        <v>CPP_7_3</v>
      </c>
    </row>
    <row r="7642" spans="1:22">
      <c r="A7642" t="str">
        <f>IF(AND(G7642&lt;&gt;"rotate 90°"),D7642,"")</f>
        <v>NBE-3703-AL</v>
      </c>
      <c r="B7642" t="s">
        <v>2079</v>
      </c>
      <c r="C7642" s="403" t="s">
        <v>582</v>
      </c>
      <c r="D7642" t="s">
        <v>2081</v>
      </c>
      <c r="F7642" t="s">
        <v>2071</v>
      </c>
      <c r="G7642" t="s">
        <v>1811</v>
      </c>
      <c r="H7642" s="403" t="s">
        <v>1281</v>
      </c>
      <c r="I7642">
        <v>1</v>
      </c>
      <c r="J7642" s="403" t="s">
        <v>2058</v>
      </c>
      <c r="K7642" s="403">
        <v>2304</v>
      </c>
      <c r="L7642" s="403">
        <v>1728</v>
      </c>
      <c r="M7642" s="403" t="s">
        <v>2058</v>
      </c>
      <c r="N7642" s="403">
        <v>2304</v>
      </c>
      <c r="O7642" s="403">
        <v>1728</v>
      </c>
      <c r="P7642" t="str">
        <f>LEFT(F7642,5)&amp;" "&amp;J7642&amp;" - "&amp;M7642</f>
        <v>30fps 2304x1728 - 2304x1728</v>
      </c>
      <c r="Q7642">
        <f t="shared" si="1081"/>
        <v>60</v>
      </c>
      <c r="R7642" t="str">
        <f t="shared" si="1082"/>
        <v/>
      </c>
      <c r="S7642" t="str">
        <f t="shared" si="1083"/>
        <v/>
      </c>
      <c r="T7642" s="403" t="str">
        <f t="shared" si="1084"/>
        <v>NBE-3703-AL</v>
      </c>
      <c r="U7642" s="403">
        <f t="shared" si="1085"/>
        <v>1</v>
      </c>
      <c r="V7642" s="403" t="str">
        <f t="shared" si="1086"/>
        <v>CPP_7_3</v>
      </c>
    </row>
    <row r="7643" spans="1:22">
      <c r="A7643" t="str">
        <f>IF(AND(G7643&lt;&gt;"rotate 90°"),D7643,"")</f>
        <v>NBE-3703-AL</v>
      </c>
      <c r="B7643" t="s">
        <v>2079</v>
      </c>
      <c r="C7643" s="403" t="s">
        <v>582</v>
      </c>
      <c r="D7643" t="s">
        <v>2081</v>
      </c>
      <c r="F7643" t="s">
        <v>2071</v>
      </c>
      <c r="G7643" t="s">
        <v>1811</v>
      </c>
      <c r="H7643" s="403" t="s">
        <v>1281</v>
      </c>
      <c r="I7643">
        <v>1</v>
      </c>
      <c r="J7643" s="403" t="s">
        <v>2058</v>
      </c>
      <c r="K7643" s="403">
        <v>2304</v>
      </c>
      <c r="L7643" s="403">
        <v>1728</v>
      </c>
      <c r="M7643" t="s">
        <v>2059</v>
      </c>
      <c r="N7643" s="403">
        <v>1920</v>
      </c>
      <c r="O7643" s="403">
        <v>1440</v>
      </c>
      <c r="P7643" t="str">
        <f>LEFT(F7643,5)&amp;" "&amp;J7643&amp;" - "&amp;M7643</f>
        <v>30fps 2304x1728 - 1920x1440</v>
      </c>
      <c r="Q7643">
        <f t="shared" si="1081"/>
        <v>60</v>
      </c>
      <c r="R7643" t="str">
        <f t="shared" si="1082"/>
        <v/>
      </c>
      <c r="S7643" t="str">
        <f t="shared" si="1083"/>
        <v/>
      </c>
      <c r="T7643" s="403" t="str">
        <f t="shared" si="1084"/>
        <v>NBE-3703-AL</v>
      </c>
      <c r="U7643" s="403">
        <f t="shared" si="1085"/>
        <v>1</v>
      </c>
      <c r="V7643" s="403" t="str">
        <f t="shared" si="1086"/>
        <v>CPP_7_3</v>
      </c>
    </row>
    <row r="7644" spans="1:22">
      <c r="A7644" t="str">
        <f>IF(AND(G7644&lt;&gt;"rotate 90°"),D7644,"")</f>
        <v>NBE-3703-AL</v>
      </c>
      <c r="B7644" t="s">
        <v>2079</v>
      </c>
      <c r="C7644" s="403" t="s">
        <v>582</v>
      </c>
      <c r="D7644" t="s">
        <v>2081</v>
      </c>
      <c r="F7644" t="s">
        <v>2071</v>
      </c>
      <c r="G7644" t="s">
        <v>1811</v>
      </c>
      <c r="H7644" s="403" t="s">
        <v>1281</v>
      </c>
      <c r="I7644">
        <v>1</v>
      </c>
      <c r="J7644" s="403" t="s">
        <v>2058</v>
      </c>
      <c r="K7644" s="403">
        <v>2304</v>
      </c>
      <c r="L7644" s="403">
        <v>1728</v>
      </c>
      <c r="M7644" t="s">
        <v>628</v>
      </c>
      <c r="N7644" s="403">
        <v>1920</v>
      </c>
      <c r="O7644" s="403">
        <v>1080</v>
      </c>
      <c r="P7644" t="str">
        <f>LEFT(F7644,5)&amp;" "&amp;J7644&amp;" - "&amp;M7644</f>
        <v>30fps 2304x1728 - 1920x1080</v>
      </c>
      <c r="Q7644">
        <f t="shared" si="1081"/>
        <v>60</v>
      </c>
      <c r="R7644" t="str">
        <f t="shared" si="1082"/>
        <v/>
      </c>
      <c r="S7644" t="str">
        <f t="shared" si="1083"/>
        <v/>
      </c>
      <c r="T7644" s="403" t="str">
        <f t="shared" si="1084"/>
        <v>NBE-3703-AL</v>
      </c>
      <c r="U7644" s="403">
        <f t="shared" si="1085"/>
        <v>1</v>
      </c>
      <c r="V7644" s="403" t="str">
        <f t="shared" si="1086"/>
        <v>CPP_7_3</v>
      </c>
    </row>
    <row r="7645" spans="1:22">
      <c r="A7645" t="str">
        <f>IF(AND(G7645&lt;&gt;"rotate 90°"),D7645,"")</f>
        <v>NBE-3703-AL</v>
      </c>
      <c r="B7645" t="s">
        <v>2079</v>
      </c>
      <c r="C7645" s="403" t="s">
        <v>582</v>
      </c>
      <c r="D7645" t="s">
        <v>2081</v>
      </c>
      <c r="F7645" t="s">
        <v>2071</v>
      </c>
      <c r="G7645" t="s">
        <v>1811</v>
      </c>
      <c r="H7645" s="403" t="s">
        <v>1281</v>
      </c>
      <c r="I7645">
        <v>1</v>
      </c>
      <c r="J7645" s="403" t="s">
        <v>2058</v>
      </c>
      <c r="K7645" s="403">
        <v>2304</v>
      </c>
      <c r="L7645" s="403">
        <v>1728</v>
      </c>
      <c r="M7645" t="s">
        <v>1313</v>
      </c>
      <c r="N7645" s="403">
        <v>1280</v>
      </c>
      <c r="O7645" s="403">
        <v>960</v>
      </c>
      <c r="P7645" t="str">
        <f>LEFT(F7645,5)&amp;" "&amp;J7645&amp;" - "&amp;M7645</f>
        <v>30fps 2304x1728 - 1280x960</v>
      </c>
      <c r="Q7645">
        <f t="shared" si="1081"/>
        <v>60</v>
      </c>
      <c r="R7645" t="str">
        <f t="shared" si="1082"/>
        <v/>
      </c>
      <c r="S7645" t="str">
        <f t="shared" si="1083"/>
        <v/>
      </c>
      <c r="T7645" s="403" t="str">
        <f t="shared" si="1084"/>
        <v>NBE-3703-AL</v>
      </c>
      <c r="U7645" s="403">
        <f t="shared" si="1085"/>
        <v>1</v>
      </c>
      <c r="V7645" s="403" t="str">
        <f t="shared" si="1086"/>
        <v>CPP_7_3</v>
      </c>
    </row>
    <row r="7646" spans="1:22">
      <c r="A7646" t="str">
        <f>IF(AND(G7646&lt;&gt;"rotate 90°"),D7646,"")</f>
        <v>NBE-3703-AL</v>
      </c>
      <c r="B7646" t="s">
        <v>2079</v>
      </c>
      <c r="C7646" s="403" t="s">
        <v>582</v>
      </c>
      <c r="D7646" t="s">
        <v>2081</v>
      </c>
      <c r="F7646" t="s">
        <v>2071</v>
      </c>
      <c r="G7646" t="s">
        <v>1811</v>
      </c>
      <c r="H7646" s="403" t="s">
        <v>1281</v>
      </c>
      <c r="I7646">
        <v>1</v>
      </c>
      <c r="J7646" s="403" t="s">
        <v>2058</v>
      </c>
      <c r="K7646" s="403">
        <v>2304</v>
      </c>
      <c r="L7646" s="403">
        <v>1728</v>
      </c>
      <c r="M7646" t="s">
        <v>111</v>
      </c>
      <c r="N7646" s="403">
        <v>640</v>
      </c>
      <c r="O7646" s="403">
        <v>480</v>
      </c>
      <c r="P7646" t="str">
        <f>LEFT(F7646,5)&amp;" "&amp;J7646&amp;" - "&amp;M7646</f>
        <v>30fps 2304x1728 - SD</v>
      </c>
      <c r="Q7646">
        <f t="shared" si="1081"/>
        <v>60</v>
      </c>
      <c r="R7646" t="str">
        <f t="shared" si="1082"/>
        <v/>
      </c>
      <c r="S7646" t="str">
        <f t="shared" si="1083"/>
        <v/>
      </c>
      <c r="T7646" s="403" t="str">
        <f t="shared" si="1084"/>
        <v>NBE-3703-AL</v>
      </c>
      <c r="U7646" s="403">
        <f t="shared" si="1085"/>
        <v>1</v>
      </c>
      <c r="V7646" s="403" t="str">
        <f t="shared" si="1086"/>
        <v>CPP_7_3</v>
      </c>
    </row>
    <row r="7647" spans="1:22">
      <c r="A7647" t="str">
        <f>IF(AND(G7647&lt;&gt;"rotate 90°"),D7647,"")</f>
        <v>NBE-3703-AL</v>
      </c>
      <c r="B7647" t="s">
        <v>2079</v>
      </c>
      <c r="C7647" s="403" t="s">
        <v>582</v>
      </c>
      <c r="D7647" t="s">
        <v>2081</v>
      </c>
      <c r="F7647" t="s">
        <v>1286</v>
      </c>
      <c r="G7647" t="s">
        <v>1811</v>
      </c>
      <c r="H7647" s="403" t="s">
        <v>1281</v>
      </c>
      <c r="I7647">
        <v>1</v>
      </c>
      <c r="J7647" t="s">
        <v>628</v>
      </c>
      <c r="K7647" s="403">
        <v>1920</v>
      </c>
      <c r="L7647" s="403">
        <v>1080</v>
      </c>
      <c r="M7647" t="s">
        <v>628</v>
      </c>
      <c r="N7647" s="403">
        <v>1920</v>
      </c>
      <c r="O7647" s="403">
        <v>1080</v>
      </c>
      <c r="P7647" t="str">
        <f>LEFT(F7647,5)&amp;" "&amp;J7647&amp;" - "&amp;M7647</f>
        <v>30fps 1920x1080 - 1920x1080</v>
      </c>
      <c r="Q7647">
        <f t="shared" si="1081"/>
        <v>60</v>
      </c>
      <c r="R7647" t="str">
        <f t="shared" si="1082"/>
        <v/>
      </c>
      <c r="S7647" t="str">
        <f t="shared" si="1083"/>
        <v/>
      </c>
      <c r="T7647" s="403" t="str">
        <f t="shared" si="1084"/>
        <v>NBE-3703-AL</v>
      </c>
      <c r="U7647" s="403">
        <f t="shared" si="1085"/>
        <v>1</v>
      </c>
      <c r="V7647" s="403" t="str">
        <f t="shared" si="1086"/>
        <v>CPP_7_3</v>
      </c>
    </row>
    <row r="7648" spans="1:22">
      <c r="A7648" t="str">
        <f>IF(AND(G7648&lt;&gt;"rotate 90°"),D7648,"")</f>
        <v>NBE-3703-AL</v>
      </c>
      <c r="B7648" t="s">
        <v>2079</v>
      </c>
      <c r="C7648" s="403" t="s">
        <v>582</v>
      </c>
      <c r="D7648" t="s">
        <v>2081</v>
      </c>
      <c r="F7648" t="s">
        <v>1286</v>
      </c>
      <c r="G7648" t="s">
        <v>1811</v>
      </c>
      <c r="H7648" s="403" t="s">
        <v>1281</v>
      </c>
      <c r="I7648">
        <v>1</v>
      </c>
      <c r="J7648" t="s">
        <v>628</v>
      </c>
      <c r="K7648" s="403">
        <v>1920</v>
      </c>
      <c r="L7648" s="403">
        <v>1080</v>
      </c>
      <c r="M7648" t="s">
        <v>626</v>
      </c>
      <c r="N7648" s="403">
        <v>1280</v>
      </c>
      <c r="O7648" s="403">
        <v>720</v>
      </c>
      <c r="P7648" t="str">
        <f>LEFT(F7648,5)&amp;" "&amp;J7648&amp;" - "&amp;M7648</f>
        <v>30fps 1920x1080 - 1280x720</v>
      </c>
      <c r="Q7648">
        <f t="shared" si="1081"/>
        <v>60</v>
      </c>
      <c r="R7648" t="str">
        <f t="shared" si="1082"/>
        <v/>
      </c>
      <c r="S7648" t="str">
        <f t="shared" si="1083"/>
        <v/>
      </c>
      <c r="T7648" s="403" t="str">
        <f t="shared" si="1084"/>
        <v>NBE-3703-AL</v>
      </c>
      <c r="U7648" s="403">
        <f t="shared" si="1085"/>
        <v>1</v>
      </c>
      <c r="V7648" s="403" t="str">
        <f t="shared" si="1086"/>
        <v>CPP_7_3</v>
      </c>
    </row>
    <row r="7649" spans="1:22">
      <c r="A7649" t="str">
        <f>IF(AND(G7649&lt;&gt;"rotate 90°"),D7649,"")</f>
        <v>NBE-3703-AL</v>
      </c>
      <c r="B7649" t="s">
        <v>2079</v>
      </c>
      <c r="C7649" s="403" t="s">
        <v>582</v>
      </c>
      <c r="D7649" t="s">
        <v>2081</v>
      </c>
      <c r="F7649" t="s">
        <v>1286</v>
      </c>
      <c r="G7649" t="s">
        <v>1811</v>
      </c>
      <c r="H7649" s="403" t="s">
        <v>1281</v>
      </c>
      <c r="I7649">
        <v>1</v>
      </c>
      <c r="J7649" t="s">
        <v>628</v>
      </c>
      <c r="K7649" s="403">
        <v>1920</v>
      </c>
      <c r="L7649" s="403">
        <v>1080</v>
      </c>
      <c r="M7649" t="s">
        <v>111</v>
      </c>
      <c r="N7649" s="403">
        <v>640</v>
      </c>
      <c r="O7649" s="403">
        <v>480</v>
      </c>
      <c r="P7649" t="str">
        <f>LEFT(F7649,5)&amp;" "&amp;J7649&amp;" - "&amp;M7649</f>
        <v>30fps 1920x1080 - SD</v>
      </c>
      <c r="Q7649">
        <f t="shared" si="1081"/>
        <v>60</v>
      </c>
      <c r="R7649" t="str">
        <f t="shared" si="1082"/>
        <v/>
      </c>
      <c r="S7649" t="str">
        <f t="shared" si="1083"/>
        <v/>
      </c>
      <c r="T7649" s="403" t="str">
        <f t="shared" si="1084"/>
        <v>NBE-3703-AL</v>
      </c>
      <c r="U7649" s="403">
        <f t="shared" si="1085"/>
        <v>1</v>
      </c>
      <c r="V7649" s="403" t="str">
        <f t="shared" si="1086"/>
        <v>CPP_7_3</v>
      </c>
    </row>
    <row r="7650" spans="1:22">
      <c r="A7650" t="str">
        <f>IF(AND(G7650&lt;&gt;"rotate 90°"),D7650,"")</f>
        <v>NDE-5702-A</v>
      </c>
      <c r="B7650" s="29" t="s">
        <v>2082</v>
      </c>
      <c r="C7650" s="403" t="s">
        <v>582</v>
      </c>
      <c r="D7650" s="355" t="s">
        <v>2083</v>
      </c>
      <c r="H7650" s="403"/>
      <c r="I7650">
        <v>1</v>
      </c>
      <c r="J7650" s="403"/>
      <c r="K7650" s="403"/>
      <c r="L7650" s="403"/>
      <c r="M7650" s="403"/>
      <c r="N7650" s="403"/>
      <c r="O7650" s="403"/>
      <c r="P7650" t="str">
        <f>LEFT(F7650,5)&amp;" "&amp;J7650&amp;" - "&amp;M7650</f>
        <v xml:space="preserve">  - </v>
      </c>
      <c r="Q7650">
        <f t="shared" si="1081"/>
        <v>61</v>
      </c>
      <c r="R7650">
        <f t="shared" si="1082"/>
        <v>61</v>
      </c>
      <c r="S7650" t="str">
        <f t="shared" si="1083"/>
        <v>FLEXIDOME 5100i (NDE-5702-A)</v>
      </c>
      <c r="T7650" s="403" t="str">
        <f t="shared" si="1084"/>
        <v>NDE-5702-A</v>
      </c>
      <c r="U7650" s="403">
        <f t="shared" si="1085"/>
        <v>1</v>
      </c>
      <c r="V7650" s="403" t="str">
        <f t="shared" si="1086"/>
        <v>CPP_7_3</v>
      </c>
    </row>
    <row r="7651" spans="1:22">
      <c r="A7651" t="str">
        <f>IF(AND(G7651&lt;&gt;"rotate 90°"),D7651,"")</f>
        <v>NDE-5702-A</v>
      </c>
      <c r="B7651" s="29" t="s">
        <v>2082</v>
      </c>
      <c r="C7651" s="403" t="s">
        <v>582</v>
      </c>
      <c r="D7651" s="355" t="s">
        <v>2083</v>
      </c>
      <c r="F7651" t="s">
        <v>1288</v>
      </c>
      <c r="G7651" t="s">
        <v>1811</v>
      </c>
      <c r="H7651" s="403" t="s">
        <v>1281</v>
      </c>
      <c r="I7651">
        <v>1</v>
      </c>
      <c r="J7651" s="403" t="s">
        <v>628</v>
      </c>
      <c r="K7651" s="403">
        <v>1920</v>
      </c>
      <c r="L7651" s="403">
        <v>1080</v>
      </c>
      <c r="M7651" s="403" t="s">
        <v>628</v>
      </c>
      <c r="N7651" s="403">
        <v>2688</v>
      </c>
      <c r="O7651" s="403">
        <v>1520</v>
      </c>
      <c r="P7651" t="str">
        <f t="shared" ref="P7651:P7656" si="1087">LEFT(F7651,5)&amp;" "&amp;J7651&amp;" - "&amp;M7651</f>
        <v>60fps 1920x1080 - 1920x1080</v>
      </c>
      <c r="Q7651">
        <f t="shared" ref="Q7651:Q7713" si="1088">IF(A7650=A7651,Q7650,Q7650+1)</f>
        <v>61</v>
      </c>
      <c r="R7651" t="str">
        <f t="shared" ref="R7651:R7713" si="1089">IF(Q7650&lt;&gt;Q7651,Q7651,"")</f>
        <v/>
      </c>
      <c r="S7651" t="str">
        <f t="shared" ref="S7651:S7713" si="1090">IF(R7651&lt;&gt;"",B7651&amp;" ("&amp;D7651&amp;")","")</f>
        <v/>
      </c>
      <c r="T7651" s="403" t="str">
        <f t="shared" ref="T7651:T7713" si="1091">D7651</f>
        <v>NDE-5702-A</v>
      </c>
      <c r="U7651" s="403">
        <f t="shared" ref="U7651:U7713" si="1092">I7651</f>
        <v>1</v>
      </c>
      <c r="V7651" s="403" t="str">
        <f t="shared" ref="V7651:V7713" si="1093">C7651</f>
        <v>CPP_7_3</v>
      </c>
    </row>
    <row r="7652" spans="1:22">
      <c r="A7652" t="str">
        <f>IF(AND(G7652&lt;&gt;"rotate 90°"),D7652,"")</f>
        <v>NDE-5702-A</v>
      </c>
      <c r="B7652" s="29" t="s">
        <v>2082</v>
      </c>
      <c r="C7652" s="403" t="s">
        <v>582</v>
      </c>
      <c r="D7652" s="355" t="s">
        <v>2083</v>
      </c>
      <c r="F7652" t="s">
        <v>1288</v>
      </c>
      <c r="G7652" t="s">
        <v>1811</v>
      </c>
      <c r="H7652" s="403" t="s">
        <v>1281</v>
      </c>
      <c r="I7652">
        <v>1</v>
      </c>
      <c r="J7652" s="403" t="s">
        <v>628</v>
      </c>
      <c r="K7652" s="403">
        <v>1920</v>
      </c>
      <c r="L7652" s="403">
        <v>1080</v>
      </c>
      <c r="M7652" s="403" t="s">
        <v>1451</v>
      </c>
      <c r="N7652" s="403">
        <v>1536</v>
      </c>
      <c r="O7652" s="403">
        <v>864</v>
      </c>
      <c r="P7652" t="str">
        <f t="shared" si="1087"/>
        <v>60fps 1920x1080 - 1536x864</v>
      </c>
      <c r="Q7652">
        <f t="shared" si="1088"/>
        <v>61</v>
      </c>
      <c r="R7652" t="str">
        <f t="shared" si="1089"/>
        <v/>
      </c>
      <c r="S7652" t="str">
        <f t="shared" si="1090"/>
        <v/>
      </c>
      <c r="T7652" s="403" t="str">
        <f t="shared" si="1091"/>
        <v>NDE-5702-A</v>
      </c>
      <c r="U7652" s="403">
        <f t="shared" si="1092"/>
        <v>1</v>
      </c>
      <c r="V7652" s="403" t="str">
        <f t="shared" si="1093"/>
        <v>CPP_7_3</v>
      </c>
    </row>
    <row r="7653" spans="1:22">
      <c r="A7653" t="str">
        <f>IF(AND(G7653&lt;&gt;"rotate 90°"),D7653,"")</f>
        <v>NDE-5702-A</v>
      </c>
      <c r="B7653" s="29" t="s">
        <v>2082</v>
      </c>
      <c r="C7653" s="403" t="s">
        <v>582</v>
      </c>
      <c r="D7653" s="355" t="s">
        <v>2083</v>
      </c>
      <c r="F7653" t="s">
        <v>1288</v>
      </c>
      <c r="G7653" t="s">
        <v>1811</v>
      </c>
      <c r="H7653" s="403" t="s">
        <v>1281</v>
      </c>
      <c r="I7653">
        <v>1</v>
      </c>
      <c r="J7653" s="403" t="s">
        <v>628</v>
      </c>
      <c r="K7653" s="403">
        <v>1920</v>
      </c>
      <c r="L7653" s="403">
        <v>1080</v>
      </c>
      <c r="M7653" s="403" t="s">
        <v>626</v>
      </c>
      <c r="N7653" s="403">
        <v>1280</v>
      </c>
      <c r="O7653" s="403">
        <v>720</v>
      </c>
      <c r="P7653" t="str">
        <f t="shared" si="1087"/>
        <v>60fps 1920x1080 - 1280x720</v>
      </c>
      <c r="Q7653">
        <f t="shared" si="1088"/>
        <v>61</v>
      </c>
      <c r="R7653" t="str">
        <f t="shared" si="1089"/>
        <v/>
      </c>
      <c r="S7653" t="str">
        <f t="shared" si="1090"/>
        <v/>
      </c>
      <c r="T7653" s="403" t="str">
        <f t="shared" si="1091"/>
        <v>NDE-5702-A</v>
      </c>
      <c r="U7653" s="403">
        <f t="shared" si="1092"/>
        <v>1</v>
      </c>
      <c r="V7653" s="403" t="str">
        <f t="shared" si="1093"/>
        <v>CPP_7_3</v>
      </c>
    </row>
    <row r="7654" spans="1:22">
      <c r="A7654" t="str">
        <f>IF(AND(G7654&lt;&gt;"rotate 90°"),D7654,"")</f>
        <v>NDE-5702-A</v>
      </c>
      <c r="B7654" s="29" t="s">
        <v>2082</v>
      </c>
      <c r="C7654" s="403" t="s">
        <v>582</v>
      </c>
      <c r="D7654" s="355" t="s">
        <v>2083</v>
      </c>
      <c r="F7654" t="s">
        <v>1286</v>
      </c>
      <c r="G7654" t="s">
        <v>1811</v>
      </c>
      <c r="H7654" s="403" t="s">
        <v>1281</v>
      </c>
      <c r="I7654">
        <v>1</v>
      </c>
      <c r="J7654" s="403" t="s">
        <v>628</v>
      </c>
      <c r="K7654" s="403">
        <v>1920</v>
      </c>
      <c r="L7654" s="403">
        <v>1080</v>
      </c>
      <c r="M7654" s="403" t="s">
        <v>628</v>
      </c>
      <c r="N7654" s="403">
        <v>2688</v>
      </c>
      <c r="O7654" s="403">
        <v>1520</v>
      </c>
      <c r="P7654" t="str">
        <f t="shared" si="1087"/>
        <v>30fps 1920x1080 - 1920x1080</v>
      </c>
      <c r="Q7654">
        <f t="shared" si="1088"/>
        <v>61</v>
      </c>
      <c r="R7654" t="str">
        <f t="shared" si="1089"/>
        <v/>
      </c>
      <c r="S7654" t="str">
        <f t="shared" si="1090"/>
        <v/>
      </c>
      <c r="T7654" s="403" t="str">
        <f t="shared" si="1091"/>
        <v>NDE-5702-A</v>
      </c>
      <c r="U7654" s="403">
        <f t="shared" si="1092"/>
        <v>1</v>
      </c>
      <c r="V7654" s="403" t="str">
        <f t="shared" si="1093"/>
        <v>CPP_7_3</v>
      </c>
    </row>
    <row r="7655" spans="1:22">
      <c r="A7655" t="str">
        <f>IF(AND(G7655&lt;&gt;"rotate 90°"),D7655,"")</f>
        <v>NDE-5702-A</v>
      </c>
      <c r="B7655" s="29" t="s">
        <v>2082</v>
      </c>
      <c r="C7655" s="403" t="s">
        <v>582</v>
      </c>
      <c r="D7655" s="355" t="s">
        <v>2083</v>
      </c>
      <c r="F7655" t="s">
        <v>1286</v>
      </c>
      <c r="G7655" t="s">
        <v>1811</v>
      </c>
      <c r="H7655" s="403" t="s">
        <v>1281</v>
      </c>
      <c r="I7655">
        <v>1</v>
      </c>
      <c r="J7655" s="403" t="s">
        <v>628</v>
      </c>
      <c r="K7655" s="403">
        <v>1920</v>
      </c>
      <c r="L7655" s="403">
        <v>1080</v>
      </c>
      <c r="M7655" s="403" t="s">
        <v>1451</v>
      </c>
      <c r="N7655" s="403">
        <v>1536</v>
      </c>
      <c r="O7655" s="403">
        <v>864</v>
      </c>
      <c r="P7655" t="str">
        <f t="shared" si="1087"/>
        <v>30fps 1920x1080 - 1536x864</v>
      </c>
      <c r="Q7655">
        <f t="shared" si="1088"/>
        <v>61</v>
      </c>
      <c r="R7655" t="str">
        <f t="shared" si="1089"/>
        <v/>
      </c>
      <c r="S7655" t="str">
        <f t="shared" si="1090"/>
        <v/>
      </c>
      <c r="T7655" s="403" t="str">
        <f t="shared" si="1091"/>
        <v>NDE-5702-A</v>
      </c>
      <c r="U7655" s="403">
        <f t="shared" si="1092"/>
        <v>1</v>
      </c>
      <c r="V7655" s="403" t="str">
        <f t="shared" si="1093"/>
        <v>CPP_7_3</v>
      </c>
    </row>
    <row r="7656" spans="1:22">
      <c r="A7656" t="str">
        <f>IF(AND(G7656&lt;&gt;"rotate 90°"),D7656,"")</f>
        <v>NDE-5702-A</v>
      </c>
      <c r="B7656" s="29" t="s">
        <v>2082</v>
      </c>
      <c r="C7656" s="403" t="s">
        <v>582</v>
      </c>
      <c r="D7656" s="355" t="s">
        <v>2083</v>
      </c>
      <c r="F7656" t="s">
        <v>1286</v>
      </c>
      <c r="G7656" t="s">
        <v>1811</v>
      </c>
      <c r="H7656" s="403" t="s">
        <v>1281</v>
      </c>
      <c r="I7656">
        <v>1</v>
      </c>
      <c r="J7656" s="403" t="s">
        <v>628</v>
      </c>
      <c r="K7656" s="403">
        <v>1920</v>
      </c>
      <c r="L7656" s="403">
        <v>1080</v>
      </c>
      <c r="M7656" s="403" t="s">
        <v>626</v>
      </c>
      <c r="N7656" s="403">
        <v>1280</v>
      </c>
      <c r="O7656" s="403">
        <v>720</v>
      </c>
      <c r="P7656" t="str">
        <f t="shared" si="1087"/>
        <v>30fps 1920x1080 - 1280x720</v>
      </c>
      <c r="Q7656">
        <f t="shared" si="1088"/>
        <v>61</v>
      </c>
      <c r="R7656" t="str">
        <f t="shared" si="1089"/>
        <v/>
      </c>
      <c r="S7656" t="str">
        <f t="shared" si="1090"/>
        <v/>
      </c>
      <c r="T7656" s="403" t="str">
        <f t="shared" si="1091"/>
        <v>NDE-5702-A</v>
      </c>
      <c r="U7656" s="403">
        <f t="shared" si="1092"/>
        <v>1</v>
      </c>
      <c r="V7656" s="403" t="str">
        <f t="shared" si="1093"/>
        <v>CPP_7_3</v>
      </c>
    </row>
    <row r="7657" spans="1:22">
      <c r="A7657" t="str">
        <f>IF(AND(G7657&lt;&gt;"rotate 90°"),D7657,"")</f>
        <v>NDE-5703-A</v>
      </c>
      <c r="B7657" s="29" t="s">
        <v>2082</v>
      </c>
      <c r="C7657" s="403" t="s">
        <v>582</v>
      </c>
      <c r="D7657" s="355" t="s">
        <v>2084</v>
      </c>
      <c r="H7657" s="403"/>
      <c r="I7657">
        <v>1</v>
      </c>
      <c r="J7657" s="403"/>
      <c r="K7657" s="403"/>
      <c r="L7657" s="403"/>
      <c r="M7657" s="403"/>
      <c r="N7657" s="403"/>
      <c r="O7657" s="403"/>
      <c r="P7657" t="str">
        <f>LEFT(F7657,5)&amp;" "&amp;J7657&amp;" - "&amp;M7657</f>
        <v xml:space="preserve">  - </v>
      </c>
      <c r="Q7657">
        <f t="shared" si="1088"/>
        <v>62</v>
      </c>
      <c r="R7657">
        <f t="shared" si="1089"/>
        <v>62</v>
      </c>
      <c r="S7657" t="str">
        <f t="shared" si="1090"/>
        <v>FLEXIDOME 5100i (NDE-5703-A)</v>
      </c>
      <c r="T7657" s="403" t="str">
        <f t="shared" si="1091"/>
        <v>NDE-5703-A</v>
      </c>
      <c r="U7657" s="403">
        <f t="shared" si="1092"/>
        <v>1</v>
      </c>
      <c r="V7657" s="403" t="str">
        <f t="shared" si="1093"/>
        <v>CPP_7_3</v>
      </c>
    </row>
    <row r="7658" spans="1:22">
      <c r="A7658" t="str">
        <f>IF(AND(G7658&lt;&gt;"rotate 90°"),D7658,"")</f>
        <v>NDE-5703-A</v>
      </c>
      <c r="B7658" s="29" t="s">
        <v>2082</v>
      </c>
      <c r="C7658" s="403" t="s">
        <v>582</v>
      </c>
      <c r="D7658" s="355" t="s">
        <v>2084</v>
      </c>
      <c r="F7658" t="s">
        <v>1999</v>
      </c>
      <c r="G7658" t="s">
        <v>1811</v>
      </c>
      <c r="H7658" s="403" t="s">
        <v>1281</v>
      </c>
      <c r="I7658">
        <v>1</v>
      </c>
      <c r="J7658" s="403" t="s">
        <v>2000</v>
      </c>
      <c r="K7658" s="403">
        <v>2688</v>
      </c>
      <c r="L7658" s="403">
        <v>1520</v>
      </c>
      <c r="M7658" s="403" t="s">
        <v>2000</v>
      </c>
      <c r="N7658" s="403">
        <v>2688</v>
      </c>
      <c r="O7658" s="403">
        <v>1520</v>
      </c>
      <c r="P7658" t="str">
        <f>LEFT(F7658,5)&amp;" "&amp;J7658&amp;" - "&amp;M7658</f>
        <v>60fps 2688x1520 - 2688x1520</v>
      </c>
      <c r="Q7658">
        <f t="shared" si="1088"/>
        <v>62</v>
      </c>
      <c r="R7658" t="str">
        <f t="shared" si="1089"/>
        <v/>
      </c>
      <c r="S7658" t="str">
        <f t="shared" si="1090"/>
        <v/>
      </c>
      <c r="T7658" s="403" t="str">
        <f t="shared" si="1091"/>
        <v>NDE-5703-A</v>
      </c>
      <c r="U7658" s="403">
        <f t="shared" si="1092"/>
        <v>1</v>
      </c>
      <c r="V7658" s="403" t="str">
        <f t="shared" si="1093"/>
        <v>CPP_7_3</v>
      </c>
    </row>
    <row r="7659" spans="1:22">
      <c r="A7659" t="str">
        <f>IF(AND(G7659&lt;&gt;"rotate 90°"),D7659,"")</f>
        <v>NDE-5703-A</v>
      </c>
      <c r="B7659" s="29" t="s">
        <v>2082</v>
      </c>
      <c r="C7659" s="403" t="s">
        <v>582</v>
      </c>
      <c r="D7659" s="355" t="s">
        <v>2084</v>
      </c>
      <c r="F7659" t="s">
        <v>1999</v>
      </c>
      <c r="G7659" t="s">
        <v>1811</v>
      </c>
      <c r="H7659" s="403" t="s">
        <v>1281</v>
      </c>
      <c r="I7659">
        <v>1</v>
      </c>
      <c r="J7659" s="403" t="s">
        <v>2000</v>
      </c>
      <c r="K7659" s="403">
        <v>2688</v>
      </c>
      <c r="L7659" s="403">
        <v>1520</v>
      </c>
      <c r="M7659" s="403" t="s">
        <v>628</v>
      </c>
      <c r="N7659" s="403">
        <v>1920</v>
      </c>
      <c r="O7659" s="403">
        <v>1080</v>
      </c>
      <c r="P7659" t="str">
        <f>LEFT(F7659,5)&amp;" "&amp;J7659&amp;" - "&amp;M7659</f>
        <v>60fps 2688x1520 - 1920x1080</v>
      </c>
      <c r="Q7659">
        <f t="shared" si="1088"/>
        <v>62</v>
      </c>
      <c r="R7659" t="str">
        <f t="shared" si="1089"/>
        <v/>
      </c>
      <c r="S7659" t="str">
        <f t="shared" si="1090"/>
        <v/>
      </c>
      <c r="T7659" s="403" t="str">
        <f t="shared" si="1091"/>
        <v>NDE-5703-A</v>
      </c>
      <c r="U7659" s="403">
        <f t="shared" si="1092"/>
        <v>1</v>
      </c>
      <c r="V7659" s="403" t="str">
        <f t="shared" si="1093"/>
        <v>CPP_7_3</v>
      </c>
    </row>
    <row r="7660" spans="1:22">
      <c r="A7660" t="str">
        <f>IF(AND(G7660&lt;&gt;"rotate 90°"),D7660,"")</f>
        <v>NDE-5703-A</v>
      </c>
      <c r="B7660" s="29" t="s">
        <v>2082</v>
      </c>
      <c r="C7660" s="403" t="s">
        <v>582</v>
      </c>
      <c r="D7660" s="355" t="s">
        <v>2084</v>
      </c>
      <c r="F7660" t="s">
        <v>1999</v>
      </c>
      <c r="G7660" t="s">
        <v>1811</v>
      </c>
      <c r="H7660" s="403" t="s">
        <v>1281</v>
      </c>
      <c r="I7660">
        <v>1</v>
      </c>
      <c r="J7660" s="403" t="s">
        <v>2000</v>
      </c>
      <c r="K7660" s="403">
        <v>2688</v>
      </c>
      <c r="L7660" s="403">
        <v>1520</v>
      </c>
      <c r="M7660" s="403" t="s">
        <v>1451</v>
      </c>
      <c r="N7660" s="403">
        <v>1536</v>
      </c>
      <c r="O7660" s="403">
        <v>864</v>
      </c>
      <c r="P7660" t="str">
        <f>LEFT(F7660,5)&amp;" "&amp;J7660&amp;" - "&amp;M7660</f>
        <v>60fps 2688x1520 - 1536x864</v>
      </c>
      <c r="Q7660">
        <f t="shared" si="1088"/>
        <v>62</v>
      </c>
      <c r="R7660" t="str">
        <f t="shared" si="1089"/>
        <v/>
      </c>
      <c r="S7660" t="str">
        <f t="shared" si="1090"/>
        <v/>
      </c>
      <c r="T7660" s="403" t="str">
        <f t="shared" si="1091"/>
        <v>NDE-5703-A</v>
      </c>
      <c r="U7660" s="403">
        <f t="shared" si="1092"/>
        <v>1</v>
      </c>
      <c r="V7660" s="403" t="str">
        <f t="shared" si="1093"/>
        <v>CPP_7_3</v>
      </c>
    </row>
    <row r="7661" spans="1:22">
      <c r="A7661" t="str">
        <f>IF(AND(G7661&lt;&gt;"rotate 90°"),D7661,"")</f>
        <v>NDE-5703-A</v>
      </c>
      <c r="B7661" s="29" t="s">
        <v>2082</v>
      </c>
      <c r="C7661" s="403" t="s">
        <v>582</v>
      </c>
      <c r="D7661" s="355" t="s">
        <v>2084</v>
      </c>
      <c r="F7661" t="s">
        <v>1999</v>
      </c>
      <c r="G7661" t="s">
        <v>1811</v>
      </c>
      <c r="H7661" s="403" t="s">
        <v>1281</v>
      </c>
      <c r="I7661">
        <v>1</v>
      </c>
      <c r="J7661" s="403" t="s">
        <v>2000</v>
      </c>
      <c r="K7661" s="403">
        <v>2688</v>
      </c>
      <c r="L7661" s="403">
        <v>1520</v>
      </c>
      <c r="M7661" s="403" t="s">
        <v>626</v>
      </c>
      <c r="N7661" s="403">
        <v>1280</v>
      </c>
      <c r="O7661" s="403">
        <v>720</v>
      </c>
      <c r="P7661" t="str">
        <f>LEFT(F7661,5)&amp;" "&amp;J7661&amp;" - "&amp;M7661</f>
        <v>60fps 2688x1520 - 1280x720</v>
      </c>
      <c r="Q7661">
        <f t="shared" si="1088"/>
        <v>62</v>
      </c>
      <c r="R7661" t="str">
        <f t="shared" si="1089"/>
        <v/>
      </c>
      <c r="S7661" t="str">
        <f t="shared" si="1090"/>
        <v/>
      </c>
      <c r="T7661" s="403" t="str">
        <f t="shared" si="1091"/>
        <v>NDE-5703-A</v>
      </c>
      <c r="U7661" s="403">
        <f t="shared" si="1092"/>
        <v>1</v>
      </c>
      <c r="V7661" s="403" t="str">
        <f t="shared" si="1093"/>
        <v>CPP_7_3</v>
      </c>
    </row>
    <row r="7662" spans="1:22">
      <c r="A7662" t="str">
        <f>IF(AND(G7662&lt;&gt;"rotate 90°"),D7662,"")</f>
        <v>NDE-5703-A</v>
      </c>
      <c r="B7662" s="29" t="s">
        <v>2082</v>
      </c>
      <c r="C7662" s="403" t="s">
        <v>582</v>
      </c>
      <c r="D7662" s="355" t="s">
        <v>2084</v>
      </c>
      <c r="F7662" t="s">
        <v>1288</v>
      </c>
      <c r="G7662" t="s">
        <v>1811</v>
      </c>
      <c r="H7662" s="403" t="s">
        <v>1281</v>
      </c>
      <c r="I7662">
        <v>1</v>
      </c>
      <c r="J7662" s="403" t="s">
        <v>628</v>
      </c>
      <c r="K7662" s="403">
        <v>1920</v>
      </c>
      <c r="L7662" s="403">
        <v>1080</v>
      </c>
      <c r="M7662" s="403" t="s">
        <v>628</v>
      </c>
      <c r="N7662" s="403">
        <v>1920</v>
      </c>
      <c r="O7662" s="403">
        <v>1080</v>
      </c>
      <c r="P7662" t="str">
        <f>LEFT(F7662,5)&amp;" "&amp;J7662&amp;" - "&amp;M7662</f>
        <v>60fps 1920x1080 - 1920x1080</v>
      </c>
      <c r="Q7662">
        <f t="shared" si="1088"/>
        <v>62</v>
      </c>
      <c r="R7662" t="str">
        <f t="shared" si="1089"/>
        <v/>
      </c>
      <c r="S7662" t="str">
        <f t="shared" si="1090"/>
        <v/>
      </c>
      <c r="T7662" s="403" t="str">
        <f t="shared" si="1091"/>
        <v>NDE-5703-A</v>
      </c>
      <c r="U7662" s="403">
        <f t="shared" si="1092"/>
        <v>1</v>
      </c>
      <c r="V7662" s="403" t="str">
        <f t="shared" si="1093"/>
        <v>CPP_7_3</v>
      </c>
    </row>
    <row r="7663" spans="1:22">
      <c r="A7663" t="str">
        <f>IF(AND(G7663&lt;&gt;"rotate 90°"),D7663,"")</f>
        <v>NDE-5703-A</v>
      </c>
      <c r="B7663" s="29" t="s">
        <v>2082</v>
      </c>
      <c r="C7663" s="403" t="s">
        <v>582</v>
      </c>
      <c r="D7663" s="355" t="s">
        <v>2084</v>
      </c>
      <c r="F7663" t="s">
        <v>1288</v>
      </c>
      <c r="G7663" t="s">
        <v>1811</v>
      </c>
      <c r="H7663" s="403" t="s">
        <v>1281</v>
      </c>
      <c r="I7663">
        <v>1</v>
      </c>
      <c r="J7663" s="403" t="s">
        <v>628</v>
      </c>
      <c r="K7663" s="403">
        <v>1920</v>
      </c>
      <c r="L7663" s="403">
        <v>1080</v>
      </c>
      <c r="M7663" s="403" t="s">
        <v>1451</v>
      </c>
      <c r="N7663" s="403">
        <v>1536</v>
      </c>
      <c r="O7663" s="403">
        <v>864</v>
      </c>
      <c r="P7663" t="str">
        <f>LEFT(F7663,5)&amp;" "&amp;J7663&amp;" - "&amp;M7663</f>
        <v>60fps 1920x1080 - 1536x864</v>
      </c>
      <c r="Q7663">
        <f t="shared" si="1088"/>
        <v>62</v>
      </c>
      <c r="R7663" t="str">
        <f t="shared" si="1089"/>
        <v/>
      </c>
      <c r="S7663" t="str">
        <f t="shared" si="1090"/>
        <v/>
      </c>
      <c r="T7663" s="403" t="str">
        <f t="shared" si="1091"/>
        <v>NDE-5703-A</v>
      </c>
      <c r="U7663" s="403">
        <f t="shared" si="1092"/>
        <v>1</v>
      </c>
      <c r="V7663" s="403" t="str">
        <f t="shared" si="1093"/>
        <v>CPP_7_3</v>
      </c>
    </row>
    <row r="7664" spans="1:22">
      <c r="A7664" t="str">
        <f>IF(AND(G7664&lt;&gt;"rotate 90°"),D7664,"")</f>
        <v>NDE-5703-A</v>
      </c>
      <c r="B7664" s="29" t="s">
        <v>2082</v>
      </c>
      <c r="C7664" s="403" t="s">
        <v>582</v>
      </c>
      <c r="D7664" s="355" t="s">
        <v>2084</v>
      </c>
      <c r="F7664" t="s">
        <v>1288</v>
      </c>
      <c r="G7664" t="s">
        <v>1811</v>
      </c>
      <c r="H7664" s="403" t="s">
        <v>1281</v>
      </c>
      <c r="I7664">
        <v>1</v>
      </c>
      <c r="J7664" s="403" t="s">
        <v>628</v>
      </c>
      <c r="K7664" s="403">
        <v>1920</v>
      </c>
      <c r="L7664" s="403">
        <v>1080</v>
      </c>
      <c r="M7664" s="403" t="s">
        <v>626</v>
      </c>
      <c r="N7664" s="403">
        <v>1280</v>
      </c>
      <c r="O7664" s="403">
        <v>720</v>
      </c>
      <c r="P7664" t="str">
        <f>LEFT(F7664,5)&amp;" "&amp;J7664&amp;" - "&amp;M7664</f>
        <v>60fps 1920x1080 - 1280x720</v>
      </c>
      <c r="Q7664">
        <f t="shared" si="1088"/>
        <v>62</v>
      </c>
      <c r="R7664" t="str">
        <f t="shared" si="1089"/>
        <v/>
      </c>
      <c r="S7664" t="str">
        <f t="shared" si="1090"/>
        <v/>
      </c>
      <c r="T7664" s="403" t="str">
        <f t="shared" si="1091"/>
        <v>NDE-5703-A</v>
      </c>
      <c r="U7664" s="403">
        <f t="shared" si="1092"/>
        <v>1</v>
      </c>
      <c r="V7664" s="403" t="str">
        <f t="shared" si="1093"/>
        <v>CPP_7_3</v>
      </c>
    </row>
    <row r="7665" spans="1:22">
      <c r="A7665" t="str">
        <f>IF(AND(G7665&lt;&gt;"rotate 90°"),D7665,"")</f>
        <v>NDE-5703-A</v>
      </c>
      <c r="B7665" s="29" t="s">
        <v>2082</v>
      </c>
      <c r="C7665" s="403" t="s">
        <v>582</v>
      </c>
      <c r="D7665" s="355" t="s">
        <v>2084</v>
      </c>
      <c r="F7665" t="s">
        <v>2006</v>
      </c>
      <c r="G7665" t="s">
        <v>1811</v>
      </c>
      <c r="H7665" s="403" t="s">
        <v>1281</v>
      </c>
      <c r="I7665">
        <v>1</v>
      </c>
      <c r="J7665" s="403" t="s">
        <v>2000</v>
      </c>
      <c r="K7665" s="403">
        <v>2688</v>
      </c>
      <c r="L7665" s="403">
        <v>1520</v>
      </c>
      <c r="M7665" s="403" t="s">
        <v>2000</v>
      </c>
      <c r="N7665" s="403">
        <v>2688</v>
      </c>
      <c r="O7665" s="403">
        <v>1520</v>
      </c>
      <c r="P7665" t="str">
        <f>LEFT(F7665,5)&amp;" "&amp;J7665&amp;" - "&amp;M7665</f>
        <v>30fps 2688x1520 - 2688x1520</v>
      </c>
      <c r="Q7665">
        <f t="shared" si="1088"/>
        <v>62</v>
      </c>
      <c r="R7665" t="str">
        <f t="shared" si="1089"/>
        <v/>
      </c>
      <c r="S7665" t="str">
        <f t="shared" si="1090"/>
        <v/>
      </c>
      <c r="T7665" s="403" t="str">
        <f t="shared" si="1091"/>
        <v>NDE-5703-A</v>
      </c>
      <c r="U7665" s="403">
        <f t="shared" si="1092"/>
        <v>1</v>
      </c>
      <c r="V7665" s="403" t="str">
        <f t="shared" si="1093"/>
        <v>CPP_7_3</v>
      </c>
    </row>
    <row r="7666" spans="1:22">
      <c r="A7666" t="str">
        <f>IF(AND(G7666&lt;&gt;"rotate 90°"),D7666,"")</f>
        <v>NDE-5703-A</v>
      </c>
      <c r="B7666" s="29" t="s">
        <v>2082</v>
      </c>
      <c r="C7666" s="403" t="s">
        <v>582</v>
      </c>
      <c r="D7666" s="355" t="s">
        <v>2084</v>
      </c>
      <c r="F7666" t="s">
        <v>2006</v>
      </c>
      <c r="G7666" t="s">
        <v>1811</v>
      </c>
      <c r="H7666" s="403" t="s">
        <v>1281</v>
      </c>
      <c r="I7666">
        <v>1</v>
      </c>
      <c r="J7666" s="403" t="s">
        <v>2000</v>
      </c>
      <c r="K7666" s="403">
        <v>2688</v>
      </c>
      <c r="L7666" s="403">
        <v>1520</v>
      </c>
      <c r="M7666" s="403" t="s">
        <v>628</v>
      </c>
      <c r="N7666" s="403">
        <v>1920</v>
      </c>
      <c r="O7666" s="403">
        <v>1080</v>
      </c>
      <c r="P7666" t="str">
        <f>LEFT(F7666,5)&amp;" "&amp;J7666&amp;" - "&amp;M7666</f>
        <v>30fps 2688x1520 - 1920x1080</v>
      </c>
      <c r="Q7666">
        <f t="shared" si="1088"/>
        <v>62</v>
      </c>
      <c r="R7666" t="str">
        <f t="shared" si="1089"/>
        <v/>
      </c>
      <c r="S7666" t="str">
        <f t="shared" si="1090"/>
        <v/>
      </c>
      <c r="T7666" s="403" t="str">
        <f t="shared" si="1091"/>
        <v>NDE-5703-A</v>
      </c>
      <c r="U7666" s="403">
        <f t="shared" si="1092"/>
        <v>1</v>
      </c>
      <c r="V7666" s="403" t="str">
        <f t="shared" si="1093"/>
        <v>CPP_7_3</v>
      </c>
    </row>
    <row r="7667" spans="1:22">
      <c r="A7667" t="str">
        <f>IF(AND(G7667&lt;&gt;"rotate 90°"),D7667,"")</f>
        <v>NDE-5703-A</v>
      </c>
      <c r="B7667" s="29" t="s">
        <v>2082</v>
      </c>
      <c r="C7667" s="403" t="s">
        <v>582</v>
      </c>
      <c r="D7667" s="355" t="s">
        <v>2084</v>
      </c>
      <c r="F7667" t="s">
        <v>2006</v>
      </c>
      <c r="G7667" t="s">
        <v>1811</v>
      </c>
      <c r="H7667" s="403" t="s">
        <v>1281</v>
      </c>
      <c r="I7667">
        <v>1</v>
      </c>
      <c r="J7667" s="403" t="s">
        <v>2000</v>
      </c>
      <c r="K7667" s="403">
        <v>2688</v>
      </c>
      <c r="L7667" s="403">
        <v>1520</v>
      </c>
      <c r="M7667" s="403" t="s">
        <v>1451</v>
      </c>
      <c r="N7667" s="403">
        <v>1536</v>
      </c>
      <c r="O7667" s="403">
        <v>864</v>
      </c>
      <c r="P7667" t="str">
        <f>LEFT(F7667,5)&amp;" "&amp;J7667&amp;" - "&amp;M7667</f>
        <v>30fps 2688x1520 - 1536x864</v>
      </c>
      <c r="Q7667">
        <f t="shared" si="1088"/>
        <v>62</v>
      </c>
      <c r="R7667" t="str">
        <f t="shared" si="1089"/>
        <v/>
      </c>
      <c r="S7667" t="str">
        <f t="shared" si="1090"/>
        <v/>
      </c>
      <c r="T7667" s="403" t="str">
        <f t="shared" si="1091"/>
        <v>NDE-5703-A</v>
      </c>
      <c r="U7667" s="403">
        <f t="shared" si="1092"/>
        <v>1</v>
      </c>
      <c r="V7667" s="403" t="str">
        <f t="shared" si="1093"/>
        <v>CPP_7_3</v>
      </c>
    </row>
    <row r="7668" spans="1:22">
      <c r="A7668" t="str">
        <f>IF(AND(G7668&lt;&gt;"rotate 90°"),D7668,"")</f>
        <v>NDE-5703-A</v>
      </c>
      <c r="B7668" s="29" t="s">
        <v>2082</v>
      </c>
      <c r="C7668" s="403" t="s">
        <v>582</v>
      </c>
      <c r="D7668" s="355" t="s">
        <v>2084</v>
      </c>
      <c r="F7668" t="s">
        <v>2006</v>
      </c>
      <c r="G7668" t="s">
        <v>1811</v>
      </c>
      <c r="H7668" s="403" t="s">
        <v>1281</v>
      </c>
      <c r="I7668">
        <v>1</v>
      </c>
      <c r="J7668" s="403" t="s">
        <v>2000</v>
      </c>
      <c r="K7668" s="403">
        <v>2688</v>
      </c>
      <c r="L7668" s="403">
        <v>1520</v>
      </c>
      <c r="M7668" s="403" t="s">
        <v>626</v>
      </c>
      <c r="N7668" s="403">
        <v>1280</v>
      </c>
      <c r="O7668" s="403">
        <v>720</v>
      </c>
      <c r="P7668" t="str">
        <f>LEFT(F7668,5)&amp;" "&amp;J7668&amp;" - "&amp;M7668</f>
        <v>30fps 2688x1520 - 1280x720</v>
      </c>
      <c r="Q7668">
        <f t="shared" si="1088"/>
        <v>62</v>
      </c>
      <c r="R7668" t="str">
        <f t="shared" si="1089"/>
        <v/>
      </c>
      <c r="S7668" t="str">
        <f t="shared" si="1090"/>
        <v/>
      </c>
      <c r="T7668" s="403" t="str">
        <f t="shared" si="1091"/>
        <v>NDE-5703-A</v>
      </c>
      <c r="U7668" s="403">
        <f t="shared" si="1092"/>
        <v>1</v>
      </c>
      <c r="V7668" s="403" t="str">
        <f t="shared" si="1093"/>
        <v>CPP_7_3</v>
      </c>
    </row>
    <row r="7669" spans="1:22">
      <c r="A7669" t="str">
        <f>IF(AND(G7669&lt;&gt;"rotate 90°"),D7669,"")</f>
        <v>NDE-5703-A</v>
      </c>
      <c r="B7669" s="29" t="s">
        <v>2082</v>
      </c>
      <c r="C7669" s="403" t="s">
        <v>582</v>
      </c>
      <c r="D7669" s="355" t="s">
        <v>2084</v>
      </c>
      <c r="F7669" t="s">
        <v>1286</v>
      </c>
      <c r="G7669" t="s">
        <v>1811</v>
      </c>
      <c r="H7669" s="403" t="s">
        <v>1281</v>
      </c>
      <c r="I7669">
        <v>1</v>
      </c>
      <c r="J7669" s="403" t="s">
        <v>628</v>
      </c>
      <c r="K7669" s="403">
        <v>1920</v>
      </c>
      <c r="L7669" s="403">
        <v>1080</v>
      </c>
      <c r="M7669" s="403" t="s">
        <v>628</v>
      </c>
      <c r="N7669" s="403">
        <v>2688</v>
      </c>
      <c r="O7669" s="403">
        <v>1520</v>
      </c>
      <c r="P7669" t="str">
        <f>LEFT(F7669,5)&amp;" "&amp;J7669&amp;" - "&amp;M7669</f>
        <v>30fps 1920x1080 - 1920x1080</v>
      </c>
      <c r="Q7669">
        <f t="shared" si="1088"/>
        <v>62</v>
      </c>
      <c r="R7669" t="str">
        <f t="shared" si="1089"/>
        <v/>
      </c>
      <c r="S7669" t="str">
        <f t="shared" si="1090"/>
        <v/>
      </c>
      <c r="T7669" s="403" t="str">
        <f t="shared" si="1091"/>
        <v>NDE-5703-A</v>
      </c>
      <c r="U7669" s="403">
        <f t="shared" si="1092"/>
        <v>1</v>
      </c>
      <c r="V7669" s="403" t="str">
        <f t="shared" si="1093"/>
        <v>CPP_7_3</v>
      </c>
    </row>
    <row r="7670" spans="1:22">
      <c r="A7670" t="str">
        <f>IF(AND(G7670&lt;&gt;"rotate 90°"),D7670,"")</f>
        <v>NDE-5703-A</v>
      </c>
      <c r="B7670" s="29" t="s">
        <v>2082</v>
      </c>
      <c r="C7670" s="403" t="s">
        <v>582</v>
      </c>
      <c r="D7670" s="355" t="s">
        <v>2084</v>
      </c>
      <c r="F7670" t="s">
        <v>1286</v>
      </c>
      <c r="G7670" t="s">
        <v>1811</v>
      </c>
      <c r="H7670" s="403" t="s">
        <v>1281</v>
      </c>
      <c r="I7670">
        <v>1</v>
      </c>
      <c r="J7670" s="403" t="s">
        <v>628</v>
      </c>
      <c r="K7670" s="403">
        <v>1920</v>
      </c>
      <c r="L7670" s="403">
        <v>1080</v>
      </c>
      <c r="M7670" s="403" t="s">
        <v>1451</v>
      </c>
      <c r="N7670" s="403">
        <v>1536</v>
      </c>
      <c r="O7670" s="403">
        <v>864</v>
      </c>
      <c r="P7670" t="str">
        <f>LEFT(F7670,5)&amp;" "&amp;J7670&amp;" - "&amp;M7670</f>
        <v>30fps 1920x1080 - 1536x864</v>
      </c>
      <c r="Q7670">
        <f t="shared" si="1088"/>
        <v>62</v>
      </c>
      <c r="R7670" t="str">
        <f t="shared" si="1089"/>
        <v/>
      </c>
      <c r="S7670" t="str">
        <f t="shared" si="1090"/>
        <v/>
      </c>
      <c r="T7670" s="403" t="str">
        <f t="shared" si="1091"/>
        <v>NDE-5703-A</v>
      </c>
      <c r="U7670" s="403">
        <f t="shared" si="1092"/>
        <v>1</v>
      </c>
      <c r="V7670" s="403" t="str">
        <f t="shared" si="1093"/>
        <v>CPP_7_3</v>
      </c>
    </row>
    <row r="7671" spans="1:22">
      <c r="A7671" t="str">
        <f>IF(AND(G7671&lt;&gt;"rotate 90°"),D7671,"")</f>
        <v>NDE-5703-A</v>
      </c>
      <c r="B7671" s="29" t="s">
        <v>2082</v>
      </c>
      <c r="C7671" s="403" t="s">
        <v>582</v>
      </c>
      <c r="D7671" s="355" t="s">
        <v>2084</v>
      </c>
      <c r="F7671" t="s">
        <v>1286</v>
      </c>
      <c r="G7671" t="s">
        <v>1811</v>
      </c>
      <c r="H7671" s="403" t="s">
        <v>1281</v>
      </c>
      <c r="I7671">
        <v>1</v>
      </c>
      <c r="J7671" s="403" t="s">
        <v>628</v>
      </c>
      <c r="K7671" s="403">
        <v>1920</v>
      </c>
      <c r="L7671" s="403">
        <v>1080</v>
      </c>
      <c r="M7671" s="403" t="s">
        <v>626</v>
      </c>
      <c r="N7671" s="403">
        <v>1280</v>
      </c>
      <c r="O7671" s="403">
        <v>720</v>
      </c>
      <c r="P7671" t="str">
        <f>LEFT(F7671,5)&amp;" "&amp;J7671&amp;" - "&amp;M7671</f>
        <v>30fps 1920x1080 - 1280x720</v>
      </c>
      <c r="Q7671">
        <f t="shared" si="1088"/>
        <v>62</v>
      </c>
      <c r="R7671" t="str">
        <f t="shared" si="1089"/>
        <v/>
      </c>
      <c r="S7671" t="str">
        <f t="shared" si="1090"/>
        <v/>
      </c>
      <c r="T7671" s="403" t="str">
        <f t="shared" si="1091"/>
        <v>NDE-5703-A</v>
      </c>
      <c r="U7671" s="403">
        <f t="shared" si="1092"/>
        <v>1</v>
      </c>
      <c r="V7671" s="403" t="str">
        <f t="shared" si="1093"/>
        <v>CPP_7_3</v>
      </c>
    </row>
    <row r="7672" spans="1:22">
      <c r="A7672" t="str">
        <f>IF(AND(G7672&lt;&gt;"rotate 90°"),D7672,"")</f>
        <v>NDE-5704-A</v>
      </c>
      <c r="B7672" s="29" t="s">
        <v>2082</v>
      </c>
      <c r="C7672" s="403" t="s">
        <v>582</v>
      </c>
      <c r="D7672" s="355" t="s">
        <v>2085</v>
      </c>
      <c r="H7672" s="403"/>
      <c r="I7672">
        <v>1</v>
      </c>
      <c r="J7672" s="403"/>
      <c r="K7672" s="403"/>
      <c r="L7672" s="403"/>
      <c r="M7672" s="403"/>
      <c r="N7672" s="403"/>
      <c r="O7672" s="403"/>
      <c r="P7672" t="str">
        <f>LEFT(F7672,5)&amp;" "&amp;J7672&amp;" - "&amp;M7672</f>
        <v xml:space="preserve">  - </v>
      </c>
      <c r="Q7672">
        <f t="shared" si="1088"/>
        <v>63</v>
      </c>
      <c r="R7672">
        <f t="shared" si="1089"/>
        <v>63</v>
      </c>
      <c r="S7672" t="str">
        <f t="shared" si="1090"/>
        <v>FLEXIDOME 5100i (NDE-5704-A)</v>
      </c>
      <c r="T7672" s="403" t="str">
        <f t="shared" si="1091"/>
        <v>NDE-5704-A</v>
      </c>
      <c r="U7672" s="403">
        <f t="shared" si="1092"/>
        <v>1</v>
      </c>
      <c r="V7672" s="403" t="str">
        <f t="shared" si="1093"/>
        <v>CPP_7_3</v>
      </c>
    </row>
    <row r="7673" spans="1:22">
      <c r="A7673" t="str">
        <f>IF(AND(G7673&lt;&gt;"rotate 90°"),D7673,"")</f>
        <v>NDE-5704-A</v>
      </c>
      <c r="B7673" s="29" t="s">
        <v>2082</v>
      </c>
      <c r="C7673" s="403" t="s">
        <v>582</v>
      </c>
      <c r="D7673" s="355" t="s">
        <v>2085</v>
      </c>
      <c r="F7673" t="s">
        <v>2008</v>
      </c>
      <c r="G7673" t="s">
        <v>1811</v>
      </c>
      <c r="H7673" s="403" t="s">
        <v>1281</v>
      </c>
      <c r="I7673">
        <v>1</v>
      </c>
      <c r="J7673" s="403" t="s">
        <v>194</v>
      </c>
      <c r="K7673" s="403">
        <v>3840</v>
      </c>
      <c r="L7673" s="403">
        <v>2160</v>
      </c>
      <c r="M7673" s="403" t="s">
        <v>194</v>
      </c>
      <c r="N7673" s="403">
        <v>3840</v>
      </c>
      <c r="O7673" s="403">
        <v>2160</v>
      </c>
      <c r="P7673" t="str">
        <f>LEFT(F7673,5)&amp;" "&amp;J7673&amp;" - "&amp;M7673</f>
        <v>30fps 3840x2160 - 3840x2160</v>
      </c>
      <c r="Q7673">
        <f t="shared" si="1088"/>
        <v>63</v>
      </c>
      <c r="R7673" t="str">
        <f t="shared" si="1089"/>
        <v/>
      </c>
      <c r="S7673" t="str">
        <f t="shared" si="1090"/>
        <v/>
      </c>
      <c r="T7673" s="403" t="str">
        <f t="shared" si="1091"/>
        <v>NDE-5704-A</v>
      </c>
      <c r="U7673" s="403">
        <f t="shared" si="1092"/>
        <v>1</v>
      </c>
      <c r="V7673" s="403" t="str">
        <f t="shared" si="1093"/>
        <v>CPP_7_3</v>
      </c>
    </row>
    <row r="7674" spans="1:22">
      <c r="A7674" t="str">
        <f>IF(AND(G7674&lt;&gt;"rotate 90°"),D7674,"")</f>
        <v>NDE-5704-A</v>
      </c>
      <c r="B7674" s="29" t="s">
        <v>2082</v>
      </c>
      <c r="C7674" s="403" t="s">
        <v>582</v>
      </c>
      <c r="D7674" s="355" t="s">
        <v>2085</v>
      </c>
      <c r="F7674" t="s">
        <v>2008</v>
      </c>
      <c r="G7674" t="s">
        <v>1811</v>
      </c>
      <c r="H7674" s="403" t="s">
        <v>1281</v>
      </c>
      <c r="I7674">
        <v>1</v>
      </c>
      <c r="J7674" s="403" t="s">
        <v>194</v>
      </c>
      <c r="K7674" s="403">
        <v>3840</v>
      </c>
      <c r="L7674" s="403">
        <v>2160</v>
      </c>
      <c r="M7674" s="403" t="s">
        <v>1416</v>
      </c>
      <c r="N7674" s="403">
        <v>3264</v>
      </c>
      <c r="O7674" s="403">
        <v>1840</v>
      </c>
      <c r="P7674" t="str">
        <f>LEFT(F7674,5)&amp;" "&amp;J7674&amp;" - "&amp;M7674</f>
        <v>30fps 3840x2160 - 3264x1840</v>
      </c>
      <c r="Q7674">
        <f t="shared" si="1088"/>
        <v>63</v>
      </c>
      <c r="R7674" t="str">
        <f t="shared" si="1089"/>
        <v/>
      </c>
      <c r="S7674" t="str">
        <f t="shared" si="1090"/>
        <v/>
      </c>
      <c r="T7674" s="403" t="str">
        <f t="shared" si="1091"/>
        <v>NDE-5704-A</v>
      </c>
      <c r="U7674" s="403">
        <f t="shared" si="1092"/>
        <v>1</v>
      </c>
      <c r="V7674" s="403" t="str">
        <f t="shared" si="1093"/>
        <v>CPP_7_3</v>
      </c>
    </row>
    <row r="7675" spans="1:22">
      <c r="A7675" t="str">
        <f>IF(AND(G7675&lt;&gt;"rotate 90°"),D7675,"")</f>
        <v>NDE-5704-A</v>
      </c>
      <c r="B7675" s="29" t="s">
        <v>2082</v>
      </c>
      <c r="C7675" s="403" t="s">
        <v>582</v>
      </c>
      <c r="D7675" s="355" t="s">
        <v>2085</v>
      </c>
      <c r="F7675" t="s">
        <v>2008</v>
      </c>
      <c r="G7675" t="s">
        <v>1811</v>
      </c>
      <c r="H7675" s="403" t="s">
        <v>1281</v>
      </c>
      <c r="I7675">
        <v>1</v>
      </c>
      <c r="J7675" s="403" t="s">
        <v>194</v>
      </c>
      <c r="K7675" s="403">
        <v>3840</v>
      </c>
      <c r="L7675" s="403">
        <v>2160</v>
      </c>
      <c r="M7675" s="403" t="s">
        <v>2000</v>
      </c>
      <c r="N7675" s="403">
        <v>2688</v>
      </c>
      <c r="O7675" s="403">
        <v>1520</v>
      </c>
      <c r="P7675" t="str">
        <f>LEFT(F7675,5)&amp;" "&amp;J7675&amp;" - "&amp;M7675</f>
        <v>30fps 3840x2160 - 2688x1520</v>
      </c>
      <c r="Q7675">
        <f t="shared" si="1088"/>
        <v>63</v>
      </c>
      <c r="R7675" t="str">
        <f t="shared" si="1089"/>
        <v/>
      </c>
      <c r="S7675" t="str">
        <f t="shared" si="1090"/>
        <v/>
      </c>
      <c r="T7675" s="403" t="str">
        <f t="shared" si="1091"/>
        <v>NDE-5704-A</v>
      </c>
      <c r="U7675" s="403">
        <f t="shared" si="1092"/>
        <v>1</v>
      </c>
      <c r="V7675" s="403" t="str">
        <f t="shared" si="1093"/>
        <v>CPP_7_3</v>
      </c>
    </row>
    <row r="7676" spans="1:22">
      <c r="A7676" t="str">
        <f>IF(AND(G7676&lt;&gt;"rotate 90°"),D7676,"")</f>
        <v>NDE-5704-A</v>
      </c>
      <c r="B7676" s="29" t="s">
        <v>2082</v>
      </c>
      <c r="C7676" s="403" t="s">
        <v>582</v>
      </c>
      <c r="D7676" s="355" t="s">
        <v>2085</v>
      </c>
      <c r="F7676" t="s">
        <v>2008</v>
      </c>
      <c r="G7676" t="s">
        <v>1811</v>
      </c>
      <c r="H7676" s="403" t="s">
        <v>1281</v>
      </c>
      <c r="I7676">
        <v>1</v>
      </c>
      <c r="J7676" s="403" t="s">
        <v>194</v>
      </c>
      <c r="K7676" s="403">
        <v>3840</v>
      </c>
      <c r="L7676" s="403">
        <v>2160</v>
      </c>
      <c r="M7676" s="403" t="s">
        <v>628</v>
      </c>
      <c r="N7676" s="403">
        <v>1920</v>
      </c>
      <c r="O7676" s="403">
        <v>1080</v>
      </c>
      <c r="P7676" t="str">
        <f>LEFT(F7676,5)&amp;" "&amp;J7676&amp;" - "&amp;M7676</f>
        <v>30fps 3840x2160 - 1920x1080</v>
      </c>
      <c r="Q7676">
        <f t="shared" si="1088"/>
        <v>63</v>
      </c>
      <c r="R7676" t="str">
        <f t="shared" si="1089"/>
        <v/>
      </c>
      <c r="S7676" t="str">
        <f t="shared" si="1090"/>
        <v/>
      </c>
      <c r="T7676" s="403" t="str">
        <f t="shared" si="1091"/>
        <v>NDE-5704-A</v>
      </c>
      <c r="U7676" s="403">
        <f t="shared" si="1092"/>
        <v>1</v>
      </c>
      <c r="V7676" s="403" t="str">
        <f t="shared" si="1093"/>
        <v>CPP_7_3</v>
      </c>
    </row>
    <row r="7677" spans="1:22">
      <c r="A7677" t="str">
        <f>IF(AND(G7677&lt;&gt;"rotate 90°"),D7677,"")</f>
        <v>NDE-5704-A</v>
      </c>
      <c r="B7677" s="29" t="s">
        <v>2082</v>
      </c>
      <c r="C7677" s="403" t="s">
        <v>582</v>
      </c>
      <c r="D7677" s="355" t="s">
        <v>2085</v>
      </c>
      <c r="F7677" t="s">
        <v>2008</v>
      </c>
      <c r="G7677" t="s">
        <v>1811</v>
      </c>
      <c r="H7677" s="403" t="s">
        <v>1281</v>
      </c>
      <c r="I7677">
        <v>1</v>
      </c>
      <c r="J7677" s="403" t="s">
        <v>194</v>
      </c>
      <c r="K7677" s="403">
        <v>3840</v>
      </c>
      <c r="L7677" s="403">
        <v>2160</v>
      </c>
      <c r="M7677" s="403" t="s">
        <v>1451</v>
      </c>
      <c r="N7677" s="403">
        <v>1536</v>
      </c>
      <c r="O7677" s="403">
        <v>864</v>
      </c>
      <c r="P7677" t="str">
        <f>LEFT(F7677,5)&amp;" "&amp;J7677&amp;" - "&amp;M7677</f>
        <v>30fps 3840x2160 - 1536x864</v>
      </c>
      <c r="Q7677">
        <f t="shared" si="1088"/>
        <v>63</v>
      </c>
      <c r="R7677" t="str">
        <f t="shared" si="1089"/>
        <v/>
      </c>
      <c r="S7677" t="str">
        <f t="shared" si="1090"/>
        <v/>
      </c>
      <c r="T7677" s="403" t="str">
        <f t="shared" si="1091"/>
        <v>NDE-5704-A</v>
      </c>
      <c r="U7677" s="403">
        <f t="shared" si="1092"/>
        <v>1</v>
      </c>
      <c r="V7677" s="403" t="str">
        <f t="shared" si="1093"/>
        <v>CPP_7_3</v>
      </c>
    </row>
    <row r="7678" spans="1:22">
      <c r="A7678" t="str">
        <f>IF(AND(G7678&lt;&gt;"rotate 90°"),D7678,"")</f>
        <v>NDE-5704-A</v>
      </c>
      <c r="B7678" s="29" t="s">
        <v>2082</v>
      </c>
      <c r="C7678" s="403" t="s">
        <v>582</v>
      </c>
      <c r="D7678" s="355" t="s">
        <v>2085</v>
      </c>
      <c r="F7678" t="s">
        <v>2008</v>
      </c>
      <c r="G7678" t="s">
        <v>1811</v>
      </c>
      <c r="H7678" s="403" t="s">
        <v>1281</v>
      </c>
      <c r="I7678">
        <v>1</v>
      </c>
      <c r="J7678" s="403" t="s">
        <v>194</v>
      </c>
      <c r="K7678" s="403">
        <v>3840</v>
      </c>
      <c r="L7678" s="403">
        <v>2160</v>
      </c>
      <c r="M7678" s="403" t="s">
        <v>626</v>
      </c>
      <c r="N7678" s="403">
        <v>1280</v>
      </c>
      <c r="O7678" s="403">
        <v>720</v>
      </c>
      <c r="P7678" t="str">
        <f>LEFT(F7678,5)&amp;" "&amp;J7678&amp;" - "&amp;M7678</f>
        <v>30fps 3840x2160 - 1280x720</v>
      </c>
      <c r="Q7678">
        <f t="shared" si="1088"/>
        <v>63</v>
      </c>
      <c r="R7678" t="str">
        <f t="shared" si="1089"/>
        <v/>
      </c>
      <c r="S7678" t="str">
        <f t="shared" si="1090"/>
        <v/>
      </c>
      <c r="T7678" s="403" t="str">
        <f t="shared" si="1091"/>
        <v>NDE-5704-A</v>
      </c>
      <c r="U7678" s="403">
        <f t="shared" si="1092"/>
        <v>1</v>
      </c>
      <c r="V7678" s="403" t="str">
        <f t="shared" si="1093"/>
        <v>CPP_7_3</v>
      </c>
    </row>
    <row r="7679" spans="1:22">
      <c r="A7679" t="str">
        <f>IF(AND(G7679&lt;&gt;"rotate 90°"),D7679,"")</f>
        <v>NDE-5704-A</v>
      </c>
      <c r="B7679" s="29" t="s">
        <v>2082</v>
      </c>
      <c r="C7679" s="403" t="s">
        <v>582</v>
      </c>
      <c r="D7679" s="355" t="s">
        <v>2085</v>
      </c>
      <c r="F7679" t="s">
        <v>2009</v>
      </c>
      <c r="G7679" t="s">
        <v>1811</v>
      </c>
      <c r="H7679" s="403" t="s">
        <v>1281</v>
      </c>
      <c r="I7679">
        <v>1</v>
      </c>
      <c r="J7679" s="403" t="s">
        <v>1416</v>
      </c>
      <c r="K7679" s="403">
        <v>3264</v>
      </c>
      <c r="L7679" s="403">
        <v>1840</v>
      </c>
      <c r="M7679" s="403" t="s">
        <v>1416</v>
      </c>
      <c r="N7679" s="403">
        <v>3264</v>
      </c>
      <c r="O7679" s="403">
        <v>1840</v>
      </c>
      <c r="P7679" t="str">
        <f>LEFT(F7679,5)&amp;" "&amp;J7679&amp;" - "&amp;M7679</f>
        <v>30fps 3264x1840 - 3264x1840</v>
      </c>
      <c r="Q7679">
        <f t="shared" si="1088"/>
        <v>63</v>
      </c>
      <c r="R7679" t="str">
        <f t="shared" si="1089"/>
        <v/>
      </c>
      <c r="S7679" t="str">
        <f t="shared" si="1090"/>
        <v/>
      </c>
      <c r="T7679" s="403" t="str">
        <f t="shared" si="1091"/>
        <v>NDE-5704-A</v>
      </c>
      <c r="U7679" s="403">
        <f t="shared" si="1092"/>
        <v>1</v>
      </c>
      <c r="V7679" s="403" t="str">
        <f t="shared" si="1093"/>
        <v>CPP_7_3</v>
      </c>
    </row>
    <row r="7680" spans="1:22">
      <c r="A7680" t="str">
        <f>IF(AND(G7680&lt;&gt;"rotate 90°"),D7680,"")</f>
        <v>NDE-5704-A</v>
      </c>
      <c r="B7680" s="29" t="s">
        <v>2082</v>
      </c>
      <c r="C7680" s="403" t="s">
        <v>582</v>
      </c>
      <c r="D7680" s="355" t="s">
        <v>2085</v>
      </c>
      <c r="F7680" t="s">
        <v>2009</v>
      </c>
      <c r="G7680" t="s">
        <v>1811</v>
      </c>
      <c r="H7680" s="403" t="s">
        <v>1281</v>
      </c>
      <c r="I7680">
        <v>1</v>
      </c>
      <c r="J7680" s="403" t="s">
        <v>1416</v>
      </c>
      <c r="K7680" s="403">
        <v>3264</v>
      </c>
      <c r="L7680" s="403">
        <v>1840</v>
      </c>
      <c r="M7680" s="403" t="s">
        <v>2000</v>
      </c>
      <c r="N7680" s="403">
        <v>2688</v>
      </c>
      <c r="O7680" s="403">
        <v>1520</v>
      </c>
      <c r="P7680" t="str">
        <f>LEFT(F7680,5)&amp;" "&amp;J7680&amp;" - "&amp;M7680</f>
        <v>30fps 3264x1840 - 2688x1520</v>
      </c>
      <c r="Q7680">
        <f t="shared" si="1088"/>
        <v>63</v>
      </c>
      <c r="R7680" t="str">
        <f t="shared" si="1089"/>
        <v/>
      </c>
      <c r="S7680" t="str">
        <f t="shared" si="1090"/>
        <v/>
      </c>
      <c r="T7680" s="403" t="str">
        <f t="shared" si="1091"/>
        <v>NDE-5704-A</v>
      </c>
      <c r="U7680" s="403">
        <f t="shared" si="1092"/>
        <v>1</v>
      </c>
      <c r="V7680" s="403" t="str">
        <f t="shared" si="1093"/>
        <v>CPP_7_3</v>
      </c>
    </row>
    <row r="7681" spans="1:22">
      <c r="A7681" t="str">
        <f>IF(AND(G7681&lt;&gt;"rotate 90°"),D7681,"")</f>
        <v>NDE-5704-A</v>
      </c>
      <c r="B7681" s="29" t="s">
        <v>2082</v>
      </c>
      <c r="C7681" s="403" t="s">
        <v>582</v>
      </c>
      <c r="D7681" s="355" t="s">
        <v>2085</v>
      </c>
      <c r="F7681" t="s">
        <v>2009</v>
      </c>
      <c r="G7681" t="s">
        <v>1811</v>
      </c>
      <c r="H7681" s="403" t="s">
        <v>1281</v>
      </c>
      <c r="I7681">
        <v>1</v>
      </c>
      <c r="J7681" s="403" t="s">
        <v>1416</v>
      </c>
      <c r="K7681" s="403">
        <v>3264</v>
      </c>
      <c r="L7681" s="403">
        <v>1840</v>
      </c>
      <c r="M7681" s="403" t="s">
        <v>628</v>
      </c>
      <c r="N7681" s="403">
        <v>1920</v>
      </c>
      <c r="O7681" s="403">
        <v>1080</v>
      </c>
      <c r="P7681" t="str">
        <f>LEFT(F7681,5)&amp;" "&amp;J7681&amp;" - "&amp;M7681</f>
        <v>30fps 3264x1840 - 1920x1080</v>
      </c>
      <c r="Q7681">
        <f t="shared" si="1088"/>
        <v>63</v>
      </c>
      <c r="R7681" t="str">
        <f t="shared" si="1089"/>
        <v/>
      </c>
      <c r="S7681" t="str">
        <f t="shared" si="1090"/>
        <v/>
      </c>
      <c r="T7681" s="403" t="str">
        <f t="shared" si="1091"/>
        <v>NDE-5704-A</v>
      </c>
      <c r="U7681" s="403">
        <f t="shared" si="1092"/>
        <v>1</v>
      </c>
      <c r="V7681" s="403" t="str">
        <f t="shared" si="1093"/>
        <v>CPP_7_3</v>
      </c>
    </row>
    <row r="7682" spans="1:22">
      <c r="A7682" t="str">
        <f>IF(AND(G7682&lt;&gt;"rotate 90°"),D7682,"")</f>
        <v>NDE-5704-A</v>
      </c>
      <c r="B7682" s="29" t="s">
        <v>2082</v>
      </c>
      <c r="C7682" s="403" t="s">
        <v>582</v>
      </c>
      <c r="D7682" s="355" t="s">
        <v>2085</v>
      </c>
      <c r="F7682" t="s">
        <v>2009</v>
      </c>
      <c r="G7682" t="s">
        <v>1811</v>
      </c>
      <c r="H7682" s="403" t="s">
        <v>1281</v>
      </c>
      <c r="I7682">
        <v>1</v>
      </c>
      <c r="J7682" s="403" t="s">
        <v>1416</v>
      </c>
      <c r="K7682" s="403">
        <v>3264</v>
      </c>
      <c r="L7682" s="403">
        <v>1840</v>
      </c>
      <c r="M7682" s="403" t="s">
        <v>1451</v>
      </c>
      <c r="N7682" s="403">
        <v>1536</v>
      </c>
      <c r="O7682" s="403">
        <v>864</v>
      </c>
      <c r="P7682" t="str">
        <f>LEFT(F7682,5)&amp;" "&amp;J7682&amp;" - "&amp;M7682</f>
        <v>30fps 3264x1840 - 1536x864</v>
      </c>
      <c r="Q7682">
        <f t="shared" si="1088"/>
        <v>63</v>
      </c>
      <c r="R7682" t="str">
        <f t="shared" si="1089"/>
        <v/>
      </c>
      <c r="S7682" t="str">
        <f t="shared" si="1090"/>
        <v/>
      </c>
      <c r="T7682" s="403" t="str">
        <f t="shared" si="1091"/>
        <v>NDE-5704-A</v>
      </c>
      <c r="U7682" s="403">
        <f t="shared" si="1092"/>
        <v>1</v>
      </c>
      <c r="V7682" s="403" t="str">
        <f t="shared" si="1093"/>
        <v>CPP_7_3</v>
      </c>
    </row>
    <row r="7683" spans="1:22">
      <c r="A7683" t="str">
        <f>IF(AND(G7683&lt;&gt;"rotate 90°"),D7683,"")</f>
        <v>NDE-5704-A</v>
      </c>
      <c r="B7683" s="29" t="s">
        <v>2082</v>
      </c>
      <c r="C7683" s="403" t="s">
        <v>582</v>
      </c>
      <c r="D7683" s="355" t="s">
        <v>2085</v>
      </c>
      <c r="F7683" t="s">
        <v>2009</v>
      </c>
      <c r="G7683" t="s">
        <v>1811</v>
      </c>
      <c r="H7683" s="403" t="s">
        <v>1281</v>
      </c>
      <c r="I7683">
        <v>1</v>
      </c>
      <c r="J7683" s="403" t="s">
        <v>1416</v>
      </c>
      <c r="K7683" s="403">
        <v>3264</v>
      </c>
      <c r="L7683" s="403">
        <v>1840</v>
      </c>
      <c r="M7683" s="403" t="s">
        <v>626</v>
      </c>
      <c r="N7683" s="403">
        <v>1280</v>
      </c>
      <c r="O7683" s="403">
        <v>720</v>
      </c>
      <c r="P7683" t="str">
        <f>LEFT(F7683,5)&amp;" "&amp;J7683&amp;" - "&amp;M7683</f>
        <v>30fps 3264x1840 - 1280x720</v>
      </c>
      <c r="Q7683">
        <f t="shared" si="1088"/>
        <v>63</v>
      </c>
      <c r="R7683" t="str">
        <f t="shared" si="1089"/>
        <v/>
      </c>
      <c r="S7683" t="str">
        <f t="shared" si="1090"/>
        <v/>
      </c>
      <c r="T7683" s="403" t="str">
        <f t="shared" si="1091"/>
        <v>NDE-5704-A</v>
      </c>
      <c r="U7683" s="403">
        <f t="shared" si="1092"/>
        <v>1</v>
      </c>
      <c r="V7683" s="403" t="str">
        <f t="shared" si="1093"/>
        <v>CPP_7_3</v>
      </c>
    </row>
    <row r="7684" spans="1:22">
      <c r="A7684" t="str">
        <f>IF(AND(G7684&lt;&gt;"rotate 90°"),D7684,"")</f>
        <v>NDE-5704-A</v>
      </c>
      <c r="B7684" s="29" t="s">
        <v>2082</v>
      </c>
      <c r="C7684" s="403" t="s">
        <v>582</v>
      </c>
      <c r="D7684" s="355" t="s">
        <v>2085</v>
      </c>
      <c r="F7684" t="s">
        <v>2006</v>
      </c>
      <c r="G7684" t="s">
        <v>1811</v>
      </c>
      <c r="H7684" s="403" t="s">
        <v>1281</v>
      </c>
      <c r="I7684">
        <v>1</v>
      </c>
      <c r="J7684" s="403" t="s">
        <v>2000</v>
      </c>
      <c r="K7684" s="403">
        <v>2688</v>
      </c>
      <c r="L7684" s="403">
        <v>1520</v>
      </c>
      <c r="M7684" s="403" t="s">
        <v>2000</v>
      </c>
      <c r="N7684" s="403">
        <v>2688</v>
      </c>
      <c r="O7684" s="403">
        <v>1520</v>
      </c>
      <c r="P7684" t="str">
        <f>LEFT(F7684,5)&amp;" "&amp;J7684&amp;" - "&amp;M7684</f>
        <v>30fps 2688x1520 - 2688x1520</v>
      </c>
      <c r="Q7684">
        <f t="shared" si="1088"/>
        <v>63</v>
      </c>
      <c r="R7684" t="str">
        <f t="shared" si="1089"/>
        <v/>
      </c>
      <c r="S7684" t="str">
        <f t="shared" si="1090"/>
        <v/>
      </c>
      <c r="T7684" s="403" t="str">
        <f t="shared" si="1091"/>
        <v>NDE-5704-A</v>
      </c>
      <c r="U7684" s="403">
        <f t="shared" si="1092"/>
        <v>1</v>
      </c>
      <c r="V7684" s="403" t="str">
        <f t="shared" si="1093"/>
        <v>CPP_7_3</v>
      </c>
    </row>
    <row r="7685" spans="1:22">
      <c r="A7685" t="str">
        <f>IF(AND(G7685&lt;&gt;"rotate 90°"),D7685,"")</f>
        <v>NDE-5704-A</v>
      </c>
      <c r="B7685" s="29" t="s">
        <v>2082</v>
      </c>
      <c r="C7685" s="403" t="s">
        <v>582</v>
      </c>
      <c r="D7685" s="355" t="s">
        <v>2085</v>
      </c>
      <c r="F7685" t="s">
        <v>2006</v>
      </c>
      <c r="G7685" t="s">
        <v>1811</v>
      </c>
      <c r="H7685" s="403" t="s">
        <v>1281</v>
      </c>
      <c r="I7685">
        <v>1</v>
      </c>
      <c r="J7685" s="403" t="s">
        <v>2000</v>
      </c>
      <c r="K7685" s="403">
        <v>2688</v>
      </c>
      <c r="L7685" s="403">
        <v>1520</v>
      </c>
      <c r="M7685" s="403" t="s">
        <v>628</v>
      </c>
      <c r="N7685" s="403">
        <v>1920</v>
      </c>
      <c r="O7685" s="403">
        <v>1080</v>
      </c>
      <c r="P7685" t="str">
        <f>LEFT(F7685,5)&amp;" "&amp;J7685&amp;" - "&amp;M7685</f>
        <v>30fps 2688x1520 - 1920x1080</v>
      </c>
      <c r="Q7685">
        <f t="shared" si="1088"/>
        <v>63</v>
      </c>
      <c r="R7685" t="str">
        <f t="shared" si="1089"/>
        <v/>
      </c>
      <c r="S7685" t="str">
        <f t="shared" si="1090"/>
        <v/>
      </c>
      <c r="T7685" s="403" t="str">
        <f t="shared" si="1091"/>
        <v>NDE-5704-A</v>
      </c>
      <c r="U7685" s="403">
        <f t="shared" si="1092"/>
        <v>1</v>
      </c>
      <c r="V7685" s="403" t="str">
        <f t="shared" si="1093"/>
        <v>CPP_7_3</v>
      </c>
    </row>
    <row r="7686" spans="1:22">
      <c r="A7686" t="str">
        <f>IF(AND(G7686&lt;&gt;"rotate 90°"),D7686,"")</f>
        <v>NDE-5704-A</v>
      </c>
      <c r="B7686" s="29" t="s">
        <v>2082</v>
      </c>
      <c r="C7686" s="403" t="s">
        <v>582</v>
      </c>
      <c r="D7686" s="355" t="s">
        <v>2085</v>
      </c>
      <c r="F7686" t="s">
        <v>2006</v>
      </c>
      <c r="G7686" t="s">
        <v>1811</v>
      </c>
      <c r="H7686" s="403" t="s">
        <v>1281</v>
      </c>
      <c r="I7686">
        <v>1</v>
      </c>
      <c r="J7686" s="403" t="s">
        <v>2000</v>
      </c>
      <c r="K7686" s="403">
        <v>2688</v>
      </c>
      <c r="L7686" s="403">
        <v>1520</v>
      </c>
      <c r="M7686" s="403" t="s">
        <v>1451</v>
      </c>
      <c r="N7686" s="403">
        <v>1536</v>
      </c>
      <c r="O7686" s="403">
        <v>864</v>
      </c>
      <c r="P7686" t="str">
        <f>LEFT(F7686,5)&amp;" "&amp;J7686&amp;" - "&amp;M7686</f>
        <v>30fps 2688x1520 - 1536x864</v>
      </c>
      <c r="Q7686">
        <f t="shared" si="1088"/>
        <v>63</v>
      </c>
      <c r="R7686" t="str">
        <f t="shared" si="1089"/>
        <v/>
      </c>
      <c r="S7686" t="str">
        <f t="shared" si="1090"/>
        <v/>
      </c>
      <c r="T7686" s="403" t="str">
        <f t="shared" si="1091"/>
        <v>NDE-5704-A</v>
      </c>
      <c r="U7686" s="403">
        <f t="shared" si="1092"/>
        <v>1</v>
      </c>
      <c r="V7686" s="403" t="str">
        <f t="shared" si="1093"/>
        <v>CPP_7_3</v>
      </c>
    </row>
    <row r="7687" spans="1:22">
      <c r="A7687" t="str">
        <f>IF(AND(G7687&lt;&gt;"rotate 90°"),D7687,"")</f>
        <v>NDE-5704-A</v>
      </c>
      <c r="B7687" s="29" t="s">
        <v>2082</v>
      </c>
      <c r="C7687" s="403" t="s">
        <v>582</v>
      </c>
      <c r="D7687" s="355" t="s">
        <v>2085</v>
      </c>
      <c r="F7687" t="s">
        <v>2006</v>
      </c>
      <c r="G7687" t="s">
        <v>1811</v>
      </c>
      <c r="H7687" s="403" t="s">
        <v>1281</v>
      </c>
      <c r="I7687">
        <v>1</v>
      </c>
      <c r="J7687" s="403" t="s">
        <v>2000</v>
      </c>
      <c r="K7687" s="403">
        <v>2688</v>
      </c>
      <c r="L7687" s="403">
        <v>1520</v>
      </c>
      <c r="M7687" s="403" t="s">
        <v>626</v>
      </c>
      <c r="N7687" s="403">
        <v>1280</v>
      </c>
      <c r="O7687" s="403">
        <v>720</v>
      </c>
      <c r="P7687" t="str">
        <f>LEFT(F7687,5)&amp;" "&amp;J7687&amp;" - "&amp;M7687</f>
        <v>30fps 2688x1520 - 1280x720</v>
      </c>
      <c r="Q7687">
        <f t="shared" si="1088"/>
        <v>63</v>
      </c>
      <c r="R7687" t="str">
        <f t="shared" si="1089"/>
        <v/>
      </c>
      <c r="S7687" t="str">
        <f t="shared" si="1090"/>
        <v/>
      </c>
      <c r="T7687" s="403" t="str">
        <f t="shared" si="1091"/>
        <v>NDE-5704-A</v>
      </c>
      <c r="U7687" s="403">
        <f t="shared" si="1092"/>
        <v>1</v>
      </c>
      <c r="V7687" s="403" t="str">
        <f t="shared" si="1093"/>
        <v>CPP_7_3</v>
      </c>
    </row>
    <row r="7688" spans="1:22">
      <c r="A7688" t="str">
        <f>IF(AND(G7688&lt;&gt;"rotate 90°"),D7688,"")</f>
        <v>NDE-5704-A</v>
      </c>
      <c r="B7688" s="29" t="s">
        <v>2082</v>
      </c>
      <c r="C7688" s="403" t="s">
        <v>582</v>
      </c>
      <c r="D7688" s="355" t="s">
        <v>2085</v>
      </c>
      <c r="F7688" t="s">
        <v>1286</v>
      </c>
      <c r="G7688" t="s">
        <v>1811</v>
      </c>
      <c r="H7688" s="403" t="s">
        <v>1281</v>
      </c>
      <c r="I7688">
        <v>1</v>
      </c>
      <c r="J7688" s="403" t="s">
        <v>628</v>
      </c>
      <c r="K7688" s="403">
        <v>1920</v>
      </c>
      <c r="L7688" s="403">
        <v>1080</v>
      </c>
      <c r="M7688" s="403" t="s">
        <v>628</v>
      </c>
      <c r="N7688" s="403">
        <v>1920</v>
      </c>
      <c r="O7688" s="403">
        <v>1080</v>
      </c>
      <c r="P7688" t="str">
        <f>LEFT(F7688,5)&amp;" "&amp;J7688&amp;" - "&amp;M7688</f>
        <v>30fps 1920x1080 - 1920x1080</v>
      </c>
      <c r="Q7688">
        <f t="shared" si="1088"/>
        <v>63</v>
      </c>
      <c r="R7688" t="str">
        <f t="shared" si="1089"/>
        <v/>
      </c>
      <c r="S7688" t="str">
        <f t="shared" si="1090"/>
        <v/>
      </c>
      <c r="T7688" s="403" t="str">
        <f t="shared" si="1091"/>
        <v>NDE-5704-A</v>
      </c>
      <c r="U7688" s="403">
        <f t="shared" si="1092"/>
        <v>1</v>
      </c>
      <c r="V7688" s="403" t="str">
        <f t="shared" si="1093"/>
        <v>CPP_7_3</v>
      </c>
    </row>
    <row r="7689" spans="1:22">
      <c r="A7689" t="str">
        <f>IF(AND(G7689&lt;&gt;"rotate 90°"),D7689,"")</f>
        <v>NDE-5704-A</v>
      </c>
      <c r="B7689" s="29" t="s">
        <v>2082</v>
      </c>
      <c r="C7689" s="403" t="s">
        <v>582</v>
      </c>
      <c r="D7689" s="355" t="s">
        <v>2085</v>
      </c>
      <c r="F7689" t="s">
        <v>1286</v>
      </c>
      <c r="G7689" t="s">
        <v>1811</v>
      </c>
      <c r="H7689" s="403" t="s">
        <v>1281</v>
      </c>
      <c r="I7689">
        <v>1</v>
      </c>
      <c r="J7689" s="403" t="s">
        <v>628</v>
      </c>
      <c r="K7689" s="403">
        <v>1920</v>
      </c>
      <c r="L7689" s="403">
        <v>1080</v>
      </c>
      <c r="M7689" s="403" t="s">
        <v>1451</v>
      </c>
      <c r="N7689" s="403">
        <v>1536</v>
      </c>
      <c r="O7689" s="403">
        <v>864</v>
      </c>
      <c r="P7689" t="str">
        <f>LEFT(F7689,5)&amp;" "&amp;J7689&amp;" - "&amp;M7689</f>
        <v>30fps 1920x1080 - 1536x864</v>
      </c>
      <c r="Q7689">
        <f t="shared" si="1088"/>
        <v>63</v>
      </c>
      <c r="R7689" t="str">
        <f t="shared" si="1089"/>
        <v/>
      </c>
      <c r="S7689" t="str">
        <f t="shared" si="1090"/>
        <v/>
      </c>
      <c r="T7689" s="403" t="str">
        <f t="shared" si="1091"/>
        <v>NDE-5704-A</v>
      </c>
      <c r="U7689" s="403">
        <f t="shared" si="1092"/>
        <v>1</v>
      </c>
      <c r="V7689" s="403" t="str">
        <f t="shared" si="1093"/>
        <v>CPP_7_3</v>
      </c>
    </row>
    <row r="7690" spans="1:22">
      <c r="A7690" t="str">
        <f>IF(AND(G7690&lt;&gt;"rotate 90°"),D7690,"")</f>
        <v>NDE-5704-A</v>
      </c>
      <c r="B7690" s="29" t="s">
        <v>2082</v>
      </c>
      <c r="C7690" s="403" t="s">
        <v>582</v>
      </c>
      <c r="D7690" s="355" t="s">
        <v>2085</v>
      </c>
      <c r="F7690" t="s">
        <v>1286</v>
      </c>
      <c r="G7690" t="s">
        <v>1811</v>
      </c>
      <c r="H7690" s="403" t="s">
        <v>1281</v>
      </c>
      <c r="I7690">
        <v>1</v>
      </c>
      <c r="J7690" s="403" t="s">
        <v>628</v>
      </c>
      <c r="K7690" s="403">
        <v>1920</v>
      </c>
      <c r="L7690" s="403">
        <v>1080</v>
      </c>
      <c r="M7690" s="403" t="s">
        <v>626</v>
      </c>
      <c r="N7690" s="403">
        <v>1280</v>
      </c>
      <c r="O7690" s="403">
        <v>720</v>
      </c>
      <c r="P7690" t="str">
        <f>LEFT(F7690,5)&amp;" "&amp;J7690&amp;" - "&amp;M7690</f>
        <v>30fps 1920x1080 - 1280x720</v>
      </c>
      <c r="Q7690">
        <f t="shared" si="1088"/>
        <v>63</v>
      </c>
      <c r="R7690" t="str">
        <f t="shared" si="1089"/>
        <v/>
      </c>
      <c r="S7690" t="str">
        <f t="shared" si="1090"/>
        <v/>
      </c>
      <c r="T7690" s="403" t="str">
        <f t="shared" si="1091"/>
        <v>NDE-5704-A</v>
      </c>
      <c r="U7690" s="403">
        <f t="shared" si="1092"/>
        <v>1</v>
      </c>
      <c r="V7690" s="403" t="str">
        <f t="shared" si="1093"/>
        <v>CPP_7_3</v>
      </c>
    </row>
    <row r="7691" spans="1:22">
      <c r="A7691" t="str">
        <f>IF(AND(G7691&lt;&gt;"rotate 90°"),D7691,"")</f>
        <v>NDE-5702-AL</v>
      </c>
      <c r="B7691" s="29" t="s">
        <v>2097</v>
      </c>
      <c r="C7691" s="403" t="s">
        <v>582</v>
      </c>
      <c r="D7691" s="355" t="s">
        <v>2087</v>
      </c>
      <c r="H7691" s="403"/>
      <c r="I7691">
        <v>1</v>
      </c>
      <c r="J7691" s="403"/>
      <c r="K7691" s="403"/>
      <c r="L7691" s="403"/>
      <c r="M7691" s="403"/>
      <c r="N7691" s="403"/>
      <c r="O7691" s="403"/>
      <c r="P7691" t="str">
        <f>LEFT(F7691,5)&amp;" "&amp;J7691&amp;" - "&amp;M7691</f>
        <v xml:space="preserve">  - </v>
      </c>
      <c r="Q7691">
        <f t="shared" si="1088"/>
        <v>64</v>
      </c>
      <c r="R7691">
        <f t="shared" si="1089"/>
        <v>64</v>
      </c>
      <c r="S7691" t="str">
        <f t="shared" si="1090"/>
        <v>DINION 5100i IR (NDE-5702-AL)</v>
      </c>
      <c r="T7691" s="403" t="str">
        <f t="shared" si="1091"/>
        <v>NDE-5702-AL</v>
      </c>
      <c r="U7691" s="403">
        <f t="shared" si="1092"/>
        <v>1</v>
      </c>
      <c r="V7691" s="403" t="str">
        <f t="shared" si="1093"/>
        <v>CPP_7_3</v>
      </c>
    </row>
    <row r="7692" spans="1:22">
      <c r="A7692" t="str">
        <f>IF(AND(G7692&lt;&gt;"rotate 90°"),D7692,"")</f>
        <v>NDE-5702-AL</v>
      </c>
      <c r="B7692" s="29" t="s">
        <v>2097</v>
      </c>
      <c r="C7692" s="403" t="s">
        <v>582</v>
      </c>
      <c r="D7692" s="355" t="s">
        <v>2087</v>
      </c>
      <c r="F7692" t="s">
        <v>1288</v>
      </c>
      <c r="G7692" t="s">
        <v>1811</v>
      </c>
      <c r="H7692" s="403" t="s">
        <v>1281</v>
      </c>
      <c r="I7692">
        <v>1</v>
      </c>
      <c r="J7692" s="403" t="s">
        <v>628</v>
      </c>
      <c r="K7692" s="403">
        <v>1920</v>
      </c>
      <c r="L7692" s="403">
        <v>1080</v>
      </c>
      <c r="M7692" s="403" t="s">
        <v>628</v>
      </c>
      <c r="N7692" s="403">
        <v>2688</v>
      </c>
      <c r="O7692" s="403">
        <v>1520</v>
      </c>
      <c r="P7692" t="str">
        <f>LEFT(F7692,5)&amp;" "&amp;J7692&amp;" - "&amp;M7692</f>
        <v>60fps 1920x1080 - 1920x1080</v>
      </c>
      <c r="Q7692">
        <f t="shared" si="1088"/>
        <v>64</v>
      </c>
      <c r="R7692" t="str">
        <f t="shared" si="1089"/>
        <v/>
      </c>
      <c r="S7692" t="str">
        <f t="shared" si="1090"/>
        <v/>
      </c>
      <c r="T7692" s="403" t="str">
        <f t="shared" si="1091"/>
        <v>NDE-5702-AL</v>
      </c>
      <c r="U7692" s="403">
        <f t="shared" si="1092"/>
        <v>1</v>
      </c>
      <c r="V7692" s="403" t="str">
        <f t="shared" si="1093"/>
        <v>CPP_7_3</v>
      </c>
    </row>
    <row r="7693" spans="1:22">
      <c r="A7693" t="str">
        <f>IF(AND(G7693&lt;&gt;"rotate 90°"),D7693,"")</f>
        <v>NDE-5702-AL</v>
      </c>
      <c r="B7693" s="29" t="s">
        <v>2097</v>
      </c>
      <c r="C7693" s="403" t="s">
        <v>582</v>
      </c>
      <c r="D7693" s="355" t="s">
        <v>2087</v>
      </c>
      <c r="F7693" t="s">
        <v>1288</v>
      </c>
      <c r="G7693" t="s">
        <v>1811</v>
      </c>
      <c r="H7693" s="403" t="s">
        <v>1281</v>
      </c>
      <c r="I7693">
        <v>1</v>
      </c>
      <c r="J7693" s="403" t="s">
        <v>628</v>
      </c>
      <c r="K7693" s="403">
        <v>1920</v>
      </c>
      <c r="L7693" s="403">
        <v>1080</v>
      </c>
      <c r="M7693" s="403" t="s">
        <v>1451</v>
      </c>
      <c r="N7693" s="403">
        <v>1536</v>
      </c>
      <c r="O7693" s="403">
        <v>864</v>
      </c>
      <c r="P7693" t="str">
        <f>LEFT(F7693,5)&amp;" "&amp;J7693&amp;" - "&amp;M7693</f>
        <v>60fps 1920x1080 - 1536x864</v>
      </c>
      <c r="Q7693">
        <f t="shared" si="1088"/>
        <v>64</v>
      </c>
      <c r="R7693" t="str">
        <f t="shared" si="1089"/>
        <v/>
      </c>
      <c r="S7693" t="str">
        <f t="shared" si="1090"/>
        <v/>
      </c>
      <c r="T7693" s="403" t="str">
        <f t="shared" si="1091"/>
        <v>NDE-5702-AL</v>
      </c>
      <c r="U7693" s="403">
        <f t="shared" si="1092"/>
        <v>1</v>
      </c>
      <c r="V7693" s="403" t="str">
        <f t="shared" si="1093"/>
        <v>CPP_7_3</v>
      </c>
    </row>
    <row r="7694" spans="1:22">
      <c r="A7694" t="str">
        <f>IF(AND(G7694&lt;&gt;"rotate 90°"),D7694,"")</f>
        <v>NDE-5702-AL</v>
      </c>
      <c r="B7694" s="29" t="s">
        <v>2097</v>
      </c>
      <c r="C7694" s="403" t="s">
        <v>582</v>
      </c>
      <c r="D7694" s="355" t="s">
        <v>2087</v>
      </c>
      <c r="F7694" t="s">
        <v>1288</v>
      </c>
      <c r="G7694" t="s">
        <v>1811</v>
      </c>
      <c r="H7694" s="403" t="s">
        <v>1281</v>
      </c>
      <c r="I7694">
        <v>1</v>
      </c>
      <c r="J7694" s="403" t="s">
        <v>628</v>
      </c>
      <c r="K7694" s="403">
        <v>1920</v>
      </c>
      <c r="L7694" s="403">
        <v>1080</v>
      </c>
      <c r="M7694" s="403" t="s">
        <v>626</v>
      </c>
      <c r="N7694" s="403">
        <v>1280</v>
      </c>
      <c r="O7694" s="403">
        <v>720</v>
      </c>
      <c r="P7694" t="str">
        <f>LEFT(F7694,5)&amp;" "&amp;J7694&amp;" - "&amp;M7694</f>
        <v>60fps 1920x1080 - 1280x720</v>
      </c>
      <c r="Q7694">
        <f t="shared" si="1088"/>
        <v>64</v>
      </c>
      <c r="R7694" t="str">
        <f t="shared" si="1089"/>
        <v/>
      </c>
      <c r="S7694" t="str">
        <f t="shared" si="1090"/>
        <v/>
      </c>
      <c r="T7694" s="403" t="str">
        <f t="shared" si="1091"/>
        <v>NDE-5702-AL</v>
      </c>
      <c r="U7694" s="403">
        <f t="shared" si="1092"/>
        <v>1</v>
      </c>
      <c r="V7694" s="403" t="str">
        <f t="shared" si="1093"/>
        <v>CPP_7_3</v>
      </c>
    </row>
    <row r="7695" spans="1:22">
      <c r="A7695" t="str">
        <f>IF(AND(G7695&lt;&gt;"rotate 90°"),D7695,"")</f>
        <v>NDE-5702-AL</v>
      </c>
      <c r="B7695" s="29" t="s">
        <v>2097</v>
      </c>
      <c r="C7695" s="403" t="s">
        <v>582</v>
      </c>
      <c r="D7695" s="355" t="s">
        <v>2087</v>
      </c>
      <c r="F7695" t="s">
        <v>1286</v>
      </c>
      <c r="G7695" t="s">
        <v>1811</v>
      </c>
      <c r="H7695" s="403" t="s">
        <v>1281</v>
      </c>
      <c r="I7695">
        <v>1</v>
      </c>
      <c r="J7695" s="403" t="s">
        <v>628</v>
      </c>
      <c r="K7695" s="403">
        <v>1920</v>
      </c>
      <c r="L7695" s="403">
        <v>1080</v>
      </c>
      <c r="M7695" s="403" t="s">
        <v>628</v>
      </c>
      <c r="N7695" s="403">
        <v>2688</v>
      </c>
      <c r="O7695" s="403">
        <v>1520</v>
      </c>
      <c r="P7695" t="str">
        <f>LEFT(F7695,5)&amp;" "&amp;J7695&amp;" - "&amp;M7695</f>
        <v>30fps 1920x1080 - 1920x1080</v>
      </c>
      <c r="Q7695">
        <f t="shared" si="1088"/>
        <v>64</v>
      </c>
      <c r="R7695" t="str">
        <f t="shared" si="1089"/>
        <v/>
      </c>
      <c r="S7695" t="str">
        <f t="shared" si="1090"/>
        <v/>
      </c>
      <c r="T7695" s="403" t="str">
        <f t="shared" si="1091"/>
        <v>NDE-5702-AL</v>
      </c>
      <c r="U7695" s="403">
        <f t="shared" si="1092"/>
        <v>1</v>
      </c>
      <c r="V7695" s="403" t="str">
        <f t="shared" si="1093"/>
        <v>CPP_7_3</v>
      </c>
    </row>
    <row r="7696" spans="1:22">
      <c r="A7696" t="str">
        <f>IF(AND(G7696&lt;&gt;"rotate 90°"),D7696,"")</f>
        <v>NDE-5702-AL</v>
      </c>
      <c r="B7696" s="29" t="s">
        <v>2097</v>
      </c>
      <c r="C7696" s="403" t="s">
        <v>582</v>
      </c>
      <c r="D7696" s="355" t="s">
        <v>2087</v>
      </c>
      <c r="F7696" t="s">
        <v>1286</v>
      </c>
      <c r="G7696" t="s">
        <v>1811</v>
      </c>
      <c r="H7696" s="403" t="s">
        <v>1281</v>
      </c>
      <c r="I7696">
        <v>1</v>
      </c>
      <c r="J7696" s="403" t="s">
        <v>628</v>
      </c>
      <c r="K7696" s="403">
        <v>1920</v>
      </c>
      <c r="L7696" s="403">
        <v>1080</v>
      </c>
      <c r="M7696" s="403" t="s">
        <v>1451</v>
      </c>
      <c r="N7696" s="403">
        <v>1536</v>
      </c>
      <c r="O7696" s="403">
        <v>864</v>
      </c>
      <c r="P7696" t="str">
        <f>LEFT(F7696,5)&amp;" "&amp;J7696&amp;" - "&amp;M7696</f>
        <v>30fps 1920x1080 - 1536x864</v>
      </c>
      <c r="Q7696">
        <f t="shared" si="1088"/>
        <v>64</v>
      </c>
      <c r="R7696" t="str">
        <f t="shared" si="1089"/>
        <v/>
      </c>
      <c r="S7696" t="str">
        <f t="shared" si="1090"/>
        <v/>
      </c>
      <c r="T7696" s="403" t="str">
        <f t="shared" si="1091"/>
        <v>NDE-5702-AL</v>
      </c>
      <c r="U7696" s="403">
        <f t="shared" si="1092"/>
        <v>1</v>
      </c>
      <c r="V7696" s="403" t="str">
        <f t="shared" si="1093"/>
        <v>CPP_7_3</v>
      </c>
    </row>
    <row r="7697" spans="1:22">
      <c r="A7697" t="str">
        <f>IF(AND(G7697&lt;&gt;"rotate 90°"),D7697,"")</f>
        <v>NDE-5702-AL</v>
      </c>
      <c r="B7697" s="29" t="s">
        <v>2097</v>
      </c>
      <c r="C7697" s="403" t="s">
        <v>582</v>
      </c>
      <c r="D7697" s="355" t="s">
        <v>2087</v>
      </c>
      <c r="F7697" t="s">
        <v>1286</v>
      </c>
      <c r="G7697" t="s">
        <v>1811</v>
      </c>
      <c r="H7697" s="403" t="s">
        <v>1281</v>
      </c>
      <c r="I7697">
        <v>1</v>
      </c>
      <c r="J7697" s="403" t="s">
        <v>628</v>
      </c>
      <c r="K7697" s="403">
        <v>1920</v>
      </c>
      <c r="L7697" s="403">
        <v>1080</v>
      </c>
      <c r="M7697" s="403" t="s">
        <v>626</v>
      </c>
      <c r="N7697" s="403">
        <v>1280</v>
      </c>
      <c r="O7697" s="403">
        <v>720</v>
      </c>
      <c r="P7697" t="str">
        <f>LEFT(F7697,5)&amp;" "&amp;J7697&amp;" - "&amp;M7697</f>
        <v>30fps 1920x1080 - 1280x720</v>
      </c>
      <c r="Q7697">
        <f t="shared" si="1088"/>
        <v>64</v>
      </c>
      <c r="R7697" t="str">
        <f t="shared" si="1089"/>
        <v/>
      </c>
      <c r="S7697" t="str">
        <f t="shared" si="1090"/>
        <v/>
      </c>
      <c r="T7697" s="403" t="str">
        <f t="shared" si="1091"/>
        <v>NDE-5702-AL</v>
      </c>
      <c r="U7697" s="403">
        <f t="shared" si="1092"/>
        <v>1</v>
      </c>
      <c r="V7697" s="403" t="str">
        <f t="shared" si="1093"/>
        <v>CPP_7_3</v>
      </c>
    </row>
    <row r="7698" spans="1:22">
      <c r="A7698" t="str">
        <f>IF(AND(G7698&lt;&gt;"rotate 90°"),D7698,"")</f>
        <v>NDE-5703-AL</v>
      </c>
      <c r="B7698" s="29" t="s">
        <v>2097</v>
      </c>
      <c r="C7698" s="403" t="s">
        <v>582</v>
      </c>
      <c r="D7698" s="355" t="s">
        <v>2088</v>
      </c>
      <c r="H7698" s="403"/>
      <c r="I7698">
        <v>1</v>
      </c>
      <c r="J7698" s="403"/>
      <c r="K7698" s="403"/>
      <c r="L7698" s="403"/>
      <c r="M7698" s="403"/>
      <c r="N7698" s="403"/>
      <c r="O7698" s="403"/>
      <c r="P7698" t="str">
        <f>LEFT(F7698,5)&amp;" "&amp;J7698&amp;" - "&amp;M7698</f>
        <v xml:space="preserve">  - </v>
      </c>
      <c r="Q7698">
        <f t="shared" si="1088"/>
        <v>65</v>
      </c>
      <c r="R7698">
        <f t="shared" si="1089"/>
        <v>65</v>
      </c>
      <c r="S7698" t="str">
        <f t="shared" si="1090"/>
        <v>DINION 5100i IR (NDE-5703-AL)</v>
      </c>
      <c r="T7698" s="403" t="str">
        <f t="shared" si="1091"/>
        <v>NDE-5703-AL</v>
      </c>
      <c r="U7698" s="403">
        <f t="shared" si="1092"/>
        <v>1</v>
      </c>
      <c r="V7698" s="403" t="str">
        <f t="shared" si="1093"/>
        <v>CPP_7_3</v>
      </c>
    </row>
    <row r="7699" spans="1:22">
      <c r="A7699" t="str">
        <f>IF(AND(G7699&lt;&gt;"rotate 90°"),D7699,"")</f>
        <v>NDE-5703-AL</v>
      </c>
      <c r="B7699" s="29" t="s">
        <v>2097</v>
      </c>
      <c r="C7699" s="403" t="s">
        <v>582</v>
      </c>
      <c r="D7699" s="355" t="s">
        <v>2088</v>
      </c>
      <c r="F7699" t="s">
        <v>1999</v>
      </c>
      <c r="G7699" t="s">
        <v>1811</v>
      </c>
      <c r="H7699" s="403" t="s">
        <v>1281</v>
      </c>
      <c r="I7699">
        <v>1</v>
      </c>
      <c r="J7699" s="403" t="s">
        <v>2000</v>
      </c>
      <c r="K7699" s="403">
        <v>2688</v>
      </c>
      <c r="L7699" s="403">
        <v>1520</v>
      </c>
      <c r="M7699" s="403" t="s">
        <v>2000</v>
      </c>
      <c r="N7699" s="403">
        <v>2688</v>
      </c>
      <c r="O7699" s="403">
        <v>1520</v>
      </c>
      <c r="P7699" t="str">
        <f>LEFT(F7699,5)&amp;" "&amp;J7699&amp;" - "&amp;M7699</f>
        <v>60fps 2688x1520 - 2688x1520</v>
      </c>
      <c r="Q7699">
        <f t="shared" si="1088"/>
        <v>65</v>
      </c>
      <c r="R7699" t="str">
        <f t="shared" si="1089"/>
        <v/>
      </c>
      <c r="S7699" t="str">
        <f t="shared" si="1090"/>
        <v/>
      </c>
      <c r="T7699" s="403" t="str">
        <f t="shared" si="1091"/>
        <v>NDE-5703-AL</v>
      </c>
      <c r="U7699" s="403">
        <f t="shared" si="1092"/>
        <v>1</v>
      </c>
      <c r="V7699" s="403" t="str">
        <f t="shared" si="1093"/>
        <v>CPP_7_3</v>
      </c>
    </row>
    <row r="7700" spans="1:22">
      <c r="A7700" t="str">
        <f>IF(AND(G7700&lt;&gt;"rotate 90°"),D7700,"")</f>
        <v>NDE-5703-AL</v>
      </c>
      <c r="B7700" s="29" t="s">
        <v>2097</v>
      </c>
      <c r="C7700" s="403" t="s">
        <v>582</v>
      </c>
      <c r="D7700" s="355" t="s">
        <v>2088</v>
      </c>
      <c r="F7700" t="s">
        <v>1999</v>
      </c>
      <c r="G7700" t="s">
        <v>1811</v>
      </c>
      <c r="H7700" s="403" t="s">
        <v>1281</v>
      </c>
      <c r="I7700">
        <v>1</v>
      </c>
      <c r="J7700" s="403" t="s">
        <v>2000</v>
      </c>
      <c r="K7700" s="403">
        <v>2688</v>
      </c>
      <c r="L7700" s="403">
        <v>1520</v>
      </c>
      <c r="M7700" s="403" t="s">
        <v>628</v>
      </c>
      <c r="N7700" s="403">
        <v>1920</v>
      </c>
      <c r="O7700" s="403">
        <v>1080</v>
      </c>
      <c r="P7700" t="str">
        <f>LEFT(F7700,5)&amp;" "&amp;J7700&amp;" - "&amp;M7700</f>
        <v>60fps 2688x1520 - 1920x1080</v>
      </c>
      <c r="Q7700">
        <f t="shared" si="1088"/>
        <v>65</v>
      </c>
      <c r="R7700" t="str">
        <f t="shared" si="1089"/>
        <v/>
      </c>
      <c r="S7700" t="str">
        <f t="shared" si="1090"/>
        <v/>
      </c>
      <c r="T7700" s="403" t="str">
        <f t="shared" si="1091"/>
        <v>NDE-5703-AL</v>
      </c>
      <c r="U7700" s="403">
        <f t="shared" si="1092"/>
        <v>1</v>
      </c>
      <c r="V7700" s="403" t="str">
        <f t="shared" si="1093"/>
        <v>CPP_7_3</v>
      </c>
    </row>
    <row r="7701" spans="1:22">
      <c r="A7701" t="str">
        <f>IF(AND(G7701&lt;&gt;"rotate 90°"),D7701,"")</f>
        <v>NDE-5703-AL</v>
      </c>
      <c r="B7701" s="29" t="s">
        <v>2097</v>
      </c>
      <c r="C7701" s="403" t="s">
        <v>582</v>
      </c>
      <c r="D7701" s="355" t="s">
        <v>2088</v>
      </c>
      <c r="F7701" t="s">
        <v>1999</v>
      </c>
      <c r="G7701" t="s">
        <v>1811</v>
      </c>
      <c r="H7701" s="403" t="s">
        <v>1281</v>
      </c>
      <c r="I7701">
        <v>1</v>
      </c>
      <c r="J7701" s="403" t="s">
        <v>2000</v>
      </c>
      <c r="K7701" s="403">
        <v>2688</v>
      </c>
      <c r="L7701" s="403">
        <v>1520</v>
      </c>
      <c r="M7701" s="403" t="s">
        <v>1451</v>
      </c>
      <c r="N7701" s="403">
        <v>1536</v>
      </c>
      <c r="O7701" s="403">
        <v>864</v>
      </c>
      <c r="P7701" t="str">
        <f>LEFT(F7701,5)&amp;" "&amp;J7701&amp;" - "&amp;M7701</f>
        <v>60fps 2688x1520 - 1536x864</v>
      </c>
      <c r="Q7701">
        <f t="shared" si="1088"/>
        <v>65</v>
      </c>
      <c r="R7701" t="str">
        <f t="shared" si="1089"/>
        <v/>
      </c>
      <c r="S7701" t="str">
        <f t="shared" si="1090"/>
        <v/>
      </c>
      <c r="T7701" s="403" t="str">
        <f t="shared" si="1091"/>
        <v>NDE-5703-AL</v>
      </c>
      <c r="U7701" s="403">
        <f t="shared" si="1092"/>
        <v>1</v>
      </c>
      <c r="V7701" s="403" t="str">
        <f t="shared" si="1093"/>
        <v>CPP_7_3</v>
      </c>
    </row>
    <row r="7702" spans="1:22">
      <c r="A7702" t="str">
        <f>IF(AND(G7702&lt;&gt;"rotate 90°"),D7702,"")</f>
        <v>NDE-5703-AL</v>
      </c>
      <c r="B7702" s="29" t="s">
        <v>2097</v>
      </c>
      <c r="C7702" s="403" t="s">
        <v>582</v>
      </c>
      <c r="D7702" s="355" t="s">
        <v>2088</v>
      </c>
      <c r="F7702" t="s">
        <v>1999</v>
      </c>
      <c r="G7702" t="s">
        <v>1811</v>
      </c>
      <c r="H7702" s="403" t="s">
        <v>1281</v>
      </c>
      <c r="I7702">
        <v>1</v>
      </c>
      <c r="J7702" s="403" t="s">
        <v>2000</v>
      </c>
      <c r="K7702" s="403">
        <v>2688</v>
      </c>
      <c r="L7702" s="403">
        <v>1520</v>
      </c>
      <c r="M7702" s="403" t="s">
        <v>626</v>
      </c>
      <c r="N7702" s="403">
        <v>1280</v>
      </c>
      <c r="O7702" s="403">
        <v>720</v>
      </c>
      <c r="P7702" t="str">
        <f>LEFT(F7702,5)&amp;" "&amp;J7702&amp;" - "&amp;M7702</f>
        <v>60fps 2688x1520 - 1280x720</v>
      </c>
      <c r="Q7702">
        <f t="shared" si="1088"/>
        <v>65</v>
      </c>
      <c r="R7702" t="str">
        <f t="shared" si="1089"/>
        <v/>
      </c>
      <c r="S7702" t="str">
        <f t="shared" si="1090"/>
        <v/>
      </c>
      <c r="T7702" s="403" t="str">
        <f t="shared" si="1091"/>
        <v>NDE-5703-AL</v>
      </c>
      <c r="U7702" s="403">
        <f t="shared" si="1092"/>
        <v>1</v>
      </c>
      <c r="V7702" s="403" t="str">
        <f t="shared" si="1093"/>
        <v>CPP_7_3</v>
      </c>
    </row>
    <row r="7703" spans="1:22">
      <c r="A7703" t="str">
        <f>IF(AND(G7703&lt;&gt;"rotate 90°"),D7703,"")</f>
        <v>NDE-5703-AL</v>
      </c>
      <c r="B7703" s="29" t="s">
        <v>2097</v>
      </c>
      <c r="C7703" s="403" t="s">
        <v>582</v>
      </c>
      <c r="D7703" s="355" t="s">
        <v>2088</v>
      </c>
      <c r="F7703" t="s">
        <v>1288</v>
      </c>
      <c r="G7703" t="s">
        <v>1811</v>
      </c>
      <c r="H7703" s="403" t="s">
        <v>1281</v>
      </c>
      <c r="I7703">
        <v>1</v>
      </c>
      <c r="J7703" s="403" t="s">
        <v>628</v>
      </c>
      <c r="K7703" s="403">
        <v>1920</v>
      </c>
      <c r="L7703" s="403">
        <v>1080</v>
      </c>
      <c r="M7703" s="403" t="s">
        <v>628</v>
      </c>
      <c r="N7703" s="403">
        <v>1920</v>
      </c>
      <c r="O7703" s="403">
        <v>1080</v>
      </c>
      <c r="P7703" t="str">
        <f>LEFT(F7703,5)&amp;" "&amp;J7703&amp;" - "&amp;M7703</f>
        <v>60fps 1920x1080 - 1920x1080</v>
      </c>
      <c r="Q7703">
        <f t="shared" si="1088"/>
        <v>65</v>
      </c>
      <c r="R7703" t="str">
        <f t="shared" si="1089"/>
        <v/>
      </c>
      <c r="S7703" t="str">
        <f t="shared" si="1090"/>
        <v/>
      </c>
      <c r="T7703" s="403" t="str">
        <f t="shared" si="1091"/>
        <v>NDE-5703-AL</v>
      </c>
      <c r="U7703" s="403">
        <f t="shared" si="1092"/>
        <v>1</v>
      </c>
      <c r="V7703" s="403" t="str">
        <f t="shared" si="1093"/>
        <v>CPP_7_3</v>
      </c>
    </row>
    <row r="7704" spans="1:22">
      <c r="A7704" t="str">
        <f>IF(AND(G7704&lt;&gt;"rotate 90°"),D7704,"")</f>
        <v>NDE-5703-AL</v>
      </c>
      <c r="B7704" s="29" t="s">
        <v>2097</v>
      </c>
      <c r="C7704" s="403" t="s">
        <v>582</v>
      </c>
      <c r="D7704" s="355" t="s">
        <v>2088</v>
      </c>
      <c r="F7704" t="s">
        <v>1288</v>
      </c>
      <c r="G7704" t="s">
        <v>1811</v>
      </c>
      <c r="H7704" s="403" t="s">
        <v>1281</v>
      </c>
      <c r="I7704">
        <v>1</v>
      </c>
      <c r="J7704" s="403" t="s">
        <v>628</v>
      </c>
      <c r="K7704" s="403">
        <v>1920</v>
      </c>
      <c r="L7704" s="403">
        <v>1080</v>
      </c>
      <c r="M7704" s="403" t="s">
        <v>1451</v>
      </c>
      <c r="N7704" s="403">
        <v>1536</v>
      </c>
      <c r="O7704" s="403">
        <v>864</v>
      </c>
      <c r="P7704" t="str">
        <f>LEFT(F7704,5)&amp;" "&amp;J7704&amp;" - "&amp;M7704</f>
        <v>60fps 1920x1080 - 1536x864</v>
      </c>
      <c r="Q7704">
        <f t="shared" si="1088"/>
        <v>65</v>
      </c>
      <c r="R7704" t="str">
        <f t="shared" si="1089"/>
        <v/>
      </c>
      <c r="S7704" t="str">
        <f t="shared" si="1090"/>
        <v/>
      </c>
      <c r="T7704" s="403" t="str">
        <f t="shared" si="1091"/>
        <v>NDE-5703-AL</v>
      </c>
      <c r="U7704" s="403">
        <f t="shared" si="1092"/>
        <v>1</v>
      </c>
      <c r="V7704" s="403" t="str">
        <f t="shared" si="1093"/>
        <v>CPP_7_3</v>
      </c>
    </row>
    <row r="7705" spans="1:22">
      <c r="A7705" t="str">
        <f>IF(AND(G7705&lt;&gt;"rotate 90°"),D7705,"")</f>
        <v>NDE-5703-AL</v>
      </c>
      <c r="B7705" s="29" t="s">
        <v>2097</v>
      </c>
      <c r="C7705" s="403" t="s">
        <v>582</v>
      </c>
      <c r="D7705" s="355" t="s">
        <v>2088</v>
      </c>
      <c r="F7705" t="s">
        <v>1288</v>
      </c>
      <c r="G7705" t="s">
        <v>1811</v>
      </c>
      <c r="H7705" s="403" t="s">
        <v>1281</v>
      </c>
      <c r="I7705">
        <v>1</v>
      </c>
      <c r="J7705" s="403" t="s">
        <v>628</v>
      </c>
      <c r="K7705" s="403">
        <v>1920</v>
      </c>
      <c r="L7705" s="403">
        <v>1080</v>
      </c>
      <c r="M7705" s="403" t="s">
        <v>626</v>
      </c>
      <c r="N7705" s="403">
        <v>1280</v>
      </c>
      <c r="O7705" s="403">
        <v>720</v>
      </c>
      <c r="P7705" t="str">
        <f>LEFT(F7705,5)&amp;" "&amp;J7705&amp;" - "&amp;M7705</f>
        <v>60fps 1920x1080 - 1280x720</v>
      </c>
      <c r="Q7705">
        <f t="shared" si="1088"/>
        <v>65</v>
      </c>
      <c r="R7705" t="str">
        <f t="shared" si="1089"/>
        <v/>
      </c>
      <c r="S7705" t="str">
        <f t="shared" si="1090"/>
        <v/>
      </c>
      <c r="T7705" s="403" t="str">
        <f t="shared" si="1091"/>
        <v>NDE-5703-AL</v>
      </c>
      <c r="U7705" s="403">
        <f t="shared" si="1092"/>
        <v>1</v>
      </c>
      <c r="V7705" s="403" t="str">
        <f t="shared" si="1093"/>
        <v>CPP_7_3</v>
      </c>
    </row>
    <row r="7706" spans="1:22">
      <c r="A7706" t="str">
        <f>IF(AND(G7706&lt;&gt;"rotate 90°"),D7706,"")</f>
        <v>NDE-5703-AL</v>
      </c>
      <c r="B7706" s="29" t="s">
        <v>2097</v>
      </c>
      <c r="C7706" s="403" t="s">
        <v>582</v>
      </c>
      <c r="D7706" s="355" t="s">
        <v>2088</v>
      </c>
      <c r="F7706" t="s">
        <v>2006</v>
      </c>
      <c r="G7706" t="s">
        <v>1811</v>
      </c>
      <c r="H7706" s="403" t="s">
        <v>1281</v>
      </c>
      <c r="I7706">
        <v>1</v>
      </c>
      <c r="J7706" s="403" t="s">
        <v>2000</v>
      </c>
      <c r="K7706" s="403">
        <v>2688</v>
      </c>
      <c r="L7706" s="403">
        <v>1520</v>
      </c>
      <c r="M7706" s="403" t="s">
        <v>2000</v>
      </c>
      <c r="N7706" s="403">
        <v>2688</v>
      </c>
      <c r="O7706" s="403">
        <v>1520</v>
      </c>
      <c r="P7706" t="str">
        <f>LEFT(F7706,5)&amp;" "&amp;J7706&amp;" - "&amp;M7706</f>
        <v>30fps 2688x1520 - 2688x1520</v>
      </c>
      <c r="Q7706">
        <f t="shared" si="1088"/>
        <v>65</v>
      </c>
      <c r="R7706" t="str">
        <f t="shared" si="1089"/>
        <v/>
      </c>
      <c r="S7706" t="str">
        <f t="shared" si="1090"/>
        <v/>
      </c>
      <c r="T7706" s="403" t="str">
        <f t="shared" si="1091"/>
        <v>NDE-5703-AL</v>
      </c>
      <c r="U7706" s="403">
        <f t="shared" si="1092"/>
        <v>1</v>
      </c>
      <c r="V7706" s="403" t="str">
        <f t="shared" si="1093"/>
        <v>CPP_7_3</v>
      </c>
    </row>
    <row r="7707" spans="1:22">
      <c r="A7707" t="str">
        <f>IF(AND(G7707&lt;&gt;"rotate 90°"),D7707,"")</f>
        <v>NDE-5703-AL</v>
      </c>
      <c r="B7707" s="29" t="s">
        <v>2097</v>
      </c>
      <c r="C7707" s="403" t="s">
        <v>582</v>
      </c>
      <c r="D7707" s="355" t="s">
        <v>2088</v>
      </c>
      <c r="F7707" t="s">
        <v>2006</v>
      </c>
      <c r="G7707" t="s">
        <v>1811</v>
      </c>
      <c r="H7707" s="403" t="s">
        <v>1281</v>
      </c>
      <c r="I7707">
        <v>1</v>
      </c>
      <c r="J7707" s="403" t="s">
        <v>2000</v>
      </c>
      <c r="K7707" s="403">
        <v>2688</v>
      </c>
      <c r="L7707" s="403">
        <v>1520</v>
      </c>
      <c r="M7707" s="403" t="s">
        <v>628</v>
      </c>
      <c r="N7707" s="403">
        <v>1920</v>
      </c>
      <c r="O7707" s="403">
        <v>1080</v>
      </c>
      <c r="P7707" t="str">
        <f>LEFT(F7707,5)&amp;" "&amp;J7707&amp;" - "&amp;M7707</f>
        <v>30fps 2688x1520 - 1920x1080</v>
      </c>
      <c r="Q7707">
        <f t="shared" si="1088"/>
        <v>65</v>
      </c>
      <c r="R7707" t="str">
        <f t="shared" si="1089"/>
        <v/>
      </c>
      <c r="S7707" t="str">
        <f t="shared" si="1090"/>
        <v/>
      </c>
      <c r="T7707" s="403" t="str">
        <f t="shared" si="1091"/>
        <v>NDE-5703-AL</v>
      </c>
      <c r="U7707" s="403">
        <f t="shared" si="1092"/>
        <v>1</v>
      </c>
      <c r="V7707" s="403" t="str">
        <f t="shared" si="1093"/>
        <v>CPP_7_3</v>
      </c>
    </row>
    <row r="7708" spans="1:22">
      <c r="A7708" t="str">
        <f>IF(AND(G7708&lt;&gt;"rotate 90°"),D7708,"")</f>
        <v>NDE-5703-AL</v>
      </c>
      <c r="B7708" s="29" t="s">
        <v>2097</v>
      </c>
      <c r="C7708" s="403" t="s">
        <v>582</v>
      </c>
      <c r="D7708" s="355" t="s">
        <v>2088</v>
      </c>
      <c r="F7708" t="s">
        <v>2006</v>
      </c>
      <c r="G7708" t="s">
        <v>1811</v>
      </c>
      <c r="H7708" s="403" t="s">
        <v>1281</v>
      </c>
      <c r="I7708">
        <v>1</v>
      </c>
      <c r="J7708" s="403" t="s">
        <v>2000</v>
      </c>
      <c r="K7708" s="403">
        <v>2688</v>
      </c>
      <c r="L7708" s="403">
        <v>1520</v>
      </c>
      <c r="M7708" s="403" t="s">
        <v>1451</v>
      </c>
      <c r="N7708" s="403">
        <v>1536</v>
      </c>
      <c r="O7708" s="403">
        <v>864</v>
      </c>
      <c r="P7708" t="str">
        <f>LEFT(F7708,5)&amp;" "&amp;J7708&amp;" - "&amp;M7708</f>
        <v>30fps 2688x1520 - 1536x864</v>
      </c>
      <c r="Q7708">
        <f t="shared" si="1088"/>
        <v>65</v>
      </c>
      <c r="R7708" t="str">
        <f t="shared" si="1089"/>
        <v/>
      </c>
      <c r="S7708" t="str">
        <f t="shared" si="1090"/>
        <v/>
      </c>
      <c r="T7708" s="403" t="str">
        <f t="shared" si="1091"/>
        <v>NDE-5703-AL</v>
      </c>
      <c r="U7708" s="403">
        <f t="shared" si="1092"/>
        <v>1</v>
      </c>
      <c r="V7708" s="403" t="str">
        <f t="shared" si="1093"/>
        <v>CPP_7_3</v>
      </c>
    </row>
    <row r="7709" spans="1:22">
      <c r="A7709" t="str">
        <f>IF(AND(G7709&lt;&gt;"rotate 90°"),D7709,"")</f>
        <v>NDE-5703-AL</v>
      </c>
      <c r="B7709" s="29" t="s">
        <v>2097</v>
      </c>
      <c r="C7709" s="403" t="s">
        <v>582</v>
      </c>
      <c r="D7709" s="355" t="s">
        <v>2088</v>
      </c>
      <c r="F7709" t="s">
        <v>2006</v>
      </c>
      <c r="G7709" t="s">
        <v>1811</v>
      </c>
      <c r="H7709" s="403" t="s">
        <v>1281</v>
      </c>
      <c r="I7709">
        <v>1</v>
      </c>
      <c r="J7709" s="403" t="s">
        <v>2000</v>
      </c>
      <c r="K7709" s="403">
        <v>2688</v>
      </c>
      <c r="L7709" s="403">
        <v>1520</v>
      </c>
      <c r="M7709" s="403" t="s">
        <v>626</v>
      </c>
      <c r="N7709" s="403">
        <v>1280</v>
      </c>
      <c r="O7709" s="403">
        <v>720</v>
      </c>
      <c r="P7709" t="str">
        <f>LEFT(F7709,5)&amp;" "&amp;J7709&amp;" - "&amp;M7709</f>
        <v>30fps 2688x1520 - 1280x720</v>
      </c>
      <c r="Q7709">
        <f t="shared" si="1088"/>
        <v>65</v>
      </c>
      <c r="R7709" t="str">
        <f t="shared" si="1089"/>
        <v/>
      </c>
      <c r="S7709" t="str">
        <f t="shared" si="1090"/>
        <v/>
      </c>
      <c r="T7709" s="403" t="str">
        <f t="shared" si="1091"/>
        <v>NDE-5703-AL</v>
      </c>
      <c r="U7709" s="403">
        <f t="shared" si="1092"/>
        <v>1</v>
      </c>
      <c r="V7709" s="403" t="str">
        <f t="shared" si="1093"/>
        <v>CPP_7_3</v>
      </c>
    </row>
    <row r="7710" spans="1:22">
      <c r="A7710" t="str">
        <f>IF(AND(G7710&lt;&gt;"rotate 90°"),D7710,"")</f>
        <v>NDE-5703-AL</v>
      </c>
      <c r="B7710" s="29" t="s">
        <v>2097</v>
      </c>
      <c r="C7710" s="403" t="s">
        <v>582</v>
      </c>
      <c r="D7710" s="355" t="s">
        <v>2088</v>
      </c>
      <c r="F7710" t="s">
        <v>1286</v>
      </c>
      <c r="G7710" t="s">
        <v>1811</v>
      </c>
      <c r="H7710" s="403" t="s">
        <v>1281</v>
      </c>
      <c r="I7710">
        <v>1</v>
      </c>
      <c r="J7710" s="403" t="s">
        <v>628</v>
      </c>
      <c r="K7710" s="403">
        <v>1920</v>
      </c>
      <c r="L7710" s="403">
        <v>1080</v>
      </c>
      <c r="M7710" s="403" t="s">
        <v>628</v>
      </c>
      <c r="N7710" s="403">
        <v>2688</v>
      </c>
      <c r="O7710" s="403">
        <v>1520</v>
      </c>
      <c r="P7710" t="str">
        <f>LEFT(F7710,5)&amp;" "&amp;J7710&amp;" - "&amp;M7710</f>
        <v>30fps 1920x1080 - 1920x1080</v>
      </c>
      <c r="Q7710">
        <f t="shared" si="1088"/>
        <v>65</v>
      </c>
      <c r="R7710" t="str">
        <f t="shared" si="1089"/>
        <v/>
      </c>
      <c r="S7710" t="str">
        <f t="shared" si="1090"/>
        <v/>
      </c>
      <c r="T7710" s="403" t="str">
        <f t="shared" si="1091"/>
        <v>NDE-5703-AL</v>
      </c>
      <c r="U7710" s="403">
        <f t="shared" si="1092"/>
        <v>1</v>
      </c>
      <c r="V7710" s="403" t="str">
        <f t="shared" si="1093"/>
        <v>CPP_7_3</v>
      </c>
    </row>
    <row r="7711" spans="1:22">
      <c r="A7711" t="str">
        <f>IF(AND(G7711&lt;&gt;"rotate 90°"),D7711,"")</f>
        <v>NDE-5703-AL</v>
      </c>
      <c r="B7711" s="29" t="s">
        <v>2097</v>
      </c>
      <c r="C7711" s="403" t="s">
        <v>582</v>
      </c>
      <c r="D7711" s="355" t="s">
        <v>2088</v>
      </c>
      <c r="F7711" t="s">
        <v>1286</v>
      </c>
      <c r="G7711" t="s">
        <v>1811</v>
      </c>
      <c r="H7711" s="403" t="s">
        <v>1281</v>
      </c>
      <c r="I7711">
        <v>1</v>
      </c>
      <c r="J7711" s="403" t="s">
        <v>628</v>
      </c>
      <c r="K7711" s="403">
        <v>1920</v>
      </c>
      <c r="L7711" s="403">
        <v>1080</v>
      </c>
      <c r="M7711" s="403" t="s">
        <v>1451</v>
      </c>
      <c r="N7711" s="403">
        <v>1536</v>
      </c>
      <c r="O7711" s="403">
        <v>864</v>
      </c>
      <c r="P7711" t="str">
        <f>LEFT(F7711,5)&amp;" "&amp;J7711&amp;" - "&amp;M7711</f>
        <v>30fps 1920x1080 - 1536x864</v>
      </c>
      <c r="Q7711">
        <f t="shared" si="1088"/>
        <v>65</v>
      </c>
      <c r="R7711" t="str">
        <f t="shared" si="1089"/>
        <v/>
      </c>
      <c r="S7711" t="str">
        <f t="shared" si="1090"/>
        <v/>
      </c>
      <c r="T7711" s="403" t="str">
        <f t="shared" si="1091"/>
        <v>NDE-5703-AL</v>
      </c>
      <c r="U7711" s="403">
        <f t="shared" si="1092"/>
        <v>1</v>
      </c>
      <c r="V7711" s="403" t="str">
        <f t="shared" si="1093"/>
        <v>CPP_7_3</v>
      </c>
    </row>
    <row r="7712" spans="1:22">
      <c r="A7712" t="str">
        <f>IF(AND(G7712&lt;&gt;"rotate 90°"),D7712,"")</f>
        <v>NDE-5703-AL</v>
      </c>
      <c r="B7712" s="29" t="s">
        <v>2097</v>
      </c>
      <c r="C7712" s="403" t="s">
        <v>582</v>
      </c>
      <c r="D7712" s="355" t="s">
        <v>2088</v>
      </c>
      <c r="F7712" t="s">
        <v>1286</v>
      </c>
      <c r="G7712" t="s">
        <v>1811</v>
      </c>
      <c r="H7712" s="403" t="s">
        <v>1281</v>
      </c>
      <c r="I7712">
        <v>1</v>
      </c>
      <c r="J7712" s="403" t="s">
        <v>628</v>
      </c>
      <c r="K7712" s="403">
        <v>1920</v>
      </c>
      <c r="L7712" s="403">
        <v>1080</v>
      </c>
      <c r="M7712" s="403" t="s">
        <v>626</v>
      </c>
      <c r="N7712" s="403">
        <v>1280</v>
      </c>
      <c r="O7712" s="403">
        <v>720</v>
      </c>
      <c r="P7712" t="str">
        <f>LEFT(F7712,5)&amp;" "&amp;J7712&amp;" - "&amp;M7712</f>
        <v>30fps 1920x1080 - 1280x720</v>
      </c>
      <c r="Q7712">
        <f t="shared" si="1088"/>
        <v>65</v>
      </c>
      <c r="R7712" t="str">
        <f t="shared" si="1089"/>
        <v/>
      </c>
      <c r="S7712" t="str">
        <f t="shared" si="1090"/>
        <v/>
      </c>
      <c r="T7712" s="403" t="str">
        <f t="shared" si="1091"/>
        <v>NDE-5703-AL</v>
      </c>
      <c r="U7712" s="403">
        <f t="shared" si="1092"/>
        <v>1</v>
      </c>
      <c r="V7712" s="403" t="str">
        <f t="shared" si="1093"/>
        <v>CPP_7_3</v>
      </c>
    </row>
    <row r="7713" spans="1:22">
      <c r="A7713" t="str">
        <f>IF(AND(G7713&lt;&gt;"rotate 90°"),D7713,"")</f>
        <v>NDE-5704-AL</v>
      </c>
      <c r="B7713" s="29" t="s">
        <v>2097</v>
      </c>
      <c r="C7713" s="403" t="s">
        <v>582</v>
      </c>
      <c r="D7713" s="355" t="s">
        <v>2089</v>
      </c>
      <c r="H7713" s="403"/>
      <c r="I7713">
        <v>1</v>
      </c>
      <c r="J7713" s="403"/>
      <c r="K7713" s="403"/>
      <c r="L7713" s="403"/>
      <c r="M7713" s="403"/>
      <c r="N7713" s="403"/>
      <c r="O7713" s="403"/>
      <c r="P7713" t="str">
        <f>LEFT(F7713,5)&amp;" "&amp;J7713&amp;" - "&amp;M7713</f>
        <v xml:space="preserve">  - </v>
      </c>
      <c r="Q7713">
        <f t="shared" si="1088"/>
        <v>66</v>
      </c>
      <c r="R7713">
        <f t="shared" si="1089"/>
        <v>66</v>
      </c>
      <c r="S7713" t="str">
        <f t="shared" si="1090"/>
        <v>DINION 5100i IR (NDE-5704-AL)</v>
      </c>
      <c r="T7713" s="403" t="str">
        <f t="shared" si="1091"/>
        <v>NDE-5704-AL</v>
      </c>
      <c r="U7713" s="403">
        <f t="shared" si="1092"/>
        <v>1</v>
      </c>
      <c r="V7713" s="403" t="str">
        <f t="shared" si="1093"/>
        <v>CPP_7_3</v>
      </c>
    </row>
    <row r="7714" spans="1:22">
      <c r="A7714" t="str">
        <f>IF(AND(G7714&lt;&gt;"rotate 90°"),D7714,"")</f>
        <v>NDE-5704-AL</v>
      </c>
      <c r="B7714" s="29" t="s">
        <v>2097</v>
      </c>
      <c r="C7714" s="403" t="s">
        <v>582</v>
      </c>
      <c r="D7714" s="355" t="s">
        <v>2089</v>
      </c>
      <c r="F7714" t="s">
        <v>2008</v>
      </c>
      <c r="G7714" t="s">
        <v>1811</v>
      </c>
      <c r="H7714" s="403" t="s">
        <v>1281</v>
      </c>
      <c r="I7714">
        <v>1</v>
      </c>
      <c r="J7714" s="403" t="s">
        <v>194</v>
      </c>
      <c r="K7714" s="403">
        <v>3840</v>
      </c>
      <c r="L7714" s="403">
        <v>2160</v>
      </c>
      <c r="M7714" s="403" t="s">
        <v>194</v>
      </c>
      <c r="N7714" s="403">
        <v>3840</v>
      </c>
      <c r="O7714" s="403">
        <v>2160</v>
      </c>
      <c r="P7714" t="str">
        <f>LEFT(F7714,5)&amp;" "&amp;J7714&amp;" - "&amp;M7714</f>
        <v>30fps 3840x2160 - 3840x2160</v>
      </c>
      <c r="Q7714">
        <f t="shared" ref="Q7714:Q7772" si="1094">IF(A7713=A7714,Q7713,Q7713+1)</f>
        <v>66</v>
      </c>
      <c r="R7714" t="str">
        <f t="shared" ref="R7714:R7772" si="1095">IF(Q7713&lt;&gt;Q7714,Q7714,"")</f>
        <v/>
      </c>
      <c r="S7714" t="str">
        <f t="shared" ref="S7714:S7772" si="1096">IF(R7714&lt;&gt;"",B7714&amp;" ("&amp;D7714&amp;")","")</f>
        <v/>
      </c>
      <c r="T7714" s="403" t="str">
        <f t="shared" ref="T7714:T7772" si="1097">D7714</f>
        <v>NDE-5704-AL</v>
      </c>
      <c r="U7714" s="403">
        <f t="shared" ref="U7714:U7772" si="1098">I7714</f>
        <v>1</v>
      </c>
      <c r="V7714" s="403" t="str">
        <f t="shared" ref="V7714:V7772" si="1099">C7714</f>
        <v>CPP_7_3</v>
      </c>
    </row>
    <row r="7715" spans="1:22">
      <c r="A7715" t="str">
        <f>IF(AND(G7715&lt;&gt;"rotate 90°"),D7715,"")</f>
        <v>NDE-5704-AL</v>
      </c>
      <c r="B7715" s="29" t="s">
        <v>2097</v>
      </c>
      <c r="C7715" s="403" t="s">
        <v>582</v>
      </c>
      <c r="D7715" s="355" t="s">
        <v>2089</v>
      </c>
      <c r="F7715" t="s">
        <v>2008</v>
      </c>
      <c r="G7715" t="s">
        <v>1811</v>
      </c>
      <c r="H7715" s="403" t="s">
        <v>1281</v>
      </c>
      <c r="I7715">
        <v>1</v>
      </c>
      <c r="J7715" s="403" t="s">
        <v>194</v>
      </c>
      <c r="K7715" s="403">
        <v>3840</v>
      </c>
      <c r="L7715" s="403">
        <v>2160</v>
      </c>
      <c r="M7715" s="403" t="s">
        <v>1416</v>
      </c>
      <c r="N7715" s="403">
        <v>3264</v>
      </c>
      <c r="O7715" s="403">
        <v>1840</v>
      </c>
      <c r="P7715" t="str">
        <f>LEFT(F7715,5)&amp;" "&amp;J7715&amp;" - "&amp;M7715</f>
        <v>30fps 3840x2160 - 3264x1840</v>
      </c>
      <c r="Q7715">
        <f t="shared" si="1094"/>
        <v>66</v>
      </c>
      <c r="R7715" t="str">
        <f t="shared" si="1095"/>
        <v/>
      </c>
      <c r="S7715" t="str">
        <f t="shared" si="1096"/>
        <v/>
      </c>
      <c r="T7715" s="403" t="str">
        <f t="shared" si="1097"/>
        <v>NDE-5704-AL</v>
      </c>
      <c r="U7715" s="403">
        <f t="shared" si="1098"/>
        <v>1</v>
      </c>
      <c r="V7715" s="403" t="str">
        <f t="shared" si="1099"/>
        <v>CPP_7_3</v>
      </c>
    </row>
    <row r="7716" spans="1:22">
      <c r="A7716" t="str">
        <f>IF(AND(G7716&lt;&gt;"rotate 90°"),D7716,"")</f>
        <v>NDE-5704-AL</v>
      </c>
      <c r="B7716" s="29" t="s">
        <v>2097</v>
      </c>
      <c r="C7716" s="403" t="s">
        <v>582</v>
      </c>
      <c r="D7716" s="355" t="s">
        <v>2089</v>
      </c>
      <c r="F7716" t="s">
        <v>2008</v>
      </c>
      <c r="G7716" t="s">
        <v>1811</v>
      </c>
      <c r="H7716" s="403" t="s">
        <v>1281</v>
      </c>
      <c r="I7716">
        <v>1</v>
      </c>
      <c r="J7716" s="403" t="s">
        <v>194</v>
      </c>
      <c r="K7716" s="403">
        <v>3840</v>
      </c>
      <c r="L7716" s="403">
        <v>2160</v>
      </c>
      <c r="M7716" s="403" t="s">
        <v>2000</v>
      </c>
      <c r="N7716" s="403">
        <v>2688</v>
      </c>
      <c r="O7716" s="403">
        <v>1520</v>
      </c>
      <c r="P7716" t="str">
        <f>LEFT(F7716,5)&amp;" "&amp;J7716&amp;" - "&amp;M7716</f>
        <v>30fps 3840x2160 - 2688x1520</v>
      </c>
      <c r="Q7716">
        <f t="shared" si="1094"/>
        <v>66</v>
      </c>
      <c r="R7716" t="str">
        <f t="shared" si="1095"/>
        <v/>
      </c>
      <c r="S7716" t="str">
        <f t="shared" si="1096"/>
        <v/>
      </c>
      <c r="T7716" s="403" t="str">
        <f t="shared" si="1097"/>
        <v>NDE-5704-AL</v>
      </c>
      <c r="U7716" s="403">
        <f t="shared" si="1098"/>
        <v>1</v>
      </c>
      <c r="V7716" s="403" t="str">
        <f t="shared" si="1099"/>
        <v>CPP_7_3</v>
      </c>
    </row>
    <row r="7717" spans="1:22">
      <c r="A7717" t="str">
        <f>IF(AND(G7717&lt;&gt;"rotate 90°"),D7717,"")</f>
        <v>NDE-5704-AL</v>
      </c>
      <c r="B7717" s="29" t="s">
        <v>2097</v>
      </c>
      <c r="C7717" s="403" t="s">
        <v>582</v>
      </c>
      <c r="D7717" s="355" t="s">
        <v>2089</v>
      </c>
      <c r="F7717" t="s">
        <v>2008</v>
      </c>
      <c r="G7717" t="s">
        <v>1811</v>
      </c>
      <c r="H7717" s="403" t="s">
        <v>1281</v>
      </c>
      <c r="I7717">
        <v>1</v>
      </c>
      <c r="J7717" s="403" t="s">
        <v>194</v>
      </c>
      <c r="K7717" s="403">
        <v>3840</v>
      </c>
      <c r="L7717" s="403">
        <v>2160</v>
      </c>
      <c r="M7717" s="403" t="s">
        <v>628</v>
      </c>
      <c r="N7717" s="403">
        <v>1920</v>
      </c>
      <c r="O7717" s="403">
        <v>1080</v>
      </c>
      <c r="P7717" t="str">
        <f>LEFT(F7717,5)&amp;" "&amp;J7717&amp;" - "&amp;M7717</f>
        <v>30fps 3840x2160 - 1920x1080</v>
      </c>
      <c r="Q7717">
        <f t="shared" si="1094"/>
        <v>66</v>
      </c>
      <c r="R7717" t="str">
        <f t="shared" si="1095"/>
        <v/>
      </c>
      <c r="S7717" t="str">
        <f t="shared" si="1096"/>
        <v/>
      </c>
      <c r="T7717" s="403" t="str">
        <f t="shared" si="1097"/>
        <v>NDE-5704-AL</v>
      </c>
      <c r="U7717" s="403">
        <f t="shared" si="1098"/>
        <v>1</v>
      </c>
      <c r="V7717" s="403" t="str">
        <f t="shared" si="1099"/>
        <v>CPP_7_3</v>
      </c>
    </row>
    <row r="7718" spans="1:22">
      <c r="A7718" t="str">
        <f>IF(AND(G7718&lt;&gt;"rotate 90°"),D7718,"")</f>
        <v>NDE-5704-AL</v>
      </c>
      <c r="B7718" s="29" t="s">
        <v>2097</v>
      </c>
      <c r="C7718" s="403" t="s">
        <v>582</v>
      </c>
      <c r="D7718" s="355" t="s">
        <v>2089</v>
      </c>
      <c r="F7718" t="s">
        <v>2008</v>
      </c>
      <c r="G7718" t="s">
        <v>1811</v>
      </c>
      <c r="H7718" s="403" t="s">
        <v>1281</v>
      </c>
      <c r="I7718">
        <v>1</v>
      </c>
      <c r="J7718" s="403" t="s">
        <v>194</v>
      </c>
      <c r="K7718" s="403">
        <v>3840</v>
      </c>
      <c r="L7718" s="403">
        <v>2160</v>
      </c>
      <c r="M7718" s="403" t="s">
        <v>1451</v>
      </c>
      <c r="N7718" s="403">
        <v>1536</v>
      </c>
      <c r="O7718" s="403">
        <v>864</v>
      </c>
      <c r="P7718" t="str">
        <f>LEFT(F7718,5)&amp;" "&amp;J7718&amp;" - "&amp;M7718</f>
        <v>30fps 3840x2160 - 1536x864</v>
      </c>
      <c r="Q7718">
        <f t="shared" si="1094"/>
        <v>66</v>
      </c>
      <c r="R7718" t="str">
        <f t="shared" si="1095"/>
        <v/>
      </c>
      <c r="S7718" t="str">
        <f t="shared" si="1096"/>
        <v/>
      </c>
      <c r="T7718" s="403" t="str">
        <f t="shared" si="1097"/>
        <v>NDE-5704-AL</v>
      </c>
      <c r="U7718" s="403">
        <f t="shared" si="1098"/>
        <v>1</v>
      </c>
      <c r="V7718" s="403" t="str">
        <f t="shared" si="1099"/>
        <v>CPP_7_3</v>
      </c>
    </row>
    <row r="7719" spans="1:22">
      <c r="A7719" t="str">
        <f>IF(AND(G7719&lt;&gt;"rotate 90°"),D7719,"")</f>
        <v>NDE-5704-AL</v>
      </c>
      <c r="B7719" s="29" t="s">
        <v>2097</v>
      </c>
      <c r="C7719" s="403" t="s">
        <v>582</v>
      </c>
      <c r="D7719" s="355" t="s">
        <v>2089</v>
      </c>
      <c r="F7719" t="s">
        <v>2008</v>
      </c>
      <c r="G7719" t="s">
        <v>1811</v>
      </c>
      <c r="H7719" s="403" t="s">
        <v>1281</v>
      </c>
      <c r="I7719">
        <v>1</v>
      </c>
      <c r="J7719" s="403" t="s">
        <v>194</v>
      </c>
      <c r="K7719" s="403">
        <v>3840</v>
      </c>
      <c r="L7719" s="403">
        <v>2160</v>
      </c>
      <c r="M7719" s="403" t="s">
        <v>626</v>
      </c>
      <c r="N7719" s="403">
        <v>1280</v>
      </c>
      <c r="O7719" s="403">
        <v>720</v>
      </c>
      <c r="P7719" t="str">
        <f>LEFT(F7719,5)&amp;" "&amp;J7719&amp;" - "&amp;M7719</f>
        <v>30fps 3840x2160 - 1280x720</v>
      </c>
      <c r="Q7719">
        <f t="shared" si="1094"/>
        <v>66</v>
      </c>
      <c r="R7719" t="str">
        <f t="shared" si="1095"/>
        <v/>
      </c>
      <c r="S7719" t="str">
        <f t="shared" si="1096"/>
        <v/>
      </c>
      <c r="T7719" s="403" t="str">
        <f t="shared" si="1097"/>
        <v>NDE-5704-AL</v>
      </c>
      <c r="U7719" s="403">
        <f t="shared" si="1098"/>
        <v>1</v>
      </c>
      <c r="V7719" s="403" t="str">
        <f t="shared" si="1099"/>
        <v>CPP_7_3</v>
      </c>
    </row>
    <row r="7720" spans="1:22">
      <c r="A7720" t="str">
        <f>IF(AND(G7720&lt;&gt;"rotate 90°"),D7720,"")</f>
        <v>NDE-5704-AL</v>
      </c>
      <c r="B7720" s="29" t="s">
        <v>2097</v>
      </c>
      <c r="C7720" s="403" t="s">
        <v>582</v>
      </c>
      <c r="D7720" s="355" t="s">
        <v>2089</v>
      </c>
      <c r="F7720" t="s">
        <v>2009</v>
      </c>
      <c r="G7720" t="s">
        <v>1811</v>
      </c>
      <c r="H7720" s="403" t="s">
        <v>1281</v>
      </c>
      <c r="I7720">
        <v>1</v>
      </c>
      <c r="J7720" s="403" t="s">
        <v>1416</v>
      </c>
      <c r="K7720" s="403">
        <v>3264</v>
      </c>
      <c r="L7720" s="403">
        <v>1840</v>
      </c>
      <c r="M7720" s="403" t="s">
        <v>1416</v>
      </c>
      <c r="N7720" s="403">
        <v>3264</v>
      </c>
      <c r="O7720" s="403">
        <v>1840</v>
      </c>
      <c r="P7720" t="str">
        <f>LEFT(F7720,5)&amp;" "&amp;J7720&amp;" - "&amp;M7720</f>
        <v>30fps 3264x1840 - 3264x1840</v>
      </c>
      <c r="Q7720">
        <f t="shared" si="1094"/>
        <v>66</v>
      </c>
      <c r="R7720" t="str">
        <f t="shared" si="1095"/>
        <v/>
      </c>
      <c r="S7720" t="str">
        <f t="shared" si="1096"/>
        <v/>
      </c>
      <c r="T7720" s="403" t="str">
        <f t="shared" si="1097"/>
        <v>NDE-5704-AL</v>
      </c>
      <c r="U7720" s="403">
        <f t="shared" si="1098"/>
        <v>1</v>
      </c>
      <c r="V7720" s="403" t="str">
        <f t="shared" si="1099"/>
        <v>CPP_7_3</v>
      </c>
    </row>
    <row r="7721" spans="1:22">
      <c r="A7721" t="str">
        <f>IF(AND(G7721&lt;&gt;"rotate 90°"),D7721,"")</f>
        <v>NDE-5704-AL</v>
      </c>
      <c r="B7721" s="29" t="s">
        <v>2097</v>
      </c>
      <c r="C7721" s="403" t="s">
        <v>582</v>
      </c>
      <c r="D7721" s="355" t="s">
        <v>2089</v>
      </c>
      <c r="F7721" t="s">
        <v>2009</v>
      </c>
      <c r="G7721" t="s">
        <v>1811</v>
      </c>
      <c r="H7721" s="403" t="s">
        <v>1281</v>
      </c>
      <c r="I7721">
        <v>1</v>
      </c>
      <c r="J7721" s="403" t="s">
        <v>1416</v>
      </c>
      <c r="K7721" s="403">
        <v>3264</v>
      </c>
      <c r="L7721" s="403">
        <v>1840</v>
      </c>
      <c r="M7721" s="403" t="s">
        <v>2000</v>
      </c>
      <c r="N7721" s="403">
        <v>2688</v>
      </c>
      <c r="O7721" s="403">
        <v>1520</v>
      </c>
      <c r="P7721" t="str">
        <f>LEFT(F7721,5)&amp;" "&amp;J7721&amp;" - "&amp;M7721</f>
        <v>30fps 3264x1840 - 2688x1520</v>
      </c>
      <c r="Q7721">
        <f t="shared" si="1094"/>
        <v>66</v>
      </c>
      <c r="R7721" t="str">
        <f t="shared" si="1095"/>
        <v/>
      </c>
      <c r="S7721" t="str">
        <f t="shared" si="1096"/>
        <v/>
      </c>
      <c r="T7721" s="403" t="str">
        <f t="shared" si="1097"/>
        <v>NDE-5704-AL</v>
      </c>
      <c r="U7721" s="403">
        <f t="shared" si="1098"/>
        <v>1</v>
      </c>
      <c r="V7721" s="403" t="str">
        <f t="shared" si="1099"/>
        <v>CPP_7_3</v>
      </c>
    </row>
    <row r="7722" spans="1:22">
      <c r="A7722" t="str">
        <f>IF(AND(G7722&lt;&gt;"rotate 90°"),D7722,"")</f>
        <v>NDE-5704-AL</v>
      </c>
      <c r="B7722" s="29" t="s">
        <v>2097</v>
      </c>
      <c r="C7722" s="403" t="s">
        <v>582</v>
      </c>
      <c r="D7722" s="355" t="s">
        <v>2089</v>
      </c>
      <c r="F7722" t="s">
        <v>2009</v>
      </c>
      <c r="G7722" t="s">
        <v>1811</v>
      </c>
      <c r="H7722" s="403" t="s">
        <v>1281</v>
      </c>
      <c r="I7722">
        <v>1</v>
      </c>
      <c r="J7722" s="403" t="s">
        <v>1416</v>
      </c>
      <c r="K7722" s="403">
        <v>3264</v>
      </c>
      <c r="L7722" s="403">
        <v>1840</v>
      </c>
      <c r="M7722" s="403" t="s">
        <v>628</v>
      </c>
      <c r="N7722" s="403">
        <v>1920</v>
      </c>
      <c r="O7722" s="403">
        <v>1080</v>
      </c>
      <c r="P7722" t="str">
        <f>LEFT(F7722,5)&amp;" "&amp;J7722&amp;" - "&amp;M7722</f>
        <v>30fps 3264x1840 - 1920x1080</v>
      </c>
      <c r="Q7722">
        <f t="shared" si="1094"/>
        <v>66</v>
      </c>
      <c r="R7722" t="str">
        <f t="shared" si="1095"/>
        <v/>
      </c>
      <c r="S7722" t="str">
        <f t="shared" si="1096"/>
        <v/>
      </c>
      <c r="T7722" s="403" t="str">
        <f t="shared" si="1097"/>
        <v>NDE-5704-AL</v>
      </c>
      <c r="U7722" s="403">
        <f t="shared" si="1098"/>
        <v>1</v>
      </c>
      <c r="V7722" s="403" t="str">
        <f t="shared" si="1099"/>
        <v>CPP_7_3</v>
      </c>
    </row>
    <row r="7723" spans="1:22">
      <c r="A7723" t="str">
        <f>IF(AND(G7723&lt;&gt;"rotate 90°"),D7723,"")</f>
        <v>NDE-5704-AL</v>
      </c>
      <c r="B7723" s="29" t="s">
        <v>2097</v>
      </c>
      <c r="C7723" s="403" t="s">
        <v>582</v>
      </c>
      <c r="D7723" s="355" t="s">
        <v>2089</v>
      </c>
      <c r="F7723" t="s">
        <v>2009</v>
      </c>
      <c r="G7723" t="s">
        <v>1811</v>
      </c>
      <c r="H7723" s="403" t="s">
        <v>1281</v>
      </c>
      <c r="I7723">
        <v>1</v>
      </c>
      <c r="J7723" s="403" t="s">
        <v>1416</v>
      </c>
      <c r="K7723" s="403">
        <v>3264</v>
      </c>
      <c r="L7723" s="403">
        <v>1840</v>
      </c>
      <c r="M7723" s="403" t="s">
        <v>1451</v>
      </c>
      <c r="N7723" s="403">
        <v>1536</v>
      </c>
      <c r="O7723" s="403">
        <v>864</v>
      </c>
      <c r="P7723" t="str">
        <f>LEFT(F7723,5)&amp;" "&amp;J7723&amp;" - "&amp;M7723</f>
        <v>30fps 3264x1840 - 1536x864</v>
      </c>
      <c r="Q7723">
        <f t="shared" si="1094"/>
        <v>66</v>
      </c>
      <c r="R7723" t="str">
        <f t="shared" si="1095"/>
        <v/>
      </c>
      <c r="S7723" t="str">
        <f t="shared" si="1096"/>
        <v/>
      </c>
      <c r="T7723" s="403" t="str">
        <f t="shared" si="1097"/>
        <v>NDE-5704-AL</v>
      </c>
      <c r="U7723" s="403">
        <f t="shared" si="1098"/>
        <v>1</v>
      </c>
      <c r="V7723" s="403" t="str">
        <f t="shared" si="1099"/>
        <v>CPP_7_3</v>
      </c>
    </row>
    <row r="7724" spans="1:22">
      <c r="A7724" t="str">
        <f>IF(AND(G7724&lt;&gt;"rotate 90°"),D7724,"")</f>
        <v>NDE-5704-AL</v>
      </c>
      <c r="B7724" s="29" t="s">
        <v>2097</v>
      </c>
      <c r="C7724" s="403" t="s">
        <v>582</v>
      </c>
      <c r="D7724" s="355" t="s">
        <v>2089</v>
      </c>
      <c r="F7724" t="s">
        <v>2009</v>
      </c>
      <c r="G7724" t="s">
        <v>1811</v>
      </c>
      <c r="H7724" s="403" t="s">
        <v>1281</v>
      </c>
      <c r="I7724">
        <v>1</v>
      </c>
      <c r="J7724" s="403" t="s">
        <v>1416</v>
      </c>
      <c r="K7724" s="403">
        <v>3264</v>
      </c>
      <c r="L7724" s="403">
        <v>1840</v>
      </c>
      <c r="M7724" s="403" t="s">
        <v>626</v>
      </c>
      <c r="N7724" s="403">
        <v>1280</v>
      </c>
      <c r="O7724" s="403">
        <v>720</v>
      </c>
      <c r="P7724" t="str">
        <f>LEFT(F7724,5)&amp;" "&amp;J7724&amp;" - "&amp;M7724</f>
        <v>30fps 3264x1840 - 1280x720</v>
      </c>
      <c r="Q7724">
        <f t="shared" si="1094"/>
        <v>66</v>
      </c>
      <c r="R7724" t="str">
        <f t="shared" si="1095"/>
        <v/>
      </c>
      <c r="S7724" t="str">
        <f t="shared" si="1096"/>
        <v/>
      </c>
      <c r="T7724" s="403" t="str">
        <f t="shared" si="1097"/>
        <v>NDE-5704-AL</v>
      </c>
      <c r="U7724" s="403">
        <f t="shared" si="1098"/>
        <v>1</v>
      </c>
      <c r="V7724" s="403" t="str">
        <f t="shared" si="1099"/>
        <v>CPP_7_3</v>
      </c>
    </row>
    <row r="7725" spans="1:22">
      <c r="A7725" t="str">
        <f>IF(AND(G7725&lt;&gt;"rotate 90°"),D7725,"")</f>
        <v>NDE-5704-AL</v>
      </c>
      <c r="B7725" s="29" t="s">
        <v>2097</v>
      </c>
      <c r="C7725" s="403" t="s">
        <v>582</v>
      </c>
      <c r="D7725" s="355" t="s">
        <v>2089</v>
      </c>
      <c r="F7725" t="s">
        <v>2006</v>
      </c>
      <c r="G7725" t="s">
        <v>1811</v>
      </c>
      <c r="H7725" s="403" t="s">
        <v>1281</v>
      </c>
      <c r="I7725">
        <v>1</v>
      </c>
      <c r="J7725" s="403" t="s">
        <v>2000</v>
      </c>
      <c r="K7725" s="403">
        <v>2688</v>
      </c>
      <c r="L7725" s="403">
        <v>1520</v>
      </c>
      <c r="M7725" s="403" t="s">
        <v>2000</v>
      </c>
      <c r="N7725" s="403">
        <v>2688</v>
      </c>
      <c r="O7725" s="403">
        <v>1520</v>
      </c>
      <c r="P7725" t="str">
        <f>LEFT(F7725,5)&amp;" "&amp;J7725&amp;" - "&amp;M7725</f>
        <v>30fps 2688x1520 - 2688x1520</v>
      </c>
      <c r="Q7725">
        <f t="shared" si="1094"/>
        <v>66</v>
      </c>
      <c r="R7725" t="str">
        <f t="shared" si="1095"/>
        <v/>
      </c>
      <c r="S7725" t="str">
        <f t="shared" si="1096"/>
        <v/>
      </c>
      <c r="T7725" s="403" t="str">
        <f t="shared" si="1097"/>
        <v>NDE-5704-AL</v>
      </c>
      <c r="U7725" s="403">
        <f t="shared" si="1098"/>
        <v>1</v>
      </c>
      <c r="V7725" s="403" t="str">
        <f t="shared" si="1099"/>
        <v>CPP_7_3</v>
      </c>
    </row>
    <row r="7726" spans="1:22">
      <c r="A7726" t="str">
        <f>IF(AND(G7726&lt;&gt;"rotate 90°"),D7726,"")</f>
        <v>NDE-5704-AL</v>
      </c>
      <c r="B7726" s="29" t="s">
        <v>2097</v>
      </c>
      <c r="C7726" s="403" t="s">
        <v>582</v>
      </c>
      <c r="D7726" s="355" t="s">
        <v>2089</v>
      </c>
      <c r="F7726" t="s">
        <v>2006</v>
      </c>
      <c r="G7726" t="s">
        <v>1811</v>
      </c>
      <c r="H7726" s="403" t="s">
        <v>1281</v>
      </c>
      <c r="I7726">
        <v>1</v>
      </c>
      <c r="J7726" s="403" t="s">
        <v>2000</v>
      </c>
      <c r="K7726" s="403">
        <v>2688</v>
      </c>
      <c r="L7726" s="403">
        <v>1520</v>
      </c>
      <c r="M7726" s="403" t="s">
        <v>628</v>
      </c>
      <c r="N7726" s="403">
        <v>1920</v>
      </c>
      <c r="O7726" s="403">
        <v>1080</v>
      </c>
      <c r="P7726" t="str">
        <f>LEFT(F7726,5)&amp;" "&amp;J7726&amp;" - "&amp;M7726</f>
        <v>30fps 2688x1520 - 1920x1080</v>
      </c>
      <c r="Q7726">
        <f t="shared" si="1094"/>
        <v>66</v>
      </c>
      <c r="R7726" t="str">
        <f t="shared" si="1095"/>
        <v/>
      </c>
      <c r="S7726" t="str">
        <f t="shared" si="1096"/>
        <v/>
      </c>
      <c r="T7726" s="403" t="str">
        <f t="shared" si="1097"/>
        <v>NDE-5704-AL</v>
      </c>
      <c r="U7726" s="403">
        <f t="shared" si="1098"/>
        <v>1</v>
      </c>
      <c r="V7726" s="403" t="str">
        <f t="shared" si="1099"/>
        <v>CPP_7_3</v>
      </c>
    </row>
    <row r="7727" spans="1:22">
      <c r="A7727" t="str">
        <f>IF(AND(G7727&lt;&gt;"rotate 90°"),D7727,"")</f>
        <v>NDE-5704-AL</v>
      </c>
      <c r="B7727" s="29" t="s">
        <v>2097</v>
      </c>
      <c r="C7727" s="403" t="s">
        <v>582</v>
      </c>
      <c r="D7727" s="355" t="s">
        <v>2089</v>
      </c>
      <c r="F7727" t="s">
        <v>2006</v>
      </c>
      <c r="G7727" t="s">
        <v>1811</v>
      </c>
      <c r="H7727" s="403" t="s">
        <v>1281</v>
      </c>
      <c r="I7727">
        <v>1</v>
      </c>
      <c r="J7727" s="403" t="s">
        <v>2000</v>
      </c>
      <c r="K7727" s="403">
        <v>2688</v>
      </c>
      <c r="L7727" s="403">
        <v>1520</v>
      </c>
      <c r="M7727" s="403" t="s">
        <v>1451</v>
      </c>
      <c r="N7727" s="403">
        <v>1536</v>
      </c>
      <c r="O7727" s="403">
        <v>864</v>
      </c>
      <c r="P7727" t="str">
        <f>LEFT(F7727,5)&amp;" "&amp;J7727&amp;" - "&amp;M7727</f>
        <v>30fps 2688x1520 - 1536x864</v>
      </c>
      <c r="Q7727">
        <f t="shared" si="1094"/>
        <v>66</v>
      </c>
      <c r="R7727" t="str">
        <f t="shared" si="1095"/>
        <v/>
      </c>
      <c r="S7727" t="str">
        <f t="shared" si="1096"/>
        <v/>
      </c>
      <c r="T7727" s="403" t="str">
        <f t="shared" si="1097"/>
        <v>NDE-5704-AL</v>
      </c>
      <c r="U7727" s="403">
        <f t="shared" si="1098"/>
        <v>1</v>
      </c>
      <c r="V7727" s="403" t="str">
        <f t="shared" si="1099"/>
        <v>CPP_7_3</v>
      </c>
    </row>
    <row r="7728" spans="1:22">
      <c r="A7728" t="str">
        <f>IF(AND(G7728&lt;&gt;"rotate 90°"),D7728,"")</f>
        <v>NDE-5704-AL</v>
      </c>
      <c r="B7728" s="29" t="s">
        <v>2097</v>
      </c>
      <c r="C7728" s="403" t="s">
        <v>582</v>
      </c>
      <c r="D7728" s="355" t="s">
        <v>2089</v>
      </c>
      <c r="F7728" t="s">
        <v>2006</v>
      </c>
      <c r="G7728" t="s">
        <v>1811</v>
      </c>
      <c r="H7728" s="403" t="s">
        <v>1281</v>
      </c>
      <c r="I7728">
        <v>1</v>
      </c>
      <c r="J7728" s="403" t="s">
        <v>2000</v>
      </c>
      <c r="K7728" s="403">
        <v>2688</v>
      </c>
      <c r="L7728" s="403">
        <v>1520</v>
      </c>
      <c r="M7728" s="403" t="s">
        <v>626</v>
      </c>
      <c r="N7728" s="403">
        <v>1280</v>
      </c>
      <c r="O7728" s="403">
        <v>720</v>
      </c>
      <c r="P7728" t="str">
        <f>LEFT(F7728,5)&amp;" "&amp;J7728&amp;" - "&amp;M7728</f>
        <v>30fps 2688x1520 - 1280x720</v>
      </c>
      <c r="Q7728">
        <f t="shared" si="1094"/>
        <v>66</v>
      </c>
      <c r="R7728" t="str">
        <f t="shared" si="1095"/>
        <v/>
      </c>
      <c r="S7728" t="str">
        <f t="shared" si="1096"/>
        <v/>
      </c>
      <c r="T7728" s="403" t="str">
        <f t="shared" si="1097"/>
        <v>NDE-5704-AL</v>
      </c>
      <c r="U7728" s="403">
        <f t="shared" si="1098"/>
        <v>1</v>
      </c>
      <c r="V7728" s="403" t="str">
        <f t="shared" si="1099"/>
        <v>CPP_7_3</v>
      </c>
    </row>
    <row r="7729" spans="1:22">
      <c r="A7729" t="str">
        <f>IF(AND(G7729&lt;&gt;"rotate 90°"),D7729,"")</f>
        <v>NDE-5704-AL</v>
      </c>
      <c r="B7729" s="29" t="s">
        <v>2097</v>
      </c>
      <c r="C7729" s="403" t="s">
        <v>582</v>
      </c>
      <c r="D7729" s="355" t="s">
        <v>2089</v>
      </c>
      <c r="F7729" t="s">
        <v>1286</v>
      </c>
      <c r="G7729" t="s">
        <v>1811</v>
      </c>
      <c r="H7729" s="403" t="s">
        <v>1281</v>
      </c>
      <c r="I7729">
        <v>1</v>
      </c>
      <c r="J7729" s="403" t="s">
        <v>628</v>
      </c>
      <c r="K7729" s="403">
        <v>1920</v>
      </c>
      <c r="L7729" s="403">
        <v>1080</v>
      </c>
      <c r="M7729" s="403" t="s">
        <v>628</v>
      </c>
      <c r="N7729" s="403">
        <v>1920</v>
      </c>
      <c r="O7729" s="403">
        <v>1080</v>
      </c>
      <c r="P7729" t="str">
        <f>LEFT(F7729,5)&amp;" "&amp;J7729&amp;" - "&amp;M7729</f>
        <v>30fps 1920x1080 - 1920x1080</v>
      </c>
      <c r="Q7729">
        <f t="shared" si="1094"/>
        <v>66</v>
      </c>
      <c r="R7729" t="str">
        <f t="shared" si="1095"/>
        <v/>
      </c>
      <c r="S7729" t="str">
        <f t="shared" si="1096"/>
        <v/>
      </c>
      <c r="T7729" s="403" t="str">
        <f t="shared" si="1097"/>
        <v>NDE-5704-AL</v>
      </c>
      <c r="U7729" s="403">
        <f t="shared" si="1098"/>
        <v>1</v>
      </c>
      <c r="V7729" s="403" t="str">
        <f t="shared" si="1099"/>
        <v>CPP_7_3</v>
      </c>
    </row>
    <row r="7730" spans="1:22">
      <c r="A7730" t="str">
        <f>IF(AND(G7730&lt;&gt;"rotate 90°"),D7730,"")</f>
        <v>NDE-5704-AL</v>
      </c>
      <c r="B7730" s="29" t="s">
        <v>2097</v>
      </c>
      <c r="C7730" s="403" t="s">
        <v>582</v>
      </c>
      <c r="D7730" s="355" t="s">
        <v>2089</v>
      </c>
      <c r="F7730" t="s">
        <v>1286</v>
      </c>
      <c r="G7730" t="s">
        <v>1811</v>
      </c>
      <c r="H7730" s="403" t="s">
        <v>1281</v>
      </c>
      <c r="I7730">
        <v>1</v>
      </c>
      <c r="J7730" s="403" t="s">
        <v>628</v>
      </c>
      <c r="K7730" s="403">
        <v>1920</v>
      </c>
      <c r="L7730" s="403">
        <v>1080</v>
      </c>
      <c r="M7730" s="403" t="s">
        <v>1451</v>
      </c>
      <c r="N7730" s="403">
        <v>1536</v>
      </c>
      <c r="O7730" s="403">
        <v>864</v>
      </c>
      <c r="P7730" t="str">
        <f>LEFT(F7730,5)&amp;" "&amp;J7730&amp;" - "&amp;M7730</f>
        <v>30fps 1920x1080 - 1536x864</v>
      </c>
      <c r="Q7730">
        <f t="shared" si="1094"/>
        <v>66</v>
      </c>
      <c r="R7730" t="str">
        <f t="shared" si="1095"/>
        <v/>
      </c>
      <c r="S7730" t="str">
        <f t="shared" si="1096"/>
        <v/>
      </c>
      <c r="T7730" s="403" t="str">
        <f t="shared" si="1097"/>
        <v>NDE-5704-AL</v>
      </c>
      <c r="U7730" s="403">
        <f t="shared" si="1098"/>
        <v>1</v>
      </c>
      <c r="V7730" s="403" t="str">
        <f t="shared" si="1099"/>
        <v>CPP_7_3</v>
      </c>
    </row>
    <row r="7731" spans="1:22">
      <c r="A7731" t="str">
        <f>IF(AND(G7731&lt;&gt;"rotate 90°"),D7731,"")</f>
        <v>NDE-5704-AL</v>
      </c>
      <c r="B7731" s="29" t="s">
        <v>2097</v>
      </c>
      <c r="C7731" s="403" t="s">
        <v>582</v>
      </c>
      <c r="D7731" s="355" t="s">
        <v>2089</v>
      </c>
      <c r="F7731" t="s">
        <v>1286</v>
      </c>
      <c r="G7731" t="s">
        <v>1811</v>
      </c>
      <c r="H7731" s="403" t="s">
        <v>1281</v>
      </c>
      <c r="I7731">
        <v>1</v>
      </c>
      <c r="J7731" s="403" t="s">
        <v>628</v>
      </c>
      <c r="K7731" s="403">
        <v>1920</v>
      </c>
      <c r="L7731" s="403">
        <v>1080</v>
      </c>
      <c r="M7731" s="403" t="s">
        <v>626</v>
      </c>
      <c r="N7731" s="403">
        <v>1280</v>
      </c>
      <c r="O7731" s="403">
        <v>720</v>
      </c>
      <c r="P7731" t="str">
        <f>LEFT(F7731,5)&amp;" "&amp;J7731&amp;" - "&amp;M7731</f>
        <v>30fps 1920x1080 - 1280x720</v>
      </c>
      <c r="Q7731">
        <f t="shared" si="1094"/>
        <v>66</v>
      </c>
      <c r="R7731" t="str">
        <f t="shared" si="1095"/>
        <v/>
      </c>
      <c r="S7731" t="str">
        <f t="shared" si="1096"/>
        <v/>
      </c>
      <c r="T7731" s="403" t="str">
        <f t="shared" si="1097"/>
        <v>NDE-5704-AL</v>
      </c>
      <c r="U7731" s="403">
        <f t="shared" si="1098"/>
        <v>1</v>
      </c>
      <c r="V7731" s="403" t="str">
        <f t="shared" si="1099"/>
        <v>CPP_7_3</v>
      </c>
    </row>
    <row r="7732" spans="1:22">
      <c r="A7732" t="str">
        <f>IF(AND(G7732&lt;&gt;"rotate 90°"),D7732,"")</f>
        <v>NDE-8702-RX</v>
      </c>
      <c r="B7732" s="29" t="s">
        <v>2090</v>
      </c>
      <c r="C7732" s="403" t="s">
        <v>582</v>
      </c>
      <c r="D7732" s="355" t="s">
        <v>2092</v>
      </c>
      <c r="H7732" s="403"/>
      <c r="I7732">
        <v>1</v>
      </c>
      <c r="J7732" s="403"/>
      <c r="K7732" s="403"/>
      <c r="L7732" s="403"/>
      <c r="M7732" s="403"/>
      <c r="N7732" s="403"/>
      <c r="O7732" s="403"/>
      <c r="P7732" t="str">
        <f>LEFT(F7732,5)&amp;" "&amp;J7732&amp;" - "&amp;M7732</f>
        <v xml:space="preserve">  - </v>
      </c>
      <c r="Q7732">
        <f t="shared" si="1094"/>
        <v>67</v>
      </c>
      <c r="R7732">
        <f t="shared" si="1095"/>
        <v>67</v>
      </c>
      <c r="S7732" t="str">
        <f t="shared" si="1096"/>
        <v>FLEXIDOME 8100i (NDE-8702-RX)</v>
      </c>
      <c r="T7732" s="403" t="str">
        <f t="shared" si="1097"/>
        <v>NDE-8702-RX</v>
      </c>
      <c r="U7732" s="403">
        <f t="shared" si="1098"/>
        <v>1</v>
      </c>
      <c r="V7732" s="403" t="str">
        <f t="shared" si="1099"/>
        <v>CPP_7_3</v>
      </c>
    </row>
    <row r="7733" spans="1:22">
      <c r="A7733" t="str">
        <f>IF(AND(G7733&lt;&gt;"rotate 90°"),D7733,"")</f>
        <v>NDE-8702-RX</v>
      </c>
      <c r="B7733" s="29" t="s">
        <v>2090</v>
      </c>
      <c r="C7733" s="403" t="s">
        <v>582</v>
      </c>
      <c r="D7733" s="355" t="s">
        <v>2092</v>
      </c>
      <c r="F7733" t="s">
        <v>1288</v>
      </c>
      <c r="G7733" t="s">
        <v>1811</v>
      </c>
      <c r="H7733" s="403" t="s">
        <v>1281</v>
      </c>
      <c r="I7733">
        <v>1</v>
      </c>
      <c r="J7733" s="403" t="s">
        <v>628</v>
      </c>
      <c r="K7733" s="403">
        <v>1920</v>
      </c>
      <c r="L7733" s="403">
        <v>1080</v>
      </c>
      <c r="M7733" s="403" t="s">
        <v>628</v>
      </c>
      <c r="N7733" s="403">
        <v>2688</v>
      </c>
      <c r="O7733" s="403">
        <v>1520</v>
      </c>
      <c r="P7733" t="str">
        <f>LEFT(F7733,5)&amp;" "&amp;J7733&amp;" - "&amp;M7733</f>
        <v>60fps 1920x1080 - 1920x1080</v>
      </c>
      <c r="Q7733">
        <f t="shared" si="1094"/>
        <v>67</v>
      </c>
      <c r="R7733" t="str">
        <f t="shared" si="1095"/>
        <v/>
      </c>
      <c r="S7733" t="str">
        <f t="shared" si="1096"/>
        <v/>
      </c>
      <c r="T7733" s="403" t="str">
        <f t="shared" si="1097"/>
        <v>NDE-8702-RX</v>
      </c>
      <c r="U7733" s="403">
        <f t="shared" si="1098"/>
        <v>1</v>
      </c>
      <c r="V7733" s="403" t="str">
        <f t="shared" si="1099"/>
        <v>CPP_7_3</v>
      </c>
    </row>
    <row r="7734" spans="1:22">
      <c r="A7734" t="str">
        <f>IF(AND(G7734&lt;&gt;"rotate 90°"),D7734,"")</f>
        <v>NDE-8702-RX</v>
      </c>
      <c r="B7734" s="29" t="s">
        <v>2090</v>
      </c>
      <c r="C7734" s="403" t="s">
        <v>582</v>
      </c>
      <c r="D7734" s="355" t="s">
        <v>2092</v>
      </c>
      <c r="F7734" t="s">
        <v>1288</v>
      </c>
      <c r="G7734" t="s">
        <v>1811</v>
      </c>
      <c r="H7734" s="403" t="s">
        <v>1281</v>
      </c>
      <c r="I7734">
        <v>1</v>
      </c>
      <c r="J7734" s="403" t="s">
        <v>628</v>
      </c>
      <c r="K7734" s="403">
        <v>1920</v>
      </c>
      <c r="L7734" s="403">
        <v>1080</v>
      </c>
      <c r="M7734" s="403" t="s">
        <v>1451</v>
      </c>
      <c r="N7734" s="403">
        <v>1536</v>
      </c>
      <c r="O7734" s="403">
        <v>864</v>
      </c>
      <c r="P7734" t="str">
        <f>LEFT(F7734,5)&amp;" "&amp;J7734&amp;" - "&amp;M7734</f>
        <v>60fps 1920x1080 - 1536x864</v>
      </c>
      <c r="Q7734">
        <f t="shared" si="1094"/>
        <v>67</v>
      </c>
      <c r="R7734" t="str">
        <f t="shared" si="1095"/>
        <v/>
      </c>
      <c r="S7734" t="str">
        <f t="shared" si="1096"/>
        <v/>
      </c>
      <c r="T7734" s="403" t="str">
        <f t="shared" si="1097"/>
        <v>NDE-8702-RX</v>
      </c>
      <c r="U7734" s="403">
        <f t="shared" si="1098"/>
        <v>1</v>
      </c>
      <c r="V7734" s="403" t="str">
        <f t="shared" si="1099"/>
        <v>CPP_7_3</v>
      </c>
    </row>
    <row r="7735" spans="1:22">
      <c r="A7735" t="str">
        <f>IF(AND(G7735&lt;&gt;"rotate 90°"),D7735,"")</f>
        <v>NDE-8702-RX</v>
      </c>
      <c r="B7735" s="29" t="s">
        <v>2090</v>
      </c>
      <c r="C7735" s="403" t="s">
        <v>582</v>
      </c>
      <c r="D7735" s="355" t="s">
        <v>2092</v>
      </c>
      <c r="F7735" t="s">
        <v>1288</v>
      </c>
      <c r="G7735" t="s">
        <v>1811</v>
      </c>
      <c r="H7735" s="403" t="s">
        <v>1281</v>
      </c>
      <c r="I7735">
        <v>1</v>
      </c>
      <c r="J7735" s="403" t="s">
        <v>628</v>
      </c>
      <c r="K7735" s="403">
        <v>1920</v>
      </c>
      <c r="L7735" s="403">
        <v>1080</v>
      </c>
      <c r="M7735" s="403" t="s">
        <v>626</v>
      </c>
      <c r="N7735" s="403">
        <v>1280</v>
      </c>
      <c r="O7735" s="403">
        <v>720</v>
      </c>
      <c r="P7735" t="str">
        <f>LEFT(F7735,5)&amp;" "&amp;J7735&amp;" - "&amp;M7735</f>
        <v>60fps 1920x1080 - 1280x720</v>
      </c>
      <c r="Q7735">
        <f t="shared" si="1094"/>
        <v>67</v>
      </c>
      <c r="R7735" t="str">
        <f t="shared" si="1095"/>
        <v/>
      </c>
      <c r="S7735" t="str">
        <f t="shared" si="1096"/>
        <v/>
      </c>
      <c r="T7735" s="403" t="str">
        <f t="shared" si="1097"/>
        <v>NDE-8702-RX</v>
      </c>
      <c r="U7735" s="403">
        <f t="shared" si="1098"/>
        <v>1</v>
      </c>
      <c r="V7735" s="403" t="str">
        <f t="shared" si="1099"/>
        <v>CPP_7_3</v>
      </c>
    </row>
    <row r="7736" spans="1:22">
      <c r="A7736" t="str">
        <f>IF(AND(G7736&lt;&gt;"rotate 90°"),D7736,"")</f>
        <v>NDE-8702-RX</v>
      </c>
      <c r="B7736" s="29" t="s">
        <v>2090</v>
      </c>
      <c r="C7736" s="403" t="s">
        <v>582</v>
      </c>
      <c r="D7736" s="355" t="s">
        <v>2092</v>
      </c>
      <c r="F7736" t="s">
        <v>1286</v>
      </c>
      <c r="G7736" t="s">
        <v>1811</v>
      </c>
      <c r="H7736" s="403" t="s">
        <v>1281</v>
      </c>
      <c r="I7736">
        <v>1</v>
      </c>
      <c r="J7736" s="403" t="s">
        <v>628</v>
      </c>
      <c r="K7736" s="403">
        <v>1920</v>
      </c>
      <c r="L7736" s="403">
        <v>1080</v>
      </c>
      <c r="M7736" s="403" t="s">
        <v>628</v>
      </c>
      <c r="N7736" s="403">
        <v>2688</v>
      </c>
      <c r="O7736" s="403">
        <v>1520</v>
      </c>
      <c r="P7736" t="str">
        <f>LEFT(F7736,5)&amp;" "&amp;J7736&amp;" - "&amp;M7736</f>
        <v>30fps 1920x1080 - 1920x1080</v>
      </c>
      <c r="Q7736">
        <f t="shared" si="1094"/>
        <v>67</v>
      </c>
      <c r="R7736" t="str">
        <f t="shared" si="1095"/>
        <v/>
      </c>
      <c r="S7736" t="str">
        <f t="shared" si="1096"/>
        <v/>
      </c>
      <c r="T7736" s="403" t="str">
        <f t="shared" si="1097"/>
        <v>NDE-8702-RX</v>
      </c>
      <c r="U7736" s="403">
        <f t="shared" si="1098"/>
        <v>1</v>
      </c>
      <c r="V7736" s="403" t="str">
        <f t="shared" si="1099"/>
        <v>CPP_7_3</v>
      </c>
    </row>
    <row r="7737" spans="1:22">
      <c r="A7737" t="str">
        <f>IF(AND(G7737&lt;&gt;"rotate 90°"),D7737,"")</f>
        <v>NDE-8702-RX</v>
      </c>
      <c r="B7737" s="29" t="s">
        <v>2090</v>
      </c>
      <c r="C7737" s="403" t="s">
        <v>582</v>
      </c>
      <c r="D7737" s="355" t="s">
        <v>2092</v>
      </c>
      <c r="F7737" t="s">
        <v>1286</v>
      </c>
      <c r="G7737" t="s">
        <v>1811</v>
      </c>
      <c r="H7737" s="403" t="s">
        <v>1281</v>
      </c>
      <c r="I7737">
        <v>1</v>
      </c>
      <c r="J7737" s="403" t="s">
        <v>628</v>
      </c>
      <c r="K7737" s="403">
        <v>1920</v>
      </c>
      <c r="L7737" s="403">
        <v>1080</v>
      </c>
      <c r="M7737" s="403" t="s">
        <v>1451</v>
      </c>
      <c r="N7737" s="403">
        <v>1536</v>
      </c>
      <c r="O7737" s="403">
        <v>864</v>
      </c>
      <c r="P7737" t="str">
        <f>LEFT(F7737,5)&amp;" "&amp;J7737&amp;" - "&amp;M7737</f>
        <v>30fps 1920x1080 - 1536x864</v>
      </c>
      <c r="Q7737">
        <f t="shared" si="1094"/>
        <v>67</v>
      </c>
      <c r="R7737" t="str">
        <f t="shared" si="1095"/>
        <v/>
      </c>
      <c r="S7737" t="str">
        <f t="shared" si="1096"/>
        <v/>
      </c>
      <c r="T7737" s="403" t="str">
        <f t="shared" si="1097"/>
        <v>NDE-8702-RX</v>
      </c>
      <c r="U7737" s="403">
        <f t="shared" si="1098"/>
        <v>1</v>
      </c>
      <c r="V7737" s="403" t="str">
        <f t="shared" si="1099"/>
        <v>CPP_7_3</v>
      </c>
    </row>
    <row r="7738" spans="1:22">
      <c r="A7738" t="str">
        <f>IF(AND(G7738&lt;&gt;"rotate 90°"),D7738,"")</f>
        <v>NDE-8702-RX</v>
      </c>
      <c r="B7738" s="29" t="s">
        <v>2090</v>
      </c>
      <c r="C7738" s="403" t="s">
        <v>582</v>
      </c>
      <c r="D7738" s="355" t="s">
        <v>2092</v>
      </c>
      <c r="F7738" t="s">
        <v>1286</v>
      </c>
      <c r="G7738" t="s">
        <v>1811</v>
      </c>
      <c r="H7738" s="403" t="s">
        <v>1281</v>
      </c>
      <c r="I7738">
        <v>1</v>
      </c>
      <c r="J7738" s="403" t="s">
        <v>628</v>
      </c>
      <c r="K7738" s="403">
        <v>1920</v>
      </c>
      <c r="L7738" s="403">
        <v>1080</v>
      </c>
      <c r="M7738" s="403" t="s">
        <v>626</v>
      </c>
      <c r="N7738" s="403">
        <v>1280</v>
      </c>
      <c r="O7738" s="403">
        <v>720</v>
      </c>
      <c r="P7738" t="str">
        <f>LEFT(F7738,5)&amp;" "&amp;J7738&amp;" - "&amp;M7738</f>
        <v>30fps 1920x1080 - 1280x720</v>
      </c>
      <c r="Q7738">
        <f t="shared" si="1094"/>
        <v>67</v>
      </c>
      <c r="R7738" t="str">
        <f t="shared" si="1095"/>
        <v/>
      </c>
      <c r="S7738" t="str">
        <f t="shared" si="1096"/>
        <v/>
      </c>
      <c r="T7738" s="403" t="str">
        <f t="shared" si="1097"/>
        <v>NDE-8702-RX</v>
      </c>
      <c r="U7738" s="403">
        <f t="shared" si="1098"/>
        <v>1</v>
      </c>
      <c r="V7738" s="403" t="str">
        <f t="shared" si="1099"/>
        <v>CPP_7_3</v>
      </c>
    </row>
    <row r="7739" spans="1:22">
      <c r="A7739" t="str">
        <f>IF(AND(G7739&lt;&gt;"rotate 90°"),D7739,"")</f>
        <v>NDE-8703-RX</v>
      </c>
      <c r="B7739" s="29" t="s">
        <v>2090</v>
      </c>
      <c r="C7739" s="403" t="s">
        <v>582</v>
      </c>
      <c r="D7739" s="355" t="s">
        <v>2091</v>
      </c>
      <c r="H7739" s="403"/>
      <c r="I7739">
        <v>1</v>
      </c>
      <c r="J7739" s="403"/>
      <c r="K7739" s="403"/>
      <c r="L7739" s="403"/>
      <c r="M7739" s="403"/>
      <c r="N7739" s="403"/>
      <c r="O7739" s="403"/>
      <c r="P7739" t="str">
        <f>LEFT(F7739,5)&amp;" "&amp;J7739&amp;" - "&amp;M7739</f>
        <v xml:space="preserve">  - </v>
      </c>
      <c r="Q7739">
        <f t="shared" si="1094"/>
        <v>68</v>
      </c>
      <c r="R7739">
        <f t="shared" si="1095"/>
        <v>68</v>
      </c>
      <c r="S7739" t="str">
        <f t="shared" si="1096"/>
        <v>FLEXIDOME 8100i (NDE-8703-RX)</v>
      </c>
      <c r="T7739" s="403" t="str">
        <f t="shared" si="1097"/>
        <v>NDE-8703-RX</v>
      </c>
      <c r="U7739" s="403">
        <f t="shared" si="1098"/>
        <v>1</v>
      </c>
      <c r="V7739" s="403" t="str">
        <f t="shared" si="1099"/>
        <v>CPP_7_3</v>
      </c>
    </row>
    <row r="7740" spans="1:22">
      <c r="A7740" t="str">
        <f>IF(AND(G7740&lt;&gt;"rotate 90°"),D7740,"")</f>
        <v>NDE-8703-RX</v>
      </c>
      <c r="B7740" s="29" t="s">
        <v>2090</v>
      </c>
      <c r="C7740" s="403" t="s">
        <v>582</v>
      </c>
      <c r="D7740" s="355" t="s">
        <v>2091</v>
      </c>
      <c r="F7740" t="s">
        <v>1999</v>
      </c>
      <c r="G7740" t="s">
        <v>1811</v>
      </c>
      <c r="H7740" s="403" t="s">
        <v>1281</v>
      </c>
      <c r="I7740">
        <v>1</v>
      </c>
      <c r="J7740" s="403" t="s">
        <v>2000</v>
      </c>
      <c r="K7740" s="403">
        <v>2688</v>
      </c>
      <c r="L7740" s="403">
        <v>1520</v>
      </c>
      <c r="M7740" s="403" t="s">
        <v>2000</v>
      </c>
      <c r="N7740" s="403">
        <v>2688</v>
      </c>
      <c r="O7740" s="403">
        <v>1520</v>
      </c>
      <c r="P7740" t="str">
        <f>LEFT(F7740,5)&amp;" "&amp;J7740&amp;" - "&amp;M7740</f>
        <v>60fps 2688x1520 - 2688x1520</v>
      </c>
      <c r="Q7740">
        <f t="shared" si="1094"/>
        <v>68</v>
      </c>
      <c r="R7740" t="str">
        <f t="shared" si="1095"/>
        <v/>
      </c>
      <c r="S7740" t="str">
        <f t="shared" si="1096"/>
        <v/>
      </c>
      <c r="T7740" s="403" t="str">
        <f t="shared" si="1097"/>
        <v>NDE-8703-RX</v>
      </c>
      <c r="U7740" s="403">
        <f t="shared" si="1098"/>
        <v>1</v>
      </c>
      <c r="V7740" s="403" t="str">
        <f t="shared" si="1099"/>
        <v>CPP_7_3</v>
      </c>
    </row>
    <row r="7741" spans="1:22">
      <c r="A7741" t="str">
        <f>IF(AND(G7741&lt;&gt;"rotate 90°"),D7741,"")</f>
        <v>NDE-8703-RX</v>
      </c>
      <c r="B7741" s="29" t="s">
        <v>2090</v>
      </c>
      <c r="C7741" s="403" t="s">
        <v>582</v>
      </c>
      <c r="D7741" s="355" t="s">
        <v>2091</v>
      </c>
      <c r="F7741" t="s">
        <v>1999</v>
      </c>
      <c r="G7741" t="s">
        <v>1811</v>
      </c>
      <c r="H7741" s="403" t="s">
        <v>1281</v>
      </c>
      <c r="I7741">
        <v>1</v>
      </c>
      <c r="J7741" s="403" t="s">
        <v>2000</v>
      </c>
      <c r="K7741" s="403">
        <v>2688</v>
      </c>
      <c r="L7741" s="403">
        <v>1520</v>
      </c>
      <c r="M7741" s="403" t="s">
        <v>628</v>
      </c>
      <c r="N7741" s="403">
        <v>1920</v>
      </c>
      <c r="O7741" s="403">
        <v>1080</v>
      </c>
      <c r="P7741" t="str">
        <f>LEFT(F7741,5)&amp;" "&amp;J7741&amp;" - "&amp;M7741</f>
        <v>60fps 2688x1520 - 1920x1080</v>
      </c>
      <c r="Q7741">
        <f t="shared" si="1094"/>
        <v>68</v>
      </c>
      <c r="R7741" t="str">
        <f t="shared" si="1095"/>
        <v/>
      </c>
      <c r="S7741" t="str">
        <f t="shared" si="1096"/>
        <v/>
      </c>
      <c r="T7741" s="403" t="str">
        <f t="shared" si="1097"/>
        <v>NDE-8703-RX</v>
      </c>
      <c r="U7741" s="403">
        <f t="shared" si="1098"/>
        <v>1</v>
      </c>
      <c r="V7741" s="403" t="str">
        <f t="shared" si="1099"/>
        <v>CPP_7_3</v>
      </c>
    </row>
    <row r="7742" spans="1:22">
      <c r="A7742" t="str">
        <f>IF(AND(G7742&lt;&gt;"rotate 90°"),D7742,"")</f>
        <v>NDE-8703-RX</v>
      </c>
      <c r="B7742" s="29" t="s">
        <v>2090</v>
      </c>
      <c r="C7742" s="403" t="s">
        <v>582</v>
      </c>
      <c r="D7742" s="355" t="s">
        <v>2091</v>
      </c>
      <c r="F7742" t="s">
        <v>1999</v>
      </c>
      <c r="G7742" t="s">
        <v>1811</v>
      </c>
      <c r="H7742" s="403" t="s">
        <v>1281</v>
      </c>
      <c r="I7742">
        <v>1</v>
      </c>
      <c r="J7742" s="403" t="s">
        <v>2000</v>
      </c>
      <c r="K7742" s="403">
        <v>2688</v>
      </c>
      <c r="L7742" s="403">
        <v>1520</v>
      </c>
      <c r="M7742" s="403" t="s">
        <v>1451</v>
      </c>
      <c r="N7742" s="403">
        <v>1536</v>
      </c>
      <c r="O7742" s="403">
        <v>864</v>
      </c>
      <c r="P7742" t="str">
        <f>LEFT(F7742,5)&amp;" "&amp;J7742&amp;" - "&amp;M7742</f>
        <v>60fps 2688x1520 - 1536x864</v>
      </c>
      <c r="Q7742">
        <f t="shared" si="1094"/>
        <v>68</v>
      </c>
      <c r="R7742" t="str">
        <f t="shared" si="1095"/>
        <v/>
      </c>
      <c r="S7742" t="str">
        <f t="shared" si="1096"/>
        <v/>
      </c>
      <c r="T7742" s="403" t="str">
        <f t="shared" si="1097"/>
        <v>NDE-8703-RX</v>
      </c>
      <c r="U7742" s="403">
        <f t="shared" si="1098"/>
        <v>1</v>
      </c>
      <c r="V7742" s="403" t="str">
        <f t="shared" si="1099"/>
        <v>CPP_7_3</v>
      </c>
    </row>
    <row r="7743" spans="1:22">
      <c r="A7743" t="str">
        <f>IF(AND(G7743&lt;&gt;"rotate 90°"),D7743,"")</f>
        <v>NDE-8703-RX</v>
      </c>
      <c r="B7743" s="29" t="s">
        <v>2090</v>
      </c>
      <c r="C7743" s="403" t="s">
        <v>582</v>
      </c>
      <c r="D7743" s="355" t="s">
        <v>2091</v>
      </c>
      <c r="F7743" t="s">
        <v>1999</v>
      </c>
      <c r="G7743" t="s">
        <v>1811</v>
      </c>
      <c r="H7743" s="403" t="s">
        <v>1281</v>
      </c>
      <c r="I7743">
        <v>1</v>
      </c>
      <c r="J7743" s="403" t="s">
        <v>2000</v>
      </c>
      <c r="K7743" s="403">
        <v>2688</v>
      </c>
      <c r="L7743" s="403">
        <v>1520</v>
      </c>
      <c r="M7743" s="403" t="s">
        <v>626</v>
      </c>
      <c r="N7743" s="403">
        <v>1280</v>
      </c>
      <c r="O7743" s="403">
        <v>720</v>
      </c>
      <c r="P7743" t="str">
        <f>LEFT(F7743,5)&amp;" "&amp;J7743&amp;" - "&amp;M7743</f>
        <v>60fps 2688x1520 - 1280x720</v>
      </c>
      <c r="Q7743">
        <f t="shared" si="1094"/>
        <v>68</v>
      </c>
      <c r="R7743" t="str">
        <f t="shared" si="1095"/>
        <v/>
      </c>
      <c r="S7743" t="str">
        <f t="shared" si="1096"/>
        <v/>
      </c>
      <c r="T7743" s="403" t="str">
        <f t="shared" si="1097"/>
        <v>NDE-8703-RX</v>
      </c>
      <c r="U7743" s="403">
        <f t="shared" si="1098"/>
        <v>1</v>
      </c>
      <c r="V7743" s="403" t="str">
        <f t="shared" si="1099"/>
        <v>CPP_7_3</v>
      </c>
    </row>
    <row r="7744" spans="1:22">
      <c r="A7744" t="str">
        <f>IF(AND(G7744&lt;&gt;"rotate 90°"),D7744,"")</f>
        <v>NDE-8703-RX</v>
      </c>
      <c r="B7744" s="29" t="s">
        <v>2090</v>
      </c>
      <c r="C7744" s="403" t="s">
        <v>582</v>
      </c>
      <c r="D7744" s="355" t="s">
        <v>2091</v>
      </c>
      <c r="F7744" t="s">
        <v>1288</v>
      </c>
      <c r="G7744" t="s">
        <v>1811</v>
      </c>
      <c r="H7744" s="403" t="s">
        <v>1281</v>
      </c>
      <c r="I7744">
        <v>1</v>
      </c>
      <c r="J7744" s="403" t="s">
        <v>628</v>
      </c>
      <c r="K7744" s="403">
        <v>1920</v>
      </c>
      <c r="L7744" s="403">
        <v>1080</v>
      </c>
      <c r="M7744" s="403" t="s">
        <v>628</v>
      </c>
      <c r="N7744" s="403">
        <v>1920</v>
      </c>
      <c r="O7744" s="403">
        <v>1080</v>
      </c>
      <c r="P7744" t="str">
        <f>LEFT(F7744,5)&amp;" "&amp;J7744&amp;" - "&amp;M7744</f>
        <v>60fps 1920x1080 - 1920x1080</v>
      </c>
      <c r="Q7744">
        <f t="shared" si="1094"/>
        <v>68</v>
      </c>
      <c r="R7744" t="str">
        <f t="shared" si="1095"/>
        <v/>
      </c>
      <c r="S7744" t="str">
        <f t="shared" si="1096"/>
        <v/>
      </c>
      <c r="T7744" s="403" t="str">
        <f t="shared" si="1097"/>
        <v>NDE-8703-RX</v>
      </c>
      <c r="U7744" s="403">
        <f t="shared" si="1098"/>
        <v>1</v>
      </c>
      <c r="V7744" s="403" t="str">
        <f t="shared" si="1099"/>
        <v>CPP_7_3</v>
      </c>
    </row>
    <row r="7745" spans="1:22">
      <c r="A7745" t="str">
        <f>IF(AND(G7745&lt;&gt;"rotate 90°"),D7745,"")</f>
        <v>NDE-8703-RX</v>
      </c>
      <c r="B7745" s="29" t="s">
        <v>2090</v>
      </c>
      <c r="C7745" s="403" t="s">
        <v>582</v>
      </c>
      <c r="D7745" s="355" t="s">
        <v>2091</v>
      </c>
      <c r="F7745" t="s">
        <v>1288</v>
      </c>
      <c r="G7745" t="s">
        <v>1811</v>
      </c>
      <c r="H7745" s="403" t="s">
        <v>1281</v>
      </c>
      <c r="I7745">
        <v>1</v>
      </c>
      <c r="J7745" s="403" t="s">
        <v>628</v>
      </c>
      <c r="K7745" s="403">
        <v>1920</v>
      </c>
      <c r="L7745" s="403">
        <v>1080</v>
      </c>
      <c r="M7745" s="403" t="s">
        <v>1451</v>
      </c>
      <c r="N7745" s="403">
        <v>1536</v>
      </c>
      <c r="O7745" s="403">
        <v>864</v>
      </c>
      <c r="P7745" t="str">
        <f>LEFT(F7745,5)&amp;" "&amp;J7745&amp;" - "&amp;M7745</f>
        <v>60fps 1920x1080 - 1536x864</v>
      </c>
      <c r="Q7745">
        <f t="shared" si="1094"/>
        <v>68</v>
      </c>
      <c r="R7745" t="str">
        <f t="shared" si="1095"/>
        <v/>
      </c>
      <c r="S7745" t="str">
        <f t="shared" si="1096"/>
        <v/>
      </c>
      <c r="T7745" s="403" t="str">
        <f t="shared" si="1097"/>
        <v>NDE-8703-RX</v>
      </c>
      <c r="U7745" s="403">
        <f t="shared" si="1098"/>
        <v>1</v>
      </c>
      <c r="V7745" s="403" t="str">
        <f t="shared" si="1099"/>
        <v>CPP_7_3</v>
      </c>
    </row>
    <row r="7746" spans="1:22">
      <c r="A7746" t="str">
        <f>IF(AND(G7746&lt;&gt;"rotate 90°"),D7746,"")</f>
        <v>NDE-8703-RX</v>
      </c>
      <c r="B7746" s="29" t="s">
        <v>2090</v>
      </c>
      <c r="C7746" s="403" t="s">
        <v>582</v>
      </c>
      <c r="D7746" s="355" t="s">
        <v>2091</v>
      </c>
      <c r="F7746" t="s">
        <v>1288</v>
      </c>
      <c r="G7746" t="s">
        <v>1811</v>
      </c>
      <c r="H7746" s="403" t="s">
        <v>1281</v>
      </c>
      <c r="I7746">
        <v>1</v>
      </c>
      <c r="J7746" s="403" t="s">
        <v>628</v>
      </c>
      <c r="K7746" s="403">
        <v>1920</v>
      </c>
      <c r="L7746" s="403">
        <v>1080</v>
      </c>
      <c r="M7746" s="403" t="s">
        <v>626</v>
      </c>
      <c r="N7746" s="403">
        <v>1280</v>
      </c>
      <c r="O7746" s="403">
        <v>720</v>
      </c>
      <c r="P7746" t="str">
        <f>LEFT(F7746,5)&amp;" "&amp;J7746&amp;" - "&amp;M7746</f>
        <v>60fps 1920x1080 - 1280x720</v>
      </c>
      <c r="Q7746">
        <f t="shared" si="1094"/>
        <v>68</v>
      </c>
      <c r="R7746" t="str">
        <f t="shared" si="1095"/>
        <v/>
      </c>
      <c r="S7746" t="str">
        <f t="shared" si="1096"/>
        <v/>
      </c>
      <c r="T7746" s="403" t="str">
        <f t="shared" si="1097"/>
        <v>NDE-8703-RX</v>
      </c>
      <c r="U7746" s="403">
        <f t="shared" si="1098"/>
        <v>1</v>
      </c>
      <c r="V7746" s="403" t="str">
        <f t="shared" si="1099"/>
        <v>CPP_7_3</v>
      </c>
    </row>
    <row r="7747" spans="1:22">
      <c r="A7747" t="str">
        <f>IF(AND(G7747&lt;&gt;"rotate 90°"),D7747,"")</f>
        <v>NDE-8703-RX</v>
      </c>
      <c r="B7747" s="29" t="s">
        <v>2090</v>
      </c>
      <c r="C7747" s="403" t="s">
        <v>582</v>
      </c>
      <c r="D7747" s="355" t="s">
        <v>2091</v>
      </c>
      <c r="F7747" t="s">
        <v>2006</v>
      </c>
      <c r="G7747" t="s">
        <v>1811</v>
      </c>
      <c r="H7747" s="403" t="s">
        <v>1281</v>
      </c>
      <c r="I7747">
        <v>1</v>
      </c>
      <c r="J7747" s="403" t="s">
        <v>2000</v>
      </c>
      <c r="K7747" s="403">
        <v>2688</v>
      </c>
      <c r="L7747" s="403">
        <v>1520</v>
      </c>
      <c r="M7747" s="403" t="s">
        <v>2000</v>
      </c>
      <c r="N7747" s="403">
        <v>2688</v>
      </c>
      <c r="O7747" s="403">
        <v>1520</v>
      </c>
      <c r="P7747" t="str">
        <f>LEFT(F7747,5)&amp;" "&amp;J7747&amp;" - "&amp;M7747</f>
        <v>30fps 2688x1520 - 2688x1520</v>
      </c>
      <c r="Q7747">
        <f t="shared" si="1094"/>
        <v>68</v>
      </c>
      <c r="R7747" t="str">
        <f t="shared" si="1095"/>
        <v/>
      </c>
      <c r="S7747" t="str">
        <f t="shared" si="1096"/>
        <v/>
      </c>
      <c r="T7747" s="403" t="str">
        <f t="shared" si="1097"/>
        <v>NDE-8703-RX</v>
      </c>
      <c r="U7747" s="403">
        <f t="shared" si="1098"/>
        <v>1</v>
      </c>
      <c r="V7747" s="403" t="str">
        <f t="shared" si="1099"/>
        <v>CPP_7_3</v>
      </c>
    </row>
    <row r="7748" spans="1:22">
      <c r="A7748" t="str">
        <f>IF(AND(G7748&lt;&gt;"rotate 90°"),D7748,"")</f>
        <v>NDE-8703-RX</v>
      </c>
      <c r="B7748" s="29" t="s">
        <v>2090</v>
      </c>
      <c r="C7748" s="403" t="s">
        <v>582</v>
      </c>
      <c r="D7748" s="355" t="s">
        <v>2091</v>
      </c>
      <c r="F7748" t="s">
        <v>2006</v>
      </c>
      <c r="G7748" t="s">
        <v>1811</v>
      </c>
      <c r="H7748" s="403" t="s">
        <v>1281</v>
      </c>
      <c r="I7748">
        <v>1</v>
      </c>
      <c r="J7748" s="403" t="s">
        <v>2000</v>
      </c>
      <c r="K7748" s="403">
        <v>2688</v>
      </c>
      <c r="L7748" s="403">
        <v>1520</v>
      </c>
      <c r="M7748" s="403" t="s">
        <v>628</v>
      </c>
      <c r="N7748" s="403">
        <v>1920</v>
      </c>
      <c r="O7748" s="403">
        <v>1080</v>
      </c>
      <c r="P7748" t="str">
        <f>LEFT(F7748,5)&amp;" "&amp;J7748&amp;" - "&amp;M7748</f>
        <v>30fps 2688x1520 - 1920x1080</v>
      </c>
      <c r="Q7748">
        <f t="shared" si="1094"/>
        <v>68</v>
      </c>
      <c r="R7748" t="str">
        <f t="shared" si="1095"/>
        <v/>
      </c>
      <c r="S7748" t="str">
        <f t="shared" si="1096"/>
        <v/>
      </c>
      <c r="T7748" s="403" t="str">
        <f t="shared" si="1097"/>
        <v>NDE-8703-RX</v>
      </c>
      <c r="U7748" s="403">
        <f t="shared" si="1098"/>
        <v>1</v>
      </c>
      <c r="V7748" s="403" t="str">
        <f t="shared" si="1099"/>
        <v>CPP_7_3</v>
      </c>
    </row>
    <row r="7749" spans="1:22">
      <c r="A7749" t="str">
        <f>IF(AND(G7749&lt;&gt;"rotate 90°"),D7749,"")</f>
        <v>NDE-8703-RX</v>
      </c>
      <c r="B7749" s="29" t="s">
        <v>2090</v>
      </c>
      <c r="C7749" s="403" t="s">
        <v>582</v>
      </c>
      <c r="D7749" s="355" t="s">
        <v>2091</v>
      </c>
      <c r="F7749" t="s">
        <v>2006</v>
      </c>
      <c r="G7749" t="s">
        <v>1811</v>
      </c>
      <c r="H7749" s="403" t="s">
        <v>1281</v>
      </c>
      <c r="I7749">
        <v>1</v>
      </c>
      <c r="J7749" s="403" t="s">
        <v>2000</v>
      </c>
      <c r="K7749" s="403">
        <v>2688</v>
      </c>
      <c r="L7749" s="403">
        <v>1520</v>
      </c>
      <c r="M7749" s="403" t="s">
        <v>1451</v>
      </c>
      <c r="N7749" s="403">
        <v>1536</v>
      </c>
      <c r="O7749" s="403">
        <v>864</v>
      </c>
      <c r="P7749" t="str">
        <f>LEFT(F7749,5)&amp;" "&amp;J7749&amp;" - "&amp;M7749</f>
        <v>30fps 2688x1520 - 1536x864</v>
      </c>
      <c r="Q7749">
        <f t="shared" si="1094"/>
        <v>68</v>
      </c>
      <c r="R7749" t="str">
        <f t="shared" si="1095"/>
        <v/>
      </c>
      <c r="S7749" t="str">
        <f t="shared" si="1096"/>
        <v/>
      </c>
      <c r="T7749" s="403" t="str">
        <f t="shared" si="1097"/>
        <v>NDE-8703-RX</v>
      </c>
      <c r="U7749" s="403">
        <f t="shared" si="1098"/>
        <v>1</v>
      </c>
      <c r="V7749" s="403" t="str">
        <f t="shared" si="1099"/>
        <v>CPP_7_3</v>
      </c>
    </row>
    <row r="7750" spans="1:22">
      <c r="A7750" t="str">
        <f>IF(AND(G7750&lt;&gt;"rotate 90°"),D7750,"")</f>
        <v>NDE-8703-RX</v>
      </c>
      <c r="B7750" s="29" t="s">
        <v>2090</v>
      </c>
      <c r="C7750" s="403" t="s">
        <v>582</v>
      </c>
      <c r="D7750" s="355" t="s">
        <v>2091</v>
      </c>
      <c r="F7750" t="s">
        <v>2006</v>
      </c>
      <c r="G7750" t="s">
        <v>1811</v>
      </c>
      <c r="H7750" s="403" t="s">
        <v>1281</v>
      </c>
      <c r="I7750">
        <v>1</v>
      </c>
      <c r="J7750" s="403" t="s">
        <v>2000</v>
      </c>
      <c r="K7750" s="403">
        <v>2688</v>
      </c>
      <c r="L7750" s="403">
        <v>1520</v>
      </c>
      <c r="M7750" s="403" t="s">
        <v>626</v>
      </c>
      <c r="N7750" s="403">
        <v>1280</v>
      </c>
      <c r="O7750" s="403">
        <v>720</v>
      </c>
      <c r="P7750" t="str">
        <f>LEFT(F7750,5)&amp;" "&amp;J7750&amp;" - "&amp;M7750</f>
        <v>30fps 2688x1520 - 1280x720</v>
      </c>
      <c r="Q7750">
        <f t="shared" si="1094"/>
        <v>68</v>
      </c>
      <c r="R7750" t="str">
        <f t="shared" si="1095"/>
        <v/>
      </c>
      <c r="S7750" t="str">
        <f t="shared" si="1096"/>
        <v/>
      </c>
      <c r="T7750" s="403" t="str">
        <f t="shared" si="1097"/>
        <v>NDE-8703-RX</v>
      </c>
      <c r="U7750" s="403">
        <f t="shared" si="1098"/>
        <v>1</v>
      </c>
      <c r="V7750" s="403" t="str">
        <f t="shared" si="1099"/>
        <v>CPP_7_3</v>
      </c>
    </row>
    <row r="7751" spans="1:22">
      <c r="A7751" t="str">
        <f>IF(AND(G7751&lt;&gt;"rotate 90°"),D7751,"")</f>
        <v>NDE-8703-RX</v>
      </c>
      <c r="B7751" s="29" t="s">
        <v>2090</v>
      </c>
      <c r="C7751" s="403" t="s">
        <v>582</v>
      </c>
      <c r="D7751" s="355" t="s">
        <v>2091</v>
      </c>
      <c r="F7751" t="s">
        <v>1286</v>
      </c>
      <c r="G7751" t="s">
        <v>1811</v>
      </c>
      <c r="H7751" s="403" t="s">
        <v>1281</v>
      </c>
      <c r="I7751">
        <v>1</v>
      </c>
      <c r="J7751" s="403" t="s">
        <v>628</v>
      </c>
      <c r="K7751" s="403">
        <v>1920</v>
      </c>
      <c r="L7751" s="403">
        <v>1080</v>
      </c>
      <c r="M7751" s="403" t="s">
        <v>628</v>
      </c>
      <c r="N7751" s="403">
        <v>2688</v>
      </c>
      <c r="O7751" s="403">
        <v>1520</v>
      </c>
      <c r="P7751" t="str">
        <f>LEFT(F7751,5)&amp;" "&amp;J7751&amp;" - "&amp;M7751</f>
        <v>30fps 1920x1080 - 1920x1080</v>
      </c>
      <c r="Q7751">
        <f t="shared" si="1094"/>
        <v>68</v>
      </c>
      <c r="R7751" t="str">
        <f t="shared" si="1095"/>
        <v/>
      </c>
      <c r="S7751" t="str">
        <f t="shared" si="1096"/>
        <v/>
      </c>
      <c r="T7751" s="403" t="str">
        <f t="shared" si="1097"/>
        <v>NDE-8703-RX</v>
      </c>
      <c r="U7751" s="403">
        <f t="shared" si="1098"/>
        <v>1</v>
      </c>
      <c r="V7751" s="403" t="str">
        <f t="shared" si="1099"/>
        <v>CPP_7_3</v>
      </c>
    </row>
    <row r="7752" spans="1:22">
      <c r="A7752" t="str">
        <f>IF(AND(G7752&lt;&gt;"rotate 90°"),D7752,"")</f>
        <v>NDE-8703-RX</v>
      </c>
      <c r="B7752" s="29" t="s">
        <v>2090</v>
      </c>
      <c r="C7752" s="403" t="s">
        <v>582</v>
      </c>
      <c r="D7752" s="355" t="s">
        <v>2091</v>
      </c>
      <c r="F7752" t="s">
        <v>1286</v>
      </c>
      <c r="G7752" t="s">
        <v>1811</v>
      </c>
      <c r="H7752" s="403" t="s">
        <v>1281</v>
      </c>
      <c r="I7752">
        <v>1</v>
      </c>
      <c r="J7752" s="403" t="s">
        <v>628</v>
      </c>
      <c r="K7752" s="403">
        <v>1920</v>
      </c>
      <c r="L7752" s="403">
        <v>1080</v>
      </c>
      <c r="M7752" s="403" t="s">
        <v>1451</v>
      </c>
      <c r="N7752" s="403">
        <v>1536</v>
      </c>
      <c r="O7752" s="403">
        <v>864</v>
      </c>
      <c r="P7752" t="str">
        <f>LEFT(F7752,5)&amp;" "&amp;J7752&amp;" - "&amp;M7752</f>
        <v>30fps 1920x1080 - 1536x864</v>
      </c>
      <c r="Q7752">
        <f t="shared" si="1094"/>
        <v>68</v>
      </c>
      <c r="R7752" t="str">
        <f t="shared" si="1095"/>
        <v/>
      </c>
      <c r="S7752" t="str">
        <f t="shared" si="1096"/>
        <v/>
      </c>
      <c r="T7752" s="403" t="str">
        <f t="shared" si="1097"/>
        <v>NDE-8703-RX</v>
      </c>
      <c r="U7752" s="403">
        <f t="shared" si="1098"/>
        <v>1</v>
      </c>
      <c r="V7752" s="403" t="str">
        <f t="shared" si="1099"/>
        <v>CPP_7_3</v>
      </c>
    </row>
    <row r="7753" spans="1:22">
      <c r="A7753" t="str">
        <f>IF(AND(G7753&lt;&gt;"rotate 90°"),D7753,"")</f>
        <v>NDE-8703-RX</v>
      </c>
      <c r="B7753" s="29" t="s">
        <v>2090</v>
      </c>
      <c r="C7753" s="403" t="s">
        <v>582</v>
      </c>
      <c r="D7753" s="355" t="s">
        <v>2091</v>
      </c>
      <c r="F7753" t="s">
        <v>1286</v>
      </c>
      <c r="G7753" t="s">
        <v>1811</v>
      </c>
      <c r="H7753" s="403" t="s">
        <v>1281</v>
      </c>
      <c r="I7753">
        <v>1</v>
      </c>
      <c r="J7753" s="403" t="s">
        <v>628</v>
      </c>
      <c r="K7753" s="403">
        <v>1920</v>
      </c>
      <c r="L7753" s="403">
        <v>1080</v>
      </c>
      <c r="M7753" s="403" t="s">
        <v>626</v>
      </c>
      <c r="N7753" s="403">
        <v>1280</v>
      </c>
      <c r="O7753" s="403">
        <v>720</v>
      </c>
      <c r="P7753" t="str">
        <f>LEFT(F7753,5)&amp;" "&amp;J7753&amp;" - "&amp;M7753</f>
        <v>30fps 1920x1080 - 1280x720</v>
      </c>
      <c r="Q7753">
        <f t="shared" si="1094"/>
        <v>68</v>
      </c>
      <c r="R7753" t="str">
        <f t="shared" si="1095"/>
        <v/>
      </c>
      <c r="S7753" t="str">
        <f t="shared" si="1096"/>
        <v/>
      </c>
      <c r="T7753" s="403" t="str">
        <f t="shared" si="1097"/>
        <v>NDE-8703-RX</v>
      </c>
      <c r="U7753" s="403">
        <f t="shared" si="1098"/>
        <v>1</v>
      </c>
      <c r="V7753" s="403" t="str">
        <f t="shared" si="1099"/>
        <v>CPP_7_3</v>
      </c>
    </row>
    <row r="7754" spans="1:22">
      <c r="A7754" t="str">
        <f>IF(AND(G7754&lt;&gt;"rotate 90°"),D7754,"")</f>
        <v>NDE-8704-RX</v>
      </c>
      <c r="B7754" s="29" t="s">
        <v>2090</v>
      </c>
      <c r="C7754" s="403" t="s">
        <v>582</v>
      </c>
      <c r="D7754" s="355" t="s">
        <v>2093</v>
      </c>
      <c r="H7754" s="403"/>
      <c r="I7754">
        <v>1</v>
      </c>
      <c r="J7754" s="403"/>
      <c r="K7754" s="403"/>
      <c r="L7754" s="403"/>
      <c r="M7754" s="403"/>
      <c r="N7754" s="403"/>
      <c r="O7754" s="403"/>
      <c r="P7754" t="str">
        <f>LEFT(F7754,5)&amp;" "&amp;J7754&amp;" - "&amp;M7754</f>
        <v xml:space="preserve">  - </v>
      </c>
      <c r="Q7754">
        <f t="shared" si="1094"/>
        <v>69</v>
      </c>
      <c r="R7754">
        <f t="shared" si="1095"/>
        <v>69</v>
      </c>
      <c r="S7754" t="str">
        <f t="shared" si="1096"/>
        <v>FLEXIDOME 8100i (NDE-8704-RX)</v>
      </c>
      <c r="T7754" s="403" t="str">
        <f t="shared" si="1097"/>
        <v>NDE-8704-RX</v>
      </c>
      <c r="U7754" s="403">
        <f t="shared" si="1098"/>
        <v>1</v>
      </c>
      <c r="V7754" s="403" t="str">
        <f t="shared" si="1099"/>
        <v>CPP_7_3</v>
      </c>
    </row>
    <row r="7755" spans="1:22">
      <c r="A7755" t="str">
        <f>IF(AND(G7755&lt;&gt;"rotate 90°"),D7755,"")</f>
        <v>NDE-8704-RX</v>
      </c>
      <c r="B7755" s="29" t="s">
        <v>2090</v>
      </c>
      <c r="C7755" s="403" t="s">
        <v>582</v>
      </c>
      <c r="D7755" s="355" t="s">
        <v>2093</v>
      </c>
      <c r="F7755" t="s">
        <v>2008</v>
      </c>
      <c r="G7755" t="s">
        <v>1811</v>
      </c>
      <c r="H7755" s="403" t="s">
        <v>1281</v>
      </c>
      <c r="I7755">
        <v>1</v>
      </c>
      <c r="J7755" s="403" t="s">
        <v>194</v>
      </c>
      <c r="K7755" s="403">
        <v>3840</v>
      </c>
      <c r="L7755" s="403">
        <v>2160</v>
      </c>
      <c r="M7755" s="403" t="s">
        <v>194</v>
      </c>
      <c r="N7755" s="403">
        <v>3840</v>
      </c>
      <c r="O7755" s="403">
        <v>2160</v>
      </c>
      <c r="P7755" t="str">
        <f>LEFT(F7755,5)&amp;" "&amp;J7755&amp;" - "&amp;M7755</f>
        <v>30fps 3840x2160 - 3840x2160</v>
      </c>
      <c r="Q7755">
        <f t="shared" si="1094"/>
        <v>69</v>
      </c>
      <c r="R7755" t="str">
        <f t="shared" si="1095"/>
        <v/>
      </c>
      <c r="S7755" t="str">
        <f t="shared" si="1096"/>
        <v/>
      </c>
      <c r="T7755" s="403" t="str">
        <f t="shared" si="1097"/>
        <v>NDE-8704-RX</v>
      </c>
      <c r="U7755" s="403">
        <f t="shared" si="1098"/>
        <v>1</v>
      </c>
      <c r="V7755" s="403" t="str">
        <f t="shared" si="1099"/>
        <v>CPP_7_3</v>
      </c>
    </row>
    <row r="7756" spans="1:22">
      <c r="A7756" t="str">
        <f>IF(AND(G7756&lt;&gt;"rotate 90°"),D7756,"")</f>
        <v>NDE-8704-RX</v>
      </c>
      <c r="B7756" s="29" t="s">
        <v>2090</v>
      </c>
      <c r="C7756" s="403" t="s">
        <v>582</v>
      </c>
      <c r="D7756" s="355" t="s">
        <v>2093</v>
      </c>
      <c r="F7756" t="s">
        <v>2008</v>
      </c>
      <c r="G7756" t="s">
        <v>1811</v>
      </c>
      <c r="H7756" s="403" t="s">
        <v>1281</v>
      </c>
      <c r="I7756">
        <v>1</v>
      </c>
      <c r="J7756" s="403" t="s">
        <v>194</v>
      </c>
      <c r="K7756" s="403">
        <v>3840</v>
      </c>
      <c r="L7756" s="403">
        <v>2160</v>
      </c>
      <c r="M7756" s="403" t="s">
        <v>1416</v>
      </c>
      <c r="N7756" s="403">
        <v>3264</v>
      </c>
      <c r="O7756" s="403">
        <v>1840</v>
      </c>
      <c r="P7756" t="str">
        <f>LEFT(F7756,5)&amp;" "&amp;J7756&amp;" - "&amp;M7756</f>
        <v>30fps 3840x2160 - 3264x1840</v>
      </c>
      <c r="Q7756">
        <f t="shared" si="1094"/>
        <v>69</v>
      </c>
      <c r="R7756" t="str">
        <f t="shared" si="1095"/>
        <v/>
      </c>
      <c r="S7756" t="str">
        <f t="shared" si="1096"/>
        <v/>
      </c>
      <c r="T7756" s="403" t="str">
        <f t="shared" si="1097"/>
        <v>NDE-8704-RX</v>
      </c>
      <c r="U7756" s="403">
        <f t="shared" si="1098"/>
        <v>1</v>
      </c>
      <c r="V7756" s="403" t="str">
        <f t="shared" si="1099"/>
        <v>CPP_7_3</v>
      </c>
    </row>
    <row r="7757" spans="1:22">
      <c r="A7757" t="str">
        <f>IF(AND(G7757&lt;&gt;"rotate 90°"),D7757,"")</f>
        <v>NDE-8704-RX</v>
      </c>
      <c r="B7757" s="29" t="s">
        <v>2090</v>
      </c>
      <c r="C7757" s="403" t="s">
        <v>582</v>
      </c>
      <c r="D7757" s="355" t="s">
        <v>2093</v>
      </c>
      <c r="F7757" t="s">
        <v>2008</v>
      </c>
      <c r="G7757" t="s">
        <v>1811</v>
      </c>
      <c r="H7757" s="403" t="s">
        <v>1281</v>
      </c>
      <c r="I7757">
        <v>1</v>
      </c>
      <c r="J7757" s="403" t="s">
        <v>194</v>
      </c>
      <c r="K7757" s="403">
        <v>3840</v>
      </c>
      <c r="L7757" s="403">
        <v>2160</v>
      </c>
      <c r="M7757" s="403" t="s">
        <v>2000</v>
      </c>
      <c r="N7757" s="403">
        <v>2688</v>
      </c>
      <c r="O7757" s="403">
        <v>1520</v>
      </c>
      <c r="P7757" t="str">
        <f>LEFT(F7757,5)&amp;" "&amp;J7757&amp;" - "&amp;M7757</f>
        <v>30fps 3840x2160 - 2688x1520</v>
      </c>
      <c r="Q7757">
        <f t="shared" si="1094"/>
        <v>69</v>
      </c>
      <c r="R7757" t="str">
        <f t="shared" si="1095"/>
        <v/>
      </c>
      <c r="S7757" t="str">
        <f t="shared" si="1096"/>
        <v/>
      </c>
      <c r="T7757" s="403" t="str">
        <f t="shared" si="1097"/>
        <v>NDE-8704-RX</v>
      </c>
      <c r="U7757" s="403">
        <f t="shared" si="1098"/>
        <v>1</v>
      </c>
      <c r="V7757" s="403" t="str">
        <f t="shared" si="1099"/>
        <v>CPP_7_3</v>
      </c>
    </row>
    <row r="7758" spans="1:22">
      <c r="A7758" t="str">
        <f>IF(AND(G7758&lt;&gt;"rotate 90°"),D7758,"")</f>
        <v>NDE-8704-RX</v>
      </c>
      <c r="B7758" s="29" t="s">
        <v>2090</v>
      </c>
      <c r="C7758" s="403" t="s">
        <v>582</v>
      </c>
      <c r="D7758" s="355" t="s">
        <v>2093</v>
      </c>
      <c r="F7758" t="s">
        <v>2008</v>
      </c>
      <c r="G7758" t="s">
        <v>1811</v>
      </c>
      <c r="H7758" s="403" t="s">
        <v>1281</v>
      </c>
      <c r="I7758">
        <v>1</v>
      </c>
      <c r="J7758" s="403" t="s">
        <v>194</v>
      </c>
      <c r="K7758" s="403">
        <v>3840</v>
      </c>
      <c r="L7758" s="403">
        <v>2160</v>
      </c>
      <c r="M7758" s="403" t="s">
        <v>628</v>
      </c>
      <c r="N7758" s="403">
        <v>1920</v>
      </c>
      <c r="O7758" s="403">
        <v>1080</v>
      </c>
      <c r="P7758" t="str">
        <f>LEFT(F7758,5)&amp;" "&amp;J7758&amp;" - "&amp;M7758</f>
        <v>30fps 3840x2160 - 1920x1080</v>
      </c>
      <c r="Q7758">
        <f t="shared" si="1094"/>
        <v>69</v>
      </c>
      <c r="R7758" t="str">
        <f t="shared" si="1095"/>
        <v/>
      </c>
      <c r="S7758" t="str">
        <f t="shared" si="1096"/>
        <v/>
      </c>
      <c r="T7758" s="403" t="str">
        <f t="shared" si="1097"/>
        <v>NDE-8704-RX</v>
      </c>
      <c r="U7758" s="403">
        <f t="shared" si="1098"/>
        <v>1</v>
      </c>
      <c r="V7758" s="403" t="str">
        <f t="shared" si="1099"/>
        <v>CPP_7_3</v>
      </c>
    </row>
    <row r="7759" spans="1:22">
      <c r="A7759" t="str">
        <f>IF(AND(G7759&lt;&gt;"rotate 90°"),D7759,"")</f>
        <v>NDE-8704-RX</v>
      </c>
      <c r="B7759" s="29" t="s">
        <v>2090</v>
      </c>
      <c r="C7759" s="403" t="s">
        <v>582</v>
      </c>
      <c r="D7759" s="355" t="s">
        <v>2093</v>
      </c>
      <c r="F7759" t="s">
        <v>2008</v>
      </c>
      <c r="G7759" t="s">
        <v>1811</v>
      </c>
      <c r="H7759" s="403" t="s">
        <v>1281</v>
      </c>
      <c r="I7759">
        <v>1</v>
      </c>
      <c r="J7759" s="403" t="s">
        <v>194</v>
      </c>
      <c r="K7759" s="403">
        <v>3840</v>
      </c>
      <c r="L7759" s="403">
        <v>2160</v>
      </c>
      <c r="M7759" s="403" t="s">
        <v>1451</v>
      </c>
      <c r="N7759" s="403">
        <v>1536</v>
      </c>
      <c r="O7759" s="403">
        <v>864</v>
      </c>
      <c r="P7759" t="str">
        <f>LEFT(F7759,5)&amp;" "&amp;J7759&amp;" - "&amp;M7759</f>
        <v>30fps 3840x2160 - 1536x864</v>
      </c>
      <c r="Q7759">
        <f t="shared" si="1094"/>
        <v>69</v>
      </c>
      <c r="R7759" t="str">
        <f t="shared" si="1095"/>
        <v/>
      </c>
      <c r="S7759" t="str">
        <f t="shared" si="1096"/>
        <v/>
      </c>
      <c r="T7759" s="403" t="str">
        <f t="shared" si="1097"/>
        <v>NDE-8704-RX</v>
      </c>
      <c r="U7759" s="403">
        <f t="shared" si="1098"/>
        <v>1</v>
      </c>
      <c r="V7759" s="403" t="str">
        <f t="shared" si="1099"/>
        <v>CPP_7_3</v>
      </c>
    </row>
    <row r="7760" spans="1:22">
      <c r="A7760" t="str">
        <f>IF(AND(G7760&lt;&gt;"rotate 90°"),D7760,"")</f>
        <v>NDE-8704-RX</v>
      </c>
      <c r="B7760" s="29" t="s">
        <v>2090</v>
      </c>
      <c r="C7760" s="403" t="s">
        <v>582</v>
      </c>
      <c r="D7760" s="355" t="s">
        <v>2093</v>
      </c>
      <c r="F7760" t="s">
        <v>2008</v>
      </c>
      <c r="G7760" t="s">
        <v>1811</v>
      </c>
      <c r="H7760" s="403" t="s">
        <v>1281</v>
      </c>
      <c r="I7760">
        <v>1</v>
      </c>
      <c r="J7760" s="403" t="s">
        <v>194</v>
      </c>
      <c r="K7760" s="403">
        <v>3840</v>
      </c>
      <c r="L7760" s="403">
        <v>2160</v>
      </c>
      <c r="M7760" s="403" t="s">
        <v>626</v>
      </c>
      <c r="N7760" s="403">
        <v>1280</v>
      </c>
      <c r="O7760" s="403">
        <v>720</v>
      </c>
      <c r="P7760" t="str">
        <f>LEFT(F7760,5)&amp;" "&amp;J7760&amp;" - "&amp;M7760</f>
        <v>30fps 3840x2160 - 1280x720</v>
      </c>
      <c r="Q7760">
        <f t="shared" si="1094"/>
        <v>69</v>
      </c>
      <c r="R7760" t="str">
        <f t="shared" si="1095"/>
        <v/>
      </c>
      <c r="S7760" t="str">
        <f t="shared" si="1096"/>
        <v/>
      </c>
      <c r="T7760" s="403" t="str">
        <f t="shared" si="1097"/>
        <v>NDE-8704-RX</v>
      </c>
      <c r="U7760" s="403">
        <f t="shared" si="1098"/>
        <v>1</v>
      </c>
      <c r="V7760" s="403" t="str">
        <f t="shared" si="1099"/>
        <v>CPP_7_3</v>
      </c>
    </row>
    <row r="7761" spans="1:22">
      <c r="A7761" t="str">
        <f>IF(AND(G7761&lt;&gt;"rotate 90°"),D7761,"")</f>
        <v>NDE-8704-RX</v>
      </c>
      <c r="B7761" s="29" t="s">
        <v>2090</v>
      </c>
      <c r="C7761" s="403" t="s">
        <v>582</v>
      </c>
      <c r="D7761" s="355" t="s">
        <v>2093</v>
      </c>
      <c r="F7761" t="s">
        <v>2009</v>
      </c>
      <c r="G7761" t="s">
        <v>1811</v>
      </c>
      <c r="H7761" s="403" t="s">
        <v>1281</v>
      </c>
      <c r="I7761">
        <v>1</v>
      </c>
      <c r="J7761" s="403" t="s">
        <v>1416</v>
      </c>
      <c r="K7761" s="403">
        <v>3264</v>
      </c>
      <c r="L7761" s="403">
        <v>1840</v>
      </c>
      <c r="M7761" s="403" t="s">
        <v>1416</v>
      </c>
      <c r="N7761" s="403">
        <v>3264</v>
      </c>
      <c r="O7761" s="403">
        <v>1840</v>
      </c>
      <c r="P7761" t="str">
        <f>LEFT(F7761,5)&amp;" "&amp;J7761&amp;" - "&amp;M7761</f>
        <v>30fps 3264x1840 - 3264x1840</v>
      </c>
      <c r="Q7761">
        <f t="shared" si="1094"/>
        <v>69</v>
      </c>
      <c r="R7761" t="str">
        <f t="shared" si="1095"/>
        <v/>
      </c>
      <c r="S7761" t="str">
        <f t="shared" si="1096"/>
        <v/>
      </c>
      <c r="T7761" s="403" t="str">
        <f t="shared" si="1097"/>
        <v>NDE-8704-RX</v>
      </c>
      <c r="U7761" s="403">
        <f t="shared" si="1098"/>
        <v>1</v>
      </c>
      <c r="V7761" s="403" t="str">
        <f t="shared" si="1099"/>
        <v>CPP_7_3</v>
      </c>
    </row>
    <row r="7762" spans="1:22">
      <c r="A7762" t="str">
        <f>IF(AND(G7762&lt;&gt;"rotate 90°"),D7762,"")</f>
        <v>NDE-8704-RX</v>
      </c>
      <c r="B7762" s="29" t="s">
        <v>2090</v>
      </c>
      <c r="C7762" s="403" t="s">
        <v>582</v>
      </c>
      <c r="D7762" s="355" t="s">
        <v>2093</v>
      </c>
      <c r="F7762" t="s">
        <v>2009</v>
      </c>
      <c r="G7762" t="s">
        <v>1811</v>
      </c>
      <c r="H7762" s="403" t="s">
        <v>1281</v>
      </c>
      <c r="I7762">
        <v>1</v>
      </c>
      <c r="J7762" s="403" t="s">
        <v>1416</v>
      </c>
      <c r="K7762" s="403">
        <v>3264</v>
      </c>
      <c r="L7762" s="403">
        <v>1840</v>
      </c>
      <c r="M7762" s="403" t="s">
        <v>2000</v>
      </c>
      <c r="N7762" s="403">
        <v>2688</v>
      </c>
      <c r="O7762" s="403">
        <v>1520</v>
      </c>
      <c r="P7762" t="str">
        <f>LEFT(F7762,5)&amp;" "&amp;J7762&amp;" - "&amp;M7762</f>
        <v>30fps 3264x1840 - 2688x1520</v>
      </c>
      <c r="Q7762">
        <f t="shared" si="1094"/>
        <v>69</v>
      </c>
      <c r="R7762" t="str">
        <f t="shared" si="1095"/>
        <v/>
      </c>
      <c r="S7762" t="str">
        <f t="shared" si="1096"/>
        <v/>
      </c>
      <c r="T7762" s="403" t="str">
        <f t="shared" si="1097"/>
        <v>NDE-8704-RX</v>
      </c>
      <c r="U7762" s="403">
        <f t="shared" si="1098"/>
        <v>1</v>
      </c>
      <c r="V7762" s="403" t="str">
        <f t="shared" si="1099"/>
        <v>CPP_7_3</v>
      </c>
    </row>
    <row r="7763" spans="1:22">
      <c r="A7763" t="str">
        <f>IF(AND(G7763&lt;&gt;"rotate 90°"),D7763,"")</f>
        <v>NDE-8704-RX</v>
      </c>
      <c r="B7763" s="29" t="s">
        <v>2090</v>
      </c>
      <c r="C7763" s="403" t="s">
        <v>582</v>
      </c>
      <c r="D7763" s="355" t="s">
        <v>2093</v>
      </c>
      <c r="F7763" t="s">
        <v>2009</v>
      </c>
      <c r="G7763" t="s">
        <v>1811</v>
      </c>
      <c r="H7763" s="403" t="s">
        <v>1281</v>
      </c>
      <c r="I7763">
        <v>1</v>
      </c>
      <c r="J7763" s="403" t="s">
        <v>1416</v>
      </c>
      <c r="K7763" s="403">
        <v>3264</v>
      </c>
      <c r="L7763" s="403">
        <v>1840</v>
      </c>
      <c r="M7763" s="403" t="s">
        <v>628</v>
      </c>
      <c r="N7763" s="403">
        <v>1920</v>
      </c>
      <c r="O7763" s="403">
        <v>1080</v>
      </c>
      <c r="P7763" t="str">
        <f>LEFT(F7763,5)&amp;" "&amp;J7763&amp;" - "&amp;M7763</f>
        <v>30fps 3264x1840 - 1920x1080</v>
      </c>
      <c r="Q7763">
        <f t="shared" si="1094"/>
        <v>69</v>
      </c>
      <c r="R7763" t="str">
        <f t="shared" si="1095"/>
        <v/>
      </c>
      <c r="S7763" t="str">
        <f t="shared" si="1096"/>
        <v/>
      </c>
      <c r="T7763" s="403" t="str">
        <f t="shared" si="1097"/>
        <v>NDE-8704-RX</v>
      </c>
      <c r="U7763" s="403">
        <f t="shared" si="1098"/>
        <v>1</v>
      </c>
      <c r="V7763" s="403" t="str">
        <f t="shared" si="1099"/>
        <v>CPP_7_3</v>
      </c>
    </row>
    <row r="7764" spans="1:22">
      <c r="A7764" t="str">
        <f>IF(AND(G7764&lt;&gt;"rotate 90°"),D7764,"")</f>
        <v>NDE-8704-RX</v>
      </c>
      <c r="B7764" s="29" t="s">
        <v>2090</v>
      </c>
      <c r="C7764" s="403" t="s">
        <v>582</v>
      </c>
      <c r="D7764" s="355" t="s">
        <v>2093</v>
      </c>
      <c r="F7764" t="s">
        <v>2009</v>
      </c>
      <c r="G7764" t="s">
        <v>1811</v>
      </c>
      <c r="H7764" s="403" t="s">
        <v>1281</v>
      </c>
      <c r="I7764">
        <v>1</v>
      </c>
      <c r="J7764" s="403" t="s">
        <v>1416</v>
      </c>
      <c r="K7764" s="403">
        <v>3264</v>
      </c>
      <c r="L7764" s="403">
        <v>1840</v>
      </c>
      <c r="M7764" s="403" t="s">
        <v>1451</v>
      </c>
      <c r="N7764" s="403">
        <v>1536</v>
      </c>
      <c r="O7764" s="403">
        <v>864</v>
      </c>
      <c r="P7764" t="str">
        <f>LEFT(F7764,5)&amp;" "&amp;J7764&amp;" - "&amp;M7764</f>
        <v>30fps 3264x1840 - 1536x864</v>
      </c>
      <c r="Q7764">
        <f t="shared" si="1094"/>
        <v>69</v>
      </c>
      <c r="R7764" t="str">
        <f t="shared" si="1095"/>
        <v/>
      </c>
      <c r="S7764" t="str">
        <f t="shared" si="1096"/>
        <v/>
      </c>
      <c r="T7764" s="403" t="str">
        <f t="shared" si="1097"/>
        <v>NDE-8704-RX</v>
      </c>
      <c r="U7764" s="403">
        <f t="shared" si="1098"/>
        <v>1</v>
      </c>
      <c r="V7764" s="403" t="str">
        <f t="shared" si="1099"/>
        <v>CPP_7_3</v>
      </c>
    </row>
    <row r="7765" spans="1:22">
      <c r="A7765" t="str">
        <f>IF(AND(G7765&lt;&gt;"rotate 90°"),D7765,"")</f>
        <v>NDE-8704-RX</v>
      </c>
      <c r="B7765" s="29" t="s">
        <v>2090</v>
      </c>
      <c r="C7765" s="403" t="s">
        <v>582</v>
      </c>
      <c r="D7765" s="355" t="s">
        <v>2093</v>
      </c>
      <c r="F7765" t="s">
        <v>2009</v>
      </c>
      <c r="G7765" t="s">
        <v>1811</v>
      </c>
      <c r="H7765" s="403" t="s">
        <v>1281</v>
      </c>
      <c r="I7765">
        <v>1</v>
      </c>
      <c r="J7765" s="403" t="s">
        <v>1416</v>
      </c>
      <c r="K7765" s="403">
        <v>3264</v>
      </c>
      <c r="L7765" s="403">
        <v>1840</v>
      </c>
      <c r="M7765" s="403" t="s">
        <v>626</v>
      </c>
      <c r="N7765" s="403">
        <v>1280</v>
      </c>
      <c r="O7765" s="403">
        <v>720</v>
      </c>
      <c r="P7765" t="str">
        <f>LEFT(F7765,5)&amp;" "&amp;J7765&amp;" - "&amp;M7765</f>
        <v>30fps 3264x1840 - 1280x720</v>
      </c>
      <c r="Q7765">
        <f t="shared" si="1094"/>
        <v>69</v>
      </c>
      <c r="R7765" t="str">
        <f t="shared" si="1095"/>
        <v/>
      </c>
      <c r="S7765" t="str">
        <f t="shared" si="1096"/>
        <v/>
      </c>
      <c r="T7765" s="403" t="str">
        <f t="shared" si="1097"/>
        <v>NDE-8704-RX</v>
      </c>
      <c r="U7765" s="403">
        <f t="shared" si="1098"/>
        <v>1</v>
      </c>
      <c r="V7765" s="403" t="str">
        <f t="shared" si="1099"/>
        <v>CPP_7_3</v>
      </c>
    </row>
    <row r="7766" spans="1:22">
      <c r="A7766" t="str">
        <f>IF(AND(G7766&lt;&gt;"rotate 90°"),D7766,"")</f>
        <v>NDE-8704-RX</v>
      </c>
      <c r="B7766" s="29" t="s">
        <v>2090</v>
      </c>
      <c r="C7766" s="403" t="s">
        <v>582</v>
      </c>
      <c r="D7766" s="355" t="s">
        <v>2093</v>
      </c>
      <c r="F7766" t="s">
        <v>2006</v>
      </c>
      <c r="G7766" t="s">
        <v>1811</v>
      </c>
      <c r="H7766" s="403" t="s">
        <v>1281</v>
      </c>
      <c r="I7766">
        <v>1</v>
      </c>
      <c r="J7766" s="403" t="s">
        <v>2000</v>
      </c>
      <c r="K7766" s="403">
        <v>2688</v>
      </c>
      <c r="L7766" s="403">
        <v>1520</v>
      </c>
      <c r="M7766" s="403" t="s">
        <v>2000</v>
      </c>
      <c r="N7766" s="403">
        <v>2688</v>
      </c>
      <c r="O7766" s="403">
        <v>1520</v>
      </c>
      <c r="P7766" t="str">
        <f>LEFT(F7766,5)&amp;" "&amp;J7766&amp;" - "&amp;M7766</f>
        <v>30fps 2688x1520 - 2688x1520</v>
      </c>
      <c r="Q7766">
        <f t="shared" si="1094"/>
        <v>69</v>
      </c>
      <c r="R7766" t="str">
        <f t="shared" si="1095"/>
        <v/>
      </c>
      <c r="S7766" t="str">
        <f t="shared" si="1096"/>
        <v/>
      </c>
      <c r="T7766" s="403" t="str">
        <f t="shared" si="1097"/>
        <v>NDE-8704-RX</v>
      </c>
      <c r="U7766" s="403">
        <f t="shared" si="1098"/>
        <v>1</v>
      </c>
      <c r="V7766" s="403" t="str">
        <f t="shared" si="1099"/>
        <v>CPP_7_3</v>
      </c>
    </row>
    <row r="7767" spans="1:22">
      <c r="A7767" t="str">
        <f>IF(AND(G7767&lt;&gt;"rotate 90°"),D7767,"")</f>
        <v>NDE-8704-RX</v>
      </c>
      <c r="B7767" s="29" t="s">
        <v>2090</v>
      </c>
      <c r="C7767" s="403" t="s">
        <v>582</v>
      </c>
      <c r="D7767" s="355" t="s">
        <v>2093</v>
      </c>
      <c r="F7767" t="s">
        <v>2006</v>
      </c>
      <c r="G7767" t="s">
        <v>1811</v>
      </c>
      <c r="H7767" s="403" t="s">
        <v>1281</v>
      </c>
      <c r="I7767">
        <v>1</v>
      </c>
      <c r="J7767" s="403" t="s">
        <v>2000</v>
      </c>
      <c r="K7767" s="403">
        <v>2688</v>
      </c>
      <c r="L7767" s="403">
        <v>1520</v>
      </c>
      <c r="M7767" s="403" t="s">
        <v>628</v>
      </c>
      <c r="N7767" s="403">
        <v>1920</v>
      </c>
      <c r="O7767" s="403">
        <v>1080</v>
      </c>
      <c r="P7767" t="str">
        <f>LEFT(F7767,5)&amp;" "&amp;J7767&amp;" - "&amp;M7767</f>
        <v>30fps 2688x1520 - 1920x1080</v>
      </c>
      <c r="Q7767">
        <f t="shared" si="1094"/>
        <v>69</v>
      </c>
      <c r="R7767" t="str">
        <f t="shared" si="1095"/>
        <v/>
      </c>
      <c r="S7767" t="str">
        <f t="shared" si="1096"/>
        <v/>
      </c>
      <c r="T7767" s="403" t="str">
        <f t="shared" si="1097"/>
        <v>NDE-8704-RX</v>
      </c>
      <c r="U7767" s="403">
        <f t="shared" si="1098"/>
        <v>1</v>
      </c>
      <c r="V7767" s="403" t="str">
        <f t="shared" si="1099"/>
        <v>CPP_7_3</v>
      </c>
    </row>
    <row r="7768" spans="1:22">
      <c r="A7768" t="str">
        <f>IF(AND(G7768&lt;&gt;"rotate 90°"),D7768,"")</f>
        <v>NDE-8704-RX</v>
      </c>
      <c r="B7768" s="29" t="s">
        <v>2090</v>
      </c>
      <c r="C7768" s="403" t="s">
        <v>582</v>
      </c>
      <c r="D7768" s="355" t="s">
        <v>2093</v>
      </c>
      <c r="F7768" t="s">
        <v>2006</v>
      </c>
      <c r="G7768" t="s">
        <v>1811</v>
      </c>
      <c r="H7768" s="403" t="s">
        <v>1281</v>
      </c>
      <c r="I7768">
        <v>1</v>
      </c>
      <c r="J7768" s="403" t="s">
        <v>2000</v>
      </c>
      <c r="K7768" s="403">
        <v>2688</v>
      </c>
      <c r="L7768" s="403">
        <v>1520</v>
      </c>
      <c r="M7768" s="403" t="s">
        <v>1451</v>
      </c>
      <c r="N7768" s="403">
        <v>1536</v>
      </c>
      <c r="O7768" s="403">
        <v>864</v>
      </c>
      <c r="P7768" t="str">
        <f>LEFT(F7768,5)&amp;" "&amp;J7768&amp;" - "&amp;M7768</f>
        <v>30fps 2688x1520 - 1536x864</v>
      </c>
      <c r="Q7768">
        <f t="shared" si="1094"/>
        <v>69</v>
      </c>
      <c r="R7768" t="str">
        <f t="shared" si="1095"/>
        <v/>
      </c>
      <c r="S7768" t="str">
        <f t="shared" si="1096"/>
        <v/>
      </c>
      <c r="T7768" s="403" t="str">
        <f t="shared" si="1097"/>
        <v>NDE-8704-RX</v>
      </c>
      <c r="U7768" s="403">
        <f t="shared" si="1098"/>
        <v>1</v>
      </c>
      <c r="V7768" s="403" t="str">
        <f t="shared" si="1099"/>
        <v>CPP_7_3</v>
      </c>
    </row>
    <row r="7769" spans="1:22">
      <c r="A7769" t="str">
        <f>IF(AND(G7769&lt;&gt;"rotate 90°"),D7769,"")</f>
        <v>NDE-8704-RX</v>
      </c>
      <c r="B7769" s="29" t="s">
        <v>2090</v>
      </c>
      <c r="C7769" s="403" t="s">
        <v>582</v>
      </c>
      <c r="D7769" s="355" t="s">
        <v>2093</v>
      </c>
      <c r="F7769" t="s">
        <v>2006</v>
      </c>
      <c r="G7769" t="s">
        <v>1811</v>
      </c>
      <c r="H7769" s="403" t="s">
        <v>1281</v>
      </c>
      <c r="I7769">
        <v>1</v>
      </c>
      <c r="J7769" s="403" t="s">
        <v>2000</v>
      </c>
      <c r="K7769" s="403">
        <v>2688</v>
      </c>
      <c r="L7769" s="403">
        <v>1520</v>
      </c>
      <c r="M7769" s="403" t="s">
        <v>626</v>
      </c>
      <c r="N7769" s="403">
        <v>1280</v>
      </c>
      <c r="O7769" s="403">
        <v>720</v>
      </c>
      <c r="P7769" t="str">
        <f>LEFT(F7769,5)&amp;" "&amp;J7769&amp;" - "&amp;M7769</f>
        <v>30fps 2688x1520 - 1280x720</v>
      </c>
      <c r="Q7769">
        <f t="shared" si="1094"/>
        <v>69</v>
      </c>
      <c r="R7769" t="str">
        <f t="shared" si="1095"/>
        <v/>
      </c>
      <c r="S7769" t="str">
        <f t="shared" si="1096"/>
        <v/>
      </c>
      <c r="T7769" s="403" t="str">
        <f t="shared" si="1097"/>
        <v>NDE-8704-RX</v>
      </c>
      <c r="U7769" s="403">
        <f t="shared" si="1098"/>
        <v>1</v>
      </c>
      <c r="V7769" s="403" t="str">
        <f t="shared" si="1099"/>
        <v>CPP_7_3</v>
      </c>
    </row>
    <row r="7770" spans="1:22">
      <c r="A7770" t="str">
        <f>IF(AND(G7770&lt;&gt;"rotate 90°"),D7770,"")</f>
        <v>NDE-8704-RX</v>
      </c>
      <c r="B7770" s="29" t="s">
        <v>2090</v>
      </c>
      <c r="C7770" s="403" t="s">
        <v>582</v>
      </c>
      <c r="D7770" s="355" t="s">
        <v>2093</v>
      </c>
      <c r="F7770" t="s">
        <v>1286</v>
      </c>
      <c r="G7770" t="s">
        <v>1811</v>
      </c>
      <c r="H7770" s="403" t="s">
        <v>1281</v>
      </c>
      <c r="I7770">
        <v>1</v>
      </c>
      <c r="J7770" s="403" t="s">
        <v>628</v>
      </c>
      <c r="K7770" s="403">
        <v>1920</v>
      </c>
      <c r="L7770" s="403">
        <v>1080</v>
      </c>
      <c r="M7770" s="403" t="s">
        <v>628</v>
      </c>
      <c r="N7770" s="403">
        <v>1920</v>
      </c>
      <c r="O7770" s="403">
        <v>1080</v>
      </c>
      <c r="P7770" t="str">
        <f>LEFT(F7770,5)&amp;" "&amp;J7770&amp;" - "&amp;M7770</f>
        <v>30fps 1920x1080 - 1920x1080</v>
      </c>
      <c r="Q7770">
        <f t="shared" si="1094"/>
        <v>69</v>
      </c>
      <c r="R7770" t="str">
        <f t="shared" si="1095"/>
        <v/>
      </c>
      <c r="S7770" t="str">
        <f t="shared" si="1096"/>
        <v/>
      </c>
      <c r="T7770" s="403" t="str">
        <f t="shared" si="1097"/>
        <v>NDE-8704-RX</v>
      </c>
      <c r="U7770" s="403">
        <f t="shared" si="1098"/>
        <v>1</v>
      </c>
      <c r="V7770" s="403" t="str">
        <f t="shared" si="1099"/>
        <v>CPP_7_3</v>
      </c>
    </row>
    <row r="7771" spans="1:22">
      <c r="A7771" t="str">
        <f>IF(AND(G7771&lt;&gt;"rotate 90°"),D7771,"")</f>
        <v>NDE-8704-RX</v>
      </c>
      <c r="B7771" s="29" t="s">
        <v>2090</v>
      </c>
      <c r="C7771" s="403" t="s">
        <v>582</v>
      </c>
      <c r="D7771" s="355" t="s">
        <v>2093</v>
      </c>
      <c r="F7771" t="s">
        <v>1286</v>
      </c>
      <c r="G7771" t="s">
        <v>1811</v>
      </c>
      <c r="H7771" s="403" t="s">
        <v>1281</v>
      </c>
      <c r="I7771">
        <v>1</v>
      </c>
      <c r="J7771" s="403" t="s">
        <v>628</v>
      </c>
      <c r="K7771" s="403">
        <v>1920</v>
      </c>
      <c r="L7771" s="403">
        <v>1080</v>
      </c>
      <c r="M7771" s="403" t="s">
        <v>1451</v>
      </c>
      <c r="N7771" s="403">
        <v>1536</v>
      </c>
      <c r="O7771" s="403">
        <v>864</v>
      </c>
      <c r="P7771" t="str">
        <f>LEFT(F7771,5)&amp;" "&amp;J7771&amp;" - "&amp;M7771</f>
        <v>30fps 1920x1080 - 1536x864</v>
      </c>
      <c r="Q7771">
        <f t="shared" si="1094"/>
        <v>69</v>
      </c>
      <c r="R7771" t="str">
        <f t="shared" si="1095"/>
        <v/>
      </c>
      <c r="S7771" t="str">
        <f t="shared" si="1096"/>
        <v/>
      </c>
      <c r="T7771" s="403" t="str">
        <f t="shared" si="1097"/>
        <v>NDE-8704-RX</v>
      </c>
      <c r="U7771" s="403">
        <f t="shared" si="1098"/>
        <v>1</v>
      </c>
      <c r="V7771" s="403" t="str">
        <f t="shared" si="1099"/>
        <v>CPP_7_3</v>
      </c>
    </row>
    <row r="7772" spans="1:22">
      <c r="A7772" t="str">
        <f>IF(AND(G7772&lt;&gt;"rotate 90°"),D7772,"")</f>
        <v>NDE-8704-RX</v>
      </c>
      <c r="B7772" s="29" t="s">
        <v>2090</v>
      </c>
      <c r="C7772" s="403" t="s">
        <v>582</v>
      </c>
      <c r="D7772" s="355" t="s">
        <v>2093</v>
      </c>
      <c r="F7772" t="s">
        <v>1286</v>
      </c>
      <c r="G7772" t="s">
        <v>1811</v>
      </c>
      <c r="H7772" s="403" t="s">
        <v>1281</v>
      </c>
      <c r="I7772">
        <v>1</v>
      </c>
      <c r="J7772" s="403" t="s">
        <v>628</v>
      </c>
      <c r="K7772" s="403">
        <v>1920</v>
      </c>
      <c r="L7772" s="403">
        <v>1080</v>
      </c>
      <c r="M7772" s="403" t="s">
        <v>626</v>
      </c>
      <c r="N7772" s="403">
        <v>1280</v>
      </c>
      <c r="O7772" s="403">
        <v>720</v>
      </c>
      <c r="P7772" t="str">
        <f>LEFT(F7772,5)&amp;" "&amp;J7772&amp;" - "&amp;M7772</f>
        <v>30fps 1920x1080 - 1280x720</v>
      </c>
      <c r="Q7772">
        <f t="shared" si="1094"/>
        <v>69</v>
      </c>
      <c r="R7772" t="str">
        <f t="shared" si="1095"/>
        <v/>
      </c>
      <c r="S7772" t="str">
        <f t="shared" si="1096"/>
        <v/>
      </c>
      <c r="T7772" s="403" t="str">
        <f t="shared" si="1097"/>
        <v>NDE-8704-RX</v>
      </c>
      <c r="U7772" s="403">
        <f t="shared" si="1098"/>
        <v>1</v>
      </c>
      <c r="V7772" s="403" t="str">
        <f t="shared" si="1099"/>
        <v>CPP_7_3</v>
      </c>
    </row>
    <row r="7773" spans="1:22">
      <c r="A7773" t="str">
        <f>IF(AND(G7773&lt;&gt;"rotate 90°"),D7773,"")</f>
        <v>NDE-8703-R</v>
      </c>
      <c r="B7773" s="29" t="s">
        <v>2090</v>
      </c>
      <c r="C7773" s="403" t="s">
        <v>582</v>
      </c>
      <c r="D7773" s="355" t="s">
        <v>2094</v>
      </c>
      <c r="H7773" s="403"/>
      <c r="I7773">
        <v>1</v>
      </c>
      <c r="J7773" s="403"/>
      <c r="K7773" s="403"/>
      <c r="L7773" s="403"/>
      <c r="M7773" s="403"/>
      <c r="N7773" s="403"/>
      <c r="O7773" s="403"/>
      <c r="P7773" t="str">
        <f>LEFT(F7773,5)&amp;" "&amp;J7773&amp;" - "&amp;M7773</f>
        <v xml:space="preserve">  - </v>
      </c>
      <c r="Q7773">
        <f t="shared" ref="Q7773:Q7794" si="1100">IF(A7772=A7773,Q7772,Q7772+1)</f>
        <v>70</v>
      </c>
      <c r="R7773">
        <f t="shared" ref="R7773:R7794" si="1101">IF(Q7772&lt;&gt;Q7773,Q7773,"")</f>
        <v>70</v>
      </c>
      <c r="S7773" t="str">
        <f t="shared" ref="S7773:S7794" si="1102">IF(R7773&lt;&gt;"",B7773&amp;" ("&amp;D7773&amp;")","")</f>
        <v>FLEXIDOME 8100i (NDE-8703-R)</v>
      </c>
      <c r="T7773" s="403" t="str">
        <f t="shared" ref="T7773:T7794" si="1103">D7773</f>
        <v>NDE-8703-R</v>
      </c>
      <c r="U7773" s="403">
        <f t="shared" ref="U7773:U7794" si="1104">I7773</f>
        <v>1</v>
      </c>
      <c r="V7773" s="403" t="str">
        <f t="shared" ref="V7773:V7794" si="1105">C7773</f>
        <v>CPP_7_3</v>
      </c>
    </row>
    <row r="7774" spans="1:22">
      <c r="A7774" t="str">
        <f>IF(AND(G7774&lt;&gt;"rotate 90°"),D7774,"")</f>
        <v>NDE-8703-R</v>
      </c>
      <c r="B7774" s="29" t="s">
        <v>2090</v>
      </c>
      <c r="C7774" s="403" t="s">
        <v>582</v>
      </c>
      <c r="D7774" s="355" t="s">
        <v>2094</v>
      </c>
      <c r="F7774" t="s">
        <v>2009</v>
      </c>
      <c r="G7774" t="s">
        <v>1811</v>
      </c>
      <c r="H7774" s="403" t="s">
        <v>1281</v>
      </c>
      <c r="I7774">
        <v>1</v>
      </c>
      <c r="J7774" s="403" t="s">
        <v>1416</v>
      </c>
      <c r="K7774" s="403">
        <v>3264</v>
      </c>
      <c r="L7774" s="403">
        <v>1840</v>
      </c>
      <c r="M7774" s="403" t="s">
        <v>1416</v>
      </c>
      <c r="N7774" s="403">
        <v>3264</v>
      </c>
      <c r="O7774" s="403">
        <v>1840</v>
      </c>
      <c r="P7774" t="str">
        <f>LEFT(F7774,5)&amp;" "&amp;J7774&amp;" - "&amp;M7774</f>
        <v>30fps 3264x1840 - 3264x1840</v>
      </c>
      <c r="Q7774">
        <f t="shared" si="1100"/>
        <v>70</v>
      </c>
      <c r="R7774" t="str">
        <f t="shared" si="1101"/>
        <v/>
      </c>
      <c r="S7774" t="str">
        <f t="shared" si="1102"/>
        <v/>
      </c>
      <c r="T7774" s="403" t="str">
        <f t="shared" si="1103"/>
        <v>NDE-8703-R</v>
      </c>
      <c r="U7774" s="403">
        <f t="shared" si="1104"/>
        <v>1</v>
      </c>
      <c r="V7774" s="403" t="str">
        <f t="shared" si="1105"/>
        <v>CPP_7_3</v>
      </c>
    </row>
    <row r="7775" spans="1:22">
      <c r="A7775" t="str">
        <f>IF(AND(G7775&lt;&gt;"rotate 90°"),D7775,"")</f>
        <v>NDE-8703-R</v>
      </c>
      <c r="B7775" s="29" t="s">
        <v>2090</v>
      </c>
      <c r="C7775" s="403" t="s">
        <v>582</v>
      </c>
      <c r="D7775" s="355" t="s">
        <v>2094</v>
      </c>
      <c r="F7775" t="s">
        <v>2009</v>
      </c>
      <c r="G7775" t="s">
        <v>1811</v>
      </c>
      <c r="H7775" s="403" t="s">
        <v>1281</v>
      </c>
      <c r="I7775">
        <v>1</v>
      </c>
      <c r="J7775" s="403" t="s">
        <v>1416</v>
      </c>
      <c r="K7775" s="403">
        <v>3264</v>
      </c>
      <c r="L7775" s="403">
        <v>1840</v>
      </c>
      <c r="M7775" s="403" t="s">
        <v>2000</v>
      </c>
      <c r="N7775" s="403">
        <v>2688</v>
      </c>
      <c r="O7775" s="403">
        <v>1520</v>
      </c>
      <c r="P7775" t="str">
        <f>LEFT(F7775,5)&amp;" "&amp;J7775&amp;" - "&amp;M7775</f>
        <v>30fps 3264x1840 - 2688x1520</v>
      </c>
      <c r="Q7775">
        <f t="shared" si="1100"/>
        <v>70</v>
      </c>
      <c r="R7775" t="str">
        <f t="shared" si="1101"/>
        <v/>
      </c>
      <c r="S7775" t="str">
        <f t="shared" si="1102"/>
        <v/>
      </c>
      <c r="T7775" s="403" t="str">
        <f t="shared" si="1103"/>
        <v>NDE-8703-R</v>
      </c>
      <c r="U7775" s="403">
        <f t="shared" si="1104"/>
        <v>1</v>
      </c>
      <c r="V7775" s="403" t="str">
        <f t="shared" si="1105"/>
        <v>CPP_7_3</v>
      </c>
    </row>
    <row r="7776" spans="1:22">
      <c r="A7776" t="str">
        <f>IF(AND(G7776&lt;&gt;"rotate 90°"),D7776,"")</f>
        <v>NDE-8703-R</v>
      </c>
      <c r="B7776" s="29" t="s">
        <v>2090</v>
      </c>
      <c r="C7776" s="403" t="s">
        <v>582</v>
      </c>
      <c r="D7776" s="355" t="s">
        <v>2094</v>
      </c>
      <c r="F7776" t="s">
        <v>2009</v>
      </c>
      <c r="G7776" t="s">
        <v>1811</v>
      </c>
      <c r="H7776" s="403" t="s">
        <v>1281</v>
      </c>
      <c r="I7776">
        <v>1</v>
      </c>
      <c r="J7776" s="403" t="s">
        <v>1416</v>
      </c>
      <c r="K7776" s="403">
        <v>3264</v>
      </c>
      <c r="L7776" s="403">
        <v>1840</v>
      </c>
      <c r="M7776" s="403" t="s">
        <v>628</v>
      </c>
      <c r="N7776" s="403">
        <v>1920</v>
      </c>
      <c r="O7776" s="403">
        <v>1080</v>
      </c>
      <c r="P7776" t="str">
        <f>LEFT(F7776,5)&amp;" "&amp;J7776&amp;" - "&amp;M7776</f>
        <v>30fps 3264x1840 - 1920x1080</v>
      </c>
      <c r="Q7776">
        <f t="shared" si="1100"/>
        <v>70</v>
      </c>
      <c r="R7776" t="str">
        <f t="shared" si="1101"/>
        <v/>
      </c>
      <c r="S7776" t="str">
        <f t="shared" si="1102"/>
        <v/>
      </c>
      <c r="T7776" s="403" t="str">
        <f t="shared" si="1103"/>
        <v>NDE-8703-R</v>
      </c>
      <c r="U7776" s="403">
        <f t="shared" si="1104"/>
        <v>1</v>
      </c>
      <c r="V7776" s="403" t="str">
        <f t="shared" si="1105"/>
        <v>CPP_7_3</v>
      </c>
    </row>
    <row r="7777" spans="1:22">
      <c r="A7777" t="str">
        <f>IF(AND(G7777&lt;&gt;"rotate 90°"),D7777,"")</f>
        <v>NDE-8703-R</v>
      </c>
      <c r="B7777" s="29" t="s">
        <v>2090</v>
      </c>
      <c r="C7777" s="403" t="s">
        <v>582</v>
      </c>
      <c r="D7777" s="355" t="s">
        <v>2094</v>
      </c>
      <c r="F7777" t="s">
        <v>2009</v>
      </c>
      <c r="G7777" t="s">
        <v>1811</v>
      </c>
      <c r="H7777" s="403" t="s">
        <v>1281</v>
      </c>
      <c r="I7777">
        <v>1</v>
      </c>
      <c r="J7777" s="403" t="s">
        <v>1416</v>
      </c>
      <c r="K7777" s="403">
        <v>3264</v>
      </c>
      <c r="L7777" s="403">
        <v>1840</v>
      </c>
      <c r="M7777" s="403" t="s">
        <v>1451</v>
      </c>
      <c r="N7777" s="403">
        <v>1536</v>
      </c>
      <c r="O7777" s="403">
        <v>864</v>
      </c>
      <c r="P7777" t="str">
        <f>LEFT(F7777,5)&amp;" "&amp;J7777&amp;" - "&amp;M7777</f>
        <v>30fps 3264x1840 - 1536x864</v>
      </c>
      <c r="Q7777">
        <f t="shared" si="1100"/>
        <v>70</v>
      </c>
      <c r="R7777" t="str">
        <f t="shared" si="1101"/>
        <v/>
      </c>
      <c r="S7777" t="str">
        <f t="shared" si="1102"/>
        <v/>
      </c>
      <c r="T7777" s="403" t="str">
        <f t="shared" si="1103"/>
        <v>NDE-8703-R</v>
      </c>
      <c r="U7777" s="403">
        <f t="shared" si="1104"/>
        <v>1</v>
      </c>
      <c r="V7777" s="403" t="str">
        <f t="shared" si="1105"/>
        <v>CPP_7_3</v>
      </c>
    </row>
    <row r="7778" spans="1:22">
      <c r="A7778" t="str">
        <f>IF(AND(G7778&lt;&gt;"rotate 90°"),D7778,"")</f>
        <v>NDE-8703-R</v>
      </c>
      <c r="B7778" s="29" t="s">
        <v>2090</v>
      </c>
      <c r="C7778" s="403" t="s">
        <v>582</v>
      </c>
      <c r="D7778" s="355" t="s">
        <v>2094</v>
      </c>
      <c r="F7778" t="s">
        <v>2009</v>
      </c>
      <c r="G7778" t="s">
        <v>1811</v>
      </c>
      <c r="H7778" s="403" t="s">
        <v>1281</v>
      </c>
      <c r="I7778">
        <v>1</v>
      </c>
      <c r="J7778" s="403" t="s">
        <v>1416</v>
      </c>
      <c r="K7778" s="403">
        <v>3264</v>
      </c>
      <c r="L7778" s="403">
        <v>1840</v>
      </c>
      <c r="M7778" s="403" t="s">
        <v>626</v>
      </c>
      <c r="N7778" s="403">
        <v>1280</v>
      </c>
      <c r="O7778" s="403">
        <v>720</v>
      </c>
      <c r="P7778" t="str">
        <f>LEFT(F7778,5)&amp;" "&amp;J7778&amp;" - "&amp;M7778</f>
        <v>30fps 3264x1840 - 1280x720</v>
      </c>
      <c r="Q7778">
        <f t="shared" si="1100"/>
        <v>70</v>
      </c>
      <c r="R7778" t="str">
        <f t="shared" si="1101"/>
        <v/>
      </c>
      <c r="S7778" t="str">
        <f t="shared" si="1102"/>
        <v/>
      </c>
      <c r="T7778" s="403" t="str">
        <f t="shared" si="1103"/>
        <v>NDE-8703-R</v>
      </c>
      <c r="U7778" s="403">
        <f t="shared" si="1104"/>
        <v>1</v>
      </c>
      <c r="V7778" s="403" t="str">
        <f t="shared" si="1105"/>
        <v>CPP_7_3</v>
      </c>
    </row>
    <row r="7779" spans="1:22">
      <c r="A7779" t="str">
        <f>IF(AND(G7779&lt;&gt;"rotate 90°"),D7779,"")</f>
        <v>NDE-8703-R</v>
      </c>
      <c r="B7779" s="29" t="s">
        <v>2090</v>
      </c>
      <c r="C7779" s="403" t="s">
        <v>582</v>
      </c>
      <c r="D7779" s="355" t="s">
        <v>2094</v>
      </c>
      <c r="F7779" t="s">
        <v>2006</v>
      </c>
      <c r="G7779" t="s">
        <v>1811</v>
      </c>
      <c r="H7779" s="403" t="s">
        <v>1281</v>
      </c>
      <c r="I7779">
        <v>1</v>
      </c>
      <c r="J7779" s="403" t="s">
        <v>2000</v>
      </c>
      <c r="K7779" s="403">
        <v>2688</v>
      </c>
      <c r="L7779" s="403">
        <v>1520</v>
      </c>
      <c r="M7779" s="403" t="s">
        <v>2000</v>
      </c>
      <c r="N7779" s="403">
        <v>2688</v>
      </c>
      <c r="O7779" s="403">
        <v>1520</v>
      </c>
      <c r="P7779" t="str">
        <f>LEFT(F7779,5)&amp;" "&amp;J7779&amp;" - "&amp;M7779</f>
        <v>30fps 2688x1520 - 2688x1520</v>
      </c>
      <c r="Q7779">
        <f t="shared" si="1100"/>
        <v>70</v>
      </c>
      <c r="R7779" t="str">
        <f t="shared" si="1101"/>
        <v/>
      </c>
      <c r="S7779" t="str">
        <f t="shared" si="1102"/>
        <v/>
      </c>
      <c r="T7779" s="403" t="str">
        <f t="shared" si="1103"/>
        <v>NDE-8703-R</v>
      </c>
      <c r="U7779" s="403">
        <f t="shared" si="1104"/>
        <v>1</v>
      </c>
      <c r="V7779" s="403" t="str">
        <f t="shared" si="1105"/>
        <v>CPP_7_3</v>
      </c>
    </row>
    <row r="7780" spans="1:22">
      <c r="A7780" t="str">
        <f>IF(AND(G7780&lt;&gt;"rotate 90°"),D7780,"")</f>
        <v>NDE-8703-R</v>
      </c>
      <c r="B7780" s="29" t="s">
        <v>2090</v>
      </c>
      <c r="C7780" s="403" t="s">
        <v>582</v>
      </c>
      <c r="D7780" s="355" t="s">
        <v>2094</v>
      </c>
      <c r="F7780" t="s">
        <v>2006</v>
      </c>
      <c r="G7780" t="s">
        <v>1811</v>
      </c>
      <c r="H7780" s="403" t="s">
        <v>1281</v>
      </c>
      <c r="I7780">
        <v>1</v>
      </c>
      <c r="J7780" s="403" t="s">
        <v>2000</v>
      </c>
      <c r="K7780" s="403">
        <v>2688</v>
      </c>
      <c r="L7780" s="403">
        <v>1520</v>
      </c>
      <c r="M7780" s="403" t="s">
        <v>628</v>
      </c>
      <c r="N7780" s="403">
        <v>1920</v>
      </c>
      <c r="O7780" s="403">
        <v>1080</v>
      </c>
      <c r="P7780" t="str">
        <f>LEFT(F7780,5)&amp;" "&amp;J7780&amp;" - "&amp;M7780</f>
        <v>30fps 2688x1520 - 1920x1080</v>
      </c>
      <c r="Q7780">
        <f t="shared" si="1100"/>
        <v>70</v>
      </c>
      <c r="R7780" t="str">
        <f t="shared" si="1101"/>
        <v/>
      </c>
      <c r="S7780" t="str">
        <f t="shared" si="1102"/>
        <v/>
      </c>
      <c r="T7780" s="403" t="str">
        <f t="shared" si="1103"/>
        <v>NDE-8703-R</v>
      </c>
      <c r="U7780" s="403">
        <f t="shared" si="1104"/>
        <v>1</v>
      </c>
      <c r="V7780" s="403" t="str">
        <f t="shared" si="1105"/>
        <v>CPP_7_3</v>
      </c>
    </row>
    <row r="7781" spans="1:22">
      <c r="A7781" t="str">
        <f>IF(AND(G7781&lt;&gt;"rotate 90°"),D7781,"")</f>
        <v>NDE-8703-R</v>
      </c>
      <c r="B7781" s="29" t="s">
        <v>2090</v>
      </c>
      <c r="C7781" s="403" t="s">
        <v>582</v>
      </c>
      <c r="D7781" s="355" t="s">
        <v>2094</v>
      </c>
      <c r="F7781" t="s">
        <v>2006</v>
      </c>
      <c r="G7781" t="s">
        <v>1811</v>
      </c>
      <c r="H7781" s="403" t="s">
        <v>1281</v>
      </c>
      <c r="I7781">
        <v>1</v>
      </c>
      <c r="J7781" s="403" t="s">
        <v>2000</v>
      </c>
      <c r="K7781" s="403">
        <v>2688</v>
      </c>
      <c r="L7781" s="403">
        <v>1520</v>
      </c>
      <c r="M7781" s="403" t="s">
        <v>1451</v>
      </c>
      <c r="N7781" s="403">
        <v>1536</v>
      </c>
      <c r="O7781" s="403">
        <v>864</v>
      </c>
      <c r="P7781" t="str">
        <f>LEFT(F7781,5)&amp;" "&amp;J7781&amp;" - "&amp;M7781</f>
        <v>30fps 2688x1520 - 1536x864</v>
      </c>
      <c r="Q7781">
        <f t="shared" si="1100"/>
        <v>70</v>
      </c>
      <c r="R7781" t="str">
        <f t="shared" si="1101"/>
        <v/>
      </c>
      <c r="S7781" t="str">
        <f t="shared" si="1102"/>
        <v/>
      </c>
      <c r="T7781" s="403" t="str">
        <f t="shared" si="1103"/>
        <v>NDE-8703-R</v>
      </c>
      <c r="U7781" s="403">
        <f t="shared" si="1104"/>
        <v>1</v>
      </c>
      <c r="V7781" s="403" t="str">
        <f t="shared" si="1105"/>
        <v>CPP_7_3</v>
      </c>
    </row>
    <row r="7782" spans="1:22">
      <c r="A7782" t="str">
        <f>IF(AND(G7782&lt;&gt;"rotate 90°"),D7782,"")</f>
        <v>NDE-8703-R</v>
      </c>
      <c r="B7782" s="29" t="s">
        <v>2090</v>
      </c>
      <c r="C7782" s="403" t="s">
        <v>582</v>
      </c>
      <c r="D7782" s="355" t="s">
        <v>2094</v>
      </c>
      <c r="F7782" t="s">
        <v>2006</v>
      </c>
      <c r="G7782" t="s">
        <v>1811</v>
      </c>
      <c r="H7782" s="403" t="s">
        <v>1281</v>
      </c>
      <c r="I7782">
        <v>1</v>
      </c>
      <c r="J7782" s="403" t="s">
        <v>2000</v>
      </c>
      <c r="K7782" s="403">
        <v>2688</v>
      </c>
      <c r="L7782" s="403">
        <v>1520</v>
      </c>
      <c r="M7782" s="403" t="s">
        <v>626</v>
      </c>
      <c r="N7782" s="403">
        <v>1280</v>
      </c>
      <c r="O7782" s="403">
        <v>720</v>
      </c>
      <c r="P7782" t="str">
        <f>LEFT(F7782,5)&amp;" "&amp;J7782&amp;" - "&amp;M7782</f>
        <v>30fps 2688x1520 - 1280x720</v>
      </c>
      <c r="Q7782">
        <f t="shared" si="1100"/>
        <v>70</v>
      </c>
      <c r="R7782" t="str">
        <f t="shared" si="1101"/>
        <v/>
      </c>
      <c r="S7782" t="str">
        <f t="shared" si="1102"/>
        <v/>
      </c>
      <c r="T7782" s="403" t="str">
        <f t="shared" si="1103"/>
        <v>NDE-8703-R</v>
      </c>
      <c r="U7782" s="403">
        <f t="shared" si="1104"/>
        <v>1</v>
      </c>
      <c r="V7782" s="403" t="str">
        <f t="shared" si="1105"/>
        <v>CPP_7_3</v>
      </c>
    </row>
    <row r="7783" spans="1:22">
      <c r="A7783" t="str">
        <f>IF(AND(G7783&lt;&gt;"rotate 90°"),D7783,"")</f>
        <v>NDE-8703-R</v>
      </c>
      <c r="B7783" s="29" t="s">
        <v>2090</v>
      </c>
      <c r="C7783" s="403" t="s">
        <v>582</v>
      </c>
      <c r="D7783" s="355" t="s">
        <v>2094</v>
      </c>
      <c r="F7783" t="s">
        <v>1286</v>
      </c>
      <c r="G7783" t="s">
        <v>1811</v>
      </c>
      <c r="H7783" s="403" t="s">
        <v>1281</v>
      </c>
      <c r="I7783">
        <v>1</v>
      </c>
      <c r="J7783" s="403" t="s">
        <v>628</v>
      </c>
      <c r="K7783" s="403">
        <v>1920</v>
      </c>
      <c r="L7783" s="403">
        <v>1080</v>
      </c>
      <c r="M7783" s="403" t="s">
        <v>628</v>
      </c>
      <c r="N7783" s="403">
        <v>1920</v>
      </c>
      <c r="O7783" s="403">
        <v>1080</v>
      </c>
      <c r="P7783" t="str">
        <f>LEFT(F7783,5)&amp;" "&amp;J7783&amp;" - "&amp;M7783</f>
        <v>30fps 1920x1080 - 1920x1080</v>
      </c>
      <c r="Q7783">
        <f t="shared" si="1100"/>
        <v>70</v>
      </c>
      <c r="R7783" t="str">
        <f t="shared" si="1101"/>
        <v/>
      </c>
      <c r="S7783" t="str">
        <f t="shared" si="1102"/>
        <v/>
      </c>
      <c r="T7783" s="403" t="str">
        <f t="shared" si="1103"/>
        <v>NDE-8703-R</v>
      </c>
      <c r="U7783" s="403">
        <f t="shared" si="1104"/>
        <v>1</v>
      </c>
      <c r="V7783" s="403" t="str">
        <f t="shared" si="1105"/>
        <v>CPP_7_3</v>
      </c>
    </row>
    <row r="7784" spans="1:22">
      <c r="A7784" t="str">
        <f>IF(AND(G7784&lt;&gt;"rotate 90°"),D7784,"")</f>
        <v>NDE-8703-R</v>
      </c>
      <c r="B7784" s="29" t="s">
        <v>2090</v>
      </c>
      <c r="C7784" s="403" t="s">
        <v>582</v>
      </c>
      <c r="D7784" s="355" t="s">
        <v>2094</v>
      </c>
      <c r="F7784" t="s">
        <v>1286</v>
      </c>
      <c r="G7784" t="s">
        <v>1811</v>
      </c>
      <c r="H7784" s="403" t="s">
        <v>1281</v>
      </c>
      <c r="I7784">
        <v>1</v>
      </c>
      <c r="J7784" s="403" t="s">
        <v>628</v>
      </c>
      <c r="K7784" s="403">
        <v>1920</v>
      </c>
      <c r="L7784" s="403">
        <v>1080</v>
      </c>
      <c r="M7784" s="403" t="s">
        <v>1451</v>
      </c>
      <c r="N7784" s="403">
        <v>1536</v>
      </c>
      <c r="O7784" s="403">
        <v>864</v>
      </c>
      <c r="P7784" t="str">
        <f>LEFT(F7784,5)&amp;" "&amp;J7784&amp;" - "&amp;M7784</f>
        <v>30fps 1920x1080 - 1536x864</v>
      </c>
      <c r="Q7784">
        <f t="shared" si="1100"/>
        <v>70</v>
      </c>
      <c r="R7784" t="str">
        <f t="shared" si="1101"/>
        <v/>
      </c>
      <c r="S7784" t="str">
        <f t="shared" si="1102"/>
        <v/>
      </c>
      <c r="T7784" s="403" t="str">
        <f t="shared" si="1103"/>
        <v>NDE-8703-R</v>
      </c>
      <c r="U7784" s="403">
        <f t="shared" si="1104"/>
        <v>1</v>
      </c>
      <c r="V7784" s="403" t="str">
        <f t="shared" si="1105"/>
        <v>CPP_7_3</v>
      </c>
    </row>
    <row r="7785" spans="1:22">
      <c r="A7785" t="str">
        <f>IF(AND(G7785&lt;&gt;"rotate 90°"),D7785,"")</f>
        <v>NDE-8703-R</v>
      </c>
      <c r="B7785" s="29" t="s">
        <v>2090</v>
      </c>
      <c r="C7785" s="403" t="s">
        <v>582</v>
      </c>
      <c r="D7785" s="355" t="s">
        <v>2094</v>
      </c>
      <c r="F7785" t="s">
        <v>1286</v>
      </c>
      <c r="G7785" t="s">
        <v>1811</v>
      </c>
      <c r="H7785" s="403" t="s">
        <v>1281</v>
      </c>
      <c r="I7785">
        <v>1</v>
      </c>
      <c r="J7785" s="403" t="s">
        <v>628</v>
      </c>
      <c r="K7785" s="403">
        <v>1920</v>
      </c>
      <c r="L7785" s="403">
        <v>1080</v>
      </c>
      <c r="M7785" s="403" t="s">
        <v>626</v>
      </c>
      <c r="N7785" s="403">
        <v>1280</v>
      </c>
      <c r="O7785" s="403">
        <v>720</v>
      </c>
      <c r="P7785" t="str">
        <f>LEFT(F7785,5)&amp;" "&amp;J7785&amp;" - "&amp;M7785</f>
        <v>30fps 1920x1080 - 1280x720</v>
      </c>
      <c r="Q7785">
        <f t="shared" si="1100"/>
        <v>70</v>
      </c>
      <c r="R7785" t="str">
        <f t="shared" si="1101"/>
        <v/>
      </c>
      <c r="S7785" t="str">
        <f t="shared" si="1102"/>
        <v/>
      </c>
      <c r="T7785" s="403" t="str">
        <f t="shared" si="1103"/>
        <v>NDE-8703-R</v>
      </c>
      <c r="U7785" s="403">
        <f t="shared" si="1104"/>
        <v>1</v>
      </c>
      <c r="V7785" s="403" t="str">
        <f t="shared" si="1105"/>
        <v>CPP_7_3</v>
      </c>
    </row>
    <row r="7786" spans="1:22">
      <c r="A7786" t="str">
        <f>IF(AND(G7786&lt;&gt;"rotate 90°"),D7786,"")</f>
        <v>NDP-7804-Z12</v>
      </c>
      <c r="B7786" s="29" t="s">
        <v>2014</v>
      </c>
      <c r="C7786" s="403" t="s">
        <v>582</v>
      </c>
      <c r="D7786" s="355" t="s">
        <v>2095</v>
      </c>
      <c r="H7786" s="403"/>
      <c r="I7786">
        <v>1</v>
      </c>
      <c r="J7786" s="403"/>
      <c r="K7786" s="403"/>
      <c r="L7786" s="403"/>
      <c r="M7786" s="403"/>
      <c r="N7786" s="403"/>
      <c r="O7786" s="403"/>
      <c r="P7786" t="str">
        <f>LEFT(F7786,5)&amp;" "&amp;J7786&amp;" - "&amp;M7786</f>
        <v xml:space="preserve">  - </v>
      </c>
      <c r="Q7786">
        <f t="shared" si="1100"/>
        <v>71</v>
      </c>
      <c r="R7786">
        <f t="shared" si="1101"/>
        <v>71</v>
      </c>
      <c r="S7786" t="str">
        <f t="shared" si="1102"/>
        <v>AUTODOME 7100i IR (NDP-7804-Z12)</v>
      </c>
      <c r="T7786" s="403" t="str">
        <f t="shared" si="1103"/>
        <v>NDP-7804-Z12</v>
      </c>
      <c r="U7786" s="403">
        <f t="shared" si="1104"/>
        <v>1</v>
      </c>
      <c r="V7786" s="403" t="str">
        <f t="shared" si="1105"/>
        <v>CPP_7_3</v>
      </c>
    </row>
    <row r="7787" spans="1:22">
      <c r="A7787" t="str">
        <f>IF(AND(G7787&lt;&gt;"rotate 90°"),D7787,"")</f>
        <v>NDP-7804-Z12</v>
      </c>
      <c r="B7787" s="29" t="s">
        <v>2014</v>
      </c>
      <c r="C7787" s="403" t="s">
        <v>582</v>
      </c>
      <c r="D7787" s="355" t="s">
        <v>2095</v>
      </c>
      <c r="F7787" t="s">
        <v>2008</v>
      </c>
      <c r="G7787" t="s">
        <v>1811</v>
      </c>
      <c r="H7787" s="403" t="s">
        <v>1281</v>
      </c>
      <c r="I7787">
        <v>1</v>
      </c>
      <c r="J7787" s="403" t="s">
        <v>194</v>
      </c>
      <c r="K7787" s="403">
        <v>3840</v>
      </c>
      <c r="L7787" s="403">
        <v>2160</v>
      </c>
      <c r="M7787" s="403" t="s">
        <v>194</v>
      </c>
      <c r="N7787" s="403">
        <v>3840</v>
      </c>
      <c r="O7787" s="403">
        <v>2160</v>
      </c>
      <c r="P7787" t="str">
        <f>LEFT(F7787,5)&amp;" "&amp;J7787&amp;" - "&amp;M7787</f>
        <v>30fps 3840x2160 - 3840x2160</v>
      </c>
      <c r="Q7787">
        <f t="shared" si="1100"/>
        <v>71</v>
      </c>
      <c r="R7787" t="str">
        <f t="shared" si="1101"/>
        <v/>
      </c>
      <c r="S7787" t="str">
        <f t="shared" si="1102"/>
        <v/>
      </c>
      <c r="T7787" s="403" t="str">
        <f t="shared" si="1103"/>
        <v>NDP-7804-Z12</v>
      </c>
      <c r="U7787" s="403">
        <f t="shared" si="1104"/>
        <v>1</v>
      </c>
      <c r="V7787" s="403" t="str">
        <f t="shared" si="1105"/>
        <v>CPP_7_3</v>
      </c>
    </row>
    <row r="7788" spans="1:22">
      <c r="A7788" t="str">
        <f>IF(AND(G7788&lt;&gt;"rotate 90°"),D7788,"")</f>
        <v>NDP-7804-Z12</v>
      </c>
      <c r="B7788" s="29" t="s">
        <v>2014</v>
      </c>
      <c r="C7788" s="403" t="s">
        <v>582</v>
      </c>
      <c r="D7788" s="355" t="s">
        <v>2095</v>
      </c>
      <c r="F7788" t="s">
        <v>2008</v>
      </c>
      <c r="G7788" t="s">
        <v>1811</v>
      </c>
      <c r="H7788" s="403" t="s">
        <v>1281</v>
      </c>
      <c r="I7788">
        <v>1</v>
      </c>
      <c r="J7788" s="403" t="s">
        <v>194</v>
      </c>
      <c r="K7788" s="403">
        <v>3840</v>
      </c>
      <c r="L7788" s="403">
        <v>2160</v>
      </c>
      <c r="M7788" s="403" t="s">
        <v>628</v>
      </c>
      <c r="N7788" s="403">
        <v>1920</v>
      </c>
      <c r="O7788" s="403">
        <v>1080</v>
      </c>
      <c r="P7788" t="str">
        <f>LEFT(F7788,5)&amp;" "&amp;J7788&amp;" - "&amp;M7788</f>
        <v>30fps 3840x2160 - 1920x1080</v>
      </c>
      <c r="Q7788">
        <f t="shared" si="1100"/>
        <v>71</v>
      </c>
      <c r="R7788" t="str">
        <f t="shared" si="1101"/>
        <v/>
      </c>
      <c r="S7788" t="str">
        <f t="shared" si="1102"/>
        <v/>
      </c>
      <c r="T7788" s="403" t="str">
        <f t="shared" si="1103"/>
        <v>NDP-7804-Z12</v>
      </c>
      <c r="U7788" s="403">
        <f t="shared" si="1104"/>
        <v>1</v>
      </c>
      <c r="V7788" s="403" t="str">
        <f t="shared" si="1105"/>
        <v>CPP_7_3</v>
      </c>
    </row>
    <row r="7789" spans="1:22">
      <c r="A7789" t="str">
        <f>IF(AND(G7789&lt;&gt;"rotate 90°"),D7789,"")</f>
        <v>NDP-7804-Z12</v>
      </c>
      <c r="B7789" s="29" t="s">
        <v>2014</v>
      </c>
      <c r="C7789" s="403" t="s">
        <v>582</v>
      </c>
      <c r="D7789" s="355" t="s">
        <v>2095</v>
      </c>
      <c r="F7789" t="s">
        <v>2008</v>
      </c>
      <c r="G7789" t="s">
        <v>1811</v>
      </c>
      <c r="H7789" s="403" t="s">
        <v>1281</v>
      </c>
      <c r="I7789">
        <v>1</v>
      </c>
      <c r="J7789" s="403" t="s">
        <v>194</v>
      </c>
      <c r="K7789" s="403">
        <v>3840</v>
      </c>
      <c r="L7789" s="403">
        <v>2160</v>
      </c>
      <c r="M7789" s="403" t="s">
        <v>1451</v>
      </c>
      <c r="N7789" s="403">
        <v>1536</v>
      </c>
      <c r="O7789" s="403">
        <v>864</v>
      </c>
      <c r="P7789" t="str">
        <f>LEFT(F7789,5)&amp;" "&amp;J7789&amp;" - "&amp;M7789</f>
        <v>30fps 3840x2160 - 1536x864</v>
      </c>
      <c r="Q7789">
        <f t="shared" si="1100"/>
        <v>71</v>
      </c>
      <c r="R7789" t="str">
        <f t="shared" si="1101"/>
        <v/>
      </c>
      <c r="S7789" t="str">
        <f t="shared" si="1102"/>
        <v/>
      </c>
      <c r="T7789" s="403" t="str">
        <f t="shared" si="1103"/>
        <v>NDP-7804-Z12</v>
      </c>
      <c r="U7789" s="403">
        <f t="shared" si="1104"/>
        <v>1</v>
      </c>
      <c r="V7789" s="403" t="str">
        <f t="shared" si="1105"/>
        <v>CPP_7_3</v>
      </c>
    </row>
    <row r="7790" spans="1:22">
      <c r="A7790" t="str">
        <f>IF(AND(G7790&lt;&gt;"rotate 90°"),D7790,"")</f>
        <v>NDP-7804-Z12</v>
      </c>
      <c r="B7790" s="29" t="s">
        <v>2014</v>
      </c>
      <c r="C7790" s="403" t="s">
        <v>582</v>
      </c>
      <c r="D7790" s="355" t="s">
        <v>2095</v>
      </c>
      <c r="F7790" t="s">
        <v>2008</v>
      </c>
      <c r="G7790" t="s">
        <v>1811</v>
      </c>
      <c r="H7790" s="403" t="s">
        <v>1281</v>
      </c>
      <c r="I7790">
        <v>1</v>
      </c>
      <c r="J7790" s="403" t="s">
        <v>194</v>
      </c>
      <c r="K7790" s="403">
        <v>3840</v>
      </c>
      <c r="L7790" s="403">
        <v>2160</v>
      </c>
      <c r="M7790" s="403" t="s">
        <v>626</v>
      </c>
      <c r="N7790" s="403">
        <v>1280</v>
      </c>
      <c r="O7790" s="403">
        <v>720</v>
      </c>
      <c r="P7790" t="str">
        <f>LEFT(F7790,5)&amp;" "&amp;J7790&amp;" - "&amp;M7790</f>
        <v>30fps 3840x2160 - 1280x720</v>
      </c>
      <c r="Q7790">
        <f t="shared" si="1100"/>
        <v>71</v>
      </c>
      <c r="R7790" t="str">
        <f t="shared" si="1101"/>
        <v/>
      </c>
      <c r="S7790" t="str">
        <f t="shared" si="1102"/>
        <v/>
      </c>
      <c r="T7790" s="403" t="str">
        <f t="shared" si="1103"/>
        <v>NDP-7804-Z12</v>
      </c>
      <c r="U7790" s="403">
        <f t="shared" si="1104"/>
        <v>1</v>
      </c>
      <c r="V7790" s="403" t="str">
        <f t="shared" si="1105"/>
        <v>CPP_7_3</v>
      </c>
    </row>
    <row r="7791" spans="1:22">
      <c r="A7791" t="str">
        <f>IF(AND(G7791&lt;&gt;"rotate 90°"),D7791,"")</f>
        <v>NDP-7804-Z12</v>
      </c>
      <c r="B7791" s="29" t="s">
        <v>2014</v>
      </c>
      <c r="C7791" s="403" t="s">
        <v>582</v>
      </c>
      <c r="D7791" s="355" t="s">
        <v>2095</v>
      </c>
      <c r="F7791" s="29" t="s">
        <v>1286</v>
      </c>
      <c r="G7791" t="s">
        <v>1811</v>
      </c>
      <c r="H7791" s="403" t="s">
        <v>1281</v>
      </c>
      <c r="I7791">
        <v>1</v>
      </c>
      <c r="J7791" s="403" t="s">
        <v>628</v>
      </c>
      <c r="K7791" s="403">
        <v>1920</v>
      </c>
      <c r="L7791" s="403">
        <v>1080</v>
      </c>
      <c r="M7791" s="403" t="s">
        <v>628</v>
      </c>
      <c r="N7791" s="403">
        <v>1920</v>
      </c>
      <c r="O7791" s="403">
        <v>1080</v>
      </c>
      <c r="P7791" t="str">
        <f>LEFT(F7791,5)&amp;" "&amp;J7791&amp;" - "&amp;M7791</f>
        <v>30fps 1920x1080 - 1920x1080</v>
      </c>
      <c r="Q7791">
        <f t="shared" si="1100"/>
        <v>71</v>
      </c>
      <c r="R7791" t="str">
        <f t="shared" si="1101"/>
        <v/>
      </c>
      <c r="S7791" t="str">
        <f t="shared" si="1102"/>
        <v/>
      </c>
      <c r="T7791" s="403" t="str">
        <f t="shared" si="1103"/>
        <v>NDP-7804-Z12</v>
      </c>
      <c r="U7791" s="403">
        <f t="shared" si="1104"/>
        <v>1</v>
      </c>
      <c r="V7791" s="403" t="str">
        <f t="shared" si="1105"/>
        <v>CPP_7_3</v>
      </c>
    </row>
    <row r="7792" spans="1:22">
      <c r="A7792" t="str">
        <f>IF(AND(G7792&lt;&gt;"rotate 90°"),D7792,"")</f>
        <v>NDP-7804-Z12</v>
      </c>
      <c r="B7792" s="29" t="s">
        <v>2014</v>
      </c>
      <c r="C7792" s="403" t="s">
        <v>582</v>
      </c>
      <c r="D7792" s="355" t="s">
        <v>2095</v>
      </c>
      <c r="F7792" s="29" t="s">
        <v>1286</v>
      </c>
      <c r="G7792" t="s">
        <v>1811</v>
      </c>
      <c r="H7792" s="403" t="s">
        <v>1281</v>
      </c>
      <c r="I7792">
        <v>1</v>
      </c>
      <c r="J7792" s="403" t="s">
        <v>628</v>
      </c>
      <c r="K7792" s="403">
        <v>1920</v>
      </c>
      <c r="L7792" s="403">
        <v>1080</v>
      </c>
      <c r="M7792" s="403" t="s">
        <v>1451</v>
      </c>
      <c r="N7792" s="403">
        <v>1536</v>
      </c>
      <c r="O7792" s="403">
        <v>864</v>
      </c>
      <c r="P7792" t="str">
        <f>LEFT(F7792,5)&amp;" "&amp;J7792&amp;" - "&amp;M7792</f>
        <v>30fps 1920x1080 - 1536x864</v>
      </c>
      <c r="Q7792">
        <f t="shared" si="1100"/>
        <v>71</v>
      </c>
      <c r="R7792" t="str">
        <f t="shared" si="1101"/>
        <v/>
      </c>
      <c r="S7792" t="str">
        <f t="shared" si="1102"/>
        <v/>
      </c>
      <c r="T7792" s="403" t="str">
        <f t="shared" si="1103"/>
        <v>NDP-7804-Z12</v>
      </c>
      <c r="U7792" s="403">
        <f t="shared" si="1104"/>
        <v>1</v>
      </c>
      <c r="V7792" s="403" t="str">
        <f t="shared" si="1105"/>
        <v>CPP_7_3</v>
      </c>
    </row>
    <row r="7793" spans="1:22">
      <c r="A7793" t="str">
        <f>IF(AND(G7793&lt;&gt;"rotate 90°"),D7793,"")</f>
        <v>NDP-7804-Z12</v>
      </c>
      <c r="B7793" s="29" t="s">
        <v>2014</v>
      </c>
      <c r="C7793" s="403" t="s">
        <v>582</v>
      </c>
      <c r="D7793" s="355" t="s">
        <v>2095</v>
      </c>
      <c r="F7793" s="29" t="s">
        <v>1286</v>
      </c>
      <c r="G7793" t="s">
        <v>1811</v>
      </c>
      <c r="H7793" s="403" t="s">
        <v>1281</v>
      </c>
      <c r="I7793">
        <v>1</v>
      </c>
      <c r="J7793" s="403" t="s">
        <v>628</v>
      </c>
      <c r="K7793" s="403">
        <v>1920</v>
      </c>
      <c r="L7793" s="403">
        <v>1080</v>
      </c>
      <c r="M7793" s="403" t="s">
        <v>626</v>
      </c>
      <c r="N7793" s="403">
        <v>1280</v>
      </c>
      <c r="O7793" s="403">
        <v>720</v>
      </c>
      <c r="P7793" t="str">
        <f>LEFT(F7793,5)&amp;" "&amp;J7793&amp;" - "&amp;M7793</f>
        <v>30fps 1920x1080 - 1280x720</v>
      </c>
      <c r="Q7793">
        <f t="shared" si="1100"/>
        <v>71</v>
      </c>
      <c r="R7793" t="str">
        <f t="shared" si="1101"/>
        <v/>
      </c>
      <c r="S7793" t="str">
        <f t="shared" si="1102"/>
        <v/>
      </c>
      <c r="T7793" s="403" t="str">
        <f t="shared" si="1103"/>
        <v>NDP-7804-Z12</v>
      </c>
      <c r="U7793" s="403">
        <f t="shared" si="1104"/>
        <v>1</v>
      </c>
      <c r="V7793" s="403" t="str">
        <f t="shared" si="1105"/>
        <v>CPP_7_3</v>
      </c>
    </row>
    <row r="7794" spans="1:22">
      <c r="A7794" t="str">
        <f>IF(AND(G7794&lt;&gt;"rotate 90°"),D7794,"")</f>
        <v>NDP-7802-Z40x</v>
      </c>
      <c r="B7794" s="29" t="s">
        <v>2014</v>
      </c>
      <c r="C7794" s="403" t="s">
        <v>582</v>
      </c>
      <c r="D7794" s="355" t="s">
        <v>2096</v>
      </c>
      <c r="F7794" s="29"/>
      <c r="H7794" s="403"/>
      <c r="I7794">
        <v>1</v>
      </c>
      <c r="J7794" s="403"/>
      <c r="K7794" s="403"/>
      <c r="L7794" s="403"/>
      <c r="M7794" s="403"/>
      <c r="N7794" s="403"/>
      <c r="O7794" s="403"/>
      <c r="P7794" t="str">
        <f>LEFT(F7794,5)&amp;" "&amp;J7794&amp;" - "&amp;M7794</f>
        <v xml:space="preserve">  - </v>
      </c>
      <c r="Q7794">
        <f t="shared" si="1100"/>
        <v>72</v>
      </c>
      <c r="R7794">
        <f t="shared" si="1101"/>
        <v>72</v>
      </c>
      <c r="S7794" t="str">
        <f t="shared" si="1102"/>
        <v>AUTODOME 7100i IR (NDP-7802-Z40x)</v>
      </c>
      <c r="T7794" s="403" t="str">
        <f t="shared" si="1103"/>
        <v>NDP-7802-Z40x</v>
      </c>
      <c r="U7794" s="403">
        <f t="shared" si="1104"/>
        <v>1</v>
      </c>
      <c r="V7794" s="403" t="str">
        <f t="shared" si="1105"/>
        <v>CPP_7_3</v>
      </c>
    </row>
    <row r="7795" spans="1:22">
      <c r="A7795" t="str">
        <f>IF(AND(G7795&lt;&gt;"rotate 90°"),D7795,"")</f>
        <v>NDP-7802-Z40x</v>
      </c>
      <c r="B7795" s="29" t="s">
        <v>2014</v>
      </c>
      <c r="C7795" s="403" t="s">
        <v>582</v>
      </c>
      <c r="D7795" s="355" t="s">
        <v>2096</v>
      </c>
      <c r="F7795" t="s">
        <v>1288</v>
      </c>
      <c r="G7795" t="s">
        <v>1811</v>
      </c>
      <c r="H7795" s="403" t="s">
        <v>1281</v>
      </c>
      <c r="I7795">
        <v>1</v>
      </c>
      <c r="J7795" s="403" t="s">
        <v>628</v>
      </c>
      <c r="K7795" s="403">
        <v>1920</v>
      </c>
      <c r="L7795" s="403">
        <v>1080</v>
      </c>
      <c r="M7795" s="403" t="s">
        <v>628</v>
      </c>
      <c r="N7795" s="403">
        <v>2688</v>
      </c>
      <c r="O7795" s="403">
        <v>1520</v>
      </c>
      <c r="P7795" t="str">
        <f>LEFT(F7795,5)&amp;" "&amp;J7795&amp;" - "&amp;M7795</f>
        <v>60fps 1920x1080 - 1920x1080</v>
      </c>
      <c r="Q7795">
        <f t="shared" ref="Q7795:Q7803" si="1106">IF(A7794=A7795,Q7794,Q7794+1)</f>
        <v>72</v>
      </c>
      <c r="R7795" t="str">
        <f t="shared" ref="R7795:R7803" si="1107">IF(Q7794&lt;&gt;Q7795,Q7795,"")</f>
        <v/>
      </c>
      <c r="S7795" t="str">
        <f t="shared" ref="S7795:S7803" si="1108">IF(R7795&lt;&gt;"",B7795&amp;" ("&amp;D7795&amp;")","")</f>
        <v/>
      </c>
      <c r="T7795" s="403" t="str">
        <f t="shared" ref="T7795:T7803" si="1109">D7795</f>
        <v>NDP-7802-Z40x</v>
      </c>
      <c r="U7795" s="403">
        <f t="shared" ref="U7795:U7803" si="1110">I7795</f>
        <v>1</v>
      </c>
      <c r="V7795" s="403" t="str">
        <f t="shared" ref="V7795:V7803" si="1111">C7795</f>
        <v>CPP_7_3</v>
      </c>
    </row>
    <row r="7796" spans="1:22">
      <c r="A7796" t="str">
        <f>IF(AND(G7796&lt;&gt;"rotate 90°"),D7796,"")</f>
        <v>NDP-7802-Z40x</v>
      </c>
      <c r="B7796" s="29" t="s">
        <v>2014</v>
      </c>
      <c r="C7796" s="403" t="s">
        <v>582</v>
      </c>
      <c r="D7796" s="355" t="s">
        <v>2096</v>
      </c>
      <c r="F7796" t="s">
        <v>1288</v>
      </c>
      <c r="G7796" t="s">
        <v>1811</v>
      </c>
      <c r="H7796" s="403" t="s">
        <v>1281</v>
      </c>
      <c r="I7796">
        <v>1</v>
      </c>
      <c r="J7796" s="403" t="s">
        <v>628</v>
      </c>
      <c r="K7796" s="403">
        <v>1920</v>
      </c>
      <c r="L7796" s="403">
        <v>1080</v>
      </c>
      <c r="M7796" s="403" t="s">
        <v>1451</v>
      </c>
      <c r="N7796" s="403">
        <v>1536</v>
      </c>
      <c r="O7796" s="403">
        <v>864</v>
      </c>
      <c r="P7796" t="str">
        <f>LEFT(F7796,5)&amp;" "&amp;J7796&amp;" - "&amp;M7796</f>
        <v>60fps 1920x1080 - 1536x864</v>
      </c>
      <c r="Q7796">
        <f t="shared" si="1106"/>
        <v>72</v>
      </c>
      <c r="R7796" t="str">
        <f t="shared" si="1107"/>
        <v/>
      </c>
      <c r="S7796" t="str">
        <f t="shared" si="1108"/>
        <v/>
      </c>
      <c r="T7796" s="403" t="str">
        <f t="shared" si="1109"/>
        <v>NDP-7802-Z40x</v>
      </c>
      <c r="U7796" s="403">
        <f t="shared" si="1110"/>
        <v>1</v>
      </c>
      <c r="V7796" s="403" t="str">
        <f t="shared" si="1111"/>
        <v>CPP_7_3</v>
      </c>
    </row>
    <row r="7797" spans="1:22">
      <c r="A7797" t="str">
        <f>IF(AND(G7797&lt;&gt;"rotate 90°"),D7797,"")</f>
        <v>NDP-7802-Z40x</v>
      </c>
      <c r="B7797" s="29" t="s">
        <v>2014</v>
      </c>
      <c r="C7797" s="403" t="s">
        <v>582</v>
      </c>
      <c r="D7797" s="355" t="s">
        <v>2096</v>
      </c>
      <c r="F7797" t="s">
        <v>1288</v>
      </c>
      <c r="G7797" t="s">
        <v>1811</v>
      </c>
      <c r="H7797" s="403" t="s">
        <v>1281</v>
      </c>
      <c r="I7797">
        <v>1</v>
      </c>
      <c r="J7797" s="403" t="s">
        <v>628</v>
      </c>
      <c r="K7797" s="403">
        <v>1920</v>
      </c>
      <c r="L7797" s="403">
        <v>1080</v>
      </c>
      <c r="M7797" s="403" t="s">
        <v>626</v>
      </c>
      <c r="N7797" s="403">
        <v>1280</v>
      </c>
      <c r="O7797" s="403">
        <v>720</v>
      </c>
      <c r="P7797" t="str">
        <f>LEFT(F7797,5)&amp;" "&amp;J7797&amp;" - "&amp;M7797</f>
        <v>60fps 1920x1080 - 1280x720</v>
      </c>
      <c r="Q7797">
        <f t="shared" si="1106"/>
        <v>72</v>
      </c>
      <c r="R7797" t="str">
        <f t="shared" si="1107"/>
        <v/>
      </c>
      <c r="S7797" t="str">
        <f t="shared" si="1108"/>
        <v/>
      </c>
      <c r="T7797" s="403" t="str">
        <f t="shared" si="1109"/>
        <v>NDP-7802-Z40x</v>
      </c>
      <c r="U7797" s="403">
        <f t="shared" si="1110"/>
        <v>1</v>
      </c>
      <c r="V7797" s="403" t="str">
        <f t="shared" si="1111"/>
        <v>CPP_7_3</v>
      </c>
    </row>
    <row r="7798" spans="1:22">
      <c r="A7798" t="str">
        <f>IF(AND(G7798&lt;&gt;"rotate 90°"),D7798,"")</f>
        <v>NDP-7802-Z40x</v>
      </c>
      <c r="B7798" s="29" t="s">
        <v>2014</v>
      </c>
      <c r="C7798" s="403" t="s">
        <v>582</v>
      </c>
      <c r="D7798" s="355" t="s">
        <v>2096</v>
      </c>
      <c r="F7798" t="s">
        <v>1286</v>
      </c>
      <c r="G7798" t="s">
        <v>1811</v>
      </c>
      <c r="H7798" s="403" t="s">
        <v>1281</v>
      </c>
      <c r="I7798">
        <v>1</v>
      </c>
      <c r="J7798" s="403" t="s">
        <v>628</v>
      </c>
      <c r="K7798" s="403">
        <v>1920</v>
      </c>
      <c r="L7798" s="403">
        <v>1080</v>
      </c>
      <c r="M7798" s="403" t="s">
        <v>628</v>
      </c>
      <c r="N7798" s="403">
        <v>2688</v>
      </c>
      <c r="O7798" s="403">
        <v>1520</v>
      </c>
      <c r="P7798" t="str">
        <f>LEFT(F7798,5)&amp;" "&amp;J7798&amp;" - "&amp;M7798</f>
        <v>30fps 1920x1080 - 1920x1080</v>
      </c>
      <c r="Q7798">
        <f t="shared" si="1106"/>
        <v>72</v>
      </c>
      <c r="R7798" t="str">
        <f t="shared" si="1107"/>
        <v/>
      </c>
      <c r="S7798" t="str">
        <f t="shared" si="1108"/>
        <v/>
      </c>
      <c r="T7798" s="403" t="str">
        <f t="shared" si="1109"/>
        <v>NDP-7802-Z40x</v>
      </c>
      <c r="U7798" s="403">
        <f t="shared" si="1110"/>
        <v>1</v>
      </c>
      <c r="V7798" s="403" t="str">
        <f t="shared" si="1111"/>
        <v>CPP_7_3</v>
      </c>
    </row>
    <row r="7799" spans="1:22">
      <c r="A7799" t="str">
        <f>IF(AND(G7799&lt;&gt;"rotate 90°"),D7799,"")</f>
        <v>NDP-7802-Z40x</v>
      </c>
      <c r="B7799" s="29" t="s">
        <v>2014</v>
      </c>
      <c r="C7799" s="403" t="s">
        <v>582</v>
      </c>
      <c r="D7799" s="355" t="s">
        <v>2096</v>
      </c>
      <c r="F7799" t="s">
        <v>1286</v>
      </c>
      <c r="G7799" t="s">
        <v>1811</v>
      </c>
      <c r="H7799" s="403" t="s">
        <v>1281</v>
      </c>
      <c r="I7799">
        <v>1</v>
      </c>
      <c r="J7799" s="403" t="s">
        <v>628</v>
      </c>
      <c r="K7799" s="403">
        <v>1920</v>
      </c>
      <c r="L7799" s="403">
        <v>1080</v>
      </c>
      <c r="M7799" s="403" t="s">
        <v>1451</v>
      </c>
      <c r="N7799" s="403">
        <v>1536</v>
      </c>
      <c r="O7799" s="403">
        <v>864</v>
      </c>
      <c r="P7799" t="str">
        <f>LEFT(F7799,5)&amp;" "&amp;J7799&amp;" - "&amp;M7799</f>
        <v>30fps 1920x1080 - 1536x864</v>
      </c>
      <c r="Q7799">
        <f t="shared" si="1106"/>
        <v>72</v>
      </c>
      <c r="R7799" t="str">
        <f t="shared" si="1107"/>
        <v/>
      </c>
      <c r="S7799" t="str">
        <f t="shared" si="1108"/>
        <v/>
      </c>
      <c r="T7799" s="403" t="str">
        <f t="shared" si="1109"/>
        <v>NDP-7802-Z40x</v>
      </c>
      <c r="U7799" s="403">
        <f t="shared" si="1110"/>
        <v>1</v>
      </c>
      <c r="V7799" s="403" t="str">
        <f t="shared" si="1111"/>
        <v>CPP_7_3</v>
      </c>
    </row>
    <row r="7800" spans="1:22">
      <c r="A7800" t="str">
        <f>IF(AND(G7800&lt;&gt;"rotate 90°"),D7800,"")</f>
        <v>NDP-7802-Z40x</v>
      </c>
      <c r="B7800" s="29" t="s">
        <v>2014</v>
      </c>
      <c r="C7800" s="403" t="s">
        <v>582</v>
      </c>
      <c r="D7800" s="355" t="s">
        <v>2096</v>
      </c>
      <c r="F7800" t="s">
        <v>1286</v>
      </c>
      <c r="G7800" t="s">
        <v>1811</v>
      </c>
      <c r="H7800" s="403" t="s">
        <v>1281</v>
      </c>
      <c r="I7800">
        <v>1</v>
      </c>
      <c r="J7800" s="403" t="s">
        <v>628</v>
      </c>
      <c r="K7800" s="403">
        <v>1920</v>
      </c>
      <c r="L7800" s="403">
        <v>1080</v>
      </c>
      <c r="M7800" s="403" t="s">
        <v>626</v>
      </c>
      <c r="N7800" s="403">
        <v>1280</v>
      </c>
      <c r="O7800" s="403">
        <v>720</v>
      </c>
      <c r="P7800" t="str">
        <f>LEFT(F7800,5)&amp;" "&amp;J7800&amp;" - "&amp;M7800</f>
        <v>30fps 1920x1080 - 1280x720</v>
      </c>
      <c r="Q7800">
        <f t="shared" si="1106"/>
        <v>72</v>
      </c>
      <c r="R7800" t="str">
        <f t="shared" si="1107"/>
        <v/>
      </c>
      <c r="S7800" t="str">
        <f t="shared" si="1108"/>
        <v/>
      </c>
      <c r="T7800" s="403" t="str">
        <f t="shared" si="1109"/>
        <v>NDP-7802-Z40x</v>
      </c>
      <c r="U7800" s="403">
        <f t="shared" si="1110"/>
        <v>1</v>
      </c>
      <c r="V7800" s="403" t="str">
        <f t="shared" si="1111"/>
        <v>CPP_7_3</v>
      </c>
    </row>
    <row r="7801" spans="1:22">
      <c r="A7801" t="str">
        <f>IF(AND(G7801&lt;&gt;"rotate 90°"),D7801,"")</f>
        <v>NBT-8701</v>
      </c>
      <c r="B7801" s="29" t="s">
        <v>2098</v>
      </c>
      <c r="C7801" s="403" t="s">
        <v>582</v>
      </c>
      <c r="D7801" s="355" t="s">
        <v>2099</v>
      </c>
      <c r="H7801" s="403"/>
      <c r="I7801">
        <v>1</v>
      </c>
      <c r="J7801" s="403"/>
      <c r="K7801" s="403"/>
      <c r="L7801" s="403"/>
      <c r="M7801" s="403"/>
      <c r="N7801" s="403"/>
      <c r="O7801" s="403"/>
      <c r="P7801" t="str">
        <f>LEFT(F7801,5)&amp;" "&amp;J7801&amp;" - "&amp;M7801</f>
        <v xml:space="preserve">  - </v>
      </c>
      <c r="Q7801">
        <f t="shared" si="1106"/>
        <v>73</v>
      </c>
      <c r="R7801">
        <f t="shared" si="1107"/>
        <v>73</v>
      </c>
      <c r="S7801" t="str">
        <f t="shared" si="1108"/>
        <v>DINION thermal 8100i (NBT-8701)</v>
      </c>
      <c r="T7801" s="403" t="str">
        <f t="shared" si="1109"/>
        <v>NBT-8701</v>
      </c>
      <c r="U7801" s="403">
        <f t="shared" si="1110"/>
        <v>1</v>
      </c>
      <c r="V7801" s="403" t="str">
        <f t="shared" si="1111"/>
        <v>CPP_7_3</v>
      </c>
    </row>
    <row r="7802" spans="1:22">
      <c r="A7802" t="str">
        <f>IF(AND(G7802&lt;&gt;"rotate 90°"),D7802,"")</f>
        <v>NBT-8701</v>
      </c>
      <c r="B7802" s="29" t="s">
        <v>2098</v>
      </c>
      <c r="C7802" s="403" t="s">
        <v>582</v>
      </c>
      <c r="D7802" s="355" t="s">
        <v>2099</v>
      </c>
      <c r="F7802" s="403" t="s">
        <v>1319</v>
      </c>
      <c r="G7802" s="403" t="s">
        <v>1466</v>
      </c>
      <c r="H7802" s="403" t="s">
        <v>1276</v>
      </c>
      <c r="I7802" s="403">
        <v>1</v>
      </c>
      <c r="J7802" s="403" t="s">
        <v>111</v>
      </c>
      <c r="K7802" s="403">
        <v>640</v>
      </c>
      <c r="L7802" s="403">
        <v>480</v>
      </c>
      <c r="M7802" s="403" t="s">
        <v>111</v>
      </c>
      <c r="N7802" s="403">
        <v>640</v>
      </c>
      <c r="O7802" s="403">
        <v>480</v>
      </c>
      <c r="P7802" t="str">
        <f>LEFT(F7802,5)&amp;" "&amp;J7802&amp;" - "&amp;M7802</f>
        <v>30fps SD - SD</v>
      </c>
      <c r="Q7802">
        <f>IF(A7801=A7802,Q7801,Q7801+1)</f>
        <v>73</v>
      </c>
      <c r="R7802" t="str">
        <f>IF(Q7801&lt;&gt;Q7802,Q7802,"")</f>
        <v/>
      </c>
      <c r="S7802" t="str">
        <f t="shared" si="1108"/>
        <v/>
      </c>
      <c r="T7802" s="403" t="str">
        <f t="shared" si="1109"/>
        <v>NBT-8701</v>
      </c>
      <c r="U7802" s="403">
        <f t="shared" si="1110"/>
        <v>1</v>
      </c>
      <c r="V7802" s="403" t="str">
        <f t="shared" si="1111"/>
        <v>CPP_7_3</v>
      </c>
    </row>
    <row r="7803" spans="1:22">
      <c r="A7803" t="str">
        <f t="shared" si="928"/>
        <v>OTH</v>
      </c>
      <c r="B7803" t="s">
        <v>1470</v>
      </c>
      <c r="C7803">
        <v>0</v>
      </c>
      <c r="D7803" t="s">
        <v>1609</v>
      </c>
      <c r="E7803" t="s">
        <v>1610</v>
      </c>
      <c r="F7803" t="s">
        <v>1611</v>
      </c>
      <c r="G7803" t="s">
        <v>1811</v>
      </c>
      <c r="H7803" t="s">
        <v>1611</v>
      </c>
      <c r="I7803">
        <v>1</v>
      </c>
      <c r="J7803" t="s">
        <v>1611</v>
      </c>
      <c r="K7803">
        <v>0</v>
      </c>
      <c r="L7803" t="s">
        <v>1611</v>
      </c>
      <c r="M7803" t="s">
        <v>1611</v>
      </c>
      <c r="N7803">
        <v>0</v>
      </c>
      <c r="O7803">
        <v>0</v>
      </c>
      <c r="P7803" t="str">
        <f t="shared" ref="P7803" si="1112">LEFT(F7803,5)&amp;" "&amp;J7803&amp;" - "&amp;M7803</f>
        <v>n/a n/a - n/a</v>
      </c>
      <c r="Q7803">
        <f t="shared" si="1106"/>
        <v>74</v>
      </c>
      <c r="R7803">
        <f t="shared" si="1107"/>
        <v>74</v>
      </c>
      <c r="S7803" t="str">
        <f t="shared" si="1108"/>
        <v>Other Bosch or ONVIF (OTH)</v>
      </c>
      <c r="T7803" s="403" t="str">
        <f t="shared" si="1109"/>
        <v>OTH</v>
      </c>
      <c r="U7803" s="403">
        <f t="shared" si="1110"/>
        <v>1</v>
      </c>
      <c r="V7803" s="403">
        <f t="shared" si="1111"/>
        <v>0</v>
      </c>
    </row>
    <row r="7804" spans="1:22">
      <c r="T7804" s="403"/>
      <c r="U7804" s="403"/>
      <c r="V7804" s="403"/>
    </row>
    <row r="7805" spans="1:22">
      <c r="T7805" s="403"/>
      <c r="U7805" s="403"/>
      <c r="V7805" s="403"/>
    </row>
  </sheetData>
  <phoneticPr fontId="14" type="noConversion"/>
  <pageMargins left="0.7" right="0.7" top="0.75" bottom="0.75" header="0.3" footer="0.3"/>
  <pageSetup paperSize="9" orientation="portrait" r:id="rId1"/>
  <customProperties>
    <customPr name="_pios_id" r:id="rId2"/>
  </customProperties>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CS355"/>
  <sheetViews>
    <sheetView topLeftCell="A4" zoomScale="80" zoomScaleNormal="80" workbookViewId="0">
      <pane ySplit="9" topLeftCell="A13" activePane="bottomLeft" state="frozen"/>
      <selection activeCell="A22" sqref="A22:XFD22"/>
      <selection pane="bottomLeft" activeCell="A22" sqref="A22:XFD22"/>
    </sheetView>
  </sheetViews>
  <sheetFormatPr defaultColWidth="9.140625" defaultRowHeight="12.75" outlineLevelRow="1" outlineLevelCol="1"/>
  <cols>
    <col min="1" max="1" width="61" customWidth="1"/>
    <col min="2" max="2" width="20" customWidth="1"/>
    <col min="3" max="3" width="59.42578125" bestFit="1" customWidth="1"/>
    <col min="4" max="4" width="21.42578125" bestFit="1" customWidth="1"/>
    <col min="5" max="5" width="25.5703125" customWidth="1"/>
    <col min="6" max="6" width="15.7109375" customWidth="1"/>
    <col min="7" max="7" width="18.42578125" customWidth="1"/>
    <col min="8" max="8" width="21.5703125" customWidth="1"/>
    <col min="9" max="9" width="14.7109375" style="194" customWidth="1"/>
    <col min="10" max="10" width="15.7109375" style="194" bestFit="1" customWidth="1"/>
    <col min="11" max="12" width="15.7109375" style="194" customWidth="1"/>
    <col min="13" max="13" width="17" style="194" customWidth="1" outlineLevel="1"/>
    <col min="14" max="14" width="16.28515625" style="194" customWidth="1" outlineLevel="1"/>
    <col min="15" max="15" width="14" style="194" customWidth="1" outlineLevel="1"/>
    <col min="16" max="16" width="20.5703125" style="194" customWidth="1" outlineLevel="1"/>
    <col min="17" max="17" width="18.28515625" style="194" customWidth="1" outlineLevel="1"/>
    <col min="18" max="21" width="20.5703125" style="194" customWidth="1" outlineLevel="1"/>
    <col min="22" max="22" width="12.7109375" customWidth="1" outlineLevel="1"/>
    <col min="23" max="23" width="23.28515625" customWidth="1" outlineLevel="1"/>
    <col min="24" max="25" width="24.28515625" customWidth="1" outlineLevel="1"/>
    <col min="26" max="26" width="74.42578125" customWidth="1" outlineLevel="1"/>
    <col min="27" max="27" width="26.28515625" customWidth="1" outlineLevel="1"/>
    <col min="28" max="28" width="11.42578125" customWidth="1" outlineLevel="1"/>
    <col min="29" max="29" width="11.7109375" customWidth="1" outlineLevel="1"/>
    <col min="30" max="33" width="12.7109375" customWidth="1" outlineLevel="1"/>
    <col min="34" max="34" width="11.28515625" style="194" customWidth="1" outlineLevel="1" collapsed="1"/>
    <col min="35" max="35" width="16.28515625" style="194" customWidth="1" outlineLevel="1"/>
    <col min="36" max="36" width="14" style="194" customWidth="1" outlineLevel="1"/>
    <col min="37" max="37" width="20.5703125" style="194" customWidth="1" outlineLevel="1"/>
    <col min="38" max="38" width="11.28515625" style="194" customWidth="1" outlineLevel="1"/>
    <col min="39" max="42" width="20.5703125" style="194" customWidth="1" outlineLevel="1"/>
    <col min="43" max="43" width="12.7109375" customWidth="1" outlineLevel="1"/>
    <col min="44" max="44" width="23.28515625" customWidth="1" outlineLevel="1"/>
    <col min="45" max="46" width="24.28515625" customWidth="1" outlineLevel="1"/>
    <col min="47" max="47" width="75.5703125" customWidth="1" outlineLevel="1"/>
    <col min="48" max="48" width="26.28515625" customWidth="1" outlineLevel="1"/>
    <col min="49" max="49" width="9.28515625" customWidth="1" outlineLevel="1"/>
    <col min="50" max="50" width="11.7109375" customWidth="1" outlineLevel="1"/>
    <col min="51" max="54" width="9.28515625" customWidth="1" outlineLevel="1"/>
    <col min="55" max="55" width="11.28515625" style="194" customWidth="1" outlineLevel="1" collapsed="1"/>
    <col min="56" max="56" width="16.28515625" style="194" customWidth="1" outlineLevel="1"/>
    <col min="57" max="57" width="14" style="194" customWidth="1" outlineLevel="1"/>
    <col min="58" max="58" width="20.5703125" style="194" customWidth="1" outlineLevel="1"/>
    <col min="59" max="59" width="11.28515625" style="194" customWidth="1" outlineLevel="1"/>
    <col min="60" max="63" width="20.5703125" style="194" customWidth="1" outlineLevel="1"/>
    <col min="64" max="64" width="12.7109375" customWidth="1" outlineLevel="1"/>
    <col min="65" max="65" width="23.28515625" customWidth="1" outlineLevel="1"/>
    <col min="66" max="67" width="24.28515625" customWidth="1" outlineLevel="1"/>
    <col min="68" max="68" width="68.5703125" customWidth="1" outlineLevel="1"/>
    <col min="69" max="69" width="26.28515625" customWidth="1" outlineLevel="1"/>
    <col min="70" max="70" width="9.28515625" customWidth="1" outlineLevel="1"/>
    <col min="71" max="71" width="11.7109375" customWidth="1" outlineLevel="1"/>
    <col min="72" max="75" width="9.28515625" customWidth="1" outlineLevel="1"/>
    <col min="76" max="76" width="11.28515625" style="194" customWidth="1" outlineLevel="1" collapsed="1"/>
    <col min="77" max="77" width="11.28515625" style="194" customWidth="1" outlineLevel="1"/>
    <col min="78" max="78" width="14" style="194" customWidth="1" outlineLevel="1"/>
    <col min="79" max="79" width="20.5703125" style="194" customWidth="1" outlineLevel="1"/>
    <col min="80" max="80" width="11.28515625" style="194" customWidth="1" outlineLevel="1"/>
    <col min="81" max="84" width="20.5703125" style="194" customWidth="1" outlineLevel="1"/>
    <col min="85" max="85" width="12.7109375" customWidth="1" outlineLevel="1"/>
    <col min="86" max="86" width="23.28515625" customWidth="1" outlineLevel="1"/>
    <col min="87" max="88" width="24.28515625" customWidth="1" outlineLevel="1"/>
    <col min="89" max="89" width="68.5703125" customWidth="1" outlineLevel="1"/>
    <col min="90" max="90" width="26.28515625" customWidth="1" outlineLevel="1"/>
    <col min="91" max="91" width="9.28515625" customWidth="1" outlineLevel="1"/>
    <col min="92" max="92" width="11.7109375" customWidth="1" outlineLevel="1"/>
    <col min="93" max="96" width="9.28515625" customWidth="1" outlineLevel="1"/>
    <col min="97" max="97" width="11.28515625" style="194" bestFit="1" customWidth="1"/>
  </cols>
  <sheetData>
    <row r="1" spans="1:97" hidden="1" outlineLevel="1"/>
    <row r="2" spans="1:97" hidden="1" outlineLevel="1">
      <c r="B2" s="29" t="s">
        <v>1060</v>
      </c>
      <c r="C2" s="29" t="s">
        <v>1079</v>
      </c>
      <c r="D2" s="29" t="s">
        <v>1083</v>
      </c>
      <c r="E2" s="29" t="s">
        <v>1084</v>
      </c>
      <c r="G2" s="194"/>
      <c r="H2" s="194"/>
      <c r="T2"/>
      <c r="U2"/>
      <c r="AC2" s="194"/>
      <c r="AD2" s="194"/>
      <c r="AE2" s="194"/>
      <c r="AF2" s="194"/>
      <c r="AG2" s="194"/>
      <c r="AO2"/>
      <c r="AP2"/>
      <c r="AX2" s="194"/>
      <c r="AY2" s="194"/>
      <c r="AZ2" s="194"/>
      <c r="BA2" s="194"/>
      <c r="BB2" s="194"/>
      <c r="BJ2"/>
      <c r="BK2"/>
      <c r="BS2" s="194"/>
      <c r="BT2" s="194"/>
      <c r="BU2" s="194"/>
      <c r="BV2" s="194"/>
      <c r="BW2" s="194"/>
      <c r="CE2"/>
      <c r="CF2"/>
      <c r="CN2" s="194"/>
      <c r="CS2"/>
    </row>
    <row r="3" spans="1:97" hidden="1" outlineLevel="1">
      <c r="A3" s="29" t="s">
        <v>1063</v>
      </c>
      <c r="B3" s="194">
        <f>'BVMS checklist'!$P$185</f>
        <v>0</v>
      </c>
      <c r="C3" s="194">
        <f>'BVMS checklist'!$P$186</f>
        <v>0</v>
      </c>
      <c r="D3" s="194">
        <f>'BVMS checklist'!$P$187</f>
        <v>0</v>
      </c>
      <c r="E3" s="194">
        <f>'BVMS checklist'!$P$188</f>
        <v>0</v>
      </c>
      <c r="G3" s="194"/>
      <c r="H3" s="194"/>
      <c r="T3"/>
      <c r="U3"/>
      <c r="AC3" s="194"/>
      <c r="AD3" s="194"/>
      <c r="AE3" s="194"/>
      <c r="AF3" s="194"/>
      <c r="AG3" s="194"/>
      <c r="AO3"/>
      <c r="AP3"/>
      <c r="AX3" s="194"/>
      <c r="AY3" s="194"/>
      <c r="AZ3" s="194"/>
      <c r="BA3" s="194"/>
      <c r="BB3" s="194"/>
      <c r="BJ3"/>
      <c r="BK3"/>
      <c r="BS3" s="194"/>
      <c r="BT3" s="194"/>
      <c r="BU3" s="194"/>
      <c r="BV3" s="194"/>
      <c r="BW3" s="194"/>
      <c r="CE3"/>
      <c r="CF3"/>
      <c r="CN3" s="194"/>
      <c r="CS3"/>
    </row>
    <row r="4" spans="1:97" ht="20.25" hidden="1" customHeight="1" outlineLevel="1">
      <c r="A4" s="29" t="s">
        <v>1064</v>
      </c>
      <c r="B4" s="194">
        <f>'BVMS checklist'!$H$185</f>
        <v>0</v>
      </c>
      <c r="C4" s="194">
        <f>'BVMS checklist'!$H$186</f>
        <v>0</v>
      </c>
      <c r="D4" s="194">
        <f>'BVMS checklist'!$H$187</f>
        <v>0</v>
      </c>
      <c r="E4" s="194">
        <f>'BVMS checklist'!$H$188</f>
        <v>0</v>
      </c>
      <c r="G4" s="194"/>
      <c r="H4" s="194"/>
      <c r="T4"/>
      <c r="U4"/>
      <c r="AC4" s="194"/>
      <c r="AD4" s="194"/>
      <c r="AE4" s="194"/>
      <c r="AF4" s="194"/>
      <c r="AG4" s="194"/>
      <c r="AO4"/>
      <c r="AP4"/>
      <c r="AX4" s="194"/>
      <c r="AY4" s="194"/>
      <c r="AZ4" s="194"/>
      <c r="BA4" s="194"/>
      <c r="BB4" s="194"/>
      <c r="BJ4"/>
      <c r="BK4"/>
      <c r="BS4" s="194"/>
      <c r="BT4" s="194"/>
      <c r="BU4" s="194"/>
      <c r="BV4" s="194"/>
      <c r="BW4" s="194"/>
      <c r="CE4"/>
      <c r="CF4"/>
      <c r="CN4" s="194"/>
      <c r="CS4"/>
    </row>
    <row r="5" spans="1:97" ht="21.75" hidden="1" customHeight="1" outlineLevel="1">
      <c r="A5" s="29" t="s">
        <v>1068</v>
      </c>
      <c r="B5">
        <f>'BVMS checklist'!$O$273</f>
        <v>0</v>
      </c>
      <c r="C5">
        <f>'BVMS checklist'!$O$273</f>
        <v>0</v>
      </c>
      <c r="D5">
        <f>'BVMS checklist'!$O$273</f>
        <v>0</v>
      </c>
      <c r="E5">
        <f>'BVMS checklist'!$O$273</f>
        <v>0</v>
      </c>
      <c r="G5" s="194"/>
      <c r="H5" s="194"/>
      <c r="T5"/>
      <c r="U5"/>
      <c r="AC5" s="194"/>
      <c r="AD5" s="194"/>
      <c r="AE5" s="194"/>
      <c r="AF5" s="194"/>
      <c r="AG5" s="194"/>
      <c r="AO5"/>
      <c r="AP5"/>
      <c r="AX5" s="194"/>
      <c r="AY5" s="194"/>
      <c r="AZ5" s="194"/>
      <c r="BA5" s="194"/>
      <c r="BB5" s="194"/>
      <c r="BJ5"/>
      <c r="BK5"/>
      <c r="BS5" s="194"/>
      <c r="BT5" s="194"/>
      <c r="BU5" s="194"/>
      <c r="BV5" s="194"/>
      <c r="BW5" s="194"/>
      <c r="CE5"/>
      <c r="CF5"/>
      <c r="CN5" s="194"/>
      <c r="CS5"/>
    </row>
    <row r="6" spans="1:97" ht="21.75" hidden="1" customHeight="1" outlineLevel="1">
      <c r="A6" s="29" t="s">
        <v>1072</v>
      </c>
      <c r="B6" t="str">
        <f>'BVMS checklist'!$G$185</f>
        <v>Yes</v>
      </c>
      <c r="C6" t="str">
        <f>'BVMS checklist'!$G$186</f>
        <v>Yes</v>
      </c>
      <c r="D6" t="str">
        <f>'BVMS checklist'!$G$187</f>
        <v>Yes</v>
      </c>
      <c r="E6" t="str">
        <f>'BVMS checklist'!$G$188</f>
        <v>Yes</v>
      </c>
      <c r="G6" s="194"/>
      <c r="H6" s="194"/>
      <c r="T6"/>
      <c r="U6"/>
      <c r="AC6" s="194"/>
      <c r="AD6" s="194"/>
      <c r="AE6" s="194"/>
      <c r="AF6" s="194"/>
      <c r="AG6" s="194"/>
      <c r="AO6"/>
      <c r="AP6"/>
      <c r="AX6" s="194"/>
      <c r="AY6" s="194"/>
      <c r="AZ6" s="194"/>
      <c r="BA6" s="194"/>
      <c r="BB6" s="194"/>
      <c r="BJ6"/>
      <c r="BK6"/>
      <c r="BS6" s="194"/>
      <c r="BT6" s="194"/>
      <c r="BU6" s="194"/>
      <c r="BV6" s="194"/>
      <c r="BW6" s="194"/>
      <c r="CE6"/>
      <c r="CF6"/>
      <c r="CN6" s="194"/>
      <c r="CS6"/>
    </row>
    <row r="7" spans="1:97" ht="32.25" hidden="1" customHeight="1" outlineLevel="1">
      <c r="A7" s="29"/>
    </row>
    <row r="8" spans="1:97" ht="27" hidden="1" customHeight="1" outlineLevel="1"/>
    <row r="9" spans="1:97" ht="24.75" hidden="1" customHeight="1" outlineLevel="1">
      <c r="G9" s="194"/>
      <c r="H9" s="194"/>
      <c r="T9"/>
      <c r="U9"/>
      <c r="AC9" s="194"/>
      <c r="AH9"/>
      <c r="AO9"/>
      <c r="AP9"/>
      <c r="AX9" s="194"/>
      <c r="BC9"/>
      <c r="BJ9"/>
      <c r="BK9"/>
      <c r="BS9" s="194"/>
      <c r="BX9"/>
      <c r="BY9"/>
      <c r="CE9"/>
      <c r="CF9"/>
      <c r="CN9" s="194"/>
      <c r="CS9"/>
    </row>
    <row r="10" spans="1:97" ht="38.25" hidden="1" customHeight="1" outlineLevel="1">
      <c r="G10" s="194"/>
      <c r="H10" s="194"/>
      <c r="T10"/>
      <c r="U10"/>
      <c r="AC10" s="194"/>
      <c r="AH10"/>
      <c r="AO10"/>
      <c r="AP10"/>
      <c r="AX10" s="194"/>
      <c r="BC10"/>
      <c r="BJ10"/>
      <c r="BK10"/>
      <c r="BS10" s="194"/>
      <c r="BX10"/>
      <c r="BY10"/>
      <c r="CE10"/>
      <c r="CF10"/>
      <c r="CN10" s="194"/>
      <c r="CS10"/>
    </row>
    <row r="11" spans="1:97" collapsed="1">
      <c r="A11" s="391" t="s">
        <v>993</v>
      </c>
      <c r="B11" s="391"/>
      <c r="C11" s="391"/>
      <c r="D11" s="391"/>
      <c r="E11" s="391"/>
      <c r="F11" s="391"/>
      <c r="G11" s="391"/>
      <c r="H11" s="391"/>
      <c r="I11" s="391"/>
      <c r="J11" s="391"/>
      <c r="K11" s="391"/>
      <c r="L11" s="391"/>
      <c r="M11" s="380"/>
      <c r="N11" s="645" t="s">
        <v>1085</v>
      </c>
      <c r="O11" s="645"/>
      <c r="P11" s="645"/>
      <c r="Q11" s="645"/>
      <c r="R11" s="645"/>
      <c r="S11" s="645"/>
      <c r="T11" s="645"/>
      <c r="U11" s="645"/>
      <c r="V11" s="645"/>
      <c r="W11" s="645"/>
      <c r="X11" s="645"/>
      <c r="Y11" s="645"/>
      <c r="Z11" s="645"/>
      <c r="AA11" s="645"/>
      <c r="AB11" s="645"/>
      <c r="AC11" s="645"/>
      <c r="AD11" s="645"/>
      <c r="AE11" s="459"/>
      <c r="AF11" s="459"/>
      <c r="AG11" s="479"/>
      <c r="AH11" s="643" t="s">
        <v>1086</v>
      </c>
      <c r="AI11" s="643"/>
      <c r="AJ11" s="643"/>
      <c r="AK11" s="643"/>
      <c r="AL11" s="643"/>
      <c r="AM11" s="643"/>
      <c r="AN11" s="643"/>
      <c r="AO11" s="643"/>
      <c r="AP11" s="643"/>
      <c r="AQ11" s="643"/>
      <c r="AR11" s="643"/>
      <c r="AS11" s="643"/>
      <c r="AT11" s="643"/>
      <c r="AU11" s="643"/>
      <c r="AV11" s="643"/>
      <c r="AW11" s="643"/>
      <c r="AX11" s="643"/>
      <c r="AY11" s="643"/>
      <c r="AZ11" s="457"/>
      <c r="BA11" s="457"/>
      <c r="BB11" s="477"/>
      <c r="BC11" s="644" t="s">
        <v>1088</v>
      </c>
      <c r="BD11" s="644"/>
      <c r="BE11" s="644"/>
      <c r="BF11" s="644"/>
      <c r="BG11" s="644"/>
      <c r="BH11" s="644"/>
      <c r="BI11" s="644"/>
      <c r="BJ11" s="644"/>
      <c r="BK11" s="644"/>
      <c r="BL11" s="644"/>
      <c r="BM11" s="644"/>
      <c r="BN11" s="644"/>
      <c r="BO11" s="644"/>
      <c r="BP11" s="644"/>
      <c r="BQ11" s="644"/>
      <c r="BR11" s="644"/>
      <c r="BS11" s="644"/>
      <c r="BT11" s="644"/>
      <c r="BU11" s="458"/>
      <c r="BV11" s="458"/>
      <c r="BW11" s="478"/>
      <c r="BX11" s="387"/>
      <c r="BY11" s="642" t="s">
        <v>1087</v>
      </c>
      <c r="BZ11" s="642"/>
      <c r="CA11" s="642"/>
      <c r="CB11" s="642"/>
      <c r="CC11" s="642"/>
      <c r="CD11" s="642"/>
      <c r="CE11" s="642"/>
      <c r="CF11" s="642"/>
      <c r="CG11" s="642"/>
      <c r="CH11" s="642"/>
      <c r="CI11" s="642"/>
      <c r="CJ11" s="642"/>
      <c r="CK11" s="642"/>
      <c r="CL11" s="642"/>
      <c r="CM11" s="642"/>
      <c r="CN11" s="642"/>
      <c r="CO11" s="642"/>
      <c r="CP11" s="456"/>
      <c r="CQ11" s="456"/>
      <c r="CR11" s="476"/>
      <c r="CS11"/>
    </row>
    <row r="12" spans="1:97">
      <c r="A12" s="377" t="s">
        <v>994</v>
      </c>
      <c r="B12" s="377" t="s">
        <v>986</v>
      </c>
      <c r="C12" s="377" t="s">
        <v>989</v>
      </c>
      <c r="D12" s="377" t="s">
        <v>1077</v>
      </c>
      <c r="E12" s="377" t="s">
        <v>1515</v>
      </c>
      <c r="F12" s="378" t="s">
        <v>140</v>
      </c>
      <c r="G12" s="378" t="s">
        <v>991</v>
      </c>
      <c r="H12" s="378" t="s">
        <v>990</v>
      </c>
      <c r="I12" s="378" t="s">
        <v>1062</v>
      </c>
      <c r="J12" s="378" t="s">
        <v>992</v>
      </c>
      <c r="K12" s="378" t="s">
        <v>1566</v>
      </c>
      <c r="L12" s="378" t="s">
        <v>1570</v>
      </c>
      <c r="M12" s="376" t="s">
        <v>1066</v>
      </c>
      <c r="N12" s="375" t="s">
        <v>3</v>
      </c>
      <c r="O12" s="376" t="s">
        <v>1067</v>
      </c>
      <c r="P12" s="376" t="s">
        <v>1074</v>
      </c>
      <c r="Q12" s="376" t="s">
        <v>1071</v>
      </c>
      <c r="R12" s="376" t="s">
        <v>1069</v>
      </c>
      <c r="S12" s="375" t="s">
        <v>1076</v>
      </c>
      <c r="T12" s="375" t="s">
        <v>1061</v>
      </c>
      <c r="U12" s="375" t="s">
        <v>1065</v>
      </c>
      <c r="V12" s="375" t="s">
        <v>1073</v>
      </c>
      <c r="W12" s="375" t="s">
        <v>1075</v>
      </c>
      <c r="X12" s="375" t="s">
        <v>1070</v>
      </c>
      <c r="Y12" s="375" t="s">
        <v>1078</v>
      </c>
      <c r="Z12" s="375" t="s">
        <v>41</v>
      </c>
      <c r="AA12" s="375">
        <v>0</v>
      </c>
      <c r="AB12" s="375" t="s">
        <v>3</v>
      </c>
      <c r="AC12" s="375" t="s">
        <v>1080</v>
      </c>
      <c r="AD12" s="375" t="s">
        <v>1081</v>
      </c>
      <c r="AE12" s="375" t="s">
        <v>1567</v>
      </c>
      <c r="AF12" s="375" t="s">
        <v>1571</v>
      </c>
      <c r="AG12" s="375" t="s">
        <v>1603</v>
      </c>
      <c r="AH12" s="381" t="s">
        <v>1066</v>
      </c>
      <c r="AI12" s="382" t="s">
        <v>3</v>
      </c>
      <c r="AJ12" s="381" t="s">
        <v>1067</v>
      </c>
      <c r="AK12" s="381" t="s">
        <v>1074</v>
      </c>
      <c r="AL12" s="381" t="s">
        <v>1071</v>
      </c>
      <c r="AM12" s="381" t="s">
        <v>1069</v>
      </c>
      <c r="AN12" s="382" t="s">
        <v>1076</v>
      </c>
      <c r="AO12" s="382" t="s">
        <v>1061</v>
      </c>
      <c r="AP12" s="382" t="s">
        <v>1065</v>
      </c>
      <c r="AQ12" s="382" t="s">
        <v>1073</v>
      </c>
      <c r="AR12" s="382" t="s">
        <v>1075</v>
      </c>
      <c r="AS12" s="382" t="s">
        <v>1070</v>
      </c>
      <c r="AT12" s="382" t="s">
        <v>1078</v>
      </c>
      <c r="AU12" s="382" t="s">
        <v>41</v>
      </c>
      <c r="AV12" s="382">
        <v>0</v>
      </c>
      <c r="AW12" s="382" t="s">
        <v>3</v>
      </c>
      <c r="AX12" s="382" t="s">
        <v>1080</v>
      </c>
      <c r="AY12" s="382" t="s">
        <v>1081</v>
      </c>
      <c r="AZ12" s="382" t="s">
        <v>1567</v>
      </c>
      <c r="BA12" s="382" t="s">
        <v>1571</v>
      </c>
      <c r="BB12" s="382" t="s">
        <v>1603</v>
      </c>
      <c r="BC12" s="384" t="s">
        <v>1066</v>
      </c>
      <c r="BD12" s="383" t="s">
        <v>3</v>
      </c>
      <c r="BE12" s="384" t="s">
        <v>1067</v>
      </c>
      <c r="BF12" s="384" t="s">
        <v>1074</v>
      </c>
      <c r="BG12" s="384" t="s">
        <v>1071</v>
      </c>
      <c r="BH12" s="384" t="s">
        <v>1069</v>
      </c>
      <c r="BI12" s="383" t="s">
        <v>1076</v>
      </c>
      <c r="BJ12" s="383" t="s">
        <v>1061</v>
      </c>
      <c r="BK12" s="383" t="s">
        <v>1065</v>
      </c>
      <c r="BL12" s="383" t="s">
        <v>1073</v>
      </c>
      <c r="BM12" s="383" t="s">
        <v>1075</v>
      </c>
      <c r="BN12" s="383" t="s">
        <v>1070</v>
      </c>
      <c r="BO12" s="383" t="s">
        <v>1078</v>
      </c>
      <c r="BP12" s="383" t="s">
        <v>41</v>
      </c>
      <c r="BQ12" s="383">
        <v>0</v>
      </c>
      <c r="BR12" s="383" t="s">
        <v>3</v>
      </c>
      <c r="BS12" s="383" t="s">
        <v>1080</v>
      </c>
      <c r="BT12" s="383" t="s">
        <v>1081</v>
      </c>
      <c r="BU12" s="383" t="s">
        <v>1567</v>
      </c>
      <c r="BV12" s="383" t="s">
        <v>1571</v>
      </c>
      <c r="BW12" s="383" t="s">
        <v>1603</v>
      </c>
      <c r="BX12" s="385" t="s">
        <v>1066</v>
      </c>
      <c r="BY12" s="385" t="s">
        <v>3</v>
      </c>
      <c r="BZ12" s="386" t="s">
        <v>1067</v>
      </c>
      <c r="CA12" s="386" t="s">
        <v>1074</v>
      </c>
      <c r="CB12" s="386" t="s">
        <v>1071</v>
      </c>
      <c r="CC12" s="386" t="s">
        <v>1069</v>
      </c>
      <c r="CD12" s="385" t="s">
        <v>1076</v>
      </c>
      <c r="CE12" s="385" t="s">
        <v>1061</v>
      </c>
      <c r="CF12" s="385" t="s">
        <v>1065</v>
      </c>
      <c r="CG12" s="385" t="s">
        <v>1073</v>
      </c>
      <c r="CH12" s="385" t="s">
        <v>1075</v>
      </c>
      <c r="CI12" s="385" t="s">
        <v>1070</v>
      </c>
      <c r="CJ12" s="385" t="s">
        <v>1078</v>
      </c>
      <c r="CK12" s="385" t="s">
        <v>41</v>
      </c>
      <c r="CL12" s="385">
        <v>0</v>
      </c>
      <c r="CM12" s="385" t="s">
        <v>3</v>
      </c>
      <c r="CN12" s="385" t="s">
        <v>1080</v>
      </c>
      <c r="CO12" s="385" t="s">
        <v>1081</v>
      </c>
      <c r="CP12" s="385" t="s">
        <v>1567</v>
      </c>
      <c r="CQ12" s="385" t="s">
        <v>1571</v>
      </c>
      <c r="CR12" s="385" t="s">
        <v>1603</v>
      </c>
      <c r="CS12"/>
    </row>
    <row r="13" spans="1:97">
      <c r="A13" s="398" t="s">
        <v>995</v>
      </c>
      <c r="B13" s="398" t="s">
        <v>987</v>
      </c>
      <c r="C13" s="440" t="s">
        <v>105</v>
      </c>
      <c r="D13" s="398">
        <v>1</v>
      </c>
      <c r="E13" s="398"/>
      <c r="F13" s="440">
        <v>0</v>
      </c>
      <c r="G13" s="398">
        <v>1862</v>
      </c>
      <c r="H13" s="399">
        <v>2</v>
      </c>
      <c r="I13" s="399">
        <v>130</v>
      </c>
      <c r="J13" s="399">
        <v>32</v>
      </c>
      <c r="K13" s="399"/>
      <c r="L13" s="399"/>
      <c r="M13" s="400">
        <f ca="1">IF(MAX(IF($B$6="No",ROUNDUP($B$3/$I13,0),ROUNDUP(($B$3+$I13)/$I13,0)),IF($B$6="No",ROUNDUP($B$4/$G13,0),ROUNDUP(($B$4+$G13)/$G13,0)),ROUNDUP('BVMS checklist'!$H$217/$J13,0))&gt;1,'BVMS checklist'!$H$224,'BVMS checklist'!$H$217)</f>
        <v>0</v>
      </c>
      <c r="N13" s="398">
        <f ca="1">MAX(IF($B$6="No",ROUNDUP($B$3/$I13,0),ROUNDUP(($B$3+$I13)/$I13,0)),IF($B$6="No",ROUNDUP($B$4/$G13,0),ROUNDUP($B$4/$G13,0)),IF($B$6="Yes",ROUNDUP((U13+J13)/J13,0),ROUNDUP(U13/J13,0)))</f>
        <v>2</v>
      </c>
      <c r="O13" s="400">
        <f ca="1">N13</f>
        <v>2</v>
      </c>
      <c r="P13" s="400">
        <f t="shared" ref="P13:P89" ca="1" si="0">O13*$I13</f>
        <v>260</v>
      </c>
      <c r="Q13" s="400">
        <f t="shared" ref="Q13:Q89" ca="1" si="1">IFERROR($B$3/N13,"")</f>
        <v>0</v>
      </c>
      <c r="R13" s="398">
        <f t="shared" ref="R13:R89" ca="1" si="2">$G13*N13</f>
        <v>3724</v>
      </c>
      <c r="S13" s="401" t="str">
        <f ca="1">IF(X13="yes",(R13)/$B$4,"")</f>
        <v/>
      </c>
      <c r="T13" s="398">
        <f ca="1">N13*$J13</f>
        <v>64</v>
      </c>
      <c r="U13" s="400">
        <f ca="1">IF(MAX(IF($B$6="No",ROUNDUP($B$3/$I13,0),ROUNDUP(($B$3+$I13)/$I13,0)),IF($B$6="No",ROUNDUP($B$4/$G13,0),ROUNDUP(($B$4+$G13)/$G13,0)),ROUNDUP('BVMS checklist'!$H$217/$J13,0))&gt;1,'BVMS checklist'!$H$224,'BVMS checklist'!$H$217)+MAX(IF($B$6="No",ROUNDUP($B$3/$I13,0),ROUNDUP(($B$3+$I13)/$I13,0)),IF($B$6="No",ROUNDUP($B$4/$G13,0),ROUNDUP(($B$4+$G13)/$G13,0)))+$B$5</f>
        <v>1</v>
      </c>
      <c r="V13" s="400" t="b">
        <f t="shared" ref="V13:V89" ca="1" si="3">IF(AND((T13/$D13)-U13&gt;=0,OR(N13&gt;=2,$D13&gt;=2),P13-I13&gt;=$B$3),TRUE,FALSE)</f>
        <v>1</v>
      </c>
      <c r="W13" s="400" t="str">
        <f ca="1">IF(OR(AND($B$6="Yes",V13=TRUE),$B$6="No"),"Accepted","Not accepted")</f>
        <v>Accepted</v>
      </c>
      <c r="X13" s="398" t="str">
        <f ca="1">IF(AND(U13&lt;T13,Q13&lt;$I13,$B13="Active",W13="Accepted"),"Yes","No")</f>
        <v>No</v>
      </c>
      <c r="Y13" s="398" t="str">
        <f ca="1">IF(AA12=AA13,"",AA13)</f>
        <v/>
      </c>
      <c r="Z13" s="398" t="str">
        <f ca="1">IF(X13="Yes",$A13&amp;" "&amp;$C13,"")</f>
        <v/>
      </c>
      <c r="AA13" s="398">
        <f ca="1">IF(Z13&lt;&gt;"",AA12+1,AA12)</f>
        <v>0</v>
      </c>
      <c r="AB13" s="398">
        <f t="shared" ref="AB13:AB89" ca="1" si="4">N13</f>
        <v>2</v>
      </c>
      <c r="AC13" s="398">
        <f t="shared" ref="AC13:AC89" ca="1" si="5">N13*$H13</f>
        <v>4</v>
      </c>
      <c r="AD13" s="398">
        <f ca="1">R13</f>
        <v>3724</v>
      </c>
      <c r="AE13" s="399">
        <f t="shared" ref="AE13:AE37" si="6">K13</f>
        <v>0</v>
      </c>
      <c r="AF13" s="399">
        <f t="shared" ref="AF13:AF37" si="7">L13</f>
        <v>0</v>
      </c>
      <c r="AG13" s="483" t="str">
        <f ca="1">S13</f>
        <v/>
      </c>
      <c r="AH13" s="400">
        <f ca="1">IF(MAX(IF($C$6="No",ROUNDUP($C$3/$I13,0),ROUNDUP(($C$3+$I13)/$I13,0)),IF($C$6="No",ROUNDUP($C$4/$G13,0),ROUNDUP(($C$4+$G13)/$G13,0)),ROUNDUP('BVMS checklist'!$H$217/$J13,0))&gt;1,'BVMS checklist'!$J$224,'BVMS checklist'!$J$217)</f>
        <v>0</v>
      </c>
      <c r="AI13" s="398">
        <f ca="1">MAX(IF($C$6="No",ROUNDUP($C$3/$I13,0),ROUNDUP(($C$3+$I13)/$I13,0)),IF($C$6="No",ROUNDUP($C$4/$G13,0),ROUNDUP(($C$4)/$G13,0)),IF($C$6="Yes",ROUNDUP(AP13/J13,0)+1,ROUNDUP(AP13/J13,0)))</f>
        <v>2</v>
      </c>
      <c r="AJ13" s="400">
        <f>MAX(IF($C$6="No",ROUNDUP($C$3/$I13,0),ROUNDUP(($C$3+$I13)/$I13,0)),IF($C$6="No",ROUNDUP($C$4/$G13,0),ROUNDUP(($C$4+$G13)/$G13,0)))</f>
        <v>1</v>
      </c>
      <c r="AK13" s="400">
        <f>AJ13*$I13</f>
        <v>130</v>
      </c>
      <c r="AL13" s="400">
        <f ca="1">IFERROR($C$3/AI13,"")</f>
        <v>0</v>
      </c>
      <c r="AM13" s="398">
        <f ca="1">$G13*AI13</f>
        <v>3724</v>
      </c>
      <c r="AN13" s="401" t="str">
        <f ca="1">IF(AS13="yes",(AM13)/$C$4,"")</f>
        <v/>
      </c>
      <c r="AO13" s="398">
        <f ca="1">AI13*$J13</f>
        <v>64</v>
      </c>
      <c r="AP13" s="400">
        <f ca="1">IF(MAX(IF($C$6="No",ROUNDUP($C$3/$I13,0),ROUNDUP(($C$3+$I13)/$I13,0)),IF($C$6="No",ROUNDUP($C$4/$G13,0),ROUNDUP(($C$4+$G13)/$G13,0)),ROUNDUP('BVMS checklist'!$H$217/$J13,0))&gt;1,'BVMS checklist'!$J$224,'BVMS checklist'!$J$217)+MAX(IF($C$6="No",ROUNDUP($C$3/$I13,0),ROUNDUP(($C$3+$I13)/$I13,0)),IF($C$6="No",ROUNDUP($C$4/$G13,0),ROUNDUP(($C$4+$G13)/$G13,0)))+$C$5</f>
        <v>1</v>
      </c>
      <c r="AQ13" s="400" t="b">
        <f t="shared" ref="AQ13:AQ89" ca="1" si="8">IF(AND((AO13/$D13)-AP13&gt;=0,OR(AI13&gt;=2,$D13&gt;=2),AK13-I13&gt;=$C$3),TRUE,FALSE)</f>
        <v>1</v>
      </c>
      <c r="AR13" s="400" t="str">
        <f ca="1">IF(OR(AND($C$6="Yes",AQ13=TRUE),$C$6="No"),"Accepted","Not accepted")</f>
        <v>Accepted</v>
      </c>
      <c r="AS13" s="398" t="str">
        <f ca="1">IF(AND(AP13&lt;AO13,AL13&lt;$I13,$B13="Active",AR13="Accepted"),"Yes","No")</f>
        <v>No</v>
      </c>
      <c r="AT13" s="398" t="str">
        <f ca="1">IF(AV12=AV13,"",AV13)</f>
        <v/>
      </c>
      <c r="AU13" s="398" t="str">
        <f ca="1">IF(AS13="Yes",$A13&amp;" "&amp;$C13,"")</f>
        <v/>
      </c>
      <c r="AV13" s="398">
        <f ca="1">IF(AU13&lt;&gt;"",AV12+1,AV12)</f>
        <v>0</v>
      </c>
      <c r="AW13" s="398">
        <f ca="1">AI13</f>
        <v>2</v>
      </c>
      <c r="AX13" s="398">
        <f ca="1">AI13*$H13</f>
        <v>4</v>
      </c>
      <c r="AY13" s="398">
        <f ca="1">AM13</f>
        <v>3724</v>
      </c>
      <c r="AZ13" s="399">
        <f t="shared" ref="AZ13:AZ37" si="9">K13</f>
        <v>0</v>
      </c>
      <c r="BA13" s="399">
        <f t="shared" ref="BA13:BA37" si="10">L13</f>
        <v>0</v>
      </c>
      <c r="BB13" s="483" t="str">
        <f ca="1">AN13</f>
        <v/>
      </c>
      <c r="BC13" s="400">
        <f ca="1">IF(MAX(IF($D$6="No",ROUNDUP($D$3/$I13,0),ROUNDUP(($D$3+$I13)/$I13,0)),IF($D$6="No",ROUNDUP($D$4/$G13,0),ROUNDUP(($D$4+$G13)/$G13,0)),ROUNDUP('BVMS checklist'!$H$217/$J13,0))&gt;1,'BVMS checklist'!$L$224,'BVMS checklist'!$L$217)</f>
        <v>0</v>
      </c>
      <c r="BD13" s="398">
        <f ca="1">MAX(IF($D$6="No",ROUNDUP($D$3/$I13,0),ROUNDUP(($D$3+$I13)/$I13,0)),IF($D$6="No",ROUNDUP($D$4/$G13,0),ROUNDUP(($D$4+$G13)/$G13,0)),IF($D$6="Yes",ROUNDUP(BK13/J13,0)+1,ROUNDUP(BK13/J13,0)))</f>
        <v>2</v>
      </c>
      <c r="BE13" s="400">
        <f>MAX(IF($D$6="No",ROUNDUP($D$3/$I13,0),ROUNDUP(($D$3+$I13)/$I13,0)),IF($D$6="No",ROUNDUP($D$4/$G13,0),ROUNDUP(($D$4+$G13)/$G13,0)))</f>
        <v>1</v>
      </c>
      <c r="BF13" s="400">
        <f>BE13*$I13</f>
        <v>130</v>
      </c>
      <c r="BG13" s="400">
        <f t="shared" ref="BG13:BG94" ca="1" si="11">IFERROR($D$3/BD13,"")</f>
        <v>0</v>
      </c>
      <c r="BH13" s="398">
        <f ca="1">$G13*BD13</f>
        <v>3724</v>
      </c>
      <c r="BI13" s="401" t="str">
        <f ca="1">IF(BN13="yes",(BH13)/$D$4,"")</f>
        <v/>
      </c>
      <c r="BJ13" s="398">
        <f ca="1">BD13*$J13</f>
        <v>64</v>
      </c>
      <c r="BK13" s="400">
        <f ca="1">IF(MAX(IF($D$6="No",ROUNDUP($D$3/$I13,0),ROUNDUP(($D$3+$I13)/$I13,0)),IF($D$6="No",ROUNDUP($D$4/$G13,0),ROUNDUP(($D$4+$G13)/$G13,0)),ROUNDUP('BVMS checklist'!$H$217/$J13,0))&gt;1,'BVMS checklist'!$L$224,'BVMS checklist'!$L$217)+MAX(IF($D$6="No",ROUNDUP($D$3/$I13,0),ROUNDUP(($D$3+$I13)/$I13,0)),IF($D$6="No",ROUNDUP($D$4/$G13,0),ROUNDUP(($D$4+$G13)/$G13,0)))+$D$5</f>
        <v>1</v>
      </c>
      <c r="BL13" s="400" t="b">
        <f t="shared" ref="BL13:BL89" ca="1" si="12">IF(AND((BJ13/$D13)-BK13&gt;=0,OR(BD13&gt;=2,$D13&gt;=2),BF13-I13&gt;=$D$3),TRUE,FALSE)</f>
        <v>1</v>
      </c>
      <c r="BM13" s="400" t="str">
        <f ca="1">IF(OR(AND($D$6="Yes",BL13=TRUE),$D$6="No"),"Accepted","Not accepted")</f>
        <v>Accepted</v>
      </c>
      <c r="BN13" s="398" t="str">
        <f t="shared" ref="BN13:BN94" ca="1" si="13">IF(AND(BK13&lt;BJ13,BG13&lt;$I13,$B13="Active",BM13="Accepted"),"Yes","No")</f>
        <v>No</v>
      </c>
      <c r="BO13" s="398" t="str">
        <f ca="1">IF(BQ12=BQ13,"",BQ13)</f>
        <v/>
      </c>
      <c r="BP13" s="398" t="str">
        <f ca="1">IF(BN13="Yes",$A13&amp;" "&amp;$C13,"")</f>
        <v/>
      </c>
      <c r="BQ13" s="398">
        <f ca="1">IF(BP13&lt;&gt;"",BQ12+1,BQ12)</f>
        <v>0</v>
      </c>
      <c r="BR13" s="398">
        <f ca="1">BD13</f>
        <v>2</v>
      </c>
      <c r="BS13" s="398">
        <f ca="1">BD13*$H13</f>
        <v>4</v>
      </c>
      <c r="BT13" s="398">
        <f ca="1">BH13</f>
        <v>3724</v>
      </c>
      <c r="BU13" s="399">
        <f t="shared" ref="BU13:BU37" si="14">K13</f>
        <v>0</v>
      </c>
      <c r="BV13" s="399">
        <f t="shared" ref="BV13:BV37" si="15">L13</f>
        <v>0</v>
      </c>
      <c r="BW13" s="483" t="str">
        <f ca="1">BI13</f>
        <v/>
      </c>
      <c r="BX13" s="400">
        <f ca="1">IF(MAX(IF($E$6="No",ROUNDUP($E$3/$I13,0),ROUNDUP(($E$3+$I13)/$I13,0)),IF($E$6="No",ROUNDUP($E$4/$G13,0),ROUNDUP(($E$4+$G13)/$G13,0)),ROUNDUP('BVMS checklist'!$H$217/$J13,0))&gt;1,'BVMS checklist'!$N$224,'BVMS checklist'!$N$217)</f>
        <v>0</v>
      </c>
      <c r="BY13" s="398">
        <f ca="1">MAX(IF($E$6="No",ROUNDUP($E$3/$I13,0),ROUNDUP(($E$3+$I13)/$I13,0)),IF($E$6="No",ROUNDUP($E$4/$G13,0),ROUNDUP(($E$4+$G13)/$G13,0)),IF($E$6="Yes",ROUNDUP(CF13/J13,0)+1,ROUNDUP(CF13/J13,0)))</f>
        <v>2</v>
      </c>
      <c r="BZ13" s="400">
        <f>MAX(IF($E$6="No",ROUNDUP($E$3/$I13,0),ROUNDUP(($E$3+$I13)/$I13,0)),IF($E$6="No",ROUNDUP($E$4/$G13,0),ROUNDUP(($E$4+$G13)/$G13,0)))</f>
        <v>1</v>
      </c>
      <c r="CA13" s="400">
        <f>BZ13*$I13</f>
        <v>130</v>
      </c>
      <c r="CB13" s="400">
        <f t="shared" ref="CB13:CB94" ca="1" si="16">IFERROR($E$3/BY13,"")</f>
        <v>0</v>
      </c>
      <c r="CC13" s="398">
        <f ca="1">$G13*BY13</f>
        <v>3724</v>
      </c>
      <c r="CD13" s="401" t="str">
        <f ca="1">IF(CI13="yes",(CC13)/$E$4,"")</f>
        <v/>
      </c>
      <c r="CE13" s="398">
        <f ca="1">BY13*$J13</f>
        <v>64</v>
      </c>
      <c r="CF13" s="400">
        <f ca="1">IF(MAX(IF($E$6="No",ROUNDUP($E$3/$I13,0),ROUNDUP(($E$3+$I13)/$I13,0)),IF($E$6="No",ROUNDUP($E$4/$G13,0),ROUNDUP(($E$4+$G13)/$G13,0)),ROUNDUP('BVMS checklist'!$H$217/$J13,0))&gt;1,'BVMS checklist'!$N$224,'BVMS checklist'!$N$217)+MAX(IF($E$6="No",ROUNDUP($E$3/$I13,0),ROUNDUP(($E$3+$I13)/$I13,0)),IF($E$6="No",ROUNDUP($E$4/$G13,0),ROUNDUP(($E$4+$G13)/$G13,0)))+$E$5</f>
        <v>1</v>
      </c>
      <c r="CG13" s="400" t="b">
        <f t="shared" ref="CG13:CG89" ca="1" si="17">IF(AND((CE13/$D13)-CF13&gt;=0,OR(BY13&gt;=2,$D13&gt;=2),CA13-I13&gt;=$E$3),TRUE,FALSE)</f>
        <v>1</v>
      </c>
      <c r="CH13" s="400" t="str">
        <f ca="1">IF(OR(AND($E$6="Yes",CG13=TRUE),$E$6="No"),"Accepted","Not accepted")</f>
        <v>Accepted</v>
      </c>
      <c r="CI13" s="398" t="str">
        <f ca="1">IF(AND(CF13&lt;CE13,CB13&lt;$I13,$B13="Active",CH13="Accepted"),"Yes","No")</f>
        <v>No</v>
      </c>
      <c r="CJ13" s="398" t="str">
        <f ca="1">IF(CL12=CL13,"",CL13)</f>
        <v/>
      </c>
      <c r="CK13" s="398" t="str">
        <f ca="1">IF(CI13="Yes",$A13&amp;" "&amp;$C13,"")</f>
        <v/>
      </c>
      <c r="CL13" s="398">
        <f ca="1">IF(CK13&lt;&gt;"",CL12+1,CL12)</f>
        <v>0</v>
      </c>
      <c r="CM13" s="398">
        <f ca="1">BY13</f>
        <v>2</v>
      </c>
      <c r="CN13" s="398">
        <f ca="1">BY13*$H13</f>
        <v>4</v>
      </c>
      <c r="CO13" s="398">
        <f ca="1">CC13</f>
        <v>3724</v>
      </c>
      <c r="CP13" s="399">
        <f t="shared" ref="CP13:CP37" si="18">K13</f>
        <v>0</v>
      </c>
      <c r="CQ13" s="399">
        <f t="shared" ref="CQ13:CQ37" si="19">L13</f>
        <v>0</v>
      </c>
      <c r="CR13" s="483" t="str">
        <f ca="1">CD13</f>
        <v/>
      </c>
      <c r="CS13"/>
    </row>
    <row r="14" spans="1:97">
      <c r="A14" s="398" t="s">
        <v>996</v>
      </c>
      <c r="B14" s="398" t="s">
        <v>987</v>
      </c>
      <c r="C14" s="440" t="s">
        <v>105</v>
      </c>
      <c r="D14" s="398">
        <v>1</v>
      </c>
      <c r="E14" s="398"/>
      <c r="F14" s="440">
        <v>0</v>
      </c>
      <c r="G14" s="398">
        <f>IF(C14="JBOD",((2)*1862),((1)*1862))</f>
        <v>3724</v>
      </c>
      <c r="H14" s="399">
        <v>4</v>
      </c>
      <c r="I14" s="399">
        <v>220</v>
      </c>
      <c r="J14" s="399">
        <v>32</v>
      </c>
      <c r="K14" s="399"/>
      <c r="L14" s="399"/>
      <c r="M14" s="400">
        <f ca="1">IF(MAX(IF($B$6="No",ROUNDUP($B$3/$I14,0),ROUNDUP(($B$3+$I14)/$I14,0)),IF($B$6="No",ROUNDUP($B$4/$G14,0),ROUNDUP(($B$4+$G14)/$G14,0)),ROUNDUP('BVMS checklist'!$H$217/$J14,0))&gt;1,'BVMS checklist'!$H$224,'BVMS checklist'!$H$217)</f>
        <v>0</v>
      </c>
      <c r="N14" s="398">
        <f t="shared" ref="N14:N90" ca="1" si="20">MAX(IF($B$6="No",ROUNDUP($B$3/$I14,0),ROUNDUP(($B$3+$I14)/$I14,0)),IF($B$6="No",ROUNDUP($B$4/$G14,0),ROUNDUP($B$4/$G14,0)),IF($B$6="Yes",ROUNDUP((U14+J14)/J14,0),ROUNDUP(U14/J14,0)))</f>
        <v>2</v>
      </c>
      <c r="O14" s="400">
        <f t="shared" ref="O14:O95" ca="1" si="21">N14</f>
        <v>2</v>
      </c>
      <c r="P14" s="400">
        <f t="shared" ca="1" si="0"/>
        <v>440</v>
      </c>
      <c r="Q14" s="400">
        <f t="shared" ca="1" si="1"/>
        <v>0</v>
      </c>
      <c r="R14" s="398">
        <f t="shared" ca="1" si="2"/>
        <v>7448</v>
      </c>
      <c r="S14" s="401" t="str">
        <f t="shared" ref="S14:S90" ca="1" si="22">IF(X14="yes",(R14)/$B$4,"")</f>
        <v/>
      </c>
      <c r="T14" s="398">
        <f t="shared" ref="T14:T90" ca="1" si="23">N14*J14</f>
        <v>64</v>
      </c>
      <c r="U14" s="400">
        <f ca="1">IF(MAX(IF($B$6="No",ROUNDUP($B$3/$I14,0),ROUNDUP(($B$3+$I14)/$I14,0)),IF($B$6="No",ROUNDUP($B$4/$G14,0),ROUNDUP(($B$4+$G14)/$G14,0)),ROUNDUP('BVMS checklist'!$H$217/$J14,0))&gt;1,'BVMS checklist'!$H$224,'BVMS checklist'!$H$217)+MAX(IF($B$6="No",ROUNDUP($B$3/$I14,0),ROUNDUP(($B$3+$I14)/$I14,0)),IF($B$6="No",ROUNDUP($B$4/$G14,0),ROUNDUP(($B$4+$G14)/$G14,0)))+$B$5</f>
        <v>1</v>
      </c>
      <c r="V14" s="400" t="b">
        <f t="shared" ca="1" si="3"/>
        <v>1</v>
      </c>
      <c r="W14" s="400" t="str">
        <f t="shared" ref="W14:W95" ca="1" si="24">IF(OR(AND($B$6="Yes",V14=TRUE),$B$6="No"),"Accepted","Not accepted")</f>
        <v>Accepted</v>
      </c>
      <c r="X14" s="398" t="str">
        <f t="shared" ref="X14:X90" ca="1" si="25">IF(AND(U14&lt;T14,Q14&lt;I14,B14="Active",W14="Accepted"),"Yes","No")</f>
        <v>No</v>
      </c>
      <c r="Y14" s="398" t="str">
        <f t="shared" ref="Y14:Y90" ca="1" si="26">IF(AA13=AA14,"",AA14)</f>
        <v/>
      </c>
      <c r="Z14" s="398" t="str">
        <f t="shared" ref="Z14:Z90" ca="1" si="27">IF(X14="Yes",$A14&amp;" "&amp;$C14,"")</f>
        <v/>
      </c>
      <c r="AA14" s="398">
        <f t="shared" ref="AA14:AA95" ca="1" si="28">IF(Z14&lt;&gt;"",AA13+1,AA13)</f>
        <v>0</v>
      </c>
      <c r="AB14" s="398">
        <f t="shared" ca="1" si="4"/>
        <v>2</v>
      </c>
      <c r="AC14" s="398">
        <f t="shared" ca="1" si="5"/>
        <v>8</v>
      </c>
      <c r="AD14" s="398">
        <f t="shared" ref="AD14:AD95" ca="1" si="29">R14</f>
        <v>7448</v>
      </c>
      <c r="AE14" s="399">
        <f t="shared" si="6"/>
        <v>0</v>
      </c>
      <c r="AF14" s="399">
        <f t="shared" si="7"/>
        <v>0</v>
      </c>
      <c r="AG14" s="483" t="str">
        <f t="shared" ref="AG14:AG90" ca="1" si="30">S14</f>
        <v/>
      </c>
      <c r="AH14" s="400">
        <f ca="1">IF(MAX(IF($C$6="No",ROUNDUP($C$3/$I14,0),ROUNDUP(($C$3+$I14)/$I14,0)),IF($C$6="No",ROUNDUP($C$4/$G14,0),ROUNDUP(($C$4+$G14)/$G14,0)),ROUNDUP('BVMS checklist'!$H$217/$J14,0))&gt;1,'BVMS checklist'!$J$224,'BVMS checklist'!$J$217)</f>
        <v>0</v>
      </c>
      <c r="AI14" s="398">
        <f t="shared" ref="AI14:AI90" ca="1" si="31">MAX(IF($C$6="No",ROUNDUP($C$3/$I14,0),ROUNDUP(($C$3+$I14)/$I14,0)),IF($C$6="No",ROUNDUP($C$4/$G14,0),ROUNDUP(($C$4+$G14)/$G14,0)),IF($C$6="Yes",ROUNDUP(AP14/J14,0)+1,ROUNDUP(AP14/J14,0)))</f>
        <v>2</v>
      </c>
      <c r="AJ14" s="400">
        <f t="shared" ref="AJ14:AJ95" ca="1" si="32">AI14</f>
        <v>2</v>
      </c>
      <c r="AK14" s="400">
        <f t="shared" ref="AK14:AK95" ca="1" si="33">AJ14*$I14</f>
        <v>440</v>
      </c>
      <c r="AL14" s="400">
        <f t="shared" ref="AL14:AL95" ca="1" si="34">IFERROR($C$3/AI14,"")</f>
        <v>0</v>
      </c>
      <c r="AM14" s="398">
        <f t="shared" ref="AM14:AM95" ca="1" si="35">$G14*AI14</f>
        <v>7448</v>
      </c>
      <c r="AN14" s="401" t="str">
        <f t="shared" ref="AN14:AN90" ca="1" si="36">IF(AS14="yes",(AM14)/$C$4,"")</f>
        <v/>
      </c>
      <c r="AO14" s="398">
        <f t="shared" ref="AO14:AO95" ca="1" si="37">AI14*$J14</f>
        <v>64</v>
      </c>
      <c r="AP14" s="400">
        <f ca="1">IF(MAX(IF($C$6="No",ROUNDUP($C$3/$I14,0),ROUNDUP(($C$3+$I14)/$I14,0)),IF($C$6="No",ROUNDUP($C$4/$G14,0),ROUNDUP(($C$4+$G14)/$G14,0)),ROUNDUP('BVMS checklist'!$H$217/$J14,0))&gt;1,'BVMS checklist'!$J$224,'BVMS checklist'!$J$217)+MAX(IF($C$6="No",ROUNDUP($C$3/$I14,0),ROUNDUP(($C$3+$I14)/$I14,0)),IF($C$6="No",ROUNDUP($C$4/$G14,0),ROUNDUP(($C$4+$G14)/$G14,0)))+$C$5</f>
        <v>1</v>
      </c>
      <c r="AQ14" s="400" t="b">
        <f t="shared" ca="1" si="8"/>
        <v>1</v>
      </c>
      <c r="AR14" s="400" t="str">
        <f t="shared" ref="AR14:AR95" ca="1" si="38">IF(OR(AND($C$6="Yes",AQ14=TRUE),$C$6="No"),"Accepted","Not accepted")</f>
        <v>Accepted</v>
      </c>
      <c r="AS14" s="398" t="str">
        <f t="shared" ref="AS14:AS94" ca="1" si="39">IF(AND(AP14&lt;AO14,AL14&lt;$I14,$B14="Active",AR14="Accepted"),"Yes","No")</f>
        <v>No</v>
      </c>
      <c r="AT14" s="398" t="str">
        <f t="shared" ref="AT14:AT95" ca="1" si="40">IF(AV13=AV14,"",AV14)</f>
        <v/>
      </c>
      <c r="AU14" s="398" t="str">
        <f t="shared" ref="AU14:AU90" ca="1" si="41">IF(AS14="Yes",$A14&amp;" "&amp;$C14,"")</f>
        <v/>
      </c>
      <c r="AV14" s="398">
        <f t="shared" ref="AV14:AV90" ca="1" si="42">IF(AU14&lt;&gt;"",AV13+1,AV13)</f>
        <v>0</v>
      </c>
      <c r="AW14" s="398">
        <f t="shared" ref="AW14:AW95" ca="1" si="43">AI14</f>
        <v>2</v>
      </c>
      <c r="AX14" s="398">
        <f t="shared" ref="AX14:AX95" ca="1" si="44">AI14*$H14</f>
        <v>8</v>
      </c>
      <c r="AY14" s="398">
        <f t="shared" ref="AY14:AY95" ca="1" si="45">AM14</f>
        <v>7448</v>
      </c>
      <c r="AZ14" s="399">
        <f t="shared" si="9"/>
        <v>0</v>
      </c>
      <c r="BA14" s="399">
        <f t="shared" si="10"/>
        <v>0</v>
      </c>
      <c r="BB14" s="483" t="str">
        <f t="shared" ref="BB14:BB90" ca="1" si="46">AN14</f>
        <v/>
      </c>
      <c r="BC14" s="400">
        <f ca="1">IF(MAX(IF($D$6="No",ROUNDUP($D$3/$I14,0),ROUNDUP(($D$3+$I14)/$I14,0)),IF($D$6="No",ROUNDUP($D$4/$G14,0),ROUNDUP(($D$4+$G14)/$G14,0)),ROUNDUP('BVMS checklist'!$H$217/$J14,0))&gt;1,'BVMS checklist'!$L$224,'BVMS checklist'!$L$217)</f>
        <v>0</v>
      </c>
      <c r="BD14" s="398">
        <f t="shared" ref="BD14:BD90" ca="1" si="47">MAX(IF($D$6="No",ROUNDUP($D$3/$I14,0),ROUNDUP(($D$3+$I14)/$I14,0)),IF($D$6="No",ROUNDUP($D$4/$G14,0),ROUNDUP(($D$4+$G14)/$G14,0)),IF($D$6="Yes",ROUNDUP(BK14/J14,0)+1,ROUNDUP(BK14/J14,0)))</f>
        <v>2</v>
      </c>
      <c r="BE14" s="400">
        <f t="shared" ref="BE14:BE95" si="48">MAX(IF($D$6="No",ROUNDUP($D$3/$I14,0),ROUNDUP(($D$3+$I14)/$I14,0)),IF($D$6="No",ROUNDUP($D$4/$G14,0),ROUNDUP(($D$4+$G14)/$G14,0)))</f>
        <v>1</v>
      </c>
      <c r="BF14" s="400">
        <f t="shared" ref="BF14:BF95" si="49">BE14*$I14</f>
        <v>220</v>
      </c>
      <c r="BG14" s="400">
        <f t="shared" ca="1" si="11"/>
        <v>0</v>
      </c>
      <c r="BH14" s="398">
        <f t="shared" ref="BH14:BH95" ca="1" si="50">$G14*BD14</f>
        <v>7448</v>
      </c>
      <c r="BI14" s="401" t="str">
        <f t="shared" ref="BI14:BI90" ca="1" si="51">IF(BN14="yes",(BH14)/$D$4,"")</f>
        <v/>
      </c>
      <c r="BJ14" s="398">
        <f t="shared" ref="BJ14:BJ95" ca="1" si="52">BD14*$J14</f>
        <v>64</v>
      </c>
      <c r="BK14" s="400">
        <f ca="1">IF(MAX(IF($D$6="No",ROUNDUP($D$3/$I14,0),ROUNDUP(($D$3+$I14)/$I14,0)),IF($D$6="No",ROUNDUP($D$4/$G14,0),ROUNDUP(($D$4+$G14)/$G14,0)),ROUNDUP('BVMS checklist'!$H$217/$J14,0))&gt;1,'BVMS checklist'!$L$224,'BVMS checklist'!$L$217)+MAX(IF($D$6="No",ROUNDUP($D$3/$I14,0),ROUNDUP(($D$3+$I14)/$I14,0)),IF($D$6="No",ROUNDUP($D$4/$G14,0),ROUNDUP(($D$4+$G14)/$G14,0)))+$D$5</f>
        <v>1</v>
      </c>
      <c r="BL14" s="400" t="b">
        <f t="shared" ca="1" si="12"/>
        <v>1</v>
      </c>
      <c r="BM14" s="400" t="str">
        <f t="shared" ref="BM14:BM95" ca="1" si="53">IF(OR(AND($D$6="Yes",BL14=TRUE),$D$6="No"),"Accepted","Not accepted")</f>
        <v>Accepted</v>
      </c>
      <c r="BN14" s="398" t="str">
        <f t="shared" ca="1" si="13"/>
        <v>No</v>
      </c>
      <c r="BO14" s="398" t="str">
        <f t="shared" ref="BO14:BO95" ca="1" si="54">IF(BQ13=BQ14,"",BQ14)</f>
        <v/>
      </c>
      <c r="BP14" s="398" t="str">
        <f t="shared" ref="BP14:BP90" ca="1" si="55">IF(BN14="Yes",$A14&amp;" "&amp;$C14,"")</f>
        <v/>
      </c>
      <c r="BQ14" s="398">
        <f t="shared" ref="BQ14:BQ90" ca="1" si="56">IF(BP14&lt;&gt;"",BQ13+1,BQ13)</f>
        <v>0</v>
      </c>
      <c r="BR14" s="398">
        <f t="shared" ref="BR14:BR95" ca="1" si="57">BD14</f>
        <v>2</v>
      </c>
      <c r="BS14" s="398">
        <f t="shared" ref="BS14:BS95" ca="1" si="58">BD14*$H14</f>
        <v>8</v>
      </c>
      <c r="BT14" s="398">
        <f t="shared" ref="BT14:BT95" ca="1" si="59">BH14</f>
        <v>7448</v>
      </c>
      <c r="BU14" s="399">
        <f t="shared" si="14"/>
        <v>0</v>
      </c>
      <c r="BV14" s="399">
        <f t="shared" si="15"/>
        <v>0</v>
      </c>
      <c r="BW14" s="483" t="str">
        <f t="shared" ref="BW14:BW90" ca="1" si="60">BI14</f>
        <v/>
      </c>
      <c r="BX14" s="400">
        <f ca="1">IF(MAX(IF($E$6="No",ROUNDUP($E$3/$I14,0),ROUNDUP(($E$3+$I14)/$I14,0)),IF($E$6="No",ROUNDUP($E$4/$G14,0),ROUNDUP(($E$4+$G14)/$G14,0)),ROUNDUP('BVMS checklist'!$H$217/$J14,0))&gt;1,'BVMS checklist'!$N$224,'BVMS checklist'!$N$217)</f>
        <v>0</v>
      </c>
      <c r="BY14" s="398">
        <f t="shared" ref="BY14:BY90" ca="1" si="61">MAX(IF($E$6="No",ROUNDUP($E$3/$I14,0),ROUNDUP(($E$3+$I14)/$I14,0)),IF($E$6="No",ROUNDUP($E$4/$G14,0),ROUNDUP(($E$4+$G14)/$G14,0)),IF($E$6="Yes",ROUNDUP(CF14/J14,0)+1,ROUNDUP(CF14/J14,0)))</f>
        <v>2</v>
      </c>
      <c r="BZ14" s="400">
        <f t="shared" ref="BZ14:BZ95" ca="1" si="62">BY14</f>
        <v>2</v>
      </c>
      <c r="CA14" s="400">
        <f t="shared" ref="CA14:CA95" ca="1" si="63">BZ14*$I14</f>
        <v>440</v>
      </c>
      <c r="CB14" s="400">
        <f t="shared" ca="1" si="16"/>
        <v>0</v>
      </c>
      <c r="CC14" s="398">
        <f t="shared" ref="CC14:CC95" ca="1" si="64">$G14*BY14</f>
        <v>7448</v>
      </c>
      <c r="CD14" s="401" t="str">
        <f t="shared" ref="CD14:CD90" ca="1" si="65">IF(CI14="yes",(CC14)/$E$4,"")</f>
        <v/>
      </c>
      <c r="CE14" s="398">
        <f t="shared" ref="CE14:CE95" ca="1" si="66">BY14*$J14</f>
        <v>64</v>
      </c>
      <c r="CF14" s="400">
        <f ca="1">IF(MAX(IF($E$6="No",ROUNDUP($E$3/$I14,0),ROUNDUP(($E$3+$I14)/$I14,0)),IF($E$6="No",ROUNDUP($E$4/$G14,0),ROUNDUP(($E$4+$G14)/$G14,0)),ROUNDUP('BVMS checklist'!$H$217/$J14,0))&gt;1,'BVMS checklist'!$N$224,'BVMS checklist'!$N$217)+MAX(IF($E$6="No",ROUNDUP($E$3/$I14,0),ROUNDUP(($E$3+$I14)/$I14,0)),IF($E$6="No",ROUNDUP($E$4/$G14,0),ROUNDUP(($E$4+$G14)/$G14,0)))+$E$5</f>
        <v>1</v>
      </c>
      <c r="CG14" s="400" t="b">
        <f t="shared" ca="1" si="17"/>
        <v>1</v>
      </c>
      <c r="CH14" s="400" t="str">
        <f t="shared" ref="CH14:CH95" ca="1" si="67">IF(OR(AND($E$6="Yes",CG14=TRUE),$E$6="No"),"Accepted","Not accepted")</f>
        <v>Accepted</v>
      </c>
      <c r="CI14" s="398" t="str">
        <f t="shared" ref="CI14:CI94" ca="1" si="68">IF(AND(CF14&lt;CE14,CB14&lt;$I14,$B14="Active",CH14="Accepted"),"Yes","No")</f>
        <v>No</v>
      </c>
      <c r="CJ14" s="398" t="str">
        <f t="shared" ref="CJ14:CJ95" ca="1" si="69">IF(CL13=CL14,"",CL14)</f>
        <v/>
      </c>
      <c r="CK14" s="398" t="str">
        <f t="shared" ref="CK14:CK90" ca="1" si="70">IF(CI14="Yes",$A14&amp;" "&amp;$C14,"")</f>
        <v/>
      </c>
      <c r="CL14" s="398">
        <f t="shared" ref="CL14:CL90" ca="1" si="71">IF(CK14&lt;&gt;"",CL13+1,CL13)</f>
        <v>0</v>
      </c>
      <c r="CM14" s="398">
        <f t="shared" ref="CM14:CM95" ca="1" si="72">BY14</f>
        <v>2</v>
      </c>
      <c r="CN14" s="398">
        <f t="shared" ref="CN14:CN95" ca="1" si="73">BY14*$H14</f>
        <v>8</v>
      </c>
      <c r="CO14" s="398">
        <f t="shared" ref="CO14:CO95" ca="1" si="74">CC14</f>
        <v>7448</v>
      </c>
      <c r="CP14" s="399">
        <f t="shared" si="18"/>
        <v>0</v>
      </c>
      <c r="CQ14" s="399">
        <f t="shared" si="19"/>
        <v>0</v>
      </c>
      <c r="CR14" s="483" t="str">
        <f t="shared" ref="CR14:CR90" ca="1" si="75">CD14</f>
        <v/>
      </c>
      <c r="CS14"/>
    </row>
    <row r="15" spans="1:97">
      <c r="A15" s="398" t="s">
        <v>997</v>
      </c>
      <c r="B15" s="398" t="s">
        <v>987</v>
      </c>
      <c r="C15" s="440" t="s">
        <v>105</v>
      </c>
      <c r="D15" s="398">
        <v>1</v>
      </c>
      <c r="E15" s="398"/>
      <c r="F15" s="440">
        <v>0</v>
      </c>
      <c r="G15" s="398">
        <f>IF(C15="JBOD",((4)*1862),((2)*1864))</f>
        <v>7448</v>
      </c>
      <c r="H15" s="399">
        <v>8</v>
      </c>
      <c r="I15" s="399">
        <v>310</v>
      </c>
      <c r="J15" s="399">
        <v>32</v>
      </c>
      <c r="K15" s="399"/>
      <c r="L15" s="399"/>
      <c r="M15" s="400">
        <f ca="1">IF(MAX(IF($B$6="No",ROUNDUP($B$3/$I15,0),ROUNDUP(($B$3+$I15)/$I15,0)),IF($B$6="No",ROUNDUP($B$4/$G15,0),ROUNDUP(($B$4+$G15)/$G15,0)),ROUNDUP('BVMS checklist'!$H$217/$J15,0))&gt;1,'BVMS checklist'!$H$224,'BVMS checklist'!$H$217)</f>
        <v>0</v>
      </c>
      <c r="N15" s="398">
        <f t="shared" ca="1" si="20"/>
        <v>2</v>
      </c>
      <c r="O15" s="400">
        <f t="shared" ca="1" si="21"/>
        <v>2</v>
      </c>
      <c r="P15" s="400">
        <f t="shared" ca="1" si="0"/>
        <v>620</v>
      </c>
      <c r="Q15" s="400">
        <f t="shared" ca="1" si="1"/>
        <v>0</v>
      </c>
      <c r="R15" s="398">
        <f t="shared" ca="1" si="2"/>
        <v>14896</v>
      </c>
      <c r="S15" s="401" t="str">
        <f t="shared" ca="1" si="22"/>
        <v/>
      </c>
      <c r="T15" s="398">
        <f t="shared" ca="1" si="23"/>
        <v>64</v>
      </c>
      <c r="U15" s="400">
        <f ca="1">IF(MAX(IF($B$6="No",ROUNDUP($B$3/$I15,0),ROUNDUP(($B$3+$I15)/$I15,0)),IF($B$6="No",ROUNDUP($B$4/$G15,0),ROUNDUP(($B$4+$G15)/$G15,0)),ROUNDUP('BVMS checklist'!$H$217/$J15,0))&gt;1,'BVMS checklist'!$H$224,'BVMS checklist'!$H$217)+MAX(IF($B$6="No",ROUNDUP($B$3/$I15,0),ROUNDUP(($B$3+$I15)/$I15,0)),IF($B$6="No",ROUNDUP($B$4/$G15,0),ROUNDUP(($B$4+$G15)/$G15,0)))+$B$5</f>
        <v>1</v>
      </c>
      <c r="V15" s="400" t="b">
        <f t="shared" ca="1" si="3"/>
        <v>1</v>
      </c>
      <c r="W15" s="400" t="str">
        <f t="shared" ca="1" si="24"/>
        <v>Accepted</v>
      </c>
      <c r="X15" s="398" t="str">
        <f t="shared" ca="1" si="25"/>
        <v>No</v>
      </c>
      <c r="Y15" s="398" t="str">
        <f t="shared" ca="1" si="26"/>
        <v/>
      </c>
      <c r="Z15" s="398" t="str">
        <f t="shared" ca="1" si="27"/>
        <v/>
      </c>
      <c r="AA15" s="398">
        <f t="shared" ca="1" si="28"/>
        <v>0</v>
      </c>
      <c r="AB15" s="398">
        <f t="shared" ca="1" si="4"/>
        <v>2</v>
      </c>
      <c r="AC15" s="398">
        <f t="shared" ca="1" si="5"/>
        <v>16</v>
      </c>
      <c r="AD15" s="398">
        <f t="shared" ca="1" si="29"/>
        <v>14896</v>
      </c>
      <c r="AE15" s="399">
        <f t="shared" si="6"/>
        <v>0</v>
      </c>
      <c r="AF15" s="399">
        <f t="shared" si="7"/>
        <v>0</v>
      </c>
      <c r="AG15" s="483" t="str">
        <f t="shared" ca="1" si="30"/>
        <v/>
      </c>
      <c r="AH15" s="400">
        <f ca="1">IF(MAX(IF($C$6="No",ROUNDUP($C$3/$I15,0),ROUNDUP(($C$3+$I15)/$I15,0)),IF($C$6="No",ROUNDUP($C$4/$G15,0),ROUNDUP(($C$4+$G15)/$G15,0)),ROUNDUP('BVMS checklist'!$H$217/$J15,0))&gt;1,'BVMS checklist'!$J$224,'BVMS checklist'!$J$217)</f>
        <v>0</v>
      </c>
      <c r="AI15" s="398">
        <f t="shared" ca="1" si="31"/>
        <v>2</v>
      </c>
      <c r="AJ15" s="400">
        <f t="shared" ca="1" si="32"/>
        <v>2</v>
      </c>
      <c r="AK15" s="400">
        <f t="shared" ca="1" si="33"/>
        <v>620</v>
      </c>
      <c r="AL15" s="400">
        <f t="shared" ca="1" si="34"/>
        <v>0</v>
      </c>
      <c r="AM15" s="398">
        <f t="shared" ca="1" si="35"/>
        <v>14896</v>
      </c>
      <c r="AN15" s="401" t="str">
        <f t="shared" ca="1" si="36"/>
        <v/>
      </c>
      <c r="AO15" s="398">
        <f t="shared" ca="1" si="37"/>
        <v>64</v>
      </c>
      <c r="AP15" s="400">
        <f ca="1">IF(MAX(IF($C$6="No",ROUNDUP($C$3/$I15,0),ROUNDUP(($C$3+$I15)/$I15,0)),IF($C$6="No",ROUNDUP($C$4/$G15,0),ROUNDUP(($C$4+$G15)/$G15,0)),ROUNDUP('BVMS checklist'!$H$217/$J15,0))&gt;1,'BVMS checklist'!$J$224,'BVMS checklist'!$J$217)+MAX(IF($C$6="No",ROUNDUP($C$3/$I15,0),ROUNDUP(($C$3+$I15)/$I15,0)),IF($C$6="No",ROUNDUP($C$4/$G15,0),ROUNDUP(($C$4+$G15)/$G15,0)))+$C$5</f>
        <v>1</v>
      </c>
      <c r="AQ15" s="400" t="b">
        <f t="shared" ca="1" si="8"/>
        <v>1</v>
      </c>
      <c r="AR15" s="400" t="str">
        <f t="shared" ca="1" si="38"/>
        <v>Accepted</v>
      </c>
      <c r="AS15" s="398" t="str">
        <f ca="1">IF(AND(AP15&lt;AO15,AL15&lt;$I15,$B15="Active",AR15="Accepted"),"Yes","No")</f>
        <v>No</v>
      </c>
      <c r="AT15" s="398" t="str">
        <f t="shared" ca="1" si="40"/>
        <v/>
      </c>
      <c r="AU15" s="398" t="str">
        <f t="shared" ca="1" si="41"/>
        <v/>
      </c>
      <c r="AV15" s="398">
        <f t="shared" ca="1" si="42"/>
        <v>0</v>
      </c>
      <c r="AW15" s="398">
        <f t="shared" ca="1" si="43"/>
        <v>2</v>
      </c>
      <c r="AX15" s="398">
        <f t="shared" ca="1" si="44"/>
        <v>16</v>
      </c>
      <c r="AY15" s="398">
        <f t="shared" ca="1" si="45"/>
        <v>14896</v>
      </c>
      <c r="AZ15" s="399">
        <f t="shared" si="9"/>
        <v>0</v>
      </c>
      <c r="BA15" s="399">
        <f t="shared" si="10"/>
        <v>0</v>
      </c>
      <c r="BB15" s="483" t="str">
        <f t="shared" ca="1" si="46"/>
        <v/>
      </c>
      <c r="BC15" s="400">
        <f ca="1">IF(MAX(IF($D$6="No",ROUNDUP($D$3/$I15,0),ROUNDUP(($D$3+$I15)/$I15,0)),IF($D$6="No",ROUNDUP($D$4/$G15,0),ROUNDUP(($D$4+$G15)/$G15,0)),ROUNDUP('BVMS checklist'!$H$217/$J15,0))&gt;1,'BVMS checklist'!$L$224,'BVMS checklist'!$L$217)</f>
        <v>0</v>
      </c>
      <c r="BD15" s="398">
        <f t="shared" ca="1" si="47"/>
        <v>2</v>
      </c>
      <c r="BE15" s="400">
        <f t="shared" si="48"/>
        <v>1</v>
      </c>
      <c r="BF15" s="400">
        <f t="shared" si="49"/>
        <v>310</v>
      </c>
      <c r="BG15" s="400">
        <f t="shared" ca="1" si="11"/>
        <v>0</v>
      </c>
      <c r="BH15" s="398">
        <f t="shared" ca="1" si="50"/>
        <v>14896</v>
      </c>
      <c r="BI15" s="401" t="str">
        <f t="shared" ca="1" si="51"/>
        <v/>
      </c>
      <c r="BJ15" s="398">
        <f t="shared" ca="1" si="52"/>
        <v>64</v>
      </c>
      <c r="BK15" s="400">
        <f ca="1">IF(MAX(IF($D$6="No",ROUNDUP($D$3/$I15,0),ROUNDUP(($D$3+$I15)/$I15,0)),IF($D$6="No",ROUNDUP($D$4/$G15,0),ROUNDUP(($D$4+$G15)/$G15,0)),ROUNDUP('BVMS checklist'!$H$217/$J15,0))&gt;1,'BVMS checklist'!$L$224,'BVMS checklist'!$L$217)+MAX(IF($D$6="No",ROUNDUP($D$3/$I15,0),ROUNDUP(($D$3+$I15)/$I15,0)),IF($D$6="No",ROUNDUP($D$4/$G15,0),ROUNDUP(($D$4+$G15)/$G15,0)))+$D$5</f>
        <v>1</v>
      </c>
      <c r="BL15" s="400" t="b">
        <f t="shared" ca="1" si="12"/>
        <v>1</v>
      </c>
      <c r="BM15" s="400" t="str">
        <f t="shared" ca="1" si="53"/>
        <v>Accepted</v>
      </c>
      <c r="BN15" s="398" t="str">
        <f t="shared" ca="1" si="13"/>
        <v>No</v>
      </c>
      <c r="BO15" s="398" t="str">
        <f t="shared" ca="1" si="54"/>
        <v/>
      </c>
      <c r="BP15" s="398" t="str">
        <f t="shared" ca="1" si="55"/>
        <v/>
      </c>
      <c r="BQ15" s="398">
        <f t="shared" ca="1" si="56"/>
        <v>0</v>
      </c>
      <c r="BR15" s="398">
        <f t="shared" ca="1" si="57"/>
        <v>2</v>
      </c>
      <c r="BS15" s="398">
        <f t="shared" ca="1" si="58"/>
        <v>16</v>
      </c>
      <c r="BT15" s="398">
        <f t="shared" ca="1" si="59"/>
        <v>14896</v>
      </c>
      <c r="BU15" s="399">
        <f t="shared" si="14"/>
        <v>0</v>
      </c>
      <c r="BV15" s="399">
        <f t="shared" si="15"/>
        <v>0</v>
      </c>
      <c r="BW15" s="483" t="str">
        <f t="shared" ca="1" si="60"/>
        <v/>
      </c>
      <c r="BX15" s="400">
        <f ca="1">IF(MAX(IF($E$6="No",ROUNDUP($E$3/$I15,0),ROUNDUP(($E$3+$I15)/$I15,0)),IF($E$6="No",ROUNDUP($E$4/$G15,0),ROUNDUP(($E$4+$G15)/$G15,0)),ROUNDUP('BVMS checklist'!$H$217/$J15,0))&gt;1,'BVMS checklist'!$N$224,'BVMS checklist'!$N$217)</f>
        <v>0</v>
      </c>
      <c r="BY15" s="398">
        <f t="shared" ca="1" si="61"/>
        <v>2</v>
      </c>
      <c r="BZ15" s="400">
        <f t="shared" ca="1" si="62"/>
        <v>2</v>
      </c>
      <c r="CA15" s="400">
        <f t="shared" ca="1" si="63"/>
        <v>620</v>
      </c>
      <c r="CB15" s="400">
        <f t="shared" ca="1" si="16"/>
        <v>0</v>
      </c>
      <c r="CC15" s="398">
        <f t="shared" ca="1" si="64"/>
        <v>14896</v>
      </c>
      <c r="CD15" s="401" t="str">
        <f t="shared" ca="1" si="65"/>
        <v/>
      </c>
      <c r="CE15" s="398">
        <f t="shared" ca="1" si="66"/>
        <v>64</v>
      </c>
      <c r="CF15" s="400">
        <f ca="1">IF(MAX(IF($E$6="No",ROUNDUP($E$3/$I15,0),ROUNDUP(($E$3+$I15)/$I15,0)),IF($E$6="No",ROUNDUP($E$4/$G15,0),ROUNDUP(($E$4+$G15)/$G15,0)),ROUNDUP('BVMS checklist'!$H$217/$J15,0))&gt;1,'BVMS checklist'!$N$224,'BVMS checklist'!$N$217)+MAX(IF($E$6="No",ROUNDUP($E$3/$I15,0),ROUNDUP(($E$3+$I15)/$I15,0)),IF($E$6="No",ROUNDUP($E$4/$G15,0),ROUNDUP(($E$4+$G15)/$G15,0)))+$E$5</f>
        <v>1</v>
      </c>
      <c r="CG15" s="400" t="b">
        <f t="shared" ca="1" si="17"/>
        <v>1</v>
      </c>
      <c r="CH15" s="400" t="str">
        <f t="shared" ca="1" si="67"/>
        <v>Accepted</v>
      </c>
      <c r="CI15" s="398" t="str">
        <f t="shared" ca="1" si="68"/>
        <v>No</v>
      </c>
      <c r="CJ15" s="398" t="str">
        <f t="shared" ca="1" si="69"/>
        <v/>
      </c>
      <c r="CK15" s="398" t="str">
        <f t="shared" ca="1" si="70"/>
        <v/>
      </c>
      <c r="CL15" s="398">
        <f t="shared" ca="1" si="71"/>
        <v>0</v>
      </c>
      <c r="CM15" s="398">
        <f t="shared" ca="1" si="72"/>
        <v>2</v>
      </c>
      <c r="CN15" s="398">
        <f t="shared" ca="1" si="73"/>
        <v>16</v>
      </c>
      <c r="CO15" s="398">
        <f t="shared" ca="1" si="74"/>
        <v>14896</v>
      </c>
      <c r="CP15" s="399">
        <f t="shared" si="18"/>
        <v>0</v>
      </c>
      <c r="CQ15" s="399">
        <f t="shared" si="19"/>
        <v>0</v>
      </c>
      <c r="CR15" s="483" t="str">
        <f t="shared" ca="1" si="75"/>
        <v/>
      </c>
      <c r="CS15"/>
    </row>
    <row r="16" spans="1:97">
      <c r="A16" s="398" t="s">
        <v>998</v>
      </c>
      <c r="B16" s="398" t="s">
        <v>987</v>
      </c>
      <c r="C16" s="440" t="s">
        <v>105</v>
      </c>
      <c r="D16" s="398">
        <v>1</v>
      </c>
      <c r="E16" s="398"/>
      <c r="F16" s="440">
        <v>0</v>
      </c>
      <c r="G16" s="398">
        <v>3724</v>
      </c>
      <c r="H16" s="399">
        <v>4</v>
      </c>
      <c r="I16" s="399">
        <v>130</v>
      </c>
      <c r="J16" s="399">
        <v>32</v>
      </c>
      <c r="K16" s="399"/>
      <c r="L16" s="399"/>
      <c r="M16" s="400">
        <f ca="1">IF(MAX(IF($B$6="No",ROUNDUP($B$3/$I16,0),ROUNDUP(($B$3+$I16)/$I16,0)),IF($B$6="No",ROUNDUP($B$4/$G16,0),ROUNDUP(($B$4+$G16)/$G16,0)),ROUNDUP('BVMS checklist'!$H$217/$J16,0))&gt;1,'BVMS checklist'!$H$224,'BVMS checklist'!$H$217)</f>
        <v>0</v>
      </c>
      <c r="N16" s="398">
        <f t="shared" ca="1" si="20"/>
        <v>2</v>
      </c>
      <c r="O16" s="400">
        <f t="shared" ca="1" si="21"/>
        <v>2</v>
      </c>
      <c r="P16" s="400">
        <f t="shared" ca="1" si="0"/>
        <v>260</v>
      </c>
      <c r="Q16" s="400">
        <f t="shared" ca="1" si="1"/>
        <v>0</v>
      </c>
      <c r="R16" s="398">
        <f t="shared" ca="1" si="2"/>
        <v>7448</v>
      </c>
      <c r="S16" s="401" t="str">
        <f t="shared" ca="1" si="22"/>
        <v/>
      </c>
      <c r="T16" s="398">
        <f t="shared" ca="1" si="23"/>
        <v>64</v>
      </c>
      <c r="U16" s="400">
        <f ca="1">IF(MAX(IF($B$6="No",ROUNDUP($B$3/$I16,0),ROUNDUP(($B$3+$I16)/$I16,0)),IF($B$6="No",ROUNDUP($B$4/$G16,0),ROUNDUP(($B$4+$G16)/$G16,0)),ROUNDUP('BVMS checklist'!$H$217/$J16,0))&gt;1,'BVMS checklist'!$H$224,'BVMS checklist'!$H$217)+MAX(IF($B$6="No",ROUNDUP($B$3/$I16,0),ROUNDUP(($B$3+$I16)/$I16,0)),IF($B$6="No",ROUNDUP($B$4/$G16,0),ROUNDUP(($B$4+$G16)/$G16,0)))+$B$5</f>
        <v>1</v>
      </c>
      <c r="V16" s="400" t="b">
        <f t="shared" ca="1" si="3"/>
        <v>1</v>
      </c>
      <c r="W16" s="400" t="str">
        <f t="shared" ca="1" si="24"/>
        <v>Accepted</v>
      </c>
      <c r="X16" s="398" t="str">
        <f t="shared" ca="1" si="25"/>
        <v>No</v>
      </c>
      <c r="Y16" s="398" t="str">
        <f t="shared" ca="1" si="26"/>
        <v/>
      </c>
      <c r="Z16" s="398" t="str">
        <f t="shared" ca="1" si="27"/>
        <v/>
      </c>
      <c r="AA16" s="398">
        <f t="shared" ca="1" si="28"/>
        <v>0</v>
      </c>
      <c r="AB16" s="398">
        <f t="shared" ca="1" si="4"/>
        <v>2</v>
      </c>
      <c r="AC16" s="398">
        <f t="shared" ca="1" si="5"/>
        <v>8</v>
      </c>
      <c r="AD16" s="398">
        <f t="shared" ca="1" si="29"/>
        <v>7448</v>
      </c>
      <c r="AE16" s="399">
        <f t="shared" si="6"/>
        <v>0</v>
      </c>
      <c r="AF16" s="399">
        <f t="shared" si="7"/>
        <v>0</v>
      </c>
      <c r="AG16" s="483" t="str">
        <f t="shared" ca="1" si="30"/>
        <v/>
      </c>
      <c r="AH16" s="400">
        <f ca="1">IF(MAX(IF($C$6="No",ROUNDUP($C$3/$I16,0),ROUNDUP(($C$3+$I16)/$I16,0)),IF($C$6="No",ROUNDUP($C$4/$G16,0),ROUNDUP(($C$4+$G16)/$G16,0)),ROUNDUP('BVMS checklist'!$H$217/$J16,0))&gt;1,'BVMS checklist'!$J$224,'BVMS checklist'!$J$217)</f>
        <v>0</v>
      </c>
      <c r="AI16" s="398">
        <f t="shared" ca="1" si="31"/>
        <v>2</v>
      </c>
      <c r="AJ16" s="400">
        <f t="shared" ca="1" si="32"/>
        <v>2</v>
      </c>
      <c r="AK16" s="400">
        <f t="shared" ca="1" si="33"/>
        <v>260</v>
      </c>
      <c r="AL16" s="400">
        <f t="shared" ca="1" si="34"/>
        <v>0</v>
      </c>
      <c r="AM16" s="398">
        <f t="shared" ca="1" si="35"/>
        <v>7448</v>
      </c>
      <c r="AN16" s="401" t="str">
        <f t="shared" ca="1" si="36"/>
        <v/>
      </c>
      <c r="AO16" s="398">
        <f t="shared" ca="1" si="37"/>
        <v>64</v>
      </c>
      <c r="AP16" s="400">
        <f ca="1">IF(MAX(IF($C$6="No",ROUNDUP($C$3/$I16,0),ROUNDUP(($C$3+$I16)/$I16,0)),IF($C$6="No",ROUNDUP($C$4/$G16,0),ROUNDUP(($C$4+$G16)/$G16,0)),ROUNDUP('BVMS checklist'!$H$217/$J16,0))&gt;1,'BVMS checklist'!$J$224,'BVMS checklist'!$J$217)+MAX(IF($C$6="No",ROUNDUP($C$3/$I16,0),ROUNDUP(($C$3+$I16)/$I16,0)),IF($C$6="No",ROUNDUP($C$4/$G16,0),ROUNDUP(($C$4+$G16)/$G16,0)))+$C$5</f>
        <v>1</v>
      </c>
      <c r="AQ16" s="400" t="b">
        <f t="shared" ca="1" si="8"/>
        <v>1</v>
      </c>
      <c r="AR16" s="400" t="str">
        <f t="shared" ca="1" si="38"/>
        <v>Accepted</v>
      </c>
      <c r="AS16" s="398" t="str">
        <f t="shared" ca="1" si="39"/>
        <v>No</v>
      </c>
      <c r="AT16" s="398" t="str">
        <f t="shared" ca="1" si="40"/>
        <v/>
      </c>
      <c r="AU16" s="398" t="str">
        <f t="shared" ca="1" si="41"/>
        <v/>
      </c>
      <c r="AV16" s="398">
        <f t="shared" ca="1" si="42"/>
        <v>0</v>
      </c>
      <c r="AW16" s="398">
        <f t="shared" ca="1" si="43"/>
        <v>2</v>
      </c>
      <c r="AX16" s="398">
        <f t="shared" ca="1" si="44"/>
        <v>8</v>
      </c>
      <c r="AY16" s="398">
        <f t="shared" ca="1" si="45"/>
        <v>7448</v>
      </c>
      <c r="AZ16" s="399">
        <f t="shared" si="9"/>
        <v>0</v>
      </c>
      <c r="BA16" s="399">
        <f t="shared" si="10"/>
        <v>0</v>
      </c>
      <c r="BB16" s="483" t="str">
        <f t="shared" ca="1" si="46"/>
        <v/>
      </c>
      <c r="BC16" s="400">
        <f ca="1">IF(MAX(IF($D$6="No",ROUNDUP($D$3/$I16,0),ROUNDUP(($D$3+$I16)/$I16,0)),IF($D$6="No",ROUNDUP($D$4/$G16,0),ROUNDUP(($D$4+$G16)/$G16,0)),ROUNDUP('BVMS checklist'!$H$217/$J16,0))&gt;1,'BVMS checklist'!$L$224,'BVMS checklist'!$L$217)</f>
        <v>0</v>
      </c>
      <c r="BD16" s="398">
        <f t="shared" ca="1" si="47"/>
        <v>2</v>
      </c>
      <c r="BE16" s="400">
        <f t="shared" si="48"/>
        <v>1</v>
      </c>
      <c r="BF16" s="400">
        <f t="shared" si="49"/>
        <v>130</v>
      </c>
      <c r="BG16" s="400">
        <f t="shared" ca="1" si="11"/>
        <v>0</v>
      </c>
      <c r="BH16" s="398">
        <f t="shared" ca="1" si="50"/>
        <v>7448</v>
      </c>
      <c r="BI16" s="401" t="str">
        <f t="shared" ca="1" si="51"/>
        <v/>
      </c>
      <c r="BJ16" s="398">
        <f t="shared" ca="1" si="52"/>
        <v>64</v>
      </c>
      <c r="BK16" s="400">
        <f ca="1">IF(MAX(IF($D$6="No",ROUNDUP($D$3/$I16,0),ROUNDUP(($D$3+$I16)/$I16,0)),IF($D$6="No",ROUNDUP($D$4/$G16,0),ROUNDUP(($D$4+$G16)/$G16,0)),ROUNDUP('BVMS checklist'!$H$217/$J16,0))&gt;1,'BVMS checklist'!$L$224,'BVMS checklist'!$L$217)+MAX(IF($D$6="No",ROUNDUP($D$3/$I16,0),ROUNDUP(($D$3+$I16)/$I16,0)),IF($D$6="No",ROUNDUP($D$4/$G16,0),ROUNDUP(($D$4+$G16)/$G16,0)))+$D$5</f>
        <v>1</v>
      </c>
      <c r="BL16" s="400" t="b">
        <f t="shared" ca="1" si="12"/>
        <v>1</v>
      </c>
      <c r="BM16" s="400" t="str">
        <f t="shared" ca="1" si="53"/>
        <v>Accepted</v>
      </c>
      <c r="BN16" s="398" t="str">
        <f t="shared" ca="1" si="13"/>
        <v>No</v>
      </c>
      <c r="BO16" s="398" t="str">
        <f t="shared" ca="1" si="54"/>
        <v/>
      </c>
      <c r="BP16" s="398" t="str">
        <f t="shared" ca="1" si="55"/>
        <v/>
      </c>
      <c r="BQ16" s="398">
        <f t="shared" ca="1" si="56"/>
        <v>0</v>
      </c>
      <c r="BR16" s="398">
        <f t="shared" ca="1" si="57"/>
        <v>2</v>
      </c>
      <c r="BS16" s="398">
        <f t="shared" ca="1" si="58"/>
        <v>8</v>
      </c>
      <c r="BT16" s="398">
        <f t="shared" ca="1" si="59"/>
        <v>7448</v>
      </c>
      <c r="BU16" s="399">
        <f t="shared" si="14"/>
        <v>0</v>
      </c>
      <c r="BV16" s="399">
        <f t="shared" si="15"/>
        <v>0</v>
      </c>
      <c r="BW16" s="483" t="str">
        <f t="shared" ca="1" si="60"/>
        <v/>
      </c>
      <c r="BX16" s="400">
        <f ca="1">IF(MAX(IF($E$6="No",ROUNDUP($E$3/$I16,0),ROUNDUP(($E$3+$I16)/$I16,0)),IF($E$6="No",ROUNDUP($E$4/$G16,0),ROUNDUP(($E$4+$G16)/$G16,0)),ROUNDUP('BVMS checklist'!$H$217/$J16,0))&gt;1,'BVMS checklist'!$N$224,'BVMS checklist'!$N$217)</f>
        <v>0</v>
      </c>
      <c r="BY16" s="398">
        <f t="shared" ca="1" si="61"/>
        <v>2</v>
      </c>
      <c r="BZ16" s="400">
        <f t="shared" ca="1" si="62"/>
        <v>2</v>
      </c>
      <c r="CA16" s="400">
        <f t="shared" ca="1" si="63"/>
        <v>260</v>
      </c>
      <c r="CB16" s="400">
        <f t="shared" ca="1" si="16"/>
        <v>0</v>
      </c>
      <c r="CC16" s="398">
        <f t="shared" ca="1" si="64"/>
        <v>7448</v>
      </c>
      <c r="CD16" s="401" t="str">
        <f t="shared" ca="1" si="65"/>
        <v/>
      </c>
      <c r="CE16" s="398">
        <f t="shared" ca="1" si="66"/>
        <v>64</v>
      </c>
      <c r="CF16" s="400">
        <f ca="1">IF(MAX(IF($E$6="No",ROUNDUP($E$3/$I16,0),ROUNDUP(($E$3+$I16)/$I16,0)),IF($E$6="No",ROUNDUP($E$4/$G16,0),ROUNDUP(($E$4+$G16)/$G16,0)),ROUNDUP('BVMS checklist'!$H$217/$J16,0))&gt;1,'BVMS checklist'!$N$224,'BVMS checklist'!$N$217)+MAX(IF($E$6="No",ROUNDUP($E$3/$I16,0),ROUNDUP(($E$3+$I16)/$I16,0)),IF($E$6="No",ROUNDUP($E$4/$G16,0),ROUNDUP(($E$4+$G16)/$G16,0)))+$E$5</f>
        <v>1</v>
      </c>
      <c r="CG16" s="400" t="b">
        <f t="shared" ca="1" si="17"/>
        <v>1</v>
      </c>
      <c r="CH16" s="400" t="str">
        <f t="shared" ca="1" si="67"/>
        <v>Accepted</v>
      </c>
      <c r="CI16" s="398" t="str">
        <f t="shared" ca="1" si="68"/>
        <v>No</v>
      </c>
      <c r="CJ16" s="398" t="str">
        <f t="shared" ca="1" si="69"/>
        <v/>
      </c>
      <c r="CK16" s="398" t="str">
        <f t="shared" ca="1" si="70"/>
        <v/>
      </c>
      <c r="CL16" s="398">
        <f t="shared" ca="1" si="71"/>
        <v>0</v>
      </c>
      <c r="CM16" s="398">
        <f t="shared" ca="1" si="72"/>
        <v>2</v>
      </c>
      <c r="CN16" s="398">
        <f t="shared" ca="1" si="73"/>
        <v>8</v>
      </c>
      <c r="CO16" s="398">
        <f t="shared" ca="1" si="74"/>
        <v>7448</v>
      </c>
      <c r="CP16" s="399">
        <f t="shared" si="18"/>
        <v>0</v>
      </c>
      <c r="CQ16" s="399">
        <f t="shared" si="19"/>
        <v>0</v>
      </c>
      <c r="CR16" s="483" t="str">
        <f t="shared" ca="1" si="75"/>
        <v/>
      </c>
      <c r="CS16"/>
    </row>
    <row r="17" spans="1:97">
      <c r="A17" s="398" t="s">
        <v>999</v>
      </c>
      <c r="B17" s="398" t="s">
        <v>987</v>
      </c>
      <c r="C17" s="440" t="s">
        <v>105</v>
      </c>
      <c r="D17" s="398">
        <v>1</v>
      </c>
      <c r="E17" s="398"/>
      <c r="F17" s="440">
        <v>0</v>
      </c>
      <c r="G17" s="398">
        <f>IF(C17="JBOD",((2)*3724),((1)*3724))</f>
        <v>7448</v>
      </c>
      <c r="H17" s="399">
        <v>8</v>
      </c>
      <c r="I17" s="399">
        <v>220</v>
      </c>
      <c r="J17" s="399">
        <v>32</v>
      </c>
      <c r="K17" s="399"/>
      <c r="L17" s="399"/>
      <c r="M17" s="400">
        <f ca="1">IF(MAX(IF($B$6="No",ROUNDUP($B$3/$I17,0),ROUNDUP(($B$3+$I17)/$I17,0)),IF($B$6="No",ROUNDUP($B$4/$G17,0),ROUNDUP(($B$4+$G17)/$G17,0)),ROUNDUP('BVMS checklist'!$H$217/$J17,0))&gt;1,'BVMS checklist'!$H$224,'BVMS checklist'!$H$217)</f>
        <v>0</v>
      </c>
      <c r="N17" s="398">
        <f t="shared" ca="1" si="20"/>
        <v>2</v>
      </c>
      <c r="O17" s="400">
        <f t="shared" ca="1" si="21"/>
        <v>2</v>
      </c>
      <c r="P17" s="400">
        <f t="shared" ca="1" si="0"/>
        <v>440</v>
      </c>
      <c r="Q17" s="400">
        <f t="shared" ca="1" si="1"/>
        <v>0</v>
      </c>
      <c r="R17" s="398">
        <f t="shared" ca="1" si="2"/>
        <v>14896</v>
      </c>
      <c r="S17" s="401" t="str">
        <f t="shared" ca="1" si="22"/>
        <v/>
      </c>
      <c r="T17" s="398">
        <f t="shared" ca="1" si="23"/>
        <v>64</v>
      </c>
      <c r="U17" s="400">
        <f ca="1">IF(MAX(IF($B$6="No",ROUNDUP($B$3/$I17,0),ROUNDUP(($B$3+$I17)/$I17,0)),IF($B$6="No",ROUNDUP($B$4/$G17,0),ROUNDUP(($B$4+$G17)/$G17,0)),ROUNDUP('BVMS checklist'!$H$217/$J17,0))&gt;1,'BVMS checklist'!$H$224,'BVMS checklist'!$H$217)+MAX(IF($B$6="No",ROUNDUP($B$3/$I17,0),ROUNDUP(($B$3+$I17)/$I17,0)),IF($B$6="No",ROUNDUP($B$4/$G17,0),ROUNDUP(($B$4+$G17)/$G17,0)))+$B$5</f>
        <v>1</v>
      </c>
      <c r="V17" s="400" t="b">
        <f t="shared" ca="1" si="3"/>
        <v>1</v>
      </c>
      <c r="W17" s="400" t="str">
        <f t="shared" ca="1" si="24"/>
        <v>Accepted</v>
      </c>
      <c r="X17" s="398" t="str">
        <f t="shared" ca="1" si="25"/>
        <v>No</v>
      </c>
      <c r="Y17" s="398" t="str">
        <f t="shared" ca="1" si="26"/>
        <v/>
      </c>
      <c r="Z17" s="398" t="str">
        <f t="shared" ca="1" si="27"/>
        <v/>
      </c>
      <c r="AA17" s="398">
        <f t="shared" ca="1" si="28"/>
        <v>0</v>
      </c>
      <c r="AB17" s="398">
        <f t="shared" ca="1" si="4"/>
        <v>2</v>
      </c>
      <c r="AC17" s="398">
        <f t="shared" ca="1" si="5"/>
        <v>16</v>
      </c>
      <c r="AD17" s="398">
        <f t="shared" ca="1" si="29"/>
        <v>14896</v>
      </c>
      <c r="AE17" s="399">
        <f t="shared" si="6"/>
        <v>0</v>
      </c>
      <c r="AF17" s="399">
        <f t="shared" si="7"/>
        <v>0</v>
      </c>
      <c r="AG17" s="483" t="str">
        <f t="shared" ca="1" si="30"/>
        <v/>
      </c>
      <c r="AH17" s="400">
        <f ca="1">IF(MAX(IF($C$6="No",ROUNDUP($C$3/$I17,0),ROUNDUP(($C$3+$I17)/$I17,0)),IF($C$6="No",ROUNDUP($C$4/$G17,0),ROUNDUP(($C$4+$G17)/$G17,0)),ROUNDUP('BVMS checklist'!$H$217/$J17,0))&gt;1,'BVMS checklist'!$J$224,'BVMS checklist'!$J$217)</f>
        <v>0</v>
      </c>
      <c r="AI17" s="398">
        <f t="shared" ca="1" si="31"/>
        <v>2</v>
      </c>
      <c r="AJ17" s="400">
        <f t="shared" ca="1" si="32"/>
        <v>2</v>
      </c>
      <c r="AK17" s="400">
        <f t="shared" ca="1" si="33"/>
        <v>440</v>
      </c>
      <c r="AL17" s="400">
        <f t="shared" ca="1" si="34"/>
        <v>0</v>
      </c>
      <c r="AM17" s="398">
        <f t="shared" ca="1" si="35"/>
        <v>14896</v>
      </c>
      <c r="AN17" s="401" t="str">
        <f t="shared" ca="1" si="36"/>
        <v/>
      </c>
      <c r="AO17" s="398">
        <f t="shared" ca="1" si="37"/>
        <v>64</v>
      </c>
      <c r="AP17" s="400">
        <f ca="1">IF(MAX(IF($C$6="No",ROUNDUP($C$3/$I17,0),ROUNDUP(($C$3+$I17)/$I17,0)),IF($C$6="No",ROUNDUP($C$4/$G17,0),ROUNDUP(($C$4+$G17)/$G17,0)),ROUNDUP('BVMS checklist'!$H$217/$J17,0))&gt;1,'BVMS checklist'!$J$224,'BVMS checklist'!$J$217)+MAX(IF($C$6="No",ROUNDUP($C$3/$I17,0),ROUNDUP(($C$3+$I17)/$I17,0)),IF($C$6="No",ROUNDUP($C$4/$G17,0),ROUNDUP(($C$4+$G17)/$G17,0)))+$C$5</f>
        <v>1</v>
      </c>
      <c r="AQ17" s="400" t="b">
        <f t="shared" ca="1" si="8"/>
        <v>1</v>
      </c>
      <c r="AR17" s="400" t="str">
        <f t="shared" ca="1" si="38"/>
        <v>Accepted</v>
      </c>
      <c r="AS17" s="398" t="str">
        <f t="shared" ca="1" si="39"/>
        <v>No</v>
      </c>
      <c r="AT17" s="398" t="str">
        <f t="shared" ca="1" si="40"/>
        <v/>
      </c>
      <c r="AU17" s="398" t="str">
        <f t="shared" ca="1" si="41"/>
        <v/>
      </c>
      <c r="AV17" s="398">
        <f t="shared" ca="1" si="42"/>
        <v>0</v>
      </c>
      <c r="AW17" s="398">
        <f t="shared" ca="1" si="43"/>
        <v>2</v>
      </c>
      <c r="AX17" s="398">
        <f t="shared" ca="1" si="44"/>
        <v>16</v>
      </c>
      <c r="AY17" s="398">
        <f t="shared" ca="1" si="45"/>
        <v>14896</v>
      </c>
      <c r="AZ17" s="399">
        <f t="shared" si="9"/>
        <v>0</v>
      </c>
      <c r="BA17" s="399">
        <f t="shared" si="10"/>
        <v>0</v>
      </c>
      <c r="BB17" s="483" t="str">
        <f t="shared" ca="1" si="46"/>
        <v/>
      </c>
      <c r="BC17" s="400">
        <f ca="1">IF(MAX(IF($D$6="No",ROUNDUP($D$3/$I17,0),ROUNDUP(($D$3+$I17)/$I17,0)),IF($D$6="No",ROUNDUP($D$4/$G17,0),ROUNDUP(($D$4+$G17)/$G17,0)),ROUNDUP('BVMS checklist'!$H$217/$J17,0))&gt;1,'BVMS checklist'!$L$224,'BVMS checklist'!$L$217)</f>
        <v>0</v>
      </c>
      <c r="BD17" s="398">
        <f t="shared" ca="1" si="47"/>
        <v>2</v>
      </c>
      <c r="BE17" s="400">
        <f t="shared" si="48"/>
        <v>1</v>
      </c>
      <c r="BF17" s="400">
        <f t="shared" si="49"/>
        <v>220</v>
      </c>
      <c r="BG17" s="400">
        <f t="shared" ca="1" si="11"/>
        <v>0</v>
      </c>
      <c r="BH17" s="398">
        <f t="shared" ca="1" si="50"/>
        <v>14896</v>
      </c>
      <c r="BI17" s="401" t="str">
        <f t="shared" ca="1" si="51"/>
        <v/>
      </c>
      <c r="BJ17" s="398">
        <f t="shared" ca="1" si="52"/>
        <v>64</v>
      </c>
      <c r="BK17" s="400">
        <f ca="1">IF(MAX(IF($D$6="No",ROUNDUP($D$3/$I17,0),ROUNDUP(($D$3+$I17)/$I17,0)),IF($D$6="No",ROUNDUP($D$4/$G17,0),ROUNDUP(($D$4+$G17)/$G17,0)),ROUNDUP('BVMS checklist'!$H$217/$J17,0))&gt;1,'BVMS checklist'!$L$224,'BVMS checklist'!$L$217)+MAX(IF($D$6="No",ROUNDUP($D$3/$I17,0),ROUNDUP(($D$3+$I17)/$I17,0)),IF($D$6="No",ROUNDUP($D$4/$G17,0),ROUNDUP(($D$4+$G17)/$G17,0)))+$D$5</f>
        <v>1</v>
      </c>
      <c r="BL17" s="400" t="b">
        <f t="shared" ca="1" si="12"/>
        <v>1</v>
      </c>
      <c r="BM17" s="400" t="str">
        <f t="shared" ca="1" si="53"/>
        <v>Accepted</v>
      </c>
      <c r="BN17" s="398" t="str">
        <f t="shared" ca="1" si="13"/>
        <v>No</v>
      </c>
      <c r="BO17" s="398" t="str">
        <f t="shared" ca="1" si="54"/>
        <v/>
      </c>
      <c r="BP17" s="398" t="str">
        <f t="shared" ca="1" si="55"/>
        <v/>
      </c>
      <c r="BQ17" s="398">
        <f t="shared" ca="1" si="56"/>
        <v>0</v>
      </c>
      <c r="BR17" s="398">
        <f t="shared" ca="1" si="57"/>
        <v>2</v>
      </c>
      <c r="BS17" s="398">
        <f t="shared" ca="1" si="58"/>
        <v>16</v>
      </c>
      <c r="BT17" s="398">
        <f t="shared" ca="1" si="59"/>
        <v>14896</v>
      </c>
      <c r="BU17" s="399">
        <f t="shared" si="14"/>
        <v>0</v>
      </c>
      <c r="BV17" s="399">
        <f t="shared" si="15"/>
        <v>0</v>
      </c>
      <c r="BW17" s="483" t="str">
        <f t="shared" ca="1" si="60"/>
        <v/>
      </c>
      <c r="BX17" s="400">
        <f ca="1">IF(MAX(IF($E$6="No",ROUNDUP($E$3/$I17,0),ROUNDUP(($E$3+$I17)/$I17,0)),IF($E$6="No",ROUNDUP($E$4/$G17,0),ROUNDUP(($E$4+$G17)/$G17,0)),ROUNDUP('BVMS checklist'!$H$217/$J17,0))&gt;1,'BVMS checklist'!$N$224,'BVMS checklist'!$N$217)</f>
        <v>0</v>
      </c>
      <c r="BY17" s="398">
        <f t="shared" ca="1" si="61"/>
        <v>2</v>
      </c>
      <c r="BZ17" s="400">
        <f t="shared" ca="1" si="62"/>
        <v>2</v>
      </c>
      <c r="CA17" s="400">
        <f t="shared" ca="1" si="63"/>
        <v>440</v>
      </c>
      <c r="CB17" s="400">
        <f t="shared" ca="1" si="16"/>
        <v>0</v>
      </c>
      <c r="CC17" s="398">
        <f t="shared" ca="1" si="64"/>
        <v>14896</v>
      </c>
      <c r="CD17" s="401" t="str">
        <f t="shared" ca="1" si="65"/>
        <v/>
      </c>
      <c r="CE17" s="398">
        <f t="shared" ca="1" si="66"/>
        <v>64</v>
      </c>
      <c r="CF17" s="400">
        <f ca="1">IF(MAX(IF($E$6="No",ROUNDUP($E$3/$I17,0),ROUNDUP(($E$3+$I17)/$I17,0)),IF($E$6="No",ROUNDUP($E$4/$G17,0),ROUNDUP(($E$4+$G17)/$G17,0)),ROUNDUP('BVMS checklist'!$H$217/$J17,0))&gt;1,'BVMS checklist'!$N$224,'BVMS checklist'!$N$217)+MAX(IF($E$6="No",ROUNDUP($E$3/$I17,0),ROUNDUP(($E$3+$I17)/$I17,0)),IF($E$6="No",ROUNDUP($E$4/$G17,0),ROUNDUP(($E$4+$G17)/$G17,0)))+$E$5</f>
        <v>1</v>
      </c>
      <c r="CG17" s="400" t="b">
        <f t="shared" ca="1" si="17"/>
        <v>1</v>
      </c>
      <c r="CH17" s="400" t="str">
        <f t="shared" ca="1" si="67"/>
        <v>Accepted</v>
      </c>
      <c r="CI17" s="398" t="str">
        <f t="shared" ca="1" si="68"/>
        <v>No</v>
      </c>
      <c r="CJ17" s="398" t="str">
        <f t="shared" ca="1" si="69"/>
        <v/>
      </c>
      <c r="CK17" s="398" t="str">
        <f t="shared" ca="1" si="70"/>
        <v/>
      </c>
      <c r="CL17" s="398">
        <f t="shared" ca="1" si="71"/>
        <v>0</v>
      </c>
      <c r="CM17" s="398">
        <f t="shared" ca="1" si="72"/>
        <v>2</v>
      </c>
      <c r="CN17" s="398">
        <f t="shared" ca="1" si="73"/>
        <v>16</v>
      </c>
      <c r="CO17" s="398">
        <f t="shared" ca="1" si="74"/>
        <v>14896</v>
      </c>
      <c r="CP17" s="399">
        <f t="shared" si="18"/>
        <v>0</v>
      </c>
      <c r="CQ17" s="399">
        <f t="shared" si="19"/>
        <v>0</v>
      </c>
      <c r="CR17" s="483" t="str">
        <f t="shared" ca="1" si="75"/>
        <v/>
      </c>
      <c r="CS17"/>
    </row>
    <row r="18" spans="1:97">
      <c r="A18" s="398" t="s">
        <v>1000</v>
      </c>
      <c r="B18" s="398" t="s">
        <v>987</v>
      </c>
      <c r="C18" s="440" t="s">
        <v>105</v>
      </c>
      <c r="D18" s="398">
        <v>1</v>
      </c>
      <c r="E18" s="398"/>
      <c r="F18" s="440">
        <v>0</v>
      </c>
      <c r="G18" s="398">
        <f>IF(C18="JBOD",((4)*3724),((2)*3724))</f>
        <v>14896</v>
      </c>
      <c r="H18" s="399">
        <v>16</v>
      </c>
      <c r="I18" s="399">
        <v>310</v>
      </c>
      <c r="J18" s="399">
        <v>32</v>
      </c>
      <c r="K18" s="399"/>
      <c r="L18" s="399"/>
      <c r="M18" s="400">
        <f ca="1">IF(MAX(IF($B$6="No",ROUNDUP($B$3/$I18,0),ROUNDUP(($B$3+$I18)/$I18,0)),IF($B$6="No",ROUNDUP($B$4/$G18,0),ROUNDUP(($B$4+$G18)/$G18,0)),ROUNDUP('BVMS checklist'!$H$217/$J18,0))&gt;1,'BVMS checklist'!$H$224,'BVMS checklist'!$H$217)</f>
        <v>0</v>
      </c>
      <c r="N18" s="398">
        <f t="shared" ca="1" si="20"/>
        <v>2</v>
      </c>
      <c r="O18" s="400">
        <f t="shared" ca="1" si="21"/>
        <v>2</v>
      </c>
      <c r="P18" s="400">
        <f t="shared" ca="1" si="0"/>
        <v>620</v>
      </c>
      <c r="Q18" s="400">
        <f t="shared" ca="1" si="1"/>
        <v>0</v>
      </c>
      <c r="R18" s="398">
        <f t="shared" ca="1" si="2"/>
        <v>29792</v>
      </c>
      <c r="S18" s="401" t="str">
        <f t="shared" ca="1" si="22"/>
        <v/>
      </c>
      <c r="T18" s="398">
        <f t="shared" ca="1" si="23"/>
        <v>64</v>
      </c>
      <c r="U18" s="400">
        <f ca="1">IF(MAX(IF($B$6="No",ROUNDUP($B$3/$I18,0),ROUNDUP(($B$3+$I18)/$I18,0)),IF($B$6="No",ROUNDUP($B$4/$G18,0),ROUNDUP(($B$4+$G18)/$G18,0)),ROUNDUP('BVMS checklist'!$H$217/$J18,0))&gt;1,'BVMS checklist'!$H$224,'BVMS checklist'!$H$217)+MAX(IF($B$6="No",ROUNDUP($B$3/$I18,0),ROUNDUP(($B$3+$I18)/$I18,0)),IF($B$6="No",ROUNDUP($B$4/$G18,0),ROUNDUP(($B$4+$G18)/$G18,0)))+$B$5</f>
        <v>1</v>
      </c>
      <c r="V18" s="400" t="b">
        <f t="shared" ca="1" si="3"/>
        <v>1</v>
      </c>
      <c r="W18" s="400" t="str">
        <f t="shared" ca="1" si="24"/>
        <v>Accepted</v>
      </c>
      <c r="X18" s="398" t="str">
        <f t="shared" ca="1" si="25"/>
        <v>No</v>
      </c>
      <c r="Y18" s="398" t="str">
        <f t="shared" ca="1" si="26"/>
        <v/>
      </c>
      <c r="Z18" s="398" t="str">
        <f t="shared" ca="1" si="27"/>
        <v/>
      </c>
      <c r="AA18" s="398">
        <f t="shared" ca="1" si="28"/>
        <v>0</v>
      </c>
      <c r="AB18" s="398">
        <f t="shared" ca="1" si="4"/>
        <v>2</v>
      </c>
      <c r="AC18" s="398">
        <f t="shared" ca="1" si="5"/>
        <v>32</v>
      </c>
      <c r="AD18" s="398">
        <f t="shared" ca="1" si="29"/>
        <v>29792</v>
      </c>
      <c r="AE18" s="399">
        <f t="shared" si="6"/>
        <v>0</v>
      </c>
      <c r="AF18" s="399">
        <f t="shared" si="7"/>
        <v>0</v>
      </c>
      <c r="AG18" s="483" t="str">
        <f t="shared" ca="1" si="30"/>
        <v/>
      </c>
      <c r="AH18" s="400">
        <f ca="1">IF(MAX(IF($C$6="No",ROUNDUP($C$3/$I18,0),ROUNDUP(($C$3+$I18)/$I18,0)),IF($C$6="No",ROUNDUP($C$4/$G18,0),ROUNDUP(($C$4+$G18)/$G18,0)),ROUNDUP('BVMS checklist'!$H$217/$J18,0))&gt;1,'BVMS checklist'!$J$224,'BVMS checklist'!$J$217)</f>
        <v>0</v>
      </c>
      <c r="AI18" s="398">
        <f t="shared" ca="1" si="31"/>
        <v>2</v>
      </c>
      <c r="AJ18" s="400">
        <f t="shared" ca="1" si="32"/>
        <v>2</v>
      </c>
      <c r="AK18" s="400">
        <f t="shared" ca="1" si="33"/>
        <v>620</v>
      </c>
      <c r="AL18" s="400">
        <f t="shared" ca="1" si="34"/>
        <v>0</v>
      </c>
      <c r="AM18" s="398">
        <f t="shared" ca="1" si="35"/>
        <v>29792</v>
      </c>
      <c r="AN18" s="401" t="str">
        <f t="shared" ca="1" si="36"/>
        <v/>
      </c>
      <c r="AO18" s="398">
        <f t="shared" ca="1" si="37"/>
        <v>64</v>
      </c>
      <c r="AP18" s="400">
        <f ca="1">IF(MAX(IF($C$6="No",ROUNDUP($C$3/$I18,0),ROUNDUP(($C$3+$I18)/$I18,0)),IF($C$6="No",ROUNDUP($C$4/$G18,0),ROUNDUP(($C$4+$G18)/$G18,0)),ROUNDUP('BVMS checklist'!$H$217/$J18,0))&gt;1,'BVMS checklist'!$J$224,'BVMS checklist'!$J$217)+MAX(IF($C$6="No",ROUNDUP($C$3/$I18,0),ROUNDUP(($C$3+$I18)/$I18,0)),IF($C$6="No",ROUNDUP($C$4/$G18,0),ROUNDUP(($C$4+$G18)/$G18,0)))+$C$5</f>
        <v>1</v>
      </c>
      <c r="AQ18" s="400" t="b">
        <f t="shared" ca="1" si="8"/>
        <v>1</v>
      </c>
      <c r="AR18" s="400" t="str">
        <f t="shared" ca="1" si="38"/>
        <v>Accepted</v>
      </c>
      <c r="AS18" s="398" t="str">
        <f t="shared" ca="1" si="39"/>
        <v>No</v>
      </c>
      <c r="AT18" s="398" t="str">
        <f t="shared" ca="1" si="40"/>
        <v/>
      </c>
      <c r="AU18" s="398" t="str">
        <f t="shared" ca="1" si="41"/>
        <v/>
      </c>
      <c r="AV18" s="398">
        <f t="shared" ca="1" si="42"/>
        <v>0</v>
      </c>
      <c r="AW18" s="398">
        <f t="shared" ca="1" si="43"/>
        <v>2</v>
      </c>
      <c r="AX18" s="398">
        <f t="shared" ca="1" si="44"/>
        <v>32</v>
      </c>
      <c r="AY18" s="398">
        <f t="shared" ca="1" si="45"/>
        <v>29792</v>
      </c>
      <c r="AZ18" s="399">
        <f t="shared" si="9"/>
        <v>0</v>
      </c>
      <c r="BA18" s="399">
        <f t="shared" si="10"/>
        <v>0</v>
      </c>
      <c r="BB18" s="483" t="str">
        <f t="shared" ca="1" si="46"/>
        <v/>
      </c>
      <c r="BC18" s="400">
        <f ca="1">IF(MAX(IF($D$6="No",ROUNDUP($D$3/$I18,0),ROUNDUP(($D$3+$I18)/$I18,0)),IF($D$6="No",ROUNDUP($D$4/$G18,0),ROUNDUP(($D$4+$G18)/$G18,0)),ROUNDUP('BVMS checklist'!$H$217/$J18,0))&gt;1,'BVMS checklist'!$L$224,'BVMS checklist'!$L$217)</f>
        <v>0</v>
      </c>
      <c r="BD18" s="398">
        <f t="shared" ca="1" si="47"/>
        <v>2</v>
      </c>
      <c r="BE18" s="400">
        <f t="shared" si="48"/>
        <v>1</v>
      </c>
      <c r="BF18" s="400">
        <f t="shared" si="49"/>
        <v>310</v>
      </c>
      <c r="BG18" s="400">
        <f t="shared" ca="1" si="11"/>
        <v>0</v>
      </c>
      <c r="BH18" s="398">
        <f t="shared" ca="1" si="50"/>
        <v>29792</v>
      </c>
      <c r="BI18" s="401" t="str">
        <f t="shared" ca="1" si="51"/>
        <v/>
      </c>
      <c r="BJ18" s="398">
        <f t="shared" ca="1" si="52"/>
        <v>64</v>
      </c>
      <c r="BK18" s="400">
        <f ca="1">IF(MAX(IF($D$6="No",ROUNDUP($D$3/$I18,0),ROUNDUP(($D$3+$I18)/$I18,0)),IF($D$6="No",ROUNDUP($D$4/$G18,0),ROUNDUP(($D$4+$G18)/$G18,0)),ROUNDUP('BVMS checklist'!$H$217/$J18,0))&gt;1,'BVMS checklist'!$L$224,'BVMS checklist'!$L$217)+MAX(IF($D$6="No",ROUNDUP($D$3/$I18,0),ROUNDUP(($D$3+$I18)/$I18,0)),IF($D$6="No",ROUNDUP($D$4/$G18,0),ROUNDUP(($D$4+$G18)/$G18,0)))+$D$5</f>
        <v>1</v>
      </c>
      <c r="BL18" s="400" t="b">
        <f t="shared" ca="1" si="12"/>
        <v>1</v>
      </c>
      <c r="BM18" s="400" t="str">
        <f t="shared" ca="1" si="53"/>
        <v>Accepted</v>
      </c>
      <c r="BN18" s="398" t="str">
        <f t="shared" ca="1" si="13"/>
        <v>No</v>
      </c>
      <c r="BO18" s="398" t="str">
        <f t="shared" ca="1" si="54"/>
        <v/>
      </c>
      <c r="BP18" s="398" t="str">
        <f t="shared" ca="1" si="55"/>
        <v/>
      </c>
      <c r="BQ18" s="398">
        <f t="shared" ca="1" si="56"/>
        <v>0</v>
      </c>
      <c r="BR18" s="398">
        <f t="shared" ca="1" si="57"/>
        <v>2</v>
      </c>
      <c r="BS18" s="398">
        <f t="shared" ca="1" si="58"/>
        <v>32</v>
      </c>
      <c r="BT18" s="398">
        <f t="shared" ca="1" si="59"/>
        <v>29792</v>
      </c>
      <c r="BU18" s="399">
        <f t="shared" si="14"/>
        <v>0</v>
      </c>
      <c r="BV18" s="399">
        <f t="shared" si="15"/>
        <v>0</v>
      </c>
      <c r="BW18" s="483" t="str">
        <f t="shared" ca="1" si="60"/>
        <v/>
      </c>
      <c r="BX18" s="400">
        <f ca="1">IF(MAX(IF($E$6="No",ROUNDUP($E$3/$I18,0),ROUNDUP(($E$3+$I18)/$I18,0)),IF($E$6="No",ROUNDUP($E$4/$G18,0),ROUNDUP(($E$4+$G18)/$G18,0)),ROUNDUP('BVMS checklist'!$H$217/$J18,0))&gt;1,'BVMS checklist'!$N$224,'BVMS checklist'!$N$217)</f>
        <v>0</v>
      </c>
      <c r="BY18" s="398">
        <f t="shared" ca="1" si="61"/>
        <v>2</v>
      </c>
      <c r="BZ18" s="400">
        <f t="shared" ca="1" si="62"/>
        <v>2</v>
      </c>
      <c r="CA18" s="400">
        <f t="shared" ca="1" si="63"/>
        <v>620</v>
      </c>
      <c r="CB18" s="400">
        <f t="shared" ca="1" si="16"/>
        <v>0</v>
      </c>
      <c r="CC18" s="398">
        <f t="shared" ca="1" si="64"/>
        <v>29792</v>
      </c>
      <c r="CD18" s="401" t="str">
        <f t="shared" ca="1" si="65"/>
        <v/>
      </c>
      <c r="CE18" s="398">
        <f t="shared" ca="1" si="66"/>
        <v>64</v>
      </c>
      <c r="CF18" s="400">
        <f ca="1">IF(MAX(IF($E$6="No",ROUNDUP($E$3/$I18,0),ROUNDUP(($E$3+$I18)/$I18,0)),IF($E$6="No",ROUNDUP($E$4/$G18,0),ROUNDUP(($E$4+$G18)/$G18,0)),ROUNDUP('BVMS checklist'!$H$217/$J18,0))&gt;1,'BVMS checklist'!$N$224,'BVMS checklist'!$N$217)+MAX(IF($E$6="No",ROUNDUP($E$3/$I18,0),ROUNDUP(($E$3+$I18)/$I18,0)),IF($E$6="No",ROUNDUP($E$4/$G18,0),ROUNDUP(($E$4+$G18)/$G18,0)))+$E$5</f>
        <v>1</v>
      </c>
      <c r="CG18" s="400" t="b">
        <f t="shared" ca="1" si="17"/>
        <v>1</v>
      </c>
      <c r="CH18" s="400" t="str">
        <f t="shared" ca="1" si="67"/>
        <v>Accepted</v>
      </c>
      <c r="CI18" s="398" t="str">
        <f t="shared" ca="1" si="68"/>
        <v>No</v>
      </c>
      <c r="CJ18" s="398" t="str">
        <f t="shared" ca="1" si="69"/>
        <v/>
      </c>
      <c r="CK18" s="398" t="str">
        <f t="shared" ca="1" si="70"/>
        <v/>
      </c>
      <c r="CL18" s="398">
        <f t="shared" ca="1" si="71"/>
        <v>0</v>
      </c>
      <c r="CM18" s="398">
        <f t="shared" ca="1" si="72"/>
        <v>2</v>
      </c>
      <c r="CN18" s="398">
        <f t="shared" ca="1" si="73"/>
        <v>32</v>
      </c>
      <c r="CO18" s="398">
        <f t="shared" ca="1" si="74"/>
        <v>29792</v>
      </c>
      <c r="CP18" s="399">
        <f t="shared" si="18"/>
        <v>0</v>
      </c>
      <c r="CQ18" s="399">
        <f t="shared" si="19"/>
        <v>0</v>
      </c>
      <c r="CR18" s="483" t="str">
        <f t="shared" ca="1" si="75"/>
        <v/>
      </c>
      <c r="CS18"/>
    </row>
    <row r="19" spans="1:97">
      <c r="A19" s="398" t="s">
        <v>1001</v>
      </c>
      <c r="B19" s="398" t="s">
        <v>987</v>
      </c>
      <c r="C19" s="440" t="s">
        <v>105</v>
      </c>
      <c r="D19" s="398">
        <v>1</v>
      </c>
      <c r="E19" s="398"/>
      <c r="F19" s="440">
        <v>1</v>
      </c>
      <c r="G19" s="398">
        <f>((2)*1864)-100</f>
        <v>3628</v>
      </c>
      <c r="H19" s="399">
        <v>4</v>
      </c>
      <c r="I19" s="399">
        <v>100</v>
      </c>
      <c r="J19" s="399">
        <v>32</v>
      </c>
      <c r="K19" s="399"/>
      <c r="L19" s="399"/>
      <c r="M19" s="400">
        <f ca="1">IF(MAX(IF($B$6="No",ROUNDUP($B$3/$I19,0),ROUNDUP(($B$3+$I19)/$I19,0)),IF($B$6="No",ROUNDUP($B$4/$G19,0),ROUNDUP(($B$4+$G19)/$G19,0)),ROUNDUP('BVMS checklist'!$H$217/$J19,0))&gt;1,'BVMS checklist'!$H$224,'BVMS checklist'!$H$217)</f>
        <v>0</v>
      </c>
      <c r="N19" s="398">
        <f t="shared" ca="1" si="20"/>
        <v>2</v>
      </c>
      <c r="O19" s="400">
        <f t="shared" ca="1" si="21"/>
        <v>2</v>
      </c>
      <c r="P19" s="400">
        <f t="shared" ca="1" si="0"/>
        <v>200</v>
      </c>
      <c r="Q19" s="400">
        <f t="shared" ca="1" si="1"/>
        <v>0</v>
      </c>
      <c r="R19" s="398">
        <f t="shared" ca="1" si="2"/>
        <v>7256</v>
      </c>
      <c r="S19" s="401" t="str">
        <f t="shared" ca="1" si="22"/>
        <v/>
      </c>
      <c r="T19" s="398">
        <f t="shared" ca="1" si="23"/>
        <v>64</v>
      </c>
      <c r="U19" s="400">
        <f ca="1">IF(MAX(IF($B$6="No",ROUNDUP($B$3/$I19,0),ROUNDUP(($B$3+$I19)/$I19,0)),IF($B$6="No",ROUNDUP($B$4/$G19,0),ROUNDUP(($B$4+$G19)/$G19,0)),ROUNDUP('BVMS checklist'!$H$217/$J19,0))&gt;1,'BVMS checklist'!$H$224,'BVMS checklist'!$H$217)+MAX(IF($B$6="No",ROUNDUP($B$3/$I19,0),ROUNDUP(($B$3+$I19)/$I19,0)),IF($B$6="No",ROUNDUP($B$4/$G19,0),ROUNDUP(($B$4+$G19)/$G19,0)))+$B$5</f>
        <v>1</v>
      </c>
      <c r="V19" s="400" t="b">
        <f t="shared" ca="1" si="3"/>
        <v>1</v>
      </c>
      <c r="W19" s="400" t="str">
        <f t="shared" ca="1" si="24"/>
        <v>Accepted</v>
      </c>
      <c r="X19" s="398" t="str">
        <f t="shared" ca="1" si="25"/>
        <v>No</v>
      </c>
      <c r="Y19" s="398" t="str">
        <f t="shared" ca="1" si="26"/>
        <v/>
      </c>
      <c r="Z19" s="398" t="str">
        <f t="shared" ca="1" si="27"/>
        <v/>
      </c>
      <c r="AA19" s="398">
        <f t="shared" ca="1" si="28"/>
        <v>0</v>
      </c>
      <c r="AB19" s="398">
        <f t="shared" ca="1" si="4"/>
        <v>2</v>
      </c>
      <c r="AC19" s="398">
        <f t="shared" ca="1" si="5"/>
        <v>8</v>
      </c>
      <c r="AD19" s="398">
        <f t="shared" ca="1" si="29"/>
        <v>7256</v>
      </c>
      <c r="AE19" s="399">
        <f t="shared" si="6"/>
        <v>0</v>
      </c>
      <c r="AF19" s="399">
        <f t="shared" si="7"/>
        <v>0</v>
      </c>
      <c r="AG19" s="483" t="str">
        <f t="shared" ca="1" si="30"/>
        <v/>
      </c>
      <c r="AH19" s="400">
        <f ca="1">IF(MAX(IF($C$6="No",ROUNDUP($C$3/$I19,0),ROUNDUP(($C$3+$I19)/$I19,0)),IF($C$6="No",ROUNDUP($C$4/$G19,0),ROUNDUP(($C$4+$G19)/$G19,0)),ROUNDUP('BVMS checklist'!$H$217/$J19,0))&gt;1,'BVMS checklist'!$J$224,'BVMS checklist'!$J$217)</f>
        <v>0</v>
      </c>
      <c r="AI19" s="398">
        <f t="shared" ca="1" si="31"/>
        <v>2</v>
      </c>
      <c r="AJ19" s="400">
        <f t="shared" ca="1" si="32"/>
        <v>2</v>
      </c>
      <c r="AK19" s="400">
        <f t="shared" ca="1" si="33"/>
        <v>200</v>
      </c>
      <c r="AL19" s="400">
        <f t="shared" ca="1" si="34"/>
        <v>0</v>
      </c>
      <c r="AM19" s="398">
        <f t="shared" ca="1" si="35"/>
        <v>7256</v>
      </c>
      <c r="AN19" s="401" t="str">
        <f t="shared" ca="1" si="36"/>
        <v/>
      </c>
      <c r="AO19" s="398">
        <f t="shared" ca="1" si="37"/>
        <v>64</v>
      </c>
      <c r="AP19" s="400">
        <f ca="1">IF(MAX(IF($C$6="No",ROUNDUP($C$3/$I19,0),ROUNDUP(($C$3+$I19)/$I19,0)),IF($C$6="No",ROUNDUP($C$4/$G19,0),ROUNDUP(($C$4+$G19)/$G19,0)),ROUNDUP('BVMS checklist'!$H$217/$J19,0))&gt;1,'BVMS checklist'!$J$224,'BVMS checklist'!$J$217)+MAX(IF($C$6="No",ROUNDUP($C$3/$I19,0),ROUNDUP(($C$3+$I19)/$I19,0)),IF($C$6="No",ROUNDUP($C$4/$G19,0),ROUNDUP(($C$4+$G19)/$G19,0)))+$C$5</f>
        <v>1</v>
      </c>
      <c r="AQ19" s="400" t="b">
        <f t="shared" ca="1" si="8"/>
        <v>1</v>
      </c>
      <c r="AR19" s="400" t="str">
        <f t="shared" ca="1" si="38"/>
        <v>Accepted</v>
      </c>
      <c r="AS19" s="398" t="str">
        <f t="shared" ca="1" si="39"/>
        <v>No</v>
      </c>
      <c r="AT19" s="398" t="str">
        <f t="shared" ca="1" si="40"/>
        <v/>
      </c>
      <c r="AU19" s="398" t="str">
        <f t="shared" ca="1" si="41"/>
        <v/>
      </c>
      <c r="AV19" s="398">
        <f t="shared" ca="1" si="42"/>
        <v>0</v>
      </c>
      <c r="AW19" s="398">
        <f t="shared" ca="1" si="43"/>
        <v>2</v>
      </c>
      <c r="AX19" s="398">
        <f t="shared" ca="1" si="44"/>
        <v>8</v>
      </c>
      <c r="AY19" s="398">
        <f t="shared" ca="1" si="45"/>
        <v>7256</v>
      </c>
      <c r="AZ19" s="399">
        <f t="shared" si="9"/>
        <v>0</v>
      </c>
      <c r="BA19" s="399">
        <f t="shared" si="10"/>
        <v>0</v>
      </c>
      <c r="BB19" s="483" t="str">
        <f t="shared" ca="1" si="46"/>
        <v/>
      </c>
      <c r="BC19" s="400">
        <f ca="1">IF(MAX(IF($D$6="No",ROUNDUP($D$3/$I19,0),ROUNDUP(($D$3+$I19)/$I19,0)),IF($D$6="No",ROUNDUP($D$4/$G19,0),ROUNDUP(($D$4+$G19)/$G19,0)),ROUNDUP('BVMS checklist'!$H$217/$J19,0))&gt;1,'BVMS checklist'!$L$224,'BVMS checklist'!$L$217)</f>
        <v>0</v>
      </c>
      <c r="BD19" s="398">
        <f t="shared" ca="1" si="47"/>
        <v>2</v>
      </c>
      <c r="BE19" s="400">
        <f t="shared" si="48"/>
        <v>1</v>
      </c>
      <c r="BF19" s="400">
        <f t="shared" si="49"/>
        <v>100</v>
      </c>
      <c r="BG19" s="400">
        <f t="shared" ca="1" si="11"/>
        <v>0</v>
      </c>
      <c r="BH19" s="398">
        <f t="shared" ca="1" si="50"/>
        <v>7256</v>
      </c>
      <c r="BI19" s="401" t="str">
        <f t="shared" ca="1" si="51"/>
        <v/>
      </c>
      <c r="BJ19" s="398">
        <f t="shared" ca="1" si="52"/>
        <v>64</v>
      </c>
      <c r="BK19" s="400">
        <f ca="1">IF(MAX(IF($D$6="No",ROUNDUP($D$3/$I19,0),ROUNDUP(($D$3+$I19)/$I19,0)),IF($D$6="No",ROUNDUP($D$4/$G19,0),ROUNDUP(($D$4+$G19)/$G19,0)),ROUNDUP('BVMS checklist'!$H$217/$J19,0))&gt;1,'BVMS checklist'!$L$224,'BVMS checklist'!$L$217)+MAX(IF($D$6="No",ROUNDUP($D$3/$I19,0),ROUNDUP(($D$3+$I19)/$I19,0)),IF($D$6="No",ROUNDUP($D$4/$G19,0),ROUNDUP(($D$4+$G19)/$G19,0)))+$D$5</f>
        <v>1</v>
      </c>
      <c r="BL19" s="400" t="b">
        <f t="shared" ca="1" si="12"/>
        <v>1</v>
      </c>
      <c r="BM19" s="400" t="str">
        <f t="shared" ca="1" si="53"/>
        <v>Accepted</v>
      </c>
      <c r="BN19" s="398" t="str">
        <f t="shared" ca="1" si="13"/>
        <v>No</v>
      </c>
      <c r="BO19" s="398" t="str">
        <f t="shared" ca="1" si="54"/>
        <v/>
      </c>
      <c r="BP19" s="398" t="str">
        <f t="shared" ca="1" si="55"/>
        <v/>
      </c>
      <c r="BQ19" s="398">
        <f t="shared" ca="1" si="56"/>
        <v>0</v>
      </c>
      <c r="BR19" s="398">
        <f t="shared" ca="1" si="57"/>
        <v>2</v>
      </c>
      <c r="BS19" s="398">
        <f t="shared" ca="1" si="58"/>
        <v>8</v>
      </c>
      <c r="BT19" s="398">
        <f t="shared" ca="1" si="59"/>
        <v>7256</v>
      </c>
      <c r="BU19" s="399">
        <f t="shared" si="14"/>
        <v>0</v>
      </c>
      <c r="BV19" s="399">
        <f t="shared" si="15"/>
        <v>0</v>
      </c>
      <c r="BW19" s="483" t="str">
        <f t="shared" ca="1" si="60"/>
        <v/>
      </c>
      <c r="BX19" s="400">
        <f ca="1">IF(MAX(IF($E$6="No",ROUNDUP($E$3/$I19,0),ROUNDUP(($E$3+$I19)/$I19,0)),IF($E$6="No",ROUNDUP($E$4/$G19,0),ROUNDUP(($E$4+$G19)/$G19,0)),ROUNDUP('BVMS checklist'!$H$217/$J19,0))&gt;1,'BVMS checklist'!$N$224,'BVMS checklist'!$N$217)</f>
        <v>0</v>
      </c>
      <c r="BY19" s="398">
        <f t="shared" ca="1" si="61"/>
        <v>2</v>
      </c>
      <c r="BZ19" s="400">
        <f t="shared" ca="1" si="62"/>
        <v>2</v>
      </c>
      <c r="CA19" s="400">
        <f t="shared" ca="1" si="63"/>
        <v>200</v>
      </c>
      <c r="CB19" s="400">
        <f t="shared" ca="1" si="16"/>
        <v>0</v>
      </c>
      <c r="CC19" s="398">
        <f t="shared" ca="1" si="64"/>
        <v>7256</v>
      </c>
      <c r="CD19" s="401" t="str">
        <f t="shared" ca="1" si="65"/>
        <v/>
      </c>
      <c r="CE19" s="398">
        <f t="shared" ca="1" si="66"/>
        <v>64</v>
      </c>
      <c r="CF19" s="400">
        <f ca="1">IF(MAX(IF($E$6="No",ROUNDUP($E$3/$I19,0),ROUNDUP(($E$3+$I19)/$I19,0)),IF($E$6="No",ROUNDUP($E$4/$G19,0),ROUNDUP(($E$4+$G19)/$G19,0)),ROUNDUP('BVMS checklist'!$H$217/$J19,0))&gt;1,'BVMS checklist'!$N$224,'BVMS checklist'!$N$217)+MAX(IF($E$6="No",ROUNDUP($E$3/$I19,0),ROUNDUP(($E$3+$I19)/$I19,0)),IF($E$6="No",ROUNDUP($E$4/$G19,0),ROUNDUP(($E$4+$G19)/$G19,0)))+$E$5</f>
        <v>1</v>
      </c>
      <c r="CG19" s="400" t="b">
        <f t="shared" ca="1" si="17"/>
        <v>1</v>
      </c>
      <c r="CH19" s="400" t="str">
        <f t="shared" ca="1" si="67"/>
        <v>Accepted</v>
      </c>
      <c r="CI19" s="398" t="str">
        <f t="shared" ca="1" si="68"/>
        <v>No</v>
      </c>
      <c r="CJ19" s="398" t="str">
        <f t="shared" ca="1" si="69"/>
        <v/>
      </c>
      <c r="CK19" s="398" t="str">
        <f t="shared" ca="1" si="70"/>
        <v/>
      </c>
      <c r="CL19" s="398">
        <f t="shared" ca="1" si="71"/>
        <v>0</v>
      </c>
      <c r="CM19" s="398">
        <f t="shared" ca="1" si="72"/>
        <v>2</v>
      </c>
      <c r="CN19" s="398">
        <f t="shared" ca="1" si="73"/>
        <v>8</v>
      </c>
      <c r="CO19" s="398">
        <f t="shared" ca="1" si="74"/>
        <v>7256</v>
      </c>
      <c r="CP19" s="399">
        <f t="shared" si="18"/>
        <v>0</v>
      </c>
      <c r="CQ19" s="399">
        <f t="shared" si="19"/>
        <v>0</v>
      </c>
      <c r="CR19" s="483" t="str">
        <f t="shared" ca="1" si="75"/>
        <v/>
      </c>
      <c r="CS19"/>
    </row>
    <row r="20" spans="1:97">
      <c r="A20" s="398" t="s">
        <v>1002</v>
      </c>
      <c r="B20" s="398" t="s">
        <v>987</v>
      </c>
      <c r="C20" s="440" t="s">
        <v>105</v>
      </c>
      <c r="D20" s="398">
        <v>1</v>
      </c>
      <c r="E20" s="398"/>
      <c r="F20" s="440">
        <v>0</v>
      </c>
      <c r="G20" s="398">
        <f>((4)*1864)-100</f>
        <v>7356</v>
      </c>
      <c r="H20" s="399">
        <v>8</v>
      </c>
      <c r="I20" s="399">
        <v>120</v>
      </c>
      <c r="J20" s="399">
        <v>32</v>
      </c>
      <c r="K20" s="399"/>
      <c r="L20" s="399"/>
      <c r="M20" s="400">
        <f ca="1">IF(MAX(IF($B$6="No",ROUNDUP($B$3/$I20,0),ROUNDUP(($B$3+$I20)/$I20,0)),IF($B$6="No",ROUNDUP($B$4/$G20,0),ROUNDUP(($B$4+$G20)/$G20,0)),ROUNDUP('BVMS checklist'!$H$217/$J20,0))&gt;1,'BVMS checklist'!$H$224,'BVMS checklist'!$H$217)</f>
        <v>0</v>
      </c>
      <c r="N20" s="398">
        <f t="shared" ca="1" si="20"/>
        <v>2</v>
      </c>
      <c r="O20" s="400">
        <f t="shared" ca="1" si="21"/>
        <v>2</v>
      </c>
      <c r="P20" s="400">
        <f t="shared" ca="1" si="0"/>
        <v>240</v>
      </c>
      <c r="Q20" s="400">
        <f t="shared" ca="1" si="1"/>
        <v>0</v>
      </c>
      <c r="R20" s="398">
        <f t="shared" ca="1" si="2"/>
        <v>14712</v>
      </c>
      <c r="S20" s="401" t="str">
        <f t="shared" ca="1" si="22"/>
        <v/>
      </c>
      <c r="T20" s="398">
        <f t="shared" ca="1" si="23"/>
        <v>64</v>
      </c>
      <c r="U20" s="400">
        <f ca="1">IF(MAX(IF($B$6="No",ROUNDUP($B$3/$I20,0),ROUNDUP(($B$3+$I20)/$I20,0)),IF($B$6="No",ROUNDUP($B$4/$G20,0),ROUNDUP(($B$4+$G20)/$G20,0)),ROUNDUP('BVMS checklist'!$H$217/$J20,0))&gt;1,'BVMS checklist'!$H$224,'BVMS checklist'!$H$217)+MAX(IF($B$6="No",ROUNDUP($B$3/$I20,0),ROUNDUP(($B$3+$I20)/$I20,0)),IF($B$6="No",ROUNDUP($B$4/$G20,0),ROUNDUP(($B$4+$G20)/$G20,0)))+$B$5</f>
        <v>1</v>
      </c>
      <c r="V20" s="400" t="b">
        <f t="shared" ca="1" si="3"/>
        <v>1</v>
      </c>
      <c r="W20" s="400" t="str">
        <f ca="1">IF(OR(AND($B$6="Yes",V20=TRUE),$B$6="No"),"Accepted","Not accepted")</f>
        <v>Accepted</v>
      </c>
      <c r="X20" s="398" t="str">
        <f t="shared" ca="1" si="25"/>
        <v>No</v>
      </c>
      <c r="Y20" s="398" t="str">
        <f t="shared" ca="1" si="26"/>
        <v/>
      </c>
      <c r="Z20" s="398" t="str">
        <f t="shared" ca="1" si="27"/>
        <v/>
      </c>
      <c r="AA20" s="398">
        <f t="shared" ca="1" si="28"/>
        <v>0</v>
      </c>
      <c r="AB20" s="398">
        <f t="shared" ca="1" si="4"/>
        <v>2</v>
      </c>
      <c r="AC20" s="398">
        <f t="shared" ca="1" si="5"/>
        <v>16</v>
      </c>
      <c r="AD20" s="398">
        <f t="shared" ca="1" si="29"/>
        <v>14712</v>
      </c>
      <c r="AE20" s="399">
        <f t="shared" si="6"/>
        <v>0</v>
      </c>
      <c r="AF20" s="399">
        <f t="shared" si="7"/>
        <v>0</v>
      </c>
      <c r="AG20" s="483" t="str">
        <f t="shared" ca="1" si="30"/>
        <v/>
      </c>
      <c r="AH20" s="400">
        <f ca="1">IF(MAX(IF($C$6="No",ROUNDUP($C$3/$I20,0),ROUNDUP(($C$3+$I20)/$I20,0)),IF($C$6="No",ROUNDUP($C$4/$G20,0),ROUNDUP(($C$4+$G20)/$G20,0)),ROUNDUP('BVMS checklist'!$H$217/$J20,0))&gt;1,'BVMS checklist'!$J$224,'BVMS checklist'!$J$217)</f>
        <v>0</v>
      </c>
      <c r="AI20" s="398">
        <f t="shared" ca="1" si="31"/>
        <v>2</v>
      </c>
      <c r="AJ20" s="400">
        <f t="shared" ca="1" si="32"/>
        <v>2</v>
      </c>
      <c r="AK20" s="400">
        <f t="shared" ca="1" si="33"/>
        <v>240</v>
      </c>
      <c r="AL20" s="400">
        <f t="shared" ca="1" si="34"/>
        <v>0</v>
      </c>
      <c r="AM20" s="398">
        <f t="shared" ca="1" si="35"/>
        <v>14712</v>
      </c>
      <c r="AN20" s="401" t="str">
        <f t="shared" ca="1" si="36"/>
        <v/>
      </c>
      <c r="AO20" s="398">
        <f t="shared" ca="1" si="37"/>
        <v>64</v>
      </c>
      <c r="AP20" s="400">
        <f ca="1">IF(MAX(IF($C$6="No",ROUNDUP($C$3/$I20,0),ROUNDUP(($C$3+$I20)/$I20,0)),IF($C$6="No",ROUNDUP($C$4/$G20,0),ROUNDUP(($C$4+$G20)/$G20,0)),ROUNDUP('BVMS checklist'!$H$217/$J20,0))&gt;1,'BVMS checklist'!$J$224,'BVMS checklist'!$J$217)+MAX(IF($C$6="No",ROUNDUP($C$3/$I20,0),ROUNDUP(($C$3+$I20)/$I20,0)),IF($C$6="No",ROUNDUP($C$4/$G20,0),ROUNDUP(($C$4+$G20)/$G20,0)))+$C$5</f>
        <v>1</v>
      </c>
      <c r="AQ20" s="400" t="b">
        <f t="shared" ca="1" si="8"/>
        <v>1</v>
      </c>
      <c r="AR20" s="400" t="str">
        <f t="shared" ca="1" si="38"/>
        <v>Accepted</v>
      </c>
      <c r="AS20" s="398" t="str">
        <f t="shared" ca="1" si="39"/>
        <v>No</v>
      </c>
      <c r="AT20" s="398" t="str">
        <f t="shared" ca="1" si="40"/>
        <v/>
      </c>
      <c r="AU20" s="398" t="str">
        <f t="shared" ca="1" si="41"/>
        <v/>
      </c>
      <c r="AV20" s="398">
        <f t="shared" ca="1" si="42"/>
        <v>0</v>
      </c>
      <c r="AW20" s="398">
        <f t="shared" ca="1" si="43"/>
        <v>2</v>
      </c>
      <c r="AX20" s="398">
        <f t="shared" ca="1" si="44"/>
        <v>16</v>
      </c>
      <c r="AY20" s="398">
        <f t="shared" ca="1" si="45"/>
        <v>14712</v>
      </c>
      <c r="AZ20" s="399">
        <f t="shared" si="9"/>
        <v>0</v>
      </c>
      <c r="BA20" s="399">
        <f t="shared" si="10"/>
        <v>0</v>
      </c>
      <c r="BB20" s="483" t="str">
        <f t="shared" ca="1" si="46"/>
        <v/>
      </c>
      <c r="BC20" s="400">
        <f ca="1">IF(MAX(IF($D$6="No",ROUNDUP($D$3/$I20,0),ROUNDUP(($D$3+$I20)/$I20,0)),IF($D$6="No",ROUNDUP($D$4/$G20,0),ROUNDUP(($D$4+$G20)/$G20,0)),ROUNDUP('BVMS checklist'!$H$217/$J20,0))&gt;1,'BVMS checklist'!$L$224,'BVMS checklist'!$L$217)</f>
        <v>0</v>
      </c>
      <c r="BD20" s="398">
        <f t="shared" ca="1" si="47"/>
        <v>2</v>
      </c>
      <c r="BE20" s="400">
        <f t="shared" si="48"/>
        <v>1</v>
      </c>
      <c r="BF20" s="400">
        <f t="shared" si="49"/>
        <v>120</v>
      </c>
      <c r="BG20" s="400">
        <f t="shared" ca="1" si="11"/>
        <v>0</v>
      </c>
      <c r="BH20" s="398">
        <f t="shared" ca="1" si="50"/>
        <v>14712</v>
      </c>
      <c r="BI20" s="401" t="str">
        <f t="shared" ca="1" si="51"/>
        <v/>
      </c>
      <c r="BJ20" s="398">
        <f t="shared" ca="1" si="52"/>
        <v>64</v>
      </c>
      <c r="BK20" s="400">
        <f ca="1">IF(MAX(IF($D$6="No",ROUNDUP($D$3/$I20,0),ROUNDUP(($D$3+$I20)/$I20,0)),IF($D$6="No",ROUNDUP($D$4/$G20,0),ROUNDUP(($D$4+$G20)/$G20,0)),ROUNDUP('BVMS checklist'!$H$217/$J20,0))&gt;1,'BVMS checklist'!$L$224,'BVMS checklist'!$L$217)+MAX(IF($D$6="No",ROUNDUP($D$3/$I20,0),ROUNDUP(($D$3+$I20)/$I20,0)),IF($D$6="No",ROUNDUP($D$4/$G20,0),ROUNDUP(($D$4+$G20)/$G20,0)))+$D$5</f>
        <v>1</v>
      </c>
      <c r="BL20" s="400" t="b">
        <f t="shared" ca="1" si="12"/>
        <v>1</v>
      </c>
      <c r="BM20" s="400" t="str">
        <f t="shared" ca="1" si="53"/>
        <v>Accepted</v>
      </c>
      <c r="BN20" s="398" t="str">
        <f t="shared" ca="1" si="13"/>
        <v>No</v>
      </c>
      <c r="BO20" s="398" t="str">
        <f t="shared" ca="1" si="54"/>
        <v/>
      </c>
      <c r="BP20" s="398" t="str">
        <f t="shared" ca="1" si="55"/>
        <v/>
      </c>
      <c r="BQ20" s="398">
        <f t="shared" ca="1" si="56"/>
        <v>0</v>
      </c>
      <c r="BR20" s="398">
        <f t="shared" ca="1" si="57"/>
        <v>2</v>
      </c>
      <c r="BS20" s="398">
        <f t="shared" ca="1" si="58"/>
        <v>16</v>
      </c>
      <c r="BT20" s="398">
        <f t="shared" ca="1" si="59"/>
        <v>14712</v>
      </c>
      <c r="BU20" s="399">
        <f t="shared" si="14"/>
        <v>0</v>
      </c>
      <c r="BV20" s="399">
        <f t="shared" si="15"/>
        <v>0</v>
      </c>
      <c r="BW20" s="483" t="str">
        <f t="shared" ca="1" si="60"/>
        <v/>
      </c>
      <c r="BX20" s="400">
        <f ca="1">IF(MAX(IF($E$6="No",ROUNDUP($E$3/$I20,0),ROUNDUP(($E$3+$I20)/$I20,0)),IF($E$6="No",ROUNDUP($E$4/$G20,0),ROUNDUP(($E$4+$G20)/$G20,0)),ROUNDUP('BVMS checklist'!$H$217/$J20,0))&gt;1,'BVMS checklist'!$N$224,'BVMS checklist'!$N$217)</f>
        <v>0</v>
      </c>
      <c r="BY20" s="398">
        <f t="shared" ca="1" si="61"/>
        <v>2</v>
      </c>
      <c r="BZ20" s="400">
        <f t="shared" ca="1" si="62"/>
        <v>2</v>
      </c>
      <c r="CA20" s="400">
        <f t="shared" ca="1" si="63"/>
        <v>240</v>
      </c>
      <c r="CB20" s="400">
        <f t="shared" ca="1" si="16"/>
        <v>0</v>
      </c>
      <c r="CC20" s="398">
        <f t="shared" ca="1" si="64"/>
        <v>14712</v>
      </c>
      <c r="CD20" s="401" t="str">
        <f t="shared" ca="1" si="65"/>
        <v/>
      </c>
      <c r="CE20" s="398">
        <f t="shared" ca="1" si="66"/>
        <v>64</v>
      </c>
      <c r="CF20" s="400">
        <f ca="1">IF(MAX(IF($E$6="No",ROUNDUP($E$3/$I20,0),ROUNDUP(($E$3+$I20)/$I20,0)),IF($E$6="No",ROUNDUP($E$4/$G20,0),ROUNDUP(($E$4+$G20)/$G20,0)),ROUNDUP('BVMS checklist'!$H$217/$J20,0))&gt;1,'BVMS checklist'!$N$224,'BVMS checklist'!$N$217)+MAX(IF($E$6="No",ROUNDUP($E$3/$I20,0),ROUNDUP(($E$3+$I20)/$I20,0)),IF($E$6="No",ROUNDUP($E$4/$G20,0),ROUNDUP(($E$4+$G20)/$G20,0)))+$E$5</f>
        <v>1</v>
      </c>
      <c r="CG20" s="400" t="b">
        <f t="shared" ca="1" si="17"/>
        <v>1</v>
      </c>
      <c r="CH20" s="400" t="str">
        <f t="shared" ca="1" si="67"/>
        <v>Accepted</v>
      </c>
      <c r="CI20" s="398" t="str">
        <f t="shared" ca="1" si="68"/>
        <v>No</v>
      </c>
      <c r="CJ20" s="398" t="str">
        <f t="shared" ca="1" si="69"/>
        <v/>
      </c>
      <c r="CK20" s="398" t="str">
        <f t="shared" ca="1" si="70"/>
        <v/>
      </c>
      <c r="CL20" s="398">
        <f t="shared" ca="1" si="71"/>
        <v>0</v>
      </c>
      <c r="CM20" s="398">
        <f t="shared" ca="1" si="72"/>
        <v>2</v>
      </c>
      <c r="CN20" s="398">
        <f t="shared" ca="1" si="73"/>
        <v>16</v>
      </c>
      <c r="CO20" s="398">
        <f t="shared" ca="1" si="74"/>
        <v>14712</v>
      </c>
      <c r="CP20" s="399">
        <f t="shared" si="18"/>
        <v>0</v>
      </c>
      <c r="CQ20" s="399">
        <f t="shared" si="19"/>
        <v>0</v>
      </c>
      <c r="CR20" s="483" t="str">
        <f t="shared" ca="1" si="75"/>
        <v/>
      </c>
      <c r="CS20"/>
    </row>
    <row r="21" spans="1:97">
      <c r="A21" s="398" t="s">
        <v>1003</v>
      </c>
      <c r="B21" s="398" t="s">
        <v>987</v>
      </c>
      <c r="C21" s="440" t="s">
        <v>105</v>
      </c>
      <c r="D21" s="398">
        <v>2</v>
      </c>
      <c r="E21" s="398"/>
      <c r="F21" s="440">
        <v>0</v>
      </c>
      <c r="G21" s="398">
        <f>(((4)*1864)-100)+(((2)*1864)-100)</f>
        <v>10984</v>
      </c>
      <c r="H21" s="399">
        <v>12</v>
      </c>
      <c r="I21" s="399">
        <v>220</v>
      </c>
      <c r="J21" s="399">
        <v>48</v>
      </c>
      <c r="K21" s="399"/>
      <c r="L21" s="399"/>
      <c r="M21" s="400">
        <f ca="1">IF(MAX(IF($B$6="No",ROUNDUP($B$3/$I21,0),ROUNDUP(($B$3+$I21)/$I21,0)),IF($B$6="No",ROUNDUP($B$4/$G21,0),ROUNDUP(($B$4+$G21)/$G21,0)),ROUNDUP('BVMS checklist'!$H$217/$J21,0))&gt;1,'BVMS checklist'!$H$224,'BVMS checklist'!$H$217)</f>
        <v>0</v>
      </c>
      <c r="N21" s="398">
        <f t="shared" ca="1" si="20"/>
        <v>2</v>
      </c>
      <c r="O21" s="400">
        <f t="shared" ca="1" si="21"/>
        <v>2</v>
      </c>
      <c r="P21" s="400">
        <f t="shared" ca="1" si="0"/>
        <v>440</v>
      </c>
      <c r="Q21" s="400">
        <f t="shared" ca="1" si="1"/>
        <v>0</v>
      </c>
      <c r="R21" s="398">
        <f t="shared" ca="1" si="2"/>
        <v>21968</v>
      </c>
      <c r="S21" s="401" t="str">
        <f t="shared" ca="1" si="22"/>
        <v/>
      </c>
      <c r="T21" s="398">
        <f t="shared" ca="1" si="23"/>
        <v>96</v>
      </c>
      <c r="U21" s="400">
        <f ca="1">IF(MAX(IF($B$6="No",ROUNDUP($B$3/$I21,0),ROUNDUP(($B$3+$I21)/$I21,0)),IF($B$6="No",ROUNDUP($B$4/$G21,0),ROUNDUP(($B$4+$G21)/$G21,0)),ROUNDUP('BVMS checklist'!$H$217/$J21,0))&gt;1,'BVMS checklist'!$H$224,'BVMS checklist'!$H$217)+MAX(IF($B$6="No",ROUNDUP($B$3/$I21,0),ROUNDUP(($B$3+$I21)/$I21,0)),IF($B$6="No",ROUNDUP($B$4/$G21,0),ROUNDUP(($B$4+$G21)/$G21,0)))+$B$5</f>
        <v>1</v>
      </c>
      <c r="V21" s="400" t="b">
        <f t="shared" ca="1" si="3"/>
        <v>1</v>
      </c>
      <c r="W21" s="400" t="str">
        <f t="shared" ca="1" si="24"/>
        <v>Accepted</v>
      </c>
      <c r="X21" s="398" t="str">
        <f t="shared" ca="1" si="25"/>
        <v>No</v>
      </c>
      <c r="Y21" s="398" t="str">
        <f t="shared" ca="1" si="26"/>
        <v/>
      </c>
      <c r="Z21" s="398" t="str">
        <f t="shared" ca="1" si="27"/>
        <v/>
      </c>
      <c r="AA21" s="398">
        <f t="shared" ca="1" si="28"/>
        <v>0</v>
      </c>
      <c r="AB21" s="398">
        <f t="shared" ca="1" si="4"/>
        <v>2</v>
      </c>
      <c r="AC21" s="398">
        <f t="shared" ca="1" si="5"/>
        <v>24</v>
      </c>
      <c r="AD21" s="398">
        <f t="shared" ca="1" si="29"/>
        <v>21968</v>
      </c>
      <c r="AE21" s="399">
        <f t="shared" si="6"/>
        <v>0</v>
      </c>
      <c r="AF21" s="399">
        <f t="shared" si="7"/>
        <v>0</v>
      </c>
      <c r="AG21" s="483" t="str">
        <f t="shared" ca="1" si="30"/>
        <v/>
      </c>
      <c r="AH21" s="400">
        <f ca="1">IF(MAX(IF($C$6="No",ROUNDUP($C$3/$I21,0),ROUNDUP(($C$3+$I21)/$I21,0)),IF($C$6="No",ROUNDUP($C$4/$G21,0),ROUNDUP(($C$4+$G21)/$G21,0)),ROUNDUP('BVMS checklist'!$H$217/$J21,0))&gt;1,'BVMS checklist'!$J$224,'BVMS checklist'!$J$217)</f>
        <v>0</v>
      </c>
      <c r="AI21" s="398">
        <f t="shared" ca="1" si="31"/>
        <v>2</v>
      </c>
      <c r="AJ21" s="400">
        <f t="shared" ca="1" si="32"/>
        <v>2</v>
      </c>
      <c r="AK21" s="400">
        <f t="shared" ca="1" si="33"/>
        <v>440</v>
      </c>
      <c r="AL21" s="400">
        <f t="shared" ca="1" si="34"/>
        <v>0</v>
      </c>
      <c r="AM21" s="398">
        <f t="shared" ca="1" si="35"/>
        <v>21968</v>
      </c>
      <c r="AN21" s="401" t="str">
        <f t="shared" ca="1" si="36"/>
        <v/>
      </c>
      <c r="AO21" s="398">
        <f t="shared" ca="1" si="37"/>
        <v>96</v>
      </c>
      <c r="AP21" s="400">
        <f ca="1">IF(MAX(IF($C$6="No",ROUNDUP($C$3/$I21,0),ROUNDUP(($C$3+$I21)/$I21,0)),IF($C$6="No",ROUNDUP($C$4/$G21,0),ROUNDUP(($C$4+$G21)/$G21,0)),ROUNDUP('BVMS checklist'!$H$217/$J21,0))&gt;1,'BVMS checklist'!$J$224,'BVMS checklist'!$J$217)+MAX(IF($C$6="No",ROUNDUP($C$3/$I21,0),ROUNDUP(($C$3+$I21)/$I21,0)),IF($C$6="No",ROUNDUP($C$4/$G21,0),ROUNDUP(($C$4+$G21)/$G21,0)))+$C$5</f>
        <v>1</v>
      </c>
      <c r="AQ21" s="400" t="b">
        <f t="shared" ca="1" si="8"/>
        <v>1</v>
      </c>
      <c r="AR21" s="400" t="str">
        <f t="shared" ca="1" si="38"/>
        <v>Accepted</v>
      </c>
      <c r="AS21" s="398" t="str">
        <f t="shared" ca="1" si="39"/>
        <v>No</v>
      </c>
      <c r="AT21" s="398" t="str">
        <f t="shared" ca="1" si="40"/>
        <v/>
      </c>
      <c r="AU21" s="398" t="str">
        <f t="shared" ca="1" si="41"/>
        <v/>
      </c>
      <c r="AV21" s="398">
        <f t="shared" ca="1" si="42"/>
        <v>0</v>
      </c>
      <c r="AW21" s="398">
        <f t="shared" ca="1" si="43"/>
        <v>2</v>
      </c>
      <c r="AX21" s="398">
        <f t="shared" ca="1" si="44"/>
        <v>24</v>
      </c>
      <c r="AY21" s="398">
        <f t="shared" ca="1" si="45"/>
        <v>21968</v>
      </c>
      <c r="AZ21" s="399">
        <f t="shared" si="9"/>
        <v>0</v>
      </c>
      <c r="BA21" s="399">
        <f t="shared" si="10"/>
        <v>0</v>
      </c>
      <c r="BB21" s="483" t="str">
        <f t="shared" ca="1" si="46"/>
        <v/>
      </c>
      <c r="BC21" s="400">
        <f ca="1">IF(MAX(IF($D$6="No",ROUNDUP($D$3/$I21,0),ROUNDUP(($D$3+$I21)/$I21,0)),IF($D$6="No",ROUNDUP($D$4/$G21,0),ROUNDUP(($D$4+$G21)/$G21,0)),ROUNDUP('BVMS checklist'!$H$217/$J21,0))&gt;1,'BVMS checklist'!$L$224,'BVMS checklist'!$L$217)</f>
        <v>0</v>
      </c>
      <c r="BD21" s="398">
        <f t="shared" ca="1" si="47"/>
        <v>2</v>
      </c>
      <c r="BE21" s="400">
        <f t="shared" si="48"/>
        <v>1</v>
      </c>
      <c r="BF21" s="400">
        <f t="shared" si="49"/>
        <v>220</v>
      </c>
      <c r="BG21" s="400">
        <f t="shared" ca="1" si="11"/>
        <v>0</v>
      </c>
      <c r="BH21" s="398">
        <f t="shared" ca="1" si="50"/>
        <v>21968</v>
      </c>
      <c r="BI21" s="401" t="str">
        <f t="shared" ca="1" si="51"/>
        <v/>
      </c>
      <c r="BJ21" s="398">
        <f t="shared" ca="1" si="52"/>
        <v>96</v>
      </c>
      <c r="BK21" s="400">
        <f ca="1">IF(MAX(IF($D$6="No",ROUNDUP($D$3/$I21,0),ROUNDUP(($D$3+$I21)/$I21,0)),IF($D$6="No",ROUNDUP($D$4/$G21,0),ROUNDUP(($D$4+$G21)/$G21,0)),ROUNDUP('BVMS checklist'!$H$217/$J21,0))&gt;1,'BVMS checklist'!$L$224,'BVMS checklist'!$L$217)+MAX(IF($D$6="No",ROUNDUP($D$3/$I21,0),ROUNDUP(($D$3+$I21)/$I21,0)),IF($D$6="No",ROUNDUP($D$4/$G21,0),ROUNDUP(($D$4+$G21)/$G21,0)))+$D$5</f>
        <v>1</v>
      </c>
      <c r="BL21" s="400" t="b">
        <f t="shared" ca="1" si="12"/>
        <v>1</v>
      </c>
      <c r="BM21" s="400" t="str">
        <f t="shared" ca="1" si="53"/>
        <v>Accepted</v>
      </c>
      <c r="BN21" s="398" t="str">
        <f t="shared" ca="1" si="13"/>
        <v>No</v>
      </c>
      <c r="BO21" s="398" t="str">
        <f t="shared" ca="1" si="54"/>
        <v/>
      </c>
      <c r="BP21" s="398" t="str">
        <f t="shared" ca="1" si="55"/>
        <v/>
      </c>
      <c r="BQ21" s="398">
        <f t="shared" ca="1" si="56"/>
        <v>0</v>
      </c>
      <c r="BR21" s="398">
        <f t="shared" ca="1" si="57"/>
        <v>2</v>
      </c>
      <c r="BS21" s="398">
        <f t="shared" ca="1" si="58"/>
        <v>24</v>
      </c>
      <c r="BT21" s="398">
        <f t="shared" ca="1" si="59"/>
        <v>21968</v>
      </c>
      <c r="BU21" s="399">
        <f t="shared" si="14"/>
        <v>0</v>
      </c>
      <c r="BV21" s="399">
        <f t="shared" si="15"/>
        <v>0</v>
      </c>
      <c r="BW21" s="483" t="str">
        <f t="shared" ca="1" si="60"/>
        <v/>
      </c>
      <c r="BX21" s="400">
        <f ca="1">IF(MAX(IF($E$6="No",ROUNDUP($E$3/$I21,0),ROUNDUP(($E$3+$I21)/$I21,0)),IF($E$6="No",ROUNDUP($E$4/$G21,0),ROUNDUP(($E$4+$G21)/$G21,0)),ROUNDUP('BVMS checklist'!$H$217/$J21,0))&gt;1,'BVMS checklist'!$N$224,'BVMS checklist'!$N$217)</f>
        <v>0</v>
      </c>
      <c r="BY21" s="398">
        <f t="shared" ca="1" si="61"/>
        <v>2</v>
      </c>
      <c r="BZ21" s="400">
        <f t="shared" ca="1" si="62"/>
        <v>2</v>
      </c>
      <c r="CA21" s="400">
        <f t="shared" ca="1" si="63"/>
        <v>440</v>
      </c>
      <c r="CB21" s="400">
        <f t="shared" ca="1" si="16"/>
        <v>0</v>
      </c>
      <c r="CC21" s="398">
        <f t="shared" ca="1" si="64"/>
        <v>21968</v>
      </c>
      <c r="CD21" s="401" t="str">
        <f t="shared" ca="1" si="65"/>
        <v/>
      </c>
      <c r="CE21" s="398">
        <f t="shared" ca="1" si="66"/>
        <v>96</v>
      </c>
      <c r="CF21" s="400">
        <f ca="1">IF(MAX(IF($E$6="No",ROUNDUP($E$3/$I21,0),ROUNDUP(($E$3+$I21)/$I21,0)),IF($E$6="No",ROUNDUP($E$4/$G21,0),ROUNDUP(($E$4+$G21)/$G21,0)),ROUNDUP('BVMS checklist'!$H$217/$J21,0))&gt;1,'BVMS checklist'!$N$224,'BVMS checklist'!$N$217)+MAX(IF($E$6="No",ROUNDUP($E$3/$I21,0),ROUNDUP(($E$3+$I21)/$I21,0)),IF($E$6="No",ROUNDUP($E$4/$G21,0),ROUNDUP(($E$4+$G21)/$G21,0)))+$E$5</f>
        <v>1</v>
      </c>
      <c r="CG21" s="400" t="b">
        <f t="shared" ca="1" si="17"/>
        <v>1</v>
      </c>
      <c r="CH21" s="400" t="str">
        <f t="shared" ca="1" si="67"/>
        <v>Accepted</v>
      </c>
      <c r="CI21" s="398" t="str">
        <f t="shared" ca="1" si="68"/>
        <v>No</v>
      </c>
      <c r="CJ21" s="398" t="str">
        <f t="shared" ca="1" si="69"/>
        <v/>
      </c>
      <c r="CK21" s="398" t="str">
        <f t="shared" ca="1" si="70"/>
        <v/>
      </c>
      <c r="CL21" s="398">
        <f t="shared" ca="1" si="71"/>
        <v>0</v>
      </c>
      <c r="CM21" s="398">
        <f t="shared" ca="1" si="72"/>
        <v>2</v>
      </c>
      <c r="CN21" s="398">
        <f t="shared" ca="1" si="73"/>
        <v>24</v>
      </c>
      <c r="CO21" s="398">
        <f t="shared" ca="1" si="74"/>
        <v>21968</v>
      </c>
      <c r="CP21" s="399">
        <f t="shared" si="18"/>
        <v>0</v>
      </c>
      <c r="CQ21" s="399">
        <f t="shared" si="19"/>
        <v>0</v>
      </c>
      <c r="CR21" s="483" t="str">
        <f t="shared" ca="1" si="75"/>
        <v/>
      </c>
      <c r="CS21"/>
    </row>
    <row r="22" spans="1:97">
      <c r="A22" s="398" t="s">
        <v>1004</v>
      </c>
      <c r="B22" s="398" t="s">
        <v>987</v>
      </c>
      <c r="C22" s="440" t="s">
        <v>105</v>
      </c>
      <c r="D22" s="398">
        <v>2</v>
      </c>
      <c r="E22" s="398"/>
      <c r="F22" s="440">
        <v>0</v>
      </c>
      <c r="G22" s="398">
        <f>2*(((4)*1864)-100)</f>
        <v>14712</v>
      </c>
      <c r="H22" s="399">
        <v>16</v>
      </c>
      <c r="I22" s="399">
        <v>220</v>
      </c>
      <c r="J22" s="399">
        <v>48</v>
      </c>
      <c r="K22" s="399"/>
      <c r="L22" s="399"/>
      <c r="M22" s="400">
        <f ca="1">IF(MAX(IF($B$6="No",ROUNDUP($B$3/$I22,0),ROUNDUP(($B$3+$I22)/$I22,0)),IF($B$6="No",ROUNDUP($B$4/$G22,0),ROUNDUP(($B$4+$G22)/$G22,0)),ROUNDUP('BVMS checklist'!$H$217/$J22,0))&gt;1,'BVMS checklist'!$H$224,'BVMS checklist'!$H$217)</f>
        <v>0</v>
      </c>
      <c r="N22" s="398">
        <f t="shared" ca="1" si="20"/>
        <v>2</v>
      </c>
      <c r="O22" s="400">
        <f t="shared" ca="1" si="21"/>
        <v>2</v>
      </c>
      <c r="P22" s="400">
        <f t="shared" ca="1" si="0"/>
        <v>440</v>
      </c>
      <c r="Q22" s="400">
        <f t="shared" ca="1" si="1"/>
        <v>0</v>
      </c>
      <c r="R22" s="398">
        <f t="shared" ca="1" si="2"/>
        <v>29424</v>
      </c>
      <c r="S22" s="401" t="str">
        <f t="shared" ca="1" si="22"/>
        <v/>
      </c>
      <c r="T22" s="398">
        <f t="shared" ca="1" si="23"/>
        <v>96</v>
      </c>
      <c r="U22" s="400">
        <f ca="1">IF(MAX(IF($B$6="No",ROUNDUP($B$3/$I22,0),ROUNDUP(($B$3+$I22)/$I22,0)),IF($B$6="No",ROUNDUP($B$4/$G22,0),ROUNDUP(($B$4+$G22)/$G22,0)),ROUNDUP('BVMS checklist'!$H$217/$J22,0))&gt;1,'BVMS checklist'!$H$224,'BVMS checklist'!$H$217)+MAX(IF($B$6="No",ROUNDUP($B$3/$I22,0),ROUNDUP(($B$3+$I22)/$I22,0)),IF($B$6="No",ROUNDUP($B$4/$G22,0),ROUNDUP(($B$4+$G22)/$G22,0)))+$B$5</f>
        <v>1</v>
      </c>
      <c r="V22" s="400" t="b">
        <f t="shared" ca="1" si="3"/>
        <v>1</v>
      </c>
      <c r="W22" s="400" t="str">
        <f t="shared" ca="1" si="24"/>
        <v>Accepted</v>
      </c>
      <c r="X22" s="398" t="str">
        <f t="shared" ca="1" si="25"/>
        <v>No</v>
      </c>
      <c r="Y22" s="398" t="str">
        <f t="shared" ca="1" si="26"/>
        <v/>
      </c>
      <c r="Z22" s="398" t="str">
        <f t="shared" ca="1" si="27"/>
        <v/>
      </c>
      <c r="AA22" s="398">
        <f t="shared" ca="1" si="28"/>
        <v>0</v>
      </c>
      <c r="AB22" s="398">
        <f t="shared" ca="1" si="4"/>
        <v>2</v>
      </c>
      <c r="AC22" s="398">
        <f t="shared" ca="1" si="5"/>
        <v>32</v>
      </c>
      <c r="AD22" s="398">
        <f t="shared" ca="1" si="29"/>
        <v>29424</v>
      </c>
      <c r="AE22" s="399">
        <f t="shared" si="6"/>
        <v>0</v>
      </c>
      <c r="AF22" s="399">
        <f t="shared" si="7"/>
        <v>0</v>
      </c>
      <c r="AG22" s="483" t="str">
        <f t="shared" ca="1" si="30"/>
        <v/>
      </c>
      <c r="AH22" s="400">
        <f ca="1">IF(MAX(IF($C$6="No",ROUNDUP($C$3/$I22,0),ROUNDUP(($C$3+$I22)/$I22,0)),IF($C$6="No",ROUNDUP($C$4/$G22,0),ROUNDUP(($C$4+$G22)/$G22,0)),ROUNDUP('BVMS checklist'!$H$217/$J22,0))&gt;1,'BVMS checklist'!$J$224,'BVMS checklist'!$J$217)</f>
        <v>0</v>
      </c>
      <c r="AI22" s="398">
        <f t="shared" ca="1" si="31"/>
        <v>2</v>
      </c>
      <c r="AJ22" s="400">
        <f t="shared" ca="1" si="32"/>
        <v>2</v>
      </c>
      <c r="AK22" s="400">
        <f t="shared" ca="1" si="33"/>
        <v>440</v>
      </c>
      <c r="AL22" s="400">
        <f t="shared" ca="1" si="34"/>
        <v>0</v>
      </c>
      <c r="AM22" s="398">
        <f t="shared" ca="1" si="35"/>
        <v>29424</v>
      </c>
      <c r="AN22" s="401" t="str">
        <f t="shared" ca="1" si="36"/>
        <v/>
      </c>
      <c r="AO22" s="398">
        <f t="shared" ca="1" si="37"/>
        <v>96</v>
      </c>
      <c r="AP22" s="400">
        <f ca="1">IF(MAX(IF($C$6="No",ROUNDUP($C$3/$I22,0),ROUNDUP(($C$3+$I22)/$I22,0)),IF($C$6="No",ROUNDUP($C$4/$G22,0),ROUNDUP(($C$4+$G22)/$G22,0)),ROUNDUP('BVMS checklist'!$H$217/$J22,0))&gt;1,'BVMS checklist'!$J$224,'BVMS checklist'!$J$217)+MAX(IF($C$6="No",ROUNDUP($C$3/$I22,0),ROUNDUP(($C$3+$I22)/$I22,0)),IF($C$6="No",ROUNDUP($C$4/$G22,0),ROUNDUP(($C$4+$G22)/$G22,0)))+$C$5</f>
        <v>1</v>
      </c>
      <c r="AQ22" s="400" t="b">
        <f t="shared" ca="1" si="8"/>
        <v>1</v>
      </c>
      <c r="AR22" s="400" t="str">
        <f t="shared" ca="1" si="38"/>
        <v>Accepted</v>
      </c>
      <c r="AS22" s="398" t="str">
        <f t="shared" ca="1" si="39"/>
        <v>No</v>
      </c>
      <c r="AT22" s="398" t="str">
        <f t="shared" ca="1" si="40"/>
        <v/>
      </c>
      <c r="AU22" s="398" t="str">
        <f t="shared" ca="1" si="41"/>
        <v/>
      </c>
      <c r="AV22" s="398">
        <f t="shared" ca="1" si="42"/>
        <v>0</v>
      </c>
      <c r="AW22" s="398">
        <f t="shared" ca="1" si="43"/>
        <v>2</v>
      </c>
      <c r="AX22" s="398">
        <f t="shared" ca="1" si="44"/>
        <v>32</v>
      </c>
      <c r="AY22" s="398">
        <f t="shared" ca="1" si="45"/>
        <v>29424</v>
      </c>
      <c r="AZ22" s="399">
        <f t="shared" si="9"/>
        <v>0</v>
      </c>
      <c r="BA22" s="399">
        <f t="shared" si="10"/>
        <v>0</v>
      </c>
      <c r="BB22" s="483" t="str">
        <f t="shared" ca="1" si="46"/>
        <v/>
      </c>
      <c r="BC22" s="400">
        <f ca="1">IF(MAX(IF($D$6="No",ROUNDUP($D$3/$I22,0),ROUNDUP(($D$3+$I22)/$I22,0)),IF($D$6="No",ROUNDUP($D$4/$G22,0),ROUNDUP(($D$4+$G22)/$G22,0)),ROUNDUP('BVMS checklist'!$H$217/$J22,0))&gt;1,'BVMS checklist'!$L$224,'BVMS checklist'!$L$217)</f>
        <v>0</v>
      </c>
      <c r="BD22" s="398">
        <f t="shared" ca="1" si="47"/>
        <v>2</v>
      </c>
      <c r="BE22" s="400">
        <f t="shared" si="48"/>
        <v>1</v>
      </c>
      <c r="BF22" s="400">
        <f t="shared" si="49"/>
        <v>220</v>
      </c>
      <c r="BG22" s="400">
        <f t="shared" ca="1" si="11"/>
        <v>0</v>
      </c>
      <c r="BH22" s="398">
        <f t="shared" ca="1" si="50"/>
        <v>29424</v>
      </c>
      <c r="BI22" s="401" t="str">
        <f t="shared" ca="1" si="51"/>
        <v/>
      </c>
      <c r="BJ22" s="398">
        <f t="shared" ca="1" si="52"/>
        <v>96</v>
      </c>
      <c r="BK22" s="400">
        <f ca="1">IF(MAX(IF($D$6="No",ROUNDUP($D$3/$I22,0),ROUNDUP(($D$3+$I22)/$I22,0)),IF($D$6="No",ROUNDUP($D$4/$G22,0),ROUNDUP(($D$4+$G22)/$G22,0)),ROUNDUP('BVMS checklist'!$H$217/$J22,0))&gt;1,'BVMS checklist'!$L$224,'BVMS checklist'!$L$217)+MAX(IF($D$6="No",ROUNDUP($D$3/$I22,0),ROUNDUP(($D$3+$I22)/$I22,0)),IF($D$6="No",ROUNDUP($D$4/$G22,0),ROUNDUP(($D$4+$G22)/$G22,0)))+$D$5</f>
        <v>1</v>
      </c>
      <c r="BL22" s="400" t="b">
        <f t="shared" ca="1" si="12"/>
        <v>1</v>
      </c>
      <c r="BM22" s="400" t="str">
        <f t="shared" ca="1" si="53"/>
        <v>Accepted</v>
      </c>
      <c r="BN22" s="398" t="str">
        <f t="shared" ca="1" si="13"/>
        <v>No</v>
      </c>
      <c r="BO22" s="398" t="str">
        <f t="shared" ca="1" si="54"/>
        <v/>
      </c>
      <c r="BP22" s="398" t="str">
        <f t="shared" ca="1" si="55"/>
        <v/>
      </c>
      <c r="BQ22" s="398">
        <f t="shared" ca="1" si="56"/>
        <v>0</v>
      </c>
      <c r="BR22" s="398">
        <f t="shared" ca="1" si="57"/>
        <v>2</v>
      </c>
      <c r="BS22" s="398">
        <f t="shared" ca="1" si="58"/>
        <v>32</v>
      </c>
      <c r="BT22" s="398">
        <f t="shared" ca="1" si="59"/>
        <v>29424</v>
      </c>
      <c r="BU22" s="399">
        <f t="shared" si="14"/>
        <v>0</v>
      </c>
      <c r="BV22" s="399">
        <f t="shared" si="15"/>
        <v>0</v>
      </c>
      <c r="BW22" s="483" t="str">
        <f t="shared" ca="1" si="60"/>
        <v/>
      </c>
      <c r="BX22" s="400">
        <f ca="1">IF(MAX(IF($E$6="No",ROUNDUP($E$3/$I22,0),ROUNDUP(($E$3+$I22)/$I22,0)),IF($E$6="No",ROUNDUP($E$4/$G22,0),ROUNDUP(($E$4+$G22)/$G22,0)),ROUNDUP('BVMS checklist'!$H$217/$J22,0))&gt;1,'BVMS checklist'!$N$224,'BVMS checklist'!$N$217)</f>
        <v>0</v>
      </c>
      <c r="BY22" s="398">
        <f t="shared" ca="1" si="61"/>
        <v>2</v>
      </c>
      <c r="BZ22" s="400">
        <f t="shared" ca="1" si="62"/>
        <v>2</v>
      </c>
      <c r="CA22" s="400">
        <f t="shared" ca="1" si="63"/>
        <v>440</v>
      </c>
      <c r="CB22" s="400">
        <f t="shared" ca="1" si="16"/>
        <v>0</v>
      </c>
      <c r="CC22" s="398">
        <f t="shared" ca="1" si="64"/>
        <v>29424</v>
      </c>
      <c r="CD22" s="401" t="str">
        <f t="shared" ca="1" si="65"/>
        <v/>
      </c>
      <c r="CE22" s="398">
        <f t="shared" ca="1" si="66"/>
        <v>96</v>
      </c>
      <c r="CF22" s="400">
        <f ca="1">IF(MAX(IF($E$6="No",ROUNDUP($E$3/$I22,0),ROUNDUP(($E$3+$I22)/$I22,0)),IF($E$6="No",ROUNDUP($E$4/$G22,0),ROUNDUP(($E$4+$G22)/$G22,0)),ROUNDUP('BVMS checklist'!$H$217/$J22,0))&gt;1,'BVMS checklist'!$N$224,'BVMS checklist'!$N$217)+MAX(IF($E$6="No",ROUNDUP($E$3/$I22,0),ROUNDUP(($E$3+$I22)/$I22,0)),IF($E$6="No",ROUNDUP($E$4/$G22,0),ROUNDUP(($E$4+$G22)/$G22,0)))+$E$5</f>
        <v>1</v>
      </c>
      <c r="CG22" s="400" t="b">
        <f t="shared" ca="1" si="17"/>
        <v>1</v>
      </c>
      <c r="CH22" s="400" t="str">
        <f t="shared" ca="1" si="67"/>
        <v>Accepted</v>
      </c>
      <c r="CI22" s="398" t="str">
        <f t="shared" ca="1" si="68"/>
        <v>No</v>
      </c>
      <c r="CJ22" s="398" t="str">
        <f t="shared" ca="1" si="69"/>
        <v/>
      </c>
      <c r="CK22" s="398" t="str">
        <f t="shared" ca="1" si="70"/>
        <v/>
      </c>
      <c r="CL22" s="398">
        <f t="shared" ca="1" si="71"/>
        <v>0</v>
      </c>
      <c r="CM22" s="398">
        <f t="shared" ca="1" si="72"/>
        <v>2</v>
      </c>
      <c r="CN22" s="398">
        <f t="shared" ca="1" si="73"/>
        <v>32</v>
      </c>
      <c r="CO22" s="398">
        <f t="shared" ca="1" si="74"/>
        <v>29424</v>
      </c>
      <c r="CP22" s="399">
        <f t="shared" si="18"/>
        <v>0</v>
      </c>
      <c r="CQ22" s="399">
        <f t="shared" si="19"/>
        <v>0</v>
      </c>
      <c r="CR22" s="483" t="str">
        <f t="shared" ca="1" si="75"/>
        <v/>
      </c>
      <c r="CS22"/>
    </row>
    <row r="23" spans="1:97">
      <c r="A23" s="398" t="s">
        <v>1005</v>
      </c>
      <c r="B23" s="398" t="s">
        <v>987</v>
      </c>
      <c r="C23" s="440" t="s">
        <v>105</v>
      </c>
      <c r="D23" s="398">
        <v>1</v>
      </c>
      <c r="E23" s="398"/>
      <c r="F23" s="440">
        <v>0</v>
      </c>
      <c r="G23" s="398">
        <f>((2-F23)*2794)-100</f>
        <v>5488</v>
      </c>
      <c r="H23" s="399">
        <v>6</v>
      </c>
      <c r="I23" s="399">
        <v>100</v>
      </c>
      <c r="J23" s="399">
        <v>32</v>
      </c>
      <c r="K23" s="399"/>
      <c r="L23" s="399"/>
      <c r="M23" s="400">
        <f ca="1">IF(MAX(IF($B$6="No",ROUNDUP($B$3/$I23,0),ROUNDUP(($B$3+$I23)/$I23,0)),IF($B$6="No",ROUNDUP($B$4/$G23,0),ROUNDUP(($B$4+$G23)/$G23,0)),ROUNDUP('BVMS checklist'!$H$217/$J23,0))&gt;1,'BVMS checklist'!$H$224,'BVMS checklist'!$H$217)</f>
        <v>0</v>
      </c>
      <c r="N23" s="398">
        <f t="shared" ca="1" si="20"/>
        <v>2</v>
      </c>
      <c r="O23" s="400">
        <f t="shared" ca="1" si="21"/>
        <v>2</v>
      </c>
      <c r="P23" s="400">
        <f t="shared" ca="1" si="0"/>
        <v>200</v>
      </c>
      <c r="Q23" s="400">
        <f t="shared" ca="1" si="1"/>
        <v>0</v>
      </c>
      <c r="R23" s="398">
        <f t="shared" ca="1" si="2"/>
        <v>10976</v>
      </c>
      <c r="S23" s="401" t="str">
        <f t="shared" ca="1" si="22"/>
        <v/>
      </c>
      <c r="T23" s="398">
        <f t="shared" ca="1" si="23"/>
        <v>64</v>
      </c>
      <c r="U23" s="400">
        <f ca="1">IF(MAX(IF($B$6="No",ROUNDUP($B$3/$I23,0),ROUNDUP(($B$3+$I23)/$I23,0)),IF($B$6="No",ROUNDUP($B$4/$G23,0),ROUNDUP(($B$4+$G23)/$G23,0)),ROUNDUP('BVMS checklist'!$H$217/$J23,0))&gt;1,'BVMS checklist'!$H$224,'BVMS checklist'!$H$217)+MAX(IF($B$6="No",ROUNDUP($B$3/$I23,0),ROUNDUP(($B$3+$I23)/$I23,0)),IF($B$6="No",ROUNDUP($B$4/$G23,0),ROUNDUP(($B$4+$G23)/$G23,0)))+$B$5</f>
        <v>1</v>
      </c>
      <c r="V23" s="400" t="b">
        <f t="shared" ca="1" si="3"/>
        <v>1</v>
      </c>
      <c r="W23" s="400" t="str">
        <f t="shared" ca="1" si="24"/>
        <v>Accepted</v>
      </c>
      <c r="X23" s="398" t="str">
        <f t="shared" ca="1" si="25"/>
        <v>No</v>
      </c>
      <c r="Y23" s="398" t="str">
        <f t="shared" ca="1" si="26"/>
        <v/>
      </c>
      <c r="Z23" s="398" t="str">
        <f t="shared" ca="1" si="27"/>
        <v/>
      </c>
      <c r="AA23" s="398">
        <f t="shared" ca="1" si="28"/>
        <v>0</v>
      </c>
      <c r="AB23" s="398">
        <f t="shared" ca="1" si="4"/>
        <v>2</v>
      </c>
      <c r="AC23" s="398">
        <f t="shared" ca="1" si="5"/>
        <v>12</v>
      </c>
      <c r="AD23" s="398">
        <f t="shared" ca="1" si="29"/>
        <v>10976</v>
      </c>
      <c r="AE23" s="399">
        <f t="shared" si="6"/>
        <v>0</v>
      </c>
      <c r="AF23" s="399">
        <f t="shared" si="7"/>
        <v>0</v>
      </c>
      <c r="AG23" s="483" t="str">
        <f t="shared" ca="1" si="30"/>
        <v/>
      </c>
      <c r="AH23" s="400">
        <f ca="1">IF(MAX(IF($C$6="No",ROUNDUP($C$3/$I23,0),ROUNDUP(($C$3+$I23)/$I23,0)),IF($C$6="No",ROUNDUP($C$4/$G23,0),ROUNDUP(($C$4+$G23)/$G23,0)),ROUNDUP('BVMS checklist'!$H$217/$J23,0))&gt;1,'BVMS checklist'!$J$224,'BVMS checklist'!$J$217)</f>
        <v>0</v>
      </c>
      <c r="AI23" s="398">
        <f t="shared" ca="1" si="31"/>
        <v>2</v>
      </c>
      <c r="AJ23" s="400">
        <f t="shared" ca="1" si="32"/>
        <v>2</v>
      </c>
      <c r="AK23" s="400">
        <f t="shared" ca="1" si="33"/>
        <v>200</v>
      </c>
      <c r="AL23" s="400">
        <f t="shared" ca="1" si="34"/>
        <v>0</v>
      </c>
      <c r="AM23" s="398">
        <f t="shared" ca="1" si="35"/>
        <v>10976</v>
      </c>
      <c r="AN23" s="401" t="str">
        <f t="shared" ca="1" si="36"/>
        <v/>
      </c>
      <c r="AO23" s="398">
        <f t="shared" ca="1" si="37"/>
        <v>64</v>
      </c>
      <c r="AP23" s="400">
        <f ca="1">IF(MAX(IF($C$6="No",ROUNDUP($C$3/$I23,0),ROUNDUP(($C$3+$I23)/$I23,0)),IF($C$6="No",ROUNDUP($C$4/$G23,0),ROUNDUP(($C$4+$G23)/$G23,0)),ROUNDUP('BVMS checklist'!$H$217/$J23,0))&gt;1,'BVMS checklist'!$J$224,'BVMS checklist'!$J$217)+MAX(IF($C$6="No",ROUNDUP($C$3/$I23,0),ROUNDUP(($C$3+$I23)/$I23,0)),IF($C$6="No",ROUNDUP($C$4/$G23,0),ROUNDUP(($C$4+$G23)/$G23,0)))+$C$5</f>
        <v>1</v>
      </c>
      <c r="AQ23" s="400" t="b">
        <f t="shared" ca="1" si="8"/>
        <v>1</v>
      </c>
      <c r="AR23" s="400" t="str">
        <f t="shared" ca="1" si="38"/>
        <v>Accepted</v>
      </c>
      <c r="AS23" s="398" t="str">
        <f t="shared" ca="1" si="39"/>
        <v>No</v>
      </c>
      <c r="AT23" s="398" t="str">
        <f t="shared" ca="1" si="40"/>
        <v/>
      </c>
      <c r="AU23" s="398" t="str">
        <f t="shared" ca="1" si="41"/>
        <v/>
      </c>
      <c r="AV23" s="398">
        <f t="shared" ca="1" si="42"/>
        <v>0</v>
      </c>
      <c r="AW23" s="398">
        <f t="shared" ca="1" si="43"/>
        <v>2</v>
      </c>
      <c r="AX23" s="398">
        <f t="shared" ca="1" si="44"/>
        <v>12</v>
      </c>
      <c r="AY23" s="398">
        <f t="shared" ca="1" si="45"/>
        <v>10976</v>
      </c>
      <c r="AZ23" s="399">
        <f t="shared" si="9"/>
        <v>0</v>
      </c>
      <c r="BA23" s="399">
        <f t="shared" si="10"/>
        <v>0</v>
      </c>
      <c r="BB23" s="483" t="str">
        <f t="shared" ca="1" si="46"/>
        <v/>
      </c>
      <c r="BC23" s="400">
        <f ca="1">IF(MAX(IF($D$6="No",ROUNDUP($D$3/$I23,0),ROUNDUP(($D$3+$I23)/$I23,0)),IF($D$6="No",ROUNDUP($D$4/$G23,0),ROUNDUP(($D$4+$G23)/$G23,0)),ROUNDUP('BVMS checklist'!$H$217/$J23,0))&gt;1,'BVMS checklist'!$L$224,'BVMS checklist'!$L$217)</f>
        <v>0</v>
      </c>
      <c r="BD23" s="398">
        <f t="shared" ca="1" si="47"/>
        <v>2</v>
      </c>
      <c r="BE23" s="400">
        <f t="shared" si="48"/>
        <v>1</v>
      </c>
      <c r="BF23" s="400">
        <f t="shared" si="49"/>
        <v>100</v>
      </c>
      <c r="BG23" s="400">
        <f t="shared" ca="1" si="11"/>
        <v>0</v>
      </c>
      <c r="BH23" s="398">
        <f t="shared" ca="1" si="50"/>
        <v>10976</v>
      </c>
      <c r="BI23" s="401" t="str">
        <f t="shared" ca="1" si="51"/>
        <v/>
      </c>
      <c r="BJ23" s="398">
        <f t="shared" ca="1" si="52"/>
        <v>64</v>
      </c>
      <c r="BK23" s="400">
        <f ca="1">IF(MAX(IF($D$6="No",ROUNDUP($D$3/$I23,0),ROUNDUP(($D$3+$I23)/$I23,0)),IF($D$6="No",ROUNDUP($D$4/$G23,0),ROUNDUP(($D$4+$G23)/$G23,0)),ROUNDUP('BVMS checklist'!$H$217/$J23,0))&gt;1,'BVMS checklist'!$L$224,'BVMS checklist'!$L$217)+MAX(IF($D$6="No",ROUNDUP($D$3/$I23,0),ROUNDUP(($D$3+$I23)/$I23,0)),IF($D$6="No",ROUNDUP($D$4/$G23,0),ROUNDUP(($D$4+$G23)/$G23,0)))+$D$5</f>
        <v>1</v>
      </c>
      <c r="BL23" s="400" t="b">
        <f t="shared" ca="1" si="12"/>
        <v>1</v>
      </c>
      <c r="BM23" s="400" t="str">
        <f t="shared" ca="1" si="53"/>
        <v>Accepted</v>
      </c>
      <c r="BN23" s="398" t="str">
        <f t="shared" ca="1" si="13"/>
        <v>No</v>
      </c>
      <c r="BO23" s="398" t="str">
        <f t="shared" ca="1" si="54"/>
        <v/>
      </c>
      <c r="BP23" s="398" t="str">
        <f t="shared" ca="1" si="55"/>
        <v/>
      </c>
      <c r="BQ23" s="398">
        <f t="shared" ca="1" si="56"/>
        <v>0</v>
      </c>
      <c r="BR23" s="398">
        <f t="shared" ca="1" si="57"/>
        <v>2</v>
      </c>
      <c r="BS23" s="398">
        <f t="shared" ca="1" si="58"/>
        <v>12</v>
      </c>
      <c r="BT23" s="398">
        <f t="shared" ca="1" si="59"/>
        <v>10976</v>
      </c>
      <c r="BU23" s="399">
        <f t="shared" si="14"/>
        <v>0</v>
      </c>
      <c r="BV23" s="399">
        <f t="shared" si="15"/>
        <v>0</v>
      </c>
      <c r="BW23" s="483" t="str">
        <f t="shared" ca="1" si="60"/>
        <v/>
      </c>
      <c r="BX23" s="400">
        <f ca="1">IF(MAX(IF($E$6="No",ROUNDUP($E$3/$I23,0),ROUNDUP(($E$3+$I23)/$I23,0)),IF($E$6="No",ROUNDUP($E$4/$G23,0),ROUNDUP(($E$4+$G23)/$G23,0)),ROUNDUP('BVMS checklist'!$H$217/$J23,0))&gt;1,'BVMS checklist'!$N$224,'BVMS checklist'!$N$217)</f>
        <v>0</v>
      </c>
      <c r="BY23" s="398">
        <f t="shared" ca="1" si="61"/>
        <v>2</v>
      </c>
      <c r="BZ23" s="400">
        <f t="shared" ca="1" si="62"/>
        <v>2</v>
      </c>
      <c r="CA23" s="400">
        <f t="shared" ca="1" si="63"/>
        <v>200</v>
      </c>
      <c r="CB23" s="400">
        <f t="shared" ca="1" si="16"/>
        <v>0</v>
      </c>
      <c r="CC23" s="398">
        <f t="shared" ca="1" si="64"/>
        <v>10976</v>
      </c>
      <c r="CD23" s="401" t="str">
        <f t="shared" ca="1" si="65"/>
        <v/>
      </c>
      <c r="CE23" s="398">
        <f t="shared" ca="1" si="66"/>
        <v>64</v>
      </c>
      <c r="CF23" s="400">
        <f ca="1">IF(MAX(IF($E$6="No",ROUNDUP($E$3/$I23,0),ROUNDUP(($E$3+$I23)/$I23,0)),IF($E$6="No",ROUNDUP($E$4/$G23,0),ROUNDUP(($E$4+$G23)/$G23,0)),ROUNDUP('BVMS checklist'!$H$217/$J23,0))&gt;1,'BVMS checklist'!$N$224,'BVMS checklist'!$N$217)+MAX(IF($E$6="No",ROUNDUP($E$3/$I23,0),ROUNDUP(($E$3+$I23)/$I23,0)),IF($E$6="No",ROUNDUP($E$4/$G23,0),ROUNDUP(($E$4+$G23)/$G23,0)))+$E$5</f>
        <v>1</v>
      </c>
      <c r="CG23" s="400" t="b">
        <f t="shared" ca="1" si="17"/>
        <v>1</v>
      </c>
      <c r="CH23" s="400" t="str">
        <f t="shared" ca="1" si="67"/>
        <v>Accepted</v>
      </c>
      <c r="CI23" s="398" t="str">
        <f t="shared" ca="1" si="68"/>
        <v>No</v>
      </c>
      <c r="CJ23" s="398" t="str">
        <f t="shared" ca="1" si="69"/>
        <v/>
      </c>
      <c r="CK23" s="398" t="str">
        <f t="shared" ca="1" si="70"/>
        <v/>
      </c>
      <c r="CL23" s="398">
        <f t="shared" ca="1" si="71"/>
        <v>0</v>
      </c>
      <c r="CM23" s="398">
        <f t="shared" ca="1" si="72"/>
        <v>2</v>
      </c>
      <c r="CN23" s="398">
        <f t="shared" ca="1" si="73"/>
        <v>12</v>
      </c>
      <c r="CO23" s="398">
        <f t="shared" ca="1" si="74"/>
        <v>10976</v>
      </c>
      <c r="CP23" s="399">
        <f t="shared" si="18"/>
        <v>0</v>
      </c>
      <c r="CQ23" s="399">
        <f t="shared" si="19"/>
        <v>0</v>
      </c>
      <c r="CR23" s="483" t="str">
        <f t="shared" ca="1" si="75"/>
        <v/>
      </c>
      <c r="CS23"/>
    </row>
    <row r="24" spans="1:97">
      <c r="A24" s="398" t="s">
        <v>1006</v>
      </c>
      <c r="B24" s="398" t="s">
        <v>987</v>
      </c>
      <c r="C24" s="440" t="s">
        <v>105</v>
      </c>
      <c r="D24" s="398">
        <v>1</v>
      </c>
      <c r="E24" s="398"/>
      <c r="F24" s="440">
        <v>0</v>
      </c>
      <c r="G24" s="398">
        <f>((4-F24)*2794)-100</f>
        <v>11076</v>
      </c>
      <c r="H24" s="399">
        <v>12</v>
      </c>
      <c r="I24" s="399">
        <v>120</v>
      </c>
      <c r="J24" s="399">
        <v>32</v>
      </c>
      <c r="K24" s="399"/>
      <c r="L24" s="399"/>
      <c r="M24" s="400">
        <f ca="1">IF(MAX(IF($B$6="No",ROUNDUP($B$3/$I24,0),ROUNDUP(($B$3+$I24)/$I24,0)),IF($B$6="No",ROUNDUP($B$4/$G24,0),ROUNDUP(($B$4+$G24)/$G24,0)),ROUNDUP('BVMS checklist'!$H$217/$J24,0))&gt;1,'BVMS checklist'!$H$224,'BVMS checklist'!$H$217)</f>
        <v>0</v>
      </c>
      <c r="N24" s="398">
        <f t="shared" ca="1" si="20"/>
        <v>2</v>
      </c>
      <c r="O24" s="400">
        <f t="shared" ca="1" si="21"/>
        <v>2</v>
      </c>
      <c r="P24" s="400">
        <f t="shared" ca="1" si="0"/>
        <v>240</v>
      </c>
      <c r="Q24" s="400">
        <f t="shared" ca="1" si="1"/>
        <v>0</v>
      </c>
      <c r="R24" s="398">
        <f t="shared" ca="1" si="2"/>
        <v>22152</v>
      </c>
      <c r="S24" s="401" t="str">
        <f t="shared" ca="1" si="22"/>
        <v/>
      </c>
      <c r="T24" s="398">
        <f t="shared" ca="1" si="23"/>
        <v>64</v>
      </c>
      <c r="U24" s="400">
        <f ca="1">IF(MAX(IF($B$6="No",ROUNDUP($B$3/$I24,0),ROUNDUP(($B$3+$I24)/$I24,0)),IF($B$6="No",ROUNDUP($B$4/$G24,0),ROUNDUP(($B$4+$G24)/$G24,0)),ROUNDUP('BVMS checklist'!$H$217/$J24,0))&gt;1,'BVMS checklist'!$H$224,'BVMS checklist'!$H$217)+MAX(IF($B$6="No",ROUNDUP($B$3/$I24,0),ROUNDUP(($B$3+$I24)/$I24,0)),IF($B$6="No",ROUNDUP($B$4/$G24,0),ROUNDUP(($B$4+$G24)/$G24,0)))+$B$5</f>
        <v>1</v>
      </c>
      <c r="V24" s="400" t="b">
        <f t="shared" ca="1" si="3"/>
        <v>1</v>
      </c>
      <c r="W24" s="400" t="str">
        <f t="shared" ca="1" si="24"/>
        <v>Accepted</v>
      </c>
      <c r="X24" s="398" t="str">
        <f t="shared" ca="1" si="25"/>
        <v>No</v>
      </c>
      <c r="Y24" s="398" t="str">
        <f t="shared" ca="1" si="26"/>
        <v/>
      </c>
      <c r="Z24" s="398" t="str">
        <f t="shared" ca="1" si="27"/>
        <v/>
      </c>
      <c r="AA24" s="398">
        <f t="shared" ca="1" si="28"/>
        <v>0</v>
      </c>
      <c r="AB24" s="398">
        <f t="shared" ca="1" si="4"/>
        <v>2</v>
      </c>
      <c r="AC24" s="398">
        <f t="shared" ca="1" si="5"/>
        <v>24</v>
      </c>
      <c r="AD24" s="398">
        <f t="shared" ca="1" si="29"/>
        <v>22152</v>
      </c>
      <c r="AE24" s="399">
        <f t="shared" si="6"/>
        <v>0</v>
      </c>
      <c r="AF24" s="399">
        <f t="shared" si="7"/>
        <v>0</v>
      </c>
      <c r="AG24" s="483" t="str">
        <f t="shared" ca="1" si="30"/>
        <v/>
      </c>
      <c r="AH24" s="400">
        <f ca="1">IF(MAX(IF($C$6="No",ROUNDUP($C$3/$I24,0),ROUNDUP(($C$3+$I24)/$I24,0)),IF($C$6="No",ROUNDUP($C$4/$G24,0),ROUNDUP(($C$4+$G24)/$G24,0)),ROUNDUP('BVMS checklist'!$H$217/$J24,0))&gt;1,'BVMS checklist'!$J$224,'BVMS checklist'!$J$217)</f>
        <v>0</v>
      </c>
      <c r="AI24" s="398">
        <f t="shared" ca="1" si="31"/>
        <v>2</v>
      </c>
      <c r="AJ24" s="400">
        <f t="shared" ca="1" si="32"/>
        <v>2</v>
      </c>
      <c r="AK24" s="400">
        <f t="shared" ca="1" si="33"/>
        <v>240</v>
      </c>
      <c r="AL24" s="400">
        <f t="shared" ca="1" si="34"/>
        <v>0</v>
      </c>
      <c r="AM24" s="398">
        <f t="shared" ca="1" si="35"/>
        <v>22152</v>
      </c>
      <c r="AN24" s="401" t="str">
        <f t="shared" ca="1" si="36"/>
        <v/>
      </c>
      <c r="AO24" s="398">
        <f t="shared" ca="1" si="37"/>
        <v>64</v>
      </c>
      <c r="AP24" s="400">
        <f ca="1">IF(MAX(IF($C$6="No",ROUNDUP($C$3/$I24,0),ROUNDUP(($C$3+$I24)/$I24,0)),IF($C$6="No",ROUNDUP($C$4/$G24,0),ROUNDUP(($C$4+$G24)/$G24,0)),ROUNDUP('BVMS checklist'!$H$217/$J24,0))&gt;1,'BVMS checklist'!$J$224,'BVMS checklist'!$J$217)+MAX(IF($C$6="No",ROUNDUP($C$3/$I24,0),ROUNDUP(($C$3+$I24)/$I24,0)),IF($C$6="No",ROUNDUP($C$4/$G24,0),ROUNDUP(($C$4+$G24)/$G24,0)))+$C$5</f>
        <v>1</v>
      </c>
      <c r="AQ24" s="400" t="b">
        <f t="shared" ca="1" si="8"/>
        <v>1</v>
      </c>
      <c r="AR24" s="400" t="str">
        <f t="shared" ca="1" si="38"/>
        <v>Accepted</v>
      </c>
      <c r="AS24" s="398" t="str">
        <f t="shared" ca="1" si="39"/>
        <v>No</v>
      </c>
      <c r="AT24" s="398" t="str">
        <f t="shared" ca="1" si="40"/>
        <v/>
      </c>
      <c r="AU24" s="398" t="str">
        <f t="shared" ca="1" si="41"/>
        <v/>
      </c>
      <c r="AV24" s="398">
        <f t="shared" ca="1" si="42"/>
        <v>0</v>
      </c>
      <c r="AW24" s="398">
        <f t="shared" ca="1" si="43"/>
        <v>2</v>
      </c>
      <c r="AX24" s="398">
        <f t="shared" ca="1" si="44"/>
        <v>24</v>
      </c>
      <c r="AY24" s="398">
        <f t="shared" ca="1" si="45"/>
        <v>22152</v>
      </c>
      <c r="AZ24" s="399">
        <f t="shared" si="9"/>
        <v>0</v>
      </c>
      <c r="BA24" s="399">
        <f t="shared" si="10"/>
        <v>0</v>
      </c>
      <c r="BB24" s="483" t="str">
        <f t="shared" ca="1" si="46"/>
        <v/>
      </c>
      <c r="BC24" s="400">
        <f ca="1">IF(MAX(IF($D$6="No",ROUNDUP($D$3/$I24,0),ROUNDUP(($D$3+$I24)/$I24,0)),IF($D$6="No",ROUNDUP($D$4/$G24,0),ROUNDUP(($D$4+$G24)/$G24,0)),ROUNDUP('BVMS checklist'!$H$217/$J24,0))&gt;1,'BVMS checklist'!$L$224,'BVMS checklist'!$L$217)</f>
        <v>0</v>
      </c>
      <c r="BD24" s="398">
        <f t="shared" ca="1" si="47"/>
        <v>2</v>
      </c>
      <c r="BE24" s="400">
        <f t="shared" si="48"/>
        <v>1</v>
      </c>
      <c r="BF24" s="400">
        <f t="shared" si="49"/>
        <v>120</v>
      </c>
      <c r="BG24" s="400">
        <f t="shared" ca="1" si="11"/>
        <v>0</v>
      </c>
      <c r="BH24" s="398">
        <f t="shared" ca="1" si="50"/>
        <v>22152</v>
      </c>
      <c r="BI24" s="401" t="str">
        <f t="shared" ca="1" si="51"/>
        <v/>
      </c>
      <c r="BJ24" s="398">
        <f t="shared" ca="1" si="52"/>
        <v>64</v>
      </c>
      <c r="BK24" s="400">
        <f ca="1">IF(MAX(IF($D$6="No",ROUNDUP($D$3/$I24,0),ROUNDUP(($D$3+$I24)/$I24,0)),IF($D$6="No",ROUNDUP($D$4/$G24,0),ROUNDUP(($D$4+$G24)/$G24,0)),ROUNDUP('BVMS checklist'!$H$217/$J24,0))&gt;1,'BVMS checklist'!$L$224,'BVMS checklist'!$L$217)+MAX(IF($D$6="No",ROUNDUP($D$3/$I24,0),ROUNDUP(($D$3+$I24)/$I24,0)),IF($D$6="No",ROUNDUP($D$4/$G24,0),ROUNDUP(($D$4+$G24)/$G24,0)))+$D$5</f>
        <v>1</v>
      </c>
      <c r="BL24" s="400" t="b">
        <f t="shared" ca="1" si="12"/>
        <v>1</v>
      </c>
      <c r="BM24" s="400" t="str">
        <f t="shared" ca="1" si="53"/>
        <v>Accepted</v>
      </c>
      <c r="BN24" s="398" t="str">
        <f t="shared" ca="1" si="13"/>
        <v>No</v>
      </c>
      <c r="BO24" s="398" t="str">
        <f t="shared" ca="1" si="54"/>
        <v/>
      </c>
      <c r="BP24" s="398" t="str">
        <f t="shared" ca="1" si="55"/>
        <v/>
      </c>
      <c r="BQ24" s="398">
        <f t="shared" ca="1" si="56"/>
        <v>0</v>
      </c>
      <c r="BR24" s="398">
        <f t="shared" ca="1" si="57"/>
        <v>2</v>
      </c>
      <c r="BS24" s="398">
        <f t="shared" ca="1" si="58"/>
        <v>24</v>
      </c>
      <c r="BT24" s="398">
        <f t="shared" ca="1" si="59"/>
        <v>22152</v>
      </c>
      <c r="BU24" s="399">
        <f t="shared" si="14"/>
        <v>0</v>
      </c>
      <c r="BV24" s="399">
        <f t="shared" si="15"/>
        <v>0</v>
      </c>
      <c r="BW24" s="483" t="str">
        <f t="shared" ca="1" si="60"/>
        <v/>
      </c>
      <c r="BX24" s="400">
        <f ca="1">IF(MAX(IF($E$6="No",ROUNDUP($E$3/$I24,0),ROUNDUP(($E$3+$I24)/$I24,0)),IF($E$6="No",ROUNDUP($E$4/$G24,0),ROUNDUP(($E$4+$G24)/$G24,0)),ROUNDUP('BVMS checklist'!$H$217/$J24,0))&gt;1,'BVMS checklist'!$N$224,'BVMS checklist'!$N$217)</f>
        <v>0</v>
      </c>
      <c r="BY24" s="398">
        <f t="shared" ca="1" si="61"/>
        <v>2</v>
      </c>
      <c r="BZ24" s="400">
        <f t="shared" ca="1" si="62"/>
        <v>2</v>
      </c>
      <c r="CA24" s="400">
        <f t="shared" ca="1" si="63"/>
        <v>240</v>
      </c>
      <c r="CB24" s="400">
        <f t="shared" ca="1" si="16"/>
        <v>0</v>
      </c>
      <c r="CC24" s="398">
        <f t="shared" ca="1" si="64"/>
        <v>22152</v>
      </c>
      <c r="CD24" s="401" t="str">
        <f t="shared" ca="1" si="65"/>
        <v/>
      </c>
      <c r="CE24" s="398">
        <f t="shared" ca="1" si="66"/>
        <v>64</v>
      </c>
      <c r="CF24" s="400">
        <f ca="1">IF(MAX(IF($E$6="No",ROUNDUP($E$3/$I24,0),ROUNDUP(($E$3+$I24)/$I24,0)),IF($E$6="No",ROUNDUP($E$4/$G24,0),ROUNDUP(($E$4+$G24)/$G24,0)),ROUNDUP('BVMS checklist'!$H$217/$J24,0))&gt;1,'BVMS checklist'!$N$224,'BVMS checklist'!$N$217)+MAX(IF($E$6="No",ROUNDUP($E$3/$I24,0),ROUNDUP(($E$3+$I24)/$I24,0)),IF($E$6="No",ROUNDUP($E$4/$G24,0),ROUNDUP(($E$4+$G24)/$G24,0)))+$E$5</f>
        <v>1</v>
      </c>
      <c r="CG24" s="400" t="b">
        <f t="shared" ca="1" si="17"/>
        <v>1</v>
      </c>
      <c r="CH24" s="400" t="str">
        <f t="shared" ca="1" si="67"/>
        <v>Accepted</v>
      </c>
      <c r="CI24" s="398" t="str">
        <f t="shared" ca="1" si="68"/>
        <v>No</v>
      </c>
      <c r="CJ24" s="398" t="str">
        <f t="shared" ca="1" si="69"/>
        <v/>
      </c>
      <c r="CK24" s="398" t="str">
        <f t="shared" ca="1" si="70"/>
        <v/>
      </c>
      <c r="CL24" s="398">
        <f t="shared" ca="1" si="71"/>
        <v>0</v>
      </c>
      <c r="CM24" s="398">
        <f t="shared" ca="1" si="72"/>
        <v>2</v>
      </c>
      <c r="CN24" s="398">
        <f t="shared" ca="1" si="73"/>
        <v>24</v>
      </c>
      <c r="CO24" s="398">
        <f t="shared" ca="1" si="74"/>
        <v>22152</v>
      </c>
      <c r="CP24" s="399">
        <f t="shared" si="18"/>
        <v>0</v>
      </c>
      <c r="CQ24" s="399">
        <f t="shared" si="19"/>
        <v>0</v>
      </c>
      <c r="CR24" s="483" t="str">
        <f t="shared" ca="1" si="75"/>
        <v/>
      </c>
      <c r="CS24"/>
    </row>
    <row r="25" spans="1:97">
      <c r="A25" s="398" t="s">
        <v>1007</v>
      </c>
      <c r="B25" s="398" t="s">
        <v>987</v>
      </c>
      <c r="C25" s="440" t="s">
        <v>105</v>
      </c>
      <c r="D25" s="398">
        <v>2</v>
      </c>
      <c r="E25" s="398"/>
      <c r="F25" s="440">
        <v>0</v>
      </c>
      <c r="G25" s="398">
        <f>(((4)*2794)-100)+(((2)*2794)-100)</f>
        <v>16564</v>
      </c>
      <c r="H25" s="399">
        <v>18</v>
      </c>
      <c r="I25" s="399">
        <v>220</v>
      </c>
      <c r="J25" s="399">
        <v>48</v>
      </c>
      <c r="K25" s="399"/>
      <c r="L25" s="399"/>
      <c r="M25" s="400">
        <f ca="1">IF(MAX(IF($B$6="No",ROUNDUP($B$3/$I25,0),ROUNDUP(($B$3+$I25)/$I25,0)),IF($B$6="No",ROUNDUP($B$4/$G25,0),ROUNDUP(($B$4+$G25)/$G25,0)),ROUNDUP('BVMS checklist'!$H$217/$J25,0))&gt;1,'BVMS checklist'!$H$224,'BVMS checklist'!$H$217)</f>
        <v>0</v>
      </c>
      <c r="N25" s="398">
        <f t="shared" ca="1" si="20"/>
        <v>2</v>
      </c>
      <c r="O25" s="400">
        <f t="shared" ca="1" si="21"/>
        <v>2</v>
      </c>
      <c r="P25" s="400">
        <f t="shared" ca="1" si="0"/>
        <v>440</v>
      </c>
      <c r="Q25" s="400">
        <f t="shared" ca="1" si="1"/>
        <v>0</v>
      </c>
      <c r="R25" s="398">
        <f t="shared" ca="1" si="2"/>
        <v>33128</v>
      </c>
      <c r="S25" s="401" t="str">
        <f t="shared" ca="1" si="22"/>
        <v/>
      </c>
      <c r="T25" s="398">
        <f t="shared" ca="1" si="23"/>
        <v>96</v>
      </c>
      <c r="U25" s="400">
        <f ca="1">IF(MAX(IF($B$6="No",ROUNDUP($B$3/$I25,0),ROUNDUP(($B$3+$I25)/$I25,0)),IF($B$6="No",ROUNDUP($B$4/$G25,0),ROUNDUP(($B$4+$G25)/$G25,0)),ROUNDUP('BVMS checklist'!$H$217/$J25,0))&gt;1,'BVMS checklist'!$H$224,'BVMS checklist'!$H$217)+MAX(IF($B$6="No",ROUNDUP($B$3/$I25,0),ROUNDUP(($B$3+$I25)/$I25,0)),IF($B$6="No",ROUNDUP($B$4/$G25,0),ROUNDUP(($B$4+$G25)/$G25,0)))+$B$5</f>
        <v>1</v>
      </c>
      <c r="V25" s="400" t="b">
        <f t="shared" ca="1" si="3"/>
        <v>1</v>
      </c>
      <c r="W25" s="400" t="str">
        <f t="shared" ca="1" si="24"/>
        <v>Accepted</v>
      </c>
      <c r="X25" s="398" t="str">
        <f t="shared" ca="1" si="25"/>
        <v>No</v>
      </c>
      <c r="Y25" s="398" t="str">
        <f t="shared" ca="1" si="26"/>
        <v/>
      </c>
      <c r="Z25" s="398" t="str">
        <f t="shared" ca="1" si="27"/>
        <v/>
      </c>
      <c r="AA25" s="398">
        <f t="shared" ca="1" si="28"/>
        <v>0</v>
      </c>
      <c r="AB25" s="398">
        <f t="shared" ca="1" si="4"/>
        <v>2</v>
      </c>
      <c r="AC25" s="398">
        <f t="shared" ca="1" si="5"/>
        <v>36</v>
      </c>
      <c r="AD25" s="398">
        <f t="shared" ca="1" si="29"/>
        <v>33128</v>
      </c>
      <c r="AE25" s="399">
        <f t="shared" si="6"/>
        <v>0</v>
      </c>
      <c r="AF25" s="399">
        <f t="shared" si="7"/>
        <v>0</v>
      </c>
      <c r="AG25" s="483" t="str">
        <f t="shared" ca="1" si="30"/>
        <v/>
      </c>
      <c r="AH25" s="400">
        <f ca="1">IF(MAX(IF($C$6="No",ROUNDUP($C$3/$I25,0),ROUNDUP(($C$3+$I25)/$I25,0)),IF($C$6="No",ROUNDUP($C$4/$G25,0),ROUNDUP(($C$4+$G25)/$G25,0)),ROUNDUP('BVMS checklist'!$H$217/$J25,0))&gt;1,'BVMS checklist'!$J$224,'BVMS checklist'!$J$217)</f>
        <v>0</v>
      </c>
      <c r="AI25" s="398">
        <f t="shared" ca="1" si="31"/>
        <v>2</v>
      </c>
      <c r="AJ25" s="400">
        <f t="shared" ca="1" si="32"/>
        <v>2</v>
      </c>
      <c r="AK25" s="400">
        <f t="shared" ca="1" si="33"/>
        <v>440</v>
      </c>
      <c r="AL25" s="400">
        <f t="shared" ca="1" si="34"/>
        <v>0</v>
      </c>
      <c r="AM25" s="398">
        <f t="shared" ca="1" si="35"/>
        <v>33128</v>
      </c>
      <c r="AN25" s="401" t="str">
        <f t="shared" ca="1" si="36"/>
        <v/>
      </c>
      <c r="AO25" s="398">
        <f t="shared" ca="1" si="37"/>
        <v>96</v>
      </c>
      <c r="AP25" s="400">
        <f ca="1">IF(MAX(IF($C$6="No",ROUNDUP($C$3/$I25,0),ROUNDUP(($C$3+$I25)/$I25,0)),IF($C$6="No",ROUNDUP($C$4/$G25,0),ROUNDUP(($C$4+$G25)/$G25,0)),ROUNDUP('BVMS checklist'!$H$217/$J25,0))&gt;1,'BVMS checklist'!$J$224,'BVMS checklist'!$J$217)+MAX(IF($C$6="No",ROUNDUP($C$3/$I25,0),ROUNDUP(($C$3+$I25)/$I25,0)),IF($C$6="No",ROUNDUP($C$4/$G25,0),ROUNDUP(($C$4+$G25)/$G25,0)))+$C$5</f>
        <v>1</v>
      </c>
      <c r="AQ25" s="400" t="b">
        <f t="shared" ca="1" si="8"/>
        <v>1</v>
      </c>
      <c r="AR25" s="400" t="str">
        <f t="shared" ca="1" si="38"/>
        <v>Accepted</v>
      </c>
      <c r="AS25" s="398" t="str">
        <f t="shared" ca="1" si="39"/>
        <v>No</v>
      </c>
      <c r="AT25" s="398" t="str">
        <f t="shared" ca="1" si="40"/>
        <v/>
      </c>
      <c r="AU25" s="398" t="str">
        <f t="shared" ca="1" si="41"/>
        <v/>
      </c>
      <c r="AV25" s="398">
        <f t="shared" ca="1" si="42"/>
        <v>0</v>
      </c>
      <c r="AW25" s="398">
        <f t="shared" ca="1" si="43"/>
        <v>2</v>
      </c>
      <c r="AX25" s="398">
        <f t="shared" ca="1" si="44"/>
        <v>36</v>
      </c>
      <c r="AY25" s="398">
        <f t="shared" ca="1" si="45"/>
        <v>33128</v>
      </c>
      <c r="AZ25" s="399">
        <f t="shared" si="9"/>
        <v>0</v>
      </c>
      <c r="BA25" s="399">
        <f t="shared" si="10"/>
        <v>0</v>
      </c>
      <c r="BB25" s="483" t="str">
        <f t="shared" ca="1" si="46"/>
        <v/>
      </c>
      <c r="BC25" s="400">
        <f ca="1">IF(MAX(IF($D$6="No",ROUNDUP($D$3/$I25,0),ROUNDUP(($D$3+$I25)/$I25,0)),IF($D$6="No",ROUNDUP($D$4/$G25,0),ROUNDUP(($D$4+$G25)/$G25,0)),ROUNDUP('BVMS checklist'!$H$217/$J25,0))&gt;1,'BVMS checklist'!$L$224,'BVMS checklist'!$L$217)</f>
        <v>0</v>
      </c>
      <c r="BD25" s="398">
        <f t="shared" ca="1" si="47"/>
        <v>2</v>
      </c>
      <c r="BE25" s="400">
        <f t="shared" si="48"/>
        <v>1</v>
      </c>
      <c r="BF25" s="400">
        <f t="shared" si="49"/>
        <v>220</v>
      </c>
      <c r="BG25" s="400">
        <f t="shared" ca="1" si="11"/>
        <v>0</v>
      </c>
      <c r="BH25" s="398">
        <f t="shared" ca="1" si="50"/>
        <v>33128</v>
      </c>
      <c r="BI25" s="401" t="str">
        <f t="shared" ca="1" si="51"/>
        <v/>
      </c>
      <c r="BJ25" s="398">
        <f t="shared" ca="1" si="52"/>
        <v>96</v>
      </c>
      <c r="BK25" s="400">
        <f ca="1">IF(MAX(IF($D$6="No",ROUNDUP($D$3/$I25,0),ROUNDUP(($D$3+$I25)/$I25,0)),IF($D$6="No",ROUNDUP($D$4/$G25,0),ROUNDUP(($D$4+$G25)/$G25,0)),ROUNDUP('BVMS checklist'!$H$217/$J25,0))&gt;1,'BVMS checklist'!$L$224,'BVMS checklist'!$L$217)+MAX(IF($D$6="No",ROUNDUP($D$3/$I25,0),ROUNDUP(($D$3+$I25)/$I25,0)),IF($D$6="No",ROUNDUP($D$4/$G25,0),ROUNDUP(($D$4+$G25)/$G25,0)))+$D$5</f>
        <v>1</v>
      </c>
      <c r="BL25" s="400" t="b">
        <f t="shared" ca="1" si="12"/>
        <v>1</v>
      </c>
      <c r="BM25" s="400" t="str">
        <f t="shared" ca="1" si="53"/>
        <v>Accepted</v>
      </c>
      <c r="BN25" s="398" t="str">
        <f t="shared" ca="1" si="13"/>
        <v>No</v>
      </c>
      <c r="BO25" s="398" t="str">
        <f t="shared" ca="1" si="54"/>
        <v/>
      </c>
      <c r="BP25" s="398" t="str">
        <f t="shared" ca="1" si="55"/>
        <v/>
      </c>
      <c r="BQ25" s="398">
        <f t="shared" ca="1" si="56"/>
        <v>0</v>
      </c>
      <c r="BR25" s="398">
        <f t="shared" ca="1" si="57"/>
        <v>2</v>
      </c>
      <c r="BS25" s="398">
        <f t="shared" ca="1" si="58"/>
        <v>36</v>
      </c>
      <c r="BT25" s="398">
        <f t="shared" ca="1" si="59"/>
        <v>33128</v>
      </c>
      <c r="BU25" s="399">
        <f t="shared" si="14"/>
        <v>0</v>
      </c>
      <c r="BV25" s="399">
        <f t="shared" si="15"/>
        <v>0</v>
      </c>
      <c r="BW25" s="483" t="str">
        <f t="shared" ca="1" si="60"/>
        <v/>
      </c>
      <c r="BX25" s="400">
        <f ca="1">IF(MAX(IF($E$6="No",ROUNDUP($E$3/$I25,0),ROUNDUP(($E$3+$I25)/$I25,0)),IF($E$6="No",ROUNDUP($E$4/$G25,0),ROUNDUP(($E$4+$G25)/$G25,0)),ROUNDUP('BVMS checklist'!$H$217/$J25,0))&gt;1,'BVMS checklist'!$N$224,'BVMS checklist'!$N$217)</f>
        <v>0</v>
      </c>
      <c r="BY25" s="398">
        <f t="shared" ca="1" si="61"/>
        <v>2</v>
      </c>
      <c r="BZ25" s="400">
        <f t="shared" ca="1" si="62"/>
        <v>2</v>
      </c>
      <c r="CA25" s="400">
        <f t="shared" ca="1" si="63"/>
        <v>440</v>
      </c>
      <c r="CB25" s="400">
        <f t="shared" ca="1" si="16"/>
        <v>0</v>
      </c>
      <c r="CC25" s="398">
        <f t="shared" ca="1" si="64"/>
        <v>33128</v>
      </c>
      <c r="CD25" s="401" t="str">
        <f t="shared" ca="1" si="65"/>
        <v/>
      </c>
      <c r="CE25" s="398">
        <f t="shared" ca="1" si="66"/>
        <v>96</v>
      </c>
      <c r="CF25" s="400">
        <f ca="1">IF(MAX(IF($E$6="No",ROUNDUP($E$3/$I25,0),ROUNDUP(($E$3+$I25)/$I25,0)),IF($E$6="No",ROUNDUP($E$4/$G25,0),ROUNDUP(($E$4+$G25)/$G25,0)),ROUNDUP('BVMS checklist'!$H$217/$J25,0))&gt;1,'BVMS checklist'!$N$224,'BVMS checklist'!$N$217)+MAX(IF($E$6="No",ROUNDUP($E$3/$I25,0),ROUNDUP(($E$3+$I25)/$I25,0)),IF($E$6="No",ROUNDUP($E$4/$G25,0),ROUNDUP(($E$4+$G25)/$G25,0)))+$E$5</f>
        <v>1</v>
      </c>
      <c r="CG25" s="400" t="b">
        <f t="shared" ca="1" si="17"/>
        <v>1</v>
      </c>
      <c r="CH25" s="400" t="str">
        <f t="shared" ca="1" si="67"/>
        <v>Accepted</v>
      </c>
      <c r="CI25" s="398" t="str">
        <f t="shared" ca="1" si="68"/>
        <v>No</v>
      </c>
      <c r="CJ25" s="398" t="str">
        <f t="shared" ca="1" si="69"/>
        <v/>
      </c>
      <c r="CK25" s="398" t="str">
        <f t="shared" ca="1" si="70"/>
        <v/>
      </c>
      <c r="CL25" s="398">
        <f t="shared" ca="1" si="71"/>
        <v>0</v>
      </c>
      <c r="CM25" s="398">
        <f t="shared" ca="1" si="72"/>
        <v>2</v>
      </c>
      <c r="CN25" s="398">
        <f t="shared" ca="1" si="73"/>
        <v>36</v>
      </c>
      <c r="CO25" s="398">
        <f t="shared" ca="1" si="74"/>
        <v>33128</v>
      </c>
      <c r="CP25" s="399">
        <f t="shared" si="18"/>
        <v>0</v>
      </c>
      <c r="CQ25" s="399">
        <f t="shared" si="19"/>
        <v>0</v>
      </c>
      <c r="CR25" s="483" t="str">
        <f t="shared" ca="1" si="75"/>
        <v/>
      </c>
      <c r="CS25"/>
    </row>
    <row r="26" spans="1:97">
      <c r="A26" s="398" t="s">
        <v>1008</v>
      </c>
      <c r="B26" s="398" t="s">
        <v>987</v>
      </c>
      <c r="C26" s="440" t="s">
        <v>105</v>
      </c>
      <c r="D26" s="398">
        <v>2</v>
      </c>
      <c r="E26" s="398"/>
      <c r="F26" s="440">
        <v>0</v>
      </c>
      <c r="G26" s="398">
        <f>2*(((4)*2794)-100)</f>
        <v>22152</v>
      </c>
      <c r="H26" s="399">
        <v>24</v>
      </c>
      <c r="I26" s="399">
        <v>220</v>
      </c>
      <c r="J26" s="399">
        <v>48</v>
      </c>
      <c r="K26" s="399"/>
      <c r="L26" s="399"/>
      <c r="M26" s="400">
        <f ca="1">IF(MAX(IF($B$6="No",ROUNDUP($B$3/$I26,0),ROUNDUP(($B$3+$I26)/$I26,0)),IF($B$6="No",ROUNDUP($B$4/$G26,0),ROUNDUP(($B$4+$G26)/$G26,0)),ROUNDUP('BVMS checklist'!$H$217/$J26,0))&gt;1,'BVMS checklist'!$H$224,'BVMS checklist'!$H$217)</f>
        <v>0</v>
      </c>
      <c r="N26" s="398">
        <f t="shared" ca="1" si="20"/>
        <v>2</v>
      </c>
      <c r="O26" s="400">
        <f t="shared" ca="1" si="21"/>
        <v>2</v>
      </c>
      <c r="P26" s="400">
        <f t="shared" ca="1" si="0"/>
        <v>440</v>
      </c>
      <c r="Q26" s="400">
        <f t="shared" ca="1" si="1"/>
        <v>0</v>
      </c>
      <c r="R26" s="398">
        <f t="shared" ca="1" si="2"/>
        <v>44304</v>
      </c>
      <c r="S26" s="401" t="str">
        <f t="shared" ca="1" si="22"/>
        <v/>
      </c>
      <c r="T26" s="398">
        <f t="shared" ca="1" si="23"/>
        <v>96</v>
      </c>
      <c r="U26" s="400">
        <f ca="1">IF(MAX(IF($B$6="No",ROUNDUP($B$3/$I26,0),ROUNDUP(($B$3+$I26)/$I26,0)),IF($B$6="No",ROUNDUP($B$4/$G26,0),ROUNDUP(($B$4+$G26)/$G26,0)),ROUNDUP('BVMS checklist'!$H$217/$J26,0))&gt;1,'BVMS checklist'!$H$224,'BVMS checklist'!$H$217)+MAX(IF($B$6="No",ROUNDUP($B$3/$I26,0),ROUNDUP(($B$3+$I26)/$I26,0)),IF($B$6="No",ROUNDUP($B$4/$G26,0),ROUNDUP(($B$4+$G26)/$G26,0)))+$B$5</f>
        <v>1</v>
      </c>
      <c r="V26" s="400" t="b">
        <f t="shared" ca="1" si="3"/>
        <v>1</v>
      </c>
      <c r="W26" s="400" t="str">
        <f t="shared" ca="1" si="24"/>
        <v>Accepted</v>
      </c>
      <c r="X26" s="398" t="str">
        <f t="shared" ca="1" si="25"/>
        <v>No</v>
      </c>
      <c r="Y26" s="398" t="str">
        <f t="shared" ca="1" si="26"/>
        <v/>
      </c>
      <c r="Z26" s="398" t="str">
        <f t="shared" ca="1" si="27"/>
        <v/>
      </c>
      <c r="AA26" s="398">
        <f t="shared" ca="1" si="28"/>
        <v>0</v>
      </c>
      <c r="AB26" s="398">
        <f t="shared" ca="1" si="4"/>
        <v>2</v>
      </c>
      <c r="AC26" s="398">
        <f t="shared" ca="1" si="5"/>
        <v>48</v>
      </c>
      <c r="AD26" s="398">
        <f t="shared" ca="1" si="29"/>
        <v>44304</v>
      </c>
      <c r="AE26" s="399">
        <f t="shared" si="6"/>
        <v>0</v>
      </c>
      <c r="AF26" s="399">
        <f t="shared" si="7"/>
        <v>0</v>
      </c>
      <c r="AG26" s="483" t="str">
        <f t="shared" ca="1" si="30"/>
        <v/>
      </c>
      <c r="AH26" s="400">
        <f ca="1">IF(MAX(IF($C$6="No",ROUNDUP($C$3/$I26,0),ROUNDUP(($C$3+$I26)/$I26,0)),IF($C$6="No",ROUNDUP($C$4/$G26,0),ROUNDUP(($C$4+$G26)/$G26,0)),ROUNDUP('BVMS checklist'!$H$217/$J26,0))&gt;1,'BVMS checklist'!$J$224,'BVMS checklist'!$J$217)</f>
        <v>0</v>
      </c>
      <c r="AI26" s="398">
        <f t="shared" ca="1" si="31"/>
        <v>2</v>
      </c>
      <c r="AJ26" s="400">
        <f t="shared" ca="1" si="32"/>
        <v>2</v>
      </c>
      <c r="AK26" s="400">
        <f t="shared" ca="1" si="33"/>
        <v>440</v>
      </c>
      <c r="AL26" s="400">
        <f t="shared" ca="1" si="34"/>
        <v>0</v>
      </c>
      <c r="AM26" s="398">
        <f t="shared" ca="1" si="35"/>
        <v>44304</v>
      </c>
      <c r="AN26" s="401" t="str">
        <f t="shared" ca="1" si="36"/>
        <v/>
      </c>
      <c r="AO26" s="398">
        <f t="shared" ca="1" si="37"/>
        <v>96</v>
      </c>
      <c r="AP26" s="400">
        <f ca="1">IF(MAX(IF($C$6="No",ROUNDUP($C$3/$I26,0),ROUNDUP(($C$3+$I26)/$I26,0)),IF($C$6="No",ROUNDUP($C$4/$G26,0),ROUNDUP(($C$4+$G26)/$G26,0)),ROUNDUP('BVMS checklist'!$H$217/$J26,0))&gt;1,'BVMS checklist'!$J$224,'BVMS checklist'!$J$217)+MAX(IF($C$6="No",ROUNDUP($C$3/$I26,0),ROUNDUP(($C$3+$I26)/$I26,0)),IF($C$6="No",ROUNDUP($C$4/$G26,0),ROUNDUP(($C$4+$G26)/$G26,0)))+$C$5</f>
        <v>1</v>
      </c>
      <c r="AQ26" s="400" t="b">
        <f t="shared" ca="1" si="8"/>
        <v>1</v>
      </c>
      <c r="AR26" s="400" t="str">
        <f t="shared" ca="1" si="38"/>
        <v>Accepted</v>
      </c>
      <c r="AS26" s="398" t="str">
        <f t="shared" ca="1" si="39"/>
        <v>No</v>
      </c>
      <c r="AT26" s="398" t="str">
        <f t="shared" ca="1" si="40"/>
        <v/>
      </c>
      <c r="AU26" s="398" t="str">
        <f t="shared" ca="1" si="41"/>
        <v/>
      </c>
      <c r="AV26" s="398">
        <f t="shared" ca="1" si="42"/>
        <v>0</v>
      </c>
      <c r="AW26" s="398">
        <f t="shared" ca="1" si="43"/>
        <v>2</v>
      </c>
      <c r="AX26" s="398">
        <f t="shared" ca="1" si="44"/>
        <v>48</v>
      </c>
      <c r="AY26" s="398">
        <f t="shared" ca="1" si="45"/>
        <v>44304</v>
      </c>
      <c r="AZ26" s="399">
        <f t="shared" si="9"/>
        <v>0</v>
      </c>
      <c r="BA26" s="399">
        <f t="shared" si="10"/>
        <v>0</v>
      </c>
      <c r="BB26" s="483" t="str">
        <f t="shared" ca="1" si="46"/>
        <v/>
      </c>
      <c r="BC26" s="400">
        <f ca="1">IF(MAX(IF($D$6="No",ROUNDUP($D$3/$I26,0),ROUNDUP(($D$3+$I26)/$I26,0)),IF($D$6="No",ROUNDUP($D$4/$G26,0),ROUNDUP(($D$4+$G26)/$G26,0)),ROUNDUP('BVMS checklist'!$H$217/$J26,0))&gt;1,'BVMS checklist'!$L$224,'BVMS checklist'!$L$217)</f>
        <v>0</v>
      </c>
      <c r="BD26" s="398">
        <f t="shared" ca="1" si="47"/>
        <v>2</v>
      </c>
      <c r="BE26" s="400">
        <f t="shared" si="48"/>
        <v>1</v>
      </c>
      <c r="BF26" s="400">
        <f t="shared" si="49"/>
        <v>220</v>
      </c>
      <c r="BG26" s="400">
        <f t="shared" ca="1" si="11"/>
        <v>0</v>
      </c>
      <c r="BH26" s="398">
        <f t="shared" ca="1" si="50"/>
        <v>44304</v>
      </c>
      <c r="BI26" s="401" t="str">
        <f t="shared" ca="1" si="51"/>
        <v/>
      </c>
      <c r="BJ26" s="398">
        <f t="shared" ca="1" si="52"/>
        <v>96</v>
      </c>
      <c r="BK26" s="400">
        <f ca="1">IF(MAX(IF($D$6="No",ROUNDUP($D$3/$I26,0),ROUNDUP(($D$3+$I26)/$I26,0)),IF($D$6="No",ROUNDUP($D$4/$G26,0),ROUNDUP(($D$4+$G26)/$G26,0)),ROUNDUP('BVMS checklist'!$H$217/$J26,0))&gt;1,'BVMS checklist'!$L$224,'BVMS checklist'!$L$217)+MAX(IF($D$6="No",ROUNDUP($D$3/$I26,0),ROUNDUP(($D$3+$I26)/$I26,0)),IF($D$6="No",ROUNDUP($D$4/$G26,0),ROUNDUP(($D$4+$G26)/$G26,0)))+$D$5</f>
        <v>1</v>
      </c>
      <c r="BL26" s="400" t="b">
        <f t="shared" ca="1" si="12"/>
        <v>1</v>
      </c>
      <c r="BM26" s="400" t="str">
        <f t="shared" ca="1" si="53"/>
        <v>Accepted</v>
      </c>
      <c r="BN26" s="398" t="str">
        <f t="shared" ca="1" si="13"/>
        <v>No</v>
      </c>
      <c r="BO26" s="398" t="str">
        <f t="shared" ca="1" si="54"/>
        <v/>
      </c>
      <c r="BP26" s="398" t="str">
        <f t="shared" ca="1" si="55"/>
        <v/>
      </c>
      <c r="BQ26" s="398">
        <f t="shared" ca="1" si="56"/>
        <v>0</v>
      </c>
      <c r="BR26" s="398">
        <f t="shared" ca="1" si="57"/>
        <v>2</v>
      </c>
      <c r="BS26" s="398">
        <f t="shared" ca="1" si="58"/>
        <v>48</v>
      </c>
      <c r="BT26" s="398">
        <f t="shared" ca="1" si="59"/>
        <v>44304</v>
      </c>
      <c r="BU26" s="399">
        <f t="shared" si="14"/>
        <v>0</v>
      </c>
      <c r="BV26" s="399">
        <f t="shared" si="15"/>
        <v>0</v>
      </c>
      <c r="BW26" s="483" t="str">
        <f t="shared" ca="1" si="60"/>
        <v/>
      </c>
      <c r="BX26" s="400">
        <f ca="1">IF(MAX(IF($E$6="No",ROUNDUP($E$3/$I26,0),ROUNDUP(($E$3+$I26)/$I26,0)),IF($E$6="No",ROUNDUP($E$4/$G26,0),ROUNDUP(($E$4+$G26)/$G26,0)),ROUNDUP('BVMS checklist'!$H$217/$J26,0))&gt;1,'BVMS checklist'!$N$224,'BVMS checklist'!$N$217)</f>
        <v>0</v>
      </c>
      <c r="BY26" s="398">
        <f t="shared" ca="1" si="61"/>
        <v>2</v>
      </c>
      <c r="BZ26" s="400">
        <f t="shared" ca="1" si="62"/>
        <v>2</v>
      </c>
      <c r="CA26" s="400">
        <f t="shared" ca="1" si="63"/>
        <v>440</v>
      </c>
      <c r="CB26" s="400">
        <f t="shared" ca="1" si="16"/>
        <v>0</v>
      </c>
      <c r="CC26" s="398">
        <f t="shared" ca="1" si="64"/>
        <v>44304</v>
      </c>
      <c r="CD26" s="401" t="str">
        <f t="shared" ca="1" si="65"/>
        <v/>
      </c>
      <c r="CE26" s="398">
        <f t="shared" ca="1" si="66"/>
        <v>96</v>
      </c>
      <c r="CF26" s="400">
        <f ca="1">IF(MAX(IF($E$6="No",ROUNDUP($E$3/$I26,0),ROUNDUP(($E$3+$I26)/$I26,0)),IF($E$6="No",ROUNDUP($E$4/$G26,0),ROUNDUP(($E$4+$G26)/$G26,0)),ROUNDUP('BVMS checklist'!$H$217/$J26,0))&gt;1,'BVMS checklist'!$N$224,'BVMS checklist'!$N$217)+MAX(IF($E$6="No",ROUNDUP($E$3/$I26,0),ROUNDUP(($E$3+$I26)/$I26,0)),IF($E$6="No",ROUNDUP($E$4/$G26,0),ROUNDUP(($E$4+$G26)/$G26,0)))+$E$5</f>
        <v>1</v>
      </c>
      <c r="CG26" s="400" t="b">
        <f t="shared" ca="1" si="17"/>
        <v>1</v>
      </c>
      <c r="CH26" s="400" t="str">
        <f t="shared" ca="1" si="67"/>
        <v>Accepted</v>
      </c>
      <c r="CI26" s="398" t="str">
        <f t="shared" ca="1" si="68"/>
        <v>No</v>
      </c>
      <c r="CJ26" s="398" t="str">
        <f t="shared" ca="1" si="69"/>
        <v/>
      </c>
      <c r="CK26" s="398" t="str">
        <f t="shared" ca="1" si="70"/>
        <v/>
      </c>
      <c r="CL26" s="398">
        <f t="shared" ca="1" si="71"/>
        <v>0</v>
      </c>
      <c r="CM26" s="398">
        <f t="shared" ca="1" si="72"/>
        <v>2</v>
      </c>
      <c r="CN26" s="398">
        <f t="shared" ca="1" si="73"/>
        <v>48</v>
      </c>
      <c r="CO26" s="398">
        <f t="shared" ca="1" si="74"/>
        <v>44304</v>
      </c>
      <c r="CP26" s="399">
        <f t="shared" si="18"/>
        <v>0</v>
      </c>
      <c r="CQ26" s="399">
        <f t="shared" si="19"/>
        <v>0</v>
      </c>
      <c r="CR26" s="483" t="str">
        <f t="shared" ca="1" si="75"/>
        <v/>
      </c>
      <c r="CS26"/>
    </row>
    <row r="27" spans="1:97">
      <c r="A27" s="398" t="s">
        <v>1945</v>
      </c>
      <c r="B27" s="398" t="s">
        <v>988</v>
      </c>
      <c r="C27" s="440" t="s">
        <v>105</v>
      </c>
      <c r="D27" s="398">
        <v>1</v>
      </c>
      <c r="E27" s="398"/>
      <c r="F27" s="440">
        <v>0</v>
      </c>
      <c r="G27" s="398">
        <f>IF(C27="JBOD",((2)*3724),((1)*3724))</f>
        <v>7448</v>
      </c>
      <c r="H27" s="399">
        <v>8</v>
      </c>
      <c r="I27" s="399">
        <v>250</v>
      </c>
      <c r="J27" s="399">
        <v>64</v>
      </c>
      <c r="K27" s="399">
        <v>146</v>
      </c>
      <c r="L27" s="399">
        <v>16</v>
      </c>
      <c r="M27" s="400">
        <f ca="1">IF(MAX(IF($B$6="No",ROUNDUP($B$3/$I27,0),ROUNDUP(($B$3+$I27)/$I27,0)),IF($B$6="No",ROUNDUP($B$4/$G27,0),ROUNDUP(($B$4+$G27)/$G27,0)),ROUNDUP('BVMS checklist'!$H$217/$J27,0))&gt;1,'BVMS checklist'!$H$224,'BVMS checklist'!$H$217)</f>
        <v>0</v>
      </c>
      <c r="N27" s="398">
        <f t="shared" ref="N27:N28" ca="1" si="76">MAX(IF($B$6="No",ROUNDUP($B$3/$I27,0),ROUNDUP(($B$3+$I27)/$I27,0)),IF($B$6="No",ROUNDUP($B$4/$G27,0),ROUNDUP($B$4/$G27,0)),IF($B$6="Yes",ROUNDUP((U27+J27)/J27,0),ROUNDUP(U27/J27,0)))</f>
        <v>2</v>
      </c>
      <c r="O27" s="400">
        <f t="shared" ref="O27:O28" ca="1" si="77">N27</f>
        <v>2</v>
      </c>
      <c r="P27" s="400">
        <f t="shared" ref="P27:P28" ca="1" si="78">O27*$I27</f>
        <v>500</v>
      </c>
      <c r="Q27" s="400">
        <f t="shared" ref="Q27:Q28" ca="1" si="79">IFERROR($B$3/N27,"")</f>
        <v>0</v>
      </c>
      <c r="R27" s="398">
        <f t="shared" ref="R27:R28" ca="1" si="80">$G27*N27</f>
        <v>14896</v>
      </c>
      <c r="S27" s="401" t="e">
        <f t="shared" ref="S27:S28" ca="1" si="81">IF(X27="yes",(R27)/$B$4,"")</f>
        <v>#DIV/0!</v>
      </c>
      <c r="T27" s="398">
        <f t="shared" ref="T27:T28" ca="1" si="82">N27*J27</f>
        <v>128</v>
      </c>
      <c r="U27" s="400">
        <f ca="1">IF(MAX(IF($B$6="No",ROUNDUP($B$3/$I27,0),ROUNDUP(($B$3+$I27)/$I27,0)),IF($B$6="No",ROUNDUP($B$4/$G27,0),ROUNDUP(($B$4+$G27)/$G27,0)),ROUNDUP('BVMS checklist'!$H$217/$J27,0))&gt;1,'BVMS checklist'!$H$224,'BVMS checklist'!$H$217)+MAX(IF($B$6="No",ROUNDUP($B$3/$I27,0),ROUNDUP(($B$3+$I27)/$I27,0)),IF($B$6="No",ROUNDUP($B$4/$G27,0),ROUNDUP(($B$4+$G27)/$G27,0)))+$B$5</f>
        <v>1</v>
      </c>
      <c r="V27" s="400" t="b">
        <f t="shared" ref="V27:V28" ca="1" si="83">IF(AND((T27/$D27)-U27&gt;=0,OR(N27&gt;=2,$D27&gt;=2),P27-I27&gt;=$B$3),TRUE,FALSE)</f>
        <v>1</v>
      </c>
      <c r="W27" s="400" t="str">
        <f ca="1">IF(OR(AND($B$6="Yes",V27=TRUE),$B$6="No"),"Accepted","Not accepted")</f>
        <v>Accepted</v>
      </c>
      <c r="X27" s="398" t="str">
        <f t="shared" ref="X27:X28" ca="1" si="84">IF(AND(U27&lt;T27,Q27&lt;I27,B27="Active",W27="Accepted"),"Yes","No")</f>
        <v>Yes</v>
      </c>
      <c r="Y27" s="398">
        <f t="shared" ca="1" si="26"/>
        <v>1</v>
      </c>
      <c r="Z27" s="398" t="str">
        <f t="shared" ref="Z27:Z28" ca="1" si="85">IF(X27="Yes",$A27&amp;" "&amp;$C27,"")</f>
        <v>DIVAR IP all-in-one 4000 MANAGEMENT APPLIANCE 2X4TB JBOD</v>
      </c>
      <c r="AA27" s="398">
        <f t="shared" ca="1" si="28"/>
        <v>1</v>
      </c>
      <c r="AB27" s="398">
        <f t="shared" ref="AB27:AB28" ca="1" si="86">N27</f>
        <v>2</v>
      </c>
      <c r="AC27" s="398">
        <f t="shared" ref="AC27:AC28" ca="1" si="87">N27*$H27</f>
        <v>16</v>
      </c>
      <c r="AD27" s="398">
        <f t="shared" ref="AD27:AD28" ca="1" si="88">R27</f>
        <v>14896</v>
      </c>
      <c r="AE27" s="399">
        <f t="shared" ref="AE27:AE28" si="89">K27</f>
        <v>146</v>
      </c>
      <c r="AF27" s="399">
        <f t="shared" ref="AF27:AF28" si="90">L27</f>
        <v>16</v>
      </c>
      <c r="AG27" s="483" t="e">
        <f t="shared" ref="AG27:AG28" ca="1" si="91">S27</f>
        <v>#DIV/0!</v>
      </c>
      <c r="AH27" s="400">
        <f ca="1">IF(MAX(IF($C$6="No",ROUNDUP($C$3/$I27,0),ROUNDUP(($C$3+$I27)/$I27,0)),IF($C$6="No",ROUNDUP($C$4/$G27,0),ROUNDUP(($C$4+$G27)/$G27,0)),ROUNDUP('BVMS checklist'!$H$217/$J27,0))&gt;1,'BVMS checklist'!$J$224,'BVMS checklist'!$J$217)</f>
        <v>0</v>
      </c>
      <c r="AI27" s="398">
        <f t="shared" ref="AI27:AI28" ca="1" si="92">MAX(IF($C$6="No",ROUNDUP($C$3/$I27,0),ROUNDUP(($C$3+$I27)/$I27,0)),IF($C$6="No",ROUNDUP($C$4/$G27,0),ROUNDUP(($C$4+$G27)/$G27,0)),IF($C$6="Yes",ROUNDUP(AP27/J27,0)+1,ROUNDUP(AP27/J27,0)))</f>
        <v>2</v>
      </c>
      <c r="AJ27" s="400">
        <f t="shared" ref="AJ27:AJ28" ca="1" si="93">AI27</f>
        <v>2</v>
      </c>
      <c r="AK27" s="400">
        <f t="shared" ref="AK27:AK28" ca="1" si="94">AJ27*$I27</f>
        <v>500</v>
      </c>
      <c r="AL27" s="400">
        <f t="shared" ref="AL27:AL28" ca="1" si="95">IFERROR($C$3/AI27,"")</f>
        <v>0</v>
      </c>
      <c r="AM27" s="398">
        <f t="shared" ref="AM27:AM28" ca="1" si="96">$G27*AI27</f>
        <v>14896</v>
      </c>
      <c r="AN27" s="401" t="e">
        <f t="shared" ref="AN27:AN28" ca="1" si="97">IF(AS27="yes",(AM27)/$C$4,"")</f>
        <v>#DIV/0!</v>
      </c>
      <c r="AO27" s="398">
        <f t="shared" ref="AO27:AO28" ca="1" si="98">AI27*$J27</f>
        <v>128</v>
      </c>
      <c r="AP27" s="400">
        <f ca="1">IF(MAX(IF($C$6="No",ROUNDUP($C$3/$I27,0),ROUNDUP(($C$3+$I27)/$I27,0)),IF($C$6="No",ROUNDUP($C$4/$G27,0),ROUNDUP(($C$4+$G27)/$G27,0)),ROUNDUP('BVMS checklist'!$H$217/$J27,0))&gt;1,'BVMS checklist'!$J$224,'BVMS checklist'!$J$217)+MAX(IF($C$6="No",ROUNDUP($C$3/$I27,0),ROUNDUP(($C$3+$I27)/$I27,0)),IF($C$6="No",ROUNDUP($C$4/$G27,0),ROUNDUP(($C$4+$G27)/$G27,0)))+$C$5</f>
        <v>1</v>
      </c>
      <c r="AQ27" s="400" t="b">
        <f t="shared" ref="AQ27:AQ28" ca="1" si="99">IF(AND((AO27/$D27)-AP27&gt;=0,OR(AI27&gt;=2,$D27&gt;=2),AK27-I27&gt;=$C$3),TRUE,FALSE)</f>
        <v>1</v>
      </c>
      <c r="AR27" s="400" t="str">
        <f t="shared" ref="AR27:AR28" ca="1" si="100">IF(OR(AND($C$6="Yes",AQ27=TRUE),$C$6="No"),"Accepted","Not accepted")</f>
        <v>Accepted</v>
      </c>
      <c r="AS27" s="398" t="str">
        <f t="shared" ref="AS27:AS28" ca="1" si="101">IF(AND(AP27&lt;AO27,AL27&lt;$I27,$B27="Active",AR27="Accepted"),"Yes","No")</f>
        <v>Yes</v>
      </c>
      <c r="AT27" s="398">
        <f t="shared" ca="1" si="40"/>
        <v>1</v>
      </c>
      <c r="AU27" s="398" t="str">
        <f t="shared" ref="AU27:AU28" ca="1" si="102">IF(AS27="Yes",$A27&amp;" "&amp;$C27,"")</f>
        <v>DIVAR IP all-in-one 4000 MANAGEMENT APPLIANCE 2X4TB JBOD</v>
      </c>
      <c r="AV27" s="398">
        <f t="shared" ca="1" si="42"/>
        <v>1</v>
      </c>
      <c r="AW27" s="398">
        <f t="shared" ref="AW27:AW28" ca="1" si="103">AI27</f>
        <v>2</v>
      </c>
      <c r="AX27" s="398">
        <f t="shared" ref="AX27:AX28" ca="1" si="104">AI27*$H27</f>
        <v>16</v>
      </c>
      <c r="AY27" s="398">
        <f t="shared" ref="AY27:AY28" ca="1" si="105">AM27</f>
        <v>14896</v>
      </c>
      <c r="AZ27" s="399">
        <f t="shared" ref="AZ27:AZ28" si="106">K27</f>
        <v>146</v>
      </c>
      <c r="BA27" s="399">
        <f t="shared" ref="BA27:BA28" si="107">L27</f>
        <v>16</v>
      </c>
      <c r="BB27" s="483" t="e">
        <f t="shared" ref="BB27:BB28" ca="1" si="108">AN27</f>
        <v>#DIV/0!</v>
      </c>
      <c r="BC27" s="400">
        <f ca="1">IF(MAX(IF($D$6="No",ROUNDUP($D$3/$I27,0),ROUNDUP(($D$3+$I27)/$I27,0)),IF($D$6="No",ROUNDUP($D$4/$G27,0),ROUNDUP(($D$4+$G27)/$G27,0)),ROUNDUP('BVMS checklist'!$H$217/$J27,0))&gt;1,'BVMS checklist'!$L$224,'BVMS checklist'!$L$217)</f>
        <v>0</v>
      </c>
      <c r="BD27" s="398">
        <f t="shared" ref="BD27:BD28" ca="1" si="109">MAX(IF($D$6="No",ROUNDUP($D$3/$I27,0),ROUNDUP(($D$3+$I27)/$I27,0)),IF($D$6="No",ROUNDUP($D$4/$G27,0),ROUNDUP(($D$4+$G27)/$G27,0)),IF($D$6="Yes",ROUNDUP(BK27/J27,0)+1,ROUNDUP(BK27/J27,0)))</f>
        <v>2</v>
      </c>
      <c r="BE27" s="400">
        <f t="shared" si="48"/>
        <v>1</v>
      </c>
      <c r="BF27" s="400">
        <f t="shared" ref="BF27:BF28" si="110">BE27*$I27</f>
        <v>250</v>
      </c>
      <c r="BG27" s="400">
        <f t="shared" ref="BG27:BG28" ca="1" si="111">IFERROR($D$3/BD27,"")</f>
        <v>0</v>
      </c>
      <c r="BH27" s="398">
        <f t="shared" ref="BH27:BH28" ca="1" si="112">$G27*BD27</f>
        <v>14896</v>
      </c>
      <c r="BI27" s="401" t="e">
        <f t="shared" ref="BI27:BI28" ca="1" si="113">IF(BN27="yes",(BH27)/$D$4,"")</f>
        <v>#DIV/0!</v>
      </c>
      <c r="BJ27" s="398">
        <f t="shared" ref="BJ27:BJ28" ca="1" si="114">BD27*$J27</f>
        <v>128</v>
      </c>
      <c r="BK27" s="400">
        <f ca="1">IF(MAX(IF($D$6="No",ROUNDUP($D$3/$I27,0),ROUNDUP(($D$3+$I27)/$I27,0)),IF($D$6="No",ROUNDUP($D$4/$G27,0),ROUNDUP(($D$4+$G27)/$G27,0)),ROUNDUP('BVMS checklist'!$H$217/$J27,0))&gt;1,'BVMS checklist'!$L$224,'BVMS checklist'!$L$217)+MAX(IF($D$6="No",ROUNDUP($D$3/$I27,0),ROUNDUP(($D$3+$I27)/$I27,0)),IF($D$6="No",ROUNDUP($D$4/$G27,0),ROUNDUP(($D$4+$G27)/$G27,0)))+$D$5</f>
        <v>1</v>
      </c>
      <c r="BL27" s="400" t="b">
        <f t="shared" ref="BL27:BL28" ca="1" si="115">IF(AND((BJ27/$D27)-BK27&gt;=0,OR(BD27&gt;=2,$D27&gt;=2),BF27-I27&gt;=$D$3),TRUE,FALSE)</f>
        <v>1</v>
      </c>
      <c r="BM27" s="400" t="str">
        <f t="shared" ref="BM27:BM28" ca="1" si="116">IF(OR(AND($D$6="Yes",BL27=TRUE),$D$6="No"),"Accepted","Not accepted")</f>
        <v>Accepted</v>
      </c>
      <c r="BN27" s="398" t="str">
        <f t="shared" ref="BN27:BN28" ca="1" si="117">IF(AND(BK27&lt;BJ27,BG27&lt;$I27,$B27="Active",BM27="Accepted"),"Yes","No")</f>
        <v>Yes</v>
      </c>
      <c r="BO27" s="398">
        <f t="shared" ca="1" si="54"/>
        <v>1</v>
      </c>
      <c r="BP27" s="398" t="str">
        <f t="shared" ref="BP27:BP28" ca="1" si="118">IF(BN27="Yes",$A27&amp;" "&amp;$C27,"")</f>
        <v>DIVAR IP all-in-one 4000 MANAGEMENT APPLIANCE 2X4TB JBOD</v>
      </c>
      <c r="BQ27" s="398">
        <f t="shared" ca="1" si="56"/>
        <v>1</v>
      </c>
      <c r="BR27" s="398">
        <f t="shared" ref="BR27:BR28" ca="1" si="119">BD27</f>
        <v>2</v>
      </c>
      <c r="BS27" s="398">
        <f t="shared" ref="BS27:BS28" ca="1" si="120">BD27*$H27</f>
        <v>16</v>
      </c>
      <c r="BT27" s="398">
        <f t="shared" ref="BT27:BT28" ca="1" si="121">BH27</f>
        <v>14896</v>
      </c>
      <c r="BU27" s="399">
        <f t="shared" ref="BU27:BU28" si="122">K27</f>
        <v>146</v>
      </c>
      <c r="BV27" s="399">
        <f t="shared" ref="BV27:BV28" si="123">L27</f>
        <v>16</v>
      </c>
      <c r="BW27" s="483" t="e">
        <f t="shared" ref="BW27:BW28" ca="1" si="124">BI27</f>
        <v>#DIV/0!</v>
      </c>
      <c r="BX27" s="400">
        <f ca="1">IF(MAX(IF($E$6="No",ROUNDUP($E$3/$I27,0),ROUNDUP(($E$3+$I27)/$I27,0)),IF($E$6="No",ROUNDUP($E$4/$G27,0),ROUNDUP(($E$4+$G27)/$G27,0)),ROUNDUP('BVMS checklist'!$H$217/$J27,0))&gt;1,'BVMS checklist'!$N$224,'BVMS checklist'!$N$217)</f>
        <v>0</v>
      </c>
      <c r="BY27" s="398">
        <f t="shared" ref="BY27:BY28" ca="1" si="125">MAX(IF($E$6="No",ROUNDUP($E$3/$I27,0),ROUNDUP(($E$3+$I27)/$I27,0)),IF($E$6="No",ROUNDUP($E$4/$G27,0),ROUNDUP(($E$4+$G27)/$G27,0)),IF($E$6="Yes",ROUNDUP(CF27/J27,0)+1,ROUNDUP(CF27/J27,0)))</f>
        <v>2</v>
      </c>
      <c r="BZ27" s="400">
        <f t="shared" ref="BZ27:BZ28" ca="1" si="126">BY27</f>
        <v>2</v>
      </c>
      <c r="CA27" s="400">
        <f t="shared" ref="CA27:CA28" ca="1" si="127">BZ27*$I27</f>
        <v>500</v>
      </c>
      <c r="CB27" s="400">
        <f t="shared" ref="CB27:CB28" ca="1" si="128">IFERROR($E$3/BY27,"")</f>
        <v>0</v>
      </c>
      <c r="CC27" s="398">
        <f t="shared" ref="CC27:CC28" ca="1" si="129">$G27*BY27</f>
        <v>14896</v>
      </c>
      <c r="CD27" s="401" t="e">
        <f t="shared" ref="CD27:CD28" ca="1" si="130">IF(CI27="yes",(CC27)/$E$4,"")</f>
        <v>#DIV/0!</v>
      </c>
      <c r="CE27" s="398">
        <f t="shared" ref="CE27:CE28" ca="1" si="131">BY27*$J27</f>
        <v>128</v>
      </c>
      <c r="CF27" s="400">
        <f ca="1">IF(MAX(IF($E$6="No",ROUNDUP($E$3/$I27,0),ROUNDUP(($E$3+$I27)/$I27,0)),IF($E$6="No",ROUNDUP($E$4/$G27,0),ROUNDUP(($E$4+$G27)/$G27,0)),ROUNDUP('BVMS checklist'!$H$217/$J27,0))&gt;1,'BVMS checklist'!$N$224,'BVMS checklist'!$N$217)+MAX(IF($E$6="No",ROUNDUP($E$3/$I27,0),ROUNDUP(($E$3+$I27)/$I27,0)),IF($E$6="No",ROUNDUP($E$4/$G27,0),ROUNDUP(($E$4+$G27)/$G27,0)))+$E$5</f>
        <v>1</v>
      </c>
      <c r="CG27" s="400" t="b">
        <f t="shared" ref="CG27:CG28" ca="1" si="132">IF(AND((CE27/$D27)-CF27&gt;=0,OR(BY27&gt;=2,$D27&gt;=2),CA27-I27&gt;=$E$3),TRUE,FALSE)</f>
        <v>1</v>
      </c>
      <c r="CH27" s="400" t="str">
        <f t="shared" ref="CH27:CH28" ca="1" si="133">IF(OR(AND($E$6="Yes",CG27=TRUE),$E$6="No"),"Accepted","Not accepted")</f>
        <v>Accepted</v>
      </c>
      <c r="CI27" s="398" t="str">
        <f t="shared" ref="CI27:CI28" ca="1" si="134">IF(AND(CF27&lt;CE27,CB27&lt;$I27,$B27="Active",CH27="Accepted"),"Yes","No")</f>
        <v>Yes</v>
      </c>
      <c r="CJ27" s="398">
        <f t="shared" ca="1" si="69"/>
        <v>1</v>
      </c>
      <c r="CK27" s="398" t="str">
        <f t="shared" ref="CK27:CK28" ca="1" si="135">IF(CI27="Yes",$A27&amp;" "&amp;$C27,"")</f>
        <v>DIVAR IP all-in-one 4000 MANAGEMENT APPLIANCE 2X4TB JBOD</v>
      </c>
      <c r="CL27" s="398">
        <f t="shared" ca="1" si="71"/>
        <v>1</v>
      </c>
      <c r="CM27" s="398">
        <f t="shared" ref="CM27:CM28" ca="1" si="136">BY27</f>
        <v>2</v>
      </c>
      <c r="CN27" s="398">
        <f t="shared" ref="CN27:CN28" ca="1" si="137">BY27*$H27</f>
        <v>16</v>
      </c>
      <c r="CO27" s="398">
        <f t="shared" ref="CO27:CO28" ca="1" si="138">CC27</f>
        <v>14896</v>
      </c>
      <c r="CP27" s="399">
        <f t="shared" ref="CP27:CP28" si="139">K27</f>
        <v>146</v>
      </c>
      <c r="CQ27" s="399">
        <f t="shared" ref="CQ27:CQ28" si="140">L27</f>
        <v>16</v>
      </c>
      <c r="CR27" s="483" t="e">
        <f t="shared" ref="CR27:CR28" ca="1" si="141">CD27</f>
        <v>#DIV/0!</v>
      </c>
      <c r="CS27"/>
    </row>
    <row r="28" spans="1:97">
      <c r="A28" s="398" t="s">
        <v>1946</v>
      </c>
      <c r="B28" s="398" t="s">
        <v>988</v>
      </c>
      <c r="C28" s="440" t="s">
        <v>105</v>
      </c>
      <c r="D28" s="398">
        <v>1</v>
      </c>
      <c r="E28" s="398"/>
      <c r="F28" s="440">
        <v>0</v>
      </c>
      <c r="G28" s="398">
        <f>IF(C28="JBOD",((2)*7448),((1)*7448))</f>
        <v>14896</v>
      </c>
      <c r="H28" s="399">
        <v>16</v>
      </c>
      <c r="I28" s="399">
        <v>250</v>
      </c>
      <c r="J28" s="399">
        <v>64</v>
      </c>
      <c r="K28" s="399">
        <v>146</v>
      </c>
      <c r="L28" s="399">
        <v>16</v>
      </c>
      <c r="M28" s="400">
        <f ca="1">IF(MAX(IF($B$6="No",ROUNDUP($B$3/$I28,0),ROUNDUP(($B$3+$I28)/$I28,0)),IF($B$6="No",ROUNDUP($B$4/$G28,0),ROUNDUP(($B$4+$G28)/$G28,0)),ROUNDUP('BVMS checklist'!$H$217/$J28,0))&gt;1,'BVMS checklist'!$H$224,'BVMS checklist'!$H$217)</f>
        <v>0</v>
      </c>
      <c r="N28" s="398">
        <f t="shared" ca="1" si="76"/>
        <v>2</v>
      </c>
      <c r="O28" s="400">
        <f t="shared" ca="1" si="77"/>
        <v>2</v>
      </c>
      <c r="P28" s="400">
        <f t="shared" ca="1" si="78"/>
        <v>500</v>
      </c>
      <c r="Q28" s="400">
        <f t="shared" ca="1" si="79"/>
        <v>0</v>
      </c>
      <c r="R28" s="398">
        <f t="shared" ca="1" si="80"/>
        <v>29792</v>
      </c>
      <c r="S28" s="401" t="e">
        <f t="shared" ca="1" si="81"/>
        <v>#DIV/0!</v>
      </c>
      <c r="T28" s="398">
        <f t="shared" ca="1" si="82"/>
        <v>128</v>
      </c>
      <c r="U28" s="400">
        <f ca="1">IF(MAX(IF($B$6="No",ROUNDUP($B$3/$I28,0),ROUNDUP(($B$3+$I28)/$I28,0)),IF($B$6="No",ROUNDUP($B$4/$G28,0),ROUNDUP(($B$4+$G28)/$G28,0)),ROUNDUP('BVMS checklist'!$H$217/$J28,0))&gt;1,'BVMS checklist'!$H$224,'BVMS checklist'!$H$217)+MAX(IF($B$6="No",ROUNDUP($B$3/$I28,0),ROUNDUP(($B$3+$I28)/$I28,0)),IF($B$6="No",ROUNDUP($B$4/$G28,0),ROUNDUP(($B$4+$G28)/$G28,0)))+$B$5</f>
        <v>1</v>
      </c>
      <c r="V28" s="400" t="b">
        <f t="shared" ca="1" si="83"/>
        <v>1</v>
      </c>
      <c r="W28" s="400" t="str">
        <f ca="1">IF(OR(AND($B$6="Yes",V28=TRUE),$B$6="No"),"Accepted","Not accepted")</f>
        <v>Accepted</v>
      </c>
      <c r="X28" s="398" t="str">
        <f t="shared" ca="1" si="84"/>
        <v>Yes</v>
      </c>
      <c r="Y28" s="398">
        <f t="shared" ca="1" si="26"/>
        <v>2</v>
      </c>
      <c r="Z28" s="398" t="str">
        <f t="shared" ca="1" si="85"/>
        <v>DIVAR IP all-in-one 4000 MANAGEMENT APPLIANCE 2X8TB JBOD</v>
      </c>
      <c r="AA28" s="398">
        <f t="shared" ca="1" si="28"/>
        <v>2</v>
      </c>
      <c r="AB28" s="398">
        <f t="shared" ca="1" si="86"/>
        <v>2</v>
      </c>
      <c r="AC28" s="398">
        <f t="shared" ca="1" si="87"/>
        <v>32</v>
      </c>
      <c r="AD28" s="398">
        <f t="shared" ca="1" si="88"/>
        <v>29792</v>
      </c>
      <c r="AE28" s="399">
        <f t="shared" si="89"/>
        <v>146</v>
      </c>
      <c r="AF28" s="399">
        <f t="shared" si="90"/>
        <v>16</v>
      </c>
      <c r="AG28" s="483" t="e">
        <f t="shared" ca="1" si="91"/>
        <v>#DIV/0!</v>
      </c>
      <c r="AH28" s="400">
        <f ca="1">IF(MAX(IF($C$6="No",ROUNDUP($C$3/$I28,0),ROUNDUP(($C$3+$I28)/$I28,0)),IF($C$6="No",ROUNDUP($C$4/$G28,0),ROUNDUP(($C$4+$G28)/$G28,0)),ROUNDUP('BVMS checklist'!$H$217/$J28,0))&gt;1,'BVMS checklist'!$J$224,'BVMS checklist'!$J$217)</f>
        <v>0</v>
      </c>
      <c r="AI28" s="398">
        <f t="shared" ca="1" si="92"/>
        <v>2</v>
      </c>
      <c r="AJ28" s="400">
        <f t="shared" ca="1" si="93"/>
        <v>2</v>
      </c>
      <c r="AK28" s="400">
        <f t="shared" ca="1" si="94"/>
        <v>500</v>
      </c>
      <c r="AL28" s="400">
        <f t="shared" ca="1" si="95"/>
        <v>0</v>
      </c>
      <c r="AM28" s="398">
        <f t="shared" ca="1" si="96"/>
        <v>29792</v>
      </c>
      <c r="AN28" s="401" t="e">
        <f t="shared" ca="1" si="97"/>
        <v>#DIV/0!</v>
      </c>
      <c r="AO28" s="398">
        <f t="shared" ca="1" si="98"/>
        <v>128</v>
      </c>
      <c r="AP28" s="400">
        <f ca="1">IF(MAX(IF($C$6="No",ROUNDUP($C$3/$I28,0),ROUNDUP(($C$3+$I28)/$I28,0)),IF($C$6="No",ROUNDUP($C$4/$G28,0),ROUNDUP(($C$4+$G28)/$G28,0)),ROUNDUP('BVMS checklist'!$H$217/$J28,0))&gt;1,'BVMS checklist'!$J$224,'BVMS checklist'!$J$217)+MAX(IF($C$6="No",ROUNDUP($C$3/$I28,0),ROUNDUP(($C$3+$I28)/$I28,0)),IF($C$6="No",ROUNDUP($C$4/$G28,0),ROUNDUP(($C$4+$G28)/$G28,0)))+$C$5</f>
        <v>1</v>
      </c>
      <c r="AQ28" s="400" t="b">
        <f t="shared" ca="1" si="99"/>
        <v>1</v>
      </c>
      <c r="AR28" s="400" t="str">
        <f t="shared" ca="1" si="100"/>
        <v>Accepted</v>
      </c>
      <c r="AS28" s="398" t="str">
        <f t="shared" ca="1" si="101"/>
        <v>Yes</v>
      </c>
      <c r="AT28" s="398">
        <f t="shared" ca="1" si="40"/>
        <v>2</v>
      </c>
      <c r="AU28" s="398" t="str">
        <f t="shared" ca="1" si="102"/>
        <v>DIVAR IP all-in-one 4000 MANAGEMENT APPLIANCE 2X8TB JBOD</v>
      </c>
      <c r="AV28" s="398">
        <f t="shared" ca="1" si="42"/>
        <v>2</v>
      </c>
      <c r="AW28" s="398">
        <f t="shared" ca="1" si="103"/>
        <v>2</v>
      </c>
      <c r="AX28" s="398">
        <f t="shared" ca="1" si="104"/>
        <v>32</v>
      </c>
      <c r="AY28" s="398">
        <f t="shared" ca="1" si="105"/>
        <v>29792</v>
      </c>
      <c r="AZ28" s="399">
        <f t="shared" si="106"/>
        <v>146</v>
      </c>
      <c r="BA28" s="399">
        <f t="shared" si="107"/>
        <v>16</v>
      </c>
      <c r="BB28" s="483" t="e">
        <f t="shared" ca="1" si="108"/>
        <v>#DIV/0!</v>
      </c>
      <c r="BC28" s="400">
        <f ca="1">IF(MAX(IF($D$6="No",ROUNDUP($D$3/$I28,0),ROUNDUP(($D$3+$I28)/$I28,0)),IF($D$6="No",ROUNDUP($D$4/$G28,0),ROUNDUP(($D$4+$G28)/$G28,0)),ROUNDUP('BVMS checklist'!$H$217/$J28,0))&gt;1,'BVMS checklist'!$L$224,'BVMS checklist'!$L$217)</f>
        <v>0</v>
      </c>
      <c r="BD28" s="398">
        <f t="shared" ca="1" si="109"/>
        <v>2</v>
      </c>
      <c r="BE28" s="400">
        <f t="shared" si="48"/>
        <v>1</v>
      </c>
      <c r="BF28" s="400">
        <f t="shared" si="110"/>
        <v>250</v>
      </c>
      <c r="BG28" s="400">
        <f t="shared" ca="1" si="111"/>
        <v>0</v>
      </c>
      <c r="BH28" s="398">
        <f t="shared" ca="1" si="112"/>
        <v>29792</v>
      </c>
      <c r="BI28" s="401" t="e">
        <f t="shared" ca="1" si="113"/>
        <v>#DIV/0!</v>
      </c>
      <c r="BJ28" s="398">
        <f t="shared" ca="1" si="114"/>
        <v>128</v>
      </c>
      <c r="BK28" s="400">
        <f ca="1">IF(MAX(IF($D$6="No",ROUNDUP($D$3/$I28,0),ROUNDUP(($D$3+$I28)/$I28,0)),IF($D$6="No",ROUNDUP($D$4/$G28,0),ROUNDUP(($D$4+$G28)/$G28,0)),ROUNDUP('BVMS checklist'!$H$217/$J28,0))&gt;1,'BVMS checklist'!$L$224,'BVMS checklist'!$L$217)+MAX(IF($D$6="No",ROUNDUP($D$3/$I28,0),ROUNDUP(($D$3+$I28)/$I28,0)),IF($D$6="No",ROUNDUP($D$4/$G28,0),ROUNDUP(($D$4+$G28)/$G28,0)))+$D$5</f>
        <v>1</v>
      </c>
      <c r="BL28" s="400" t="b">
        <f t="shared" ca="1" si="115"/>
        <v>1</v>
      </c>
      <c r="BM28" s="400" t="str">
        <f t="shared" ca="1" si="116"/>
        <v>Accepted</v>
      </c>
      <c r="BN28" s="398" t="str">
        <f t="shared" ca="1" si="117"/>
        <v>Yes</v>
      </c>
      <c r="BO28" s="398">
        <f t="shared" ca="1" si="54"/>
        <v>2</v>
      </c>
      <c r="BP28" s="398" t="str">
        <f t="shared" ca="1" si="118"/>
        <v>DIVAR IP all-in-one 4000 MANAGEMENT APPLIANCE 2X8TB JBOD</v>
      </c>
      <c r="BQ28" s="398">
        <f t="shared" ca="1" si="56"/>
        <v>2</v>
      </c>
      <c r="BR28" s="398">
        <f t="shared" ca="1" si="119"/>
        <v>2</v>
      </c>
      <c r="BS28" s="398">
        <f t="shared" ca="1" si="120"/>
        <v>32</v>
      </c>
      <c r="BT28" s="398">
        <f t="shared" ca="1" si="121"/>
        <v>29792</v>
      </c>
      <c r="BU28" s="399">
        <f t="shared" si="122"/>
        <v>146</v>
      </c>
      <c r="BV28" s="399">
        <f t="shared" si="123"/>
        <v>16</v>
      </c>
      <c r="BW28" s="483" t="e">
        <f t="shared" ca="1" si="124"/>
        <v>#DIV/0!</v>
      </c>
      <c r="BX28" s="400">
        <f ca="1">IF(MAX(IF($E$6="No",ROUNDUP($E$3/$I28,0),ROUNDUP(($E$3+$I28)/$I28,0)),IF($E$6="No",ROUNDUP($E$4/$G28,0),ROUNDUP(($E$4+$G28)/$G28,0)),ROUNDUP('BVMS checklist'!$H$217/$J28,0))&gt;1,'BVMS checklist'!$N$224,'BVMS checklist'!$N$217)</f>
        <v>0</v>
      </c>
      <c r="BY28" s="398">
        <f t="shared" ca="1" si="125"/>
        <v>2</v>
      </c>
      <c r="BZ28" s="400">
        <f t="shared" ca="1" si="126"/>
        <v>2</v>
      </c>
      <c r="CA28" s="400">
        <f t="shared" ca="1" si="127"/>
        <v>500</v>
      </c>
      <c r="CB28" s="400">
        <f t="shared" ca="1" si="128"/>
        <v>0</v>
      </c>
      <c r="CC28" s="398">
        <f t="shared" ca="1" si="129"/>
        <v>29792</v>
      </c>
      <c r="CD28" s="401" t="e">
        <f t="shared" ca="1" si="130"/>
        <v>#DIV/0!</v>
      </c>
      <c r="CE28" s="398">
        <f t="shared" ca="1" si="131"/>
        <v>128</v>
      </c>
      <c r="CF28" s="400">
        <f ca="1">IF(MAX(IF($E$6="No",ROUNDUP($E$3/$I28,0),ROUNDUP(($E$3+$I28)/$I28,0)),IF($E$6="No",ROUNDUP($E$4/$G28,0),ROUNDUP(($E$4+$G28)/$G28,0)),ROUNDUP('BVMS checklist'!$H$217/$J28,0))&gt;1,'BVMS checklist'!$N$224,'BVMS checklist'!$N$217)+MAX(IF($E$6="No",ROUNDUP($E$3/$I28,0),ROUNDUP(($E$3+$I28)/$I28,0)),IF($E$6="No",ROUNDUP($E$4/$G28,0),ROUNDUP(($E$4+$G28)/$G28,0)))+$E$5</f>
        <v>1</v>
      </c>
      <c r="CG28" s="400" t="b">
        <f t="shared" ca="1" si="132"/>
        <v>1</v>
      </c>
      <c r="CH28" s="400" t="str">
        <f t="shared" ca="1" si="133"/>
        <v>Accepted</v>
      </c>
      <c r="CI28" s="398" t="str">
        <f t="shared" ca="1" si="134"/>
        <v>Yes</v>
      </c>
      <c r="CJ28" s="398">
        <f t="shared" ca="1" si="69"/>
        <v>2</v>
      </c>
      <c r="CK28" s="398" t="str">
        <f t="shared" ca="1" si="135"/>
        <v>DIVAR IP all-in-one 4000 MANAGEMENT APPLIANCE 2X8TB JBOD</v>
      </c>
      <c r="CL28" s="398">
        <f t="shared" ca="1" si="71"/>
        <v>2</v>
      </c>
      <c r="CM28" s="398">
        <f t="shared" ca="1" si="136"/>
        <v>2</v>
      </c>
      <c r="CN28" s="398">
        <f t="shared" ca="1" si="137"/>
        <v>32</v>
      </c>
      <c r="CO28" s="398">
        <f t="shared" ca="1" si="138"/>
        <v>29792</v>
      </c>
      <c r="CP28" s="399">
        <f t="shared" si="139"/>
        <v>146</v>
      </c>
      <c r="CQ28" s="399">
        <f t="shared" si="140"/>
        <v>16</v>
      </c>
      <c r="CR28" s="483" t="e">
        <f t="shared" ca="1" si="141"/>
        <v>#DIV/0!</v>
      </c>
      <c r="CS28"/>
    </row>
    <row r="29" spans="1:97">
      <c r="A29" s="398" t="s">
        <v>1947</v>
      </c>
      <c r="B29" s="398" t="s">
        <v>988</v>
      </c>
      <c r="C29" s="440" t="s">
        <v>105</v>
      </c>
      <c r="D29" s="398">
        <v>1</v>
      </c>
      <c r="E29" s="398"/>
      <c r="F29" s="440">
        <v>0</v>
      </c>
      <c r="G29" s="398">
        <f>IF(C29="JBOD",((2)*16758),((1)*16758))</f>
        <v>33516</v>
      </c>
      <c r="H29" s="399">
        <v>36</v>
      </c>
      <c r="I29" s="399">
        <v>250</v>
      </c>
      <c r="J29" s="399">
        <v>64</v>
      </c>
      <c r="K29" s="399">
        <v>146</v>
      </c>
      <c r="L29" s="399">
        <v>16</v>
      </c>
      <c r="M29" s="400">
        <f ca="1">IF(MAX(IF($B$6="No",ROUNDUP($B$3/$I29,0),ROUNDUP(($B$3+$I29)/$I29,0)),IF($B$6="No",ROUNDUP($B$4/$G29,0),ROUNDUP(($B$4+$G29)/$G29,0)),ROUNDUP('BVMS checklist'!$H$217/$J29,0))&gt;1,'BVMS checklist'!$H$224,'BVMS checklist'!$H$217)</f>
        <v>0</v>
      </c>
      <c r="N29" s="398">
        <f t="shared" ref="N29" ca="1" si="142">MAX(IF($B$6="No",ROUNDUP($B$3/$I29,0),ROUNDUP(($B$3+$I29)/$I29,0)),IF($B$6="No",ROUNDUP($B$4/$G29,0),ROUNDUP($B$4/$G29,0)),IF($B$6="Yes",ROUNDUP((U29+J29)/J29,0),ROUNDUP(U29/J29,0)))</f>
        <v>2</v>
      </c>
      <c r="O29" s="400">
        <f t="shared" ref="O29" ca="1" si="143">N29</f>
        <v>2</v>
      </c>
      <c r="P29" s="400">
        <f t="shared" ref="P29" ca="1" si="144">O29*$I29</f>
        <v>500</v>
      </c>
      <c r="Q29" s="400">
        <f t="shared" ref="Q29" ca="1" si="145">IFERROR($B$3/N29,"")</f>
        <v>0</v>
      </c>
      <c r="R29" s="398">
        <f t="shared" ref="R29" ca="1" si="146">$G29*N29</f>
        <v>67032</v>
      </c>
      <c r="S29" s="401" t="e">
        <f t="shared" ref="S29" ca="1" si="147">IF(X29="yes",(R29)/$B$4,"")</f>
        <v>#DIV/0!</v>
      </c>
      <c r="T29" s="398">
        <f t="shared" ref="T29" ca="1" si="148">N29*J29</f>
        <v>128</v>
      </c>
      <c r="U29" s="400">
        <f ca="1">IF(MAX(IF($B$6="No",ROUNDUP($B$3/$I29,0),ROUNDUP(($B$3+$I29)/$I29,0)),IF($B$6="No",ROUNDUP($B$4/$G29,0),ROUNDUP(($B$4+$G29)/$G29,0)),ROUNDUP('BVMS checklist'!$H$217/$J29,0))&gt;1,'BVMS checklist'!$H$224,'BVMS checklist'!$H$217)+MAX(IF($B$6="No",ROUNDUP($B$3/$I29,0),ROUNDUP(($B$3+$I29)/$I29,0)),IF($B$6="No",ROUNDUP($B$4/$G29,0),ROUNDUP(($B$4+$G29)/$G29,0)))+$B$5</f>
        <v>1</v>
      </c>
      <c r="V29" s="400" t="b">
        <f t="shared" ref="V29" ca="1" si="149">IF(AND((T29/$D29)-U29&gt;=0,OR(N29&gt;=2,$D29&gt;=2),P29-I29&gt;=$B$3),TRUE,FALSE)</f>
        <v>1</v>
      </c>
      <c r="W29" s="400" t="str">
        <f ca="1">IF(OR(AND($B$6="Yes",V29=TRUE),$B$6="No"),"Accepted","Not accepted")</f>
        <v>Accepted</v>
      </c>
      <c r="X29" s="398" t="str">
        <f t="shared" ref="X29" ca="1" si="150">IF(AND(U29&lt;T29,Q29&lt;I29,B29="Active",W29="Accepted"),"Yes","No")</f>
        <v>Yes</v>
      </c>
      <c r="Y29" s="398">
        <f t="shared" ca="1" si="26"/>
        <v>3</v>
      </c>
      <c r="Z29" s="398" t="str">
        <f t="shared" ref="Z29" ca="1" si="151">IF(X29="Yes",$A29&amp;" "&amp;$C29,"")</f>
        <v>DIVAR IP all-in-one 4000 MANAGEMENT APPLIANCE 2X18TB JBOD</v>
      </c>
      <c r="AA29" s="398">
        <f t="shared" ca="1" si="28"/>
        <v>3</v>
      </c>
      <c r="AB29" s="398">
        <f t="shared" ref="AB29" ca="1" si="152">N29</f>
        <v>2</v>
      </c>
      <c r="AC29" s="398">
        <f t="shared" ref="AC29" ca="1" si="153">N29*$H29</f>
        <v>72</v>
      </c>
      <c r="AD29" s="398">
        <f t="shared" ref="AD29" ca="1" si="154">R29</f>
        <v>67032</v>
      </c>
      <c r="AE29" s="399">
        <f t="shared" ref="AE29" si="155">K29</f>
        <v>146</v>
      </c>
      <c r="AF29" s="399">
        <f t="shared" ref="AF29" si="156">L29</f>
        <v>16</v>
      </c>
      <c r="AG29" s="483" t="e">
        <f t="shared" ref="AG29" ca="1" si="157">S29</f>
        <v>#DIV/0!</v>
      </c>
      <c r="AH29" s="400">
        <f ca="1">IF(MAX(IF($C$6="No",ROUNDUP($C$3/$I29,0),ROUNDUP(($C$3+$I29)/$I29,0)),IF($C$6="No",ROUNDUP($C$4/$G29,0),ROUNDUP(($C$4+$G29)/$G29,0)),ROUNDUP('BVMS checklist'!$H$217/$J29,0))&gt;1,'BVMS checklist'!$J$224,'BVMS checklist'!$J$217)</f>
        <v>0</v>
      </c>
      <c r="AI29" s="398">
        <f t="shared" ref="AI29" ca="1" si="158">MAX(IF($C$6="No",ROUNDUP($C$3/$I29,0),ROUNDUP(($C$3+$I29)/$I29,0)),IF($C$6="No",ROUNDUP($C$4/$G29,0),ROUNDUP(($C$4+$G29)/$G29,0)),IF($C$6="Yes",ROUNDUP(AP29/J29,0)+1,ROUNDUP(AP29/J29,0)))</f>
        <v>2</v>
      </c>
      <c r="AJ29" s="400">
        <f t="shared" ref="AJ29" ca="1" si="159">AI29</f>
        <v>2</v>
      </c>
      <c r="AK29" s="400">
        <f t="shared" ref="AK29" ca="1" si="160">AJ29*$I29</f>
        <v>500</v>
      </c>
      <c r="AL29" s="400">
        <f t="shared" ref="AL29" ca="1" si="161">IFERROR($C$3/AI29,"")</f>
        <v>0</v>
      </c>
      <c r="AM29" s="398">
        <f t="shared" ref="AM29" ca="1" si="162">$G29*AI29</f>
        <v>67032</v>
      </c>
      <c r="AN29" s="401" t="e">
        <f t="shared" ref="AN29" ca="1" si="163">IF(AS29="yes",(AM29)/$C$4,"")</f>
        <v>#DIV/0!</v>
      </c>
      <c r="AO29" s="398">
        <f t="shared" ref="AO29" ca="1" si="164">AI29*$J29</f>
        <v>128</v>
      </c>
      <c r="AP29" s="400">
        <f ca="1">IF(MAX(IF($C$6="No",ROUNDUP($C$3/$I29,0),ROUNDUP(($C$3+$I29)/$I29,0)),IF($C$6="No",ROUNDUP($C$4/$G29,0),ROUNDUP(($C$4+$G29)/$G29,0)),ROUNDUP('BVMS checklist'!$H$217/$J29,0))&gt;1,'BVMS checklist'!$J$224,'BVMS checklist'!$J$217)+MAX(IF($C$6="No",ROUNDUP($C$3/$I29,0),ROUNDUP(($C$3+$I29)/$I29,0)),IF($C$6="No",ROUNDUP($C$4/$G29,0),ROUNDUP(($C$4+$G29)/$G29,0)))+$C$5</f>
        <v>1</v>
      </c>
      <c r="AQ29" s="400" t="b">
        <f t="shared" ref="AQ29" ca="1" si="165">IF(AND((AO29/$D29)-AP29&gt;=0,OR(AI29&gt;=2,$D29&gt;=2),AK29-I29&gt;=$C$3),TRUE,FALSE)</f>
        <v>1</v>
      </c>
      <c r="AR29" s="400" t="str">
        <f t="shared" ref="AR29" ca="1" si="166">IF(OR(AND($C$6="Yes",AQ29=TRUE),$C$6="No"),"Accepted","Not accepted")</f>
        <v>Accepted</v>
      </c>
      <c r="AS29" s="398" t="str">
        <f t="shared" ref="AS29" ca="1" si="167">IF(AND(AP29&lt;AO29,AL29&lt;$I29,$B29="Active",AR29="Accepted"),"Yes","No")</f>
        <v>Yes</v>
      </c>
      <c r="AT29" s="398">
        <f t="shared" ca="1" si="40"/>
        <v>3</v>
      </c>
      <c r="AU29" s="398" t="str">
        <f t="shared" ref="AU29" ca="1" si="168">IF(AS29="Yes",$A29&amp;" "&amp;$C29,"")</f>
        <v>DIVAR IP all-in-one 4000 MANAGEMENT APPLIANCE 2X18TB JBOD</v>
      </c>
      <c r="AV29" s="398">
        <f t="shared" ca="1" si="42"/>
        <v>3</v>
      </c>
      <c r="AW29" s="398">
        <f t="shared" ref="AW29" ca="1" si="169">AI29</f>
        <v>2</v>
      </c>
      <c r="AX29" s="398">
        <f t="shared" ref="AX29" ca="1" si="170">AI29*$H29</f>
        <v>72</v>
      </c>
      <c r="AY29" s="398">
        <f t="shared" ref="AY29" ca="1" si="171">AM29</f>
        <v>67032</v>
      </c>
      <c r="AZ29" s="399">
        <f t="shared" ref="AZ29" si="172">K29</f>
        <v>146</v>
      </c>
      <c r="BA29" s="399">
        <f t="shared" ref="BA29" si="173">L29</f>
        <v>16</v>
      </c>
      <c r="BB29" s="483" t="e">
        <f t="shared" ref="BB29" ca="1" si="174">AN29</f>
        <v>#DIV/0!</v>
      </c>
      <c r="BC29" s="400">
        <f ca="1">IF(MAX(IF($D$6="No",ROUNDUP($D$3/$I29,0),ROUNDUP(($D$3+$I29)/$I29,0)),IF($D$6="No",ROUNDUP($D$4/$G29,0),ROUNDUP(($D$4+$G29)/$G29,0)),ROUNDUP('BVMS checklist'!$H$217/$J29,0))&gt;1,'BVMS checklist'!$L$224,'BVMS checklist'!$L$217)</f>
        <v>0</v>
      </c>
      <c r="BD29" s="398">
        <f t="shared" ref="BD29" ca="1" si="175">MAX(IF($D$6="No",ROUNDUP($D$3/$I29,0),ROUNDUP(($D$3+$I29)/$I29,0)),IF($D$6="No",ROUNDUP($D$4/$G29,0),ROUNDUP(($D$4+$G29)/$G29,0)),IF($D$6="Yes",ROUNDUP(BK29/J29,0)+1,ROUNDUP(BK29/J29,0)))</f>
        <v>2</v>
      </c>
      <c r="BE29" s="400">
        <f t="shared" si="48"/>
        <v>1</v>
      </c>
      <c r="BF29" s="400">
        <f t="shared" ref="BF29" si="176">BE29*$I29</f>
        <v>250</v>
      </c>
      <c r="BG29" s="400">
        <f t="shared" ref="BG29" ca="1" si="177">IFERROR($D$3/BD29,"")</f>
        <v>0</v>
      </c>
      <c r="BH29" s="398">
        <f t="shared" ref="BH29" ca="1" si="178">$G29*BD29</f>
        <v>67032</v>
      </c>
      <c r="BI29" s="401" t="e">
        <f t="shared" ref="BI29" ca="1" si="179">IF(BN29="yes",(BH29)/$D$4,"")</f>
        <v>#DIV/0!</v>
      </c>
      <c r="BJ29" s="398">
        <f t="shared" ref="BJ29" ca="1" si="180">BD29*$J29</f>
        <v>128</v>
      </c>
      <c r="BK29" s="400">
        <f ca="1">IF(MAX(IF($D$6="No",ROUNDUP($D$3/$I29,0),ROUNDUP(($D$3+$I29)/$I29,0)),IF($D$6="No",ROUNDUP($D$4/$G29,0),ROUNDUP(($D$4+$G29)/$G29,0)),ROUNDUP('BVMS checklist'!$H$217/$J29,0))&gt;1,'BVMS checklist'!$L$224,'BVMS checklist'!$L$217)+MAX(IF($D$6="No",ROUNDUP($D$3/$I29,0),ROUNDUP(($D$3+$I29)/$I29,0)),IF($D$6="No",ROUNDUP($D$4/$G29,0),ROUNDUP(($D$4+$G29)/$G29,0)))+$D$5</f>
        <v>1</v>
      </c>
      <c r="BL29" s="400" t="b">
        <f t="shared" ref="BL29" ca="1" si="181">IF(AND((BJ29/$D29)-BK29&gt;=0,OR(BD29&gt;=2,$D29&gt;=2),BF29-I29&gt;=$D$3),TRUE,FALSE)</f>
        <v>1</v>
      </c>
      <c r="BM29" s="400" t="str">
        <f t="shared" ref="BM29" ca="1" si="182">IF(OR(AND($D$6="Yes",BL29=TRUE),$D$6="No"),"Accepted","Not accepted")</f>
        <v>Accepted</v>
      </c>
      <c r="BN29" s="398" t="str">
        <f t="shared" ref="BN29" ca="1" si="183">IF(AND(BK29&lt;BJ29,BG29&lt;$I29,$B29="Active",BM29="Accepted"),"Yes","No")</f>
        <v>Yes</v>
      </c>
      <c r="BO29" s="398">
        <f t="shared" ca="1" si="54"/>
        <v>3</v>
      </c>
      <c r="BP29" s="398" t="str">
        <f t="shared" ref="BP29" ca="1" si="184">IF(BN29="Yes",$A29&amp;" "&amp;$C29,"")</f>
        <v>DIVAR IP all-in-one 4000 MANAGEMENT APPLIANCE 2X18TB JBOD</v>
      </c>
      <c r="BQ29" s="398">
        <f t="shared" ca="1" si="56"/>
        <v>3</v>
      </c>
      <c r="BR29" s="398">
        <f t="shared" ref="BR29" ca="1" si="185">BD29</f>
        <v>2</v>
      </c>
      <c r="BS29" s="398">
        <f t="shared" ref="BS29" ca="1" si="186">BD29*$H29</f>
        <v>72</v>
      </c>
      <c r="BT29" s="398">
        <f t="shared" ref="BT29" ca="1" si="187">BH29</f>
        <v>67032</v>
      </c>
      <c r="BU29" s="399">
        <f t="shared" ref="BU29" si="188">K29</f>
        <v>146</v>
      </c>
      <c r="BV29" s="399">
        <f t="shared" ref="BV29" si="189">L29</f>
        <v>16</v>
      </c>
      <c r="BW29" s="483" t="e">
        <f t="shared" ref="BW29" ca="1" si="190">BI29</f>
        <v>#DIV/0!</v>
      </c>
      <c r="BX29" s="400">
        <f ca="1">IF(MAX(IF($E$6="No",ROUNDUP($E$3/$I29,0),ROUNDUP(($E$3+$I29)/$I29,0)),IF($E$6="No",ROUNDUP($E$4/$G29,0),ROUNDUP(($E$4+$G29)/$G29,0)),ROUNDUP('BVMS checklist'!$H$217/$J29,0))&gt;1,'BVMS checklist'!$N$224,'BVMS checklist'!$N$217)</f>
        <v>0</v>
      </c>
      <c r="BY29" s="398">
        <f t="shared" ref="BY29" ca="1" si="191">MAX(IF($E$6="No",ROUNDUP($E$3/$I29,0),ROUNDUP(($E$3+$I29)/$I29,0)),IF($E$6="No",ROUNDUP($E$4/$G29,0),ROUNDUP(($E$4+$G29)/$G29,0)),IF($E$6="Yes",ROUNDUP(CF29/J29,0)+1,ROUNDUP(CF29/J29,0)))</f>
        <v>2</v>
      </c>
      <c r="BZ29" s="400">
        <f t="shared" ref="BZ29" ca="1" si="192">BY29</f>
        <v>2</v>
      </c>
      <c r="CA29" s="400">
        <f t="shared" ref="CA29" ca="1" si="193">BZ29*$I29</f>
        <v>500</v>
      </c>
      <c r="CB29" s="400">
        <f t="shared" ref="CB29" ca="1" si="194">IFERROR($E$3/BY29,"")</f>
        <v>0</v>
      </c>
      <c r="CC29" s="398">
        <f t="shared" ref="CC29" ca="1" si="195">$G29*BY29</f>
        <v>67032</v>
      </c>
      <c r="CD29" s="401" t="e">
        <f t="shared" ref="CD29" ca="1" si="196">IF(CI29="yes",(CC29)/$E$4,"")</f>
        <v>#DIV/0!</v>
      </c>
      <c r="CE29" s="398">
        <f t="shared" ref="CE29" ca="1" si="197">BY29*$J29</f>
        <v>128</v>
      </c>
      <c r="CF29" s="400">
        <f ca="1">IF(MAX(IF($E$6="No",ROUNDUP($E$3/$I29,0),ROUNDUP(($E$3+$I29)/$I29,0)),IF($E$6="No",ROUNDUP($E$4/$G29,0),ROUNDUP(($E$4+$G29)/$G29,0)),ROUNDUP('BVMS checklist'!$H$217/$J29,0))&gt;1,'BVMS checklist'!$N$224,'BVMS checklist'!$N$217)+MAX(IF($E$6="No",ROUNDUP($E$3/$I29,0),ROUNDUP(($E$3+$I29)/$I29,0)),IF($E$6="No",ROUNDUP($E$4/$G29,0),ROUNDUP(($E$4+$G29)/$G29,0)))+$E$5</f>
        <v>1</v>
      </c>
      <c r="CG29" s="400" t="b">
        <f t="shared" ref="CG29" ca="1" si="198">IF(AND((CE29/$D29)-CF29&gt;=0,OR(BY29&gt;=2,$D29&gt;=2),CA29-I29&gt;=$E$3),TRUE,FALSE)</f>
        <v>1</v>
      </c>
      <c r="CH29" s="400" t="str">
        <f t="shared" ref="CH29" ca="1" si="199">IF(OR(AND($E$6="Yes",CG29=TRUE),$E$6="No"),"Accepted","Not accepted")</f>
        <v>Accepted</v>
      </c>
      <c r="CI29" s="398" t="str">
        <f t="shared" ref="CI29" ca="1" si="200">IF(AND(CF29&lt;CE29,CB29&lt;$I29,$B29="Active",CH29="Accepted"),"Yes","No")</f>
        <v>Yes</v>
      </c>
      <c r="CJ29" s="398">
        <f t="shared" ca="1" si="69"/>
        <v>3</v>
      </c>
      <c r="CK29" s="398" t="str">
        <f t="shared" ref="CK29" ca="1" si="201">IF(CI29="Yes",$A29&amp;" "&amp;$C29,"")</f>
        <v>DIVAR IP all-in-one 4000 MANAGEMENT APPLIANCE 2X18TB JBOD</v>
      </c>
      <c r="CL29" s="398">
        <f t="shared" ca="1" si="71"/>
        <v>3</v>
      </c>
      <c r="CM29" s="398">
        <f t="shared" ref="CM29" ca="1" si="202">BY29</f>
        <v>2</v>
      </c>
      <c r="CN29" s="398">
        <f t="shared" ref="CN29" ca="1" si="203">BY29*$H29</f>
        <v>72</v>
      </c>
      <c r="CO29" s="398">
        <f t="shared" ref="CO29" ca="1" si="204">CC29</f>
        <v>67032</v>
      </c>
      <c r="CP29" s="399">
        <f t="shared" ref="CP29" si="205">K29</f>
        <v>146</v>
      </c>
      <c r="CQ29" s="399">
        <f t="shared" ref="CQ29" si="206">L29</f>
        <v>16</v>
      </c>
      <c r="CR29" s="483" t="e">
        <f t="shared" ref="CR29" ca="1" si="207">CD29</f>
        <v>#DIV/0!</v>
      </c>
      <c r="CS29"/>
    </row>
    <row r="30" spans="1:97">
      <c r="A30" s="398" t="s">
        <v>890</v>
      </c>
      <c r="B30" s="398" t="s">
        <v>987</v>
      </c>
      <c r="C30" s="440" t="s">
        <v>105</v>
      </c>
      <c r="D30" s="398">
        <v>1</v>
      </c>
      <c r="E30" s="398"/>
      <c r="F30" s="440">
        <v>0</v>
      </c>
      <c r="G30" s="398">
        <f>IF(C30="JBOD",((4)*3724),((2)*3724))</f>
        <v>14896</v>
      </c>
      <c r="H30" s="399">
        <v>16</v>
      </c>
      <c r="I30" s="399">
        <v>170</v>
      </c>
      <c r="J30" s="399">
        <v>47</v>
      </c>
      <c r="K30" s="399">
        <v>200</v>
      </c>
      <c r="L30" s="399">
        <v>16</v>
      </c>
      <c r="M30" s="400">
        <f ca="1">IF(MAX(IF($B$6="No",ROUNDUP($B$3/$I30,0),ROUNDUP(($B$3+$I30)/$I30,0)),IF($B$6="No",ROUNDUP($B$4/$G30,0),ROUNDUP(($B$4+$G30)/$G30,0)),ROUNDUP('BVMS checklist'!$H$217/$J30,0))&gt;1,'BVMS checklist'!$H$224,'BVMS checklist'!$H$217)</f>
        <v>0</v>
      </c>
      <c r="N30" s="398">
        <f t="shared" ca="1" si="20"/>
        <v>2</v>
      </c>
      <c r="O30" s="400">
        <f t="shared" ca="1" si="21"/>
        <v>2</v>
      </c>
      <c r="P30" s="400">
        <f t="shared" ca="1" si="0"/>
        <v>340</v>
      </c>
      <c r="Q30" s="400">
        <f t="shared" ca="1" si="1"/>
        <v>0</v>
      </c>
      <c r="R30" s="398">
        <f t="shared" ca="1" si="2"/>
        <v>29792</v>
      </c>
      <c r="S30" s="401" t="str">
        <f t="shared" ca="1" si="22"/>
        <v/>
      </c>
      <c r="T30" s="398">
        <f t="shared" ca="1" si="23"/>
        <v>94</v>
      </c>
      <c r="U30" s="400">
        <f ca="1">IF(MAX(IF($B$6="No",ROUNDUP($B$3/$I30,0),ROUNDUP(($B$3+$I30)/$I30,0)),IF($B$6="No",ROUNDUP($B$4/$G30,0),ROUNDUP(($B$4+$G30)/$G30,0)),ROUNDUP('BVMS checklist'!$H$217/$J30,0))&gt;1,'BVMS checklist'!$H$224,'BVMS checklist'!$H$217)+MAX(IF($B$6="No",ROUNDUP($B$3/$I30,0),ROUNDUP(($B$3+$I30)/$I30,0)),IF($B$6="No",ROUNDUP($B$4/$G30,0),ROUNDUP(($B$4+$G30)/$G30,0)))+$B$5</f>
        <v>1</v>
      </c>
      <c r="V30" s="400" t="b">
        <f t="shared" ca="1" si="3"/>
        <v>1</v>
      </c>
      <c r="W30" s="400" t="str">
        <f ca="1">IF(OR(AND($B$6="Yes",V30=TRUE),$B$6="No"),"Accepted","Not accepted")</f>
        <v>Accepted</v>
      </c>
      <c r="X30" s="398" t="str">
        <f t="shared" ca="1" si="25"/>
        <v>No</v>
      </c>
      <c r="Y30" s="398" t="str">
        <f t="shared" ca="1" si="26"/>
        <v/>
      </c>
      <c r="Z30" s="398" t="str">
        <f t="shared" ca="1" si="27"/>
        <v/>
      </c>
      <c r="AA30" s="398">
        <f t="shared" ca="1" si="28"/>
        <v>3</v>
      </c>
      <c r="AB30" s="398">
        <f t="shared" ca="1" si="4"/>
        <v>2</v>
      </c>
      <c r="AC30" s="398">
        <f t="shared" ca="1" si="5"/>
        <v>32</v>
      </c>
      <c r="AD30" s="398">
        <f t="shared" ca="1" si="29"/>
        <v>29792</v>
      </c>
      <c r="AE30" s="399">
        <f t="shared" si="6"/>
        <v>200</v>
      </c>
      <c r="AF30" s="399">
        <f t="shared" si="7"/>
        <v>16</v>
      </c>
      <c r="AG30" s="483" t="str">
        <f t="shared" ca="1" si="30"/>
        <v/>
      </c>
      <c r="AH30" s="400">
        <f ca="1">IF(MAX(IF($C$6="No",ROUNDUP($C$3/$I30,0),ROUNDUP(($C$3+$I30)/$I30,0)),IF($C$6="No",ROUNDUP($C$4/$G30,0),ROUNDUP(($C$4+$G30)/$G30,0)),ROUNDUP('BVMS checklist'!$H$217/$J30,0))&gt;1,'BVMS checklist'!$J$224,'BVMS checklist'!$J$217)</f>
        <v>0</v>
      </c>
      <c r="AI30" s="398">
        <f t="shared" ca="1" si="31"/>
        <v>2</v>
      </c>
      <c r="AJ30" s="400">
        <f t="shared" ca="1" si="32"/>
        <v>2</v>
      </c>
      <c r="AK30" s="400">
        <f t="shared" ca="1" si="33"/>
        <v>340</v>
      </c>
      <c r="AL30" s="400">
        <f t="shared" ca="1" si="34"/>
        <v>0</v>
      </c>
      <c r="AM30" s="398">
        <f t="shared" ca="1" si="35"/>
        <v>29792</v>
      </c>
      <c r="AN30" s="401" t="str">
        <f t="shared" ca="1" si="36"/>
        <v/>
      </c>
      <c r="AO30" s="398">
        <f t="shared" ca="1" si="37"/>
        <v>94</v>
      </c>
      <c r="AP30" s="400">
        <f ca="1">IF(MAX(IF($C$6="No",ROUNDUP($C$3/$I30,0),ROUNDUP(($C$3+$I30)/$I30,0)),IF($C$6="No",ROUNDUP($C$4/$G30,0),ROUNDUP(($C$4+$G30)/$G30,0)),ROUNDUP('BVMS checklist'!$H$217/$J30,0))&gt;1,'BVMS checklist'!$J$224,'BVMS checklist'!$J$217)+MAX(IF($C$6="No",ROUNDUP($C$3/$I30,0),ROUNDUP(($C$3+$I30)/$I30,0)),IF($C$6="No",ROUNDUP($C$4/$G30,0),ROUNDUP(($C$4+$G30)/$G30,0)))+$C$5</f>
        <v>1</v>
      </c>
      <c r="AQ30" s="400" t="b">
        <f t="shared" ca="1" si="8"/>
        <v>1</v>
      </c>
      <c r="AR30" s="400" t="str">
        <f t="shared" ca="1" si="38"/>
        <v>Accepted</v>
      </c>
      <c r="AS30" s="398" t="str">
        <f t="shared" ca="1" si="39"/>
        <v>No</v>
      </c>
      <c r="AT30" s="398" t="str">
        <f t="shared" ca="1" si="40"/>
        <v/>
      </c>
      <c r="AU30" s="398" t="str">
        <f t="shared" ca="1" si="41"/>
        <v/>
      </c>
      <c r="AV30" s="398">
        <f t="shared" ca="1" si="42"/>
        <v>3</v>
      </c>
      <c r="AW30" s="398">
        <f t="shared" ca="1" si="43"/>
        <v>2</v>
      </c>
      <c r="AX30" s="398">
        <f t="shared" ca="1" si="44"/>
        <v>32</v>
      </c>
      <c r="AY30" s="398">
        <f t="shared" ca="1" si="45"/>
        <v>29792</v>
      </c>
      <c r="AZ30" s="399">
        <f t="shared" si="9"/>
        <v>200</v>
      </c>
      <c r="BA30" s="399">
        <f t="shared" si="10"/>
        <v>16</v>
      </c>
      <c r="BB30" s="483" t="str">
        <f t="shared" ca="1" si="46"/>
        <v/>
      </c>
      <c r="BC30" s="400">
        <f ca="1">IF(MAX(IF($D$6="No",ROUNDUP($D$3/$I30,0),ROUNDUP(($D$3+$I30)/$I30,0)),IF($D$6="No",ROUNDUP($D$4/$G30,0),ROUNDUP(($D$4+$G30)/$G30,0)),ROUNDUP('BVMS checklist'!$H$217/$J30,0))&gt;1,'BVMS checklist'!$L$224,'BVMS checklist'!$L$217)</f>
        <v>0</v>
      </c>
      <c r="BD30" s="398">
        <f t="shared" ca="1" si="47"/>
        <v>2</v>
      </c>
      <c r="BE30" s="400">
        <f t="shared" si="48"/>
        <v>1</v>
      </c>
      <c r="BF30" s="400">
        <f t="shared" si="49"/>
        <v>170</v>
      </c>
      <c r="BG30" s="400">
        <f t="shared" ca="1" si="11"/>
        <v>0</v>
      </c>
      <c r="BH30" s="398">
        <f t="shared" ca="1" si="50"/>
        <v>29792</v>
      </c>
      <c r="BI30" s="401" t="str">
        <f t="shared" ca="1" si="51"/>
        <v/>
      </c>
      <c r="BJ30" s="398">
        <f t="shared" ca="1" si="52"/>
        <v>94</v>
      </c>
      <c r="BK30" s="400">
        <f ca="1">IF(MAX(IF($D$6="No",ROUNDUP($D$3/$I30,0),ROUNDUP(($D$3+$I30)/$I30,0)),IF($D$6="No",ROUNDUP($D$4/$G30,0),ROUNDUP(($D$4+$G30)/$G30,0)),ROUNDUP('BVMS checklist'!$H$217/$J30,0))&gt;1,'BVMS checklist'!$L$224,'BVMS checklist'!$L$217)+MAX(IF($D$6="No",ROUNDUP($D$3/$I30,0),ROUNDUP(($D$3+$I30)/$I30,0)),IF($D$6="No",ROUNDUP($D$4/$G30,0),ROUNDUP(($D$4+$G30)/$G30,0)))+$D$5</f>
        <v>1</v>
      </c>
      <c r="BL30" s="400" t="b">
        <f t="shared" ca="1" si="12"/>
        <v>1</v>
      </c>
      <c r="BM30" s="400" t="str">
        <f t="shared" ca="1" si="53"/>
        <v>Accepted</v>
      </c>
      <c r="BN30" s="398" t="str">
        <f t="shared" ca="1" si="13"/>
        <v>No</v>
      </c>
      <c r="BO30" s="398" t="str">
        <f t="shared" ca="1" si="54"/>
        <v/>
      </c>
      <c r="BP30" s="398" t="str">
        <f t="shared" ca="1" si="55"/>
        <v/>
      </c>
      <c r="BQ30" s="398">
        <f t="shared" ca="1" si="56"/>
        <v>3</v>
      </c>
      <c r="BR30" s="398">
        <f t="shared" ca="1" si="57"/>
        <v>2</v>
      </c>
      <c r="BS30" s="398">
        <f t="shared" ca="1" si="58"/>
        <v>32</v>
      </c>
      <c r="BT30" s="398">
        <f t="shared" ca="1" si="59"/>
        <v>29792</v>
      </c>
      <c r="BU30" s="399">
        <f t="shared" si="14"/>
        <v>200</v>
      </c>
      <c r="BV30" s="399">
        <f t="shared" si="15"/>
        <v>16</v>
      </c>
      <c r="BW30" s="483" t="str">
        <f t="shared" ca="1" si="60"/>
        <v/>
      </c>
      <c r="BX30" s="400">
        <f ca="1">IF(MAX(IF($E$6="No",ROUNDUP($E$3/$I30,0),ROUNDUP(($E$3+$I30)/$I30,0)),IF($E$6="No",ROUNDUP($E$4/$G30,0),ROUNDUP(($E$4+$G30)/$G30,0)),ROUNDUP('BVMS checklist'!$H$217/$J30,0))&gt;1,'BVMS checklist'!$N$224,'BVMS checklist'!$N$217)</f>
        <v>0</v>
      </c>
      <c r="BY30" s="398">
        <f t="shared" ca="1" si="61"/>
        <v>2</v>
      </c>
      <c r="BZ30" s="400">
        <f t="shared" ca="1" si="62"/>
        <v>2</v>
      </c>
      <c r="CA30" s="400">
        <f t="shared" ca="1" si="63"/>
        <v>340</v>
      </c>
      <c r="CB30" s="400">
        <f t="shared" ca="1" si="16"/>
        <v>0</v>
      </c>
      <c r="CC30" s="398">
        <f t="shared" ca="1" si="64"/>
        <v>29792</v>
      </c>
      <c r="CD30" s="401" t="str">
        <f t="shared" ca="1" si="65"/>
        <v/>
      </c>
      <c r="CE30" s="398">
        <f t="shared" ca="1" si="66"/>
        <v>94</v>
      </c>
      <c r="CF30" s="400">
        <f ca="1">IF(MAX(IF($E$6="No",ROUNDUP($E$3/$I30,0),ROUNDUP(($E$3+$I30)/$I30,0)),IF($E$6="No",ROUNDUP($E$4/$G30,0),ROUNDUP(($E$4+$G30)/$G30,0)),ROUNDUP('BVMS checklist'!$H$217/$J30,0))&gt;1,'BVMS checklist'!$N$224,'BVMS checklist'!$N$217)+MAX(IF($E$6="No",ROUNDUP($E$3/$I30,0),ROUNDUP(($E$3+$I30)/$I30,0)),IF($E$6="No",ROUNDUP($E$4/$G30,0),ROUNDUP(($E$4+$G30)/$G30,0)))+$E$5</f>
        <v>1</v>
      </c>
      <c r="CG30" s="400" t="b">
        <f t="shared" ca="1" si="17"/>
        <v>1</v>
      </c>
      <c r="CH30" s="400" t="str">
        <f t="shared" ca="1" si="67"/>
        <v>Accepted</v>
      </c>
      <c r="CI30" s="398" t="str">
        <f t="shared" ca="1" si="68"/>
        <v>No</v>
      </c>
      <c r="CJ30" s="398" t="str">
        <f t="shared" ca="1" si="69"/>
        <v/>
      </c>
      <c r="CK30" s="398" t="str">
        <f t="shared" ca="1" si="70"/>
        <v/>
      </c>
      <c r="CL30" s="398">
        <f t="shared" ca="1" si="71"/>
        <v>3</v>
      </c>
      <c r="CM30" s="398">
        <f t="shared" ca="1" si="72"/>
        <v>2</v>
      </c>
      <c r="CN30" s="398">
        <f t="shared" ca="1" si="73"/>
        <v>32</v>
      </c>
      <c r="CO30" s="398">
        <f t="shared" ca="1" si="74"/>
        <v>29792</v>
      </c>
      <c r="CP30" s="399">
        <f t="shared" si="18"/>
        <v>200</v>
      </c>
      <c r="CQ30" s="399">
        <f t="shared" si="19"/>
        <v>16</v>
      </c>
      <c r="CR30" s="483" t="str">
        <f t="shared" ca="1" si="75"/>
        <v/>
      </c>
      <c r="CS30"/>
    </row>
    <row r="31" spans="1:97">
      <c r="A31" s="398" t="s">
        <v>885</v>
      </c>
      <c r="B31" s="398" t="s">
        <v>987</v>
      </c>
      <c r="C31" s="440" t="s">
        <v>105</v>
      </c>
      <c r="D31" s="398">
        <v>1</v>
      </c>
      <c r="E31" s="398"/>
      <c r="F31" s="440">
        <v>0</v>
      </c>
      <c r="G31" s="398">
        <f>IF(C31="JBOD",((4)*7448),((2)*7448))</f>
        <v>29792</v>
      </c>
      <c r="H31" s="399">
        <v>32</v>
      </c>
      <c r="I31" s="399">
        <v>170</v>
      </c>
      <c r="J31" s="399">
        <v>47</v>
      </c>
      <c r="K31" s="399">
        <v>200</v>
      </c>
      <c r="L31" s="399">
        <v>16</v>
      </c>
      <c r="M31" s="400">
        <f ca="1">IF(MAX(IF($B$6="No",ROUNDUP($B$3/$I31,0),ROUNDUP(($B$3+$I31)/$I31,0)),IF($B$6="No",ROUNDUP($B$4/$G31,0),ROUNDUP(($B$4+$G31)/$G31,0)),ROUNDUP('BVMS checklist'!$H$217/$J31,0))&gt;1,'BVMS checklist'!$H$224,'BVMS checklist'!$H$217)</f>
        <v>0</v>
      </c>
      <c r="N31" s="398">
        <f t="shared" ca="1" si="20"/>
        <v>2</v>
      </c>
      <c r="O31" s="400">
        <f t="shared" ca="1" si="21"/>
        <v>2</v>
      </c>
      <c r="P31" s="400">
        <f t="shared" ca="1" si="0"/>
        <v>340</v>
      </c>
      <c r="Q31" s="400">
        <f t="shared" ca="1" si="1"/>
        <v>0</v>
      </c>
      <c r="R31" s="398">
        <f t="shared" ca="1" si="2"/>
        <v>59584</v>
      </c>
      <c r="S31" s="401" t="str">
        <f t="shared" ca="1" si="22"/>
        <v/>
      </c>
      <c r="T31" s="398">
        <f t="shared" ca="1" si="23"/>
        <v>94</v>
      </c>
      <c r="U31" s="400">
        <f ca="1">IF(MAX(IF($B$6="No",ROUNDUP($B$3/$I31,0),ROUNDUP(($B$3+$I31)/$I31,0)),IF($B$6="No",ROUNDUP($B$4/$G31,0),ROUNDUP(($B$4+$G31)/$G31,0)),ROUNDUP('BVMS checklist'!$H$217/$J31,0))&gt;1,'BVMS checklist'!$H$224,'BVMS checklist'!$H$217)+MAX(IF($B$6="No",ROUNDUP($B$3/$I31,0),ROUNDUP(($B$3+$I31)/$I31,0)),IF($B$6="No",ROUNDUP($B$4/$G31,0),ROUNDUP(($B$4+$G31)/$G31,0)))+$B$5</f>
        <v>1</v>
      </c>
      <c r="V31" s="400" t="b">
        <f t="shared" ca="1" si="3"/>
        <v>1</v>
      </c>
      <c r="W31" s="400" t="str">
        <f t="shared" ca="1" si="24"/>
        <v>Accepted</v>
      </c>
      <c r="X31" s="398" t="str">
        <f t="shared" ca="1" si="25"/>
        <v>No</v>
      </c>
      <c r="Y31" s="398" t="str">
        <f t="shared" ca="1" si="26"/>
        <v/>
      </c>
      <c r="Z31" s="398" t="str">
        <f t="shared" ca="1" si="27"/>
        <v/>
      </c>
      <c r="AA31" s="398">
        <f t="shared" ca="1" si="28"/>
        <v>3</v>
      </c>
      <c r="AB31" s="398">
        <f t="shared" ca="1" si="4"/>
        <v>2</v>
      </c>
      <c r="AC31" s="398">
        <f t="shared" ca="1" si="5"/>
        <v>64</v>
      </c>
      <c r="AD31" s="398">
        <f t="shared" ca="1" si="29"/>
        <v>59584</v>
      </c>
      <c r="AE31" s="399">
        <f t="shared" si="6"/>
        <v>200</v>
      </c>
      <c r="AF31" s="399">
        <f t="shared" si="7"/>
        <v>16</v>
      </c>
      <c r="AG31" s="483" t="str">
        <f t="shared" ca="1" si="30"/>
        <v/>
      </c>
      <c r="AH31" s="400">
        <f ca="1">IF(MAX(IF($C$6="No",ROUNDUP($C$3/$I31,0),ROUNDUP(($C$3+$I31)/$I31,0)),IF($C$6="No",ROUNDUP($C$4/$G31,0),ROUNDUP(($C$4+$G31)/$G31,0)),ROUNDUP('BVMS checklist'!$H$217/$J31,0))&gt;1,'BVMS checklist'!$J$224,'BVMS checklist'!$J$217)</f>
        <v>0</v>
      </c>
      <c r="AI31" s="398">
        <f t="shared" ca="1" si="31"/>
        <v>2</v>
      </c>
      <c r="AJ31" s="400">
        <f t="shared" ca="1" si="32"/>
        <v>2</v>
      </c>
      <c r="AK31" s="400">
        <f t="shared" ca="1" si="33"/>
        <v>340</v>
      </c>
      <c r="AL31" s="400">
        <f t="shared" ca="1" si="34"/>
        <v>0</v>
      </c>
      <c r="AM31" s="398">
        <f t="shared" ca="1" si="35"/>
        <v>59584</v>
      </c>
      <c r="AN31" s="401" t="str">
        <f t="shared" ca="1" si="36"/>
        <v/>
      </c>
      <c r="AO31" s="398">
        <f t="shared" ca="1" si="37"/>
        <v>94</v>
      </c>
      <c r="AP31" s="400">
        <f ca="1">IF(MAX(IF($C$6="No",ROUNDUP($C$3/$I31,0),ROUNDUP(($C$3+$I31)/$I31,0)),IF($C$6="No",ROUNDUP($C$4/$G31,0),ROUNDUP(($C$4+$G31)/$G31,0)),ROUNDUP('BVMS checklist'!$H$217/$J31,0))&gt;1,'BVMS checklist'!$J$224,'BVMS checklist'!$J$217)+MAX(IF($C$6="No",ROUNDUP($C$3/$I31,0),ROUNDUP(($C$3+$I31)/$I31,0)),IF($C$6="No",ROUNDUP($C$4/$G31,0),ROUNDUP(($C$4+$G31)/$G31,0)))+$C$5</f>
        <v>1</v>
      </c>
      <c r="AQ31" s="400" t="b">
        <f t="shared" ca="1" si="8"/>
        <v>1</v>
      </c>
      <c r="AR31" s="400" t="str">
        <f t="shared" ca="1" si="38"/>
        <v>Accepted</v>
      </c>
      <c r="AS31" s="398" t="str">
        <f t="shared" ca="1" si="39"/>
        <v>No</v>
      </c>
      <c r="AT31" s="398" t="str">
        <f t="shared" ca="1" si="40"/>
        <v/>
      </c>
      <c r="AU31" s="398" t="str">
        <f t="shared" ca="1" si="41"/>
        <v/>
      </c>
      <c r="AV31" s="398">
        <f t="shared" ca="1" si="42"/>
        <v>3</v>
      </c>
      <c r="AW31" s="398">
        <f t="shared" ca="1" si="43"/>
        <v>2</v>
      </c>
      <c r="AX31" s="398">
        <f t="shared" ca="1" si="44"/>
        <v>64</v>
      </c>
      <c r="AY31" s="398">
        <f t="shared" ca="1" si="45"/>
        <v>59584</v>
      </c>
      <c r="AZ31" s="399">
        <f t="shared" si="9"/>
        <v>200</v>
      </c>
      <c r="BA31" s="399">
        <f t="shared" si="10"/>
        <v>16</v>
      </c>
      <c r="BB31" s="483" t="str">
        <f t="shared" ca="1" si="46"/>
        <v/>
      </c>
      <c r="BC31" s="400">
        <f ca="1">IF(MAX(IF($D$6="No",ROUNDUP($D$3/$I31,0),ROUNDUP(($D$3+$I31)/$I31,0)),IF($D$6="No",ROUNDUP($D$4/$G31,0),ROUNDUP(($D$4+$G31)/$G31,0)),ROUNDUP('BVMS checklist'!$H$217/$J31,0))&gt;1,'BVMS checklist'!$L$224,'BVMS checklist'!$L$217)</f>
        <v>0</v>
      </c>
      <c r="BD31" s="398">
        <f t="shared" ca="1" si="47"/>
        <v>2</v>
      </c>
      <c r="BE31" s="400">
        <f t="shared" si="48"/>
        <v>1</v>
      </c>
      <c r="BF31" s="400">
        <f t="shared" si="49"/>
        <v>170</v>
      </c>
      <c r="BG31" s="400">
        <f t="shared" ca="1" si="11"/>
        <v>0</v>
      </c>
      <c r="BH31" s="398">
        <f t="shared" ca="1" si="50"/>
        <v>59584</v>
      </c>
      <c r="BI31" s="401" t="str">
        <f t="shared" ca="1" si="51"/>
        <v/>
      </c>
      <c r="BJ31" s="398">
        <f t="shared" ca="1" si="52"/>
        <v>94</v>
      </c>
      <c r="BK31" s="400">
        <f ca="1">IF(MAX(IF($D$6="No",ROUNDUP($D$3/$I31,0),ROUNDUP(($D$3+$I31)/$I31,0)),IF($D$6="No",ROUNDUP($D$4/$G31,0),ROUNDUP(($D$4+$G31)/$G31,0)),ROUNDUP('BVMS checklist'!$H$217/$J31,0))&gt;1,'BVMS checklist'!$L$224,'BVMS checklist'!$L$217)+MAX(IF($D$6="No",ROUNDUP($D$3/$I31,0),ROUNDUP(($D$3+$I31)/$I31,0)),IF($D$6="No",ROUNDUP($D$4/$G31,0),ROUNDUP(($D$4+$G31)/$G31,0)))+$D$5</f>
        <v>1</v>
      </c>
      <c r="BL31" s="400" t="b">
        <f t="shared" ca="1" si="12"/>
        <v>1</v>
      </c>
      <c r="BM31" s="400" t="str">
        <f t="shared" ca="1" si="53"/>
        <v>Accepted</v>
      </c>
      <c r="BN31" s="398" t="str">
        <f t="shared" ca="1" si="13"/>
        <v>No</v>
      </c>
      <c r="BO31" s="398" t="str">
        <f t="shared" ca="1" si="54"/>
        <v/>
      </c>
      <c r="BP31" s="398" t="str">
        <f t="shared" ca="1" si="55"/>
        <v/>
      </c>
      <c r="BQ31" s="398">
        <f t="shared" ca="1" si="56"/>
        <v>3</v>
      </c>
      <c r="BR31" s="398">
        <f t="shared" ca="1" si="57"/>
        <v>2</v>
      </c>
      <c r="BS31" s="398">
        <f t="shared" ca="1" si="58"/>
        <v>64</v>
      </c>
      <c r="BT31" s="398">
        <f t="shared" ca="1" si="59"/>
        <v>59584</v>
      </c>
      <c r="BU31" s="399">
        <f t="shared" si="14"/>
        <v>200</v>
      </c>
      <c r="BV31" s="399">
        <f t="shared" si="15"/>
        <v>16</v>
      </c>
      <c r="BW31" s="483" t="str">
        <f t="shared" ca="1" si="60"/>
        <v/>
      </c>
      <c r="BX31" s="400">
        <f ca="1">IF(MAX(IF($E$6="No",ROUNDUP($E$3/$I31,0),ROUNDUP(($E$3+$I31)/$I31,0)),IF($E$6="No",ROUNDUP($E$4/$G31,0),ROUNDUP(($E$4+$G31)/$G31,0)),ROUNDUP('BVMS checklist'!$H$217/$J31,0))&gt;1,'BVMS checklist'!$N$224,'BVMS checklist'!$N$217)</f>
        <v>0</v>
      </c>
      <c r="BY31" s="398">
        <f t="shared" ca="1" si="61"/>
        <v>2</v>
      </c>
      <c r="BZ31" s="400">
        <f t="shared" ca="1" si="62"/>
        <v>2</v>
      </c>
      <c r="CA31" s="400">
        <f t="shared" ca="1" si="63"/>
        <v>340</v>
      </c>
      <c r="CB31" s="400">
        <f t="shared" ca="1" si="16"/>
        <v>0</v>
      </c>
      <c r="CC31" s="398">
        <f t="shared" ca="1" si="64"/>
        <v>59584</v>
      </c>
      <c r="CD31" s="401" t="str">
        <f t="shared" ca="1" si="65"/>
        <v/>
      </c>
      <c r="CE31" s="398">
        <f t="shared" ca="1" si="66"/>
        <v>94</v>
      </c>
      <c r="CF31" s="400">
        <f ca="1">IF(MAX(IF($E$6="No",ROUNDUP($E$3/$I31,0),ROUNDUP(($E$3+$I31)/$I31,0)),IF($E$6="No",ROUNDUP($E$4/$G31,0),ROUNDUP(($E$4+$G31)/$G31,0)),ROUNDUP('BVMS checklist'!$H$217/$J31,0))&gt;1,'BVMS checklist'!$N$224,'BVMS checklist'!$N$217)+MAX(IF($E$6="No",ROUNDUP($E$3/$I31,0),ROUNDUP(($E$3+$I31)/$I31,0)),IF($E$6="No",ROUNDUP($E$4/$G31,0),ROUNDUP(($E$4+$G31)/$G31,0)))+$E$5</f>
        <v>1</v>
      </c>
      <c r="CG31" s="400" t="b">
        <f t="shared" ca="1" si="17"/>
        <v>1</v>
      </c>
      <c r="CH31" s="400" t="str">
        <f t="shared" ca="1" si="67"/>
        <v>Accepted</v>
      </c>
      <c r="CI31" s="398" t="str">
        <f t="shared" ca="1" si="68"/>
        <v>No</v>
      </c>
      <c r="CJ31" s="398" t="str">
        <f t="shared" ca="1" si="69"/>
        <v/>
      </c>
      <c r="CK31" s="398" t="str">
        <f t="shared" ca="1" si="70"/>
        <v/>
      </c>
      <c r="CL31" s="398">
        <f t="shared" ca="1" si="71"/>
        <v>3</v>
      </c>
      <c r="CM31" s="398">
        <f t="shared" ca="1" si="72"/>
        <v>2</v>
      </c>
      <c r="CN31" s="398">
        <f t="shared" ca="1" si="73"/>
        <v>64</v>
      </c>
      <c r="CO31" s="398">
        <f t="shared" ca="1" si="74"/>
        <v>59584</v>
      </c>
      <c r="CP31" s="399">
        <f t="shared" si="18"/>
        <v>200</v>
      </c>
      <c r="CQ31" s="399">
        <f t="shared" si="19"/>
        <v>16</v>
      </c>
      <c r="CR31" s="483" t="str">
        <f t="shared" ca="1" si="75"/>
        <v/>
      </c>
      <c r="CS31"/>
    </row>
    <row r="32" spans="1:97">
      <c r="A32" s="398" t="s">
        <v>886</v>
      </c>
      <c r="B32" s="398" t="s">
        <v>987</v>
      </c>
      <c r="C32" s="440" t="s">
        <v>105</v>
      </c>
      <c r="D32" s="398">
        <v>1</v>
      </c>
      <c r="E32" s="398"/>
      <c r="F32" s="440">
        <v>0</v>
      </c>
      <c r="G32" s="398">
        <f>IF(C32="JBOD",((4)*11172),((2)*11172))</f>
        <v>44688</v>
      </c>
      <c r="H32" s="399">
        <v>48</v>
      </c>
      <c r="I32" s="399">
        <v>170</v>
      </c>
      <c r="J32" s="399">
        <v>47</v>
      </c>
      <c r="K32" s="399">
        <v>200</v>
      </c>
      <c r="L32" s="399">
        <v>16</v>
      </c>
      <c r="M32" s="400">
        <f ca="1">IF(MAX(IF($B$6="No",ROUNDUP($B$3/$I32,0),ROUNDUP(($B$3+$I32)/$I32,0)),IF($B$6="No",ROUNDUP($B$4/$G32,0),ROUNDUP(($B$4+$G32)/$G32,0)),ROUNDUP('BVMS checklist'!$H$217/$J32,0))&gt;1,'BVMS checklist'!$H$224,'BVMS checklist'!$H$217)</f>
        <v>0</v>
      </c>
      <c r="N32" s="398">
        <f t="shared" ca="1" si="20"/>
        <v>2</v>
      </c>
      <c r="O32" s="400">
        <f t="shared" ca="1" si="21"/>
        <v>2</v>
      </c>
      <c r="P32" s="400">
        <f t="shared" ca="1" si="0"/>
        <v>340</v>
      </c>
      <c r="Q32" s="400">
        <f t="shared" ca="1" si="1"/>
        <v>0</v>
      </c>
      <c r="R32" s="398">
        <f t="shared" ca="1" si="2"/>
        <v>89376</v>
      </c>
      <c r="S32" s="401" t="str">
        <f t="shared" ca="1" si="22"/>
        <v/>
      </c>
      <c r="T32" s="398">
        <f t="shared" ca="1" si="23"/>
        <v>94</v>
      </c>
      <c r="U32" s="400">
        <f ca="1">IF(MAX(IF($B$6="No",ROUNDUP($B$3/$I32,0),ROUNDUP(($B$3+$I32)/$I32,0)),IF($B$6="No",ROUNDUP($B$4/$G32,0),ROUNDUP(($B$4+$G32)/$G32,0)),ROUNDUP('BVMS checklist'!$H$217/$J32,0))&gt;1,'BVMS checklist'!$H$224,'BVMS checklist'!$H$217)+MAX(IF($B$6="No",ROUNDUP($B$3/$I32,0),ROUNDUP(($B$3+$I32)/$I32,0)),IF($B$6="No",ROUNDUP($B$4/$G32,0),ROUNDUP(($B$4+$G32)/$G32,0)))+$B$5</f>
        <v>1</v>
      </c>
      <c r="V32" s="400" t="b">
        <f t="shared" ca="1" si="3"/>
        <v>1</v>
      </c>
      <c r="W32" s="400" t="str">
        <f t="shared" ca="1" si="24"/>
        <v>Accepted</v>
      </c>
      <c r="X32" s="398" t="str">
        <f t="shared" ca="1" si="25"/>
        <v>No</v>
      </c>
      <c r="Y32" s="398" t="str">
        <f t="shared" ca="1" si="26"/>
        <v/>
      </c>
      <c r="Z32" s="398" t="str">
        <f t="shared" ca="1" si="27"/>
        <v/>
      </c>
      <c r="AA32" s="398">
        <f t="shared" ca="1" si="28"/>
        <v>3</v>
      </c>
      <c r="AB32" s="398">
        <f t="shared" ca="1" si="4"/>
        <v>2</v>
      </c>
      <c r="AC32" s="398">
        <f t="shared" ca="1" si="5"/>
        <v>96</v>
      </c>
      <c r="AD32" s="398">
        <f t="shared" ca="1" si="29"/>
        <v>89376</v>
      </c>
      <c r="AE32" s="399">
        <f t="shared" si="6"/>
        <v>200</v>
      </c>
      <c r="AF32" s="399">
        <f t="shared" si="7"/>
        <v>16</v>
      </c>
      <c r="AG32" s="483" t="str">
        <f t="shared" ca="1" si="30"/>
        <v/>
      </c>
      <c r="AH32" s="400">
        <f ca="1">IF(MAX(IF($C$6="No",ROUNDUP($C$3/$I32,0),ROUNDUP(($C$3+$I32)/$I32,0)),IF($C$6="No",ROUNDUP($C$4/$G32,0),ROUNDUP(($C$4+$G32)/$G32,0)),ROUNDUP('BVMS checklist'!$H$217/$J32,0))&gt;1,'BVMS checklist'!$J$224,'BVMS checklist'!$J$217)</f>
        <v>0</v>
      </c>
      <c r="AI32" s="398">
        <f t="shared" ca="1" si="31"/>
        <v>2</v>
      </c>
      <c r="AJ32" s="400">
        <f t="shared" ca="1" si="32"/>
        <v>2</v>
      </c>
      <c r="AK32" s="400">
        <f t="shared" ca="1" si="33"/>
        <v>340</v>
      </c>
      <c r="AL32" s="400">
        <f t="shared" ca="1" si="34"/>
        <v>0</v>
      </c>
      <c r="AM32" s="398">
        <f t="shared" ca="1" si="35"/>
        <v>89376</v>
      </c>
      <c r="AN32" s="401" t="str">
        <f t="shared" ca="1" si="36"/>
        <v/>
      </c>
      <c r="AO32" s="398">
        <f t="shared" ca="1" si="37"/>
        <v>94</v>
      </c>
      <c r="AP32" s="400">
        <f ca="1">IF(MAX(IF($C$6="No",ROUNDUP($C$3/$I32,0),ROUNDUP(($C$3+$I32)/$I32,0)),IF($C$6="No",ROUNDUP($C$4/$G32,0),ROUNDUP(($C$4+$G32)/$G32,0)),ROUNDUP('BVMS checklist'!$H$217/$J32,0))&gt;1,'BVMS checklist'!$J$224,'BVMS checklist'!$J$217)+MAX(IF($C$6="No",ROUNDUP($C$3/$I32,0),ROUNDUP(($C$3+$I32)/$I32,0)),IF($C$6="No",ROUNDUP($C$4/$G32,0),ROUNDUP(($C$4+$G32)/$G32,0)))+$C$5</f>
        <v>1</v>
      </c>
      <c r="AQ32" s="400" t="b">
        <f t="shared" ca="1" si="8"/>
        <v>1</v>
      </c>
      <c r="AR32" s="400" t="str">
        <f t="shared" ca="1" si="38"/>
        <v>Accepted</v>
      </c>
      <c r="AS32" s="398" t="str">
        <f t="shared" ca="1" si="39"/>
        <v>No</v>
      </c>
      <c r="AT32" s="398" t="str">
        <f t="shared" ca="1" si="40"/>
        <v/>
      </c>
      <c r="AU32" s="398" t="str">
        <f t="shared" ca="1" si="41"/>
        <v/>
      </c>
      <c r="AV32" s="398">
        <f t="shared" ca="1" si="42"/>
        <v>3</v>
      </c>
      <c r="AW32" s="398">
        <f t="shared" ca="1" si="43"/>
        <v>2</v>
      </c>
      <c r="AX32" s="398">
        <f t="shared" ca="1" si="44"/>
        <v>96</v>
      </c>
      <c r="AY32" s="398">
        <f t="shared" ca="1" si="45"/>
        <v>89376</v>
      </c>
      <c r="AZ32" s="399">
        <f t="shared" si="9"/>
        <v>200</v>
      </c>
      <c r="BA32" s="399">
        <f t="shared" si="10"/>
        <v>16</v>
      </c>
      <c r="BB32" s="483" t="str">
        <f t="shared" ca="1" si="46"/>
        <v/>
      </c>
      <c r="BC32" s="400">
        <f ca="1">IF(MAX(IF($D$6="No",ROUNDUP($D$3/$I32,0),ROUNDUP(($D$3+$I32)/$I32,0)),IF($D$6="No",ROUNDUP($D$4/$G32,0),ROUNDUP(($D$4+$G32)/$G32,0)),ROUNDUP('BVMS checklist'!$H$217/$J32,0))&gt;1,'BVMS checklist'!$L$224,'BVMS checklist'!$L$217)</f>
        <v>0</v>
      </c>
      <c r="BD32" s="398">
        <f t="shared" ca="1" si="47"/>
        <v>2</v>
      </c>
      <c r="BE32" s="400">
        <f t="shared" si="48"/>
        <v>1</v>
      </c>
      <c r="BF32" s="400">
        <f t="shared" si="49"/>
        <v>170</v>
      </c>
      <c r="BG32" s="400">
        <f t="shared" ca="1" si="11"/>
        <v>0</v>
      </c>
      <c r="BH32" s="398">
        <f t="shared" ca="1" si="50"/>
        <v>89376</v>
      </c>
      <c r="BI32" s="401" t="str">
        <f t="shared" ca="1" si="51"/>
        <v/>
      </c>
      <c r="BJ32" s="398">
        <f t="shared" ca="1" si="52"/>
        <v>94</v>
      </c>
      <c r="BK32" s="400">
        <f ca="1">IF(MAX(IF($D$6="No",ROUNDUP($D$3/$I32,0),ROUNDUP(($D$3+$I32)/$I32,0)),IF($D$6="No",ROUNDUP($D$4/$G32,0),ROUNDUP(($D$4+$G32)/$G32,0)),ROUNDUP('BVMS checklist'!$H$217/$J32,0))&gt;1,'BVMS checklist'!$L$224,'BVMS checklist'!$L$217)+MAX(IF($D$6="No",ROUNDUP($D$3/$I32,0),ROUNDUP(($D$3+$I32)/$I32,0)),IF($D$6="No",ROUNDUP($D$4/$G32,0),ROUNDUP(($D$4+$G32)/$G32,0)))+$D$5</f>
        <v>1</v>
      </c>
      <c r="BL32" s="400" t="b">
        <f t="shared" ca="1" si="12"/>
        <v>1</v>
      </c>
      <c r="BM32" s="400" t="str">
        <f t="shared" ca="1" si="53"/>
        <v>Accepted</v>
      </c>
      <c r="BN32" s="398" t="str">
        <f t="shared" ca="1" si="13"/>
        <v>No</v>
      </c>
      <c r="BO32" s="398" t="str">
        <f t="shared" ca="1" si="54"/>
        <v/>
      </c>
      <c r="BP32" s="398" t="str">
        <f t="shared" ca="1" si="55"/>
        <v/>
      </c>
      <c r="BQ32" s="398">
        <f t="shared" ca="1" si="56"/>
        <v>3</v>
      </c>
      <c r="BR32" s="398">
        <f t="shared" ca="1" si="57"/>
        <v>2</v>
      </c>
      <c r="BS32" s="398">
        <f t="shared" ca="1" si="58"/>
        <v>96</v>
      </c>
      <c r="BT32" s="398">
        <f t="shared" ca="1" si="59"/>
        <v>89376</v>
      </c>
      <c r="BU32" s="399">
        <f t="shared" si="14"/>
        <v>200</v>
      </c>
      <c r="BV32" s="399">
        <f t="shared" si="15"/>
        <v>16</v>
      </c>
      <c r="BW32" s="483" t="str">
        <f t="shared" ca="1" si="60"/>
        <v/>
      </c>
      <c r="BX32" s="400">
        <f ca="1">IF(MAX(IF($E$6="No",ROUNDUP($E$3/$I32,0),ROUNDUP(($E$3+$I32)/$I32,0)),IF($E$6="No",ROUNDUP($E$4/$G32,0),ROUNDUP(($E$4+$G32)/$G32,0)),ROUNDUP('BVMS checklist'!$H$217/$J32,0))&gt;1,'BVMS checklist'!$N$224,'BVMS checklist'!$N$217)</f>
        <v>0</v>
      </c>
      <c r="BY32" s="398">
        <f t="shared" ca="1" si="61"/>
        <v>2</v>
      </c>
      <c r="BZ32" s="400">
        <f t="shared" ca="1" si="62"/>
        <v>2</v>
      </c>
      <c r="CA32" s="400">
        <f t="shared" ca="1" si="63"/>
        <v>340</v>
      </c>
      <c r="CB32" s="400">
        <f t="shared" ca="1" si="16"/>
        <v>0</v>
      </c>
      <c r="CC32" s="398">
        <f t="shared" ca="1" si="64"/>
        <v>89376</v>
      </c>
      <c r="CD32" s="401" t="str">
        <f t="shared" ca="1" si="65"/>
        <v/>
      </c>
      <c r="CE32" s="398">
        <f t="shared" ca="1" si="66"/>
        <v>94</v>
      </c>
      <c r="CF32" s="400">
        <f ca="1">IF(MAX(IF($E$6="No",ROUNDUP($E$3/$I32,0),ROUNDUP(($E$3+$I32)/$I32,0)),IF($E$6="No",ROUNDUP($E$4/$G32,0),ROUNDUP(($E$4+$G32)/$G32,0)),ROUNDUP('BVMS checklist'!$H$217/$J32,0))&gt;1,'BVMS checklist'!$N$224,'BVMS checklist'!$N$217)+MAX(IF($E$6="No",ROUNDUP($E$3/$I32,0),ROUNDUP(($E$3+$I32)/$I32,0)),IF($E$6="No",ROUNDUP($E$4/$G32,0),ROUNDUP(($E$4+$G32)/$G32,0)))+$E$5</f>
        <v>1</v>
      </c>
      <c r="CG32" s="400" t="b">
        <f t="shared" ca="1" si="17"/>
        <v>1</v>
      </c>
      <c r="CH32" s="400" t="str">
        <f t="shared" ca="1" si="67"/>
        <v>Accepted</v>
      </c>
      <c r="CI32" s="398" t="str">
        <f t="shared" ca="1" si="68"/>
        <v>No</v>
      </c>
      <c r="CJ32" s="398" t="str">
        <f t="shared" ca="1" si="69"/>
        <v/>
      </c>
      <c r="CK32" s="398" t="str">
        <f t="shared" ca="1" si="70"/>
        <v/>
      </c>
      <c r="CL32" s="398">
        <f t="shared" ca="1" si="71"/>
        <v>3</v>
      </c>
      <c r="CM32" s="398">
        <f t="shared" ca="1" si="72"/>
        <v>2</v>
      </c>
      <c r="CN32" s="398">
        <f t="shared" ca="1" si="73"/>
        <v>96</v>
      </c>
      <c r="CO32" s="398">
        <f t="shared" ca="1" si="74"/>
        <v>89376</v>
      </c>
      <c r="CP32" s="399">
        <f t="shared" si="18"/>
        <v>200</v>
      </c>
      <c r="CQ32" s="399">
        <f t="shared" si="19"/>
        <v>16</v>
      </c>
      <c r="CR32" s="483" t="str">
        <f t="shared" ca="1" si="75"/>
        <v/>
      </c>
      <c r="CS32"/>
    </row>
    <row r="33" spans="1:97">
      <c r="A33" s="398" t="s">
        <v>887</v>
      </c>
      <c r="B33" s="398" t="s">
        <v>987</v>
      </c>
      <c r="C33" s="440" t="s">
        <v>105</v>
      </c>
      <c r="D33" s="398">
        <v>1</v>
      </c>
      <c r="E33" s="398"/>
      <c r="F33" s="440">
        <v>0</v>
      </c>
      <c r="G33" s="398">
        <f>IF(C33="JBOD",((4)*3724),((2)*3724))</f>
        <v>14896</v>
      </c>
      <c r="H33" s="399">
        <v>16</v>
      </c>
      <c r="I33" s="399">
        <v>170</v>
      </c>
      <c r="J33" s="399">
        <v>47</v>
      </c>
      <c r="K33" s="399">
        <v>250</v>
      </c>
      <c r="L33" s="399">
        <v>16</v>
      </c>
      <c r="M33" s="400">
        <f ca="1">IF(MAX(IF($B$6="No",ROUNDUP($B$3/$I33,0),ROUNDUP(($B$3+$I33)/$I33,0)),IF($B$6="No",ROUNDUP($B$4/$G33,0),ROUNDUP(($B$4+$G33)/$G33,0)),ROUNDUP('BVMS checklist'!$H$217/$J33,0))&gt;1,'BVMS checklist'!$H$224,'BVMS checklist'!$H$217)</f>
        <v>0</v>
      </c>
      <c r="N33" s="398">
        <f t="shared" ca="1" si="20"/>
        <v>2</v>
      </c>
      <c r="O33" s="400">
        <f t="shared" ca="1" si="21"/>
        <v>2</v>
      </c>
      <c r="P33" s="400">
        <f t="shared" ca="1" si="0"/>
        <v>340</v>
      </c>
      <c r="Q33" s="400">
        <f t="shared" ca="1" si="1"/>
        <v>0</v>
      </c>
      <c r="R33" s="398">
        <f t="shared" ca="1" si="2"/>
        <v>29792</v>
      </c>
      <c r="S33" s="401" t="str">
        <f t="shared" ca="1" si="22"/>
        <v/>
      </c>
      <c r="T33" s="398">
        <f t="shared" ca="1" si="23"/>
        <v>94</v>
      </c>
      <c r="U33" s="400">
        <f ca="1">IF(MAX(IF($B$6="No",ROUNDUP($B$3/$I33,0),ROUNDUP(($B$3+$I33)/$I33,0)),IF($B$6="No",ROUNDUP($B$4/$G33,0),ROUNDUP(($B$4+$G33)/$G33,0)),ROUNDUP('BVMS checklist'!$H$217/$J33,0))&gt;1,'BVMS checklist'!$H$224,'BVMS checklist'!$H$217)+MAX(IF($B$6="No",ROUNDUP($B$3/$I33,0),ROUNDUP(($B$3+$I33)/$I33,0)),IF($B$6="No",ROUNDUP($B$4/$G33,0),ROUNDUP(($B$4+$G33)/$G33,0)))+$B$5</f>
        <v>1</v>
      </c>
      <c r="V33" s="400" t="b">
        <f t="shared" ca="1" si="3"/>
        <v>1</v>
      </c>
      <c r="W33" s="400" t="str">
        <f t="shared" ca="1" si="24"/>
        <v>Accepted</v>
      </c>
      <c r="X33" s="398" t="str">
        <f t="shared" ca="1" si="25"/>
        <v>No</v>
      </c>
      <c r="Y33" s="398" t="str">
        <f t="shared" ca="1" si="26"/>
        <v/>
      </c>
      <c r="Z33" s="398" t="str">
        <f t="shared" ca="1" si="27"/>
        <v/>
      </c>
      <c r="AA33" s="398">
        <f t="shared" ca="1" si="28"/>
        <v>3</v>
      </c>
      <c r="AB33" s="398">
        <f t="shared" ca="1" si="4"/>
        <v>2</v>
      </c>
      <c r="AC33" s="398">
        <f t="shared" ca="1" si="5"/>
        <v>32</v>
      </c>
      <c r="AD33" s="398">
        <f t="shared" ca="1" si="29"/>
        <v>29792</v>
      </c>
      <c r="AE33" s="399">
        <f t="shared" si="6"/>
        <v>250</v>
      </c>
      <c r="AF33" s="399">
        <f t="shared" si="7"/>
        <v>16</v>
      </c>
      <c r="AG33" s="483" t="str">
        <f t="shared" ca="1" si="30"/>
        <v/>
      </c>
      <c r="AH33" s="400">
        <f ca="1">IF(MAX(IF($C$6="No",ROUNDUP($C$3/$I33,0),ROUNDUP(($C$3+$I33)/$I33,0)),IF($C$6="No",ROUNDUP($C$4/$G33,0),ROUNDUP(($C$4+$G33)/$G33,0)),ROUNDUP('BVMS checklist'!$H$217/$J33,0))&gt;1,'BVMS checklist'!$J$224,'BVMS checklist'!$J$217)</f>
        <v>0</v>
      </c>
      <c r="AI33" s="398">
        <f t="shared" ca="1" si="31"/>
        <v>2</v>
      </c>
      <c r="AJ33" s="400">
        <f t="shared" ca="1" si="32"/>
        <v>2</v>
      </c>
      <c r="AK33" s="400">
        <f t="shared" ca="1" si="33"/>
        <v>340</v>
      </c>
      <c r="AL33" s="400">
        <f t="shared" ca="1" si="34"/>
        <v>0</v>
      </c>
      <c r="AM33" s="398">
        <f t="shared" ca="1" si="35"/>
        <v>29792</v>
      </c>
      <c r="AN33" s="401" t="str">
        <f t="shared" ca="1" si="36"/>
        <v/>
      </c>
      <c r="AO33" s="398">
        <f t="shared" ca="1" si="37"/>
        <v>94</v>
      </c>
      <c r="AP33" s="400">
        <f ca="1">IF(MAX(IF($C$6="No",ROUNDUP($C$3/$I33,0),ROUNDUP(($C$3+$I33)/$I33,0)),IF($C$6="No",ROUNDUP($C$4/$G33,0),ROUNDUP(($C$4+$G33)/$G33,0)),ROUNDUP('BVMS checklist'!$H$217/$J33,0))&gt;1,'BVMS checklist'!$J$224,'BVMS checklist'!$J$217)+MAX(IF($C$6="No",ROUNDUP($C$3/$I33,0),ROUNDUP(($C$3+$I33)/$I33,0)),IF($C$6="No",ROUNDUP($C$4/$G33,0),ROUNDUP(($C$4+$G33)/$G33,0)))+$C$5</f>
        <v>1</v>
      </c>
      <c r="AQ33" s="400" t="b">
        <f t="shared" ca="1" si="8"/>
        <v>1</v>
      </c>
      <c r="AR33" s="400" t="str">
        <f t="shared" ca="1" si="38"/>
        <v>Accepted</v>
      </c>
      <c r="AS33" s="398" t="str">
        <f t="shared" ca="1" si="39"/>
        <v>No</v>
      </c>
      <c r="AT33" s="398" t="str">
        <f t="shared" ca="1" si="40"/>
        <v/>
      </c>
      <c r="AU33" s="398" t="str">
        <f t="shared" ca="1" si="41"/>
        <v/>
      </c>
      <c r="AV33" s="398">
        <f t="shared" ca="1" si="42"/>
        <v>3</v>
      </c>
      <c r="AW33" s="398">
        <f t="shared" ca="1" si="43"/>
        <v>2</v>
      </c>
      <c r="AX33" s="398">
        <f t="shared" ca="1" si="44"/>
        <v>32</v>
      </c>
      <c r="AY33" s="398">
        <f t="shared" ca="1" si="45"/>
        <v>29792</v>
      </c>
      <c r="AZ33" s="399">
        <f t="shared" si="9"/>
        <v>250</v>
      </c>
      <c r="BA33" s="399">
        <f t="shared" si="10"/>
        <v>16</v>
      </c>
      <c r="BB33" s="483" t="str">
        <f t="shared" ca="1" si="46"/>
        <v/>
      </c>
      <c r="BC33" s="400">
        <f ca="1">IF(MAX(IF($D$6="No",ROUNDUP($D$3/$I33,0),ROUNDUP(($D$3+$I33)/$I33,0)),IF($D$6="No",ROUNDUP($D$4/$G33,0),ROUNDUP(($D$4+$G33)/$G33,0)),ROUNDUP('BVMS checklist'!$H$217/$J33,0))&gt;1,'BVMS checklist'!$L$224,'BVMS checklist'!$L$217)</f>
        <v>0</v>
      </c>
      <c r="BD33" s="398">
        <f t="shared" ca="1" si="47"/>
        <v>2</v>
      </c>
      <c r="BE33" s="400">
        <f t="shared" si="48"/>
        <v>1</v>
      </c>
      <c r="BF33" s="400">
        <f t="shared" si="49"/>
        <v>170</v>
      </c>
      <c r="BG33" s="400">
        <f t="shared" ca="1" si="11"/>
        <v>0</v>
      </c>
      <c r="BH33" s="398">
        <f t="shared" ca="1" si="50"/>
        <v>29792</v>
      </c>
      <c r="BI33" s="401" t="str">
        <f t="shared" ca="1" si="51"/>
        <v/>
      </c>
      <c r="BJ33" s="398">
        <f t="shared" ca="1" si="52"/>
        <v>94</v>
      </c>
      <c r="BK33" s="400">
        <f ca="1">IF(MAX(IF($D$6="No",ROUNDUP($D$3/$I33,0),ROUNDUP(($D$3+$I33)/$I33,0)),IF($D$6="No",ROUNDUP($D$4/$G33,0),ROUNDUP(($D$4+$G33)/$G33,0)),ROUNDUP('BVMS checklist'!$H$217/$J33,0))&gt;1,'BVMS checklist'!$L$224,'BVMS checklist'!$L$217)+MAX(IF($D$6="No",ROUNDUP($D$3/$I33,0),ROUNDUP(($D$3+$I33)/$I33,0)),IF($D$6="No",ROUNDUP($D$4/$G33,0),ROUNDUP(($D$4+$G33)/$G33,0)))+$D$5</f>
        <v>1</v>
      </c>
      <c r="BL33" s="400" t="b">
        <f t="shared" ca="1" si="12"/>
        <v>1</v>
      </c>
      <c r="BM33" s="400" t="str">
        <f t="shared" ca="1" si="53"/>
        <v>Accepted</v>
      </c>
      <c r="BN33" s="398" t="str">
        <f t="shared" ca="1" si="13"/>
        <v>No</v>
      </c>
      <c r="BO33" s="398" t="str">
        <f t="shared" ca="1" si="54"/>
        <v/>
      </c>
      <c r="BP33" s="398" t="str">
        <f t="shared" ca="1" si="55"/>
        <v/>
      </c>
      <c r="BQ33" s="398">
        <f t="shared" ca="1" si="56"/>
        <v>3</v>
      </c>
      <c r="BR33" s="398">
        <f t="shared" ca="1" si="57"/>
        <v>2</v>
      </c>
      <c r="BS33" s="398">
        <f t="shared" ca="1" si="58"/>
        <v>32</v>
      </c>
      <c r="BT33" s="398">
        <f t="shared" ca="1" si="59"/>
        <v>29792</v>
      </c>
      <c r="BU33" s="399">
        <f t="shared" si="14"/>
        <v>250</v>
      </c>
      <c r="BV33" s="399">
        <f t="shared" si="15"/>
        <v>16</v>
      </c>
      <c r="BW33" s="483" t="str">
        <f t="shared" ca="1" si="60"/>
        <v/>
      </c>
      <c r="BX33" s="400">
        <f ca="1">IF(MAX(IF($E$6="No",ROUNDUP($E$3/$I33,0),ROUNDUP(($E$3+$I33)/$I33,0)),IF($E$6="No",ROUNDUP($E$4/$G33,0),ROUNDUP(($E$4+$G33)/$G33,0)),ROUNDUP('BVMS checklist'!$H$217/$J33,0))&gt;1,'BVMS checklist'!$N$224,'BVMS checklist'!$N$217)</f>
        <v>0</v>
      </c>
      <c r="BY33" s="398">
        <f t="shared" ca="1" si="61"/>
        <v>2</v>
      </c>
      <c r="BZ33" s="400">
        <f t="shared" ca="1" si="62"/>
        <v>2</v>
      </c>
      <c r="CA33" s="400">
        <f t="shared" ca="1" si="63"/>
        <v>340</v>
      </c>
      <c r="CB33" s="400">
        <f t="shared" ca="1" si="16"/>
        <v>0</v>
      </c>
      <c r="CC33" s="398">
        <f t="shared" ca="1" si="64"/>
        <v>29792</v>
      </c>
      <c r="CD33" s="401" t="str">
        <f t="shared" ca="1" si="65"/>
        <v/>
      </c>
      <c r="CE33" s="398">
        <f t="shared" ca="1" si="66"/>
        <v>94</v>
      </c>
      <c r="CF33" s="400">
        <f ca="1">IF(MAX(IF($E$6="No",ROUNDUP($E$3/$I33,0),ROUNDUP(($E$3+$I33)/$I33,0)),IF($E$6="No",ROUNDUP($E$4/$G33,0),ROUNDUP(($E$4+$G33)/$G33,0)),ROUNDUP('BVMS checklist'!$H$217/$J33,0))&gt;1,'BVMS checklist'!$N$224,'BVMS checklist'!$N$217)+MAX(IF($E$6="No",ROUNDUP($E$3/$I33,0),ROUNDUP(($E$3+$I33)/$I33,0)),IF($E$6="No",ROUNDUP($E$4/$G33,0),ROUNDUP(($E$4+$G33)/$G33,0)))+$E$5</f>
        <v>1</v>
      </c>
      <c r="CG33" s="400" t="b">
        <f t="shared" ca="1" si="17"/>
        <v>1</v>
      </c>
      <c r="CH33" s="400" t="str">
        <f t="shared" ca="1" si="67"/>
        <v>Accepted</v>
      </c>
      <c r="CI33" s="398" t="str">
        <f t="shared" ca="1" si="68"/>
        <v>No</v>
      </c>
      <c r="CJ33" s="398" t="str">
        <f t="shared" ca="1" si="69"/>
        <v/>
      </c>
      <c r="CK33" s="398" t="str">
        <f t="shared" ca="1" si="70"/>
        <v/>
      </c>
      <c r="CL33" s="398">
        <f t="shared" ca="1" si="71"/>
        <v>3</v>
      </c>
      <c r="CM33" s="398">
        <f t="shared" ca="1" si="72"/>
        <v>2</v>
      </c>
      <c r="CN33" s="398">
        <f t="shared" ca="1" si="73"/>
        <v>32</v>
      </c>
      <c r="CO33" s="398">
        <f t="shared" ca="1" si="74"/>
        <v>29792</v>
      </c>
      <c r="CP33" s="399">
        <f t="shared" si="18"/>
        <v>250</v>
      </c>
      <c r="CQ33" s="399">
        <f t="shared" si="19"/>
        <v>16</v>
      </c>
      <c r="CR33" s="483" t="str">
        <f t="shared" ca="1" si="75"/>
        <v/>
      </c>
      <c r="CS33"/>
    </row>
    <row r="34" spans="1:97">
      <c r="A34" s="398" t="s">
        <v>888</v>
      </c>
      <c r="B34" s="398" t="s">
        <v>987</v>
      </c>
      <c r="C34" s="440" t="s">
        <v>105</v>
      </c>
      <c r="D34" s="398">
        <v>1</v>
      </c>
      <c r="E34" s="398"/>
      <c r="F34" s="440">
        <v>0</v>
      </c>
      <c r="G34" s="398">
        <f>IF(C34="JBOD",((4)*7448),((2)*7448))</f>
        <v>29792</v>
      </c>
      <c r="H34" s="399">
        <v>32</v>
      </c>
      <c r="I34" s="399">
        <v>170</v>
      </c>
      <c r="J34" s="399">
        <v>47</v>
      </c>
      <c r="K34" s="399">
        <v>250</v>
      </c>
      <c r="L34" s="399">
        <v>16</v>
      </c>
      <c r="M34" s="400">
        <f ca="1">IF(MAX(IF($B$6="No",ROUNDUP($B$3/$I34,0),ROUNDUP(($B$3+$I34)/$I34,0)),IF($B$6="No",ROUNDUP($B$4/$G34,0),ROUNDUP(($B$4+$G34)/$G34,0)),ROUNDUP('BVMS checklist'!$H$217/$J34,0))&gt;1,'BVMS checklist'!$H$224,'BVMS checklist'!$H$217)</f>
        <v>0</v>
      </c>
      <c r="N34" s="398">
        <f t="shared" ca="1" si="20"/>
        <v>2</v>
      </c>
      <c r="O34" s="400">
        <f t="shared" ca="1" si="21"/>
        <v>2</v>
      </c>
      <c r="P34" s="400">
        <f t="shared" ca="1" si="0"/>
        <v>340</v>
      </c>
      <c r="Q34" s="400">
        <f t="shared" ca="1" si="1"/>
        <v>0</v>
      </c>
      <c r="R34" s="398">
        <f t="shared" ca="1" si="2"/>
        <v>59584</v>
      </c>
      <c r="S34" s="401" t="str">
        <f t="shared" ca="1" si="22"/>
        <v/>
      </c>
      <c r="T34" s="398">
        <f t="shared" ca="1" si="23"/>
        <v>94</v>
      </c>
      <c r="U34" s="400">
        <f ca="1">IF(MAX(IF($B$6="No",ROUNDUP($B$3/$I34,0),ROUNDUP(($B$3+$I34)/$I34,0)),IF($B$6="No",ROUNDUP($B$4/$G34,0),ROUNDUP(($B$4+$G34)/$G34,0)),ROUNDUP('BVMS checklist'!$H$217/$J34,0))&gt;1,'BVMS checklist'!$H$224,'BVMS checklist'!$H$217)+MAX(IF($B$6="No",ROUNDUP($B$3/$I34,0),ROUNDUP(($B$3+$I34)/$I34,0)),IF($B$6="No",ROUNDUP($B$4/$G34,0),ROUNDUP(($B$4+$G34)/$G34,0)))+$B$5</f>
        <v>1</v>
      </c>
      <c r="V34" s="400" t="b">
        <f t="shared" ca="1" si="3"/>
        <v>1</v>
      </c>
      <c r="W34" s="400" t="str">
        <f t="shared" ca="1" si="24"/>
        <v>Accepted</v>
      </c>
      <c r="X34" s="398" t="str">
        <f t="shared" ca="1" si="25"/>
        <v>No</v>
      </c>
      <c r="Y34" s="398" t="str">
        <f t="shared" ca="1" si="26"/>
        <v/>
      </c>
      <c r="Z34" s="398" t="str">
        <f t="shared" ca="1" si="27"/>
        <v/>
      </c>
      <c r="AA34" s="398">
        <f t="shared" ca="1" si="28"/>
        <v>3</v>
      </c>
      <c r="AB34" s="398">
        <f t="shared" ca="1" si="4"/>
        <v>2</v>
      </c>
      <c r="AC34" s="398">
        <f t="shared" ca="1" si="5"/>
        <v>64</v>
      </c>
      <c r="AD34" s="398">
        <f t="shared" ca="1" si="29"/>
        <v>59584</v>
      </c>
      <c r="AE34" s="399">
        <f t="shared" si="6"/>
        <v>250</v>
      </c>
      <c r="AF34" s="399">
        <f t="shared" si="7"/>
        <v>16</v>
      </c>
      <c r="AG34" s="483" t="str">
        <f t="shared" ca="1" si="30"/>
        <v/>
      </c>
      <c r="AH34" s="400">
        <f ca="1">IF(MAX(IF($C$6="No",ROUNDUP($C$3/$I34,0),ROUNDUP(($C$3+$I34)/$I34,0)),IF($C$6="No",ROUNDUP($C$4/$G34,0),ROUNDUP(($C$4+$G34)/$G34,0)),ROUNDUP('BVMS checklist'!$H$217/$J34,0))&gt;1,'BVMS checklist'!$J$224,'BVMS checklist'!$J$217)</f>
        <v>0</v>
      </c>
      <c r="AI34" s="398">
        <f t="shared" ca="1" si="31"/>
        <v>2</v>
      </c>
      <c r="AJ34" s="400">
        <f t="shared" ca="1" si="32"/>
        <v>2</v>
      </c>
      <c r="AK34" s="400">
        <f t="shared" ca="1" si="33"/>
        <v>340</v>
      </c>
      <c r="AL34" s="400">
        <f t="shared" ca="1" si="34"/>
        <v>0</v>
      </c>
      <c r="AM34" s="398">
        <f t="shared" ca="1" si="35"/>
        <v>59584</v>
      </c>
      <c r="AN34" s="401" t="str">
        <f t="shared" ca="1" si="36"/>
        <v/>
      </c>
      <c r="AO34" s="398">
        <f t="shared" ca="1" si="37"/>
        <v>94</v>
      </c>
      <c r="AP34" s="400">
        <f ca="1">IF(MAX(IF($C$6="No",ROUNDUP($C$3/$I34,0),ROUNDUP(($C$3+$I34)/$I34,0)),IF($C$6="No",ROUNDUP($C$4/$G34,0),ROUNDUP(($C$4+$G34)/$G34,0)),ROUNDUP('BVMS checklist'!$H$217/$J34,0))&gt;1,'BVMS checklist'!$J$224,'BVMS checklist'!$J$217)+MAX(IF($C$6="No",ROUNDUP($C$3/$I34,0),ROUNDUP(($C$3+$I34)/$I34,0)),IF($C$6="No",ROUNDUP($C$4/$G34,0),ROUNDUP(($C$4+$G34)/$G34,0)))+$C$5</f>
        <v>1</v>
      </c>
      <c r="AQ34" s="400" t="b">
        <f t="shared" ca="1" si="8"/>
        <v>1</v>
      </c>
      <c r="AR34" s="400" t="str">
        <f t="shared" ca="1" si="38"/>
        <v>Accepted</v>
      </c>
      <c r="AS34" s="398" t="str">
        <f t="shared" ca="1" si="39"/>
        <v>No</v>
      </c>
      <c r="AT34" s="398" t="str">
        <f t="shared" ca="1" si="40"/>
        <v/>
      </c>
      <c r="AU34" s="398" t="str">
        <f t="shared" ca="1" si="41"/>
        <v/>
      </c>
      <c r="AV34" s="398">
        <f t="shared" ca="1" si="42"/>
        <v>3</v>
      </c>
      <c r="AW34" s="398">
        <f t="shared" ca="1" si="43"/>
        <v>2</v>
      </c>
      <c r="AX34" s="398">
        <f t="shared" ca="1" si="44"/>
        <v>64</v>
      </c>
      <c r="AY34" s="398">
        <f t="shared" ca="1" si="45"/>
        <v>59584</v>
      </c>
      <c r="AZ34" s="399">
        <f t="shared" si="9"/>
        <v>250</v>
      </c>
      <c r="BA34" s="399">
        <f t="shared" si="10"/>
        <v>16</v>
      </c>
      <c r="BB34" s="483" t="str">
        <f t="shared" ca="1" si="46"/>
        <v/>
      </c>
      <c r="BC34" s="400">
        <f ca="1">IF(MAX(IF($D$6="No",ROUNDUP($D$3/$I34,0),ROUNDUP(($D$3+$I34)/$I34,0)),IF($D$6="No",ROUNDUP($D$4/$G34,0),ROUNDUP(($D$4+$G34)/$G34,0)),ROUNDUP('BVMS checklist'!$H$217/$J34,0))&gt;1,'BVMS checklist'!$L$224,'BVMS checklist'!$L$217)</f>
        <v>0</v>
      </c>
      <c r="BD34" s="398">
        <f t="shared" ca="1" si="47"/>
        <v>2</v>
      </c>
      <c r="BE34" s="400">
        <f t="shared" si="48"/>
        <v>1</v>
      </c>
      <c r="BF34" s="400">
        <f t="shared" si="49"/>
        <v>170</v>
      </c>
      <c r="BG34" s="400">
        <f t="shared" ca="1" si="11"/>
        <v>0</v>
      </c>
      <c r="BH34" s="398">
        <f t="shared" ca="1" si="50"/>
        <v>59584</v>
      </c>
      <c r="BI34" s="401" t="str">
        <f t="shared" ca="1" si="51"/>
        <v/>
      </c>
      <c r="BJ34" s="398">
        <f t="shared" ca="1" si="52"/>
        <v>94</v>
      </c>
      <c r="BK34" s="400">
        <f ca="1">IF(MAX(IF($D$6="No",ROUNDUP($D$3/$I34,0),ROUNDUP(($D$3+$I34)/$I34,0)),IF($D$6="No",ROUNDUP($D$4/$G34,0),ROUNDUP(($D$4+$G34)/$G34,0)),ROUNDUP('BVMS checklist'!$H$217/$J34,0))&gt;1,'BVMS checklist'!$L$224,'BVMS checklist'!$L$217)+MAX(IF($D$6="No",ROUNDUP($D$3/$I34,0),ROUNDUP(($D$3+$I34)/$I34,0)),IF($D$6="No",ROUNDUP($D$4/$G34,0),ROUNDUP(($D$4+$G34)/$G34,0)))+$D$5</f>
        <v>1</v>
      </c>
      <c r="BL34" s="400" t="b">
        <f t="shared" ca="1" si="12"/>
        <v>1</v>
      </c>
      <c r="BM34" s="400" t="str">
        <f t="shared" ca="1" si="53"/>
        <v>Accepted</v>
      </c>
      <c r="BN34" s="398" t="str">
        <f t="shared" ca="1" si="13"/>
        <v>No</v>
      </c>
      <c r="BO34" s="398" t="str">
        <f t="shared" ca="1" si="54"/>
        <v/>
      </c>
      <c r="BP34" s="398" t="str">
        <f t="shared" ca="1" si="55"/>
        <v/>
      </c>
      <c r="BQ34" s="398">
        <f t="shared" ca="1" si="56"/>
        <v>3</v>
      </c>
      <c r="BR34" s="398">
        <f t="shared" ca="1" si="57"/>
        <v>2</v>
      </c>
      <c r="BS34" s="398">
        <f t="shared" ca="1" si="58"/>
        <v>64</v>
      </c>
      <c r="BT34" s="398">
        <f t="shared" ca="1" si="59"/>
        <v>59584</v>
      </c>
      <c r="BU34" s="399">
        <f t="shared" si="14"/>
        <v>250</v>
      </c>
      <c r="BV34" s="399">
        <f t="shared" si="15"/>
        <v>16</v>
      </c>
      <c r="BW34" s="483" t="str">
        <f t="shared" ca="1" si="60"/>
        <v/>
      </c>
      <c r="BX34" s="400">
        <f ca="1">IF(MAX(IF($E$6="No",ROUNDUP($E$3/$I34,0),ROUNDUP(($E$3+$I34)/$I34,0)),IF($E$6="No",ROUNDUP($E$4/$G34,0),ROUNDUP(($E$4+$G34)/$G34,0)),ROUNDUP('BVMS checklist'!$H$217/$J34,0))&gt;1,'BVMS checklist'!$N$224,'BVMS checklist'!$N$217)</f>
        <v>0</v>
      </c>
      <c r="BY34" s="398">
        <f t="shared" ca="1" si="61"/>
        <v>2</v>
      </c>
      <c r="BZ34" s="400">
        <f t="shared" ca="1" si="62"/>
        <v>2</v>
      </c>
      <c r="CA34" s="400">
        <f t="shared" ca="1" si="63"/>
        <v>340</v>
      </c>
      <c r="CB34" s="400">
        <f t="shared" ca="1" si="16"/>
        <v>0</v>
      </c>
      <c r="CC34" s="398">
        <f t="shared" ca="1" si="64"/>
        <v>59584</v>
      </c>
      <c r="CD34" s="401" t="str">
        <f t="shared" ca="1" si="65"/>
        <v/>
      </c>
      <c r="CE34" s="398">
        <f t="shared" ca="1" si="66"/>
        <v>94</v>
      </c>
      <c r="CF34" s="400">
        <f ca="1">IF(MAX(IF($E$6="No",ROUNDUP($E$3/$I34,0),ROUNDUP(($E$3+$I34)/$I34,0)),IF($E$6="No",ROUNDUP($E$4/$G34,0),ROUNDUP(($E$4+$G34)/$G34,0)),ROUNDUP('BVMS checklist'!$H$217/$J34,0))&gt;1,'BVMS checklist'!$N$224,'BVMS checklist'!$N$217)+MAX(IF($E$6="No",ROUNDUP($E$3/$I34,0),ROUNDUP(($E$3+$I34)/$I34,0)),IF($E$6="No",ROUNDUP($E$4/$G34,0),ROUNDUP(($E$4+$G34)/$G34,0)))+$E$5</f>
        <v>1</v>
      </c>
      <c r="CG34" s="400" t="b">
        <f t="shared" ca="1" si="17"/>
        <v>1</v>
      </c>
      <c r="CH34" s="400" t="str">
        <f t="shared" ca="1" si="67"/>
        <v>Accepted</v>
      </c>
      <c r="CI34" s="398" t="str">
        <f t="shared" ca="1" si="68"/>
        <v>No</v>
      </c>
      <c r="CJ34" s="398" t="str">
        <f t="shared" ca="1" si="69"/>
        <v/>
      </c>
      <c r="CK34" s="398" t="str">
        <f t="shared" ca="1" si="70"/>
        <v/>
      </c>
      <c r="CL34" s="398">
        <f t="shared" ca="1" si="71"/>
        <v>3</v>
      </c>
      <c r="CM34" s="398">
        <f t="shared" ca="1" si="72"/>
        <v>2</v>
      </c>
      <c r="CN34" s="398">
        <f t="shared" ca="1" si="73"/>
        <v>64</v>
      </c>
      <c r="CO34" s="398">
        <f t="shared" ca="1" si="74"/>
        <v>59584</v>
      </c>
      <c r="CP34" s="399">
        <f t="shared" si="18"/>
        <v>250</v>
      </c>
      <c r="CQ34" s="399">
        <f t="shared" si="19"/>
        <v>16</v>
      </c>
      <c r="CR34" s="483" t="str">
        <f t="shared" ca="1" si="75"/>
        <v/>
      </c>
      <c r="CS34"/>
    </row>
    <row r="35" spans="1:97">
      <c r="A35" s="398" t="s">
        <v>889</v>
      </c>
      <c r="B35" s="398" t="s">
        <v>987</v>
      </c>
      <c r="C35" s="440" t="s">
        <v>105</v>
      </c>
      <c r="D35" s="398">
        <v>1</v>
      </c>
      <c r="E35" s="398"/>
      <c r="F35" s="440">
        <v>0</v>
      </c>
      <c r="G35" s="398">
        <f>IF(C35="JBOD",((4)*11172),((2)*11172))</f>
        <v>44688</v>
      </c>
      <c r="H35" s="399">
        <v>48</v>
      </c>
      <c r="I35" s="399">
        <v>170</v>
      </c>
      <c r="J35" s="399">
        <v>47</v>
      </c>
      <c r="K35" s="399">
        <v>250</v>
      </c>
      <c r="L35" s="399">
        <v>16</v>
      </c>
      <c r="M35" s="400">
        <f ca="1">IF(MAX(IF($B$6="No",ROUNDUP($B$3/$I35,0),ROUNDUP(($B$3+$I35)/$I35,0)),IF($B$6="No",ROUNDUP($B$4/$G35,0),ROUNDUP(($B$4+$G35)/$G35,0)),ROUNDUP('BVMS checklist'!$H$217/$J35,0))&gt;1,'BVMS checklist'!$H$224,'BVMS checklist'!$H$217)</f>
        <v>0</v>
      </c>
      <c r="N35" s="398">
        <f t="shared" ca="1" si="20"/>
        <v>2</v>
      </c>
      <c r="O35" s="400">
        <f t="shared" ca="1" si="21"/>
        <v>2</v>
      </c>
      <c r="P35" s="400">
        <f t="shared" ca="1" si="0"/>
        <v>340</v>
      </c>
      <c r="Q35" s="400">
        <f t="shared" ca="1" si="1"/>
        <v>0</v>
      </c>
      <c r="R35" s="398">
        <f t="shared" ca="1" si="2"/>
        <v>89376</v>
      </c>
      <c r="S35" s="401" t="str">
        <f t="shared" ca="1" si="22"/>
        <v/>
      </c>
      <c r="T35" s="398">
        <f t="shared" ca="1" si="23"/>
        <v>94</v>
      </c>
      <c r="U35" s="400">
        <f ca="1">IF(MAX(IF($B$6="No",ROUNDUP($B$3/$I35,0),ROUNDUP(($B$3+$I35)/$I35,0)),IF($B$6="No",ROUNDUP($B$4/$G35,0),ROUNDUP(($B$4+$G35)/$G35,0)),ROUNDUP('BVMS checklist'!$H$217/$J35,0))&gt;1,'BVMS checklist'!$H$224,'BVMS checklist'!$H$217)+MAX(IF($B$6="No",ROUNDUP($B$3/$I35,0),ROUNDUP(($B$3+$I35)/$I35,0)),IF($B$6="No",ROUNDUP($B$4/$G35,0),ROUNDUP(($B$4+$G35)/$G35,0)))+$B$5</f>
        <v>1</v>
      </c>
      <c r="V35" s="400" t="b">
        <f t="shared" ca="1" si="3"/>
        <v>1</v>
      </c>
      <c r="W35" s="400" t="str">
        <f t="shared" ca="1" si="24"/>
        <v>Accepted</v>
      </c>
      <c r="X35" s="398" t="str">
        <f t="shared" ca="1" si="25"/>
        <v>No</v>
      </c>
      <c r="Y35" s="398" t="str">
        <f t="shared" ca="1" si="26"/>
        <v/>
      </c>
      <c r="Z35" s="398" t="str">
        <f t="shared" ca="1" si="27"/>
        <v/>
      </c>
      <c r="AA35" s="398">
        <f t="shared" ca="1" si="28"/>
        <v>3</v>
      </c>
      <c r="AB35" s="398">
        <f t="shared" ca="1" si="4"/>
        <v>2</v>
      </c>
      <c r="AC35" s="398">
        <f t="shared" ca="1" si="5"/>
        <v>96</v>
      </c>
      <c r="AD35" s="398">
        <f t="shared" ca="1" si="29"/>
        <v>89376</v>
      </c>
      <c r="AE35" s="399">
        <f t="shared" si="6"/>
        <v>250</v>
      </c>
      <c r="AF35" s="399">
        <f t="shared" si="7"/>
        <v>16</v>
      </c>
      <c r="AG35" s="483" t="str">
        <f t="shared" ca="1" si="30"/>
        <v/>
      </c>
      <c r="AH35" s="400">
        <f ca="1">IF(MAX(IF($C$6="No",ROUNDUP($C$3/$I35,0),ROUNDUP(($C$3+$I35)/$I35,0)),IF($C$6="No",ROUNDUP($C$4/$G35,0),ROUNDUP(($C$4+$G35)/$G35,0)),ROUNDUP('BVMS checklist'!$H$217/$J35,0))&gt;1,'BVMS checklist'!$J$224,'BVMS checklist'!$J$217)</f>
        <v>0</v>
      </c>
      <c r="AI35" s="398">
        <f t="shared" ca="1" si="31"/>
        <v>2</v>
      </c>
      <c r="AJ35" s="400">
        <f t="shared" ca="1" si="32"/>
        <v>2</v>
      </c>
      <c r="AK35" s="400">
        <f t="shared" ca="1" si="33"/>
        <v>340</v>
      </c>
      <c r="AL35" s="400">
        <f t="shared" ca="1" si="34"/>
        <v>0</v>
      </c>
      <c r="AM35" s="398">
        <f t="shared" ca="1" si="35"/>
        <v>89376</v>
      </c>
      <c r="AN35" s="401" t="str">
        <f t="shared" ca="1" si="36"/>
        <v/>
      </c>
      <c r="AO35" s="398">
        <f t="shared" ca="1" si="37"/>
        <v>94</v>
      </c>
      <c r="AP35" s="400">
        <f ca="1">IF(MAX(IF($C$6="No",ROUNDUP($C$3/$I35,0),ROUNDUP(($C$3+$I35)/$I35,0)),IF($C$6="No",ROUNDUP($C$4/$G35,0),ROUNDUP(($C$4+$G35)/$G35,0)),ROUNDUP('BVMS checklist'!$H$217/$J35,0))&gt;1,'BVMS checklist'!$J$224,'BVMS checklist'!$J$217)+MAX(IF($C$6="No",ROUNDUP($C$3/$I35,0),ROUNDUP(($C$3+$I35)/$I35,0)),IF($C$6="No",ROUNDUP($C$4/$G35,0),ROUNDUP(($C$4+$G35)/$G35,0)))+$C$5</f>
        <v>1</v>
      </c>
      <c r="AQ35" s="400" t="b">
        <f t="shared" ca="1" si="8"/>
        <v>1</v>
      </c>
      <c r="AR35" s="400" t="str">
        <f t="shared" ca="1" si="38"/>
        <v>Accepted</v>
      </c>
      <c r="AS35" s="398" t="str">
        <f t="shared" ca="1" si="39"/>
        <v>No</v>
      </c>
      <c r="AT35" s="398" t="str">
        <f t="shared" ca="1" si="40"/>
        <v/>
      </c>
      <c r="AU35" s="398" t="str">
        <f t="shared" ca="1" si="41"/>
        <v/>
      </c>
      <c r="AV35" s="398">
        <f t="shared" ca="1" si="42"/>
        <v>3</v>
      </c>
      <c r="AW35" s="398">
        <f t="shared" ca="1" si="43"/>
        <v>2</v>
      </c>
      <c r="AX35" s="398">
        <f t="shared" ca="1" si="44"/>
        <v>96</v>
      </c>
      <c r="AY35" s="398">
        <f t="shared" ca="1" si="45"/>
        <v>89376</v>
      </c>
      <c r="AZ35" s="399">
        <f t="shared" si="9"/>
        <v>250</v>
      </c>
      <c r="BA35" s="399">
        <f t="shared" si="10"/>
        <v>16</v>
      </c>
      <c r="BB35" s="483" t="str">
        <f t="shared" ca="1" si="46"/>
        <v/>
      </c>
      <c r="BC35" s="400">
        <f ca="1">IF(MAX(IF($D$6="No",ROUNDUP($D$3/$I35,0),ROUNDUP(($D$3+$I35)/$I35,0)),IF($D$6="No",ROUNDUP($D$4/$G35,0),ROUNDUP(($D$4+$G35)/$G35,0)),ROUNDUP('BVMS checklist'!$H$217/$J35,0))&gt;1,'BVMS checklist'!$L$224,'BVMS checklist'!$L$217)</f>
        <v>0</v>
      </c>
      <c r="BD35" s="398">
        <f t="shared" ca="1" si="47"/>
        <v>2</v>
      </c>
      <c r="BE35" s="400">
        <f t="shared" si="48"/>
        <v>1</v>
      </c>
      <c r="BF35" s="400">
        <f t="shared" si="49"/>
        <v>170</v>
      </c>
      <c r="BG35" s="400">
        <f t="shared" ca="1" si="11"/>
        <v>0</v>
      </c>
      <c r="BH35" s="398">
        <f t="shared" ca="1" si="50"/>
        <v>89376</v>
      </c>
      <c r="BI35" s="401" t="str">
        <f t="shared" ca="1" si="51"/>
        <v/>
      </c>
      <c r="BJ35" s="398">
        <f t="shared" ca="1" si="52"/>
        <v>94</v>
      </c>
      <c r="BK35" s="400">
        <f ca="1">IF(MAX(IF($D$6="No",ROUNDUP($D$3/$I35,0),ROUNDUP(($D$3+$I35)/$I35,0)),IF($D$6="No",ROUNDUP($D$4/$G35,0),ROUNDUP(($D$4+$G35)/$G35,0)),ROUNDUP('BVMS checklist'!$H$217/$J35,0))&gt;1,'BVMS checklist'!$L$224,'BVMS checklist'!$L$217)+MAX(IF($D$6="No",ROUNDUP($D$3/$I35,0),ROUNDUP(($D$3+$I35)/$I35,0)),IF($D$6="No",ROUNDUP($D$4/$G35,0),ROUNDUP(($D$4+$G35)/$G35,0)))+$D$5</f>
        <v>1</v>
      </c>
      <c r="BL35" s="400" t="b">
        <f t="shared" ca="1" si="12"/>
        <v>1</v>
      </c>
      <c r="BM35" s="400" t="str">
        <f t="shared" ca="1" si="53"/>
        <v>Accepted</v>
      </c>
      <c r="BN35" s="398" t="str">
        <f t="shared" ca="1" si="13"/>
        <v>No</v>
      </c>
      <c r="BO35" s="398" t="str">
        <f t="shared" ca="1" si="54"/>
        <v/>
      </c>
      <c r="BP35" s="398" t="str">
        <f t="shared" ca="1" si="55"/>
        <v/>
      </c>
      <c r="BQ35" s="398">
        <f t="shared" ca="1" si="56"/>
        <v>3</v>
      </c>
      <c r="BR35" s="398">
        <f t="shared" ca="1" si="57"/>
        <v>2</v>
      </c>
      <c r="BS35" s="398">
        <f t="shared" ca="1" si="58"/>
        <v>96</v>
      </c>
      <c r="BT35" s="398">
        <f t="shared" ca="1" si="59"/>
        <v>89376</v>
      </c>
      <c r="BU35" s="399">
        <f t="shared" si="14"/>
        <v>250</v>
      </c>
      <c r="BV35" s="399">
        <f t="shared" si="15"/>
        <v>16</v>
      </c>
      <c r="BW35" s="483" t="str">
        <f t="shared" ca="1" si="60"/>
        <v/>
      </c>
      <c r="BX35" s="400">
        <f ca="1">IF(MAX(IF($E$6="No",ROUNDUP($E$3/$I35,0),ROUNDUP(($E$3+$I35)/$I35,0)),IF($E$6="No",ROUNDUP($E$4/$G35,0),ROUNDUP(($E$4+$G35)/$G35,0)),ROUNDUP('BVMS checklist'!$H$217/$J35,0))&gt;1,'BVMS checklist'!$N$224,'BVMS checklist'!$N$217)</f>
        <v>0</v>
      </c>
      <c r="BY35" s="398">
        <f t="shared" ca="1" si="61"/>
        <v>2</v>
      </c>
      <c r="BZ35" s="400">
        <f t="shared" ca="1" si="62"/>
        <v>2</v>
      </c>
      <c r="CA35" s="400">
        <f t="shared" ca="1" si="63"/>
        <v>340</v>
      </c>
      <c r="CB35" s="400">
        <f t="shared" ca="1" si="16"/>
        <v>0</v>
      </c>
      <c r="CC35" s="398">
        <f t="shared" ca="1" si="64"/>
        <v>89376</v>
      </c>
      <c r="CD35" s="401" t="str">
        <f t="shared" ca="1" si="65"/>
        <v/>
      </c>
      <c r="CE35" s="398">
        <f t="shared" ca="1" si="66"/>
        <v>94</v>
      </c>
      <c r="CF35" s="400">
        <f ca="1">IF(MAX(IF($E$6="No",ROUNDUP($E$3/$I35,0),ROUNDUP(($E$3+$I35)/$I35,0)),IF($E$6="No",ROUNDUP($E$4/$G35,0),ROUNDUP(($E$4+$G35)/$G35,0)),ROUNDUP('BVMS checklist'!$H$217/$J35,0))&gt;1,'BVMS checklist'!$N$224,'BVMS checklist'!$N$217)+MAX(IF($E$6="No",ROUNDUP($E$3/$I35,0),ROUNDUP(($E$3+$I35)/$I35,0)),IF($E$6="No",ROUNDUP($E$4/$G35,0),ROUNDUP(($E$4+$G35)/$G35,0)))+$E$5</f>
        <v>1</v>
      </c>
      <c r="CG35" s="400" t="b">
        <f t="shared" ca="1" si="17"/>
        <v>1</v>
      </c>
      <c r="CH35" s="400" t="str">
        <f t="shared" ca="1" si="67"/>
        <v>Accepted</v>
      </c>
      <c r="CI35" s="398" t="str">
        <f t="shared" ca="1" si="68"/>
        <v>No</v>
      </c>
      <c r="CJ35" s="398" t="str">
        <f t="shared" ca="1" si="69"/>
        <v/>
      </c>
      <c r="CK35" s="398" t="str">
        <f t="shared" ca="1" si="70"/>
        <v/>
      </c>
      <c r="CL35" s="398">
        <f t="shared" ca="1" si="71"/>
        <v>3</v>
      </c>
      <c r="CM35" s="398">
        <f t="shared" ca="1" si="72"/>
        <v>2</v>
      </c>
      <c r="CN35" s="398">
        <f t="shared" ca="1" si="73"/>
        <v>96</v>
      </c>
      <c r="CO35" s="398">
        <f t="shared" ca="1" si="74"/>
        <v>89376</v>
      </c>
      <c r="CP35" s="399">
        <f t="shared" si="18"/>
        <v>250</v>
      </c>
      <c r="CQ35" s="399">
        <f t="shared" si="19"/>
        <v>16</v>
      </c>
      <c r="CR35" s="483" t="str">
        <f t="shared" ca="1" si="75"/>
        <v/>
      </c>
      <c r="CS35"/>
    </row>
    <row r="36" spans="1:97">
      <c r="A36" s="398" t="s">
        <v>1948</v>
      </c>
      <c r="B36" s="398" t="s">
        <v>988</v>
      </c>
      <c r="C36" s="440" t="s">
        <v>891</v>
      </c>
      <c r="D36" s="398">
        <v>1</v>
      </c>
      <c r="E36" s="398"/>
      <c r="F36" s="440">
        <v>0</v>
      </c>
      <c r="G36" s="398">
        <f>IF(C36="RAID5",(3-F36)*3724,(2-F36)*3724)</f>
        <v>11172</v>
      </c>
      <c r="H36" s="399">
        <v>8</v>
      </c>
      <c r="I36" s="399">
        <v>400</v>
      </c>
      <c r="J36" s="399">
        <v>128</v>
      </c>
      <c r="K36" s="399">
        <v>264</v>
      </c>
      <c r="L36" s="399">
        <v>16</v>
      </c>
      <c r="M36" s="400">
        <f ca="1">IF(MAX(IF($B$6="No",ROUNDUP($B$3/$I36,0),ROUNDUP(($B$3+$I36)/$I36,0)),IF($B$6="No",ROUNDUP($B$4/$G36,0),ROUNDUP(($B$4+$G36)/$G36,0)),ROUNDUP('BVMS checklist'!$H$217/$J36,0))&gt;1,'BVMS checklist'!$H$224,'BVMS checklist'!$H$217)</f>
        <v>0</v>
      </c>
      <c r="N36" s="398">
        <f t="shared" ref="N36:N37" ca="1" si="208">MAX(IF($B$6="No",ROUNDUP($B$3/$I36,0),ROUNDUP(($B$3+$I36)/$I36,0)),IF($B$6="No",ROUNDUP($B$4/$G36,0),ROUNDUP($B$4/$G36,0)),IF($B$6="Yes",ROUNDUP((U36+J36)/J36,0),ROUNDUP(U36/J36,0)))</f>
        <v>2</v>
      </c>
      <c r="O36" s="400">
        <f t="shared" ca="1" si="21"/>
        <v>2</v>
      </c>
      <c r="P36" s="400">
        <f t="shared" ref="P36:P37" ca="1" si="209">O36*$I36</f>
        <v>800</v>
      </c>
      <c r="Q36" s="400">
        <f t="shared" ref="Q36:Q37" ca="1" si="210">IFERROR($B$3/N36,"")</f>
        <v>0</v>
      </c>
      <c r="R36" s="398">
        <f t="shared" ref="R36:R37" ca="1" si="211">$G36*N36</f>
        <v>22344</v>
      </c>
      <c r="S36" s="401" t="e">
        <f t="shared" ref="S36:S37" ca="1" si="212">IF(X36="yes",(R36)/$B$4,"")</f>
        <v>#DIV/0!</v>
      </c>
      <c r="T36" s="398">
        <f t="shared" ref="T36:T37" ca="1" si="213">N36*J36</f>
        <v>256</v>
      </c>
      <c r="U36" s="400">
        <f ca="1">IF(MAX(IF($B$6="No",ROUNDUP($B$3/$I36,0),ROUNDUP(($B$3+$I36)/$I36,0)),IF($B$6="No",ROUNDUP($B$4/$G36,0),ROUNDUP(($B$4+$G36)/$G36,0)),ROUNDUP('BVMS checklist'!$H$217/$J36,0))&gt;1,'BVMS checklist'!$H$224,'BVMS checklist'!$H$217)+MAX(IF($B$6="No",ROUNDUP($B$3/$I36,0),ROUNDUP(($B$3+$I36)/$I36,0)),IF($B$6="No",ROUNDUP($B$4/$G36,0),ROUNDUP(($B$4+$G36)/$G36,0)))+$B$5</f>
        <v>1</v>
      </c>
      <c r="V36" s="400" t="b">
        <f t="shared" ref="V36:V37" ca="1" si="214">IF(AND((T36/$D36)-U36&gt;=0,OR(N36&gt;=2,$D36&gt;=2),P36-I36&gt;=$B$3),TRUE,FALSE)</f>
        <v>1</v>
      </c>
      <c r="W36" s="400" t="str">
        <f t="shared" ca="1" si="24"/>
        <v>Accepted</v>
      </c>
      <c r="X36" s="398" t="str">
        <f t="shared" ref="X36:X37" ca="1" si="215">IF(AND(U36&lt;T36,Q36&lt;I36,B36="Active",W36="Accepted"),"Yes","No")</f>
        <v>Yes</v>
      </c>
      <c r="Y36" s="398">
        <f t="shared" ca="1" si="26"/>
        <v>4</v>
      </c>
      <c r="Z36" s="398" t="str">
        <f t="shared" ref="Z36:Z37" ca="1" si="216">IF(X36="Yes",$A36&amp;" "&amp;$C36,"")</f>
        <v>DIVAR IP all-in-one 6000 MANAGEMENT APPLIANCE 4x4TB RAID5</v>
      </c>
      <c r="AA36" s="398">
        <f t="shared" ca="1" si="28"/>
        <v>4</v>
      </c>
      <c r="AB36" s="398">
        <f t="shared" ref="AB36:AB37" ca="1" si="217">N36</f>
        <v>2</v>
      </c>
      <c r="AC36" s="398">
        <f t="shared" ref="AC36:AC37" ca="1" si="218">N36*$H36</f>
        <v>16</v>
      </c>
      <c r="AD36" s="398">
        <f t="shared" ca="1" si="29"/>
        <v>22344</v>
      </c>
      <c r="AE36" s="399">
        <f t="shared" si="6"/>
        <v>264</v>
      </c>
      <c r="AF36" s="399">
        <f t="shared" si="7"/>
        <v>16</v>
      </c>
      <c r="AG36" s="483" t="e">
        <f t="shared" ref="AG36:AG37" ca="1" si="219">S36</f>
        <v>#DIV/0!</v>
      </c>
      <c r="AH36" s="400">
        <f ca="1">IF(MAX(IF($C$6="No",ROUNDUP($C$3/$I36,0),ROUNDUP(($C$3+$I36)/$I36,0)),IF($C$6="No",ROUNDUP($C$4/$G36,0),ROUNDUP(($C$4+$G36)/$G36,0)),ROUNDUP('BVMS checklist'!$H$217/$J36,0))&gt;1,'BVMS checklist'!$J$224,'BVMS checklist'!$J$217)</f>
        <v>0</v>
      </c>
      <c r="AI36" s="398">
        <f t="shared" ref="AI36:AI37" ca="1" si="220">MAX(IF($C$6="No",ROUNDUP($C$3/$I36,0),ROUNDUP(($C$3+$I36)/$I36,0)),IF($C$6="No",ROUNDUP($C$4/$G36,0),ROUNDUP(($C$4+$G36)/$G36,0)),IF($C$6="Yes",ROUNDUP(AP36/J36,0)+1,ROUNDUP(AP36/J36,0)))</f>
        <v>2</v>
      </c>
      <c r="AJ36" s="400">
        <f t="shared" ca="1" si="32"/>
        <v>2</v>
      </c>
      <c r="AK36" s="400">
        <f t="shared" ref="AK36:AK45" ca="1" si="221">AJ36*$I36</f>
        <v>800</v>
      </c>
      <c r="AL36" s="400">
        <f t="shared" ca="1" si="34"/>
        <v>0</v>
      </c>
      <c r="AM36" s="398">
        <f t="shared" ref="AM36:AM45" ca="1" si="222">$G36*AI36</f>
        <v>22344</v>
      </c>
      <c r="AN36" s="401" t="e">
        <f t="shared" ref="AN36:AN37" ca="1" si="223">IF(AS36="yes",(AM36)/$C$4,"")</f>
        <v>#DIV/0!</v>
      </c>
      <c r="AO36" s="398">
        <f t="shared" ref="AO36:AO45" ca="1" si="224">AI36*$J36</f>
        <v>256</v>
      </c>
      <c r="AP36" s="400">
        <f ca="1">IF(MAX(IF($C$6="No",ROUNDUP($C$3/$I36,0),ROUNDUP(($C$3+$I36)/$I36,0)),IF($C$6="No",ROUNDUP($C$4/$G36,0),ROUNDUP(($C$4+$G36)/$G36,0)),ROUNDUP('BVMS checklist'!$H$217/$J36,0))&gt;1,'BVMS checklist'!$J$224,'BVMS checklist'!$J$217)+MAX(IF($C$6="No",ROUNDUP($C$3/$I36,0),ROUNDUP(($C$3+$I36)/$I36,0)),IF($C$6="No",ROUNDUP($C$4/$G36,0),ROUNDUP(($C$4+$G36)/$G36,0)))+$C$5</f>
        <v>1</v>
      </c>
      <c r="AQ36" s="400" t="b">
        <f t="shared" ref="AQ36:AQ37" ca="1" si="225">IF(AND((AO36/$D36)-AP36&gt;=0,OR(AI36&gt;=2,$D36&gt;=2),AK36-I36&gt;=$C$3),TRUE,FALSE)</f>
        <v>1</v>
      </c>
      <c r="AR36" s="400" t="str">
        <f t="shared" ca="1" si="38"/>
        <v>Accepted</v>
      </c>
      <c r="AS36" s="398" t="str">
        <f t="shared" ref="AS36:AS45" ca="1" si="226">IF(AND(AP36&lt;AO36,AL36&lt;$I36,$B36="Active",AR36="Accepted"),"Yes","No")</f>
        <v>Yes</v>
      </c>
      <c r="AT36" s="398">
        <f t="shared" ca="1" si="40"/>
        <v>4</v>
      </c>
      <c r="AU36" s="398" t="str">
        <f t="shared" ref="AU36:AU37" ca="1" si="227">IF(AS36="Yes",$A36&amp;" "&amp;$C36,"")</f>
        <v>DIVAR IP all-in-one 6000 MANAGEMENT APPLIANCE 4x4TB RAID5</v>
      </c>
      <c r="AV36" s="398">
        <f t="shared" ca="1" si="42"/>
        <v>4</v>
      </c>
      <c r="AW36" s="398">
        <f t="shared" ca="1" si="43"/>
        <v>2</v>
      </c>
      <c r="AX36" s="398">
        <f t="shared" ref="AX36:AX45" ca="1" si="228">AI36*$H36</f>
        <v>16</v>
      </c>
      <c r="AY36" s="398">
        <f t="shared" ca="1" si="45"/>
        <v>22344</v>
      </c>
      <c r="AZ36" s="399">
        <f t="shared" si="9"/>
        <v>264</v>
      </c>
      <c r="BA36" s="399">
        <f t="shared" si="10"/>
        <v>16</v>
      </c>
      <c r="BB36" s="483" t="e">
        <f t="shared" ref="BB36:BB37" ca="1" si="229">AN36</f>
        <v>#DIV/0!</v>
      </c>
      <c r="BC36" s="400">
        <f ca="1">IF(MAX(IF($D$6="No",ROUNDUP($D$3/$I36,0),ROUNDUP(($D$3+$I36)/$I36,0)),IF($D$6="No",ROUNDUP($D$4/$G36,0),ROUNDUP(($D$4+$G36)/$G36,0)),ROUNDUP('BVMS checklist'!$H$217/$J36,0))&gt;1,'BVMS checklist'!$L$224,'BVMS checklist'!$L$217)</f>
        <v>0</v>
      </c>
      <c r="BD36" s="398">
        <f t="shared" ref="BD36:BD37" ca="1" si="230">MAX(IF($D$6="No",ROUNDUP($D$3/$I36,0),ROUNDUP(($D$3+$I36)/$I36,0)),IF($D$6="No",ROUNDUP($D$4/$G36,0),ROUNDUP(($D$4+$G36)/$G36,0)),IF($D$6="Yes",ROUNDUP(BK36/J36,0)+1,ROUNDUP(BK36/J36,0)))</f>
        <v>2</v>
      </c>
      <c r="BE36" s="400">
        <f t="shared" si="48"/>
        <v>1</v>
      </c>
      <c r="BF36" s="400">
        <f t="shared" ref="BF36:BF45" si="231">BE36*$I36</f>
        <v>400</v>
      </c>
      <c r="BG36" s="400">
        <f t="shared" ca="1" si="11"/>
        <v>0</v>
      </c>
      <c r="BH36" s="398">
        <f t="shared" ref="BH36:BH45" ca="1" si="232">$G36*BD36</f>
        <v>22344</v>
      </c>
      <c r="BI36" s="401" t="e">
        <f t="shared" ref="BI36:BI37" ca="1" si="233">IF(BN36="yes",(BH36)/$D$4,"")</f>
        <v>#DIV/0!</v>
      </c>
      <c r="BJ36" s="398">
        <f t="shared" ref="BJ36:BJ45" ca="1" si="234">BD36*$J36</f>
        <v>256</v>
      </c>
      <c r="BK36" s="400">
        <f ca="1">IF(MAX(IF($D$6="No",ROUNDUP($D$3/$I36,0),ROUNDUP(($D$3+$I36)/$I36,0)),IF($D$6="No",ROUNDUP($D$4/$G36,0),ROUNDUP(($D$4+$G36)/$G36,0)),ROUNDUP('BVMS checklist'!$H$217/$J36,0))&gt;1,'BVMS checklist'!$L$224,'BVMS checklist'!$L$217)+MAX(IF($D$6="No",ROUNDUP($D$3/$I36,0),ROUNDUP(($D$3+$I36)/$I36,0)),IF($D$6="No",ROUNDUP($D$4/$G36,0),ROUNDUP(($D$4+$G36)/$G36,0)))+$D$5</f>
        <v>1</v>
      </c>
      <c r="BL36" s="400" t="b">
        <f t="shared" ref="BL36:BL37" ca="1" si="235">IF(AND((BJ36/$D36)-BK36&gt;=0,OR(BD36&gt;=2,$D36&gt;=2),BF36-I36&gt;=$D$3),TRUE,FALSE)</f>
        <v>1</v>
      </c>
      <c r="BM36" s="400" t="str">
        <f t="shared" ca="1" si="53"/>
        <v>Accepted</v>
      </c>
      <c r="BN36" s="398" t="str">
        <f t="shared" ref="BN36:BN45" ca="1" si="236">IF(AND(BK36&lt;BJ36,BG36&lt;$I36,$B36="Active",BM36="Accepted"),"Yes","No")</f>
        <v>Yes</v>
      </c>
      <c r="BO36" s="398">
        <f t="shared" ca="1" si="54"/>
        <v>4</v>
      </c>
      <c r="BP36" s="398" t="str">
        <f t="shared" ref="BP36:BP37" ca="1" si="237">IF(BN36="Yes",$A36&amp;" "&amp;$C36,"")</f>
        <v>DIVAR IP all-in-one 6000 MANAGEMENT APPLIANCE 4x4TB RAID5</v>
      </c>
      <c r="BQ36" s="398">
        <f t="shared" ca="1" si="56"/>
        <v>4</v>
      </c>
      <c r="BR36" s="398">
        <f t="shared" ca="1" si="57"/>
        <v>2</v>
      </c>
      <c r="BS36" s="398">
        <f t="shared" ref="BS36:BS45" ca="1" si="238">BD36*$H36</f>
        <v>16</v>
      </c>
      <c r="BT36" s="398">
        <f t="shared" ca="1" si="59"/>
        <v>22344</v>
      </c>
      <c r="BU36" s="399">
        <f t="shared" si="14"/>
        <v>264</v>
      </c>
      <c r="BV36" s="399">
        <f t="shared" si="15"/>
        <v>16</v>
      </c>
      <c r="BW36" s="483" t="e">
        <f t="shared" ref="BW36:BW37" ca="1" si="239">BI36</f>
        <v>#DIV/0!</v>
      </c>
      <c r="BX36" s="400">
        <f ca="1">IF(MAX(IF($E$6="No",ROUNDUP($E$3/$I36,0),ROUNDUP(($E$3+$I36)/$I36,0)),IF($E$6="No",ROUNDUP($E$4/$G36,0),ROUNDUP(($E$4+$G36)/$G36,0)),ROUNDUP('BVMS checklist'!$H$217/$J36,0))&gt;1,'BVMS checklist'!$N$224,'BVMS checklist'!$N$217)</f>
        <v>0</v>
      </c>
      <c r="BY36" s="398">
        <f t="shared" ref="BY36:BY37" ca="1" si="240">MAX(IF($E$6="No",ROUNDUP($E$3/$I36,0),ROUNDUP(($E$3+$I36)/$I36,0)),IF($E$6="No",ROUNDUP($E$4/$G36,0),ROUNDUP(($E$4+$G36)/$G36,0)),IF($E$6="Yes",ROUNDUP(CF36/J36,0)+1,ROUNDUP(CF36/J36,0)))</f>
        <v>2</v>
      </c>
      <c r="BZ36" s="400">
        <f t="shared" ca="1" si="62"/>
        <v>2</v>
      </c>
      <c r="CA36" s="400">
        <f t="shared" ref="CA36:CA45" ca="1" si="241">BZ36*$I36</f>
        <v>800</v>
      </c>
      <c r="CB36" s="400">
        <f t="shared" ca="1" si="16"/>
        <v>0</v>
      </c>
      <c r="CC36" s="398">
        <f t="shared" ref="CC36:CC45" ca="1" si="242">$G36*BY36</f>
        <v>22344</v>
      </c>
      <c r="CD36" s="401" t="e">
        <f t="shared" ref="CD36:CD37" ca="1" si="243">IF(CI36="yes",(CC36)/$E$4,"")</f>
        <v>#DIV/0!</v>
      </c>
      <c r="CE36" s="398">
        <f t="shared" ref="CE36:CE45" ca="1" si="244">BY36*$J36</f>
        <v>256</v>
      </c>
      <c r="CF36" s="400">
        <f ca="1">IF(MAX(IF($E$6="No",ROUNDUP($E$3/$I36,0),ROUNDUP(($E$3+$I36)/$I36,0)),IF($E$6="No",ROUNDUP($E$4/$G36,0),ROUNDUP(($E$4+$G36)/$G36,0)),ROUNDUP('BVMS checklist'!$H$217/$J36,0))&gt;1,'BVMS checklist'!$N$224,'BVMS checklist'!$N$217)+MAX(IF($E$6="No",ROUNDUP($E$3/$I36,0),ROUNDUP(($E$3+$I36)/$I36,0)),IF($E$6="No",ROUNDUP($E$4/$G36,0),ROUNDUP(($E$4+$G36)/$G36,0)))+$E$5</f>
        <v>1</v>
      </c>
      <c r="CG36" s="400" t="b">
        <f t="shared" ref="CG36:CG37" ca="1" si="245">IF(AND((CE36/$D36)-CF36&gt;=0,OR(BY36&gt;=2,$D36&gt;=2),CA36-I36&gt;=$E$3),TRUE,FALSE)</f>
        <v>1</v>
      </c>
      <c r="CH36" s="400" t="str">
        <f t="shared" ca="1" si="67"/>
        <v>Accepted</v>
      </c>
      <c r="CI36" s="398" t="str">
        <f t="shared" ref="CI36:CI45" ca="1" si="246">IF(AND(CF36&lt;CE36,CB36&lt;$I36,$B36="Active",CH36="Accepted"),"Yes","No")</f>
        <v>Yes</v>
      </c>
      <c r="CJ36" s="398">
        <f t="shared" ca="1" si="69"/>
        <v>4</v>
      </c>
      <c r="CK36" s="398" t="str">
        <f t="shared" ref="CK36:CK37" ca="1" si="247">IF(CI36="Yes",$A36&amp;" "&amp;$C36,"")</f>
        <v>DIVAR IP all-in-one 6000 MANAGEMENT APPLIANCE 4x4TB RAID5</v>
      </c>
      <c r="CL36" s="398">
        <f t="shared" ca="1" si="71"/>
        <v>4</v>
      </c>
      <c r="CM36" s="398">
        <f t="shared" ca="1" si="72"/>
        <v>2</v>
      </c>
      <c r="CN36" s="398">
        <f t="shared" ref="CN36:CN45" ca="1" si="248">BY36*$H36</f>
        <v>16</v>
      </c>
      <c r="CO36" s="398">
        <f t="shared" ca="1" si="74"/>
        <v>22344</v>
      </c>
      <c r="CP36" s="399">
        <f t="shared" si="18"/>
        <v>264</v>
      </c>
      <c r="CQ36" s="399">
        <f t="shared" si="19"/>
        <v>16</v>
      </c>
      <c r="CR36" s="483" t="e">
        <f t="shared" ref="CR36:CR37" ca="1" si="249">CD36</f>
        <v>#DIV/0!</v>
      </c>
      <c r="CS36"/>
    </row>
    <row r="37" spans="1:97">
      <c r="A37" s="398" t="s">
        <v>1949</v>
      </c>
      <c r="B37" s="398" t="s">
        <v>988</v>
      </c>
      <c r="C37" s="440" t="s">
        <v>891</v>
      </c>
      <c r="D37" s="398">
        <v>1</v>
      </c>
      <c r="E37" s="398"/>
      <c r="F37" s="440">
        <v>0</v>
      </c>
      <c r="G37" s="398">
        <f>IF(C37="RAID5",(3-F37)*7448,(2-F37)*7448)</f>
        <v>22344</v>
      </c>
      <c r="H37" s="399">
        <v>16</v>
      </c>
      <c r="I37" s="399">
        <v>400</v>
      </c>
      <c r="J37" s="399">
        <v>128</v>
      </c>
      <c r="K37" s="399">
        <v>264</v>
      </c>
      <c r="L37" s="399">
        <v>16</v>
      </c>
      <c r="M37" s="400">
        <f ca="1">IF(MAX(IF($B$6="No",ROUNDUP($B$3/$I37,0),ROUNDUP(($B$3+$I37)/$I37,0)),IF($B$6="No",ROUNDUP($B$4/$G37,0),ROUNDUP(($B$4+$G37)/$G37,0)),ROUNDUP('BVMS checklist'!$H$217/$J37,0))&gt;1,'BVMS checklist'!$H$224,'BVMS checklist'!$H$217)</f>
        <v>0</v>
      </c>
      <c r="N37" s="398">
        <f t="shared" ca="1" si="208"/>
        <v>2</v>
      </c>
      <c r="O37" s="400">
        <f t="shared" ca="1" si="21"/>
        <v>2</v>
      </c>
      <c r="P37" s="400">
        <f t="shared" ca="1" si="209"/>
        <v>800</v>
      </c>
      <c r="Q37" s="400">
        <f t="shared" ca="1" si="210"/>
        <v>0</v>
      </c>
      <c r="R37" s="398">
        <f t="shared" ca="1" si="211"/>
        <v>44688</v>
      </c>
      <c r="S37" s="401" t="e">
        <f t="shared" ca="1" si="212"/>
        <v>#DIV/0!</v>
      </c>
      <c r="T37" s="398">
        <f t="shared" ca="1" si="213"/>
        <v>256</v>
      </c>
      <c r="U37" s="400">
        <f ca="1">IF(MAX(IF($B$6="No",ROUNDUP($B$3/$I37,0),ROUNDUP(($B$3+$I37)/$I37,0)),IF($B$6="No",ROUNDUP($B$4/$G37,0),ROUNDUP(($B$4+$G37)/$G37,0)),ROUNDUP('BVMS checklist'!$H$217/$J37,0))&gt;1,'BVMS checklist'!$H$224,'BVMS checklist'!$H$217)+MAX(IF($B$6="No",ROUNDUP($B$3/$I37,0),ROUNDUP(($B$3+$I37)/$I37,0)),IF($B$6="No",ROUNDUP($B$4/$G37,0),ROUNDUP(($B$4+$G37)/$G37,0)))+$B$5</f>
        <v>1</v>
      </c>
      <c r="V37" s="400" t="b">
        <f t="shared" ca="1" si="214"/>
        <v>1</v>
      </c>
      <c r="W37" s="400" t="str">
        <f t="shared" ca="1" si="24"/>
        <v>Accepted</v>
      </c>
      <c r="X37" s="398" t="str">
        <f t="shared" ca="1" si="215"/>
        <v>Yes</v>
      </c>
      <c r="Y37" s="398">
        <f t="shared" ca="1" si="26"/>
        <v>5</v>
      </c>
      <c r="Z37" s="398" t="str">
        <f t="shared" ca="1" si="216"/>
        <v>DIVAR IP all-in-one 6000 MANAGEMENT APPLIANCE 4x8TB RAID5</v>
      </c>
      <c r="AA37" s="398">
        <f t="shared" ca="1" si="28"/>
        <v>5</v>
      </c>
      <c r="AB37" s="398">
        <f t="shared" ca="1" si="217"/>
        <v>2</v>
      </c>
      <c r="AC37" s="398">
        <f t="shared" ca="1" si="218"/>
        <v>32</v>
      </c>
      <c r="AD37" s="398">
        <f t="shared" ca="1" si="29"/>
        <v>44688</v>
      </c>
      <c r="AE37" s="399">
        <f t="shared" si="6"/>
        <v>264</v>
      </c>
      <c r="AF37" s="399">
        <f t="shared" si="7"/>
        <v>16</v>
      </c>
      <c r="AG37" s="483" t="e">
        <f t="shared" ca="1" si="219"/>
        <v>#DIV/0!</v>
      </c>
      <c r="AH37" s="400">
        <f ca="1">IF(MAX(IF($C$6="No",ROUNDUP($C$3/$I37,0),ROUNDUP(($C$3+$I37)/$I37,0)),IF($C$6="No",ROUNDUP($C$4/$G37,0),ROUNDUP(($C$4+$G37)/$G37,0)),ROUNDUP('BVMS checklist'!$H$217/$J37,0))&gt;1,'BVMS checklist'!$J$224,'BVMS checklist'!$J$217)</f>
        <v>0</v>
      </c>
      <c r="AI37" s="398">
        <f t="shared" ca="1" si="220"/>
        <v>2</v>
      </c>
      <c r="AJ37" s="400">
        <f t="shared" ca="1" si="32"/>
        <v>2</v>
      </c>
      <c r="AK37" s="400">
        <f t="shared" ca="1" si="221"/>
        <v>800</v>
      </c>
      <c r="AL37" s="400">
        <f t="shared" ca="1" si="34"/>
        <v>0</v>
      </c>
      <c r="AM37" s="398">
        <f t="shared" ca="1" si="222"/>
        <v>44688</v>
      </c>
      <c r="AN37" s="401" t="e">
        <f t="shared" ca="1" si="223"/>
        <v>#DIV/0!</v>
      </c>
      <c r="AO37" s="398">
        <f t="shared" ca="1" si="224"/>
        <v>256</v>
      </c>
      <c r="AP37" s="400">
        <f ca="1">IF(MAX(IF($C$6="No",ROUNDUP($C$3/$I37,0),ROUNDUP(($C$3+$I37)/$I37,0)),IF($C$6="No",ROUNDUP($C$4/$G37,0),ROUNDUP(($C$4+$G37)/$G37,0)),ROUNDUP('BVMS checklist'!$H$217/$J37,0))&gt;1,'BVMS checklist'!$J$224,'BVMS checklist'!$J$217)+MAX(IF($C$6="No",ROUNDUP($C$3/$I37,0),ROUNDUP(($C$3+$I37)/$I37,0)),IF($C$6="No",ROUNDUP($C$4/$G37,0),ROUNDUP(($C$4+$G37)/$G37,0)))+$C$5</f>
        <v>1</v>
      </c>
      <c r="AQ37" s="400" t="b">
        <f t="shared" ca="1" si="225"/>
        <v>1</v>
      </c>
      <c r="AR37" s="400" t="str">
        <f t="shared" ca="1" si="38"/>
        <v>Accepted</v>
      </c>
      <c r="AS37" s="398" t="str">
        <f t="shared" ca="1" si="226"/>
        <v>Yes</v>
      </c>
      <c r="AT37" s="398">
        <f t="shared" ca="1" si="40"/>
        <v>5</v>
      </c>
      <c r="AU37" s="398" t="str">
        <f t="shared" ca="1" si="227"/>
        <v>DIVAR IP all-in-one 6000 MANAGEMENT APPLIANCE 4x8TB RAID5</v>
      </c>
      <c r="AV37" s="398">
        <f t="shared" ca="1" si="42"/>
        <v>5</v>
      </c>
      <c r="AW37" s="398">
        <f t="shared" ca="1" si="43"/>
        <v>2</v>
      </c>
      <c r="AX37" s="398">
        <f t="shared" ca="1" si="228"/>
        <v>32</v>
      </c>
      <c r="AY37" s="398">
        <f t="shared" ca="1" si="45"/>
        <v>44688</v>
      </c>
      <c r="AZ37" s="399">
        <f t="shared" si="9"/>
        <v>264</v>
      </c>
      <c r="BA37" s="399">
        <f t="shared" si="10"/>
        <v>16</v>
      </c>
      <c r="BB37" s="483" t="e">
        <f t="shared" ca="1" si="229"/>
        <v>#DIV/0!</v>
      </c>
      <c r="BC37" s="400">
        <f ca="1">IF(MAX(IF($D$6="No",ROUNDUP($D$3/$I37,0),ROUNDUP(($D$3+$I37)/$I37,0)),IF($D$6="No",ROUNDUP($D$4/$G37,0),ROUNDUP(($D$4+$G37)/$G37,0)),ROUNDUP('BVMS checklist'!$H$217/$J37,0))&gt;1,'BVMS checklist'!$L$224,'BVMS checklist'!$L$217)</f>
        <v>0</v>
      </c>
      <c r="BD37" s="398">
        <f t="shared" ca="1" si="230"/>
        <v>2</v>
      </c>
      <c r="BE37" s="400">
        <f t="shared" si="48"/>
        <v>1</v>
      </c>
      <c r="BF37" s="400">
        <f t="shared" si="231"/>
        <v>400</v>
      </c>
      <c r="BG37" s="400">
        <f t="shared" ca="1" si="11"/>
        <v>0</v>
      </c>
      <c r="BH37" s="398">
        <f t="shared" ca="1" si="232"/>
        <v>44688</v>
      </c>
      <c r="BI37" s="401" t="e">
        <f t="shared" ca="1" si="233"/>
        <v>#DIV/0!</v>
      </c>
      <c r="BJ37" s="398">
        <f t="shared" ca="1" si="234"/>
        <v>256</v>
      </c>
      <c r="BK37" s="400">
        <f ca="1">IF(MAX(IF($D$6="No",ROUNDUP($D$3/$I37,0),ROUNDUP(($D$3+$I37)/$I37,0)),IF($D$6="No",ROUNDUP($D$4/$G37,0),ROUNDUP(($D$4+$G37)/$G37,0)),ROUNDUP('BVMS checklist'!$H$217/$J37,0))&gt;1,'BVMS checklist'!$L$224,'BVMS checklist'!$L$217)+MAX(IF($D$6="No",ROUNDUP($D$3/$I37,0),ROUNDUP(($D$3+$I37)/$I37,0)),IF($D$6="No",ROUNDUP($D$4/$G37,0),ROUNDUP(($D$4+$G37)/$G37,0)))+$D$5</f>
        <v>1</v>
      </c>
      <c r="BL37" s="400" t="b">
        <f t="shared" ca="1" si="235"/>
        <v>1</v>
      </c>
      <c r="BM37" s="400" t="str">
        <f t="shared" ca="1" si="53"/>
        <v>Accepted</v>
      </c>
      <c r="BN37" s="398" t="str">
        <f t="shared" ca="1" si="236"/>
        <v>Yes</v>
      </c>
      <c r="BO37" s="398">
        <f t="shared" ca="1" si="54"/>
        <v>5</v>
      </c>
      <c r="BP37" s="398" t="str">
        <f t="shared" ca="1" si="237"/>
        <v>DIVAR IP all-in-one 6000 MANAGEMENT APPLIANCE 4x8TB RAID5</v>
      </c>
      <c r="BQ37" s="398">
        <f t="shared" ca="1" si="56"/>
        <v>5</v>
      </c>
      <c r="BR37" s="398">
        <f t="shared" ca="1" si="57"/>
        <v>2</v>
      </c>
      <c r="BS37" s="398">
        <f t="shared" ca="1" si="238"/>
        <v>32</v>
      </c>
      <c r="BT37" s="398">
        <f t="shared" ca="1" si="59"/>
        <v>44688</v>
      </c>
      <c r="BU37" s="399">
        <f t="shared" si="14"/>
        <v>264</v>
      </c>
      <c r="BV37" s="399">
        <f t="shared" si="15"/>
        <v>16</v>
      </c>
      <c r="BW37" s="483" t="e">
        <f t="shared" ca="1" si="239"/>
        <v>#DIV/0!</v>
      </c>
      <c r="BX37" s="400">
        <f ca="1">IF(MAX(IF($E$6="No",ROUNDUP($E$3/$I37,0),ROUNDUP(($E$3+$I37)/$I37,0)),IF($E$6="No",ROUNDUP($E$4/$G37,0),ROUNDUP(($E$4+$G37)/$G37,0)),ROUNDUP('BVMS checklist'!$H$217/$J37,0))&gt;1,'BVMS checklist'!$N$224,'BVMS checklist'!$N$217)</f>
        <v>0</v>
      </c>
      <c r="BY37" s="398">
        <f t="shared" ca="1" si="240"/>
        <v>2</v>
      </c>
      <c r="BZ37" s="400">
        <f t="shared" ca="1" si="62"/>
        <v>2</v>
      </c>
      <c r="CA37" s="400">
        <f t="shared" ca="1" si="241"/>
        <v>800</v>
      </c>
      <c r="CB37" s="400">
        <f t="shared" ca="1" si="16"/>
        <v>0</v>
      </c>
      <c r="CC37" s="398">
        <f t="shared" ca="1" si="242"/>
        <v>44688</v>
      </c>
      <c r="CD37" s="401" t="e">
        <f t="shared" ca="1" si="243"/>
        <v>#DIV/0!</v>
      </c>
      <c r="CE37" s="398">
        <f t="shared" ca="1" si="244"/>
        <v>256</v>
      </c>
      <c r="CF37" s="400">
        <f ca="1">IF(MAX(IF($E$6="No",ROUNDUP($E$3/$I37,0),ROUNDUP(($E$3+$I37)/$I37,0)),IF($E$6="No",ROUNDUP($E$4/$G37,0),ROUNDUP(($E$4+$G37)/$G37,0)),ROUNDUP('BVMS checklist'!$H$217/$J37,0))&gt;1,'BVMS checklist'!$N$224,'BVMS checklist'!$N$217)+MAX(IF($E$6="No",ROUNDUP($E$3/$I37,0),ROUNDUP(($E$3+$I37)/$I37,0)),IF($E$6="No",ROUNDUP($E$4/$G37,0),ROUNDUP(($E$4+$G37)/$G37,0)))+$E$5</f>
        <v>1</v>
      </c>
      <c r="CG37" s="400" t="b">
        <f t="shared" ca="1" si="245"/>
        <v>1</v>
      </c>
      <c r="CH37" s="400" t="str">
        <f t="shared" ca="1" si="67"/>
        <v>Accepted</v>
      </c>
      <c r="CI37" s="398" t="str">
        <f t="shared" ca="1" si="246"/>
        <v>Yes</v>
      </c>
      <c r="CJ37" s="398">
        <f t="shared" ca="1" si="69"/>
        <v>5</v>
      </c>
      <c r="CK37" s="398" t="str">
        <f t="shared" ca="1" si="247"/>
        <v>DIVAR IP all-in-one 6000 MANAGEMENT APPLIANCE 4x8TB RAID5</v>
      </c>
      <c r="CL37" s="398">
        <f t="shared" ca="1" si="71"/>
        <v>5</v>
      </c>
      <c r="CM37" s="398">
        <f t="shared" ca="1" si="72"/>
        <v>2</v>
      </c>
      <c r="CN37" s="398">
        <f t="shared" ca="1" si="248"/>
        <v>32</v>
      </c>
      <c r="CO37" s="398">
        <f t="shared" ca="1" si="74"/>
        <v>44688</v>
      </c>
      <c r="CP37" s="399">
        <f t="shared" si="18"/>
        <v>264</v>
      </c>
      <c r="CQ37" s="399">
        <f t="shared" si="19"/>
        <v>16</v>
      </c>
      <c r="CR37" s="483" t="e">
        <f t="shared" ca="1" si="249"/>
        <v>#DIV/0!</v>
      </c>
      <c r="CS37"/>
    </row>
    <row r="38" spans="1:97">
      <c r="A38" s="398" t="s">
        <v>1950</v>
      </c>
      <c r="B38" s="398" t="s">
        <v>988</v>
      </c>
      <c r="C38" s="440" t="s">
        <v>891</v>
      </c>
      <c r="D38" s="398">
        <v>1</v>
      </c>
      <c r="E38" s="398"/>
      <c r="F38" s="440">
        <v>0</v>
      </c>
      <c r="G38" s="398">
        <f>IF(C38="RAID5",(3-F38)*16758,(2-F38)*16758)</f>
        <v>50274</v>
      </c>
      <c r="H38" s="399">
        <v>72</v>
      </c>
      <c r="I38" s="399">
        <v>400</v>
      </c>
      <c r="J38" s="399">
        <v>128</v>
      </c>
      <c r="K38" s="399">
        <v>264</v>
      </c>
      <c r="L38" s="399">
        <v>16</v>
      </c>
      <c r="M38" s="400">
        <f ca="1">IF(MAX(IF($B$6="No",ROUNDUP($B$3/$I38,0),ROUNDUP(($B$3+$I38)/$I38,0)),IF($B$6="No",ROUNDUP($B$4/$G38,0),ROUNDUP(($B$4+$G38)/$G38,0)),ROUNDUP('BVMS checklist'!$H$217/$J38,0))&gt;1,'BVMS checklist'!$H$224,'BVMS checklist'!$H$217)</f>
        <v>0</v>
      </c>
      <c r="N38" s="398">
        <f t="shared" ref="N38" ca="1" si="250">MAX(IF($B$6="No",ROUNDUP($B$3/$I38,0),ROUNDUP(($B$3+$I38)/$I38,0)),IF($B$6="No",ROUNDUP($B$4/$G38,0),ROUNDUP($B$4/$G38,0)),IF($B$6="Yes",ROUNDUP((U38+J38)/J38,0),ROUNDUP(U38/J38,0)))</f>
        <v>2</v>
      </c>
      <c r="O38" s="400">
        <f t="shared" ref="O38" ca="1" si="251">N38</f>
        <v>2</v>
      </c>
      <c r="P38" s="400">
        <f t="shared" ref="P38" ca="1" si="252">O38*$I38</f>
        <v>800</v>
      </c>
      <c r="Q38" s="400">
        <f t="shared" ref="Q38" ca="1" si="253">IFERROR($B$3/N38,"")</f>
        <v>0</v>
      </c>
      <c r="R38" s="398">
        <f t="shared" ref="R38" ca="1" si="254">$G38*N38</f>
        <v>100548</v>
      </c>
      <c r="S38" s="401" t="e">
        <f t="shared" ref="S38" ca="1" si="255">IF(X38="yes",(R38)/$B$4,"")</f>
        <v>#DIV/0!</v>
      </c>
      <c r="T38" s="398">
        <f t="shared" ref="T38" ca="1" si="256">N38*J38</f>
        <v>256</v>
      </c>
      <c r="U38" s="400">
        <f ca="1">IF(MAX(IF($B$6="No",ROUNDUP($B$3/$I38,0),ROUNDUP(($B$3+$I38)/$I38,0)),IF($B$6="No",ROUNDUP($B$4/$G38,0),ROUNDUP(($B$4+$G38)/$G38,0)),ROUNDUP('BVMS checklist'!$H$217/$J38,0))&gt;1,'BVMS checklist'!$H$224,'BVMS checklist'!$H$217)+MAX(IF($B$6="No",ROUNDUP($B$3/$I38,0),ROUNDUP(($B$3+$I38)/$I38,0)),IF($B$6="No",ROUNDUP($B$4/$G38,0),ROUNDUP(($B$4+$G38)/$G38,0)))+$B$5</f>
        <v>1</v>
      </c>
      <c r="V38" s="400" t="b">
        <f t="shared" ref="V38" ca="1" si="257">IF(AND((T38/$D38)-U38&gt;=0,OR(N38&gt;=2,$D38&gt;=2),P38-I38&gt;=$B$3),TRUE,FALSE)</f>
        <v>1</v>
      </c>
      <c r="W38" s="400" t="str">
        <f t="shared" ref="W38" ca="1" si="258">IF(OR(AND($B$6="Yes",V38=TRUE),$B$6="No"),"Accepted","Not accepted")</f>
        <v>Accepted</v>
      </c>
      <c r="X38" s="398" t="str">
        <f t="shared" ref="X38" ca="1" si="259">IF(AND(U38&lt;T38,Q38&lt;I38,B38="Active",W38="Accepted"),"Yes","No")</f>
        <v>Yes</v>
      </c>
      <c r="Y38" s="398">
        <f t="shared" ca="1" si="26"/>
        <v>6</v>
      </c>
      <c r="Z38" s="398" t="str">
        <f t="shared" ref="Z38" ca="1" si="260">IF(X38="Yes",$A38&amp;" "&amp;$C38,"")</f>
        <v>DIVAR IP all-in-one 6000 MANAGEMENT APPLIANCE 4x18TB RAID5</v>
      </c>
      <c r="AA38" s="398">
        <f t="shared" ca="1" si="28"/>
        <v>6</v>
      </c>
      <c r="AB38" s="398">
        <f t="shared" ref="AB38" ca="1" si="261">N38</f>
        <v>2</v>
      </c>
      <c r="AC38" s="398">
        <f t="shared" ref="AC38" ca="1" si="262">N38*$H38</f>
        <v>144</v>
      </c>
      <c r="AD38" s="398">
        <f t="shared" ref="AD38" ca="1" si="263">R38</f>
        <v>100548</v>
      </c>
      <c r="AE38" s="399">
        <f t="shared" ref="AE38" si="264">K38</f>
        <v>264</v>
      </c>
      <c r="AF38" s="399">
        <f t="shared" ref="AF38" si="265">L38</f>
        <v>16</v>
      </c>
      <c r="AG38" s="483" t="e">
        <f t="shared" ref="AG38" ca="1" si="266">S38</f>
        <v>#DIV/0!</v>
      </c>
      <c r="AH38" s="400">
        <f ca="1">IF(MAX(IF($C$6="No",ROUNDUP($C$3/$I38,0),ROUNDUP(($C$3+$I38)/$I38,0)),IF($C$6="No",ROUNDUP($C$4/$G38,0),ROUNDUP(($C$4+$G38)/$G38,0)),ROUNDUP('BVMS checklist'!$H$217/$J38,0))&gt;1,'BVMS checklist'!$J$224,'BVMS checklist'!$J$217)</f>
        <v>0</v>
      </c>
      <c r="AI38" s="398">
        <f t="shared" ref="AI38" ca="1" si="267">MAX(IF($C$6="No",ROUNDUP($C$3/$I38,0),ROUNDUP(($C$3+$I38)/$I38,0)),IF($C$6="No",ROUNDUP($C$4/$G38,0),ROUNDUP(($C$4+$G38)/$G38,0)),IF($C$6="Yes",ROUNDUP(AP38/J38,0)+1,ROUNDUP(AP38/J38,0)))</f>
        <v>2</v>
      </c>
      <c r="AJ38" s="400">
        <f t="shared" ref="AJ38" ca="1" si="268">AI38</f>
        <v>2</v>
      </c>
      <c r="AK38" s="400">
        <f t="shared" ca="1" si="221"/>
        <v>800</v>
      </c>
      <c r="AL38" s="400">
        <f t="shared" ref="AL38" ca="1" si="269">IFERROR($C$3/AI38,"")</f>
        <v>0</v>
      </c>
      <c r="AM38" s="398">
        <f t="shared" ca="1" si="222"/>
        <v>100548</v>
      </c>
      <c r="AN38" s="401" t="e">
        <f t="shared" ref="AN38" ca="1" si="270">IF(AS38="yes",(AM38)/$C$4,"")</f>
        <v>#DIV/0!</v>
      </c>
      <c r="AO38" s="398">
        <f t="shared" ca="1" si="224"/>
        <v>256</v>
      </c>
      <c r="AP38" s="400">
        <f ca="1">IF(MAX(IF($C$6="No",ROUNDUP($C$3/$I38,0),ROUNDUP(($C$3+$I38)/$I38,0)),IF($C$6="No",ROUNDUP($C$4/$G38,0),ROUNDUP(($C$4+$G38)/$G38,0)),ROUNDUP('BVMS checklist'!$H$217/$J38,0))&gt;1,'BVMS checklist'!$J$224,'BVMS checklist'!$J$217)+MAX(IF($C$6="No",ROUNDUP($C$3/$I38,0),ROUNDUP(($C$3+$I38)/$I38,0)),IF($C$6="No",ROUNDUP($C$4/$G38,0),ROUNDUP(($C$4+$G38)/$G38,0)))+$C$5</f>
        <v>1</v>
      </c>
      <c r="AQ38" s="400" t="b">
        <f t="shared" ref="AQ38" ca="1" si="271">IF(AND((AO38/$D38)-AP38&gt;=0,OR(AI38&gt;=2,$D38&gt;=2),AK38-I38&gt;=$C$3),TRUE,FALSE)</f>
        <v>1</v>
      </c>
      <c r="AR38" s="400" t="str">
        <f t="shared" ref="AR38" ca="1" si="272">IF(OR(AND($C$6="Yes",AQ38=TRUE),$C$6="No"),"Accepted","Not accepted")</f>
        <v>Accepted</v>
      </c>
      <c r="AS38" s="398" t="str">
        <f t="shared" ca="1" si="226"/>
        <v>Yes</v>
      </c>
      <c r="AT38" s="398">
        <f t="shared" ca="1" si="40"/>
        <v>6</v>
      </c>
      <c r="AU38" s="398" t="str">
        <f t="shared" ref="AU38" ca="1" si="273">IF(AS38="Yes",$A38&amp;" "&amp;$C38,"")</f>
        <v>DIVAR IP all-in-one 6000 MANAGEMENT APPLIANCE 4x18TB RAID5</v>
      </c>
      <c r="AV38" s="398">
        <f t="shared" ca="1" si="42"/>
        <v>6</v>
      </c>
      <c r="AW38" s="398">
        <f t="shared" ref="AW38" ca="1" si="274">AI38</f>
        <v>2</v>
      </c>
      <c r="AX38" s="398">
        <f t="shared" ca="1" si="228"/>
        <v>144</v>
      </c>
      <c r="AY38" s="398">
        <f t="shared" ref="AY38" ca="1" si="275">AM38</f>
        <v>100548</v>
      </c>
      <c r="AZ38" s="399">
        <f t="shared" ref="AZ38" si="276">K38</f>
        <v>264</v>
      </c>
      <c r="BA38" s="399">
        <f t="shared" ref="BA38" si="277">L38</f>
        <v>16</v>
      </c>
      <c r="BB38" s="483" t="e">
        <f t="shared" ref="BB38" ca="1" si="278">AN38</f>
        <v>#DIV/0!</v>
      </c>
      <c r="BC38" s="400">
        <f ca="1">IF(MAX(IF($D$6="No",ROUNDUP($D$3/$I38,0),ROUNDUP(($D$3+$I38)/$I38,0)),IF($D$6="No",ROUNDUP($D$4/$G38,0),ROUNDUP(($D$4+$G38)/$G38,0)),ROUNDUP('BVMS checklist'!$H$217/$J38,0))&gt;1,'BVMS checklist'!$L$224,'BVMS checklist'!$L$217)</f>
        <v>0</v>
      </c>
      <c r="BD38" s="398">
        <f t="shared" ref="BD38" ca="1" si="279">MAX(IF($D$6="No",ROUNDUP($D$3/$I38,0),ROUNDUP(($D$3+$I38)/$I38,0)),IF($D$6="No",ROUNDUP($D$4/$G38,0),ROUNDUP(($D$4+$G38)/$G38,0)),IF($D$6="Yes",ROUNDUP(BK38/J38,0)+1,ROUNDUP(BK38/J38,0)))</f>
        <v>2</v>
      </c>
      <c r="BE38" s="400">
        <f t="shared" si="48"/>
        <v>1</v>
      </c>
      <c r="BF38" s="400">
        <f t="shared" si="231"/>
        <v>400</v>
      </c>
      <c r="BG38" s="400">
        <f t="shared" ref="BG38" ca="1" si="280">IFERROR($D$3/BD38,"")</f>
        <v>0</v>
      </c>
      <c r="BH38" s="398">
        <f t="shared" ca="1" si="232"/>
        <v>100548</v>
      </c>
      <c r="BI38" s="401" t="e">
        <f t="shared" ref="BI38" ca="1" si="281">IF(BN38="yes",(BH38)/$D$4,"")</f>
        <v>#DIV/0!</v>
      </c>
      <c r="BJ38" s="398">
        <f t="shared" ca="1" si="234"/>
        <v>256</v>
      </c>
      <c r="BK38" s="400">
        <f ca="1">IF(MAX(IF($D$6="No",ROUNDUP($D$3/$I38,0),ROUNDUP(($D$3+$I38)/$I38,0)),IF($D$6="No",ROUNDUP($D$4/$G38,0),ROUNDUP(($D$4+$G38)/$G38,0)),ROUNDUP('BVMS checklist'!$H$217/$J38,0))&gt;1,'BVMS checklist'!$L$224,'BVMS checklist'!$L$217)+MAX(IF($D$6="No",ROUNDUP($D$3/$I38,0),ROUNDUP(($D$3+$I38)/$I38,0)),IF($D$6="No",ROUNDUP($D$4/$G38,0),ROUNDUP(($D$4+$G38)/$G38,0)))+$D$5</f>
        <v>1</v>
      </c>
      <c r="BL38" s="400" t="b">
        <f t="shared" ref="BL38" ca="1" si="282">IF(AND((BJ38/$D38)-BK38&gt;=0,OR(BD38&gt;=2,$D38&gt;=2),BF38-I38&gt;=$D$3),TRUE,FALSE)</f>
        <v>1</v>
      </c>
      <c r="BM38" s="400" t="str">
        <f t="shared" ref="BM38" ca="1" si="283">IF(OR(AND($D$6="Yes",BL38=TRUE),$D$6="No"),"Accepted","Not accepted")</f>
        <v>Accepted</v>
      </c>
      <c r="BN38" s="398" t="str">
        <f t="shared" ca="1" si="236"/>
        <v>Yes</v>
      </c>
      <c r="BO38" s="398">
        <f t="shared" ca="1" si="54"/>
        <v>6</v>
      </c>
      <c r="BP38" s="398" t="str">
        <f t="shared" ref="BP38" ca="1" si="284">IF(BN38="Yes",$A38&amp;" "&amp;$C38,"")</f>
        <v>DIVAR IP all-in-one 6000 MANAGEMENT APPLIANCE 4x18TB RAID5</v>
      </c>
      <c r="BQ38" s="398">
        <f t="shared" ca="1" si="56"/>
        <v>6</v>
      </c>
      <c r="BR38" s="398">
        <f t="shared" ref="BR38" ca="1" si="285">BD38</f>
        <v>2</v>
      </c>
      <c r="BS38" s="398">
        <f t="shared" ca="1" si="238"/>
        <v>144</v>
      </c>
      <c r="BT38" s="398">
        <f t="shared" ref="BT38" ca="1" si="286">BH38</f>
        <v>100548</v>
      </c>
      <c r="BU38" s="399">
        <f t="shared" ref="BU38" si="287">K38</f>
        <v>264</v>
      </c>
      <c r="BV38" s="399">
        <f t="shared" ref="BV38" si="288">L38</f>
        <v>16</v>
      </c>
      <c r="BW38" s="483" t="e">
        <f t="shared" ref="BW38" ca="1" si="289">BI38</f>
        <v>#DIV/0!</v>
      </c>
      <c r="BX38" s="400">
        <f ca="1">IF(MAX(IF($E$6="No",ROUNDUP($E$3/$I38,0),ROUNDUP(($E$3+$I38)/$I38,0)),IF($E$6="No",ROUNDUP($E$4/$G38,0),ROUNDUP(($E$4+$G38)/$G38,0)),ROUNDUP('BVMS checklist'!$H$217/$J38,0))&gt;1,'BVMS checklist'!$N$224,'BVMS checklist'!$N$217)</f>
        <v>0</v>
      </c>
      <c r="BY38" s="398">
        <f t="shared" ref="BY38" ca="1" si="290">MAX(IF($E$6="No",ROUNDUP($E$3/$I38,0),ROUNDUP(($E$3+$I38)/$I38,0)),IF($E$6="No",ROUNDUP($E$4/$G38,0),ROUNDUP(($E$4+$G38)/$G38,0)),IF($E$6="Yes",ROUNDUP(CF38/J38,0)+1,ROUNDUP(CF38/J38,0)))</f>
        <v>2</v>
      </c>
      <c r="BZ38" s="400">
        <f t="shared" ref="BZ38" ca="1" si="291">BY38</f>
        <v>2</v>
      </c>
      <c r="CA38" s="400">
        <f t="shared" ca="1" si="241"/>
        <v>800</v>
      </c>
      <c r="CB38" s="400">
        <f t="shared" ref="CB38" ca="1" si="292">IFERROR($E$3/BY38,"")</f>
        <v>0</v>
      </c>
      <c r="CC38" s="398">
        <f t="shared" ca="1" si="242"/>
        <v>100548</v>
      </c>
      <c r="CD38" s="401" t="e">
        <f t="shared" ref="CD38" ca="1" si="293">IF(CI38="yes",(CC38)/$E$4,"")</f>
        <v>#DIV/0!</v>
      </c>
      <c r="CE38" s="398">
        <f t="shared" ca="1" si="244"/>
        <v>256</v>
      </c>
      <c r="CF38" s="400">
        <f ca="1">IF(MAX(IF($E$6="No",ROUNDUP($E$3/$I38,0),ROUNDUP(($E$3+$I38)/$I38,0)),IF($E$6="No",ROUNDUP($E$4/$G38,0),ROUNDUP(($E$4+$G38)/$G38,0)),ROUNDUP('BVMS checklist'!$H$217/$J38,0))&gt;1,'BVMS checklist'!$N$224,'BVMS checklist'!$N$217)+MAX(IF($E$6="No",ROUNDUP($E$3/$I38,0),ROUNDUP(($E$3+$I38)/$I38,0)),IF($E$6="No",ROUNDUP($E$4/$G38,0),ROUNDUP(($E$4+$G38)/$G38,0)))+$E$5</f>
        <v>1</v>
      </c>
      <c r="CG38" s="400" t="b">
        <f t="shared" ref="CG38" ca="1" si="294">IF(AND((CE38/$D38)-CF38&gt;=0,OR(BY38&gt;=2,$D38&gt;=2),CA38-I38&gt;=$E$3),TRUE,FALSE)</f>
        <v>1</v>
      </c>
      <c r="CH38" s="400" t="str">
        <f t="shared" ref="CH38" ca="1" si="295">IF(OR(AND($E$6="Yes",CG38=TRUE),$E$6="No"),"Accepted","Not accepted")</f>
        <v>Accepted</v>
      </c>
      <c r="CI38" s="398" t="str">
        <f t="shared" ca="1" si="246"/>
        <v>Yes</v>
      </c>
      <c r="CJ38" s="398">
        <f t="shared" ca="1" si="69"/>
        <v>6</v>
      </c>
      <c r="CK38" s="398" t="str">
        <f t="shared" ref="CK38" ca="1" si="296">IF(CI38="Yes",$A38&amp;" "&amp;$C38,"")</f>
        <v>DIVAR IP all-in-one 6000 MANAGEMENT APPLIANCE 4x18TB RAID5</v>
      </c>
      <c r="CL38" s="398">
        <f t="shared" ca="1" si="71"/>
        <v>6</v>
      </c>
      <c r="CM38" s="398">
        <f t="shared" ref="CM38" ca="1" si="297">BY38</f>
        <v>2</v>
      </c>
      <c r="CN38" s="398">
        <f t="shared" ca="1" si="248"/>
        <v>144</v>
      </c>
      <c r="CO38" s="398">
        <f t="shared" ref="CO38" ca="1" si="298">CC38</f>
        <v>100548</v>
      </c>
      <c r="CP38" s="399">
        <f t="shared" ref="CP38" si="299">K38</f>
        <v>264</v>
      </c>
      <c r="CQ38" s="399">
        <f t="shared" ref="CQ38" si="300">L38</f>
        <v>16</v>
      </c>
      <c r="CR38" s="483" t="e">
        <f t="shared" ref="CR38" ca="1" si="301">CD38</f>
        <v>#DIV/0!</v>
      </c>
      <c r="CS38"/>
    </row>
    <row r="39" spans="1:97">
      <c r="A39" s="398" t="s">
        <v>1512</v>
      </c>
      <c r="B39" s="398" t="s">
        <v>987</v>
      </c>
      <c r="C39" s="440" t="s">
        <v>891</v>
      </c>
      <c r="D39" s="398">
        <v>1</v>
      </c>
      <c r="E39" s="398"/>
      <c r="F39" s="440">
        <v>0</v>
      </c>
      <c r="G39" s="398">
        <f>IF(C39="RAID5",(7-F39)*3723,(6-F39)*3723)</f>
        <v>26061</v>
      </c>
      <c r="H39" s="399">
        <v>32</v>
      </c>
      <c r="I39" s="399">
        <v>550</v>
      </c>
      <c r="J39" s="399">
        <v>256</v>
      </c>
      <c r="K39" s="399">
        <v>332</v>
      </c>
      <c r="L39" s="399">
        <v>16</v>
      </c>
      <c r="M39" s="400">
        <f ca="1">IF(MAX(IF($B$6="No",ROUNDUP($B$3/$I39,0),ROUNDUP(($B$3+$I39)/$I39,0)),IF($B$6="No",ROUNDUP($B$4/$G39,0),ROUNDUP(($B$4+$G39)/$G39,0)),ROUNDUP('BVMS checklist'!$H$217/$J39,0))&gt;1,'BVMS checklist'!$H$224,'BVMS checklist'!$H$217)</f>
        <v>0</v>
      </c>
      <c r="N39" s="398">
        <f t="shared" ca="1" si="20"/>
        <v>2</v>
      </c>
      <c r="O39" s="400">
        <f t="shared" ref="O39:O45" ca="1" si="302">N39</f>
        <v>2</v>
      </c>
      <c r="P39" s="400">
        <f t="shared" ca="1" si="0"/>
        <v>1100</v>
      </c>
      <c r="Q39" s="400">
        <f t="shared" ca="1" si="1"/>
        <v>0</v>
      </c>
      <c r="R39" s="398">
        <f t="shared" ca="1" si="2"/>
        <v>52122</v>
      </c>
      <c r="S39" s="401" t="str">
        <f t="shared" ca="1" si="22"/>
        <v/>
      </c>
      <c r="T39" s="398">
        <f t="shared" ca="1" si="23"/>
        <v>512</v>
      </c>
      <c r="U39" s="400">
        <f ca="1">IF(MAX(IF($B$6="No",ROUNDUP($B$3/$I39,0),ROUNDUP(($B$3+$I39)/$I39,0)),IF($B$6="No",ROUNDUP($B$4/$G39,0),ROUNDUP(($B$4+$G39)/$G39,0)),ROUNDUP('BVMS checklist'!$H$217/$J39,0))&gt;1,'BVMS checklist'!$H$224,'BVMS checklist'!$H$217)+MAX(IF($B$6="No",ROUNDUP($B$3/$I39,0),ROUNDUP(($B$3+$I39)/$I39,0)),IF($B$6="No",ROUNDUP($B$4/$G39,0),ROUNDUP(($B$4+$G39)/$G39,0)))+$B$5</f>
        <v>1</v>
      </c>
      <c r="V39" s="400" t="b">
        <f t="shared" ca="1" si="3"/>
        <v>1</v>
      </c>
      <c r="W39" s="400" t="str">
        <f t="shared" ref="W39:W45" ca="1" si="303">IF(OR(AND($B$6="Yes",V39=TRUE),$B$6="No"),"Accepted","Not accepted")</f>
        <v>Accepted</v>
      </c>
      <c r="X39" s="398" t="str">
        <f t="shared" ca="1" si="25"/>
        <v>No</v>
      </c>
      <c r="Y39" s="398" t="str">
        <f t="shared" ca="1" si="26"/>
        <v/>
      </c>
      <c r="Z39" s="398" t="str">
        <f t="shared" ca="1" si="27"/>
        <v/>
      </c>
      <c r="AA39" s="398">
        <f t="shared" ca="1" si="28"/>
        <v>6</v>
      </c>
      <c r="AB39" s="398">
        <f t="shared" ca="1" si="4"/>
        <v>2</v>
      </c>
      <c r="AC39" s="398">
        <f t="shared" ca="1" si="5"/>
        <v>64</v>
      </c>
      <c r="AD39" s="398">
        <f t="shared" ref="AD39:AD45" ca="1" si="304">R39</f>
        <v>52122</v>
      </c>
      <c r="AE39" s="399">
        <f t="shared" ref="AE39:AF45" si="305">K39</f>
        <v>332</v>
      </c>
      <c r="AF39" s="399">
        <f t="shared" si="305"/>
        <v>16</v>
      </c>
      <c r="AG39" s="483" t="str">
        <f t="shared" ca="1" si="30"/>
        <v/>
      </c>
      <c r="AH39" s="400">
        <f ca="1">IF(MAX(IF($C$6="No",ROUNDUP($C$3/$I39,0),ROUNDUP(($C$3+$I39)/$I39,0)),IF($C$6="No",ROUNDUP($C$4/$G39,0),ROUNDUP(($C$4+$G39)/$G39,0)),ROUNDUP('BVMS checklist'!$H$217/$J39,0))&gt;1,'BVMS checklist'!$J$224,'BVMS checklist'!$J$217)</f>
        <v>0</v>
      </c>
      <c r="AI39" s="398">
        <f t="shared" ca="1" si="31"/>
        <v>2</v>
      </c>
      <c r="AJ39" s="400">
        <f t="shared" ref="AJ39:AJ45" ca="1" si="306">AI39</f>
        <v>2</v>
      </c>
      <c r="AK39" s="400">
        <f t="shared" ca="1" si="221"/>
        <v>1100</v>
      </c>
      <c r="AL39" s="400">
        <f t="shared" ref="AL39:AL45" ca="1" si="307">IFERROR($C$3/AI39,"")</f>
        <v>0</v>
      </c>
      <c r="AM39" s="398">
        <f t="shared" ca="1" si="222"/>
        <v>52122</v>
      </c>
      <c r="AN39" s="401" t="str">
        <f t="shared" ca="1" si="36"/>
        <v/>
      </c>
      <c r="AO39" s="398">
        <f t="shared" ca="1" si="224"/>
        <v>512</v>
      </c>
      <c r="AP39" s="400">
        <f ca="1">IF(MAX(IF($C$6="No",ROUNDUP($C$3/$I39,0),ROUNDUP(($C$3+$I39)/$I39,0)),IF($C$6="No",ROUNDUP($C$4/$G39,0),ROUNDUP(($C$4+$G39)/$G39,0)),ROUNDUP('BVMS checklist'!$H$217/$J39,0))&gt;1,'BVMS checklist'!$J$224,'BVMS checklist'!$J$217)+MAX(IF($C$6="No",ROUNDUP($C$3/$I39,0),ROUNDUP(($C$3+$I39)/$I39,0)),IF($C$6="No",ROUNDUP($C$4/$G39,0),ROUNDUP(($C$4+$G39)/$G39,0)))+$C$5</f>
        <v>1</v>
      </c>
      <c r="AQ39" s="400" t="b">
        <f t="shared" ca="1" si="8"/>
        <v>1</v>
      </c>
      <c r="AR39" s="400" t="str">
        <f t="shared" ref="AR39:AR45" ca="1" si="308">IF(OR(AND($C$6="Yes",AQ39=TRUE),$C$6="No"),"Accepted","Not accepted")</f>
        <v>Accepted</v>
      </c>
      <c r="AS39" s="398" t="str">
        <f t="shared" ca="1" si="226"/>
        <v>No</v>
      </c>
      <c r="AT39" s="398" t="str">
        <f t="shared" ca="1" si="40"/>
        <v/>
      </c>
      <c r="AU39" s="398" t="str">
        <f t="shared" ca="1" si="41"/>
        <v/>
      </c>
      <c r="AV39" s="398">
        <f t="shared" ca="1" si="42"/>
        <v>6</v>
      </c>
      <c r="AW39" s="398">
        <f t="shared" ref="AW39:AW45" ca="1" si="309">AI39</f>
        <v>2</v>
      </c>
      <c r="AX39" s="398">
        <f t="shared" ca="1" si="228"/>
        <v>64</v>
      </c>
      <c r="AY39" s="398">
        <f t="shared" ref="AY39:AY45" ca="1" si="310">AM39</f>
        <v>52122</v>
      </c>
      <c r="AZ39" s="399">
        <f t="shared" ref="AZ39:BA45" si="311">K39</f>
        <v>332</v>
      </c>
      <c r="BA39" s="399">
        <f t="shared" si="311"/>
        <v>16</v>
      </c>
      <c r="BB39" s="483" t="str">
        <f t="shared" ca="1" si="46"/>
        <v/>
      </c>
      <c r="BC39" s="400">
        <f ca="1">IF(MAX(IF($D$6="No",ROUNDUP($D$3/$I39,0),ROUNDUP(($D$3+$I39)/$I39,0)),IF($D$6="No",ROUNDUP($D$4/$G39,0),ROUNDUP(($D$4+$G39)/$G39,0)),ROUNDUP('BVMS checklist'!$H$217/$J39,0))&gt;1,'BVMS checklist'!$L$224,'BVMS checklist'!$L$217)</f>
        <v>0</v>
      </c>
      <c r="BD39" s="398">
        <f t="shared" ca="1" si="47"/>
        <v>2</v>
      </c>
      <c r="BE39" s="400">
        <f t="shared" si="48"/>
        <v>1</v>
      </c>
      <c r="BF39" s="400">
        <f t="shared" si="231"/>
        <v>550</v>
      </c>
      <c r="BG39" s="400">
        <f t="shared" ref="BG39:BG45" ca="1" si="312">IFERROR($D$3/BD39,"")</f>
        <v>0</v>
      </c>
      <c r="BH39" s="398">
        <f t="shared" ca="1" si="232"/>
        <v>52122</v>
      </c>
      <c r="BI39" s="401" t="str">
        <f t="shared" ca="1" si="51"/>
        <v/>
      </c>
      <c r="BJ39" s="398">
        <f t="shared" ca="1" si="234"/>
        <v>512</v>
      </c>
      <c r="BK39" s="400">
        <f ca="1">IF(MAX(IF($D$6="No",ROUNDUP($D$3/$I39,0),ROUNDUP(($D$3+$I39)/$I39,0)),IF($D$6="No",ROUNDUP($D$4/$G39,0),ROUNDUP(($D$4+$G39)/$G39,0)),ROUNDUP('BVMS checklist'!$H$217/$J39,0))&gt;1,'BVMS checklist'!$L$224,'BVMS checklist'!$L$217)+MAX(IF($D$6="No",ROUNDUP($D$3/$I39,0),ROUNDUP(($D$3+$I39)/$I39,0)),IF($D$6="No",ROUNDUP($D$4/$G39,0),ROUNDUP(($D$4+$G39)/$G39,0)))+$D$5</f>
        <v>1</v>
      </c>
      <c r="BL39" s="400" t="b">
        <f t="shared" ca="1" si="12"/>
        <v>1</v>
      </c>
      <c r="BM39" s="400" t="str">
        <f t="shared" ref="BM39:BM45" ca="1" si="313">IF(OR(AND($D$6="Yes",BL39=TRUE),$D$6="No"),"Accepted","Not accepted")</f>
        <v>Accepted</v>
      </c>
      <c r="BN39" s="398" t="str">
        <f t="shared" ca="1" si="236"/>
        <v>No</v>
      </c>
      <c r="BO39" s="398" t="str">
        <f t="shared" ca="1" si="54"/>
        <v/>
      </c>
      <c r="BP39" s="398" t="str">
        <f t="shared" ca="1" si="55"/>
        <v/>
      </c>
      <c r="BQ39" s="398">
        <f t="shared" ca="1" si="56"/>
        <v>6</v>
      </c>
      <c r="BR39" s="398">
        <f t="shared" ref="BR39:BR45" ca="1" si="314">BD39</f>
        <v>2</v>
      </c>
      <c r="BS39" s="398">
        <f t="shared" ca="1" si="238"/>
        <v>64</v>
      </c>
      <c r="BT39" s="398">
        <f t="shared" ref="BT39:BT45" ca="1" si="315">BH39</f>
        <v>52122</v>
      </c>
      <c r="BU39" s="399">
        <f t="shared" ref="BU39:BV45" si="316">K39</f>
        <v>332</v>
      </c>
      <c r="BV39" s="399">
        <f t="shared" si="316"/>
        <v>16</v>
      </c>
      <c r="BW39" s="483" t="str">
        <f t="shared" ca="1" si="60"/>
        <v/>
      </c>
      <c r="BX39" s="400">
        <f ca="1">IF(MAX(IF($E$6="No",ROUNDUP($E$3/$I39,0),ROUNDUP(($E$3+$I39)/$I39,0)),IF($E$6="No",ROUNDUP($E$4/$G39,0),ROUNDUP(($E$4+$G39)/$G39,0)),ROUNDUP('BVMS checklist'!$H$217/$J39,0))&gt;1,'BVMS checklist'!$N$224,'BVMS checklist'!$N$217)</f>
        <v>0</v>
      </c>
      <c r="BY39" s="398">
        <f t="shared" ca="1" si="61"/>
        <v>2</v>
      </c>
      <c r="BZ39" s="400">
        <f t="shared" ref="BZ39:BZ45" ca="1" si="317">BY39</f>
        <v>2</v>
      </c>
      <c r="CA39" s="400">
        <f t="shared" ca="1" si="241"/>
        <v>1100</v>
      </c>
      <c r="CB39" s="400">
        <f t="shared" ref="CB39:CB45" ca="1" si="318">IFERROR($E$3/BY39,"")</f>
        <v>0</v>
      </c>
      <c r="CC39" s="398">
        <f t="shared" ca="1" si="242"/>
        <v>52122</v>
      </c>
      <c r="CD39" s="401" t="str">
        <f t="shared" ca="1" si="65"/>
        <v/>
      </c>
      <c r="CE39" s="398">
        <f t="shared" ca="1" si="244"/>
        <v>512</v>
      </c>
      <c r="CF39" s="400">
        <f ca="1">IF(MAX(IF($E$6="No",ROUNDUP($E$3/$I39,0),ROUNDUP(($E$3+$I39)/$I39,0)),IF($E$6="No",ROUNDUP($E$4/$G39,0),ROUNDUP(($E$4+$G39)/$G39,0)),ROUNDUP('BVMS checklist'!$H$217/$J39,0))&gt;1,'BVMS checklist'!$N$224,'BVMS checklist'!$N$217)+MAX(IF($E$6="No",ROUNDUP($E$3/$I39,0),ROUNDUP(($E$3+$I39)/$I39,0)),IF($E$6="No",ROUNDUP($E$4/$G39,0),ROUNDUP(($E$4+$G39)/$G39,0)))+$E$5</f>
        <v>1</v>
      </c>
      <c r="CG39" s="400" t="b">
        <f t="shared" ca="1" si="17"/>
        <v>1</v>
      </c>
      <c r="CH39" s="400" t="str">
        <f t="shared" ref="CH39:CH45" ca="1" si="319">IF(OR(AND($E$6="Yes",CG39=TRUE),$E$6="No"),"Accepted","Not accepted")</f>
        <v>Accepted</v>
      </c>
      <c r="CI39" s="398" t="str">
        <f t="shared" ca="1" si="246"/>
        <v>No</v>
      </c>
      <c r="CJ39" s="398" t="str">
        <f t="shared" ca="1" si="69"/>
        <v/>
      </c>
      <c r="CK39" s="398" t="str">
        <f t="shared" ca="1" si="70"/>
        <v/>
      </c>
      <c r="CL39" s="398">
        <f t="shared" ca="1" si="71"/>
        <v>6</v>
      </c>
      <c r="CM39" s="398">
        <f t="shared" ref="CM39:CM45" ca="1" si="320">BY39</f>
        <v>2</v>
      </c>
      <c r="CN39" s="398">
        <f t="shared" ca="1" si="248"/>
        <v>64</v>
      </c>
      <c r="CO39" s="398">
        <f t="shared" ref="CO39:CO45" ca="1" si="321">CC39</f>
        <v>52122</v>
      </c>
      <c r="CP39" s="399">
        <f t="shared" ref="CP39:CQ45" si="322">K39</f>
        <v>332</v>
      </c>
      <c r="CQ39" s="399">
        <f t="shared" si="322"/>
        <v>16</v>
      </c>
      <c r="CR39" s="483" t="str">
        <f t="shared" ca="1" si="75"/>
        <v/>
      </c>
      <c r="CS39"/>
    </row>
    <row r="40" spans="1:97">
      <c r="A40" s="398" t="s">
        <v>1513</v>
      </c>
      <c r="B40" s="398" t="s">
        <v>987</v>
      </c>
      <c r="C40" s="440" t="s">
        <v>891</v>
      </c>
      <c r="D40" s="398">
        <v>1</v>
      </c>
      <c r="E40" s="398"/>
      <c r="F40" s="440">
        <v>0</v>
      </c>
      <c r="G40" s="398">
        <f>IF(C40="RAID5",(7-F40)*7448,(6-F40)*7448)</f>
        <v>52136</v>
      </c>
      <c r="H40" s="399">
        <v>64</v>
      </c>
      <c r="I40" s="399">
        <v>550</v>
      </c>
      <c r="J40" s="399">
        <v>256</v>
      </c>
      <c r="K40" s="399">
        <v>332</v>
      </c>
      <c r="L40" s="399">
        <v>16</v>
      </c>
      <c r="M40" s="400">
        <f ca="1">IF(MAX(IF($B$6="No",ROUNDUP($B$3/$I40,0),ROUNDUP(($B$3+$I40)/$I40,0)),IF($B$6="No",ROUNDUP($B$4/$G40,0),ROUNDUP(($B$4+$G40)/$G40,0)),ROUNDUP('BVMS checklist'!$H$217/$J40,0))&gt;1,'BVMS checklist'!$H$224,'BVMS checklist'!$H$217)</f>
        <v>0</v>
      </c>
      <c r="N40" s="398">
        <f t="shared" ca="1" si="20"/>
        <v>2</v>
      </c>
      <c r="O40" s="400">
        <f t="shared" ca="1" si="302"/>
        <v>2</v>
      </c>
      <c r="P40" s="400">
        <f t="shared" ca="1" si="0"/>
        <v>1100</v>
      </c>
      <c r="Q40" s="400">
        <f t="shared" ca="1" si="1"/>
        <v>0</v>
      </c>
      <c r="R40" s="398">
        <f t="shared" ca="1" si="2"/>
        <v>104272</v>
      </c>
      <c r="S40" s="401" t="str">
        <f t="shared" ca="1" si="22"/>
        <v/>
      </c>
      <c r="T40" s="398">
        <f t="shared" ca="1" si="23"/>
        <v>512</v>
      </c>
      <c r="U40" s="400">
        <f ca="1">IF(MAX(IF($B$6="No",ROUNDUP($B$3/$I40,0),ROUNDUP(($B$3+$I40)/$I40,0)),IF($B$6="No",ROUNDUP($B$4/$G40,0),ROUNDUP(($B$4+$G40)/$G40,0)),ROUNDUP('BVMS checklist'!$H$217/$J40,0))&gt;1,'BVMS checklist'!$H$224,'BVMS checklist'!$H$217)+MAX(IF($B$6="No",ROUNDUP($B$3/$I40,0),ROUNDUP(($B$3+$I40)/$I40,0)),IF($B$6="No",ROUNDUP($B$4/$G40,0),ROUNDUP(($B$4+$G40)/$G40,0)))+$B$5</f>
        <v>1</v>
      </c>
      <c r="V40" s="400" t="b">
        <f t="shared" ca="1" si="3"/>
        <v>1</v>
      </c>
      <c r="W40" s="400" t="str">
        <f t="shared" ca="1" si="303"/>
        <v>Accepted</v>
      </c>
      <c r="X40" s="398" t="str">
        <f t="shared" ca="1" si="25"/>
        <v>No</v>
      </c>
      <c r="Y40" s="398" t="str">
        <f t="shared" ca="1" si="26"/>
        <v/>
      </c>
      <c r="Z40" s="398" t="str">
        <f t="shared" ca="1" si="27"/>
        <v/>
      </c>
      <c r="AA40" s="398">
        <f t="shared" ca="1" si="28"/>
        <v>6</v>
      </c>
      <c r="AB40" s="398">
        <f t="shared" ca="1" si="4"/>
        <v>2</v>
      </c>
      <c r="AC40" s="398">
        <f t="shared" ca="1" si="5"/>
        <v>128</v>
      </c>
      <c r="AD40" s="398">
        <f t="shared" ca="1" si="304"/>
        <v>104272</v>
      </c>
      <c r="AE40" s="399">
        <f t="shared" si="305"/>
        <v>332</v>
      </c>
      <c r="AF40" s="399">
        <f t="shared" si="305"/>
        <v>16</v>
      </c>
      <c r="AG40" s="483" t="str">
        <f t="shared" ca="1" si="30"/>
        <v/>
      </c>
      <c r="AH40" s="400">
        <f ca="1">IF(MAX(IF($C$6="No",ROUNDUP($C$3/$I40,0),ROUNDUP(($C$3+$I40)/$I40,0)),IF($C$6="No",ROUNDUP($C$4/$G40,0),ROUNDUP(($C$4+$G40)/$G40,0)),ROUNDUP('BVMS checklist'!$H$217/$J40,0))&gt;1,'BVMS checklist'!$J$224,'BVMS checklist'!$J$217)</f>
        <v>0</v>
      </c>
      <c r="AI40" s="398">
        <f t="shared" ca="1" si="31"/>
        <v>2</v>
      </c>
      <c r="AJ40" s="400">
        <f t="shared" ca="1" si="306"/>
        <v>2</v>
      </c>
      <c r="AK40" s="400">
        <f t="shared" ca="1" si="221"/>
        <v>1100</v>
      </c>
      <c r="AL40" s="400">
        <f t="shared" ca="1" si="307"/>
        <v>0</v>
      </c>
      <c r="AM40" s="398">
        <f t="shared" ca="1" si="222"/>
        <v>104272</v>
      </c>
      <c r="AN40" s="401" t="str">
        <f t="shared" ca="1" si="36"/>
        <v/>
      </c>
      <c r="AO40" s="398">
        <f t="shared" ca="1" si="224"/>
        <v>512</v>
      </c>
      <c r="AP40" s="400">
        <f ca="1">IF(MAX(IF($C$6="No",ROUNDUP($C$3/$I40,0),ROUNDUP(($C$3+$I40)/$I40,0)),IF($C$6="No",ROUNDUP($C$4/$G40,0),ROUNDUP(($C$4+$G40)/$G40,0)),ROUNDUP('BVMS checklist'!$H$217/$J40,0))&gt;1,'BVMS checklist'!$J$224,'BVMS checklist'!$J$217)+MAX(IF($C$6="No",ROUNDUP($C$3/$I40,0),ROUNDUP(($C$3+$I40)/$I40,0)),IF($C$6="No",ROUNDUP($C$4/$G40,0),ROUNDUP(($C$4+$G40)/$G40,0)))+$C$5</f>
        <v>1</v>
      </c>
      <c r="AQ40" s="400" t="b">
        <f t="shared" ca="1" si="8"/>
        <v>1</v>
      </c>
      <c r="AR40" s="400" t="str">
        <f t="shared" ca="1" si="308"/>
        <v>Accepted</v>
      </c>
      <c r="AS40" s="398" t="str">
        <f t="shared" ca="1" si="226"/>
        <v>No</v>
      </c>
      <c r="AT40" s="398" t="str">
        <f t="shared" ca="1" si="40"/>
        <v/>
      </c>
      <c r="AU40" s="398" t="str">
        <f t="shared" ca="1" si="41"/>
        <v/>
      </c>
      <c r="AV40" s="398">
        <f t="shared" ca="1" si="42"/>
        <v>6</v>
      </c>
      <c r="AW40" s="398">
        <f t="shared" ca="1" si="309"/>
        <v>2</v>
      </c>
      <c r="AX40" s="398">
        <f t="shared" ca="1" si="228"/>
        <v>128</v>
      </c>
      <c r="AY40" s="398">
        <f t="shared" ca="1" si="310"/>
        <v>104272</v>
      </c>
      <c r="AZ40" s="399">
        <f t="shared" si="311"/>
        <v>332</v>
      </c>
      <c r="BA40" s="399">
        <f t="shared" si="311"/>
        <v>16</v>
      </c>
      <c r="BB40" s="483" t="str">
        <f t="shared" ca="1" si="46"/>
        <v/>
      </c>
      <c r="BC40" s="400">
        <f ca="1">IF(MAX(IF($D$6="No",ROUNDUP($D$3/$I40,0),ROUNDUP(($D$3+$I40)/$I40,0)),IF($D$6="No",ROUNDUP($D$4/$G40,0),ROUNDUP(($D$4+$G40)/$G40,0)),ROUNDUP('BVMS checklist'!$H$217/$J40,0))&gt;1,'BVMS checklist'!$L$224,'BVMS checklist'!$L$217)</f>
        <v>0</v>
      </c>
      <c r="BD40" s="398">
        <f t="shared" ca="1" si="47"/>
        <v>2</v>
      </c>
      <c r="BE40" s="400">
        <f t="shared" si="48"/>
        <v>1</v>
      </c>
      <c r="BF40" s="400">
        <f t="shared" si="231"/>
        <v>550</v>
      </c>
      <c r="BG40" s="400">
        <f t="shared" ca="1" si="312"/>
        <v>0</v>
      </c>
      <c r="BH40" s="398">
        <f t="shared" ca="1" si="232"/>
        <v>104272</v>
      </c>
      <c r="BI40" s="401" t="str">
        <f t="shared" ca="1" si="51"/>
        <v/>
      </c>
      <c r="BJ40" s="398">
        <f t="shared" ca="1" si="234"/>
        <v>512</v>
      </c>
      <c r="BK40" s="400">
        <f ca="1">IF(MAX(IF($D$6="No",ROUNDUP($D$3/$I40,0),ROUNDUP(($D$3+$I40)/$I40,0)),IF($D$6="No",ROUNDUP($D$4/$G40,0),ROUNDUP(($D$4+$G40)/$G40,0)),ROUNDUP('BVMS checklist'!$H$217/$J40,0))&gt;1,'BVMS checklist'!$L$224,'BVMS checklist'!$L$217)+MAX(IF($D$6="No",ROUNDUP($D$3/$I40,0),ROUNDUP(($D$3+$I40)/$I40,0)),IF($D$6="No",ROUNDUP($D$4/$G40,0),ROUNDUP(($D$4+$G40)/$G40,0)))+$D$5</f>
        <v>1</v>
      </c>
      <c r="BL40" s="400" t="b">
        <f t="shared" ca="1" si="12"/>
        <v>1</v>
      </c>
      <c r="BM40" s="400" t="str">
        <f t="shared" ca="1" si="313"/>
        <v>Accepted</v>
      </c>
      <c r="BN40" s="398" t="str">
        <f t="shared" ca="1" si="236"/>
        <v>No</v>
      </c>
      <c r="BO40" s="398" t="str">
        <f t="shared" ca="1" si="54"/>
        <v/>
      </c>
      <c r="BP40" s="398" t="str">
        <f t="shared" ca="1" si="55"/>
        <v/>
      </c>
      <c r="BQ40" s="398">
        <f t="shared" ca="1" si="56"/>
        <v>6</v>
      </c>
      <c r="BR40" s="398">
        <f t="shared" ca="1" si="314"/>
        <v>2</v>
      </c>
      <c r="BS40" s="398">
        <f t="shared" ca="1" si="238"/>
        <v>128</v>
      </c>
      <c r="BT40" s="398">
        <f t="shared" ca="1" si="315"/>
        <v>104272</v>
      </c>
      <c r="BU40" s="399">
        <f t="shared" si="316"/>
        <v>332</v>
      </c>
      <c r="BV40" s="399">
        <f t="shared" si="316"/>
        <v>16</v>
      </c>
      <c r="BW40" s="483" t="str">
        <f t="shared" ca="1" si="60"/>
        <v/>
      </c>
      <c r="BX40" s="400">
        <f ca="1">IF(MAX(IF($E$6="No",ROUNDUP($E$3/$I40,0),ROUNDUP(($E$3+$I40)/$I40,0)),IF($E$6="No",ROUNDUP($E$4/$G40,0),ROUNDUP(($E$4+$G40)/$G40,0)),ROUNDUP('BVMS checklist'!$H$217/$J40,0))&gt;1,'BVMS checklist'!$N$224,'BVMS checklist'!$N$217)</f>
        <v>0</v>
      </c>
      <c r="BY40" s="398">
        <f t="shared" ca="1" si="61"/>
        <v>2</v>
      </c>
      <c r="BZ40" s="400">
        <f t="shared" ca="1" si="317"/>
        <v>2</v>
      </c>
      <c r="CA40" s="400">
        <f t="shared" ca="1" si="241"/>
        <v>1100</v>
      </c>
      <c r="CB40" s="400">
        <f t="shared" ca="1" si="318"/>
        <v>0</v>
      </c>
      <c r="CC40" s="398">
        <f t="shared" ca="1" si="242"/>
        <v>104272</v>
      </c>
      <c r="CD40" s="401" t="str">
        <f t="shared" ca="1" si="65"/>
        <v/>
      </c>
      <c r="CE40" s="398">
        <f t="shared" ca="1" si="244"/>
        <v>512</v>
      </c>
      <c r="CF40" s="400">
        <f ca="1">IF(MAX(IF($E$6="No",ROUNDUP($E$3/$I40,0),ROUNDUP(($E$3+$I40)/$I40,0)),IF($E$6="No",ROUNDUP($E$4/$G40,0),ROUNDUP(($E$4+$G40)/$G40,0)),ROUNDUP('BVMS checklist'!$H$217/$J40,0))&gt;1,'BVMS checklist'!$N$224,'BVMS checklist'!$N$217)+MAX(IF($E$6="No",ROUNDUP($E$3/$I40,0),ROUNDUP(($E$3+$I40)/$I40,0)),IF($E$6="No",ROUNDUP($E$4/$G40,0),ROUNDUP(($E$4+$G40)/$G40,0)))+$E$5</f>
        <v>1</v>
      </c>
      <c r="CG40" s="400" t="b">
        <f t="shared" ca="1" si="17"/>
        <v>1</v>
      </c>
      <c r="CH40" s="400" t="str">
        <f t="shared" ca="1" si="319"/>
        <v>Accepted</v>
      </c>
      <c r="CI40" s="398" t="str">
        <f t="shared" ca="1" si="246"/>
        <v>No</v>
      </c>
      <c r="CJ40" s="398" t="str">
        <f t="shared" ca="1" si="69"/>
        <v/>
      </c>
      <c r="CK40" s="398" t="str">
        <f t="shared" ca="1" si="70"/>
        <v/>
      </c>
      <c r="CL40" s="398">
        <f t="shared" ca="1" si="71"/>
        <v>6</v>
      </c>
      <c r="CM40" s="398">
        <f t="shared" ca="1" si="320"/>
        <v>2</v>
      </c>
      <c r="CN40" s="398">
        <f t="shared" ca="1" si="248"/>
        <v>128</v>
      </c>
      <c r="CO40" s="398">
        <f t="shared" ca="1" si="321"/>
        <v>104272</v>
      </c>
      <c r="CP40" s="399">
        <f t="shared" si="322"/>
        <v>332</v>
      </c>
      <c r="CQ40" s="399">
        <f t="shared" si="322"/>
        <v>16</v>
      </c>
      <c r="CR40" s="483" t="str">
        <f t="shared" ca="1" si="75"/>
        <v/>
      </c>
      <c r="CS40"/>
    </row>
    <row r="41" spans="1:97">
      <c r="A41" s="398" t="s">
        <v>1514</v>
      </c>
      <c r="B41" s="398" t="s">
        <v>987</v>
      </c>
      <c r="C41" s="440" t="s">
        <v>891</v>
      </c>
      <c r="D41" s="398">
        <v>1</v>
      </c>
      <c r="E41" s="398"/>
      <c r="F41" s="440">
        <v>0</v>
      </c>
      <c r="G41" s="398">
        <f>IF(C41="RAID5",(7-F41)*11172,(6-F41)*11172)</f>
        <v>78204</v>
      </c>
      <c r="H41" s="399">
        <v>96</v>
      </c>
      <c r="I41" s="399">
        <v>550</v>
      </c>
      <c r="J41" s="399">
        <v>256</v>
      </c>
      <c r="K41" s="399">
        <v>332</v>
      </c>
      <c r="L41" s="399">
        <v>16</v>
      </c>
      <c r="M41" s="400">
        <f ca="1">IF(MAX(IF($B$6="No",ROUNDUP($B$3/$I41,0),ROUNDUP(($B$3+$I41)/$I41,0)),IF($B$6="No",ROUNDUP($B$4/$G41,0),ROUNDUP(($B$4+$G41)/$G41,0)),ROUNDUP('BVMS checklist'!$H$217/$J41,0))&gt;1,'BVMS checklist'!$H$224,'BVMS checklist'!$H$217)</f>
        <v>0</v>
      </c>
      <c r="N41" s="398">
        <f t="shared" ca="1" si="20"/>
        <v>2</v>
      </c>
      <c r="O41" s="400">
        <f t="shared" ca="1" si="302"/>
        <v>2</v>
      </c>
      <c r="P41" s="400">
        <f t="shared" ca="1" si="0"/>
        <v>1100</v>
      </c>
      <c r="Q41" s="400">
        <f t="shared" ca="1" si="1"/>
        <v>0</v>
      </c>
      <c r="R41" s="398">
        <f t="shared" ca="1" si="2"/>
        <v>156408</v>
      </c>
      <c r="S41" s="401" t="str">
        <f t="shared" ca="1" si="22"/>
        <v/>
      </c>
      <c r="T41" s="398">
        <f t="shared" ca="1" si="23"/>
        <v>512</v>
      </c>
      <c r="U41" s="400">
        <f ca="1">IF(MAX(IF($B$6="No",ROUNDUP($B$3/$I41,0),ROUNDUP(($B$3+$I41)/$I41,0)),IF($B$6="No",ROUNDUP($B$4/$G41,0),ROUNDUP(($B$4+$G41)/$G41,0)),ROUNDUP('BVMS checklist'!$H$217/$J41,0))&gt;1,'BVMS checklist'!$H$224,'BVMS checklist'!$H$217)+MAX(IF($B$6="No",ROUNDUP($B$3/$I41,0),ROUNDUP(($B$3+$I41)/$I41,0)),IF($B$6="No",ROUNDUP($B$4/$G41,0),ROUNDUP(($B$4+$G41)/$G41,0)))+$B$5</f>
        <v>1</v>
      </c>
      <c r="V41" s="400" t="b">
        <f t="shared" ca="1" si="3"/>
        <v>1</v>
      </c>
      <c r="W41" s="400" t="str">
        <f t="shared" ca="1" si="303"/>
        <v>Accepted</v>
      </c>
      <c r="X41" s="398" t="str">
        <f t="shared" ca="1" si="25"/>
        <v>No</v>
      </c>
      <c r="Y41" s="398" t="str">
        <f t="shared" ca="1" si="26"/>
        <v/>
      </c>
      <c r="Z41" s="398" t="str">
        <f t="shared" ca="1" si="27"/>
        <v/>
      </c>
      <c r="AA41" s="398">
        <f t="shared" ca="1" si="28"/>
        <v>6</v>
      </c>
      <c r="AB41" s="398">
        <f t="shared" ca="1" si="4"/>
        <v>2</v>
      </c>
      <c r="AC41" s="398">
        <f t="shared" ca="1" si="5"/>
        <v>192</v>
      </c>
      <c r="AD41" s="398">
        <f t="shared" ca="1" si="304"/>
        <v>156408</v>
      </c>
      <c r="AE41" s="399">
        <f t="shared" si="305"/>
        <v>332</v>
      </c>
      <c r="AF41" s="399">
        <f t="shared" si="305"/>
        <v>16</v>
      </c>
      <c r="AG41" s="483" t="str">
        <f t="shared" ca="1" si="30"/>
        <v/>
      </c>
      <c r="AH41" s="400">
        <f ca="1">IF(MAX(IF($C$6="No",ROUNDUP($C$3/$I41,0),ROUNDUP(($C$3+$I41)/$I41,0)),IF($C$6="No",ROUNDUP($C$4/$G41,0),ROUNDUP(($C$4+$G41)/$G41,0)),ROUNDUP('BVMS checklist'!$H$217/$J41,0))&gt;1,'BVMS checklist'!$J$224,'BVMS checklist'!$J$217)</f>
        <v>0</v>
      </c>
      <c r="AI41" s="398">
        <f t="shared" ca="1" si="31"/>
        <v>2</v>
      </c>
      <c r="AJ41" s="400">
        <f t="shared" ca="1" si="306"/>
        <v>2</v>
      </c>
      <c r="AK41" s="400">
        <f t="shared" ca="1" si="221"/>
        <v>1100</v>
      </c>
      <c r="AL41" s="400">
        <f t="shared" ca="1" si="307"/>
        <v>0</v>
      </c>
      <c r="AM41" s="398">
        <f t="shared" ca="1" si="222"/>
        <v>156408</v>
      </c>
      <c r="AN41" s="401" t="str">
        <f t="shared" ca="1" si="36"/>
        <v/>
      </c>
      <c r="AO41" s="398">
        <f t="shared" ca="1" si="224"/>
        <v>512</v>
      </c>
      <c r="AP41" s="400">
        <f ca="1">IF(MAX(IF($C$6="No",ROUNDUP($C$3/$I41,0),ROUNDUP(($C$3+$I41)/$I41,0)),IF($C$6="No",ROUNDUP($C$4/$G41,0),ROUNDUP(($C$4+$G41)/$G41,0)),ROUNDUP('BVMS checklist'!$H$217/$J41,0))&gt;1,'BVMS checklist'!$J$224,'BVMS checklist'!$J$217)+MAX(IF($C$6="No",ROUNDUP($C$3/$I41,0),ROUNDUP(($C$3+$I41)/$I41,0)),IF($C$6="No",ROUNDUP($C$4/$G41,0),ROUNDUP(($C$4+$G41)/$G41,0)))+$C$5</f>
        <v>1</v>
      </c>
      <c r="AQ41" s="400" t="b">
        <f t="shared" ca="1" si="8"/>
        <v>1</v>
      </c>
      <c r="AR41" s="400" t="str">
        <f t="shared" ca="1" si="308"/>
        <v>Accepted</v>
      </c>
      <c r="AS41" s="398" t="str">
        <f t="shared" ca="1" si="226"/>
        <v>No</v>
      </c>
      <c r="AT41" s="398" t="str">
        <f t="shared" ca="1" si="40"/>
        <v/>
      </c>
      <c r="AU41" s="398" t="str">
        <f t="shared" ca="1" si="41"/>
        <v/>
      </c>
      <c r="AV41" s="398">
        <f t="shared" ca="1" si="42"/>
        <v>6</v>
      </c>
      <c r="AW41" s="398">
        <f t="shared" ca="1" si="309"/>
        <v>2</v>
      </c>
      <c r="AX41" s="398">
        <f t="shared" ca="1" si="228"/>
        <v>192</v>
      </c>
      <c r="AY41" s="398">
        <f t="shared" ca="1" si="310"/>
        <v>156408</v>
      </c>
      <c r="AZ41" s="399">
        <f t="shared" si="311"/>
        <v>332</v>
      </c>
      <c r="BA41" s="399">
        <f t="shared" si="311"/>
        <v>16</v>
      </c>
      <c r="BB41" s="483" t="str">
        <f t="shared" ca="1" si="46"/>
        <v/>
      </c>
      <c r="BC41" s="400">
        <f ca="1">IF(MAX(IF($D$6="No",ROUNDUP($D$3/$I41,0),ROUNDUP(($D$3+$I41)/$I41,0)),IF($D$6="No",ROUNDUP($D$4/$G41,0),ROUNDUP(($D$4+$G41)/$G41,0)),ROUNDUP('BVMS checklist'!$H$217/$J41,0))&gt;1,'BVMS checklist'!$L$224,'BVMS checklist'!$L$217)</f>
        <v>0</v>
      </c>
      <c r="BD41" s="398">
        <f t="shared" ca="1" si="47"/>
        <v>2</v>
      </c>
      <c r="BE41" s="400">
        <f t="shared" si="48"/>
        <v>1</v>
      </c>
      <c r="BF41" s="400">
        <f t="shared" si="231"/>
        <v>550</v>
      </c>
      <c r="BG41" s="400">
        <f t="shared" ca="1" si="312"/>
        <v>0</v>
      </c>
      <c r="BH41" s="398">
        <f t="shared" ca="1" si="232"/>
        <v>156408</v>
      </c>
      <c r="BI41" s="401" t="str">
        <f t="shared" ca="1" si="51"/>
        <v/>
      </c>
      <c r="BJ41" s="398">
        <f t="shared" ca="1" si="234"/>
        <v>512</v>
      </c>
      <c r="BK41" s="400">
        <f ca="1">IF(MAX(IF($D$6="No",ROUNDUP($D$3/$I41,0),ROUNDUP(($D$3+$I41)/$I41,0)),IF($D$6="No",ROUNDUP($D$4/$G41,0),ROUNDUP(($D$4+$G41)/$G41,0)),ROUNDUP('BVMS checklist'!$H$217/$J41,0))&gt;1,'BVMS checklist'!$L$224,'BVMS checklist'!$L$217)+MAX(IF($D$6="No",ROUNDUP($D$3/$I41,0),ROUNDUP(($D$3+$I41)/$I41,0)),IF($D$6="No",ROUNDUP($D$4/$G41,0),ROUNDUP(($D$4+$G41)/$G41,0)))+$D$5</f>
        <v>1</v>
      </c>
      <c r="BL41" s="400" t="b">
        <f t="shared" ca="1" si="12"/>
        <v>1</v>
      </c>
      <c r="BM41" s="400" t="str">
        <f t="shared" ca="1" si="313"/>
        <v>Accepted</v>
      </c>
      <c r="BN41" s="398" t="str">
        <f t="shared" ca="1" si="236"/>
        <v>No</v>
      </c>
      <c r="BO41" s="398" t="str">
        <f t="shared" ca="1" si="54"/>
        <v/>
      </c>
      <c r="BP41" s="398" t="str">
        <f t="shared" ca="1" si="55"/>
        <v/>
      </c>
      <c r="BQ41" s="398">
        <f t="shared" ca="1" si="56"/>
        <v>6</v>
      </c>
      <c r="BR41" s="398">
        <f t="shared" ca="1" si="314"/>
        <v>2</v>
      </c>
      <c r="BS41" s="398">
        <f t="shared" ca="1" si="238"/>
        <v>192</v>
      </c>
      <c r="BT41" s="398">
        <f t="shared" ca="1" si="315"/>
        <v>156408</v>
      </c>
      <c r="BU41" s="399">
        <f t="shared" si="316"/>
        <v>332</v>
      </c>
      <c r="BV41" s="399">
        <f t="shared" si="316"/>
        <v>16</v>
      </c>
      <c r="BW41" s="483" t="str">
        <f t="shared" ca="1" si="60"/>
        <v/>
      </c>
      <c r="BX41" s="400">
        <f ca="1">IF(MAX(IF($E$6="No",ROUNDUP($E$3/$I41,0),ROUNDUP(($E$3+$I41)/$I41,0)),IF($E$6="No",ROUNDUP($E$4/$G41,0),ROUNDUP(($E$4+$G41)/$G41,0)),ROUNDUP('BVMS checklist'!$H$217/$J41,0))&gt;1,'BVMS checklist'!$N$224,'BVMS checklist'!$N$217)</f>
        <v>0</v>
      </c>
      <c r="BY41" s="398">
        <f t="shared" ca="1" si="61"/>
        <v>2</v>
      </c>
      <c r="BZ41" s="400">
        <f t="shared" ca="1" si="317"/>
        <v>2</v>
      </c>
      <c r="CA41" s="400">
        <f t="shared" ca="1" si="241"/>
        <v>1100</v>
      </c>
      <c r="CB41" s="400">
        <f t="shared" ca="1" si="318"/>
        <v>0</v>
      </c>
      <c r="CC41" s="398">
        <f t="shared" ca="1" si="242"/>
        <v>156408</v>
      </c>
      <c r="CD41" s="401" t="str">
        <f t="shared" ca="1" si="65"/>
        <v/>
      </c>
      <c r="CE41" s="398">
        <f t="shared" ca="1" si="244"/>
        <v>512</v>
      </c>
      <c r="CF41" s="400">
        <f ca="1">IF(MAX(IF($E$6="No",ROUNDUP($E$3/$I41,0),ROUNDUP(($E$3+$I41)/$I41,0)),IF($E$6="No",ROUNDUP($E$4/$G41,0),ROUNDUP(($E$4+$G41)/$G41,0)),ROUNDUP('BVMS checklist'!$H$217/$J41,0))&gt;1,'BVMS checklist'!$N$224,'BVMS checklist'!$N$217)+MAX(IF($E$6="No",ROUNDUP($E$3/$I41,0),ROUNDUP(($E$3+$I41)/$I41,0)),IF($E$6="No",ROUNDUP($E$4/$G41,0),ROUNDUP(($E$4+$G41)/$G41,0)))+$E$5</f>
        <v>1</v>
      </c>
      <c r="CG41" s="400" t="b">
        <f t="shared" ca="1" si="17"/>
        <v>1</v>
      </c>
      <c r="CH41" s="400" t="str">
        <f t="shared" ca="1" si="319"/>
        <v>Accepted</v>
      </c>
      <c r="CI41" s="398" t="str">
        <f t="shared" ca="1" si="246"/>
        <v>No</v>
      </c>
      <c r="CJ41" s="398" t="str">
        <f t="shared" ca="1" si="69"/>
        <v/>
      </c>
      <c r="CK41" s="398" t="str">
        <f t="shared" ca="1" si="70"/>
        <v/>
      </c>
      <c r="CL41" s="398">
        <f t="shared" ca="1" si="71"/>
        <v>6</v>
      </c>
      <c r="CM41" s="398">
        <f t="shared" ca="1" si="320"/>
        <v>2</v>
      </c>
      <c r="CN41" s="398">
        <f t="shared" ca="1" si="248"/>
        <v>192</v>
      </c>
      <c r="CO41" s="398">
        <f t="shared" ca="1" si="321"/>
        <v>156408</v>
      </c>
      <c r="CP41" s="399">
        <f t="shared" si="322"/>
        <v>332</v>
      </c>
      <c r="CQ41" s="399">
        <f t="shared" si="322"/>
        <v>16</v>
      </c>
      <c r="CR41" s="483" t="str">
        <f t="shared" ca="1" si="75"/>
        <v/>
      </c>
      <c r="CS41"/>
    </row>
    <row r="42" spans="1:97">
      <c r="A42" s="398" t="s">
        <v>2018</v>
      </c>
      <c r="B42" s="398" t="s">
        <v>987</v>
      </c>
      <c r="C42" s="440" t="s">
        <v>891</v>
      </c>
      <c r="D42" s="398">
        <v>1</v>
      </c>
      <c r="E42" s="398"/>
      <c r="F42" s="440">
        <v>0</v>
      </c>
      <c r="G42" s="398">
        <f>IF(C42="RAID5",(7-F42)*16758,(6-F42)*16758)</f>
        <v>117306</v>
      </c>
      <c r="H42" s="399">
        <v>144</v>
      </c>
      <c r="I42" s="399">
        <v>550</v>
      </c>
      <c r="J42" s="399">
        <v>256</v>
      </c>
      <c r="K42" s="399">
        <v>332</v>
      </c>
      <c r="L42" s="399">
        <v>16</v>
      </c>
      <c r="M42" s="400">
        <f ca="1">IF(MAX(IF($B$6="No",ROUNDUP($B$3/$I42,0),ROUNDUP(($B$3+$I42)/$I42,0)),IF($B$6="No",ROUNDUP($B$4/$G42,0),ROUNDUP(($B$4+$G42)/$G42,0)),ROUNDUP('BVMS checklist'!$H$217/$J42,0))&gt;1,'BVMS checklist'!$H$224,'BVMS checklist'!$H$217)</f>
        <v>0</v>
      </c>
      <c r="N42" s="398">
        <f t="shared" ref="N42" ca="1" si="323">MAX(IF($B$6="No",ROUNDUP($B$3/$I42,0),ROUNDUP(($B$3+$I42)/$I42,0)),IF($B$6="No",ROUNDUP($B$4/$G42,0),ROUNDUP($B$4/$G42,0)),IF($B$6="Yes",ROUNDUP((U42+J42)/J42,0),ROUNDUP(U42/J42,0)))</f>
        <v>2</v>
      </c>
      <c r="O42" s="400">
        <f t="shared" ref="O42" ca="1" si="324">N42</f>
        <v>2</v>
      </c>
      <c r="P42" s="400">
        <f t="shared" ref="P42" ca="1" si="325">O42*$I42</f>
        <v>1100</v>
      </c>
      <c r="Q42" s="400">
        <f t="shared" ref="Q42" ca="1" si="326">IFERROR($B$3/N42,"")</f>
        <v>0</v>
      </c>
      <c r="R42" s="398">
        <f t="shared" ref="R42" ca="1" si="327">$G42*N42</f>
        <v>234612</v>
      </c>
      <c r="S42" s="401" t="str">
        <f t="shared" ref="S42" ca="1" si="328">IF(X42="yes",(R42)/$B$4,"")</f>
        <v/>
      </c>
      <c r="T42" s="398">
        <f t="shared" ref="T42" ca="1" si="329">N42*J42</f>
        <v>512</v>
      </c>
      <c r="U42" s="400">
        <f ca="1">IF(MAX(IF($B$6="No",ROUNDUP($B$3/$I42,0),ROUNDUP(($B$3+$I42)/$I42,0)),IF($B$6="No",ROUNDUP($B$4/$G42,0),ROUNDUP(($B$4+$G42)/$G42,0)),ROUNDUP('BVMS checklist'!$H$217/$J42,0))&gt;1,'BVMS checklist'!$H$224,'BVMS checklist'!$H$217)+MAX(IF($B$6="No",ROUNDUP($B$3/$I42,0),ROUNDUP(($B$3+$I42)/$I42,0)),IF($B$6="No",ROUNDUP($B$4/$G42,0),ROUNDUP(($B$4+$G42)/$G42,0)))+$B$5</f>
        <v>1</v>
      </c>
      <c r="V42" s="400" t="b">
        <f t="shared" ref="V42" ca="1" si="330">IF(AND((T42/$D42)-U42&gt;=0,OR(N42&gt;=2,$D42&gt;=2),P42-I42&gt;=$B$3),TRUE,FALSE)</f>
        <v>1</v>
      </c>
      <c r="W42" s="400" t="str">
        <f t="shared" ref="W42" ca="1" si="331">IF(OR(AND($B$6="Yes",V42=TRUE),$B$6="No"),"Accepted","Not accepted")</f>
        <v>Accepted</v>
      </c>
      <c r="X42" s="398" t="str">
        <f t="shared" ref="X42" ca="1" si="332">IF(AND(U42&lt;T42,Q42&lt;I42,B42="Active",W42="Accepted"),"Yes","No")</f>
        <v>No</v>
      </c>
      <c r="Y42" s="398" t="str">
        <f t="shared" ca="1" si="26"/>
        <v/>
      </c>
      <c r="Z42" s="398" t="str">
        <f t="shared" ref="Z42" ca="1" si="333">IF(X42="Yes",$A42&amp;" "&amp;$C42,"")</f>
        <v/>
      </c>
      <c r="AA42" s="398">
        <f t="shared" ca="1" si="28"/>
        <v>6</v>
      </c>
      <c r="AB42" s="398">
        <f t="shared" ref="AB42" ca="1" si="334">N42</f>
        <v>2</v>
      </c>
      <c r="AC42" s="398">
        <f t="shared" ref="AC42" ca="1" si="335">N42*$H42</f>
        <v>288</v>
      </c>
      <c r="AD42" s="398">
        <f t="shared" ref="AD42" ca="1" si="336">R42</f>
        <v>234612</v>
      </c>
      <c r="AE42" s="399">
        <f t="shared" ref="AE42" si="337">K42</f>
        <v>332</v>
      </c>
      <c r="AF42" s="399">
        <f t="shared" ref="AF42" si="338">L42</f>
        <v>16</v>
      </c>
      <c r="AG42" s="483" t="str">
        <f t="shared" ref="AG42" ca="1" si="339">S42</f>
        <v/>
      </c>
      <c r="AH42" s="400">
        <f ca="1">IF(MAX(IF($C$6="No",ROUNDUP($C$3/$I42,0),ROUNDUP(($C$3+$I42)/$I42,0)),IF($C$6="No",ROUNDUP($C$4/$G42,0),ROUNDUP(($C$4+$G42)/$G42,0)),ROUNDUP('BVMS checklist'!$H$217/$J42,0))&gt;1,'BVMS checklist'!$J$224,'BVMS checklist'!$J$217)</f>
        <v>0</v>
      </c>
      <c r="AI42" s="398">
        <f t="shared" ref="AI42" ca="1" si="340">MAX(IF($C$6="No",ROUNDUP($C$3/$I42,0),ROUNDUP(($C$3+$I42)/$I42,0)),IF($C$6="No",ROUNDUP($C$4/$G42,0),ROUNDUP(($C$4+$G42)/$G42,0)),IF($C$6="Yes",ROUNDUP(AP42/J42,0)+1,ROUNDUP(AP42/J42,0)))</f>
        <v>2</v>
      </c>
      <c r="AJ42" s="400">
        <f t="shared" ref="AJ42" ca="1" si="341">AI42</f>
        <v>2</v>
      </c>
      <c r="AK42" s="400">
        <f t="shared" ref="AK42" ca="1" si="342">AJ42*$I42</f>
        <v>1100</v>
      </c>
      <c r="AL42" s="400">
        <f t="shared" ref="AL42" ca="1" si="343">IFERROR($C$3/AI42,"")</f>
        <v>0</v>
      </c>
      <c r="AM42" s="398">
        <f t="shared" ref="AM42" ca="1" si="344">$G42*AI42</f>
        <v>234612</v>
      </c>
      <c r="AN42" s="401" t="str">
        <f t="shared" ref="AN42" ca="1" si="345">IF(AS42="yes",(AM42)/$C$4,"")</f>
        <v/>
      </c>
      <c r="AO42" s="398">
        <f t="shared" ref="AO42" ca="1" si="346">AI42*$J42</f>
        <v>512</v>
      </c>
      <c r="AP42" s="400">
        <f ca="1">IF(MAX(IF($C$6="No",ROUNDUP($C$3/$I42,0),ROUNDUP(($C$3+$I42)/$I42,0)),IF($C$6="No",ROUNDUP($C$4/$G42,0),ROUNDUP(($C$4+$G42)/$G42,0)),ROUNDUP('BVMS checklist'!$H$217/$J42,0))&gt;1,'BVMS checklist'!$J$224,'BVMS checklist'!$J$217)+MAX(IF($C$6="No",ROUNDUP($C$3/$I42,0),ROUNDUP(($C$3+$I42)/$I42,0)),IF($C$6="No",ROUNDUP($C$4/$G42,0),ROUNDUP(($C$4+$G42)/$G42,0)))+$C$5</f>
        <v>1</v>
      </c>
      <c r="AQ42" s="400" t="b">
        <f t="shared" ref="AQ42" ca="1" si="347">IF(AND((AO42/$D42)-AP42&gt;=0,OR(AI42&gt;=2,$D42&gt;=2),AK42-I42&gt;=$C$3),TRUE,FALSE)</f>
        <v>1</v>
      </c>
      <c r="AR42" s="400" t="str">
        <f t="shared" ref="AR42" ca="1" si="348">IF(OR(AND($C$6="Yes",AQ42=TRUE),$C$6="No"),"Accepted","Not accepted")</f>
        <v>Accepted</v>
      </c>
      <c r="AS42" s="398" t="str">
        <f t="shared" ref="AS42" ca="1" si="349">IF(AND(AP42&lt;AO42,AL42&lt;$I42,$B42="Active",AR42="Accepted"),"Yes","No")</f>
        <v>No</v>
      </c>
      <c r="AT42" s="398" t="str">
        <f t="shared" ca="1" si="40"/>
        <v/>
      </c>
      <c r="AU42" s="398" t="str">
        <f t="shared" ref="AU42" ca="1" si="350">IF(AS42="Yes",$A42&amp;" "&amp;$C42,"")</f>
        <v/>
      </c>
      <c r="AV42" s="398">
        <f t="shared" ca="1" si="42"/>
        <v>6</v>
      </c>
      <c r="AW42" s="398">
        <f t="shared" ref="AW42" ca="1" si="351">AI42</f>
        <v>2</v>
      </c>
      <c r="AX42" s="398">
        <f t="shared" ref="AX42" ca="1" si="352">AI42*$H42</f>
        <v>288</v>
      </c>
      <c r="AY42" s="398">
        <f t="shared" ref="AY42" ca="1" si="353">AM42</f>
        <v>234612</v>
      </c>
      <c r="AZ42" s="399">
        <f t="shared" ref="AZ42" si="354">K42</f>
        <v>332</v>
      </c>
      <c r="BA42" s="399">
        <f t="shared" ref="BA42" si="355">L42</f>
        <v>16</v>
      </c>
      <c r="BB42" s="483" t="str">
        <f t="shared" ref="BB42" ca="1" si="356">AN42</f>
        <v/>
      </c>
      <c r="BC42" s="400">
        <f ca="1">IF(MAX(IF($D$6="No",ROUNDUP($D$3/$I42,0),ROUNDUP(($D$3+$I42)/$I42,0)),IF($D$6="No",ROUNDUP($D$4/$G42,0),ROUNDUP(($D$4+$G42)/$G42,0)),ROUNDUP('BVMS checklist'!$H$217/$J42,0))&gt;1,'BVMS checklist'!$L$224,'BVMS checklist'!$L$217)</f>
        <v>0</v>
      </c>
      <c r="BD42" s="398">
        <f t="shared" ref="BD42" ca="1" si="357">MAX(IF($D$6="No",ROUNDUP($D$3/$I42,0),ROUNDUP(($D$3+$I42)/$I42,0)),IF($D$6="No",ROUNDUP($D$4/$G42,0),ROUNDUP(($D$4+$G42)/$G42,0)),IF($D$6="Yes",ROUNDUP(BK42/J42,0)+1,ROUNDUP(BK42/J42,0)))</f>
        <v>2</v>
      </c>
      <c r="BE42" s="400">
        <f t="shared" si="48"/>
        <v>1</v>
      </c>
      <c r="BF42" s="400">
        <f t="shared" ref="BF42" si="358">BE42*$I42</f>
        <v>550</v>
      </c>
      <c r="BG42" s="400">
        <f t="shared" ref="BG42" ca="1" si="359">IFERROR($D$3/BD42,"")</f>
        <v>0</v>
      </c>
      <c r="BH42" s="398">
        <f t="shared" ref="BH42" ca="1" si="360">$G42*BD42</f>
        <v>234612</v>
      </c>
      <c r="BI42" s="401" t="str">
        <f t="shared" ref="BI42" ca="1" si="361">IF(BN42="yes",(BH42)/$D$4,"")</f>
        <v/>
      </c>
      <c r="BJ42" s="398">
        <f t="shared" ref="BJ42" ca="1" si="362">BD42*$J42</f>
        <v>512</v>
      </c>
      <c r="BK42" s="400">
        <f ca="1">IF(MAX(IF($D$6="No",ROUNDUP($D$3/$I42,0),ROUNDUP(($D$3+$I42)/$I42,0)),IF($D$6="No",ROUNDUP($D$4/$G42,0),ROUNDUP(($D$4+$G42)/$G42,0)),ROUNDUP('BVMS checklist'!$H$217/$J42,0))&gt;1,'BVMS checklist'!$L$224,'BVMS checklist'!$L$217)+MAX(IF($D$6="No",ROUNDUP($D$3/$I42,0),ROUNDUP(($D$3+$I42)/$I42,0)),IF($D$6="No",ROUNDUP($D$4/$G42,0),ROUNDUP(($D$4+$G42)/$G42,0)))+$D$5</f>
        <v>1</v>
      </c>
      <c r="BL42" s="400" t="b">
        <f t="shared" ref="BL42" ca="1" si="363">IF(AND((BJ42/$D42)-BK42&gt;=0,OR(BD42&gt;=2,$D42&gt;=2),BF42-I42&gt;=$D$3),TRUE,FALSE)</f>
        <v>1</v>
      </c>
      <c r="BM42" s="400" t="str">
        <f t="shared" ref="BM42" ca="1" si="364">IF(OR(AND($D$6="Yes",BL42=TRUE),$D$6="No"),"Accepted","Not accepted")</f>
        <v>Accepted</v>
      </c>
      <c r="BN42" s="398" t="str">
        <f t="shared" ref="BN42" ca="1" si="365">IF(AND(BK42&lt;BJ42,BG42&lt;$I42,$B42="Active",BM42="Accepted"),"Yes","No")</f>
        <v>No</v>
      </c>
      <c r="BO42" s="398" t="str">
        <f t="shared" ca="1" si="54"/>
        <v/>
      </c>
      <c r="BP42" s="398" t="str">
        <f t="shared" ref="BP42" ca="1" si="366">IF(BN42="Yes",$A42&amp;" "&amp;$C42,"")</f>
        <v/>
      </c>
      <c r="BQ42" s="398">
        <f t="shared" ca="1" si="56"/>
        <v>6</v>
      </c>
      <c r="BR42" s="398">
        <f t="shared" ref="BR42" ca="1" si="367">BD42</f>
        <v>2</v>
      </c>
      <c r="BS42" s="398">
        <f t="shared" ref="BS42" ca="1" si="368">BD42*$H42</f>
        <v>288</v>
      </c>
      <c r="BT42" s="398">
        <f t="shared" ref="BT42" ca="1" si="369">BH42</f>
        <v>234612</v>
      </c>
      <c r="BU42" s="399">
        <f t="shared" ref="BU42" si="370">K42</f>
        <v>332</v>
      </c>
      <c r="BV42" s="399">
        <f t="shared" ref="BV42" si="371">L42</f>
        <v>16</v>
      </c>
      <c r="BW42" s="483" t="str">
        <f t="shared" ref="BW42" ca="1" si="372">BI42</f>
        <v/>
      </c>
      <c r="BX42" s="400">
        <f ca="1">IF(MAX(IF($E$6="No",ROUNDUP($E$3/$I42,0),ROUNDUP(($E$3+$I42)/$I42,0)),IF($E$6="No",ROUNDUP($E$4/$G42,0),ROUNDUP(($E$4+$G42)/$G42,0)),ROUNDUP('BVMS checklist'!$H$217/$J42,0))&gt;1,'BVMS checklist'!$N$224,'BVMS checklist'!$N$217)</f>
        <v>0</v>
      </c>
      <c r="BY42" s="398">
        <f t="shared" ref="BY42" ca="1" si="373">MAX(IF($E$6="No",ROUNDUP($E$3/$I42,0),ROUNDUP(($E$3+$I42)/$I42,0)),IF($E$6="No",ROUNDUP($E$4/$G42,0),ROUNDUP(($E$4+$G42)/$G42,0)),IF($E$6="Yes",ROUNDUP(CF42/J42,0)+1,ROUNDUP(CF42/J42,0)))</f>
        <v>2</v>
      </c>
      <c r="BZ42" s="400">
        <f t="shared" ref="BZ42" ca="1" si="374">BY42</f>
        <v>2</v>
      </c>
      <c r="CA42" s="400">
        <f t="shared" ref="CA42" ca="1" si="375">BZ42*$I42</f>
        <v>1100</v>
      </c>
      <c r="CB42" s="400">
        <f t="shared" ref="CB42" ca="1" si="376">IFERROR($E$3/BY42,"")</f>
        <v>0</v>
      </c>
      <c r="CC42" s="398">
        <f t="shared" ref="CC42" ca="1" si="377">$G42*BY42</f>
        <v>234612</v>
      </c>
      <c r="CD42" s="401" t="str">
        <f t="shared" ref="CD42" ca="1" si="378">IF(CI42="yes",(CC42)/$E$4,"")</f>
        <v/>
      </c>
      <c r="CE42" s="398">
        <f t="shared" ref="CE42" ca="1" si="379">BY42*$J42</f>
        <v>512</v>
      </c>
      <c r="CF42" s="400">
        <f ca="1">IF(MAX(IF($E$6="No",ROUNDUP($E$3/$I42,0),ROUNDUP(($E$3+$I42)/$I42,0)),IF($E$6="No",ROUNDUP($E$4/$G42,0),ROUNDUP(($E$4+$G42)/$G42,0)),ROUNDUP('BVMS checklist'!$H$217/$J42,0))&gt;1,'BVMS checklist'!$N$224,'BVMS checklist'!$N$217)+MAX(IF($E$6="No",ROUNDUP($E$3/$I42,0),ROUNDUP(($E$3+$I42)/$I42,0)),IF($E$6="No",ROUNDUP($E$4/$G42,0),ROUNDUP(($E$4+$G42)/$G42,0)))+$E$5</f>
        <v>1</v>
      </c>
      <c r="CG42" s="400" t="b">
        <f t="shared" ref="CG42" ca="1" si="380">IF(AND((CE42/$D42)-CF42&gt;=0,OR(BY42&gt;=2,$D42&gt;=2),CA42-I42&gt;=$E$3),TRUE,FALSE)</f>
        <v>1</v>
      </c>
      <c r="CH42" s="400" t="str">
        <f t="shared" ref="CH42" ca="1" si="381">IF(OR(AND($E$6="Yes",CG42=TRUE),$E$6="No"),"Accepted","Not accepted")</f>
        <v>Accepted</v>
      </c>
      <c r="CI42" s="398" t="str">
        <f t="shared" ref="CI42" ca="1" si="382">IF(AND(CF42&lt;CE42,CB42&lt;$I42,$B42="Active",CH42="Accepted"),"Yes","No")</f>
        <v>No</v>
      </c>
      <c r="CJ42" s="398" t="str">
        <f t="shared" ca="1" si="69"/>
        <v/>
      </c>
      <c r="CK42" s="398" t="str">
        <f t="shared" ref="CK42" ca="1" si="383">IF(CI42="Yes",$A42&amp;" "&amp;$C42,"")</f>
        <v/>
      </c>
      <c r="CL42" s="398">
        <f t="shared" ca="1" si="71"/>
        <v>6</v>
      </c>
      <c r="CM42" s="398">
        <f t="shared" ref="CM42" ca="1" si="384">BY42</f>
        <v>2</v>
      </c>
      <c r="CN42" s="398">
        <f t="shared" ref="CN42" ca="1" si="385">BY42*$H42</f>
        <v>288</v>
      </c>
      <c r="CO42" s="398">
        <f t="shared" ref="CO42" ca="1" si="386">CC42</f>
        <v>234612</v>
      </c>
      <c r="CP42" s="399">
        <f t="shared" ref="CP42" si="387">K42</f>
        <v>332</v>
      </c>
      <c r="CQ42" s="399">
        <f t="shared" ref="CQ42" si="388">L42</f>
        <v>16</v>
      </c>
      <c r="CR42" s="483" t="str">
        <f t="shared" ref="CR42" ca="1" si="389">CD42</f>
        <v/>
      </c>
      <c r="CS42"/>
    </row>
    <row r="43" spans="1:97">
      <c r="A43" s="398" t="s">
        <v>1516</v>
      </c>
      <c r="B43" s="398" t="s">
        <v>987</v>
      </c>
      <c r="C43" s="440" t="s">
        <v>891</v>
      </c>
      <c r="D43" s="398">
        <v>1</v>
      </c>
      <c r="E43" s="398"/>
      <c r="F43" s="440">
        <v>0</v>
      </c>
      <c r="G43" s="398">
        <f>IF(C43="RAID5",(15-F43)*7448,(14-F43)*7448)</f>
        <v>111720</v>
      </c>
      <c r="H43" s="399">
        <v>128</v>
      </c>
      <c r="I43" s="399">
        <v>550</v>
      </c>
      <c r="J43" s="399">
        <v>256</v>
      </c>
      <c r="K43" s="399">
        <v>450</v>
      </c>
      <c r="L43" s="399">
        <v>16</v>
      </c>
      <c r="M43" s="400">
        <f ca="1">IF(MAX(IF($B$6="No",ROUNDUP($B$3/$I43,0),ROUNDUP(($B$3+$I43)/$I43,0)),IF($B$6="No",ROUNDUP($B$4/$G43,0),ROUNDUP(($B$4+$G43)/$G43,0)),ROUNDUP('BVMS checklist'!$H$217/$J43,0))&gt;1,'BVMS checklist'!$H$224,'BVMS checklist'!$H$217)</f>
        <v>0</v>
      </c>
      <c r="N43" s="398">
        <f t="shared" ca="1" si="20"/>
        <v>2</v>
      </c>
      <c r="O43" s="400">
        <f t="shared" ca="1" si="302"/>
        <v>2</v>
      </c>
      <c r="P43" s="400">
        <f t="shared" ca="1" si="0"/>
        <v>1100</v>
      </c>
      <c r="Q43" s="400">
        <f t="shared" ca="1" si="1"/>
        <v>0</v>
      </c>
      <c r="R43" s="398">
        <f t="shared" ca="1" si="2"/>
        <v>223440</v>
      </c>
      <c r="S43" s="401" t="str">
        <f t="shared" ca="1" si="22"/>
        <v/>
      </c>
      <c r="T43" s="398">
        <f t="shared" ca="1" si="23"/>
        <v>512</v>
      </c>
      <c r="U43" s="400">
        <f ca="1">IF(MAX(IF($B$6="No",ROUNDUP($B$3/$I43,0),ROUNDUP(($B$3+$I43)/$I43,0)),IF($B$6="No",ROUNDUP($B$4/$G43,0),ROUNDUP(($B$4+$G43)/$G43,0)),ROUNDUP('BVMS checklist'!$H$217/$J43,0))&gt;1,'BVMS checklist'!$H$224,'BVMS checklist'!$H$217)+MAX(IF($B$6="No",ROUNDUP($B$3/$I43,0),ROUNDUP(($B$3+$I43)/$I43,0)),IF($B$6="No",ROUNDUP($B$4/$G43,0),ROUNDUP(($B$4+$G43)/$G43,0)))+$B$5</f>
        <v>1</v>
      </c>
      <c r="V43" s="400" t="b">
        <f t="shared" ca="1" si="3"/>
        <v>1</v>
      </c>
      <c r="W43" s="400" t="str">
        <f t="shared" ca="1" si="303"/>
        <v>Accepted</v>
      </c>
      <c r="X43" s="398" t="str">
        <f t="shared" ca="1" si="25"/>
        <v>No</v>
      </c>
      <c r="Y43" s="398" t="str">
        <f t="shared" ca="1" si="26"/>
        <v/>
      </c>
      <c r="Z43" s="398" t="str">
        <f t="shared" ca="1" si="27"/>
        <v/>
      </c>
      <c r="AA43" s="398">
        <f t="shared" ca="1" si="28"/>
        <v>6</v>
      </c>
      <c r="AB43" s="398">
        <f t="shared" ca="1" si="4"/>
        <v>2</v>
      </c>
      <c r="AC43" s="398">
        <f t="shared" ca="1" si="5"/>
        <v>256</v>
      </c>
      <c r="AD43" s="398">
        <f t="shared" ca="1" si="304"/>
        <v>223440</v>
      </c>
      <c r="AE43" s="399">
        <f t="shared" si="305"/>
        <v>450</v>
      </c>
      <c r="AF43" s="399">
        <f t="shared" si="305"/>
        <v>16</v>
      </c>
      <c r="AG43" s="483" t="str">
        <f t="shared" ca="1" si="30"/>
        <v/>
      </c>
      <c r="AH43" s="400">
        <f ca="1">IF(MAX(IF($C$6="No",ROUNDUP($C$3/$I43,0),ROUNDUP(($C$3+$I43)/$I43,0)),IF($C$6="No",ROUNDUP($C$4/$G43,0),ROUNDUP(($C$4+$G43)/$G43,0)),ROUNDUP('BVMS checklist'!$H$217/$J43,0))&gt;1,'BVMS checklist'!$J$224,'BVMS checklist'!$J$217)</f>
        <v>0</v>
      </c>
      <c r="AI43" s="398">
        <f t="shared" ca="1" si="31"/>
        <v>2</v>
      </c>
      <c r="AJ43" s="400">
        <f t="shared" ca="1" si="306"/>
        <v>2</v>
      </c>
      <c r="AK43" s="400">
        <f t="shared" ca="1" si="221"/>
        <v>1100</v>
      </c>
      <c r="AL43" s="400">
        <f t="shared" ca="1" si="307"/>
        <v>0</v>
      </c>
      <c r="AM43" s="398">
        <f t="shared" ca="1" si="222"/>
        <v>223440</v>
      </c>
      <c r="AN43" s="401" t="str">
        <f t="shared" ca="1" si="36"/>
        <v/>
      </c>
      <c r="AO43" s="398">
        <f t="shared" ca="1" si="224"/>
        <v>512</v>
      </c>
      <c r="AP43" s="400">
        <f ca="1">IF(MAX(IF($C$6="No",ROUNDUP($C$3/$I43,0),ROUNDUP(($C$3+$I43)/$I43,0)),IF($C$6="No",ROUNDUP($C$4/$G43,0),ROUNDUP(($C$4+$G43)/$G43,0)),ROUNDUP('BVMS checklist'!$H$217/$J43,0))&gt;1,'BVMS checklist'!$J$224,'BVMS checklist'!$J$217)+MAX(IF($C$6="No",ROUNDUP($C$3/$I43,0),ROUNDUP(($C$3+$I43)/$I43,0)),IF($C$6="No",ROUNDUP($C$4/$G43,0),ROUNDUP(($C$4+$G43)/$G43,0)))+$C$5</f>
        <v>1</v>
      </c>
      <c r="AQ43" s="400" t="b">
        <f t="shared" ca="1" si="8"/>
        <v>1</v>
      </c>
      <c r="AR43" s="400" t="str">
        <f t="shared" ca="1" si="308"/>
        <v>Accepted</v>
      </c>
      <c r="AS43" s="398" t="str">
        <f t="shared" ca="1" si="226"/>
        <v>No</v>
      </c>
      <c r="AT43" s="398" t="str">
        <f t="shared" ca="1" si="40"/>
        <v/>
      </c>
      <c r="AU43" s="398" t="str">
        <f t="shared" ca="1" si="41"/>
        <v/>
      </c>
      <c r="AV43" s="398">
        <f t="shared" ca="1" si="42"/>
        <v>6</v>
      </c>
      <c r="AW43" s="398">
        <f t="shared" ca="1" si="309"/>
        <v>2</v>
      </c>
      <c r="AX43" s="398">
        <f t="shared" ca="1" si="228"/>
        <v>256</v>
      </c>
      <c r="AY43" s="398">
        <f t="shared" ca="1" si="310"/>
        <v>223440</v>
      </c>
      <c r="AZ43" s="399">
        <f t="shared" si="311"/>
        <v>450</v>
      </c>
      <c r="BA43" s="399">
        <f t="shared" si="311"/>
        <v>16</v>
      </c>
      <c r="BB43" s="483" t="str">
        <f t="shared" ca="1" si="46"/>
        <v/>
      </c>
      <c r="BC43" s="400">
        <f ca="1">IF(MAX(IF($D$6="No",ROUNDUP($D$3/$I43,0),ROUNDUP(($D$3+$I43)/$I43,0)),IF($D$6="No",ROUNDUP($D$4/$G43,0),ROUNDUP(($D$4+$G43)/$G43,0)),ROUNDUP('BVMS checklist'!$H$217/$J43,0))&gt;1,'BVMS checklist'!$L$224,'BVMS checklist'!$L$217)</f>
        <v>0</v>
      </c>
      <c r="BD43" s="398">
        <f t="shared" ca="1" si="47"/>
        <v>2</v>
      </c>
      <c r="BE43" s="400">
        <f t="shared" si="48"/>
        <v>1</v>
      </c>
      <c r="BF43" s="400">
        <f t="shared" si="231"/>
        <v>550</v>
      </c>
      <c r="BG43" s="400">
        <f t="shared" ca="1" si="312"/>
        <v>0</v>
      </c>
      <c r="BH43" s="398">
        <f t="shared" ca="1" si="232"/>
        <v>223440</v>
      </c>
      <c r="BI43" s="401" t="str">
        <f t="shared" ca="1" si="51"/>
        <v/>
      </c>
      <c r="BJ43" s="398">
        <f t="shared" ca="1" si="234"/>
        <v>512</v>
      </c>
      <c r="BK43" s="400">
        <f ca="1">IF(MAX(IF($D$6="No",ROUNDUP($D$3/$I43,0),ROUNDUP(($D$3+$I43)/$I43,0)),IF($D$6="No",ROUNDUP($D$4/$G43,0),ROUNDUP(($D$4+$G43)/$G43,0)),ROUNDUP('BVMS checklist'!$H$217/$J43,0))&gt;1,'BVMS checklist'!$L$224,'BVMS checklist'!$L$217)+MAX(IF($D$6="No",ROUNDUP($D$3/$I43,0),ROUNDUP(($D$3+$I43)/$I43,0)),IF($D$6="No",ROUNDUP($D$4/$G43,0),ROUNDUP(($D$4+$G43)/$G43,0)))+$D$5</f>
        <v>1</v>
      </c>
      <c r="BL43" s="400" t="b">
        <f t="shared" ca="1" si="12"/>
        <v>1</v>
      </c>
      <c r="BM43" s="400" t="str">
        <f t="shared" ca="1" si="313"/>
        <v>Accepted</v>
      </c>
      <c r="BN43" s="398" t="str">
        <f t="shared" ca="1" si="236"/>
        <v>No</v>
      </c>
      <c r="BO43" s="398" t="str">
        <f t="shared" ca="1" si="54"/>
        <v/>
      </c>
      <c r="BP43" s="398" t="str">
        <f t="shared" ca="1" si="55"/>
        <v/>
      </c>
      <c r="BQ43" s="398">
        <f t="shared" ca="1" si="56"/>
        <v>6</v>
      </c>
      <c r="BR43" s="398">
        <f t="shared" ca="1" si="314"/>
        <v>2</v>
      </c>
      <c r="BS43" s="398">
        <f t="shared" ca="1" si="238"/>
        <v>256</v>
      </c>
      <c r="BT43" s="398">
        <f t="shared" ca="1" si="315"/>
        <v>223440</v>
      </c>
      <c r="BU43" s="399">
        <f t="shared" si="316"/>
        <v>450</v>
      </c>
      <c r="BV43" s="399">
        <f t="shared" si="316"/>
        <v>16</v>
      </c>
      <c r="BW43" s="483" t="str">
        <f t="shared" ca="1" si="60"/>
        <v/>
      </c>
      <c r="BX43" s="400">
        <f ca="1">IF(MAX(IF($E$6="No",ROUNDUP($E$3/$I43,0),ROUNDUP(($E$3+$I43)/$I43,0)),IF($E$6="No",ROUNDUP($E$4/$G43,0),ROUNDUP(($E$4+$G43)/$G43,0)),ROUNDUP('BVMS checklist'!$H$217/$J43,0))&gt;1,'BVMS checklist'!$N$224,'BVMS checklist'!$N$217)</f>
        <v>0</v>
      </c>
      <c r="BY43" s="398">
        <f t="shared" ca="1" si="61"/>
        <v>2</v>
      </c>
      <c r="BZ43" s="400">
        <f t="shared" ca="1" si="317"/>
        <v>2</v>
      </c>
      <c r="CA43" s="400">
        <f t="shared" ca="1" si="241"/>
        <v>1100</v>
      </c>
      <c r="CB43" s="400">
        <f t="shared" ca="1" si="318"/>
        <v>0</v>
      </c>
      <c r="CC43" s="398">
        <f t="shared" ca="1" si="242"/>
        <v>223440</v>
      </c>
      <c r="CD43" s="401" t="str">
        <f t="shared" ca="1" si="65"/>
        <v/>
      </c>
      <c r="CE43" s="398">
        <f t="shared" ca="1" si="244"/>
        <v>512</v>
      </c>
      <c r="CF43" s="400">
        <f ca="1">IF(MAX(IF($E$6="No",ROUNDUP($E$3/$I43,0),ROUNDUP(($E$3+$I43)/$I43,0)),IF($E$6="No",ROUNDUP($E$4/$G43,0),ROUNDUP(($E$4+$G43)/$G43,0)),ROUNDUP('BVMS checklist'!$H$217/$J43,0))&gt;1,'BVMS checklist'!$N$224,'BVMS checklist'!$N$217)+MAX(IF($E$6="No",ROUNDUP($E$3/$I43,0),ROUNDUP(($E$3+$I43)/$I43,0)),IF($E$6="No",ROUNDUP($E$4/$G43,0),ROUNDUP(($E$4+$G43)/$G43,0)))+$E$5</f>
        <v>1</v>
      </c>
      <c r="CG43" s="400" t="b">
        <f t="shared" ca="1" si="17"/>
        <v>1</v>
      </c>
      <c r="CH43" s="400" t="str">
        <f t="shared" ca="1" si="319"/>
        <v>Accepted</v>
      </c>
      <c r="CI43" s="398" t="str">
        <f t="shared" ca="1" si="246"/>
        <v>No</v>
      </c>
      <c r="CJ43" s="398" t="str">
        <f t="shared" ca="1" si="69"/>
        <v/>
      </c>
      <c r="CK43" s="398" t="str">
        <f t="shared" ca="1" si="70"/>
        <v/>
      </c>
      <c r="CL43" s="398">
        <f t="shared" ca="1" si="71"/>
        <v>6</v>
      </c>
      <c r="CM43" s="398">
        <f t="shared" ca="1" si="320"/>
        <v>2</v>
      </c>
      <c r="CN43" s="398">
        <f t="shared" ca="1" si="248"/>
        <v>256</v>
      </c>
      <c r="CO43" s="398">
        <f t="shared" ca="1" si="321"/>
        <v>223440</v>
      </c>
      <c r="CP43" s="399">
        <f t="shared" si="322"/>
        <v>450</v>
      </c>
      <c r="CQ43" s="399">
        <f t="shared" si="322"/>
        <v>16</v>
      </c>
      <c r="CR43" s="483" t="str">
        <f t="shared" ca="1" si="75"/>
        <v/>
      </c>
      <c r="CS43"/>
    </row>
    <row r="44" spans="1:97">
      <c r="A44" s="398" t="s">
        <v>1517</v>
      </c>
      <c r="B44" s="398" t="s">
        <v>987</v>
      </c>
      <c r="C44" s="440" t="s">
        <v>891</v>
      </c>
      <c r="D44" s="398">
        <v>1</v>
      </c>
      <c r="E44" s="398"/>
      <c r="F44" s="440">
        <v>0</v>
      </c>
      <c r="G44" s="398">
        <f>IF(C44="RAID5",(15-F44)*11172,(14-F44)*11172)</f>
        <v>167580</v>
      </c>
      <c r="H44" s="399">
        <v>192</v>
      </c>
      <c r="I44" s="399">
        <v>550</v>
      </c>
      <c r="J44" s="399">
        <v>256</v>
      </c>
      <c r="K44" s="399">
        <v>450</v>
      </c>
      <c r="L44" s="399">
        <v>16</v>
      </c>
      <c r="M44" s="400">
        <f ca="1">IF(MAX(IF($B$6="No",ROUNDUP($B$3/$I44,0),ROUNDUP(($B$3+$I44)/$I44,0)),IF($B$6="No",ROUNDUP($B$4/$G44,0),ROUNDUP(($B$4+$G44)/$G44,0)),ROUNDUP('BVMS checklist'!$H$217/$J44,0))&gt;1,'BVMS checklist'!$H$224,'BVMS checklist'!$H$217)</f>
        <v>0</v>
      </c>
      <c r="N44" s="398">
        <f t="shared" ca="1" si="20"/>
        <v>2</v>
      </c>
      <c r="O44" s="400">
        <f t="shared" ca="1" si="302"/>
        <v>2</v>
      </c>
      <c r="P44" s="400">
        <f t="shared" ca="1" si="0"/>
        <v>1100</v>
      </c>
      <c r="Q44" s="400">
        <f t="shared" ca="1" si="1"/>
        <v>0</v>
      </c>
      <c r="R44" s="398">
        <f t="shared" ca="1" si="2"/>
        <v>335160</v>
      </c>
      <c r="S44" s="401" t="str">
        <f t="shared" ca="1" si="22"/>
        <v/>
      </c>
      <c r="T44" s="398">
        <f t="shared" ca="1" si="23"/>
        <v>512</v>
      </c>
      <c r="U44" s="400">
        <f ca="1">IF(MAX(IF($B$6="No",ROUNDUP($B$3/$I44,0),ROUNDUP(($B$3+$I44)/$I44,0)),IF($B$6="No",ROUNDUP($B$4/$G44,0),ROUNDUP(($B$4+$G44)/$G44,0)),ROUNDUP('BVMS checklist'!$H$217/$J44,0))&gt;1,'BVMS checklist'!$H$224,'BVMS checklist'!$H$217)+MAX(IF($B$6="No",ROUNDUP($B$3/$I44,0),ROUNDUP(($B$3+$I44)/$I44,0)),IF($B$6="No",ROUNDUP($B$4/$G44,0),ROUNDUP(($B$4+$G44)/$G44,0)))+$B$5</f>
        <v>1</v>
      </c>
      <c r="V44" s="400" t="b">
        <f t="shared" ca="1" si="3"/>
        <v>1</v>
      </c>
      <c r="W44" s="400" t="str">
        <f t="shared" ca="1" si="303"/>
        <v>Accepted</v>
      </c>
      <c r="X44" s="398" t="str">
        <f t="shared" ca="1" si="25"/>
        <v>No</v>
      </c>
      <c r="Y44" s="398" t="str">
        <f t="shared" ca="1" si="26"/>
        <v/>
      </c>
      <c r="Z44" s="398" t="str">
        <f t="shared" ca="1" si="27"/>
        <v/>
      </c>
      <c r="AA44" s="398">
        <f t="shared" ca="1" si="28"/>
        <v>6</v>
      </c>
      <c r="AB44" s="398">
        <f t="shared" ca="1" si="4"/>
        <v>2</v>
      </c>
      <c r="AC44" s="398">
        <f t="shared" ca="1" si="5"/>
        <v>384</v>
      </c>
      <c r="AD44" s="398">
        <f t="shared" ca="1" si="304"/>
        <v>335160</v>
      </c>
      <c r="AE44" s="399">
        <f t="shared" si="305"/>
        <v>450</v>
      </c>
      <c r="AF44" s="399">
        <f t="shared" si="305"/>
        <v>16</v>
      </c>
      <c r="AG44" s="483" t="str">
        <f t="shared" ca="1" si="30"/>
        <v/>
      </c>
      <c r="AH44" s="400">
        <f ca="1">IF(MAX(IF($C$6="No",ROUNDUP($C$3/$I44,0),ROUNDUP(($C$3+$I44)/$I44,0)),IF($C$6="No",ROUNDUP($C$4/$G44,0),ROUNDUP(($C$4+$G44)/$G44,0)),ROUNDUP('BVMS checklist'!$H$217/$J44,0))&gt;1,'BVMS checklist'!$J$224,'BVMS checklist'!$J$217)</f>
        <v>0</v>
      </c>
      <c r="AI44" s="398">
        <f t="shared" ca="1" si="31"/>
        <v>2</v>
      </c>
      <c r="AJ44" s="400">
        <f t="shared" ca="1" si="306"/>
        <v>2</v>
      </c>
      <c r="AK44" s="400">
        <f t="shared" ca="1" si="221"/>
        <v>1100</v>
      </c>
      <c r="AL44" s="400">
        <f t="shared" ca="1" si="307"/>
        <v>0</v>
      </c>
      <c r="AM44" s="398">
        <f t="shared" ca="1" si="222"/>
        <v>335160</v>
      </c>
      <c r="AN44" s="401" t="str">
        <f t="shared" ca="1" si="36"/>
        <v/>
      </c>
      <c r="AO44" s="398">
        <f t="shared" ca="1" si="224"/>
        <v>512</v>
      </c>
      <c r="AP44" s="400">
        <f ca="1">IF(MAX(IF($C$6="No",ROUNDUP($C$3/$I44,0),ROUNDUP(($C$3+$I44)/$I44,0)),IF($C$6="No",ROUNDUP($C$4/$G44,0),ROUNDUP(($C$4+$G44)/$G44,0)),ROUNDUP('BVMS checklist'!$H$217/$J44,0))&gt;1,'BVMS checklist'!$J$224,'BVMS checklist'!$J$217)+MAX(IF($C$6="No",ROUNDUP($C$3/$I44,0),ROUNDUP(($C$3+$I44)/$I44,0)),IF($C$6="No",ROUNDUP($C$4/$G44,0),ROUNDUP(($C$4+$G44)/$G44,0)))+$C$5</f>
        <v>1</v>
      </c>
      <c r="AQ44" s="400" t="b">
        <f t="shared" ca="1" si="8"/>
        <v>1</v>
      </c>
      <c r="AR44" s="400" t="str">
        <f t="shared" ca="1" si="308"/>
        <v>Accepted</v>
      </c>
      <c r="AS44" s="398" t="str">
        <f t="shared" ca="1" si="226"/>
        <v>No</v>
      </c>
      <c r="AT44" s="398" t="str">
        <f t="shared" ca="1" si="40"/>
        <v/>
      </c>
      <c r="AU44" s="398" t="str">
        <f t="shared" ca="1" si="41"/>
        <v/>
      </c>
      <c r="AV44" s="398">
        <f t="shared" ca="1" si="42"/>
        <v>6</v>
      </c>
      <c r="AW44" s="398">
        <f t="shared" ca="1" si="309"/>
        <v>2</v>
      </c>
      <c r="AX44" s="398">
        <f t="shared" ca="1" si="228"/>
        <v>384</v>
      </c>
      <c r="AY44" s="398">
        <f t="shared" ca="1" si="310"/>
        <v>335160</v>
      </c>
      <c r="AZ44" s="399">
        <f t="shared" si="311"/>
        <v>450</v>
      </c>
      <c r="BA44" s="399">
        <f t="shared" si="311"/>
        <v>16</v>
      </c>
      <c r="BB44" s="483" t="str">
        <f t="shared" ca="1" si="46"/>
        <v/>
      </c>
      <c r="BC44" s="400">
        <f ca="1">IF(MAX(IF($D$6="No",ROUNDUP($D$3/$I44,0),ROUNDUP(($D$3+$I44)/$I44,0)),IF($D$6="No",ROUNDUP($D$4/$G44,0),ROUNDUP(($D$4+$G44)/$G44,0)),ROUNDUP('BVMS checklist'!$H$217/$J44,0))&gt;1,'BVMS checklist'!$L$224,'BVMS checklist'!$L$217)</f>
        <v>0</v>
      </c>
      <c r="BD44" s="398">
        <f t="shared" ca="1" si="47"/>
        <v>2</v>
      </c>
      <c r="BE44" s="400">
        <f t="shared" si="48"/>
        <v>1</v>
      </c>
      <c r="BF44" s="400">
        <f t="shared" si="231"/>
        <v>550</v>
      </c>
      <c r="BG44" s="400">
        <f t="shared" ca="1" si="312"/>
        <v>0</v>
      </c>
      <c r="BH44" s="398">
        <f t="shared" ca="1" si="232"/>
        <v>335160</v>
      </c>
      <c r="BI44" s="401" t="str">
        <f t="shared" ca="1" si="51"/>
        <v/>
      </c>
      <c r="BJ44" s="398">
        <f t="shared" ca="1" si="234"/>
        <v>512</v>
      </c>
      <c r="BK44" s="400">
        <f ca="1">IF(MAX(IF($D$6="No",ROUNDUP($D$3/$I44,0),ROUNDUP(($D$3+$I44)/$I44,0)),IF($D$6="No",ROUNDUP($D$4/$G44,0),ROUNDUP(($D$4+$G44)/$G44,0)),ROUNDUP('BVMS checklist'!$H$217/$J44,0))&gt;1,'BVMS checklist'!$L$224,'BVMS checklist'!$L$217)+MAX(IF($D$6="No",ROUNDUP($D$3/$I44,0),ROUNDUP(($D$3+$I44)/$I44,0)),IF($D$6="No",ROUNDUP($D$4/$G44,0),ROUNDUP(($D$4+$G44)/$G44,0)))+$D$5</f>
        <v>1</v>
      </c>
      <c r="BL44" s="400" t="b">
        <f t="shared" ca="1" si="12"/>
        <v>1</v>
      </c>
      <c r="BM44" s="400" t="str">
        <f t="shared" ca="1" si="313"/>
        <v>Accepted</v>
      </c>
      <c r="BN44" s="398" t="str">
        <f t="shared" ca="1" si="236"/>
        <v>No</v>
      </c>
      <c r="BO44" s="398" t="str">
        <f t="shared" ca="1" si="54"/>
        <v/>
      </c>
      <c r="BP44" s="398" t="str">
        <f t="shared" ca="1" si="55"/>
        <v/>
      </c>
      <c r="BQ44" s="398">
        <f t="shared" ca="1" si="56"/>
        <v>6</v>
      </c>
      <c r="BR44" s="398">
        <f t="shared" ca="1" si="314"/>
        <v>2</v>
      </c>
      <c r="BS44" s="398">
        <f t="shared" ca="1" si="238"/>
        <v>384</v>
      </c>
      <c r="BT44" s="398">
        <f t="shared" ca="1" si="315"/>
        <v>335160</v>
      </c>
      <c r="BU44" s="399">
        <f t="shared" si="316"/>
        <v>450</v>
      </c>
      <c r="BV44" s="399">
        <f t="shared" si="316"/>
        <v>16</v>
      </c>
      <c r="BW44" s="483" t="str">
        <f t="shared" ca="1" si="60"/>
        <v/>
      </c>
      <c r="BX44" s="400">
        <f ca="1">IF(MAX(IF($E$6="No",ROUNDUP($E$3/$I44,0),ROUNDUP(($E$3+$I44)/$I44,0)),IF($E$6="No",ROUNDUP($E$4/$G44,0),ROUNDUP(($E$4+$G44)/$G44,0)),ROUNDUP('BVMS checklist'!$H$217/$J44,0))&gt;1,'BVMS checklist'!$N$224,'BVMS checklist'!$N$217)</f>
        <v>0</v>
      </c>
      <c r="BY44" s="398">
        <f t="shared" ca="1" si="61"/>
        <v>2</v>
      </c>
      <c r="BZ44" s="400">
        <f t="shared" ca="1" si="317"/>
        <v>2</v>
      </c>
      <c r="CA44" s="400">
        <f t="shared" ca="1" si="241"/>
        <v>1100</v>
      </c>
      <c r="CB44" s="400">
        <f t="shared" ca="1" si="318"/>
        <v>0</v>
      </c>
      <c r="CC44" s="398">
        <f t="shared" ca="1" si="242"/>
        <v>335160</v>
      </c>
      <c r="CD44" s="401" t="str">
        <f t="shared" ca="1" si="65"/>
        <v/>
      </c>
      <c r="CE44" s="398">
        <f t="shared" ca="1" si="244"/>
        <v>512</v>
      </c>
      <c r="CF44" s="400">
        <f ca="1">IF(MAX(IF($E$6="No",ROUNDUP($E$3/$I44,0),ROUNDUP(($E$3+$I44)/$I44,0)),IF($E$6="No",ROUNDUP($E$4/$G44,0),ROUNDUP(($E$4+$G44)/$G44,0)),ROUNDUP('BVMS checklist'!$H$217/$J44,0))&gt;1,'BVMS checklist'!$N$224,'BVMS checklist'!$N$217)+MAX(IF($E$6="No",ROUNDUP($E$3/$I44,0),ROUNDUP(($E$3+$I44)/$I44,0)),IF($E$6="No",ROUNDUP($E$4/$G44,0),ROUNDUP(($E$4+$G44)/$G44,0)))+$E$5</f>
        <v>1</v>
      </c>
      <c r="CG44" s="400" t="b">
        <f t="shared" ca="1" si="17"/>
        <v>1</v>
      </c>
      <c r="CH44" s="400" t="str">
        <f t="shared" ca="1" si="319"/>
        <v>Accepted</v>
      </c>
      <c r="CI44" s="398" t="str">
        <f t="shared" ca="1" si="246"/>
        <v>No</v>
      </c>
      <c r="CJ44" s="398" t="str">
        <f t="shared" ca="1" si="69"/>
        <v/>
      </c>
      <c r="CK44" s="398" t="str">
        <f t="shared" ca="1" si="70"/>
        <v/>
      </c>
      <c r="CL44" s="398">
        <f t="shared" ca="1" si="71"/>
        <v>6</v>
      </c>
      <c r="CM44" s="398">
        <f t="shared" ca="1" si="320"/>
        <v>2</v>
      </c>
      <c r="CN44" s="398">
        <f t="shared" ca="1" si="248"/>
        <v>384</v>
      </c>
      <c r="CO44" s="398">
        <f t="shared" ca="1" si="321"/>
        <v>335160</v>
      </c>
      <c r="CP44" s="399">
        <f t="shared" si="322"/>
        <v>450</v>
      </c>
      <c r="CQ44" s="399">
        <f t="shared" si="322"/>
        <v>16</v>
      </c>
      <c r="CR44" s="483" t="str">
        <f t="shared" ca="1" si="75"/>
        <v/>
      </c>
      <c r="CS44"/>
    </row>
    <row r="45" spans="1:97">
      <c r="A45" s="398" t="s">
        <v>2017</v>
      </c>
      <c r="B45" s="398" t="s">
        <v>987</v>
      </c>
      <c r="C45" s="440" t="s">
        <v>891</v>
      </c>
      <c r="D45" s="398">
        <v>1</v>
      </c>
      <c r="E45" s="398"/>
      <c r="F45" s="440">
        <v>0</v>
      </c>
      <c r="G45" s="398">
        <f>IF(C45="RAID5",(15-F45)*16758,(14-F45)*16758)</f>
        <v>251370</v>
      </c>
      <c r="H45" s="399">
        <v>288</v>
      </c>
      <c r="I45" s="399">
        <v>550</v>
      </c>
      <c r="J45" s="399">
        <v>256</v>
      </c>
      <c r="K45" s="399">
        <v>450</v>
      </c>
      <c r="L45" s="399">
        <v>16</v>
      </c>
      <c r="M45" s="400">
        <f ca="1">IF(MAX(IF($B$6="No",ROUNDUP($B$3/$I45,0),ROUNDUP(($B$3+$I45)/$I45,0)),IF($B$6="No",ROUNDUP($B$4/$G45,0),ROUNDUP(($B$4+$G45)/$G45,0)),ROUNDUP('BVMS checklist'!$H$217/$J45,0))&gt;1,'BVMS checklist'!$H$224,'BVMS checklist'!$H$217)</f>
        <v>0</v>
      </c>
      <c r="N45" s="398">
        <f t="shared" ca="1" si="20"/>
        <v>2</v>
      </c>
      <c r="O45" s="400">
        <f t="shared" ca="1" si="302"/>
        <v>2</v>
      </c>
      <c r="P45" s="400">
        <f t="shared" ca="1" si="0"/>
        <v>1100</v>
      </c>
      <c r="Q45" s="400">
        <f t="shared" ca="1" si="1"/>
        <v>0</v>
      </c>
      <c r="R45" s="398">
        <f t="shared" ca="1" si="2"/>
        <v>502740</v>
      </c>
      <c r="S45" s="401" t="str">
        <f t="shared" ca="1" si="22"/>
        <v/>
      </c>
      <c r="T45" s="398">
        <f t="shared" ca="1" si="23"/>
        <v>512</v>
      </c>
      <c r="U45" s="400">
        <f ca="1">IF(MAX(IF($B$6="No",ROUNDUP($B$3/$I45,0),ROUNDUP(($B$3+$I45)/$I45,0)),IF($B$6="No",ROUNDUP($B$4/$G45,0),ROUNDUP(($B$4+$G45)/$G45,0)),ROUNDUP('BVMS checklist'!$H$217/$J45,0))&gt;1,'BVMS checklist'!$H$224,'BVMS checklist'!$H$217)+MAX(IF($B$6="No",ROUNDUP($B$3/$I45,0),ROUNDUP(($B$3+$I45)/$I45,0)),IF($B$6="No",ROUNDUP($B$4/$G45,0),ROUNDUP(($B$4+$G45)/$G45,0)))+$B$5</f>
        <v>1</v>
      </c>
      <c r="V45" s="400" t="b">
        <f t="shared" ca="1" si="3"/>
        <v>1</v>
      </c>
      <c r="W45" s="400" t="str">
        <f t="shared" ca="1" si="303"/>
        <v>Accepted</v>
      </c>
      <c r="X45" s="398" t="str">
        <f t="shared" ca="1" si="25"/>
        <v>No</v>
      </c>
      <c r="Y45" s="398" t="str">
        <f t="shared" ca="1" si="26"/>
        <v/>
      </c>
      <c r="Z45" s="398" t="str">
        <f t="shared" ca="1" si="27"/>
        <v/>
      </c>
      <c r="AA45" s="398">
        <f t="shared" ca="1" si="28"/>
        <v>6</v>
      </c>
      <c r="AB45" s="398">
        <f t="shared" ca="1" si="4"/>
        <v>2</v>
      </c>
      <c r="AC45" s="398">
        <f t="shared" ca="1" si="5"/>
        <v>576</v>
      </c>
      <c r="AD45" s="398">
        <f t="shared" ca="1" si="304"/>
        <v>502740</v>
      </c>
      <c r="AE45" s="399">
        <f t="shared" si="305"/>
        <v>450</v>
      </c>
      <c r="AF45" s="399">
        <f t="shared" si="305"/>
        <v>16</v>
      </c>
      <c r="AG45" s="483" t="str">
        <f t="shared" ca="1" si="30"/>
        <v/>
      </c>
      <c r="AH45" s="400">
        <f ca="1">IF(MAX(IF($C$6="No",ROUNDUP($C$3/$I45,0),ROUNDUP(($C$3+$I45)/$I45,0)),IF($C$6="No",ROUNDUP($C$4/$G45,0),ROUNDUP(($C$4+$G45)/$G45,0)),ROUNDUP('BVMS checklist'!$H$217/$J45,0))&gt;1,'BVMS checklist'!$J$224,'BVMS checklist'!$J$217)</f>
        <v>0</v>
      </c>
      <c r="AI45" s="398">
        <f t="shared" ca="1" si="31"/>
        <v>2</v>
      </c>
      <c r="AJ45" s="400">
        <f t="shared" ca="1" si="306"/>
        <v>2</v>
      </c>
      <c r="AK45" s="400">
        <f t="shared" ca="1" si="221"/>
        <v>1100</v>
      </c>
      <c r="AL45" s="400">
        <f t="shared" ca="1" si="307"/>
        <v>0</v>
      </c>
      <c r="AM45" s="398">
        <f t="shared" ca="1" si="222"/>
        <v>502740</v>
      </c>
      <c r="AN45" s="401" t="str">
        <f t="shared" ca="1" si="36"/>
        <v/>
      </c>
      <c r="AO45" s="398">
        <f t="shared" ca="1" si="224"/>
        <v>512</v>
      </c>
      <c r="AP45" s="400">
        <f ca="1">IF(MAX(IF($C$6="No",ROUNDUP($C$3/$I45,0),ROUNDUP(($C$3+$I45)/$I45,0)),IF($C$6="No",ROUNDUP($C$4/$G45,0),ROUNDUP(($C$4+$G45)/$G45,0)),ROUNDUP('BVMS checklist'!$H$217/$J45,0))&gt;1,'BVMS checklist'!$J$224,'BVMS checklist'!$J$217)+MAX(IF($C$6="No",ROUNDUP($C$3/$I45,0),ROUNDUP(($C$3+$I45)/$I45,0)),IF($C$6="No",ROUNDUP($C$4/$G45,0),ROUNDUP(($C$4+$G45)/$G45,0)))+$C$5</f>
        <v>1</v>
      </c>
      <c r="AQ45" s="400" t="b">
        <f t="shared" ca="1" si="8"/>
        <v>1</v>
      </c>
      <c r="AR45" s="400" t="str">
        <f t="shared" ca="1" si="308"/>
        <v>Accepted</v>
      </c>
      <c r="AS45" s="398" t="str">
        <f t="shared" ca="1" si="226"/>
        <v>No</v>
      </c>
      <c r="AT45" s="398" t="str">
        <f t="shared" ca="1" si="40"/>
        <v/>
      </c>
      <c r="AU45" s="398" t="str">
        <f t="shared" ca="1" si="41"/>
        <v/>
      </c>
      <c r="AV45" s="398">
        <f t="shared" ca="1" si="42"/>
        <v>6</v>
      </c>
      <c r="AW45" s="398">
        <f t="shared" ca="1" si="309"/>
        <v>2</v>
      </c>
      <c r="AX45" s="398">
        <f t="shared" ca="1" si="228"/>
        <v>576</v>
      </c>
      <c r="AY45" s="398">
        <f t="shared" ca="1" si="310"/>
        <v>502740</v>
      </c>
      <c r="AZ45" s="399">
        <f t="shared" si="311"/>
        <v>450</v>
      </c>
      <c r="BA45" s="399">
        <f t="shared" si="311"/>
        <v>16</v>
      </c>
      <c r="BB45" s="483" t="str">
        <f t="shared" ca="1" si="46"/>
        <v/>
      </c>
      <c r="BC45" s="400">
        <f ca="1">IF(MAX(IF($D$6="No",ROUNDUP($D$3/$I45,0),ROUNDUP(($D$3+$I45)/$I45,0)),IF($D$6="No",ROUNDUP($D$4/$G45,0),ROUNDUP(($D$4+$G45)/$G45,0)),ROUNDUP('BVMS checklist'!$H$217/$J45,0))&gt;1,'BVMS checklist'!$L$224,'BVMS checklist'!$L$217)</f>
        <v>0</v>
      </c>
      <c r="BD45" s="398">
        <f t="shared" ca="1" si="47"/>
        <v>2</v>
      </c>
      <c r="BE45" s="400">
        <f t="shared" si="48"/>
        <v>1</v>
      </c>
      <c r="BF45" s="400">
        <f t="shared" si="231"/>
        <v>550</v>
      </c>
      <c r="BG45" s="400">
        <f t="shared" ca="1" si="312"/>
        <v>0</v>
      </c>
      <c r="BH45" s="398">
        <f t="shared" ca="1" si="232"/>
        <v>502740</v>
      </c>
      <c r="BI45" s="401" t="str">
        <f t="shared" ca="1" si="51"/>
        <v/>
      </c>
      <c r="BJ45" s="398">
        <f t="shared" ca="1" si="234"/>
        <v>512</v>
      </c>
      <c r="BK45" s="400">
        <f ca="1">IF(MAX(IF($D$6="No",ROUNDUP($D$3/$I45,0),ROUNDUP(($D$3+$I45)/$I45,0)),IF($D$6="No",ROUNDUP($D$4/$G45,0),ROUNDUP(($D$4+$G45)/$G45,0)),ROUNDUP('BVMS checklist'!$H$217/$J45,0))&gt;1,'BVMS checklist'!$L$224,'BVMS checklist'!$L$217)+MAX(IF($D$6="No",ROUNDUP($D$3/$I45,0),ROUNDUP(($D$3+$I45)/$I45,0)),IF($D$6="No",ROUNDUP($D$4/$G45,0),ROUNDUP(($D$4+$G45)/$G45,0)))+$D$5</f>
        <v>1</v>
      </c>
      <c r="BL45" s="400" t="b">
        <f t="shared" ca="1" si="12"/>
        <v>1</v>
      </c>
      <c r="BM45" s="400" t="str">
        <f t="shared" ca="1" si="313"/>
        <v>Accepted</v>
      </c>
      <c r="BN45" s="398" t="str">
        <f t="shared" ca="1" si="236"/>
        <v>No</v>
      </c>
      <c r="BO45" s="398" t="str">
        <f t="shared" ca="1" si="54"/>
        <v/>
      </c>
      <c r="BP45" s="398" t="str">
        <f t="shared" ca="1" si="55"/>
        <v/>
      </c>
      <c r="BQ45" s="398">
        <f t="shared" ca="1" si="56"/>
        <v>6</v>
      </c>
      <c r="BR45" s="398">
        <f t="shared" ca="1" si="314"/>
        <v>2</v>
      </c>
      <c r="BS45" s="398">
        <f t="shared" ca="1" si="238"/>
        <v>576</v>
      </c>
      <c r="BT45" s="398">
        <f t="shared" ca="1" si="315"/>
        <v>502740</v>
      </c>
      <c r="BU45" s="399">
        <f t="shared" si="316"/>
        <v>450</v>
      </c>
      <c r="BV45" s="399">
        <f t="shared" si="316"/>
        <v>16</v>
      </c>
      <c r="BW45" s="483" t="str">
        <f t="shared" ca="1" si="60"/>
        <v/>
      </c>
      <c r="BX45" s="400">
        <f ca="1">IF(MAX(IF($E$6="No",ROUNDUP($E$3/$I45,0),ROUNDUP(($E$3+$I45)/$I45,0)),IF($E$6="No",ROUNDUP($E$4/$G45,0),ROUNDUP(($E$4+$G45)/$G45,0)),ROUNDUP('BVMS checklist'!$H$217/$J45,0))&gt;1,'BVMS checklist'!$N$224,'BVMS checklist'!$N$217)</f>
        <v>0</v>
      </c>
      <c r="BY45" s="398">
        <f t="shared" ca="1" si="61"/>
        <v>2</v>
      </c>
      <c r="BZ45" s="400">
        <f t="shared" ca="1" si="317"/>
        <v>2</v>
      </c>
      <c r="CA45" s="400">
        <f t="shared" ca="1" si="241"/>
        <v>1100</v>
      </c>
      <c r="CB45" s="400">
        <f t="shared" ca="1" si="318"/>
        <v>0</v>
      </c>
      <c r="CC45" s="398">
        <f t="shared" ca="1" si="242"/>
        <v>502740</v>
      </c>
      <c r="CD45" s="401" t="str">
        <f t="shared" ca="1" si="65"/>
        <v/>
      </c>
      <c r="CE45" s="398">
        <f t="shared" ca="1" si="244"/>
        <v>512</v>
      </c>
      <c r="CF45" s="400">
        <f ca="1">IF(MAX(IF($E$6="No",ROUNDUP($E$3/$I45,0),ROUNDUP(($E$3+$I45)/$I45,0)),IF($E$6="No",ROUNDUP($E$4/$G45,0),ROUNDUP(($E$4+$G45)/$G45,0)),ROUNDUP('BVMS checklist'!$H$217/$J45,0))&gt;1,'BVMS checklist'!$N$224,'BVMS checklist'!$N$217)+MAX(IF($E$6="No",ROUNDUP($E$3/$I45,0),ROUNDUP(($E$3+$I45)/$I45,0)),IF($E$6="No",ROUNDUP($E$4/$G45,0),ROUNDUP(($E$4+$G45)/$G45,0)))+$E$5</f>
        <v>1</v>
      </c>
      <c r="CG45" s="400" t="b">
        <f t="shared" ca="1" si="17"/>
        <v>1</v>
      </c>
      <c r="CH45" s="400" t="str">
        <f t="shared" ca="1" si="319"/>
        <v>Accepted</v>
      </c>
      <c r="CI45" s="398" t="str">
        <f t="shared" ca="1" si="246"/>
        <v>No</v>
      </c>
      <c r="CJ45" s="398" t="str">
        <f t="shared" ca="1" si="69"/>
        <v/>
      </c>
      <c r="CK45" s="398" t="str">
        <f t="shared" ca="1" si="70"/>
        <v/>
      </c>
      <c r="CL45" s="398">
        <f t="shared" ca="1" si="71"/>
        <v>6</v>
      </c>
      <c r="CM45" s="398">
        <f t="shared" ca="1" si="320"/>
        <v>2</v>
      </c>
      <c r="CN45" s="398">
        <f t="shared" ca="1" si="248"/>
        <v>576</v>
      </c>
      <c r="CO45" s="398">
        <f t="shared" ca="1" si="321"/>
        <v>502740</v>
      </c>
      <c r="CP45" s="399">
        <f t="shared" si="322"/>
        <v>450</v>
      </c>
      <c r="CQ45" s="399">
        <f t="shared" si="322"/>
        <v>16</v>
      </c>
      <c r="CR45" s="483" t="str">
        <f t="shared" ca="1" si="75"/>
        <v/>
      </c>
      <c r="CS45"/>
    </row>
    <row r="46" spans="1:97">
      <c r="A46" s="398" t="s">
        <v>2042</v>
      </c>
      <c r="B46" s="398" t="s">
        <v>988</v>
      </c>
      <c r="C46" s="440" t="s">
        <v>891</v>
      </c>
      <c r="D46" s="398">
        <v>1</v>
      </c>
      <c r="E46" s="398"/>
      <c r="F46" s="440">
        <v>0</v>
      </c>
      <c r="G46" s="398">
        <f>IF(C46="RAID5",(7-F46)*3723,(6-F46)*3723)</f>
        <v>26061</v>
      </c>
      <c r="H46" s="399">
        <v>32</v>
      </c>
      <c r="I46" s="399">
        <v>550</v>
      </c>
      <c r="J46" s="399">
        <v>256</v>
      </c>
      <c r="K46" s="399">
        <v>311</v>
      </c>
      <c r="L46" s="399">
        <v>16</v>
      </c>
      <c r="M46" s="400">
        <f ca="1">IF(MAX(IF($B$6="No",ROUNDUP($B$3/$I46,0),ROUNDUP(($B$3+$I46)/$I46,0)),IF($B$6="No",ROUNDUP($B$4/$G46,0),ROUNDUP(($B$4+$G46)/$G46,0)),ROUNDUP('BVMS checklist'!$H$217/$J46,0))&gt;1,'BVMS checklist'!$H$224,'BVMS checklist'!$H$217)</f>
        <v>0</v>
      </c>
      <c r="N46" s="398">
        <f t="shared" ref="N46:N48" ca="1" si="390">MAX(IF($B$6="No",ROUNDUP($B$3/$I46,0),ROUNDUP(($B$3+$I46)/$I46,0)),IF($B$6="No",ROUNDUP($B$4/$G46,0),ROUNDUP($B$4/$G46,0)),IF($B$6="Yes",ROUNDUP((U46+J46)/J46,0),ROUNDUP(U46/J46,0)))</f>
        <v>2</v>
      </c>
      <c r="O46" s="400">
        <f t="shared" ref="O46:O48" ca="1" si="391">N46</f>
        <v>2</v>
      </c>
      <c r="P46" s="400">
        <f t="shared" ref="P46:P48" ca="1" si="392">O46*$I46</f>
        <v>1100</v>
      </c>
      <c r="Q46" s="400">
        <f t="shared" ref="Q46:Q48" ca="1" si="393">IFERROR($B$3/N46,"")</f>
        <v>0</v>
      </c>
      <c r="R46" s="398">
        <f t="shared" ref="R46:R48" ca="1" si="394">$G46*N46</f>
        <v>52122</v>
      </c>
      <c r="S46" s="401" t="e">
        <f t="shared" ref="S46:S48" ca="1" si="395">IF(X46="yes",(R46)/$B$4,"")</f>
        <v>#DIV/0!</v>
      </c>
      <c r="T46" s="398">
        <f t="shared" ref="T46:T48" ca="1" si="396">N46*J46</f>
        <v>512</v>
      </c>
      <c r="U46" s="400">
        <f ca="1">IF(MAX(IF($B$6="No",ROUNDUP($B$3/$I46,0),ROUNDUP(($B$3+$I46)/$I46,0)),IF($B$6="No",ROUNDUP($B$4/$G46,0),ROUNDUP(($B$4+$G46)/$G46,0)),ROUNDUP('BVMS checklist'!$H$217/$J46,0))&gt;1,'BVMS checklist'!$H$224,'BVMS checklist'!$H$217)+MAX(IF($B$6="No",ROUNDUP($B$3/$I46,0),ROUNDUP(($B$3+$I46)/$I46,0)),IF($B$6="No",ROUNDUP($B$4/$G46,0),ROUNDUP(($B$4+$G46)/$G46,0)))+$B$5</f>
        <v>1</v>
      </c>
      <c r="V46" s="400" t="b">
        <f t="shared" ref="V46:V48" ca="1" si="397">IF(AND((T46/$D46)-U46&gt;=0,OR(N46&gt;=2,$D46&gt;=2),P46-I46&gt;=$B$3),TRUE,FALSE)</f>
        <v>1</v>
      </c>
      <c r="W46" s="400" t="str">
        <f t="shared" ref="W46:W48" ca="1" si="398">IF(OR(AND($B$6="Yes",V46=TRUE),$B$6="No"),"Accepted","Not accepted")</f>
        <v>Accepted</v>
      </c>
      <c r="X46" s="398" t="str">
        <f t="shared" ref="X46:X48" ca="1" si="399">IF(AND(U46&lt;T46,Q46&lt;I46,B46="Active",W46="Accepted"),"Yes","No")</f>
        <v>Yes</v>
      </c>
      <c r="Y46" s="398">
        <f t="shared" ref="Y46:Y48" ca="1" si="400">IF(AA45=AA46,"",AA46)</f>
        <v>7</v>
      </c>
      <c r="Z46" s="398" t="str">
        <f t="shared" ref="Z46:Z48" ca="1" si="401">IF(X46="Yes",$A46&amp;" "&amp;$C46,"")</f>
        <v>DIVAR IP all-in-one 7000 Gen 4 MANAGEMENT APPLIANCE 8x4TB RAID5</v>
      </c>
      <c r="AA46" s="398">
        <f t="shared" ref="AA46:AA48" ca="1" si="402">IF(Z46&lt;&gt;"",AA45+1,AA45)</f>
        <v>7</v>
      </c>
      <c r="AB46" s="398">
        <f t="shared" ref="AB46:AB48" ca="1" si="403">N46</f>
        <v>2</v>
      </c>
      <c r="AC46" s="398">
        <f t="shared" ref="AC46:AC48" ca="1" si="404">N46*$H46</f>
        <v>64</v>
      </c>
      <c r="AD46" s="398">
        <f t="shared" ref="AD46:AD48" ca="1" si="405">R46</f>
        <v>52122</v>
      </c>
      <c r="AE46" s="399">
        <f t="shared" ref="AE46:AE48" si="406">K46</f>
        <v>311</v>
      </c>
      <c r="AF46" s="399">
        <f t="shared" ref="AF46:AF48" si="407">L46</f>
        <v>16</v>
      </c>
      <c r="AG46" s="483" t="e">
        <f t="shared" ref="AG46:AG48" ca="1" si="408">S46</f>
        <v>#DIV/0!</v>
      </c>
      <c r="AH46" s="400">
        <f ca="1">IF(MAX(IF($C$6="No",ROUNDUP($C$3/$I46,0),ROUNDUP(($C$3+$I46)/$I46,0)),IF($C$6="No",ROUNDUP($C$4/$G46,0),ROUNDUP(($C$4+$G46)/$G46,0)),ROUNDUP('BVMS checklist'!$H$217/$J46,0))&gt;1,'BVMS checklist'!$J$224,'BVMS checklist'!$J$217)</f>
        <v>0</v>
      </c>
      <c r="AI46" s="398">
        <f t="shared" ref="AI46:AI48" ca="1" si="409">MAX(IF($C$6="No",ROUNDUP($C$3/$I46,0),ROUNDUP(($C$3+$I46)/$I46,0)),IF($C$6="No",ROUNDUP($C$4/$G46,0),ROUNDUP(($C$4+$G46)/$G46,0)),IF($C$6="Yes",ROUNDUP(AP46/J46,0)+1,ROUNDUP(AP46/J46,0)))</f>
        <v>2</v>
      </c>
      <c r="AJ46" s="400">
        <f t="shared" ref="AJ46:AJ48" ca="1" si="410">AI46</f>
        <v>2</v>
      </c>
      <c r="AK46" s="400">
        <f t="shared" ref="AK46:AK48" ca="1" si="411">AJ46*$I46</f>
        <v>1100</v>
      </c>
      <c r="AL46" s="400">
        <f t="shared" ref="AL46:AL48" ca="1" si="412">IFERROR($C$3/AI46,"")</f>
        <v>0</v>
      </c>
      <c r="AM46" s="398">
        <f t="shared" ref="AM46:AM48" ca="1" si="413">$G46*AI46</f>
        <v>52122</v>
      </c>
      <c r="AN46" s="401" t="e">
        <f t="shared" ref="AN46:AN48" ca="1" si="414">IF(AS46="yes",(AM46)/$C$4,"")</f>
        <v>#DIV/0!</v>
      </c>
      <c r="AO46" s="398">
        <f t="shared" ref="AO46:AO48" ca="1" si="415">AI46*$J46</f>
        <v>512</v>
      </c>
      <c r="AP46" s="400">
        <f ca="1">IF(MAX(IF($C$6="No",ROUNDUP($C$3/$I46,0),ROUNDUP(($C$3+$I46)/$I46,0)),IF($C$6="No",ROUNDUP($C$4/$G46,0),ROUNDUP(($C$4+$G46)/$G46,0)),ROUNDUP('BVMS checklist'!$H$217/$J46,0))&gt;1,'BVMS checklist'!$J$224,'BVMS checklist'!$J$217)+MAX(IF($C$6="No",ROUNDUP($C$3/$I46,0),ROUNDUP(($C$3+$I46)/$I46,0)),IF($C$6="No",ROUNDUP($C$4/$G46,0),ROUNDUP(($C$4+$G46)/$G46,0)))+$C$5</f>
        <v>1</v>
      </c>
      <c r="AQ46" s="400" t="b">
        <f t="shared" ref="AQ46:AQ48" ca="1" si="416">IF(AND((AO46/$D46)-AP46&gt;=0,OR(AI46&gt;=2,$D46&gt;=2),AK46-I46&gt;=$C$3),TRUE,FALSE)</f>
        <v>1</v>
      </c>
      <c r="AR46" s="400" t="str">
        <f t="shared" ref="AR46:AR48" ca="1" si="417">IF(OR(AND($C$6="Yes",AQ46=TRUE),$C$6="No"),"Accepted","Not accepted")</f>
        <v>Accepted</v>
      </c>
      <c r="AS46" s="398" t="str">
        <f t="shared" ref="AS46:AS48" ca="1" si="418">IF(AND(AP46&lt;AO46,AL46&lt;$I46,$B46="Active",AR46="Accepted"),"Yes","No")</f>
        <v>Yes</v>
      </c>
      <c r="AT46" s="398">
        <f t="shared" ref="AT46:AT48" ca="1" si="419">IF(AV45=AV46,"",AV46)</f>
        <v>7</v>
      </c>
      <c r="AU46" s="398" t="str">
        <f t="shared" ref="AU46:AU48" ca="1" si="420">IF(AS46="Yes",$A46&amp;" "&amp;$C46,"")</f>
        <v>DIVAR IP all-in-one 7000 Gen 4 MANAGEMENT APPLIANCE 8x4TB RAID5</v>
      </c>
      <c r="AV46" s="398">
        <f t="shared" ref="AV46:AV48" ca="1" si="421">IF(AU46&lt;&gt;"",AV45+1,AV45)</f>
        <v>7</v>
      </c>
      <c r="AW46" s="398">
        <f t="shared" ref="AW46:AW48" ca="1" si="422">AI46</f>
        <v>2</v>
      </c>
      <c r="AX46" s="398">
        <f t="shared" ref="AX46:AX48" ca="1" si="423">AI46*$H46</f>
        <v>64</v>
      </c>
      <c r="AY46" s="398">
        <f t="shared" ref="AY46:AY48" ca="1" si="424">AM46</f>
        <v>52122</v>
      </c>
      <c r="AZ46" s="399">
        <f t="shared" ref="AZ46:AZ48" si="425">K46</f>
        <v>311</v>
      </c>
      <c r="BA46" s="399">
        <f t="shared" ref="BA46:BA48" si="426">L46</f>
        <v>16</v>
      </c>
      <c r="BB46" s="483" t="e">
        <f t="shared" ref="BB46:BB48" ca="1" si="427">AN46</f>
        <v>#DIV/0!</v>
      </c>
      <c r="BC46" s="400">
        <f ca="1">IF(MAX(IF($D$6="No",ROUNDUP($D$3/$I46,0),ROUNDUP(($D$3+$I46)/$I46,0)),IF($D$6="No",ROUNDUP($D$4/$G46,0),ROUNDUP(($D$4+$G46)/$G46,0)),ROUNDUP('BVMS checklist'!$H$217/$J46,0))&gt;1,'BVMS checklist'!$L$224,'BVMS checklist'!$L$217)</f>
        <v>0</v>
      </c>
      <c r="BD46" s="398">
        <f t="shared" ref="BD46:BD48" ca="1" si="428">MAX(IF($D$6="No",ROUNDUP($D$3/$I46,0),ROUNDUP(($D$3+$I46)/$I46,0)),IF($D$6="No",ROUNDUP($D$4/$G46,0),ROUNDUP(($D$4+$G46)/$G46,0)),IF($D$6="Yes",ROUNDUP(BK46/J46,0)+1,ROUNDUP(BK46/J46,0)))</f>
        <v>2</v>
      </c>
      <c r="BE46" s="400">
        <f t="shared" si="48"/>
        <v>1</v>
      </c>
      <c r="BF46" s="400">
        <f t="shared" ref="BF46:BF48" si="429">BE46*$I46</f>
        <v>550</v>
      </c>
      <c r="BG46" s="400">
        <f t="shared" ref="BG46:BG48" ca="1" si="430">IFERROR($D$3/BD46,"")</f>
        <v>0</v>
      </c>
      <c r="BH46" s="398">
        <f t="shared" ref="BH46:BH48" ca="1" si="431">$G46*BD46</f>
        <v>52122</v>
      </c>
      <c r="BI46" s="401" t="e">
        <f t="shared" ref="BI46:BI48" ca="1" si="432">IF(BN46="yes",(BH46)/$D$4,"")</f>
        <v>#DIV/0!</v>
      </c>
      <c r="BJ46" s="398">
        <f t="shared" ref="BJ46:BJ48" ca="1" si="433">BD46*$J46</f>
        <v>512</v>
      </c>
      <c r="BK46" s="400">
        <f ca="1">IF(MAX(IF($D$6="No",ROUNDUP($D$3/$I46,0),ROUNDUP(($D$3+$I46)/$I46,0)),IF($D$6="No",ROUNDUP($D$4/$G46,0),ROUNDUP(($D$4+$G46)/$G46,0)),ROUNDUP('BVMS checklist'!$H$217/$J46,0))&gt;1,'BVMS checklist'!$L$224,'BVMS checklist'!$L$217)+MAX(IF($D$6="No",ROUNDUP($D$3/$I46,0),ROUNDUP(($D$3+$I46)/$I46,0)),IF($D$6="No",ROUNDUP($D$4/$G46,0),ROUNDUP(($D$4+$G46)/$G46,0)))+$D$5</f>
        <v>1</v>
      </c>
      <c r="BL46" s="400" t="b">
        <f t="shared" ref="BL46:BL48" ca="1" si="434">IF(AND((BJ46/$D46)-BK46&gt;=0,OR(BD46&gt;=2,$D46&gt;=2),BF46-I46&gt;=$D$3),TRUE,FALSE)</f>
        <v>1</v>
      </c>
      <c r="BM46" s="400" t="str">
        <f t="shared" ref="BM46:BM48" ca="1" si="435">IF(OR(AND($D$6="Yes",BL46=TRUE),$D$6="No"),"Accepted","Not accepted")</f>
        <v>Accepted</v>
      </c>
      <c r="BN46" s="398" t="str">
        <f t="shared" ref="BN46:BN48" ca="1" si="436">IF(AND(BK46&lt;BJ46,BG46&lt;$I46,$B46="Active",BM46="Accepted"),"Yes","No")</f>
        <v>Yes</v>
      </c>
      <c r="BO46" s="398">
        <f t="shared" ref="BO46:BO48" ca="1" si="437">IF(BQ45=BQ46,"",BQ46)</f>
        <v>7</v>
      </c>
      <c r="BP46" s="398" t="str">
        <f t="shared" ref="BP46:BP48" ca="1" si="438">IF(BN46="Yes",$A46&amp;" "&amp;$C46,"")</f>
        <v>DIVAR IP all-in-one 7000 Gen 4 MANAGEMENT APPLIANCE 8x4TB RAID5</v>
      </c>
      <c r="BQ46" s="398">
        <f t="shared" ref="BQ46:BQ48" ca="1" si="439">IF(BP46&lt;&gt;"",BQ45+1,BQ45)</f>
        <v>7</v>
      </c>
      <c r="BR46" s="398">
        <f t="shared" ref="BR46:BR48" ca="1" si="440">BD46</f>
        <v>2</v>
      </c>
      <c r="BS46" s="398">
        <f t="shared" ref="BS46:BS48" ca="1" si="441">BD46*$H46</f>
        <v>64</v>
      </c>
      <c r="BT46" s="398">
        <f t="shared" ref="BT46:BT48" ca="1" si="442">BH46</f>
        <v>52122</v>
      </c>
      <c r="BU46" s="399">
        <f t="shared" ref="BU46:BU48" si="443">K46</f>
        <v>311</v>
      </c>
      <c r="BV46" s="399">
        <f t="shared" ref="BV46:BV48" si="444">L46</f>
        <v>16</v>
      </c>
      <c r="BW46" s="483" t="e">
        <f t="shared" ref="BW46:BW48" ca="1" si="445">BI46</f>
        <v>#DIV/0!</v>
      </c>
      <c r="BX46" s="400">
        <f ca="1">IF(MAX(IF($E$6="No",ROUNDUP($E$3/$I46,0),ROUNDUP(($E$3+$I46)/$I46,0)),IF($E$6="No",ROUNDUP($E$4/$G46,0),ROUNDUP(($E$4+$G46)/$G46,0)),ROUNDUP('BVMS checklist'!$H$217/$J46,0))&gt;1,'BVMS checklist'!$N$224,'BVMS checklist'!$N$217)</f>
        <v>0</v>
      </c>
      <c r="BY46" s="398">
        <f t="shared" ref="BY46:BY48" ca="1" si="446">MAX(IF($E$6="No",ROUNDUP($E$3/$I46,0),ROUNDUP(($E$3+$I46)/$I46,0)),IF($E$6="No",ROUNDUP($E$4/$G46,0),ROUNDUP(($E$4+$G46)/$G46,0)),IF($E$6="Yes",ROUNDUP(CF46/J46,0)+1,ROUNDUP(CF46/J46,0)))</f>
        <v>2</v>
      </c>
      <c r="BZ46" s="400">
        <f t="shared" ref="BZ46:BZ48" ca="1" si="447">BY46</f>
        <v>2</v>
      </c>
      <c r="CA46" s="400">
        <f t="shared" ref="CA46:CA48" ca="1" si="448">BZ46*$I46</f>
        <v>1100</v>
      </c>
      <c r="CB46" s="400">
        <f t="shared" ref="CB46:CB48" ca="1" si="449">IFERROR($E$3/BY46,"")</f>
        <v>0</v>
      </c>
      <c r="CC46" s="398">
        <f t="shared" ref="CC46:CC48" ca="1" si="450">$G46*BY46</f>
        <v>52122</v>
      </c>
      <c r="CD46" s="401" t="e">
        <f t="shared" ref="CD46:CD48" ca="1" si="451">IF(CI46="yes",(CC46)/$E$4,"")</f>
        <v>#DIV/0!</v>
      </c>
      <c r="CE46" s="398">
        <f t="shared" ref="CE46:CE48" ca="1" si="452">BY46*$J46</f>
        <v>512</v>
      </c>
      <c r="CF46" s="400">
        <f ca="1">IF(MAX(IF($E$6="No",ROUNDUP($E$3/$I46,0),ROUNDUP(($E$3+$I46)/$I46,0)),IF($E$6="No",ROUNDUP($E$4/$G46,0),ROUNDUP(($E$4+$G46)/$G46,0)),ROUNDUP('BVMS checklist'!$H$217/$J46,0))&gt;1,'BVMS checklist'!$N$224,'BVMS checklist'!$N$217)+MAX(IF($E$6="No",ROUNDUP($E$3/$I46,0),ROUNDUP(($E$3+$I46)/$I46,0)),IF($E$6="No",ROUNDUP($E$4/$G46,0),ROUNDUP(($E$4+$G46)/$G46,0)))+$E$5</f>
        <v>1</v>
      </c>
      <c r="CG46" s="400" t="b">
        <f t="shared" ref="CG46:CG48" ca="1" si="453">IF(AND((CE46/$D46)-CF46&gt;=0,OR(BY46&gt;=2,$D46&gt;=2),CA46-I46&gt;=$E$3),TRUE,FALSE)</f>
        <v>1</v>
      </c>
      <c r="CH46" s="400" t="str">
        <f t="shared" ref="CH46:CH48" ca="1" si="454">IF(OR(AND($E$6="Yes",CG46=TRUE),$E$6="No"),"Accepted","Not accepted")</f>
        <v>Accepted</v>
      </c>
      <c r="CI46" s="398" t="str">
        <f t="shared" ref="CI46:CI48" ca="1" si="455">IF(AND(CF46&lt;CE46,CB46&lt;$I46,$B46="Active",CH46="Accepted"),"Yes","No")</f>
        <v>Yes</v>
      </c>
      <c r="CJ46" s="398">
        <f t="shared" ref="CJ46:CJ48" ca="1" si="456">IF(CL45=CL46,"",CL46)</f>
        <v>7</v>
      </c>
      <c r="CK46" s="398" t="str">
        <f t="shared" ref="CK46:CK48" ca="1" si="457">IF(CI46="Yes",$A46&amp;" "&amp;$C46,"")</f>
        <v>DIVAR IP all-in-one 7000 Gen 4 MANAGEMENT APPLIANCE 8x4TB RAID5</v>
      </c>
      <c r="CL46" s="398">
        <f t="shared" ref="CL46:CL48" ca="1" si="458">IF(CK46&lt;&gt;"",CL45+1,CL45)</f>
        <v>7</v>
      </c>
      <c r="CM46" s="398">
        <f t="shared" ref="CM46:CM48" ca="1" si="459">BY46</f>
        <v>2</v>
      </c>
      <c r="CN46" s="398">
        <f t="shared" ref="CN46:CN48" ca="1" si="460">BY46*$H46</f>
        <v>64</v>
      </c>
      <c r="CO46" s="398">
        <f t="shared" ref="CO46:CO48" ca="1" si="461">CC46</f>
        <v>52122</v>
      </c>
      <c r="CP46" s="399">
        <f t="shared" ref="CP46:CP48" si="462">K46</f>
        <v>311</v>
      </c>
      <c r="CQ46" s="399">
        <f t="shared" ref="CQ46:CQ48" si="463">L46</f>
        <v>16</v>
      </c>
      <c r="CR46" s="483" t="e">
        <f t="shared" ref="CR46:CR48" ca="1" si="464">CD46</f>
        <v>#DIV/0!</v>
      </c>
      <c r="CS46"/>
    </row>
    <row r="47" spans="1:97">
      <c r="A47" s="398" t="s">
        <v>2043</v>
      </c>
      <c r="B47" s="398" t="s">
        <v>988</v>
      </c>
      <c r="C47" s="440" t="s">
        <v>891</v>
      </c>
      <c r="D47" s="398">
        <v>1</v>
      </c>
      <c r="E47" s="398"/>
      <c r="F47" s="440">
        <v>0</v>
      </c>
      <c r="G47" s="398">
        <f>IF(C47="RAID5",(7-F47)*7448,(6-F47)*7448)</f>
        <v>52136</v>
      </c>
      <c r="H47" s="399">
        <v>64</v>
      </c>
      <c r="I47" s="399">
        <v>550</v>
      </c>
      <c r="J47" s="399">
        <v>256</v>
      </c>
      <c r="K47" s="399">
        <v>311</v>
      </c>
      <c r="L47" s="399">
        <v>16</v>
      </c>
      <c r="M47" s="400">
        <f ca="1">IF(MAX(IF($B$6="No",ROUNDUP($B$3/$I47,0),ROUNDUP(($B$3+$I47)/$I47,0)),IF($B$6="No",ROUNDUP($B$4/$G47,0),ROUNDUP(($B$4+$G47)/$G47,0)),ROUNDUP('BVMS checklist'!$H$217/$J47,0))&gt;1,'BVMS checklist'!$H$224,'BVMS checklist'!$H$217)</f>
        <v>0</v>
      </c>
      <c r="N47" s="398">
        <f t="shared" ca="1" si="390"/>
        <v>2</v>
      </c>
      <c r="O47" s="400">
        <f t="shared" ca="1" si="391"/>
        <v>2</v>
      </c>
      <c r="P47" s="400">
        <f t="shared" ca="1" si="392"/>
        <v>1100</v>
      </c>
      <c r="Q47" s="400">
        <f t="shared" ca="1" si="393"/>
        <v>0</v>
      </c>
      <c r="R47" s="398">
        <f t="shared" ca="1" si="394"/>
        <v>104272</v>
      </c>
      <c r="S47" s="401" t="e">
        <f t="shared" ca="1" si="395"/>
        <v>#DIV/0!</v>
      </c>
      <c r="T47" s="398">
        <f t="shared" ca="1" si="396"/>
        <v>512</v>
      </c>
      <c r="U47" s="400">
        <f ca="1">IF(MAX(IF($B$6="No",ROUNDUP($B$3/$I47,0),ROUNDUP(($B$3+$I47)/$I47,0)),IF($B$6="No",ROUNDUP($B$4/$G47,0),ROUNDUP(($B$4+$G47)/$G47,0)),ROUNDUP('BVMS checklist'!$H$217/$J47,0))&gt;1,'BVMS checklist'!$H$224,'BVMS checklist'!$H$217)+MAX(IF($B$6="No",ROUNDUP($B$3/$I47,0),ROUNDUP(($B$3+$I47)/$I47,0)),IF($B$6="No",ROUNDUP($B$4/$G47,0),ROUNDUP(($B$4+$G47)/$G47,0)))+$B$5</f>
        <v>1</v>
      </c>
      <c r="V47" s="400" t="b">
        <f t="shared" ca="1" si="397"/>
        <v>1</v>
      </c>
      <c r="W47" s="400" t="str">
        <f t="shared" ca="1" si="398"/>
        <v>Accepted</v>
      </c>
      <c r="X47" s="398" t="str">
        <f t="shared" ca="1" si="399"/>
        <v>Yes</v>
      </c>
      <c r="Y47" s="398">
        <f t="shared" ca="1" si="400"/>
        <v>8</v>
      </c>
      <c r="Z47" s="398" t="str">
        <f t="shared" ca="1" si="401"/>
        <v>DIVAR IP all-in-one 7000 Gen 4 MANAGEMENT APPLIANCE 8x8TB RAID5</v>
      </c>
      <c r="AA47" s="398">
        <f t="shared" ca="1" si="402"/>
        <v>8</v>
      </c>
      <c r="AB47" s="398">
        <f t="shared" ca="1" si="403"/>
        <v>2</v>
      </c>
      <c r="AC47" s="398">
        <f t="shared" ca="1" si="404"/>
        <v>128</v>
      </c>
      <c r="AD47" s="398">
        <f t="shared" ca="1" si="405"/>
        <v>104272</v>
      </c>
      <c r="AE47" s="399">
        <f t="shared" si="406"/>
        <v>311</v>
      </c>
      <c r="AF47" s="399">
        <f t="shared" si="407"/>
        <v>16</v>
      </c>
      <c r="AG47" s="483" t="e">
        <f t="shared" ca="1" si="408"/>
        <v>#DIV/0!</v>
      </c>
      <c r="AH47" s="400">
        <f ca="1">IF(MAX(IF($C$6="No",ROUNDUP($C$3/$I47,0),ROUNDUP(($C$3+$I47)/$I47,0)),IF($C$6="No",ROUNDUP($C$4/$G47,0),ROUNDUP(($C$4+$G47)/$G47,0)),ROUNDUP('BVMS checklist'!$H$217/$J47,0))&gt;1,'BVMS checklist'!$J$224,'BVMS checklist'!$J$217)</f>
        <v>0</v>
      </c>
      <c r="AI47" s="398">
        <f t="shared" ca="1" si="409"/>
        <v>2</v>
      </c>
      <c r="AJ47" s="400">
        <f t="shared" ca="1" si="410"/>
        <v>2</v>
      </c>
      <c r="AK47" s="400">
        <f t="shared" ca="1" si="411"/>
        <v>1100</v>
      </c>
      <c r="AL47" s="400">
        <f t="shared" ca="1" si="412"/>
        <v>0</v>
      </c>
      <c r="AM47" s="398">
        <f t="shared" ca="1" si="413"/>
        <v>104272</v>
      </c>
      <c r="AN47" s="401" t="e">
        <f t="shared" ca="1" si="414"/>
        <v>#DIV/0!</v>
      </c>
      <c r="AO47" s="398">
        <f t="shared" ca="1" si="415"/>
        <v>512</v>
      </c>
      <c r="AP47" s="400">
        <f ca="1">IF(MAX(IF($C$6="No",ROUNDUP($C$3/$I47,0),ROUNDUP(($C$3+$I47)/$I47,0)),IF($C$6="No",ROUNDUP($C$4/$G47,0),ROUNDUP(($C$4+$G47)/$G47,0)),ROUNDUP('BVMS checklist'!$H$217/$J47,0))&gt;1,'BVMS checklist'!$J$224,'BVMS checklist'!$J$217)+MAX(IF($C$6="No",ROUNDUP($C$3/$I47,0),ROUNDUP(($C$3+$I47)/$I47,0)),IF($C$6="No",ROUNDUP($C$4/$G47,0),ROUNDUP(($C$4+$G47)/$G47,0)))+$C$5</f>
        <v>1</v>
      </c>
      <c r="AQ47" s="400" t="b">
        <f t="shared" ca="1" si="416"/>
        <v>1</v>
      </c>
      <c r="AR47" s="400" t="str">
        <f t="shared" ca="1" si="417"/>
        <v>Accepted</v>
      </c>
      <c r="AS47" s="398" t="str">
        <f t="shared" ca="1" si="418"/>
        <v>Yes</v>
      </c>
      <c r="AT47" s="398">
        <f t="shared" ca="1" si="419"/>
        <v>8</v>
      </c>
      <c r="AU47" s="398" t="str">
        <f t="shared" ca="1" si="420"/>
        <v>DIVAR IP all-in-one 7000 Gen 4 MANAGEMENT APPLIANCE 8x8TB RAID5</v>
      </c>
      <c r="AV47" s="398">
        <f t="shared" ca="1" si="421"/>
        <v>8</v>
      </c>
      <c r="AW47" s="398">
        <f t="shared" ca="1" si="422"/>
        <v>2</v>
      </c>
      <c r="AX47" s="398">
        <f t="shared" ca="1" si="423"/>
        <v>128</v>
      </c>
      <c r="AY47" s="398">
        <f t="shared" ca="1" si="424"/>
        <v>104272</v>
      </c>
      <c r="AZ47" s="399">
        <f t="shared" si="425"/>
        <v>311</v>
      </c>
      <c r="BA47" s="399">
        <f t="shared" si="426"/>
        <v>16</v>
      </c>
      <c r="BB47" s="483" t="e">
        <f t="shared" ca="1" si="427"/>
        <v>#DIV/0!</v>
      </c>
      <c r="BC47" s="400">
        <f ca="1">IF(MAX(IF($D$6="No",ROUNDUP($D$3/$I47,0),ROUNDUP(($D$3+$I47)/$I47,0)),IF($D$6="No",ROUNDUP($D$4/$G47,0),ROUNDUP(($D$4+$G47)/$G47,0)),ROUNDUP('BVMS checklist'!$H$217/$J47,0))&gt;1,'BVMS checklist'!$L$224,'BVMS checklist'!$L$217)</f>
        <v>0</v>
      </c>
      <c r="BD47" s="398">
        <f t="shared" ca="1" si="428"/>
        <v>2</v>
      </c>
      <c r="BE47" s="400">
        <f t="shared" si="48"/>
        <v>1</v>
      </c>
      <c r="BF47" s="400">
        <f t="shared" si="429"/>
        <v>550</v>
      </c>
      <c r="BG47" s="400">
        <f t="shared" ca="1" si="430"/>
        <v>0</v>
      </c>
      <c r="BH47" s="398">
        <f t="shared" ca="1" si="431"/>
        <v>104272</v>
      </c>
      <c r="BI47" s="401" t="e">
        <f t="shared" ca="1" si="432"/>
        <v>#DIV/0!</v>
      </c>
      <c r="BJ47" s="398">
        <f t="shared" ca="1" si="433"/>
        <v>512</v>
      </c>
      <c r="BK47" s="400">
        <f ca="1">IF(MAX(IF($D$6="No",ROUNDUP($D$3/$I47,0),ROUNDUP(($D$3+$I47)/$I47,0)),IF($D$6="No",ROUNDUP($D$4/$G47,0),ROUNDUP(($D$4+$G47)/$G47,0)),ROUNDUP('BVMS checklist'!$H$217/$J47,0))&gt;1,'BVMS checklist'!$L$224,'BVMS checklist'!$L$217)+MAX(IF($D$6="No",ROUNDUP($D$3/$I47,0),ROUNDUP(($D$3+$I47)/$I47,0)),IF($D$6="No",ROUNDUP($D$4/$G47,0),ROUNDUP(($D$4+$G47)/$G47,0)))+$D$5</f>
        <v>1</v>
      </c>
      <c r="BL47" s="400" t="b">
        <f t="shared" ca="1" si="434"/>
        <v>1</v>
      </c>
      <c r="BM47" s="400" t="str">
        <f t="shared" ca="1" si="435"/>
        <v>Accepted</v>
      </c>
      <c r="BN47" s="398" t="str">
        <f t="shared" ca="1" si="436"/>
        <v>Yes</v>
      </c>
      <c r="BO47" s="398">
        <f t="shared" ca="1" si="437"/>
        <v>8</v>
      </c>
      <c r="BP47" s="398" t="str">
        <f t="shared" ca="1" si="438"/>
        <v>DIVAR IP all-in-one 7000 Gen 4 MANAGEMENT APPLIANCE 8x8TB RAID5</v>
      </c>
      <c r="BQ47" s="398">
        <f t="shared" ca="1" si="439"/>
        <v>8</v>
      </c>
      <c r="BR47" s="398">
        <f t="shared" ca="1" si="440"/>
        <v>2</v>
      </c>
      <c r="BS47" s="398">
        <f t="shared" ca="1" si="441"/>
        <v>128</v>
      </c>
      <c r="BT47" s="398">
        <f t="shared" ca="1" si="442"/>
        <v>104272</v>
      </c>
      <c r="BU47" s="399">
        <f t="shared" si="443"/>
        <v>311</v>
      </c>
      <c r="BV47" s="399">
        <f t="shared" si="444"/>
        <v>16</v>
      </c>
      <c r="BW47" s="483" t="e">
        <f t="shared" ca="1" si="445"/>
        <v>#DIV/0!</v>
      </c>
      <c r="BX47" s="400">
        <f ca="1">IF(MAX(IF($E$6="No",ROUNDUP($E$3/$I47,0),ROUNDUP(($E$3+$I47)/$I47,0)),IF($E$6="No",ROUNDUP($E$4/$G47,0),ROUNDUP(($E$4+$G47)/$G47,0)),ROUNDUP('BVMS checklist'!$H$217/$J47,0))&gt;1,'BVMS checklist'!$N$224,'BVMS checklist'!$N$217)</f>
        <v>0</v>
      </c>
      <c r="BY47" s="398">
        <f t="shared" ca="1" si="446"/>
        <v>2</v>
      </c>
      <c r="BZ47" s="400">
        <f t="shared" ca="1" si="447"/>
        <v>2</v>
      </c>
      <c r="CA47" s="400">
        <f t="shared" ca="1" si="448"/>
        <v>1100</v>
      </c>
      <c r="CB47" s="400">
        <f t="shared" ca="1" si="449"/>
        <v>0</v>
      </c>
      <c r="CC47" s="398">
        <f t="shared" ca="1" si="450"/>
        <v>104272</v>
      </c>
      <c r="CD47" s="401" t="e">
        <f t="shared" ca="1" si="451"/>
        <v>#DIV/0!</v>
      </c>
      <c r="CE47" s="398">
        <f t="shared" ca="1" si="452"/>
        <v>512</v>
      </c>
      <c r="CF47" s="400">
        <f ca="1">IF(MAX(IF($E$6="No",ROUNDUP($E$3/$I47,0),ROUNDUP(($E$3+$I47)/$I47,0)),IF($E$6="No",ROUNDUP($E$4/$G47,0),ROUNDUP(($E$4+$G47)/$G47,0)),ROUNDUP('BVMS checklist'!$H$217/$J47,0))&gt;1,'BVMS checklist'!$N$224,'BVMS checklist'!$N$217)+MAX(IF($E$6="No",ROUNDUP($E$3/$I47,0),ROUNDUP(($E$3+$I47)/$I47,0)),IF($E$6="No",ROUNDUP($E$4/$G47,0),ROUNDUP(($E$4+$G47)/$G47,0)))+$E$5</f>
        <v>1</v>
      </c>
      <c r="CG47" s="400" t="b">
        <f t="shared" ca="1" si="453"/>
        <v>1</v>
      </c>
      <c r="CH47" s="400" t="str">
        <f t="shared" ca="1" si="454"/>
        <v>Accepted</v>
      </c>
      <c r="CI47" s="398" t="str">
        <f t="shared" ca="1" si="455"/>
        <v>Yes</v>
      </c>
      <c r="CJ47" s="398">
        <f t="shared" ca="1" si="456"/>
        <v>8</v>
      </c>
      <c r="CK47" s="398" t="str">
        <f t="shared" ca="1" si="457"/>
        <v>DIVAR IP all-in-one 7000 Gen 4 MANAGEMENT APPLIANCE 8x8TB RAID5</v>
      </c>
      <c r="CL47" s="398">
        <f t="shared" ca="1" si="458"/>
        <v>8</v>
      </c>
      <c r="CM47" s="398">
        <f t="shared" ca="1" si="459"/>
        <v>2</v>
      </c>
      <c r="CN47" s="398">
        <f t="shared" ca="1" si="460"/>
        <v>128</v>
      </c>
      <c r="CO47" s="398">
        <f t="shared" ca="1" si="461"/>
        <v>104272</v>
      </c>
      <c r="CP47" s="399">
        <f t="shared" si="462"/>
        <v>311</v>
      </c>
      <c r="CQ47" s="399">
        <f t="shared" si="463"/>
        <v>16</v>
      </c>
      <c r="CR47" s="483" t="e">
        <f t="shared" ca="1" si="464"/>
        <v>#DIV/0!</v>
      </c>
      <c r="CS47"/>
    </row>
    <row r="48" spans="1:97">
      <c r="A48" s="398" t="s">
        <v>2044</v>
      </c>
      <c r="B48" s="398" t="s">
        <v>988</v>
      </c>
      <c r="C48" s="440" t="s">
        <v>891</v>
      </c>
      <c r="D48" s="398">
        <v>1</v>
      </c>
      <c r="E48" s="398"/>
      <c r="F48" s="440">
        <v>0</v>
      </c>
      <c r="G48" s="398">
        <f>IF(C48="RAID5",(7-F48)*16758,(6-F48)*16758)</f>
        <v>117306</v>
      </c>
      <c r="H48" s="399">
        <v>144</v>
      </c>
      <c r="I48" s="399">
        <v>550</v>
      </c>
      <c r="J48" s="399">
        <v>256</v>
      </c>
      <c r="K48" s="399">
        <v>311</v>
      </c>
      <c r="L48" s="399">
        <v>16</v>
      </c>
      <c r="M48" s="400">
        <f ca="1">IF(MAX(IF($B$6="No",ROUNDUP($B$3/$I48,0),ROUNDUP(($B$3+$I48)/$I48,0)),IF($B$6="No",ROUNDUP($B$4/$G48,0),ROUNDUP(($B$4+$G48)/$G48,0)),ROUNDUP('BVMS checklist'!$H$217/$J48,0))&gt;1,'BVMS checklist'!$H$224,'BVMS checklist'!$H$217)</f>
        <v>0</v>
      </c>
      <c r="N48" s="398">
        <f t="shared" ca="1" si="390"/>
        <v>2</v>
      </c>
      <c r="O48" s="400">
        <f t="shared" ca="1" si="391"/>
        <v>2</v>
      </c>
      <c r="P48" s="400">
        <f t="shared" ca="1" si="392"/>
        <v>1100</v>
      </c>
      <c r="Q48" s="400">
        <f t="shared" ca="1" si="393"/>
        <v>0</v>
      </c>
      <c r="R48" s="398">
        <f t="shared" ca="1" si="394"/>
        <v>234612</v>
      </c>
      <c r="S48" s="401" t="e">
        <f t="shared" ca="1" si="395"/>
        <v>#DIV/0!</v>
      </c>
      <c r="T48" s="398">
        <f t="shared" ca="1" si="396"/>
        <v>512</v>
      </c>
      <c r="U48" s="400">
        <f ca="1">IF(MAX(IF($B$6="No",ROUNDUP($B$3/$I48,0),ROUNDUP(($B$3+$I48)/$I48,0)),IF($B$6="No",ROUNDUP($B$4/$G48,0),ROUNDUP(($B$4+$G48)/$G48,0)),ROUNDUP('BVMS checklist'!$H$217/$J48,0))&gt;1,'BVMS checklist'!$H$224,'BVMS checklist'!$H$217)+MAX(IF($B$6="No",ROUNDUP($B$3/$I48,0),ROUNDUP(($B$3+$I48)/$I48,0)),IF($B$6="No",ROUNDUP($B$4/$G48,0),ROUNDUP(($B$4+$G48)/$G48,0)))+$B$5</f>
        <v>1</v>
      </c>
      <c r="V48" s="400" t="b">
        <f t="shared" ca="1" si="397"/>
        <v>1</v>
      </c>
      <c r="W48" s="400" t="str">
        <f t="shared" ca="1" si="398"/>
        <v>Accepted</v>
      </c>
      <c r="X48" s="398" t="str">
        <f t="shared" ca="1" si="399"/>
        <v>Yes</v>
      </c>
      <c r="Y48" s="398">
        <f t="shared" ca="1" si="400"/>
        <v>9</v>
      </c>
      <c r="Z48" s="398" t="str">
        <f t="shared" ca="1" si="401"/>
        <v>DIVAR IP all-in-one 7000 Gen 4 MANAGEMENT APPLIANCE 8x18TB RAID5</v>
      </c>
      <c r="AA48" s="398">
        <f t="shared" ca="1" si="402"/>
        <v>9</v>
      </c>
      <c r="AB48" s="398">
        <f t="shared" ca="1" si="403"/>
        <v>2</v>
      </c>
      <c r="AC48" s="398">
        <f t="shared" ca="1" si="404"/>
        <v>288</v>
      </c>
      <c r="AD48" s="398">
        <f t="shared" ca="1" si="405"/>
        <v>234612</v>
      </c>
      <c r="AE48" s="399">
        <f t="shared" si="406"/>
        <v>311</v>
      </c>
      <c r="AF48" s="399">
        <f t="shared" si="407"/>
        <v>16</v>
      </c>
      <c r="AG48" s="483" t="e">
        <f t="shared" ca="1" si="408"/>
        <v>#DIV/0!</v>
      </c>
      <c r="AH48" s="400">
        <f ca="1">IF(MAX(IF($C$6="No",ROUNDUP($C$3/$I48,0),ROUNDUP(($C$3+$I48)/$I48,0)),IF($C$6="No",ROUNDUP($C$4/$G48,0),ROUNDUP(($C$4+$G48)/$G48,0)),ROUNDUP('BVMS checklist'!$H$217/$J48,0))&gt;1,'BVMS checklist'!$J$224,'BVMS checklist'!$J$217)</f>
        <v>0</v>
      </c>
      <c r="AI48" s="398">
        <f t="shared" ca="1" si="409"/>
        <v>2</v>
      </c>
      <c r="AJ48" s="400">
        <f t="shared" ca="1" si="410"/>
        <v>2</v>
      </c>
      <c r="AK48" s="400">
        <f t="shared" ca="1" si="411"/>
        <v>1100</v>
      </c>
      <c r="AL48" s="400">
        <f t="shared" ca="1" si="412"/>
        <v>0</v>
      </c>
      <c r="AM48" s="398">
        <f t="shared" ca="1" si="413"/>
        <v>234612</v>
      </c>
      <c r="AN48" s="401" t="e">
        <f t="shared" ca="1" si="414"/>
        <v>#DIV/0!</v>
      </c>
      <c r="AO48" s="398">
        <f t="shared" ca="1" si="415"/>
        <v>512</v>
      </c>
      <c r="AP48" s="400">
        <f ca="1">IF(MAX(IF($C$6="No",ROUNDUP($C$3/$I48,0),ROUNDUP(($C$3+$I48)/$I48,0)),IF($C$6="No",ROUNDUP($C$4/$G48,0),ROUNDUP(($C$4+$G48)/$G48,0)),ROUNDUP('BVMS checklist'!$H$217/$J48,0))&gt;1,'BVMS checklist'!$J$224,'BVMS checklist'!$J$217)+MAX(IF($C$6="No",ROUNDUP($C$3/$I48,0),ROUNDUP(($C$3+$I48)/$I48,0)),IF($C$6="No",ROUNDUP($C$4/$G48,0),ROUNDUP(($C$4+$G48)/$G48,0)))+$C$5</f>
        <v>1</v>
      </c>
      <c r="AQ48" s="400" t="b">
        <f t="shared" ca="1" si="416"/>
        <v>1</v>
      </c>
      <c r="AR48" s="400" t="str">
        <f t="shared" ca="1" si="417"/>
        <v>Accepted</v>
      </c>
      <c r="AS48" s="398" t="str">
        <f t="shared" ca="1" si="418"/>
        <v>Yes</v>
      </c>
      <c r="AT48" s="398">
        <f t="shared" ca="1" si="419"/>
        <v>9</v>
      </c>
      <c r="AU48" s="398" t="str">
        <f t="shared" ca="1" si="420"/>
        <v>DIVAR IP all-in-one 7000 Gen 4 MANAGEMENT APPLIANCE 8x18TB RAID5</v>
      </c>
      <c r="AV48" s="398">
        <f t="shared" ca="1" si="421"/>
        <v>9</v>
      </c>
      <c r="AW48" s="398">
        <f t="shared" ca="1" si="422"/>
        <v>2</v>
      </c>
      <c r="AX48" s="398">
        <f t="shared" ca="1" si="423"/>
        <v>288</v>
      </c>
      <c r="AY48" s="398">
        <f t="shared" ca="1" si="424"/>
        <v>234612</v>
      </c>
      <c r="AZ48" s="399">
        <f t="shared" si="425"/>
        <v>311</v>
      </c>
      <c r="BA48" s="399">
        <f t="shared" si="426"/>
        <v>16</v>
      </c>
      <c r="BB48" s="483" t="e">
        <f t="shared" ca="1" si="427"/>
        <v>#DIV/0!</v>
      </c>
      <c r="BC48" s="400">
        <f ca="1">IF(MAX(IF($D$6="No",ROUNDUP($D$3/$I48,0),ROUNDUP(($D$3+$I48)/$I48,0)),IF($D$6="No",ROUNDUP($D$4/$G48,0),ROUNDUP(($D$4+$G48)/$G48,0)),ROUNDUP('BVMS checklist'!$H$217/$J48,0))&gt;1,'BVMS checklist'!$L$224,'BVMS checklist'!$L$217)</f>
        <v>0</v>
      </c>
      <c r="BD48" s="398">
        <f t="shared" ca="1" si="428"/>
        <v>2</v>
      </c>
      <c r="BE48" s="400">
        <f t="shared" si="48"/>
        <v>1</v>
      </c>
      <c r="BF48" s="400">
        <f t="shared" si="429"/>
        <v>550</v>
      </c>
      <c r="BG48" s="400">
        <f t="shared" ca="1" si="430"/>
        <v>0</v>
      </c>
      <c r="BH48" s="398">
        <f t="shared" ca="1" si="431"/>
        <v>234612</v>
      </c>
      <c r="BI48" s="401" t="e">
        <f t="shared" ca="1" si="432"/>
        <v>#DIV/0!</v>
      </c>
      <c r="BJ48" s="398">
        <f t="shared" ca="1" si="433"/>
        <v>512</v>
      </c>
      <c r="BK48" s="400">
        <f ca="1">IF(MAX(IF($D$6="No",ROUNDUP($D$3/$I48,0),ROUNDUP(($D$3+$I48)/$I48,0)),IF($D$6="No",ROUNDUP($D$4/$G48,0),ROUNDUP(($D$4+$G48)/$G48,0)),ROUNDUP('BVMS checklist'!$H$217/$J48,0))&gt;1,'BVMS checklist'!$L$224,'BVMS checklist'!$L$217)+MAX(IF($D$6="No",ROUNDUP($D$3/$I48,0),ROUNDUP(($D$3+$I48)/$I48,0)),IF($D$6="No",ROUNDUP($D$4/$G48,0),ROUNDUP(($D$4+$G48)/$G48,0)))+$D$5</f>
        <v>1</v>
      </c>
      <c r="BL48" s="400" t="b">
        <f t="shared" ca="1" si="434"/>
        <v>1</v>
      </c>
      <c r="BM48" s="400" t="str">
        <f t="shared" ca="1" si="435"/>
        <v>Accepted</v>
      </c>
      <c r="BN48" s="398" t="str">
        <f t="shared" ca="1" si="436"/>
        <v>Yes</v>
      </c>
      <c r="BO48" s="398">
        <f t="shared" ca="1" si="437"/>
        <v>9</v>
      </c>
      <c r="BP48" s="398" t="str">
        <f t="shared" ca="1" si="438"/>
        <v>DIVAR IP all-in-one 7000 Gen 4 MANAGEMENT APPLIANCE 8x18TB RAID5</v>
      </c>
      <c r="BQ48" s="398">
        <f t="shared" ca="1" si="439"/>
        <v>9</v>
      </c>
      <c r="BR48" s="398">
        <f t="shared" ca="1" si="440"/>
        <v>2</v>
      </c>
      <c r="BS48" s="398">
        <f t="shared" ca="1" si="441"/>
        <v>288</v>
      </c>
      <c r="BT48" s="398">
        <f t="shared" ca="1" si="442"/>
        <v>234612</v>
      </c>
      <c r="BU48" s="399">
        <f t="shared" si="443"/>
        <v>311</v>
      </c>
      <c r="BV48" s="399">
        <f t="shared" si="444"/>
        <v>16</v>
      </c>
      <c r="BW48" s="483" t="e">
        <f t="shared" ca="1" si="445"/>
        <v>#DIV/0!</v>
      </c>
      <c r="BX48" s="400">
        <f ca="1">IF(MAX(IF($E$6="No",ROUNDUP($E$3/$I48,0),ROUNDUP(($E$3+$I48)/$I48,0)),IF($E$6="No",ROUNDUP($E$4/$G48,0),ROUNDUP(($E$4+$G48)/$G48,0)),ROUNDUP('BVMS checklist'!$H$217/$J48,0))&gt;1,'BVMS checklist'!$N$224,'BVMS checklist'!$N$217)</f>
        <v>0</v>
      </c>
      <c r="BY48" s="398">
        <f t="shared" ca="1" si="446"/>
        <v>2</v>
      </c>
      <c r="BZ48" s="400">
        <f t="shared" ca="1" si="447"/>
        <v>2</v>
      </c>
      <c r="CA48" s="400">
        <f t="shared" ca="1" si="448"/>
        <v>1100</v>
      </c>
      <c r="CB48" s="400">
        <f t="shared" ca="1" si="449"/>
        <v>0</v>
      </c>
      <c r="CC48" s="398">
        <f t="shared" ca="1" si="450"/>
        <v>234612</v>
      </c>
      <c r="CD48" s="401" t="e">
        <f t="shared" ca="1" si="451"/>
        <v>#DIV/0!</v>
      </c>
      <c r="CE48" s="398">
        <f t="shared" ca="1" si="452"/>
        <v>512</v>
      </c>
      <c r="CF48" s="400">
        <f ca="1">IF(MAX(IF($E$6="No",ROUNDUP($E$3/$I48,0),ROUNDUP(($E$3+$I48)/$I48,0)),IF($E$6="No",ROUNDUP($E$4/$G48,0),ROUNDUP(($E$4+$G48)/$G48,0)),ROUNDUP('BVMS checklist'!$H$217/$J48,0))&gt;1,'BVMS checklist'!$N$224,'BVMS checklist'!$N$217)+MAX(IF($E$6="No",ROUNDUP($E$3/$I48,0),ROUNDUP(($E$3+$I48)/$I48,0)),IF($E$6="No",ROUNDUP($E$4/$G48,0),ROUNDUP(($E$4+$G48)/$G48,0)))+$E$5</f>
        <v>1</v>
      </c>
      <c r="CG48" s="400" t="b">
        <f t="shared" ca="1" si="453"/>
        <v>1</v>
      </c>
      <c r="CH48" s="400" t="str">
        <f t="shared" ca="1" si="454"/>
        <v>Accepted</v>
      </c>
      <c r="CI48" s="398" t="str">
        <f t="shared" ca="1" si="455"/>
        <v>Yes</v>
      </c>
      <c r="CJ48" s="398">
        <f t="shared" ca="1" si="456"/>
        <v>9</v>
      </c>
      <c r="CK48" s="398" t="str">
        <f t="shared" ca="1" si="457"/>
        <v>DIVAR IP all-in-one 7000 Gen 4 MANAGEMENT APPLIANCE 8x18TB RAID5</v>
      </c>
      <c r="CL48" s="398">
        <f t="shared" ca="1" si="458"/>
        <v>9</v>
      </c>
      <c r="CM48" s="398">
        <f t="shared" ca="1" si="459"/>
        <v>2</v>
      </c>
      <c r="CN48" s="398">
        <f t="shared" ca="1" si="460"/>
        <v>288</v>
      </c>
      <c r="CO48" s="398">
        <f t="shared" ca="1" si="461"/>
        <v>234612</v>
      </c>
      <c r="CP48" s="399">
        <f t="shared" si="462"/>
        <v>311</v>
      </c>
      <c r="CQ48" s="399">
        <f t="shared" si="463"/>
        <v>16</v>
      </c>
      <c r="CR48" s="483" t="e">
        <f t="shared" ca="1" si="464"/>
        <v>#DIV/0!</v>
      </c>
      <c r="CS48"/>
    </row>
    <row r="49" spans="1:97">
      <c r="A49" s="398" t="s">
        <v>2045</v>
      </c>
      <c r="B49" s="398" t="s">
        <v>988</v>
      </c>
      <c r="C49" s="440" t="s">
        <v>891</v>
      </c>
      <c r="D49" s="398">
        <v>1</v>
      </c>
      <c r="E49" s="398"/>
      <c r="F49" s="440">
        <v>0</v>
      </c>
      <c r="G49" s="398">
        <f>IF(C49="RAID5",(11-F49)*16758,(10-F49)*16758)</f>
        <v>184338</v>
      </c>
      <c r="H49" s="399">
        <v>216</v>
      </c>
      <c r="I49" s="399">
        <v>550</v>
      </c>
      <c r="J49" s="399">
        <v>256</v>
      </c>
      <c r="K49" s="399">
        <v>311</v>
      </c>
      <c r="L49" s="399">
        <v>16</v>
      </c>
      <c r="M49" s="400">
        <f ca="1">IF(MAX(IF($B$6="No",ROUNDUP($B$3/$I49,0),ROUNDUP(($B$3+$I49)/$I49,0)),IF($B$6="No",ROUNDUP($B$4/$G49,0),ROUNDUP(($B$4+$G49)/$G49,0)),ROUNDUP('BVMS checklist'!$H$217/$J49,0))&gt;1,'BVMS checklist'!$H$224,'BVMS checklist'!$H$217)</f>
        <v>0</v>
      </c>
      <c r="N49" s="398">
        <f t="shared" ref="N49:N50" ca="1" si="465">MAX(IF($B$6="No",ROUNDUP($B$3/$I49,0),ROUNDUP(($B$3+$I49)/$I49,0)),IF($B$6="No",ROUNDUP($B$4/$G49,0),ROUNDUP($B$4/$G49,0)),IF($B$6="Yes",ROUNDUP((U49+J49)/J49,0),ROUNDUP(U49/J49,0)))</f>
        <v>2</v>
      </c>
      <c r="O49" s="400">
        <f t="shared" ref="O49:O50" ca="1" si="466">N49</f>
        <v>2</v>
      </c>
      <c r="P49" s="400">
        <f t="shared" ref="P49:P50" ca="1" si="467">O49*$I49</f>
        <v>1100</v>
      </c>
      <c r="Q49" s="400">
        <f t="shared" ref="Q49:Q50" ca="1" si="468">IFERROR($B$3/N49,"")</f>
        <v>0</v>
      </c>
      <c r="R49" s="398">
        <f t="shared" ref="R49:R50" ca="1" si="469">$G49*N49</f>
        <v>368676</v>
      </c>
      <c r="S49" s="401" t="e">
        <f t="shared" ref="S49:S50" ca="1" si="470">IF(X49="yes",(R49)/$B$4,"")</f>
        <v>#DIV/0!</v>
      </c>
      <c r="T49" s="398">
        <f t="shared" ref="T49:T50" ca="1" si="471">N49*J49</f>
        <v>512</v>
      </c>
      <c r="U49" s="400">
        <f ca="1">IF(MAX(IF($B$6="No",ROUNDUP($B$3/$I49,0),ROUNDUP(($B$3+$I49)/$I49,0)),IF($B$6="No",ROUNDUP($B$4/$G49,0),ROUNDUP(($B$4+$G49)/$G49,0)),ROUNDUP('BVMS checklist'!$H$217/$J49,0))&gt;1,'BVMS checklist'!$H$224,'BVMS checklist'!$H$217)+MAX(IF($B$6="No",ROUNDUP($B$3/$I49,0),ROUNDUP(($B$3+$I49)/$I49,0)),IF($B$6="No",ROUNDUP($B$4/$G49,0),ROUNDUP(($B$4+$G49)/$G49,0)))+$B$5</f>
        <v>1</v>
      </c>
      <c r="V49" s="400" t="b">
        <f t="shared" ref="V49:V50" ca="1" si="472">IF(AND((T49/$D49)-U49&gt;=0,OR(N49&gt;=2,$D49&gt;=2),P49-I49&gt;=$B$3),TRUE,FALSE)</f>
        <v>1</v>
      </c>
      <c r="W49" s="400" t="str">
        <f t="shared" ref="W49:W50" ca="1" si="473">IF(OR(AND($B$6="Yes",V49=TRUE),$B$6="No"),"Accepted","Not accepted")</f>
        <v>Accepted</v>
      </c>
      <c r="X49" s="398" t="str">
        <f t="shared" ref="X49:X50" ca="1" si="474">IF(AND(U49&lt;T49,Q49&lt;I49,B49="Active",W49="Accepted"),"Yes","No")</f>
        <v>Yes</v>
      </c>
      <c r="Y49" s="398">
        <f t="shared" ref="Y49:Y50" ca="1" si="475">IF(AA48=AA49,"",AA49)</f>
        <v>10</v>
      </c>
      <c r="Z49" s="398" t="str">
        <f t="shared" ref="Z49:Z50" ca="1" si="476">IF(X49="Yes",$A49&amp;" "&amp;$C49,"")</f>
        <v>DIVAR IP all-in-one 7000 Gen 4 MANAGEMENT APPLIANCE 12x18TB RAID5</v>
      </c>
      <c r="AA49" s="398">
        <f t="shared" ref="AA49:AA50" ca="1" si="477">IF(Z49&lt;&gt;"",AA48+1,AA48)</f>
        <v>10</v>
      </c>
      <c r="AB49" s="398">
        <f t="shared" ref="AB49:AB50" ca="1" si="478">N49</f>
        <v>2</v>
      </c>
      <c r="AC49" s="398">
        <f t="shared" ref="AC49:AC50" ca="1" si="479">N49*$H49</f>
        <v>432</v>
      </c>
      <c r="AD49" s="398">
        <f t="shared" ref="AD49:AD50" ca="1" si="480">R49</f>
        <v>368676</v>
      </c>
      <c r="AE49" s="399">
        <f t="shared" ref="AE49:AE50" si="481">K49</f>
        <v>311</v>
      </c>
      <c r="AF49" s="399">
        <f t="shared" ref="AF49:AF50" si="482">L49</f>
        <v>16</v>
      </c>
      <c r="AG49" s="483" t="e">
        <f t="shared" ref="AG49:AG50" ca="1" si="483">S49</f>
        <v>#DIV/0!</v>
      </c>
      <c r="AH49" s="400">
        <f ca="1">IF(MAX(IF($C$6="No",ROUNDUP($C$3/$I49,0),ROUNDUP(($C$3+$I49)/$I49,0)),IF($C$6="No",ROUNDUP($C$4/$G49,0),ROUNDUP(($C$4+$G49)/$G49,0)),ROUNDUP('BVMS checklist'!$H$217/$J49,0))&gt;1,'BVMS checklist'!$J$224,'BVMS checklist'!$J$217)</f>
        <v>0</v>
      </c>
      <c r="AI49" s="398">
        <f t="shared" ref="AI49:AI50" ca="1" si="484">MAX(IF($C$6="No",ROUNDUP($C$3/$I49,0),ROUNDUP(($C$3+$I49)/$I49,0)),IF($C$6="No",ROUNDUP($C$4/$G49,0),ROUNDUP(($C$4+$G49)/$G49,0)),IF($C$6="Yes",ROUNDUP(AP49/J49,0)+1,ROUNDUP(AP49/J49,0)))</f>
        <v>2</v>
      </c>
      <c r="AJ49" s="400">
        <f t="shared" ref="AJ49:AJ50" ca="1" si="485">AI49</f>
        <v>2</v>
      </c>
      <c r="AK49" s="400">
        <f t="shared" ref="AK49:AK50" ca="1" si="486">AJ49*$I49</f>
        <v>1100</v>
      </c>
      <c r="AL49" s="400">
        <f t="shared" ref="AL49:AL50" ca="1" si="487">IFERROR($C$3/AI49,"")</f>
        <v>0</v>
      </c>
      <c r="AM49" s="398">
        <f t="shared" ref="AM49:AM50" ca="1" si="488">$G49*AI49</f>
        <v>368676</v>
      </c>
      <c r="AN49" s="401" t="e">
        <f t="shared" ref="AN49:AN50" ca="1" si="489">IF(AS49="yes",(AM49)/$C$4,"")</f>
        <v>#DIV/0!</v>
      </c>
      <c r="AO49" s="398">
        <f t="shared" ref="AO49:AO50" ca="1" si="490">AI49*$J49</f>
        <v>512</v>
      </c>
      <c r="AP49" s="400">
        <f ca="1">IF(MAX(IF($C$6="No",ROUNDUP($C$3/$I49,0),ROUNDUP(($C$3+$I49)/$I49,0)),IF($C$6="No",ROUNDUP($C$4/$G49,0),ROUNDUP(($C$4+$G49)/$G49,0)),ROUNDUP('BVMS checklist'!$H$217/$J49,0))&gt;1,'BVMS checklist'!$J$224,'BVMS checklist'!$J$217)+MAX(IF($C$6="No",ROUNDUP($C$3/$I49,0),ROUNDUP(($C$3+$I49)/$I49,0)),IF($C$6="No",ROUNDUP($C$4/$G49,0),ROUNDUP(($C$4+$G49)/$G49,0)))+$C$5</f>
        <v>1</v>
      </c>
      <c r="AQ49" s="400" t="b">
        <f t="shared" ref="AQ49:AQ50" ca="1" si="491">IF(AND((AO49/$D49)-AP49&gt;=0,OR(AI49&gt;=2,$D49&gt;=2),AK49-I49&gt;=$C$3),TRUE,FALSE)</f>
        <v>1</v>
      </c>
      <c r="AR49" s="400" t="str">
        <f t="shared" ref="AR49:AR50" ca="1" si="492">IF(OR(AND($C$6="Yes",AQ49=TRUE),$C$6="No"),"Accepted","Not accepted")</f>
        <v>Accepted</v>
      </c>
      <c r="AS49" s="398" t="str">
        <f t="shared" ref="AS49:AS50" ca="1" si="493">IF(AND(AP49&lt;AO49,AL49&lt;$I49,$B49="Active",AR49="Accepted"),"Yes","No")</f>
        <v>Yes</v>
      </c>
      <c r="AT49" s="398">
        <f t="shared" ref="AT49:AT50" ca="1" si="494">IF(AV48=AV49,"",AV49)</f>
        <v>10</v>
      </c>
      <c r="AU49" s="398" t="str">
        <f t="shared" ref="AU49:AU50" ca="1" si="495">IF(AS49="Yes",$A49&amp;" "&amp;$C49,"")</f>
        <v>DIVAR IP all-in-one 7000 Gen 4 MANAGEMENT APPLIANCE 12x18TB RAID5</v>
      </c>
      <c r="AV49" s="398">
        <f t="shared" ref="AV49:AV50" ca="1" si="496">IF(AU49&lt;&gt;"",AV48+1,AV48)</f>
        <v>10</v>
      </c>
      <c r="AW49" s="398">
        <f t="shared" ref="AW49:AW50" ca="1" si="497">AI49</f>
        <v>2</v>
      </c>
      <c r="AX49" s="398">
        <f t="shared" ref="AX49:AX50" ca="1" si="498">AI49*$H49</f>
        <v>432</v>
      </c>
      <c r="AY49" s="398">
        <f t="shared" ref="AY49:AY50" ca="1" si="499">AM49</f>
        <v>368676</v>
      </c>
      <c r="AZ49" s="399">
        <f t="shared" ref="AZ49:AZ50" si="500">K49</f>
        <v>311</v>
      </c>
      <c r="BA49" s="399">
        <f t="shared" ref="BA49:BA50" si="501">L49</f>
        <v>16</v>
      </c>
      <c r="BB49" s="483" t="e">
        <f t="shared" ref="BB49:BB50" ca="1" si="502">AN49</f>
        <v>#DIV/0!</v>
      </c>
      <c r="BC49" s="400">
        <f ca="1">IF(MAX(IF($D$6="No",ROUNDUP($D$3/$I49,0),ROUNDUP(($D$3+$I49)/$I49,0)),IF($D$6="No",ROUNDUP($D$4/$G49,0),ROUNDUP(($D$4+$G49)/$G49,0)),ROUNDUP('BVMS checklist'!$H$217/$J49,0))&gt;1,'BVMS checklist'!$L$224,'BVMS checklist'!$L$217)</f>
        <v>0</v>
      </c>
      <c r="BD49" s="398">
        <f t="shared" ref="BD49:BD50" ca="1" si="503">MAX(IF($D$6="No",ROUNDUP($D$3/$I49,0),ROUNDUP(($D$3+$I49)/$I49,0)),IF($D$6="No",ROUNDUP($D$4/$G49,0),ROUNDUP(($D$4+$G49)/$G49,0)),IF($D$6="Yes",ROUNDUP(BK49/J49,0)+1,ROUNDUP(BK49/J49,0)))</f>
        <v>2</v>
      </c>
      <c r="BE49" s="400">
        <f t="shared" si="48"/>
        <v>1</v>
      </c>
      <c r="BF49" s="400">
        <f t="shared" ref="BF49:BF50" si="504">BE49*$I49</f>
        <v>550</v>
      </c>
      <c r="BG49" s="400">
        <f t="shared" ref="BG49:BG50" ca="1" si="505">IFERROR($D$3/BD49,"")</f>
        <v>0</v>
      </c>
      <c r="BH49" s="398">
        <f t="shared" ref="BH49:BH50" ca="1" si="506">$G49*BD49</f>
        <v>368676</v>
      </c>
      <c r="BI49" s="401" t="e">
        <f t="shared" ref="BI49:BI50" ca="1" si="507">IF(BN49="yes",(BH49)/$D$4,"")</f>
        <v>#DIV/0!</v>
      </c>
      <c r="BJ49" s="398">
        <f t="shared" ref="BJ49:BJ50" ca="1" si="508">BD49*$J49</f>
        <v>512</v>
      </c>
      <c r="BK49" s="400">
        <f ca="1">IF(MAX(IF($D$6="No",ROUNDUP($D$3/$I49,0),ROUNDUP(($D$3+$I49)/$I49,0)),IF($D$6="No",ROUNDUP($D$4/$G49,0),ROUNDUP(($D$4+$G49)/$G49,0)),ROUNDUP('BVMS checklist'!$H$217/$J49,0))&gt;1,'BVMS checklist'!$L$224,'BVMS checklist'!$L$217)+MAX(IF($D$6="No",ROUNDUP($D$3/$I49,0),ROUNDUP(($D$3+$I49)/$I49,0)),IF($D$6="No",ROUNDUP($D$4/$G49,0),ROUNDUP(($D$4+$G49)/$G49,0)))+$D$5</f>
        <v>1</v>
      </c>
      <c r="BL49" s="400" t="b">
        <f t="shared" ref="BL49:BL50" ca="1" si="509">IF(AND((BJ49/$D49)-BK49&gt;=0,OR(BD49&gt;=2,$D49&gt;=2),BF49-I49&gt;=$D$3),TRUE,FALSE)</f>
        <v>1</v>
      </c>
      <c r="BM49" s="400" t="str">
        <f t="shared" ref="BM49:BM50" ca="1" si="510">IF(OR(AND($D$6="Yes",BL49=TRUE),$D$6="No"),"Accepted","Not accepted")</f>
        <v>Accepted</v>
      </c>
      <c r="BN49" s="398" t="str">
        <f t="shared" ref="BN49:BN50" ca="1" si="511">IF(AND(BK49&lt;BJ49,BG49&lt;$I49,$B49="Active",BM49="Accepted"),"Yes","No")</f>
        <v>Yes</v>
      </c>
      <c r="BO49" s="398">
        <f t="shared" ref="BO49:BO50" ca="1" si="512">IF(BQ48=BQ49,"",BQ49)</f>
        <v>10</v>
      </c>
      <c r="BP49" s="398" t="str">
        <f t="shared" ref="BP49:BP50" ca="1" si="513">IF(BN49="Yes",$A49&amp;" "&amp;$C49,"")</f>
        <v>DIVAR IP all-in-one 7000 Gen 4 MANAGEMENT APPLIANCE 12x18TB RAID5</v>
      </c>
      <c r="BQ49" s="398">
        <f t="shared" ref="BQ49:BQ50" ca="1" si="514">IF(BP49&lt;&gt;"",BQ48+1,BQ48)</f>
        <v>10</v>
      </c>
      <c r="BR49" s="398">
        <f t="shared" ref="BR49:BR50" ca="1" si="515">BD49</f>
        <v>2</v>
      </c>
      <c r="BS49" s="398">
        <f t="shared" ref="BS49:BS50" ca="1" si="516">BD49*$H49</f>
        <v>432</v>
      </c>
      <c r="BT49" s="398">
        <f t="shared" ref="BT49:BT50" ca="1" si="517">BH49</f>
        <v>368676</v>
      </c>
      <c r="BU49" s="399">
        <f t="shared" ref="BU49:BU50" si="518">K49</f>
        <v>311</v>
      </c>
      <c r="BV49" s="399">
        <f t="shared" ref="BV49:BV50" si="519">L49</f>
        <v>16</v>
      </c>
      <c r="BW49" s="483" t="e">
        <f t="shared" ref="BW49:BW50" ca="1" si="520">BI49</f>
        <v>#DIV/0!</v>
      </c>
      <c r="BX49" s="400">
        <f ca="1">IF(MAX(IF($E$6="No",ROUNDUP($E$3/$I49,0),ROUNDUP(($E$3+$I49)/$I49,0)),IF($E$6="No",ROUNDUP($E$4/$G49,0),ROUNDUP(($E$4+$G49)/$G49,0)),ROUNDUP('BVMS checklist'!$H$217/$J49,0))&gt;1,'BVMS checklist'!$N$224,'BVMS checklist'!$N$217)</f>
        <v>0</v>
      </c>
      <c r="BY49" s="398">
        <f t="shared" ref="BY49:BY50" ca="1" si="521">MAX(IF($E$6="No",ROUNDUP($E$3/$I49,0),ROUNDUP(($E$3+$I49)/$I49,0)),IF($E$6="No",ROUNDUP($E$4/$G49,0),ROUNDUP(($E$4+$G49)/$G49,0)),IF($E$6="Yes",ROUNDUP(CF49/J49,0)+1,ROUNDUP(CF49/J49,0)))</f>
        <v>2</v>
      </c>
      <c r="BZ49" s="400">
        <f t="shared" ref="BZ49:BZ50" ca="1" si="522">BY49</f>
        <v>2</v>
      </c>
      <c r="CA49" s="400">
        <f t="shared" ref="CA49:CA50" ca="1" si="523">BZ49*$I49</f>
        <v>1100</v>
      </c>
      <c r="CB49" s="400">
        <f t="shared" ref="CB49:CB50" ca="1" si="524">IFERROR($E$3/BY49,"")</f>
        <v>0</v>
      </c>
      <c r="CC49" s="398">
        <f t="shared" ref="CC49:CC50" ca="1" si="525">$G49*BY49</f>
        <v>368676</v>
      </c>
      <c r="CD49" s="401" t="e">
        <f t="shared" ref="CD49:CD50" ca="1" si="526">IF(CI49="yes",(CC49)/$E$4,"")</f>
        <v>#DIV/0!</v>
      </c>
      <c r="CE49" s="398">
        <f t="shared" ref="CE49:CE50" ca="1" si="527">BY49*$J49</f>
        <v>512</v>
      </c>
      <c r="CF49" s="400">
        <f ca="1">IF(MAX(IF($E$6="No",ROUNDUP($E$3/$I49,0),ROUNDUP(($E$3+$I49)/$I49,0)),IF($E$6="No",ROUNDUP($E$4/$G49,0),ROUNDUP(($E$4+$G49)/$G49,0)),ROUNDUP('BVMS checklist'!$H$217/$J49,0))&gt;1,'BVMS checklist'!$N$224,'BVMS checklist'!$N$217)+MAX(IF($E$6="No",ROUNDUP($E$3/$I49,0),ROUNDUP(($E$3+$I49)/$I49,0)),IF($E$6="No",ROUNDUP($E$4/$G49,0),ROUNDUP(($E$4+$G49)/$G49,0)))+$E$5</f>
        <v>1</v>
      </c>
      <c r="CG49" s="400" t="b">
        <f t="shared" ref="CG49:CG50" ca="1" si="528">IF(AND((CE49/$D49)-CF49&gt;=0,OR(BY49&gt;=2,$D49&gt;=2),CA49-I49&gt;=$E$3),TRUE,FALSE)</f>
        <v>1</v>
      </c>
      <c r="CH49" s="400" t="str">
        <f t="shared" ref="CH49:CH50" ca="1" si="529">IF(OR(AND($E$6="Yes",CG49=TRUE),$E$6="No"),"Accepted","Not accepted")</f>
        <v>Accepted</v>
      </c>
      <c r="CI49" s="398" t="str">
        <f t="shared" ref="CI49:CI50" ca="1" si="530">IF(AND(CF49&lt;CE49,CB49&lt;$I49,$B49="Active",CH49="Accepted"),"Yes","No")</f>
        <v>Yes</v>
      </c>
      <c r="CJ49" s="398">
        <f t="shared" ref="CJ49:CJ50" ca="1" si="531">IF(CL48=CL49,"",CL49)</f>
        <v>10</v>
      </c>
      <c r="CK49" s="398" t="str">
        <f t="shared" ref="CK49:CK50" ca="1" si="532">IF(CI49="Yes",$A49&amp;" "&amp;$C49,"")</f>
        <v>DIVAR IP all-in-one 7000 Gen 4 MANAGEMENT APPLIANCE 12x18TB RAID5</v>
      </c>
      <c r="CL49" s="398">
        <f t="shared" ref="CL49:CL50" ca="1" si="533">IF(CK49&lt;&gt;"",CL48+1,CL48)</f>
        <v>10</v>
      </c>
      <c r="CM49" s="398">
        <f t="shared" ref="CM49:CM50" ca="1" si="534">BY49</f>
        <v>2</v>
      </c>
      <c r="CN49" s="398">
        <f t="shared" ref="CN49:CN50" ca="1" si="535">BY49*$H49</f>
        <v>432</v>
      </c>
      <c r="CO49" s="398">
        <f t="shared" ref="CO49:CO50" ca="1" si="536">CC49</f>
        <v>368676</v>
      </c>
      <c r="CP49" s="399">
        <f t="shared" ref="CP49:CP50" si="537">K49</f>
        <v>311</v>
      </c>
      <c r="CQ49" s="399">
        <f t="shared" ref="CQ49:CQ50" si="538">L49</f>
        <v>16</v>
      </c>
      <c r="CR49" s="483" t="e">
        <f t="shared" ref="CR49:CR50" ca="1" si="539">CD49</f>
        <v>#DIV/0!</v>
      </c>
      <c r="CS49"/>
    </row>
    <row r="50" spans="1:97">
      <c r="A50" s="398" t="s">
        <v>2046</v>
      </c>
      <c r="B50" s="398" t="s">
        <v>988</v>
      </c>
      <c r="C50" s="440" t="s">
        <v>891</v>
      </c>
      <c r="D50" s="398">
        <v>1</v>
      </c>
      <c r="E50" s="398"/>
      <c r="F50" s="440">
        <v>0</v>
      </c>
      <c r="G50" s="398">
        <f>IF(C50="RAID5",(15-F50)*16758,(14-F50)*16758)</f>
        <v>251370</v>
      </c>
      <c r="H50" s="399">
        <v>288</v>
      </c>
      <c r="I50" s="399">
        <v>550</v>
      </c>
      <c r="J50" s="399">
        <v>256</v>
      </c>
      <c r="K50" s="399">
        <v>333</v>
      </c>
      <c r="L50" s="399">
        <v>16</v>
      </c>
      <c r="M50" s="400">
        <f ca="1">IF(MAX(IF($B$6="No",ROUNDUP($B$3/$I50,0),ROUNDUP(($B$3+$I50)/$I50,0)),IF($B$6="No",ROUNDUP($B$4/$G50,0),ROUNDUP(($B$4+$G50)/$G50,0)),ROUNDUP('BVMS checklist'!$H$217/$J50,0))&gt;1,'BVMS checklist'!$H$224,'BVMS checklist'!$H$217)</f>
        <v>0</v>
      </c>
      <c r="N50" s="398">
        <f t="shared" ca="1" si="465"/>
        <v>2</v>
      </c>
      <c r="O50" s="400">
        <f t="shared" ca="1" si="466"/>
        <v>2</v>
      </c>
      <c r="P50" s="400">
        <f t="shared" ca="1" si="467"/>
        <v>1100</v>
      </c>
      <c r="Q50" s="400">
        <f t="shared" ca="1" si="468"/>
        <v>0</v>
      </c>
      <c r="R50" s="398">
        <f t="shared" ca="1" si="469"/>
        <v>502740</v>
      </c>
      <c r="S50" s="401" t="e">
        <f t="shared" ca="1" si="470"/>
        <v>#DIV/0!</v>
      </c>
      <c r="T50" s="398">
        <f t="shared" ca="1" si="471"/>
        <v>512</v>
      </c>
      <c r="U50" s="400">
        <f ca="1">IF(MAX(IF($B$6="No",ROUNDUP($B$3/$I50,0),ROUNDUP(($B$3+$I50)/$I50,0)),IF($B$6="No",ROUNDUP($B$4/$G50,0),ROUNDUP(($B$4+$G50)/$G50,0)),ROUNDUP('BVMS checklist'!$H$217/$J50,0))&gt;1,'BVMS checklist'!$H$224,'BVMS checklist'!$H$217)+MAX(IF($B$6="No",ROUNDUP($B$3/$I50,0),ROUNDUP(($B$3+$I50)/$I50,0)),IF($B$6="No",ROUNDUP($B$4/$G50,0),ROUNDUP(($B$4+$G50)/$G50,0)))+$B$5</f>
        <v>1</v>
      </c>
      <c r="V50" s="400" t="b">
        <f t="shared" ca="1" si="472"/>
        <v>1</v>
      </c>
      <c r="W50" s="400" t="str">
        <f t="shared" ca="1" si="473"/>
        <v>Accepted</v>
      </c>
      <c r="X50" s="398" t="str">
        <f t="shared" ca="1" si="474"/>
        <v>Yes</v>
      </c>
      <c r="Y50" s="398">
        <f t="shared" ca="1" si="475"/>
        <v>11</v>
      </c>
      <c r="Z50" s="398" t="str">
        <f t="shared" ca="1" si="476"/>
        <v>DIVAR IP all-in-one 7000 Gen 4 MANAGEMENT APPLIANCE 16x18TB RAID5</v>
      </c>
      <c r="AA50" s="398">
        <f t="shared" ca="1" si="477"/>
        <v>11</v>
      </c>
      <c r="AB50" s="398">
        <f t="shared" ca="1" si="478"/>
        <v>2</v>
      </c>
      <c r="AC50" s="398">
        <f t="shared" ca="1" si="479"/>
        <v>576</v>
      </c>
      <c r="AD50" s="398">
        <f t="shared" ca="1" si="480"/>
        <v>502740</v>
      </c>
      <c r="AE50" s="399">
        <f t="shared" si="481"/>
        <v>333</v>
      </c>
      <c r="AF50" s="399">
        <f t="shared" si="482"/>
        <v>16</v>
      </c>
      <c r="AG50" s="483" t="e">
        <f t="shared" ca="1" si="483"/>
        <v>#DIV/0!</v>
      </c>
      <c r="AH50" s="400">
        <f ca="1">IF(MAX(IF($C$6="No",ROUNDUP($C$3/$I50,0),ROUNDUP(($C$3+$I50)/$I50,0)),IF($C$6="No",ROUNDUP($C$4/$G50,0),ROUNDUP(($C$4+$G50)/$G50,0)),ROUNDUP('BVMS checklist'!$H$217/$J50,0))&gt;1,'BVMS checklist'!$J$224,'BVMS checklist'!$J$217)</f>
        <v>0</v>
      </c>
      <c r="AI50" s="398">
        <f t="shared" ca="1" si="484"/>
        <v>2</v>
      </c>
      <c r="AJ50" s="400">
        <f t="shared" ca="1" si="485"/>
        <v>2</v>
      </c>
      <c r="AK50" s="400">
        <f t="shared" ca="1" si="486"/>
        <v>1100</v>
      </c>
      <c r="AL50" s="400">
        <f t="shared" ca="1" si="487"/>
        <v>0</v>
      </c>
      <c r="AM50" s="398">
        <f t="shared" ca="1" si="488"/>
        <v>502740</v>
      </c>
      <c r="AN50" s="401" t="e">
        <f t="shared" ca="1" si="489"/>
        <v>#DIV/0!</v>
      </c>
      <c r="AO50" s="398">
        <f t="shared" ca="1" si="490"/>
        <v>512</v>
      </c>
      <c r="AP50" s="400">
        <f ca="1">IF(MAX(IF($C$6="No",ROUNDUP($C$3/$I50,0),ROUNDUP(($C$3+$I50)/$I50,0)),IF($C$6="No",ROUNDUP($C$4/$G50,0),ROUNDUP(($C$4+$G50)/$G50,0)),ROUNDUP('BVMS checklist'!$H$217/$J50,0))&gt;1,'BVMS checklist'!$J$224,'BVMS checklist'!$J$217)+MAX(IF($C$6="No",ROUNDUP($C$3/$I50,0),ROUNDUP(($C$3+$I50)/$I50,0)),IF($C$6="No",ROUNDUP($C$4/$G50,0),ROUNDUP(($C$4+$G50)/$G50,0)))+$C$5</f>
        <v>1</v>
      </c>
      <c r="AQ50" s="400" t="b">
        <f t="shared" ca="1" si="491"/>
        <v>1</v>
      </c>
      <c r="AR50" s="400" t="str">
        <f t="shared" ca="1" si="492"/>
        <v>Accepted</v>
      </c>
      <c r="AS50" s="398" t="str">
        <f t="shared" ca="1" si="493"/>
        <v>Yes</v>
      </c>
      <c r="AT50" s="398">
        <f t="shared" ca="1" si="494"/>
        <v>11</v>
      </c>
      <c r="AU50" s="398" t="str">
        <f t="shared" ca="1" si="495"/>
        <v>DIVAR IP all-in-one 7000 Gen 4 MANAGEMENT APPLIANCE 16x18TB RAID5</v>
      </c>
      <c r="AV50" s="398">
        <f t="shared" ca="1" si="496"/>
        <v>11</v>
      </c>
      <c r="AW50" s="398">
        <f t="shared" ca="1" si="497"/>
        <v>2</v>
      </c>
      <c r="AX50" s="398">
        <f t="shared" ca="1" si="498"/>
        <v>576</v>
      </c>
      <c r="AY50" s="398">
        <f t="shared" ca="1" si="499"/>
        <v>502740</v>
      </c>
      <c r="AZ50" s="399">
        <f t="shared" si="500"/>
        <v>333</v>
      </c>
      <c r="BA50" s="399">
        <f t="shared" si="501"/>
        <v>16</v>
      </c>
      <c r="BB50" s="483" t="e">
        <f t="shared" ca="1" si="502"/>
        <v>#DIV/0!</v>
      </c>
      <c r="BC50" s="400">
        <f ca="1">IF(MAX(IF($D$6="No",ROUNDUP($D$3/$I50,0),ROUNDUP(($D$3+$I50)/$I50,0)),IF($D$6="No",ROUNDUP($D$4/$G50,0),ROUNDUP(($D$4+$G50)/$G50,0)),ROUNDUP('BVMS checklist'!$H$217/$J50,0))&gt;1,'BVMS checklist'!$L$224,'BVMS checklist'!$L$217)</f>
        <v>0</v>
      </c>
      <c r="BD50" s="398">
        <f t="shared" ca="1" si="503"/>
        <v>2</v>
      </c>
      <c r="BE50" s="400">
        <f t="shared" si="48"/>
        <v>1</v>
      </c>
      <c r="BF50" s="400">
        <f t="shared" si="504"/>
        <v>550</v>
      </c>
      <c r="BG50" s="400">
        <f t="shared" ca="1" si="505"/>
        <v>0</v>
      </c>
      <c r="BH50" s="398">
        <f t="shared" ca="1" si="506"/>
        <v>502740</v>
      </c>
      <c r="BI50" s="401" t="e">
        <f t="shared" ca="1" si="507"/>
        <v>#DIV/0!</v>
      </c>
      <c r="BJ50" s="398">
        <f t="shared" ca="1" si="508"/>
        <v>512</v>
      </c>
      <c r="BK50" s="400">
        <f ca="1">IF(MAX(IF($D$6="No",ROUNDUP($D$3/$I50,0),ROUNDUP(($D$3+$I50)/$I50,0)),IF($D$6="No",ROUNDUP($D$4/$G50,0),ROUNDUP(($D$4+$G50)/$G50,0)),ROUNDUP('BVMS checklist'!$H$217/$J50,0))&gt;1,'BVMS checklist'!$L$224,'BVMS checklist'!$L$217)+MAX(IF($D$6="No",ROUNDUP($D$3/$I50,0),ROUNDUP(($D$3+$I50)/$I50,0)),IF($D$6="No",ROUNDUP($D$4/$G50,0),ROUNDUP(($D$4+$G50)/$G50,0)))+$D$5</f>
        <v>1</v>
      </c>
      <c r="BL50" s="400" t="b">
        <f t="shared" ca="1" si="509"/>
        <v>1</v>
      </c>
      <c r="BM50" s="400" t="str">
        <f t="shared" ca="1" si="510"/>
        <v>Accepted</v>
      </c>
      <c r="BN50" s="398" t="str">
        <f t="shared" ca="1" si="511"/>
        <v>Yes</v>
      </c>
      <c r="BO50" s="398">
        <f t="shared" ca="1" si="512"/>
        <v>11</v>
      </c>
      <c r="BP50" s="398" t="str">
        <f t="shared" ca="1" si="513"/>
        <v>DIVAR IP all-in-one 7000 Gen 4 MANAGEMENT APPLIANCE 16x18TB RAID5</v>
      </c>
      <c r="BQ50" s="398">
        <f t="shared" ca="1" si="514"/>
        <v>11</v>
      </c>
      <c r="BR50" s="398">
        <f t="shared" ca="1" si="515"/>
        <v>2</v>
      </c>
      <c r="BS50" s="398">
        <f t="shared" ca="1" si="516"/>
        <v>576</v>
      </c>
      <c r="BT50" s="398">
        <f t="shared" ca="1" si="517"/>
        <v>502740</v>
      </c>
      <c r="BU50" s="399">
        <f t="shared" si="518"/>
        <v>333</v>
      </c>
      <c r="BV50" s="399">
        <f t="shared" si="519"/>
        <v>16</v>
      </c>
      <c r="BW50" s="483" t="e">
        <f t="shared" ca="1" si="520"/>
        <v>#DIV/0!</v>
      </c>
      <c r="BX50" s="400">
        <f ca="1">IF(MAX(IF($E$6="No",ROUNDUP($E$3/$I50,0),ROUNDUP(($E$3+$I50)/$I50,0)),IF($E$6="No",ROUNDUP($E$4/$G50,0),ROUNDUP(($E$4+$G50)/$G50,0)),ROUNDUP('BVMS checklist'!$H$217/$J50,0))&gt;1,'BVMS checklist'!$N$224,'BVMS checklist'!$N$217)</f>
        <v>0</v>
      </c>
      <c r="BY50" s="398">
        <f t="shared" ca="1" si="521"/>
        <v>2</v>
      </c>
      <c r="BZ50" s="400">
        <f t="shared" ca="1" si="522"/>
        <v>2</v>
      </c>
      <c r="CA50" s="400">
        <f t="shared" ca="1" si="523"/>
        <v>1100</v>
      </c>
      <c r="CB50" s="400">
        <f t="shared" ca="1" si="524"/>
        <v>0</v>
      </c>
      <c r="CC50" s="398">
        <f t="shared" ca="1" si="525"/>
        <v>502740</v>
      </c>
      <c r="CD50" s="401" t="e">
        <f t="shared" ca="1" si="526"/>
        <v>#DIV/0!</v>
      </c>
      <c r="CE50" s="398">
        <f t="shared" ca="1" si="527"/>
        <v>512</v>
      </c>
      <c r="CF50" s="400">
        <f ca="1">IF(MAX(IF($E$6="No",ROUNDUP($E$3/$I50,0),ROUNDUP(($E$3+$I50)/$I50,0)),IF($E$6="No",ROUNDUP($E$4/$G50,0),ROUNDUP(($E$4+$G50)/$G50,0)),ROUNDUP('BVMS checklist'!$H$217/$J50,0))&gt;1,'BVMS checklist'!$N$224,'BVMS checklist'!$N$217)+MAX(IF($E$6="No",ROUNDUP($E$3/$I50,0),ROUNDUP(($E$3+$I50)/$I50,0)),IF($E$6="No",ROUNDUP($E$4/$G50,0),ROUNDUP(($E$4+$G50)/$G50,0)))+$E$5</f>
        <v>1</v>
      </c>
      <c r="CG50" s="400" t="b">
        <f t="shared" ca="1" si="528"/>
        <v>1</v>
      </c>
      <c r="CH50" s="400" t="str">
        <f t="shared" ca="1" si="529"/>
        <v>Accepted</v>
      </c>
      <c r="CI50" s="398" t="str">
        <f t="shared" ca="1" si="530"/>
        <v>Yes</v>
      </c>
      <c r="CJ50" s="398">
        <f t="shared" ca="1" si="531"/>
        <v>11</v>
      </c>
      <c r="CK50" s="398" t="str">
        <f t="shared" ca="1" si="532"/>
        <v>DIVAR IP all-in-one 7000 Gen 4 MANAGEMENT APPLIANCE 16x18TB RAID5</v>
      </c>
      <c r="CL50" s="398">
        <f t="shared" ca="1" si="533"/>
        <v>11</v>
      </c>
      <c r="CM50" s="398">
        <f t="shared" ca="1" si="534"/>
        <v>2</v>
      </c>
      <c r="CN50" s="398">
        <f t="shared" ca="1" si="535"/>
        <v>576</v>
      </c>
      <c r="CO50" s="398">
        <f t="shared" ca="1" si="536"/>
        <v>502740</v>
      </c>
      <c r="CP50" s="399">
        <f t="shared" si="537"/>
        <v>333</v>
      </c>
      <c r="CQ50" s="399">
        <f t="shared" si="538"/>
        <v>16</v>
      </c>
      <c r="CR50" s="483" t="e">
        <f t="shared" ca="1" si="539"/>
        <v>#DIV/0!</v>
      </c>
      <c r="CS50"/>
    </row>
    <row r="51" spans="1:97">
      <c r="A51" s="398" t="s">
        <v>311</v>
      </c>
      <c r="B51" s="398" t="s">
        <v>987</v>
      </c>
      <c r="C51" s="440" t="s">
        <v>891</v>
      </c>
      <c r="D51" s="398">
        <v>1</v>
      </c>
      <c r="E51" s="398"/>
      <c r="F51" s="440">
        <v>0</v>
      </c>
      <c r="G51" s="398">
        <v>8375</v>
      </c>
      <c r="H51" s="399">
        <v>12</v>
      </c>
      <c r="I51" s="399">
        <v>475</v>
      </c>
      <c r="J51" s="399">
        <v>128</v>
      </c>
      <c r="K51" s="399"/>
      <c r="L51" s="399"/>
      <c r="M51" s="400">
        <f ca="1">IF(MAX(IF($B$6="No",ROUNDUP($B$3/$I51,0),ROUNDUP(($B$3+$I51)/$I51,0)),IF($B$6="No",ROUNDUP($B$4/$G51,0),ROUNDUP(($B$4+$G51)/$G51,0)),ROUNDUP('BVMS checklist'!$H$217/$J51,0))&gt;1,'BVMS checklist'!$H$224,'BVMS checklist'!$H$217)</f>
        <v>0</v>
      </c>
      <c r="N51" s="398">
        <f t="shared" ca="1" si="20"/>
        <v>2</v>
      </c>
      <c r="O51" s="400">
        <f t="shared" ca="1" si="21"/>
        <v>2</v>
      </c>
      <c r="P51" s="400">
        <f t="shared" ca="1" si="0"/>
        <v>950</v>
      </c>
      <c r="Q51" s="400">
        <f t="shared" ca="1" si="1"/>
        <v>0</v>
      </c>
      <c r="R51" s="398">
        <f t="shared" ca="1" si="2"/>
        <v>16750</v>
      </c>
      <c r="S51" s="401" t="str">
        <f t="shared" ca="1" si="22"/>
        <v/>
      </c>
      <c r="T51" s="398">
        <f t="shared" ca="1" si="23"/>
        <v>256</v>
      </c>
      <c r="U51" s="400">
        <f ca="1">IF(MAX(IF($B$6="No",ROUNDUP($B$3/$I51,0),ROUNDUP(($B$3+$I51)/$I51,0)),IF($B$6="No",ROUNDUP($B$4/$G51,0),ROUNDUP(($B$4+$G51)/$G51,0)),ROUNDUP('BVMS checklist'!$H$217/$J51,0))&gt;1,'BVMS checklist'!$H$224,'BVMS checklist'!$H$217)+MAX(IF($B$6="No",ROUNDUP($B$3/$I51,0),ROUNDUP(($B$3+$I51)/$I51,0)),IF($B$6="No",ROUNDUP($B$4/$G51,0),ROUNDUP(($B$4+$G51)/$G51,0)))+$B$5</f>
        <v>1</v>
      </c>
      <c r="V51" s="400" t="b">
        <f t="shared" ca="1" si="3"/>
        <v>1</v>
      </c>
      <c r="W51" s="400" t="str">
        <f t="shared" ca="1" si="24"/>
        <v>Accepted</v>
      </c>
      <c r="X51" s="398" t="str">
        <f t="shared" ca="1" si="25"/>
        <v>No</v>
      </c>
      <c r="Y51" s="398" t="str">
        <f ca="1">IF(AA45=AA51,"",AA51)</f>
        <v/>
      </c>
      <c r="Z51" s="398" t="str">
        <f t="shared" ca="1" si="27"/>
        <v/>
      </c>
      <c r="AA51" s="398">
        <f ca="1">IF(Z51&lt;&gt;"",AA45+1,AA45)</f>
        <v>6</v>
      </c>
      <c r="AB51" s="398">
        <f t="shared" ca="1" si="4"/>
        <v>2</v>
      </c>
      <c r="AC51" s="398">
        <f t="shared" ca="1" si="5"/>
        <v>24</v>
      </c>
      <c r="AD51" s="398">
        <f t="shared" ca="1" si="29"/>
        <v>16750</v>
      </c>
      <c r="AE51" s="399">
        <f t="shared" ref="AE51:AE114" si="540">K51</f>
        <v>0</v>
      </c>
      <c r="AF51" s="399">
        <f t="shared" ref="AF51:AF114" si="541">L51</f>
        <v>0</v>
      </c>
      <c r="AG51" s="483" t="str">
        <f t="shared" ca="1" si="30"/>
        <v/>
      </c>
      <c r="AH51" s="400">
        <f ca="1">IF(MAX(IF($C$6="No",ROUNDUP($C$3/$I51,0),ROUNDUP(($C$3+$I51)/$I51,0)),IF($C$6="No",ROUNDUP($C$4/$G51,0),ROUNDUP(($C$4+$G51)/$G51,0)),ROUNDUP('BVMS checklist'!$H$217/$J51,0))&gt;1,'BVMS checklist'!$J$224,'BVMS checklist'!$J$217)</f>
        <v>0</v>
      </c>
      <c r="AI51" s="398">
        <f t="shared" ca="1" si="31"/>
        <v>2</v>
      </c>
      <c r="AJ51" s="400">
        <f t="shared" ca="1" si="32"/>
        <v>2</v>
      </c>
      <c r="AK51" s="400">
        <f t="shared" ca="1" si="33"/>
        <v>950</v>
      </c>
      <c r="AL51" s="400">
        <f t="shared" ca="1" si="34"/>
        <v>0</v>
      </c>
      <c r="AM51" s="398">
        <f t="shared" ca="1" si="35"/>
        <v>16750</v>
      </c>
      <c r="AN51" s="401" t="str">
        <f t="shared" ca="1" si="36"/>
        <v/>
      </c>
      <c r="AO51" s="398">
        <f t="shared" ca="1" si="37"/>
        <v>256</v>
      </c>
      <c r="AP51" s="400">
        <f ca="1">IF(MAX(IF($C$6="No",ROUNDUP($C$3/$I51,0),ROUNDUP(($C$3+$I51)/$I51,0)),IF($C$6="No",ROUNDUP($C$4/$G51,0),ROUNDUP(($C$4+$G51)/$G51,0)),ROUNDUP('BVMS checklist'!$H$217/$J51,0))&gt;1,'BVMS checklist'!$J$224,'BVMS checklist'!$J$217)+MAX(IF($C$6="No",ROUNDUP($C$3/$I51,0),ROUNDUP(($C$3+$I51)/$I51,0)),IF($C$6="No",ROUNDUP($C$4/$G51,0),ROUNDUP(($C$4+$G51)/$G51,0)))+$C$5</f>
        <v>1</v>
      </c>
      <c r="AQ51" s="400" t="b">
        <f t="shared" ca="1" si="8"/>
        <v>1</v>
      </c>
      <c r="AR51" s="400" t="str">
        <f t="shared" ca="1" si="38"/>
        <v>Accepted</v>
      </c>
      <c r="AS51" s="398" t="str">
        <f t="shared" ca="1" si="39"/>
        <v>No</v>
      </c>
      <c r="AT51" s="398" t="str">
        <f ca="1">IF(AV45=AV51,"",AV51)</f>
        <v/>
      </c>
      <c r="AU51" s="398" t="str">
        <f t="shared" ca="1" si="41"/>
        <v/>
      </c>
      <c r="AV51" s="398">
        <f ca="1">IF(AU51&lt;&gt;"",AV45+1,AV45)</f>
        <v>6</v>
      </c>
      <c r="AW51" s="398">
        <f t="shared" ca="1" si="43"/>
        <v>2</v>
      </c>
      <c r="AX51" s="398">
        <f t="shared" ca="1" si="44"/>
        <v>24</v>
      </c>
      <c r="AY51" s="398">
        <f t="shared" ca="1" si="45"/>
        <v>16750</v>
      </c>
      <c r="AZ51" s="399">
        <f t="shared" ref="AZ51:AZ114" si="542">K51</f>
        <v>0</v>
      </c>
      <c r="BA51" s="399">
        <f t="shared" ref="BA51:BA114" si="543">L51</f>
        <v>0</v>
      </c>
      <c r="BB51" s="483" t="str">
        <f t="shared" ca="1" si="46"/>
        <v/>
      </c>
      <c r="BC51" s="400">
        <f ca="1">IF(MAX(IF($D$6="No",ROUNDUP($D$3/$I51,0),ROUNDUP(($D$3+$I51)/$I51,0)),IF($D$6="No",ROUNDUP($D$4/$G51,0),ROUNDUP(($D$4+$G51)/$G51,0)),ROUNDUP('BVMS checklist'!$H$217/$J51,0))&gt;1,'BVMS checklist'!$L$224,'BVMS checklist'!$L$217)</f>
        <v>0</v>
      </c>
      <c r="BD51" s="398">
        <f t="shared" ca="1" si="47"/>
        <v>2</v>
      </c>
      <c r="BE51" s="400">
        <f t="shared" si="48"/>
        <v>1</v>
      </c>
      <c r="BF51" s="400">
        <f t="shared" si="49"/>
        <v>475</v>
      </c>
      <c r="BG51" s="400">
        <f t="shared" ca="1" si="11"/>
        <v>0</v>
      </c>
      <c r="BH51" s="398">
        <f t="shared" ca="1" si="50"/>
        <v>16750</v>
      </c>
      <c r="BI51" s="401" t="str">
        <f t="shared" ca="1" si="51"/>
        <v/>
      </c>
      <c r="BJ51" s="398">
        <f t="shared" ca="1" si="52"/>
        <v>256</v>
      </c>
      <c r="BK51" s="400">
        <f ca="1">IF(MAX(IF($D$6="No",ROUNDUP($D$3/$I51,0),ROUNDUP(($D$3+$I51)/$I51,0)),IF($D$6="No",ROUNDUP($D$4/$G51,0),ROUNDUP(($D$4+$G51)/$G51,0)),ROUNDUP('BVMS checklist'!$H$217/$J51,0))&gt;1,'BVMS checklist'!$L$224,'BVMS checklist'!$L$217)+MAX(IF($D$6="No",ROUNDUP($D$3/$I51,0),ROUNDUP(($D$3+$I51)/$I51,0)),IF($D$6="No",ROUNDUP($D$4/$G51,0),ROUNDUP(($D$4+$G51)/$G51,0)))+$D$5</f>
        <v>1</v>
      </c>
      <c r="BL51" s="400" t="b">
        <f t="shared" ca="1" si="12"/>
        <v>1</v>
      </c>
      <c r="BM51" s="400" t="str">
        <f t="shared" ca="1" si="53"/>
        <v>Accepted</v>
      </c>
      <c r="BN51" s="398" t="str">
        <f t="shared" ca="1" si="13"/>
        <v>No</v>
      </c>
      <c r="BO51" s="398" t="str">
        <f ca="1">IF(BQ45=BQ51,"",BQ51)</f>
        <v/>
      </c>
      <c r="BP51" s="398" t="str">
        <f t="shared" ca="1" si="55"/>
        <v/>
      </c>
      <c r="BQ51" s="398">
        <f ca="1">IF(BP51&lt;&gt;"",BQ45+1,BQ45)</f>
        <v>6</v>
      </c>
      <c r="BR51" s="398">
        <f t="shared" ca="1" si="57"/>
        <v>2</v>
      </c>
      <c r="BS51" s="398">
        <f t="shared" ca="1" si="58"/>
        <v>24</v>
      </c>
      <c r="BT51" s="398">
        <f t="shared" ca="1" si="59"/>
        <v>16750</v>
      </c>
      <c r="BU51" s="399">
        <f t="shared" ref="BU51:BU114" si="544">K51</f>
        <v>0</v>
      </c>
      <c r="BV51" s="399">
        <f t="shared" ref="BV51:BV114" si="545">L51</f>
        <v>0</v>
      </c>
      <c r="BW51" s="483" t="str">
        <f t="shared" ca="1" si="60"/>
        <v/>
      </c>
      <c r="BX51" s="400">
        <f ca="1">IF(MAX(IF($E$6="No",ROUNDUP($E$3/$I51,0),ROUNDUP(($E$3+$I51)/$I51,0)),IF($E$6="No",ROUNDUP($E$4/$G51,0),ROUNDUP(($E$4+$G51)/$G51,0)),ROUNDUP('BVMS checklist'!$H$217/$J51,0))&gt;1,'BVMS checklist'!$N$224,'BVMS checklist'!$N$217)</f>
        <v>0</v>
      </c>
      <c r="BY51" s="398">
        <f t="shared" ca="1" si="61"/>
        <v>2</v>
      </c>
      <c r="BZ51" s="400">
        <f t="shared" ca="1" si="62"/>
        <v>2</v>
      </c>
      <c r="CA51" s="400">
        <f t="shared" ca="1" si="63"/>
        <v>950</v>
      </c>
      <c r="CB51" s="400">
        <f t="shared" ca="1" si="16"/>
        <v>0</v>
      </c>
      <c r="CC51" s="398">
        <f t="shared" ca="1" si="64"/>
        <v>16750</v>
      </c>
      <c r="CD51" s="401" t="str">
        <f t="shared" ca="1" si="65"/>
        <v/>
      </c>
      <c r="CE51" s="398">
        <f t="shared" ca="1" si="66"/>
        <v>256</v>
      </c>
      <c r="CF51" s="400">
        <f ca="1">IF(MAX(IF($E$6="No",ROUNDUP($E$3/$I51,0),ROUNDUP(($E$3+$I51)/$I51,0)),IF($E$6="No",ROUNDUP($E$4/$G51,0),ROUNDUP(($E$4+$G51)/$G51,0)),ROUNDUP('BVMS checklist'!$H$217/$J51,0))&gt;1,'BVMS checklist'!$N$224,'BVMS checklist'!$N$217)+MAX(IF($E$6="No",ROUNDUP($E$3/$I51,0),ROUNDUP(($E$3+$I51)/$I51,0)),IF($E$6="No",ROUNDUP($E$4/$G51,0),ROUNDUP(($E$4+$G51)/$G51,0)))+$E$5</f>
        <v>1</v>
      </c>
      <c r="CG51" s="400" t="b">
        <f t="shared" ca="1" si="17"/>
        <v>1</v>
      </c>
      <c r="CH51" s="400" t="str">
        <f t="shared" ca="1" si="67"/>
        <v>Accepted</v>
      </c>
      <c r="CI51" s="398" t="str">
        <f t="shared" ca="1" si="68"/>
        <v>No</v>
      </c>
      <c r="CJ51" s="398" t="str">
        <f ca="1">IF(CL45=CL51,"",CL51)</f>
        <v/>
      </c>
      <c r="CK51" s="398" t="str">
        <f t="shared" ca="1" si="70"/>
        <v/>
      </c>
      <c r="CL51" s="398">
        <f ca="1">IF(CK51&lt;&gt;"",CL45+1,CL45)</f>
        <v>6</v>
      </c>
      <c r="CM51" s="398">
        <f t="shared" ca="1" si="72"/>
        <v>2</v>
      </c>
      <c r="CN51" s="398">
        <f t="shared" ca="1" si="73"/>
        <v>24</v>
      </c>
      <c r="CO51" s="398">
        <f t="shared" ca="1" si="74"/>
        <v>16750</v>
      </c>
      <c r="CP51" s="399">
        <f t="shared" ref="CP51:CP114" si="546">K51</f>
        <v>0</v>
      </c>
      <c r="CQ51" s="399">
        <f t="shared" ref="CQ51:CQ114" si="547">L51</f>
        <v>0</v>
      </c>
      <c r="CR51" s="483" t="str">
        <f t="shared" ca="1" si="75"/>
        <v/>
      </c>
      <c r="CS51"/>
    </row>
    <row r="52" spans="1:97">
      <c r="A52" s="398" t="s">
        <v>312</v>
      </c>
      <c r="B52" s="398" t="s">
        <v>987</v>
      </c>
      <c r="C52" s="440" t="s">
        <v>891</v>
      </c>
      <c r="D52" s="398">
        <v>1</v>
      </c>
      <c r="E52" s="398"/>
      <c r="F52" s="440">
        <v>0</v>
      </c>
      <c r="G52" s="398">
        <f>IF(C52="RAID5",(7-F52)*2793,(6-F52)*2793)</f>
        <v>19551</v>
      </c>
      <c r="H52" s="399">
        <v>24</v>
      </c>
      <c r="I52" s="399">
        <v>475</v>
      </c>
      <c r="J52" s="399">
        <v>128</v>
      </c>
      <c r="K52" s="399"/>
      <c r="L52" s="399"/>
      <c r="M52" s="400">
        <f ca="1">IF(MAX(IF($B$6="No",ROUNDUP($B$3/$I52,0),ROUNDUP(($B$3+$I52)/$I52,0)),IF($B$6="No",ROUNDUP($B$4/$G52,0),ROUNDUP(($B$4+$G52)/$G52,0)),ROUNDUP('BVMS checklist'!$H$217/$J52,0))&gt;1,'BVMS checklist'!$H$224,'BVMS checklist'!$H$217)</f>
        <v>0</v>
      </c>
      <c r="N52" s="398">
        <f t="shared" ca="1" si="20"/>
        <v>2</v>
      </c>
      <c r="O52" s="400">
        <f t="shared" ca="1" si="21"/>
        <v>2</v>
      </c>
      <c r="P52" s="400">
        <f t="shared" ca="1" si="0"/>
        <v>950</v>
      </c>
      <c r="Q52" s="400">
        <f t="shared" ca="1" si="1"/>
        <v>0</v>
      </c>
      <c r="R52" s="398">
        <f t="shared" ca="1" si="2"/>
        <v>39102</v>
      </c>
      <c r="S52" s="401" t="str">
        <f t="shared" ca="1" si="22"/>
        <v/>
      </c>
      <c r="T52" s="398">
        <f t="shared" ca="1" si="23"/>
        <v>256</v>
      </c>
      <c r="U52" s="400">
        <f ca="1">IF(MAX(IF($B$6="No",ROUNDUP($B$3/$I52,0),ROUNDUP(($B$3+$I52)/$I52,0)),IF($B$6="No",ROUNDUP($B$4/$G52,0),ROUNDUP(($B$4+$G52)/$G52,0)),ROUNDUP('BVMS checklist'!$H$217/$J52,0))&gt;1,'BVMS checklist'!$H$224,'BVMS checklist'!$H$217)+MAX(IF($B$6="No",ROUNDUP($B$3/$I52,0),ROUNDUP(($B$3+$I52)/$I52,0)),IF($B$6="No",ROUNDUP($B$4/$G52,0),ROUNDUP(($B$4+$G52)/$G52,0)))+$B$5</f>
        <v>1</v>
      </c>
      <c r="V52" s="400" t="b">
        <f t="shared" ca="1" si="3"/>
        <v>1</v>
      </c>
      <c r="W52" s="400" t="str">
        <f t="shared" ca="1" si="24"/>
        <v>Accepted</v>
      </c>
      <c r="X52" s="398" t="str">
        <f t="shared" ca="1" si="25"/>
        <v>No</v>
      </c>
      <c r="Y52" s="398" t="str">
        <f t="shared" ca="1" si="26"/>
        <v/>
      </c>
      <c r="Z52" s="398" t="str">
        <f t="shared" ca="1" si="27"/>
        <v/>
      </c>
      <c r="AA52" s="398">
        <f t="shared" ca="1" si="28"/>
        <v>6</v>
      </c>
      <c r="AB52" s="398">
        <f t="shared" ca="1" si="4"/>
        <v>2</v>
      </c>
      <c r="AC52" s="398">
        <f t="shared" ca="1" si="5"/>
        <v>48</v>
      </c>
      <c r="AD52" s="398">
        <f t="shared" ca="1" si="29"/>
        <v>39102</v>
      </c>
      <c r="AE52" s="399">
        <f t="shared" si="540"/>
        <v>0</v>
      </c>
      <c r="AF52" s="399">
        <f t="shared" si="541"/>
        <v>0</v>
      </c>
      <c r="AG52" s="483" t="str">
        <f t="shared" ca="1" si="30"/>
        <v/>
      </c>
      <c r="AH52" s="400">
        <f ca="1">IF(MAX(IF($C$6="No",ROUNDUP($C$3/$I52,0),ROUNDUP(($C$3+$I52)/$I52,0)),IF($C$6="No",ROUNDUP($C$4/$G52,0),ROUNDUP(($C$4+$G52)/$G52,0)),ROUNDUP('BVMS checklist'!$H$217/$J52,0))&gt;1,'BVMS checklist'!$J$224,'BVMS checklist'!$J$217)</f>
        <v>0</v>
      </c>
      <c r="AI52" s="398">
        <f t="shared" ca="1" si="31"/>
        <v>2</v>
      </c>
      <c r="AJ52" s="400">
        <f t="shared" ca="1" si="32"/>
        <v>2</v>
      </c>
      <c r="AK52" s="400">
        <f t="shared" ca="1" si="33"/>
        <v>950</v>
      </c>
      <c r="AL52" s="400">
        <f t="shared" ca="1" si="34"/>
        <v>0</v>
      </c>
      <c r="AM52" s="398">
        <f t="shared" ca="1" si="35"/>
        <v>39102</v>
      </c>
      <c r="AN52" s="401" t="str">
        <f t="shared" ca="1" si="36"/>
        <v/>
      </c>
      <c r="AO52" s="398">
        <f t="shared" ca="1" si="37"/>
        <v>256</v>
      </c>
      <c r="AP52" s="400">
        <f ca="1">IF(MAX(IF($C$6="No",ROUNDUP($C$3/$I52,0),ROUNDUP(($C$3+$I52)/$I52,0)),IF($C$6="No",ROUNDUP($C$4/$G52,0),ROUNDUP(($C$4+$G52)/$G52,0)),ROUNDUP('BVMS checklist'!$H$217/$J52,0))&gt;1,'BVMS checklist'!$J$224,'BVMS checklist'!$J$217)+MAX(IF($C$6="No",ROUNDUP($C$3/$I52,0),ROUNDUP(($C$3+$I52)/$I52,0)),IF($C$6="No",ROUNDUP($C$4/$G52,0),ROUNDUP(($C$4+$G52)/$G52,0)))+$C$5</f>
        <v>1</v>
      </c>
      <c r="AQ52" s="400" t="b">
        <f t="shared" ca="1" si="8"/>
        <v>1</v>
      </c>
      <c r="AR52" s="400" t="str">
        <f t="shared" ca="1" si="38"/>
        <v>Accepted</v>
      </c>
      <c r="AS52" s="398" t="str">
        <f t="shared" ca="1" si="39"/>
        <v>No</v>
      </c>
      <c r="AT52" s="398" t="str">
        <f t="shared" ca="1" si="40"/>
        <v/>
      </c>
      <c r="AU52" s="398" t="str">
        <f t="shared" ca="1" si="41"/>
        <v/>
      </c>
      <c r="AV52" s="398">
        <f t="shared" ca="1" si="42"/>
        <v>6</v>
      </c>
      <c r="AW52" s="398">
        <f t="shared" ca="1" si="43"/>
        <v>2</v>
      </c>
      <c r="AX52" s="398">
        <f t="shared" ca="1" si="44"/>
        <v>48</v>
      </c>
      <c r="AY52" s="398">
        <f t="shared" ca="1" si="45"/>
        <v>39102</v>
      </c>
      <c r="AZ52" s="399">
        <f t="shared" si="542"/>
        <v>0</v>
      </c>
      <c r="BA52" s="399">
        <f t="shared" si="543"/>
        <v>0</v>
      </c>
      <c r="BB52" s="483" t="str">
        <f t="shared" ca="1" si="46"/>
        <v/>
      </c>
      <c r="BC52" s="400">
        <f ca="1">IF(MAX(IF($D$6="No",ROUNDUP($D$3/$I52,0),ROUNDUP(($D$3+$I52)/$I52,0)),IF($D$6="No",ROUNDUP($D$4/$G52,0),ROUNDUP(($D$4+$G52)/$G52,0)),ROUNDUP('BVMS checklist'!$H$217/$J52,0))&gt;1,'BVMS checklist'!$L$224,'BVMS checklist'!$L$217)</f>
        <v>0</v>
      </c>
      <c r="BD52" s="398">
        <f t="shared" ca="1" si="47"/>
        <v>2</v>
      </c>
      <c r="BE52" s="400">
        <f t="shared" si="48"/>
        <v>1</v>
      </c>
      <c r="BF52" s="400">
        <f t="shared" si="49"/>
        <v>475</v>
      </c>
      <c r="BG52" s="400">
        <f t="shared" ca="1" si="11"/>
        <v>0</v>
      </c>
      <c r="BH52" s="398">
        <f t="shared" ca="1" si="50"/>
        <v>39102</v>
      </c>
      <c r="BI52" s="401" t="str">
        <f t="shared" ca="1" si="51"/>
        <v/>
      </c>
      <c r="BJ52" s="398">
        <f t="shared" ca="1" si="52"/>
        <v>256</v>
      </c>
      <c r="BK52" s="400">
        <f ca="1">IF(MAX(IF($D$6="No",ROUNDUP($D$3/$I52,0),ROUNDUP(($D$3+$I52)/$I52,0)),IF($D$6="No",ROUNDUP($D$4/$G52,0),ROUNDUP(($D$4+$G52)/$G52,0)),ROUNDUP('BVMS checklist'!$H$217/$J52,0))&gt;1,'BVMS checklist'!$L$224,'BVMS checklist'!$L$217)+MAX(IF($D$6="No",ROUNDUP($D$3/$I52,0),ROUNDUP(($D$3+$I52)/$I52,0)),IF($D$6="No",ROUNDUP($D$4/$G52,0),ROUNDUP(($D$4+$G52)/$G52,0)))+$D$5</f>
        <v>1</v>
      </c>
      <c r="BL52" s="400" t="b">
        <f t="shared" ca="1" si="12"/>
        <v>1</v>
      </c>
      <c r="BM52" s="400" t="str">
        <f t="shared" ca="1" si="53"/>
        <v>Accepted</v>
      </c>
      <c r="BN52" s="398" t="str">
        <f t="shared" ca="1" si="13"/>
        <v>No</v>
      </c>
      <c r="BO52" s="398" t="str">
        <f t="shared" ca="1" si="54"/>
        <v/>
      </c>
      <c r="BP52" s="398" t="str">
        <f t="shared" ca="1" si="55"/>
        <v/>
      </c>
      <c r="BQ52" s="398">
        <f t="shared" ca="1" si="56"/>
        <v>6</v>
      </c>
      <c r="BR52" s="398">
        <f t="shared" ca="1" si="57"/>
        <v>2</v>
      </c>
      <c r="BS52" s="398">
        <f t="shared" ca="1" si="58"/>
        <v>48</v>
      </c>
      <c r="BT52" s="398">
        <f t="shared" ca="1" si="59"/>
        <v>39102</v>
      </c>
      <c r="BU52" s="399">
        <f t="shared" si="544"/>
        <v>0</v>
      </c>
      <c r="BV52" s="399">
        <f t="shared" si="545"/>
        <v>0</v>
      </c>
      <c r="BW52" s="483" t="str">
        <f t="shared" ca="1" si="60"/>
        <v/>
      </c>
      <c r="BX52" s="400">
        <f ca="1">IF(MAX(IF($E$6="No",ROUNDUP($E$3/$I52,0),ROUNDUP(($E$3+$I52)/$I52,0)),IF($E$6="No",ROUNDUP($E$4/$G52,0),ROUNDUP(($E$4+$G52)/$G52,0)),ROUNDUP('BVMS checklist'!$H$217/$J52,0))&gt;1,'BVMS checklist'!$N$224,'BVMS checklist'!$N$217)</f>
        <v>0</v>
      </c>
      <c r="BY52" s="398">
        <f t="shared" ca="1" si="61"/>
        <v>2</v>
      </c>
      <c r="BZ52" s="400">
        <f t="shared" ca="1" si="62"/>
        <v>2</v>
      </c>
      <c r="CA52" s="400">
        <f t="shared" ca="1" si="63"/>
        <v>950</v>
      </c>
      <c r="CB52" s="400">
        <f t="shared" ca="1" si="16"/>
        <v>0</v>
      </c>
      <c r="CC52" s="398">
        <f t="shared" ca="1" si="64"/>
        <v>39102</v>
      </c>
      <c r="CD52" s="401" t="str">
        <f t="shared" ca="1" si="65"/>
        <v/>
      </c>
      <c r="CE52" s="398">
        <f t="shared" ca="1" si="66"/>
        <v>256</v>
      </c>
      <c r="CF52" s="400">
        <f ca="1">IF(MAX(IF($E$6="No",ROUNDUP($E$3/$I52,0),ROUNDUP(($E$3+$I52)/$I52,0)),IF($E$6="No",ROUNDUP($E$4/$G52,0),ROUNDUP(($E$4+$G52)/$G52,0)),ROUNDUP('BVMS checklist'!$H$217/$J52,0))&gt;1,'BVMS checklist'!$N$224,'BVMS checklist'!$N$217)+MAX(IF($E$6="No",ROUNDUP($E$3/$I52,0),ROUNDUP(($E$3+$I52)/$I52,0)),IF($E$6="No",ROUNDUP($E$4/$G52,0),ROUNDUP(($E$4+$G52)/$G52,0)))+$E$5</f>
        <v>1</v>
      </c>
      <c r="CG52" s="400" t="b">
        <f t="shared" ca="1" si="17"/>
        <v>1</v>
      </c>
      <c r="CH52" s="400" t="str">
        <f t="shared" ca="1" si="67"/>
        <v>Accepted</v>
      </c>
      <c r="CI52" s="398" t="str">
        <f t="shared" ca="1" si="68"/>
        <v>No</v>
      </c>
      <c r="CJ52" s="398" t="str">
        <f t="shared" ca="1" si="69"/>
        <v/>
      </c>
      <c r="CK52" s="398" t="str">
        <f t="shared" ca="1" si="70"/>
        <v/>
      </c>
      <c r="CL52" s="398">
        <f t="shared" ca="1" si="71"/>
        <v>6</v>
      </c>
      <c r="CM52" s="398">
        <f t="shared" ca="1" si="72"/>
        <v>2</v>
      </c>
      <c r="CN52" s="398">
        <f t="shared" ca="1" si="73"/>
        <v>48</v>
      </c>
      <c r="CO52" s="398">
        <f t="shared" ca="1" si="74"/>
        <v>39102</v>
      </c>
      <c r="CP52" s="399">
        <f t="shared" si="546"/>
        <v>0</v>
      </c>
      <c r="CQ52" s="399">
        <f t="shared" si="547"/>
        <v>0</v>
      </c>
      <c r="CR52" s="483" t="str">
        <f t="shared" ca="1" si="75"/>
        <v/>
      </c>
      <c r="CS52"/>
    </row>
    <row r="53" spans="1:97">
      <c r="A53" s="398" t="s">
        <v>313</v>
      </c>
      <c r="B53" s="398" t="s">
        <v>987</v>
      </c>
      <c r="C53" s="440" t="s">
        <v>891</v>
      </c>
      <c r="D53" s="398">
        <v>1</v>
      </c>
      <c r="E53" s="398"/>
      <c r="F53" s="440">
        <v>0</v>
      </c>
      <c r="G53" s="398">
        <f>IF(C53="RAID5",(15-F53)*2793,(14-F53)*2793)</f>
        <v>41895</v>
      </c>
      <c r="H53" s="399">
        <v>48</v>
      </c>
      <c r="I53" s="399">
        <v>475</v>
      </c>
      <c r="J53" s="399">
        <v>128</v>
      </c>
      <c r="K53" s="399"/>
      <c r="L53" s="399"/>
      <c r="M53" s="400">
        <f ca="1">IF(MAX(IF($B$6="No",ROUNDUP($B$3/$I53,0),ROUNDUP(($B$3+$I53)/$I53,0)),IF($B$6="No",ROUNDUP($B$4/$G53,0),ROUNDUP(($B$4+$G53)/$G53,0)),ROUNDUP('BVMS checklist'!$H$217/$J53,0))&gt;1,'BVMS checklist'!$H$224,'BVMS checklist'!$H$217)</f>
        <v>0</v>
      </c>
      <c r="N53" s="398">
        <f t="shared" ca="1" si="20"/>
        <v>2</v>
      </c>
      <c r="O53" s="400">
        <f t="shared" ca="1" si="21"/>
        <v>2</v>
      </c>
      <c r="P53" s="400">
        <f t="shared" ca="1" si="0"/>
        <v>950</v>
      </c>
      <c r="Q53" s="400">
        <f t="shared" ca="1" si="1"/>
        <v>0</v>
      </c>
      <c r="R53" s="398">
        <f t="shared" ca="1" si="2"/>
        <v>83790</v>
      </c>
      <c r="S53" s="401" t="str">
        <f t="shared" ca="1" si="22"/>
        <v/>
      </c>
      <c r="T53" s="398">
        <f t="shared" ca="1" si="23"/>
        <v>256</v>
      </c>
      <c r="U53" s="400">
        <f ca="1">IF(MAX(IF($B$6="No",ROUNDUP($B$3/$I53,0),ROUNDUP(($B$3+$I53)/$I53,0)),IF($B$6="No",ROUNDUP($B$4/$G53,0),ROUNDUP(($B$4+$G53)/$G53,0)),ROUNDUP('BVMS checklist'!$H$217/$J53,0))&gt;1,'BVMS checklist'!$H$224,'BVMS checklist'!$H$217)+MAX(IF($B$6="No",ROUNDUP($B$3/$I53,0),ROUNDUP(($B$3+$I53)/$I53,0)),IF($B$6="No",ROUNDUP($B$4/$G53,0),ROUNDUP(($B$4+$G53)/$G53,0)))+$B$5</f>
        <v>1</v>
      </c>
      <c r="V53" s="400" t="b">
        <f t="shared" ca="1" si="3"/>
        <v>1</v>
      </c>
      <c r="W53" s="400" t="str">
        <f t="shared" ca="1" si="24"/>
        <v>Accepted</v>
      </c>
      <c r="X53" s="398" t="str">
        <f t="shared" ca="1" si="25"/>
        <v>No</v>
      </c>
      <c r="Y53" s="398" t="str">
        <f t="shared" ca="1" si="26"/>
        <v/>
      </c>
      <c r="Z53" s="398" t="str">
        <f t="shared" ca="1" si="27"/>
        <v/>
      </c>
      <c r="AA53" s="398">
        <f t="shared" ca="1" si="28"/>
        <v>6</v>
      </c>
      <c r="AB53" s="398">
        <f t="shared" ca="1" si="4"/>
        <v>2</v>
      </c>
      <c r="AC53" s="398">
        <f t="shared" ca="1" si="5"/>
        <v>96</v>
      </c>
      <c r="AD53" s="398">
        <f t="shared" ca="1" si="29"/>
        <v>83790</v>
      </c>
      <c r="AE53" s="399">
        <f t="shared" si="540"/>
        <v>0</v>
      </c>
      <c r="AF53" s="399">
        <f t="shared" si="541"/>
        <v>0</v>
      </c>
      <c r="AG53" s="483" t="str">
        <f t="shared" ca="1" si="30"/>
        <v/>
      </c>
      <c r="AH53" s="400">
        <f ca="1">IF(MAX(IF($C$6="No",ROUNDUP($C$3/$I53,0),ROUNDUP(($C$3+$I53)/$I53,0)),IF($C$6="No",ROUNDUP($C$4/$G53,0),ROUNDUP(($C$4+$G53)/$G53,0)),ROUNDUP('BVMS checklist'!$H$217/$J53,0))&gt;1,'BVMS checklist'!$J$224,'BVMS checklist'!$J$217)</f>
        <v>0</v>
      </c>
      <c r="AI53" s="398">
        <f t="shared" ca="1" si="31"/>
        <v>2</v>
      </c>
      <c r="AJ53" s="400">
        <f t="shared" ca="1" si="32"/>
        <v>2</v>
      </c>
      <c r="AK53" s="400">
        <f t="shared" ca="1" si="33"/>
        <v>950</v>
      </c>
      <c r="AL53" s="400">
        <f t="shared" ca="1" si="34"/>
        <v>0</v>
      </c>
      <c r="AM53" s="398">
        <f t="shared" ca="1" si="35"/>
        <v>83790</v>
      </c>
      <c r="AN53" s="401" t="str">
        <f t="shared" ca="1" si="36"/>
        <v/>
      </c>
      <c r="AO53" s="398">
        <f t="shared" ca="1" si="37"/>
        <v>256</v>
      </c>
      <c r="AP53" s="400">
        <f ca="1">IF(MAX(IF($C$6="No",ROUNDUP($C$3/$I53,0),ROUNDUP(($C$3+$I53)/$I53,0)),IF($C$6="No",ROUNDUP($C$4/$G53,0),ROUNDUP(($C$4+$G53)/$G53,0)),ROUNDUP('BVMS checklist'!$H$217/$J53,0))&gt;1,'BVMS checklist'!$J$224,'BVMS checklist'!$J$217)+MAX(IF($C$6="No",ROUNDUP($C$3/$I53,0),ROUNDUP(($C$3+$I53)/$I53,0)),IF($C$6="No",ROUNDUP($C$4/$G53,0),ROUNDUP(($C$4+$G53)/$G53,0)))+$C$5</f>
        <v>1</v>
      </c>
      <c r="AQ53" s="400" t="b">
        <f t="shared" ca="1" si="8"/>
        <v>1</v>
      </c>
      <c r="AR53" s="400" t="str">
        <f t="shared" ca="1" si="38"/>
        <v>Accepted</v>
      </c>
      <c r="AS53" s="398" t="str">
        <f t="shared" ca="1" si="39"/>
        <v>No</v>
      </c>
      <c r="AT53" s="398" t="str">
        <f t="shared" ca="1" si="40"/>
        <v/>
      </c>
      <c r="AU53" s="398" t="str">
        <f t="shared" ca="1" si="41"/>
        <v/>
      </c>
      <c r="AV53" s="398">
        <f t="shared" ca="1" si="42"/>
        <v>6</v>
      </c>
      <c r="AW53" s="398">
        <f t="shared" ca="1" si="43"/>
        <v>2</v>
      </c>
      <c r="AX53" s="398">
        <f t="shared" ca="1" si="44"/>
        <v>96</v>
      </c>
      <c r="AY53" s="398">
        <f t="shared" ca="1" si="45"/>
        <v>83790</v>
      </c>
      <c r="AZ53" s="399">
        <f t="shared" si="542"/>
        <v>0</v>
      </c>
      <c r="BA53" s="399">
        <f t="shared" si="543"/>
        <v>0</v>
      </c>
      <c r="BB53" s="483" t="str">
        <f t="shared" ca="1" si="46"/>
        <v/>
      </c>
      <c r="BC53" s="400">
        <f ca="1">IF(MAX(IF($D$6="No",ROUNDUP($D$3/$I53,0),ROUNDUP(($D$3+$I53)/$I53,0)),IF($D$6="No",ROUNDUP($D$4/$G53,0),ROUNDUP(($D$4+$G53)/$G53,0)),ROUNDUP('BVMS checklist'!$H$217/$J53,0))&gt;1,'BVMS checklist'!$L$224,'BVMS checklist'!$L$217)</f>
        <v>0</v>
      </c>
      <c r="BD53" s="398">
        <f t="shared" ca="1" si="47"/>
        <v>2</v>
      </c>
      <c r="BE53" s="400">
        <f t="shared" si="48"/>
        <v>1</v>
      </c>
      <c r="BF53" s="400">
        <f t="shared" si="49"/>
        <v>475</v>
      </c>
      <c r="BG53" s="400">
        <f t="shared" ca="1" si="11"/>
        <v>0</v>
      </c>
      <c r="BH53" s="398">
        <f t="shared" ca="1" si="50"/>
        <v>83790</v>
      </c>
      <c r="BI53" s="401" t="str">
        <f t="shared" ca="1" si="51"/>
        <v/>
      </c>
      <c r="BJ53" s="398">
        <f t="shared" ca="1" si="52"/>
        <v>256</v>
      </c>
      <c r="BK53" s="400">
        <f ca="1">IF(MAX(IF($D$6="No",ROUNDUP($D$3/$I53,0),ROUNDUP(($D$3+$I53)/$I53,0)),IF($D$6="No",ROUNDUP($D$4/$G53,0),ROUNDUP(($D$4+$G53)/$G53,0)),ROUNDUP('BVMS checklist'!$H$217/$J53,0))&gt;1,'BVMS checklist'!$L$224,'BVMS checklist'!$L$217)+MAX(IF($D$6="No",ROUNDUP($D$3/$I53,0),ROUNDUP(($D$3+$I53)/$I53,0)),IF($D$6="No",ROUNDUP($D$4/$G53,0),ROUNDUP(($D$4+$G53)/$G53,0)))+$D$5</f>
        <v>1</v>
      </c>
      <c r="BL53" s="400" t="b">
        <f t="shared" ca="1" si="12"/>
        <v>1</v>
      </c>
      <c r="BM53" s="400" t="str">
        <f t="shared" ca="1" si="53"/>
        <v>Accepted</v>
      </c>
      <c r="BN53" s="398" t="str">
        <f t="shared" ca="1" si="13"/>
        <v>No</v>
      </c>
      <c r="BO53" s="398" t="str">
        <f t="shared" ca="1" si="54"/>
        <v/>
      </c>
      <c r="BP53" s="398" t="str">
        <f t="shared" ca="1" si="55"/>
        <v/>
      </c>
      <c r="BQ53" s="398">
        <f t="shared" ca="1" si="56"/>
        <v>6</v>
      </c>
      <c r="BR53" s="398">
        <f t="shared" ca="1" si="57"/>
        <v>2</v>
      </c>
      <c r="BS53" s="398">
        <f t="shared" ca="1" si="58"/>
        <v>96</v>
      </c>
      <c r="BT53" s="398">
        <f t="shared" ca="1" si="59"/>
        <v>83790</v>
      </c>
      <c r="BU53" s="399">
        <f t="shared" si="544"/>
        <v>0</v>
      </c>
      <c r="BV53" s="399">
        <f t="shared" si="545"/>
        <v>0</v>
      </c>
      <c r="BW53" s="483" t="str">
        <f t="shared" ca="1" si="60"/>
        <v/>
      </c>
      <c r="BX53" s="400">
        <f ca="1">IF(MAX(IF($E$6="No",ROUNDUP($E$3/$I53,0),ROUNDUP(($E$3+$I53)/$I53,0)),IF($E$6="No",ROUNDUP($E$4/$G53,0),ROUNDUP(($E$4+$G53)/$G53,0)),ROUNDUP('BVMS checklist'!$H$217/$J53,0))&gt;1,'BVMS checklist'!$N$224,'BVMS checklist'!$N$217)</f>
        <v>0</v>
      </c>
      <c r="BY53" s="398">
        <f t="shared" ca="1" si="61"/>
        <v>2</v>
      </c>
      <c r="BZ53" s="400">
        <f t="shared" ca="1" si="62"/>
        <v>2</v>
      </c>
      <c r="CA53" s="400">
        <f t="shared" ca="1" si="63"/>
        <v>950</v>
      </c>
      <c r="CB53" s="400">
        <f t="shared" ca="1" si="16"/>
        <v>0</v>
      </c>
      <c r="CC53" s="398">
        <f t="shared" ca="1" si="64"/>
        <v>83790</v>
      </c>
      <c r="CD53" s="401" t="str">
        <f t="shared" ca="1" si="65"/>
        <v/>
      </c>
      <c r="CE53" s="398">
        <f t="shared" ca="1" si="66"/>
        <v>256</v>
      </c>
      <c r="CF53" s="400">
        <f ca="1">IF(MAX(IF($E$6="No",ROUNDUP($E$3/$I53,0),ROUNDUP(($E$3+$I53)/$I53,0)),IF($E$6="No",ROUNDUP($E$4/$G53,0),ROUNDUP(($E$4+$G53)/$G53,0)),ROUNDUP('BVMS checklist'!$H$217/$J53,0))&gt;1,'BVMS checklist'!$N$224,'BVMS checklist'!$N$217)+MAX(IF($E$6="No",ROUNDUP($E$3/$I53,0),ROUNDUP(($E$3+$I53)/$I53,0)),IF($E$6="No",ROUNDUP($E$4/$G53,0),ROUNDUP(($E$4+$G53)/$G53,0)))+$E$5</f>
        <v>1</v>
      </c>
      <c r="CG53" s="400" t="b">
        <f t="shared" ca="1" si="17"/>
        <v>1</v>
      </c>
      <c r="CH53" s="400" t="str">
        <f t="shared" ca="1" si="67"/>
        <v>Accepted</v>
      </c>
      <c r="CI53" s="398" t="str">
        <f t="shared" ca="1" si="68"/>
        <v>No</v>
      </c>
      <c r="CJ53" s="398" t="str">
        <f t="shared" ca="1" si="69"/>
        <v/>
      </c>
      <c r="CK53" s="398" t="str">
        <f t="shared" ca="1" si="70"/>
        <v/>
      </c>
      <c r="CL53" s="398">
        <f t="shared" ca="1" si="71"/>
        <v>6</v>
      </c>
      <c r="CM53" s="398">
        <f t="shared" ca="1" si="72"/>
        <v>2</v>
      </c>
      <c r="CN53" s="398">
        <f t="shared" ca="1" si="73"/>
        <v>96</v>
      </c>
      <c r="CO53" s="398">
        <f t="shared" ca="1" si="74"/>
        <v>83790</v>
      </c>
      <c r="CP53" s="399">
        <f t="shared" si="546"/>
        <v>0</v>
      </c>
      <c r="CQ53" s="399">
        <f t="shared" si="547"/>
        <v>0</v>
      </c>
      <c r="CR53" s="483" t="str">
        <f t="shared" ca="1" si="75"/>
        <v/>
      </c>
      <c r="CS53"/>
    </row>
    <row r="54" spans="1:97">
      <c r="A54" s="398" t="s">
        <v>387</v>
      </c>
      <c r="B54" s="398" t="s">
        <v>987</v>
      </c>
      <c r="C54" s="440" t="s">
        <v>891</v>
      </c>
      <c r="D54" s="398">
        <v>1</v>
      </c>
      <c r="E54" s="398"/>
      <c r="F54" s="440">
        <v>0</v>
      </c>
      <c r="G54" s="398">
        <f>IF(C54="RAID5",(7-F54)*5586,(6-F54)*5586)</f>
        <v>39102</v>
      </c>
      <c r="H54" s="399">
        <v>48</v>
      </c>
      <c r="I54" s="399">
        <v>475</v>
      </c>
      <c r="J54" s="399">
        <v>128</v>
      </c>
      <c r="K54" s="399"/>
      <c r="L54" s="399"/>
      <c r="M54" s="400">
        <f ca="1">IF(MAX(IF($B$6="No",ROUNDUP($B$3/$I54,0),ROUNDUP(($B$3+$I54)/$I54,0)),IF($B$6="No",ROUNDUP($B$4/$G54,0),ROUNDUP(($B$4+$G54)/$G54,0)),ROUNDUP('BVMS checklist'!$H$217/$J54,0))&gt;1,'BVMS checklist'!$H$224,'BVMS checklist'!$H$217)</f>
        <v>0</v>
      </c>
      <c r="N54" s="398">
        <f t="shared" ca="1" si="20"/>
        <v>2</v>
      </c>
      <c r="O54" s="400">
        <f t="shared" ca="1" si="21"/>
        <v>2</v>
      </c>
      <c r="P54" s="400">
        <f t="shared" ca="1" si="0"/>
        <v>950</v>
      </c>
      <c r="Q54" s="400">
        <f t="shared" ca="1" si="1"/>
        <v>0</v>
      </c>
      <c r="R54" s="398">
        <f t="shared" ca="1" si="2"/>
        <v>78204</v>
      </c>
      <c r="S54" s="401" t="str">
        <f t="shared" ca="1" si="22"/>
        <v/>
      </c>
      <c r="T54" s="398">
        <f t="shared" ca="1" si="23"/>
        <v>256</v>
      </c>
      <c r="U54" s="400">
        <f ca="1">IF(MAX(IF($B$6="No",ROUNDUP($B$3/$I54,0),ROUNDUP(($B$3+$I54)/$I54,0)),IF($B$6="No",ROUNDUP($B$4/$G54,0),ROUNDUP(($B$4+$G54)/$G54,0)),ROUNDUP('BVMS checklist'!$H$217/$J54,0))&gt;1,'BVMS checklist'!$H$224,'BVMS checklist'!$H$217)+MAX(IF($B$6="No",ROUNDUP($B$3/$I54,0),ROUNDUP(($B$3+$I54)/$I54,0)),IF($B$6="No",ROUNDUP($B$4/$G54,0),ROUNDUP(($B$4+$G54)/$G54,0)))+$B$5</f>
        <v>1</v>
      </c>
      <c r="V54" s="400" t="b">
        <f t="shared" ca="1" si="3"/>
        <v>1</v>
      </c>
      <c r="W54" s="400" t="str">
        <f t="shared" ca="1" si="24"/>
        <v>Accepted</v>
      </c>
      <c r="X54" s="398" t="str">
        <f t="shared" ca="1" si="25"/>
        <v>No</v>
      </c>
      <c r="Y54" s="398" t="str">
        <f t="shared" ca="1" si="26"/>
        <v/>
      </c>
      <c r="Z54" s="398" t="str">
        <f t="shared" ca="1" si="27"/>
        <v/>
      </c>
      <c r="AA54" s="398">
        <f t="shared" ca="1" si="28"/>
        <v>6</v>
      </c>
      <c r="AB54" s="398">
        <f t="shared" ca="1" si="4"/>
        <v>2</v>
      </c>
      <c r="AC54" s="398">
        <f t="shared" ca="1" si="5"/>
        <v>96</v>
      </c>
      <c r="AD54" s="398">
        <f t="shared" ca="1" si="29"/>
        <v>78204</v>
      </c>
      <c r="AE54" s="399">
        <f t="shared" si="540"/>
        <v>0</v>
      </c>
      <c r="AF54" s="399">
        <f t="shared" si="541"/>
        <v>0</v>
      </c>
      <c r="AG54" s="483" t="str">
        <f t="shared" ca="1" si="30"/>
        <v/>
      </c>
      <c r="AH54" s="400">
        <f ca="1">IF(MAX(IF($C$6="No",ROUNDUP($C$3/$I54,0),ROUNDUP(($C$3+$I54)/$I54,0)),IF($C$6="No",ROUNDUP($C$4/$G54,0),ROUNDUP(($C$4+$G54)/$G54,0)),ROUNDUP('BVMS checklist'!$H$217/$J54,0))&gt;1,'BVMS checklist'!$J$224,'BVMS checklist'!$J$217)</f>
        <v>0</v>
      </c>
      <c r="AI54" s="398">
        <f t="shared" ca="1" si="31"/>
        <v>2</v>
      </c>
      <c r="AJ54" s="400">
        <f t="shared" ca="1" si="32"/>
        <v>2</v>
      </c>
      <c r="AK54" s="400">
        <f t="shared" ca="1" si="33"/>
        <v>950</v>
      </c>
      <c r="AL54" s="400">
        <f t="shared" ca="1" si="34"/>
        <v>0</v>
      </c>
      <c r="AM54" s="398">
        <f t="shared" ca="1" si="35"/>
        <v>78204</v>
      </c>
      <c r="AN54" s="401" t="str">
        <f t="shared" ca="1" si="36"/>
        <v/>
      </c>
      <c r="AO54" s="398">
        <f t="shared" ca="1" si="37"/>
        <v>256</v>
      </c>
      <c r="AP54" s="400">
        <f ca="1">IF(MAX(IF($C$6="No",ROUNDUP($C$3/$I54,0),ROUNDUP(($C$3+$I54)/$I54,0)),IF($C$6="No",ROUNDUP($C$4/$G54,0),ROUNDUP(($C$4+$G54)/$G54,0)),ROUNDUP('BVMS checklist'!$H$217/$J54,0))&gt;1,'BVMS checklist'!$J$224,'BVMS checklist'!$J$217)+MAX(IF($C$6="No",ROUNDUP($C$3/$I54,0),ROUNDUP(($C$3+$I54)/$I54,0)),IF($C$6="No",ROUNDUP($C$4/$G54,0),ROUNDUP(($C$4+$G54)/$G54,0)))+$C$5</f>
        <v>1</v>
      </c>
      <c r="AQ54" s="400" t="b">
        <f t="shared" ca="1" si="8"/>
        <v>1</v>
      </c>
      <c r="AR54" s="400" t="str">
        <f t="shared" ca="1" si="38"/>
        <v>Accepted</v>
      </c>
      <c r="AS54" s="398" t="str">
        <f t="shared" ca="1" si="39"/>
        <v>No</v>
      </c>
      <c r="AT54" s="398" t="str">
        <f t="shared" ca="1" si="40"/>
        <v/>
      </c>
      <c r="AU54" s="398" t="str">
        <f t="shared" ca="1" si="41"/>
        <v/>
      </c>
      <c r="AV54" s="398">
        <f t="shared" ca="1" si="42"/>
        <v>6</v>
      </c>
      <c r="AW54" s="398">
        <f t="shared" ca="1" si="43"/>
        <v>2</v>
      </c>
      <c r="AX54" s="398">
        <f t="shared" ca="1" si="44"/>
        <v>96</v>
      </c>
      <c r="AY54" s="398">
        <f t="shared" ca="1" si="45"/>
        <v>78204</v>
      </c>
      <c r="AZ54" s="399">
        <f t="shared" si="542"/>
        <v>0</v>
      </c>
      <c r="BA54" s="399">
        <f t="shared" si="543"/>
        <v>0</v>
      </c>
      <c r="BB54" s="483" t="str">
        <f t="shared" ca="1" si="46"/>
        <v/>
      </c>
      <c r="BC54" s="400">
        <f ca="1">IF(MAX(IF($D$6="No",ROUNDUP($D$3/$I54,0),ROUNDUP(($D$3+$I54)/$I54,0)),IF($D$6="No",ROUNDUP($D$4/$G54,0),ROUNDUP(($D$4+$G54)/$G54,0)),ROUNDUP('BVMS checklist'!$H$217/$J54,0))&gt;1,'BVMS checklist'!$L$224,'BVMS checklist'!$L$217)</f>
        <v>0</v>
      </c>
      <c r="BD54" s="398">
        <f t="shared" ca="1" si="47"/>
        <v>2</v>
      </c>
      <c r="BE54" s="400">
        <f t="shared" si="48"/>
        <v>1</v>
      </c>
      <c r="BF54" s="400">
        <f t="shared" si="49"/>
        <v>475</v>
      </c>
      <c r="BG54" s="400">
        <f t="shared" ca="1" si="11"/>
        <v>0</v>
      </c>
      <c r="BH54" s="398">
        <f t="shared" ca="1" si="50"/>
        <v>78204</v>
      </c>
      <c r="BI54" s="401" t="str">
        <f t="shared" ca="1" si="51"/>
        <v/>
      </c>
      <c r="BJ54" s="398">
        <f t="shared" ca="1" si="52"/>
        <v>256</v>
      </c>
      <c r="BK54" s="400">
        <f ca="1">IF(MAX(IF($D$6="No",ROUNDUP($D$3/$I54,0),ROUNDUP(($D$3+$I54)/$I54,0)),IF($D$6="No",ROUNDUP($D$4/$G54,0),ROUNDUP(($D$4+$G54)/$G54,0)),ROUNDUP('BVMS checklist'!$H$217/$J54,0))&gt;1,'BVMS checklist'!$L$224,'BVMS checklist'!$L$217)+MAX(IF($D$6="No",ROUNDUP($D$3/$I54,0),ROUNDUP(($D$3+$I54)/$I54,0)),IF($D$6="No",ROUNDUP($D$4/$G54,0),ROUNDUP(($D$4+$G54)/$G54,0)))+$D$5</f>
        <v>1</v>
      </c>
      <c r="BL54" s="400" t="b">
        <f t="shared" ca="1" si="12"/>
        <v>1</v>
      </c>
      <c r="BM54" s="400" t="str">
        <f t="shared" ca="1" si="53"/>
        <v>Accepted</v>
      </c>
      <c r="BN54" s="398" t="str">
        <f t="shared" ca="1" si="13"/>
        <v>No</v>
      </c>
      <c r="BO54" s="398" t="str">
        <f t="shared" ca="1" si="54"/>
        <v/>
      </c>
      <c r="BP54" s="398" t="str">
        <f t="shared" ca="1" si="55"/>
        <v/>
      </c>
      <c r="BQ54" s="398">
        <f t="shared" ca="1" si="56"/>
        <v>6</v>
      </c>
      <c r="BR54" s="398">
        <f t="shared" ca="1" si="57"/>
        <v>2</v>
      </c>
      <c r="BS54" s="398">
        <f t="shared" ca="1" si="58"/>
        <v>96</v>
      </c>
      <c r="BT54" s="398">
        <f t="shared" ca="1" si="59"/>
        <v>78204</v>
      </c>
      <c r="BU54" s="399">
        <f t="shared" si="544"/>
        <v>0</v>
      </c>
      <c r="BV54" s="399">
        <f t="shared" si="545"/>
        <v>0</v>
      </c>
      <c r="BW54" s="483" t="str">
        <f t="shared" ca="1" si="60"/>
        <v/>
      </c>
      <c r="BX54" s="400">
        <f ca="1">IF(MAX(IF($E$6="No",ROUNDUP($E$3/$I54,0),ROUNDUP(($E$3+$I54)/$I54,0)),IF($E$6="No",ROUNDUP($E$4/$G54,0),ROUNDUP(($E$4+$G54)/$G54,0)),ROUNDUP('BVMS checklist'!$H$217/$J54,0))&gt;1,'BVMS checklist'!$N$224,'BVMS checklist'!$N$217)</f>
        <v>0</v>
      </c>
      <c r="BY54" s="398">
        <f t="shared" ca="1" si="61"/>
        <v>2</v>
      </c>
      <c r="BZ54" s="400">
        <f t="shared" ca="1" si="62"/>
        <v>2</v>
      </c>
      <c r="CA54" s="400">
        <f t="shared" ca="1" si="63"/>
        <v>950</v>
      </c>
      <c r="CB54" s="400">
        <f t="shared" ca="1" si="16"/>
        <v>0</v>
      </c>
      <c r="CC54" s="398">
        <f t="shared" ca="1" si="64"/>
        <v>78204</v>
      </c>
      <c r="CD54" s="401" t="str">
        <f t="shared" ca="1" si="65"/>
        <v/>
      </c>
      <c r="CE54" s="398">
        <f t="shared" ca="1" si="66"/>
        <v>256</v>
      </c>
      <c r="CF54" s="400">
        <f ca="1">IF(MAX(IF($E$6="No",ROUNDUP($E$3/$I54,0),ROUNDUP(($E$3+$I54)/$I54,0)),IF($E$6="No",ROUNDUP($E$4/$G54,0),ROUNDUP(($E$4+$G54)/$G54,0)),ROUNDUP('BVMS checklist'!$H$217/$J54,0))&gt;1,'BVMS checklist'!$N$224,'BVMS checklist'!$N$217)+MAX(IF($E$6="No",ROUNDUP($E$3/$I54,0),ROUNDUP(($E$3+$I54)/$I54,0)),IF($E$6="No",ROUNDUP($E$4/$G54,0),ROUNDUP(($E$4+$G54)/$G54,0)))+$E$5</f>
        <v>1</v>
      </c>
      <c r="CG54" s="400" t="b">
        <f t="shared" ca="1" si="17"/>
        <v>1</v>
      </c>
      <c r="CH54" s="400" t="str">
        <f t="shared" ca="1" si="67"/>
        <v>Accepted</v>
      </c>
      <c r="CI54" s="398" t="str">
        <f t="shared" ca="1" si="68"/>
        <v>No</v>
      </c>
      <c r="CJ54" s="398" t="str">
        <f t="shared" ca="1" si="69"/>
        <v/>
      </c>
      <c r="CK54" s="398" t="str">
        <f t="shared" ca="1" si="70"/>
        <v/>
      </c>
      <c r="CL54" s="398">
        <f t="shared" ca="1" si="71"/>
        <v>6</v>
      </c>
      <c r="CM54" s="398">
        <f t="shared" ca="1" si="72"/>
        <v>2</v>
      </c>
      <c r="CN54" s="398">
        <f t="shared" ca="1" si="73"/>
        <v>96</v>
      </c>
      <c r="CO54" s="398">
        <f t="shared" ca="1" si="74"/>
        <v>78204</v>
      </c>
      <c r="CP54" s="399">
        <f t="shared" si="546"/>
        <v>0</v>
      </c>
      <c r="CQ54" s="399">
        <f t="shared" si="547"/>
        <v>0</v>
      </c>
      <c r="CR54" s="483" t="str">
        <f t="shared" ca="1" si="75"/>
        <v/>
      </c>
      <c r="CS54"/>
    </row>
    <row r="55" spans="1:97">
      <c r="A55" s="398" t="s">
        <v>389</v>
      </c>
      <c r="B55" s="398" t="s">
        <v>987</v>
      </c>
      <c r="C55" s="440" t="s">
        <v>891</v>
      </c>
      <c r="D55" s="398">
        <v>1</v>
      </c>
      <c r="E55" s="398"/>
      <c r="F55" s="440">
        <v>0</v>
      </c>
      <c r="G55" s="398">
        <f>IF(C55="RAID5",(15-F55)*5586,(14-F55)*5586)</f>
        <v>83790</v>
      </c>
      <c r="H55" s="399">
        <v>96</v>
      </c>
      <c r="I55" s="399">
        <v>475</v>
      </c>
      <c r="J55" s="399">
        <v>128</v>
      </c>
      <c r="K55" s="399"/>
      <c r="L55" s="399"/>
      <c r="M55" s="400">
        <f ca="1">IF(MAX(IF($B$6="No",ROUNDUP($B$3/$I55,0),ROUNDUP(($B$3+$I55)/$I55,0)),IF($B$6="No",ROUNDUP($B$4/$G55,0),ROUNDUP(($B$4+$G55)/$G55,0)),ROUNDUP('BVMS checklist'!$H$217/$J55,0))&gt;1,'BVMS checklist'!$H$224,'BVMS checklist'!$H$217)</f>
        <v>0</v>
      </c>
      <c r="N55" s="398">
        <f t="shared" ca="1" si="20"/>
        <v>2</v>
      </c>
      <c r="O55" s="400">
        <f t="shared" ca="1" si="21"/>
        <v>2</v>
      </c>
      <c r="P55" s="400">
        <f t="shared" ca="1" si="0"/>
        <v>950</v>
      </c>
      <c r="Q55" s="400">
        <f t="shared" ca="1" si="1"/>
        <v>0</v>
      </c>
      <c r="R55" s="398">
        <f t="shared" ca="1" si="2"/>
        <v>167580</v>
      </c>
      <c r="S55" s="401" t="str">
        <f t="shared" ca="1" si="22"/>
        <v/>
      </c>
      <c r="T55" s="398">
        <f t="shared" ca="1" si="23"/>
        <v>256</v>
      </c>
      <c r="U55" s="400">
        <f ca="1">IF(MAX(IF($B$6="No",ROUNDUP($B$3/$I55,0),ROUNDUP(($B$3+$I55)/$I55,0)),IF($B$6="No",ROUNDUP($B$4/$G55,0),ROUNDUP(($B$4+$G55)/$G55,0)),ROUNDUP('BVMS checklist'!$H$217/$J55,0))&gt;1,'BVMS checklist'!$H$224,'BVMS checklist'!$H$217)+MAX(IF($B$6="No",ROUNDUP($B$3/$I55,0),ROUNDUP(($B$3+$I55)/$I55,0)),IF($B$6="No",ROUNDUP($B$4/$G55,0),ROUNDUP(($B$4+$G55)/$G55,0)))+$B$5</f>
        <v>1</v>
      </c>
      <c r="V55" s="400" t="b">
        <f t="shared" ca="1" si="3"/>
        <v>1</v>
      </c>
      <c r="W55" s="400" t="str">
        <f t="shared" ca="1" si="24"/>
        <v>Accepted</v>
      </c>
      <c r="X55" s="398" t="str">
        <f t="shared" ca="1" si="25"/>
        <v>No</v>
      </c>
      <c r="Y55" s="398" t="str">
        <f t="shared" ca="1" si="26"/>
        <v/>
      </c>
      <c r="Z55" s="398" t="str">
        <f t="shared" ca="1" si="27"/>
        <v/>
      </c>
      <c r="AA55" s="398">
        <f t="shared" ca="1" si="28"/>
        <v>6</v>
      </c>
      <c r="AB55" s="398">
        <f t="shared" ca="1" si="4"/>
        <v>2</v>
      </c>
      <c r="AC55" s="398">
        <f t="shared" ca="1" si="5"/>
        <v>192</v>
      </c>
      <c r="AD55" s="398">
        <f t="shared" ca="1" si="29"/>
        <v>167580</v>
      </c>
      <c r="AE55" s="399">
        <f t="shared" si="540"/>
        <v>0</v>
      </c>
      <c r="AF55" s="399">
        <f t="shared" si="541"/>
        <v>0</v>
      </c>
      <c r="AG55" s="483" t="str">
        <f t="shared" ca="1" si="30"/>
        <v/>
      </c>
      <c r="AH55" s="400">
        <f ca="1">IF(MAX(IF($C$6="No",ROUNDUP($C$3/$I55,0),ROUNDUP(($C$3+$I55)/$I55,0)),IF($C$6="No",ROUNDUP($C$4/$G55,0),ROUNDUP(($C$4+$G55)/$G55,0)),ROUNDUP('BVMS checklist'!$H$217/$J55,0))&gt;1,'BVMS checklist'!$J$224,'BVMS checklist'!$J$217)</f>
        <v>0</v>
      </c>
      <c r="AI55" s="398">
        <f t="shared" ca="1" si="31"/>
        <v>2</v>
      </c>
      <c r="AJ55" s="400">
        <f t="shared" ca="1" si="32"/>
        <v>2</v>
      </c>
      <c r="AK55" s="400">
        <f t="shared" ca="1" si="33"/>
        <v>950</v>
      </c>
      <c r="AL55" s="400">
        <f t="shared" ca="1" si="34"/>
        <v>0</v>
      </c>
      <c r="AM55" s="398">
        <f t="shared" ca="1" si="35"/>
        <v>167580</v>
      </c>
      <c r="AN55" s="401" t="str">
        <f t="shared" ca="1" si="36"/>
        <v/>
      </c>
      <c r="AO55" s="398">
        <f t="shared" ca="1" si="37"/>
        <v>256</v>
      </c>
      <c r="AP55" s="400">
        <f ca="1">IF(MAX(IF($C$6="No",ROUNDUP($C$3/$I55,0),ROUNDUP(($C$3+$I55)/$I55,0)),IF($C$6="No",ROUNDUP($C$4/$G55,0),ROUNDUP(($C$4+$G55)/$G55,0)),ROUNDUP('BVMS checklist'!$H$217/$J55,0))&gt;1,'BVMS checklist'!$J$224,'BVMS checklist'!$J$217)+MAX(IF($C$6="No",ROUNDUP($C$3/$I55,0),ROUNDUP(($C$3+$I55)/$I55,0)),IF($C$6="No",ROUNDUP($C$4/$G55,0),ROUNDUP(($C$4+$G55)/$G55,0)))+$C$5</f>
        <v>1</v>
      </c>
      <c r="AQ55" s="400" t="b">
        <f t="shared" ca="1" si="8"/>
        <v>1</v>
      </c>
      <c r="AR55" s="400" t="str">
        <f t="shared" ca="1" si="38"/>
        <v>Accepted</v>
      </c>
      <c r="AS55" s="398" t="str">
        <f t="shared" ca="1" si="39"/>
        <v>No</v>
      </c>
      <c r="AT55" s="398" t="str">
        <f t="shared" ca="1" si="40"/>
        <v/>
      </c>
      <c r="AU55" s="398" t="str">
        <f t="shared" ca="1" si="41"/>
        <v/>
      </c>
      <c r="AV55" s="398">
        <f t="shared" ca="1" si="42"/>
        <v>6</v>
      </c>
      <c r="AW55" s="398">
        <f t="shared" ca="1" si="43"/>
        <v>2</v>
      </c>
      <c r="AX55" s="398">
        <f t="shared" ca="1" si="44"/>
        <v>192</v>
      </c>
      <c r="AY55" s="398">
        <f t="shared" ca="1" si="45"/>
        <v>167580</v>
      </c>
      <c r="AZ55" s="399">
        <f t="shared" si="542"/>
        <v>0</v>
      </c>
      <c r="BA55" s="399">
        <f t="shared" si="543"/>
        <v>0</v>
      </c>
      <c r="BB55" s="483" t="str">
        <f t="shared" ca="1" si="46"/>
        <v/>
      </c>
      <c r="BC55" s="400">
        <f ca="1">IF(MAX(IF($D$6="No",ROUNDUP($D$3/$I55,0),ROUNDUP(($D$3+$I55)/$I55,0)),IF($D$6="No",ROUNDUP($D$4/$G55,0),ROUNDUP(($D$4+$G55)/$G55,0)),ROUNDUP('BVMS checklist'!$H$217/$J55,0))&gt;1,'BVMS checklist'!$L$224,'BVMS checklist'!$L$217)</f>
        <v>0</v>
      </c>
      <c r="BD55" s="398">
        <f t="shared" ca="1" si="47"/>
        <v>2</v>
      </c>
      <c r="BE55" s="400">
        <f t="shared" si="48"/>
        <v>1</v>
      </c>
      <c r="BF55" s="400">
        <f t="shared" si="49"/>
        <v>475</v>
      </c>
      <c r="BG55" s="400">
        <f t="shared" ca="1" si="11"/>
        <v>0</v>
      </c>
      <c r="BH55" s="398">
        <f t="shared" ca="1" si="50"/>
        <v>167580</v>
      </c>
      <c r="BI55" s="401" t="str">
        <f t="shared" ca="1" si="51"/>
        <v/>
      </c>
      <c r="BJ55" s="398">
        <f t="shared" ca="1" si="52"/>
        <v>256</v>
      </c>
      <c r="BK55" s="400">
        <f ca="1">IF(MAX(IF($D$6="No",ROUNDUP($D$3/$I55,0),ROUNDUP(($D$3+$I55)/$I55,0)),IF($D$6="No",ROUNDUP($D$4/$G55,0),ROUNDUP(($D$4+$G55)/$G55,0)),ROUNDUP('BVMS checklist'!$H$217/$J55,0))&gt;1,'BVMS checklist'!$L$224,'BVMS checklist'!$L$217)+MAX(IF($D$6="No",ROUNDUP($D$3/$I55,0),ROUNDUP(($D$3+$I55)/$I55,0)),IF($D$6="No",ROUNDUP($D$4/$G55,0),ROUNDUP(($D$4+$G55)/$G55,0)))+$D$5</f>
        <v>1</v>
      </c>
      <c r="BL55" s="400" t="b">
        <f t="shared" ca="1" si="12"/>
        <v>1</v>
      </c>
      <c r="BM55" s="400" t="str">
        <f t="shared" ca="1" si="53"/>
        <v>Accepted</v>
      </c>
      <c r="BN55" s="398" t="str">
        <f t="shared" ca="1" si="13"/>
        <v>No</v>
      </c>
      <c r="BO55" s="398" t="str">
        <f t="shared" ca="1" si="54"/>
        <v/>
      </c>
      <c r="BP55" s="398" t="str">
        <f t="shared" ca="1" si="55"/>
        <v/>
      </c>
      <c r="BQ55" s="398">
        <f t="shared" ca="1" si="56"/>
        <v>6</v>
      </c>
      <c r="BR55" s="398">
        <f t="shared" ca="1" si="57"/>
        <v>2</v>
      </c>
      <c r="BS55" s="398">
        <f t="shared" ca="1" si="58"/>
        <v>192</v>
      </c>
      <c r="BT55" s="398">
        <f t="shared" ca="1" si="59"/>
        <v>167580</v>
      </c>
      <c r="BU55" s="399">
        <f t="shared" si="544"/>
        <v>0</v>
      </c>
      <c r="BV55" s="399">
        <f t="shared" si="545"/>
        <v>0</v>
      </c>
      <c r="BW55" s="483" t="str">
        <f t="shared" ca="1" si="60"/>
        <v/>
      </c>
      <c r="BX55" s="400">
        <f ca="1">IF(MAX(IF($E$6="No",ROUNDUP($E$3/$I55,0),ROUNDUP(($E$3+$I55)/$I55,0)),IF($E$6="No",ROUNDUP($E$4/$G55,0),ROUNDUP(($E$4+$G55)/$G55,0)),ROUNDUP('BVMS checklist'!$H$217/$J55,0))&gt;1,'BVMS checklist'!$N$224,'BVMS checklist'!$N$217)</f>
        <v>0</v>
      </c>
      <c r="BY55" s="398">
        <f t="shared" ca="1" si="61"/>
        <v>2</v>
      </c>
      <c r="BZ55" s="400">
        <f t="shared" ca="1" si="62"/>
        <v>2</v>
      </c>
      <c r="CA55" s="400">
        <f t="shared" ca="1" si="63"/>
        <v>950</v>
      </c>
      <c r="CB55" s="400">
        <f t="shared" ca="1" si="16"/>
        <v>0</v>
      </c>
      <c r="CC55" s="398">
        <f t="shared" ca="1" si="64"/>
        <v>167580</v>
      </c>
      <c r="CD55" s="401" t="str">
        <f t="shared" ca="1" si="65"/>
        <v/>
      </c>
      <c r="CE55" s="398">
        <f t="shared" ca="1" si="66"/>
        <v>256</v>
      </c>
      <c r="CF55" s="400">
        <f ca="1">IF(MAX(IF($E$6="No",ROUNDUP($E$3/$I55,0),ROUNDUP(($E$3+$I55)/$I55,0)),IF($E$6="No",ROUNDUP($E$4/$G55,0),ROUNDUP(($E$4+$G55)/$G55,0)),ROUNDUP('BVMS checklist'!$H$217/$J55,0))&gt;1,'BVMS checklist'!$N$224,'BVMS checklist'!$N$217)+MAX(IF($E$6="No",ROUNDUP($E$3/$I55,0),ROUNDUP(($E$3+$I55)/$I55,0)),IF($E$6="No",ROUNDUP($E$4/$G55,0),ROUNDUP(($E$4+$G55)/$G55,0)))+$E$5</f>
        <v>1</v>
      </c>
      <c r="CG55" s="400" t="b">
        <f t="shared" ca="1" si="17"/>
        <v>1</v>
      </c>
      <c r="CH55" s="400" t="str">
        <f t="shared" ca="1" si="67"/>
        <v>Accepted</v>
      </c>
      <c r="CI55" s="398" t="str">
        <f t="shared" ca="1" si="68"/>
        <v>No</v>
      </c>
      <c r="CJ55" s="398" t="str">
        <f t="shared" ca="1" si="69"/>
        <v/>
      </c>
      <c r="CK55" s="398" t="str">
        <f t="shared" ca="1" si="70"/>
        <v/>
      </c>
      <c r="CL55" s="398">
        <f t="shared" ca="1" si="71"/>
        <v>6</v>
      </c>
      <c r="CM55" s="398">
        <f t="shared" ca="1" si="72"/>
        <v>2</v>
      </c>
      <c r="CN55" s="398">
        <f t="shared" ca="1" si="73"/>
        <v>192</v>
      </c>
      <c r="CO55" s="398">
        <f t="shared" ca="1" si="74"/>
        <v>167580</v>
      </c>
      <c r="CP55" s="399">
        <f t="shared" si="546"/>
        <v>0</v>
      </c>
      <c r="CQ55" s="399">
        <f t="shared" si="547"/>
        <v>0</v>
      </c>
      <c r="CR55" s="483" t="str">
        <f t="shared" ca="1" si="75"/>
        <v/>
      </c>
      <c r="CS55"/>
    </row>
    <row r="56" spans="1:97">
      <c r="A56" s="398" t="s">
        <v>388</v>
      </c>
      <c r="B56" s="398" t="s">
        <v>987</v>
      </c>
      <c r="C56" s="440" t="s">
        <v>891</v>
      </c>
      <c r="D56" s="398">
        <v>1</v>
      </c>
      <c r="E56" s="398"/>
      <c r="F56" s="440">
        <v>0</v>
      </c>
      <c r="G56" s="398">
        <f>IF(C56="RAID5",(7-F56)*7448,(6-F56)*7448)</f>
        <v>52136</v>
      </c>
      <c r="H56" s="399">
        <v>64</v>
      </c>
      <c r="I56" s="399">
        <v>475</v>
      </c>
      <c r="J56" s="399">
        <v>128</v>
      </c>
      <c r="K56" s="399"/>
      <c r="L56" s="399"/>
      <c r="M56" s="400">
        <f ca="1">IF(MAX(IF($B$6="No",ROUNDUP($B$3/$I56,0),ROUNDUP(($B$3+$I56)/$I56,0)),IF($B$6="No",ROUNDUP($B$4/$G56,0),ROUNDUP(($B$4+$G56)/$G56,0)),ROUNDUP('BVMS checklist'!$H$217/$J56,0))&gt;1,'BVMS checklist'!$H$224,'BVMS checklist'!$H$217)</f>
        <v>0</v>
      </c>
      <c r="N56" s="398">
        <f t="shared" ca="1" si="20"/>
        <v>2</v>
      </c>
      <c r="O56" s="400">
        <f t="shared" ca="1" si="21"/>
        <v>2</v>
      </c>
      <c r="P56" s="400">
        <f t="shared" ca="1" si="0"/>
        <v>950</v>
      </c>
      <c r="Q56" s="400">
        <f t="shared" ca="1" si="1"/>
        <v>0</v>
      </c>
      <c r="R56" s="398">
        <f t="shared" ca="1" si="2"/>
        <v>104272</v>
      </c>
      <c r="S56" s="401" t="str">
        <f t="shared" ca="1" si="22"/>
        <v/>
      </c>
      <c r="T56" s="398">
        <f t="shared" ca="1" si="23"/>
        <v>256</v>
      </c>
      <c r="U56" s="400">
        <f ca="1">IF(MAX(IF($B$6="No",ROUNDUP($B$3/$I56,0),ROUNDUP(($B$3+$I56)/$I56,0)),IF($B$6="No",ROUNDUP($B$4/$G56,0),ROUNDUP(($B$4+$G56)/$G56,0)),ROUNDUP('BVMS checklist'!$H$217/$J56,0))&gt;1,'BVMS checklist'!$H$224,'BVMS checklist'!$H$217)+MAX(IF($B$6="No",ROUNDUP($B$3/$I56,0),ROUNDUP(($B$3+$I56)/$I56,0)),IF($B$6="No",ROUNDUP($B$4/$G56,0),ROUNDUP(($B$4+$G56)/$G56,0)))+$B$5</f>
        <v>1</v>
      </c>
      <c r="V56" s="400" t="b">
        <f t="shared" ca="1" si="3"/>
        <v>1</v>
      </c>
      <c r="W56" s="400" t="str">
        <f t="shared" ca="1" si="24"/>
        <v>Accepted</v>
      </c>
      <c r="X56" s="398" t="str">
        <f t="shared" ca="1" si="25"/>
        <v>No</v>
      </c>
      <c r="Y56" s="398" t="str">
        <f t="shared" ca="1" si="26"/>
        <v/>
      </c>
      <c r="Z56" s="398" t="str">
        <f t="shared" ca="1" si="27"/>
        <v/>
      </c>
      <c r="AA56" s="398">
        <f t="shared" ca="1" si="28"/>
        <v>6</v>
      </c>
      <c r="AB56" s="398">
        <f t="shared" ca="1" si="4"/>
        <v>2</v>
      </c>
      <c r="AC56" s="398">
        <f t="shared" ca="1" si="5"/>
        <v>128</v>
      </c>
      <c r="AD56" s="398">
        <f t="shared" ca="1" si="29"/>
        <v>104272</v>
      </c>
      <c r="AE56" s="399">
        <f t="shared" si="540"/>
        <v>0</v>
      </c>
      <c r="AF56" s="399">
        <f t="shared" si="541"/>
        <v>0</v>
      </c>
      <c r="AG56" s="483" t="str">
        <f t="shared" ca="1" si="30"/>
        <v/>
      </c>
      <c r="AH56" s="400">
        <f ca="1">IF(MAX(IF($C$6="No",ROUNDUP($C$3/$I56,0),ROUNDUP(($C$3+$I56)/$I56,0)),IF($C$6="No",ROUNDUP($C$4/$G56,0),ROUNDUP(($C$4+$G56)/$G56,0)),ROUNDUP('BVMS checklist'!$H$217/$J56,0))&gt;1,'BVMS checklist'!$J$224,'BVMS checklist'!$J$217)</f>
        <v>0</v>
      </c>
      <c r="AI56" s="398">
        <f t="shared" ca="1" si="31"/>
        <v>2</v>
      </c>
      <c r="AJ56" s="400">
        <f t="shared" ca="1" si="32"/>
        <v>2</v>
      </c>
      <c r="AK56" s="400">
        <f t="shared" ca="1" si="33"/>
        <v>950</v>
      </c>
      <c r="AL56" s="400">
        <f t="shared" ca="1" si="34"/>
        <v>0</v>
      </c>
      <c r="AM56" s="398">
        <f t="shared" ca="1" si="35"/>
        <v>104272</v>
      </c>
      <c r="AN56" s="401" t="str">
        <f t="shared" ca="1" si="36"/>
        <v/>
      </c>
      <c r="AO56" s="398">
        <f t="shared" ca="1" si="37"/>
        <v>256</v>
      </c>
      <c r="AP56" s="400">
        <f ca="1">IF(MAX(IF($C$6="No",ROUNDUP($C$3/$I56,0),ROUNDUP(($C$3+$I56)/$I56,0)),IF($C$6="No",ROUNDUP($C$4/$G56,0),ROUNDUP(($C$4+$G56)/$G56,0)),ROUNDUP('BVMS checklist'!$H$217/$J56,0))&gt;1,'BVMS checklist'!$J$224,'BVMS checklist'!$J$217)+MAX(IF($C$6="No",ROUNDUP($C$3/$I56,0),ROUNDUP(($C$3+$I56)/$I56,0)),IF($C$6="No",ROUNDUP($C$4/$G56,0),ROUNDUP(($C$4+$G56)/$G56,0)))+$C$5</f>
        <v>1</v>
      </c>
      <c r="AQ56" s="400" t="b">
        <f t="shared" ca="1" si="8"/>
        <v>1</v>
      </c>
      <c r="AR56" s="400" t="str">
        <f t="shared" ca="1" si="38"/>
        <v>Accepted</v>
      </c>
      <c r="AS56" s="398" t="str">
        <f t="shared" ca="1" si="39"/>
        <v>No</v>
      </c>
      <c r="AT56" s="398" t="str">
        <f t="shared" ca="1" si="40"/>
        <v/>
      </c>
      <c r="AU56" s="398" t="str">
        <f t="shared" ca="1" si="41"/>
        <v/>
      </c>
      <c r="AV56" s="398">
        <f t="shared" ca="1" si="42"/>
        <v>6</v>
      </c>
      <c r="AW56" s="398">
        <f t="shared" ca="1" si="43"/>
        <v>2</v>
      </c>
      <c r="AX56" s="398">
        <f t="shared" ca="1" si="44"/>
        <v>128</v>
      </c>
      <c r="AY56" s="398">
        <f t="shared" ca="1" si="45"/>
        <v>104272</v>
      </c>
      <c r="AZ56" s="399">
        <f t="shared" si="542"/>
        <v>0</v>
      </c>
      <c r="BA56" s="399">
        <f t="shared" si="543"/>
        <v>0</v>
      </c>
      <c r="BB56" s="483" t="str">
        <f t="shared" ca="1" si="46"/>
        <v/>
      </c>
      <c r="BC56" s="400">
        <f ca="1">IF(MAX(IF($D$6="No",ROUNDUP($D$3/$I56,0),ROUNDUP(($D$3+$I56)/$I56,0)),IF($D$6="No",ROUNDUP($D$4/$G56,0),ROUNDUP(($D$4+$G56)/$G56,0)),ROUNDUP('BVMS checklist'!$H$217/$J56,0))&gt;1,'BVMS checklist'!$L$224,'BVMS checklist'!$L$217)</f>
        <v>0</v>
      </c>
      <c r="BD56" s="398">
        <f t="shared" ca="1" si="47"/>
        <v>2</v>
      </c>
      <c r="BE56" s="400">
        <f t="shared" si="48"/>
        <v>1</v>
      </c>
      <c r="BF56" s="400">
        <f t="shared" si="49"/>
        <v>475</v>
      </c>
      <c r="BG56" s="400">
        <f t="shared" ca="1" si="11"/>
        <v>0</v>
      </c>
      <c r="BH56" s="398">
        <f t="shared" ca="1" si="50"/>
        <v>104272</v>
      </c>
      <c r="BI56" s="401" t="str">
        <f t="shared" ca="1" si="51"/>
        <v/>
      </c>
      <c r="BJ56" s="398">
        <f t="shared" ca="1" si="52"/>
        <v>256</v>
      </c>
      <c r="BK56" s="400">
        <f ca="1">IF(MAX(IF($D$6="No",ROUNDUP($D$3/$I56,0),ROUNDUP(($D$3+$I56)/$I56,0)),IF($D$6="No",ROUNDUP($D$4/$G56,0),ROUNDUP(($D$4+$G56)/$G56,0)),ROUNDUP('BVMS checklist'!$H$217/$J56,0))&gt;1,'BVMS checklist'!$L$224,'BVMS checklist'!$L$217)+MAX(IF($D$6="No",ROUNDUP($D$3/$I56,0),ROUNDUP(($D$3+$I56)/$I56,0)),IF($D$6="No",ROUNDUP($D$4/$G56,0),ROUNDUP(($D$4+$G56)/$G56,0)))+$D$5</f>
        <v>1</v>
      </c>
      <c r="BL56" s="400" t="b">
        <f t="shared" ca="1" si="12"/>
        <v>1</v>
      </c>
      <c r="BM56" s="400" t="str">
        <f t="shared" ca="1" si="53"/>
        <v>Accepted</v>
      </c>
      <c r="BN56" s="398" t="str">
        <f t="shared" ca="1" si="13"/>
        <v>No</v>
      </c>
      <c r="BO56" s="398" t="str">
        <f t="shared" ca="1" si="54"/>
        <v/>
      </c>
      <c r="BP56" s="398" t="str">
        <f t="shared" ca="1" si="55"/>
        <v/>
      </c>
      <c r="BQ56" s="398">
        <f t="shared" ca="1" si="56"/>
        <v>6</v>
      </c>
      <c r="BR56" s="398">
        <f t="shared" ca="1" si="57"/>
        <v>2</v>
      </c>
      <c r="BS56" s="398">
        <f t="shared" ca="1" si="58"/>
        <v>128</v>
      </c>
      <c r="BT56" s="398">
        <f t="shared" ca="1" si="59"/>
        <v>104272</v>
      </c>
      <c r="BU56" s="399">
        <f t="shared" si="544"/>
        <v>0</v>
      </c>
      <c r="BV56" s="399">
        <f t="shared" si="545"/>
        <v>0</v>
      </c>
      <c r="BW56" s="483" t="str">
        <f t="shared" ca="1" si="60"/>
        <v/>
      </c>
      <c r="BX56" s="400">
        <f ca="1">IF(MAX(IF($E$6="No",ROUNDUP($E$3/$I56,0),ROUNDUP(($E$3+$I56)/$I56,0)),IF($E$6="No",ROUNDUP($E$4/$G56,0),ROUNDUP(($E$4+$G56)/$G56,0)),ROUNDUP('BVMS checklist'!$H$217/$J56,0))&gt;1,'BVMS checklist'!$N$224,'BVMS checklist'!$N$217)</f>
        <v>0</v>
      </c>
      <c r="BY56" s="398">
        <f t="shared" ca="1" si="61"/>
        <v>2</v>
      </c>
      <c r="BZ56" s="400">
        <f t="shared" ca="1" si="62"/>
        <v>2</v>
      </c>
      <c r="CA56" s="400">
        <f t="shared" ca="1" si="63"/>
        <v>950</v>
      </c>
      <c r="CB56" s="400">
        <f t="shared" ca="1" si="16"/>
        <v>0</v>
      </c>
      <c r="CC56" s="398">
        <f t="shared" ca="1" si="64"/>
        <v>104272</v>
      </c>
      <c r="CD56" s="401" t="str">
        <f t="shared" ca="1" si="65"/>
        <v/>
      </c>
      <c r="CE56" s="398">
        <f t="shared" ca="1" si="66"/>
        <v>256</v>
      </c>
      <c r="CF56" s="400">
        <f ca="1">IF(MAX(IF($E$6="No",ROUNDUP($E$3/$I56,0),ROUNDUP(($E$3+$I56)/$I56,0)),IF($E$6="No",ROUNDUP($E$4/$G56,0),ROUNDUP(($E$4+$G56)/$G56,0)),ROUNDUP('BVMS checklist'!$H$217/$J56,0))&gt;1,'BVMS checklist'!$N$224,'BVMS checklist'!$N$217)+MAX(IF($E$6="No",ROUNDUP($E$3/$I56,0),ROUNDUP(($E$3+$I56)/$I56,0)),IF($E$6="No",ROUNDUP($E$4/$G56,0),ROUNDUP(($E$4+$G56)/$G56,0)))+$E$5</f>
        <v>1</v>
      </c>
      <c r="CG56" s="400" t="b">
        <f t="shared" ca="1" si="17"/>
        <v>1</v>
      </c>
      <c r="CH56" s="400" t="str">
        <f t="shared" ca="1" si="67"/>
        <v>Accepted</v>
      </c>
      <c r="CI56" s="398" t="str">
        <f t="shared" ca="1" si="68"/>
        <v>No</v>
      </c>
      <c r="CJ56" s="398" t="str">
        <f t="shared" ca="1" si="69"/>
        <v/>
      </c>
      <c r="CK56" s="398" t="str">
        <f t="shared" ca="1" si="70"/>
        <v/>
      </c>
      <c r="CL56" s="398">
        <f t="shared" ca="1" si="71"/>
        <v>6</v>
      </c>
      <c r="CM56" s="398">
        <f t="shared" ca="1" si="72"/>
        <v>2</v>
      </c>
      <c r="CN56" s="398">
        <f t="shared" ca="1" si="73"/>
        <v>128</v>
      </c>
      <c r="CO56" s="398">
        <f t="shared" ca="1" si="74"/>
        <v>104272</v>
      </c>
      <c r="CP56" s="399">
        <f t="shared" si="546"/>
        <v>0</v>
      </c>
      <c r="CQ56" s="399">
        <f t="shared" si="547"/>
        <v>0</v>
      </c>
      <c r="CR56" s="483" t="str">
        <f t="shared" ca="1" si="75"/>
        <v/>
      </c>
      <c r="CS56"/>
    </row>
    <row r="57" spans="1:97">
      <c r="A57" s="398" t="s">
        <v>390</v>
      </c>
      <c r="B57" s="398" t="s">
        <v>987</v>
      </c>
      <c r="C57" s="440" t="s">
        <v>891</v>
      </c>
      <c r="D57" s="398">
        <v>1</v>
      </c>
      <c r="E57" s="398"/>
      <c r="F57" s="440">
        <v>0</v>
      </c>
      <c r="G57" s="398">
        <f>IF(C57="RAID5",(15-F57)*7448,(14-F57)*7448)</f>
        <v>111720</v>
      </c>
      <c r="H57" s="399">
        <v>128</v>
      </c>
      <c r="I57" s="399">
        <v>475</v>
      </c>
      <c r="J57" s="399">
        <v>128</v>
      </c>
      <c r="K57" s="399"/>
      <c r="L57" s="399"/>
      <c r="M57" s="400">
        <f ca="1">IF(MAX(IF($B$6="No",ROUNDUP($B$3/$I57,0),ROUNDUP(($B$3+$I57)/$I57,0)),IF($B$6="No",ROUNDUP($B$4/$G57,0),ROUNDUP(($B$4+$G57)/$G57,0)),ROUNDUP('BVMS checklist'!$H$217/$J57,0))&gt;1,'BVMS checklist'!$H$224,'BVMS checklist'!$H$217)</f>
        <v>0</v>
      </c>
      <c r="N57" s="398">
        <f t="shared" ca="1" si="20"/>
        <v>2</v>
      </c>
      <c r="O57" s="400">
        <f t="shared" ca="1" si="21"/>
        <v>2</v>
      </c>
      <c r="P57" s="400">
        <f t="shared" ca="1" si="0"/>
        <v>950</v>
      </c>
      <c r="Q57" s="400">
        <f t="shared" ca="1" si="1"/>
        <v>0</v>
      </c>
      <c r="R57" s="398">
        <f t="shared" ca="1" si="2"/>
        <v>223440</v>
      </c>
      <c r="S57" s="401" t="str">
        <f t="shared" ca="1" si="22"/>
        <v/>
      </c>
      <c r="T57" s="398">
        <f t="shared" ca="1" si="23"/>
        <v>256</v>
      </c>
      <c r="U57" s="400">
        <f ca="1">IF(MAX(IF($B$6="No",ROUNDUP($B$3/$I57,0),ROUNDUP(($B$3+$I57)/$I57,0)),IF($B$6="No",ROUNDUP($B$4/$G57,0),ROUNDUP(($B$4+$G57)/$G57,0)),ROUNDUP('BVMS checklist'!$H$217/$J57,0))&gt;1,'BVMS checklist'!$H$224,'BVMS checklist'!$H$217)+MAX(IF($B$6="No",ROUNDUP($B$3/$I57,0),ROUNDUP(($B$3+$I57)/$I57,0)),IF($B$6="No",ROUNDUP($B$4/$G57,0),ROUNDUP(($B$4+$G57)/$G57,0)))+$B$5</f>
        <v>1</v>
      </c>
      <c r="V57" s="400" t="b">
        <f t="shared" ca="1" si="3"/>
        <v>1</v>
      </c>
      <c r="W57" s="400" t="str">
        <f t="shared" ca="1" si="24"/>
        <v>Accepted</v>
      </c>
      <c r="X57" s="398" t="str">
        <f t="shared" ca="1" si="25"/>
        <v>No</v>
      </c>
      <c r="Y57" s="398" t="str">
        <f t="shared" ca="1" si="26"/>
        <v/>
      </c>
      <c r="Z57" s="398" t="str">
        <f t="shared" ca="1" si="27"/>
        <v/>
      </c>
      <c r="AA57" s="398">
        <f t="shared" ca="1" si="28"/>
        <v>6</v>
      </c>
      <c r="AB57" s="398">
        <f t="shared" ca="1" si="4"/>
        <v>2</v>
      </c>
      <c r="AC57" s="398">
        <f t="shared" ca="1" si="5"/>
        <v>256</v>
      </c>
      <c r="AD57" s="398">
        <f t="shared" ca="1" si="29"/>
        <v>223440</v>
      </c>
      <c r="AE57" s="399">
        <f t="shared" si="540"/>
        <v>0</v>
      </c>
      <c r="AF57" s="399">
        <f t="shared" si="541"/>
        <v>0</v>
      </c>
      <c r="AG57" s="483" t="str">
        <f t="shared" ca="1" si="30"/>
        <v/>
      </c>
      <c r="AH57" s="400">
        <f ca="1">IF(MAX(IF($C$6="No",ROUNDUP($C$3/$I57,0),ROUNDUP(($C$3+$I57)/$I57,0)),IF($C$6="No",ROUNDUP($C$4/$G57,0),ROUNDUP(($C$4+$G57)/$G57,0)),ROUNDUP('BVMS checklist'!$H$217/$J57,0))&gt;1,'BVMS checklist'!$J$224,'BVMS checklist'!$J$217)</f>
        <v>0</v>
      </c>
      <c r="AI57" s="398">
        <f t="shared" ca="1" si="31"/>
        <v>2</v>
      </c>
      <c r="AJ57" s="400">
        <f t="shared" ca="1" si="32"/>
        <v>2</v>
      </c>
      <c r="AK57" s="400">
        <f t="shared" ca="1" si="33"/>
        <v>950</v>
      </c>
      <c r="AL57" s="400">
        <f t="shared" ca="1" si="34"/>
        <v>0</v>
      </c>
      <c r="AM57" s="398">
        <f t="shared" ca="1" si="35"/>
        <v>223440</v>
      </c>
      <c r="AN57" s="401" t="str">
        <f t="shared" ca="1" si="36"/>
        <v/>
      </c>
      <c r="AO57" s="398">
        <f t="shared" ca="1" si="37"/>
        <v>256</v>
      </c>
      <c r="AP57" s="400">
        <f ca="1">IF(MAX(IF($C$6="No",ROUNDUP($C$3/$I57,0),ROUNDUP(($C$3+$I57)/$I57,0)),IF($C$6="No",ROUNDUP($C$4/$G57,0),ROUNDUP(($C$4+$G57)/$G57,0)),ROUNDUP('BVMS checklist'!$H$217/$J57,0))&gt;1,'BVMS checklist'!$J$224,'BVMS checklist'!$J$217)+MAX(IF($C$6="No",ROUNDUP($C$3/$I57,0),ROUNDUP(($C$3+$I57)/$I57,0)),IF($C$6="No",ROUNDUP($C$4/$G57,0),ROUNDUP(($C$4+$G57)/$G57,0)))+$C$5</f>
        <v>1</v>
      </c>
      <c r="AQ57" s="400" t="b">
        <f t="shared" ca="1" si="8"/>
        <v>1</v>
      </c>
      <c r="AR57" s="400" t="str">
        <f t="shared" ca="1" si="38"/>
        <v>Accepted</v>
      </c>
      <c r="AS57" s="398" t="str">
        <f t="shared" ca="1" si="39"/>
        <v>No</v>
      </c>
      <c r="AT57" s="398" t="str">
        <f t="shared" ca="1" si="40"/>
        <v/>
      </c>
      <c r="AU57" s="398" t="str">
        <f t="shared" ca="1" si="41"/>
        <v/>
      </c>
      <c r="AV57" s="398">
        <f t="shared" ca="1" si="42"/>
        <v>6</v>
      </c>
      <c r="AW57" s="398">
        <f t="shared" ca="1" si="43"/>
        <v>2</v>
      </c>
      <c r="AX57" s="398">
        <f t="shared" ca="1" si="44"/>
        <v>256</v>
      </c>
      <c r="AY57" s="398">
        <f t="shared" ca="1" si="45"/>
        <v>223440</v>
      </c>
      <c r="AZ57" s="399">
        <f t="shared" si="542"/>
        <v>0</v>
      </c>
      <c r="BA57" s="399">
        <f t="shared" si="543"/>
        <v>0</v>
      </c>
      <c r="BB57" s="483" t="str">
        <f t="shared" ca="1" si="46"/>
        <v/>
      </c>
      <c r="BC57" s="400">
        <f ca="1">IF(MAX(IF($D$6="No",ROUNDUP($D$3/$I57,0),ROUNDUP(($D$3+$I57)/$I57,0)),IF($D$6="No",ROUNDUP($D$4/$G57,0),ROUNDUP(($D$4+$G57)/$G57,0)),ROUNDUP('BVMS checklist'!$H$217/$J57,0))&gt;1,'BVMS checklist'!$L$224,'BVMS checklist'!$L$217)</f>
        <v>0</v>
      </c>
      <c r="BD57" s="398">
        <f t="shared" ca="1" si="47"/>
        <v>2</v>
      </c>
      <c r="BE57" s="400">
        <f t="shared" si="48"/>
        <v>1</v>
      </c>
      <c r="BF57" s="400">
        <f t="shared" si="49"/>
        <v>475</v>
      </c>
      <c r="BG57" s="400">
        <f t="shared" ca="1" si="11"/>
        <v>0</v>
      </c>
      <c r="BH57" s="398">
        <f t="shared" ca="1" si="50"/>
        <v>223440</v>
      </c>
      <c r="BI57" s="401" t="str">
        <f t="shared" ca="1" si="51"/>
        <v/>
      </c>
      <c r="BJ57" s="398">
        <f t="shared" ca="1" si="52"/>
        <v>256</v>
      </c>
      <c r="BK57" s="400">
        <f ca="1">IF(MAX(IF($D$6="No",ROUNDUP($D$3/$I57,0),ROUNDUP(($D$3+$I57)/$I57,0)),IF($D$6="No",ROUNDUP($D$4/$G57,0),ROUNDUP(($D$4+$G57)/$G57,0)),ROUNDUP('BVMS checklist'!$H$217/$J57,0))&gt;1,'BVMS checklist'!$L$224,'BVMS checklist'!$L$217)+MAX(IF($D$6="No",ROUNDUP($D$3/$I57,0),ROUNDUP(($D$3+$I57)/$I57,0)),IF($D$6="No",ROUNDUP($D$4/$G57,0),ROUNDUP(($D$4+$G57)/$G57,0)))+$D$5</f>
        <v>1</v>
      </c>
      <c r="BL57" s="400" t="b">
        <f t="shared" ca="1" si="12"/>
        <v>1</v>
      </c>
      <c r="BM57" s="400" t="str">
        <f t="shared" ca="1" si="53"/>
        <v>Accepted</v>
      </c>
      <c r="BN57" s="398" t="str">
        <f t="shared" ca="1" si="13"/>
        <v>No</v>
      </c>
      <c r="BO57" s="398" t="str">
        <f t="shared" ca="1" si="54"/>
        <v/>
      </c>
      <c r="BP57" s="398" t="str">
        <f t="shared" ca="1" si="55"/>
        <v/>
      </c>
      <c r="BQ57" s="398">
        <f t="shared" ca="1" si="56"/>
        <v>6</v>
      </c>
      <c r="BR57" s="398">
        <f t="shared" ca="1" si="57"/>
        <v>2</v>
      </c>
      <c r="BS57" s="398">
        <f t="shared" ca="1" si="58"/>
        <v>256</v>
      </c>
      <c r="BT57" s="398">
        <f t="shared" ca="1" si="59"/>
        <v>223440</v>
      </c>
      <c r="BU57" s="399">
        <f t="shared" si="544"/>
        <v>0</v>
      </c>
      <c r="BV57" s="399">
        <f t="shared" si="545"/>
        <v>0</v>
      </c>
      <c r="BW57" s="483" t="str">
        <f t="shared" ca="1" si="60"/>
        <v/>
      </c>
      <c r="BX57" s="400">
        <f ca="1">IF(MAX(IF($E$6="No",ROUNDUP($E$3/$I57,0),ROUNDUP(($E$3+$I57)/$I57,0)),IF($E$6="No",ROUNDUP($E$4/$G57,0),ROUNDUP(($E$4+$G57)/$G57,0)),ROUNDUP('BVMS checklist'!$H$217/$J57,0))&gt;1,'BVMS checklist'!$N$224,'BVMS checklist'!$N$217)</f>
        <v>0</v>
      </c>
      <c r="BY57" s="398">
        <f t="shared" ca="1" si="61"/>
        <v>2</v>
      </c>
      <c r="BZ57" s="400">
        <f t="shared" ca="1" si="62"/>
        <v>2</v>
      </c>
      <c r="CA57" s="400">
        <f t="shared" ca="1" si="63"/>
        <v>950</v>
      </c>
      <c r="CB57" s="400">
        <f t="shared" ca="1" si="16"/>
        <v>0</v>
      </c>
      <c r="CC57" s="398">
        <f t="shared" ca="1" si="64"/>
        <v>223440</v>
      </c>
      <c r="CD57" s="401" t="str">
        <f t="shared" ca="1" si="65"/>
        <v/>
      </c>
      <c r="CE57" s="398">
        <f t="shared" ca="1" si="66"/>
        <v>256</v>
      </c>
      <c r="CF57" s="400">
        <f ca="1">IF(MAX(IF($E$6="No",ROUNDUP($E$3/$I57,0),ROUNDUP(($E$3+$I57)/$I57,0)),IF($E$6="No",ROUNDUP($E$4/$G57,0),ROUNDUP(($E$4+$G57)/$G57,0)),ROUNDUP('BVMS checklist'!$H$217/$J57,0))&gt;1,'BVMS checklist'!$N$224,'BVMS checklist'!$N$217)+MAX(IF($E$6="No",ROUNDUP($E$3/$I57,0),ROUNDUP(($E$3+$I57)/$I57,0)),IF($E$6="No",ROUNDUP($E$4/$G57,0),ROUNDUP(($E$4+$G57)/$G57,0)))+$E$5</f>
        <v>1</v>
      </c>
      <c r="CG57" s="400" t="b">
        <f t="shared" ca="1" si="17"/>
        <v>1</v>
      </c>
      <c r="CH57" s="400" t="str">
        <f t="shared" ca="1" si="67"/>
        <v>Accepted</v>
      </c>
      <c r="CI57" s="398" t="str">
        <f t="shared" ca="1" si="68"/>
        <v>No</v>
      </c>
      <c r="CJ57" s="398" t="str">
        <f t="shared" ca="1" si="69"/>
        <v/>
      </c>
      <c r="CK57" s="398" t="str">
        <f t="shared" ca="1" si="70"/>
        <v/>
      </c>
      <c r="CL57" s="398">
        <f t="shared" ca="1" si="71"/>
        <v>6</v>
      </c>
      <c r="CM57" s="398">
        <f t="shared" ca="1" si="72"/>
        <v>2</v>
      </c>
      <c r="CN57" s="398">
        <f t="shared" ca="1" si="73"/>
        <v>256</v>
      </c>
      <c r="CO57" s="398">
        <f t="shared" ca="1" si="74"/>
        <v>223440</v>
      </c>
      <c r="CP57" s="399">
        <f t="shared" si="546"/>
        <v>0</v>
      </c>
      <c r="CQ57" s="399">
        <f t="shared" si="547"/>
        <v>0</v>
      </c>
      <c r="CR57" s="483" t="str">
        <f t="shared" ca="1" si="75"/>
        <v/>
      </c>
      <c r="CS57"/>
    </row>
    <row r="58" spans="1:97">
      <c r="A58" s="398" t="s">
        <v>335</v>
      </c>
      <c r="B58" s="398" t="s">
        <v>987</v>
      </c>
      <c r="C58" s="440" t="s">
        <v>891</v>
      </c>
      <c r="D58" s="398">
        <v>2</v>
      </c>
      <c r="E58" s="398"/>
      <c r="F58" s="440">
        <v>0</v>
      </c>
      <c r="G58" s="398">
        <f>IF(C58="RAID5",2*(((7-F58)*2793)),2*(((6-F58)*2793)))</f>
        <v>39102</v>
      </c>
      <c r="H58" s="399">
        <v>48</v>
      </c>
      <c r="I58" s="399">
        <v>1025</v>
      </c>
      <c r="J58" s="399">
        <v>256</v>
      </c>
      <c r="K58" s="399"/>
      <c r="L58" s="399"/>
      <c r="M58" s="400">
        <f ca="1">IF(MAX(IF($B$6="No",ROUNDUP($B$3/$I58,0),ROUNDUP(($B$3+$I58)/$I58,0)),IF($B$6="No",ROUNDUP($B$4/$G58,0),ROUNDUP(($B$4+$G58)/$G58,0)),ROUNDUP('BVMS checklist'!$H$217/$J58,0))&gt;1,'BVMS checklist'!$H$224,'BVMS checklist'!$H$217)</f>
        <v>0</v>
      </c>
      <c r="N58" s="398">
        <f t="shared" ca="1" si="20"/>
        <v>2</v>
      </c>
      <c r="O58" s="400">
        <f t="shared" ca="1" si="21"/>
        <v>2</v>
      </c>
      <c r="P58" s="400">
        <f t="shared" ca="1" si="0"/>
        <v>2050</v>
      </c>
      <c r="Q58" s="400">
        <f t="shared" ca="1" si="1"/>
        <v>0</v>
      </c>
      <c r="R58" s="398">
        <f t="shared" ca="1" si="2"/>
        <v>78204</v>
      </c>
      <c r="S58" s="401" t="str">
        <f t="shared" ca="1" si="22"/>
        <v/>
      </c>
      <c r="T58" s="398">
        <f t="shared" ca="1" si="23"/>
        <v>512</v>
      </c>
      <c r="U58" s="400">
        <f ca="1">IF(MAX(IF($B$6="No",ROUNDUP($B$3/$I58,0),ROUNDUP(($B$3+$I58)/$I58,0)),IF($B$6="No",ROUNDUP($B$4/$G58,0),ROUNDUP(($B$4+$G58)/$G58,0)),ROUNDUP('BVMS checklist'!$H$217/$J58,0))&gt;1,'BVMS checklist'!$H$224,'BVMS checklist'!$H$217)+MAX(IF($B$6="No",ROUNDUP($B$3/$I58,0),ROUNDUP(($B$3+$I58)/$I58,0)),IF($B$6="No",ROUNDUP($B$4/$G58,0),ROUNDUP(($B$4+$G58)/$G58,0)))+$B$5</f>
        <v>1</v>
      </c>
      <c r="V58" s="400" t="b">
        <f t="shared" ca="1" si="3"/>
        <v>1</v>
      </c>
      <c r="W58" s="400" t="str">
        <f t="shared" ca="1" si="24"/>
        <v>Accepted</v>
      </c>
      <c r="X58" s="398" t="str">
        <f t="shared" ca="1" si="25"/>
        <v>No</v>
      </c>
      <c r="Y58" s="398" t="str">
        <f t="shared" ca="1" si="26"/>
        <v/>
      </c>
      <c r="Z58" s="398" t="str">
        <f t="shared" ca="1" si="27"/>
        <v/>
      </c>
      <c r="AA58" s="398">
        <f t="shared" ca="1" si="28"/>
        <v>6</v>
      </c>
      <c r="AB58" s="398">
        <f t="shared" ca="1" si="4"/>
        <v>2</v>
      </c>
      <c r="AC58" s="398">
        <f t="shared" ca="1" si="5"/>
        <v>96</v>
      </c>
      <c r="AD58" s="398">
        <f t="shared" ca="1" si="29"/>
        <v>78204</v>
      </c>
      <c r="AE58" s="399">
        <f t="shared" si="540"/>
        <v>0</v>
      </c>
      <c r="AF58" s="399">
        <f t="shared" si="541"/>
        <v>0</v>
      </c>
      <c r="AG58" s="483" t="str">
        <f t="shared" ca="1" si="30"/>
        <v/>
      </c>
      <c r="AH58" s="400">
        <f ca="1">IF(MAX(IF($C$6="No",ROUNDUP($C$3/$I58,0),ROUNDUP(($C$3+$I58)/$I58,0)),IF($C$6="No",ROUNDUP($C$4/$G58,0),ROUNDUP(($C$4+$G58)/$G58,0)),ROUNDUP('BVMS checklist'!$H$217/$J58,0))&gt;1,'BVMS checklist'!$J$224,'BVMS checklist'!$J$217)</f>
        <v>0</v>
      </c>
      <c r="AI58" s="398">
        <f t="shared" ca="1" si="31"/>
        <v>2</v>
      </c>
      <c r="AJ58" s="400">
        <f t="shared" ca="1" si="32"/>
        <v>2</v>
      </c>
      <c r="AK58" s="400">
        <f t="shared" ca="1" si="33"/>
        <v>2050</v>
      </c>
      <c r="AL58" s="400">
        <f t="shared" ca="1" si="34"/>
        <v>0</v>
      </c>
      <c r="AM58" s="398">
        <f t="shared" ca="1" si="35"/>
        <v>78204</v>
      </c>
      <c r="AN58" s="401" t="str">
        <f t="shared" ca="1" si="36"/>
        <v/>
      </c>
      <c r="AO58" s="398">
        <f t="shared" ca="1" si="37"/>
        <v>512</v>
      </c>
      <c r="AP58" s="400">
        <f ca="1">IF(MAX(IF($C$6="No",ROUNDUP($C$3/$I58,0),ROUNDUP(($C$3+$I58)/$I58,0)),IF($C$6="No",ROUNDUP($C$4/$G58,0),ROUNDUP(($C$4+$G58)/$G58,0)),ROUNDUP('BVMS checklist'!$H$217/$J58,0))&gt;1,'BVMS checklist'!$J$224,'BVMS checklist'!$J$217)+MAX(IF($C$6="No",ROUNDUP($C$3/$I58,0),ROUNDUP(($C$3+$I58)/$I58,0)),IF($C$6="No",ROUNDUP($C$4/$G58,0),ROUNDUP(($C$4+$G58)/$G58,0)))+$C$5</f>
        <v>1</v>
      </c>
      <c r="AQ58" s="400" t="b">
        <f t="shared" ca="1" si="8"/>
        <v>1</v>
      </c>
      <c r="AR58" s="400" t="str">
        <f t="shared" ca="1" si="38"/>
        <v>Accepted</v>
      </c>
      <c r="AS58" s="398" t="str">
        <f ca="1">IF(AND(AP58&lt;AO58,AL58&lt;$I58,$B58="Active",AR58="Accepted"),"Yes","No")</f>
        <v>No</v>
      </c>
      <c r="AT58" s="398" t="str">
        <f t="shared" ca="1" si="40"/>
        <v/>
      </c>
      <c r="AU58" s="398" t="str">
        <f t="shared" ca="1" si="41"/>
        <v/>
      </c>
      <c r="AV58" s="398">
        <f t="shared" ca="1" si="42"/>
        <v>6</v>
      </c>
      <c r="AW58" s="398">
        <f t="shared" ca="1" si="43"/>
        <v>2</v>
      </c>
      <c r="AX58" s="398">
        <f t="shared" ca="1" si="44"/>
        <v>96</v>
      </c>
      <c r="AY58" s="398">
        <f t="shared" ca="1" si="45"/>
        <v>78204</v>
      </c>
      <c r="AZ58" s="399">
        <f t="shared" si="542"/>
        <v>0</v>
      </c>
      <c r="BA58" s="399">
        <f t="shared" si="543"/>
        <v>0</v>
      </c>
      <c r="BB58" s="483" t="str">
        <f t="shared" ca="1" si="46"/>
        <v/>
      </c>
      <c r="BC58" s="400">
        <f ca="1">IF(MAX(IF($D$6="No",ROUNDUP($D$3/$I58,0),ROUNDUP(($D$3+$I58)/$I58,0)),IF($D$6="No",ROUNDUP($D$4/$G58,0),ROUNDUP(($D$4+$G58)/$G58,0)),ROUNDUP('BVMS checklist'!$H$217/$J58,0))&gt;1,'BVMS checklist'!$L$224,'BVMS checklist'!$L$217)</f>
        <v>0</v>
      </c>
      <c r="BD58" s="398">
        <f t="shared" ca="1" si="47"/>
        <v>2</v>
      </c>
      <c r="BE58" s="400">
        <f t="shared" si="48"/>
        <v>1</v>
      </c>
      <c r="BF58" s="400">
        <f t="shared" si="49"/>
        <v>1025</v>
      </c>
      <c r="BG58" s="400">
        <f t="shared" ca="1" si="11"/>
        <v>0</v>
      </c>
      <c r="BH58" s="398">
        <f t="shared" ca="1" si="50"/>
        <v>78204</v>
      </c>
      <c r="BI58" s="401" t="str">
        <f t="shared" ca="1" si="51"/>
        <v/>
      </c>
      <c r="BJ58" s="398">
        <f t="shared" ca="1" si="52"/>
        <v>512</v>
      </c>
      <c r="BK58" s="400">
        <f ca="1">IF(MAX(IF($D$6="No",ROUNDUP($D$3/$I58,0),ROUNDUP(($D$3+$I58)/$I58,0)),IF($D$6="No",ROUNDUP($D$4/$G58,0),ROUNDUP(($D$4+$G58)/$G58,0)),ROUNDUP('BVMS checklist'!$H$217/$J58,0))&gt;1,'BVMS checklist'!$L$224,'BVMS checklist'!$L$217)+MAX(IF($D$6="No",ROUNDUP($D$3/$I58,0),ROUNDUP(($D$3+$I58)/$I58,0)),IF($D$6="No",ROUNDUP($D$4/$G58,0),ROUNDUP(($D$4+$G58)/$G58,0)))+$D$5</f>
        <v>1</v>
      </c>
      <c r="BL58" s="400" t="b">
        <f t="shared" ca="1" si="12"/>
        <v>1</v>
      </c>
      <c r="BM58" s="400" t="str">
        <f t="shared" ca="1" si="53"/>
        <v>Accepted</v>
      </c>
      <c r="BN58" s="398" t="str">
        <f t="shared" ca="1" si="13"/>
        <v>No</v>
      </c>
      <c r="BO58" s="398" t="str">
        <f t="shared" ca="1" si="54"/>
        <v/>
      </c>
      <c r="BP58" s="398" t="str">
        <f t="shared" ca="1" si="55"/>
        <v/>
      </c>
      <c r="BQ58" s="398">
        <f t="shared" ca="1" si="56"/>
        <v>6</v>
      </c>
      <c r="BR58" s="398">
        <f t="shared" ca="1" si="57"/>
        <v>2</v>
      </c>
      <c r="BS58" s="398">
        <f t="shared" ca="1" si="58"/>
        <v>96</v>
      </c>
      <c r="BT58" s="398">
        <f t="shared" ca="1" si="59"/>
        <v>78204</v>
      </c>
      <c r="BU58" s="399">
        <f t="shared" si="544"/>
        <v>0</v>
      </c>
      <c r="BV58" s="399">
        <f t="shared" si="545"/>
        <v>0</v>
      </c>
      <c r="BW58" s="483" t="str">
        <f t="shared" ca="1" si="60"/>
        <v/>
      </c>
      <c r="BX58" s="400">
        <f ca="1">IF(MAX(IF($E$6="No",ROUNDUP($E$3/$I58,0),ROUNDUP(($E$3+$I58)/$I58,0)),IF($E$6="No",ROUNDUP($E$4/$G58,0),ROUNDUP(($E$4+$G58)/$G58,0)),ROUNDUP('BVMS checklist'!$H$217/$J58,0))&gt;1,'BVMS checklist'!$N$224,'BVMS checklist'!$N$217)</f>
        <v>0</v>
      </c>
      <c r="BY58" s="398">
        <f t="shared" ca="1" si="61"/>
        <v>2</v>
      </c>
      <c r="BZ58" s="400">
        <f t="shared" ca="1" si="62"/>
        <v>2</v>
      </c>
      <c r="CA58" s="400">
        <f t="shared" ca="1" si="63"/>
        <v>2050</v>
      </c>
      <c r="CB58" s="400">
        <f t="shared" ca="1" si="16"/>
        <v>0</v>
      </c>
      <c r="CC58" s="398">
        <f t="shared" ca="1" si="64"/>
        <v>78204</v>
      </c>
      <c r="CD58" s="401" t="str">
        <f t="shared" ca="1" si="65"/>
        <v/>
      </c>
      <c r="CE58" s="398">
        <f t="shared" ca="1" si="66"/>
        <v>512</v>
      </c>
      <c r="CF58" s="400">
        <f ca="1">IF(MAX(IF($E$6="No",ROUNDUP($E$3/$I58,0),ROUNDUP(($E$3+$I58)/$I58,0)),IF($E$6="No",ROUNDUP($E$4/$G58,0),ROUNDUP(($E$4+$G58)/$G58,0)),ROUNDUP('BVMS checklist'!$H$217/$J58,0))&gt;1,'BVMS checklist'!$N$224,'BVMS checklist'!$N$217)+MAX(IF($E$6="No",ROUNDUP($E$3/$I58,0),ROUNDUP(($E$3+$I58)/$I58,0)),IF($E$6="No",ROUNDUP($E$4/$G58,0),ROUNDUP(($E$4+$G58)/$G58,0)))+$E$5</f>
        <v>1</v>
      </c>
      <c r="CG58" s="400" t="b">
        <f t="shared" ca="1" si="17"/>
        <v>1</v>
      </c>
      <c r="CH58" s="400" t="str">
        <f t="shared" ca="1" si="67"/>
        <v>Accepted</v>
      </c>
      <c r="CI58" s="398" t="str">
        <f t="shared" ca="1" si="68"/>
        <v>No</v>
      </c>
      <c r="CJ58" s="398" t="str">
        <f t="shared" ca="1" si="69"/>
        <v/>
      </c>
      <c r="CK58" s="398" t="str">
        <f t="shared" ca="1" si="70"/>
        <v/>
      </c>
      <c r="CL58" s="398">
        <f t="shared" ca="1" si="71"/>
        <v>6</v>
      </c>
      <c r="CM58" s="398">
        <f t="shared" ca="1" si="72"/>
        <v>2</v>
      </c>
      <c r="CN58" s="398">
        <f t="shared" ca="1" si="73"/>
        <v>96</v>
      </c>
      <c r="CO58" s="398">
        <f t="shared" ca="1" si="74"/>
        <v>78204</v>
      </c>
      <c r="CP58" s="399">
        <f t="shared" si="546"/>
        <v>0</v>
      </c>
      <c r="CQ58" s="399">
        <f t="shared" si="547"/>
        <v>0</v>
      </c>
      <c r="CR58" s="483" t="str">
        <f t="shared" ca="1" si="75"/>
        <v/>
      </c>
      <c r="CS58"/>
    </row>
    <row r="59" spans="1:97">
      <c r="A59" s="398" t="s">
        <v>336</v>
      </c>
      <c r="B59" s="398" t="s">
        <v>987</v>
      </c>
      <c r="C59" s="440" t="s">
        <v>891</v>
      </c>
      <c r="D59" s="398">
        <v>3</v>
      </c>
      <c r="E59" s="398"/>
      <c r="F59" s="440">
        <v>0</v>
      </c>
      <c r="G59" s="398">
        <f>IF(C59="RAID5",3*(((7-F59)*2793)),3*(((6-F59)*2793)))</f>
        <v>58653</v>
      </c>
      <c r="H59" s="399">
        <v>72</v>
      </c>
      <c r="I59" s="399">
        <v>1575</v>
      </c>
      <c r="J59" s="399">
        <v>384</v>
      </c>
      <c r="K59" s="399"/>
      <c r="L59" s="399"/>
      <c r="M59" s="400">
        <f ca="1">IF(MAX(IF($B$6="No",ROUNDUP($B$3/$I59,0),ROUNDUP(($B$3+$I59)/$I59,0)),IF($B$6="No",ROUNDUP($B$4/$G59,0),ROUNDUP(($B$4+$G59)/$G59,0)),ROUNDUP('BVMS checklist'!$H$217/$J59,0))&gt;1,'BVMS checklist'!$H$224,'BVMS checklist'!$H$217)</f>
        <v>0</v>
      </c>
      <c r="N59" s="398">
        <f t="shared" ca="1" si="20"/>
        <v>2</v>
      </c>
      <c r="O59" s="400">
        <f t="shared" ca="1" si="21"/>
        <v>2</v>
      </c>
      <c r="P59" s="400">
        <f t="shared" ca="1" si="0"/>
        <v>3150</v>
      </c>
      <c r="Q59" s="400">
        <f t="shared" ca="1" si="1"/>
        <v>0</v>
      </c>
      <c r="R59" s="398">
        <f t="shared" ca="1" si="2"/>
        <v>117306</v>
      </c>
      <c r="S59" s="401" t="str">
        <f t="shared" ca="1" si="22"/>
        <v/>
      </c>
      <c r="T59" s="398">
        <f t="shared" ca="1" si="23"/>
        <v>768</v>
      </c>
      <c r="U59" s="400">
        <f ca="1">IF(MAX(IF($B$6="No",ROUNDUP($B$3/$I59,0),ROUNDUP(($B$3+$I59)/$I59,0)),IF($B$6="No",ROUNDUP($B$4/$G59,0),ROUNDUP(($B$4+$G59)/$G59,0)),ROUNDUP('BVMS checklist'!$H$217/$J59,0))&gt;1,'BVMS checklist'!$H$224,'BVMS checklist'!$H$217)+MAX(IF($B$6="No",ROUNDUP($B$3/$I59,0),ROUNDUP(($B$3+$I59)/$I59,0)),IF($B$6="No",ROUNDUP($B$4/$G59,0),ROUNDUP(($B$4+$G59)/$G59,0)))+$B$5</f>
        <v>1</v>
      </c>
      <c r="V59" s="400" t="b">
        <f t="shared" ca="1" si="3"/>
        <v>1</v>
      </c>
      <c r="W59" s="400" t="str">
        <f t="shared" ca="1" si="24"/>
        <v>Accepted</v>
      </c>
      <c r="X59" s="398" t="str">
        <f t="shared" ca="1" si="25"/>
        <v>No</v>
      </c>
      <c r="Y59" s="398" t="str">
        <f t="shared" ca="1" si="26"/>
        <v/>
      </c>
      <c r="Z59" s="398" t="str">
        <f t="shared" ca="1" si="27"/>
        <v/>
      </c>
      <c r="AA59" s="398">
        <f t="shared" ca="1" si="28"/>
        <v>6</v>
      </c>
      <c r="AB59" s="398">
        <f t="shared" ca="1" si="4"/>
        <v>2</v>
      </c>
      <c r="AC59" s="398">
        <f t="shared" ca="1" si="5"/>
        <v>144</v>
      </c>
      <c r="AD59" s="398">
        <f t="shared" ca="1" si="29"/>
        <v>117306</v>
      </c>
      <c r="AE59" s="399">
        <f t="shared" si="540"/>
        <v>0</v>
      </c>
      <c r="AF59" s="399">
        <f t="shared" si="541"/>
        <v>0</v>
      </c>
      <c r="AG59" s="483" t="str">
        <f t="shared" ca="1" si="30"/>
        <v/>
      </c>
      <c r="AH59" s="400">
        <f ca="1">IF(MAX(IF($C$6="No",ROUNDUP($C$3/$I59,0),ROUNDUP(($C$3+$I59)/$I59,0)),IF($C$6="No",ROUNDUP($C$4/$G59,0),ROUNDUP(($C$4+$G59)/$G59,0)),ROUNDUP('BVMS checklist'!$H$217/$J59,0))&gt;1,'BVMS checklist'!$J$224,'BVMS checklist'!$J$217)</f>
        <v>0</v>
      </c>
      <c r="AI59" s="398">
        <f t="shared" ca="1" si="31"/>
        <v>2</v>
      </c>
      <c r="AJ59" s="400">
        <f t="shared" ca="1" si="32"/>
        <v>2</v>
      </c>
      <c r="AK59" s="400">
        <f t="shared" ca="1" si="33"/>
        <v>3150</v>
      </c>
      <c r="AL59" s="400">
        <f t="shared" ca="1" si="34"/>
        <v>0</v>
      </c>
      <c r="AM59" s="398">
        <f t="shared" ca="1" si="35"/>
        <v>117306</v>
      </c>
      <c r="AN59" s="401" t="str">
        <f t="shared" ca="1" si="36"/>
        <v/>
      </c>
      <c r="AO59" s="398">
        <f t="shared" ca="1" si="37"/>
        <v>768</v>
      </c>
      <c r="AP59" s="400">
        <f ca="1">IF(MAX(IF($C$6="No",ROUNDUP($C$3/$I59,0),ROUNDUP(($C$3+$I59)/$I59,0)),IF($C$6="No",ROUNDUP($C$4/$G59,0),ROUNDUP(($C$4+$G59)/$G59,0)),ROUNDUP('BVMS checklist'!$H$217/$J59,0))&gt;1,'BVMS checklist'!$J$224,'BVMS checklist'!$J$217)+MAX(IF($C$6="No",ROUNDUP($C$3/$I59,0),ROUNDUP(($C$3+$I59)/$I59,0)),IF($C$6="No",ROUNDUP($C$4/$G59,0),ROUNDUP(($C$4+$G59)/$G59,0)))+$C$5</f>
        <v>1</v>
      </c>
      <c r="AQ59" s="400" t="b">
        <f t="shared" ca="1" si="8"/>
        <v>1</v>
      </c>
      <c r="AR59" s="400" t="str">
        <f t="shared" ca="1" si="38"/>
        <v>Accepted</v>
      </c>
      <c r="AS59" s="398" t="str">
        <f t="shared" ca="1" si="39"/>
        <v>No</v>
      </c>
      <c r="AT59" s="398" t="str">
        <f t="shared" ca="1" si="40"/>
        <v/>
      </c>
      <c r="AU59" s="398" t="str">
        <f t="shared" ca="1" si="41"/>
        <v/>
      </c>
      <c r="AV59" s="398">
        <f t="shared" ca="1" si="42"/>
        <v>6</v>
      </c>
      <c r="AW59" s="398">
        <f t="shared" ca="1" si="43"/>
        <v>2</v>
      </c>
      <c r="AX59" s="398">
        <f t="shared" ca="1" si="44"/>
        <v>144</v>
      </c>
      <c r="AY59" s="398">
        <f t="shared" ca="1" si="45"/>
        <v>117306</v>
      </c>
      <c r="AZ59" s="399">
        <f t="shared" si="542"/>
        <v>0</v>
      </c>
      <c r="BA59" s="399">
        <f t="shared" si="543"/>
        <v>0</v>
      </c>
      <c r="BB59" s="483" t="str">
        <f t="shared" ca="1" si="46"/>
        <v/>
      </c>
      <c r="BC59" s="400">
        <f ca="1">IF(MAX(IF($D$6="No",ROUNDUP($D$3/$I59,0),ROUNDUP(($D$3+$I59)/$I59,0)),IF($D$6="No",ROUNDUP($D$4/$G59,0),ROUNDUP(($D$4+$G59)/$G59,0)),ROUNDUP('BVMS checklist'!$H$217/$J59,0))&gt;1,'BVMS checklist'!$L$224,'BVMS checklist'!$L$217)</f>
        <v>0</v>
      </c>
      <c r="BD59" s="398">
        <f t="shared" ca="1" si="47"/>
        <v>2</v>
      </c>
      <c r="BE59" s="400">
        <f t="shared" si="48"/>
        <v>1</v>
      </c>
      <c r="BF59" s="400">
        <f t="shared" si="49"/>
        <v>1575</v>
      </c>
      <c r="BG59" s="400">
        <f t="shared" ca="1" si="11"/>
        <v>0</v>
      </c>
      <c r="BH59" s="398">
        <f t="shared" ca="1" si="50"/>
        <v>117306</v>
      </c>
      <c r="BI59" s="401" t="str">
        <f t="shared" ca="1" si="51"/>
        <v/>
      </c>
      <c r="BJ59" s="398">
        <f t="shared" ca="1" si="52"/>
        <v>768</v>
      </c>
      <c r="BK59" s="400">
        <f ca="1">IF(MAX(IF($D$6="No",ROUNDUP($D$3/$I59,0),ROUNDUP(($D$3+$I59)/$I59,0)),IF($D$6="No",ROUNDUP($D$4/$G59,0),ROUNDUP(($D$4+$G59)/$G59,0)),ROUNDUP('BVMS checklist'!$H$217/$J59,0))&gt;1,'BVMS checklist'!$L$224,'BVMS checklist'!$L$217)+MAX(IF($D$6="No",ROUNDUP($D$3/$I59,0),ROUNDUP(($D$3+$I59)/$I59,0)),IF($D$6="No",ROUNDUP($D$4/$G59,0),ROUNDUP(($D$4+$G59)/$G59,0)))+$D$5</f>
        <v>1</v>
      </c>
      <c r="BL59" s="400" t="b">
        <f t="shared" ca="1" si="12"/>
        <v>1</v>
      </c>
      <c r="BM59" s="400" t="str">
        <f t="shared" ca="1" si="53"/>
        <v>Accepted</v>
      </c>
      <c r="BN59" s="398" t="str">
        <f t="shared" ca="1" si="13"/>
        <v>No</v>
      </c>
      <c r="BO59" s="398" t="str">
        <f t="shared" ca="1" si="54"/>
        <v/>
      </c>
      <c r="BP59" s="398" t="str">
        <f t="shared" ca="1" si="55"/>
        <v/>
      </c>
      <c r="BQ59" s="398">
        <f t="shared" ca="1" si="56"/>
        <v>6</v>
      </c>
      <c r="BR59" s="398">
        <f t="shared" ca="1" si="57"/>
        <v>2</v>
      </c>
      <c r="BS59" s="398">
        <f t="shared" ca="1" si="58"/>
        <v>144</v>
      </c>
      <c r="BT59" s="398">
        <f t="shared" ca="1" si="59"/>
        <v>117306</v>
      </c>
      <c r="BU59" s="399">
        <f t="shared" si="544"/>
        <v>0</v>
      </c>
      <c r="BV59" s="399">
        <f t="shared" si="545"/>
        <v>0</v>
      </c>
      <c r="BW59" s="483" t="str">
        <f t="shared" ca="1" si="60"/>
        <v/>
      </c>
      <c r="BX59" s="400">
        <f ca="1">IF(MAX(IF($E$6="No",ROUNDUP($E$3/$I59,0),ROUNDUP(($E$3+$I59)/$I59,0)),IF($E$6="No",ROUNDUP($E$4/$G59,0),ROUNDUP(($E$4+$G59)/$G59,0)),ROUNDUP('BVMS checklist'!$H$217/$J59,0))&gt;1,'BVMS checklist'!$N$224,'BVMS checklist'!$N$217)</f>
        <v>0</v>
      </c>
      <c r="BY59" s="398">
        <f t="shared" ca="1" si="61"/>
        <v>2</v>
      </c>
      <c r="BZ59" s="400">
        <f t="shared" ca="1" si="62"/>
        <v>2</v>
      </c>
      <c r="CA59" s="400">
        <f t="shared" ca="1" si="63"/>
        <v>3150</v>
      </c>
      <c r="CB59" s="400">
        <f t="shared" ca="1" si="16"/>
        <v>0</v>
      </c>
      <c r="CC59" s="398">
        <f t="shared" ca="1" si="64"/>
        <v>117306</v>
      </c>
      <c r="CD59" s="401" t="str">
        <f t="shared" ca="1" si="65"/>
        <v/>
      </c>
      <c r="CE59" s="398">
        <f t="shared" ca="1" si="66"/>
        <v>768</v>
      </c>
      <c r="CF59" s="400">
        <f ca="1">IF(MAX(IF($E$6="No",ROUNDUP($E$3/$I59,0),ROUNDUP(($E$3+$I59)/$I59,0)),IF($E$6="No",ROUNDUP($E$4/$G59,0),ROUNDUP(($E$4+$G59)/$G59,0)),ROUNDUP('BVMS checklist'!$H$217/$J59,0))&gt;1,'BVMS checklist'!$N$224,'BVMS checklist'!$N$217)+MAX(IF($E$6="No",ROUNDUP($E$3/$I59,0),ROUNDUP(($E$3+$I59)/$I59,0)),IF($E$6="No",ROUNDUP($E$4/$G59,0),ROUNDUP(($E$4+$G59)/$G59,0)))+$E$5</f>
        <v>1</v>
      </c>
      <c r="CG59" s="400" t="b">
        <f t="shared" ca="1" si="17"/>
        <v>1</v>
      </c>
      <c r="CH59" s="400" t="str">
        <f t="shared" ca="1" si="67"/>
        <v>Accepted</v>
      </c>
      <c r="CI59" s="398" t="str">
        <f t="shared" ca="1" si="68"/>
        <v>No</v>
      </c>
      <c r="CJ59" s="398" t="str">
        <f t="shared" ca="1" si="69"/>
        <v/>
      </c>
      <c r="CK59" s="398" t="str">
        <f t="shared" ca="1" si="70"/>
        <v/>
      </c>
      <c r="CL59" s="398">
        <f t="shared" ca="1" si="71"/>
        <v>6</v>
      </c>
      <c r="CM59" s="398">
        <f t="shared" ca="1" si="72"/>
        <v>2</v>
      </c>
      <c r="CN59" s="398">
        <f t="shared" ca="1" si="73"/>
        <v>144</v>
      </c>
      <c r="CO59" s="398">
        <f t="shared" ca="1" si="74"/>
        <v>117306</v>
      </c>
      <c r="CP59" s="399">
        <f t="shared" si="546"/>
        <v>0</v>
      </c>
      <c r="CQ59" s="399">
        <f t="shared" si="547"/>
        <v>0</v>
      </c>
      <c r="CR59" s="483" t="str">
        <f t="shared" ca="1" si="75"/>
        <v/>
      </c>
      <c r="CS59"/>
    </row>
    <row r="60" spans="1:97">
      <c r="A60" s="398" t="s">
        <v>337</v>
      </c>
      <c r="B60" s="398" t="s">
        <v>987</v>
      </c>
      <c r="C60" s="440" t="s">
        <v>891</v>
      </c>
      <c r="D60" s="398">
        <v>4</v>
      </c>
      <c r="E60" s="398"/>
      <c r="F60" s="440">
        <v>0</v>
      </c>
      <c r="G60" s="398">
        <f>IF(C60="RAID5",4*(((7-F60)*2793)),4*(((6-F60)*2793)))</f>
        <v>78204</v>
      </c>
      <c r="H60" s="399">
        <v>96</v>
      </c>
      <c r="I60" s="399">
        <v>2125</v>
      </c>
      <c r="J60" s="399">
        <v>512</v>
      </c>
      <c r="K60" s="399"/>
      <c r="L60" s="399"/>
      <c r="M60" s="400">
        <f ca="1">IF(MAX(IF($B$6="No",ROUNDUP($B$3/$I60,0),ROUNDUP(($B$3+$I60)/$I60,0)),IF($B$6="No",ROUNDUP($B$4/$G60,0),ROUNDUP(($B$4+$G60)/$G60,0)),ROUNDUP('BVMS checklist'!$H$217/$J60,0))&gt;1,'BVMS checklist'!$H$224,'BVMS checklist'!$H$217)</f>
        <v>0</v>
      </c>
      <c r="N60" s="398">
        <f t="shared" ca="1" si="20"/>
        <v>2</v>
      </c>
      <c r="O60" s="400">
        <f t="shared" ca="1" si="21"/>
        <v>2</v>
      </c>
      <c r="P60" s="400">
        <f t="shared" ca="1" si="0"/>
        <v>4250</v>
      </c>
      <c r="Q60" s="400">
        <f t="shared" ca="1" si="1"/>
        <v>0</v>
      </c>
      <c r="R60" s="398">
        <f t="shared" ca="1" si="2"/>
        <v>156408</v>
      </c>
      <c r="S60" s="401" t="str">
        <f t="shared" ca="1" si="22"/>
        <v/>
      </c>
      <c r="T60" s="398">
        <f t="shared" ca="1" si="23"/>
        <v>1024</v>
      </c>
      <c r="U60" s="400">
        <f ca="1">IF(MAX(IF($B$6="No",ROUNDUP($B$3/$I60,0),ROUNDUP(($B$3+$I60)/$I60,0)),IF($B$6="No",ROUNDUP($B$4/$G60,0),ROUNDUP(($B$4+$G60)/$G60,0)),ROUNDUP('BVMS checklist'!$H$217/$J60,0))&gt;1,'BVMS checklist'!$H$224,'BVMS checklist'!$H$217)+MAX(IF($B$6="No",ROUNDUP($B$3/$I60,0),ROUNDUP(($B$3+$I60)/$I60,0)),IF($B$6="No",ROUNDUP($B$4/$G60,0),ROUNDUP(($B$4+$G60)/$G60,0)))+$B$5</f>
        <v>1</v>
      </c>
      <c r="V60" s="400" t="b">
        <f t="shared" ca="1" si="3"/>
        <v>1</v>
      </c>
      <c r="W60" s="400" t="str">
        <f t="shared" ca="1" si="24"/>
        <v>Accepted</v>
      </c>
      <c r="X60" s="398" t="str">
        <f t="shared" ca="1" si="25"/>
        <v>No</v>
      </c>
      <c r="Y60" s="398" t="str">
        <f t="shared" ca="1" si="26"/>
        <v/>
      </c>
      <c r="Z60" s="398" t="str">
        <f t="shared" ca="1" si="27"/>
        <v/>
      </c>
      <c r="AA60" s="398">
        <f t="shared" ca="1" si="28"/>
        <v>6</v>
      </c>
      <c r="AB60" s="398">
        <f t="shared" ca="1" si="4"/>
        <v>2</v>
      </c>
      <c r="AC60" s="398">
        <f t="shared" ca="1" si="5"/>
        <v>192</v>
      </c>
      <c r="AD60" s="398">
        <f t="shared" ca="1" si="29"/>
        <v>156408</v>
      </c>
      <c r="AE60" s="399">
        <f t="shared" si="540"/>
        <v>0</v>
      </c>
      <c r="AF60" s="399">
        <f t="shared" si="541"/>
        <v>0</v>
      </c>
      <c r="AG60" s="483" t="str">
        <f t="shared" ca="1" si="30"/>
        <v/>
      </c>
      <c r="AH60" s="400">
        <f ca="1">IF(MAX(IF($C$6="No",ROUNDUP($C$3/$I60,0),ROUNDUP(($C$3+$I60)/$I60,0)),IF($C$6="No",ROUNDUP($C$4/$G60,0),ROUNDUP(($C$4+$G60)/$G60,0)),ROUNDUP('BVMS checklist'!$H$217/$J60,0))&gt;1,'BVMS checklist'!$J$224,'BVMS checklist'!$J$217)</f>
        <v>0</v>
      </c>
      <c r="AI60" s="398">
        <f t="shared" ca="1" si="31"/>
        <v>2</v>
      </c>
      <c r="AJ60" s="400">
        <f t="shared" ca="1" si="32"/>
        <v>2</v>
      </c>
      <c r="AK60" s="400">
        <f t="shared" ca="1" si="33"/>
        <v>4250</v>
      </c>
      <c r="AL60" s="400">
        <f t="shared" ca="1" si="34"/>
        <v>0</v>
      </c>
      <c r="AM60" s="398">
        <f t="shared" ca="1" si="35"/>
        <v>156408</v>
      </c>
      <c r="AN60" s="401" t="str">
        <f t="shared" ca="1" si="36"/>
        <v/>
      </c>
      <c r="AO60" s="398">
        <f t="shared" ca="1" si="37"/>
        <v>1024</v>
      </c>
      <c r="AP60" s="400">
        <f ca="1">IF(MAX(IF($C$6="No",ROUNDUP($C$3/$I60,0),ROUNDUP(($C$3+$I60)/$I60,0)),IF($C$6="No",ROUNDUP($C$4/$G60,0),ROUNDUP(($C$4+$G60)/$G60,0)),ROUNDUP('BVMS checklist'!$H$217/$J60,0))&gt;1,'BVMS checklist'!$J$224,'BVMS checklist'!$J$217)+MAX(IF($C$6="No",ROUNDUP($C$3/$I60,0),ROUNDUP(($C$3+$I60)/$I60,0)),IF($C$6="No",ROUNDUP($C$4/$G60,0),ROUNDUP(($C$4+$G60)/$G60,0)))+$C$5</f>
        <v>1</v>
      </c>
      <c r="AQ60" s="400" t="b">
        <f t="shared" ca="1" si="8"/>
        <v>1</v>
      </c>
      <c r="AR60" s="400" t="str">
        <f t="shared" ca="1" si="38"/>
        <v>Accepted</v>
      </c>
      <c r="AS60" s="398" t="str">
        <f t="shared" ca="1" si="39"/>
        <v>No</v>
      </c>
      <c r="AT60" s="398" t="str">
        <f t="shared" ca="1" si="40"/>
        <v/>
      </c>
      <c r="AU60" s="398" t="str">
        <f t="shared" ca="1" si="41"/>
        <v/>
      </c>
      <c r="AV60" s="398">
        <f t="shared" ca="1" si="42"/>
        <v>6</v>
      </c>
      <c r="AW60" s="398">
        <f t="shared" ca="1" si="43"/>
        <v>2</v>
      </c>
      <c r="AX60" s="398">
        <f t="shared" ca="1" si="44"/>
        <v>192</v>
      </c>
      <c r="AY60" s="398">
        <f t="shared" ca="1" si="45"/>
        <v>156408</v>
      </c>
      <c r="AZ60" s="399">
        <f t="shared" si="542"/>
        <v>0</v>
      </c>
      <c r="BA60" s="399">
        <f t="shared" si="543"/>
        <v>0</v>
      </c>
      <c r="BB60" s="483" t="str">
        <f t="shared" ca="1" si="46"/>
        <v/>
      </c>
      <c r="BC60" s="400">
        <f ca="1">IF(MAX(IF($D$6="No",ROUNDUP($D$3/$I60,0),ROUNDUP(($D$3+$I60)/$I60,0)),IF($D$6="No",ROUNDUP($D$4/$G60,0),ROUNDUP(($D$4+$G60)/$G60,0)),ROUNDUP('BVMS checklist'!$H$217/$J60,0))&gt;1,'BVMS checklist'!$L$224,'BVMS checklist'!$L$217)</f>
        <v>0</v>
      </c>
      <c r="BD60" s="398">
        <f t="shared" ca="1" si="47"/>
        <v>2</v>
      </c>
      <c r="BE60" s="400">
        <f t="shared" si="48"/>
        <v>1</v>
      </c>
      <c r="BF60" s="400">
        <f t="shared" si="49"/>
        <v>2125</v>
      </c>
      <c r="BG60" s="400">
        <f t="shared" ca="1" si="11"/>
        <v>0</v>
      </c>
      <c r="BH60" s="398">
        <f t="shared" ca="1" si="50"/>
        <v>156408</v>
      </c>
      <c r="BI60" s="401" t="str">
        <f t="shared" ca="1" si="51"/>
        <v/>
      </c>
      <c r="BJ60" s="398">
        <f t="shared" ca="1" si="52"/>
        <v>1024</v>
      </c>
      <c r="BK60" s="400">
        <f ca="1">IF(MAX(IF($D$6="No",ROUNDUP($D$3/$I60,0),ROUNDUP(($D$3+$I60)/$I60,0)),IF($D$6="No",ROUNDUP($D$4/$G60,0),ROUNDUP(($D$4+$G60)/$G60,0)),ROUNDUP('BVMS checklist'!$H$217/$J60,0))&gt;1,'BVMS checklist'!$L$224,'BVMS checklist'!$L$217)+MAX(IF($D$6="No",ROUNDUP($D$3/$I60,0),ROUNDUP(($D$3+$I60)/$I60,0)),IF($D$6="No",ROUNDUP($D$4/$G60,0),ROUNDUP(($D$4+$G60)/$G60,0)))+$D$5</f>
        <v>1</v>
      </c>
      <c r="BL60" s="400" t="b">
        <f t="shared" ca="1" si="12"/>
        <v>1</v>
      </c>
      <c r="BM60" s="400" t="str">
        <f t="shared" ca="1" si="53"/>
        <v>Accepted</v>
      </c>
      <c r="BN60" s="398" t="str">
        <f t="shared" ca="1" si="13"/>
        <v>No</v>
      </c>
      <c r="BO60" s="398" t="str">
        <f t="shared" ca="1" si="54"/>
        <v/>
      </c>
      <c r="BP60" s="398" t="str">
        <f t="shared" ca="1" si="55"/>
        <v/>
      </c>
      <c r="BQ60" s="398">
        <f t="shared" ca="1" si="56"/>
        <v>6</v>
      </c>
      <c r="BR60" s="398">
        <f t="shared" ca="1" si="57"/>
        <v>2</v>
      </c>
      <c r="BS60" s="398">
        <f t="shared" ca="1" si="58"/>
        <v>192</v>
      </c>
      <c r="BT60" s="398">
        <f t="shared" ca="1" si="59"/>
        <v>156408</v>
      </c>
      <c r="BU60" s="399">
        <f t="shared" si="544"/>
        <v>0</v>
      </c>
      <c r="BV60" s="399">
        <f t="shared" si="545"/>
        <v>0</v>
      </c>
      <c r="BW60" s="483" t="str">
        <f t="shared" ca="1" si="60"/>
        <v/>
      </c>
      <c r="BX60" s="400">
        <f ca="1">IF(MAX(IF($E$6="No",ROUNDUP($E$3/$I60,0),ROUNDUP(($E$3+$I60)/$I60,0)),IF($E$6="No",ROUNDUP($E$4/$G60,0),ROUNDUP(($E$4+$G60)/$G60,0)),ROUNDUP('BVMS checklist'!$H$217/$J60,0))&gt;1,'BVMS checklist'!$N$224,'BVMS checklist'!$N$217)</f>
        <v>0</v>
      </c>
      <c r="BY60" s="398">
        <f t="shared" ca="1" si="61"/>
        <v>2</v>
      </c>
      <c r="BZ60" s="400">
        <f t="shared" ca="1" si="62"/>
        <v>2</v>
      </c>
      <c r="CA60" s="400">
        <f t="shared" ca="1" si="63"/>
        <v>4250</v>
      </c>
      <c r="CB60" s="400">
        <f t="shared" ca="1" si="16"/>
        <v>0</v>
      </c>
      <c r="CC60" s="398">
        <f t="shared" ca="1" si="64"/>
        <v>156408</v>
      </c>
      <c r="CD60" s="401" t="str">
        <f t="shared" ca="1" si="65"/>
        <v/>
      </c>
      <c r="CE60" s="398">
        <f t="shared" ca="1" si="66"/>
        <v>1024</v>
      </c>
      <c r="CF60" s="400">
        <f ca="1">IF(MAX(IF($E$6="No",ROUNDUP($E$3/$I60,0),ROUNDUP(($E$3+$I60)/$I60,0)),IF($E$6="No",ROUNDUP($E$4/$G60,0),ROUNDUP(($E$4+$G60)/$G60,0)),ROUNDUP('BVMS checklist'!$H$217/$J60,0))&gt;1,'BVMS checklist'!$N$224,'BVMS checklist'!$N$217)+MAX(IF($E$6="No",ROUNDUP($E$3/$I60,0),ROUNDUP(($E$3+$I60)/$I60,0)),IF($E$6="No",ROUNDUP($E$4/$G60,0),ROUNDUP(($E$4+$G60)/$G60,0)))+$E$5</f>
        <v>1</v>
      </c>
      <c r="CG60" s="400" t="b">
        <f t="shared" ca="1" si="17"/>
        <v>1</v>
      </c>
      <c r="CH60" s="400" t="str">
        <f t="shared" ca="1" si="67"/>
        <v>Accepted</v>
      </c>
      <c r="CI60" s="398" t="str">
        <f t="shared" ca="1" si="68"/>
        <v>No</v>
      </c>
      <c r="CJ60" s="398" t="str">
        <f t="shared" ca="1" si="69"/>
        <v/>
      </c>
      <c r="CK60" s="398" t="str">
        <f t="shared" ca="1" si="70"/>
        <v/>
      </c>
      <c r="CL60" s="398">
        <f t="shared" ca="1" si="71"/>
        <v>6</v>
      </c>
      <c r="CM60" s="398">
        <f t="shared" ca="1" si="72"/>
        <v>2</v>
      </c>
      <c r="CN60" s="398">
        <f t="shared" ca="1" si="73"/>
        <v>192</v>
      </c>
      <c r="CO60" s="398">
        <f t="shared" ca="1" si="74"/>
        <v>156408</v>
      </c>
      <c r="CP60" s="399">
        <f t="shared" si="546"/>
        <v>0</v>
      </c>
      <c r="CQ60" s="399">
        <f t="shared" si="547"/>
        <v>0</v>
      </c>
      <c r="CR60" s="483" t="str">
        <f t="shared" ca="1" si="75"/>
        <v/>
      </c>
      <c r="CS60"/>
    </row>
    <row r="61" spans="1:97">
      <c r="A61" s="398" t="s">
        <v>338</v>
      </c>
      <c r="B61" s="398" t="s">
        <v>987</v>
      </c>
      <c r="C61" s="440" t="s">
        <v>891</v>
      </c>
      <c r="D61" s="398">
        <v>5</v>
      </c>
      <c r="E61" s="398"/>
      <c r="F61" s="440">
        <v>0</v>
      </c>
      <c r="G61" s="398">
        <f>IF(C61="RAID5",5*(((7-F61)*2793)),5*(((6-F61)*2793)))</f>
        <v>97755</v>
      </c>
      <c r="H61" s="399">
        <v>120</v>
      </c>
      <c r="I61" s="399">
        <v>2675</v>
      </c>
      <c r="J61" s="399">
        <v>640</v>
      </c>
      <c r="K61" s="399"/>
      <c r="L61" s="399"/>
      <c r="M61" s="400">
        <f ca="1">IF(MAX(IF($B$6="No",ROUNDUP($B$3/$I61,0),ROUNDUP(($B$3+$I61)/$I61,0)),IF($B$6="No",ROUNDUP($B$4/$G61,0),ROUNDUP(($B$4+$G61)/$G61,0)),ROUNDUP('BVMS checklist'!$H$217/$J61,0))&gt;1,'BVMS checklist'!$H$224,'BVMS checklist'!$H$217)</f>
        <v>0</v>
      </c>
      <c r="N61" s="398">
        <f t="shared" ca="1" si="20"/>
        <v>2</v>
      </c>
      <c r="O61" s="400">
        <f t="shared" ca="1" si="21"/>
        <v>2</v>
      </c>
      <c r="P61" s="400">
        <f t="shared" ca="1" si="0"/>
        <v>5350</v>
      </c>
      <c r="Q61" s="400">
        <f t="shared" ca="1" si="1"/>
        <v>0</v>
      </c>
      <c r="R61" s="398">
        <f t="shared" ca="1" si="2"/>
        <v>195510</v>
      </c>
      <c r="S61" s="401" t="str">
        <f t="shared" ca="1" si="22"/>
        <v/>
      </c>
      <c r="T61" s="398">
        <f t="shared" ca="1" si="23"/>
        <v>1280</v>
      </c>
      <c r="U61" s="400">
        <f ca="1">IF(MAX(IF($B$6="No",ROUNDUP($B$3/$I61,0),ROUNDUP(($B$3+$I61)/$I61,0)),IF($B$6="No",ROUNDUP($B$4/$G61,0),ROUNDUP(($B$4+$G61)/$G61,0)),ROUNDUP('BVMS checklist'!$H$217/$J61,0))&gt;1,'BVMS checklist'!$H$224,'BVMS checklist'!$H$217)+MAX(IF($B$6="No",ROUNDUP($B$3/$I61,0),ROUNDUP(($B$3+$I61)/$I61,0)),IF($B$6="No",ROUNDUP($B$4/$G61,0),ROUNDUP(($B$4+$G61)/$G61,0)))+$B$5</f>
        <v>1</v>
      </c>
      <c r="V61" s="400" t="b">
        <f t="shared" ca="1" si="3"/>
        <v>1</v>
      </c>
      <c r="W61" s="400" t="str">
        <f t="shared" ca="1" si="24"/>
        <v>Accepted</v>
      </c>
      <c r="X61" s="398" t="str">
        <f t="shared" ca="1" si="25"/>
        <v>No</v>
      </c>
      <c r="Y61" s="398" t="str">
        <f t="shared" ca="1" si="26"/>
        <v/>
      </c>
      <c r="Z61" s="398" t="str">
        <f t="shared" ca="1" si="27"/>
        <v/>
      </c>
      <c r="AA61" s="398">
        <f t="shared" ca="1" si="28"/>
        <v>6</v>
      </c>
      <c r="AB61" s="398">
        <f t="shared" ca="1" si="4"/>
        <v>2</v>
      </c>
      <c r="AC61" s="398">
        <f t="shared" ca="1" si="5"/>
        <v>240</v>
      </c>
      <c r="AD61" s="398">
        <f t="shared" ca="1" si="29"/>
        <v>195510</v>
      </c>
      <c r="AE61" s="399">
        <f t="shared" si="540"/>
        <v>0</v>
      </c>
      <c r="AF61" s="399">
        <f t="shared" si="541"/>
        <v>0</v>
      </c>
      <c r="AG61" s="483" t="str">
        <f t="shared" ca="1" si="30"/>
        <v/>
      </c>
      <c r="AH61" s="400">
        <f ca="1">IF(MAX(IF($C$6="No",ROUNDUP($C$3/$I61,0),ROUNDUP(($C$3+$I61)/$I61,0)),IF($C$6="No",ROUNDUP($C$4/$G61,0),ROUNDUP(($C$4+$G61)/$G61,0)),ROUNDUP('BVMS checklist'!$H$217/$J61,0))&gt;1,'BVMS checklist'!$J$224,'BVMS checklist'!$J$217)</f>
        <v>0</v>
      </c>
      <c r="AI61" s="398">
        <f t="shared" ca="1" si="31"/>
        <v>2</v>
      </c>
      <c r="AJ61" s="400">
        <f t="shared" ca="1" si="32"/>
        <v>2</v>
      </c>
      <c r="AK61" s="400">
        <f t="shared" ca="1" si="33"/>
        <v>5350</v>
      </c>
      <c r="AL61" s="400">
        <f t="shared" ca="1" si="34"/>
        <v>0</v>
      </c>
      <c r="AM61" s="398">
        <f t="shared" ca="1" si="35"/>
        <v>195510</v>
      </c>
      <c r="AN61" s="401" t="str">
        <f t="shared" ca="1" si="36"/>
        <v/>
      </c>
      <c r="AO61" s="398">
        <f t="shared" ca="1" si="37"/>
        <v>1280</v>
      </c>
      <c r="AP61" s="400">
        <f ca="1">IF(MAX(IF($C$6="No",ROUNDUP($C$3/$I61,0),ROUNDUP(($C$3+$I61)/$I61,0)),IF($C$6="No",ROUNDUP($C$4/$G61,0),ROUNDUP(($C$4+$G61)/$G61,0)),ROUNDUP('BVMS checklist'!$H$217/$J61,0))&gt;1,'BVMS checklist'!$J$224,'BVMS checklist'!$J$217)+MAX(IF($C$6="No",ROUNDUP($C$3/$I61,0),ROUNDUP(($C$3+$I61)/$I61,0)),IF($C$6="No",ROUNDUP($C$4/$G61,0),ROUNDUP(($C$4+$G61)/$G61,0)))+$C$5</f>
        <v>1</v>
      </c>
      <c r="AQ61" s="400" t="b">
        <f t="shared" ca="1" si="8"/>
        <v>1</v>
      </c>
      <c r="AR61" s="400" t="str">
        <f t="shared" ca="1" si="38"/>
        <v>Accepted</v>
      </c>
      <c r="AS61" s="398" t="str">
        <f t="shared" ca="1" si="39"/>
        <v>No</v>
      </c>
      <c r="AT61" s="398" t="str">
        <f t="shared" ca="1" si="40"/>
        <v/>
      </c>
      <c r="AU61" s="398" t="str">
        <f t="shared" ca="1" si="41"/>
        <v/>
      </c>
      <c r="AV61" s="398">
        <f t="shared" ca="1" si="42"/>
        <v>6</v>
      </c>
      <c r="AW61" s="398">
        <f t="shared" ca="1" si="43"/>
        <v>2</v>
      </c>
      <c r="AX61" s="398">
        <f t="shared" ca="1" si="44"/>
        <v>240</v>
      </c>
      <c r="AY61" s="398">
        <f t="shared" ca="1" si="45"/>
        <v>195510</v>
      </c>
      <c r="AZ61" s="399">
        <f t="shared" si="542"/>
        <v>0</v>
      </c>
      <c r="BA61" s="399">
        <f t="shared" si="543"/>
        <v>0</v>
      </c>
      <c r="BB61" s="483" t="str">
        <f t="shared" ca="1" si="46"/>
        <v/>
      </c>
      <c r="BC61" s="400">
        <f ca="1">IF(MAX(IF($D$6="No",ROUNDUP($D$3/$I61,0),ROUNDUP(($D$3+$I61)/$I61,0)),IF($D$6="No",ROUNDUP($D$4/$G61,0),ROUNDUP(($D$4+$G61)/$G61,0)),ROUNDUP('BVMS checklist'!$H$217/$J61,0))&gt;1,'BVMS checklist'!$L$224,'BVMS checklist'!$L$217)</f>
        <v>0</v>
      </c>
      <c r="BD61" s="398">
        <f t="shared" ca="1" si="47"/>
        <v>2</v>
      </c>
      <c r="BE61" s="400">
        <f t="shared" si="48"/>
        <v>1</v>
      </c>
      <c r="BF61" s="400">
        <f t="shared" si="49"/>
        <v>2675</v>
      </c>
      <c r="BG61" s="400">
        <f t="shared" ca="1" si="11"/>
        <v>0</v>
      </c>
      <c r="BH61" s="398">
        <f t="shared" ca="1" si="50"/>
        <v>195510</v>
      </c>
      <c r="BI61" s="401" t="str">
        <f t="shared" ca="1" si="51"/>
        <v/>
      </c>
      <c r="BJ61" s="398">
        <f t="shared" ca="1" si="52"/>
        <v>1280</v>
      </c>
      <c r="BK61" s="400">
        <f ca="1">IF(MAX(IF($D$6="No",ROUNDUP($D$3/$I61,0),ROUNDUP(($D$3+$I61)/$I61,0)),IF($D$6="No",ROUNDUP($D$4/$G61,0),ROUNDUP(($D$4+$G61)/$G61,0)),ROUNDUP('BVMS checklist'!$H$217/$J61,0))&gt;1,'BVMS checklist'!$L$224,'BVMS checklist'!$L$217)+MAX(IF($D$6="No",ROUNDUP($D$3/$I61,0),ROUNDUP(($D$3+$I61)/$I61,0)),IF($D$6="No",ROUNDUP($D$4/$G61,0),ROUNDUP(($D$4+$G61)/$G61,0)))+$D$5</f>
        <v>1</v>
      </c>
      <c r="BL61" s="400" t="b">
        <f t="shared" ca="1" si="12"/>
        <v>1</v>
      </c>
      <c r="BM61" s="400" t="str">
        <f t="shared" ca="1" si="53"/>
        <v>Accepted</v>
      </c>
      <c r="BN61" s="398" t="str">
        <f t="shared" ca="1" si="13"/>
        <v>No</v>
      </c>
      <c r="BO61" s="398" t="str">
        <f t="shared" ca="1" si="54"/>
        <v/>
      </c>
      <c r="BP61" s="398" t="str">
        <f t="shared" ca="1" si="55"/>
        <v/>
      </c>
      <c r="BQ61" s="398">
        <f t="shared" ca="1" si="56"/>
        <v>6</v>
      </c>
      <c r="BR61" s="398">
        <f t="shared" ca="1" si="57"/>
        <v>2</v>
      </c>
      <c r="BS61" s="398">
        <f t="shared" ca="1" si="58"/>
        <v>240</v>
      </c>
      <c r="BT61" s="398">
        <f t="shared" ca="1" si="59"/>
        <v>195510</v>
      </c>
      <c r="BU61" s="399">
        <f t="shared" si="544"/>
        <v>0</v>
      </c>
      <c r="BV61" s="399">
        <f t="shared" si="545"/>
        <v>0</v>
      </c>
      <c r="BW61" s="483" t="str">
        <f t="shared" ca="1" si="60"/>
        <v/>
      </c>
      <c r="BX61" s="400">
        <f ca="1">IF(MAX(IF($E$6="No",ROUNDUP($E$3/$I61,0),ROUNDUP(($E$3+$I61)/$I61,0)),IF($E$6="No",ROUNDUP($E$4/$G61,0),ROUNDUP(($E$4+$G61)/$G61,0)),ROUNDUP('BVMS checklist'!$H$217/$J61,0))&gt;1,'BVMS checklist'!$N$224,'BVMS checklist'!$N$217)</f>
        <v>0</v>
      </c>
      <c r="BY61" s="398">
        <f t="shared" ca="1" si="61"/>
        <v>2</v>
      </c>
      <c r="BZ61" s="400">
        <f t="shared" ca="1" si="62"/>
        <v>2</v>
      </c>
      <c r="CA61" s="400">
        <f t="shared" ca="1" si="63"/>
        <v>5350</v>
      </c>
      <c r="CB61" s="400">
        <f t="shared" ca="1" si="16"/>
        <v>0</v>
      </c>
      <c r="CC61" s="398">
        <f t="shared" ca="1" si="64"/>
        <v>195510</v>
      </c>
      <c r="CD61" s="401" t="str">
        <f t="shared" ca="1" si="65"/>
        <v/>
      </c>
      <c r="CE61" s="398">
        <f t="shared" ca="1" si="66"/>
        <v>1280</v>
      </c>
      <c r="CF61" s="400">
        <f ca="1">IF(MAX(IF($E$6="No",ROUNDUP($E$3/$I61,0),ROUNDUP(($E$3+$I61)/$I61,0)),IF($E$6="No",ROUNDUP($E$4/$G61,0),ROUNDUP(($E$4+$G61)/$G61,0)),ROUNDUP('BVMS checklist'!$H$217/$J61,0))&gt;1,'BVMS checklist'!$N$224,'BVMS checklist'!$N$217)+MAX(IF($E$6="No",ROUNDUP($E$3/$I61,0),ROUNDUP(($E$3+$I61)/$I61,0)),IF($E$6="No",ROUNDUP($E$4/$G61,0),ROUNDUP(($E$4+$G61)/$G61,0)))+$E$5</f>
        <v>1</v>
      </c>
      <c r="CG61" s="400" t="b">
        <f t="shared" ca="1" si="17"/>
        <v>1</v>
      </c>
      <c r="CH61" s="400" t="str">
        <f t="shared" ca="1" si="67"/>
        <v>Accepted</v>
      </c>
      <c r="CI61" s="398" t="str">
        <f t="shared" ca="1" si="68"/>
        <v>No</v>
      </c>
      <c r="CJ61" s="398" t="str">
        <f t="shared" ca="1" si="69"/>
        <v/>
      </c>
      <c r="CK61" s="398" t="str">
        <f t="shared" ca="1" si="70"/>
        <v/>
      </c>
      <c r="CL61" s="398">
        <f t="shared" ca="1" si="71"/>
        <v>6</v>
      </c>
      <c r="CM61" s="398">
        <f t="shared" ca="1" si="72"/>
        <v>2</v>
      </c>
      <c r="CN61" s="398">
        <f t="shared" ca="1" si="73"/>
        <v>240</v>
      </c>
      <c r="CO61" s="398">
        <f t="shared" ca="1" si="74"/>
        <v>195510</v>
      </c>
      <c r="CP61" s="399">
        <f t="shared" si="546"/>
        <v>0</v>
      </c>
      <c r="CQ61" s="399">
        <f t="shared" si="547"/>
        <v>0</v>
      </c>
      <c r="CR61" s="483" t="str">
        <f t="shared" ca="1" si="75"/>
        <v/>
      </c>
      <c r="CS61"/>
    </row>
    <row r="62" spans="1:97">
      <c r="A62" s="398" t="s">
        <v>327</v>
      </c>
      <c r="B62" s="398" t="s">
        <v>987</v>
      </c>
      <c r="C62" s="440" t="s">
        <v>891</v>
      </c>
      <c r="D62" s="398">
        <v>2</v>
      </c>
      <c r="E62" s="398"/>
      <c r="F62" s="440">
        <v>0</v>
      </c>
      <c r="G62" s="398">
        <f>IF(C62="RAID5",(((7-F62)*2792))+(1*(((15-F62)*2792))),(((6-F62)*2792))+(1*(((14-F62)*2792))))</f>
        <v>61424</v>
      </c>
      <c r="H62" s="399">
        <v>72</v>
      </c>
      <c r="I62" s="399">
        <v>1025</v>
      </c>
      <c r="J62" s="399">
        <v>384</v>
      </c>
      <c r="K62" s="399"/>
      <c r="L62" s="399"/>
      <c r="M62" s="400">
        <f ca="1">IF(MAX(IF($B$6="No",ROUNDUP($B$3/$I62,0),ROUNDUP(($B$3+$I62)/$I62,0)),IF($B$6="No",ROUNDUP($B$4/$G62,0),ROUNDUP(($B$4+$G62)/$G62,0)),ROUNDUP('BVMS checklist'!$H$217/$J62,0))&gt;1,'BVMS checklist'!$H$224,'BVMS checklist'!$H$217)</f>
        <v>0</v>
      </c>
      <c r="N62" s="398">
        <f t="shared" ca="1" si="20"/>
        <v>2</v>
      </c>
      <c r="O62" s="400">
        <f t="shared" ca="1" si="21"/>
        <v>2</v>
      </c>
      <c r="P62" s="400">
        <f t="shared" ca="1" si="0"/>
        <v>2050</v>
      </c>
      <c r="Q62" s="400">
        <f t="shared" ca="1" si="1"/>
        <v>0</v>
      </c>
      <c r="R62" s="398">
        <f t="shared" ca="1" si="2"/>
        <v>122848</v>
      </c>
      <c r="S62" s="401" t="str">
        <f t="shared" ca="1" si="22"/>
        <v/>
      </c>
      <c r="T62" s="398">
        <f t="shared" ca="1" si="23"/>
        <v>768</v>
      </c>
      <c r="U62" s="400">
        <f ca="1">IF(MAX(IF($B$6="No",ROUNDUP($B$3/$I62,0),ROUNDUP(($B$3+$I62)/$I62,0)),IF($B$6="No",ROUNDUP($B$4/$G62,0),ROUNDUP(($B$4+$G62)/$G62,0)),ROUNDUP('BVMS checklist'!$H$217/$J62,0))&gt;1,'BVMS checklist'!$H$224,'BVMS checklist'!$H$217)+MAX(IF($B$6="No",ROUNDUP($B$3/$I62,0),ROUNDUP(($B$3+$I62)/$I62,0)),IF($B$6="No",ROUNDUP($B$4/$G62,0),ROUNDUP(($B$4+$G62)/$G62,0)))+$B$5</f>
        <v>1</v>
      </c>
      <c r="V62" s="400" t="b">
        <f t="shared" ca="1" si="3"/>
        <v>1</v>
      </c>
      <c r="W62" s="400" t="str">
        <f t="shared" ca="1" si="24"/>
        <v>Accepted</v>
      </c>
      <c r="X62" s="398" t="str">
        <f t="shared" ca="1" si="25"/>
        <v>No</v>
      </c>
      <c r="Y62" s="398" t="str">
        <f t="shared" ca="1" si="26"/>
        <v/>
      </c>
      <c r="Z62" s="398" t="str">
        <f t="shared" ca="1" si="27"/>
        <v/>
      </c>
      <c r="AA62" s="398">
        <f t="shared" ca="1" si="28"/>
        <v>6</v>
      </c>
      <c r="AB62" s="398">
        <f t="shared" ca="1" si="4"/>
        <v>2</v>
      </c>
      <c r="AC62" s="398">
        <f t="shared" ca="1" si="5"/>
        <v>144</v>
      </c>
      <c r="AD62" s="398">
        <f t="shared" ca="1" si="29"/>
        <v>122848</v>
      </c>
      <c r="AE62" s="399">
        <f t="shared" si="540"/>
        <v>0</v>
      </c>
      <c r="AF62" s="399">
        <f t="shared" si="541"/>
        <v>0</v>
      </c>
      <c r="AG62" s="483" t="str">
        <f t="shared" ca="1" si="30"/>
        <v/>
      </c>
      <c r="AH62" s="400">
        <f ca="1">IF(MAX(IF($C$6="No",ROUNDUP($C$3/$I62,0),ROUNDUP(($C$3+$I62)/$I62,0)),IF($C$6="No",ROUNDUP($C$4/$G62,0),ROUNDUP(($C$4+$G62)/$G62,0)),ROUNDUP('BVMS checklist'!$H$217/$J62,0))&gt;1,'BVMS checklist'!$J$224,'BVMS checklist'!$J$217)</f>
        <v>0</v>
      </c>
      <c r="AI62" s="398">
        <f t="shared" ca="1" si="31"/>
        <v>2</v>
      </c>
      <c r="AJ62" s="400">
        <f t="shared" ca="1" si="32"/>
        <v>2</v>
      </c>
      <c r="AK62" s="400">
        <f t="shared" ca="1" si="33"/>
        <v>2050</v>
      </c>
      <c r="AL62" s="400">
        <f t="shared" ca="1" si="34"/>
        <v>0</v>
      </c>
      <c r="AM62" s="398">
        <f t="shared" ca="1" si="35"/>
        <v>122848</v>
      </c>
      <c r="AN62" s="401" t="str">
        <f t="shared" ca="1" si="36"/>
        <v/>
      </c>
      <c r="AO62" s="398">
        <f t="shared" ca="1" si="37"/>
        <v>768</v>
      </c>
      <c r="AP62" s="400">
        <f ca="1">IF(MAX(IF($C$6="No",ROUNDUP($C$3/$I62,0),ROUNDUP(($C$3+$I62)/$I62,0)),IF($C$6="No",ROUNDUP($C$4/$G62,0),ROUNDUP(($C$4+$G62)/$G62,0)),ROUNDUP('BVMS checklist'!$H$217/$J62,0))&gt;1,'BVMS checklist'!$J$224,'BVMS checklist'!$J$217)+MAX(IF($C$6="No",ROUNDUP($C$3/$I62,0),ROUNDUP(($C$3+$I62)/$I62,0)),IF($C$6="No",ROUNDUP($C$4/$G62,0),ROUNDUP(($C$4+$G62)/$G62,0)))+$C$5</f>
        <v>1</v>
      </c>
      <c r="AQ62" s="400" t="b">
        <f t="shared" ca="1" si="8"/>
        <v>1</v>
      </c>
      <c r="AR62" s="400" t="str">
        <f t="shared" ca="1" si="38"/>
        <v>Accepted</v>
      </c>
      <c r="AS62" s="398" t="str">
        <f t="shared" ca="1" si="39"/>
        <v>No</v>
      </c>
      <c r="AT62" s="398" t="str">
        <f t="shared" ca="1" si="40"/>
        <v/>
      </c>
      <c r="AU62" s="398" t="str">
        <f t="shared" ca="1" si="41"/>
        <v/>
      </c>
      <c r="AV62" s="398">
        <f t="shared" ca="1" si="42"/>
        <v>6</v>
      </c>
      <c r="AW62" s="398">
        <f t="shared" ca="1" si="43"/>
        <v>2</v>
      </c>
      <c r="AX62" s="398">
        <f t="shared" ca="1" si="44"/>
        <v>144</v>
      </c>
      <c r="AY62" s="398">
        <f t="shared" ca="1" si="45"/>
        <v>122848</v>
      </c>
      <c r="AZ62" s="399">
        <f t="shared" si="542"/>
        <v>0</v>
      </c>
      <c r="BA62" s="399">
        <f t="shared" si="543"/>
        <v>0</v>
      </c>
      <c r="BB62" s="483" t="str">
        <f t="shared" ca="1" si="46"/>
        <v/>
      </c>
      <c r="BC62" s="400">
        <f ca="1">IF(MAX(IF($D$6="No",ROUNDUP($D$3/$I62,0),ROUNDUP(($D$3+$I62)/$I62,0)),IF($D$6="No",ROUNDUP($D$4/$G62,0),ROUNDUP(($D$4+$G62)/$G62,0)),ROUNDUP('BVMS checklist'!$H$217/$J62,0))&gt;1,'BVMS checklist'!$L$224,'BVMS checklist'!$L$217)</f>
        <v>0</v>
      </c>
      <c r="BD62" s="398">
        <f t="shared" ca="1" si="47"/>
        <v>2</v>
      </c>
      <c r="BE62" s="400">
        <f t="shared" si="48"/>
        <v>1</v>
      </c>
      <c r="BF62" s="400">
        <f t="shared" si="49"/>
        <v>1025</v>
      </c>
      <c r="BG62" s="400">
        <f t="shared" ca="1" si="11"/>
        <v>0</v>
      </c>
      <c r="BH62" s="398">
        <f t="shared" ca="1" si="50"/>
        <v>122848</v>
      </c>
      <c r="BI62" s="401" t="str">
        <f t="shared" ca="1" si="51"/>
        <v/>
      </c>
      <c r="BJ62" s="398">
        <f t="shared" ca="1" si="52"/>
        <v>768</v>
      </c>
      <c r="BK62" s="400">
        <f ca="1">IF(MAX(IF($D$6="No",ROUNDUP($D$3/$I62,0),ROUNDUP(($D$3+$I62)/$I62,0)),IF($D$6="No",ROUNDUP($D$4/$G62,0),ROUNDUP(($D$4+$G62)/$G62,0)),ROUNDUP('BVMS checklist'!$H$217/$J62,0))&gt;1,'BVMS checklist'!$L$224,'BVMS checklist'!$L$217)+MAX(IF($D$6="No",ROUNDUP($D$3/$I62,0),ROUNDUP(($D$3+$I62)/$I62,0)),IF($D$6="No",ROUNDUP($D$4/$G62,0),ROUNDUP(($D$4+$G62)/$G62,0)))+$D$5</f>
        <v>1</v>
      </c>
      <c r="BL62" s="400" t="b">
        <f t="shared" ca="1" si="12"/>
        <v>1</v>
      </c>
      <c r="BM62" s="400" t="str">
        <f t="shared" ca="1" si="53"/>
        <v>Accepted</v>
      </c>
      <c r="BN62" s="398" t="str">
        <f t="shared" ca="1" si="13"/>
        <v>No</v>
      </c>
      <c r="BO62" s="398" t="str">
        <f t="shared" ca="1" si="54"/>
        <v/>
      </c>
      <c r="BP62" s="398" t="str">
        <f t="shared" ca="1" si="55"/>
        <v/>
      </c>
      <c r="BQ62" s="398">
        <f t="shared" ca="1" si="56"/>
        <v>6</v>
      </c>
      <c r="BR62" s="398">
        <f t="shared" ca="1" si="57"/>
        <v>2</v>
      </c>
      <c r="BS62" s="398">
        <f t="shared" ca="1" si="58"/>
        <v>144</v>
      </c>
      <c r="BT62" s="398">
        <f t="shared" ca="1" si="59"/>
        <v>122848</v>
      </c>
      <c r="BU62" s="399">
        <f t="shared" si="544"/>
        <v>0</v>
      </c>
      <c r="BV62" s="399">
        <f t="shared" si="545"/>
        <v>0</v>
      </c>
      <c r="BW62" s="483" t="str">
        <f t="shared" ca="1" si="60"/>
        <v/>
      </c>
      <c r="BX62" s="400">
        <f ca="1">IF(MAX(IF($E$6="No",ROUNDUP($E$3/$I62,0),ROUNDUP(($E$3+$I62)/$I62,0)),IF($E$6="No",ROUNDUP($E$4/$G62,0),ROUNDUP(($E$4+$G62)/$G62,0)),ROUNDUP('BVMS checklist'!$H$217/$J62,0))&gt;1,'BVMS checklist'!$N$224,'BVMS checklist'!$N$217)</f>
        <v>0</v>
      </c>
      <c r="BY62" s="398">
        <f t="shared" ca="1" si="61"/>
        <v>2</v>
      </c>
      <c r="BZ62" s="400">
        <f t="shared" ca="1" si="62"/>
        <v>2</v>
      </c>
      <c r="CA62" s="400">
        <f t="shared" ca="1" si="63"/>
        <v>2050</v>
      </c>
      <c r="CB62" s="400">
        <f t="shared" ca="1" si="16"/>
        <v>0</v>
      </c>
      <c r="CC62" s="398">
        <f t="shared" ca="1" si="64"/>
        <v>122848</v>
      </c>
      <c r="CD62" s="401" t="str">
        <f t="shared" ca="1" si="65"/>
        <v/>
      </c>
      <c r="CE62" s="398">
        <f t="shared" ca="1" si="66"/>
        <v>768</v>
      </c>
      <c r="CF62" s="400">
        <f ca="1">IF(MAX(IF($E$6="No",ROUNDUP($E$3/$I62,0),ROUNDUP(($E$3+$I62)/$I62,0)),IF($E$6="No",ROUNDUP($E$4/$G62,0),ROUNDUP(($E$4+$G62)/$G62,0)),ROUNDUP('BVMS checklist'!$H$217/$J62,0))&gt;1,'BVMS checklist'!$N$224,'BVMS checklist'!$N$217)+MAX(IF($E$6="No",ROUNDUP($E$3/$I62,0),ROUNDUP(($E$3+$I62)/$I62,0)),IF($E$6="No",ROUNDUP($E$4/$G62,0),ROUNDUP(($E$4+$G62)/$G62,0)))+$E$5</f>
        <v>1</v>
      </c>
      <c r="CG62" s="400" t="b">
        <f t="shared" ca="1" si="17"/>
        <v>1</v>
      </c>
      <c r="CH62" s="400" t="str">
        <f t="shared" ca="1" si="67"/>
        <v>Accepted</v>
      </c>
      <c r="CI62" s="398" t="str">
        <f t="shared" ca="1" si="68"/>
        <v>No</v>
      </c>
      <c r="CJ62" s="398" t="str">
        <f t="shared" ca="1" si="69"/>
        <v/>
      </c>
      <c r="CK62" s="398" t="str">
        <f t="shared" ca="1" si="70"/>
        <v/>
      </c>
      <c r="CL62" s="398">
        <f t="shared" ca="1" si="71"/>
        <v>6</v>
      </c>
      <c r="CM62" s="398">
        <f t="shared" ca="1" si="72"/>
        <v>2</v>
      </c>
      <c r="CN62" s="398">
        <f t="shared" ca="1" si="73"/>
        <v>144</v>
      </c>
      <c r="CO62" s="398">
        <f t="shared" ca="1" si="74"/>
        <v>122848</v>
      </c>
      <c r="CP62" s="399">
        <f t="shared" si="546"/>
        <v>0</v>
      </c>
      <c r="CQ62" s="399">
        <f t="shared" si="547"/>
        <v>0</v>
      </c>
      <c r="CR62" s="483" t="str">
        <f t="shared" ca="1" si="75"/>
        <v/>
      </c>
      <c r="CS62"/>
    </row>
    <row r="63" spans="1:97">
      <c r="A63" s="398" t="s">
        <v>328</v>
      </c>
      <c r="B63" s="398" t="s">
        <v>987</v>
      </c>
      <c r="C63" s="440" t="s">
        <v>891</v>
      </c>
      <c r="D63" s="398">
        <v>3</v>
      </c>
      <c r="E63" s="398"/>
      <c r="F63" s="440">
        <v>0</v>
      </c>
      <c r="G63" s="398">
        <f>IF(C63="RAID5",(((7-F63)*2792))+(2*(((15-F63)*2792))),(((6-F63)*2792))+(2*(((14-F63)*2792))))</f>
        <v>103304</v>
      </c>
      <c r="H63" s="399">
        <v>120</v>
      </c>
      <c r="I63" s="399">
        <v>1575</v>
      </c>
      <c r="J63" s="399">
        <v>384</v>
      </c>
      <c r="K63" s="399"/>
      <c r="L63" s="399"/>
      <c r="M63" s="400">
        <f ca="1">IF(MAX(IF($B$6="No",ROUNDUP($B$3/$I63,0),ROUNDUP(($B$3+$I63)/$I63,0)),IF($B$6="No",ROUNDUP($B$4/$G63,0),ROUNDUP(($B$4+$G63)/$G63,0)),ROUNDUP('BVMS checklist'!$H$217/$J63,0))&gt;1,'BVMS checklist'!$H$224,'BVMS checklist'!$H$217)</f>
        <v>0</v>
      </c>
      <c r="N63" s="398">
        <f t="shared" ca="1" si="20"/>
        <v>2</v>
      </c>
      <c r="O63" s="400">
        <f t="shared" ca="1" si="21"/>
        <v>2</v>
      </c>
      <c r="P63" s="400">
        <f t="shared" ca="1" si="0"/>
        <v>3150</v>
      </c>
      <c r="Q63" s="400">
        <f t="shared" ca="1" si="1"/>
        <v>0</v>
      </c>
      <c r="R63" s="398">
        <f t="shared" ca="1" si="2"/>
        <v>206608</v>
      </c>
      <c r="S63" s="401" t="str">
        <f t="shared" ca="1" si="22"/>
        <v/>
      </c>
      <c r="T63" s="398">
        <f t="shared" ca="1" si="23"/>
        <v>768</v>
      </c>
      <c r="U63" s="400">
        <f ca="1">IF(MAX(IF($B$6="No",ROUNDUP($B$3/$I63,0),ROUNDUP(($B$3+$I63)/$I63,0)),IF($B$6="No",ROUNDUP($B$4/$G63,0),ROUNDUP(($B$4+$G63)/$G63,0)),ROUNDUP('BVMS checklist'!$H$217/$J63,0))&gt;1,'BVMS checklist'!$H$224,'BVMS checklist'!$H$217)+MAX(IF($B$6="No",ROUNDUP($B$3/$I63,0),ROUNDUP(($B$3+$I63)/$I63,0)),IF($B$6="No",ROUNDUP($B$4/$G63,0),ROUNDUP(($B$4+$G63)/$G63,0)))+$B$5</f>
        <v>1</v>
      </c>
      <c r="V63" s="400" t="b">
        <f t="shared" ca="1" si="3"/>
        <v>1</v>
      </c>
      <c r="W63" s="400" t="str">
        <f t="shared" ca="1" si="24"/>
        <v>Accepted</v>
      </c>
      <c r="X63" s="398" t="str">
        <f t="shared" ca="1" si="25"/>
        <v>No</v>
      </c>
      <c r="Y63" s="398" t="str">
        <f t="shared" ca="1" si="26"/>
        <v/>
      </c>
      <c r="Z63" s="398" t="str">
        <f t="shared" ca="1" si="27"/>
        <v/>
      </c>
      <c r="AA63" s="398">
        <f t="shared" ca="1" si="28"/>
        <v>6</v>
      </c>
      <c r="AB63" s="398">
        <f t="shared" ca="1" si="4"/>
        <v>2</v>
      </c>
      <c r="AC63" s="398">
        <f t="shared" ca="1" si="5"/>
        <v>240</v>
      </c>
      <c r="AD63" s="398">
        <f t="shared" ca="1" si="29"/>
        <v>206608</v>
      </c>
      <c r="AE63" s="399">
        <f t="shared" si="540"/>
        <v>0</v>
      </c>
      <c r="AF63" s="399">
        <f t="shared" si="541"/>
        <v>0</v>
      </c>
      <c r="AG63" s="483" t="str">
        <f t="shared" ca="1" si="30"/>
        <v/>
      </c>
      <c r="AH63" s="400">
        <f ca="1">IF(MAX(IF($C$6="No",ROUNDUP($C$3/$I63,0),ROUNDUP(($C$3+$I63)/$I63,0)),IF($C$6="No",ROUNDUP($C$4/$G63,0),ROUNDUP(($C$4+$G63)/$G63,0)),ROUNDUP('BVMS checklist'!$H$217/$J63,0))&gt;1,'BVMS checklist'!$J$224,'BVMS checklist'!$J$217)</f>
        <v>0</v>
      </c>
      <c r="AI63" s="398">
        <f t="shared" ca="1" si="31"/>
        <v>2</v>
      </c>
      <c r="AJ63" s="400">
        <f t="shared" ca="1" si="32"/>
        <v>2</v>
      </c>
      <c r="AK63" s="400">
        <f t="shared" ca="1" si="33"/>
        <v>3150</v>
      </c>
      <c r="AL63" s="400">
        <f t="shared" ca="1" si="34"/>
        <v>0</v>
      </c>
      <c r="AM63" s="398">
        <f t="shared" ca="1" si="35"/>
        <v>206608</v>
      </c>
      <c r="AN63" s="401" t="str">
        <f t="shared" ca="1" si="36"/>
        <v/>
      </c>
      <c r="AO63" s="398">
        <f t="shared" ca="1" si="37"/>
        <v>768</v>
      </c>
      <c r="AP63" s="400">
        <f ca="1">IF(MAX(IF($C$6="No",ROUNDUP($C$3/$I63,0),ROUNDUP(($C$3+$I63)/$I63,0)),IF($C$6="No",ROUNDUP($C$4/$G63,0),ROUNDUP(($C$4+$G63)/$G63,0)),ROUNDUP('BVMS checklist'!$H$217/$J63,0))&gt;1,'BVMS checklist'!$J$224,'BVMS checklist'!$J$217)+MAX(IF($C$6="No",ROUNDUP($C$3/$I63,0),ROUNDUP(($C$3+$I63)/$I63,0)),IF($C$6="No",ROUNDUP($C$4/$G63,0),ROUNDUP(($C$4+$G63)/$G63,0)))+$C$5</f>
        <v>1</v>
      </c>
      <c r="AQ63" s="400" t="b">
        <f t="shared" ca="1" si="8"/>
        <v>1</v>
      </c>
      <c r="AR63" s="400" t="str">
        <f t="shared" ca="1" si="38"/>
        <v>Accepted</v>
      </c>
      <c r="AS63" s="398" t="str">
        <f t="shared" ca="1" si="39"/>
        <v>No</v>
      </c>
      <c r="AT63" s="398" t="str">
        <f t="shared" ca="1" si="40"/>
        <v/>
      </c>
      <c r="AU63" s="398" t="str">
        <f t="shared" ca="1" si="41"/>
        <v/>
      </c>
      <c r="AV63" s="398">
        <f t="shared" ca="1" si="42"/>
        <v>6</v>
      </c>
      <c r="AW63" s="398">
        <f t="shared" ca="1" si="43"/>
        <v>2</v>
      </c>
      <c r="AX63" s="398">
        <f t="shared" ca="1" si="44"/>
        <v>240</v>
      </c>
      <c r="AY63" s="398">
        <f t="shared" ca="1" si="45"/>
        <v>206608</v>
      </c>
      <c r="AZ63" s="399">
        <f t="shared" si="542"/>
        <v>0</v>
      </c>
      <c r="BA63" s="399">
        <f t="shared" si="543"/>
        <v>0</v>
      </c>
      <c r="BB63" s="483" t="str">
        <f t="shared" ca="1" si="46"/>
        <v/>
      </c>
      <c r="BC63" s="400">
        <f ca="1">IF(MAX(IF($D$6="No",ROUNDUP($D$3/$I63,0),ROUNDUP(($D$3+$I63)/$I63,0)),IF($D$6="No",ROUNDUP($D$4/$G63,0),ROUNDUP(($D$4+$G63)/$G63,0)),ROUNDUP('BVMS checklist'!$H$217/$J63,0))&gt;1,'BVMS checklist'!$L$224,'BVMS checklist'!$L$217)</f>
        <v>0</v>
      </c>
      <c r="BD63" s="398">
        <f t="shared" ca="1" si="47"/>
        <v>2</v>
      </c>
      <c r="BE63" s="400">
        <f t="shared" si="48"/>
        <v>1</v>
      </c>
      <c r="BF63" s="400">
        <f t="shared" si="49"/>
        <v>1575</v>
      </c>
      <c r="BG63" s="400">
        <f t="shared" ca="1" si="11"/>
        <v>0</v>
      </c>
      <c r="BH63" s="398">
        <f t="shared" ca="1" si="50"/>
        <v>206608</v>
      </c>
      <c r="BI63" s="401" t="str">
        <f t="shared" ca="1" si="51"/>
        <v/>
      </c>
      <c r="BJ63" s="398">
        <f t="shared" ca="1" si="52"/>
        <v>768</v>
      </c>
      <c r="BK63" s="400">
        <f ca="1">IF(MAX(IF($D$6="No",ROUNDUP($D$3/$I63,0),ROUNDUP(($D$3+$I63)/$I63,0)),IF($D$6="No",ROUNDUP($D$4/$G63,0),ROUNDUP(($D$4+$G63)/$G63,0)),ROUNDUP('BVMS checklist'!$H$217/$J63,0))&gt;1,'BVMS checklist'!$L$224,'BVMS checklist'!$L$217)+MAX(IF($D$6="No",ROUNDUP($D$3/$I63,0),ROUNDUP(($D$3+$I63)/$I63,0)),IF($D$6="No",ROUNDUP($D$4/$G63,0),ROUNDUP(($D$4+$G63)/$G63,0)))+$D$5</f>
        <v>1</v>
      </c>
      <c r="BL63" s="400" t="b">
        <f t="shared" ca="1" si="12"/>
        <v>1</v>
      </c>
      <c r="BM63" s="400" t="str">
        <f t="shared" ca="1" si="53"/>
        <v>Accepted</v>
      </c>
      <c r="BN63" s="398" t="str">
        <f t="shared" ca="1" si="13"/>
        <v>No</v>
      </c>
      <c r="BO63" s="398" t="str">
        <f t="shared" ca="1" si="54"/>
        <v/>
      </c>
      <c r="BP63" s="398" t="str">
        <f t="shared" ca="1" si="55"/>
        <v/>
      </c>
      <c r="BQ63" s="398">
        <f t="shared" ca="1" si="56"/>
        <v>6</v>
      </c>
      <c r="BR63" s="398">
        <f t="shared" ca="1" si="57"/>
        <v>2</v>
      </c>
      <c r="BS63" s="398">
        <f t="shared" ca="1" si="58"/>
        <v>240</v>
      </c>
      <c r="BT63" s="398">
        <f t="shared" ca="1" si="59"/>
        <v>206608</v>
      </c>
      <c r="BU63" s="399">
        <f t="shared" si="544"/>
        <v>0</v>
      </c>
      <c r="BV63" s="399">
        <f t="shared" si="545"/>
        <v>0</v>
      </c>
      <c r="BW63" s="483" t="str">
        <f t="shared" ca="1" si="60"/>
        <v/>
      </c>
      <c r="BX63" s="400">
        <f ca="1">IF(MAX(IF($E$6="No",ROUNDUP($E$3/$I63,0),ROUNDUP(($E$3+$I63)/$I63,0)),IF($E$6="No",ROUNDUP($E$4/$G63,0),ROUNDUP(($E$4+$G63)/$G63,0)),ROUNDUP('BVMS checklist'!$H$217/$J63,0))&gt;1,'BVMS checklist'!$N$224,'BVMS checklist'!$N$217)</f>
        <v>0</v>
      </c>
      <c r="BY63" s="398">
        <f t="shared" ca="1" si="61"/>
        <v>2</v>
      </c>
      <c r="BZ63" s="400">
        <f t="shared" ca="1" si="62"/>
        <v>2</v>
      </c>
      <c r="CA63" s="400">
        <f t="shared" ca="1" si="63"/>
        <v>3150</v>
      </c>
      <c r="CB63" s="400">
        <f t="shared" ca="1" si="16"/>
        <v>0</v>
      </c>
      <c r="CC63" s="398">
        <f t="shared" ca="1" si="64"/>
        <v>206608</v>
      </c>
      <c r="CD63" s="401" t="str">
        <f t="shared" ca="1" si="65"/>
        <v/>
      </c>
      <c r="CE63" s="398">
        <f t="shared" ca="1" si="66"/>
        <v>768</v>
      </c>
      <c r="CF63" s="400">
        <f ca="1">IF(MAX(IF($E$6="No",ROUNDUP($E$3/$I63,0),ROUNDUP(($E$3+$I63)/$I63,0)),IF($E$6="No",ROUNDUP($E$4/$G63,0),ROUNDUP(($E$4+$G63)/$G63,0)),ROUNDUP('BVMS checklist'!$H$217/$J63,0))&gt;1,'BVMS checklist'!$N$224,'BVMS checklist'!$N$217)+MAX(IF($E$6="No",ROUNDUP($E$3/$I63,0),ROUNDUP(($E$3+$I63)/$I63,0)),IF($E$6="No",ROUNDUP($E$4/$G63,0),ROUNDUP(($E$4+$G63)/$G63,0)))+$E$5</f>
        <v>1</v>
      </c>
      <c r="CG63" s="400" t="b">
        <f t="shared" ca="1" si="17"/>
        <v>1</v>
      </c>
      <c r="CH63" s="400" t="str">
        <f t="shared" ca="1" si="67"/>
        <v>Accepted</v>
      </c>
      <c r="CI63" s="398" t="str">
        <f t="shared" ca="1" si="68"/>
        <v>No</v>
      </c>
      <c r="CJ63" s="398" t="str">
        <f t="shared" ca="1" si="69"/>
        <v/>
      </c>
      <c r="CK63" s="398" t="str">
        <f t="shared" ca="1" si="70"/>
        <v/>
      </c>
      <c r="CL63" s="398">
        <f t="shared" ca="1" si="71"/>
        <v>6</v>
      </c>
      <c r="CM63" s="398">
        <f t="shared" ca="1" si="72"/>
        <v>2</v>
      </c>
      <c r="CN63" s="398">
        <f t="shared" ca="1" si="73"/>
        <v>240</v>
      </c>
      <c r="CO63" s="398">
        <f t="shared" ca="1" si="74"/>
        <v>206608</v>
      </c>
      <c r="CP63" s="399">
        <f t="shared" si="546"/>
        <v>0</v>
      </c>
      <c r="CQ63" s="399">
        <f t="shared" si="547"/>
        <v>0</v>
      </c>
      <c r="CR63" s="483" t="str">
        <f t="shared" ca="1" si="75"/>
        <v/>
      </c>
      <c r="CS63"/>
    </row>
    <row r="64" spans="1:97">
      <c r="A64" s="398" t="s">
        <v>329</v>
      </c>
      <c r="B64" s="398" t="s">
        <v>987</v>
      </c>
      <c r="C64" s="440" t="s">
        <v>891</v>
      </c>
      <c r="D64" s="398">
        <v>4</v>
      </c>
      <c r="E64" s="398"/>
      <c r="F64" s="440">
        <v>0</v>
      </c>
      <c r="G64" s="398">
        <f>IF(C64="RAID5",(((7-F64)*2792))+(3*(((15-F64)*2792))),(((6-F64)*2792))+(3*(((14-F64)*2792))))</f>
        <v>145184</v>
      </c>
      <c r="H64" s="399">
        <v>168</v>
      </c>
      <c r="I64" s="399">
        <v>2125</v>
      </c>
      <c r="J64" s="399">
        <v>384</v>
      </c>
      <c r="K64" s="399"/>
      <c r="L64" s="399"/>
      <c r="M64" s="400">
        <f ca="1">IF(MAX(IF($B$6="No",ROUNDUP($B$3/$I64,0),ROUNDUP(($B$3+$I64)/$I64,0)),IF($B$6="No",ROUNDUP($B$4/$G64,0),ROUNDUP(($B$4+$G64)/$G64,0)),ROUNDUP('BVMS checklist'!$H$217/$J64,0))&gt;1,'BVMS checklist'!$H$224,'BVMS checklist'!$H$217)</f>
        <v>0</v>
      </c>
      <c r="N64" s="398">
        <f t="shared" ca="1" si="20"/>
        <v>2</v>
      </c>
      <c r="O64" s="400">
        <f t="shared" ca="1" si="21"/>
        <v>2</v>
      </c>
      <c r="P64" s="400">
        <f t="shared" ca="1" si="0"/>
        <v>4250</v>
      </c>
      <c r="Q64" s="400">
        <f t="shared" ca="1" si="1"/>
        <v>0</v>
      </c>
      <c r="R64" s="398">
        <f t="shared" ca="1" si="2"/>
        <v>290368</v>
      </c>
      <c r="S64" s="401" t="str">
        <f t="shared" ca="1" si="22"/>
        <v/>
      </c>
      <c r="T64" s="398">
        <f t="shared" ca="1" si="23"/>
        <v>768</v>
      </c>
      <c r="U64" s="400">
        <f ca="1">IF(MAX(IF($B$6="No",ROUNDUP($B$3/$I64,0),ROUNDUP(($B$3+$I64)/$I64,0)),IF($B$6="No",ROUNDUP($B$4/$G64,0),ROUNDUP(($B$4+$G64)/$G64,0)),ROUNDUP('BVMS checklist'!$H$217/$J64,0))&gt;1,'BVMS checklist'!$H$224,'BVMS checklist'!$H$217)+MAX(IF($B$6="No",ROUNDUP($B$3/$I64,0),ROUNDUP(($B$3+$I64)/$I64,0)),IF($B$6="No",ROUNDUP($B$4/$G64,0),ROUNDUP(($B$4+$G64)/$G64,0)))+$B$5</f>
        <v>1</v>
      </c>
      <c r="V64" s="400" t="b">
        <f t="shared" ca="1" si="3"/>
        <v>1</v>
      </c>
      <c r="W64" s="400" t="str">
        <f t="shared" ca="1" si="24"/>
        <v>Accepted</v>
      </c>
      <c r="X64" s="398" t="str">
        <f t="shared" ca="1" si="25"/>
        <v>No</v>
      </c>
      <c r="Y64" s="398" t="str">
        <f t="shared" ca="1" si="26"/>
        <v/>
      </c>
      <c r="Z64" s="398" t="str">
        <f t="shared" ca="1" si="27"/>
        <v/>
      </c>
      <c r="AA64" s="398">
        <f t="shared" ca="1" si="28"/>
        <v>6</v>
      </c>
      <c r="AB64" s="398">
        <f t="shared" ca="1" si="4"/>
        <v>2</v>
      </c>
      <c r="AC64" s="398">
        <f t="shared" ca="1" si="5"/>
        <v>336</v>
      </c>
      <c r="AD64" s="398">
        <f t="shared" ca="1" si="29"/>
        <v>290368</v>
      </c>
      <c r="AE64" s="399">
        <f t="shared" si="540"/>
        <v>0</v>
      </c>
      <c r="AF64" s="399">
        <f t="shared" si="541"/>
        <v>0</v>
      </c>
      <c r="AG64" s="483" t="str">
        <f t="shared" ca="1" si="30"/>
        <v/>
      </c>
      <c r="AH64" s="400">
        <f ca="1">IF(MAX(IF($C$6="No",ROUNDUP($C$3/$I64,0),ROUNDUP(($C$3+$I64)/$I64,0)),IF($C$6="No",ROUNDUP($C$4/$G64,0),ROUNDUP(($C$4+$G64)/$G64,0)),ROUNDUP('BVMS checklist'!$H$217/$J64,0))&gt;1,'BVMS checklist'!$J$224,'BVMS checklist'!$J$217)</f>
        <v>0</v>
      </c>
      <c r="AI64" s="398">
        <f t="shared" ca="1" si="31"/>
        <v>2</v>
      </c>
      <c r="AJ64" s="400">
        <f t="shared" ca="1" si="32"/>
        <v>2</v>
      </c>
      <c r="AK64" s="400">
        <f t="shared" ca="1" si="33"/>
        <v>4250</v>
      </c>
      <c r="AL64" s="400">
        <f t="shared" ca="1" si="34"/>
        <v>0</v>
      </c>
      <c r="AM64" s="398">
        <f t="shared" ca="1" si="35"/>
        <v>290368</v>
      </c>
      <c r="AN64" s="401" t="str">
        <f t="shared" ca="1" si="36"/>
        <v/>
      </c>
      <c r="AO64" s="398">
        <f t="shared" ca="1" si="37"/>
        <v>768</v>
      </c>
      <c r="AP64" s="400">
        <f ca="1">IF(MAX(IF($C$6="No",ROUNDUP($C$3/$I64,0),ROUNDUP(($C$3+$I64)/$I64,0)),IF($C$6="No",ROUNDUP($C$4/$G64,0),ROUNDUP(($C$4+$G64)/$G64,0)),ROUNDUP('BVMS checklist'!$H$217/$J64,0))&gt;1,'BVMS checklist'!$J$224,'BVMS checklist'!$J$217)+MAX(IF($C$6="No",ROUNDUP($C$3/$I64,0),ROUNDUP(($C$3+$I64)/$I64,0)),IF($C$6="No",ROUNDUP($C$4/$G64,0),ROUNDUP(($C$4+$G64)/$G64,0)))+$C$5</f>
        <v>1</v>
      </c>
      <c r="AQ64" s="400" t="b">
        <f t="shared" ca="1" si="8"/>
        <v>1</v>
      </c>
      <c r="AR64" s="400" t="str">
        <f t="shared" ca="1" si="38"/>
        <v>Accepted</v>
      </c>
      <c r="AS64" s="398" t="str">
        <f t="shared" ca="1" si="39"/>
        <v>No</v>
      </c>
      <c r="AT64" s="398" t="str">
        <f t="shared" ca="1" si="40"/>
        <v/>
      </c>
      <c r="AU64" s="398" t="str">
        <f t="shared" ca="1" si="41"/>
        <v/>
      </c>
      <c r="AV64" s="398">
        <f t="shared" ca="1" si="42"/>
        <v>6</v>
      </c>
      <c r="AW64" s="398">
        <f t="shared" ca="1" si="43"/>
        <v>2</v>
      </c>
      <c r="AX64" s="398">
        <f t="shared" ca="1" si="44"/>
        <v>336</v>
      </c>
      <c r="AY64" s="398">
        <f t="shared" ca="1" si="45"/>
        <v>290368</v>
      </c>
      <c r="AZ64" s="399">
        <f t="shared" si="542"/>
        <v>0</v>
      </c>
      <c r="BA64" s="399">
        <f t="shared" si="543"/>
        <v>0</v>
      </c>
      <c r="BB64" s="483" t="str">
        <f t="shared" ca="1" si="46"/>
        <v/>
      </c>
      <c r="BC64" s="400">
        <f ca="1">IF(MAX(IF($D$6="No",ROUNDUP($D$3/$I64,0),ROUNDUP(($D$3+$I64)/$I64,0)),IF($D$6="No",ROUNDUP($D$4/$G64,0),ROUNDUP(($D$4+$G64)/$G64,0)),ROUNDUP('BVMS checklist'!$H$217/$J64,0))&gt;1,'BVMS checklist'!$L$224,'BVMS checklist'!$L$217)</f>
        <v>0</v>
      </c>
      <c r="BD64" s="398">
        <f t="shared" ca="1" si="47"/>
        <v>2</v>
      </c>
      <c r="BE64" s="400">
        <f t="shared" si="48"/>
        <v>1</v>
      </c>
      <c r="BF64" s="400">
        <f t="shared" si="49"/>
        <v>2125</v>
      </c>
      <c r="BG64" s="400">
        <f t="shared" ca="1" si="11"/>
        <v>0</v>
      </c>
      <c r="BH64" s="398">
        <f t="shared" ca="1" si="50"/>
        <v>290368</v>
      </c>
      <c r="BI64" s="401" t="str">
        <f t="shared" ca="1" si="51"/>
        <v/>
      </c>
      <c r="BJ64" s="398">
        <f t="shared" ca="1" si="52"/>
        <v>768</v>
      </c>
      <c r="BK64" s="400">
        <f ca="1">IF(MAX(IF($D$6="No",ROUNDUP($D$3/$I64,0),ROUNDUP(($D$3+$I64)/$I64,0)),IF($D$6="No",ROUNDUP($D$4/$G64,0),ROUNDUP(($D$4+$G64)/$G64,0)),ROUNDUP('BVMS checklist'!$H$217/$J64,0))&gt;1,'BVMS checklist'!$L$224,'BVMS checklist'!$L$217)+MAX(IF($D$6="No",ROUNDUP($D$3/$I64,0),ROUNDUP(($D$3+$I64)/$I64,0)),IF($D$6="No",ROUNDUP($D$4/$G64,0),ROUNDUP(($D$4+$G64)/$G64,0)))+$D$5</f>
        <v>1</v>
      </c>
      <c r="BL64" s="400" t="b">
        <f t="shared" ca="1" si="12"/>
        <v>1</v>
      </c>
      <c r="BM64" s="400" t="str">
        <f t="shared" ca="1" si="53"/>
        <v>Accepted</v>
      </c>
      <c r="BN64" s="398" t="str">
        <f t="shared" ca="1" si="13"/>
        <v>No</v>
      </c>
      <c r="BO64" s="398" t="str">
        <f t="shared" ca="1" si="54"/>
        <v/>
      </c>
      <c r="BP64" s="398" t="str">
        <f t="shared" ca="1" si="55"/>
        <v/>
      </c>
      <c r="BQ64" s="398">
        <f t="shared" ca="1" si="56"/>
        <v>6</v>
      </c>
      <c r="BR64" s="398">
        <f t="shared" ca="1" si="57"/>
        <v>2</v>
      </c>
      <c r="BS64" s="398">
        <f t="shared" ca="1" si="58"/>
        <v>336</v>
      </c>
      <c r="BT64" s="398">
        <f t="shared" ca="1" si="59"/>
        <v>290368</v>
      </c>
      <c r="BU64" s="399">
        <f t="shared" si="544"/>
        <v>0</v>
      </c>
      <c r="BV64" s="399">
        <f t="shared" si="545"/>
        <v>0</v>
      </c>
      <c r="BW64" s="483" t="str">
        <f t="shared" ca="1" si="60"/>
        <v/>
      </c>
      <c r="BX64" s="400">
        <f ca="1">IF(MAX(IF($E$6="No",ROUNDUP($E$3/$I64,0),ROUNDUP(($E$3+$I64)/$I64,0)),IF($E$6="No",ROUNDUP($E$4/$G64,0),ROUNDUP(($E$4+$G64)/$G64,0)),ROUNDUP('BVMS checklist'!$H$217/$J64,0))&gt;1,'BVMS checklist'!$N$224,'BVMS checklist'!$N$217)</f>
        <v>0</v>
      </c>
      <c r="BY64" s="398">
        <f t="shared" ca="1" si="61"/>
        <v>2</v>
      </c>
      <c r="BZ64" s="400">
        <f t="shared" ca="1" si="62"/>
        <v>2</v>
      </c>
      <c r="CA64" s="400">
        <f t="shared" ca="1" si="63"/>
        <v>4250</v>
      </c>
      <c r="CB64" s="400">
        <f t="shared" ca="1" si="16"/>
        <v>0</v>
      </c>
      <c r="CC64" s="398">
        <f t="shared" ca="1" si="64"/>
        <v>290368</v>
      </c>
      <c r="CD64" s="401" t="str">
        <f t="shared" ca="1" si="65"/>
        <v/>
      </c>
      <c r="CE64" s="398">
        <f t="shared" ca="1" si="66"/>
        <v>768</v>
      </c>
      <c r="CF64" s="400">
        <f ca="1">IF(MAX(IF($E$6="No",ROUNDUP($E$3/$I64,0),ROUNDUP(($E$3+$I64)/$I64,0)),IF($E$6="No",ROUNDUP($E$4/$G64,0),ROUNDUP(($E$4+$G64)/$G64,0)),ROUNDUP('BVMS checklist'!$H$217/$J64,0))&gt;1,'BVMS checklist'!$N$224,'BVMS checklist'!$N$217)+MAX(IF($E$6="No",ROUNDUP($E$3/$I64,0),ROUNDUP(($E$3+$I64)/$I64,0)),IF($E$6="No",ROUNDUP($E$4/$G64,0),ROUNDUP(($E$4+$G64)/$G64,0)))+$E$5</f>
        <v>1</v>
      </c>
      <c r="CG64" s="400" t="b">
        <f t="shared" ca="1" si="17"/>
        <v>1</v>
      </c>
      <c r="CH64" s="400" t="str">
        <f t="shared" ca="1" si="67"/>
        <v>Accepted</v>
      </c>
      <c r="CI64" s="398" t="str">
        <f t="shared" ca="1" si="68"/>
        <v>No</v>
      </c>
      <c r="CJ64" s="398" t="str">
        <f t="shared" ca="1" si="69"/>
        <v/>
      </c>
      <c r="CK64" s="398" t="str">
        <f t="shared" ca="1" si="70"/>
        <v/>
      </c>
      <c r="CL64" s="398">
        <f t="shared" ca="1" si="71"/>
        <v>6</v>
      </c>
      <c r="CM64" s="398">
        <f t="shared" ca="1" si="72"/>
        <v>2</v>
      </c>
      <c r="CN64" s="398">
        <f t="shared" ca="1" si="73"/>
        <v>336</v>
      </c>
      <c r="CO64" s="398">
        <f t="shared" ca="1" si="74"/>
        <v>290368</v>
      </c>
      <c r="CP64" s="399">
        <f t="shared" si="546"/>
        <v>0</v>
      </c>
      <c r="CQ64" s="399">
        <f t="shared" si="547"/>
        <v>0</v>
      </c>
      <c r="CR64" s="483" t="str">
        <f t="shared" ca="1" si="75"/>
        <v/>
      </c>
      <c r="CS64"/>
    </row>
    <row r="65" spans="1:97">
      <c r="A65" s="398" t="s">
        <v>330</v>
      </c>
      <c r="B65" s="398" t="s">
        <v>987</v>
      </c>
      <c r="C65" s="440" t="s">
        <v>891</v>
      </c>
      <c r="D65" s="398">
        <v>5</v>
      </c>
      <c r="E65" s="398"/>
      <c r="F65" s="440">
        <v>0</v>
      </c>
      <c r="G65" s="398">
        <f>IF(C65="RAID5",(((7-F65)*2792))+(4*(((15-F65)*2792))),(((6-F65)*2792))+(4*(((14-F65)*2792))))</f>
        <v>187064</v>
      </c>
      <c r="H65" s="399">
        <v>216</v>
      </c>
      <c r="I65" s="399">
        <v>2675</v>
      </c>
      <c r="J65" s="399">
        <v>384</v>
      </c>
      <c r="K65" s="399"/>
      <c r="L65" s="399"/>
      <c r="M65" s="400">
        <f ca="1">IF(MAX(IF($B$6="No",ROUNDUP($B$3/$I65,0),ROUNDUP(($B$3+$I65)/$I65,0)),IF($B$6="No",ROUNDUP($B$4/$G65,0),ROUNDUP(($B$4+$G65)/$G65,0)),ROUNDUP('BVMS checklist'!$H$217/$J65,0))&gt;1,'BVMS checklist'!$H$224,'BVMS checklist'!$H$217)</f>
        <v>0</v>
      </c>
      <c r="N65" s="398">
        <f t="shared" ca="1" si="20"/>
        <v>2</v>
      </c>
      <c r="O65" s="400">
        <f t="shared" ca="1" si="21"/>
        <v>2</v>
      </c>
      <c r="P65" s="400">
        <f t="shared" ca="1" si="0"/>
        <v>5350</v>
      </c>
      <c r="Q65" s="400">
        <f t="shared" ca="1" si="1"/>
        <v>0</v>
      </c>
      <c r="R65" s="398">
        <f t="shared" ca="1" si="2"/>
        <v>374128</v>
      </c>
      <c r="S65" s="401" t="str">
        <f t="shared" ca="1" si="22"/>
        <v/>
      </c>
      <c r="T65" s="398">
        <f t="shared" ca="1" si="23"/>
        <v>768</v>
      </c>
      <c r="U65" s="400">
        <f ca="1">IF(MAX(IF($B$6="No",ROUNDUP($B$3/$I65,0),ROUNDUP(($B$3+$I65)/$I65,0)),IF($B$6="No",ROUNDUP($B$4/$G65,0),ROUNDUP(($B$4+$G65)/$G65,0)),ROUNDUP('BVMS checklist'!$H$217/$J65,0))&gt;1,'BVMS checklist'!$H$224,'BVMS checklist'!$H$217)+MAX(IF($B$6="No",ROUNDUP($B$3/$I65,0),ROUNDUP(($B$3+$I65)/$I65,0)),IF($B$6="No",ROUNDUP($B$4/$G65,0),ROUNDUP(($B$4+$G65)/$G65,0)))+$B$5</f>
        <v>1</v>
      </c>
      <c r="V65" s="400" t="b">
        <f t="shared" ca="1" si="3"/>
        <v>1</v>
      </c>
      <c r="W65" s="400" t="str">
        <f t="shared" ca="1" si="24"/>
        <v>Accepted</v>
      </c>
      <c r="X65" s="398" t="str">
        <f t="shared" ca="1" si="25"/>
        <v>No</v>
      </c>
      <c r="Y65" s="398" t="str">
        <f t="shared" ca="1" si="26"/>
        <v/>
      </c>
      <c r="Z65" s="398" t="str">
        <f t="shared" ca="1" si="27"/>
        <v/>
      </c>
      <c r="AA65" s="398">
        <f t="shared" ca="1" si="28"/>
        <v>6</v>
      </c>
      <c r="AB65" s="398">
        <f t="shared" ca="1" si="4"/>
        <v>2</v>
      </c>
      <c r="AC65" s="398">
        <f t="shared" ca="1" si="5"/>
        <v>432</v>
      </c>
      <c r="AD65" s="398">
        <f t="shared" ca="1" si="29"/>
        <v>374128</v>
      </c>
      <c r="AE65" s="399">
        <f t="shared" si="540"/>
        <v>0</v>
      </c>
      <c r="AF65" s="399">
        <f t="shared" si="541"/>
        <v>0</v>
      </c>
      <c r="AG65" s="483" t="str">
        <f t="shared" ca="1" si="30"/>
        <v/>
      </c>
      <c r="AH65" s="400">
        <f ca="1">IF(MAX(IF($C$6="No",ROUNDUP($C$3/$I65,0),ROUNDUP(($C$3+$I65)/$I65,0)),IF($C$6="No",ROUNDUP($C$4/$G65,0),ROUNDUP(($C$4+$G65)/$G65,0)),ROUNDUP('BVMS checklist'!$H$217/$J65,0))&gt;1,'BVMS checklist'!$J$224,'BVMS checklist'!$J$217)</f>
        <v>0</v>
      </c>
      <c r="AI65" s="398">
        <f t="shared" ca="1" si="31"/>
        <v>2</v>
      </c>
      <c r="AJ65" s="400">
        <f t="shared" ca="1" si="32"/>
        <v>2</v>
      </c>
      <c r="AK65" s="400">
        <f t="shared" ca="1" si="33"/>
        <v>5350</v>
      </c>
      <c r="AL65" s="400">
        <f t="shared" ca="1" si="34"/>
        <v>0</v>
      </c>
      <c r="AM65" s="398">
        <f t="shared" ca="1" si="35"/>
        <v>374128</v>
      </c>
      <c r="AN65" s="401" t="str">
        <f t="shared" ca="1" si="36"/>
        <v/>
      </c>
      <c r="AO65" s="398">
        <f t="shared" ca="1" si="37"/>
        <v>768</v>
      </c>
      <c r="AP65" s="400">
        <f ca="1">IF(MAX(IF($C$6="No",ROUNDUP($C$3/$I65,0),ROUNDUP(($C$3+$I65)/$I65,0)),IF($C$6="No",ROUNDUP($C$4/$G65,0),ROUNDUP(($C$4+$G65)/$G65,0)),ROUNDUP('BVMS checklist'!$H$217/$J65,0))&gt;1,'BVMS checklist'!$J$224,'BVMS checklist'!$J$217)+MAX(IF($C$6="No",ROUNDUP($C$3/$I65,0),ROUNDUP(($C$3+$I65)/$I65,0)),IF($C$6="No",ROUNDUP($C$4/$G65,0),ROUNDUP(($C$4+$G65)/$G65,0)))+$C$5</f>
        <v>1</v>
      </c>
      <c r="AQ65" s="400" t="b">
        <f t="shared" ca="1" si="8"/>
        <v>1</v>
      </c>
      <c r="AR65" s="400" t="str">
        <f t="shared" ca="1" si="38"/>
        <v>Accepted</v>
      </c>
      <c r="AS65" s="398" t="str">
        <f t="shared" ca="1" si="39"/>
        <v>No</v>
      </c>
      <c r="AT65" s="398" t="str">
        <f t="shared" ca="1" si="40"/>
        <v/>
      </c>
      <c r="AU65" s="398" t="str">
        <f t="shared" ca="1" si="41"/>
        <v/>
      </c>
      <c r="AV65" s="398">
        <f t="shared" ca="1" si="42"/>
        <v>6</v>
      </c>
      <c r="AW65" s="398">
        <f t="shared" ca="1" si="43"/>
        <v>2</v>
      </c>
      <c r="AX65" s="398">
        <f t="shared" ca="1" si="44"/>
        <v>432</v>
      </c>
      <c r="AY65" s="398">
        <f t="shared" ca="1" si="45"/>
        <v>374128</v>
      </c>
      <c r="AZ65" s="399">
        <f t="shared" si="542"/>
        <v>0</v>
      </c>
      <c r="BA65" s="399">
        <f t="shared" si="543"/>
        <v>0</v>
      </c>
      <c r="BB65" s="483" t="str">
        <f t="shared" ca="1" si="46"/>
        <v/>
      </c>
      <c r="BC65" s="400">
        <f ca="1">IF(MAX(IF($D$6="No",ROUNDUP($D$3/$I65,0),ROUNDUP(($D$3+$I65)/$I65,0)),IF($D$6="No",ROUNDUP($D$4/$G65,0),ROUNDUP(($D$4+$G65)/$G65,0)),ROUNDUP('BVMS checklist'!$H$217/$J65,0))&gt;1,'BVMS checklist'!$L$224,'BVMS checklist'!$L$217)</f>
        <v>0</v>
      </c>
      <c r="BD65" s="398">
        <f t="shared" ca="1" si="47"/>
        <v>2</v>
      </c>
      <c r="BE65" s="400">
        <f t="shared" si="48"/>
        <v>1</v>
      </c>
      <c r="BF65" s="400">
        <f t="shared" si="49"/>
        <v>2675</v>
      </c>
      <c r="BG65" s="400">
        <f t="shared" ca="1" si="11"/>
        <v>0</v>
      </c>
      <c r="BH65" s="398">
        <f t="shared" ca="1" si="50"/>
        <v>374128</v>
      </c>
      <c r="BI65" s="401" t="str">
        <f t="shared" ca="1" si="51"/>
        <v/>
      </c>
      <c r="BJ65" s="398">
        <f t="shared" ca="1" si="52"/>
        <v>768</v>
      </c>
      <c r="BK65" s="400">
        <f ca="1">IF(MAX(IF($D$6="No",ROUNDUP($D$3/$I65,0),ROUNDUP(($D$3+$I65)/$I65,0)),IF($D$6="No",ROUNDUP($D$4/$G65,0),ROUNDUP(($D$4+$G65)/$G65,0)),ROUNDUP('BVMS checklist'!$H$217/$J65,0))&gt;1,'BVMS checklist'!$L$224,'BVMS checklist'!$L$217)+MAX(IF($D$6="No",ROUNDUP($D$3/$I65,0),ROUNDUP(($D$3+$I65)/$I65,0)),IF($D$6="No",ROUNDUP($D$4/$G65,0),ROUNDUP(($D$4+$G65)/$G65,0)))+$D$5</f>
        <v>1</v>
      </c>
      <c r="BL65" s="400" t="b">
        <f t="shared" ca="1" si="12"/>
        <v>1</v>
      </c>
      <c r="BM65" s="400" t="str">
        <f t="shared" ca="1" si="53"/>
        <v>Accepted</v>
      </c>
      <c r="BN65" s="398" t="str">
        <f t="shared" ca="1" si="13"/>
        <v>No</v>
      </c>
      <c r="BO65" s="398" t="str">
        <f t="shared" ca="1" si="54"/>
        <v/>
      </c>
      <c r="BP65" s="398" t="str">
        <f t="shared" ca="1" si="55"/>
        <v/>
      </c>
      <c r="BQ65" s="398">
        <f t="shared" ca="1" si="56"/>
        <v>6</v>
      </c>
      <c r="BR65" s="398">
        <f t="shared" ca="1" si="57"/>
        <v>2</v>
      </c>
      <c r="BS65" s="398">
        <f t="shared" ca="1" si="58"/>
        <v>432</v>
      </c>
      <c r="BT65" s="398">
        <f t="shared" ca="1" si="59"/>
        <v>374128</v>
      </c>
      <c r="BU65" s="399">
        <f t="shared" si="544"/>
        <v>0</v>
      </c>
      <c r="BV65" s="399">
        <f t="shared" si="545"/>
        <v>0</v>
      </c>
      <c r="BW65" s="483" t="str">
        <f t="shared" ca="1" si="60"/>
        <v/>
      </c>
      <c r="BX65" s="400">
        <f ca="1">IF(MAX(IF($E$6="No",ROUNDUP($E$3/$I65,0),ROUNDUP(($E$3+$I65)/$I65,0)),IF($E$6="No",ROUNDUP($E$4/$G65,0),ROUNDUP(($E$4+$G65)/$G65,0)),ROUNDUP('BVMS checklist'!$H$217/$J65,0))&gt;1,'BVMS checklist'!$N$224,'BVMS checklist'!$N$217)</f>
        <v>0</v>
      </c>
      <c r="BY65" s="398">
        <f t="shared" ca="1" si="61"/>
        <v>2</v>
      </c>
      <c r="BZ65" s="400">
        <f t="shared" ca="1" si="62"/>
        <v>2</v>
      </c>
      <c r="CA65" s="400">
        <f t="shared" ca="1" si="63"/>
        <v>5350</v>
      </c>
      <c r="CB65" s="400">
        <f t="shared" ca="1" si="16"/>
        <v>0</v>
      </c>
      <c r="CC65" s="398">
        <f t="shared" ca="1" si="64"/>
        <v>374128</v>
      </c>
      <c r="CD65" s="401" t="str">
        <f t="shared" ca="1" si="65"/>
        <v/>
      </c>
      <c r="CE65" s="398">
        <f t="shared" ca="1" si="66"/>
        <v>768</v>
      </c>
      <c r="CF65" s="400">
        <f ca="1">IF(MAX(IF($E$6="No",ROUNDUP($E$3/$I65,0),ROUNDUP(($E$3+$I65)/$I65,0)),IF($E$6="No",ROUNDUP($E$4/$G65,0),ROUNDUP(($E$4+$G65)/$G65,0)),ROUNDUP('BVMS checklist'!$H$217/$J65,0))&gt;1,'BVMS checklist'!$N$224,'BVMS checklist'!$N$217)+MAX(IF($E$6="No",ROUNDUP($E$3/$I65,0),ROUNDUP(($E$3+$I65)/$I65,0)),IF($E$6="No",ROUNDUP($E$4/$G65,0),ROUNDUP(($E$4+$G65)/$G65,0)))+$E$5</f>
        <v>1</v>
      </c>
      <c r="CG65" s="400" t="b">
        <f t="shared" ca="1" si="17"/>
        <v>1</v>
      </c>
      <c r="CH65" s="400" t="str">
        <f t="shared" ca="1" si="67"/>
        <v>Accepted</v>
      </c>
      <c r="CI65" s="398" t="str">
        <f t="shared" ca="1" si="68"/>
        <v>No</v>
      </c>
      <c r="CJ65" s="398" t="str">
        <f t="shared" ca="1" si="69"/>
        <v/>
      </c>
      <c r="CK65" s="398" t="str">
        <f t="shared" ca="1" si="70"/>
        <v/>
      </c>
      <c r="CL65" s="398">
        <f t="shared" ca="1" si="71"/>
        <v>6</v>
      </c>
      <c r="CM65" s="398">
        <f t="shared" ca="1" si="72"/>
        <v>2</v>
      </c>
      <c r="CN65" s="398">
        <f t="shared" ca="1" si="73"/>
        <v>432</v>
      </c>
      <c r="CO65" s="398">
        <f t="shared" ca="1" si="74"/>
        <v>374128</v>
      </c>
      <c r="CP65" s="399">
        <f t="shared" si="546"/>
        <v>0</v>
      </c>
      <c r="CQ65" s="399">
        <f t="shared" si="547"/>
        <v>0</v>
      </c>
      <c r="CR65" s="483" t="str">
        <f t="shared" ca="1" si="75"/>
        <v/>
      </c>
      <c r="CS65"/>
    </row>
    <row r="66" spans="1:97">
      <c r="A66" s="398" t="s">
        <v>314</v>
      </c>
      <c r="B66" s="398" t="s">
        <v>987</v>
      </c>
      <c r="C66" s="440" t="s">
        <v>891</v>
      </c>
      <c r="D66" s="398">
        <v>1</v>
      </c>
      <c r="E66" s="398"/>
      <c r="F66" s="440">
        <v>0</v>
      </c>
      <c r="G66" s="398">
        <v>11170</v>
      </c>
      <c r="H66" s="399">
        <v>16</v>
      </c>
      <c r="I66" s="399">
        <v>475</v>
      </c>
      <c r="J66" s="399">
        <v>128</v>
      </c>
      <c r="K66" s="399"/>
      <c r="L66" s="399"/>
      <c r="M66" s="400">
        <f ca="1">IF(MAX(IF($B$6="No",ROUNDUP($B$3/$I66,0),ROUNDUP(($B$3+$I66)/$I66,0)),IF($B$6="No",ROUNDUP($B$4/$G66,0),ROUNDUP(($B$4+$G66)/$G66,0)),ROUNDUP('BVMS checklist'!$H$217/$J66,0))&gt;1,'BVMS checklist'!$H$224,'BVMS checklist'!$H$217)</f>
        <v>0</v>
      </c>
      <c r="N66" s="398">
        <f t="shared" ca="1" si="20"/>
        <v>2</v>
      </c>
      <c r="O66" s="400">
        <f t="shared" ca="1" si="21"/>
        <v>2</v>
      </c>
      <c r="P66" s="400">
        <f t="shared" ca="1" si="0"/>
        <v>950</v>
      </c>
      <c r="Q66" s="400">
        <f t="shared" ca="1" si="1"/>
        <v>0</v>
      </c>
      <c r="R66" s="398">
        <f t="shared" ca="1" si="2"/>
        <v>22340</v>
      </c>
      <c r="S66" s="401" t="str">
        <f t="shared" ca="1" si="22"/>
        <v/>
      </c>
      <c r="T66" s="398">
        <f t="shared" ca="1" si="23"/>
        <v>256</v>
      </c>
      <c r="U66" s="400">
        <f ca="1">IF(MAX(IF($B$6="No",ROUNDUP($B$3/$I66,0),ROUNDUP(($B$3+$I66)/$I66,0)),IF($B$6="No",ROUNDUP($B$4/$G66,0),ROUNDUP(($B$4+$G66)/$G66,0)),ROUNDUP('BVMS checklist'!$H$217/$J66,0))&gt;1,'BVMS checklist'!$H$224,'BVMS checklist'!$H$217)+MAX(IF($B$6="No",ROUNDUP($B$3/$I66,0),ROUNDUP(($B$3+$I66)/$I66,0)),IF($B$6="No",ROUNDUP($B$4/$G66,0),ROUNDUP(($B$4+$G66)/$G66,0)))+$B$5</f>
        <v>1</v>
      </c>
      <c r="V66" s="400" t="b">
        <f t="shared" ca="1" si="3"/>
        <v>1</v>
      </c>
      <c r="W66" s="400" t="str">
        <f t="shared" ca="1" si="24"/>
        <v>Accepted</v>
      </c>
      <c r="X66" s="398" t="str">
        <f t="shared" ca="1" si="25"/>
        <v>No</v>
      </c>
      <c r="Y66" s="398" t="str">
        <f t="shared" ca="1" si="26"/>
        <v/>
      </c>
      <c r="Z66" s="398" t="str">
        <f t="shared" ca="1" si="27"/>
        <v/>
      </c>
      <c r="AA66" s="398">
        <f t="shared" ca="1" si="28"/>
        <v>6</v>
      </c>
      <c r="AB66" s="398">
        <f t="shared" ca="1" si="4"/>
        <v>2</v>
      </c>
      <c r="AC66" s="398">
        <f t="shared" ca="1" si="5"/>
        <v>32</v>
      </c>
      <c r="AD66" s="398">
        <f t="shared" ca="1" si="29"/>
        <v>22340</v>
      </c>
      <c r="AE66" s="399">
        <f t="shared" si="540"/>
        <v>0</v>
      </c>
      <c r="AF66" s="399">
        <f t="shared" si="541"/>
        <v>0</v>
      </c>
      <c r="AG66" s="483" t="str">
        <f t="shared" ca="1" si="30"/>
        <v/>
      </c>
      <c r="AH66" s="400">
        <f ca="1">IF(MAX(IF($C$6="No",ROUNDUP($C$3/$I66,0),ROUNDUP(($C$3+$I66)/$I66,0)),IF($C$6="No",ROUNDUP($C$4/$G66,0),ROUNDUP(($C$4+$G66)/$G66,0)),ROUNDUP('BVMS checklist'!$H$217/$J66,0))&gt;1,'BVMS checklist'!$J$224,'BVMS checklist'!$J$217)</f>
        <v>0</v>
      </c>
      <c r="AI66" s="398">
        <f t="shared" ca="1" si="31"/>
        <v>2</v>
      </c>
      <c r="AJ66" s="400">
        <f t="shared" ca="1" si="32"/>
        <v>2</v>
      </c>
      <c r="AK66" s="400">
        <f t="shared" ca="1" si="33"/>
        <v>950</v>
      </c>
      <c r="AL66" s="400">
        <f t="shared" ca="1" si="34"/>
        <v>0</v>
      </c>
      <c r="AM66" s="398">
        <f t="shared" ca="1" si="35"/>
        <v>22340</v>
      </c>
      <c r="AN66" s="401" t="str">
        <f t="shared" ca="1" si="36"/>
        <v/>
      </c>
      <c r="AO66" s="398">
        <f t="shared" ca="1" si="37"/>
        <v>256</v>
      </c>
      <c r="AP66" s="400">
        <f ca="1">IF(MAX(IF($C$6="No",ROUNDUP($C$3/$I66,0),ROUNDUP(($C$3+$I66)/$I66,0)),IF($C$6="No",ROUNDUP($C$4/$G66,0),ROUNDUP(($C$4+$G66)/$G66,0)),ROUNDUP('BVMS checklist'!$H$217/$J66,0))&gt;1,'BVMS checklist'!$J$224,'BVMS checklist'!$J$217)+MAX(IF($C$6="No",ROUNDUP($C$3/$I66,0),ROUNDUP(($C$3+$I66)/$I66,0)),IF($C$6="No",ROUNDUP($C$4/$G66,0),ROUNDUP(($C$4+$G66)/$G66,0)))+$C$5</f>
        <v>1</v>
      </c>
      <c r="AQ66" s="400" t="b">
        <f t="shared" ca="1" si="8"/>
        <v>1</v>
      </c>
      <c r="AR66" s="400" t="str">
        <f t="shared" ca="1" si="38"/>
        <v>Accepted</v>
      </c>
      <c r="AS66" s="398" t="str">
        <f t="shared" ca="1" si="39"/>
        <v>No</v>
      </c>
      <c r="AT66" s="398" t="str">
        <f t="shared" ca="1" si="40"/>
        <v/>
      </c>
      <c r="AU66" s="398" t="str">
        <f t="shared" ca="1" si="41"/>
        <v/>
      </c>
      <c r="AV66" s="398">
        <f t="shared" ca="1" si="42"/>
        <v>6</v>
      </c>
      <c r="AW66" s="398">
        <f t="shared" ca="1" si="43"/>
        <v>2</v>
      </c>
      <c r="AX66" s="398">
        <f t="shared" ca="1" si="44"/>
        <v>32</v>
      </c>
      <c r="AY66" s="398">
        <f t="shared" ca="1" si="45"/>
        <v>22340</v>
      </c>
      <c r="AZ66" s="399">
        <f t="shared" si="542"/>
        <v>0</v>
      </c>
      <c r="BA66" s="399">
        <f t="shared" si="543"/>
        <v>0</v>
      </c>
      <c r="BB66" s="483" t="str">
        <f t="shared" ca="1" si="46"/>
        <v/>
      </c>
      <c r="BC66" s="400">
        <f ca="1">IF(MAX(IF($D$6="No",ROUNDUP($D$3/$I66,0),ROUNDUP(($D$3+$I66)/$I66,0)),IF($D$6="No",ROUNDUP($D$4/$G66,0),ROUNDUP(($D$4+$G66)/$G66,0)),ROUNDUP('BVMS checklist'!$H$217/$J66,0))&gt;1,'BVMS checklist'!$L$224,'BVMS checklist'!$L$217)</f>
        <v>0</v>
      </c>
      <c r="BD66" s="398">
        <f t="shared" ca="1" si="47"/>
        <v>2</v>
      </c>
      <c r="BE66" s="400">
        <f t="shared" si="48"/>
        <v>1</v>
      </c>
      <c r="BF66" s="400">
        <f t="shared" si="49"/>
        <v>475</v>
      </c>
      <c r="BG66" s="400">
        <f t="shared" ca="1" si="11"/>
        <v>0</v>
      </c>
      <c r="BH66" s="398">
        <f t="shared" ca="1" si="50"/>
        <v>22340</v>
      </c>
      <c r="BI66" s="401" t="str">
        <f t="shared" ca="1" si="51"/>
        <v/>
      </c>
      <c r="BJ66" s="398">
        <f t="shared" ca="1" si="52"/>
        <v>256</v>
      </c>
      <c r="BK66" s="400">
        <f ca="1">IF(MAX(IF($D$6="No",ROUNDUP($D$3/$I66,0),ROUNDUP(($D$3+$I66)/$I66,0)),IF($D$6="No",ROUNDUP($D$4/$G66,0),ROUNDUP(($D$4+$G66)/$G66,0)),ROUNDUP('BVMS checklist'!$H$217/$J66,0))&gt;1,'BVMS checklist'!$L$224,'BVMS checklist'!$L$217)+MAX(IF($D$6="No",ROUNDUP($D$3/$I66,0),ROUNDUP(($D$3+$I66)/$I66,0)),IF($D$6="No",ROUNDUP($D$4/$G66,0),ROUNDUP(($D$4+$G66)/$G66,0)))+$D$5</f>
        <v>1</v>
      </c>
      <c r="BL66" s="400" t="b">
        <f t="shared" ca="1" si="12"/>
        <v>1</v>
      </c>
      <c r="BM66" s="400" t="str">
        <f t="shared" ca="1" si="53"/>
        <v>Accepted</v>
      </c>
      <c r="BN66" s="398" t="str">
        <f t="shared" ca="1" si="13"/>
        <v>No</v>
      </c>
      <c r="BO66" s="398" t="str">
        <f t="shared" ca="1" si="54"/>
        <v/>
      </c>
      <c r="BP66" s="398" t="str">
        <f t="shared" ca="1" si="55"/>
        <v/>
      </c>
      <c r="BQ66" s="398">
        <f t="shared" ca="1" si="56"/>
        <v>6</v>
      </c>
      <c r="BR66" s="398">
        <f t="shared" ca="1" si="57"/>
        <v>2</v>
      </c>
      <c r="BS66" s="398">
        <f t="shared" ca="1" si="58"/>
        <v>32</v>
      </c>
      <c r="BT66" s="398">
        <f t="shared" ca="1" si="59"/>
        <v>22340</v>
      </c>
      <c r="BU66" s="399">
        <f t="shared" si="544"/>
        <v>0</v>
      </c>
      <c r="BV66" s="399">
        <f t="shared" si="545"/>
        <v>0</v>
      </c>
      <c r="BW66" s="483" t="str">
        <f t="shared" ca="1" si="60"/>
        <v/>
      </c>
      <c r="BX66" s="400">
        <f ca="1">IF(MAX(IF($E$6="No",ROUNDUP($E$3/$I66,0),ROUNDUP(($E$3+$I66)/$I66,0)),IF($E$6="No",ROUNDUP($E$4/$G66,0),ROUNDUP(($E$4+$G66)/$G66,0)),ROUNDUP('BVMS checklist'!$H$217/$J66,0))&gt;1,'BVMS checklist'!$N$224,'BVMS checklist'!$N$217)</f>
        <v>0</v>
      </c>
      <c r="BY66" s="398">
        <f t="shared" ca="1" si="61"/>
        <v>2</v>
      </c>
      <c r="BZ66" s="400">
        <f t="shared" ca="1" si="62"/>
        <v>2</v>
      </c>
      <c r="CA66" s="400">
        <f t="shared" ca="1" si="63"/>
        <v>950</v>
      </c>
      <c r="CB66" s="400">
        <f t="shared" ca="1" si="16"/>
        <v>0</v>
      </c>
      <c r="CC66" s="398">
        <f t="shared" ca="1" si="64"/>
        <v>22340</v>
      </c>
      <c r="CD66" s="401" t="str">
        <f t="shared" ca="1" si="65"/>
        <v/>
      </c>
      <c r="CE66" s="398">
        <f t="shared" ca="1" si="66"/>
        <v>256</v>
      </c>
      <c r="CF66" s="400">
        <f ca="1">IF(MAX(IF($E$6="No",ROUNDUP($E$3/$I66,0),ROUNDUP(($E$3+$I66)/$I66,0)),IF($E$6="No",ROUNDUP($E$4/$G66,0),ROUNDUP(($E$4+$G66)/$G66,0)),ROUNDUP('BVMS checklist'!$H$217/$J66,0))&gt;1,'BVMS checklist'!$N$224,'BVMS checklist'!$N$217)+MAX(IF($E$6="No",ROUNDUP($E$3/$I66,0),ROUNDUP(($E$3+$I66)/$I66,0)),IF($E$6="No",ROUNDUP($E$4/$G66,0),ROUNDUP(($E$4+$G66)/$G66,0)))+$E$5</f>
        <v>1</v>
      </c>
      <c r="CG66" s="400" t="b">
        <f t="shared" ca="1" si="17"/>
        <v>1</v>
      </c>
      <c r="CH66" s="400" t="str">
        <f t="shared" ca="1" si="67"/>
        <v>Accepted</v>
      </c>
      <c r="CI66" s="398" t="str">
        <f t="shared" ca="1" si="68"/>
        <v>No</v>
      </c>
      <c r="CJ66" s="398" t="str">
        <f t="shared" ca="1" si="69"/>
        <v/>
      </c>
      <c r="CK66" s="398" t="str">
        <f t="shared" ca="1" si="70"/>
        <v/>
      </c>
      <c r="CL66" s="398">
        <f t="shared" ca="1" si="71"/>
        <v>6</v>
      </c>
      <c r="CM66" s="398">
        <f t="shared" ca="1" si="72"/>
        <v>2</v>
      </c>
      <c r="CN66" s="398">
        <f t="shared" ca="1" si="73"/>
        <v>32</v>
      </c>
      <c r="CO66" s="398">
        <f t="shared" ca="1" si="74"/>
        <v>22340</v>
      </c>
      <c r="CP66" s="399">
        <f t="shared" si="546"/>
        <v>0</v>
      </c>
      <c r="CQ66" s="399">
        <f t="shared" si="547"/>
        <v>0</v>
      </c>
      <c r="CR66" s="483" t="str">
        <f t="shared" ca="1" si="75"/>
        <v/>
      </c>
      <c r="CS66"/>
    </row>
    <row r="67" spans="1:97">
      <c r="A67" s="398" t="s">
        <v>315</v>
      </c>
      <c r="B67" s="398" t="s">
        <v>987</v>
      </c>
      <c r="C67" s="440" t="s">
        <v>891</v>
      </c>
      <c r="D67" s="398">
        <v>1</v>
      </c>
      <c r="E67" s="398"/>
      <c r="F67" s="440">
        <v>0</v>
      </c>
      <c r="G67" s="398">
        <f>IF(C67="RAID5",(7-F67)*3723,(6-F67)*3723)</f>
        <v>26061</v>
      </c>
      <c r="H67" s="399">
        <v>32</v>
      </c>
      <c r="I67" s="399">
        <v>475</v>
      </c>
      <c r="J67" s="399">
        <v>128</v>
      </c>
      <c r="K67" s="399"/>
      <c r="L67" s="399"/>
      <c r="M67" s="400">
        <f ca="1">IF(MAX(IF($B$6="No",ROUNDUP($B$3/$I67,0),ROUNDUP(($B$3+$I67)/$I67,0)),IF($B$6="No",ROUNDUP($B$4/$G67,0),ROUNDUP(($B$4+$G67)/$G67,0)),ROUNDUP('BVMS checklist'!$H$217/$J67,0))&gt;1,'BVMS checklist'!$H$224,'BVMS checklist'!$H$217)</f>
        <v>0</v>
      </c>
      <c r="N67" s="398">
        <f t="shared" ca="1" si="20"/>
        <v>2</v>
      </c>
      <c r="O67" s="400">
        <f t="shared" ca="1" si="21"/>
        <v>2</v>
      </c>
      <c r="P67" s="400">
        <f t="shared" ca="1" si="0"/>
        <v>950</v>
      </c>
      <c r="Q67" s="400">
        <f t="shared" ca="1" si="1"/>
        <v>0</v>
      </c>
      <c r="R67" s="398">
        <f t="shared" ca="1" si="2"/>
        <v>52122</v>
      </c>
      <c r="S67" s="401" t="str">
        <f t="shared" ca="1" si="22"/>
        <v/>
      </c>
      <c r="T67" s="398">
        <f t="shared" ca="1" si="23"/>
        <v>256</v>
      </c>
      <c r="U67" s="400">
        <f ca="1">IF(MAX(IF($B$6="No",ROUNDUP($B$3/$I67,0),ROUNDUP(($B$3+$I67)/$I67,0)),IF($B$6="No",ROUNDUP($B$4/$G67,0),ROUNDUP(($B$4+$G67)/$G67,0)),ROUNDUP('BVMS checklist'!$H$217/$J67,0))&gt;1,'BVMS checklist'!$H$224,'BVMS checklist'!$H$217)+MAX(IF($B$6="No",ROUNDUP($B$3/$I67,0),ROUNDUP(($B$3+$I67)/$I67,0)),IF($B$6="No",ROUNDUP($B$4/$G67,0),ROUNDUP(($B$4+$G67)/$G67,0)))+$B$5</f>
        <v>1</v>
      </c>
      <c r="V67" s="400" t="b">
        <f t="shared" ca="1" si="3"/>
        <v>1</v>
      </c>
      <c r="W67" s="400" t="str">
        <f t="shared" ca="1" si="24"/>
        <v>Accepted</v>
      </c>
      <c r="X67" s="398" t="str">
        <f t="shared" ca="1" si="25"/>
        <v>No</v>
      </c>
      <c r="Y67" s="398" t="str">
        <f t="shared" ca="1" si="26"/>
        <v/>
      </c>
      <c r="Z67" s="398" t="str">
        <f t="shared" ca="1" si="27"/>
        <v/>
      </c>
      <c r="AA67" s="398">
        <f t="shared" ca="1" si="28"/>
        <v>6</v>
      </c>
      <c r="AB67" s="398">
        <f t="shared" ca="1" si="4"/>
        <v>2</v>
      </c>
      <c r="AC67" s="398">
        <f t="shared" ca="1" si="5"/>
        <v>64</v>
      </c>
      <c r="AD67" s="398">
        <f t="shared" ca="1" si="29"/>
        <v>52122</v>
      </c>
      <c r="AE67" s="399">
        <f t="shared" si="540"/>
        <v>0</v>
      </c>
      <c r="AF67" s="399">
        <f t="shared" si="541"/>
        <v>0</v>
      </c>
      <c r="AG67" s="483" t="str">
        <f t="shared" ca="1" si="30"/>
        <v/>
      </c>
      <c r="AH67" s="400">
        <f ca="1">IF(MAX(IF($C$6="No",ROUNDUP($C$3/$I67,0),ROUNDUP(($C$3+$I67)/$I67,0)),IF($C$6="No",ROUNDUP($C$4/$G67,0),ROUNDUP(($C$4+$G67)/$G67,0)),ROUNDUP('BVMS checklist'!$H$217/$J67,0))&gt;1,'BVMS checklist'!$J$224,'BVMS checklist'!$J$217)</f>
        <v>0</v>
      </c>
      <c r="AI67" s="398">
        <f t="shared" ca="1" si="31"/>
        <v>2</v>
      </c>
      <c r="AJ67" s="400">
        <f t="shared" ca="1" si="32"/>
        <v>2</v>
      </c>
      <c r="AK67" s="400">
        <f t="shared" ca="1" si="33"/>
        <v>950</v>
      </c>
      <c r="AL67" s="400">
        <f t="shared" ca="1" si="34"/>
        <v>0</v>
      </c>
      <c r="AM67" s="398">
        <f t="shared" ca="1" si="35"/>
        <v>52122</v>
      </c>
      <c r="AN67" s="401" t="str">
        <f t="shared" ca="1" si="36"/>
        <v/>
      </c>
      <c r="AO67" s="398">
        <f t="shared" ca="1" si="37"/>
        <v>256</v>
      </c>
      <c r="AP67" s="400">
        <f ca="1">IF(MAX(IF($C$6="No",ROUNDUP($C$3/$I67,0),ROUNDUP(($C$3+$I67)/$I67,0)),IF($C$6="No",ROUNDUP($C$4/$G67,0),ROUNDUP(($C$4+$G67)/$G67,0)),ROUNDUP('BVMS checklist'!$H$217/$J67,0))&gt;1,'BVMS checklist'!$J$224,'BVMS checklist'!$J$217)+MAX(IF($C$6="No",ROUNDUP($C$3/$I67,0),ROUNDUP(($C$3+$I67)/$I67,0)),IF($C$6="No",ROUNDUP($C$4/$G67,0),ROUNDUP(($C$4+$G67)/$G67,0)))+$C$5</f>
        <v>1</v>
      </c>
      <c r="AQ67" s="400" t="b">
        <f t="shared" ca="1" si="8"/>
        <v>1</v>
      </c>
      <c r="AR67" s="400" t="str">
        <f t="shared" ca="1" si="38"/>
        <v>Accepted</v>
      </c>
      <c r="AS67" s="398" t="str">
        <f t="shared" ca="1" si="39"/>
        <v>No</v>
      </c>
      <c r="AT67" s="398" t="str">
        <f t="shared" ca="1" si="40"/>
        <v/>
      </c>
      <c r="AU67" s="398" t="str">
        <f t="shared" ca="1" si="41"/>
        <v/>
      </c>
      <c r="AV67" s="398">
        <f t="shared" ca="1" si="42"/>
        <v>6</v>
      </c>
      <c r="AW67" s="398">
        <f t="shared" ca="1" si="43"/>
        <v>2</v>
      </c>
      <c r="AX67" s="398">
        <f t="shared" ca="1" si="44"/>
        <v>64</v>
      </c>
      <c r="AY67" s="398">
        <f t="shared" ca="1" si="45"/>
        <v>52122</v>
      </c>
      <c r="AZ67" s="399">
        <f t="shared" si="542"/>
        <v>0</v>
      </c>
      <c r="BA67" s="399">
        <f t="shared" si="543"/>
        <v>0</v>
      </c>
      <c r="BB67" s="483" t="str">
        <f t="shared" ca="1" si="46"/>
        <v/>
      </c>
      <c r="BC67" s="400">
        <f ca="1">IF(MAX(IF($D$6="No",ROUNDUP($D$3/$I67,0),ROUNDUP(($D$3+$I67)/$I67,0)),IF($D$6="No",ROUNDUP($D$4/$G67,0),ROUNDUP(($D$4+$G67)/$G67,0)),ROUNDUP('BVMS checklist'!$H$217/$J67,0))&gt;1,'BVMS checklist'!$L$224,'BVMS checklist'!$L$217)</f>
        <v>0</v>
      </c>
      <c r="BD67" s="398">
        <f t="shared" ca="1" si="47"/>
        <v>2</v>
      </c>
      <c r="BE67" s="400">
        <f t="shared" si="48"/>
        <v>1</v>
      </c>
      <c r="BF67" s="400">
        <f t="shared" si="49"/>
        <v>475</v>
      </c>
      <c r="BG67" s="400">
        <f t="shared" ca="1" si="11"/>
        <v>0</v>
      </c>
      <c r="BH67" s="398">
        <f t="shared" ca="1" si="50"/>
        <v>52122</v>
      </c>
      <c r="BI67" s="401" t="str">
        <f t="shared" ca="1" si="51"/>
        <v/>
      </c>
      <c r="BJ67" s="398">
        <f t="shared" ca="1" si="52"/>
        <v>256</v>
      </c>
      <c r="BK67" s="400">
        <f ca="1">IF(MAX(IF($D$6="No",ROUNDUP($D$3/$I67,0),ROUNDUP(($D$3+$I67)/$I67,0)),IF($D$6="No",ROUNDUP($D$4/$G67,0),ROUNDUP(($D$4+$G67)/$G67,0)),ROUNDUP('BVMS checklist'!$H$217/$J67,0))&gt;1,'BVMS checklist'!$L$224,'BVMS checklist'!$L$217)+MAX(IF($D$6="No",ROUNDUP($D$3/$I67,0),ROUNDUP(($D$3+$I67)/$I67,0)),IF($D$6="No",ROUNDUP($D$4/$G67,0),ROUNDUP(($D$4+$G67)/$G67,0)))+$D$5</f>
        <v>1</v>
      </c>
      <c r="BL67" s="400" t="b">
        <f t="shared" ca="1" si="12"/>
        <v>1</v>
      </c>
      <c r="BM67" s="400" t="str">
        <f t="shared" ca="1" si="53"/>
        <v>Accepted</v>
      </c>
      <c r="BN67" s="398" t="str">
        <f t="shared" ca="1" si="13"/>
        <v>No</v>
      </c>
      <c r="BO67" s="398" t="str">
        <f t="shared" ca="1" si="54"/>
        <v/>
      </c>
      <c r="BP67" s="398" t="str">
        <f t="shared" ca="1" si="55"/>
        <v/>
      </c>
      <c r="BQ67" s="398">
        <f t="shared" ca="1" si="56"/>
        <v>6</v>
      </c>
      <c r="BR67" s="398">
        <f t="shared" ca="1" si="57"/>
        <v>2</v>
      </c>
      <c r="BS67" s="398">
        <f t="shared" ca="1" si="58"/>
        <v>64</v>
      </c>
      <c r="BT67" s="398">
        <f t="shared" ca="1" si="59"/>
        <v>52122</v>
      </c>
      <c r="BU67" s="399">
        <f t="shared" si="544"/>
        <v>0</v>
      </c>
      <c r="BV67" s="399">
        <f t="shared" si="545"/>
        <v>0</v>
      </c>
      <c r="BW67" s="483" t="str">
        <f t="shared" ca="1" si="60"/>
        <v/>
      </c>
      <c r="BX67" s="400">
        <f ca="1">IF(MAX(IF($E$6="No",ROUNDUP($E$3/$I67,0),ROUNDUP(($E$3+$I67)/$I67,0)),IF($E$6="No",ROUNDUP($E$4/$G67,0),ROUNDUP(($E$4+$G67)/$G67,0)),ROUNDUP('BVMS checklist'!$H$217/$J67,0))&gt;1,'BVMS checklist'!$N$224,'BVMS checklist'!$N$217)</f>
        <v>0</v>
      </c>
      <c r="BY67" s="398">
        <f t="shared" ca="1" si="61"/>
        <v>2</v>
      </c>
      <c r="BZ67" s="400">
        <f t="shared" ca="1" si="62"/>
        <v>2</v>
      </c>
      <c r="CA67" s="400">
        <f t="shared" ca="1" si="63"/>
        <v>950</v>
      </c>
      <c r="CB67" s="400">
        <f t="shared" ca="1" si="16"/>
        <v>0</v>
      </c>
      <c r="CC67" s="398">
        <f t="shared" ca="1" si="64"/>
        <v>52122</v>
      </c>
      <c r="CD67" s="401" t="str">
        <f t="shared" ca="1" si="65"/>
        <v/>
      </c>
      <c r="CE67" s="398">
        <f t="shared" ca="1" si="66"/>
        <v>256</v>
      </c>
      <c r="CF67" s="400">
        <f ca="1">IF(MAX(IF($E$6="No",ROUNDUP($E$3/$I67,0),ROUNDUP(($E$3+$I67)/$I67,0)),IF($E$6="No",ROUNDUP($E$4/$G67,0),ROUNDUP(($E$4+$G67)/$G67,0)),ROUNDUP('BVMS checklist'!$H$217/$J67,0))&gt;1,'BVMS checklist'!$N$224,'BVMS checklist'!$N$217)+MAX(IF($E$6="No",ROUNDUP($E$3/$I67,0),ROUNDUP(($E$3+$I67)/$I67,0)),IF($E$6="No",ROUNDUP($E$4/$G67,0),ROUNDUP(($E$4+$G67)/$G67,0)))+$E$5</f>
        <v>1</v>
      </c>
      <c r="CG67" s="400" t="b">
        <f t="shared" ca="1" si="17"/>
        <v>1</v>
      </c>
      <c r="CH67" s="400" t="str">
        <f t="shared" ca="1" si="67"/>
        <v>Accepted</v>
      </c>
      <c r="CI67" s="398" t="str">
        <f t="shared" ca="1" si="68"/>
        <v>No</v>
      </c>
      <c r="CJ67" s="398" t="str">
        <f t="shared" ca="1" si="69"/>
        <v/>
      </c>
      <c r="CK67" s="398" t="str">
        <f t="shared" ca="1" si="70"/>
        <v/>
      </c>
      <c r="CL67" s="398">
        <f t="shared" ca="1" si="71"/>
        <v>6</v>
      </c>
      <c r="CM67" s="398">
        <f t="shared" ca="1" si="72"/>
        <v>2</v>
      </c>
      <c r="CN67" s="398">
        <f t="shared" ca="1" si="73"/>
        <v>64</v>
      </c>
      <c r="CO67" s="398">
        <f t="shared" ca="1" si="74"/>
        <v>52122</v>
      </c>
      <c r="CP67" s="399">
        <f t="shared" si="546"/>
        <v>0</v>
      </c>
      <c r="CQ67" s="399">
        <f t="shared" si="547"/>
        <v>0</v>
      </c>
      <c r="CR67" s="483" t="str">
        <f t="shared" ca="1" si="75"/>
        <v/>
      </c>
      <c r="CS67"/>
    </row>
    <row r="68" spans="1:97">
      <c r="A68" s="398" t="s">
        <v>316</v>
      </c>
      <c r="B68" s="398" t="s">
        <v>987</v>
      </c>
      <c r="C68" s="440" t="s">
        <v>891</v>
      </c>
      <c r="D68" s="398">
        <v>1</v>
      </c>
      <c r="E68" s="398"/>
      <c r="F68" s="440">
        <v>0</v>
      </c>
      <c r="G68" s="398">
        <f>IF(C68="RAID5",(15-F68)*3723,(14-F68)*3723)</f>
        <v>55845</v>
      </c>
      <c r="H68" s="399">
        <v>64</v>
      </c>
      <c r="I68" s="399">
        <v>475</v>
      </c>
      <c r="J68" s="399">
        <v>128</v>
      </c>
      <c r="K68" s="399"/>
      <c r="L68" s="399"/>
      <c r="M68" s="400">
        <f ca="1">IF(MAX(IF($B$6="No",ROUNDUP($B$3/$I68,0),ROUNDUP(($B$3+$I68)/$I68,0)),IF($B$6="No",ROUNDUP($B$4/$G68,0),ROUNDUP(($B$4+$G68)/$G68,0)),ROUNDUP('BVMS checklist'!$H$217/$J68,0))&gt;1,'BVMS checklist'!$H$224,'BVMS checklist'!$H$217)</f>
        <v>0</v>
      </c>
      <c r="N68" s="398">
        <f t="shared" ca="1" si="20"/>
        <v>2</v>
      </c>
      <c r="O68" s="400">
        <f t="shared" ca="1" si="21"/>
        <v>2</v>
      </c>
      <c r="P68" s="400">
        <f t="shared" ca="1" si="0"/>
        <v>950</v>
      </c>
      <c r="Q68" s="400">
        <f t="shared" ca="1" si="1"/>
        <v>0</v>
      </c>
      <c r="R68" s="398">
        <f t="shared" ca="1" si="2"/>
        <v>111690</v>
      </c>
      <c r="S68" s="401" t="str">
        <f t="shared" ca="1" si="22"/>
        <v/>
      </c>
      <c r="T68" s="398">
        <f t="shared" ca="1" si="23"/>
        <v>256</v>
      </c>
      <c r="U68" s="400">
        <f ca="1">IF(MAX(IF($B$6="No",ROUNDUP($B$3/$I68,0),ROUNDUP(($B$3+$I68)/$I68,0)),IF($B$6="No",ROUNDUP($B$4/$G68,0),ROUNDUP(($B$4+$G68)/$G68,0)),ROUNDUP('BVMS checklist'!$H$217/$J68,0))&gt;1,'BVMS checklist'!$H$224,'BVMS checklist'!$H$217)+MAX(IF($B$6="No",ROUNDUP($B$3/$I68,0),ROUNDUP(($B$3+$I68)/$I68,0)),IF($B$6="No",ROUNDUP($B$4/$G68,0),ROUNDUP(($B$4+$G68)/$G68,0)))+$B$5</f>
        <v>1</v>
      </c>
      <c r="V68" s="400" t="b">
        <f t="shared" ca="1" si="3"/>
        <v>1</v>
      </c>
      <c r="W68" s="400" t="str">
        <f t="shared" ca="1" si="24"/>
        <v>Accepted</v>
      </c>
      <c r="X68" s="398" t="str">
        <f t="shared" ca="1" si="25"/>
        <v>No</v>
      </c>
      <c r="Y68" s="398" t="str">
        <f t="shared" ca="1" si="26"/>
        <v/>
      </c>
      <c r="Z68" s="398" t="str">
        <f t="shared" ca="1" si="27"/>
        <v/>
      </c>
      <c r="AA68" s="398">
        <f t="shared" ca="1" si="28"/>
        <v>6</v>
      </c>
      <c r="AB68" s="398">
        <f t="shared" ca="1" si="4"/>
        <v>2</v>
      </c>
      <c r="AC68" s="398">
        <f t="shared" ca="1" si="5"/>
        <v>128</v>
      </c>
      <c r="AD68" s="398">
        <f t="shared" ca="1" si="29"/>
        <v>111690</v>
      </c>
      <c r="AE68" s="399">
        <f t="shared" si="540"/>
        <v>0</v>
      </c>
      <c r="AF68" s="399">
        <f t="shared" si="541"/>
        <v>0</v>
      </c>
      <c r="AG68" s="483" t="str">
        <f t="shared" ca="1" si="30"/>
        <v/>
      </c>
      <c r="AH68" s="400">
        <f ca="1">IF(MAX(IF($C$6="No",ROUNDUP($C$3/$I68,0),ROUNDUP(($C$3+$I68)/$I68,0)),IF($C$6="No",ROUNDUP($C$4/$G68,0),ROUNDUP(($C$4+$G68)/$G68,0)),ROUNDUP('BVMS checklist'!$H$217/$J68,0))&gt;1,'BVMS checklist'!$J$224,'BVMS checklist'!$J$217)</f>
        <v>0</v>
      </c>
      <c r="AI68" s="398">
        <f t="shared" ca="1" si="31"/>
        <v>2</v>
      </c>
      <c r="AJ68" s="400">
        <f t="shared" ca="1" si="32"/>
        <v>2</v>
      </c>
      <c r="AK68" s="400">
        <f t="shared" ca="1" si="33"/>
        <v>950</v>
      </c>
      <c r="AL68" s="400">
        <f t="shared" ca="1" si="34"/>
        <v>0</v>
      </c>
      <c r="AM68" s="398">
        <f t="shared" ca="1" si="35"/>
        <v>111690</v>
      </c>
      <c r="AN68" s="401" t="str">
        <f t="shared" ca="1" si="36"/>
        <v/>
      </c>
      <c r="AO68" s="398">
        <f t="shared" ca="1" si="37"/>
        <v>256</v>
      </c>
      <c r="AP68" s="400">
        <f ca="1">IF(MAX(IF($C$6="No",ROUNDUP($C$3/$I68,0),ROUNDUP(($C$3+$I68)/$I68,0)),IF($C$6="No",ROUNDUP($C$4/$G68,0),ROUNDUP(($C$4+$G68)/$G68,0)),ROUNDUP('BVMS checklist'!$H$217/$J68,0))&gt;1,'BVMS checklist'!$J$224,'BVMS checklist'!$J$217)+MAX(IF($C$6="No",ROUNDUP($C$3/$I68,0),ROUNDUP(($C$3+$I68)/$I68,0)),IF($C$6="No",ROUNDUP($C$4/$G68,0),ROUNDUP(($C$4+$G68)/$G68,0)))+$C$5</f>
        <v>1</v>
      </c>
      <c r="AQ68" s="400" t="b">
        <f t="shared" ca="1" si="8"/>
        <v>1</v>
      </c>
      <c r="AR68" s="400" t="str">
        <f t="shared" ca="1" si="38"/>
        <v>Accepted</v>
      </c>
      <c r="AS68" s="398" t="str">
        <f t="shared" ca="1" si="39"/>
        <v>No</v>
      </c>
      <c r="AT68" s="398" t="str">
        <f t="shared" ca="1" si="40"/>
        <v/>
      </c>
      <c r="AU68" s="398" t="str">
        <f t="shared" ca="1" si="41"/>
        <v/>
      </c>
      <c r="AV68" s="398">
        <f t="shared" ca="1" si="42"/>
        <v>6</v>
      </c>
      <c r="AW68" s="398">
        <f t="shared" ca="1" si="43"/>
        <v>2</v>
      </c>
      <c r="AX68" s="398">
        <f t="shared" ca="1" si="44"/>
        <v>128</v>
      </c>
      <c r="AY68" s="398">
        <f t="shared" ca="1" si="45"/>
        <v>111690</v>
      </c>
      <c r="AZ68" s="399">
        <f t="shared" si="542"/>
        <v>0</v>
      </c>
      <c r="BA68" s="399">
        <f t="shared" si="543"/>
        <v>0</v>
      </c>
      <c r="BB68" s="483" t="str">
        <f t="shared" ca="1" si="46"/>
        <v/>
      </c>
      <c r="BC68" s="400">
        <f ca="1">IF(MAX(IF($D$6="No",ROUNDUP($D$3/$I68,0),ROUNDUP(($D$3+$I68)/$I68,0)),IF($D$6="No",ROUNDUP($D$4/$G68,0),ROUNDUP(($D$4+$G68)/$G68,0)),ROUNDUP('BVMS checklist'!$H$217/$J68,0))&gt;1,'BVMS checklist'!$L$224,'BVMS checklist'!$L$217)</f>
        <v>0</v>
      </c>
      <c r="BD68" s="398">
        <f t="shared" ca="1" si="47"/>
        <v>2</v>
      </c>
      <c r="BE68" s="400">
        <f t="shared" si="48"/>
        <v>1</v>
      </c>
      <c r="BF68" s="400">
        <f t="shared" si="49"/>
        <v>475</v>
      </c>
      <c r="BG68" s="400">
        <f t="shared" ca="1" si="11"/>
        <v>0</v>
      </c>
      <c r="BH68" s="398">
        <f t="shared" ca="1" si="50"/>
        <v>111690</v>
      </c>
      <c r="BI68" s="401" t="str">
        <f t="shared" ca="1" si="51"/>
        <v/>
      </c>
      <c r="BJ68" s="398">
        <f t="shared" ca="1" si="52"/>
        <v>256</v>
      </c>
      <c r="BK68" s="400">
        <f ca="1">IF(MAX(IF($D$6="No",ROUNDUP($D$3/$I68,0),ROUNDUP(($D$3+$I68)/$I68,0)),IF($D$6="No",ROUNDUP($D$4/$G68,0),ROUNDUP(($D$4+$G68)/$G68,0)),ROUNDUP('BVMS checklist'!$H$217/$J68,0))&gt;1,'BVMS checklist'!$L$224,'BVMS checklist'!$L$217)+MAX(IF($D$6="No",ROUNDUP($D$3/$I68,0),ROUNDUP(($D$3+$I68)/$I68,0)),IF($D$6="No",ROUNDUP($D$4/$G68,0),ROUNDUP(($D$4+$G68)/$G68,0)))+$D$5</f>
        <v>1</v>
      </c>
      <c r="BL68" s="400" t="b">
        <f t="shared" ca="1" si="12"/>
        <v>1</v>
      </c>
      <c r="BM68" s="400" t="str">
        <f t="shared" ca="1" si="53"/>
        <v>Accepted</v>
      </c>
      <c r="BN68" s="398" t="str">
        <f t="shared" ca="1" si="13"/>
        <v>No</v>
      </c>
      <c r="BO68" s="398" t="str">
        <f t="shared" ca="1" si="54"/>
        <v/>
      </c>
      <c r="BP68" s="398" t="str">
        <f t="shared" ca="1" si="55"/>
        <v/>
      </c>
      <c r="BQ68" s="398">
        <f t="shared" ca="1" si="56"/>
        <v>6</v>
      </c>
      <c r="BR68" s="398">
        <f t="shared" ca="1" si="57"/>
        <v>2</v>
      </c>
      <c r="BS68" s="398">
        <f t="shared" ca="1" si="58"/>
        <v>128</v>
      </c>
      <c r="BT68" s="398">
        <f t="shared" ca="1" si="59"/>
        <v>111690</v>
      </c>
      <c r="BU68" s="399">
        <f t="shared" si="544"/>
        <v>0</v>
      </c>
      <c r="BV68" s="399">
        <f t="shared" si="545"/>
        <v>0</v>
      </c>
      <c r="BW68" s="483" t="str">
        <f t="shared" ca="1" si="60"/>
        <v/>
      </c>
      <c r="BX68" s="400">
        <f ca="1">IF(MAX(IF($E$6="No",ROUNDUP($E$3/$I68,0),ROUNDUP(($E$3+$I68)/$I68,0)),IF($E$6="No",ROUNDUP($E$4/$G68,0),ROUNDUP(($E$4+$G68)/$G68,0)),ROUNDUP('BVMS checklist'!$H$217/$J68,0))&gt;1,'BVMS checklist'!$N$224,'BVMS checklist'!$N$217)</f>
        <v>0</v>
      </c>
      <c r="BY68" s="398">
        <f t="shared" ca="1" si="61"/>
        <v>2</v>
      </c>
      <c r="BZ68" s="400">
        <f t="shared" ca="1" si="62"/>
        <v>2</v>
      </c>
      <c r="CA68" s="400">
        <f t="shared" ca="1" si="63"/>
        <v>950</v>
      </c>
      <c r="CB68" s="400">
        <f t="shared" ca="1" si="16"/>
        <v>0</v>
      </c>
      <c r="CC68" s="398">
        <f t="shared" ca="1" si="64"/>
        <v>111690</v>
      </c>
      <c r="CD68" s="401" t="str">
        <f t="shared" ca="1" si="65"/>
        <v/>
      </c>
      <c r="CE68" s="398">
        <f t="shared" ca="1" si="66"/>
        <v>256</v>
      </c>
      <c r="CF68" s="400">
        <f ca="1">IF(MAX(IF($E$6="No",ROUNDUP($E$3/$I68,0),ROUNDUP(($E$3+$I68)/$I68,0)),IF($E$6="No",ROUNDUP($E$4/$G68,0),ROUNDUP(($E$4+$G68)/$G68,0)),ROUNDUP('BVMS checklist'!$H$217/$J68,0))&gt;1,'BVMS checklist'!$N$224,'BVMS checklist'!$N$217)+MAX(IF($E$6="No",ROUNDUP($E$3/$I68,0),ROUNDUP(($E$3+$I68)/$I68,0)),IF($E$6="No",ROUNDUP($E$4/$G68,0),ROUNDUP(($E$4+$G68)/$G68,0)))+$E$5</f>
        <v>1</v>
      </c>
      <c r="CG68" s="400" t="b">
        <f t="shared" ca="1" si="17"/>
        <v>1</v>
      </c>
      <c r="CH68" s="400" t="str">
        <f t="shared" ca="1" si="67"/>
        <v>Accepted</v>
      </c>
      <c r="CI68" s="398" t="str">
        <f t="shared" ca="1" si="68"/>
        <v>No</v>
      </c>
      <c r="CJ68" s="398" t="str">
        <f t="shared" ca="1" si="69"/>
        <v/>
      </c>
      <c r="CK68" s="398" t="str">
        <f t="shared" ca="1" si="70"/>
        <v/>
      </c>
      <c r="CL68" s="398">
        <f t="shared" ca="1" si="71"/>
        <v>6</v>
      </c>
      <c r="CM68" s="398">
        <f t="shared" ca="1" si="72"/>
        <v>2</v>
      </c>
      <c r="CN68" s="398">
        <f t="shared" ca="1" si="73"/>
        <v>128</v>
      </c>
      <c r="CO68" s="398">
        <f t="shared" ca="1" si="74"/>
        <v>111690</v>
      </c>
      <c r="CP68" s="399">
        <f t="shared" si="546"/>
        <v>0</v>
      </c>
      <c r="CQ68" s="399">
        <f t="shared" si="547"/>
        <v>0</v>
      </c>
      <c r="CR68" s="483" t="str">
        <f t="shared" ca="1" si="75"/>
        <v/>
      </c>
      <c r="CS68"/>
    </row>
    <row r="69" spans="1:97">
      <c r="A69" s="398" t="s">
        <v>323</v>
      </c>
      <c r="B69" s="398" t="s">
        <v>987</v>
      </c>
      <c r="C69" s="440" t="s">
        <v>891</v>
      </c>
      <c r="D69" s="398">
        <v>2</v>
      </c>
      <c r="E69" s="398"/>
      <c r="F69" s="440">
        <v>0</v>
      </c>
      <c r="G69" s="398">
        <f>IF(C69="RAID5",2*((7-F69)*3723),2*((6-F69)*3723))</f>
        <v>52122</v>
      </c>
      <c r="H69" s="399">
        <v>64</v>
      </c>
      <c r="I69" s="399">
        <v>1025</v>
      </c>
      <c r="J69" s="399">
        <v>256</v>
      </c>
      <c r="K69" s="399"/>
      <c r="L69" s="399"/>
      <c r="M69" s="400">
        <f ca="1">IF(MAX(IF($B$6="No",ROUNDUP($B$3/$I69,0),ROUNDUP(($B$3+$I69)/$I69,0)),IF($B$6="No",ROUNDUP($B$4/$G69,0),ROUNDUP(($B$4+$G69)/$G69,0)),ROUNDUP('BVMS checklist'!$H$217/$J69,0))&gt;1,'BVMS checklist'!$H$224,'BVMS checklist'!$H$217)</f>
        <v>0</v>
      </c>
      <c r="N69" s="398">
        <f t="shared" ca="1" si="20"/>
        <v>2</v>
      </c>
      <c r="O69" s="400">
        <f t="shared" ca="1" si="21"/>
        <v>2</v>
      </c>
      <c r="P69" s="400">
        <f t="shared" ca="1" si="0"/>
        <v>2050</v>
      </c>
      <c r="Q69" s="400">
        <f t="shared" ca="1" si="1"/>
        <v>0</v>
      </c>
      <c r="R69" s="398">
        <f t="shared" ca="1" si="2"/>
        <v>104244</v>
      </c>
      <c r="S69" s="401" t="str">
        <f t="shared" ca="1" si="22"/>
        <v/>
      </c>
      <c r="T69" s="398">
        <f t="shared" ca="1" si="23"/>
        <v>512</v>
      </c>
      <c r="U69" s="400">
        <f ca="1">IF(MAX(IF($B$6="No",ROUNDUP($B$3/$I69,0),ROUNDUP(($B$3+$I69)/$I69,0)),IF($B$6="No",ROUNDUP($B$4/$G69,0),ROUNDUP(($B$4+$G69)/$G69,0)),ROUNDUP('BVMS checklist'!$H$217/$J69,0))&gt;1,'BVMS checklist'!$H$224,'BVMS checklist'!$H$217)+MAX(IF($B$6="No",ROUNDUP($B$3/$I69,0),ROUNDUP(($B$3+$I69)/$I69,0)),IF($B$6="No",ROUNDUP($B$4/$G69,0),ROUNDUP(($B$4+$G69)/$G69,0)))+$B$5</f>
        <v>1</v>
      </c>
      <c r="V69" s="400" t="b">
        <f t="shared" ca="1" si="3"/>
        <v>1</v>
      </c>
      <c r="W69" s="400" t="str">
        <f t="shared" ca="1" si="24"/>
        <v>Accepted</v>
      </c>
      <c r="X69" s="398" t="str">
        <f t="shared" ca="1" si="25"/>
        <v>No</v>
      </c>
      <c r="Y69" s="398" t="str">
        <f t="shared" ca="1" si="26"/>
        <v/>
      </c>
      <c r="Z69" s="398" t="str">
        <f t="shared" ca="1" si="27"/>
        <v/>
      </c>
      <c r="AA69" s="398">
        <f t="shared" ca="1" si="28"/>
        <v>6</v>
      </c>
      <c r="AB69" s="398">
        <f t="shared" ca="1" si="4"/>
        <v>2</v>
      </c>
      <c r="AC69" s="398">
        <f t="shared" ca="1" si="5"/>
        <v>128</v>
      </c>
      <c r="AD69" s="398">
        <f t="shared" ca="1" si="29"/>
        <v>104244</v>
      </c>
      <c r="AE69" s="399">
        <f t="shared" si="540"/>
        <v>0</v>
      </c>
      <c r="AF69" s="399">
        <f t="shared" si="541"/>
        <v>0</v>
      </c>
      <c r="AG69" s="483" t="str">
        <f t="shared" ca="1" si="30"/>
        <v/>
      </c>
      <c r="AH69" s="400">
        <f ca="1">IF(MAX(IF($C$6="No",ROUNDUP($C$3/$I69,0),ROUNDUP(($C$3+$I69)/$I69,0)),IF($C$6="No",ROUNDUP($C$4/$G69,0),ROUNDUP(($C$4+$G69)/$G69,0)),ROUNDUP('BVMS checklist'!$H$217/$J69,0))&gt;1,'BVMS checklist'!$J$224,'BVMS checklist'!$J$217)</f>
        <v>0</v>
      </c>
      <c r="AI69" s="398">
        <f t="shared" ca="1" si="31"/>
        <v>2</v>
      </c>
      <c r="AJ69" s="400">
        <f t="shared" ca="1" si="32"/>
        <v>2</v>
      </c>
      <c r="AK69" s="400">
        <f t="shared" ca="1" si="33"/>
        <v>2050</v>
      </c>
      <c r="AL69" s="400">
        <f t="shared" ca="1" si="34"/>
        <v>0</v>
      </c>
      <c r="AM69" s="398">
        <f t="shared" ca="1" si="35"/>
        <v>104244</v>
      </c>
      <c r="AN69" s="401" t="str">
        <f t="shared" ca="1" si="36"/>
        <v/>
      </c>
      <c r="AO69" s="398">
        <f t="shared" ca="1" si="37"/>
        <v>512</v>
      </c>
      <c r="AP69" s="400">
        <f ca="1">IF(MAX(IF($C$6="No",ROUNDUP($C$3/$I69,0),ROUNDUP(($C$3+$I69)/$I69,0)),IF($C$6="No",ROUNDUP($C$4/$G69,0),ROUNDUP(($C$4+$G69)/$G69,0)),ROUNDUP('BVMS checklist'!$H$217/$J69,0))&gt;1,'BVMS checklist'!$J$224,'BVMS checklist'!$J$217)+MAX(IF($C$6="No",ROUNDUP($C$3/$I69,0),ROUNDUP(($C$3+$I69)/$I69,0)),IF($C$6="No",ROUNDUP($C$4/$G69,0),ROUNDUP(($C$4+$G69)/$G69,0)))+$C$5</f>
        <v>1</v>
      </c>
      <c r="AQ69" s="400" t="b">
        <f t="shared" ca="1" si="8"/>
        <v>1</v>
      </c>
      <c r="AR69" s="400" t="str">
        <f t="shared" ca="1" si="38"/>
        <v>Accepted</v>
      </c>
      <c r="AS69" s="398" t="str">
        <f t="shared" ca="1" si="39"/>
        <v>No</v>
      </c>
      <c r="AT69" s="398" t="str">
        <f t="shared" ca="1" si="40"/>
        <v/>
      </c>
      <c r="AU69" s="398" t="str">
        <f t="shared" ca="1" si="41"/>
        <v/>
      </c>
      <c r="AV69" s="398">
        <f t="shared" ca="1" si="42"/>
        <v>6</v>
      </c>
      <c r="AW69" s="398">
        <f t="shared" ca="1" si="43"/>
        <v>2</v>
      </c>
      <c r="AX69" s="398">
        <f t="shared" ca="1" si="44"/>
        <v>128</v>
      </c>
      <c r="AY69" s="398">
        <f t="shared" ca="1" si="45"/>
        <v>104244</v>
      </c>
      <c r="AZ69" s="399">
        <f t="shared" si="542"/>
        <v>0</v>
      </c>
      <c r="BA69" s="399">
        <f t="shared" si="543"/>
        <v>0</v>
      </c>
      <c r="BB69" s="483" t="str">
        <f t="shared" ca="1" si="46"/>
        <v/>
      </c>
      <c r="BC69" s="400">
        <f ca="1">IF(MAX(IF($D$6="No",ROUNDUP($D$3/$I69,0),ROUNDUP(($D$3+$I69)/$I69,0)),IF($D$6="No",ROUNDUP($D$4/$G69,0),ROUNDUP(($D$4+$G69)/$G69,0)),ROUNDUP('BVMS checklist'!$H$217/$J69,0))&gt;1,'BVMS checklist'!$L$224,'BVMS checklist'!$L$217)</f>
        <v>0</v>
      </c>
      <c r="BD69" s="398">
        <f t="shared" ca="1" si="47"/>
        <v>2</v>
      </c>
      <c r="BE69" s="400">
        <f t="shared" si="48"/>
        <v>1</v>
      </c>
      <c r="BF69" s="400">
        <f t="shared" si="49"/>
        <v>1025</v>
      </c>
      <c r="BG69" s="400">
        <f t="shared" ca="1" si="11"/>
        <v>0</v>
      </c>
      <c r="BH69" s="398">
        <f t="shared" ca="1" si="50"/>
        <v>104244</v>
      </c>
      <c r="BI69" s="401" t="str">
        <f t="shared" ca="1" si="51"/>
        <v/>
      </c>
      <c r="BJ69" s="398">
        <f t="shared" ca="1" si="52"/>
        <v>512</v>
      </c>
      <c r="BK69" s="400">
        <f ca="1">IF(MAX(IF($D$6="No",ROUNDUP($D$3/$I69,0),ROUNDUP(($D$3+$I69)/$I69,0)),IF($D$6="No",ROUNDUP($D$4/$G69,0),ROUNDUP(($D$4+$G69)/$G69,0)),ROUNDUP('BVMS checklist'!$H$217/$J69,0))&gt;1,'BVMS checklist'!$L$224,'BVMS checklist'!$L$217)+MAX(IF($D$6="No",ROUNDUP($D$3/$I69,0),ROUNDUP(($D$3+$I69)/$I69,0)),IF($D$6="No",ROUNDUP($D$4/$G69,0),ROUNDUP(($D$4+$G69)/$G69,0)))+$D$5</f>
        <v>1</v>
      </c>
      <c r="BL69" s="400" t="b">
        <f t="shared" ca="1" si="12"/>
        <v>1</v>
      </c>
      <c r="BM69" s="400" t="str">
        <f t="shared" ca="1" si="53"/>
        <v>Accepted</v>
      </c>
      <c r="BN69" s="398" t="str">
        <f t="shared" ca="1" si="13"/>
        <v>No</v>
      </c>
      <c r="BO69" s="398" t="str">
        <f t="shared" ca="1" si="54"/>
        <v/>
      </c>
      <c r="BP69" s="398" t="str">
        <f t="shared" ca="1" si="55"/>
        <v/>
      </c>
      <c r="BQ69" s="398">
        <f t="shared" ca="1" si="56"/>
        <v>6</v>
      </c>
      <c r="BR69" s="398">
        <f t="shared" ca="1" si="57"/>
        <v>2</v>
      </c>
      <c r="BS69" s="398">
        <f t="shared" ca="1" si="58"/>
        <v>128</v>
      </c>
      <c r="BT69" s="398">
        <f t="shared" ca="1" si="59"/>
        <v>104244</v>
      </c>
      <c r="BU69" s="399">
        <f t="shared" si="544"/>
        <v>0</v>
      </c>
      <c r="BV69" s="399">
        <f t="shared" si="545"/>
        <v>0</v>
      </c>
      <c r="BW69" s="483" t="str">
        <f t="shared" ca="1" si="60"/>
        <v/>
      </c>
      <c r="BX69" s="400">
        <f ca="1">IF(MAX(IF($E$6="No",ROUNDUP($E$3/$I69,0),ROUNDUP(($E$3+$I69)/$I69,0)),IF($E$6="No",ROUNDUP($E$4/$G69,0),ROUNDUP(($E$4+$G69)/$G69,0)),ROUNDUP('BVMS checklist'!$H$217/$J69,0))&gt;1,'BVMS checklist'!$N$224,'BVMS checklist'!$N$217)</f>
        <v>0</v>
      </c>
      <c r="BY69" s="398">
        <f t="shared" ca="1" si="61"/>
        <v>2</v>
      </c>
      <c r="BZ69" s="400">
        <f t="shared" ca="1" si="62"/>
        <v>2</v>
      </c>
      <c r="CA69" s="400">
        <f t="shared" ca="1" si="63"/>
        <v>2050</v>
      </c>
      <c r="CB69" s="400">
        <f t="shared" ca="1" si="16"/>
        <v>0</v>
      </c>
      <c r="CC69" s="398">
        <f t="shared" ca="1" si="64"/>
        <v>104244</v>
      </c>
      <c r="CD69" s="401" t="str">
        <f t="shared" ca="1" si="65"/>
        <v/>
      </c>
      <c r="CE69" s="398">
        <f t="shared" ca="1" si="66"/>
        <v>512</v>
      </c>
      <c r="CF69" s="400">
        <f ca="1">IF(MAX(IF($E$6="No",ROUNDUP($E$3/$I69,0),ROUNDUP(($E$3+$I69)/$I69,0)),IF($E$6="No",ROUNDUP($E$4/$G69,0),ROUNDUP(($E$4+$G69)/$G69,0)),ROUNDUP('BVMS checklist'!$H$217/$J69,0))&gt;1,'BVMS checklist'!$N$224,'BVMS checklist'!$N$217)+MAX(IF($E$6="No",ROUNDUP($E$3/$I69,0),ROUNDUP(($E$3+$I69)/$I69,0)),IF($E$6="No",ROUNDUP($E$4/$G69,0),ROUNDUP(($E$4+$G69)/$G69,0)))+$E$5</f>
        <v>1</v>
      </c>
      <c r="CG69" s="400" t="b">
        <f t="shared" ca="1" si="17"/>
        <v>1</v>
      </c>
      <c r="CH69" s="400" t="str">
        <f t="shared" ca="1" si="67"/>
        <v>Accepted</v>
      </c>
      <c r="CI69" s="398" t="str">
        <f t="shared" ca="1" si="68"/>
        <v>No</v>
      </c>
      <c r="CJ69" s="398" t="str">
        <f t="shared" ca="1" si="69"/>
        <v/>
      </c>
      <c r="CK69" s="398" t="str">
        <f t="shared" ca="1" si="70"/>
        <v/>
      </c>
      <c r="CL69" s="398">
        <f t="shared" ca="1" si="71"/>
        <v>6</v>
      </c>
      <c r="CM69" s="398">
        <f t="shared" ca="1" si="72"/>
        <v>2</v>
      </c>
      <c r="CN69" s="398">
        <f t="shared" ca="1" si="73"/>
        <v>128</v>
      </c>
      <c r="CO69" s="398">
        <f t="shared" ca="1" si="74"/>
        <v>104244</v>
      </c>
      <c r="CP69" s="399">
        <f t="shared" si="546"/>
        <v>0</v>
      </c>
      <c r="CQ69" s="399">
        <f t="shared" si="547"/>
        <v>0</v>
      </c>
      <c r="CR69" s="483" t="str">
        <f t="shared" ca="1" si="75"/>
        <v/>
      </c>
      <c r="CS69"/>
    </row>
    <row r="70" spans="1:97">
      <c r="A70" s="398" t="s">
        <v>324</v>
      </c>
      <c r="B70" s="398" t="s">
        <v>987</v>
      </c>
      <c r="C70" s="440" t="s">
        <v>891</v>
      </c>
      <c r="D70" s="398">
        <v>3</v>
      </c>
      <c r="E70" s="398"/>
      <c r="F70" s="440">
        <v>0</v>
      </c>
      <c r="G70" s="398">
        <f>IF(C70="RAID5",3*((7-F70)*3723),3*((6-F70)*3723))</f>
        <v>78183</v>
      </c>
      <c r="H70" s="399">
        <v>96</v>
      </c>
      <c r="I70" s="399">
        <v>1575</v>
      </c>
      <c r="J70" s="399">
        <v>384</v>
      </c>
      <c r="K70" s="399"/>
      <c r="L70" s="399"/>
      <c r="M70" s="400">
        <f ca="1">IF(MAX(IF($B$6="No",ROUNDUP($B$3/$I70,0),ROUNDUP(($B$3+$I70)/$I70,0)),IF($B$6="No",ROUNDUP($B$4/$G70,0),ROUNDUP(($B$4+$G70)/$G70,0)),ROUNDUP('BVMS checklist'!$H$217/$J70,0))&gt;1,'BVMS checklist'!$H$224,'BVMS checklist'!$H$217)</f>
        <v>0</v>
      </c>
      <c r="N70" s="398">
        <f t="shared" ca="1" si="20"/>
        <v>2</v>
      </c>
      <c r="O70" s="400">
        <f t="shared" ca="1" si="21"/>
        <v>2</v>
      </c>
      <c r="P70" s="400">
        <f t="shared" ca="1" si="0"/>
        <v>3150</v>
      </c>
      <c r="Q70" s="400">
        <f t="shared" ca="1" si="1"/>
        <v>0</v>
      </c>
      <c r="R70" s="398">
        <f t="shared" ca="1" si="2"/>
        <v>156366</v>
      </c>
      <c r="S70" s="401" t="str">
        <f t="shared" ca="1" si="22"/>
        <v/>
      </c>
      <c r="T70" s="398">
        <f t="shared" ca="1" si="23"/>
        <v>768</v>
      </c>
      <c r="U70" s="400">
        <f ca="1">IF(MAX(IF($B$6="No",ROUNDUP($B$3/$I70,0),ROUNDUP(($B$3+$I70)/$I70,0)),IF($B$6="No",ROUNDUP($B$4/$G70,0),ROUNDUP(($B$4+$G70)/$G70,0)),ROUNDUP('BVMS checklist'!$H$217/$J70,0))&gt;1,'BVMS checklist'!$H$224,'BVMS checklist'!$H$217)+MAX(IF($B$6="No",ROUNDUP($B$3/$I70,0),ROUNDUP(($B$3+$I70)/$I70,0)),IF($B$6="No",ROUNDUP($B$4/$G70,0),ROUNDUP(($B$4+$G70)/$G70,0)))+$B$5</f>
        <v>1</v>
      </c>
      <c r="V70" s="400" t="b">
        <f t="shared" ca="1" si="3"/>
        <v>1</v>
      </c>
      <c r="W70" s="400" t="str">
        <f t="shared" ca="1" si="24"/>
        <v>Accepted</v>
      </c>
      <c r="X70" s="398" t="str">
        <f t="shared" ca="1" si="25"/>
        <v>No</v>
      </c>
      <c r="Y70" s="398" t="str">
        <f t="shared" ca="1" si="26"/>
        <v/>
      </c>
      <c r="Z70" s="398" t="str">
        <f t="shared" ca="1" si="27"/>
        <v/>
      </c>
      <c r="AA70" s="398">
        <f t="shared" ca="1" si="28"/>
        <v>6</v>
      </c>
      <c r="AB70" s="398">
        <f t="shared" ca="1" si="4"/>
        <v>2</v>
      </c>
      <c r="AC70" s="398">
        <f t="shared" ca="1" si="5"/>
        <v>192</v>
      </c>
      <c r="AD70" s="398">
        <f t="shared" ca="1" si="29"/>
        <v>156366</v>
      </c>
      <c r="AE70" s="399">
        <f t="shared" si="540"/>
        <v>0</v>
      </c>
      <c r="AF70" s="399">
        <f t="shared" si="541"/>
        <v>0</v>
      </c>
      <c r="AG70" s="483" t="str">
        <f t="shared" ca="1" si="30"/>
        <v/>
      </c>
      <c r="AH70" s="400">
        <f ca="1">IF(MAX(IF($C$6="No",ROUNDUP($C$3/$I70,0),ROUNDUP(($C$3+$I70)/$I70,0)),IF($C$6="No",ROUNDUP($C$4/$G70,0),ROUNDUP(($C$4+$G70)/$G70,0)),ROUNDUP('BVMS checklist'!$H$217/$J70,0))&gt;1,'BVMS checklist'!$J$224,'BVMS checklist'!$J$217)</f>
        <v>0</v>
      </c>
      <c r="AI70" s="398">
        <f t="shared" ca="1" si="31"/>
        <v>2</v>
      </c>
      <c r="AJ70" s="400">
        <f t="shared" ca="1" si="32"/>
        <v>2</v>
      </c>
      <c r="AK70" s="400">
        <f t="shared" ca="1" si="33"/>
        <v>3150</v>
      </c>
      <c r="AL70" s="400">
        <f t="shared" ca="1" si="34"/>
        <v>0</v>
      </c>
      <c r="AM70" s="398">
        <f t="shared" ca="1" si="35"/>
        <v>156366</v>
      </c>
      <c r="AN70" s="401" t="str">
        <f t="shared" ca="1" si="36"/>
        <v/>
      </c>
      <c r="AO70" s="398">
        <f t="shared" ca="1" si="37"/>
        <v>768</v>
      </c>
      <c r="AP70" s="400">
        <f ca="1">IF(MAX(IF($C$6="No",ROUNDUP($C$3/$I70,0),ROUNDUP(($C$3+$I70)/$I70,0)),IF($C$6="No",ROUNDUP($C$4/$G70,0),ROUNDUP(($C$4+$G70)/$G70,0)),ROUNDUP('BVMS checklist'!$H$217/$J70,0))&gt;1,'BVMS checklist'!$J$224,'BVMS checklist'!$J$217)+MAX(IF($C$6="No",ROUNDUP($C$3/$I70,0),ROUNDUP(($C$3+$I70)/$I70,0)),IF($C$6="No",ROUNDUP($C$4/$G70,0),ROUNDUP(($C$4+$G70)/$G70,0)))+$C$5</f>
        <v>1</v>
      </c>
      <c r="AQ70" s="400" t="b">
        <f t="shared" ca="1" si="8"/>
        <v>1</v>
      </c>
      <c r="AR70" s="400" t="str">
        <f t="shared" ca="1" si="38"/>
        <v>Accepted</v>
      </c>
      <c r="AS70" s="398" t="str">
        <f t="shared" ca="1" si="39"/>
        <v>No</v>
      </c>
      <c r="AT70" s="398" t="str">
        <f t="shared" ca="1" si="40"/>
        <v/>
      </c>
      <c r="AU70" s="398" t="str">
        <f t="shared" ca="1" si="41"/>
        <v/>
      </c>
      <c r="AV70" s="398">
        <f t="shared" ca="1" si="42"/>
        <v>6</v>
      </c>
      <c r="AW70" s="398">
        <f t="shared" ca="1" si="43"/>
        <v>2</v>
      </c>
      <c r="AX70" s="398">
        <f t="shared" ca="1" si="44"/>
        <v>192</v>
      </c>
      <c r="AY70" s="398">
        <f t="shared" ca="1" si="45"/>
        <v>156366</v>
      </c>
      <c r="AZ70" s="399">
        <f t="shared" si="542"/>
        <v>0</v>
      </c>
      <c r="BA70" s="399">
        <f t="shared" si="543"/>
        <v>0</v>
      </c>
      <c r="BB70" s="483" t="str">
        <f t="shared" ca="1" si="46"/>
        <v/>
      </c>
      <c r="BC70" s="400">
        <f ca="1">IF(MAX(IF($D$6="No",ROUNDUP($D$3/$I70,0),ROUNDUP(($D$3+$I70)/$I70,0)),IF($D$6="No",ROUNDUP($D$4/$G70,0),ROUNDUP(($D$4+$G70)/$G70,0)),ROUNDUP('BVMS checklist'!$H$217/$J70,0))&gt;1,'BVMS checklist'!$L$224,'BVMS checklist'!$L$217)</f>
        <v>0</v>
      </c>
      <c r="BD70" s="398">
        <f t="shared" ca="1" si="47"/>
        <v>2</v>
      </c>
      <c r="BE70" s="400">
        <f t="shared" si="48"/>
        <v>1</v>
      </c>
      <c r="BF70" s="400">
        <f t="shared" si="49"/>
        <v>1575</v>
      </c>
      <c r="BG70" s="400">
        <f t="shared" ca="1" si="11"/>
        <v>0</v>
      </c>
      <c r="BH70" s="398">
        <f t="shared" ca="1" si="50"/>
        <v>156366</v>
      </c>
      <c r="BI70" s="401" t="str">
        <f t="shared" ca="1" si="51"/>
        <v/>
      </c>
      <c r="BJ70" s="398">
        <f t="shared" ca="1" si="52"/>
        <v>768</v>
      </c>
      <c r="BK70" s="400">
        <f ca="1">IF(MAX(IF($D$6="No",ROUNDUP($D$3/$I70,0),ROUNDUP(($D$3+$I70)/$I70,0)),IF($D$6="No",ROUNDUP($D$4/$G70,0),ROUNDUP(($D$4+$G70)/$G70,0)),ROUNDUP('BVMS checklist'!$H$217/$J70,0))&gt;1,'BVMS checklist'!$L$224,'BVMS checklist'!$L$217)+MAX(IF($D$6="No",ROUNDUP($D$3/$I70,0),ROUNDUP(($D$3+$I70)/$I70,0)),IF($D$6="No",ROUNDUP($D$4/$G70,0),ROUNDUP(($D$4+$G70)/$G70,0)))+$D$5</f>
        <v>1</v>
      </c>
      <c r="BL70" s="400" t="b">
        <f t="shared" ca="1" si="12"/>
        <v>1</v>
      </c>
      <c r="BM70" s="400" t="str">
        <f t="shared" ca="1" si="53"/>
        <v>Accepted</v>
      </c>
      <c r="BN70" s="398" t="str">
        <f t="shared" ca="1" si="13"/>
        <v>No</v>
      </c>
      <c r="BO70" s="398" t="str">
        <f t="shared" ca="1" si="54"/>
        <v/>
      </c>
      <c r="BP70" s="398" t="str">
        <f t="shared" ca="1" si="55"/>
        <v/>
      </c>
      <c r="BQ70" s="398">
        <f t="shared" ca="1" si="56"/>
        <v>6</v>
      </c>
      <c r="BR70" s="398">
        <f t="shared" ca="1" si="57"/>
        <v>2</v>
      </c>
      <c r="BS70" s="398">
        <f t="shared" ca="1" si="58"/>
        <v>192</v>
      </c>
      <c r="BT70" s="398">
        <f t="shared" ca="1" si="59"/>
        <v>156366</v>
      </c>
      <c r="BU70" s="399">
        <f t="shared" si="544"/>
        <v>0</v>
      </c>
      <c r="BV70" s="399">
        <f t="shared" si="545"/>
        <v>0</v>
      </c>
      <c r="BW70" s="483" t="str">
        <f t="shared" ca="1" si="60"/>
        <v/>
      </c>
      <c r="BX70" s="400">
        <f ca="1">IF(MAX(IF($E$6="No",ROUNDUP($E$3/$I70,0),ROUNDUP(($E$3+$I70)/$I70,0)),IF($E$6="No",ROUNDUP($E$4/$G70,0),ROUNDUP(($E$4+$G70)/$G70,0)),ROUNDUP('BVMS checklist'!$H$217/$J70,0))&gt;1,'BVMS checklist'!$N$224,'BVMS checklist'!$N$217)</f>
        <v>0</v>
      </c>
      <c r="BY70" s="398">
        <f t="shared" ca="1" si="61"/>
        <v>2</v>
      </c>
      <c r="BZ70" s="400">
        <f t="shared" ca="1" si="62"/>
        <v>2</v>
      </c>
      <c r="CA70" s="400">
        <f t="shared" ca="1" si="63"/>
        <v>3150</v>
      </c>
      <c r="CB70" s="400">
        <f t="shared" ca="1" si="16"/>
        <v>0</v>
      </c>
      <c r="CC70" s="398">
        <f t="shared" ca="1" si="64"/>
        <v>156366</v>
      </c>
      <c r="CD70" s="401" t="str">
        <f t="shared" ca="1" si="65"/>
        <v/>
      </c>
      <c r="CE70" s="398">
        <f t="shared" ca="1" si="66"/>
        <v>768</v>
      </c>
      <c r="CF70" s="400">
        <f ca="1">IF(MAX(IF($E$6="No",ROUNDUP($E$3/$I70,0),ROUNDUP(($E$3+$I70)/$I70,0)),IF($E$6="No",ROUNDUP($E$4/$G70,0),ROUNDUP(($E$4+$G70)/$G70,0)),ROUNDUP('BVMS checklist'!$H$217/$J70,0))&gt;1,'BVMS checklist'!$N$224,'BVMS checklist'!$N$217)+MAX(IF($E$6="No",ROUNDUP($E$3/$I70,0),ROUNDUP(($E$3+$I70)/$I70,0)),IF($E$6="No",ROUNDUP($E$4/$G70,0),ROUNDUP(($E$4+$G70)/$G70,0)))+$E$5</f>
        <v>1</v>
      </c>
      <c r="CG70" s="400" t="b">
        <f t="shared" ca="1" si="17"/>
        <v>1</v>
      </c>
      <c r="CH70" s="400" t="str">
        <f t="shared" ca="1" si="67"/>
        <v>Accepted</v>
      </c>
      <c r="CI70" s="398" t="str">
        <f t="shared" ca="1" si="68"/>
        <v>No</v>
      </c>
      <c r="CJ70" s="398" t="str">
        <f t="shared" ca="1" si="69"/>
        <v/>
      </c>
      <c r="CK70" s="398" t="str">
        <f t="shared" ca="1" si="70"/>
        <v/>
      </c>
      <c r="CL70" s="398">
        <f t="shared" ca="1" si="71"/>
        <v>6</v>
      </c>
      <c r="CM70" s="398">
        <f t="shared" ca="1" si="72"/>
        <v>2</v>
      </c>
      <c r="CN70" s="398">
        <f t="shared" ca="1" si="73"/>
        <v>192</v>
      </c>
      <c r="CO70" s="398">
        <f t="shared" ca="1" si="74"/>
        <v>156366</v>
      </c>
      <c r="CP70" s="399">
        <f t="shared" si="546"/>
        <v>0</v>
      </c>
      <c r="CQ70" s="399">
        <f t="shared" si="547"/>
        <v>0</v>
      </c>
      <c r="CR70" s="483" t="str">
        <f t="shared" ca="1" si="75"/>
        <v/>
      </c>
      <c r="CS70"/>
    </row>
    <row r="71" spans="1:97">
      <c r="A71" s="398" t="s">
        <v>325</v>
      </c>
      <c r="B71" s="398" t="s">
        <v>987</v>
      </c>
      <c r="C71" s="440" t="s">
        <v>891</v>
      </c>
      <c r="D71" s="398">
        <v>4</v>
      </c>
      <c r="E71" s="398"/>
      <c r="F71" s="440">
        <v>0</v>
      </c>
      <c r="G71" s="398">
        <f>IF(C71="RAID5",4*((7-F71)*3723),4*((6-F71)*3723))</f>
        <v>104244</v>
      </c>
      <c r="H71" s="399">
        <v>128</v>
      </c>
      <c r="I71" s="399">
        <v>2125</v>
      </c>
      <c r="J71" s="399">
        <v>512</v>
      </c>
      <c r="K71" s="399"/>
      <c r="L71" s="399"/>
      <c r="M71" s="400">
        <f ca="1">IF(MAX(IF($B$6="No",ROUNDUP($B$3/$I71,0),ROUNDUP(($B$3+$I71)/$I71,0)),IF($B$6="No",ROUNDUP($B$4/$G71,0),ROUNDUP(($B$4+$G71)/$G71,0)),ROUNDUP('BVMS checklist'!$H$217/$J71,0))&gt;1,'BVMS checklist'!$H$224,'BVMS checklist'!$H$217)</f>
        <v>0</v>
      </c>
      <c r="N71" s="398">
        <f t="shared" ca="1" si="20"/>
        <v>2</v>
      </c>
      <c r="O71" s="400">
        <f t="shared" ca="1" si="21"/>
        <v>2</v>
      </c>
      <c r="P71" s="400">
        <f t="shared" ca="1" si="0"/>
        <v>4250</v>
      </c>
      <c r="Q71" s="400">
        <f t="shared" ca="1" si="1"/>
        <v>0</v>
      </c>
      <c r="R71" s="398">
        <f t="shared" ca="1" si="2"/>
        <v>208488</v>
      </c>
      <c r="S71" s="401" t="str">
        <f t="shared" ca="1" si="22"/>
        <v/>
      </c>
      <c r="T71" s="398">
        <f t="shared" ca="1" si="23"/>
        <v>1024</v>
      </c>
      <c r="U71" s="400">
        <f ca="1">IF(MAX(IF($B$6="No",ROUNDUP($B$3/$I71,0),ROUNDUP(($B$3+$I71)/$I71,0)),IF($B$6="No",ROUNDUP($B$4/$G71,0),ROUNDUP(($B$4+$G71)/$G71,0)),ROUNDUP('BVMS checklist'!$H$217/$J71,0))&gt;1,'BVMS checklist'!$H$224,'BVMS checklist'!$H$217)+MAX(IF($B$6="No",ROUNDUP($B$3/$I71,0),ROUNDUP(($B$3+$I71)/$I71,0)),IF($B$6="No",ROUNDUP($B$4/$G71,0),ROUNDUP(($B$4+$G71)/$G71,0)))+$B$5</f>
        <v>1</v>
      </c>
      <c r="V71" s="400" t="b">
        <f t="shared" ca="1" si="3"/>
        <v>1</v>
      </c>
      <c r="W71" s="400" t="str">
        <f t="shared" ca="1" si="24"/>
        <v>Accepted</v>
      </c>
      <c r="X71" s="398" t="str">
        <f t="shared" ca="1" si="25"/>
        <v>No</v>
      </c>
      <c r="Y71" s="398" t="str">
        <f t="shared" ca="1" si="26"/>
        <v/>
      </c>
      <c r="Z71" s="398" t="str">
        <f t="shared" ca="1" si="27"/>
        <v/>
      </c>
      <c r="AA71" s="398">
        <f t="shared" ca="1" si="28"/>
        <v>6</v>
      </c>
      <c r="AB71" s="398">
        <f t="shared" ca="1" si="4"/>
        <v>2</v>
      </c>
      <c r="AC71" s="398">
        <f t="shared" ca="1" si="5"/>
        <v>256</v>
      </c>
      <c r="AD71" s="398">
        <f t="shared" ca="1" si="29"/>
        <v>208488</v>
      </c>
      <c r="AE71" s="399">
        <f t="shared" si="540"/>
        <v>0</v>
      </c>
      <c r="AF71" s="399">
        <f t="shared" si="541"/>
        <v>0</v>
      </c>
      <c r="AG71" s="483" t="str">
        <f t="shared" ca="1" si="30"/>
        <v/>
      </c>
      <c r="AH71" s="400">
        <f ca="1">IF(MAX(IF($C$6="No",ROUNDUP($C$3/$I71,0),ROUNDUP(($C$3+$I71)/$I71,0)),IF($C$6="No",ROUNDUP($C$4/$G71,0),ROUNDUP(($C$4+$G71)/$G71,0)),ROUNDUP('BVMS checklist'!$H$217/$J71,0))&gt;1,'BVMS checklist'!$J$224,'BVMS checklist'!$J$217)</f>
        <v>0</v>
      </c>
      <c r="AI71" s="398">
        <f t="shared" ca="1" si="31"/>
        <v>2</v>
      </c>
      <c r="AJ71" s="400">
        <f t="shared" ca="1" si="32"/>
        <v>2</v>
      </c>
      <c r="AK71" s="400">
        <f t="shared" ca="1" si="33"/>
        <v>4250</v>
      </c>
      <c r="AL71" s="400">
        <f t="shared" ca="1" si="34"/>
        <v>0</v>
      </c>
      <c r="AM71" s="398">
        <f t="shared" ca="1" si="35"/>
        <v>208488</v>
      </c>
      <c r="AN71" s="401" t="str">
        <f t="shared" ca="1" si="36"/>
        <v/>
      </c>
      <c r="AO71" s="398">
        <f t="shared" ca="1" si="37"/>
        <v>1024</v>
      </c>
      <c r="AP71" s="400">
        <f ca="1">IF(MAX(IF($C$6="No",ROUNDUP($C$3/$I71,0),ROUNDUP(($C$3+$I71)/$I71,0)),IF($C$6="No",ROUNDUP($C$4/$G71,0),ROUNDUP(($C$4+$G71)/$G71,0)),ROUNDUP('BVMS checklist'!$H$217/$J71,0))&gt;1,'BVMS checklist'!$J$224,'BVMS checklist'!$J$217)+MAX(IF($C$6="No",ROUNDUP($C$3/$I71,0),ROUNDUP(($C$3+$I71)/$I71,0)),IF($C$6="No",ROUNDUP($C$4/$G71,0),ROUNDUP(($C$4+$G71)/$G71,0)))+$C$5</f>
        <v>1</v>
      </c>
      <c r="AQ71" s="400" t="b">
        <f t="shared" ca="1" si="8"/>
        <v>1</v>
      </c>
      <c r="AR71" s="400" t="str">
        <f t="shared" ca="1" si="38"/>
        <v>Accepted</v>
      </c>
      <c r="AS71" s="398" t="str">
        <f t="shared" ca="1" si="39"/>
        <v>No</v>
      </c>
      <c r="AT71" s="398" t="str">
        <f t="shared" ca="1" si="40"/>
        <v/>
      </c>
      <c r="AU71" s="398" t="str">
        <f t="shared" ca="1" si="41"/>
        <v/>
      </c>
      <c r="AV71" s="398">
        <f t="shared" ca="1" si="42"/>
        <v>6</v>
      </c>
      <c r="AW71" s="398">
        <f t="shared" ca="1" si="43"/>
        <v>2</v>
      </c>
      <c r="AX71" s="398">
        <f t="shared" ca="1" si="44"/>
        <v>256</v>
      </c>
      <c r="AY71" s="398">
        <f t="shared" ca="1" si="45"/>
        <v>208488</v>
      </c>
      <c r="AZ71" s="399">
        <f t="shared" si="542"/>
        <v>0</v>
      </c>
      <c r="BA71" s="399">
        <f t="shared" si="543"/>
        <v>0</v>
      </c>
      <c r="BB71" s="483" t="str">
        <f t="shared" ca="1" si="46"/>
        <v/>
      </c>
      <c r="BC71" s="400">
        <f ca="1">IF(MAX(IF($D$6="No",ROUNDUP($D$3/$I71,0),ROUNDUP(($D$3+$I71)/$I71,0)),IF($D$6="No",ROUNDUP($D$4/$G71,0),ROUNDUP(($D$4+$G71)/$G71,0)),ROUNDUP('BVMS checklist'!$H$217/$J71,0))&gt;1,'BVMS checklist'!$L$224,'BVMS checklist'!$L$217)</f>
        <v>0</v>
      </c>
      <c r="BD71" s="398">
        <f t="shared" ca="1" si="47"/>
        <v>2</v>
      </c>
      <c r="BE71" s="400">
        <f t="shared" si="48"/>
        <v>1</v>
      </c>
      <c r="BF71" s="400">
        <f t="shared" si="49"/>
        <v>2125</v>
      </c>
      <c r="BG71" s="400">
        <f t="shared" ca="1" si="11"/>
        <v>0</v>
      </c>
      <c r="BH71" s="398">
        <f t="shared" ca="1" si="50"/>
        <v>208488</v>
      </c>
      <c r="BI71" s="401" t="str">
        <f t="shared" ca="1" si="51"/>
        <v/>
      </c>
      <c r="BJ71" s="398">
        <f t="shared" ca="1" si="52"/>
        <v>1024</v>
      </c>
      <c r="BK71" s="400">
        <f ca="1">IF(MAX(IF($D$6="No",ROUNDUP($D$3/$I71,0),ROUNDUP(($D$3+$I71)/$I71,0)),IF($D$6="No",ROUNDUP($D$4/$G71,0),ROUNDUP(($D$4+$G71)/$G71,0)),ROUNDUP('BVMS checklist'!$H$217/$J71,0))&gt;1,'BVMS checklist'!$L$224,'BVMS checklist'!$L$217)+MAX(IF($D$6="No",ROUNDUP($D$3/$I71,0),ROUNDUP(($D$3+$I71)/$I71,0)),IF($D$6="No",ROUNDUP($D$4/$G71,0),ROUNDUP(($D$4+$G71)/$G71,0)))+$D$5</f>
        <v>1</v>
      </c>
      <c r="BL71" s="400" t="b">
        <f t="shared" ca="1" si="12"/>
        <v>1</v>
      </c>
      <c r="BM71" s="400" t="str">
        <f t="shared" ca="1" si="53"/>
        <v>Accepted</v>
      </c>
      <c r="BN71" s="398" t="str">
        <f t="shared" ca="1" si="13"/>
        <v>No</v>
      </c>
      <c r="BO71" s="398" t="str">
        <f t="shared" ca="1" si="54"/>
        <v/>
      </c>
      <c r="BP71" s="398" t="str">
        <f t="shared" ca="1" si="55"/>
        <v/>
      </c>
      <c r="BQ71" s="398">
        <f t="shared" ca="1" si="56"/>
        <v>6</v>
      </c>
      <c r="BR71" s="398">
        <f t="shared" ca="1" si="57"/>
        <v>2</v>
      </c>
      <c r="BS71" s="398">
        <f t="shared" ca="1" si="58"/>
        <v>256</v>
      </c>
      <c r="BT71" s="398">
        <f t="shared" ca="1" si="59"/>
        <v>208488</v>
      </c>
      <c r="BU71" s="399">
        <f t="shared" si="544"/>
        <v>0</v>
      </c>
      <c r="BV71" s="399">
        <f t="shared" si="545"/>
        <v>0</v>
      </c>
      <c r="BW71" s="483" t="str">
        <f t="shared" ca="1" si="60"/>
        <v/>
      </c>
      <c r="BX71" s="400">
        <f ca="1">IF(MAX(IF($E$6="No",ROUNDUP($E$3/$I71,0),ROUNDUP(($E$3+$I71)/$I71,0)),IF($E$6="No",ROUNDUP($E$4/$G71,0),ROUNDUP(($E$4+$G71)/$G71,0)),ROUNDUP('BVMS checklist'!$H$217/$J71,0))&gt;1,'BVMS checklist'!$N$224,'BVMS checklist'!$N$217)</f>
        <v>0</v>
      </c>
      <c r="BY71" s="398">
        <f t="shared" ca="1" si="61"/>
        <v>2</v>
      </c>
      <c r="BZ71" s="400">
        <f t="shared" ca="1" si="62"/>
        <v>2</v>
      </c>
      <c r="CA71" s="400">
        <f t="shared" ca="1" si="63"/>
        <v>4250</v>
      </c>
      <c r="CB71" s="400">
        <f t="shared" ca="1" si="16"/>
        <v>0</v>
      </c>
      <c r="CC71" s="398">
        <f t="shared" ca="1" si="64"/>
        <v>208488</v>
      </c>
      <c r="CD71" s="401" t="str">
        <f t="shared" ca="1" si="65"/>
        <v/>
      </c>
      <c r="CE71" s="398">
        <f t="shared" ca="1" si="66"/>
        <v>1024</v>
      </c>
      <c r="CF71" s="400">
        <f ca="1">IF(MAX(IF($E$6="No",ROUNDUP($E$3/$I71,0),ROUNDUP(($E$3+$I71)/$I71,0)),IF($E$6="No",ROUNDUP($E$4/$G71,0),ROUNDUP(($E$4+$G71)/$G71,0)),ROUNDUP('BVMS checklist'!$H$217/$J71,0))&gt;1,'BVMS checklist'!$N$224,'BVMS checklist'!$N$217)+MAX(IF($E$6="No",ROUNDUP($E$3/$I71,0),ROUNDUP(($E$3+$I71)/$I71,0)),IF($E$6="No",ROUNDUP($E$4/$G71,0),ROUNDUP(($E$4+$G71)/$G71,0)))+$E$5</f>
        <v>1</v>
      </c>
      <c r="CG71" s="400" t="b">
        <f t="shared" ca="1" si="17"/>
        <v>1</v>
      </c>
      <c r="CH71" s="400" t="str">
        <f t="shared" ca="1" si="67"/>
        <v>Accepted</v>
      </c>
      <c r="CI71" s="398" t="str">
        <f t="shared" ca="1" si="68"/>
        <v>No</v>
      </c>
      <c r="CJ71" s="398" t="str">
        <f t="shared" ca="1" si="69"/>
        <v/>
      </c>
      <c r="CK71" s="398" t="str">
        <f t="shared" ca="1" si="70"/>
        <v/>
      </c>
      <c r="CL71" s="398">
        <f t="shared" ca="1" si="71"/>
        <v>6</v>
      </c>
      <c r="CM71" s="398">
        <f t="shared" ca="1" si="72"/>
        <v>2</v>
      </c>
      <c r="CN71" s="398">
        <f t="shared" ca="1" si="73"/>
        <v>256</v>
      </c>
      <c r="CO71" s="398">
        <f t="shared" ca="1" si="74"/>
        <v>208488</v>
      </c>
      <c r="CP71" s="399">
        <f t="shared" si="546"/>
        <v>0</v>
      </c>
      <c r="CQ71" s="399">
        <f t="shared" si="547"/>
        <v>0</v>
      </c>
      <c r="CR71" s="483" t="str">
        <f t="shared" ca="1" si="75"/>
        <v/>
      </c>
      <c r="CS71"/>
    </row>
    <row r="72" spans="1:97">
      <c r="A72" s="398" t="s">
        <v>326</v>
      </c>
      <c r="B72" s="398" t="s">
        <v>987</v>
      </c>
      <c r="C72" s="440" t="s">
        <v>891</v>
      </c>
      <c r="D72" s="398">
        <v>5</v>
      </c>
      <c r="E72" s="398"/>
      <c r="F72" s="440">
        <v>0</v>
      </c>
      <c r="G72" s="398">
        <f>IF(C72="RAID5",5*((7-F72)*3723),5*((6-F72)*3723))</f>
        <v>130305</v>
      </c>
      <c r="H72" s="399">
        <v>160</v>
      </c>
      <c r="I72" s="399">
        <v>2675</v>
      </c>
      <c r="J72" s="399">
        <v>640</v>
      </c>
      <c r="K72" s="399"/>
      <c r="L72" s="399"/>
      <c r="M72" s="400">
        <f ca="1">IF(MAX(IF($B$6="No",ROUNDUP($B$3/$I72,0),ROUNDUP(($B$3+$I72)/$I72,0)),IF($B$6="No",ROUNDUP($B$4/$G72,0),ROUNDUP(($B$4+$G72)/$G72,0)),ROUNDUP('BVMS checklist'!$H$217/$J72,0))&gt;1,'BVMS checklist'!$H$224,'BVMS checklist'!$H$217)</f>
        <v>0</v>
      </c>
      <c r="N72" s="398">
        <f t="shared" ca="1" si="20"/>
        <v>2</v>
      </c>
      <c r="O72" s="400">
        <f t="shared" ca="1" si="21"/>
        <v>2</v>
      </c>
      <c r="P72" s="400">
        <f t="shared" ca="1" si="0"/>
        <v>5350</v>
      </c>
      <c r="Q72" s="400">
        <f t="shared" ca="1" si="1"/>
        <v>0</v>
      </c>
      <c r="R72" s="398">
        <f t="shared" ca="1" si="2"/>
        <v>260610</v>
      </c>
      <c r="S72" s="401" t="str">
        <f t="shared" ca="1" si="22"/>
        <v/>
      </c>
      <c r="T72" s="398">
        <f t="shared" ca="1" si="23"/>
        <v>1280</v>
      </c>
      <c r="U72" s="400">
        <f ca="1">IF(MAX(IF($B$6="No",ROUNDUP($B$3/$I72,0),ROUNDUP(($B$3+$I72)/$I72,0)),IF($B$6="No",ROUNDUP($B$4/$G72,0),ROUNDUP(($B$4+$G72)/$G72,0)),ROUNDUP('BVMS checklist'!$H$217/$J72,0))&gt;1,'BVMS checklist'!$H$224,'BVMS checklist'!$H$217)+MAX(IF($B$6="No",ROUNDUP($B$3/$I72,0),ROUNDUP(($B$3+$I72)/$I72,0)),IF($B$6="No",ROUNDUP($B$4/$G72,0),ROUNDUP(($B$4+$G72)/$G72,0)))+$B$5</f>
        <v>1</v>
      </c>
      <c r="V72" s="400" t="b">
        <f t="shared" ca="1" si="3"/>
        <v>1</v>
      </c>
      <c r="W72" s="400" t="str">
        <f t="shared" ca="1" si="24"/>
        <v>Accepted</v>
      </c>
      <c r="X72" s="398" t="str">
        <f t="shared" ca="1" si="25"/>
        <v>No</v>
      </c>
      <c r="Y72" s="398" t="str">
        <f t="shared" ca="1" si="26"/>
        <v/>
      </c>
      <c r="Z72" s="398" t="str">
        <f t="shared" ca="1" si="27"/>
        <v/>
      </c>
      <c r="AA72" s="398">
        <f t="shared" ca="1" si="28"/>
        <v>6</v>
      </c>
      <c r="AB72" s="398">
        <f t="shared" ca="1" si="4"/>
        <v>2</v>
      </c>
      <c r="AC72" s="398">
        <f t="shared" ca="1" si="5"/>
        <v>320</v>
      </c>
      <c r="AD72" s="398">
        <f t="shared" ca="1" si="29"/>
        <v>260610</v>
      </c>
      <c r="AE72" s="399">
        <f t="shared" si="540"/>
        <v>0</v>
      </c>
      <c r="AF72" s="399">
        <f t="shared" si="541"/>
        <v>0</v>
      </c>
      <c r="AG72" s="483" t="str">
        <f t="shared" ca="1" si="30"/>
        <v/>
      </c>
      <c r="AH72" s="400">
        <f ca="1">IF(MAX(IF($C$6="No",ROUNDUP($C$3/$I72,0),ROUNDUP(($C$3+$I72)/$I72,0)),IF($C$6="No",ROUNDUP($C$4/$G72,0),ROUNDUP(($C$4+$G72)/$G72,0)),ROUNDUP('BVMS checklist'!$H$217/$J72,0))&gt;1,'BVMS checklist'!$J$224,'BVMS checklist'!$J$217)</f>
        <v>0</v>
      </c>
      <c r="AI72" s="398">
        <f t="shared" ca="1" si="31"/>
        <v>2</v>
      </c>
      <c r="AJ72" s="400">
        <f t="shared" ca="1" si="32"/>
        <v>2</v>
      </c>
      <c r="AK72" s="400">
        <f t="shared" ca="1" si="33"/>
        <v>5350</v>
      </c>
      <c r="AL72" s="400">
        <f t="shared" ca="1" si="34"/>
        <v>0</v>
      </c>
      <c r="AM72" s="398">
        <f t="shared" ca="1" si="35"/>
        <v>260610</v>
      </c>
      <c r="AN72" s="401" t="str">
        <f t="shared" ca="1" si="36"/>
        <v/>
      </c>
      <c r="AO72" s="398">
        <f t="shared" ca="1" si="37"/>
        <v>1280</v>
      </c>
      <c r="AP72" s="400">
        <f ca="1">IF(MAX(IF($C$6="No",ROUNDUP($C$3/$I72,0),ROUNDUP(($C$3+$I72)/$I72,0)),IF($C$6="No",ROUNDUP($C$4/$G72,0),ROUNDUP(($C$4+$G72)/$G72,0)),ROUNDUP('BVMS checklist'!$H$217/$J72,0))&gt;1,'BVMS checklist'!$J$224,'BVMS checklist'!$J$217)+MAX(IF($C$6="No",ROUNDUP($C$3/$I72,0),ROUNDUP(($C$3+$I72)/$I72,0)),IF($C$6="No",ROUNDUP($C$4/$G72,0),ROUNDUP(($C$4+$G72)/$G72,0)))+$C$5</f>
        <v>1</v>
      </c>
      <c r="AQ72" s="400" t="b">
        <f t="shared" ca="1" si="8"/>
        <v>1</v>
      </c>
      <c r="AR72" s="400" t="str">
        <f t="shared" ca="1" si="38"/>
        <v>Accepted</v>
      </c>
      <c r="AS72" s="398" t="str">
        <f t="shared" ca="1" si="39"/>
        <v>No</v>
      </c>
      <c r="AT72" s="398" t="str">
        <f t="shared" ca="1" si="40"/>
        <v/>
      </c>
      <c r="AU72" s="398" t="str">
        <f t="shared" ca="1" si="41"/>
        <v/>
      </c>
      <c r="AV72" s="398">
        <f t="shared" ca="1" si="42"/>
        <v>6</v>
      </c>
      <c r="AW72" s="398">
        <f t="shared" ca="1" si="43"/>
        <v>2</v>
      </c>
      <c r="AX72" s="398">
        <f t="shared" ca="1" si="44"/>
        <v>320</v>
      </c>
      <c r="AY72" s="398">
        <f t="shared" ca="1" si="45"/>
        <v>260610</v>
      </c>
      <c r="AZ72" s="399">
        <f t="shared" si="542"/>
        <v>0</v>
      </c>
      <c r="BA72" s="399">
        <f t="shared" si="543"/>
        <v>0</v>
      </c>
      <c r="BB72" s="483" t="str">
        <f t="shared" ca="1" si="46"/>
        <v/>
      </c>
      <c r="BC72" s="400">
        <f ca="1">IF(MAX(IF($D$6="No",ROUNDUP($D$3/$I72,0),ROUNDUP(($D$3+$I72)/$I72,0)),IF($D$6="No",ROUNDUP($D$4/$G72,0),ROUNDUP(($D$4+$G72)/$G72,0)),ROUNDUP('BVMS checklist'!$H$217/$J72,0))&gt;1,'BVMS checklist'!$L$224,'BVMS checklist'!$L$217)</f>
        <v>0</v>
      </c>
      <c r="BD72" s="398">
        <f t="shared" ca="1" si="47"/>
        <v>2</v>
      </c>
      <c r="BE72" s="400">
        <f t="shared" si="48"/>
        <v>1</v>
      </c>
      <c r="BF72" s="400">
        <f t="shared" si="49"/>
        <v>2675</v>
      </c>
      <c r="BG72" s="400">
        <f t="shared" ca="1" si="11"/>
        <v>0</v>
      </c>
      <c r="BH72" s="398">
        <f t="shared" ca="1" si="50"/>
        <v>260610</v>
      </c>
      <c r="BI72" s="401" t="str">
        <f t="shared" ca="1" si="51"/>
        <v/>
      </c>
      <c r="BJ72" s="398">
        <f t="shared" ca="1" si="52"/>
        <v>1280</v>
      </c>
      <c r="BK72" s="400">
        <f ca="1">IF(MAX(IF($D$6="No",ROUNDUP($D$3/$I72,0),ROUNDUP(($D$3+$I72)/$I72,0)),IF($D$6="No",ROUNDUP($D$4/$G72,0),ROUNDUP(($D$4+$G72)/$G72,0)),ROUNDUP('BVMS checklist'!$H$217/$J72,0))&gt;1,'BVMS checklist'!$L$224,'BVMS checklist'!$L$217)+MAX(IF($D$6="No",ROUNDUP($D$3/$I72,0),ROUNDUP(($D$3+$I72)/$I72,0)),IF($D$6="No",ROUNDUP($D$4/$G72,0),ROUNDUP(($D$4+$G72)/$G72,0)))+$D$5</f>
        <v>1</v>
      </c>
      <c r="BL72" s="400" t="b">
        <f t="shared" ca="1" si="12"/>
        <v>1</v>
      </c>
      <c r="BM72" s="400" t="str">
        <f t="shared" ca="1" si="53"/>
        <v>Accepted</v>
      </c>
      <c r="BN72" s="398" t="str">
        <f t="shared" ca="1" si="13"/>
        <v>No</v>
      </c>
      <c r="BO72" s="398" t="str">
        <f t="shared" ca="1" si="54"/>
        <v/>
      </c>
      <c r="BP72" s="398" t="str">
        <f t="shared" ca="1" si="55"/>
        <v/>
      </c>
      <c r="BQ72" s="398">
        <f t="shared" ca="1" si="56"/>
        <v>6</v>
      </c>
      <c r="BR72" s="398">
        <f t="shared" ca="1" si="57"/>
        <v>2</v>
      </c>
      <c r="BS72" s="398">
        <f t="shared" ca="1" si="58"/>
        <v>320</v>
      </c>
      <c r="BT72" s="398">
        <f t="shared" ca="1" si="59"/>
        <v>260610</v>
      </c>
      <c r="BU72" s="399">
        <f t="shared" si="544"/>
        <v>0</v>
      </c>
      <c r="BV72" s="399">
        <f t="shared" si="545"/>
        <v>0</v>
      </c>
      <c r="BW72" s="483" t="str">
        <f t="shared" ca="1" si="60"/>
        <v/>
      </c>
      <c r="BX72" s="400">
        <f ca="1">IF(MAX(IF($E$6="No",ROUNDUP($E$3/$I72,0),ROUNDUP(($E$3+$I72)/$I72,0)),IF($E$6="No",ROUNDUP($E$4/$G72,0),ROUNDUP(($E$4+$G72)/$G72,0)),ROUNDUP('BVMS checklist'!$H$217/$J72,0))&gt;1,'BVMS checklist'!$N$224,'BVMS checklist'!$N$217)</f>
        <v>0</v>
      </c>
      <c r="BY72" s="398">
        <f t="shared" ca="1" si="61"/>
        <v>2</v>
      </c>
      <c r="BZ72" s="400">
        <f t="shared" ca="1" si="62"/>
        <v>2</v>
      </c>
      <c r="CA72" s="400">
        <f t="shared" ca="1" si="63"/>
        <v>5350</v>
      </c>
      <c r="CB72" s="400">
        <f t="shared" ca="1" si="16"/>
        <v>0</v>
      </c>
      <c r="CC72" s="398">
        <f t="shared" ca="1" si="64"/>
        <v>260610</v>
      </c>
      <c r="CD72" s="401" t="str">
        <f t="shared" ca="1" si="65"/>
        <v/>
      </c>
      <c r="CE72" s="398">
        <f t="shared" ca="1" si="66"/>
        <v>1280</v>
      </c>
      <c r="CF72" s="400">
        <f ca="1">IF(MAX(IF($E$6="No",ROUNDUP($E$3/$I72,0),ROUNDUP(($E$3+$I72)/$I72,0)),IF($E$6="No",ROUNDUP($E$4/$G72,0),ROUNDUP(($E$4+$G72)/$G72,0)),ROUNDUP('BVMS checklist'!$H$217/$J72,0))&gt;1,'BVMS checklist'!$N$224,'BVMS checklist'!$N$217)+MAX(IF($E$6="No",ROUNDUP($E$3/$I72,0),ROUNDUP(($E$3+$I72)/$I72,0)),IF($E$6="No",ROUNDUP($E$4/$G72,0),ROUNDUP(($E$4+$G72)/$G72,0)))+$E$5</f>
        <v>1</v>
      </c>
      <c r="CG72" s="400" t="b">
        <f t="shared" ca="1" si="17"/>
        <v>1</v>
      </c>
      <c r="CH72" s="400" t="str">
        <f t="shared" ca="1" si="67"/>
        <v>Accepted</v>
      </c>
      <c r="CI72" s="398" t="str">
        <f t="shared" ca="1" si="68"/>
        <v>No</v>
      </c>
      <c r="CJ72" s="398" t="str">
        <f t="shared" ca="1" si="69"/>
        <v/>
      </c>
      <c r="CK72" s="398" t="str">
        <f t="shared" ca="1" si="70"/>
        <v/>
      </c>
      <c r="CL72" s="398">
        <f t="shared" ca="1" si="71"/>
        <v>6</v>
      </c>
      <c r="CM72" s="398">
        <f t="shared" ca="1" si="72"/>
        <v>2</v>
      </c>
      <c r="CN72" s="398">
        <f t="shared" ca="1" si="73"/>
        <v>320</v>
      </c>
      <c r="CO72" s="398">
        <f t="shared" ca="1" si="74"/>
        <v>260610</v>
      </c>
      <c r="CP72" s="399">
        <f t="shared" si="546"/>
        <v>0</v>
      </c>
      <c r="CQ72" s="399">
        <f t="shared" si="547"/>
        <v>0</v>
      </c>
      <c r="CR72" s="483" t="str">
        <f t="shared" ca="1" si="75"/>
        <v/>
      </c>
      <c r="CS72"/>
    </row>
    <row r="73" spans="1:97">
      <c r="A73" s="398" t="s">
        <v>331</v>
      </c>
      <c r="B73" s="398" t="s">
        <v>987</v>
      </c>
      <c r="C73" s="440" t="s">
        <v>891</v>
      </c>
      <c r="D73" s="398">
        <v>2</v>
      </c>
      <c r="E73" s="398"/>
      <c r="F73" s="440">
        <v>0</v>
      </c>
      <c r="G73" s="398">
        <f>IF(C73="RAID5",(((7-F73)*3723))+(1*(((15-F73)*3723))),(((6-F73)*3723))+(1*(((15-F73)*3723))))</f>
        <v>81906</v>
      </c>
      <c r="H73" s="399">
        <v>96</v>
      </c>
      <c r="I73" s="399">
        <v>1025</v>
      </c>
      <c r="J73" s="399">
        <v>256</v>
      </c>
      <c r="K73" s="399"/>
      <c r="L73" s="399"/>
      <c r="M73" s="400">
        <f ca="1">IF(MAX(IF($B$6="No",ROUNDUP($B$3/$I73,0),ROUNDUP(($B$3+$I73)/$I73,0)),IF($B$6="No",ROUNDUP($B$4/$G73,0),ROUNDUP(($B$4+$G73)/$G73,0)),ROUNDUP('BVMS checklist'!$H$217/$J73,0))&gt;1,'BVMS checklist'!$H$224,'BVMS checklist'!$H$217)</f>
        <v>0</v>
      </c>
      <c r="N73" s="398">
        <f t="shared" ca="1" si="20"/>
        <v>2</v>
      </c>
      <c r="O73" s="400">
        <f t="shared" ca="1" si="21"/>
        <v>2</v>
      </c>
      <c r="P73" s="400">
        <f t="shared" ca="1" si="0"/>
        <v>2050</v>
      </c>
      <c r="Q73" s="400">
        <f t="shared" ca="1" si="1"/>
        <v>0</v>
      </c>
      <c r="R73" s="398">
        <f t="shared" ca="1" si="2"/>
        <v>163812</v>
      </c>
      <c r="S73" s="401" t="str">
        <f t="shared" ca="1" si="22"/>
        <v/>
      </c>
      <c r="T73" s="398">
        <f t="shared" ca="1" si="23"/>
        <v>512</v>
      </c>
      <c r="U73" s="400">
        <f ca="1">IF(MAX(IF($B$6="No",ROUNDUP($B$3/$I73,0),ROUNDUP(($B$3+$I73)/$I73,0)),IF($B$6="No",ROUNDUP($B$4/$G73,0),ROUNDUP(($B$4+$G73)/$G73,0)),ROUNDUP('BVMS checklist'!$H$217/$J73,0))&gt;1,'BVMS checklist'!$H$224,'BVMS checklist'!$H$217)+MAX(IF($B$6="No",ROUNDUP($B$3/$I73,0),ROUNDUP(($B$3+$I73)/$I73,0)),IF($B$6="No",ROUNDUP($B$4/$G73,0),ROUNDUP(($B$4+$G73)/$G73,0)))+$B$5</f>
        <v>1</v>
      </c>
      <c r="V73" s="400" t="b">
        <f t="shared" ca="1" si="3"/>
        <v>1</v>
      </c>
      <c r="W73" s="400" t="str">
        <f t="shared" ca="1" si="24"/>
        <v>Accepted</v>
      </c>
      <c r="X73" s="398" t="str">
        <f t="shared" ca="1" si="25"/>
        <v>No</v>
      </c>
      <c r="Y73" s="398" t="str">
        <f t="shared" ca="1" si="26"/>
        <v/>
      </c>
      <c r="Z73" s="398" t="str">
        <f t="shared" ca="1" si="27"/>
        <v/>
      </c>
      <c r="AA73" s="398">
        <f t="shared" ca="1" si="28"/>
        <v>6</v>
      </c>
      <c r="AB73" s="398">
        <f t="shared" ca="1" si="4"/>
        <v>2</v>
      </c>
      <c r="AC73" s="398">
        <f t="shared" ca="1" si="5"/>
        <v>192</v>
      </c>
      <c r="AD73" s="398">
        <f t="shared" ca="1" si="29"/>
        <v>163812</v>
      </c>
      <c r="AE73" s="399">
        <f t="shared" si="540"/>
        <v>0</v>
      </c>
      <c r="AF73" s="399">
        <f t="shared" si="541"/>
        <v>0</v>
      </c>
      <c r="AG73" s="483" t="str">
        <f t="shared" ca="1" si="30"/>
        <v/>
      </c>
      <c r="AH73" s="400">
        <f ca="1">IF(MAX(IF($C$6="No",ROUNDUP($C$3/$I73,0),ROUNDUP(($C$3+$I73)/$I73,0)),IF($C$6="No",ROUNDUP($C$4/$G73,0),ROUNDUP(($C$4+$G73)/$G73,0)),ROUNDUP('BVMS checklist'!$H$217/$J73,0))&gt;1,'BVMS checklist'!$J$224,'BVMS checklist'!$J$217)</f>
        <v>0</v>
      </c>
      <c r="AI73" s="398">
        <f t="shared" ca="1" si="31"/>
        <v>2</v>
      </c>
      <c r="AJ73" s="400">
        <f t="shared" ca="1" si="32"/>
        <v>2</v>
      </c>
      <c r="AK73" s="400">
        <f t="shared" ca="1" si="33"/>
        <v>2050</v>
      </c>
      <c r="AL73" s="400">
        <f t="shared" ca="1" si="34"/>
        <v>0</v>
      </c>
      <c r="AM73" s="398">
        <f t="shared" ca="1" si="35"/>
        <v>163812</v>
      </c>
      <c r="AN73" s="401" t="str">
        <f t="shared" ca="1" si="36"/>
        <v/>
      </c>
      <c r="AO73" s="398">
        <f t="shared" ca="1" si="37"/>
        <v>512</v>
      </c>
      <c r="AP73" s="400">
        <f ca="1">IF(MAX(IF($C$6="No",ROUNDUP($C$3/$I73,0),ROUNDUP(($C$3+$I73)/$I73,0)),IF($C$6="No",ROUNDUP($C$4/$G73,0),ROUNDUP(($C$4+$G73)/$G73,0)),ROUNDUP('BVMS checklist'!$H$217/$J73,0))&gt;1,'BVMS checklist'!$J$224,'BVMS checklist'!$J$217)+MAX(IF($C$6="No",ROUNDUP($C$3/$I73,0),ROUNDUP(($C$3+$I73)/$I73,0)),IF($C$6="No",ROUNDUP($C$4/$G73,0),ROUNDUP(($C$4+$G73)/$G73,0)))+$C$5</f>
        <v>1</v>
      </c>
      <c r="AQ73" s="400" t="b">
        <f t="shared" ca="1" si="8"/>
        <v>1</v>
      </c>
      <c r="AR73" s="400" t="str">
        <f t="shared" ca="1" si="38"/>
        <v>Accepted</v>
      </c>
      <c r="AS73" s="398" t="str">
        <f t="shared" ca="1" si="39"/>
        <v>No</v>
      </c>
      <c r="AT73" s="398" t="str">
        <f t="shared" ca="1" si="40"/>
        <v/>
      </c>
      <c r="AU73" s="398" t="str">
        <f t="shared" ca="1" si="41"/>
        <v/>
      </c>
      <c r="AV73" s="398">
        <f t="shared" ca="1" si="42"/>
        <v>6</v>
      </c>
      <c r="AW73" s="398">
        <f t="shared" ca="1" si="43"/>
        <v>2</v>
      </c>
      <c r="AX73" s="398">
        <f t="shared" ca="1" si="44"/>
        <v>192</v>
      </c>
      <c r="AY73" s="398">
        <f t="shared" ca="1" si="45"/>
        <v>163812</v>
      </c>
      <c r="AZ73" s="399">
        <f t="shared" si="542"/>
        <v>0</v>
      </c>
      <c r="BA73" s="399">
        <f t="shared" si="543"/>
        <v>0</v>
      </c>
      <c r="BB73" s="483" t="str">
        <f t="shared" ca="1" si="46"/>
        <v/>
      </c>
      <c r="BC73" s="400">
        <f ca="1">IF(MAX(IF($D$6="No",ROUNDUP($D$3/$I73,0),ROUNDUP(($D$3+$I73)/$I73,0)),IF($D$6="No",ROUNDUP($D$4/$G73,0),ROUNDUP(($D$4+$G73)/$G73,0)),ROUNDUP('BVMS checklist'!$H$217/$J73,0))&gt;1,'BVMS checklist'!$L$224,'BVMS checklist'!$L$217)</f>
        <v>0</v>
      </c>
      <c r="BD73" s="398">
        <f t="shared" ca="1" si="47"/>
        <v>2</v>
      </c>
      <c r="BE73" s="400">
        <f t="shared" si="48"/>
        <v>1</v>
      </c>
      <c r="BF73" s="400">
        <f t="shared" si="49"/>
        <v>1025</v>
      </c>
      <c r="BG73" s="400">
        <f t="shared" ca="1" si="11"/>
        <v>0</v>
      </c>
      <c r="BH73" s="398">
        <f t="shared" ca="1" si="50"/>
        <v>163812</v>
      </c>
      <c r="BI73" s="401" t="str">
        <f t="shared" ca="1" si="51"/>
        <v/>
      </c>
      <c r="BJ73" s="398">
        <f t="shared" ca="1" si="52"/>
        <v>512</v>
      </c>
      <c r="BK73" s="400">
        <f ca="1">IF(MAX(IF($D$6="No",ROUNDUP($D$3/$I73,0),ROUNDUP(($D$3+$I73)/$I73,0)),IF($D$6="No",ROUNDUP($D$4/$G73,0),ROUNDUP(($D$4+$G73)/$G73,0)),ROUNDUP('BVMS checklist'!$H$217/$J73,0))&gt;1,'BVMS checklist'!$L$224,'BVMS checklist'!$L$217)+MAX(IF($D$6="No",ROUNDUP($D$3/$I73,0),ROUNDUP(($D$3+$I73)/$I73,0)),IF($D$6="No",ROUNDUP($D$4/$G73,0),ROUNDUP(($D$4+$G73)/$G73,0)))+$D$5</f>
        <v>1</v>
      </c>
      <c r="BL73" s="400" t="b">
        <f t="shared" ca="1" si="12"/>
        <v>1</v>
      </c>
      <c r="BM73" s="400" t="str">
        <f t="shared" ca="1" si="53"/>
        <v>Accepted</v>
      </c>
      <c r="BN73" s="398" t="str">
        <f t="shared" ca="1" si="13"/>
        <v>No</v>
      </c>
      <c r="BO73" s="398" t="str">
        <f t="shared" ca="1" si="54"/>
        <v/>
      </c>
      <c r="BP73" s="398" t="str">
        <f t="shared" ca="1" si="55"/>
        <v/>
      </c>
      <c r="BQ73" s="398">
        <f t="shared" ca="1" si="56"/>
        <v>6</v>
      </c>
      <c r="BR73" s="398">
        <f t="shared" ca="1" si="57"/>
        <v>2</v>
      </c>
      <c r="BS73" s="398">
        <f t="shared" ca="1" si="58"/>
        <v>192</v>
      </c>
      <c r="BT73" s="398">
        <f t="shared" ca="1" si="59"/>
        <v>163812</v>
      </c>
      <c r="BU73" s="399">
        <f t="shared" si="544"/>
        <v>0</v>
      </c>
      <c r="BV73" s="399">
        <f t="shared" si="545"/>
        <v>0</v>
      </c>
      <c r="BW73" s="483" t="str">
        <f t="shared" ca="1" si="60"/>
        <v/>
      </c>
      <c r="BX73" s="400">
        <f ca="1">IF(MAX(IF($E$6="No",ROUNDUP($E$3/$I73,0),ROUNDUP(($E$3+$I73)/$I73,0)),IF($E$6="No",ROUNDUP($E$4/$G73,0),ROUNDUP(($E$4+$G73)/$G73,0)),ROUNDUP('BVMS checklist'!$H$217/$J73,0))&gt;1,'BVMS checklist'!$N$224,'BVMS checklist'!$N$217)</f>
        <v>0</v>
      </c>
      <c r="BY73" s="398">
        <f t="shared" ca="1" si="61"/>
        <v>2</v>
      </c>
      <c r="BZ73" s="400">
        <f t="shared" ca="1" si="62"/>
        <v>2</v>
      </c>
      <c r="CA73" s="400">
        <f t="shared" ca="1" si="63"/>
        <v>2050</v>
      </c>
      <c r="CB73" s="400">
        <f t="shared" ca="1" si="16"/>
        <v>0</v>
      </c>
      <c r="CC73" s="398">
        <f t="shared" ca="1" si="64"/>
        <v>163812</v>
      </c>
      <c r="CD73" s="401" t="str">
        <f t="shared" ca="1" si="65"/>
        <v/>
      </c>
      <c r="CE73" s="398">
        <f t="shared" ca="1" si="66"/>
        <v>512</v>
      </c>
      <c r="CF73" s="400">
        <f ca="1">IF(MAX(IF($E$6="No",ROUNDUP($E$3/$I73,0),ROUNDUP(($E$3+$I73)/$I73,0)),IF($E$6="No",ROUNDUP($E$4/$G73,0),ROUNDUP(($E$4+$G73)/$G73,0)),ROUNDUP('BVMS checklist'!$H$217/$J73,0))&gt;1,'BVMS checklist'!$N$224,'BVMS checklist'!$N$217)+MAX(IF($E$6="No",ROUNDUP($E$3/$I73,0),ROUNDUP(($E$3+$I73)/$I73,0)),IF($E$6="No",ROUNDUP($E$4/$G73,0),ROUNDUP(($E$4+$G73)/$G73,0)))+$E$5</f>
        <v>1</v>
      </c>
      <c r="CG73" s="400" t="b">
        <f t="shared" ca="1" si="17"/>
        <v>1</v>
      </c>
      <c r="CH73" s="400" t="str">
        <f t="shared" ca="1" si="67"/>
        <v>Accepted</v>
      </c>
      <c r="CI73" s="398" t="str">
        <f t="shared" ca="1" si="68"/>
        <v>No</v>
      </c>
      <c r="CJ73" s="398" t="str">
        <f t="shared" ca="1" si="69"/>
        <v/>
      </c>
      <c r="CK73" s="398" t="str">
        <f t="shared" ca="1" si="70"/>
        <v/>
      </c>
      <c r="CL73" s="398">
        <f t="shared" ca="1" si="71"/>
        <v>6</v>
      </c>
      <c r="CM73" s="398">
        <f t="shared" ca="1" si="72"/>
        <v>2</v>
      </c>
      <c r="CN73" s="398">
        <f t="shared" ca="1" si="73"/>
        <v>192</v>
      </c>
      <c r="CO73" s="398">
        <f t="shared" ca="1" si="74"/>
        <v>163812</v>
      </c>
      <c r="CP73" s="399">
        <f t="shared" si="546"/>
        <v>0</v>
      </c>
      <c r="CQ73" s="399">
        <f t="shared" si="547"/>
        <v>0</v>
      </c>
      <c r="CR73" s="483" t="str">
        <f t="shared" ca="1" si="75"/>
        <v/>
      </c>
      <c r="CS73"/>
    </row>
    <row r="74" spans="1:97">
      <c r="A74" s="398" t="s">
        <v>332</v>
      </c>
      <c r="B74" s="398" t="s">
        <v>987</v>
      </c>
      <c r="C74" s="440" t="s">
        <v>891</v>
      </c>
      <c r="D74" s="398">
        <v>3</v>
      </c>
      <c r="E74" s="398"/>
      <c r="F74" s="440">
        <v>0</v>
      </c>
      <c r="G74" s="398">
        <f>IF(C74="RAID5",(((7-F74)*3723))+(2*(((15-F74)*3723))),(((6-F74)*3723))+(2*(((15-F74)*3723))))</f>
        <v>137751</v>
      </c>
      <c r="H74" s="399">
        <v>160</v>
      </c>
      <c r="I74" s="399">
        <v>1575</v>
      </c>
      <c r="J74" s="399">
        <v>384</v>
      </c>
      <c r="K74" s="399"/>
      <c r="L74" s="399"/>
      <c r="M74" s="400">
        <f ca="1">IF(MAX(IF($B$6="No",ROUNDUP($B$3/$I74,0),ROUNDUP(($B$3+$I74)/$I74,0)),IF($B$6="No",ROUNDUP($B$4/$G74,0),ROUNDUP(($B$4+$G74)/$G74,0)),ROUNDUP('BVMS checklist'!$H$217/$J74,0))&gt;1,'BVMS checklist'!$H$224,'BVMS checklist'!$H$217)</f>
        <v>0</v>
      </c>
      <c r="N74" s="398">
        <f t="shared" ca="1" si="20"/>
        <v>2</v>
      </c>
      <c r="O74" s="400">
        <f t="shared" ca="1" si="21"/>
        <v>2</v>
      </c>
      <c r="P74" s="400">
        <f t="shared" ca="1" si="0"/>
        <v>3150</v>
      </c>
      <c r="Q74" s="400">
        <f t="shared" ca="1" si="1"/>
        <v>0</v>
      </c>
      <c r="R74" s="398">
        <f t="shared" ca="1" si="2"/>
        <v>275502</v>
      </c>
      <c r="S74" s="401" t="str">
        <f t="shared" ca="1" si="22"/>
        <v/>
      </c>
      <c r="T74" s="398">
        <f t="shared" ca="1" si="23"/>
        <v>768</v>
      </c>
      <c r="U74" s="400">
        <f ca="1">IF(MAX(IF($B$6="No",ROUNDUP($B$3/$I74,0),ROUNDUP(($B$3+$I74)/$I74,0)),IF($B$6="No",ROUNDUP($B$4/$G74,0),ROUNDUP(($B$4+$G74)/$G74,0)),ROUNDUP('BVMS checklist'!$H$217/$J74,0))&gt;1,'BVMS checklist'!$H$224,'BVMS checklist'!$H$217)+MAX(IF($B$6="No",ROUNDUP($B$3/$I74,0),ROUNDUP(($B$3+$I74)/$I74,0)),IF($B$6="No",ROUNDUP($B$4/$G74,0),ROUNDUP(($B$4+$G74)/$G74,0)))+$B$5</f>
        <v>1</v>
      </c>
      <c r="V74" s="400" t="b">
        <f t="shared" ca="1" si="3"/>
        <v>1</v>
      </c>
      <c r="W74" s="400" t="str">
        <f t="shared" ca="1" si="24"/>
        <v>Accepted</v>
      </c>
      <c r="X74" s="398" t="str">
        <f t="shared" ca="1" si="25"/>
        <v>No</v>
      </c>
      <c r="Y74" s="398" t="str">
        <f t="shared" ca="1" si="26"/>
        <v/>
      </c>
      <c r="Z74" s="398" t="str">
        <f t="shared" ca="1" si="27"/>
        <v/>
      </c>
      <c r="AA74" s="398">
        <f t="shared" ca="1" si="28"/>
        <v>6</v>
      </c>
      <c r="AB74" s="398">
        <f t="shared" ca="1" si="4"/>
        <v>2</v>
      </c>
      <c r="AC74" s="398">
        <f t="shared" ca="1" si="5"/>
        <v>320</v>
      </c>
      <c r="AD74" s="398">
        <f t="shared" ca="1" si="29"/>
        <v>275502</v>
      </c>
      <c r="AE74" s="399">
        <f t="shared" si="540"/>
        <v>0</v>
      </c>
      <c r="AF74" s="399">
        <f t="shared" si="541"/>
        <v>0</v>
      </c>
      <c r="AG74" s="483" t="str">
        <f t="shared" ca="1" si="30"/>
        <v/>
      </c>
      <c r="AH74" s="400">
        <f ca="1">IF(MAX(IF($C$6="No",ROUNDUP($C$3/$I74,0),ROUNDUP(($C$3+$I74)/$I74,0)),IF($C$6="No",ROUNDUP($C$4/$G74,0),ROUNDUP(($C$4+$G74)/$G74,0)),ROUNDUP('BVMS checklist'!$H$217/$J74,0))&gt;1,'BVMS checklist'!$J$224,'BVMS checklist'!$J$217)</f>
        <v>0</v>
      </c>
      <c r="AI74" s="398">
        <f t="shared" ca="1" si="31"/>
        <v>2</v>
      </c>
      <c r="AJ74" s="400">
        <f t="shared" ca="1" si="32"/>
        <v>2</v>
      </c>
      <c r="AK74" s="400">
        <f t="shared" ca="1" si="33"/>
        <v>3150</v>
      </c>
      <c r="AL74" s="400">
        <f t="shared" ca="1" si="34"/>
        <v>0</v>
      </c>
      <c r="AM74" s="398">
        <f t="shared" ca="1" si="35"/>
        <v>275502</v>
      </c>
      <c r="AN74" s="401" t="str">
        <f t="shared" ca="1" si="36"/>
        <v/>
      </c>
      <c r="AO74" s="398">
        <f t="shared" ca="1" si="37"/>
        <v>768</v>
      </c>
      <c r="AP74" s="400">
        <f ca="1">IF(MAX(IF($C$6="No",ROUNDUP($C$3/$I74,0),ROUNDUP(($C$3+$I74)/$I74,0)),IF($C$6="No",ROUNDUP($C$4/$G74,0),ROUNDUP(($C$4+$G74)/$G74,0)),ROUNDUP('BVMS checklist'!$H$217/$J74,0))&gt;1,'BVMS checklist'!$J$224,'BVMS checklist'!$J$217)+MAX(IF($C$6="No",ROUNDUP($C$3/$I74,0),ROUNDUP(($C$3+$I74)/$I74,0)),IF($C$6="No",ROUNDUP($C$4/$G74,0),ROUNDUP(($C$4+$G74)/$G74,0)))+$C$5</f>
        <v>1</v>
      </c>
      <c r="AQ74" s="400" t="b">
        <f t="shared" ca="1" si="8"/>
        <v>1</v>
      </c>
      <c r="AR74" s="400" t="str">
        <f t="shared" ca="1" si="38"/>
        <v>Accepted</v>
      </c>
      <c r="AS74" s="398" t="str">
        <f t="shared" ca="1" si="39"/>
        <v>No</v>
      </c>
      <c r="AT74" s="398" t="str">
        <f t="shared" ca="1" si="40"/>
        <v/>
      </c>
      <c r="AU74" s="398" t="str">
        <f t="shared" ca="1" si="41"/>
        <v/>
      </c>
      <c r="AV74" s="398">
        <f t="shared" ca="1" si="42"/>
        <v>6</v>
      </c>
      <c r="AW74" s="398">
        <f t="shared" ca="1" si="43"/>
        <v>2</v>
      </c>
      <c r="AX74" s="398">
        <f t="shared" ca="1" si="44"/>
        <v>320</v>
      </c>
      <c r="AY74" s="398">
        <f t="shared" ca="1" si="45"/>
        <v>275502</v>
      </c>
      <c r="AZ74" s="399">
        <f t="shared" si="542"/>
        <v>0</v>
      </c>
      <c r="BA74" s="399">
        <f t="shared" si="543"/>
        <v>0</v>
      </c>
      <c r="BB74" s="483" t="str">
        <f t="shared" ca="1" si="46"/>
        <v/>
      </c>
      <c r="BC74" s="400">
        <f ca="1">IF(MAX(IF($D$6="No",ROUNDUP($D$3/$I74,0),ROUNDUP(($D$3+$I74)/$I74,0)),IF($D$6="No",ROUNDUP($D$4/$G74,0),ROUNDUP(($D$4+$G74)/$G74,0)),ROUNDUP('BVMS checklist'!$H$217/$J74,0))&gt;1,'BVMS checklist'!$L$224,'BVMS checklist'!$L$217)</f>
        <v>0</v>
      </c>
      <c r="BD74" s="398">
        <f t="shared" ca="1" si="47"/>
        <v>2</v>
      </c>
      <c r="BE74" s="400">
        <f t="shared" si="48"/>
        <v>1</v>
      </c>
      <c r="BF74" s="400">
        <f t="shared" si="49"/>
        <v>1575</v>
      </c>
      <c r="BG74" s="400">
        <f t="shared" ca="1" si="11"/>
        <v>0</v>
      </c>
      <c r="BH74" s="398">
        <f t="shared" ca="1" si="50"/>
        <v>275502</v>
      </c>
      <c r="BI74" s="401" t="str">
        <f t="shared" ca="1" si="51"/>
        <v/>
      </c>
      <c r="BJ74" s="398">
        <f t="shared" ca="1" si="52"/>
        <v>768</v>
      </c>
      <c r="BK74" s="400">
        <f ca="1">IF(MAX(IF($D$6="No",ROUNDUP($D$3/$I74,0),ROUNDUP(($D$3+$I74)/$I74,0)),IF($D$6="No",ROUNDUP($D$4/$G74,0),ROUNDUP(($D$4+$G74)/$G74,0)),ROUNDUP('BVMS checklist'!$H$217/$J74,0))&gt;1,'BVMS checklist'!$L$224,'BVMS checklist'!$L$217)+MAX(IF($D$6="No",ROUNDUP($D$3/$I74,0),ROUNDUP(($D$3+$I74)/$I74,0)),IF($D$6="No",ROUNDUP($D$4/$G74,0),ROUNDUP(($D$4+$G74)/$G74,0)))+$D$5</f>
        <v>1</v>
      </c>
      <c r="BL74" s="400" t="b">
        <f t="shared" ca="1" si="12"/>
        <v>1</v>
      </c>
      <c r="BM74" s="400" t="str">
        <f t="shared" ca="1" si="53"/>
        <v>Accepted</v>
      </c>
      <c r="BN74" s="398" t="str">
        <f t="shared" ca="1" si="13"/>
        <v>No</v>
      </c>
      <c r="BO74" s="398" t="str">
        <f t="shared" ca="1" si="54"/>
        <v/>
      </c>
      <c r="BP74" s="398" t="str">
        <f t="shared" ca="1" si="55"/>
        <v/>
      </c>
      <c r="BQ74" s="398">
        <f t="shared" ca="1" si="56"/>
        <v>6</v>
      </c>
      <c r="BR74" s="398">
        <f t="shared" ca="1" si="57"/>
        <v>2</v>
      </c>
      <c r="BS74" s="398">
        <f t="shared" ca="1" si="58"/>
        <v>320</v>
      </c>
      <c r="BT74" s="398">
        <f t="shared" ca="1" si="59"/>
        <v>275502</v>
      </c>
      <c r="BU74" s="399">
        <f t="shared" si="544"/>
        <v>0</v>
      </c>
      <c r="BV74" s="399">
        <f t="shared" si="545"/>
        <v>0</v>
      </c>
      <c r="BW74" s="483" t="str">
        <f t="shared" ca="1" si="60"/>
        <v/>
      </c>
      <c r="BX74" s="400">
        <f ca="1">IF(MAX(IF($E$6="No",ROUNDUP($E$3/$I74,0),ROUNDUP(($E$3+$I74)/$I74,0)),IF($E$6="No",ROUNDUP($E$4/$G74,0),ROUNDUP(($E$4+$G74)/$G74,0)),ROUNDUP('BVMS checklist'!$H$217/$J74,0))&gt;1,'BVMS checklist'!$N$224,'BVMS checklist'!$N$217)</f>
        <v>0</v>
      </c>
      <c r="BY74" s="398">
        <f t="shared" ca="1" si="61"/>
        <v>2</v>
      </c>
      <c r="BZ74" s="400">
        <f t="shared" ca="1" si="62"/>
        <v>2</v>
      </c>
      <c r="CA74" s="400">
        <f t="shared" ca="1" si="63"/>
        <v>3150</v>
      </c>
      <c r="CB74" s="400">
        <f t="shared" ca="1" si="16"/>
        <v>0</v>
      </c>
      <c r="CC74" s="398">
        <f t="shared" ca="1" si="64"/>
        <v>275502</v>
      </c>
      <c r="CD74" s="401" t="str">
        <f t="shared" ca="1" si="65"/>
        <v/>
      </c>
      <c r="CE74" s="398">
        <f t="shared" ca="1" si="66"/>
        <v>768</v>
      </c>
      <c r="CF74" s="400">
        <f ca="1">IF(MAX(IF($E$6="No",ROUNDUP($E$3/$I74,0),ROUNDUP(($E$3+$I74)/$I74,0)),IF($E$6="No",ROUNDUP($E$4/$G74,0),ROUNDUP(($E$4+$G74)/$G74,0)),ROUNDUP('BVMS checklist'!$H$217/$J74,0))&gt;1,'BVMS checklist'!$N$224,'BVMS checklist'!$N$217)+MAX(IF($E$6="No",ROUNDUP($E$3/$I74,0),ROUNDUP(($E$3+$I74)/$I74,0)),IF($E$6="No",ROUNDUP($E$4/$G74,0),ROUNDUP(($E$4+$G74)/$G74,0)))+$E$5</f>
        <v>1</v>
      </c>
      <c r="CG74" s="400" t="b">
        <f t="shared" ca="1" si="17"/>
        <v>1</v>
      </c>
      <c r="CH74" s="400" t="str">
        <f t="shared" ca="1" si="67"/>
        <v>Accepted</v>
      </c>
      <c r="CI74" s="398" t="str">
        <f t="shared" ca="1" si="68"/>
        <v>No</v>
      </c>
      <c r="CJ74" s="398" t="str">
        <f t="shared" ca="1" si="69"/>
        <v/>
      </c>
      <c r="CK74" s="398" t="str">
        <f t="shared" ca="1" si="70"/>
        <v/>
      </c>
      <c r="CL74" s="398">
        <f t="shared" ca="1" si="71"/>
        <v>6</v>
      </c>
      <c r="CM74" s="398">
        <f t="shared" ca="1" si="72"/>
        <v>2</v>
      </c>
      <c r="CN74" s="398">
        <f t="shared" ca="1" si="73"/>
        <v>320</v>
      </c>
      <c r="CO74" s="398">
        <f t="shared" ca="1" si="74"/>
        <v>275502</v>
      </c>
      <c r="CP74" s="399">
        <f t="shared" si="546"/>
        <v>0</v>
      </c>
      <c r="CQ74" s="399">
        <f t="shared" si="547"/>
        <v>0</v>
      </c>
      <c r="CR74" s="483" t="str">
        <f t="shared" ca="1" si="75"/>
        <v/>
      </c>
      <c r="CS74"/>
    </row>
    <row r="75" spans="1:97">
      <c r="A75" s="398" t="s">
        <v>333</v>
      </c>
      <c r="B75" s="398" t="s">
        <v>987</v>
      </c>
      <c r="C75" s="440" t="s">
        <v>891</v>
      </c>
      <c r="D75" s="398">
        <v>4</v>
      </c>
      <c r="E75" s="398"/>
      <c r="F75" s="440">
        <v>0</v>
      </c>
      <c r="G75" s="398">
        <f>IF(C75="RAID5",(((7-F75)*3723))+(3*(((15-F75)*3723))),(((6-F75)*3723))+(3*(((15-F75)*3723))))</f>
        <v>193596</v>
      </c>
      <c r="H75" s="399">
        <v>224</v>
      </c>
      <c r="I75" s="399">
        <v>2125</v>
      </c>
      <c r="J75" s="399">
        <v>512</v>
      </c>
      <c r="K75" s="399"/>
      <c r="L75" s="399"/>
      <c r="M75" s="400">
        <f ca="1">IF(MAX(IF($B$6="No",ROUNDUP($B$3/$I75,0),ROUNDUP(($B$3+$I75)/$I75,0)),IF($B$6="No",ROUNDUP($B$4/$G75,0),ROUNDUP(($B$4+$G75)/$G75,0)),ROUNDUP('BVMS checklist'!$H$217/$J75,0))&gt;1,'BVMS checklist'!$H$224,'BVMS checklist'!$H$217)</f>
        <v>0</v>
      </c>
      <c r="N75" s="398">
        <f t="shared" ca="1" si="20"/>
        <v>2</v>
      </c>
      <c r="O75" s="400">
        <f t="shared" ca="1" si="21"/>
        <v>2</v>
      </c>
      <c r="P75" s="400">
        <f t="shared" ca="1" si="0"/>
        <v>4250</v>
      </c>
      <c r="Q75" s="400">
        <f t="shared" ca="1" si="1"/>
        <v>0</v>
      </c>
      <c r="R75" s="398">
        <f t="shared" ca="1" si="2"/>
        <v>387192</v>
      </c>
      <c r="S75" s="401" t="str">
        <f t="shared" ca="1" si="22"/>
        <v/>
      </c>
      <c r="T75" s="398">
        <f t="shared" ca="1" si="23"/>
        <v>1024</v>
      </c>
      <c r="U75" s="400">
        <f ca="1">IF(MAX(IF($B$6="No",ROUNDUP($B$3/$I75,0),ROUNDUP(($B$3+$I75)/$I75,0)),IF($B$6="No",ROUNDUP($B$4/$G75,0),ROUNDUP(($B$4+$G75)/$G75,0)),ROUNDUP('BVMS checklist'!$H$217/$J75,0))&gt;1,'BVMS checklist'!$H$224,'BVMS checklist'!$H$217)+MAX(IF($B$6="No",ROUNDUP($B$3/$I75,0),ROUNDUP(($B$3+$I75)/$I75,0)),IF($B$6="No",ROUNDUP($B$4/$G75,0),ROUNDUP(($B$4+$G75)/$G75,0)))+$B$5</f>
        <v>1</v>
      </c>
      <c r="V75" s="400" t="b">
        <f t="shared" ca="1" si="3"/>
        <v>1</v>
      </c>
      <c r="W75" s="400" t="str">
        <f t="shared" ca="1" si="24"/>
        <v>Accepted</v>
      </c>
      <c r="X75" s="398" t="str">
        <f t="shared" ca="1" si="25"/>
        <v>No</v>
      </c>
      <c r="Y75" s="398" t="str">
        <f t="shared" ca="1" si="26"/>
        <v/>
      </c>
      <c r="Z75" s="398" t="str">
        <f t="shared" ca="1" si="27"/>
        <v/>
      </c>
      <c r="AA75" s="398">
        <f t="shared" ca="1" si="28"/>
        <v>6</v>
      </c>
      <c r="AB75" s="398">
        <f t="shared" ca="1" si="4"/>
        <v>2</v>
      </c>
      <c r="AC75" s="398">
        <f t="shared" ca="1" si="5"/>
        <v>448</v>
      </c>
      <c r="AD75" s="398">
        <f t="shared" ca="1" si="29"/>
        <v>387192</v>
      </c>
      <c r="AE75" s="399">
        <f t="shared" si="540"/>
        <v>0</v>
      </c>
      <c r="AF75" s="399">
        <f t="shared" si="541"/>
        <v>0</v>
      </c>
      <c r="AG75" s="483" t="str">
        <f t="shared" ca="1" si="30"/>
        <v/>
      </c>
      <c r="AH75" s="400">
        <f ca="1">IF(MAX(IF($C$6="No",ROUNDUP($C$3/$I75,0),ROUNDUP(($C$3+$I75)/$I75,0)),IF($C$6="No",ROUNDUP($C$4/$G75,0),ROUNDUP(($C$4+$G75)/$G75,0)),ROUNDUP('BVMS checklist'!$H$217/$J75,0))&gt;1,'BVMS checklist'!$J$224,'BVMS checklist'!$J$217)</f>
        <v>0</v>
      </c>
      <c r="AI75" s="398">
        <f t="shared" ca="1" si="31"/>
        <v>2</v>
      </c>
      <c r="AJ75" s="400">
        <f t="shared" ca="1" si="32"/>
        <v>2</v>
      </c>
      <c r="AK75" s="400">
        <f t="shared" ca="1" si="33"/>
        <v>4250</v>
      </c>
      <c r="AL75" s="400">
        <f t="shared" ca="1" si="34"/>
        <v>0</v>
      </c>
      <c r="AM75" s="398">
        <f t="shared" ca="1" si="35"/>
        <v>387192</v>
      </c>
      <c r="AN75" s="401" t="str">
        <f t="shared" ca="1" si="36"/>
        <v/>
      </c>
      <c r="AO75" s="398">
        <f t="shared" ca="1" si="37"/>
        <v>1024</v>
      </c>
      <c r="AP75" s="400">
        <f ca="1">IF(MAX(IF($C$6="No",ROUNDUP($C$3/$I75,0),ROUNDUP(($C$3+$I75)/$I75,0)),IF($C$6="No",ROUNDUP($C$4/$G75,0),ROUNDUP(($C$4+$G75)/$G75,0)),ROUNDUP('BVMS checklist'!$H$217/$J75,0))&gt;1,'BVMS checklist'!$J$224,'BVMS checklist'!$J$217)+MAX(IF($C$6="No",ROUNDUP($C$3/$I75,0),ROUNDUP(($C$3+$I75)/$I75,0)),IF($C$6="No",ROUNDUP($C$4/$G75,0),ROUNDUP(($C$4+$G75)/$G75,0)))+$C$5</f>
        <v>1</v>
      </c>
      <c r="AQ75" s="400" t="b">
        <f t="shared" ca="1" si="8"/>
        <v>1</v>
      </c>
      <c r="AR75" s="400" t="str">
        <f t="shared" ca="1" si="38"/>
        <v>Accepted</v>
      </c>
      <c r="AS75" s="398" t="str">
        <f t="shared" ca="1" si="39"/>
        <v>No</v>
      </c>
      <c r="AT75" s="398" t="str">
        <f t="shared" ca="1" si="40"/>
        <v/>
      </c>
      <c r="AU75" s="398" t="str">
        <f t="shared" ca="1" si="41"/>
        <v/>
      </c>
      <c r="AV75" s="398">
        <f t="shared" ca="1" si="42"/>
        <v>6</v>
      </c>
      <c r="AW75" s="398">
        <f t="shared" ca="1" si="43"/>
        <v>2</v>
      </c>
      <c r="AX75" s="398">
        <f t="shared" ca="1" si="44"/>
        <v>448</v>
      </c>
      <c r="AY75" s="398">
        <f t="shared" ca="1" si="45"/>
        <v>387192</v>
      </c>
      <c r="AZ75" s="399">
        <f t="shared" si="542"/>
        <v>0</v>
      </c>
      <c r="BA75" s="399">
        <f t="shared" si="543"/>
        <v>0</v>
      </c>
      <c r="BB75" s="483" t="str">
        <f t="shared" ca="1" si="46"/>
        <v/>
      </c>
      <c r="BC75" s="400">
        <f ca="1">IF(MAX(IF($D$6="No",ROUNDUP($D$3/$I75,0),ROUNDUP(($D$3+$I75)/$I75,0)),IF($D$6="No",ROUNDUP($D$4/$G75,0),ROUNDUP(($D$4+$G75)/$G75,0)),ROUNDUP('BVMS checklist'!$H$217/$J75,0))&gt;1,'BVMS checklist'!$L$224,'BVMS checklist'!$L$217)</f>
        <v>0</v>
      </c>
      <c r="BD75" s="398">
        <f t="shared" ca="1" si="47"/>
        <v>2</v>
      </c>
      <c r="BE75" s="400">
        <f t="shared" si="48"/>
        <v>1</v>
      </c>
      <c r="BF75" s="400">
        <f t="shared" si="49"/>
        <v>2125</v>
      </c>
      <c r="BG75" s="400">
        <f t="shared" ca="1" si="11"/>
        <v>0</v>
      </c>
      <c r="BH75" s="398">
        <f t="shared" ca="1" si="50"/>
        <v>387192</v>
      </c>
      <c r="BI75" s="401" t="str">
        <f t="shared" ca="1" si="51"/>
        <v/>
      </c>
      <c r="BJ75" s="398">
        <f t="shared" ca="1" si="52"/>
        <v>1024</v>
      </c>
      <c r="BK75" s="400">
        <f ca="1">IF(MAX(IF($D$6="No",ROUNDUP($D$3/$I75,0),ROUNDUP(($D$3+$I75)/$I75,0)),IF($D$6="No",ROUNDUP($D$4/$G75,0),ROUNDUP(($D$4+$G75)/$G75,0)),ROUNDUP('BVMS checklist'!$H$217/$J75,0))&gt;1,'BVMS checklist'!$L$224,'BVMS checklist'!$L$217)+MAX(IF($D$6="No",ROUNDUP($D$3/$I75,0),ROUNDUP(($D$3+$I75)/$I75,0)),IF($D$6="No",ROUNDUP($D$4/$G75,0),ROUNDUP(($D$4+$G75)/$G75,0)))+$D$5</f>
        <v>1</v>
      </c>
      <c r="BL75" s="400" t="b">
        <f t="shared" ca="1" si="12"/>
        <v>1</v>
      </c>
      <c r="BM75" s="400" t="str">
        <f t="shared" ca="1" si="53"/>
        <v>Accepted</v>
      </c>
      <c r="BN75" s="398" t="str">
        <f t="shared" ca="1" si="13"/>
        <v>No</v>
      </c>
      <c r="BO75" s="398" t="str">
        <f t="shared" ca="1" si="54"/>
        <v/>
      </c>
      <c r="BP75" s="398" t="str">
        <f t="shared" ca="1" si="55"/>
        <v/>
      </c>
      <c r="BQ75" s="398">
        <f t="shared" ca="1" si="56"/>
        <v>6</v>
      </c>
      <c r="BR75" s="398">
        <f t="shared" ca="1" si="57"/>
        <v>2</v>
      </c>
      <c r="BS75" s="398">
        <f t="shared" ca="1" si="58"/>
        <v>448</v>
      </c>
      <c r="BT75" s="398">
        <f t="shared" ca="1" si="59"/>
        <v>387192</v>
      </c>
      <c r="BU75" s="399">
        <f t="shared" si="544"/>
        <v>0</v>
      </c>
      <c r="BV75" s="399">
        <f t="shared" si="545"/>
        <v>0</v>
      </c>
      <c r="BW75" s="483" t="str">
        <f t="shared" ca="1" si="60"/>
        <v/>
      </c>
      <c r="BX75" s="400">
        <f ca="1">IF(MAX(IF($E$6="No",ROUNDUP($E$3/$I75,0),ROUNDUP(($E$3+$I75)/$I75,0)),IF($E$6="No",ROUNDUP($E$4/$G75,0),ROUNDUP(($E$4+$G75)/$G75,0)),ROUNDUP('BVMS checklist'!$H$217/$J75,0))&gt;1,'BVMS checklist'!$N$224,'BVMS checklist'!$N$217)</f>
        <v>0</v>
      </c>
      <c r="BY75" s="398">
        <f t="shared" ca="1" si="61"/>
        <v>2</v>
      </c>
      <c r="BZ75" s="400">
        <f t="shared" ca="1" si="62"/>
        <v>2</v>
      </c>
      <c r="CA75" s="400">
        <f t="shared" ca="1" si="63"/>
        <v>4250</v>
      </c>
      <c r="CB75" s="400">
        <f t="shared" ca="1" si="16"/>
        <v>0</v>
      </c>
      <c r="CC75" s="398">
        <f t="shared" ca="1" si="64"/>
        <v>387192</v>
      </c>
      <c r="CD75" s="401" t="str">
        <f t="shared" ca="1" si="65"/>
        <v/>
      </c>
      <c r="CE75" s="398">
        <f t="shared" ca="1" si="66"/>
        <v>1024</v>
      </c>
      <c r="CF75" s="400">
        <f ca="1">IF(MAX(IF($E$6="No",ROUNDUP($E$3/$I75,0),ROUNDUP(($E$3+$I75)/$I75,0)),IF($E$6="No",ROUNDUP($E$4/$G75,0),ROUNDUP(($E$4+$G75)/$G75,0)),ROUNDUP('BVMS checklist'!$H$217/$J75,0))&gt;1,'BVMS checklist'!$N$224,'BVMS checklist'!$N$217)+MAX(IF($E$6="No",ROUNDUP($E$3/$I75,0),ROUNDUP(($E$3+$I75)/$I75,0)),IF($E$6="No",ROUNDUP($E$4/$G75,0),ROUNDUP(($E$4+$G75)/$G75,0)))+$E$5</f>
        <v>1</v>
      </c>
      <c r="CG75" s="400" t="b">
        <f t="shared" ca="1" si="17"/>
        <v>1</v>
      </c>
      <c r="CH75" s="400" t="str">
        <f t="shared" ca="1" si="67"/>
        <v>Accepted</v>
      </c>
      <c r="CI75" s="398" t="str">
        <f t="shared" ca="1" si="68"/>
        <v>No</v>
      </c>
      <c r="CJ75" s="398" t="str">
        <f t="shared" ca="1" si="69"/>
        <v/>
      </c>
      <c r="CK75" s="398" t="str">
        <f t="shared" ca="1" si="70"/>
        <v/>
      </c>
      <c r="CL75" s="398">
        <f t="shared" ca="1" si="71"/>
        <v>6</v>
      </c>
      <c r="CM75" s="398">
        <f t="shared" ca="1" si="72"/>
        <v>2</v>
      </c>
      <c r="CN75" s="398">
        <f t="shared" ca="1" si="73"/>
        <v>448</v>
      </c>
      <c r="CO75" s="398">
        <f t="shared" ca="1" si="74"/>
        <v>387192</v>
      </c>
      <c r="CP75" s="399">
        <f t="shared" si="546"/>
        <v>0</v>
      </c>
      <c r="CQ75" s="399">
        <f t="shared" si="547"/>
        <v>0</v>
      </c>
      <c r="CR75" s="483" t="str">
        <f t="shared" ca="1" si="75"/>
        <v/>
      </c>
      <c r="CS75"/>
    </row>
    <row r="76" spans="1:97">
      <c r="A76" s="398" t="s">
        <v>334</v>
      </c>
      <c r="B76" s="398" t="s">
        <v>987</v>
      </c>
      <c r="C76" s="440" t="s">
        <v>891</v>
      </c>
      <c r="D76" s="398">
        <v>5</v>
      </c>
      <c r="E76" s="398"/>
      <c r="F76" s="440">
        <v>0</v>
      </c>
      <c r="G76" s="398">
        <f>IF(C76="RAID5",(((7-F76)*3723))+(4*(((15-F76)*3723))),(((6-F76)*3723))+(4*(((15-F76)*3723))))</f>
        <v>249441</v>
      </c>
      <c r="H76" s="399">
        <v>288</v>
      </c>
      <c r="I76" s="399">
        <v>2675</v>
      </c>
      <c r="J76" s="399">
        <v>640</v>
      </c>
      <c r="K76" s="399"/>
      <c r="L76" s="399"/>
      <c r="M76" s="400">
        <f ca="1">IF(MAX(IF($B$6="No",ROUNDUP($B$3/$I76,0),ROUNDUP(($B$3+$I76)/$I76,0)),IF($B$6="No",ROUNDUP($B$4/$G76,0),ROUNDUP(($B$4+$G76)/$G76,0)),ROUNDUP('BVMS checklist'!$H$217/$J76,0))&gt;1,'BVMS checklist'!$H$224,'BVMS checklist'!$H$217)</f>
        <v>0</v>
      </c>
      <c r="N76" s="398">
        <f t="shared" ca="1" si="20"/>
        <v>2</v>
      </c>
      <c r="O76" s="400">
        <f t="shared" ca="1" si="21"/>
        <v>2</v>
      </c>
      <c r="P76" s="400">
        <f t="shared" ca="1" si="0"/>
        <v>5350</v>
      </c>
      <c r="Q76" s="400">
        <f t="shared" ca="1" si="1"/>
        <v>0</v>
      </c>
      <c r="R76" s="398">
        <f t="shared" ca="1" si="2"/>
        <v>498882</v>
      </c>
      <c r="S76" s="401" t="str">
        <f t="shared" ca="1" si="22"/>
        <v/>
      </c>
      <c r="T76" s="398">
        <f t="shared" ca="1" si="23"/>
        <v>1280</v>
      </c>
      <c r="U76" s="400">
        <f ca="1">IF(MAX(IF($B$6="No",ROUNDUP($B$3/$I76,0),ROUNDUP(($B$3+$I76)/$I76,0)),IF($B$6="No",ROUNDUP($B$4/$G76,0),ROUNDUP(($B$4+$G76)/$G76,0)),ROUNDUP('BVMS checklist'!$H$217/$J76,0))&gt;1,'BVMS checklist'!$H$224,'BVMS checklist'!$H$217)+MAX(IF($B$6="No",ROUNDUP($B$3/$I76,0),ROUNDUP(($B$3+$I76)/$I76,0)),IF($B$6="No",ROUNDUP($B$4/$G76,0),ROUNDUP(($B$4+$G76)/$G76,0)))+$B$5</f>
        <v>1</v>
      </c>
      <c r="V76" s="400" t="b">
        <f t="shared" ca="1" si="3"/>
        <v>1</v>
      </c>
      <c r="W76" s="400" t="str">
        <f t="shared" ca="1" si="24"/>
        <v>Accepted</v>
      </c>
      <c r="X76" s="398" t="str">
        <f t="shared" ca="1" si="25"/>
        <v>No</v>
      </c>
      <c r="Y76" s="398" t="str">
        <f t="shared" ca="1" si="26"/>
        <v/>
      </c>
      <c r="Z76" s="398" t="str">
        <f t="shared" ca="1" si="27"/>
        <v/>
      </c>
      <c r="AA76" s="398">
        <f t="shared" ca="1" si="28"/>
        <v>6</v>
      </c>
      <c r="AB76" s="398">
        <f t="shared" ca="1" si="4"/>
        <v>2</v>
      </c>
      <c r="AC76" s="398">
        <f t="shared" ca="1" si="5"/>
        <v>576</v>
      </c>
      <c r="AD76" s="398">
        <f t="shared" ca="1" si="29"/>
        <v>498882</v>
      </c>
      <c r="AE76" s="399">
        <f t="shared" si="540"/>
        <v>0</v>
      </c>
      <c r="AF76" s="399">
        <f t="shared" si="541"/>
        <v>0</v>
      </c>
      <c r="AG76" s="483" t="str">
        <f t="shared" ca="1" si="30"/>
        <v/>
      </c>
      <c r="AH76" s="400">
        <f ca="1">IF(MAX(IF($C$6="No",ROUNDUP($C$3/$I76,0),ROUNDUP(($C$3+$I76)/$I76,0)),IF($C$6="No",ROUNDUP($C$4/$G76,0),ROUNDUP(($C$4+$G76)/$G76,0)),ROUNDUP('BVMS checklist'!$H$217/$J76,0))&gt;1,'BVMS checklist'!$J$224,'BVMS checklist'!$J$217)</f>
        <v>0</v>
      </c>
      <c r="AI76" s="398">
        <f t="shared" ca="1" si="31"/>
        <v>2</v>
      </c>
      <c r="AJ76" s="400">
        <f t="shared" ca="1" si="32"/>
        <v>2</v>
      </c>
      <c r="AK76" s="400">
        <f t="shared" ca="1" si="33"/>
        <v>5350</v>
      </c>
      <c r="AL76" s="400">
        <f t="shared" ca="1" si="34"/>
        <v>0</v>
      </c>
      <c r="AM76" s="398">
        <f t="shared" ca="1" si="35"/>
        <v>498882</v>
      </c>
      <c r="AN76" s="401" t="str">
        <f t="shared" ca="1" si="36"/>
        <v/>
      </c>
      <c r="AO76" s="398">
        <f t="shared" ca="1" si="37"/>
        <v>1280</v>
      </c>
      <c r="AP76" s="400">
        <f ca="1">IF(MAX(IF($C$6="No",ROUNDUP($C$3/$I76,0),ROUNDUP(($C$3+$I76)/$I76,0)),IF($C$6="No",ROUNDUP($C$4/$G76,0),ROUNDUP(($C$4+$G76)/$G76,0)),ROUNDUP('BVMS checklist'!$H$217/$J76,0))&gt;1,'BVMS checklist'!$J$224,'BVMS checklist'!$J$217)+MAX(IF($C$6="No",ROUNDUP($C$3/$I76,0),ROUNDUP(($C$3+$I76)/$I76,0)),IF($C$6="No",ROUNDUP($C$4/$G76,0),ROUNDUP(($C$4+$G76)/$G76,0)))+$C$5</f>
        <v>1</v>
      </c>
      <c r="AQ76" s="400" t="b">
        <f t="shared" ca="1" si="8"/>
        <v>1</v>
      </c>
      <c r="AR76" s="400" t="str">
        <f t="shared" ca="1" si="38"/>
        <v>Accepted</v>
      </c>
      <c r="AS76" s="398" t="str">
        <f t="shared" ca="1" si="39"/>
        <v>No</v>
      </c>
      <c r="AT76" s="398" t="str">
        <f t="shared" ca="1" si="40"/>
        <v/>
      </c>
      <c r="AU76" s="398" t="str">
        <f t="shared" ca="1" si="41"/>
        <v/>
      </c>
      <c r="AV76" s="398">
        <f t="shared" ca="1" si="42"/>
        <v>6</v>
      </c>
      <c r="AW76" s="398">
        <f t="shared" ca="1" si="43"/>
        <v>2</v>
      </c>
      <c r="AX76" s="398">
        <f t="shared" ca="1" si="44"/>
        <v>576</v>
      </c>
      <c r="AY76" s="398">
        <f t="shared" ca="1" si="45"/>
        <v>498882</v>
      </c>
      <c r="AZ76" s="399">
        <f t="shared" si="542"/>
        <v>0</v>
      </c>
      <c r="BA76" s="399">
        <f t="shared" si="543"/>
        <v>0</v>
      </c>
      <c r="BB76" s="483" t="str">
        <f t="shared" ca="1" si="46"/>
        <v/>
      </c>
      <c r="BC76" s="400">
        <f ca="1">IF(MAX(IF($D$6="No",ROUNDUP($D$3/$I76,0),ROUNDUP(($D$3+$I76)/$I76,0)),IF($D$6="No",ROUNDUP($D$4/$G76,0),ROUNDUP(($D$4+$G76)/$G76,0)),ROUNDUP('BVMS checklist'!$H$217/$J76,0))&gt;1,'BVMS checklist'!$L$224,'BVMS checklist'!$L$217)</f>
        <v>0</v>
      </c>
      <c r="BD76" s="398">
        <f t="shared" ca="1" si="47"/>
        <v>2</v>
      </c>
      <c r="BE76" s="400">
        <f t="shared" si="48"/>
        <v>1</v>
      </c>
      <c r="BF76" s="400">
        <f t="shared" si="49"/>
        <v>2675</v>
      </c>
      <c r="BG76" s="400">
        <f t="shared" ca="1" si="11"/>
        <v>0</v>
      </c>
      <c r="BH76" s="398">
        <f t="shared" ca="1" si="50"/>
        <v>498882</v>
      </c>
      <c r="BI76" s="401" t="str">
        <f t="shared" ca="1" si="51"/>
        <v/>
      </c>
      <c r="BJ76" s="398">
        <f t="shared" ca="1" si="52"/>
        <v>1280</v>
      </c>
      <c r="BK76" s="400">
        <f ca="1">IF(MAX(IF($D$6="No",ROUNDUP($D$3/$I76,0),ROUNDUP(($D$3+$I76)/$I76,0)),IF($D$6="No",ROUNDUP($D$4/$G76,0),ROUNDUP(($D$4+$G76)/$G76,0)),ROUNDUP('BVMS checklist'!$H$217/$J76,0))&gt;1,'BVMS checklist'!$L$224,'BVMS checklist'!$L$217)+MAX(IF($D$6="No",ROUNDUP($D$3/$I76,0),ROUNDUP(($D$3+$I76)/$I76,0)),IF($D$6="No",ROUNDUP($D$4/$G76,0),ROUNDUP(($D$4+$G76)/$G76,0)))+$D$5</f>
        <v>1</v>
      </c>
      <c r="BL76" s="400" t="b">
        <f t="shared" ca="1" si="12"/>
        <v>1</v>
      </c>
      <c r="BM76" s="400" t="str">
        <f t="shared" ca="1" si="53"/>
        <v>Accepted</v>
      </c>
      <c r="BN76" s="398" t="str">
        <f t="shared" ca="1" si="13"/>
        <v>No</v>
      </c>
      <c r="BO76" s="398" t="str">
        <f t="shared" ca="1" si="54"/>
        <v/>
      </c>
      <c r="BP76" s="398" t="str">
        <f t="shared" ca="1" si="55"/>
        <v/>
      </c>
      <c r="BQ76" s="398">
        <f t="shared" ca="1" si="56"/>
        <v>6</v>
      </c>
      <c r="BR76" s="398">
        <f t="shared" ca="1" si="57"/>
        <v>2</v>
      </c>
      <c r="BS76" s="398">
        <f t="shared" ca="1" si="58"/>
        <v>576</v>
      </c>
      <c r="BT76" s="398">
        <f t="shared" ca="1" si="59"/>
        <v>498882</v>
      </c>
      <c r="BU76" s="399">
        <f t="shared" si="544"/>
        <v>0</v>
      </c>
      <c r="BV76" s="399">
        <f t="shared" si="545"/>
        <v>0</v>
      </c>
      <c r="BW76" s="483" t="str">
        <f t="shared" ca="1" si="60"/>
        <v/>
      </c>
      <c r="BX76" s="400">
        <f ca="1">IF(MAX(IF($E$6="No",ROUNDUP($E$3/$I76,0),ROUNDUP(($E$3+$I76)/$I76,0)),IF($E$6="No",ROUNDUP($E$4/$G76,0),ROUNDUP(($E$4+$G76)/$G76,0)),ROUNDUP('BVMS checklist'!$H$217/$J76,0))&gt;1,'BVMS checklist'!$N$224,'BVMS checklist'!$N$217)</f>
        <v>0</v>
      </c>
      <c r="BY76" s="398">
        <f t="shared" ca="1" si="61"/>
        <v>2</v>
      </c>
      <c r="BZ76" s="400">
        <f t="shared" ca="1" si="62"/>
        <v>2</v>
      </c>
      <c r="CA76" s="400">
        <f t="shared" ca="1" si="63"/>
        <v>5350</v>
      </c>
      <c r="CB76" s="400">
        <f t="shared" ca="1" si="16"/>
        <v>0</v>
      </c>
      <c r="CC76" s="398">
        <f t="shared" ca="1" si="64"/>
        <v>498882</v>
      </c>
      <c r="CD76" s="401" t="str">
        <f t="shared" ca="1" si="65"/>
        <v/>
      </c>
      <c r="CE76" s="398">
        <f t="shared" ca="1" si="66"/>
        <v>1280</v>
      </c>
      <c r="CF76" s="400">
        <f ca="1">IF(MAX(IF($E$6="No",ROUNDUP($E$3/$I76,0),ROUNDUP(($E$3+$I76)/$I76,0)),IF($E$6="No",ROUNDUP($E$4/$G76,0),ROUNDUP(($E$4+$G76)/$G76,0)),ROUNDUP('BVMS checklist'!$H$217/$J76,0))&gt;1,'BVMS checklist'!$N$224,'BVMS checklist'!$N$217)+MAX(IF($E$6="No",ROUNDUP($E$3/$I76,0),ROUNDUP(($E$3+$I76)/$I76,0)),IF($E$6="No",ROUNDUP($E$4/$G76,0),ROUNDUP(($E$4+$G76)/$G76,0)))+$E$5</f>
        <v>1</v>
      </c>
      <c r="CG76" s="400" t="b">
        <f t="shared" ca="1" si="17"/>
        <v>1</v>
      </c>
      <c r="CH76" s="400" t="str">
        <f t="shared" ca="1" si="67"/>
        <v>Accepted</v>
      </c>
      <c r="CI76" s="398" t="str">
        <f t="shared" ca="1" si="68"/>
        <v>No</v>
      </c>
      <c r="CJ76" s="398" t="str">
        <f t="shared" ca="1" si="69"/>
        <v/>
      </c>
      <c r="CK76" s="398" t="str">
        <f t="shared" ca="1" si="70"/>
        <v/>
      </c>
      <c r="CL76" s="398">
        <f t="shared" ca="1" si="71"/>
        <v>6</v>
      </c>
      <c r="CM76" s="398">
        <f t="shared" ca="1" si="72"/>
        <v>2</v>
      </c>
      <c r="CN76" s="398">
        <f t="shared" ca="1" si="73"/>
        <v>576</v>
      </c>
      <c r="CO76" s="398">
        <f t="shared" ca="1" si="74"/>
        <v>498882</v>
      </c>
      <c r="CP76" s="399">
        <f t="shared" si="546"/>
        <v>0</v>
      </c>
      <c r="CQ76" s="399">
        <f t="shared" si="547"/>
        <v>0</v>
      </c>
      <c r="CR76" s="483" t="str">
        <f t="shared" ca="1" si="75"/>
        <v/>
      </c>
      <c r="CS76"/>
    </row>
    <row r="77" spans="1:97">
      <c r="A77" s="398" t="s">
        <v>341</v>
      </c>
      <c r="B77" s="398" t="s">
        <v>987</v>
      </c>
      <c r="C77" s="440" t="s">
        <v>891</v>
      </c>
      <c r="D77" s="398">
        <v>2</v>
      </c>
      <c r="E77" s="398"/>
      <c r="F77" s="440">
        <v>0</v>
      </c>
      <c r="G77" s="398">
        <f>IF(C77="RAID5",(((15-F77)*2792))+(1*(((7-F77)*3723))),(((14-F77)*2792))+(1*(((6-F77)*3723))))</f>
        <v>67941</v>
      </c>
      <c r="H77" s="399">
        <v>80</v>
      </c>
      <c r="I77" s="399">
        <v>1025</v>
      </c>
      <c r="J77" s="399">
        <v>256</v>
      </c>
      <c r="K77" s="399"/>
      <c r="L77" s="399"/>
      <c r="M77" s="400">
        <f ca="1">IF(MAX(IF($B$6="No",ROUNDUP($B$3/$I77,0),ROUNDUP(($B$3+$I77)/$I77,0)),IF($B$6="No",ROUNDUP($B$4/$G77,0),ROUNDUP(($B$4+$G77)/$G77,0)),ROUNDUP('BVMS checklist'!$H$217/$J77,0))&gt;1,'BVMS checklist'!$H$224,'BVMS checklist'!$H$217)</f>
        <v>0</v>
      </c>
      <c r="N77" s="398">
        <f t="shared" ca="1" si="20"/>
        <v>2</v>
      </c>
      <c r="O77" s="400">
        <f t="shared" ca="1" si="21"/>
        <v>2</v>
      </c>
      <c r="P77" s="400">
        <f t="shared" ca="1" si="0"/>
        <v>2050</v>
      </c>
      <c r="Q77" s="400">
        <f t="shared" ca="1" si="1"/>
        <v>0</v>
      </c>
      <c r="R77" s="398">
        <f t="shared" ca="1" si="2"/>
        <v>135882</v>
      </c>
      <c r="S77" s="401" t="str">
        <f t="shared" ca="1" si="22"/>
        <v/>
      </c>
      <c r="T77" s="398">
        <f t="shared" ca="1" si="23"/>
        <v>512</v>
      </c>
      <c r="U77" s="400">
        <f ca="1">IF(MAX(IF($B$6="No",ROUNDUP($B$3/$I77,0),ROUNDUP(($B$3+$I77)/$I77,0)),IF($B$6="No",ROUNDUP($B$4/$G77,0),ROUNDUP(($B$4+$G77)/$G77,0)),ROUNDUP('BVMS checklist'!$H$217/$J77,0))&gt;1,'BVMS checklist'!$H$224,'BVMS checklist'!$H$217)+MAX(IF($B$6="No",ROUNDUP($B$3/$I77,0),ROUNDUP(($B$3+$I77)/$I77,0)),IF($B$6="No",ROUNDUP($B$4/$G77,0),ROUNDUP(($B$4+$G77)/$G77,0)))+$B$5</f>
        <v>1</v>
      </c>
      <c r="V77" s="400" t="b">
        <f t="shared" ca="1" si="3"/>
        <v>1</v>
      </c>
      <c r="W77" s="400" t="str">
        <f t="shared" ca="1" si="24"/>
        <v>Accepted</v>
      </c>
      <c r="X77" s="398" t="str">
        <f t="shared" ca="1" si="25"/>
        <v>No</v>
      </c>
      <c r="Y77" s="398" t="str">
        <f t="shared" ca="1" si="26"/>
        <v/>
      </c>
      <c r="Z77" s="398" t="str">
        <f t="shared" ca="1" si="27"/>
        <v/>
      </c>
      <c r="AA77" s="398">
        <f t="shared" ca="1" si="28"/>
        <v>6</v>
      </c>
      <c r="AB77" s="398">
        <f t="shared" ca="1" si="4"/>
        <v>2</v>
      </c>
      <c r="AC77" s="398">
        <f t="shared" ca="1" si="5"/>
        <v>160</v>
      </c>
      <c r="AD77" s="398">
        <f t="shared" ca="1" si="29"/>
        <v>135882</v>
      </c>
      <c r="AE77" s="399">
        <f t="shared" si="540"/>
        <v>0</v>
      </c>
      <c r="AF77" s="399">
        <f t="shared" si="541"/>
        <v>0</v>
      </c>
      <c r="AG77" s="483" t="str">
        <f t="shared" ca="1" si="30"/>
        <v/>
      </c>
      <c r="AH77" s="400">
        <f ca="1">IF(MAX(IF($C$6="No",ROUNDUP($C$3/$I77,0),ROUNDUP(($C$3+$I77)/$I77,0)),IF($C$6="No",ROUNDUP($C$4/$G77,0),ROUNDUP(($C$4+$G77)/$G77,0)),ROUNDUP('BVMS checklist'!$H$217/$J77,0))&gt;1,'BVMS checklist'!$J$224,'BVMS checklist'!$J$217)</f>
        <v>0</v>
      </c>
      <c r="AI77" s="398">
        <f t="shared" ca="1" si="31"/>
        <v>2</v>
      </c>
      <c r="AJ77" s="400">
        <f t="shared" ca="1" si="32"/>
        <v>2</v>
      </c>
      <c r="AK77" s="400">
        <f t="shared" ca="1" si="33"/>
        <v>2050</v>
      </c>
      <c r="AL77" s="400">
        <f t="shared" ca="1" si="34"/>
        <v>0</v>
      </c>
      <c r="AM77" s="398">
        <f t="shared" ca="1" si="35"/>
        <v>135882</v>
      </c>
      <c r="AN77" s="401" t="str">
        <f t="shared" ca="1" si="36"/>
        <v/>
      </c>
      <c r="AO77" s="398">
        <f t="shared" ca="1" si="37"/>
        <v>512</v>
      </c>
      <c r="AP77" s="400">
        <f ca="1">IF(MAX(IF($C$6="No",ROUNDUP($C$3/$I77,0),ROUNDUP(($C$3+$I77)/$I77,0)),IF($C$6="No",ROUNDUP($C$4/$G77,0),ROUNDUP(($C$4+$G77)/$G77,0)),ROUNDUP('BVMS checklist'!$H$217/$J77,0))&gt;1,'BVMS checklist'!$J$224,'BVMS checklist'!$J$217)+MAX(IF($C$6="No",ROUNDUP($C$3/$I77,0),ROUNDUP(($C$3+$I77)/$I77,0)),IF($C$6="No",ROUNDUP($C$4/$G77,0),ROUNDUP(($C$4+$G77)/$G77,0)))+$C$5</f>
        <v>1</v>
      </c>
      <c r="AQ77" s="400" t="b">
        <f t="shared" ca="1" si="8"/>
        <v>1</v>
      </c>
      <c r="AR77" s="400" t="str">
        <f t="shared" ca="1" si="38"/>
        <v>Accepted</v>
      </c>
      <c r="AS77" s="398" t="str">
        <f t="shared" ca="1" si="39"/>
        <v>No</v>
      </c>
      <c r="AT77" s="398" t="str">
        <f t="shared" ca="1" si="40"/>
        <v/>
      </c>
      <c r="AU77" s="398" t="str">
        <f t="shared" ca="1" si="41"/>
        <v/>
      </c>
      <c r="AV77" s="398">
        <f t="shared" ca="1" si="42"/>
        <v>6</v>
      </c>
      <c r="AW77" s="398">
        <f t="shared" ca="1" si="43"/>
        <v>2</v>
      </c>
      <c r="AX77" s="398">
        <f t="shared" ca="1" si="44"/>
        <v>160</v>
      </c>
      <c r="AY77" s="398">
        <f t="shared" ca="1" si="45"/>
        <v>135882</v>
      </c>
      <c r="AZ77" s="399">
        <f t="shared" si="542"/>
        <v>0</v>
      </c>
      <c r="BA77" s="399">
        <f t="shared" si="543"/>
        <v>0</v>
      </c>
      <c r="BB77" s="483" t="str">
        <f t="shared" ca="1" si="46"/>
        <v/>
      </c>
      <c r="BC77" s="400">
        <f ca="1">IF(MAX(IF($D$6="No",ROUNDUP($D$3/$I77,0),ROUNDUP(($D$3+$I77)/$I77,0)),IF($D$6="No",ROUNDUP($D$4/$G77,0),ROUNDUP(($D$4+$G77)/$G77,0)),ROUNDUP('BVMS checklist'!$H$217/$J77,0))&gt;1,'BVMS checklist'!$L$224,'BVMS checklist'!$L$217)</f>
        <v>0</v>
      </c>
      <c r="BD77" s="398">
        <f t="shared" ca="1" si="47"/>
        <v>2</v>
      </c>
      <c r="BE77" s="400">
        <f t="shared" si="48"/>
        <v>1</v>
      </c>
      <c r="BF77" s="400">
        <f t="shared" si="49"/>
        <v>1025</v>
      </c>
      <c r="BG77" s="400">
        <f t="shared" ca="1" si="11"/>
        <v>0</v>
      </c>
      <c r="BH77" s="398">
        <f t="shared" ca="1" si="50"/>
        <v>135882</v>
      </c>
      <c r="BI77" s="401" t="str">
        <f t="shared" ca="1" si="51"/>
        <v/>
      </c>
      <c r="BJ77" s="398">
        <f t="shared" ca="1" si="52"/>
        <v>512</v>
      </c>
      <c r="BK77" s="400">
        <f ca="1">IF(MAX(IF($D$6="No",ROUNDUP($D$3/$I77,0),ROUNDUP(($D$3+$I77)/$I77,0)),IF($D$6="No",ROUNDUP($D$4/$G77,0),ROUNDUP(($D$4+$G77)/$G77,0)),ROUNDUP('BVMS checklist'!$H$217/$J77,0))&gt;1,'BVMS checklist'!$L$224,'BVMS checklist'!$L$217)+MAX(IF($D$6="No",ROUNDUP($D$3/$I77,0),ROUNDUP(($D$3+$I77)/$I77,0)),IF($D$6="No",ROUNDUP($D$4/$G77,0),ROUNDUP(($D$4+$G77)/$G77,0)))+$D$5</f>
        <v>1</v>
      </c>
      <c r="BL77" s="400" t="b">
        <f t="shared" ca="1" si="12"/>
        <v>1</v>
      </c>
      <c r="BM77" s="400" t="str">
        <f t="shared" ca="1" si="53"/>
        <v>Accepted</v>
      </c>
      <c r="BN77" s="398" t="str">
        <f t="shared" ca="1" si="13"/>
        <v>No</v>
      </c>
      <c r="BO77" s="398" t="str">
        <f t="shared" ca="1" si="54"/>
        <v/>
      </c>
      <c r="BP77" s="398" t="str">
        <f t="shared" ca="1" si="55"/>
        <v/>
      </c>
      <c r="BQ77" s="398">
        <f t="shared" ca="1" si="56"/>
        <v>6</v>
      </c>
      <c r="BR77" s="398">
        <f t="shared" ca="1" si="57"/>
        <v>2</v>
      </c>
      <c r="BS77" s="398">
        <f t="shared" ca="1" si="58"/>
        <v>160</v>
      </c>
      <c r="BT77" s="398">
        <f t="shared" ca="1" si="59"/>
        <v>135882</v>
      </c>
      <c r="BU77" s="399">
        <f t="shared" si="544"/>
        <v>0</v>
      </c>
      <c r="BV77" s="399">
        <f t="shared" si="545"/>
        <v>0</v>
      </c>
      <c r="BW77" s="483" t="str">
        <f t="shared" ca="1" si="60"/>
        <v/>
      </c>
      <c r="BX77" s="400">
        <f ca="1">IF(MAX(IF($E$6="No",ROUNDUP($E$3/$I77,0),ROUNDUP(($E$3+$I77)/$I77,0)),IF($E$6="No",ROUNDUP($E$4/$G77,0),ROUNDUP(($E$4+$G77)/$G77,0)),ROUNDUP('BVMS checklist'!$H$217/$J77,0))&gt;1,'BVMS checklist'!$N$224,'BVMS checklist'!$N$217)</f>
        <v>0</v>
      </c>
      <c r="BY77" s="398">
        <f t="shared" ca="1" si="61"/>
        <v>2</v>
      </c>
      <c r="BZ77" s="400">
        <f t="shared" ca="1" si="62"/>
        <v>2</v>
      </c>
      <c r="CA77" s="400">
        <f t="shared" ca="1" si="63"/>
        <v>2050</v>
      </c>
      <c r="CB77" s="400">
        <f t="shared" ca="1" si="16"/>
        <v>0</v>
      </c>
      <c r="CC77" s="398">
        <f t="shared" ca="1" si="64"/>
        <v>135882</v>
      </c>
      <c r="CD77" s="401" t="str">
        <f t="shared" ca="1" si="65"/>
        <v/>
      </c>
      <c r="CE77" s="398">
        <f t="shared" ca="1" si="66"/>
        <v>512</v>
      </c>
      <c r="CF77" s="400">
        <f ca="1">IF(MAX(IF($E$6="No",ROUNDUP($E$3/$I77,0),ROUNDUP(($E$3+$I77)/$I77,0)),IF($E$6="No",ROUNDUP($E$4/$G77,0),ROUNDUP(($E$4+$G77)/$G77,0)),ROUNDUP('BVMS checklist'!$H$217/$J77,0))&gt;1,'BVMS checklist'!$N$224,'BVMS checklist'!$N$217)+MAX(IF($E$6="No",ROUNDUP($E$3/$I77,0),ROUNDUP(($E$3+$I77)/$I77,0)),IF($E$6="No",ROUNDUP($E$4/$G77,0),ROUNDUP(($E$4+$G77)/$G77,0)))+$E$5</f>
        <v>1</v>
      </c>
      <c r="CG77" s="400" t="b">
        <f t="shared" ca="1" si="17"/>
        <v>1</v>
      </c>
      <c r="CH77" s="400" t="str">
        <f t="shared" ca="1" si="67"/>
        <v>Accepted</v>
      </c>
      <c r="CI77" s="398" t="str">
        <f t="shared" ca="1" si="68"/>
        <v>No</v>
      </c>
      <c r="CJ77" s="398" t="str">
        <f t="shared" ca="1" si="69"/>
        <v/>
      </c>
      <c r="CK77" s="398" t="str">
        <f t="shared" ca="1" si="70"/>
        <v/>
      </c>
      <c r="CL77" s="398">
        <f t="shared" ca="1" si="71"/>
        <v>6</v>
      </c>
      <c r="CM77" s="398">
        <f t="shared" ca="1" si="72"/>
        <v>2</v>
      </c>
      <c r="CN77" s="398">
        <f t="shared" ca="1" si="73"/>
        <v>160</v>
      </c>
      <c r="CO77" s="398">
        <f t="shared" ca="1" si="74"/>
        <v>135882</v>
      </c>
      <c r="CP77" s="399">
        <f t="shared" si="546"/>
        <v>0</v>
      </c>
      <c r="CQ77" s="399">
        <f t="shared" si="547"/>
        <v>0</v>
      </c>
      <c r="CR77" s="483" t="str">
        <f t="shared" ca="1" si="75"/>
        <v/>
      </c>
      <c r="CS77"/>
    </row>
    <row r="78" spans="1:97">
      <c r="A78" s="398" t="s">
        <v>342</v>
      </c>
      <c r="B78" s="398" t="s">
        <v>987</v>
      </c>
      <c r="C78" s="440" t="s">
        <v>891</v>
      </c>
      <c r="D78" s="398">
        <v>3</v>
      </c>
      <c r="E78" s="398"/>
      <c r="F78" s="440">
        <v>0</v>
      </c>
      <c r="G78" s="398">
        <f>IF(C78="RAID5",(((15-F78)*2792))+(2*(((7-F78)*3723))),(((14-F78)*2792))+(2*(((6-F78)*3723))))</f>
        <v>94002</v>
      </c>
      <c r="H78" s="399">
        <v>112</v>
      </c>
      <c r="I78" s="399">
        <v>1575</v>
      </c>
      <c r="J78" s="399">
        <v>384</v>
      </c>
      <c r="K78" s="399"/>
      <c r="L78" s="399"/>
      <c r="M78" s="400">
        <f ca="1">IF(MAX(IF($B$6="No",ROUNDUP($B$3/$I78,0),ROUNDUP(($B$3+$I78)/$I78,0)),IF($B$6="No",ROUNDUP($B$4/$G78,0),ROUNDUP(($B$4+$G78)/$G78,0)),ROUNDUP('BVMS checklist'!$H$217/$J78,0))&gt;1,'BVMS checklist'!$H$224,'BVMS checklist'!$H$217)</f>
        <v>0</v>
      </c>
      <c r="N78" s="398">
        <f t="shared" ca="1" si="20"/>
        <v>2</v>
      </c>
      <c r="O78" s="400">
        <f t="shared" ca="1" si="21"/>
        <v>2</v>
      </c>
      <c r="P78" s="400">
        <f t="shared" ca="1" si="0"/>
        <v>3150</v>
      </c>
      <c r="Q78" s="400">
        <f t="shared" ca="1" si="1"/>
        <v>0</v>
      </c>
      <c r="R78" s="398">
        <f t="shared" ca="1" si="2"/>
        <v>188004</v>
      </c>
      <c r="S78" s="401" t="str">
        <f t="shared" ca="1" si="22"/>
        <v/>
      </c>
      <c r="T78" s="398">
        <f t="shared" ca="1" si="23"/>
        <v>768</v>
      </c>
      <c r="U78" s="400">
        <f ca="1">IF(MAX(IF($B$6="No",ROUNDUP($B$3/$I78,0),ROUNDUP(($B$3+$I78)/$I78,0)),IF($B$6="No",ROUNDUP($B$4/$G78,0),ROUNDUP(($B$4+$G78)/$G78,0)),ROUNDUP('BVMS checklist'!$H$217/$J78,0))&gt;1,'BVMS checklist'!$H$224,'BVMS checklist'!$H$217)+MAX(IF($B$6="No",ROUNDUP($B$3/$I78,0),ROUNDUP(($B$3+$I78)/$I78,0)),IF($B$6="No",ROUNDUP($B$4/$G78,0),ROUNDUP(($B$4+$G78)/$G78,0)))+$B$5</f>
        <v>1</v>
      </c>
      <c r="V78" s="400" t="b">
        <f t="shared" ca="1" si="3"/>
        <v>1</v>
      </c>
      <c r="W78" s="400" t="str">
        <f t="shared" ca="1" si="24"/>
        <v>Accepted</v>
      </c>
      <c r="X78" s="398" t="str">
        <f t="shared" ca="1" si="25"/>
        <v>No</v>
      </c>
      <c r="Y78" s="398" t="str">
        <f t="shared" ca="1" si="26"/>
        <v/>
      </c>
      <c r="Z78" s="398" t="str">
        <f t="shared" ca="1" si="27"/>
        <v/>
      </c>
      <c r="AA78" s="398">
        <f t="shared" ca="1" si="28"/>
        <v>6</v>
      </c>
      <c r="AB78" s="398">
        <f t="shared" ca="1" si="4"/>
        <v>2</v>
      </c>
      <c r="AC78" s="398">
        <f t="shared" ca="1" si="5"/>
        <v>224</v>
      </c>
      <c r="AD78" s="398">
        <f t="shared" ca="1" si="29"/>
        <v>188004</v>
      </c>
      <c r="AE78" s="399">
        <f t="shared" si="540"/>
        <v>0</v>
      </c>
      <c r="AF78" s="399">
        <f t="shared" si="541"/>
        <v>0</v>
      </c>
      <c r="AG78" s="483" t="str">
        <f t="shared" ca="1" si="30"/>
        <v/>
      </c>
      <c r="AH78" s="400">
        <f ca="1">IF(MAX(IF($C$6="No",ROUNDUP($C$3/$I78,0),ROUNDUP(($C$3+$I78)/$I78,0)),IF($C$6="No",ROUNDUP($C$4/$G78,0),ROUNDUP(($C$4+$G78)/$G78,0)),ROUNDUP('BVMS checklist'!$H$217/$J78,0))&gt;1,'BVMS checklist'!$J$224,'BVMS checklist'!$J$217)</f>
        <v>0</v>
      </c>
      <c r="AI78" s="398">
        <f t="shared" ca="1" si="31"/>
        <v>2</v>
      </c>
      <c r="AJ78" s="400">
        <f t="shared" ca="1" si="32"/>
        <v>2</v>
      </c>
      <c r="AK78" s="400">
        <f t="shared" ca="1" si="33"/>
        <v>3150</v>
      </c>
      <c r="AL78" s="400">
        <f t="shared" ca="1" si="34"/>
        <v>0</v>
      </c>
      <c r="AM78" s="398">
        <f t="shared" ca="1" si="35"/>
        <v>188004</v>
      </c>
      <c r="AN78" s="401" t="str">
        <f t="shared" ca="1" si="36"/>
        <v/>
      </c>
      <c r="AO78" s="398">
        <f t="shared" ca="1" si="37"/>
        <v>768</v>
      </c>
      <c r="AP78" s="400">
        <f ca="1">IF(MAX(IF($C$6="No",ROUNDUP($C$3/$I78,0),ROUNDUP(($C$3+$I78)/$I78,0)),IF($C$6="No",ROUNDUP($C$4/$G78,0),ROUNDUP(($C$4+$G78)/$G78,0)),ROUNDUP('BVMS checklist'!$H$217/$J78,0))&gt;1,'BVMS checklist'!$J$224,'BVMS checklist'!$J$217)+MAX(IF($C$6="No",ROUNDUP($C$3/$I78,0),ROUNDUP(($C$3+$I78)/$I78,0)),IF($C$6="No",ROUNDUP($C$4/$G78,0),ROUNDUP(($C$4+$G78)/$G78,0)))+$C$5</f>
        <v>1</v>
      </c>
      <c r="AQ78" s="400" t="b">
        <f t="shared" ca="1" si="8"/>
        <v>1</v>
      </c>
      <c r="AR78" s="400" t="str">
        <f t="shared" ca="1" si="38"/>
        <v>Accepted</v>
      </c>
      <c r="AS78" s="398" t="str">
        <f t="shared" ca="1" si="39"/>
        <v>No</v>
      </c>
      <c r="AT78" s="398" t="str">
        <f t="shared" ca="1" si="40"/>
        <v/>
      </c>
      <c r="AU78" s="398" t="str">
        <f t="shared" ca="1" si="41"/>
        <v/>
      </c>
      <c r="AV78" s="398">
        <f t="shared" ca="1" si="42"/>
        <v>6</v>
      </c>
      <c r="AW78" s="398">
        <f t="shared" ca="1" si="43"/>
        <v>2</v>
      </c>
      <c r="AX78" s="398">
        <f t="shared" ca="1" si="44"/>
        <v>224</v>
      </c>
      <c r="AY78" s="398">
        <f t="shared" ca="1" si="45"/>
        <v>188004</v>
      </c>
      <c r="AZ78" s="399">
        <f t="shared" si="542"/>
        <v>0</v>
      </c>
      <c r="BA78" s="399">
        <f t="shared" si="543"/>
        <v>0</v>
      </c>
      <c r="BB78" s="483" t="str">
        <f t="shared" ca="1" si="46"/>
        <v/>
      </c>
      <c r="BC78" s="400">
        <f ca="1">IF(MAX(IF($D$6="No",ROUNDUP($D$3/$I78,0),ROUNDUP(($D$3+$I78)/$I78,0)),IF($D$6="No",ROUNDUP($D$4/$G78,0),ROUNDUP(($D$4+$G78)/$G78,0)),ROUNDUP('BVMS checklist'!$H$217/$J78,0))&gt;1,'BVMS checklist'!$L$224,'BVMS checklist'!$L$217)</f>
        <v>0</v>
      </c>
      <c r="BD78" s="398">
        <f t="shared" ca="1" si="47"/>
        <v>2</v>
      </c>
      <c r="BE78" s="400">
        <f t="shared" si="48"/>
        <v>1</v>
      </c>
      <c r="BF78" s="400">
        <f t="shared" si="49"/>
        <v>1575</v>
      </c>
      <c r="BG78" s="400">
        <f t="shared" ca="1" si="11"/>
        <v>0</v>
      </c>
      <c r="BH78" s="398">
        <f t="shared" ca="1" si="50"/>
        <v>188004</v>
      </c>
      <c r="BI78" s="401" t="str">
        <f t="shared" ca="1" si="51"/>
        <v/>
      </c>
      <c r="BJ78" s="398">
        <f t="shared" ca="1" si="52"/>
        <v>768</v>
      </c>
      <c r="BK78" s="400">
        <f ca="1">IF(MAX(IF($D$6="No",ROUNDUP($D$3/$I78,0),ROUNDUP(($D$3+$I78)/$I78,0)),IF($D$6="No",ROUNDUP($D$4/$G78,0),ROUNDUP(($D$4+$G78)/$G78,0)),ROUNDUP('BVMS checklist'!$H$217/$J78,0))&gt;1,'BVMS checklist'!$L$224,'BVMS checklist'!$L$217)+MAX(IF($D$6="No",ROUNDUP($D$3/$I78,0),ROUNDUP(($D$3+$I78)/$I78,0)),IF($D$6="No",ROUNDUP($D$4/$G78,0),ROUNDUP(($D$4+$G78)/$G78,0)))+$D$5</f>
        <v>1</v>
      </c>
      <c r="BL78" s="400" t="b">
        <f t="shared" ca="1" si="12"/>
        <v>1</v>
      </c>
      <c r="BM78" s="400" t="str">
        <f t="shared" ca="1" si="53"/>
        <v>Accepted</v>
      </c>
      <c r="BN78" s="398" t="str">
        <f t="shared" ca="1" si="13"/>
        <v>No</v>
      </c>
      <c r="BO78" s="398" t="str">
        <f t="shared" ca="1" si="54"/>
        <v/>
      </c>
      <c r="BP78" s="398" t="str">
        <f t="shared" ca="1" si="55"/>
        <v/>
      </c>
      <c r="BQ78" s="398">
        <f t="shared" ca="1" si="56"/>
        <v>6</v>
      </c>
      <c r="BR78" s="398">
        <f t="shared" ca="1" si="57"/>
        <v>2</v>
      </c>
      <c r="BS78" s="398">
        <f t="shared" ca="1" si="58"/>
        <v>224</v>
      </c>
      <c r="BT78" s="398">
        <f t="shared" ca="1" si="59"/>
        <v>188004</v>
      </c>
      <c r="BU78" s="399">
        <f t="shared" si="544"/>
        <v>0</v>
      </c>
      <c r="BV78" s="399">
        <f t="shared" si="545"/>
        <v>0</v>
      </c>
      <c r="BW78" s="483" t="str">
        <f t="shared" ca="1" si="60"/>
        <v/>
      </c>
      <c r="BX78" s="400">
        <f ca="1">IF(MAX(IF($E$6="No",ROUNDUP($E$3/$I78,0),ROUNDUP(($E$3+$I78)/$I78,0)),IF($E$6="No",ROUNDUP($E$4/$G78,0),ROUNDUP(($E$4+$G78)/$G78,0)),ROUNDUP('BVMS checklist'!$H$217/$J78,0))&gt;1,'BVMS checklist'!$N$224,'BVMS checklist'!$N$217)</f>
        <v>0</v>
      </c>
      <c r="BY78" s="398">
        <f t="shared" ca="1" si="61"/>
        <v>2</v>
      </c>
      <c r="BZ78" s="400">
        <f t="shared" ca="1" si="62"/>
        <v>2</v>
      </c>
      <c r="CA78" s="400">
        <f t="shared" ca="1" si="63"/>
        <v>3150</v>
      </c>
      <c r="CB78" s="400">
        <f t="shared" ca="1" si="16"/>
        <v>0</v>
      </c>
      <c r="CC78" s="398">
        <f t="shared" ca="1" si="64"/>
        <v>188004</v>
      </c>
      <c r="CD78" s="401" t="str">
        <f t="shared" ca="1" si="65"/>
        <v/>
      </c>
      <c r="CE78" s="398">
        <f t="shared" ca="1" si="66"/>
        <v>768</v>
      </c>
      <c r="CF78" s="400">
        <f ca="1">IF(MAX(IF($E$6="No",ROUNDUP($E$3/$I78,0),ROUNDUP(($E$3+$I78)/$I78,0)),IF($E$6="No",ROUNDUP($E$4/$G78,0),ROUNDUP(($E$4+$G78)/$G78,0)),ROUNDUP('BVMS checklist'!$H$217/$J78,0))&gt;1,'BVMS checklist'!$N$224,'BVMS checklist'!$N$217)+MAX(IF($E$6="No",ROUNDUP($E$3/$I78,0),ROUNDUP(($E$3+$I78)/$I78,0)),IF($E$6="No",ROUNDUP($E$4/$G78,0),ROUNDUP(($E$4+$G78)/$G78,0)))+$E$5</f>
        <v>1</v>
      </c>
      <c r="CG78" s="400" t="b">
        <f t="shared" ca="1" si="17"/>
        <v>1</v>
      </c>
      <c r="CH78" s="400" t="str">
        <f t="shared" ca="1" si="67"/>
        <v>Accepted</v>
      </c>
      <c r="CI78" s="398" t="str">
        <f t="shared" ca="1" si="68"/>
        <v>No</v>
      </c>
      <c r="CJ78" s="398" t="str">
        <f t="shared" ca="1" si="69"/>
        <v/>
      </c>
      <c r="CK78" s="398" t="str">
        <f t="shared" ca="1" si="70"/>
        <v/>
      </c>
      <c r="CL78" s="398">
        <f t="shared" ca="1" si="71"/>
        <v>6</v>
      </c>
      <c r="CM78" s="398">
        <f t="shared" ca="1" si="72"/>
        <v>2</v>
      </c>
      <c r="CN78" s="398">
        <f t="shared" ca="1" si="73"/>
        <v>224</v>
      </c>
      <c r="CO78" s="398">
        <f t="shared" ca="1" si="74"/>
        <v>188004</v>
      </c>
      <c r="CP78" s="399">
        <f t="shared" si="546"/>
        <v>0</v>
      </c>
      <c r="CQ78" s="399">
        <f t="shared" si="547"/>
        <v>0</v>
      </c>
      <c r="CR78" s="483" t="str">
        <f t="shared" ca="1" si="75"/>
        <v/>
      </c>
      <c r="CS78"/>
    </row>
    <row r="79" spans="1:97">
      <c r="A79" s="398" t="s">
        <v>343</v>
      </c>
      <c r="B79" s="398" t="s">
        <v>987</v>
      </c>
      <c r="C79" s="440" t="s">
        <v>891</v>
      </c>
      <c r="D79" s="398">
        <v>4</v>
      </c>
      <c r="E79" s="398"/>
      <c r="F79" s="440">
        <v>0</v>
      </c>
      <c r="G79" s="398">
        <f>IF(C79="RAID5",(((15-F79)*2792))+(3*(((7-F79)*3723))),(((14-F79)*2792))+(3*(((6-F79)*3723))))</f>
        <v>120063</v>
      </c>
      <c r="H79" s="399">
        <v>144</v>
      </c>
      <c r="I79" s="399">
        <v>2125</v>
      </c>
      <c r="J79" s="399">
        <v>512</v>
      </c>
      <c r="K79" s="399"/>
      <c r="L79" s="399"/>
      <c r="M79" s="400">
        <f ca="1">IF(MAX(IF($B$6="No",ROUNDUP($B$3/$I79,0),ROUNDUP(($B$3+$I79)/$I79,0)),IF($B$6="No",ROUNDUP($B$4/$G79,0),ROUNDUP(($B$4+$G79)/$G79,0)),ROUNDUP('BVMS checklist'!$H$217/$J79,0))&gt;1,'BVMS checklist'!$H$224,'BVMS checklist'!$H$217)</f>
        <v>0</v>
      </c>
      <c r="N79" s="398">
        <f t="shared" ca="1" si="20"/>
        <v>2</v>
      </c>
      <c r="O79" s="400">
        <f t="shared" ca="1" si="21"/>
        <v>2</v>
      </c>
      <c r="P79" s="400">
        <f t="shared" ca="1" si="0"/>
        <v>4250</v>
      </c>
      <c r="Q79" s="400">
        <f t="shared" ca="1" si="1"/>
        <v>0</v>
      </c>
      <c r="R79" s="398">
        <f t="shared" ca="1" si="2"/>
        <v>240126</v>
      </c>
      <c r="S79" s="401" t="str">
        <f t="shared" ca="1" si="22"/>
        <v/>
      </c>
      <c r="T79" s="398">
        <f t="shared" ca="1" si="23"/>
        <v>1024</v>
      </c>
      <c r="U79" s="400">
        <f ca="1">IF(MAX(IF($B$6="No",ROUNDUP($B$3/$I79,0),ROUNDUP(($B$3+$I79)/$I79,0)),IF($B$6="No",ROUNDUP($B$4/$G79,0),ROUNDUP(($B$4+$G79)/$G79,0)),ROUNDUP('BVMS checklist'!$H$217/$J79,0))&gt;1,'BVMS checklist'!$H$224,'BVMS checklist'!$H$217)+MAX(IF($B$6="No",ROUNDUP($B$3/$I79,0),ROUNDUP(($B$3+$I79)/$I79,0)),IF($B$6="No",ROUNDUP($B$4/$G79,0),ROUNDUP(($B$4+$G79)/$G79,0)))+$B$5</f>
        <v>1</v>
      </c>
      <c r="V79" s="400" t="b">
        <f t="shared" ca="1" si="3"/>
        <v>1</v>
      </c>
      <c r="W79" s="400" t="str">
        <f t="shared" ca="1" si="24"/>
        <v>Accepted</v>
      </c>
      <c r="X79" s="398" t="str">
        <f t="shared" ca="1" si="25"/>
        <v>No</v>
      </c>
      <c r="Y79" s="398" t="str">
        <f t="shared" ca="1" si="26"/>
        <v/>
      </c>
      <c r="Z79" s="398" t="str">
        <f t="shared" ca="1" si="27"/>
        <v/>
      </c>
      <c r="AA79" s="398">
        <f t="shared" ca="1" si="28"/>
        <v>6</v>
      </c>
      <c r="AB79" s="398">
        <f t="shared" ca="1" si="4"/>
        <v>2</v>
      </c>
      <c r="AC79" s="398">
        <f t="shared" ca="1" si="5"/>
        <v>288</v>
      </c>
      <c r="AD79" s="398">
        <f t="shared" ca="1" si="29"/>
        <v>240126</v>
      </c>
      <c r="AE79" s="399">
        <f t="shared" si="540"/>
        <v>0</v>
      </c>
      <c r="AF79" s="399">
        <f t="shared" si="541"/>
        <v>0</v>
      </c>
      <c r="AG79" s="483" t="str">
        <f t="shared" ca="1" si="30"/>
        <v/>
      </c>
      <c r="AH79" s="400">
        <f ca="1">IF(MAX(IF($C$6="No",ROUNDUP($C$3/$I79,0),ROUNDUP(($C$3+$I79)/$I79,0)),IF($C$6="No",ROUNDUP($C$4/$G79,0),ROUNDUP(($C$4+$G79)/$G79,0)),ROUNDUP('BVMS checklist'!$H$217/$J79,0))&gt;1,'BVMS checklist'!$J$224,'BVMS checklist'!$J$217)</f>
        <v>0</v>
      </c>
      <c r="AI79" s="398">
        <f t="shared" ca="1" si="31"/>
        <v>2</v>
      </c>
      <c r="AJ79" s="400">
        <f t="shared" ca="1" si="32"/>
        <v>2</v>
      </c>
      <c r="AK79" s="400">
        <f t="shared" ca="1" si="33"/>
        <v>4250</v>
      </c>
      <c r="AL79" s="400">
        <f t="shared" ca="1" si="34"/>
        <v>0</v>
      </c>
      <c r="AM79" s="398">
        <f t="shared" ca="1" si="35"/>
        <v>240126</v>
      </c>
      <c r="AN79" s="401" t="str">
        <f t="shared" ca="1" si="36"/>
        <v/>
      </c>
      <c r="AO79" s="398">
        <f t="shared" ca="1" si="37"/>
        <v>1024</v>
      </c>
      <c r="AP79" s="400">
        <f ca="1">IF(MAX(IF($C$6="No",ROUNDUP($C$3/$I79,0),ROUNDUP(($C$3+$I79)/$I79,0)),IF($C$6="No",ROUNDUP($C$4/$G79,0),ROUNDUP(($C$4+$G79)/$G79,0)),ROUNDUP('BVMS checklist'!$H$217/$J79,0))&gt;1,'BVMS checklist'!$J$224,'BVMS checklist'!$J$217)+MAX(IF($C$6="No",ROUNDUP($C$3/$I79,0),ROUNDUP(($C$3+$I79)/$I79,0)),IF($C$6="No",ROUNDUP($C$4/$G79,0),ROUNDUP(($C$4+$G79)/$G79,0)))+$C$5</f>
        <v>1</v>
      </c>
      <c r="AQ79" s="400" t="b">
        <f t="shared" ca="1" si="8"/>
        <v>1</v>
      </c>
      <c r="AR79" s="400" t="str">
        <f t="shared" ca="1" si="38"/>
        <v>Accepted</v>
      </c>
      <c r="AS79" s="398" t="str">
        <f t="shared" ca="1" si="39"/>
        <v>No</v>
      </c>
      <c r="AT79" s="398" t="str">
        <f t="shared" ca="1" si="40"/>
        <v/>
      </c>
      <c r="AU79" s="398" t="str">
        <f t="shared" ca="1" si="41"/>
        <v/>
      </c>
      <c r="AV79" s="398">
        <f t="shared" ca="1" si="42"/>
        <v>6</v>
      </c>
      <c r="AW79" s="398">
        <f t="shared" ca="1" si="43"/>
        <v>2</v>
      </c>
      <c r="AX79" s="398">
        <f t="shared" ca="1" si="44"/>
        <v>288</v>
      </c>
      <c r="AY79" s="398">
        <f t="shared" ca="1" si="45"/>
        <v>240126</v>
      </c>
      <c r="AZ79" s="399">
        <f t="shared" si="542"/>
        <v>0</v>
      </c>
      <c r="BA79" s="399">
        <f t="shared" si="543"/>
        <v>0</v>
      </c>
      <c r="BB79" s="483" t="str">
        <f t="shared" ca="1" si="46"/>
        <v/>
      </c>
      <c r="BC79" s="400">
        <f ca="1">IF(MAX(IF($D$6="No",ROUNDUP($D$3/$I79,0),ROUNDUP(($D$3+$I79)/$I79,0)),IF($D$6="No",ROUNDUP($D$4/$G79,0),ROUNDUP(($D$4+$G79)/$G79,0)),ROUNDUP('BVMS checklist'!$H$217/$J79,0))&gt;1,'BVMS checklist'!$L$224,'BVMS checklist'!$L$217)</f>
        <v>0</v>
      </c>
      <c r="BD79" s="398">
        <f t="shared" ca="1" si="47"/>
        <v>2</v>
      </c>
      <c r="BE79" s="400">
        <f t="shared" si="48"/>
        <v>1</v>
      </c>
      <c r="BF79" s="400">
        <f t="shared" si="49"/>
        <v>2125</v>
      </c>
      <c r="BG79" s="400">
        <f t="shared" ca="1" si="11"/>
        <v>0</v>
      </c>
      <c r="BH79" s="398">
        <f t="shared" ca="1" si="50"/>
        <v>240126</v>
      </c>
      <c r="BI79" s="401" t="str">
        <f t="shared" ca="1" si="51"/>
        <v/>
      </c>
      <c r="BJ79" s="398">
        <f t="shared" ca="1" si="52"/>
        <v>1024</v>
      </c>
      <c r="BK79" s="400">
        <f ca="1">IF(MAX(IF($D$6="No",ROUNDUP($D$3/$I79,0),ROUNDUP(($D$3+$I79)/$I79,0)),IF($D$6="No",ROUNDUP($D$4/$G79,0),ROUNDUP(($D$4+$G79)/$G79,0)),ROUNDUP('BVMS checklist'!$H$217/$J79,0))&gt;1,'BVMS checklist'!$L$224,'BVMS checklist'!$L$217)+MAX(IF($D$6="No",ROUNDUP($D$3/$I79,0),ROUNDUP(($D$3+$I79)/$I79,0)),IF($D$6="No",ROUNDUP($D$4/$G79,0),ROUNDUP(($D$4+$G79)/$G79,0)))+$D$5</f>
        <v>1</v>
      </c>
      <c r="BL79" s="400" t="b">
        <f t="shared" ca="1" si="12"/>
        <v>1</v>
      </c>
      <c r="BM79" s="400" t="str">
        <f t="shared" ca="1" si="53"/>
        <v>Accepted</v>
      </c>
      <c r="BN79" s="398" t="str">
        <f t="shared" ca="1" si="13"/>
        <v>No</v>
      </c>
      <c r="BO79" s="398" t="str">
        <f t="shared" ca="1" si="54"/>
        <v/>
      </c>
      <c r="BP79" s="398" t="str">
        <f t="shared" ca="1" si="55"/>
        <v/>
      </c>
      <c r="BQ79" s="398">
        <f t="shared" ca="1" si="56"/>
        <v>6</v>
      </c>
      <c r="BR79" s="398">
        <f t="shared" ca="1" si="57"/>
        <v>2</v>
      </c>
      <c r="BS79" s="398">
        <f t="shared" ca="1" si="58"/>
        <v>288</v>
      </c>
      <c r="BT79" s="398">
        <f t="shared" ca="1" si="59"/>
        <v>240126</v>
      </c>
      <c r="BU79" s="399">
        <f t="shared" si="544"/>
        <v>0</v>
      </c>
      <c r="BV79" s="399">
        <f t="shared" si="545"/>
        <v>0</v>
      </c>
      <c r="BW79" s="483" t="str">
        <f t="shared" ca="1" si="60"/>
        <v/>
      </c>
      <c r="BX79" s="400">
        <f ca="1">IF(MAX(IF($E$6="No",ROUNDUP($E$3/$I79,0),ROUNDUP(($E$3+$I79)/$I79,0)),IF($E$6="No",ROUNDUP($E$4/$G79,0),ROUNDUP(($E$4+$G79)/$G79,0)),ROUNDUP('BVMS checklist'!$H$217/$J79,0))&gt;1,'BVMS checklist'!$N$224,'BVMS checklist'!$N$217)</f>
        <v>0</v>
      </c>
      <c r="BY79" s="398">
        <f t="shared" ca="1" si="61"/>
        <v>2</v>
      </c>
      <c r="BZ79" s="400">
        <f t="shared" ca="1" si="62"/>
        <v>2</v>
      </c>
      <c r="CA79" s="400">
        <f t="shared" ca="1" si="63"/>
        <v>4250</v>
      </c>
      <c r="CB79" s="400">
        <f t="shared" ca="1" si="16"/>
        <v>0</v>
      </c>
      <c r="CC79" s="398">
        <f t="shared" ca="1" si="64"/>
        <v>240126</v>
      </c>
      <c r="CD79" s="401" t="str">
        <f t="shared" ca="1" si="65"/>
        <v/>
      </c>
      <c r="CE79" s="398">
        <f t="shared" ca="1" si="66"/>
        <v>1024</v>
      </c>
      <c r="CF79" s="400">
        <f ca="1">IF(MAX(IF($E$6="No",ROUNDUP($E$3/$I79,0),ROUNDUP(($E$3+$I79)/$I79,0)),IF($E$6="No",ROUNDUP($E$4/$G79,0),ROUNDUP(($E$4+$G79)/$G79,0)),ROUNDUP('BVMS checklist'!$H$217/$J79,0))&gt;1,'BVMS checklist'!$N$224,'BVMS checklist'!$N$217)+MAX(IF($E$6="No",ROUNDUP($E$3/$I79,0),ROUNDUP(($E$3+$I79)/$I79,0)),IF($E$6="No",ROUNDUP($E$4/$G79,0),ROUNDUP(($E$4+$G79)/$G79,0)))+$E$5</f>
        <v>1</v>
      </c>
      <c r="CG79" s="400" t="b">
        <f t="shared" ca="1" si="17"/>
        <v>1</v>
      </c>
      <c r="CH79" s="400" t="str">
        <f t="shared" ca="1" si="67"/>
        <v>Accepted</v>
      </c>
      <c r="CI79" s="398" t="str">
        <f t="shared" ca="1" si="68"/>
        <v>No</v>
      </c>
      <c r="CJ79" s="398" t="str">
        <f t="shared" ca="1" si="69"/>
        <v/>
      </c>
      <c r="CK79" s="398" t="str">
        <f t="shared" ca="1" si="70"/>
        <v/>
      </c>
      <c r="CL79" s="398">
        <f t="shared" ca="1" si="71"/>
        <v>6</v>
      </c>
      <c r="CM79" s="398">
        <f t="shared" ca="1" si="72"/>
        <v>2</v>
      </c>
      <c r="CN79" s="398">
        <f t="shared" ca="1" si="73"/>
        <v>288</v>
      </c>
      <c r="CO79" s="398">
        <f t="shared" ca="1" si="74"/>
        <v>240126</v>
      </c>
      <c r="CP79" s="399">
        <f t="shared" si="546"/>
        <v>0</v>
      </c>
      <c r="CQ79" s="399">
        <f t="shared" si="547"/>
        <v>0</v>
      </c>
      <c r="CR79" s="483" t="str">
        <f t="shared" ca="1" si="75"/>
        <v/>
      </c>
      <c r="CS79"/>
    </row>
    <row r="80" spans="1:97">
      <c r="A80" s="398" t="s">
        <v>344</v>
      </c>
      <c r="B80" s="398" t="s">
        <v>987</v>
      </c>
      <c r="C80" s="440" t="s">
        <v>891</v>
      </c>
      <c r="D80" s="398">
        <v>5</v>
      </c>
      <c r="E80" s="398"/>
      <c r="F80" s="440">
        <v>0</v>
      </c>
      <c r="G80" s="398">
        <f>IF(C80="RAID5",(((15-F80)*2792))+(4*(((7-F80)*3723))),(((14-F80)*2792))+(4*(((6-F80)*3723))))</f>
        <v>146124</v>
      </c>
      <c r="H80" s="399">
        <v>176</v>
      </c>
      <c r="I80" s="399">
        <v>2675</v>
      </c>
      <c r="J80" s="399">
        <v>640</v>
      </c>
      <c r="K80" s="399"/>
      <c r="L80" s="399"/>
      <c r="M80" s="400">
        <f ca="1">IF(MAX(IF($B$6="No",ROUNDUP($B$3/$I80,0),ROUNDUP(($B$3+$I80)/$I80,0)),IF($B$6="No",ROUNDUP($B$4/$G80,0),ROUNDUP(($B$4+$G80)/$G80,0)),ROUNDUP('BVMS checklist'!$H$217/$J80,0))&gt;1,'BVMS checklist'!$H$224,'BVMS checklist'!$H$217)</f>
        <v>0</v>
      </c>
      <c r="N80" s="398">
        <f t="shared" ca="1" si="20"/>
        <v>2</v>
      </c>
      <c r="O80" s="400">
        <f t="shared" ca="1" si="21"/>
        <v>2</v>
      </c>
      <c r="P80" s="400">
        <f t="shared" ca="1" si="0"/>
        <v>5350</v>
      </c>
      <c r="Q80" s="400">
        <f t="shared" ca="1" si="1"/>
        <v>0</v>
      </c>
      <c r="R80" s="398">
        <f t="shared" ca="1" si="2"/>
        <v>292248</v>
      </c>
      <c r="S80" s="401" t="str">
        <f t="shared" ca="1" si="22"/>
        <v/>
      </c>
      <c r="T80" s="398">
        <f t="shared" ca="1" si="23"/>
        <v>1280</v>
      </c>
      <c r="U80" s="400">
        <f ca="1">IF(MAX(IF($B$6="No",ROUNDUP($B$3/$I80,0),ROUNDUP(($B$3+$I80)/$I80,0)),IF($B$6="No",ROUNDUP($B$4/$G80,0),ROUNDUP(($B$4+$G80)/$G80,0)),ROUNDUP('BVMS checklist'!$H$217/$J80,0))&gt;1,'BVMS checklist'!$H$224,'BVMS checklist'!$H$217)+MAX(IF($B$6="No",ROUNDUP($B$3/$I80,0),ROUNDUP(($B$3+$I80)/$I80,0)),IF($B$6="No",ROUNDUP($B$4/$G80,0),ROUNDUP(($B$4+$G80)/$G80,0)))+$B$5</f>
        <v>1</v>
      </c>
      <c r="V80" s="400" t="b">
        <f t="shared" ca="1" si="3"/>
        <v>1</v>
      </c>
      <c r="W80" s="400" t="str">
        <f t="shared" ca="1" si="24"/>
        <v>Accepted</v>
      </c>
      <c r="X80" s="398" t="str">
        <f t="shared" ca="1" si="25"/>
        <v>No</v>
      </c>
      <c r="Y80" s="398" t="str">
        <f t="shared" ca="1" si="26"/>
        <v/>
      </c>
      <c r="Z80" s="398" t="str">
        <f t="shared" ca="1" si="27"/>
        <v/>
      </c>
      <c r="AA80" s="398">
        <f t="shared" ca="1" si="28"/>
        <v>6</v>
      </c>
      <c r="AB80" s="398">
        <f t="shared" ca="1" si="4"/>
        <v>2</v>
      </c>
      <c r="AC80" s="398">
        <f t="shared" ca="1" si="5"/>
        <v>352</v>
      </c>
      <c r="AD80" s="398">
        <f t="shared" ca="1" si="29"/>
        <v>292248</v>
      </c>
      <c r="AE80" s="399">
        <f t="shared" si="540"/>
        <v>0</v>
      </c>
      <c r="AF80" s="399">
        <f t="shared" si="541"/>
        <v>0</v>
      </c>
      <c r="AG80" s="483" t="str">
        <f t="shared" ca="1" si="30"/>
        <v/>
      </c>
      <c r="AH80" s="400">
        <f ca="1">IF(MAX(IF($C$6="No",ROUNDUP($C$3/$I80,0),ROUNDUP(($C$3+$I80)/$I80,0)),IF($C$6="No",ROUNDUP($C$4/$G80,0),ROUNDUP(($C$4+$G80)/$G80,0)),ROUNDUP('BVMS checklist'!$H$217/$J80,0))&gt;1,'BVMS checklist'!$J$224,'BVMS checklist'!$J$217)</f>
        <v>0</v>
      </c>
      <c r="AI80" s="398">
        <f t="shared" ca="1" si="31"/>
        <v>2</v>
      </c>
      <c r="AJ80" s="400">
        <f t="shared" ca="1" si="32"/>
        <v>2</v>
      </c>
      <c r="AK80" s="400">
        <f t="shared" ca="1" si="33"/>
        <v>5350</v>
      </c>
      <c r="AL80" s="400">
        <f t="shared" ca="1" si="34"/>
        <v>0</v>
      </c>
      <c r="AM80" s="398">
        <f t="shared" ca="1" si="35"/>
        <v>292248</v>
      </c>
      <c r="AN80" s="401" t="str">
        <f t="shared" ca="1" si="36"/>
        <v/>
      </c>
      <c r="AO80" s="398">
        <f t="shared" ca="1" si="37"/>
        <v>1280</v>
      </c>
      <c r="AP80" s="400">
        <f ca="1">IF(MAX(IF($C$6="No",ROUNDUP($C$3/$I80,0),ROUNDUP(($C$3+$I80)/$I80,0)),IF($C$6="No",ROUNDUP($C$4/$G80,0),ROUNDUP(($C$4+$G80)/$G80,0)),ROUNDUP('BVMS checklist'!$H$217/$J80,0))&gt;1,'BVMS checklist'!$J$224,'BVMS checklist'!$J$217)+MAX(IF($C$6="No",ROUNDUP($C$3/$I80,0),ROUNDUP(($C$3+$I80)/$I80,0)),IF($C$6="No",ROUNDUP($C$4/$G80,0),ROUNDUP(($C$4+$G80)/$G80,0)))+$C$5</f>
        <v>1</v>
      </c>
      <c r="AQ80" s="400" t="b">
        <f t="shared" ca="1" si="8"/>
        <v>1</v>
      </c>
      <c r="AR80" s="400" t="str">
        <f t="shared" ca="1" si="38"/>
        <v>Accepted</v>
      </c>
      <c r="AS80" s="398" t="str">
        <f t="shared" ca="1" si="39"/>
        <v>No</v>
      </c>
      <c r="AT80" s="398" t="str">
        <f t="shared" ca="1" si="40"/>
        <v/>
      </c>
      <c r="AU80" s="398" t="str">
        <f t="shared" ca="1" si="41"/>
        <v/>
      </c>
      <c r="AV80" s="398">
        <f t="shared" ca="1" si="42"/>
        <v>6</v>
      </c>
      <c r="AW80" s="398">
        <f t="shared" ca="1" si="43"/>
        <v>2</v>
      </c>
      <c r="AX80" s="398">
        <f t="shared" ca="1" si="44"/>
        <v>352</v>
      </c>
      <c r="AY80" s="398">
        <f t="shared" ca="1" si="45"/>
        <v>292248</v>
      </c>
      <c r="AZ80" s="399">
        <f t="shared" si="542"/>
        <v>0</v>
      </c>
      <c r="BA80" s="399">
        <f t="shared" si="543"/>
        <v>0</v>
      </c>
      <c r="BB80" s="483" t="str">
        <f t="shared" ca="1" si="46"/>
        <v/>
      </c>
      <c r="BC80" s="400">
        <f ca="1">IF(MAX(IF($D$6="No",ROUNDUP($D$3/$I80,0),ROUNDUP(($D$3+$I80)/$I80,0)),IF($D$6="No",ROUNDUP($D$4/$G80,0),ROUNDUP(($D$4+$G80)/$G80,0)),ROUNDUP('BVMS checklist'!$H$217/$J80,0))&gt;1,'BVMS checklist'!$L$224,'BVMS checklist'!$L$217)</f>
        <v>0</v>
      </c>
      <c r="BD80" s="398">
        <f t="shared" ca="1" si="47"/>
        <v>2</v>
      </c>
      <c r="BE80" s="400">
        <f t="shared" si="48"/>
        <v>1</v>
      </c>
      <c r="BF80" s="400">
        <f t="shared" si="49"/>
        <v>2675</v>
      </c>
      <c r="BG80" s="400">
        <f t="shared" ca="1" si="11"/>
        <v>0</v>
      </c>
      <c r="BH80" s="398">
        <f t="shared" ca="1" si="50"/>
        <v>292248</v>
      </c>
      <c r="BI80" s="401" t="str">
        <f t="shared" ca="1" si="51"/>
        <v/>
      </c>
      <c r="BJ80" s="398">
        <f t="shared" ca="1" si="52"/>
        <v>1280</v>
      </c>
      <c r="BK80" s="400">
        <f ca="1">IF(MAX(IF($D$6="No",ROUNDUP($D$3/$I80,0),ROUNDUP(($D$3+$I80)/$I80,0)),IF($D$6="No",ROUNDUP($D$4/$G80,0),ROUNDUP(($D$4+$G80)/$G80,0)),ROUNDUP('BVMS checklist'!$H$217/$J80,0))&gt;1,'BVMS checklist'!$L$224,'BVMS checklist'!$L$217)+MAX(IF($D$6="No",ROUNDUP($D$3/$I80,0),ROUNDUP(($D$3+$I80)/$I80,0)),IF($D$6="No",ROUNDUP($D$4/$G80,0),ROUNDUP(($D$4+$G80)/$G80,0)))+$D$5</f>
        <v>1</v>
      </c>
      <c r="BL80" s="400" t="b">
        <f t="shared" ca="1" si="12"/>
        <v>1</v>
      </c>
      <c r="BM80" s="400" t="str">
        <f t="shared" ca="1" si="53"/>
        <v>Accepted</v>
      </c>
      <c r="BN80" s="398" t="str">
        <f t="shared" ca="1" si="13"/>
        <v>No</v>
      </c>
      <c r="BO80" s="398" t="str">
        <f t="shared" ca="1" si="54"/>
        <v/>
      </c>
      <c r="BP80" s="398" t="str">
        <f t="shared" ca="1" si="55"/>
        <v/>
      </c>
      <c r="BQ80" s="398">
        <f t="shared" ca="1" si="56"/>
        <v>6</v>
      </c>
      <c r="BR80" s="398">
        <f t="shared" ca="1" si="57"/>
        <v>2</v>
      </c>
      <c r="BS80" s="398">
        <f t="shared" ca="1" si="58"/>
        <v>352</v>
      </c>
      <c r="BT80" s="398">
        <f t="shared" ca="1" si="59"/>
        <v>292248</v>
      </c>
      <c r="BU80" s="399">
        <f t="shared" si="544"/>
        <v>0</v>
      </c>
      <c r="BV80" s="399">
        <f t="shared" si="545"/>
        <v>0</v>
      </c>
      <c r="BW80" s="483" t="str">
        <f t="shared" ca="1" si="60"/>
        <v/>
      </c>
      <c r="BX80" s="400">
        <f ca="1">IF(MAX(IF($E$6="No",ROUNDUP($E$3/$I80,0),ROUNDUP(($E$3+$I80)/$I80,0)),IF($E$6="No",ROUNDUP($E$4/$G80,0),ROUNDUP(($E$4+$G80)/$G80,0)),ROUNDUP('BVMS checklist'!$H$217/$J80,0))&gt;1,'BVMS checklist'!$N$224,'BVMS checklist'!$N$217)</f>
        <v>0</v>
      </c>
      <c r="BY80" s="398">
        <f t="shared" ca="1" si="61"/>
        <v>2</v>
      </c>
      <c r="BZ80" s="400">
        <f t="shared" ca="1" si="62"/>
        <v>2</v>
      </c>
      <c r="CA80" s="400">
        <f t="shared" ca="1" si="63"/>
        <v>5350</v>
      </c>
      <c r="CB80" s="400">
        <f t="shared" ca="1" si="16"/>
        <v>0</v>
      </c>
      <c r="CC80" s="398">
        <f t="shared" ca="1" si="64"/>
        <v>292248</v>
      </c>
      <c r="CD80" s="401" t="str">
        <f t="shared" ca="1" si="65"/>
        <v/>
      </c>
      <c r="CE80" s="398">
        <f t="shared" ca="1" si="66"/>
        <v>1280</v>
      </c>
      <c r="CF80" s="400">
        <f ca="1">IF(MAX(IF($E$6="No",ROUNDUP($E$3/$I80,0),ROUNDUP(($E$3+$I80)/$I80,0)),IF($E$6="No",ROUNDUP($E$4/$G80,0),ROUNDUP(($E$4+$G80)/$G80,0)),ROUNDUP('BVMS checklist'!$H$217/$J80,0))&gt;1,'BVMS checklist'!$N$224,'BVMS checklist'!$N$217)+MAX(IF($E$6="No",ROUNDUP($E$3/$I80,0),ROUNDUP(($E$3+$I80)/$I80,0)),IF($E$6="No",ROUNDUP($E$4/$G80,0),ROUNDUP(($E$4+$G80)/$G80,0)))+$E$5</f>
        <v>1</v>
      </c>
      <c r="CG80" s="400" t="b">
        <f t="shared" ca="1" si="17"/>
        <v>1</v>
      </c>
      <c r="CH80" s="400" t="str">
        <f t="shared" ca="1" si="67"/>
        <v>Accepted</v>
      </c>
      <c r="CI80" s="398" t="str">
        <f t="shared" ca="1" si="68"/>
        <v>No</v>
      </c>
      <c r="CJ80" s="398" t="str">
        <f t="shared" ca="1" si="69"/>
        <v/>
      </c>
      <c r="CK80" s="398" t="str">
        <f t="shared" ca="1" si="70"/>
        <v/>
      </c>
      <c r="CL80" s="398">
        <f t="shared" ca="1" si="71"/>
        <v>6</v>
      </c>
      <c r="CM80" s="398">
        <f t="shared" ca="1" si="72"/>
        <v>2</v>
      </c>
      <c r="CN80" s="398">
        <f t="shared" ca="1" si="73"/>
        <v>352</v>
      </c>
      <c r="CO80" s="398">
        <f t="shared" ca="1" si="74"/>
        <v>292248</v>
      </c>
      <c r="CP80" s="399">
        <f t="shared" si="546"/>
        <v>0</v>
      </c>
      <c r="CQ80" s="399">
        <f t="shared" si="547"/>
        <v>0</v>
      </c>
      <c r="CR80" s="483" t="str">
        <f t="shared" ca="1" si="75"/>
        <v/>
      </c>
      <c r="CS80"/>
    </row>
    <row r="81" spans="1:97">
      <c r="A81" s="398" t="s">
        <v>345</v>
      </c>
      <c r="B81" s="398" t="s">
        <v>987</v>
      </c>
      <c r="C81" s="440" t="s">
        <v>891</v>
      </c>
      <c r="D81" s="398">
        <v>2</v>
      </c>
      <c r="E81" s="398"/>
      <c r="F81" s="440">
        <v>0</v>
      </c>
      <c r="G81" s="398">
        <f>IF(C81="RAID5",(((15-F81)*2792))+(1*(((15-F81)*2792))),(((14-F81)*2792))+(1*(((14-F81)*2792))))</f>
        <v>83760</v>
      </c>
      <c r="H81" s="399">
        <v>96</v>
      </c>
      <c r="I81" s="399">
        <v>1025</v>
      </c>
      <c r="J81" s="399">
        <v>256</v>
      </c>
      <c r="K81" s="399"/>
      <c r="L81" s="399"/>
      <c r="M81" s="400">
        <f ca="1">IF(MAX(IF($B$6="No",ROUNDUP($B$3/$I81,0),ROUNDUP(($B$3+$I81)/$I81,0)),IF($B$6="No",ROUNDUP($B$4/$G81,0),ROUNDUP(($B$4+$G81)/$G81,0)),ROUNDUP('BVMS checklist'!$H$217/$J81,0))&gt;1,'BVMS checklist'!$H$224,'BVMS checklist'!$H$217)</f>
        <v>0</v>
      </c>
      <c r="N81" s="398">
        <f t="shared" ca="1" si="20"/>
        <v>2</v>
      </c>
      <c r="O81" s="400">
        <f t="shared" ca="1" si="21"/>
        <v>2</v>
      </c>
      <c r="P81" s="400">
        <f t="shared" ca="1" si="0"/>
        <v>2050</v>
      </c>
      <c r="Q81" s="400">
        <f t="shared" ca="1" si="1"/>
        <v>0</v>
      </c>
      <c r="R81" s="398">
        <f t="shared" ca="1" si="2"/>
        <v>167520</v>
      </c>
      <c r="S81" s="401" t="str">
        <f t="shared" ca="1" si="22"/>
        <v/>
      </c>
      <c r="T81" s="398">
        <f t="shared" ca="1" si="23"/>
        <v>512</v>
      </c>
      <c r="U81" s="400">
        <f ca="1">IF(MAX(IF($B$6="No",ROUNDUP($B$3/$I81,0),ROUNDUP(($B$3+$I81)/$I81,0)),IF($B$6="No",ROUNDUP($B$4/$G81,0),ROUNDUP(($B$4+$G81)/$G81,0)),ROUNDUP('BVMS checklist'!$H$217/$J81,0))&gt;1,'BVMS checklist'!$H$224,'BVMS checklist'!$H$217)+MAX(IF($B$6="No",ROUNDUP($B$3/$I81,0),ROUNDUP(($B$3+$I81)/$I81,0)),IF($B$6="No",ROUNDUP($B$4/$G81,0),ROUNDUP(($B$4+$G81)/$G81,0)))+$B$5</f>
        <v>1</v>
      </c>
      <c r="V81" s="400" t="b">
        <f t="shared" ca="1" si="3"/>
        <v>1</v>
      </c>
      <c r="W81" s="400" t="str">
        <f t="shared" ca="1" si="24"/>
        <v>Accepted</v>
      </c>
      <c r="X81" s="398" t="str">
        <f t="shared" ca="1" si="25"/>
        <v>No</v>
      </c>
      <c r="Y81" s="398" t="str">
        <f t="shared" ca="1" si="26"/>
        <v/>
      </c>
      <c r="Z81" s="398" t="str">
        <f t="shared" ca="1" si="27"/>
        <v/>
      </c>
      <c r="AA81" s="398">
        <f t="shared" ca="1" si="28"/>
        <v>6</v>
      </c>
      <c r="AB81" s="398">
        <f t="shared" ca="1" si="4"/>
        <v>2</v>
      </c>
      <c r="AC81" s="398">
        <f t="shared" ca="1" si="5"/>
        <v>192</v>
      </c>
      <c r="AD81" s="398">
        <f t="shared" ca="1" si="29"/>
        <v>167520</v>
      </c>
      <c r="AE81" s="399">
        <f t="shared" si="540"/>
        <v>0</v>
      </c>
      <c r="AF81" s="399">
        <f t="shared" si="541"/>
        <v>0</v>
      </c>
      <c r="AG81" s="483" t="str">
        <f t="shared" ca="1" si="30"/>
        <v/>
      </c>
      <c r="AH81" s="400">
        <f ca="1">IF(MAX(IF($C$6="No",ROUNDUP($C$3/$I81,0),ROUNDUP(($C$3+$I81)/$I81,0)),IF($C$6="No",ROUNDUP($C$4/$G81,0),ROUNDUP(($C$4+$G81)/$G81,0)),ROUNDUP('BVMS checklist'!$H$217/$J81,0))&gt;1,'BVMS checklist'!$J$224,'BVMS checklist'!$J$217)</f>
        <v>0</v>
      </c>
      <c r="AI81" s="398">
        <f t="shared" ca="1" si="31"/>
        <v>2</v>
      </c>
      <c r="AJ81" s="400">
        <f t="shared" ca="1" si="32"/>
        <v>2</v>
      </c>
      <c r="AK81" s="400">
        <f t="shared" ca="1" si="33"/>
        <v>2050</v>
      </c>
      <c r="AL81" s="400">
        <f t="shared" ca="1" si="34"/>
        <v>0</v>
      </c>
      <c r="AM81" s="398">
        <f t="shared" ca="1" si="35"/>
        <v>167520</v>
      </c>
      <c r="AN81" s="401" t="str">
        <f t="shared" ca="1" si="36"/>
        <v/>
      </c>
      <c r="AO81" s="398">
        <f t="shared" ca="1" si="37"/>
        <v>512</v>
      </c>
      <c r="AP81" s="400">
        <f ca="1">IF(MAX(IF($C$6="No",ROUNDUP($C$3/$I81,0),ROUNDUP(($C$3+$I81)/$I81,0)),IF($C$6="No",ROUNDUP($C$4/$G81,0),ROUNDUP(($C$4+$G81)/$G81,0)),ROUNDUP('BVMS checklist'!$H$217/$J81,0))&gt;1,'BVMS checklist'!$J$224,'BVMS checklist'!$J$217)+MAX(IF($C$6="No",ROUNDUP($C$3/$I81,0),ROUNDUP(($C$3+$I81)/$I81,0)),IF($C$6="No",ROUNDUP($C$4/$G81,0),ROUNDUP(($C$4+$G81)/$G81,0)))+$C$5</f>
        <v>1</v>
      </c>
      <c r="AQ81" s="400" t="b">
        <f t="shared" ca="1" si="8"/>
        <v>1</v>
      </c>
      <c r="AR81" s="400" t="str">
        <f t="shared" ca="1" si="38"/>
        <v>Accepted</v>
      </c>
      <c r="AS81" s="398" t="str">
        <f t="shared" ca="1" si="39"/>
        <v>No</v>
      </c>
      <c r="AT81" s="398" t="str">
        <f t="shared" ca="1" si="40"/>
        <v/>
      </c>
      <c r="AU81" s="398" t="str">
        <f t="shared" ca="1" si="41"/>
        <v/>
      </c>
      <c r="AV81" s="398">
        <f t="shared" ca="1" si="42"/>
        <v>6</v>
      </c>
      <c r="AW81" s="398">
        <f t="shared" ca="1" si="43"/>
        <v>2</v>
      </c>
      <c r="AX81" s="398">
        <f t="shared" ca="1" si="44"/>
        <v>192</v>
      </c>
      <c r="AY81" s="398">
        <f t="shared" ca="1" si="45"/>
        <v>167520</v>
      </c>
      <c r="AZ81" s="399">
        <f t="shared" si="542"/>
        <v>0</v>
      </c>
      <c r="BA81" s="399">
        <f t="shared" si="543"/>
        <v>0</v>
      </c>
      <c r="BB81" s="483" t="str">
        <f t="shared" ca="1" si="46"/>
        <v/>
      </c>
      <c r="BC81" s="400">
        <f ca="1">IF(MAX(IF($D$6="No",ROUNDUP($D$3/$I81,0),ROUNDUP(($D$3+$I81)/$I81,0)),IF($D$6="No",ROUNDUP($D$4/$G81,0),ROUNDUP(($D$4+$G81)/$G81,0)),ROUNDUP('BVMS checklist'!$H$217/$J81,0))&gt;1,'BVMS checklist'!$L$224,'BVMS checklist'!$L$217)</f>
        <v>0</v>
      </c>
      <c r="BD81" s="398">
        <f t="shared" ca="1" si="47"/>
        <v>2</v>
      </c>
      <c r="BE81" s="400">
        <f t="shared" si="48"/>
        <v>1</v>
      </c>
      <c r="BF81" s="400">
        <f t="shared" si="49"/>
        <v>1025</v>
      </c>
      <c r="BG81" s="400">
        <f t="shared" ca="1" si="11"/>
        <v>0</v>
      </c>
      <c r="BH81" s="398">
        <f t="shared" ca="1" si="50"/>
        <v>167520</v>
      </c>
      <c r="BI81" s="401" t="str">
        <f t="shared" ca="1" si="51"/>
        <v/>
      </c>
      <c r="BJ81" s="398">
        <f t="shared" ca="1" si="52"/>
        <v>512</v>
      </c>
      <c r="BK81" s="400">
        <f ca="1">IF(MAX(IF($D$6="No",ROUNDUP($D$3/$I81,0),ROUNDUP(($D$3+$I81)/$I81,0)),IF($D$6="No",ROUNDUP($D$4/$G81,0),ROUNDUP(($D$4+$G81)/$G81,0)),ROUNDUP('BVMS checklist'!$H$217/$J81,0))&gt;1,'BVMS checklist'!$L$224,'BVMS checklist'!$L$217)+MAX(IF($D$6="No",ROUNDUP($D$3/$I81,0),ROUNDUP(($D$3+$I81)/$I81,0)),IF($D$6="No",ROUNDUP($D$4/$G81,0),ROUNDUP(($D$4+$G81)/$G81,0)))+$D$5</f>
        <v>1</v>
      </c>
      <c r="BL81" s="400" t="b">
        <f t="shared" ca="1" si="12"/>
        <v>1</v>
      </c>
      <c r="BM81" s="400" t="str">
        <f t="shared" ca="1" si="53"/>
        <v>Accepted</v>
      </c>
      <c r="BN81" s="398" t="str">
        <f t="shared" ca="1" si="13"/>
        <v>No</v>
      </c>
      <c r="BO81" s="398" t="str">
        <f t="shared" ca="1" si="54"/>
        <v/>
      </c>
      <c r="BP81" s="398" t="str">
        <f t="shared" ca="1" si="55"/>
        <v/>
      </c>
      <c r="BQ81" s="398">
        <f t="shared" ca="1" si="56"/>
        <v>6</v>
      </c>
      <c r="BR81" s="398">
        <f t="shared" ca="1" si="57"/>
        <v>2</v>
      </c>
      <c r="BS81" s="398">
        <f t="shared" ca="1" si="58"/>
        <v>192</v>
      </c>
      <c r="BT81" s="398">
        <f t="shared" ca="1" si="59"/>
        <v>167520</v>
      </c>
      <c r="BU81" s="399">
        <f t="shared" si="544"/>
        <v>0</v>
      </c>
      <c r="BV81" s="399">
        <f t="shared" si="545"/>
        <v>0</v>
      </c>
      <c r="BW81" s="483" t="str">
        <f t="shared" ca="1" si="60"/>
        <v/>
      </c>
      <c r="BX81" s="400">
        <f ca="1">IF(MAX(IF($E$6="No",ROUNDUP($E$3/$I81,0),ROUNDUP(($E$3+$I81)/$I81,0)),IF($E$6="No",ROUNDUP($E$4/$G81,0),ROUNDUP(($E$4+$G81)/$G81,0)),ROUNDUP('BVMS checklist'!$H$217/$J81,0))&gt;1,'BVMS checklist'!$N$224,'BVMS checklist'!$N$217)</f>
        <v>0</v>
      </c>
      <c r="BY81" s="398">
        <f t="shared" ca="1" si="61"/>
        <v>2</v>
      </c>
      <c r="BZ81" s="400">
        <f t="shared" ca="1" si="62"/>
        <v>2</v>
      </c>
      <c r="CA81" s="400">
        <f t="shared" ca="1" si="63"/>
        <v>2050</v>
      </c>
      <c r="CB81" s="400">
        <f t="shared" ca="1" si="16"/>
        <v>0</v>
      </c>
      <c r="CC81" s="398">
        <f t="shared" ca="1" si="64"/>
        <v>167520</v>
      </c>
      <c r="CD81" s="401" t="str">
        <f t="shared" ca="1" si="65"/>
        <v/>
      </c>
      <c r="CE81" s="398">
        <f t="shared" ca="1" si="66"/>
        <v>512</v>
      </c>
      <c r="CF81" s="400">
        <f ca="1">IF(MAX(IF($E$6="No",ROUNDUP($E$3/$I81,0),ROUNDUP(($E$3+$I81)/$I81,0)),IF($E$6="No",ROUNDUP($E$4/$G81,0),ROUNDUP(($E$4+$G81)/$G81,0)),ROUNDUP('BVMS checklist'!$H$217/$J81,0))&gt;1,'BVMS checklist'!$N$224,'BVMS checklist'!$N$217)+MAX(IF($E$6="No",ROUNDUP($E$3/$I81,0),ROUNDUP(($E$3+$I81)/$I81,0)),IF($E$6="No",ROUNDUP($E$4/$G81,0),ROUNDUP(($E$4+$G81)/$G81,0)))+$E$5</f>
        <v>1</v>
      </c>
      <c r="CG81" s="400" t="b">
        <f t="shared" ca="1" si="17"/>
        <v>1</v>
      </c>
      <c r="CH81" s="400" t="str">
        <f t="shared" ca="1" si="67"/>
        <v>Accepted</v>
      </c>
      <c r="CI81" s="398" t="str">
        <f t="shared" ca="1" si="68"/>
        <v>No</v>
      </c>
      <c r="CJ81" s="398" t="str">
        <f t="shared" ca="1" si="69"/>
        <v/>
      </c>
      <c r="CK81" s="398" t="str">
        <f t="shared" ca="1" si="70"/>
        <v/>
      </c>
      <c r="CL81" s="398">
        <f t="shared" ca="1" si="71"/>
        <v>6</v>
      </c>
      <c r="CM81" s="398">
        <f t="shared" ca="1" si="72"/>
        <v>2</v>
      </c>
      <c r="CN81" s="398">
        <f t="shared" ca="1" si="73"/>
        <v>192</v>
      </c>
      <c r="CO81" s="398">
        <f t="shared" ca="1" si="74"/>
        <v>167520</v>
      </c>
      <c r="CP81" s="399">
        <f t="shared" si="546"/>
        <v>0</v>
      </c>
      <c r="CQ81" s="399">
        <f t="shared" si="547"/>
        <v>0</v>
      </c>
      <c r="CR81" s="483" t="str">
        <f t="shared" ca="1" si="75"/>
        <v/>
      </c>
      <c r="CS81"/>
    </row>
    <row r="82" spans="1:97">
      <c r="A82" s="398" t="s">
        <v>346</v>
      </c>
      <c r="B82" s="398" t="s">
        <v>987</v>
      </c>
      <c r="C82" s="440" t="s">
        <v>891</v>
      </c>
      <c r="D82" s="398">
        <v>3</v>
      </c>
      <c r="E82" s="398"/>
      <c r="F82" s="440">
        <v>0</v>
      </c>
      <c r="G82" s="398">
        <f>IF(C82="RAID5",(((15-F82)*2792))+(2*(((15-F82)*2792))),(((14-F82)*2792))+(2*(((14-F82)*2792))))</f>
        <v>125640</v>
      </c>
      <c r="H82" s="399">
        <v>144</v>
      </c>
      <c r="I82" s="399">
        <v>1575</v>
      </c>
      <c r="J82" s="399">
        <v>384</v>
      </c>
      <c r="K82" s="399"/>
      <c r="L82" s="399"/>
      <c r="M82" s="400">
        <f ca="1">IF(MAX(IF($B$6="No",ROUNDUP($B$3/$I82,0),ROUNDUP(($B$3+$I82)/$I82,0)),IF($B$6="No",ROUNDUP($B$4/$G82,0),ROUNDUP(($B$4+$G82)/$G82,0)),ROUNDUP('BVMS checklist'!$H$217/$J82,0))&gt;1,'BVMS checklist'!$H$224,'BVMS checklist'!$H$217)</f>
        <v>0</v>
      </c>
      <c r="N82" s="398">
        <f t="shared" ca="1" si="20"/>
        <v>2</v>
      </c>
      <c r="O82" s="400">
        <f t="shared" ca="1" si="21"/>
        <v>2</v>
      </c>
      <c r="P82" s="400">
        <f t="shared" ca="1" si="0"/>
        <v>3150</v>
      </c>
      <c r="Q82" s="400">
        <f t="shared" ca="1" si="1"/>
        <v>0</v>
      </c>
      <c r="R82" s="398">
        <f t="shared" ca="1" si="2"/>
        <v>251280</v>
      </c>
      <c r="S82" s="401" t="str">
        <f t="shared" ca="1" si="22"/>
        <v/>
      </c>
      <c r="T82" s="398">
        <f t="shared" ca="1" si="23"/>
        <v>768</v>
      </c>
      <c r="U82" s="400">
        <f ca="1">IF(MAX(IF($B$6="No",ROUNDUP($B$3/$I82,0),ROUNDUP(($B$3+$I82)/$I82,0)),IF($B$6="No",ROUNDUP($B$4/$G82,0),ROUNDUP(($B$4+$G82)/$G82,0)),ROUNDUP('BVMS checklist'!$H$217/$J82,0))&gt;1,'BVMS checklist'!$H$224,'BVMS checklist'!$H$217)+MAX(IF($B$6="No",ROUNDUP($B$3/$I82,0),ROUNDUP(($B$3+$I82)/$I82,0)),IF($B$6="No",ROUNDUP($B$4/$G82,0),ROUNDUP(($B$4+$G82)/$G82,0)))+$B$5</f>
        <v>1</v>
      </c>
      <c r="V82" s="400" t="b">
        <f t="shared" ca="1" si="3"/>
        <v>1</v>
      </c>
      <c r="W82" s="400" t="str">
        <f t="shared" ca="1" si="24"/>
        <v>Accepted</v>
      </c>
      <c r="X82" s="398" t="str">
        <f t="shared" ca="1" si="25"/>
        <v>No</v>
      </c>
      <c r="Y82" s="398" t="str">
        <f t="shared" ca="1" si="26"/>
        <v/>
      </c>
      <c r="Z82" s="398" t="str">
        <f t="shared" ca="1" si="27"/>
        <v/>
      </c>
      <c r="AA82" s="398">
        <f t="shared" ca="1" si="28"/>
        <v>6</v>
      </c>
      <c r="AB82" s="398">
        <f t="shared" ca="1" si="4"/>
        <v>2</v>
      </c>
      <c r="AC82" s="398">
        <f t="shared" ca="1" si="5"/>
        <v>288</v>
      </c>
      <c r="AD82" s="398">
        <f t="shared" ca="1" si="29"/>
        <v>251280</v>
      </c>
      <c r="AE82" s="399">
        <f t="shared" si="540"/>
        <v>0</v>
      </c>
      <c r="AF82" s="399">
        <f t="shared" si="541"/>
        <v>0</v>
      </c>
      <c r="AG82" s="483" t="str">
        <f t="shared" ca="1" si="30"/>
        <v/>
      </c>
      <c r="AH82" s="400">
        <f ca="1">IF(MAX(IF($C$6="No",ROUNDUP($C$3/$I82,0),ROUNDUP(($C$3+$I82)/$I82,0)),IF($C$6="No",ROUNDUP($C$4/$G82,0),ROUNDUP(($C$4+$G82)/$G82,0)),ROUNDUP('BVMS checklist'!$H$217/$J82,0))&gt;1,'BVMS checklist'!$J$224,'BVMS checklist'!$J$217)</f>
        <v>0</v>
      </c>
      <c r="AI82" s="398">
        <f t="shared" ca="1" si="31"/>
        <v>2</v>
      </c>
      <c r="AJ82" s="400">
        <f t="shared" ca="1" si="32"/>
        <v>2</v>
      </c>
      <c r="AK82" s="400">
        <f t="shared" ca="1" si="33"/>
        <v>3150</v>
      </c>
      <c r="AL82" s="400">
        <f t="shared" ca="1" si="34"/>
        <v>0</v>
      </c>
      <c r="AM82" s="398">
        <f t="shared" ca="1" si="35"/>
        <v>251280</v>
      </c>
      <c r="AN82" s="401" t="str">
        <f t="shared" ca="1" si="36"/>
        <v/>
      </c>
      <c r="AO82" s="398">
        <f t="shared" ca="1" si="37"/>
        <v>768</v>
      </c>
      <c r="AP82" s="400">
        <f ca="1">IF(MAX(IF($C$6="No",ROUNDUP($C$3/$I82,0),ROUNDUP(($C$3+$I82)/$I82,0)),IF($C$6="No",ROUNDUP($C$4/$G82,0),ROUNDUP(($C$4+$G82)/$G82,0)),ROUNDUP('BVMS checklist'!$H$217/$J82,0))&gt;1,'BVMS checklist'!$J$224,'BVMS checklist'!$J$217)+MAX(IF($C$6="No",ROUNDUP($C$3/$I82,0),ROUNDUP(($C$3+$I82)/$I82,0)),IF($C$6="No",ROUNDUP($C$4/$G82,0),ROUNDUP(($C$4+$G82)/$G82,0)))+$C$5</f>
        <v>1</v>
      </c>
      <c r="AQ82" s="400" t="b">
        <f t="shared" ca="1" si="8"/>
        <v>1</v>
      </c>
      <c r="AR82" s="400" t="str">
        <f t="shared" ca="1" si="38"/>
        <v>Accepted</v>
      </c>
      <c r="AS82" s="398" t="str">
        <f t="shared" ca="1" si="39"/>
        <v>No</v>
      </c>
      <c r="AT82" s="398" t="str">
        <f t="shared" ca="1" si="40"/>
        <v/>
      </c>
      <c r="AU82" s="398" t="str">
        <f t="shared" ca="1" si="41"/>
        <v/>
      </c>
      <c r="AV82" s="398">
        <f t="shared" ca="1" si="42"/>
        <v>6</v>
      </c>
      <c r="AW82" s="398">
        <f t="shared" ca="1" si="43"/>
        <v>2</v>
      </c>
      <c r="AX82" s="398">
        <f t="shared" ca="1" si="44"/>
        <v>288</v>
      </c>
      <c r="AY82" s="398">
        <f t="shared" ca="1" si="45"/>
        <v>251280</v>
      </c>
      <c r="AZ82" s="399">
        <f t="shared" si="542"/>
        <v>0</v>
      </c>
      <c r="BA82" s="399">
        <f t="shared" si="543"/>
        <v>0</v>
      </c>
      <c r="BB82" s="483" t="str">
        <f t="shared" ca="1" si="46"/>
        <v/>
      </c>
      <c r="BC82" s="400">
        <f ca="1">IF(MAX(IF($D$6="No",ROUNDUP($D$3/$I82,0),ROUNDUP(($D$3+$I82)/$I82,0)),IF($D$6="No",ROUNDUP($D$4/$G82,0),ROUNDUP(($D$4+$G82)/$G82,0)),ROUNDUP('BVMS checklist'!$H$217/$J82,0))&gt;1,'BVMS checklist'!$L$224,'BVMS checklist'!$L$217)</f>
        <v>0</v>
      </c>
      <c r="BD82" s="398">
        <f t="shared" ca="1" si="47"/>
        <v>2</v>
      </c>
      <c r="BE82" s="400">
        <f t="shared" si="48"/>
        <v>1</v>
      </c>
      <c r="BF82" s="400">
        <f t="shared" si="49"/>
        <v>1575</v>
      </c>
      <c r="BG82" s="400">
        <f t="shared" ca="1" si="11"/>
        <v>0</v>
      </c>
      <c r="BH82" s="398">
        <f t="shared" ca="1" si="50"/>
        <v>251280</v>
      </c>
      <c r="BI82" s="401" t="str">
        <f t="shared" ca="1" si="51"/>
        <v/>
      </c>
      <c r="BJ82" s="398">
        <f t="shared" ca="1" si="52"/>
        <v>768</v>
      </c>
      <c r="BK82" s="400">
        <f ca="1">IF(MAX(IF($D$6="No",ROUNDUP($D$3/$I82,0),ROUNDUP(($D$3+$I82)/$I82,0)),IF($D$6="No",ROUNDUP($D$4/$G82,0),ROUNDUP(($D$4+$G82)/$G82,0)),ROUNDUP('BVMS checklist'!$H$217/$J82,0))&gt;1,'BVMS checklist'!$L$224,'BVMS checklist'!$L$217)+MAX(IF($D$6="No",ROUNDUP($D$3/$I82,0),ROUNDUP(($D$3+$I82)/$I82,0)),IF($D$6="No",ROUNDUP($D$4/$G82,0),ROUNDUP(($D$4+$G82)/$G82,0)))+$D$5</f>
        <v>1</v>
      </c>
      <c r="BL82" s="400" t="b">
        <f t="shared" ca="1" si="12"/>
        <v>1</v>
      </c>
      <c r="BM82" s="400" t="str">
        <f t="shared" ca="1" si="53"/>
        <v>Accepted</v>
      </c>
      <c r="BN82" s="398" t="str">
        <f t="shared" ca="1" si="13"/>
        <v>No</v>
      </c>
      <c r="BO82" s="398" t="str">
        <f t="shared" ca="1" si="54"/>
        <v/>
      </c>
      <c r="BP82" s="398" t="str">
        <f t="shared" ca="1" si="55"/>
        <v/>
      </c>
      <c r="BQ82" s="398">
        <f t="shared" ca="1" si="56"/>
        <v>6</v>
      </c>
      <c r="BR82" s="398">
        <f t="shared" ca="1" si="57"/>
        <v>2</v>
      </c>
      <c r="BS82" s="398">
        <f t="shared" ca="1" si="58"/>
        <v>288</v>
      </c>
      <c r="BT82" s="398">
        <f t="shared" ca="1" si="59"/>
        <v>251280</v>
      </c>
      <c r="BU82" s="399">
        <f t="shared" si="544"/>
        <v>0</v>
      </c>
      <c r="BV82" s="399">
        <f t="shared" si="545"/>
        <v>0</v>
      </c>
      <c r="BW82" s="483" t="str">
        <f t="shared" ca="1" si="60"/>
        <v/>
      </c>
      <c r="BX82" s="400">
        <f ca="1">IF(MAX(IF($E$6="No",ROUNDUP($E$3/$I82,0),ROUNDUP(($E$3+$I82)/$I82,0)),IF($E$6="No",ROUNDUP($E$4/$G82,0),ROUNDUP(($E$4+$G82)/$G82,0)),ROUNDUP('BVMS checklist'!$H$217/$J82,0))&gt;1,'BVMS checklist'!$N$224,'BVMS checklist'!$N$217)</f>
        <v>0</v>
      </c>
      <c r="BY82" s="398">
        <f t="shared" ca="1" si="61"/>
        <v>2</v>
      </c>
      <c r="BZ82" s="400">
        <f t="shared" ca="1" si="62"/>
        <v>2</v>
      </c>
      <c r="CA82" s="400">
        <f t="shared" ca="1" si="63"/>
        <v>3150</v>
      </c>
      <c r="CB82" s="400">
        <f t="shared" ca="1" si="16"/>
        <v>0</v>
      </c>
      <c r="CC82" s="398">
        <f t="shared" ca="1" si="64"/>
        <v>251280</v>
      </c>
      <c r="CD82" s="401" t="str">
        <f t="shared" ca="1" si="65"/>
        <v/>
      </c>
      <c r="CE82" s="398">
        <f t="shared" ca="1" si="66"/>
        <v>768</v>
      </c>
      <c r="CF82" s="400">
        <f ca="1">IF(MAX(IF($E$6="No",ROUNDUP($E$3/$I82,0),ROUNDUP(($E$3+$I82)/$I82,0)),IF($E$6="No",ROUNDUP($E$4/$G82,0),ROUNDUP(($E$4+$G82)/$G82,0)),ROUNDUP('BVMS checklist'!$H$217/$J82,0))&gt;1,'BVMS checklist'!$N$224,'BVMS checklist'!$N$217)+MAX(IF($E$6="No",ROUNDUP($E$3/$I82,0),ROUNDUP(($E$3+$I82)/$I82,0)),IF($E$6="No",ROUNDUP($E$4/$G82,0),ROUNDUP(($E$4+$G82)/$G82,0)))+$E$5</f>
        <v>1</v>
      </c>
      <c r="CG82" s="400" t="b">
        <f t="shared" ca="1" si="17"/>
        <v>1</v>
      </c>
      <c r="CH82" s="400" t="str">
        <f t="shared" ca="1" si="67"/>
        <v>Accepted</v>
      </c>
      <c r="CI82" s="398" t="str">
        <f t="shared" ca="1" si="68"/>
        <v>No</v>
      </c>
      <c r="CJ82" s="398" t="str">
        <f t="shared" ca="1" si="69"/>
        <v/>
      </c>
      <c r="CK82" s="398" t="str">
        <f t="shared" ca="1" si="70"/>
        <v/>
      </c>
      <c r="CL82" s="398">
        <f t="shared" ca="1" si="71"/>
        <v>6</v>
      </c>
      <c r="CM82" s="398">
        <f t="shared" ca="1" si="72"/>
        <v>2</v>
      </c>
      <c r="CN82" s="398">
        <f t="shared" ca="1" si="73"/>
        <v>288</v>
      </c>
      <c r="CO82" s="398">
        <f t="shared" ca="1" si="74"/>
        <v>251280</v>
      </c>
      <c r="CP82" s="399">
        <f t="shared" si="546"/>
        <v>0</v>
      </c>
      <c r="CQ82" s="399">
        <f t="shared" si="547"/>
        <v>0</v>
      </c>
      <c r="CR82" s="483" t="str">
        <f t="shared" ca="1" si="75"/>
        <v/>
      </c>
      <c r="CS82"/>
    </row>
    <row r="83" spans="1:97">
      <c r="A83" s="398" t="s">
        <v>347</v>
      </c>
      <c r="B83" s="398" t="s">
        <v>987</v>
      </c>
      <c r="C83" s="440" t="s">
        <v>891</v>
      </c>
      <c r="D83" s="398">
        <v>4</v>
      </c>
      <c r="E83" s="398"/>
      <c r="F83" s="440">
        <v>0</v>
      </c>
      <c r="G83" s="398">
        <f>IF(C83="RAID5",(((15-F83)*2792))+(3*(((15-F83)*2792))),(((14-F83)*2792))+(3*(((14-F83)*2792))))</f>
        <v>167520</v>
      </c>
      <c r="H83" s="399">
        <v>192</v>
      </c>
      <c r="I83" s="399">
        <v>2125</v>
      </c>
      <c r="J83" s="399">
        <v>512</v>
      </c>
      <c r="K83" s="399"/>
      <c r="L83" s="399"/>
      <c r="M83" s="400">
        <f ca="1">IF(MAX(IF($B$6="No",ROUNDUP($B$3/$I83,0),ROUNDUP(($B$3+$I83)/$I83,0)),IF($B$6="No",ROUNDUP($B$4/$G83,0),ROUNDUP(($B$4+$G83)/$G83,0)),ROUNDUP('BVMS checklist'!$H$217/$J83,0))&gt;1,'BVMS checklist'!$H$224,'BVMS checklist'!$H$217)</f>
        <v>0</v>
      </c>
      <c r="N83" s="398">
        <f t="shared" ca="1" si="20"/>
        <v>2</v>
      </c>
      <c r="O83" s="400">
        <f t="shared" ca="1" si="21"/>
        <v>2</v>
      </c>
      <c r="P83" s="400">
        <f t="shared" ca="1" si="0"/>
        <v>4250</v>
      </c>
      <c r="Q83" s="400">
        <f t="shared" ca="1" si="1"/>
        <v>0</v>
      </c>
      <c r="R83" s="398">
        <f t="shared" ca="1" si="2"/>
        <v>335040</v>
      </c>
      <c r="S83" s="401" t="str">
        <f t="shared" ca="1" si="22"/>
        <v/>
      </c>
      <c r="T83" s="398">
        <f t="shared" ca="1" si="23"/>
        <v>1024</v>
      </c>
      <c r="U83" s="400">
        <f ca="1">IF(MAX(IF($B$6="No",ROUNDUP($B$3/$I83,0),ROUNDUP(($B$3+$I83)/$I83,0)),IF($B$6="No",ROUNDUP($B$4/$G83,0),ROUNDUP(($B$4+$G83)/$G83,0)),ROUNDUP('BVMS checklist'!$H$217/$J83,0))&gt;1,'BVMS checklist'!$H$224,'BVMS checklist'!$H$217)+MAX(IF($B$6="No",ROUNDUP($B$3/$I83,0),ROUNDUP(($B$3+$I83)/$I83,0)),IF($B$6="No",ROUNDUP($B$4/$G83,0),ROUNDUP(($B$4+$G83)/$G83,0)))+$B$5</f>
        <v>1</v>
      </c>
      <c r="V83" s="400" t="b">
        <f t="shared" ca="1" si="3"/>
        <v>1</v>
      </c>
      <c r="W83" s="400" t="str">
        <f t="shared" ca="1" si="24"/>
        <v>Accepted</v>
      </c>
      <c r="X83" s="398" t="str">
        <f t="shared" ca="1" si="25"/>
        <v>No</v>
      </c>
      <c r="Y83" s="398" t="str">
        <f t="shared" ca="1" si="26"/>
        <v/>
      </c>
      <c r="Z83" s="398" t="str">
        <f t="shared" ca="1" si="27"/>
        <v/>
      </c>
      <c r="AA83" s="398">
        <f t="shared" ca="1" si="28"/>
        <v>6</v>
      </c>
      <c r="AB83" s="398">
        <f t="shared" ca="1" si="4"/>
        <v>2</v>
      </c>
      <c r="AC83" s="398">
        <f t="shared" ca="1" si="5"/>
        <v>384</v>
      </c>
      <c r="AD83" s="398">
        <f t="shared" ca="1" si="29"/>
        <v>335040</v>
      </c>
      <c r="AE83" s="399">
        <f t="shared" si="540"/>
        <v>0</v>
      </c>
      <c r="AF83" s="399">
        <f t="shared" si="541"/>
        <v>0</v>
      </c>
      <c r="AG83" s="483" t="str">
        <f t="shared" ca="1" si="30"/>
        <v/>
      </c>
      <c r="AH83" s="400">
        <f ca="1">IF(MAX(IF($C$6="No",ROUNDUP($C$3/$I83,0),ROUNDUP(($C$3+$I83)/$I83,0)),IF($C$6="No",ROUNDUP($C$4/$G83,0),ROUNDUP(($C$4+$G83)/$G83,0)),ROUNDUP('BVMS checklist'!$H$217/$J83,0))&gt;1,'BVMS checklist'!$J$224,'BVMS checklist'!$J$217)</f>
        <v>0</v>
      </c>
      <c r="AI83" s="398">
        <f t="shared" ca="1" si="31"/>
        <v>2</v>
      </c>
      <c r="AJ83" s="400">
        <f t="shared" ca="1" si="32"/>
        <v>2</v>
      </c>
      <c r="AK83" s="400">
        <f t="shared" ca="1" si="33"/>
        <v>4250</v>
      </c>
      <c r="AL83" s="400">
        <f t="shared" ca="1" si="34"/>
        <v>0</v>
      </c>
      <c r="AM83" s="398">
        <f t="shared" ca="1" si="35"/>
        <v>335040</v>
      </c>
      <c r="AN83" s="401" t="str">
        <f t="shared" ca="1" si="36"/>
        <v/>
      </c>
      <c r="AO83" s="398">
        <f t="shared" ca="1" si="37"/>
        <v>1024</v>
      </c>
      <c r="AP83" s="400">
        <f ca="1">IF(MAX(IF($C$6="No",ROUNDUP($C$3/$I83,0),ROUNDUP(($C$3+$I83)/$I83,0)),IF($C$6="No",ROUNDUP($C$4/$G83,0),ROUNDUP(($C$4+$G83)/$G83,0)),ROUNDUP('BVMS checklist'!$H$217/$J83,0))&gt;1,'BVMS checklist'!$J$224,'BVMS checklist'!$J$217)+MAX(IF($C$6="No",ROUNDUP($C$3/$I83,0),ROUNDUP(($C$3+$I83)/$I83,0)),IF($C$6="No",ROUNDUP($C$4/$G83,0),ROUNDUP(($C$4+$G83)/$G83,0)))+$C$5</f>
        <v>1</v>
      </c>
      <c r="AQ83" s="400" t="b">
        <f t="shared" ca="1" si="8"/>
        <v>1</v>
      </c>
      <c r="AR83" s="400" t="str">
        <f t="shared" ca="1" si="38"/>
        <v>Accepted</v>
      </c>
      <c r="AS83" s="398" t="str">
        <f t="shared" ca="1" si="39"/>
        <v>No</v>
      </c>
      <c r="AT83" s="398" t="str">
        <f t="shared" ca="1" si="40"/>
        <v/>
      </c>
      <c r="AU83" s="398" t="str">
        <f t="shared" ca="1" si="41"/>
        <v/>
      </c>
      <c r="AV83" s="398">
        <f t="shared" ca="1" si="42"/>
        <v>6</v>
      </c>
      <c r="AW83" s="398">
        <f t="shared" ca="1" si="43"/>
        <v>2</v>
      </c>
      <c r="AX83" s="398">
        <f t="shared" ca="1" si="44"/>
        <v>384</v>
      </c>
      <c r="AY83" s="398">
        <f t="shared" ca="1" si="45"/>
        <v>335040</v>
      </c>
      <c r="AZ83" s="399">
        <f t="shared" si="542"/>
        <v>0</v>
      </c>
      <c r="BA83" s="399">
        <f t="shared" si="543"/>
        <v>0</v>
      </c>
      <c r="BB83" s="483" t="str">
        <f t="shared" ca="1" si="46"/>
        <v/>
      </c>
      <c r="BC83" s="400">
        <f ca="1">IF(MAX(IF($D$6="No",ROUNDUP($D$3/$I83,0),ROUNDUP(($D$3+$I83)/$I83,0)),IF($D$6="No",ROUNDUP($D$4/$G83,0),ROUNDUP(($D$4+$G83)/$G83,0)),ROUNDUP('BVMS checklist'!$H$217/$J83,0))&gt;1,'BVMS checklist'!$L$224,'BVMS checklist'!$L$217)</f>
        <v>0</v>
      </c>
      <c r="BD83" s="398">
        <f t="shared" ca="1" si="47"/>
        <v>2</v>
      </c>
      <c r="BE83" s="400">
        <f t="shared" si="48"/>
        <v>1</v>
      </c>
      <c r="BF83" s="400">
        <f t="shared" si="49"/>
        <v>2125</v>
      </c>
      <c r="BG83" s="400">
        <f t="shared" ca="1" si="11"/>
        <v>0</v>
      </c>
      <c r="BH83" s="398">
        <f t="shared" ca="1" si="50"/>
        <v>335040</v>
      </c>
      <c r="BI83" s="401" t="str">
        <f t="shared" ca="1" si="51"/>
        <v/>
      </c>
      <c r="BJ83" s="398">
        <f t="shared" ca="1" si="52"/>
        <v>1024</v>
      </c>
      <c r="BK83" s="400">
        <f ca="1">IF(MAX(IF($D$6="No",ROUNDUP($D$3/$I83,0),ROUNDUP(($D$3+$I83)/$I83,0)),IF($D$6="No",ROUNDUP($D$4/$G83,0),ROUNDUP(($D$4+$G83)/$G83,0)),ROUNDUP('BVMS checklist'!$H$217/$J83,0))&gt;1,'BVMS checklist'!$L$224,'BVMS checklist'!$L$217)+MAX(IF($D$6="No",ROUNDUP($D$3/$I83,0),ROUNDUP(($D$3+$I83)/$I83,0)),IF($D$6="No",ROUNDUP($D$4/$G83,0),ROUNDUP(($D$4+$G83)/$G83,0)))+$D$5</f>
        <v>1</v>
      </c>
      <c r="BL83" s="400" t="b">
        <f t="shared" ca="1" si="12"/>
        <v>1</v>
      </c>
      <c r="BM83" s="400" t="str">
        <f t="shared" ca="1" si="53"/>
        <v>Accepted</v>
      </c>
      <c r="BN83" s="398" t="str">
        <f t="shared" ca="1" si="13"/>
        <v>No</v>
      </c>
      <c r="BO83" s="398" t="str">
        <f t="shared" ca="1" si="54"/>
        <v/>
      </c>
      <c r="BP83" s="398" t="str">
        <f t="shared" ca="1" si="55"/>
        <v/>
      </c>
      <c r="BQ83" s="398">
        <f t="shared" ca="1" si="56"/>
        <v>6</v>
      </c>
      <c r="BR83" s="398">
        <f t="shared" ca="1" si="57"/>
        <v>2</v>
      </c>
      <c r="BS83" s="398">
        <f t="shared" ca="1" si="58"/>
        <v>384</v>
      </c>
      <c r="BT83" s="398">
        <f t="shared" ca="1" si="59"/>
        <v>335040</v>
      </c>
      <c r="BU83" s="399">
        <f t="shared" si="544"/>
        <v>0</v>
      </c>
      <c r="BV83" s="399">
        <f t="shared" si="545"/>
        <v>0</v>
      </c>
      <c r="BW83" s="483" t="str">
        <f t="shared" ca="1" si="60"/>
        <v/>
      </c>
      <c r="BX83" s="400">
        <f ca="1">IF(MAX(IF($E$6="No",ROUNDUP($E$3/$I83,0),ROUNDUP(($E$3+$I83)/$I83,0)),IF($E$6="No",ROUNDUP($E$4/$G83,0),ROUNDUP(($E$4+$G83)/$G83,0)),ROUNDUP('BVMS checklist'!$H$217/$J83,0))&gt;1,'BVMS checklist'!$N$224,'BVMS checklist'!$N$217)</f>
        <v>0</v>
      </c>
      <c r="BY83" s="398">
        <f t="shared" ca="1" si="61"/>
        <v>2</v>
      </c>
      <c r="BZ83" s="400">
        <f t="shared" ca="1" si="62"/>
        <v>2</v>
      </c>
      <c r="CA83" s="400">
        <f t="shared" ca="1" si="63"/>
        <v>4250</v>
      </c>
      <c r="CB83" s="400">
        <f t="shared" ca="1" si="16"/>
        <v>0</v>
      </c>
      <c r="CC83" s="398">
        <f t="shared" ca="1" si="64"/>
        <v>335040</v>
      </c>
      <c r="CD83" s="401" t="str">
        <f t="shared" ca="1" si="65"/>
        <v/>
      </c>
      <c r="CE83" s="398">
        <f t="shared" ca="1" si="66"/>
        <v>1024</v>
      </c>
      <c r="CF83" s="400">
        <f ca="1">IF(MAX(IF($E$6="No",ROUNDUP($E$3/$I83,0),ROUNDUP(($E$3+$I83)/$I83,0)),IF($E$6="No",ROUNDUP($E$4/$G83,0),ROUNDUP(($E$4+$G83)/$G83,0)),ROUNDUP('BVMS checklist'!$H$217/$J83,0))&gt;1,'BVMS checklist'!$N$224,'BVMS checklist'!$N$217)+MAX(IF($E$6="No",ROUNDUP($E$3/$I83,0),ROUNDUP(($E$3+$I83)/$I83,0)),IF($E$6="No",ROUNDUP($E$4/$G83,0),ROUNDUP(($E$4+$G83)/$G83,0)))+$E$5</f>
        <v>1</v>
      </c>
      <c r="CG83" s="400" t="b">
        <f t="shared" ca="1" si="17"/>
        <v>1</v>
      </c>
      <c r="CH83" s="400" t="str">
        <f t="shared" ca="1" si="67"/>
        <v>Accepted</v>
      </c>
      <c r="CI83" s="398" t="str">
        <f t="shared" ca="1" si="68"/>
        <v>No</v>
      </c>
      <c r="CJ83" s="398" t="str">
        <f t="shared" ca="1" si="69"/>
        <v/>
      </c>
      <c r="CK83" s="398" t="str">
        <f t="shared" ca="1" si="70"/>
        <v/>
      </c>
      <c r="CL83" s="398">
        <f t="shared" ca="1" si="71"/>
        <v>6</v>
      </c>
      <c r="CM83" s="398">
        <f t="shared" ca="1" si="72"/>
        <v>2</v>
      </c>
      <c r="CN83" s="398">
        <f t="shared" ca="1" si="73"/>
        <v>384</v>
      </c>
      <c r="CO83" s="398">
        <f t="shared" ca="1" si="74"/>
        <v>335040</v>
      </c>
      <c r="CP83" s="399">
        <f t="shared" si="546"/>
        <v>0</v>
      </c>
      <c r="CQ83" s="399">
        <f t="shared" si="547"/>
        <v>0</v>
      </c>
      <c r="CR83" s="483" t="str">
        <f t="shared" ca="1" si="75"/>
        <v/>
      </c>
      <c r="CS83"/>
    </row>
    <row r="84" spans="1:97">
      <c r="A84" s="398" t="s">
        <v>348</v>
      </c>
      <c r="B84" s="398" t="s">
        <v>987</v>
      </c>
      <c r="C84" s="440" t="s">
        <v>891</v>
      </c>
      <c r="D84" s="398">
        <v>5</v>
      </c>
      <c r="E84" s="398"/>
      <c r="F84" s="440">
        <v>0</v>
      </c>
      <c r="G84" s="398">
        <f>IF(C84="RAID5",(((15-F84)*2792))+(4*(((15-F84)*2792))),(((14-F84)*2792))+(4*(((14-F84)*2792))))</f>
        <v>209400</v>
      </c>
      <c r="H84" s="399">
        <v>240</v>
      </c>
      <c r="I84" s="399">
        <v>2675</v>
      </c>
      <c r="J84" s="399">
        <v>640</v>
      </c>
      <c r="K84" s="399"/>
      <c r="L84" s="399"/>
      <c r="M84" s="400">
        <f ca="1">IF(MAX(IF($B$6="No",ROUNDUP($B$3/$I84,0),ROUNDUP(($B$3+$I84)/$I84,0)),IF($B$6="No",ROUNDUP($B$4/$G84,0),ROUNDUP(($B$4+$G84)/$G84,0)),ROUNDUP('BVMS checklist'!$H$217/$J84,0))&gt;1,'BVMS checklist'!$H$224,'BVMS checklist'!$H$217)</f>
        <v>0</v>
      </c>
      <c r="N84" s="398">
        <f t="shared" ca="1" si="20"/>
        <v>2</v>
      </c>
      <c r="O84" s="400">
        <f t="shared" ca="1" si="21"/>
        <v>2</v>
      </c>
      <c r="P84" s="400">
        <f t="shared" ca="1" si="0"/>
        <v>5350</v>
      </c>
      <c r="Q84" s="400">
        <f t="shared" ca="1" si="1"/>
        <v>0</v>
      </c>
      <c r="R84" s="398">
        <f t="shared" ca="1" si="2"/>
        <v>418800</v>
      </c>
      <c r="S84" s="401" t="str">
        <f t="shared" ca="1" si="22"/>
        <v/>
      </c>
      <c r="T84" s="398">
        <f t="shared" ca="1" si="23"/>
        <v>1280</v>
      </c>
      <c r="U84" s="400">
        <f ca="1">IF(MAX(IF($B$6="No",ROUNDUP($B$3/$I84,0),ROUNDUP(($B$3+$I84)/$I84,0)),IF($B$6="No",ROUNDUP($B$4/$G84,0),ROUNDUP(($B$4+$G84)/$G84,0)),ROUNDUP('BVMS checklist'!$H$217/$J84,0))&gt;1,'BVMS checklist'!$H$224,'BVMS checklist'!$H$217)+MAX(IF($B$6="No",ROUNDUP($B$3/$I84,0),ROUNDUP(($B$3+$I84)/$I84,0)),IF($B$6="No",ROUNDUP($B$4/$G84,0),ROUNDUP(($B$4+$G84)/$G84,0)))+$B$5</f>
        <v>1</v>
      </c>
      <c r="V84" s="400" t="b">
        <f t="shared" ca="1" si="3"/>
        <v>1</v>
      </c>
      <c r="W84" s="400" t="str">
        <f t="shared" ca="1" si="24"/>
        <v>Accepted</v>
      </c>
      <c r="X84" s="398" t="str">
        <f t="shared" ca="1" si="25"/>
        <v>No</v>
      </c>
      <c r="Y84" s="398" t="str">
        <f t="shared" ca="1" si="26"/>
        <v/>
      </c>
      <c r="Z84" s="398" t="str">
        <f t="shared" ca="1" si="27"/>
        <v/>
      </c>
      <c r="AA84" s="398">
        <f t="shared" ca="1" si="28"/>
        <v>6</v>
      </c>
      <c r="AB84" s="398">
        <f t="shared" ca="1" si="4"/>
        <v>2</v>
      </c>
      <c r="AC84" s="398">
        <f t="shared" ca="1" si="5"/>
        <v>480</v>
      </c>
      <c r="AD84" s="398">
        <f t="shared" ca="1" si="29"/>
        <v>418800</v>
      </c>
      <c r="AE84" s="399">
        <f t="shared" si="540"/>
        <v>0</v>
      </c>
      <c r="AF84" s="399">
        <f t="shared" si="541"/>
        <v>0</v>
      </c>
      <c r="AG84" s="483" t="str">
        <f t="shared" ca="1" si="30"/>
        <v/>
      </c>
      <c r="AH84" s="400">
        <f ca="1">IF(MAX(IF($C$6="No",ROUNDUP($C$3/$I84,0),ROUNDUP(($C$3+$I84)/$I84,0)),IF($C$6="No",ROUNDUP($C$4/$G84,0),ROUNDUP(($C$4+$G84)/$G84,0)),ROUNDUP('BVMS checklist'!$H$217/$J84,0))&gt;1,'BVMS checklist'!$J$224,'BVMS checklist'!$J$217)</f>
        <v>0</v>
      </c>
      <c r="AI84" s="398">
        <f t="shared" ca="1" si="31"/>
        <v>2</v>
      </c>
      <c r="AJ84" s="400">
        <f t="shared" ca="1" si="32"/>
        <v>2</v>
      </c>
      <c r="AK84" s="400">
        <f t="shared" ca="1" si="33"/>
        <v>5350</v>
      </c>
      <c r="AL84" s="400">
        <f t="shared" ca="1" si="34"/>
        <v>0</v>
      </c>
      <c r="AM84" s="398">
        <f t="shared" ca="1" si="35"/>
        <v>418800</v>
      </c>
      <c r="AN84" s="401" t="str">
        <f t="shared" ca="1" si="36"/>
        <v/>
      </c>
      <c r="AO84" s="398">
        <f t="shared" ca="1" si="37"/>
        <v>1280</v>
      </c>
      <c r="AP84" s="400">
        <f ca="1">IF(MAX(IF($C$6="No",ROUNDUP($C$3/$I84,0),ROUNDUP(($C$3+$I84)/$I84,0)),IF($C$6="No",ROUNDUP($C$4/$G84,0),ROUNDUP(($C$4+$G84)/$G84,0)),ROUNDUP('BVMS checklist'!$H$217/$J84,0))&gt;1,'BVMS checklist'!$J$224,'BVMS checklist'!$J$217)+MAX(IF($C$6="No",ROUNDUP($C$3/$I84,0),ROUNDUP(($C$3+$I84)/$I84,0)),IF($C$6="No",ROUNDUP($C$4/$G84,0),ROUNDUP(($C$4+$G84)/$G84,0)))+$C$5</f>
        <v>1</v>
      </c>
      <c r="AQ84" s="400" t="b">
        <f t="shared" ca="1" si="8"/>
        <v>1</v>
      </c>
      <c r="AR84" s="400" t="str">
        <f t="shared" ca="1" si="38"/>
        <v>Accepted</v>
      </c>
      <c r="AS84" s="398" t="str">
        <f t="shared" ca="1" si="39"/>
        <v>No</v>
      </c>
      <c r="AT84" s="398" t="str">
        <f t="shared" ca="1" si="40"/>
        <v/>
      </c>
      <c r="AU84" s="398" t="str">
        <f t="shared" ca="1" si="41"/>
        <v/>
      </c>
      <c r="AV84" s="398">
        <f t="shared" ca="1" si="42"/>
        <v>6</v>
      </c>
      <c r="AW84" s="398">
        <f t="shared" ca="1" si="43"/>
        <v>2</v>
      </c>
      <c r="AX84" s="398">
        <f t="shared" ca="1" si="44"/>
        <v>480</v>
      </c>
      <c r="AY84" s="398">
        <f t="shared" ca="1" si="45"/>
        <v>418800</v>
      </c>
      <c r="AZ84" s="399">
        <f t="shared" si="542"/>
        <v>0</v>
      </c>
      <c r="BA84" s="399">
        <f t="shared" si="543"/>
        <v>0</v>
      </c>
      <c r="BB84" s="483" t="str">
        <f t="shared" ca="1" si="46"/>
        <v/>
      </c>
      <c r="BC84" s="400">
        <f ca="1">IF(MAX(IF($D$6="No",ROUNDUP($D$3/$I84,0),ROUNDUP(($D$3+$I84)/$I84,0)),IF($D$6="No",ROUNDUP($D$4/$G84,0),ROUNDUP(($D$4+$G84)/$G84,0)),ROUNDUP('BVMS checklist'!$H$217/$J84,0))&gt;1,'BVMS checklist'!$L$224,'BVMS checklist'!$L$217)</f>
        <v>0</v>
      </c>
      <c r="BD84" s="398">
        <f t="shared" ca="1" si="47"/>
        <v>2</v>
      </c>
      <c r="BE84" s="400">
        <f t="shared" si="48"/>
        <v>1</v>
      </c>
      <c r="BF84" s="400">
        <f t="shared" si="49"/>
        <v>2675</v>
      </c>
      <c r="BG84" s="400">
        <f t="shared" ca="1" si="11"/>
        <v>0</v>
      </c>
      <c r="BH84" s="398">
        <f t="shared" ca="1" si="50"/>
        <v>418800</v>
      </c>
      <c r="BI84" s="401" t="str">
        <f t="shared" ca="1" si="51"/>
        <v/>
      </c>
      <c r="BJ84" s="398">
        <f t="shared" ca="1" si="52"/>
        <v>1280</v>
      </c>
      <c r="BK84" s="400">
        <f ca="1">IF(MAX(IF($D$6="No",ROUNDUP($D$3/$I84,0),ROUNDUP(($D$3+$I84)/$I84,0)),IF($D$6="No",ROUNDUP($D$4/$G84,0),ROUNDUP(($D$4+$G84)/$G84,0)),ROUNDUP('BVMS checklist'!$H$217/$J84,0))&gt;1,'BVMS checklist'!$L$224,'BVMS checklist'!$L$217)+MAX(IF($D$6="No",ROUNDUP($D$3/$I84,0),ROUNDUP(($D$3+$I84)/$I84,0)),IF($D$6="No",ROUNDUP($D$4/$G84,0),ROUNDUP(($D$4+$G84)/$G84,0)))+$D$5</f>
        <v>1</v>
      </c>
      <c r="BL84" s="400" t="b">
        <f t="shared" ca="1" si="12"/>
        <v>1</v>
      </c>
      <c r="BM84" s="400" t="str">
        <f t="shared" ca="1" si="53"/>
        <v>Accepted</v>
      </c>
      <c r="BN84" s="398" t="str">
        <f t="shared" ca="1" si="13"/>
        <v>No</v>
      </c>
      <c r="BO84" s="398" t="str">
        <f t="shared" ca="1" si="54"/>
        <v/>
      </c>
      <c r="BP84" s="398" t="str">
        <f t="shared" ca="1" si="55"/>
        <v/>
      </c>
      <c r="BQ84" s="398">
        <f t="shared" ca="1" si="56"/>
        <v>6</v>
      </c>
      <c r="BR84" s="398">
        <f t="shared" ca="1" si="57"/>
        <v>2</v>
      </c>
      <c r="BS84" s="398">
        <f t="shared" ca="1" si="58"/>
        <v>480</v>
      </c>
      <c r="BT84" s="398">
        <f t="shared" ca="1" si="59"/>
        <v>418800</v>
      </c>
      <c r="BU84" s="399">
        <f t="shared" si="544"/>
        <v>0</v>
      </c>
      <c r="BV84" s="399">
        <f t="shared" si="545"/>
        <v>0</v>
      </c>
      <c r="BW84" s="483" t="str">
        <f t="shared" ca="1" si="60"/>
        <v/>
      </c>
      <c r="BX84" s="400">
        <f ca="1">IF(MAX(IF($E$6="No",ROUNDUP($E$3/$I84,0),ROUNDUP(($E$3+$I84)/$I84,0)),IF($E$6="No",ROUNDUP($E$4/$G84,0),ROUNDUP(($E$4+$G84)/$G84,0)),ROUNDUP('BVMS checklist'!$H$217/$J84,0))&gt;1,'BVMS checklist'!$N$224,'BVMS checklist'!$N$217)</f>
        <v>0</v>
      </c>
      <c r="BY84" s="398">
        <f t="shared" ca="1" si="61"/>
        <v>2</v>
      </c>
      <c r="BZ84" s="400">
        <f t="shared" ca="1" si="62"/>
        <v>2</v>
      </c>
      <c r="CA84" s="400">
        <f t="shared" ca="1" si="63"/>
        <v>5350</v>
      </c>
      <c r="CB84" s="400">
        <f t="shared" ca="1" si="16"/>
        <v>0</v>
      </c>
      <c r="CC84" s="398">
        <f t="shared" ca="1" si="64"/>
        <v>418800</v>
      </c>
      <c r="CD84" s="401" t="str">
        <f t="shared" ca="1" si="65"/>
        <v/>
      </c>
      <c r="CE84" s="398">
        <f t="shared" ca="1" si="66"/>
        <v>1280</v>
      </c>
      <c r="CF84" s="400">
        <f ca="1">IF(MAX(IF($E$6="No",ROUNDUP($E$3/$I84,0),ROUNDUP(($E$3+$I84)/$I84,0)),IF($E$6="No",ROUNDUP($E$4/$G84,0),ROUNDUP(($E$4+$G84)/$G84,0)),ROUNDUP('BVMS checklist'!$H$217/$J84,0))&gt;1,'BVMS checklist'!$N$224,'BVMS checklist'!$N$217)+MAX(IF($E$6="No",ROUNDUP($E$3/$I84,0),ROUNDUP(($E$3+$I84)/$I84,0)),IF($E$6="No",ROUNDUP($E$4/$G84,0),ROUNDUP(($E$4+$G84)/$G84,0)))+$E$5</f>
        <v>1</v>
      </c>
      <c r="CG84" s="400" t="b">
        <f t="shared" ca="1" si="17"/>
        <v>1</v>
      </c>
      <c r="CH84" s="400" t="str">
        <f t="shared" ca="1" si="67"/>
        <v>Accepted</v>
      </c>
      <c r="CI84" s="398" t="str">
        <f t="shared" ca="1" si="68"/>
        <v>No</v>
      </c>
      <c r="CJ84" s="398" t="str">
        <f t="shared" ca="1" si="69"/>
        <v/>
      </c>
      <c r="CK84" s="398" t="str">
        <f t="shared" ca="1" si="70"/>
        <v/>
      </c>
      <c r="CL84" s="398">
        <f t="shared" ca="1" si="71"/>
        <v>6</v>
      </c>
      <c r="CM84" s="398">
        <f t="shared" ca="1" si="72"/>
        <v>2</v>
      </c>
      <c r="CN84" s="398">
        <f t="shared" ca="1" si="73"/>
        <v>480</v>
      </c>
      <c r="CO84" s="398">
        <f t="shared" ca="1" si="74"/>
        <v>418800</v>
      </c>
      <c r="CP84" s="399">
        <f t="shared" si="546"/>
        <v>0</v>
      </c>
      <c r="CQ84" s="399">
        <f t="shared" si="547"/>
        <v>0</v>
      </c>
      <c r="CR84" s="483" t="str">
        <f t="shared" ca="1" si="75"/>
        <v/>
      </c>
      <c r="CS84"/>
    </row>
    <row r="85" spans="1:97">
      <c r="A85" s="398" t="s">
        <v>349</v>
      </c>
      <c r="B85" s="398" t="s">
        <v>987</v>
      </c>
      <c r="C85" s="440" t="s">
        <v>891</v>
      </c>
      <c r="D85" s="398">
        <v>2</v>
      </c>
      <c r="E85" s="398"/>
      <c r="F85" s="440">
        <v>0</v>
      </c>
      <c r="G85" s="398">
        <f>IF(C85="RAID5",(((15-F85)*2792))+(1*(((15-F85)*3723))),(((14-F85)*2792))+(1*(((14-F85)*3723))))</f>
        <v>97725</v>
      </c>
      <c r="H85" s="399">
        <v>112</v>
      </c>
      <c r="I85" s="399">
        <v>1025</v>
      </c>
      <c r="J85" s="399">
        <v>256</v>
      </c>
      <c r="K85" s="399"/>
      <c r="L85" s="399"/>
      <c r="M85" s="400">
        <f ca="1">IF(MAX(IF($B$6="No",ROUNDUP($B$3/$I85,0),ROUNDUP(($B$3+$I85)/$I85,0)),IF($B$6="No",ROUNDUP($B$4/$G85,0),ROUNDUP(($B$4+$G85)/$G85,0)),ROUNDUP('BVMS checklist'!$H$217/$J85,0))&gt;1,'BVMS checklist'!$H$224,'BVMS checklist'!$H$217)</f>
        <v>0</v>
      </c>
      <c r="N85" s="398">
        <f t="shared" ca="1" si="20"/>
        <v>2</v>
      </c>
      <c r="O85" s="400">
        <f t="shared" ca="1" si="21"/>
        <v>2</v>
      </c>
      <c r="P85" s="400">
        <f t="shared" ca="1" si="0"/>
        <v>2050</v>
      </c>
      <c r="Q85" s="400">
        <f t="shared" ca="1" si="1"/>
        <v>0</v>
      </c>
      <c r="R85" s="398">
        <f t="shared" ca="1" si="2"/>
        <v>195450</v>
      </c>
      <c r="S85" s="401" t="str">
        <f t="shared" ca="1" si="22"/>
        <v/>
      </c>
      <c r="T85" s="398">
        <f t="shared" ca="1" si="23"/>
        <v>512</v>
      </c>
      <c r="U85" s="400">
        <f ca="1">IF(MAX(IF($B$6="No",ROUNDUP($B$3/$I85,0),ROUNDUP(($B$3+$I85)/$I85,0)),IF($B$6="No",ROUNDUP($B$4/$G85,0),ROUNDUP(($B$4+$G85)/$G85,0)),ROUNDUP('BVMS checklist'!$H$217/$J85,0))&gt;1,'BVMS checklist'!$H$224,'BVMS checklist'!$H$217)+MAX(IF($B$6="No",ROUNDUP($B$3/$I85,0),ROUNDUP(($B$3+$I85)/$I85,0)),IF($B$6="No",ROUNDUP($B$4/$G85,0),ROUNDUP(($B$4+$G85)/$G85,0)))+$B$5</f>
        <v>1</v>
      </c>
      <c r="V85" s="400" t="b">
        <f t="shared" ca="1" si="3"/>
        <v>1</v>
      </c>
      <c r="W85" s="400" t="str">
        <f t="shared" ca="1" si="24"/>
        <v>Accepted</v>
      </c>
      <c r="X85" s="398" t="str">
        <f t="shared" ca="1" si="25"/>
        <v>No</v>
      </c>
      <c r="Y85" s="398" t="str">
        <f t="shared" ca="1" si="26"/>
        <v/>
      </c>
      <c r="Z85" s="398" t="str">
        <f t="shared" ca="1" si="27"/>
        <v/>
      </c>
      <c r="AA85" s="398">
        <f t="shared" ca="1" si="28"/>
        <v>6</v>
      </c>
      <c r="AB85" s="398">
        <f t="shared" ca="1" si="4"/>
        <v>2</v>
      </c>
      <c r="AC85" s="398">
        <f t="shared" ca="1" si="5"/>
        <v>224</v>
      </c>
      <c r="AD85" s="398">
        <f t="shared" ca="1" si="29"/>
        <v>195450</v>
      </c>
      <c r="AE85" s="399">
        <f t="shared" si="540"/>
        <v>0</v>
      </c>
      <c r="AF85" s="399">
        <f t="shared" si="541"/>
        <v>0</v>
      </c>
      <c r="AG85" s="483" t="str">
        <f t="shared" ca="1" si="30"/>
        <v/>
      </c>
      <c r="AH85" s="400">
        <f ca="1">IF(MAX(IF($C$6="No",ROUNDUP($C$3/$I85,0),ROUNDUP(($C$3+$I85)/$I85,0)),IF($C$6="No",ROUNDUP($C$4/$G85,0),ROUNDUP(($C$4+$G85)/$G85,0)),ROUNDUP('BVMS checklist'!$H$217/$J85,0))&gt;1,'BVMS checklist'!$J$224,'BVMS checklist'!$J$217)</f>
        <v>0</v>
      </c>
      <c r="AI85" s="398">
        <f t="shared" ca="1" si="31"/>
        <v>2</v>
      </c>
      <c r="AJ85" s="400">
        <f t="shared" ca="1" si="32"/>
        <v>2</v>
      </c>
      <c r="AK85" s="400">
        <f t="shared" ca="1" si="33"/>
        <v>2050</v>
      </c>
      <c r="AL85" s="400">
        <f t="shared" ca="1" si="34"/>
        <v>0</v>
      </c>
      <c r="AM85" s="398">
        <f t="shared" ca="1" si="35"/>
        <v>195450</v>
      </c>
      <c r="AN85" s="401" t="str">
        <f t="shared" ca="1" si="36"/>
        <v/>
      </c>
      <c r="AO85" s="398">
        <f t="shared" ca="1" si="37"/>
        <v>512</v>
      </c>
      <c r="AP85" s="400">
        <f ca="1">IF(MAX(IF($C$6="No",ROUNDUP($C$3/$I85,0),ROUNDUP(($C$3+$I85)/$I85,0)),IF($C$6="No",ROUNDUP($C$4/$G85,0),ROUNDUP(($C$4+$G85)/$G85,0)),ROUNDUP('BVMS checklist'!$H$217/$J85,0))&gt;1,'BVMS checklist'!$J$224,'BVMS checklist'!$J$217)+MAX(IF($C$6="No",ROUNDUP($C$3/$I85,0),ROUNDUP(($C$3+$I85)/$I85,0)),IF($C$6="No",ROUNDUP($C$4/$G85,0),ROUNDUP(($C$4+$G85)/$G85,0)))+$C$5</f>
        <v>1</v>
      </c>
      <c r="AQ85" s="400" t="b">
        <f t="shared" ca="1" si="8"/>
        <v>1</v>
      </c>
      <c r="AR85" s="400" t="str">
        <f t="shared" ca="1" si="38"/>
        <v>Accepted</v>
      </c>
      <c r="AS85" s="398" t="str">
        <f t="shared" ca="1" si="39"/>
        <v>No</v>
      </c>
      <c r="AT85" s="398" t="str">
        <f t="shared" ca="1" si="40"/>
        <v/>
      </c>
      <c r="AU85" s="398" t="str">
        <f t="shared" ca="1" si="41"/>
        <v/>
      </c>
      <c r="AV85" s="398">
        <f t="shared" ca="1" si="42"/>
        <v>6</v>
      </c>
      <c r="AW85" s="398">
        <f t="shared" ca="1" si="43"/>
        <v>2</v>
      </c>
      <c r="AX85" s="398">
        <f t="shared" ca="1" si="44"/>
        <v>224</v>
      </c>
      <c r="AY85" s="398">
        <f t="shared" ca="1" si="45"/>
        <v>195450</v>
      </c>
      <c r="AZ85" s="399">
        <f t="shared" si="542"/>
        <v>0</v>
      </c>
      <c r="BA85" s="399">
        <f t="shared" si="543"/>
        <v>0</v>
      </c>
      <c r="BB85" s="483" t="str">
        <f t="shared" ca="1" si="46"/>
        <v/>
      </c>
      <c r="BC85" s="400">
        <f ca="1">IF(MAX(IF($D$6="No",ROUNDUP($D$3/$I85,0),ROUNDUP(($D$3+$I85)/$I85,0)),IF($D$6="No",ROUNDUP($D$4/$G85,0),ROUNDUP(($D$4+$G85)/$G85,0)),ROUNDUP('BVMS checklist'!$H$217/$J85,0))&gt;1,'BVMS checklist'!$L$224,'BVMS checklist'!$L$217)</f>
        <v>0</v>
      </c>
      <c r="BD85" s="398">
        <f t="shared" ca="1" si="47"/>
        <v>2</v>
      </c>
      <c r="BE85" s="400">
        <f t="shared" si="48"/>
        <v>1</v>
      </c>
      <c r="BF85" s="400">
        <f t="shared" si="49"/>
        <v>1025</v>
      </c>
      <c r="BG85" s="400">
        <f t="shared" ca="1" si="11"/>
        <v>0</v>
      </c>
      <c r="BH85" s="398">
        <f t="shared" ca="1" si="50"/>
        <v>195450</v>
      </c>
      <c r="BI85" s="401" t="str">
        <f t="shared" ca="1" si="51"/>
        <v/>
      </c>
      <c r="BJ85" s="398">
        <f t="shared" ca="1" si="52"/>
        <v>512</v>
      </c>
      <c r="BK85" s="400">
        <f ca="1">IF(MAX(IF($D$6="No",ROUNDUP($D$3/$I85,0),ROUNDUP(($D$3+$I85)/$I85,0)),IF($D$6="No",ROUNDUP($D$4/$G85,0),ROUNDUP(($D$4+$G85)/$G85,0)),ROUNDUP('BVMS checklist'!$H$217/$J85,0))&gt;1,'BVMS checklist'!$L$224,'BVMS checklist'!$L$217)+MAX(IF($D$6="No",ROUNDUP($D$3/$I85,0),ROUNDUP(($D$3+$I85)/$I85,0)),IF($D$6="No",ROUNDUP($D$4/$G85,0),ROUNDUP(($D$4+$G85)/$G85,0)))+$D$5</f>
        <v>1</v>
      </c>
      <c r="BL85" s="400" t="b">
        <f t="shared" ca="1" si="12"/>
        <v>1</v>
      </c>
      <c r="BM85" s="400" t="str">
        <f t="shared" ca="1" si="53"/>
        <v>Accepted</v>
      </c>
      <c r="BN85" s="398" t="str">
        <f t="shared" ca="1" si="13"/>
        <v>No</v>
      </c>
      <c r="BO85" s="398" t="str">
        <f t="shared" ca="1" si="54"/>
        <v/>
      </c>
      <c r="BP85" s="398" t="str">
        <f t="shared" ca="1" si="55"/>
        <v/>
      </c>
      <c r="BQ85" s="398">
        <f t="shared" ca="1" si="56"/>
        <v>6</v>
      </c>
      <c r="BR85" s="398">
        <f t="shared" ca="1" si="57"/>
        <v>2</v>
      </c>
      <c r="BS85" s="398">
        <f t="shared" ca="1" si="58"/>
        <v>224</v>
      </c>
      <c r="BT85" s="398">
        <f t="shared" ca="1" si="59"/>
        <v>195450</v>
      </c>
      <c r="BU85" s="399">
        <f t="shared" si="544"/>
        <v>0</v>
      </c>
      <c r="BV85" s="399">
        <f t="shared" si="545"/>
        <v>0</v>
      </c>
      <c r="BW85" s="483" t="str">
        <f t="shared" ca="1" si="60"/>
        <v/>
      </c>
      <c r="BX85" s="400">
        <f ca="1">IF(MAX(IF($E$6="No",ROUNDUP($E$3/$I85,0),ROUNDUP(($E$3+$I85)/$I85,0)),IF($E$6="No",ROUNDUP($E$4/$G85,0),ROUNDUP(($E$4+$G85)/$G85,0)),ROUNDUP('BVMS checklist'!$H$217/$J85,0))&gt;1,'BVMS checklist'!$N$224,'BVMS checklist'!$N$217)</f>
        <v>0</v>
      </c>
      <c r="BY85" s="398">
        <f t="shared" ca="1" si="61"/>
        <v>2</v>
      </c>
      <c r="BZ85" s="400">
        <f t="shared" ca="1" si="62"/>
        <v>2</v>
      </c>
      <c r="CA85" s="400">
        <f t="shared" ca="1" si="63"/>
        <v>2050</v>
      </c>
      <c r="CB85" s="400">
        <f t="shared" ca="1" si="16"/>
        <v>0</v>
      </c>
      <c r="CC85" s="398">
        <f t="shared" ca="1" si="64"/>
        <v>195450</v>
      </c>
      <c r="CD85" s="401" t="str">
        <f t="shared" ca="1" si="65"/>
        <v/>
      </c>
      <c r="CE85" s="398">
        <f t="shared" ca="1" si="66"/>
        <v>512</v>
      </c>
      <c r="CF85" s="400">
        <f ca="1">IF(MAX(IF($E$6="No",ROUNDUP($E$3/$I85,0),ROUNDUP(($E$3+$I85)/$I85,0)),IF($E$6="No",ROUNDUP($E$4/$G85,0),ROUNDUP(($E$4+$G85)/$G85,0)),ROUNDUP('BVMS checklist'!$H$217/$J85,0))&gt;1,'BVMS checklist'!$N$224,'BVMS checklist'!$N$217)+MAX(IF($E$6="No",ROUNDUP($E$3/$I85,0),ROUNDUP(($E$3+$I85)/$I85,0)),IF($E$6="No",ROUNDUP($E$4/$G85,0),ROUNDUP(($E$4+$G85)/$G85,0)))+$E$5</f>
        <v>1</v>
      </c>
      <c r="CG85" s="400" t="b">
        <f t="shared" ca="1" si="17"/>
        <v>1</v>
      </c>
      <c r="CH85" s="400" t="str">
        <f t="shared" ca="1" si="67"/>
        <v>Accepted</v>
      </c>
      <c r="CI85" s="398" t="str">
        <f t="shared" ca="1" si="68"/>
        <v>No</v>
      </c>
      <c r="CJ85" s="398" t="str">
        <f t="shared" ca="1" si="69"/>
        <v/>
      </c>
      <c r="CK85" s="398" t="str">
        <f t="shared" ca="1" si="70"/>
        <v/>
      </c>
      <c r="CL85" s="398">
        <f t="shared" ca="1" si="71"/>
        <v>6</v>
      </c>
      <c r="CM85" s="398">
        <f t="shared" ca="1" si="72"/>
        <v>2</v>
      </c>
      <c r="CN85" s="398">
        <f t="shared" ca="1" si="73"/>
        <v>224</v>
      </c>
      <c r="CO85" s="398">
        <f t="shared" ca="1" si="74"/>
        <v>195450</v>
      </c>
      <c r="CP85" s="399">
        <f t="shared" si="546"/>
        <v>0</v>
      </c>
      <c r="CQ85" s="399">
        <f t="shared" si="547"/>
        <v>0</v>
      </c>
      <c r="CR85" s="483" t="str">
        <f t="shared" ca="1" si="75"/>
        <v/>
      </c>
      <c r="CS85"/>
    </row>
    <row r="86" spans="1:97">
      <c r="A86" s="398" t="s">
        <v>350</v>
      </c>
      <c r="B86" s="398" t="s">
        <v>987</v>
      </c>
      <c r="C86" s="440" t="s">
        <v>891</v>
      </c>
      <c r="D86" s="398">
        <v>3</v>
      </c>
      <c r="E86" s="398"/>
      <c r="F86" s="440">
        <v>0</v>
      </c>
      <c r="G86" s="398">
        <f>IF(C86="RAID5",(((15-F86)*2792))+(2*(((15-F86)*3723))),(((14-F86)*2792))+(2*(((14-F86)*3723))))</f>
        <v>153570</v>
      </c>
      <c r="H86" s="399">
        <v>176</v>
      </c>
      <c r="I86" s="399">
        <v>1575</v>
      </c>
      <c r="J86" s="399">
        <v>384</v>
      </c>
      <c r="K86" s="399"/>
      <c r="L86" s="399"/>
      <c r="M86" s="400">
        <f ca="1">IF(MAX(IF($B$6="No",ROUNDUP($B$3/$I86,0),ROUNDUP(($B$3+$I86)/$I86,0)),IF($B$6="No",ROUNDUP($B$4/$G86,0),ROUNDUP(($B$4+$G86)/$G86,0)),ROUNDUP('BVMS checklist'!$H$217/$J86,0))&gt;1,'BVMS checklist'!$H$224,'BVMS checklist'!$H$217)</f>
        <v>0</v>
      </c>
      <c r="N86" s="398">
        <f t="shared" ca="1" si="20"/>
        <v>2</v>
      </c>
      <c r="O86" s="400">
        <f t="shared" ca="1" si="21"/>
        <v>2</v>
      </c>
      <c r="P86" s="400">
        <f t="shared" ca="1" si="0"/>
        <v>3150</v>
      </c>
      <c r="Q86" s="400">
        <f t="shared" ca="1" si="1"/>
        <v>0</v>
      </c>
      <c r="R86" s="398">
        <f t="shared" ca="1" si="2"/>
        <v>307140</v>
      </c>
      <c r="S86" s="401" t="str">
        <f t="shared" ca="1" si="22"/>
        <v/>
      </c>
      <c r="T86" s="398">
        <f t="shared" ca="1" si="23"/>
        <v>768</v>
      </c>
      <c r="U86" s="400">
        <f ca="1">IF(MAX(IF($B$6="No",ROUNDUP($B$3/$I86,0),ROUNDUP(($B$3+$I86)/$I86,0)),IF($B$6="No",ROUNDUP($B$4/$G86,0),ROUNDUP(($B$4+$G86)/$G86,0)),ROUNDUP('BVMS checklist'!$H$217/$J86,0))&gt;1,'BVMS checklist'!$H$224,'BVMS checklist'!$H$217)+MAX(IF($B$6="No",ROUNDUP($B$3/$I86,0),ROUNDUP(($B$3+$I86)/$I86,0)),IF($B$6="No",ROUNDUP($B$4/$G86,0),ROUNDUP(($B$4+$G86)/$G86,0)))+$B$5</f>
        <v>1</v>
      </c>
      <c r="V86" s="400" t="b">
        <f t="shared" ca="1" si="3"/>
        <v>1</v>
      </c>
      <c r="W86" s="400" t="str">
        <f t="shared" ca="1" si="24"/>
        <v>Accepted</v>
      </c>
      <c r="X86" s="398" t="str">
        <f t="shared" ca="1" si="25"/>
        <v>No</v>
      </c>
      <c r="Y86" s="398" t="str">
        <f t="shared" ca="1" si="26"/>
        <v/>
      </c>
      <c r="Z86" s="398" t="str">
        <f t="shared" ca="1" si="27"/>
        <v/>
      </c>
      <c r="AA86" s="398">
        <f t="shared" ca="1" si="28"/>
        <v>6</v>
      </c>
      <c r="AB86" s="398">
        <f t="shared" ca="1" si="4"/>
        <v>2</v>
      </c>
      <c r="AC86" s="398">
        <f t="shared" ca="1" si="5"/>
        <v>352</v>
      </c>
      <c r="AD86" s="398">
        <f t="shared" ca="1" si="29"/>
        <v>307140</v>
      </c>
      <c r="AE86" s="399">
        <f t="shared" si="540"/>
        <v>0</v>
      </c>
      <c r="AF86" s="399">
        <f t="shared" si="541"/>
        <v>0</v>
      </c>
      <c r="AG86" s="483" t="str">
        <f t="shared" ca="1" si="30"/>
        <v/>
      </c>
      <c r="AH86" s="400">
        <f ca="1">IF(MAX(IF($C$6="No",ROUNDUP($C$3/$I86,0),ROUNDUP(($C$3+$I86)/$I86,0)),IF($C$6="No",ROUNDUP($C$4/$G86,0),ROUNDUP(($C$4+$G86)/$G86,0)),ROUNDUP('BVMS checklist'!$H$217/$J86,0))&gt;1,'BVMS checklist'!$J$224,'BVMS checklist'!$J$217)</f>
        <v>0</v>
      </c>
      <c r="AI86" s="398">
        <f t="shared" ca="1" si="31"/>
        <v>2</v>
      </c>
      <c r="AJ86" s="400">
        <f t="shared" ca="1" si="32"/>
        <v>2</v>
      </c>
      <c r="AK86" s="400">
        <f t="shared" ca="1" si="33"/>
        <v>3150</v>
      </c>
      <c r="AL86" s="400">
        <f t="shared" ca="1" si="34"/>
        <v>0</v>
      </c>
      <c r="AM86" s="398">
        <f t="shared" ca="1" si="35"/>
        <v>307140</v>
      </c>
      <c r="AN86" s="401" t="str">
        <f t="shared" ca="1" si="36"/>
        <v/>
      </c>
      <c r="AO86" s="398">
        <f t="shared" ca="1" si="37"/>
        <v>768</v>
      </c>
      <c r="AP86" s="400">
        <f ca="1">IF(MAX(IF($C$6="No",ROUNDUP($C$3/$I86,0),ROUNDUP(($C$3+$I86)/$I86,0)),IF($C$6="No",ROUNDUP($C$4/$G86,0),ROUNDUP(($C$4+$G86)/$G86,0)),ROUNDUP('BVMS checklist'!$H$217/$J86,0))&gt;1,'BVMS checklist'!$J$224,'BVMS checklist'!$J$217)+MAX(IF($C$6="No",ROUNDUP($C$3/$I86,0),ROUNDUP(($C$3+$I86)/$I86,0)),IF($C$6="No",ROUNDUP($C$4/$G86,0),ROUNDUP(($C$4+$G86)/$G86,0)))+$C$5</f>
        <v>1</v>
      </c>
      <c r="AQ86" s="400" t="b">
        <f t="shared" ca="1" si="8"/>
        <v>1</v>
      </c>
      <c r="AR86" s="400" t="str">
        <f t="shared" ca="1" si="38"/>
        <v>Accepted</v>
      </c>
      <c r="AS86" s="398" t="str">
        <f t="shared" ca="1" si="39"/>
        <v>No</v>
      </c>
      <c r="AT86" s="398" t="str">
        <f t="shared" ca="1" si="40"/>
        <v/>
      </c>
      <c r="AU86" s="398" t="str">
        <f t="shared" ca="1" si="41"/>
        <v/>
      </c>
      <c r="AV86" s="398">
        <f t="shared" ca="1" si="42"/>
        <v>6</v>
      </c>
      <c r="AW86" s="398">
        <f t="shared" ca="1" si="43"/>
        <v>2</v>
      </c>
      <c r="AX86" s="398">
        <f t="shared" ca="1" si="44"/>
        <v>352</v>
      </c>
      <c r="AY86" s="398">
        <f t="shared" ca="1" si="45"/>
        <v>307140</v>
      </c>
      <c r="AZ86" s="399">
        <f t="shared" si="542"/>
        <v>0</v>
      </c>
      <c r="BA86" s="399">
        <f t="shared" si="543"/>
        <v>0</v>
      </c>
      <c r="BB86" s="483" t="str">
        <f t="shared" ca="1" si="46"/>
        <v/>
      </c>
      <c r="BC86" s="400">
        <f ca="1">IF(MAX(IF($D$6="No",ROUNDUP($D$3/$I86,0),ROUNDUP(($D$3+$I86)/$I86,0)),IF($D$6="No",ROUNDUP($D$4/$G86,0),ROUNDUP(($D$4+$G86)/$G86,0)),ROUNDUP('BVMS checklist'!$H$217/$J86,0))&gt;1,'BVMS checklist'!$L$224,'BVMS checklist'!$L$217)</f>
        <v>0</v>
      </c>
      <c r="BD86" s="398">
        <f t="shared" ca="1" si="47"/>
        <v>2</v>
      </c>
      <c r="BE86" s="400">
        <f t="shared" si="48"/>
        <v>1</v>
      </c>
      <c r="BF86" s="400">
        <f t="shared" si="49"/>
        <v>1575</v>
      </c>
      <c r="BG86" s="400">
        <f t="shared" ca="1" si="11"/>
        <v>0</v>
      </c>
      <c r="BH86" s="398">
        <f t="shared" ca="1" si="50"/>
        <v>307140</v>
      </c>
      <c r="BI86" s="401" t="str">
        <f t="shared" ca="1" si="51"/>
        <v/>
      </c>
      <c r="BJ86" s="398">
        <f t="shared" ca="1" si="52"/>
        <v>768</v>
      </c>
      <c r="BK86" s="400">
        <f ca="1">IF(MAX(IF($D$6="No",ROUNDUP($D$3/$I86,0),ROUNDUP(($D$3+$I86)/$I86,0)),IF($D$6="No",ROUNDUP($D$4/$G86,0),ROUNDUP(($D$4+$G86)/$G86,0)),ROUNDUP('BVMS checklist'!$H$217/$J86,0))&gt;1,'BVMS checklist'!$L$224,'BVMS checklist'!$L$217)+MAX(IF($D$6="No",ROUNDUP($D$3/$I86,0),ROUNDUP(($D$3+$I86)/$I86,0)),IF($D$6="No",ROUNDUP($D$4/$G86,0),ROUNDUP(($D$4+$G86)/$G86,0)))+$D$5</f>
        <v>1</v>
      </c>
      <c r="BL86" s="400" t="b">
        <f t="shared" ca="1" si="12"/>
        <v>1</v>
      </c>
      <c r="BM86" s="400" t="str">
        <f t="shared" ca="1" si="53"/>
        <v>Accepted</v>
      </c>
      <c r="BN86" s="398" t="str">
        <f t="shared" ca="1" si="13"/>
        <v>No</v>
      </c>
      <c r="BO86" s="398" t="str">
        <f t="shared" ca="1" si="54"/>
        <v/>
      </c>
      <c r="BP86" s="398" t="str">
        <f t="shared" ca="1" si="55"/>
        <v/>
      </c>
      <c r="BQ86" s="398">
        <f t="shared" ca="1" si="56"/>
        <v>6</v>
      </c>
      <c r="BR86" s="398">
        <f t="shared" ca="1" si="57"/>
        <v>2</v>
      </c>
      <c r="BS86" s="398">
        <f t="shared" ca="1" si="58"/>
        <v>352</v>
      </c>
      <c r="BT86" s="398">
        <f t="shared" ca="1" si="59"/>
        <v>307140</v>
      </c>
      <c r="BU86" s="399">
        <f t="shared" si="544"/>
        <v>0</v>
      </c>
      <c r="BV86" s="399">
        <f t="shared" si="545"/>
        <v>0</v>
      </c>
      <c r="BW86" s="483" t="str">
        <f t="shared" ca="1" si="60"/>
        <v/>
      </c>
      <c r="BX86" s="400">
        <f ca="1">IF(MAX(IF($E$6="No",ROUNDUP($E$3/$I86,0),ROUNDUP(($E$3+$I86)/$I86,0)),IF($E$6="No",ROUNDUP($E$4/$G86,0),ROUNDUP(($E$4+$G86)/$G86,0)),ROUNDUP('BVMS checklist'!$H$217/$J86,0))&gt;1,'BVMS checklist'!$N$224,'BVMS checklist'!$N$217)</f>
        <v>0</v>
      </c>
      <c r="BY86" s="398">
        <f t="shared" ca="1" si="61"/>
        <v>2</v>
      </c>
      <c r="BZ86" s="400">
        <f t="shared" ca="1" si="62"/>
        <v>2</v>
      </c>
      <c r="CA86" s="400">
        <f t="shared" ca="1" si="63"/>
        <v>3150</v>
      </c>
      <c r="CB86" s="400">
        <f t="shared" ca="1" si="16"/>
        <v>0</v>
      </c>
      <c r="CC86" s="398">
        <f t="shared" ca="1" si="64"/>
        <v>307140</v>
      </c>
      <c r="CD86" s="401" t="str">
        <f t="shared" ca="1" si="65"/>
        <v/>
      </c>
      <c r="CE86" s="398">
        <f t="shared" ca="1" si="66"/>
        <v>768</v>
      </c>
      <c r="CF86" s="400">
        <f ca="1">IF(MAX(IF($E$6="No",ROUNDUP($E$3/$I86,0),ROUNDUP(($E$3+$I86)/$I86,0)),IF($E$6="No",ROUNDUP($E$4/$G86,0),ROUNDUP(($E$4+$G86)/$G86,0)),ROUNDUP('BVMS checklist'!$H$217/$J86,0))&gt;1,'BVMS checklist'!$N$224,'BVMS checklist'!$N$217)+MAX(IF($E$6="No",ROUNDUP($E$3/$I86,0),ROUNDUP(($E$3+$I86)/$I86,0)),IF($E$6="No",ROUNDUP($E$4/$G86,0),ROUNDUP(($E$4+$G86)/$G86,0)))+$E$5</f>
        <v>1</v>
      </c>
      <c r="CG86" s="400" t="b">
        <f t="shared" ca="1" si="17"/>
        <v>1</v>
      </c>
      <c r="CH86" s="400" t="str">
        <f t="shared" ca="1" si="67"/>
        <v>Accepted</v>
      </c>
      <c r="CI86" s="398" t="str">
        <f t="shared" ca="1" si="68"/>
        <v>No</v>
      </c>
      <c r="CJ86" s="398" t="str">
        <f t="shared" ca="1" si="69"/>
        <v/>
      </c>
      <c r="CK86" s="398" t="str">
        <f t="shared" ca="1" si="70"/>
        <v/>
      </c>
      <c r="CL86" s="398">
        <f t="shared" ca="1" si="71"/>
        <v>6</v>
      </c>
      <c r="CM86" s="398">
        <f t="shared" ca="1" si="72"/>
        <v>2</v>
      </c>
      <c r="CN86" s="398">
        <f t="shared" ca="1" si="73"/>
        <v>352</v>
      </c>
      <c r="CO86" s="398">
        <f t="shared" ca="1" si="74"/>
        <v>307140</v>
      </c>
      <c r="CP86" s="399">
        <f t="shared" si="546"/>
        <v>0</v>
      </c>
      <c r="CQ86" s="399">
        <f t="shared" si="547"/>
        <v>0</v>
      </c>
      <c r="CR86" s="483" t="str">
        <f t="shared" ca="1" si="75"/>
        <v/>
      </c>
      <c r="CS86"/>
    </row>
    <row r="87" spans="1:97">
      <c r="A87" s="398" t="s">
        <v>351</v>
      </c>
      <c r="B87" s="398" t="s">
        <v>987</v>
      </c>
      <c r="C87" s="440" t="s">
        <v>891</v>
      </c>
      <c r="D87" s="398">
        <v>4</v>
      </c>
      <c r="E87" s="398"/>
      <c r="F87" s="440">
        <v>0</v>
      </c>
      <c r="G87" s="398">
        <f>IF(C87="RAID5",(((15-F87)*2792))+(3*(((15-F87)*3723))),(((14-F87)*2792))+(3*(((14-F87)*3723))))</f>
        <v>209415</v>
      </c>
      <c r="H87" s="399">
        <v>240</v>
      </c>
      <c r="I87" s="399">
        <v>2125</v>
      </c>
      <c r="J87" s="399">
        <v>512</v>
      </c>
      <c r="K87" s="399"/>
      <c r="L87" s="399"/>
      <c r="M87" s="400">
        <f ca="1">IF(MAX(IF($B$6="No",ROUNDUP($B$3/$I87,0),ROUNDUP(($B$3+$I87)/$I87,0)),IF($B$6="No",ROUNDUP($B$4/$G87,0),ROUNDUP(($B$4+$G87)/$G87,0)),ROUNDUP('BVMS checklist'!$H$217/$J87,0))&gt;1,'BVMS checklist'!$H$224,'BVMS checklist'!$H$217)</f>
        <v>0</v>
      </c>
      <c r="N87" s="398">
        <f t="shared" ca="1" si="20"/>
        <v>2</v>
      </c>
      <c r="O87" s="400">
        <f t="shared" ca="1" si="21"/>
        <v>2</v>
      </c>
      <c r="P87" s="400">
        <f t="shared" ca="1" si="0"/>
        <v>4250</v>
      </c>
      <c r="Q87" s="400">
        <f t="shared" ca="1" si="1"/>
        <v>0</v>
      </c>
      <c r="R87" s="398">
        <f t="shared" ca="1" si="2"/>
        <v>418830</v>
      </c>
      <c r="S87" s="401" t="str">
        <f t="shared" ca="1" si="22"/>
        <v/>
      </c>
      <c r="T87" s="398">
        <f t="shared" ca="1" si="23"/>
        <v>1024</v>
      </c>
      <c r="U87" s="400">
        <f ca="1">IF(MAX(IF($B$6="No",ROUNDUP($B$3/$I87,0),ROUNDUP(($B$3+$I87)/$I87,0)),IF($B$6="No",ROUNDUP($B$4/$G87,0),ROUNDUP(($B$4+$G87)/$G87,0)),ROUNDUP('BVMS checklist'!$H$217/$J87,0))&gt;1,'BVMS checklist'!$H$224,'BVMS checklist'!$H$217)+MAX(IF($B$6="No",ROUNDUP($B$3/$I87,0),ROUNDUP(($B$3+$I87)/$I87,0)),IF($B$6="No",ROUNDUP($B$4/$G87,0),ROUNDUP(($B$4+$G87)/$G87,0)))+$B$5</f>
        <v>1</v>
      </c>
      <c r="V87" s="400" t="b">
        <f t="shared" ca="1" si="3"/>
        <v>1</v>
      </c>
      <c r="W87" s="400" t="str">
        <f t="shared" ca="1" si="24"/>
        <v>Accepted</v>
      </c>
      <c r="X87" s="398" t="str">
        <f t="shared" ca="1" si="25"/>
        <v>No</v>
      </c>
      <c r="Y87" s="398" t="str">
        <f t="shared" ca="1" si="26"/>
        <v/>
      </c>
      <c r="Z87" s="398" t="str">
        <f t="shared" ca="1" si="27"/>
        <v/>
      </c>
      <c r="AA87" s="398">
        <f t="shared" ca="1" si="28"/>
        <v>6</v>
      </c>
      <c r="AB87" s="398">
        <f t="shared" ca="1" si="4"/>
        <v>2</v>
      </c>
      <c r="AC87" s="398">
        <f t="shared" ca="1" si="5"/>
        <v>480</v>
      </c>
      <c r="AD87" s="398">
        <f t="shared" ca="1" si="29"/>
        <v>418830</v>
      </c>
      <c r="AE87" s="399">
        <f t="shared" si="540"/>
        <v>0</v>
      </c>
      <c r="AF87" s="399">
        <f t="shared" si="541"/>
        <v>0</v>
      </c>
      <c r="AG87" s="483" t="str">
        <f t="shared" ca="1" si="30"/>
        <v/>
      </c>
      <c r="AH87" s="400">
        <f ca="1">IF(MAX(IF($C$6="No",ROUNDUP($C$3/$I87,0),ROUNDUP(($C$3+$I87)/$I87,0)),IF($C$6="No",ROUNDUP($C$4/$G87,0),ROUNDUP(($C$4+$G87)/$G87,0)),ROUNDUP('BVMS checklist'!$H$217/$J87,0))&gt;1,'BVMS checklist'!$J$224,'BVMS checklist'!$J$217)</f>
        <v>0</v>
      </c>
      <c r="AI87" s="398">
        <f t="shared" ca="1" si="31"/>
        <v>2</v>
      </c>
      <c r="AJ87" s="400">
        <f t="shared" ca="1" si="32"/>
        <v>2</v>
      </c>
      <c r="AK87" s="400">
        <f t="shared" ca="1" si="33"/>
        <v>4250</v>
      </c>
      <c r="AL87" s="400">
        <f t="shared" ca="1" si="34"/>
        <v>0</v>
      </c>
      <c r="AM87" s="398">
        <f t="shared" ca="1" si="35"/>
        <v>418830</v>
      </c>
      <c r="AN87" s="401" t="str">
        <f t="shared" ca="1" si="36"/>
        <v/>
      </c>
      <c r="AO87" s="398">
        <f t="shared" ca="1" si="37"/>
        <v>1024</v>
      </c>
      <c r="AP87" s="400">
        <f ca="1">IF(MAX(IF($C$6="No",ROUNDUP($C$3/$I87,0),ROUNDUP(($C$3+$I87)/$I87,0)),IF($C$6="No",ROUNDUP($C$4/$G87,0),ROUNDUP(($C$4+$G87)/$G87,0)),ROUNDUP('BVMS checklist'!$H$217/$J87,0))&gt;1,'BVMS checklist'!$J$224,'BVMS checklist'!$J$217)+MAX(IF($C$6="No",ROUNDUP($C$3/$I87,0),ROUNDUP(($C$3+$I87)/$I87,0)),IF($C$6="No",ROUNDUP($C$4/$G87,0),ROUNDUP(($C$4+$G87)/$G87,0)))+$C$5</f>
        <v>1</v>
      </c>
      <c r="AQ87" s="400" t="b">
        <f t="shared" ca="1" si="8"/>
        <v>1</v>
      </c>
      <c r="AR87" s="400" t="str">
        <f t="shared" ca="1" si="38"/>
        <v>Accepted</v>
      </c>
      <c r="AS87" s="398" t="str">
        <f t="shared" ca="1" si="39"/>
        <v>No</v>
      </c>
      <c r="AT87" s="398" t="str">
        <f t="shared" ca="1" si="40"/>
        <v/>
      </c>
      <c r="AU87" s="398" t="str">
        <f t="shared" ca="1" si="41"/>
        <v/>
      </c>
      <c r="AV87" s="398">
        <f t="shared" ca="1" si="42"/>
        <v>6</v>
      </c>
      <c r="AW87" s="398">
        <f t="shared" ca="1" si="43"/>
        <v>2</v>
      </c>
      <c r="AX87" s="398">
        <f t="shared" ca="1" si="44"/>
        <v>480</v>
      </c>
      <c r="AY87" s="398">
        <f t="shared" ca="1" si="45"/>
        <v>418830</v>
      </c>
      <c r="AZ87" s="399">
        <f t="shared" si="542"/>
        <v>0</v>
      </c>
      <c r="BA87" s="399">
        <f t="shared" si="543"/>
        <v>0</v>
      </c>
      <c r="BB87" s="483" t="str">
        <f t="shared" ca="1" si="46"/>
        <v/>
      </c>
      <c r="BC87" s="400">
        <f ca="1">IF(MAX(IF($D$6="No",ROUNDUP($D$3/$I87,0),ROUNDUP(($D$3+$I87)/$I87,0)),IF($D$6="No",ROUNDUP($D$4/$G87,0),ROUNDUP(($D$4+$G87)/$G87,0)),ROUNDUP('BVMS checklist'!$H$217/$J87,0))&gt;1,'BVMS checklist'!$L$224,'BVMS checklist'!$L$217)</f>
        <v>0</v>
      </c>
      <c r="BD87" s="398">
        <f t="shared" ca="1" si="47"/>
        <v>2</v>
      </c>
      <c r="BE87" s="400">
        <f t="shared" si="48"/>
        <v>1</v>
      </c>
      <c r="BF87" s="400">
        <f t="shared" si="49"/>
        <v>2125</v>
      </c>
      <c r="BG87" s="400">
        <f t="shared" ca="1" si="11"/>
        <v>0</v>
      </c>
      <c r="BH87" s="398">
        <f t="shared" ca="1" si="50"/>
        <v>418830</v>
      </c>
      <c r="BI87" s="401" t="str">
        <f t="shared" ca="1" si="51"/>
        <v/>
      </c>
      <c r="BJ87" s="398">
        <f t="shared" ca="1" si="52"/>
        <v>1024</v>
      </c>
      <c r="BK87" s="400">
        <f ca="1">IF(MAX(IF($D$6="No",ROUNDUP($D$3/$I87,0),ROUNDUP(($D$3+$I87)/$I87,0)),IF($D$6="No",ROUNDUP($D$4/$G87,0),ROUNDUP(($D$4+$G87)/$G87,0)),ROUNDUP('BVMS checklist'!$H$217/$J87,0))&gt;1,'BVMS checklist'!$L$224,'BVMS checklist'!$L$217)+MAX(IF($D$6="No",ROUNDUP($D$3/$I87,0),ROUNDUP(($D$3+$I87)/$I87,0)),IF($D$6="No",ROUNDUP($D$4/$G87,0),ROUNDUP(($D$4+$G87)/$G87,0)))+$D$5</f>
        <v>1</v>
      </c>
      <c r="BL87" s="400" t="b">
        <f t="shared" ca="1" si="12"/>
        <v>1</v>
      </c>
      <c r="BM87" s="400" t="str">
        <f t="shared" ca="1" si="53"/>
        <v>Accepted</v>
      </c>
      <c r="BN87" s="398" t="str">
        <f t="shared" ca="1" si="13"/>
        <v>No</v>
      </c>
      <c r="BO87" s="398" t="str">
        <f t="shared" ca="1" si="54"/>
        <v/>
      </c>
      <c r="BP87" s="398" t="str">
        <f t="shared" ca="1" si="55"/>
        <v/>
      </c>
      <c r="BQ87" s="398">
        <f t="shared" ca="1" si="56"/>
        <v>6</v>
      </c>
      <c r="BR87" s="398">
        <f t="shared" ca="1" si="57"/>
        <v>2</v>
      </c>
      <c r="BS87" s="398">
        <f t="shared" ca="1" si="58"/>
        <v>480</v>
      </c>
      <c r="BT87" s="398">
        <f t="shared" ca="1" si="59"/>
        <v>418830</v>
      </c>
      <c r="BU87" s="399">
        <f t="shared" si="544"/>
        <v>0</v>
      </c>
      <c r="BV87" s="399">
        <f t="shared" si="545"/>
        <v>0</v>
      </c>
      <c r="BW87" s="483" t="str">
        <f t="shared" ca="1" si="60"/>
        <v/>
      </c>
      <c r="BX87" s="400">
        <f ca="1">IF(MAX(IF($E$6="No",ROUNDUP($E$3/$I87,0),ROUNDUP(($E$3+$I87)/$I87,0)),IF($E$6="No",ROUNDUP($E$4/$G87,0),ROUNDUP(($E$4+$G87)/$G87,0)),ROUNDUP('BVMS checklist'!$H$217/$J87,0))&gt;1,'BVMS checklist'!$N$224,'BVMS checklist'!$N$217)</f>
        <v>0</v>
      </c>
      <c r="BY87" s="398">
        <f t="shared" ca="1" si="61"/>
        <v>2</v>
      </c>
      <c r="BZ87" s="400">
        <f t="shared" ca="1" si="62"/>
        <v>2</v>
      </c>
      <c r="CA87" s="400">
        <f t="shared" ca="1" si="63"/>
        <v>4250</v>
      </c>
      <c r="CB87" s="400">
        <f t="shared" ca="1" si="16"/>
        <v>0</v>
      </c>
      <c r="CC87" s="398">
        <f t="shared" ca="1" si="64"/>
        <v>418830</v>
      </c>
      <c r="CD87" s="401" t="str">
        <f t="shared" ca="1" si="65"/>
        <v/>
      </c>
      <c r="CE87" s="398">
        <f t="shared" ca="1" si="66"/>
        <v>1024</v>
      </c>
      <c r="CF87" s="400">
        <f ca="1">IF(MAX(IF($E$6="No",ROUNDUP($E$3/$I87,0),ROUNDUP(($E$3+$I87)/$I87,0)),IF($E$6="No",ROUNDUP($E$4/$G87,0),ROUNDUP(($E$4+$G87)/$G87,0)),ROUNDUP('BVMS checklist'!$H$217/$J87,0))&gt;1,'BVMS checklist'!$N$224,'BVMS checklist'!$N$217)+MAX(IF($E$6="No",ROUNDUP($E$3/$I87,0),ROUNDUP(($E$3+$I87)/$I87,0)),IF($E$6="No",ROUNDUP($E$4/$G87,0),ROUNDUP(($E$4+$G87)/$G87,0)))+$E$5</f>
        <v>1</v>
      </c>
      <c r="CG87" s="400" t="b">
        <f t="shared" ca="1" si="17"/>
        <v>1</v>
      </c>
      <c r="CH87" s="400" t="str">
        <f t="shared" ca="1" si="67"/>
        <v>Accepted</v>
      </c>
      <c r="CI87" s="398" t="str">
        <f t="shared" ca="1" si="68"/>
        <v>No</v>
      </c>
      <c r="CJ87" s="398" t="str">
        <f t="shared" ca="1" si="69"/>
        <v/>
      </c>
      <c r="CK87" s="398" t="str">
        <f t="shared" ca="1" si="70"/>
        <v/>
      </c>
      <c r="CL87" s="398">
        <f t="shared" ca="1" si="71"/>
        <v>6</v>
      </c>
      <c r="CM87" s="398">
        <f t="shared" ca="1" si="72"/>
        <v>2</v>
      </c>
      <c r="CN87" s="398">
        <f t="shared" ca="1" si="73"/>
        <v>480</v>
      </c>
      <c r="CO87" s="398">
        <f t="shared" ca="1" si="74"/>
        <v>418830</v>
      </c>
      <c r="CP87" s="399">
        <f t="shared" si="546"/>
        <v>0</v>
      </c>
      <c r="CQ87" s="399">
        <f t="shared" si="547"/>
        <v>0</v>
      </c>
      <c r="CR87" s="483" t="str">
        <f t="shared" ca="1" si="75"/>
        <v/>
      </c>
      <c r="CS87"/>
    </row>
    <row r="88" spans="1:97">
      <c r="A88" s="398" t="s">
        <v>352</v>
      </c>
      <c r="B88" s="398" t="s">
        <v>987</v>
      </c>
      <c r="C88" s="440" t="s">
        <v>891</v>
      </c>
      <c r="D88" s="398">
        <v>5</v>
      </c>
      <c r="E88" s="398"/>
      <c r="F88" s="440">
        <v>0</v>
      </c>
      <c r="G88" s="398">
        <f>IF(C88="RAID5",(((15-F88)*2792))+(4*(((15-F88)*3723))),(((14-F88)*2792))+(4*(((14-F88)*3723))))</f>
        <v>265260</v>
      </c>
      <c r="H88" s="399">
        <v>304</v>
      </c>
      <c r="I88" s="399">
        <v>2675</v>
      </c>
      <c r="J88" s="399">
        <v>640</v>
      </c>
      <c r="K88" s="399"/>
      <c r="L88" s="399"/>
      <c r="M88" s="400">
        <f ca="1">IF(MAX(IF($B$6="No",ROUNDUP($B$3/$I88,0),ROUNDUP(($B$3+$I88)/$I88,0)),IF($B$6="No",ROUNDUP($B$4/$G88,0),ROUNDUP(($B$4+$G88)/$G88,0)),ROUNDUP('BVMS checklist'!$H$217/$J88,0))&gt;1,'BVMS checklist'!$H$224,'BVMS checklist'!$H$217)</f>
        <v>0</v>
      </c>
      <c r="N88" s="398">
        <f t="shared" ca="1" si="20"/>
        <v>2</v>
      </c>
      <c r="O88" s="400">
        <f t="shared" ca="1" si="21"/>
        <v>2</v>
      </c>
      <c r="P88" s="400">
        <f t="shared" ca="1" si="0"/>
        <v>5350</v>
      </c>
      <c r="Q88" s="400">
        <f t="shared" ca="1" si="1"/>
        <v>0</v>
      </c>
      <c r="R88" s="398">
        <f t="shared" ca="1" si="2"/>
        <v>530520</v>
      </c>
      <c r="S88" s="401" t="str">
        <f t="shared" ca="1" si="22"/>
        <v/>
      </c>
      <c r="T88" s="398">
        <f t="shared" ca="1" si="23"/>
        <v>1280</v>
      </c>
      <c r="U88" s="400">
        <f ca="1">IF(MAX(IF($B$6="No",ROUNDUP($B$3/$I88,0),ROUNDUP(($B$3+$I88)/$I88,0)),IF($B$6="No",ROUNDUP($B$4/$G88,0),ROUNDUP(($B$4+$G88)/$G88,0)),ROUNDUP('BVMS checklist'!$H$217/$J88,0))&gt;1,'BVMS checklist'!$H$224,'BVMS checklist'!$H$217)+MAX(IF($B$6="No",ROUNDUP($B$3/$I88,0),ROUNDUP(($B$3+$I88)/$I88,0)),IF($B$6="No",ROUNDUP($B$4/$G88,0),ROUNDUP(($B$4+$G88)/$G88,0)))+$B$5</f>
        <v>1</v>
      </c>
      <c r="V88" s="400" t="b">
        <f t="shared" ca="1" si="3"/>
        <v>1</v>
      </c>
      <c r="W88" s="400" t="str">
        <f t="shared" ca="1" si="24"/>
        <v>Accepted</v>
      </c>
      <c r="X88" s="398" t="str">
        <f t="shared" ca="1" si="25"/>
        <v>No</v>
      </c>
      <c r="Y88" s="398" t="str">
        <f t="shared" ca="1" si="26"/>
        <v/>
      </c>
      <c r="Z88" s="398" t="str">
        <f t="shared" ca="1" si="27"/>
        <v/>
      </c>
      <c r="AA88" s="398">
        <f t="shared" ca="1" si="28"/>
        <v>6</v>
      </c>
      <c r="AB88" s="398">
        <f t="shared" ca="1" si="4"/>
        <v>2</v>
      </c>
      <c r="AC88" s="398">
        <f t="shared" ca="1" si="5"/>
        <v>608</v>
      </c>
      <c r="AD88" s="398">
        <f t="shared" ca="1" si="29"/>
        <v>530520</v>
      </c>
      <c r="AE88" s="399">
        <f t="shared" si="540"/>
        <v>0</v>
      </c>
      <c r="AF88" s="399">
        <f t="shared" si="541"/>
        <v>0</v>
      </c>
      <c r="AG88" s="483" t="str">
        <f t="shared" ca="1" si="30"/>
        <v/>
      </c>
      <c r="AH88" s="400">
        <f ca="1">IF(MAX(IF($C$6="No",ROUNDUP($C$3/$I88,0),ROUNDUP(($C$3+$I88)/$I88,0)),IF($C$6="No",ROUNDUP($C$4/$G88,0),ROUNDUP(($C$4+$G88)/$G88,0)),ROUNDUP('BVMS checklist'!$H$217/$J88,0))&gt;1,'BVMS checklist'!$J$224,'BVMS checklist'!$J$217)</f>
        <v>0</v>
      </c>
      <c r="AI88" s="398">
        <f t="shared" ca="1" si="31"/>
        <v>2</v>
      </c>
      <c r="AJ88" s="400">
        <f t="shared" ca="1" si="32"/>
        <v>2</v>
      </c>
      <c r="AK88" s="400">
        <f t="shared" ca="1" si="33"/>
        <v>5350</v>
      </c>
      <c r="AL88" s="400">
        <f t="shared" ca="1" si="34"/>
        <v>0</v>
      </c>
      <c r="AM88" s="398">
        <f t="shared" ca="1" si="35"/>
        <v>530520</v>
      </c>
      <c r="AN88" s="401" t="str">
        <f t="shared" ca="1" si="36"/>
        <v/>
      </c>
      <c r="AO88" s="398">
        <f t="shared" ca="1" si="37"/>
        <v>1280</v>
      </c>
      <c r="AP88" s="400">
        <f ca="1">IF(MAX(IF($C$6="No",ROUNDUP($C$3/$I88,0),ROUNDUP(($C$3+$I88)/$I88,0)),IF($C$6="No",ROUNDUP($C$4/$G88,0),ROUNDUP(($C$4+$G88)/$G88,0)),ROUNDUP('BVMS checklist'!$H$217/$J88,0))&gt;1,'BVMS checklist'!$J$224,'BVMS checklist'!$J$217)+MAX(IF($C$6="No",ROUNDUP($C$3/$I88,0),ROUNDUP(($C$3+$I88)/$I88,0)),IF($C$6="No",ROUNDUP($C$4/$G88,0),ROUNDUP(($C$4+$G88)/$G88,0)))+$C$5</f>
        <v>1</v>
      </c>
      <c r="AQ88" s="400" t="b">
        <f t="shared" ca="1" si="8"/>
        <v>1</v>
      </c>
      <c r="AR88" s="400" t="str">
        <f t="shared" ca="1" si="38"/>
        <v>Accepted</v>
      </c>
      <c r="AS88" s="398" t="str">
        <f t="shared" ca="1" si="39"/>
        <v>No</v>
      </c>
      <c r="AT88" s="398" t="str">
        <f t="shared" ca="1" si="40"/>
        <v/>
      </c>
      <c r="AU88" s="398" t="str">
        <f t="shared" ca="1" si="41"/>
        <v/>
      </c>
      <c r="AV88" s="398">
        <f t="shared" ca="1" si="42"/>
        <v>6</v>
      </c>
      <c r="AW88" s="398">
        <f t="shared" ca="1" si="43"/>
        <v>2</v>
      </c>
      <c r="AX88" s="398">
        <f t="shared" ca="1" si="44"/>
        <v>608</v>
      </c>
      <c r="AY88" s="398">
        <f t="shared" ca="1" si="45"/>
        <v>530520</v>
      </c>
      <c r="AZ88" s="399">
        <f t="shared" si="542"/>
        <v>0</v>
      </c>
      <c r="BA88" s="399">
        <f t="shared" si="543"/>
        <v>0</v>
      </c>
      <c r="BB88" s="483" t="str">
        <f t="shared" ca="1" si="46"/>
        <v/>
      </c>
      <c r="BC88" s="400">
        <f ca="1">IF(MAX(IF($D$6="No",ROUNDUP($D$3/$I88,0),ROUNDUP(($D$3+$I88)/$I88,0)),IF($D$6="No",ROUNDUP($D$4/$G88,0),ROUNDUP(($D$4+$G88)/$G88,0)),ROUNDUP('BVMS checklist'!$H$217/$J88,0))&gt;1,'BVMS checklist'!$L$224,'BVMS checklist'!$L$217)</f>
        <v>0</v>
      </c>
      <c r="BD88" s="398">
        <f t="shared" ca="1" si="47"/>
        <v>2</v>
      </c>
      <c r="BE88" s="400">
        <f t="shared" si="48"/>
        <v>1</v>
      </c>
      <c r="BF88" s="400">
        <f t="shared" si="49"/>
        <v>2675</v>
      </c>
      <c r="BG88" s="400">
        <f t="shared" ca="1" si="11"/>
        <v>0</v>
      </c>
      <c r="BH88" s="398">
        <f t="shared" ca="1" si="50"/>
        <v>530520</v>
      </c>
      <c r="BI88" s="401" t="str">
        <f t="shared" ca="1" si="51"/>
        <v/>
      </c>
      <c r="BJ88" s="398">
        <f t="shared" ca="1" si="52"/>
        <v>1280</v>
      </c>
      <c r="BK88" s="400">
        <f ca="1">IF(MAX(IF($D$6="No",ROUNDUP($D$3/$I88,0),ROUNDUP(($D$3+$I88)/$I88,0)),IF($D$6="No",ROUNDUP($D$4/$G88,0),ROUNDUP(($D$4+$G88)/$G88,0)),ROUNDUP('BVMS checklist'!$H$217/$J88,0))&gt;1,'BVMS checklist'!$L$224,'BVMS checklist'!$L$217)+MAX(IF($D$6="No",ROUNDUP($D$3/$I88,0),ROUNDUP(($D$3+$I88)/$I88,0)),IF($D$6="No",ROUNDUP($D$4/$G88,0),ROUNDUP(($D$4+$G88)/$G88,0)))+$D$5</f>
        <v>1</v>
      </c>
      <c r="BL88" s="400" t="b">
        <f t="shared" ca="1" si="12"/>
        <v>1</v>
      </c>
      <c r="BM88" s="400" t="str">
        <f t="shared" ca="1" si="53"/>
        <v>Accepted</v>
      </c>
      <c r="BN88" s="398" t="str">
        <f t="shared" ca="1" si="13"/>
        <v>No</v>
      </c>
      <c r="BO88" s="398" t="str">
        <f t="shared" ca="1" si="54"/>
        <v/>
      </c>
      <c r="BP88" s="398" t="str">
        <f t="shared" ca="1" si="55"/>
        <v/>
      </c>
      <c r="BQ88" s="398">
        <f t="shared" ca="1" si="56"/>
        <v>6</v>
      </c>
      <c r="BR88" s="398">
        <f t="shared" ca="1" si="57"/>
        <v>2</v>
      </c>
      <c r="BS88" s="398">
        <f t="shared" ca="1" si="58"/>
        <v>608</v>
      </c>
      <c r="BT88" s="398">
        <f t="shared" ca="1" si="59"/>
        <v>530520</v>
      </c>
      <c r="BU88" s="399">
        <f t="shared" si="544"/>
        <v>0</v>
      </c>
      <c r="BV88" s="399">
        <f t="shared" si="545"/>
        <v>0</v>
      </c>
      <c r="BW88" s="483" t="str">
        <f t="shared" ca="1" si="60"/>
        <v/>
      </c>
      <c r="BX88" s="400">
        <f ca="1">IF(MAX(IF($E$6="No",ROUNDUP($E$3/$I88,0),ROUNDUP(($E$3+$I88)/$I88,0)),IF($E$6="No",ROUNDUP($E$4/$G88,0),ROUNDUP(($E$4+$G88)/$G88,0)),ROUNDUP('BVMS checklist'!$H$217/$J88,0))&gt;1,'BVMS checklist'!$N$224,'BVMS checklist'!$N$217)</f>
        <v>0</v>
      </c>
      <c r="BY88" s="398">
        <f t="shared" ca="1" si="61"/>
        <v>2</v>
      </c>
      <c r="BZ88" s="400">
        <f t="shared" ca="1" si="62"/>
        <v>2</v>
      </c>
      <c r="CA88" s="400">
        <f t="shared" ca="1" si="63"/>
        <v>5350</v>
      </c>
      <c r="CB88" s="400">
        <f t="shared" ca="1" si="16"/>
        <v>0</v>
      </c>
      <c r="CC88" s="398">
        <f t="shared" ca="1" si="64"/>
        <v>530520</v>
      </c>
      <c r="CD88" s="401" t="str">
        <f t="shared" ca="1" si="65"/>
        <v/>
      </c>
      <c r="CE88" s="398">
        <f t="shared" ca="1" si="66"/>
        <v>1280</v>
      </c>
      <c r="CF88" s="400">
        <f ca="1">IF(MAX(IF($E$6="No",ROUNDUP($E$3/$I88,0),ROUNDUP(($E$3+$I88)/$I88,0)),IF($E$6="No",ROUNDUP($E$4/$G88,0),ROUNDUP(($E$4+$G88)/$G88,0)),ROUNDUP('BVMS checklist'!$H$217/$J88,0))&gt;1,'BVMS checklist'!$N$224,'BVMS checklist'!$N$217)+MAX(IF($E$6="No",ROUNDUP($E$3/$I88,0),ROUNDUP(($E$3+$I88)/$I88,0)),IF($E$6="No",ROUNDUP($E$4/$G88,0),ROUNDUP(($E$4+$G88)/$G88,0)))+$E$5</f>
        <v>1</v>
      </c>
      <c r="CG88" s="400" t="b">
        <f t="shared" ca="1" si="17"/>
        <v>1</v>
      </c>
      <c r="CH88" s="400" t="str">
        <f t="shared" ca="1" si="67"/>
        <v>Accepted</v>
      </c>
      <c r="CI88" s="398" t="str">
        <f t="shared" ca="1" si="68"/>
        <v>No</v>
      </c>
      <c r="CJ88" s="398" t="str">
        <f t="shared" ca="1" si="69"/>
        <v/>
      </c>
      <c r="CK88" s="398" t="str">
        <f t="shared" ca="1" si="70"/>
        <v/>
      </c>
      <c r="CL88" s="398">
        <f t="shared" ca="1" si="71"/>
        <v>6</v>
      </c>
      <c r="CM88" s="398">
        <f t="shared" ca="1" si="72"/>
        <v>2</v>
      </c>
      <c r="CN88" s="398">
        <f t="shared" ca="1" si="73"/>
        <v>608</v>
      </c>
      <c r="CO88" s="398">
        <f t="shared" ca="1" si="74"/>
        <v>530520</v>
      </c>
      <c r="CP88" s="399">
        <f t="shared" si="546"/>
        <v>0</v>
      </c>
      <c r="CQ88" s="399">
        <f t="shared" si="547"/>
        <v>0</v>
      </c>
      <c r="CR88" s="483" t="str">
        <f t="shared" ca="1" si="75"/>
        <v/>
      </c>
      <c r="CS88"/>
    </row>
    <row r="89" spans="1:97">
      <c r="A89" s="398" t="s">
        <v>353</v>
      </c>
      <c r="B89" s="398" t="s">
        <v>987</v>
      </c>
      <c r="C89" s="440" t="s">
        <v>891</v>
      </c>
      <c r="D89" s="398">
        <v>2</v>
      </c>
      <c r="E89" s="398"/>
      <c r="F89" s="440">
        <v>0</v>
      </c>
      <c r="G89" s="398">
        <f>IF(C89="RAID5",(((7-F89)*3723))+(1*(((7-F89)*2792))),(((6-F89)*3723))+(1*(((6-F89)*2792))))</f>
        <v>45605</v>
      </c>
      <c r="H89" s="399">
        <v>56</v>
      </c>
      <c r="I89" s="399">
        <v>1025</v>
      </c>
      <c r="J89" s="399">
        <v>256</v>
      </c>
      <c r="K89" s="399"/>
      <c r="L89" s="399"/>
      <c r="M89" s="400">
        <f ca="1">IF(MAX(IF($B$6="No",ROUNDUP($B$3/$I89,0),ROUNDUP(($B$3+$I89)/$I89,0)),IF($B$6="No",ROUNDUP($B$4/$G89,0),ROUNDUP(($B$4+$G89)/$G89,0)),ROUNDUP('BVMS checklist'!$H$217/$J89,0))&gt;1,'BVMS checklist'!$H$224,'BVMS checklist'!$H$217)</f>
        <v>0</v>
      </c>
      <c r="N89" s="398">
        <f t="shared" ca="1" si="20"/>
        <v>2</v>
      </c>
      <c r="O89" s="400">
        <f t="shared" ca="1" si="21"/>
        <v>2</v>
      </c>
      <c r="P89" s="400">
        <f t="shared" ca="1" si="0"/>
        <v>2050</v>
      </c>
      <c r="Q89" s="400">
        <f t="shared" ca="1" si="1"/>
        <v>0</v>
      </c>
      <c r="R89" s="398">
        <f t="shared" ca="1" si="2"/>
        <v>91210</v>
      </c>
      <c r="S89" s="401" t="str">
        <f t="shared" ca="1" si="22"/>
        <v/>
      </c>
      <c r="T89" s="398">
        <f t="shared" ca="1" si="23"/>
        <v>512</v>
      </c>
      <c r="U89" s="400">
        <f ca="1">IF(MAX(IF($B$6="No",ROUNDUP($B$3/$I89,0),ROUNDUP(($B$3+$I89)/$I89,0)),IF($B$6="No",ROUNDUP($B$4/$G89,0),ROUNDUP(($B$4+$G89)/$G89,0)),ROUNDUP('BVMS checklist'!$H$217/$J89,0))&gt;1,'BVMS checklist'!$H$224,'BVMS checklist'!$H$217)+MAX(IF($B$6="No",ROUNDUP($B$3/$I89,0),ROUNDUP(($B$3+$I89)/$I89,0)),IF($B$6="No",ROUNDUP($B$4/$G89,0),ROUNDUP(($B$4+$G89)/$G89,0)))+$B$5</f>
        <v>1</v>
      </c>
      <c r="V89" s="400" t="b">
        <f t="shared" ca="1" si="3"/>
        <v>1</v>
      </c>
      <c r="W89" s="400" t="str">
        <f t="shared" ca="1" si="24"/>
        <v>Accepted</v>
      </c>
      <c r="X89" s="398" t="str">
        <f t="shared" ca="1" si="25"/>
        <v>No</v>
      </c>
      <c r="Y89" s="398" t="str">
        <f t="shared" ca="1" si="26"/>
        <v/>
      </c>
      <c r="Z89" s="398" t="str">
        <f t="shared" ca="1" si="27"/>
        <v/>
      </c>
      <c r="AA89" s="398">
        <f t="shared" ca="1" si="28"/>
        <v>6</v>
      </c>
      <c r="AB89" s="398">
        <f t="shared" ca="1" si="4"/>
        <v>2</v>
      </c>
      <c r="AC89" s="398">
        <f t="shared" ca="1" si="5"/>
        <v>112</v>
      </c>
      <c r="AD89" s="398">
        <f t="shared" ca="1" si="29"/>
        <v>91210</v>
      </c>
      <c r="AE89" s="399">
        <f t="shared" si="540"/>
        <v>0</v>
      </c>
      <c r="AF89" s="399">
        <f t="shared" si="541"/>
        <v>0</v>
      </c>
      <c r="AG89" s="483" t="str">
        <f t="shared" ca="1" si="30"/>
        <v/>
      </c>
      <c r="AH89" s="400">
        <f ca="1">IF(MAX(IF($C$6="No",ROUNDUP($C$3/$I89,0),ROUNDUP(($C$3+$I89)/$I89,0)),IF($C$6="No",ROUNDUP($C$4/$G89,0),ROUNDUP(($C$4+$G89)/$G89,0)),ROUNDUP('BVMS checklist'!$H$217/$J89,0))&gt;1,'BVMS checklist'!$J$224,'BVMS checklist'!$J$217)</f>
        <v>0</v>
      </c>
      <c r="AI89" s="398">
        <f t="shared" ca="1" si="31"/>
        <v>2</v>
      </c>
      <c r="AJ89" s="400">
        <f t="shared" ca="1" si="32"/>
        <v>2</v>
      </c>
      <c r="AK89" s="400">
        <f t="shared" ca="1" si="33"/>
        <v>2050</v>
      </c>
      <c r="AL89" s="400">
        <f t="shared" ca="1" si="34"/>
        <v>0</v>
      </c>
      <c r="AM89" s="398">
        <f t="shared" ca="1" si="35"/>
        <v>91210</v>
      </c>
      <c r="AN89" s="401" t="str">
        <f t="shared" ca="1" si="36"/>
        <v/>
      </c>
      <c r="AO89" s="398">
        <f t="shared" ca="1" si="37"/>
        <v>512</v>
      </c>
      <c r="AP89" s="400">
        <f ca="1">IF(MAX(IF($C$6="No",ROUNDUP($C$3/$I89,0),ROUNDUP(($C$3+$I89)/$I89,0)),IF($C$6="No",ROUNDUP($C$4/$G89,0),ROUNDUP(($C$4+$G89)/$G89,0)),ROUNDUP('BVMS checklist'!$H$217/$J89,0))&gt;1,'BVMS checklist'!$J$224,'BVMS checklist'!$J$217)+MAX(IF($C$6="No",ROUNDUP($C$3/$I89,0),ROUNDUP(($C$3+$I89)/$I89,0)),IF($C$6="No",ROUNDUP($C$4/$G89,0),ROUNDUP(($C$4+$G89)/$G89,0)))+$C$5</f>
        <v>1</v>
      </c>
      <c r="AQ89" s="400" t="b">
        <f t="shared" ca="1" si="8"/>
        <v>1</v>
      </c>
      <c r="AR89" s="400" t="str">
        <f t="shared" ca="1" si="38"/>
        <v>Accepted</v>
      </c>
      <c r="AS89" s="398" t="str">
        <f t="shared" ca="1" si="39"/>
        <v>No</v>
      </c>
      <c r="AT89" s="398" t="str">
        <f t="shared" ca="1" si="40"/>
        <v/>
      </c>
      <c r="AU89" s="398" t="str">
        <f t="shared" ca="1" si="41"/>
        <v/>
      </c>
      <c r="AV89" s="398">
        <f t="shared" ca="1" si="42"/>
        <v>6</v>
      </c>
      <c r="AW89" s="398">
        <f t="shared" ca="1" si="43"/>
        <v>2</v>
      </c>
      <c r="AX89" s="398">
        <f t="shared" ca="1" si="44"/>
        <v>112</v>
      </c>
      <c r="AY89" s="398">
        <f t="shared" ca="1" si="45"/>
        <v>91210</v>
      </c>
      <c r="AZ89" s="399">
        <f t="shared" si="542"/>
        <v>0</v>
      </c>
      <c r="BA89" s="399">
        <f t="shared" si="543"/>
        <v>0</v>
      </c>
      <c r="BB89" s="483" t="str">
        <f t="shared" ca="1" si="46"/>
        <v/>
      </c>
      <c r="BC89" s="400">
        <f ca="1">IF(MAX(IF($D$6="No",ROUNDUP($D$3/$I89,0),ROUNDUP(($D$3+$I89)/$I89,0)),IF($D$6="No",ROUNDUP($D$4/$G89,0),ROUNDUP(($D$4+$G89)/$G89,0)),ROUNDUP('BVMS checklist'!$H$217/$J89,0))&gt;1,'BVMS checklist'!$L$224,'BVMS checklist'!$L$217)</f>
        <v>0</v>
      </c>
      <c r="BD89" s="398">
        <f t="shared" ca="1" si="47"/>
        <v>2</v>
      </c>
      <c r="BE89" s="400">
        <f t="shared" si="48"/>
        <v>1</v>
      </c>
      <c r="BF89" s="400">
        <f t="shared" si="49"/>
        <v>1025</v>
      </c>
      <c r="BG89" s="400">
        <f t="shared" ca="1" si="11"/>
        <v>0</v>
      </c>
      <c r="BH89" s="398">
        <f t="shared" ca="1" si="50"/>
        <v>91210</v>
      </c>
      <c r="BI89" s="401" t="str">
        <f t="shared" ca="1" si="51"/>
        <v/>
      </c>
      <c r="BJ89" s="398">
        <f t="shared" ca="1" si="52"/>
        <v>512</v>
      </c>
      <c r="BK89" s="400">
        <f ca="1">IF(MAX(IF($D$6="No",ROUNDUP($D$3/$I89,0),ROUNDUP(($D$3+$I89)/$I89,0)),IF($D$6="No",ROUNDUP($D$4/$G89,0),ROUNDUP(($D$4+$G89)/$G89,0)),ROUNDUP('BVMS checklist'!$H$217/$J89,0))&gt;1,'BVMS checklist'!$L$224,'BVMS checklist'!$L$217)+MAX(IF($D$6="No",ROUNDUP($D$3/$I89,0),ROUNDUP(($D$3+$I89)/$I89,0)),IF($D$6="No",ROUNDUP($D$4/$G89,0),ROUNDUP(($D$4+$G89)/$G89,0)))+$D$5</f>
        <v>1</v>
      </c>
      <c r="BL89" s="400" t="b">
        <f t="shared" ca="1" si="12"/>
        <v>1</v>
      </c>
      <c r="BM89" s="400" t="str">
        <f t="shared" ca="1" si="53"/>
        <v>Accepted</v>
      </c>
      <c r="BN89" s="398" t="str">
        <f t="shared" ca="1" si="13"/>
        <v>No</v>
      </c>
      <c r="BO89" s="398" t="str">
        <f t="shared" ca="1" si="54"/>
        <v/>
      </c>
      <c r="BP89" s="398" t="str">
        <f t="shared" ca="1" si="55"/>
        <v/>
      </c>
      <c r="BQ89" s="398">
        <f t="shared" ca="1" si="56"/>
        <v>6</v>
      </c>
      <c r="BR89" s="398">
        <f t="shared" ca="1" si="57"/>
        <v>2</v>
      </c>
      <c r="BS89" s="398">
        <f t="shared" ca="1" si="58"/>
        <v>112</v>
      </c>
      <c r="BT89" s="398">
        <f t="shared" ca="1" si="59"/>
        <v>91210</v>
      </c>
      <c r="BU89" s="399">
        <f t="shared" si="544"/>
        <v>0</v>
      </c>
      <c r="BV89" s="399">
        <f t="shared" si="545"/>
        <v>0</v>
      </c>
      <c r="BW89" s="483" t="str">
        <f t="shared" ca="1" si="60"/>
        <v/>
      </c>
      <c r="BX89" s="400">
        <f ca="1">IF(MAX(IF($E$6="No",ROUNDUP($E$3/$I89,0),ROUNDUP(($E$3+$I89)/$I89,0)),IF($E$6="No",ROUNDUP($E$4/$G89,0),ROUNDUP(($E$4+$G89)/$G89,0)),ROUNDUP('BVMS checklist'!$H$217/$J89,0))&gt;1,'BVMS checklist'!$N$224,'BVMS checklist'!$N$217)</f>
        <v>0</v>
      </c>
      <c r="BY89" s="398">
        <f t="shared" ca="1" si="61"/>
        <v>2</v>
      </c>
      <c r="BZ89" s="400">
        <f t="shared" ca="1" si="62"/>
        <v>2</v>
      </c>
      <c r="CA89" s="400">
        <f t="shared" ca="1" si="63"/>
        <v>2050</v>
      </c>
      <c r="CB89" s="400">
        <f t="shared" ca="1" si="16"/>
        <v>0</v>
      </c>
      <c r="CC89" s="398">
        <f t="shared" ca="1" si="64"/>
        <v>91210</v>
      </c>
      <c r="CD89" s="401" t="str">
        <f t="shared" ca="1" si="65"/>
        <v/>
      </c>
      <c r="CE89" s="398">
        <f t="shared" ca="1" si="66"/>
        <v>512</v>
      </c>
      <c r="CF89" s="400">
        <f ca="1">IF(MAX(IF($E$6="No",ROUNDUP($E$3/$I89,0),ROUNDUP(($E$3+$I89)/$I89,0)),IF($E$6="No",ROUNDUP($E$4/$G89,0),ROUNDUP(($E$4+$G89)/$G89,0)),ROUNDUP('BVMS checklist'!$H$217/$J89,0))&gt;1,'BVMS checklist'!$N$224,'BVMS checklist'!$N$217)+MAX(IF($E$6="No",ROUNDUP($E$3/$I89,0),ROUNDUP(($E$3+$I89)/$I89,0)),IF($E$6="No",ROUNDUP($E$4/$G89,0),ROUNDUP(($E$4+$G89)/$G89,0)))+$E$5</f>
        <v>1</v>
      </c>
      <c r="CG89" s="400" t="b">
        <f t="shared" ca="1" si="17"/>
        <v>1</v>
      </c>
      <c r="CH89" s="400" t="str">
        <f t="shared" ca="1" si="67"/>
        <v>Accepted</v>
      </c>
      <c r="CI89" s="398" t="str">
        <f t="shared" ca="1" si="68"/>
        <v>No</v>
      </c>
      <c r="CJ89" s="398" t="str">
        <f t="shared" ca="1" si="69"/>
        <v/>
      </c>
      <c r="CK89" s="398" t="str">
        <f t="shared" ca="1" si="70"/>
        <v/>
      </c>
      <c r="CL89" s="398">
        <f t="shared" ca="1" si="71"/>
        <v>6</v>
      </c>
      <c r="CM89" s="398">
        <f t="shared" ca="1" si="72"/>
        <v>2</v>
      </c>
      <c r="CN89" s="398">
        <f t="shared" ca="1" si="73"/>
        <v>112</v>
      </c>
      <c r="CO89" s="398">
        <f t="shared" ca="1" si="74"/>
        <v>91210</v>
      </c>
      <c r="CP89" s="399">
        <f t="shared" si="546"/>
        <v>0</v>
      </c>
      <c r="CQ89" s="399">
        <f t="shared" si="547"/>
        <v>0</v>
      </c>
      <c r="CR89" s="483" t="str">
        <f t="shared" ca="1" si="75"/>
        <v/>
      </c>
      <c r="CS89"/>
    </row>
    <row r="90" spans="1:97">
      <c r="A90" s="398" t="s">
        <v>354</v>
      </c>
      <c r="B90" s="398" t="s">
        <v>987</v>
      </c>
      <c r="C90" s="440" t="s">
        <v>891</v>
      </c>
      <c r="D90" s="398">
        <v>3</v>
      </c>
      <c r="E90" s="398"/>
      <c r="F90" s="440">
        <v>0</v>
      </c>
      <c r="G90" s="398">
        <f>IF(C90="RAID5",(((7-F90)*3723))+(2*(((7-F90)*2792))),(((6-F90)*3723))+(2*(((6-F90)*2792))))</f>
        <v>65149</v>
      </c>
      <c r="H90" s="399">
        <v>80</v>
      </c>
      <c r="I90" s="399">
        <v>1575</v>
      </c>
      <c r="J90" s="399">
        <v>384</v>
      </c>
      <c r="K90" s="399"/>
      <c r="L90" s="399"/>
      <c r="M90" s="400">
        <f ca="1">IF(MAX(IF($B$6="No",ROUNDUP($B$3/$I90,0),ROUNDUP(($B$3+$I90)/$I90,0)),IF($B$6="No",ROUNDUP($B$4/$G90,0),ROUNDUP(($B$4+$G90)/$G90,0)),ROUNDUP('BVMS checklist'!$H$217/$J90,0))&gt;1,'BVMS checklist'!$H$224,'BVMS checklist'!$H$217)</f>
        <v>0</v>
      </c>
      <c r="N90" s="398">
        <f t="shared" ca="1" si="20"/>
        <v>2</v>
      </c>
      <c r="O90" s="400">
        <f t="shared" ca="1" si="21"/>
        <v>2</v>
      </c>
      <c r="P90" s="400">
        <f t="shared" ref="P90:P153" ca="1" si="548">O90*$I90</f>
        <v>3150</v>
      </c>
      <c r="Q90" s="400">
        <f t="shared" ref="Q90:Q153" ca="1" si="549">IFERROR($B$3/N90,"")</f>
        <v>0</v>
      </c>
      <c r="R90" s="398">
        <f t="shared" ref="R90:R153" ca="1" si="550">$G90*N90</f>
        <v>130298</v>
      </c>
      <c r="S90" s="401" t="str">
        <f t="shared" ca="1" si="22"/>
        <v/>
      </c>
      <c r="T90" s="398">
        <f t="shared" ca="1" si="23"/>
        <v>768</v>
      </c>
      <c r="U90" s="400">
        <f ca="1">IF(MAX(IF($B$6="No",ROUNDUP($B$3/$I90,0),ROUNDUP(($B$3+$I90)/$I90,0)),IF($B$6="No",ROUNDUP($B$4/$G90,0),ROUNDUP(($B$4+$G90)/$G90,0)),ROUNDUP('BVMS checklist'!$H$217/$J90,0))&gt;1,'BVMS checklist'!$H$224,'BVMS checklist'!$H$217)+MAX(IF($B$6="No",ROUNDUP($B$3/$I90,0),ROUNDUP(($B$3+$I90)/$I90,0)),IF($B$6="No",ROUNDUP($B$4/$G90,0),ROUNDUP(($B$4+$G90)/$G90,0)))+$B$5</f>
        <v>1</v>
      </c>
      <c r="V90" s="400" t="b">
        <f t="shared" ref="V90:V153" ca="1" si="551">IF(AND((T90/$D90)-U90&gt;=0,OR(N90&gt;=2,$D90&gt;=2),P90-I90&gt;=$B$3),TRUE,FALSE)</f>
        <v>1</v>
      </c>
      <c r="W90" s="400" t="str">
        <f t="shared" ca="1" si="24"/>
        <v>Accepted</v>
      </c>
      <c r="X90" s="398" t="str">
        <f t="shared" ca="1" si="25"/>
        <v>No</v>
      </c>
      <c r="Y90" s="398" t="str">
        <f t="shared" ca="1" si="26"/>
        <v/>
      </c>
      <c r="Z90" s="398" t="str">
        <f t="shared" ca="1" si="27"/>
        <v/>
      </c>
      <c r="AA90" s="398">
        <f t="shared" ca="1" si="28"/>
        <v>6</v>
      </c>
      <c r="AB90" s="398">
        <f t="shared" ref="AB90:AB153" ca="1" si="552">N90</f>
        <v>2</v>
      </c>
      <c r="AC90" s="398">
        <f t="shared" ref="AC90:AC153" ca="1" si="553">N90*$H90</f>
        <v>160</v>
      </c>
      <c r="AD90" s="398">
        <f t="shared" ca="1" si="29"/>
        <v>130298</v>
      </c>
      <c r="AE90" s="399">
        <f t="shared" si="540"/>
        <v>0</v>
      </c>
      <c r="AF90" s="399">
        <f t="shared" si="541"/>
        <v>0</v>
      </c>
      <c r="AG90" s="483" t="str">
        <f t="shared" ca="1" si="30"/>
        <v/>
      </c>
      <c r="AH90" s="400">
        <f ca="1">IF(MAX(IF($C$6="No",ROUNDUP($C$3/$I90,0),ROUNDUP(($C$3+$I90)/$I90,0)),IF($C$6="No",ROUNDUP($C$4/$G90,0),ROUNDUP(($C$4+$G90)/$G90,0)),ROUNDUP('BVMS checklist'!$H$217/$J90,0))&gt;1,'BVMS checklist'!$J$224,'BVMS checklist'!$J$217)</f>
        <v>0</v>
      </c>
      <c r="AI90" s="398">
        <f t="shared" ca="1" si="31"/>
        <v>2</v>
      </c>
      <c r="AJ90" s="400">
        <f t="shared" ca="1" si="32"/>
        <v>2</v>
      </c>
      <c r="AK90" s="400">
        <f t="shared" ca="1" si="33"/>
        <v>3150</v>
      </c>
      <c r="AL90" s="400">
        <f t="shared" ca="1" si="34"/>
        <v>0</v>
      </c>
      <c r="AM90" s="398">
        <f t="shared" ca="1" si="35"/>
        <v>130298</v>
      </c>
      <c r="AN90" s="401" t="str">
        <f t="shared" ca="1" si="36"/>
        <v/>
      </c>
      <c r="AO90" s="398">
        <f t="shared" ca="1" si="37"/>
        <v>768</v>
      </c>
      <c r="AP90" s="400">
        <f ca="1">IF(MAX(IF($C$6="No",ROUNDUP($C$3/$I90,0),ROUNDUP(($C$3+$I90)/$I90,0)),IF($C$6="No",ROUNDUP($C$4/$G90,0),ROUNDUP(($C$4+$G90)/$G90,0)),ROUNDUP('BVMS checklist'!$H$217/$J90,0))&gt;1,'BVMS checklist'!$J$224,'BVMS checklist'!$J$217)+MAX(IF($C$6="No",ROUNDUP($C$3/$I90,0),ROUNDUP(($C$3+$I90)/$I90,0)),IF($C$6="No",ROUNDUP($C$4/$G90,0),ROUNDUP(($C$4+$G90)/$G90,0)))+$C$5</f>
        <v>1</v>
      </c>
      <c r="AQ90" s="400" t="b">
        <f t="shared" ref="AQ90:AQ153" ca="1" si="554">IF(AND((AO90/$D90)-AP90&gt;=0,OR(AI90&gt;=2,$D90&gt;=2),AK90-I90&gt;=$C$3),TRUE,FALSE)</f>
        <v>1</v>
      </c>
      <c r="AR90" s="400" t="str">
        <f t="shared" ca="1" si="38"/>
        <v>Accepted</v>
      </c>
      <c r="AS90" s="398" t="str">
        <f t="shared" ca="1" si="39"/>
        <v>No</v>
      </c>
      <c r="AT90" s="398" t="str">
        <f t="shared" ca="1" si="40"/>
        <v/>
      </c>
      <c r="AU90" s="398" t="str">
        <f t="shared" ca="1" si="41"/>
        <v/>
      </c>
      <c r="AV90" s="398">
        <f t="shared" ca="1" si="42"/>
        <v>6</v>
      </c>
      <c r="AW90" s="398">
        <f t="shared" ca="1" si="43"/>
        <v>2</v>
      </c>
      <c r="AX90" s="398">
        <f t="shared" ca="1" si="44"/>
        <v>160</v>
      </c>
      <c r="AY90" s="398">
        <f t="shared" ca="1" si="45"/>
        <v>130298</v>
      </c>
      <c r="AZ90" s="399">
        <f t="shared" si="542"/>
        <v>0</v>
      </c>
      <c r="BA90" s="399">
        <f t="shared" si="543"/>
        <v>0</v>
      </c>
      <c r="BB90" s="483" t="str">
        <f t="shared" ca="1" si="46"/>
        <v/>
      </c>
      <c r="BC90" s="400">
        <f ca="1">IF(MAX(IF($D$6="No",ROUNDUP($D$3/$I90,0),ROUNDUP(($D$3+$I90)/$I90,0)),IF($D$6="No",ROUNDUP($D$4/$G90,0),ROUNDUP(($D$4+$G90)/$G90,0)),ROUNDUP('BVMS checklist'!$H$217/$J90,0))&gt;1,'BVMS checklist'!$L$224,'BVMS checklist'!$L$217)</f>
        <v>0</v>
      </c>
      <c r="BD90" s="398">
        <f t="shared" ca="1" si="47"/>
        <v>2</v>
      </c>
      <c r="BE90" s="400">
        <f t="shared" si="48"/>
        <v>1</v>
      </c>
      <c r="BF90" s="400">
        <f t="shared" si="49"/>
        <v>1575</v>
      </c>
      <c r="BG90" s="400">
        <f t="shared" ca="1" si="11"/>
        <v>0</v>
      </c>
      <c r="BH90" s="398">
        <f t="shared" ca="1" si="50"/>
        <v>130298</v>
      </c>
      <c r="BI90" s="401" t="str">
        <f t="shared" ca="1" si="51"/>
        <v/>
      </c>
      <c r="BJ90" s="398">
        <f t="shared" ca="1" si="52"/>
        <v>768</v>
      </c>
      <c r="BK90" s="400">
        <f ca="1">IF(MAX(IF($D$6="No",ROUNDUP($D$3/$I90,0),ROUNDUP(($D$3+$I90)/$I90,0)),IF($D$6="No",ROUNDUP($D$4/$G90,0),ROUNDUP(($D$4+$G90)/$G90,0)),ROUNDUP('BVMS checklist'!$H$217/$J90,0))&gt;1,'BVMS checklist'!$L$224,'BVMS checklist'!$L$217)+MAX(IF($D$6="No",ROUNDUP($D$3/$I90,0),ROUNDUP(($D$3+$I90)/$I90,0)),IF($D$6="No",ROUNDUP($D$4/$G90,0),ROUNDUP(($D$4+$G90)/$G90,0)))+$D$5</f>
        <v>1</v>
      </c>
      <c r="BL90" s="400" t="b">
        <f t="shared" ref="BL90:BL153" ca="1" si="555">IF(AND((BJ90/$D90)-BK90&gt;=0,OR(BD90&gt;=2,$D90&gt;=2),BF90-I90&gt;=$D$3),TRUE,FALSE)</f>
        <v>1</v>
      </c>
      <c r="BM90" s="400" t="str">
        <f t="shared" ca="1" si="53"/>
        <v>Accepted</v>
      </c>
      <c r="BN90" s="398" t="str">
        <f t="shared" ca="1" si="13"/>
        <v>No</v>
      </c>
      <c r="BO90" s="398" t="str">
        <f t="shared" ca="1" si="54"/>
        <v/>
      </c>
      <c r="BP90" s="398" t="str">
        <f t="shared" ca="1" si="55"/>
        <v/>
      </c>
      <c r="BQ90" s="398">
        <f t="shared" ca="1" si="56"/>
        <v>6</v>
      </c>
      <c r="BR90" s="398">
        <f t="shared" ca="1" si="57"/>
        <v>2</v>
      </c>
      <c r="BS90" s="398">
        <f t="shared" ca="1" si="58"/>
        <v>160</v>
      </c>
      <c r="BT90" s="398">
        <f t="shared" ca="1" si="59"/>
        <v>130298</v>
      </c>
      <c r="BU90" s="399">
        <f t="shared" si="544"/>
        <v>0</v>
      </c>
      <c r="BV90" s="399">
        <f t="shared" si="545"/>
        <v>0</v>
      </c>
      <c r="BW90" s="483" t="str">
        <f t="shared" ca="1" si="60"/>
        <v/>
      </c>
      <c r="BX90" s="400">
        <f ca="1">IF(MAX(IF($E$6="No",ROUNDUP($E$3/$I90,0),ROUNDUP(($E$3+$I90)/$I90,0)),IF($E$6="No",ROUNDUP($E$4/$G90,0),ROUNDUP(($E$4+$G90)/$G90,0)),ROUNDUP('BVMS checklist'!$H$217/$J90,0))&gt;1,'BVMS checklist'!$N$224,'BVMS checklist'!$N$217)</f>
        <v>0</v>
      </c>
      <c r="BY90" s="398">
        <f t="shared" ca="1" si="61"/>
        <v>2</v>
      </c>
      <c r="BZ90" s="400">
        <f t="shared" ca="1" si="62"/>
        <v>2</v>
      </c>
      <c r="CA90" s="400">
        <f t="shared" ca="1" si="63"/>
        <v>3150</v>
      </c>
      <c r="CB90" s="400">
        <f t="shared" ca="1" si="16"/>
        <v>0</v>
      </c>
      <c r="CC90" s="398">
        <f t="shared" ca="1" si="64"/>
        <v>130298</v>
      </c>
      <c r="CD90" s="401" t="str">
        <f t="shared" ca="1" si="65"/>
        <v/>
      </c>
      <c r="CE90" s="398">
        <f t="shared" ca="1" si="66"/>
        <v>768</v>
      </c>
      <c r="CF90" s="400">
        <f ca="1">IF(MAX(IF($E$6="No",ROUNDUP($E$3/$I90,0),ROUNDUP(($E$3+$I90)/$I90,0)),IF($E$6="No",ROUNDUP($E$4/$G90,0),ROUNDUP(($E$4+$G90)/$G90,0)),ROUNDUP('BVMS checklist'!$H$217/$J90,0))&gt;1,'BVMS checklist'!$N$224,'BVMS checklist'!$N$217)+MAX(IF($E$6="No",ROUNDUP($E$3/$I90,0),ROUNDUP(($E$3+$I90)/$I90,0)),IF($E$6="No",ROUNDUP($E$4/$G90,0),ROUNDUP(($E$4+$G90)/$G90,0)))+$E$5</f>
        <v>1</v>
      </c>
      <c r="CG90" s="400" t="b">
        <f t="shared" ref="CG90:CG153" ca="1" si="556">IF(AND((CE90/$D90)-CF90&gt;=0,OR(BY90&gt;=2,$D90&gt;=2),CA90-I90&gt;=$E$3),TRUE,FALSE)</f>
        <v>1</v>
      </c>
      <c r="CH90" s="400" t="str">
        <f t="shared" ca="1" si="67"/>
        <v>Accepted</v>
      </c>
      <c r="CI90" s="398" t="str">
        <f t="shared" ca="1" si="68"/>
        <v>No</v>
      </c>
      <c r="CJ90" s="398" t="str">
        <f t="shared" ca="1" si="69"/>
        <v/>
      </c>
      <c r="CK90" s="398" t="str">
        <f t="shared" ca="1" si="70"/>
        <v/>
      </c>
      <c r="CL90" s="398">
        <f t="shared" ca="1" si="71"/>
        <v>6</v>
      </c>
      <c r="CM90" s="398">
        <f t="shared" ca="1" si="72"/>
        <v>2</v>
      </c>
      <c r="CN90" s="398">
        <f t="shared" ca="1" si="73"/>
        <v>160</v>
      </c>
      <c r="CO90" s="398">
        <f t="shared" ca="1" si="74"/>
        <v>130298</v>
      </c>
      <c r="CP90" s="399">
        <f t="shared" si="546"/>
        <v>0</v>
      </c>
      <c r="CQ90" s="399">
        <f t="shared" si="547"/>
        <v>0</v>
      </c>
      <c r="CR90" s="483" t="str">
        <f t="shared" ca="1" si="75"/>
        <v/>
      </c>
      <c r="CS90"/>
    </row>
    <row r="91" spans="1:97">
      <c r="A91" s="398" t="s">
        <v>355</v>
      </c>
      <c r="B91" s="398" t="s">
        <v>987</v>
      </c>
      <c r="C91" s="440" t="s">
        <v>891</v>
      </c>
      <c r="D91" s="398">
        <v>4</v>
      </c>
      <c r="E91" s="398"/>
      <c r="F91" s="440">
        <v>0</v>
      </c>
      <c r="G91" s="398">
        <f>IF(C91="RAID5",(((7-F91)*3723))+(3*(((7-F91)*2792))),(((6-F91)*3723))+(3*(((6-F91)*2792))))</f>
        <v>84693</v>
      </c>
      <c r="H91" s="399">
        <v>104</v>
      </c>
      <c r="I91" s="399">
        <v>2125</v>
      </c>
      <c r="J91" s="399">
        <v>512</v>
      </c>
      <c r="K91" s="399"/>
      <c r="L91" s="399"/>
      <c r="M91" s="400">
        <f ca="1">IF(MAX(IF($B$6="No",ROUNDUP($B$3/$I91,0),ROUNDUP(($B$3+$I91)/$I91,0)),IF($B$6="No",ROUNDUP($B$4/$G91,0),ROUNDUP(($B$4+$G91)/$G91,0)),ROUNDUP('BVMS checklist'!$H$217/$J91,0))&gt;1,'BVMS checklist'!$H$224,'BVMS checklist'!$H$217)</f>
        <v>0</v>
      </c>
      <c r="N91" s="398">
        <f t="shared" ref="N91:N154" ca="1" si="557">MAX(IF($B$6="No",ROUNDUP($B$3/$I91,0),ROUNDUP(($B$3+$I91)/$I91,0)),IF($B$6="No",ROUNDUP($B$4/$G91,0),ROUNDUP($B$4/$G91,0)),IF($B$6="Yes",ROUNDUP((U91+J91)/J91,0),ROUNDUP(U91/J91,0)))</f>
        <v>2</v>
      </c>
      <c r="O91" s="400">
        <f t="shared" ca="1" si="21"/>
        <v>2</v>
      </c>
      <c r="P91" s="400">
        <f t="shared" ca="1" si="548"/>
        <v>4250</v>
      </c>
      <c r="Q91" s="400">
        <f t="shared" ca="1" si="549"/>
        <v>0</v>
      </c>
      <c r="R91" s="398">
        <f t="shared" ca="1" si="550"/>
        <v>169386</v>
      </c>
      <c r="S91" s="401" t="str">
        <f t="shared" ref="S91:S154" ca="1" si="558">IF(X91="yes",(R91)/$B$4,"")</f>
        <v/>
      </c>
      <c r="T91" s="398">
        <f t="shared" ref="T91:T154" ca="1" si="559">N91*J91</f>
        <v>1024</v>
      </c>
      <c r="U91" s="400">
        <f ca="1">IF(MAX(IF($B$6="No",ROUNDUP($B$3/$I91,0),ROUNDUP(($B$3+$I91)/$I91,0)),IF($B$6="No",ROUNDUP($B$4/$G91,0),ROUNDUP(($B$4+$G91)/$G91,0)),ROUNDUP('BVMS checklist'!$H$217/$J91,0))&gt;1,'BVMS checklist'!$H$224,'BVMS checklist'!$H$217)+MAX(IF($B$6="No",ROUNDUP($B$3/$I91,0),ROUNDUP(($B$3+$I91)/$I91,0)),IF($B$6="No",ROUNDUP($B$4/$G91,0),ROUNDUP(($B$4+$G91)/$G91,0)))+$B$5</f>
        <v>1</v>
      </c>
      <c r="V91" s="400" t="b">
        <f t="shared" ca="1" si="551"/>
        <v>1</v>
      </c>
      <c r="W91" s="400" t="str">
        <f t="shared" ca="1" si="24"/>
        <v>Accepted</v>
      </c>
      <c r="X91" s="398" t="str">
        <f t="shared" ref="X91:X154" ca="1" si="560">IF(AND(U91&lt;T91,Q91&lt;I91,B91="Active",W91="Accepted"),"Yes","No")</f>
        <v>No</v>
      </c>
      <c r="Y91" s="398" t="str">
        <f t="shared" ref="Y91:Y154" ca="1" si="561">IF(AA90=AA91,"",AA91)</f>
        <v/>
      </c>
      <c r="Z91" s="398" t="str">
        <f t="shared" ref="Z91:Z154" ca="1" si="562">IF(X91="Yes",$A91&amp;" "&amp;$C91,"")</f>
        <v/>
      </c>
      <c r="AA91" s="398">
        <f t="shared" ca="1" si="28"/>
        <v>6</v>
      </c>
      <c r="AB91" s="398">
        <f t="shared" ca="1" si="552"/>
        <v>2</v>
      </c>
      <c r="AC91" s="398">
        <f t="shared" ca="1" si="553"/>
        <v>208</v>
      </c>
      <c r="AD91" s="398">
        <f t="shared" ca="1" si="29"/>
        <v>169386</v>
      </c>
      <c r="AE91" s="399">
        <f t="shared" si="540"/>
        <v>0</v>
      </c>
      <c r="AF91" s="399">
        <f t="shared" si="541"/>
        <v>0</v>
      </c>
      <c r="AG91" s="483" t="str">
        <f t="shared" ref="AG91:AG154" ca="1" si="563">S91</f>
        <v/>
      </c>
      <c r="AH91" s="400">
        <f ca="1">IF(MAX(IF($C$6="No",ROUNDUP($C$3/$I91,0),ROUNDUP(($C$3+$I91)/$I91,0)),IF($C$6="No",ROUNDUP($C$4/$G91,0),ROUNDUP(($C$4+$G91)/$G91,0)),ROUNDUP('BVMS checklist'!$H$217/$J91,0))&gt;1,'BVMS checklist'!$J$224,'BVMS checklist'!$J$217)</f>
        <v>0</v>
      </c>
      <c r="AI91" s="398">
        <f t="shared" ref="AI91:AI154" ca="1" si="564">MAX(IF($C$6="No",ROUNDUP($C$3/$I91,0),ROUNDUP(($C$3+$I91)/$I91,0)),IF($C$6="No",ROUNDUP($C$4/$G91,0),ROUNDUP(($C$4+$G91)/$G91,0)),IF($C$6="Yes",ROUNDUP(AP91/J91,0)+1,ROUNDUP(AP91/J91,0)))</f>
        <v>2</v>
      </c>
      <c r="AJ91" s="400">
        <f t="shared" ca="1" si="32"/>
        <v>2</v>
      </c>
      <c r="AK91" s="400">
        <f t="shared" ca="1" si="33"/>
        <v>4250</v>
      </c>
      <c r="AL91" s="400">
        <f t="shared" ca="1" si="34"/>
        <v>0</v>
      </c>
      <c r="AM91" s="398">
        <f t="shared" ca="1" si="35"/>
        <v>169386</v>
      </c>
      <c r="AN91" s="401" t="str">
        <f t="shared" ref="AN91:AN154" ca="1" si="565">IF(AS91="yes",(AM91)/$C$4,"")</f>
        <v/>
      </c>
      <c r="AO91" s="398">
        <f t="shared" ca="1" si="37"/>
        <v>1024</v>
      </c>
      <c r="AP91" s="400">
        <f ca="1">IF(MAX(IF($C$6="No",ROUNDUP($C$3/$I91,0),ROUNDUP(($C$3+$I91)/$I91,0)),IF($C$6="No",ROUNDUP($C$4/$G91,0),ROUNDUP(($C$4+$G91)/$G91,0)),ROUNDUP('BVMS checklist'!$H$217/$J91,0))&gt;1,'BVMS checklist'!$J$224,'BVMS checklist'!$J$217)+MAX(IF($C$6="No",ROUNDUP($C$3/$I91,0),ROUNDUP(($C$3+$I91)/$I91,0)),IF($C$6="No",ROUNDUP($C$4/$G91,0),ROUNDUP(($C$4+$G91)/$G91,0)))+$C$5</f>
        <v>1</v>
      </c>
      <c r="AQ91" s="400" t="b">
        <f t="shared" ca="1" si="554"/>
        <v>1</v>
      </c>
      <c r="AR91" s="400" t="str">
        <f t="shared" ca="1" si="38"/>
        <v>Accepted</v>
      </c>
      <c r="AS91" s="398" t="str">
        <f t="shared" ca="1" si="39"/>
        <v>No</v>
      </c>
      <c r="AT91" s="398" t="str">
        <f t="shared" ca="1" si="40"/>
        <v/>
      </c>
      <c r="AU91" s="398" t="str">
        <f t="shared" ref="AU91:AU154" ca="1" si="566">IF(AS91="Yes",$A91&amp;" "&amp;$C91,"")</f>
        <v/>
      </c>
      <c r="AV91" s="398">
        <f t="shared" ref="AV91:AV154" ca="1" si="567">IF(AU91&lt;&gt;"",AV90+1,AV90)</f>
        <v>6</v>
      </c>
      <c r="AW91" s="398">
        <f t="shared" ca="1" si="43"/>
        <v>2</v>
      </c>
      <c r="AX91" s="398">
        <f t="shared" ca="1" si="44"/>
        <v>208</v>
      </c>
      <c r="AY91" s="398">
        <f t="shared" ca="1" si="45"/>
        <v>169386</v>
      </c>
      <c r="AZ91" s="399">
        <f t="shared" si="542"/>
        <v>0</v>
      </c>
      <c r="BA91" s="399">
        <f t="shared" si="543"/>
        <v>0</v>
      </c>
      <c r="BB91" s="483" t="str">
        <f t="shared" ref="BB91:BB154" ca="1" si="568">AN91</f>
        <v/>
      </c>
      <c r="BC91" s="400">
        <f ca="1">IF(MAX(IF($D$6="No",ROUNDUP($D$3/$I91,0),ROUNDUP(($D$3+$I91)/$I91,0)),IF($D$6="No",ROUNDUP($D$4/$G91,0),ROUNDUP(($D$4+$G91)/$G91,0)),ROUNDUP('BVMS checklist'!$H$217/$J91,0))&gt;1,'BVMS checklist'!$L$224,'BVMS checklist'!$L$217)</f>
        <v>0</v>
      </c>
      <c r="BD91" s="398">
        <f t="shared" ref="BD91:BD154" ca="1" si="569">MAX(IF($D$6="No",ROUNDUP($D$3/$I91,0),ROUNDUP(($D$3+$I91)/$I91,0)),IF($D$6="No",ROUNDUP($D$4/$G91,0),ROUNDUP(($D$4+$G91)/$G91,0)),IF($D$6="Yes",ROUNDUP(BK91/J91,0)+1,ROUNDUP(BK91/J91,0)))</f>
        <v>2</v>
      </c>
      <c r="BE91" s="400">
        <f t="shared" si="48"/>
        <v>1</v>
      </c>
      <c r="BF91" s="400">
        <f t="shared" si="49"/>
        <v>2125</v>
      </c>
      <c r="BG91" s="400">
        <f t="shared" ca="1" si="11"/>
        <v>0</v>
      </c>
      <c r="BH91" s="398">
        <f t="shared" ca="1" si="50"/>
        <v>169386</v>
      </c>
      <c r="BI91" s="401" t="str">
        <f t="shared" ref="BI91:BI154" ca="1" si="570">IF(BN91="yes",(BH91)/$D$4,"")</f>
        <v/>
      </c>
      <c r="BJ91" s="398">
        <f t="shared" ca="1" si="52"/>
        <v>1024</v>
      </c>
      <c r="BK91" s="400">
        <f ca="1">IF(MAX(IF($D$6="No",ROUNDUP($D$3/$I91,0),ROUNDUP(($D$3+$I91)/$I91,0)),IF($D$6="No",ROUNDUP($D$4/$G91,0),ROUNDUP(($D$4+$G91)/$G91,0)),ROUNDUP('BVMS checklist'!$H$217/$J91,0))&gt;1,'BVMS checklist'!$L$224,'BVMS checklist'!$L$217)+MAX(IF($D$6="No",ROUNDUP($D$3/$I91,0),ROUNDUP(($D$3+$I91)/$I91,0)),IF($D$6="No",ROUNDUP($D$4/$G91,0),ROUNDUP(($D$4+$G91)/$G91,0)))+$D$5</f>
        <v>1</v>
      </c>
      <c r="BL91" s="400" t="b">
        <f t="shared" ca="1" si="555"/>
        <v>1</v>
      </c>
      <c r="BM91" s="400" t="str">
        <f t="shared" ca="1" si="53"/>
        <v>Accepted</v>
      </c>
      <c r="BN91" s="398" t="str">
        <f t="shared" ca="1" si="13"/>
        <v>No</v>
      </c>
      <c r="BO91" s="398" t="str">
        <f t="shared" ca="1" si="54"/>
        <v/>
      </c>
      <c r="BP91" s="398" t="str">
        <f t="shared" ref="BP91:BP154" ca="1" si="571">IF(BN91="Yes",$A91&amp;" "&amp;$C91,"")</f>
        <v/>
      </c>
      <c r="BQ91" s="398">
        <f t="shared" ref="BQ91:BQ154" ca="1" si="572">IF(BP91&lt;&gt;"",BQ90+1,BQ90)</f>
        <v>6</v>
      </c>
      <c r="BR91" s="398">
        <f t="shared" ca="1" si="57"/>
        <v>2</v>
      </c>
      <c r="BS91" s="398">
        <f t="shared" ca="1" si="58"/>
        <v>208</v>
      </c>
      <c r="BT91" s="398">
        <f t="shared" ca="1" si="59"/>
        <v>169386</v>
      </c>
      <c r="BU91" s="399">
        <f t="shared" si="544"/>
        <v>0</v>
      </c>
      <c r="BV91" s="399">
        <f t="shared" si="545"/>
        <v>0</v>
      </c>
      <c r="BW91" s="483" t="str">
        <f t="shared" ref="BW91:BW154" ca="1" si="573">BI91</f>
        <v/>
      </c>
      <c r="BX91" s="400">
        <f ca="1">IF(MAX(IF($E$6="No",ROUNDUP($E$3/$I91,0),ROUNDUP(($E$3+$I91)/$I91,0)),IF($E$6="No",ROUNDUP($E$4/$G91,0),ROUNDUP(($E$4+$G91)/$G91,0)),ROUNDUP('BVMS checklist'!$H$217/$J91,0))&gt;1,'BVMS checklist'!$N$224,'BVMS checklist'!$N$217)</f>
        <v>0</v>
      </c>
      <c r="BY91" s="398">
        <f t="shared" ref="BY91:BY154" ca="1" si="574">MAX(IF($E$6="No",ROUNDUP($E$3/$I91,0),ROUNDUP(($E$3+$I91)/$I91,0)),IF($E$6="No",ROUNDUP($E$4/$G91,0),ROUNDUP(($E$4+$G91)/$G91,0)),IF($E$6="Yes",ROUNDUP(CF91/J91,0)+1,ROUNDUP(CF91/J91,0)))</f>
        <v>2</v>
      </c>
      <c r="BZ91" s="400">
        <f t="shared" ca="1" si="62"/>
        <v>2</v>
      </c>
      <c r="CA91" s="400">
        <f t="shared" ca="1" si="63"/>
        <v>4250</v>
      </c>
      <c r="CB91" s="400">
        <f t="shared" ca="1" si="16"/>
        <v>0</v>
      </c>
      <c r="CC91" s="398">
        <f t="shared" ca="1" si="64"/>
        <v>169386</v>
      </c>
      <c r="CD91" s="401" t="str">
        <f t="shared" ref="CD91:CD154" ca="1" si="575">IF(CI91="yes",(CC91)/$E$4,"")</f>
        <v/>
      </c>
      <c r="CE91" s="398">
        <f t="shared" ca="1" si="66"/>
        <v>1024</v>
      </c>
      <c r="CF91" s="400">
        <f ca="1">IF(MAX(IF($E$6="No",ROUNDUP($E$3/$I91,0),ROUNDUP(($E$3+$I91)/$I91,0)),IF($E$6="No",ROUNDUP($E$4/$G91,0),ROUNDUP(($E$4+$G91)/$G91,0)),ROUNDUP('BVMS checklist'!$H$217/$J91,0))&gt;1,'BVMS checklist'!$N$224,'BVMS checklist'!$N$217)+MAX(IF($E$6="No",ROUNDUP($E$3/$I91,0),ROUNDUP(($E$3+$I91)/$I91,0)),IF($E$6="No",ROUNDUP($E$4/$G91,0),ROUNDUP(($E$4+$G91)/$G91,0)))+$E$5</f>
        <v>1</v>
      </c>
      <c r="CG91" s="400" t="b">
        <f t="shared" ca="1" si="556"/>
        <v>1</v>
      </c>
      <c r="CH91" s="400" t="str">
        <f t="shared" ca="1" si="67"/>
        <v>Accepted</v>
      </c>
      <c r="CI91" s="398" t="str">
        <f t="shared" ca="1" si="68"/>
        <v>No</v>
      </c>
      <c r="CJ91" s="398" t="str">
        <f t="shared" ca="1" si="69"/>
        <v/>
      </c>
      <c r="CK91" s="398" t="str">
        <f t="shared" ref="CK91:CK154" ca="1" si="576">IF(CI91="Yes",$A91&amp;" "&amp;$C91,"")</f>
        <v/>
      </c>
      <c r="CL91" s="398">
        <f t="shared" ref="CL91:CL154" ca="1" si="577">IF(CK91&lt;&gt;"",CL90+1,CL90)</f>
        <v>6</v>
      </c>
      <c r="CM91" s="398">
        <f t="shared" ca="1" si="72"/>
        <v>2</v>
      </c>
      <c r="CN91" s="398">
        <f t="shared" ca="1" si="73"/>
        <v>208</v>
      </c>
      <c r="CO91" s="398">
        <f t="shared" ca="1" si="74"/>
        <v>169386</v>
      </c>
      <c r="CP91" s="399">
        <f t="shared" si="546"/>
        <v>0</v>
      </c>
      <c r="CQ91" s="399">
        <f t="shared" si="547"/>
        <v>0</v>
      </c>
      <c r="CR91" s="483" t="str">
        <f t="shared" ref="CR91:CR154" ca="1" si="578">CD91</f>
        <v/>
      </c>
      <c r="CS91"/>
    </row>
    <row r="92" spans="1:97">
      <c r="A92" s="398" t="s">
        <v>356</v>
      </c>
      <c r="B92" s="398" t="s">
        <v>987</v>
      </c>
      <c r="C92" s="440" t="s">
        <v>891</v>
      </c>
      <c r="D92" s="398">
        <v>5</v>
      </c>
      <c r="E92" s="398"/>
      <c r="F92" s="440">
        <v>0</v>
      </c>
      <c r="G92" s="398">
        <f>IF(C92="RAID5",(((7-F92)*3723))+(4*(((7-F92)*2792))),(((6-F92)*3723))+(4*(((6-F92)*2792))))</f>
        <v>104237</v>
      </c>
      <c r="H92" s="399">
        <v>128</v>
      </c>
      <c r="I92" s="399">
        <v>2675</v>
      </c>
      <c r="J92" s="399">
        <v>640</v>
      </c>
      <c r="K92" s="399"/>
      <c r="L92" s="399"/>
      <c r="M92" s="400">
        <f ca="1">IF(MAX(IF($B$6="No",ROUNDUP($B$3/$I92,0),ROUNDUP(($B$3+$I92)/$I92,0)),IF($B$6="No",ROUNDUP($B$4/$G92,0),ROUNDUP(($B$4+$G92)/$G92,0)),ROUNDUP('BVMS checklist'!$H$217/$J92,0))&gt;1,'BVMS checklist'!$H$224,'BVMS checklist'!$H$217)</f>
        <v>0</v>
      </c>
      <c r="N92" s="398">
        <f t="shared" ca="1" si="557"/>
        <v>2</v>
      </c>
      <c r="O92" s="400">
        <f t="shared" ca="1" si="21"/>
        <v>2</v>
      </c>
      <c r="P92" s="400">
        <f t="shared" ca="1" si="548"/>
        <v>5350</v>
      </c>
      <c r="Q92" s="400">
        <f t="shared" ca="1" si="549"/>
        <v>0</v>
      </c>
      <c r="R92" s="398">
        <f t="shared" ca="1" si="550"/>
        <v>208474</v>
      </c>
      <c r="S92" s="401" t="str">
        <f t="shared" ca="1" si="558"/>
        <v/>
      </c>
      <c r="T92" s="398">
        <f t="shared" ca="1" si="559"/>
        <v>1280</v>
      </c>
      <c r="U92" s="400">
        <f ca="1">IF(MAX(IF($B$6="No",ROUNDUP($B$3/$I92,0),ROUNDUP(($B$3+$I92)/$I92,0)),IF($B$6="No",ROUNDUP($B$4/$G92,0),ROUNDUP(($B$4+$G92)/$G92,0)),ROUNDUP('BVMS checklist'!$H$217/$J92,0))&gt;1,'BVMS checklist'!$H$224,'BVMS checklist'!$H$217)+MAX(IF($B$6="No",ROUNDUP($B$3/$I92,0),ROUNDUP(($B$3+$I92)/$I92,0)),IF($B$6="No",ROUNDUP($B$4/$G92,0),ROUNDUP(($B$4+$G92)/$G92,0)))+$B$5</f>
        <v>1</v>
      </c>
      <c r="V92" s="400" t="b">
        <f t="shared" ca="1" si="551"/>
        <v>1</v>
      </c>
      <c r="W92" s="400" t="str">
        <f t="shared" ca="1" si="24"/>
        <v>Accepted</v>
      </c>
      <c r="X92" s="398" t="str">
        <f t="shared" ca="1" si="560"/>
        <v>No</v>
      </c>
      <c r="Y92" s="398" t="str">
        <f t="shared" ca="1" si="561"/>
        <v/>
      </c>
      <c r="Z92" s="398" t="str">
        <f t="shared" ca="1" si="562"/>
        <v/>
      </c>
      <c r="AA92" s="398">
        <f t="shared" ca="1" si="28"/>
        <v>6</v>
      </c>
      <c r="AB92" s="398">
        <f t="shared" ca="1" si="552"/>
        <v>2</v>
      </c>
      <c r="AC92" s="398">
        <f t="shared" ca="1" si="553"/>
        <v>256</v>
      </c>
      <c r="AD92" s="398">
        <f t="shared" ca="1" si="29"/>
        <v>208474</v>
      </c>
      <c r="AE92" s="399">
        <f t="shared" si="540"/>
        <v>0</v>
      </c>
      <c r="AF92" s="399">
        <f t="shared" si="541"/>
        <v>0</v>
      </c>
      <c r="AG92" s="483" t="str">
        <f t="shared" ca="1" si="563"/>
        <v/>
      </c>
      <c r="AH92" s="400">
        <f ca="1">IF(MAX(IF($C$6="No",ROUNDUP($C$3/$I92,0),ROUNDUP(($C$3+$I92)/$I92,0)),IF($C$6="No",ROUNDUP($C$4/$G92,0),ROUNDUP(($C$4+$G92)/$G92,0)),ROUNDUP('BVMS checklist'!$H$217/$J92,0))&gt;1,'BVMS checklist'!$J$224,'BVMS checklist'!$J$217)</f>
        <v>0</v>
      </c>
      <c r="AI92" s="398">
        <f t="shared" ca="1" si="564"/>
        <v>2</v>
      </c>
      <c r="AJ92" s="400">
        <f t="shared" ca="1" si="32"/>
        <v>2</v>
      </c>
      <c r="AK92" s="400">
        <f t="shared" ca="1" si="33"/>
        <v>5350</v>
      </c>
      <c r="AL92" s="400">
        <f t="shared" ca="1" si="34"/>
        <v>0</v>
      </c>
      <c r="AM92" s="398">
        <f t="shared" ca="1" si="35"/>
        <v>208474</v>
      </c>
      <c r="AN92" s="401" t="str">
        <f t="shared" ca="1" si="565"/>
        <v/>
      </c>
      <c r="AO92" s="398">
        <f t="shared" ca="1" si="37"/>
        <v>1280</v>
      </c>
      <c r="AP92" s="400">
        <f ca="1">IF(MAX(IF($C$6="No",ROUNDUP($C$3/$I92,0),ROUNDUP(($C$3+$I92)/$I92,0)),IF($C$6="No",ROUNDUP($C$4/$G92,0),ROUNDUP(($C$4+$G92)/$G92,0)),ROUNDUP('BVMS checklist'!$H$217/$J92,0))&gt;1,'BVMS checklist'!$J$224,'BVMS checklist'!$J$217)+MAX(IF($C$6="No",ROUNDUP($C$3/$I92,0),ROUNDUP(($C$3+$I92)/$I92,0)),IF($C$6="No",ROUNDUP($C$4/$G92,0),ROUNDUP(($C$4+$G92)/$G92,0)))+$C$5</f>
        <v>1</v>
      </c>
      <c r="AQ92" s="400" t="b">
        <f t="shared" ca="1" si="554"/>
        <v>1</v>
      </c>
      <c r="AR92" s="400" t="str">
        <f t="shared" ca="1" si="38"/>
        <v>Accepted</v>
      </c>
      <c r="AS92" s="398" t="str">
        <f t="shared" ca="1" si="39"/>
        <v>No</v>
      </c>
      <c r="AT92" s="398" t="str">
        <f t="shared" ca="1" si="40"/>
        <v/>
      </c>
      <c r="AU92" s="398" t="str">
        <f t="shared" ca="1" si="566"/>
        <v/>
      </c>
      <c r="AV92" s="398">
        <f t="shared" ca="1" si="567"/>
        <v>6</v>
      </c>
      <c r="AW92" s="398">
        <f t="shared" ca="1" si="43"/>
        <v>2</v>
      </c>
      <c r="AX92" s="398">
        <f t="shared" ca="1" si="44"/>
        <v>256</v>
      </c>
      <c r="AY92" s="398">
        <f t="shared" ca="1" si="45"/>
        <v>208474</v>
      </c>
      <c r="AZ92" s="399">
        <f t="shared" si="542"/>
        <v>0</v>
      </c>
      <c r="BA92" s="399">
        <f t="shared" si="543"/>
        <v>0</v>
      </c>
      <c r="BB92" s="483" t="str">
        <f t="shared" ca="1" si="568"/>
        <v/>
      </c>
      <c r="BC92" s="400">
        <f ca="1">IF(MAX(IF($D$6="No",ROUNDUP($D$3/$I92,0),ROUNDUP(($D$3+$I92)/$I92,0)),IF($D$6="No",ROUNDUP($D$4/$G92,0),ROUNDUP(($D$4+$G92)/$G92,0)),ROUNDUP('BVMS checklist'!$H$217/$J92,0))&gt;1,'BVMS checklist'!$L$224,'BVMS checklist'!$L$217)</f>
        <v>0</v>
      </c>
      <c r="BD92" s="398">
        <f t="shared" ca="1" si="569"/>
        <v>2</v>
      </c>
      <c r="BE92" s="400">
        <f t="shared" si="48"/>
        <v>1</v>
      </c>
      <c r="BF92" s="400">
        <f t="shared" si="49"/>
        <v>2675</v>
      </c>
      <c r="BG92" s="400">
        <f t="shared" ca="1" si="11"/>
        <v>0</v>
      </c>
      <c r="BH92" s="398">
        <f t="shared" ca="1" si="50"/>
        <v>208474</v>
      </c>
      <c r="BI92" s="401" t="str">
        <f t="shared" ca="1" si="570"/>
        <v/>
      </c>
      <c r="BJ92" s="398">
        <f t="shared" ca="1" si="52"/>
        <v>1280</v>
      </c>
      <c r="BK92" s="400">
        <f ca="1">IF(MAX(IF($D$6="No",ROUNDUP($D$3/$I92,0),ROUNDUP(($D$3+$I92)/$I92,0)),IF($D$6="No",ROUNDUP($D$4/$G92,0),ROUNDUP(($D$4+$G92)/$G92,0)),ROUNDUP('BVMS checklist'!$H$217/$J92,0))&gt;1,'BVMS checklist'!$L$224,'BVMS checklist'!$L$217)+MAX(IF($D$6="No",ROUNDUP($D$3/$I92,0),ROUNDUP(($D$3+$I92)/$I92,0)),IF($D$6="No",ROUNDUP($D$4/$G92,0),ROUNDUP(($D$4+$G92)/$G92,0)))+$D$5</f>
        <v>1</v>
      </c>
      <c r="BL92" s="400" t="b">
        <f t="shared" ca="1" si="555"/>
        <v>1</v>
      </c>
      <c r="BM92" s="400" t="str">
        <f t="shared" ca="1" si="53"/>
        <v>Accepted</v>
      </c>
      <c r="BN92" s="398" t="str">
        <f t="shared" ca="1" si="13"/>
        <v>No</v>
      </c>
      <c r="BO92" s="398" t="str">
        <f t="shared" ca="1" si="54"/>
        <v/>
      </c>
      <c r="BP92" s="398" t="str">
        <f t="shared" ca="1" si="571"/>
        <v/>
      </c>
      <c r="BQ92" s="398">
        <f t="shared" ca="1" si="572"/>
        <v>6</v>
      </c>
      <c r="BR92" s="398">
        <f t="shared" ca="1" si="57"/>
        <v>2</v>
      </c>
      <c r="BS92" s="398">
        <f t="shared" ca="1" si="58"/>
        <v>256</v>
      </c>
      <c r="BT92" s="398">
        <f t="shared" ca="1" si="59"/>
        <v>208474</v>
      </c>
      <c r="BU92" s="399">
        <f t="shared" si="544"/>
        <v>0</v>
      </c>
      <c r="BV92" s="399">
        <f t="shared" si="545"/>
        <v>0</v>
      </c>
      <c r="BW92" s="483" t="str">
        <f t="shared" ca="1" si="573"/>
        <v/>
      </c>
      <c r="BX92" s="400">
        <f ca="1">IF(MAX(IF($E$6="No",ROUNDUP($E$3/$I92,0),ROUNDUP(($E$3+$I92)/$I92,0)),IF($E$6="No",ROUNDUP($E$4/$G92,0),ROUNDUP(($E$4+$G92)/$G92,0)),ROUNDUP('BVMS checklist'!$H$217/$J92,0))&gt;1,'BVMS checklist'!$N$224,'BVMS checklist'!$N$217)</f>
        <v>0</v>
      </c>
      <c r="BY92" s="398">
        <f t="shared" ca="1" si="574"/>
        <v>2</v>
      </c>
      <c r="BZ92" s="400">
        <f t="shared" ca="1" si="62"/>
        <v>2</v>
      </c>
      <c r="CA92" s="400">
        <f t="shared" ca="1" si="63"/>
        <v>5350</v>
      </c>
      <c r="CB92" s="400">
        <f t="shared" ca="1" si="16"/>
        <v>0</v>
      </c>
      <c r="CC92" s="398">
        <f t="shared" ca="1" si="64"/>
        <v>208474</v>
      </c>
      <c r="CD92" s="401" t="str">
        <f t="shared" ca="1" si="575"/>
        <v/>
      </c>
      <c r="CE92" s="398">
        <f t="shared" ca="1" si="66"/>
        <v>1280</v>
      </c>
      <c r="CF92" s="400">
        <f ca="1">IF(MAX(IF($E$6="No",ROUNDUP($E$3/$I92,0),ROUNDUP(($E$3+$I92)/$I92,0)),IF($E$6="No",ROUNDUP($E$4/$G92,0),ROUNDUP(($E$4+$G92)/$G92,0)),ROUNDUP('BVMS checklist'!$H$217/$J92,0))&gt;1,'BVMS checklist'!$N$224,'BVMS checklist'!$N$217)+MAX(IF($E$6="No",ROUNDUP($E$3/$I92,0),ROUNDUP(($E$3+$I92)/$I92,0)),IF($E$6="No",ROUNDUP($E$4/$G92,0),ROUNDUP(($E$4+$G92)/$G92,0)))+$E$5</f>
        <v>1</v>
      </c>
      <c r="CG92" s="400" t="b">
        <f t="shared" ca="1" si="556"/>
        <v>1</v>
      </c>
      <c r="CH92" s="400" t="str">
        <f t="shared" ca="1" si="67"/>
        <v>Accepted</v>
      </c>
      <c r="CI92" s="398" t="str">
        <f t="shared" ca="1" si="68"/>
        <v>No</v>
      </c>
      <c r="CJ92" s="398" t="str">
        <f t="shared" ca="1" si="69"/>
        <v/>
      </c>
      <c r="CK92" s="398" t="str">
        <f t="shared" ca="1" si="576"/>
        <v/>
      </c>
      <c r="CL92" s="398">
        <f t="shared" ca="1" si="577"/>
        <v>6</v>
      </c>
      <c r="CM92" s="398">
        <f t="shared" ca="1" si="72"/>
        <v>2</v>
      </c>
      <c r="CN92" s="398">
        <f t="shared" ca="1" si="73"/>
        <v>256</v>
      </c>
      <c r="CO92" s="398">
        <f t="shared" ca="1" si="74"/>
        <v>208474</v>
      </c>
      <c r="CP92" s="399">
        <f t="shared" si="546"/>
        <v>0</v>
      </c>
      <c r="CQ92" s="399">
        <f t="shared" si="547"/>
        <v>0</v>
      </c>
      <c r="CR92" s="483" t="str">
        <f t="shared" ca="1" si="578"/>
        <v/>
      </c>
      <c r="CS92"/>
    </row>
    <row r="93" spans="1:97">
      <c r="A93" s="398" t="s">
        <v>357</v>
      </c>
      <c r="B93" s="398" t="s">
        <v>987</v>
      </c>
      <c r="C93" s="440" t="s">
        <v>891</v>
      </c>
      <c r="D93" s="398">
        <v>2</v>
      </c>
      <c r="E93" s="398"/>
      <c r="F93" s="440">
        <v>0</v>
      </c>
      <c r="G93" s="398">
        <f>IF(C93="RAID5",(((7-F93)*3723))+(1*(((15-F93)*2792))),(((6-F93)*3723))+(1*(((14-F93)*2792))))</f>
        <v>67941</v>
      </c>
      <c r="H93" s="399">
        <v>80</v>
      </c>
      <c r="I93" s="399">
        <v>1025</v>
      </c>
      <c r="J93" s="399">
        <v>256</v>
      </c>
      <c r="K93" s="399"/>
      <c r="L93" s="399"/>
      <c r="M93" s="400">
        <f ca="1">IF(MAX(IF($B$6="No",ROUNDUP($B$3/$I93,0),ROUNDUP(($B$3+$I93)/$I93,0)),IF($B$6="No",ROUNDUP($B$4/$G93,0),ROUNDUP(($B$4+$G93)/$G93,0)),ROUNDUP('BVMS checklist'!$H$217/$J93,0))&gt;1,'BVMS checklist'!$H$224,'BVMS checklist'!$H$217)</f>
        <v>0</v>
      </c>
      <c r="N93" s="398">
        <f t="shared" ca="1" si="557"/>
        <v>2</v>
      </c>
      <c r="O93" s="400">
        <f t="shared" ca="1" si="21"/>
        <v>2</v>
      </c>
      <c r="P93" s="400">
        <f t="shared" ca="1" si="548"/>
        <v>2050</v>
      </c>
      <c r="Q93" s="400">
        <f t="shared" ca="1" si="549"/>
        <v>0</v>
      </c>
      <c r="R93" s="398">
        <f t="shared" ca="1" si="550"/>
        <v>135882</v>
      </c>
      <c r="S93" s="401" t="str">
        <f t="shared" ca="1" si="558"/>
        <v/>
      </c>
      <c r="T93" s="398">
        <f t="shared" ca="1" si="559"/>
        <v>512</v>
      </c>
      <c r="U93" s="400">
        <f ca="1">IF(MAX(IF($B$6="No",ROUNDUP($B$3/$I93,0),ROUNDUP(($B$3+$I93)/$I93,0)),IF($B$6="No",ROUNDUP($B$4/$G93,0),ROUNDUP(($B$4+$G93)/$G93,0)),ROUNDUP('BVMS checklist'!$H$217/$J93,0))&gt;1,'BVMS checklist'!$H$224,'BVMS checklist'!$H$217)+MAX(IF($B$6="No",ROUNDUP($B$3/$I93,0),ROUNDUP(($B$3+$I93)/$I93,0)),IF($B$6="No",ROUNDUP($B$4/$G93,0),ROUNDUP(($B$4+$G93)/$G93,0)))+$B$5</f>
        <v>1</v>
      </c>
      <c r="V93" s="400" t="b">
        <f t="shared" ca="1" si="551"/>
        <v>1</v>
      </c>
      <c r="W93" s="400" t="str">
        <f t="shared" ca="1" si="24"/>
        <v>Accepted</v>
      </c>
      <c r="X93" s="398" t="str">
        <f t="shared" ca="1" si="560"/>
        <v>No</v>
      </c>
      <c r="Y93" s="398" t="str">
        <f t="shared" ca="1" si="561"/>
        <v/>
      </c>
      <c r="Z93" s="398" t="str">
        <f t="shared" ca="1" si="562"/>
        <v/>
      </c>
      <c r="AA93" s="398">
        <f t="shared" ca="1" si="28"/>
        <v>6</v>
      </c>
      <c r="AB93" s="398">
        <f t="shared" ca="1" si="552"/>
        <v>2</v>
      </c>
      <c r="AC93" s="398">
        <f t="shared" ca="1" si="553"/>
        <v>160</v>
      </c>
      <c r="AD93" s="398">
        <f t="shared" ca="1" si="29"/>
        <v>135882</v>
      </c>
      <c r="AE93" s="399">
        <f t="shared" si="540"/>
        <v>0</v>
      </c>
      <c r="AF93" s="399">
        <f t="shared" si="541"/>
        <v>0</v>
      </c>
      <c r="AG93" s="483" t="str">
        <f t="shared" ca="1" si="563"/>
        <v/>
      </c>
      <c r="AH93" s="400">
        <f ca="1">IF(MAX(IF($C$6="No",ROUNDUP($C$3/$I93,0),ROUNDUP(($C$3+$I93)/$I93,0)),IF($C$6="No",ROUNDUP($C$4/$G93,0),ROUNDUP(($C$4+$G93)/$G93,0)),ROUNDUP('BVMS checklist'!$H$217/$J93,0))&gt;1,'BVMS checklist'!$J$224,'BVMS checklist'!$J$217)</f>
        <v>0</v>
      </c>
      <c r="AI93" s="398">
        <f t="shared" ca="1" si="564"/>
        <v>2</v>
      </c>
      <c r="AJ93" s="400">
        <f t="shared" ca="1" si="32"/>
        <v>2</v>
      </c>
      <c r="AK93" s="400">
        <f t="shared" ca="1" si="33"/>
        <v>2050</v>
      </c>
      <c r="AL93" s="400">
        <f t="shared" ca="1" si="34"/>
        <v>0</v>
      </c>
      <c r="AM93" s="398">
        <f t="shared" ca="1" si="35"/>
        <v>135882</v>
      </c>
      <c r="AN93" s="401" t="str">
        <f t="shared" ca="1" si="565"/>
        <v/>
      </c>
      <c r="AO93" s="398">
        <f t="shared" ca="1" si="37"/>
        <v>512</v>
      </c>
      <c r="AP93" s="400">
        <f ca="1">IF(MAX(IF($C$6="No",ROUNDUP($C$3/$I93,0),ROUNDUP(($C$3+$I93)/$I93,0)),IF($C$6="No",ROUNDUP($C$4/$G93,0),ROUNDUP(($C$4+$G93)/$G93,0)),ROUNDUP('BVMS checklist'!$H$217/$J93,0))&gt;1,'BVMS checklist'!$J$224,'BVMS checklist'!$J$217)+MAX(IF($C$6="No",ROUNDUP($C$3/$I93,0),ROUNDUP(($C$3+$I93)/$I93,0)),IF($C$6="No",ROUNDUP($C$4/$G93,0),ROUNDUP(($C$4+$G93)/$G93,0)))+$C$5</f>
        <v>1</v>
      </c>
      <c r="AQ93" s="400" t="b">
        <f t="shared" ca="1" si="554"/>
        <v>1</v>
      </c>
      <c r="AR93" s="400" t="str">
        <f t="shared" ca="1" si="38"/>
        <v>Accepted</v>
      </c>
      <c r="AS93" s="398" t="str">
        <f t="shared" ca="1" si="39"/>
        <v>No</v>
      </c>
      <c r="AT93" s="398" t="str">
        <f t="shared" ca="1" si="40"/>
        <v/>
      </c>
      <c r="AU93" s="398" t="str">
        <f t="shared" ca="1" si="566"/>
        <v/>
      </c>
      <c r="AV93" s="398">
        <f t="shared" ca="1" si="567"/>
        <v>6</v>
      </c>
      <c r="AW93" s="398">
        <f t="shared" ca="1" si="43"/>
        <v>2</v>
      </c>
      <c r="AX93" s="398">
        <f t="shared" ca="1" si="44"/>
        <v>160</v>
      </c>
      <c r="AY93" s="398">
        <f t="shared" ca="1" si="45"/>
        <v>135882</v>
      </c>
      <c r="AZ93" s="399">
        <f t="shared" si="542"/>
        <v>0</v>
      </c>
      <c r="BA93" s="399">
        <f t="shared" si="543"/>
        <v>0</v>
      </c>
      <c r="BB93" s="483" t="str">
        <f t="shared" ca="1" si="568"/>
        <v/>
      </c>
      <c r="BC93" s="400">
        <f ca="1">IF(MAX(IF($D$6="No",ROUNDUP($D$3/$I93,0),ROUNDUP(($D$3+$I93)/$I93,0)),IF($D$6="No",ROUNDUP($D$4/$G93,0),ROUNDUP(($D$4+$G93)/$G93,0)),ROUNDUP('BVMS checklist'!$H$217/$J93,0))&gt;1,'BVMS checklist'!$L$224,'BVMS checklist'!$L$217)</f>
        <v>0</v>
      </c>
      <c r="BD93" s="398">
        <f t="shared" ca="1" si="569"/>
        <v>2</v>
      </c>
      <c r="BE93" s="400">
        <f t="shared" si="48"/>
        <v>1</v>
      </c>
      <c r="BF93" s="400">
        <f t="shared" si="49"/>
        <v>1025</v>
      </c>
      <c r="BG93" s="400">
        <f t="shared" ca="1" si="11"/>
        <v>0</v>
      </c>
      <c r="BH93" s="398">
        <f t="shared" ca="1" si="50"/>
        <v>135882</v>
      </c>
      <c r="BI93" s="401" t="str">
        <f t="shared" ca="1" si="570"/>
        <v/>
      </c>
      <c r="BJ93" s="398">
        <f t="shared" ca="1" si="52"/>
        <v>512</v>
      </c>
      <c r="BK93" s="400">
        <f ca="1">IF(MAX(IF($D$6="No",ROUNDUP($D$3/$I93,0),ROUNDUP(($D$3+$I93)/$I93,0)),IF($D$6="No",ROUNDUP($D$4/$G93,0),ROUNDUP(($D$4+$G93)/$G93,0)),ROUNDUP('BVMS checklist'!$H$217/$J93,0))&gt;1,'BVMS checklist'!$L$224,'BVMS checklist'!$L$217)+MAX(IF($D$6="No",ROUNDUP($D$3/$I93,0),ROUNDUP(($D$3+$I93)/$I93,0)),IF($D$6="No",ROUNDUP($D$4/$G93,0),ROUNDUP(($D$4+$G93)/$G93,0)))+$D$5</f>
        <v>1</v>
      </c>
      <c r="BL93" s="400" t="b">
        <f t="shared" ca="1" si="555"/>
        <v>1</v>
      </c>
      <c r="BM93" s="400" t="str">
        <f t="shared" ca="1" si="53"/>
        <v>Accepted</v>
      </c>
      <c r="BN93" s="398" t="str">
        <f t="shared" ca="1" si="13"/>
        <v>No</v>
      </c>
      <c r="BO93" s="398" t="str">
        <f t="shared" ca="1" si="54"/>
        <v/>
      </c>
      <c r="BP93" s="398" t="str">
        <f t="shared" ca="1" si="571"/>
        <v/>
      </c>
      <c r="BQ93" s="398">
        <f t="shared" ca="1" si="572"/>
        <v>6</v>
      </c>
      <c r="BR93" s="398">
        <f t="shared" ca="1" si="57"/>
        <v>2</v>
      </c>
      <c r="BS93" s="398">
        <f t="shared" ca="1" si="58"/>
        <v>160</v>
      </c>
      <c r="BT93" s="398">
        <f t="shared" ca="1" si="59"/>
        <v>135882</v>
      </c>
      <c r="BU93" s="399">
        <f t="shared" si="544"/>
        <v>0</v>
      </c>
      <c r="BV93" s="399">
        <f t="shared" si="545"/>
        <v>0</v>
      </c>
      <c r="BW93" s="483" t="str">
        <f t="shared" ca="1" si="573"/>
        <v/>
      </c>
      <c r="BX93" s="400">
        <f ca="1">IF(MAX(IF($E$6="No",ROUNDUP($E$3/$I93,0),ROUNDUP(($E$3+$I93)/$I93,0)),IF($E$6="No",ROUNDUP($E$4/$G93,0),ROUNDUP(($E$4+$G93)/$G93,0)),ROUNDUP('BVMS checklist'!$H$217/$J93,0))&gt;1,'BVMS checklist'!$N$224,'BVMS checklist'!$N$217)</f>
        <v>0</v>
      </c>
      <c r="BY93" s="398">
        <f t="shared" ca="1" si="574"/>
        <v>2</v>
      </c>
      <c r="BZ93" s="400">
        <f t="shared" ca="1" si="62"/>
        <v>2</v>
      </c>
      <c r="CA93" s="400">
        <f t="shared" ca="1" si="63"/>
        <v>2050</v>
      </c>
      <c r="CB93" s="400">
        <f t="shared" ca="1" si="16"/>
        <v>0</v>
      </c>
      <c r="CC93" s="398">
        <f t="shared" ca="1" si="64"/>
        <v>135882</v>
      </c>
      <c r="CD93" s="401" t="str">
        <f t="shared" ca="1" si="575"/>
        <v/>
      </c>
      <c r="CE93" s="398">
        <f t="shared" ca="1" si="66"/>
        <v>512</v>
      </c>
      <c r="CF93" s="400">
        <f ca="1">IF(MAX(IF($E$6="No",ROUNDUP($E$3/$I93,0),ROUNDUP(($E$3+$I93)/$I93,0)),IF($E$6="No",ROUNDUP($E$4/$G93,0),ROUNDUP(($E$4+$G93)/$G93,0)),ROUNDUP('BVMS checklist'!$H$217/$J93,0))&gt;1,'BVMS checklist'!$N$224,'BVMS checklist'!$N$217)+MAX(IF($E$6="No",ROUNDUP($E$3/$I93,0),ROUNDUP(($E$3+$I93)/$I93,0)),IF($E$6="No",ROUNDUP($E$4/$G93,0),ROUNDUP(($E$4+$G93)/$G93,0)))+$E$5</f>
        <v>1</v>
      </c>
      <c r="CG93" s="400" t="b">
        <f t="shared" ca="1" si="556"/>
        <v>1</v>
      </c>
      <c r="CH93" s="400" t="str">
        <f t="shared" ca="1" si="67"/>
        <v>Accepted</v>
      </c>
      <c r="CI93" s="398" t="str">
        <f t="shared" ca="1" si="68"/>
        <v>No</v>
      </c>
      <c r="CJ93" s="398" t="str">
        <f t="shared" ca="1" si="69"/>
        <v/>
      </c>
      <c r="CK93" s="398" t="str">
        <f t="shared" ca="1" si="576"/>
        <v/>
      </c>
      <c r="CL93" s="398">
        <f t="shared" ca="1" si="577"/>
        <v>6</v>
      </c>
      <c r="CM93" s="398">
        <f t="shared" ca="1" si="72"/>
        <v>2</v>
      </c>
      <c r="CN93" s="398">
        <f t="shared" ca="1" si="73"/>
        <v>160</v>
      </c>
      <c r="CO93" s="398">
        <f t="shared" ca="1" si="74"/>
        <v>135882</v>
      </c>
      <c r="CP93" s="399">
        <f t="shared" si="546"/>
        <v>0</v>
      </c>
      <c r="CQ93" s="399">
        <f t="shared" si="547"/>
        <v>0</v>
      </c>
      <c r="CR93" s="483" t="str">
        <f t="shared" ca="1" si="578"/>
        <v/>
      </c>
      <c r="CS93"/>
    </row>
    <row r="94" spans="1:97">
      <c r="A94" s="398" t="s">
        <v>362</v>
      </c>
      <c r="B94" s="398" t="s">
        <v>987</v>
      </c>
      <c r="C94" s="440" t="s">
        <v>891</v>
      </c>
      <c r="D94" s="398">
        <v>3</v>
      </c>
      <c r="E94" s="398"/>
      <c r="F94" s="440">
        <v>0</v>
      </c>
      <c r="G94" s="398">
        <f>IF(C94="RAID5",(((7-F94)*3723))+(2*(((15-F94)*2792))),(((6-F94)*3723))+(2*(((14-F94)*2792))))</f>
        <v>109821</v>
      </c>
      <c r="H94" s="399">
        <v>128</v>
      </c>
      <c r="I94" s="399">
        <v>1575</v>
      </c>
      <c r="J94" s="399">
        <v>384</v>
      </c>
      <c r="K94" s="399"/>
      <c r="L94" s="399"/>
      <c r="M94" s="400">
        <f ca="1">IF(MAX(IF($B$6="No",ROUNDUP($B$3/$I94,0),ROUNDUP(($B$3+$I94)/$I94,0)),IF($B$6="No",ROUNDUP($B$4/$G94,0),ROUNDUP(($B$4+$G94)/$G94,0)),ROUNDUP('BVMS checklist'!$H$217/$J94,0))&gt;1,'BVMS checklist'!$H$224,'BVMS checklist'!$H$217)</f>
        <v>0</v>
      </c>
      <c r="N94" s="398">
        <f t="shared" ca="1" si="557"/>
        <v>2</v>
      </c>
      <c r="O94" s="400">
        <f t="shared" ca="1" si="21"/>
        <v>2</v>
      </c>
      <c r="P94" s="400">
        <f t="shared" ca="1" si="548"/>
        <v>3150</v>
      </c>
      <c r="Q94" s="400">
        <f t="shared" ca="1" si="549"/>
        <v>0</v>
      </c>
      <c r="R94" s="398">
        <f t="shared" ca="1" si="550"/>
        <v>219642</v>
      </c>
      <c r="S94" s="401" t="str">
        <f t="shared" ca="1" si="558"/>
        <v/>
      </c>
      <c r="T94" s="398">
        <f t="shared" ca="1" si="559"/>
        <v>768</v>
      </c>
      <c r="U94" s="400">
        <f ca="1">IF(MAX(IF($B$6="No",ROUNDUP($B$3/$I94,0),ROUNDUP(($B$3+$I94)/$I94,0)),IF($B$6="No",ROUNDUP($B$4/$G94,0),ROUNDUP(($B$4+$G94)/$G94,0)),ROUNDUP('BVMS checklist'!$H$217/$J94,0))&gt;1,'BVMS checklist'!$H$224,'BVMS checklist'!$H$217)+MAX(IF($B$6="No",ROUNDUP($B$3/$I94,0),ROUNDUP(($B$3+$I94)/$I94,0)),IF($B$6="No",ROUNDUP($B$4/$G94,0),ROUNDUP(($B$4+$G94)/$G94,0)))+$B$5</f>
        <v>1</v>
      </c>
      <c r="V94" s="400" t="b">
        <f t="shared" ca="1" si="551"/>
        <v>1</v>
      </c>
      <c r="W94" s="400" t="str">
        <f t="shared" ca="1" si="24"/>
        <v>Accepted</v>
      </c>
      <c r="X94" s="398" t="str">
        <f t="shared" ca="1" si="560"/>
        <v>No</v>
      </c>
      <c r="Y94" s="398" t="str">
        <f t="shared" ca="1" si="561"/>
        <v/>
      </c>
      <c r="Z94" s="398" t="str">
        <f t="shared" ca="1" si="562"/>
        <v/>
      </c>
      <c r="AA94" s="398">
        <f t="shared" ca="1" si="28"/>
        <v>6</v>
      </c>
      <c r="AB94" s="398">
        <f t="shared" ca="1" si="552"/>
        <v>2</v>
      </c>
      <c r="AC94" s="398">
        <f t="shared" ca="1" si="553"/>
        <v>256</v>
      </c>
      <c r="AD94" s="398">
        <f t="shared" ca="1" si="29"/>
        <v>219642</v>
      </c>
      <c r="AE94" s="399">
        <f t="shared" si="540"/>
        <v>0</v>
      </c>
      <c r="AF94" s="399">
        <f t="shared" si="541"/>
        <v>0</v>
      </c>
      <c r="AG94" s="483" t="str">
        <f t="shared" ca="1" si="563"/>
        <v/>
      </c>
      <c r="AH94" s="400">
        <f ca="1">IF(MAX(IF($C$6="No",ROUNDUP($C$3/$I94,0),ROUNDUP(($C$3+$I94)/$I94,0)),IF($C$6="No",ROUNDUP($C$4/$G94,0),ROUNDUP(($C$4+$G94)/$G94,0)),ROUNDUP('BVMS checklist'!$H$217/$J94,0))&gt;1,'BVMS checklist'!$J$224,'BVMS checklist'!$J$217)</f>
        <v>0</v>
      </c>
      <c r="AI94" s="398">
        <f t="shared" ca="1" si="564"/>
        <v>2</v>
      </c>
      <c r="AJ94" s="400">
        <f t="shared" ca="1" si="32"/>
        <v>2</v>
      </c>
      <c r="AK94" s="400">
        <f t="shared" ca="1" si="33"/>
        <v>3150</v>
      </c>
      <c r="AL94" s="400">
        <f t="shared" ca="1" si="34"/>
        <v>0</v>
      </c>
      <c r="AM94" s="398">
        <f t="shared" ca="1" si="35"/>
        <v>219642</v>
      </c>
      <c r="AN94" s="401" t="str">
        <f t="shared" ca="1" si="565"/>
        <v/>
      </c>
      <c r="AO94" s="398">
        <f t="shared" ca="1" si="37"/>
        <v>768</v>
      </c>
      <c r="AP94" s="400">
        <f ca="1">IF(MAX(IF($C$6="No",ROUNDUP($C$3/$I94,0),ROUNDUP(($C$3+$I94)/$I94,0)),IF($C$6="No",ROUNDUP($C$4/$G94,0),ROUNDUP(($C$4+$G94)/$G94,0)),ROUNDUP('BVMS checklist'!$H$217/$J94,0))&gt;1,'BVMS checklist'!$J$224,'BVMS checklist'!$J$217)+MAX(IF($C$6="No",ROUNDUP($C$3/$I94,0),ROUNDUP(($C$3+$I94)/$I94,0)),IF($C$6="No",ROUNDUP($C$4/$G94,0),ROUNDUP(($C$4+$G94)/$G94,0)))+$C$5</f>
        <v>1</v>
      </c>
      <c r="AQ94" s="400" t="b">
        <f t="shared" ca="1" si="554"/>
        <v>1</v>
      </c>
      <c r="AR94" s="400" t="str">
        <f t="shared" ca="1" si="38"/>
        <v>Accepted</v>
      </c>
      <c r="AS94" s="398" t="str">
        <f t="shared" ca="1" si="39"/>
        <v>No</v>
      </c>
      <c r="AT94" s="398" t="str">
        <f t="shared" ca="1" si="40"/>
        <v/>
      </c>
      <c r="AU94" s="398" t="str">
        <f t="shared" ca="1" si="566"/>
        <v/>
      </c>
      <c r="AV94" s="398">
        <f t="shared" ca="1" si="567"/>
        <v>6</v>
      </c>
      <c r="AW94" s="398">
        <f t="shared" ca="1" si="43"/>
        <v>2</v>
      </c>
      <c r="AX94" s="398">
        <f t="shared" ca="1" si="44"/>
        <v>256</v>
      </c>
      <c r="AY94" s="398">
        <f t="shared" ca="1" si="45"/>
        <v>219642</v>
      </c>
      <c r="AZ94" s="399">
        <f t="shared" si="542"/>
        <v>0</v>
      </c>
      <c r="BA94" s="399">
        <f t="shared" si="543"/>
        <v>0</v>
      </c>
      <c r="BB94" s="483" t="str">
        <f t="shared" ca="1" si="568"/>
        <v/>
      </c>
      <c r="BC94" s="400">
        <f ca="1">IF(MAX(IF($D$6="No",ROUNDUP($D$3/$I94,0),ROUNDUP(($D$3+$I94)/$I94,0)),IF($D$6="No",ROUNDUP($D$4/$G94,0),ROUNDUP(($D$4+$G94)/$G94,0)),ROUNDUP('BVMS checklist'!$H$217/$J94,0))&gt;1,'BVMS checklist'!$L$224,'BVMS checklist'!$L$217)</f>
        <v>0</v>
      </c>
      <c r="BD94" s="398">
        <f t="shared" ca="1" si="569"/>
        <v>2</v>
      </c>
      <c r="BE94" s="400">
        <f t="shared" si="48"/>
        <v>1</v>
      </c>
      <c r="BF94" s="400">
        <f t="shared" si="49"/>
        <v>1575</v>
      </c>
      <c r="BG94" s="400">
        <f t="shared" ca="1" si="11"/>
        <v>0</v>
      </c>
      <c r="BH94" s="398">
        <f t="shared" ca="1" si="50"/>
        <v>219642</v>
      </c>
      <c r="BI94" s="401" t="str">
        <f t="shared" ca="1" si="570"/>
        <v/>
      </c>
      <c r="BJ94" s="398">
        <f t="shared" ca="1" si="52"/>
        <v>768</v>
      </c>
      <c r="BK94" s="400">
        <f ca="1">IF(MAX(IF($D$6="No",ROUNDUP($D$3/$I94,0),ROUNDUP(($D$3+$I94)/$I94,0)),IF($D$6="No",ROUNDUP($D$4/$G94,0),ROUNDUP(($D$4+$G94)/$G94,0)),ROUNDUP('BVMS checklist'!$H$217/$J94,0))&gt;1,'BVMS checklist'!$L$224,'BVMS checklist'!$L$217)+MAX(IF($D$6="No",ROUNDUP($D$3/$I94,0),ROUNDUP(($D$3+$I94)/$I94,0)),IF($D$6="No",ROUNDUP($D$4/$G94,0),ROUNDUP(($D$4+$G94)/$G94,0)))+$D$5</f>
        <v>1</v>
      </c>
      <c r="BL94" s="400" t="b">
        <f t="shared" ca="1" si="555"/>
        <v>1</v>
      </c>
      <c r="BM94" s="400" t="str">
        <f t="shared" ca="1" si="53"/>
        <v>Accepted</v>
      </c>
      <c r="BN94" s="398" t="str">
        <f t="shared" ca="1" si="13"/>
        <v>No</v>
      </c>
      <c r="BO94" s="398" t="str">
        <f t="shared" ca="1" si="54"/>
        <v/>
      </c>
      <c r="BP94" s="398" t="str">
        <f t="shared" ca="1" si="571"/>
        <v/>
      </c>
      <c r="BQ94" s="398">
        <f t="shared" ca="1" si="572"/>
        <v>6</v>
      </c>
      <c r="BR94" s="398">
        <f t="shared" ca="1" si="57"/>
        <v>2</v>
      </c>
      <c r="BS94" s="398">
        <f t="shared" ca="1" si="58"/>
        <v>256</v>
      </c>
      <c r="BT94" s="398">
        <f t="shared" ca="1" si="59"/>
        <v>219642</v>
      </c>
      <c r="BU94" s="399">
        <f t="shared" si="544"/>
        <v>0</v>
      </c>
      <c r="BV94" s="399">
        <f t="shared" si="545"/>
        <v>0</v>
      </c>
      <c r="BW94" s="483" t="str">
        <f t="shared" ca="1" si="573"/>
        <v/>
      </c>
      <c r="BX94" s="400">
        <f ca="1">IF(MAX(IF($E$6="No",ROUNDUP($E$3/$I94,0),ROUNDUP(($E$3+$I94)/$I94,0)),IF($E$6="No",ROUNDUP($E$4/$G94,0),ROUNDUP(($E$4+$G94)/$G94,0)),ROUNDUP('BVMS checklist'!$H$217/$J94,0))&gt;1,'BVMS checklist'!$N$224,'BVMS checklist'!$N$217)</f>
        <v>0</v>
      </c>
      <c r="BY94" s="398">
        <f t="shared" ca="1" si="574"/>
        <v>2</v>
      </c>
      <c r="BZ94" s="400">
        <f t="shared" ca="1" si="62"/>
        <v>2</v>
      </c>
      <c r="CA94" s="400">
        <f t="shared" ca="1" si="63"/>
        <v>3150</v>
      </c>
      <c r="CB94" s="400">
        <f t="shared" ca="1" si="16"/>
        <v>0</v>
      </c>
      <c r="CC94" s="398">
        <f t="shared" ca="1" si="64"/>
        <v>219642</v>
      </c>
      <c r="CD94" s="401" t="str">
        <f t="shared" ca="1" si="575"/>
        <v/>
      </c>
      <c r="CE94" s="398">
        <f t="shared" ca="1" si="66"/>
        <v>768</v>
      </c>
      <c r="CF94" s="400">
        <f ca="1">IF(MAX(IF($E$6="No",ROUNDUP($E$3/$I94,0),ROUNDUP(($E$3+$I94)/$I94,0)),IF($E$6="No",ROUNDUP($E$4/$G94,0),ROUNDUP(($E$4+$G94)/$G94,0)),ROUNDUP('BVMS checklist'!$H$217/$J94,0))&gt;1,'BVMS checklist'!$N$224,'BVMS checklist'!$N$217)+MAX(IF($E$6="No",ROUNDUP($E$3/$I94,0),ROUNDUP(($E$3+$I94)/$I94,0)),IF($E$6="No",ROUNDUP($E$4/$G94,0),ROUNDUP(($E$4+$G94)/$G94,0)))+$E$5</f>
        <v>1</v>
      </c>
      <c r="CG94" s="400" t="b">
        <f t="shared" ca="1" si="556"/>
        <v>1</v>
      </c>
      <c r="CH94" s="400" t="str">
        <f t="shared" ca="1" si="67"/>
        <v>Accepted</v>
      </c>
      <c r="CI94" s="398" t="str">
        <f t="shared" ca="1" si="68"/>
        <v>No</v>
      </c>
      <c r="CJ94" s="398" t="str">
        <f t="shared" ca="1" si="69"/>
        <v/>
      </c>
      <c r="CK94" s="398" t="str">
        <f t="shared" ca="1" si="576"/>
        <v/>
      </c>
      <c r="CL94" s="398">
        <f t="shared" ca="1" si="577"/>
        <v>6</v>
      </c>
      <c r="CM94" s="398">
        <f t="shared" ca="1" si="72"/>
        <v>2</v>
      </c>
      <c r="CN94" s="398">
        <f t="shared" ca="1" si="73"/>
        <v>256</v>
      </c>
      <c r="CO94" s="398">
        <f t="shared" ca="1" si="74"/>
        <v>219642</v>
      </c>
      <c r="CP94" s="399">
        <f t="shared" si="546"/>
        <v>0</v>
      </c>
      <c r="CQ94" s="399">
        <f t="shared" si="547"/>
        <v>0</v>
      </c>
      <c r="CR94" s="483" t="str">
        <f t="shared" ca="1" si="578"/>
        <v/>
      </c>
      <c r="CS94"/>
    </row>
    <row r="95" spans="1:97">
      <c r="A95" s="398" t="s">
        <v>363</v>
      </c>
      <c r="B95" s="398" t="s">
        <v>987</v>
      </c>
      <c r="C95" s="440" t="s">
        <v>891</v>
      </c>
      <c r="D95" s="398">
        <v>4</v>
      </c>
      <c r="E95" s="398"/>
      <c r="F95" s="440">
        <v>0</v>
      </c>
      <c r="G95" s="398">
        <f>IF(C95="RAID5",(((7-F95)*3723))+(3*(((15-F95)*2792))),(((6-F95)*3723))+(3*(((14-F95)*2792))))</f>
        <v>151701</v>
      </c>
      <c r="H95" s="399">
        <v>176</v>
      </c>
      <c r="I95" s="399">
        <v>2125</v>
      </c>
      <c r="J95" s="399">
        <v>512</v>
      </c>
      <c r="K95" s="399"/>
      <c r="L95" s="399"/>
      <c r="M95" s="400">
        <f ca="1">IF(MAX(IF($B$6="No",ROUNDUP($B$3/$I95,0),ROUNDUP(($B$3+$I95)/$I95,0)),IF($B$6="No",ROUNDUP($B$4/$G95,0),ROUNDUP(($B$4+$G95)/$G95,0)),ROUNDUP('BVMS checklist'!$H$217/$J95,0))&gt;1,'BVMS checklist'!$H$224,'BVMS checklist'!$H$217)</f>
        <v>0</v>
      </c>
      <c r="N95" s="398">
        <f t="shared" ca="1" si="557"/>
        <v>2</v>
      </c>
      <c r="O95" s="400">
        <f t="shared" ca="1" si="21"/>
        <v>2</v>
      </c>
      <c r="P95" s="400">
        <f t="shared" ca="1" si="548"/>
        <v>4250</v>
      </c>
      <c r="Q95" s="400">
        <f t="shared" ca="1" si="549"/>
        <v>0</v>
      </c>
      <c r="R95" s="398">
        <f t="shared" ca="1" si="550"/>
        <v>303402</v>
      </c>
      <c r="S95" s="401" t="str">
        <f t="shared" ca="1" si="558"/>
        <v/>
      </c>
      <c r="T95" s="398">
        <f t="shared" ca="1" si="559"/>
        <v>1024</v>
      </c>
      <c r="U95" s="400">
        <f ca="1">IF(MAX(IF($B$6="No",ROUNDUP($B$3/$I95,0),ROUNDUP(($B$3+$I95)/$I95,0)),IF($B$6="No",ROUNDUP($B$4/$G95,0),ROUNDUP(($B$4+$G95)/$G95,0)),ROUNDUP('BVMS checklist'!$H$217/$J95,0))&gt;1,'BVMS checklist'!$H$224,'BVMS checklist'!$H$217)+MAX(IF($B$6="No",ROUNDUP($B$3/$I95,0),ROUNDUP(($B$3+$I95)/$I95,0)),IF($B$6="No",ROUNDUP($B$4/$G95,0),ROUNDUP(($B$4+$G95)/$G95,0)))+$B$5</f>
        <v>1</v>
      </c>
      <c r="V95" s="400" t="b">
        <f t="shared" ca="1" si="551"/>
        <v>1</v>
      </c>
      <c r="W95" s="400" t="str">
        <f t="shared" ca="1" si="24"/>
        <v>Accepted</v>
      </c>
      <c r="X95" s="398" t="str">
        <f t="shared" ca="1" si="560"/>
        <v>No</v>
      </c>
      <c r="Y95" s="398" t="str">
        <f t="shared" ca="1" si="561"/>
        <v/>
      </c>
      <c r="Z95" s="398" t="str">
        <f t="shared" ca="1" si="562"/>
        <v/>
      </c>
      <c r="AA95" s="398">
        <f t="shared" ca="1" si="28"/>
        <v>6</v>
      </c>
      <c r="AB95" s="398">
        <f t="shared" ca="1" si="552"/>
        <v>2</v>
      </c>
      <c r="AC95" s="398">
        <f t="shared" ca="1" si="553"/>
        <v>352</v>
      </c>
      <c r="AD95" s="398">
        <f t="shared" ca="1" si="29"/>
        <v>303402</v>
      </c>
      <c r="AE95" s="399">
        <f t="shared" si="540"/>
        <v>0</v>
      </c>
      <c r="AF95" s="399">
        <f t="shared" si="541"/>
        <v>0</v>
      </c>
      <c r="AG95" s="483" t="str">
        <f t="shared" ca="1" si="563"/>
        <v/>
      </c>
      <c r="AH95" s="400">
        <f ca="1">IF(MAX(IF($C$6="No",ROUNDUP($C$3/$I95,0),ROUNDUP(($C$3+$I95)/$I95,0)),IF($C$6="No",ROUNDUP($C$4/$G95,0),ROUNDUP(($C$4+$G95)/$G95,0)),ROUNDUP('BVMS checklist'!$H$217/$J95,0))&gt;1,'BVMS checklist'!$J$224,'BVMS checklist'!$J$217)</f>
        <v>0</v>
      </c>
      <c r="AI95" s="398">
        <f t="shared" ca="1" si="564"/>
        <v>2</v>
      </c>
      <c r="AJ95" s="400">
        <f t="shared" ca="1" si="32"/>
        <v>2</v>
      </c>
      <c r="AK95" s="400">
        <f t="shared" ca="1" si="33"/>
        <v>4250</v>
      </c>
      <c r="AL95" s="400">
        <f t="shared" ca="1" si="34"/>
        <v>0</v>
      </c>
      <c r="AM95" s="398">
        <f t="shared" ca="1" si="35"/>
        <v>303402</v>
      </c>
      <c r="AN95" s="401" t="str">
        <f t="shared" ca="1" si="565"/>
        <v/>
      </c>
      <c r="AO95" s="398">
        <f t="shared" ca="1" si="37"/>
        <v>1024</v>
      </c>
      <c r="AP95" s="400">
        <f ca="1">IF(MAX(IF($C$6="No",ROUNDUP($C$3/$I95,0),ROUNDUP(($C$3+$I95)/$I95,0)),IF($C$6="No",ROUNDUP($C$4/$G95,0),ROUNDUP(($C$4+$G95)/$G95,0)),ROUNDUP('BVMS checklist'!$H$217/$J95,0))&gt;1,'BVMS checklist'!$J$224,'BVMS checklist'!$J$217)+MAX(IF($C$6="No",ROUNDUP($C$3/$I95,0),ROUNDUP(($C$3+$I95)/$I95,0)),IF($C$6="No",ROUNDUP($C$4/$G95,0),ROUNDUP(($C$4+$G95)/$G95,0)))+$C$5</f>
        <v>1</v>
      </c>
      <c r="AQ95" s="400" t="b">
        <f t="shared" ca="1" si="554"/>
        <v>1</v>
      </c>
      <c r="AR95" s="400" t="str">
        <f t="shared" ca="1" si="38"/>
        <v>Accepted</v>
      </c>
      <c r="AS95" s="398" t="str">
        <f t="shared" ref="AS95:AS158" ca="1" si="579">IF(AND(AP95&lt;AO95,AL95&lt;$I95,$B95="Active",AR95="Accepted"),"Yes","No")</f>
        <v>No</v>
      </c>
      <c r="AT95" s="398" t="str">
        <f t="shared" ca="1" si="40"/>
        <v/>
      </c>
      <c r="AU95" s="398" t="str">
        <f t="shared" ca="1" si="566"/>
        <v/>
      </c>
      <c r="AV95" s="398">
        <f t="shared" ca="1" si="567"/>
        <v>6</v>
      </c>
      <c r="AW95" s="398">
        <f t="shared" ca="1" si="43"/>
        <v>2</v>
      </c>
      <c r="AX95" s="398">
        <f t="shared" ca="1" si="44"/>
        <v>352</v>
      </c>
      <c r="AY95" s="398">
        <f t="shared" ca="1" si="45"/>
        <v>303402</v>
      </c>
      <c r="AZ95" s="399">
        <f t="shared" si="542"/>
        <v>0</v>
      </c>
      <c r="BA95" s="399">
        <f t="shared" si="543"/>
        <v>0</v>
      </c>
      <c r="BB95" s="483" t="str">
        <f t="shared" ca="1" si="568"/>
        <v/>
      </c>
      <c r="BC95" s="400">
        <f ca="1">IF(MAX(IF($D$6="No",ROUNDUP($D$3/$I95,0),ROUNDUP(($D$3+$I95)/$I95,0)),IF($D$6="No",ROUNDUP($D$4/$G95,0),ROUNDUP(($D$4+$G95)/$G95,0)),ROUNDUP('BVMS checklist'!$H$217/$J95,0))&gt;1,'BVMS checklist'!$L$224,'BVMS checklist'!$L$217)</f>
        <v>0</v>
      </c>
      <c r="BD95" s="398">
        <f t="shared" ca="1" si="569"/>
        <v>2</v>
      </c>
      <c r="BE95" s="400">
        <f t="shared" si="48"/>
        <v>1</v>
      </c>
      <c r="BF95" s="400">
        <f t="shared" si="49"/>
        <v>2125</v>
      </c>
      <c r="BG95" s="400">
        <f t="shared" ref="BG95:BG158" ca="1" si="580">IFERROR($D$3/BD95,"")</f>
        <v>0</v>
      </c>
      <c r="BH95" s="398">
        <f t="shared" ca="1" si="50"/>
        <v>303402</v>
      </c>
      <c r="BI95" s="401" t="str">
        <f t="shared" ca="1" si="570"/>
        <v/>
      </c>
      <c r="BJ95" s="398">
        <f t="shared" ca="1" si="52"/>
        <v>1024</v>
      </c>
      <c r="BK95" s="400">
        <f ca="1">IF(MAX(IF($D$6="No",ROUNDUP($D$3/$I95,0),ROUNDUP(($D$3+$I95)/$I95,0)),IF($D$6="No",ROUNDUP($D$4/$G95,0),ROUNDUP(($D$4+$G95)/$G95,0)),ROUNDUP('BVMS checklist'!$H$217/$J95,0))&gt;1,'BVMS checklist'!$L$224,'BVMS checklist'!$L$217)+MAX(IF($D$6="No",ROUNDUP($D$3/$I95,0),ROUNDUP(($D$3+$I95)/$I95,0)),IF($D$6="No",ROUNDUP($D$4/$G95,0),ROUNDUP(($D$4+$G95)/$G95,0)))+$D$5</f>
        <v>1</v>
      </c>
      <c r="BL95" s="400" t="b">
        <f t="shared" ca="1" si="555"/>
        <v>1</v>
      </c>
      <c r="BM95" s="400" t="str">
        <f t="shared" ca="1" si="53"/>
        <v>Accepted</v>
      </c>
      <c r="BN95" s="398" t="str">
        <f t="shared" ref="BN95:BN158" ca="1" si="581">IF(AND(BK95&lt;BJ95,BG95&lt;$I95,$B95="Active",BM95="Accepted"),"Yes","No")</f>
        <v>No</v>
      </c>
      <c r="BO95" s="398" t="str">
        <f t="shared" ca="1" si="54"/>
        <v/>
      </c>
      <c r="BP95" s="398" t="str">
        <f t="shared" ca="1" si="571"/>
        <v/>
      </c>
      <c r="BQ95" s="398">
        <f t="shared" ca="1" si="572"/>
        <v>6</v>
      </c>
      <c r="BR95" s="398">
        <f t="shared" ca="1" si="57"/>
        <v>2</v>
      </c>
      <c r="BS95" s="398">
        <f t="shared" ca="1" si="58"/>
        <v>352</v>
      </c>
      <c r="BT95" s="398">
        <f t="shared" ca="1" si="59"/>
        <v>303402</v>
      </c>
      <c r="BU95" s="399">
        <f t="shared" si="544"/>
        <v>0</v>
      </c>
      <c r="BV95" s="399">
        <f t="shared" si="545"/>
        <v>0</v>
      </c>
      <c r="BW95" s="483" t="str">
        <f t="shared" ca="1" si="573"/>
        <v/>
      </c>
      <c r="BX95" s="400">
        <f ca="1">IF(MAX(IF($E$6="No",ROUNDUP($E$3/$I95,0),ROUNDUP(($E$3+$I95)/$I95,0)),IF($E$6="No",ROUNDUP($E$4/$G95,0),ROUNDUP(($E$4+$G95)/$G95,0)),ROUNDUP('BVMS checklist'!$H$217/$J95,0))&gt;1,'BVMS checklist'!$N$224,'BVMS checklist'!$N$217)</f>
        <v>0</v>
      </c>
      <c r="BY95" s="398">
        <f t="shared" ca="1" si="574"/>
        <v>2</v>
      </c>
      <c r="BZ95" s="400">
        <f t="shared" ca="1" si="62"/>
        <v>2</v>
      </c>
      <c r="CA95" s="400">
        <f t="shared" ca="1" si="63"/>
        <v>4250</v>
      </c>
      <c r="CB95" s="400">
        <f t="shared" ref="CB95:CB158" ca="1" si="582">IFERROR($E$3/BY95,"")</f>
        <v>0</v>
      </c>
      <c r="CC95" s="398">
        <f t="shared" ca="1" si="64"/>
        <v>303402</v>
      </c>
      <c r="CD95" s="401" t="str">
        <f t="shared" ca="1" si="575"/>
        <v/>
      </c>
      <c r="CE95" s="398">
        <f t="shared" ca="1" si="66"/>
        <v>1024</v>
      </c>
      <c r="CF95" s="400">
        <f ca="1">IF(MAX(IF($E$6="No",ROUNDUP($E$3/$I95,0),ROUNDUP(($E$3+$I95)/$I95,0)),IF($E$6="No",ROUNDUP($E$4/$G95,0),ROUNDUP(($E$4+$G95)/$G95,0)),ROUNDUP('BVMS checklist'!$H$217/$J95,0))&gt;1,'BVMS checklist'!$N$224,'BVMS checklist'!$N$217)+MAX(IF($E$6="No",ROUNDUP($E$3/$I95,0),ROUNDUP(($E$3+$I95)/$I95,0)),IF($E$6="No",ROUNDUP($E$4/$G95,0),ROUNDUP(($E$4+$G95)/$G95,0)))+$E$5</f>
        <v>1</v>
      </c>
      <c r="CG95" s="400" t="b">
        <f t="shared" ca="1" si="556"/>
        <v>1</v>
      </c>
      <c r="CH95" s="400" t="str">
        <f t="shared" ca="1" si="67"/>
        <v>Accepted</v>
      </c>
      <c r="CI95" s="398" t="str">
        <f t="shared" ref="CI95:CI158" ca="1" si="583">IF(AND(CF95&lt;CE95,CB95&lt;$I95,$B95="Active",CH95="Accepted"),"Yes","No")</f>
        <v>No</v>
      </c>
      <c r="CJ95" s="398" t="str">
        <f t="shared" ca="1" si="69"/>
        <v/>
      </c>
      <c r="CK95" s="398" t="str">
        <f t="shared" ca="1" si="576"/>
        <v/>
      </c>
      <c r="CL95" s="398">
        <f t="shared" ca="1" si="577"/>
        <v>6</v>
      </c>
      <c r="CM95" s="398">
        <f t="shared" ca="1" si="72"/>
        <v>2</v>
      </c>
      <c r="CN95" s="398">
        <f t="shared" ca="1" si="73"/>
        <v>352</v>
      </c>
      <c r="CO95" s="398">
        <f t="shared" ca="1" si="74"/>
        <v>303402</v>
      </c>
      <c r="CP95" s="399">
        <f t="shared" si="546"/>
        <v>0</v>
      </c>
      <c r="CQ95" s="399">
        <f t="shared" si="547"/>
        <v>0</v>
      </c>
      <c r="CR95" s="483" t="str">
        <f t="shared" ca="1" si="578"/>
        <v/>
      </c>
      <c r="CS95"/>
    </row>
    <row r="96" spans="1:97">
      <c r="A96" s="398" t="s">
        <v>364</v>
      </c>
      <c r="B96" s="398" t="s">
        <v>987</v>
      </c>
      <c r="C96" s="440" t="s">
        <v>891</v>
      </c>
      <c r="D96" s="398">
        <v>5</v>
      </c>
      <c r="E96" s="398"/>
      <c r="F96" s="440">
        <v>0</v>
      </c>
      <c r="G96" s="398">
        <f>IF(C96="RAID5",(((7-F96)*3723))+(4*(((15-F96)*2792))),(((6-F96)*3723))+(4*(((14-F96)*2792))))</f>
        <v>193581</v>
      </c>
      <c r="H96" s="399">
        <v>224</v>
      </c>
      <c r="I96" s="399">
        <v>2675</v>
      </c>
      <c r="J96" s="399">
        <v>640</v>
      </c>
      <c r="K96" s="399"/>
      <c r="L96" s="399"/>
      <c r="M96" s="400">
        <f ca="1">IF(MAX(IF($B$6="No",ROUNDUP($B$3/$I96,0),ROUNDUP(($B$3+$I96)/$I96,0)),IF($B$6="No",ROUNDUP($B$4/$G96,0),ROUNDUP(($B$4+$G96)/$G96,0)),ROUNDUP('BVMS checklist'!$H$217/$J96,0))&gt;1,'BVMS checklist'!$H$224,'BVMS checklist'!$H$217)</f>
        <v>0</v>
      </c>
      <c r="N96" s="398">
        <f t="shared" ca="1" si="557"/>
        <v>2</v>
      </c>
      <c r="O96" s="400">
        <f t="shared" ref="O96:O159" ca="1" si="584">N96</f>
        <v>2</v>
      </c>
      <c r="P96" s="400">
        <f t="shared" ca="1" si="548"/>
        <v>5350</v>
      </c>
      <c r="Q96" s="400">
        <f t="shared" ca="1" si="549"/>
        <v>0</v>
      </c>
      <c r="R96" s="398">
        <f t="shared" ca="1" si="550"/>
        <v>387162</v>
      </c>
      <c r="S96" s="401" t="str">
        <f t="shared" ca="1" si="558"/>
        <v/>
      </c>
      <c r="T96" s="398">
        <f t="shared" ca="1" si="559"/>
        <v>1280</v>
      </c>
      <c r="U96" s="400">
        <f ca="1">IF(MAX(IF($B$6="No",ROUNDUP($B$3/$I96,0),ROUNDUP(($B$3+$I96)/$I96,0)),IF($B$6="No",ROUNDUP($B$4/$G96,0),ROUNDUP(($B$4+$G96)/$G96,0)),ROUNDUP('BVMS checklist'!$H$217/$J96,0))&gt;1,'BVMS checklist'!$H$224,'BVMS checklist'!$H$217)+MAX(IF($B$6="No",ROUNDUP($B$3/$I96,0),ROUNDUP(($B$3+$I96)/$I96,0)),IF($B$6="No",ROUNDUP($B$4/$G96,0),ROUNDUP(($B$4+$G96)/$G96,0)))+$B$5</f>
        <v>1</v>
      </c>
      <c r="V96" s="400" t="b">
        <f t="shared" ca="1" si="551"/>
        <v>1</v>
      </c>
      <c r="W96" s="400" t="str">
        <f t="shared" ref="W96:W159" ca="1" si="585">IF(OR(AND($B$6="Yes",V96=TRUE),$B$6="No"),"Accepted","Not accepted")</f>
        <v>Accepted</v>
      </c>
      <c r="X96" s="398" t="str">
        <f t="shared" ca="1" si="560"/>
        <v>No</v>
      </c>
      <c r="Y96" s="398" t="str">
        <f t="shared" ca="1" si="561"/>
        <v/>
      </c>
      <c r="Z96" s="398" t="str">
        <f t="shared" ca="1" si="562"/>
        <v/>
      </c>
      <c r="AA96" s="398">
        <f t="shared" ref="AA96:AA159" ca="1" si="586">IF(Z96&lt;&gt;"",AA95+1,AA95)</f>
        <v>6</v>
      </c>
      <c r="AB96" s="398">
        <f t="shared" ca="1" si="552"/>
        <v>2</v>
      </c>
      <c r="AC96" s="398">
        <f t="shared" ca="1" si="553"/>
        <v>448</v>
      </c>
      <c r="AD96" s="398">
        <f t="shared" ref="AD96:AD159" ca="1" si="587">R96</f>
        <v>387162</v>
      </c>
      <c r="AE96" s="399">
        <f t="shared" si="540"/>
        <v>0</v>
      </c>
      <c r="AF96" s="399">
        <f t="shared" si="541"/>
        <v>0</v>
      </c>
      <c r="AG96" s="483" t="str">
        <f t="shared" ca="1" si="563"/>
        <v/>
      </c>
      <c r="AH96" s="400">
        <f ca="1">IF(MAX(IF($C$6="No",ROUNDUP($C$3/$I96,0),ROUNDUP(($C$3+$I96)/$I96,0)),IF($C$6="No",ROUNDUP($C$4/$G96,0),ROUNDUP(($C$4+$G96)/$G96,0)),ROUNDUP('BVMS checklist'!$H$217/$J96,0))&gt;1,'BVMS checklist'!$J$224,'BVMS checklist'!$J$217)</f>
        <v>0</v>
      </c>
      <c r="AI96" s="398">
        <f t="shared" ca="1" si="564"/>
        <v>2</v>
      </c>
      <c r="AJ96" s="400">
        <f t="shared" ref="AJ96:AJ159" ca="1" si="588">AI96</f>
        <v>2</v>
      </c>
      <c r="AK96" s="400">
        <f t="shared" ref="AK96:AK159" ca="1" si="589">AJ96*$I96</f>
        <v>5350</v>
      </c>
      <c r="AL96" s="400">
        <f t="shared" ref="AL96:AL159" ca="1" si="590">IFERROR($C$3/AI96,"")</f>
        <v>0</v>
      </c>
      <c r="AM96" s="398">
        <f t="shared" ref="AM96:AM159" ca="1" si="591">$G96*AI96</f>
        <v>387162</v>
      </c>
      <c r="AN96" s="401" t="str">
        <f t="shared" ca="1" si="565"/>
        <v/>
      </c>
      <c r="AO96" s="398">
        <f t="shared" ref="AO96:AO159" ca="1" si="592">AI96*$J96</f>
        <v>1280</v>
      </c>
      <c r="AP96" s="400">
        <f ca="1">IF(MAX(IF($C$6="No",ROUNDUP($C$3/$I96,0),ROUNDUP(($C$3+$I96)/$I96,0)),IF($C$6="No",ROUNDUP($C$4/$G96,0),ROUNDUP(($C$4+$G96)/$G96,0)),ROUNDUP('BVMS checklist'!$H$217/$J96,0))&gt;1,'BVMS checklist'!$J$224,'BVMS checklist'!$J$217)+MAX(IF($C$6="No",ROUNDUP($C$3/$I96,0),ROUNDUP(($C$3+$I96)/$I96,0)),IF($C$6="No",ROUNDUP($C$4/$G96,0),ROUNDUP(($C$4+$G96)/$G96,0)))+$C$5</f>
        <v>1</v>
      </c>
      <c r="AQ96" s="400" t="b">
        <f t="shared" ca="1" si="554"/>
        <v>1</v>
      </c>
      <c r="AR96" s="400" t="str">
        <f t="shared" ref="AR96:AR159" ca="1" si="593">IF(OR(AND($C$6="Yes",AQ96=TRUE),$C$6="No"),"Accepted","Not accepted")</f>
        <v>Accepted</v>
      </c>
      <c r="AS96" s="398" t="str">
        <f t="shared" ca="1" si="579"/>
        <v>No</v>
      </c>
      <c r="AT96" s="398" t="str">
        <f t="shared" ref="AT96:AT159" ca="1" si="594">IF(AV95=AV96,"",AV96)</f>
        <v/>
      </c>
      <c r="AU96" s="398" t="str">
        <f t="shared" ca="1" si="566"/>
        <v/>
      </c>
      <c r="AV96" s="398">
        <f t="shared" ca="1" si="567"/>
        <v>6</v>
      </c>
      <c r="AW96" s="398">
        <f t="shared" ref="AW96:AW159" ca="1" si="595">AI96</f>
        <v>2</v>
      </c>
      <c r="AX96" s="398">
        <f t="shared" ref="AX96:AX159" ca="1" si="596">AI96*$H96</f>
        <v>448</v>
      </c>
      <c r="AY96" s="398">
        <f t="shared" ref="AY96:AY159" ca="1" si="597">AM96</f>
        <v>387162</v>
      </c>
      <c r="AZ96" s="399">
        <f t="shared" si="542"/>
        <v>0</v>
      </c>
      <c r="BA96" s="399">
        <f t="shared" si="543"/>
        <v>0</v>
      </c>
      <c r="BB96" s="483" t="str">
        <f t="shared" ca="1" si="568"/>
        <v/>
      </c>
      <c r="BC96" s="400">
        <f ca="1">IF(MAX(IF($D$6="No",ROUNDUP($D$3/$I96,0),ROUNDUP(($D$3+$I96)/$I96,0)),IF($D$6="No",ROUNDUP($D$4/$G96,0),ROUNDUP(($D$4+$G96)/$G96,0)),ROUNDUP('BVMS checklist'!$H$217/$J96,0))&gt;1,'BVMS checklist'!$L$224,'BVMS checklist'!$L$217)</f>
        <v>0</v>
      </c>
      <c r="BD96" s="398">
        <f t="shared" ca="1" si="569"/>
        <v>2</v>
      </c>
      <c r="BE96" s="400">
        <f t="shared" ref="BE96:BE159" si="598">MAX(IF($D$6="No",ROUNDUP($D$3/$I96,0),ROUNDUP(($D$3+$I96)/$I96,0)),IF($D$6="No",ROUNDUP($D$4/$G96,0),ROUNDUP(($D$4+$G96)/$G96,0)))</f>
        <v>1</v>
      </c>
      <c r="BF96" s="400">
        <f t="shared" ref="BF96:BF159" si="599">BE96*$I96</f>
        <v>2675</v>
      </c>
      <c r="BG96" s="400">
        <f t="shared" ca="1" si="580"/>
        <v>0</v>
      </c>
      <c r="BH96" s="398">
        <f t="shared" ref="BH96:BH159" ca="1" si="600">$G96*BD96</f>
        <v>387162</v>
      </c>
      <c r="BI96" s="401" t="str">
        <f t="shared" ca="1" si="570"/>
        <v/>
      </c>
      <c r="BJ96" s="398">
        <f t="shared" ref="BJ96:BJ159" ca="1" si="601">BD96*$J96</f>
        <v>1280</v>
      </c>
      <c r="BK96" s="400">
        <f ca="1">IF(MAX(IF($D$6="No",ROUNDUP($D$3/$I96,0),ROUNDUP(($D$3+$I96)/$I96,0)),IF($D$6="No",ROUNDUP($D$4/$G96,0),ROUNDUP(($D$4+$G96)/$G96,0)),ROUNDUP('BVMS checklist'!$H$217/$J96,0))&gt;1,'BVMS checklist'!$L$224,'BVMS checklist'!$L$217)+MAX(IF($D$6="No",ROUNDUP($D$3/$I96,0),ROUNDUP(($D$3+$I96)/$I96,0)),IF($D$6="No",ROUNDUP($D$4/$G96,0),ROUNDUP(($D$4+$G96)/$G96,0)))+$D$5</f>
        <v>1</v>
      </c>
      <c r="BL96" s="400" t="b">
        <f t="shared" ca="1" si="555"/>
        <v>1</v>
      </c>
      <c r="BM96" s="400" t="str">
        <f t="shared" ref="BM96:BM159" ca="1" si="602">IF(OR(AND($D$6="Yes",BL96=TRUE),$D$6="No"),"Accepted","Not accepted")</f>
        <v>Accepted</v>
      </c>
      <c r="BN96" s="398" t="str">
        <f t="shared" ca="1" si="581"/>
        <v>No</v>
      </c>
      <c r="BO96" s="398" t="str">
        <f t="shared" ref="BO96:BO159" ca="1" si="603">IF(BQ95=BQ96,"",BQ96)</f>
        <v/>
      </c>
      <c r="BP96" s="398" t="str">
        <f t="shared" ca="1" si="571"/>
        <v/>
      </c>
      <c r="BQ96" s="398">
        <f t="shared" ca="1" si="572"/>
        <v>6</v>
      </c>
      <c r="BR96" s="398">
        <f t="shared" ref="BR96:BR159" ca="1" si="604">BD96</f>
        <v>2</v>
      </c>
      <c r="BS96" s="398">
        <f t="shared" ref="BS96:BS159" ca="1" si="605">BD96*$H96</f>
        <v>448</v>
      </c>
      <c r="BT96" s="398">
        <f t="shared" ref="BT96:BT159" ca="1" si="606">BH96</f>
        <v>387162</v>
      </c>
      <c r="BU96" s="399">
        <f t="shared" si="544"/>
        <v>0</v>
      </c>
      <c r="BV96" s="399">
        <f t="shared" si="545"/>
        <v>0</v>
      </c>
      <c r="BW96" s="483" t="str">
        <f t="shared" ca="1" si="573"/>
        <v/>
      </c>
      <c r="BX96" s="400">
        <f ca="1">IF(MAX(IF($E$6="No",ROUNDUP($E$3/$I96,0),ROUNDUP(($E$3+$I96)/$I96,0)),IF($E$6="No",ROUNDUP($E$4/$G96,0),ROUNDUP(($E$4+$G96)/$G96,0)),ROUNDUP('BVMS checklist'!$H$217/$J96,0))&gt;1,'BVMS checklist'!$N$224,'BVMS checklist'!$N$217)</f>
        <v>0</v>
      </c>
      <c r="BY96" s="398">
        <f t="shared" ca="1" si="574"/>
        <v>2</v>
      </c>
      <c r="BZ96" s="400">
        <f t="shared" ref="BZ96:BZ159" ca="1" si="607">BY96</f>
        <v>2</v>
      </c>
      <c r="CA96" s="400">
        <f t="shared" ref="CA96:CA159" ca="1" si="608">BZ96*$I96</f>
        <v>5350</v>
      </c>
      <c r="CB96" s="400">
        <f t="shared" ca="1" si="582"/>
        <v>0</v>
      </c>
      <c r="CC96" s="398">
        <f t="shared" ref="CC96:CC159" ca="1" si="609">$G96*BY96</f>
        <v>387162</v>
      </c>
      <c r="CD96" s="401" t="str">
        <f t="shared" ca="1" si="575"/>
        <v/>
      </c>
      <c r="CE96" s="398">
        <f t="shared" ref="CE96:CE159" ca="1" si="610">BY96*$J96</f>
        <v>1280</v>
      </c>
      <c r="CF96" s="400">
        <f ca="1">IF(MAX(IF($E$6="No",ROUNDUP($E$3/$I96,0),ROUNDUP(($E$3+$I96)/$I96,0)),IF($E$6="No",ROUNDUP($E$4/$G96,0),ROUNDUP(($E$4+$G96)/$G96,0)),ROUNDUP('BVMS checklist'!$H$217/$J96,0))&gt;1,'BVMS checklist'!$N$224,'BVMS checklist'!$N$217)+MAX(IF($E$6="No",ROUNDUP($E$3/$I96,0),ROUNDUP(($E$3+$I96)/$I96,0)),IF($E$6="No",ROUNDUP($E$4/$G96,0),ROUNDUP(($E$4+$G96)/$G96,0)))+$E$5</f>
        <v>1</v>
      </c>
      <c r="CG96" s="400" t="b">
        <f t="shared" ca="1" si="556"/>
        <v>1</v>
      </c>
      <c r="CH96" s="400" t="str">
        <f t="shared" ref="CH96:CH159" ca="1" si="611">IF(OR(AND($E$6="Yes",CG96=TRUE),$E$6="No"),"Accepted","Not accepted")</f>
        <v>Accepted</v>
      </c>
      <c r="CI96" s="398" t="str">
        <f t="shared" ca="1" si="583"/>
        <v>No</v>
      </c>
      <c r="CJ96" s="398" t="str">
        <f t="shared" ref="CJ96:CJ159" ca="1" si="612">IF(CL95=CL96,"",CL96)</f>
        <v/>
      </c>
      <c r="CK96" s="398" t="str">
        <f t="shared" ca="1" si="576"/>
        <v/>
      </c>
      <c r="CL96" s="398">
        <f t="shared" ca="1" si="577"/>
        <v>6</v>
      </c>
      <c r="CM96" s="398">
        <f t="shared" ref="CM96:CM159" ca="1" si="613">BY96</f>
        <v>2</v>
      </c>
      <c r="CN96" s="398">
        <f t="shared" ref="CN96:CN159" ca="1" si="614">BY96*$H96</f>
        <v>448</v>
      </c>
      <c r="CO96" s="398">
        <f t="shared" ref="CO96:CO159" ca="1" si="615">CC96</f>
        <v>387162</v>
      </c>
      <c r="CP96" s="399">
        <f t="shared" si="546"/>
        <v>0</v>
      </c>
      <c r="CQ96" s="399">
        <f t="shared" si="547"/>
        <v>0</v>
      </c>
      <c r="CR96" s="483" t="str">
        <f t="shared" ca="1" si="578"/>
        <v/>
      </c>
      <c r="CS96"/>
    </row>
    <row r="97" spans="1:97">
      <c r="A97" s="398" t="s">
        <v>358</v>
      </c>
      <c r="B97" s="398" t="s">
        <v>987</v>
      </c>
      <c r="C97" s="440" t="s">
        <v>891</v>
      </c>
      <c r="D97" s="398">
        <v>2</v>
      </c>
      <c r="E97" s="398"/>
      <c r="F97" s="440">
        <v>0</v>
      </c>
      <c r="G97" s="398">
        <f>IF(C97="RAID5",(((15-F97)*3723))+(1*(((7-F97)*3723))),(((14-F97)*3723))+(1*(((6-F97)*3723))))</f>
        <v>81906</v>
      </c>
      <c r="H97" s="399">
        <v>96</v>
      </c>
      <c r="I97" s="399">
        <v>1025</v>
      </c>
      <c r="J97" s="399">
        <v>256</v>
      </c>
      <c r="K97" s="399"/>
      <c r="L97" s="399"/>
      <c r="M97" s="400">
        <f ca="1">IF(MAX(IF($B$6="No",ROUNDUP($B$3/$I97,0),ROUNDUP(($B$3+$I97)/$I97,0)),IF($B$6="No",ROUNDUP($B$4/$G97,0),ROUNDUP(($B$4+$G97)/$G97,0)),ROUNDUP('BVMS checklist'!$H$217/$J97,0))&gt;1,'BVMS checklist'!$H$224,'BVMS checklist'!$H$217)</f>
        <v>0</v>
      </c>
      <c r="N97" s="398">
        <f t="shared" ca="1" si="557"/>
        <v>2</v>
      </c>
      <c r="O97" s="400">
        <f t="shared" ca="1" si="584"/>
        <v>2</v>
      </c>
      <c r="P97" s="400">
        <f t="shared" ca="1" si="548"/>
        <v>2050</v>
      </c>
      <c r="Q97" s="400">
        <f t="shared" ca="1" si="549"/>
        <v>0</v>
      </c>
      <c r="R97" s="398">
        <f t="shared" ca="1" si="550"/>
        <v>163812</v>
      </c>
      <c r="S97" s="401" t="str">
        <f t="shared" ca="1" si="558"/>
        <v/>
      </c>
      <c r="T97" s="398">
        <f t="shared" ca="1" si="559"/>
        <v>512</v>
      </c>
      <c r="U97" s="400">
        <f ca="1">IF(MAX(IF($B$6="No",ROUNDUP($B$3/$I97,0),ROUNDUP(($B$3+$I97)/$I97,0)),IF($B$6="No",ROUNDUP($B$4/$G97,0),ROUNDUP(($B$4+$G97)/$G97,0)),ROUNDUP('BVMS checklist'!$H$217/$J97,0))&gt;1,'BVMS checklist'!$H$224,'BVMS checklist'!$H$217)+MAX(IF($B$6="No",ROUNDUP($B$3/$I97,0),ROUNDUP(($B$3+$I97)/$I97,0)),IF($B$6="No",ROUNDUP($B$4/$G97,0),ROUNDUP(($B$4+$G97)/$G97,0)))+$B$5</f>
        <v>1</v>
      </c>
      <c r="V97" s="400" t="b">
        <f t="shared" ca="1" si="551"/>
        <v>1</v>
      </c>
      <c r="W97" s="400" t="str">
        <f t="shared" ca="1" si="585"/>
        <v>Accepted</v>
      </c>
      <c r="X97" s="398" t="str">
        <f t="shared" ca="1" si="560"/>
        <v>No</v>
      </c>
      <c r="Y97" s="398" t="str">
        <f t="shared" ca="1" si="561"/>
        <v/>
      </c>
      <c r="Z97" s="398" t="str">
        <f t="shared" ca="1" si="562"/>
        <v/>
      </c>
      <c r="AA97" s="398">
        <f t="shared" ca="1" si="586"/>
        <v>6</v>
      </c>
      <c r="AB97" s="398">
        <f t="shared" ca="1" si="552"/>
        <v>2</v>
      </c>
      <c r="AC97" s="398">
        <f t="shared" ca="1" si="553"/>
        <v>192</v>
      </c>
      <c r="AD97" s="398">
        <f t="shared" ca="1" si="587"/>
        <v>163812</v>
      </c>
      <c r="AE97" s="399">
        <f t="shared" si="540"/>
        <v>0</v>
      </c>
      <c r="AF97" s="399">
        <f t="shared" si="541"/>
        <v>0</v>
      </c>
      <c r="AG97" s="483" t="str">
        <f t="shared" ca="1" si="563"/>
        <v/>
      </c>
      <c r="AH97" s="400">
        <f ca="1">IF(MAX(IF($C$6="No",ROUNDUP($C$3/$I97,0),ROUNDUP(($C$3+$I97)/$I97,0)),IF($C$6="No",ROUNDUP($C$4/$G97,0),ROUNDUP(($C$4+$G97)/$G97,0)),ROUNDUP('BVMS checklist'!$H$217/$J97,0))&gt;1,'BVMS checklist'!$J$224,'BVMS checklist'!$J$217)</f>
        <v>0</v>
      </c>
      <c r="AI97" s="398">
        <f t="shared" ca="1" si="564"/>
        <v>2</v>
      </c>
      <c r="AJ97" s="400">
        <f t="shared" ca="1" si="588"/>
        <v>2</v>
      </c>
      <c r="AK97" s="400">
        <f t="shared" ca="1" si="589"/>
        <v>2050</v>
      </c>
      <c r="AL97" s="400">
        <f t="shared" ca="1" si="590"/>
        <v>0</v>
      </c>
      <c r="AM97" s="398">
        <f t="shared" ca="1" si="591"/>
        <v>163812</v>
      </c>
      <c r="AN97" s="401" t="str">
        <f t="shared" ca="1" si="565"/>
        <v/>
      </c>
      <c r="AO97" s="398">
        <f t="shared" ca="1" si="592"/>
        <v>512</v>
      </c>
      <c r="AP97" s="400">
        <f ca="1">IF(MAX(IF($C$6="No",ROUNDUP($C$3/$I97,0),ROUNDUP(($C$3+$I97)/$I97,0)),IF($C$6="No",ROUNDUP($C$4/$G97,0),ROUNDUP(($C$4+$G97)/$G97,0)),ROUNDUP('BVMS checklist'!$H$217/$J97,0))&gt;1,'BVMS checklist'!$J$224,'BVMS checklist'!$J$217)+MAX(IF($C$6="No",ROUNDUP($C$3/$I97,0),ROUNDUP(($C$3+$I97)/$I97,0)),IF($C$6="No",ROUNDUP($C$4/$G97,0),ROUNDUP(($C$4+$G97)/$G97,0)))+$C$5</f>
        <v>1</v>
      </c>
      <c r="AQ97" s="400" t="b">
        <f t="shared" ca="1" si="554"/>
        <v>1</v>
      </c>
      <c r="AR97" s="400" t="str">
        <f t="shared" ca="1" si="593"/>
        <v>Accepted</v>
      </c>
      <c r="AS97" s="398" t="str">
        <f t="shared" ca="1" si="579"/>
        <v>No</v>
      </c>
      <c r="AT97" s="398" t="str">
        <f t="shared" ca="1" si="594"/>
        <v/>
      </c>
      <c r="AU97" s="398" t="str">
        <f t="shared" ca="1" si="566"/>
        <v/>
      </c>
      <c r="AV97" s="398">
        <f t="shared" ca="1" si="567"/>
        <v>6</v>
      </c>
      <c r="AW97" s="398">
        <f t="shared" ca="1" si="595"/>
        <v>2</v>
      </c>
      <c r="AX97" s="398">
        <f t="shared" ca="1" si="596"/>
        <v>192</v>
      </c>
      <c r="AY97" s="398">
        <f t="shared" ca="1" si="597"/>
        <v>163812</v>
      </c>
      <c r="AZ97" s="399">
        <f t="shared" si="542"/>
        <v>0</v>
      </c>
      <c r="BA97" s="399">
        <f t="shared" si="543"/>
        <v>0</v>
      </c>
      <c r="BB97" s="483" t="str">
        <f t="shared" ca="1" si="568"/>
        <v/>
      </c>
      <c r="BC97" s="400">
        <f ca="1">IF(MAX(IF($D$6="No",ROUNDUP($D$3/$I97,0),ROUNDUP(($D$3+$I97)/$I97,0)),IF($D$6="No",ROUNDUP($D$4/$G97,0),ROUNDUP(($D$4+$G97)/$G97,0)),ROUNDUP('BVMS checklist'!$H$217/$J97,0))&gt;1,'BVMS checklist'!$L$224,'BVMS checklist'!$L$217)</f>
        <v>0</v>
      </c>
      <c r="BD97" s="398">
        <f t="shared" ca="1" si="569"/>
        <v>2</v>
      </c>
      <c r="BE97" s="400">
        <f t="shared" si="598"/>
        <v>1</v>
      </c>
      <c r="BF97" s="400">
        <f t="shared" si="599"/>
        <v>1025</v>
      </c>
      <c r="BG97" s="400">
        <f t="shared" ca="1" si="580"/>
        <v>0</v>
      </c>
      <c r="BH97" s="398">
        <f t="shared" ca="1" si="600"/>
        <v>163812</v>
      </c>
      <c r="BI97" s="401" t="str">
        <f t="shared" ca="1" si="570"/>
        <v/>
      </c>
      <c r="BJ97" s="398">
        <f t="shared" ca="1" si="601"/>
        <v>512</v>
      </c>
      <c r="BK97" s="400">
        <f ca="1">IF(MAX(IF($D$6="No",ROUNDUP($D$3/$I97,0),ROUNDUP(($D$3+$I97)/$I97,0)),IF($D$6="No",ROUNDUP($D$4/$G97,0),ROUNDUP(($D$4+$G97)/$G97,0)),ROUNDUP('BVMS checklist'!$H$217/$J97,0))&gt;1,'BVMS checklist'!$L$224,'BVMS checklist'!$L$217)+MAX(IF($D$6="No",ROUNDUP($D$3/$I97,0),ROUNDUP(($D$3+$I97)/$I97,0)),IF($D$6="No",ROUNDUP($D$4/$G97,0),ROUNDUP(($D$4+$G97)/$G97,0)))+$D$5</f>
        <v>1</v>
      </c>
      <c r="BL97" s="400" t="b">
        <f t="shared" ca="1" si="555"/>
        <v>1</v>
      </c>
      <c r="BM97" s="400" t="str">
        <f t="shared" ca="1" si="602"/>
        <v>Accepted</v>
      </c>
      <c r="BN97" s="398" t="str">
        <f t="shared" ca="1" si="581"/>
        <v>No</v>
      </c>
      <c r="BO97" s="398" t="str">
        <f t="shared" ca="1" si="603"/>
        <v/>
      </c>
      <c r="BP97" s="398" t="str">
        <f t="shared" ca="1" si="571"/>
        <v/>
      </c>
      <c r="BQ97" s="398">
        <f t="shared" ca="1" si="572"/>
        <v>6</v>
      </c>
      <c r="BR97" s="398">
        <f t="shared" ca="1" si="604"/>
        <v>2</v>
      </c>
      <c r="BS97" s="398">
        <f t="shared" ca="1" si="605"/>
        <v>192</v>
      </c>
      <c r="BT97" s="398">
        <f t="shared" ca="1" si="606"/>
        <v>163812</v>
      </c>
      <c r="BU97" s="399">
        <f t="shared" si="544"/>
        <v>0</v>
      </c>
      <c r="BV97" s="399">
        <f t="shared" si="545"/>
        <v>0</v>
      </c>
      <c r="BW97" s="483" t="str">
        <f t="shared" ca="1" si="573"/>
        <v/>
      </c>
      <c r="BX97" s="400">
        <f ca="1">IF(MAX(IF($E$6="No",ROUNDUP($E$3/$I97,0),ROUNDUP(($E$3+$I97)/$I97,0)),IF($E$6="No",ROUNDUP($E$4/$G97,0),ROUNDUP(($E$4+$G97)/$G97,0)),ROUNDUP('BVMS checklist'!$H$217/$J97,0))&gt;1,'BVMS checklist'!$N$224,'BVMS checklist'!$N$217)</f>
        <v>0</v>
      </c>
      <c r="BY97" s="398">
        <f t="shared" ca="1" si="574"/>
        <v>2</v>
      </c>
      <c r="BZ97" s="400">
        <f t="shared" ca="1" si="607"/>
        <v>2</v>
      </c>
      <c r="CA97" s="400">
        <f t="shared" ca="1" si="608"/>
        <v>2050</v>
      </c>
      <c r="CB97" s="400">
        <f t="shared" ca="1" si="582"/>
        <v>0</v>
      </c>
      <c r="CC97" s="398">
        <f t="shared" ca="1" si="609"/>
        <v>163812</v>
      </c>
      <c r="CD97" s="401" t="str">
        <f t="shared" ca="1" si="575"/>
        <v/>
      </c>
      <c r="CE97" s="398">
        <f t="shared" ca="1" si="610"/>
        <v>512</v>
      </c>
      <c r="CF97" s="400">
        <f ca="1">IF(MAX(IF($E$6="No",ROUNDUP($E$3/$I97,0),ROUNDUP(($E$3+$I97)/$I97,0)),IF($E$6="No",ROUNDUP($E$4/$G97,0),ROUNDUP(($E$4+$G97)/$G97,0)),ROUNDUP('BVMS checklist'!$H$217/$J97,0))&gt;1,'BVMS checklist'!$N$224,'BVMS checklist'!$N$217)+MAX(IF($E$6="No",ROUNDUP($E$3/$I97,0),ROUNDUP(($E$3+$I97)/$I97,0)),IF($E$6="No",ROUNDUP($E$4/$G97,0),ROUNDUP(($E$4+$G97)/$G97,0)))+$E$5</f>
        <v>1</v>
      </c>
      <c r="CG97" s="400" t="b">
        <f t="shared" ca="1" si="556"/>
        <v>1</v>
      </c>
      <c r="CH97" s="400" t="str">
        <f t="shared" ca="1" si="611"/>
        <v>Accepted</v>
      </c>
      <c r="CI97" s="398" t="str">
        <f t="shared" ca="1" si="583"/>
        <v>No</v>
      </c>
      <c r="CJ97" s="398" t="str">
        <f t="shared" ca="1" si="612"/>
        <v/>
      </c>
      <c r="CK97" s="398" t="str">
        <f t="shared" ca="1" si="576"/>
        <v/>
      </c>
      <c r="CL97" s="398">
        <f t="shared" ca="1" si="577"/>
        <v>6</v>
      </c>
      <c r="CM97" s="398">
        <f t="shared" ca="1" si="613"/>
        <v>2</v>
      </c>
      <c r="CN97" s="398">
        <f t="shared" ca="1" si="614"/>
        <v>192</v>
      </c>
      <c r="CO97" s="398">
        <f t="shared" ca="1" si="615"/>
        <v>163812</v>
      </c>
      <c r="CP97" s="399">
        <f t="shared" si="546"/>
        <v>0</v>
      </c>
      <c r="CQ97" s="399">
        <f t="shared" si="547"/>
        <v>0</v>
      </c>
      <c r="CR97" s="483" t="str">
        <f t="shared" ca="1" si="578"/>
        <v/>
      </c>
      <c r="CS97"/>
    </row>
    <row r="98" spans="1:97">
      <c r="A98" s="398" t="s">
        <v>359</v>
      </c>
      <c r="B98" s="398" t="s">
        <v>987</v>
      </c>
      <c r="C98" s="440" t="s">
        <v>891</v>
      </c>
      <c r="D98" s="398">
        <v>3</v>
      </c>
      <c r="E98" s="398"/>
      <c r="F98" s="440">
        <v>0</v>
      </c>
      <c r="G98" s="398">
        <f>IF(C98="RAID5",(((15-F98)*3723))+(2*(((7-F98)*3723))),(((14-F98)*3723))+(2*(((6-F98)*3723))))</f>
        <v>107967</v>
      </c>
      <c r="H98" s="399">
        <v>128</v>
      </c>
      <c r="I98" s="399">
        <v>1575</v>
      </c>
      <c r="J98" s="399">
        <v>384</v>
      </c>
      <c r="K98" s="399"/>
      <c r="L98" s="399"/>
      <c r="M98" s="400">
        <f ca="1">IF(MAX(IF($B$6="No",ROUNDUP($B$3/$I98,0),ROUNDUP(($B$3+$I98)/$I98,0)),IF($B$6="No",ROUNDUP($B$4/$G98,0),ROUNDUP(($B$4+$G98)/$G98,0)),ROUNDUP('BVMS checklist'!$H$217/$J98,0))&gt;1,'BVMS checklist'!$H$224,'BVMS checklist'!$H$217)</f>
        <v>0</v>
      </c>
      <c r="N98" s="398">
        <f t="shared" ca="1" si="557"/>
        <v>2</v>
      </c>
      <c r="O98" s="400">
        <f t="shared" ca="1" si="584"/>
        <v>2</v>
      </c>
      <c r="P98" s="400">
        <f t="shared" ca="1" si="548"/>
        <v>3150</v>
      </c>
      <c r="Q98" s="400">
        <f t="shared" ca="1" si="549"/>
        <v>0</v>
      </c>
      <c r="R98" s="398">
        <f t="shared" ca="1" si="550"/>
        <v>215934</v>
      </c>
      <c r="S98" s="401" t="str">
        <f t="shared" ca="1" si="558"/>
        <v/>
      </c>
      <c r="T98" s="398">
        <f t="shared" ca="1" si="559"/>
        <v>768</v>
      </c>
      <c r="U98" s="400">
        <f ca="1">IF(MAX(IF($B$6="No",ROUNDUP($B$3/$I98,0),ROUNDUP(($B$3+$I98)/$I98,0)),IF($B$6="No",ROUNDUP($B$4/$G98,0),ROUNDUP(($B$4+$G98)/$G98,0)),ROUNDUP('BVMS checklist'!$H$217/$J98,0))&gt;1,'BVMS checklist'!$H$224,'BVMS checklist'!$H$217)+MAX(IF($B$6="No",ROUNDUP($B$3/$I98,0),ROUNDUP(($B$3+$I98)/$I98,0)),IF($B$6="No",ROUNDUP($B$4/$G98,0),ROUNDUP(($B$4+$G98)/$G98,0)))+$B$5</f>
        <v>1</v>
      </c>
      <c r="V98" s="400" t="b">
        <f t="shared" ca="1" si="551"/>
        <v>1</v>
      </c>
      <c r="W98" s="400" t="str">
        <f t="shared" ca="1" si="585"/>
        <v>Accepted</v>
      </c>
      <c r="X98" s="398" t="str">
        <f t="shared" ca="1" si="560"/>
        <v>No</v>
      </c>
      <c r="Y98" s="398" t="str">
        <f t="shared" ca="1" si="561"/>
        <v/>
      </c>
      <c r="Z98" s="398" t="str">
        <f t="shared" ca="1" si="562"/>
        <v/>
      </c>
      <c r="AA98" s="398">
        <f t="shared" ca="1" si="586"/>
        <v>6</v>
      </c>
      <c r="AB98" s="398">
        <f t="shared" ca="1" si="552"/>
        <v>2</v>
      </c>
      <c r="AC98" s="398">
        <f t="shared" ca="1" si="553"/>
        <v>256</v>
      </c>
      <c r="AD98" s="398">
        <f t="shared" ca="1" si="587"/>
        <v>215934</v>
      </c>
      <c r="AE98" s="399">
        <f t="shared" si="540"/>
        <v>0</v>
      </c>
      <c r="AF98" s="399">
        <f t="shared" si="541"/>
        <v>0</v>
      </c>
      <c r="AG98" s="483" t="str">
        <f t="shared" ca="1" si="563"/>
        <v/>
      </c>
      <c r="AH98" s="400">
        <f ca="1">IF(MAX(IF($C$6="No",ROUNDUP($C$3/$I98,0),ROUNDUP(($C$3+$I98)/$I98,0)),IF($C$6="No",ROUNDUP($C$4/$G98,0),ROUNDUP(($C$4+$G98)/$G98,0)),ROUNDUP('BVMS checklist'!$H$217/$J98,0))&gt;1,'BVMS checklist'!$J$224,'BVMS checklist'!$J$217)</f>
        <v>0</v>
      </c>
      <c r="AI98" s="398">
        <f t="shared" ca="1" si="564"/>
        <v>2</v>
      </c>
      <c r="AJ98" s="400">
        <f t="shared" ca="1" si="588"/>
        <v>2</v>
      </c>
      <c r="AK98" s="400">
        <f t="shared" ca="1" si="589"/>
        <v>3150</v>
      </c>
      <c r="AL98" s="400">
        <f t="shared" ca="1" si="590"/>
        <v>0</v>
      </c>
      <c r="AM98" s="398">
        <f t="shared" ca="1" si="591"/>
        <v>215934</v>
      </c>
      <c r="AN98" s="401" t="str">
        <f t="shared" ca="1" si="565"/>
        <v/>
      </c>
      <c r="AO98" s="398">
        <f t="shared" ca="1" si="592"/>
        <v>768</v>
      </c>
      <c r="AP98" s="400">
        <f ca="1">IF(MAX(IF($C$6="No",ROUNDUP($C$3/$I98,0),ROUNDUP(($C$3+$I98)/$I98,0)),IF($C$6="No",ROUNDUP($C$4/$G98,0),ROUNDUP(($C$4+$G98)/$G98,0)),ROUNDUP('BVMS checklist'!$H$217/$J98,0))&gt;1,'BVMS checklist'!$J$224,'BVMS checklist'!$J$217)+MAX(IF($C$6="No",ROUNDUP($C$3/$I98,0),ROUNDUP(($C$3+$I98)/$I98,0)),IF($C$6="No",ROUNDUP($C$4/$G98,0),ROUNDUP(($C$4+$G98)/$G98,0)))+$C$5</f>
        <v>1</v>
      </c>
      <c r="AQ98" s="400" t="b">
        <f t="shared" ca="1" si="554"/>
        <v>1</v>
      </c>
      <c r="AR98" s="400" t="str">
        <f t="shared" ca="1" si="593"/>
        <v>Accepted</v>
      </c>
      <c r="AS98" s="398" t="str">
        <f t="shared" ca="1" si="579"/>
        <v>No</v>
      </c>
      <c r="AT98" s="398" t="str">
        <f t="shared" ca="1" si="594"/>
        <v/>
      </c>
      <c r="AU98" s="398" t="str">
        <f t="shared" ca="1" si="566"/>
        <v/>
      </c>
      <c r="AV98" s="398">
        <f t="shared" ca="1" si="567"/>
        <v>6</v>
      </c>
      <c r="AW98" s="398">
        <f t="shared" ca="1" si="595"/>
        <v>2</v>
      </c>
      <c r="AX98" s="398">
        <f t="shared" ca="1" si="596"/>
        <v>256</v>
      </c>
      <c r="AY98" s="398">
        <f t="shared" ca="1" si="597"/>
        <v>215934</v>
      </c>
      <c r="AZ98" s="399">
        <f t="shared" si="542"/>
        <v>0</v>
      </c>
      <c r="BA98" s="399">
        <f t="shared" si="543"/>
        <v>0</v>
      </c>
      <c r="BB98" s="483" t="str">
        <f t="shared" ca="1" si="568"/>
        <v/>
      </c>
      <c r="BC98" s="400">
        <f ca="1">IF(MAX(IF($D$6="No",ROUNDUP($D$3/$I98,0),ROUNDUP(($D$3+$I98)/$I98,0)),IF($D$6="No",ROUNDUP($D$4/$G98,0),ROUNDUP(($D$4+$G98)/$G98,0)),ROUNDUP('BVMS checklist'!$H$217/$J98,0))&gt;1,'BVMS checklist'!$L$224,'BVMS checklist'!$L$217)</f>
        <v>0</v>
      </c>
      <c r="BD98" s="398">
        <f t="shared" ca="1" si="569"/>
        <v>2</v>
      </c>
      <c r="BE98" s="400">
        <f t="shared" si="598"/>
        <v>1</v>
      </c>
      <c r="BF98" s="400">
        <f t="shared" si="599"/>
        <v>1575</v>
      </c>
      <c r="BG98" s="400">
        <f t="shared" ca="1" si="580"/>
        <v>0</v>
      </c>
      <c r="BH98" s="398">
        <f t="shared" ca="1" si="600"/>
        <v>215934</v>
      </c>
      <c r="BI98" s="401" t="str">
        <f t="shared" ca="1" si="570"/>
        <v/>
      </c>
      <c r="BJ98" s="398">
        <f t="shared" ca="1" si="601"/>
        <v>768</v>
      </c>
      <c r="BK98" s="400">
        <f ca="1">IF(MAX(IF($D$6="No",ROUNDUP($D$3/$I98,0),ROUNDUP(($D$3+$I98)/$I98,0)),IF($D$6="No",ROUNDUP($D$4/$G98,0),ROUNDUP(($D$4+$G98)/$G98,0)),ROUNDUP('BVMS checklist'!$H$217/$J98,0))&gt;1,'BVMS checklist'!$L$224,'BVMS checklist'!$L$217)+MAX(IF($D$6="No",ROUNDUP($D$3/$I98,0),ROUNDUP(($D$3+$I98)/$I98,0)),IF($D$6="No",ROUNDUP($D$4/$G98,0),ROUNDUP(($D$4+$G98)/$G98,0)))+$D$5</f>
        <v>1</v>
      </c>
      <c r="BL98" s="400" t="b">
        <f t="shared" ca="1" si="555"/>
        <v>1</v>
      </c>
      <c r="BM98" s="400" t="str">
        <f t="shared" ca="1" si="602"/>
        <v>Accepted</v>
      </c>
      <c r="BN98" s="398" t="str">
        <f t="shared" ca="1" si="581"/>
        <v>No</v>
      </c>
      <c r="BO98" s="398" t="str">
        <f t="shared" ca="1" si="603"/>
        <v/>
      </c>
      <c r="BP98" s="398" t="str">
        <f t="shared" ca="1" si="571"/>
        <v/>
      </c>
      <c r="BQ98" s="398">
        <f t="shared" ca="1" si="572"/>
        <v>6</v>
      </c>
      <c r="BR98" s="398">
        <f t="shared" ca="1" si="604"/>
        <v>2</v>
      </c>
      <c r="BS98" s="398">
        <f t="shared" ca="1" si="605"/>
        <v>256</v>
      </c>
      <c r="BT98" s="398">
        <f t="shared" ca="1" si="606"/>
        <v>215934</v>
      </c>
      <c r="BU98" s="399">
        <f t="shared" si="544"/>
        <v>0</v>
      </c>
      <c r="BV98" s="399">
        <f t="shared" si="545"/>
        <v>0</v>
      </c>
      <c r="BW98" s="483" t="str">
        <f t="shared" ca="1" si="573"/>
        <v/>
      </c>
      <c r="BX98" s="400">
        <f ca="1">IF(MAX(IF($E$6="No",ROUNDUP($E$3/$I98,0),ROUNDUP(($E$3+$I98)/$I98,0)),IF($E$6="No",ROUNDUP($E$4/$G98,0),ROUNDUP(($E$4+$G98)/$G98,0)),ROUNDUP('BVMS checklist'!$H$217/$J98,0))&gt;1,'BVMS checklist'!$N$224,'BVMS checklist'!$N$217)</f>
        <v>0</v>
      </c>
      <c r="BY98" s="398">
        <f t="shared" ca="1" si="574"/>
        <v>2</v>
      </c>
      <c r="BZ98" s="400">
        <f t="shared" ca="1" si="607"/>
        <v>2</v>
      </c>
      <c r="CA98" s="400">
        <f t="shared" ca="1" si="608"/>
        <v>3150</v>
      </c>
      <c r="CB98" s="400">
        <f t="shared" ca="1" si="582"/>
        <v>0</v>
      </c>
      <c r="CC98" s="398">
        <f t="shared" ca="1" si="609"/>
        <v>215934</v>
      </c>
      <c r="CD98" s="401" t="str">
        <f t="shared" ca="1" si="575"/>
        <v/>
      </c>
      <c r="CE98" s="398">
        <f t="shared" ca="1" si="610"/>
        <v>768</v>
      </c>
      <c r="CF98" s="400">
        <f ca="1">IF(MAX(IF($E$6="No",ROUNDUP($E$3/$I98,0),ROUNDUP(($E$3+$I98)/$I98,0)),IF($E$6="No",ROUNDUP($E$4/$G98,0),ROUNDUP(($E$4+$G98)/$G98,0)),ROUNDUP('BVMS checklist'!$H$217/$J98,0))&gt;1,'BVMS checklist'!$N$224,'BVMS checklist'!$N$217)+MAX(IF($E$6="No",ROUNDUP($E$3/$I98,0),ROUNDUP(($E$3+$I98)/$I98,0)),IF($E$6="No",ROUNDUP($E$4/$G98,0),ROUNDUP(($E$4+$G98)/$G98,0)))+$E$5</f>
        <v>1</v>
      </c>
      <c r="CG98" s="400" t="b">
        <f t="shared" ca="1" si="556"/>
        <v>1</v>
      </c>
      <c r="CH98" s="400" t="str">
        <f t="shared" ca="1" si="611"/>
        <v>Accepted</v>
      </c>
      <c r="CI98" s="398" t="str">
        <f t="shared" ca="1" si="583"/>
        <v>No</v>
      </c>
      <c r="CJ98" s="398" t="str">
        <f t="shared" ca="1" si="612"/>
        <v/>
      </c>
      <c r="CK98" s="398" t="str">
        <f t="shared" ca="1" si="576"/>
        <v/>
      </c>
      <c r="CL98" s="398">
        <f t="shared" ca="1" si="577"/>
        <v>6</v>
      </c>
      <c r="CM98" s="398">
        <f t="shared" ca="1" si="613"/>
        <v>2</v>
      </c>
      <c r="CN98" s="398">
        <f t="shared" ca="1" si="614"/>
        <v>256</v>
      </c>
      <c r="CO98" s="398">
        <f t="shared" ca="1" si="615"/>
        <v>215934</v>
      </c>
      <c r="CP98" s="399">
        <f t="shared" si="546"/>
        <v>0</v>
      </c>
      <c r="CQ98" s="399">
        <f t="shared" si="547"/>
        <v>0</v>
      </c>
      <c r="CR98" s="483" t="str">
        <f t="shared" ca="1" si="578"/>
        <v/>
      </c>
      <c r="CS98"/>
    </row>
    <row r="99" spans="1:97">
      <c r="A99" s="398" t="s">
        <v>360</v>
      </c>
      <c r="B99" s="398" t="s">
        <v>987</v>
      </c>
      <c r="C99" s="440" t="s">
        <v>891</v>
      </c>
      <c r="D99" s="398">
        <v>4</v>
      </c>
      <c r="E99" s="398"/>
      <c r="F99" s="440">
        <v>0</v>
      </c>
      <c r="G99" s="398">
        <f>IF(C99="RAID5",(((15-F99)*3723))+(3*(((7-F99)*3723))),(((14-F99)*3723))+(3*(((6-F99)*3723))))</f>
        <v>134028</v>
      </c>
      <c r="H99" s="399">
        <v>160</v>
      </c>
      <c r="I99" s="399">
        <v>2125</v>
      </c>
      <c r="J99" s="399">
        <v>512</v>
      </c>
      <c r="K99" s="399"/>
      <c r="L99" s="399"/>
      <c r="M99" s="400">
        <f ca="1">IF(MAX(IF($B$6="No",ROUNDUP($B$3/$I99,0),ROUNDUP(($B$3+$I99)/$I99,0)),IF($B$6="No",ROUNDUP($B$4/$G99,0),ROUNDUP(($B$4+$G99)/$G99,0)),ROUNDUP('BVMS checklist'!$H$217/$J99,0))&gt;1,'BVMS checklist'!$H$224,'BVMS checklist'!$H$217)</f>
        <v>0</v>
      </c>
      <c r="N99" s="398">
        <f t="shared" ca="1" si="557"/>
        <v>2</v>
      </c>
      <c r="O99" s="400">
        <f t="shared" ca="1" si="584"/>
        <v>2</v>
      </c>
      <c r="P99" s="400">
        <f t="shared" ca="1" si="548"/>
        <v>4250</v>
      </c>
      <c r="Q99" s="400">
        <f t="shared" ca="1" si="549"/>
        <v>0</v>
      </c>
      <c r="R99" s="398">
        <f t="shared" ca="1" si="550"/>
        <v>268056</v>
      </c>
      <c r="S99" s="401" t="str">
        <f t="shared" ca="1" si="558"/>
        <v/>
      </c>
      <c r="T99" s="398">
        <f t="shared" ca="1" si="559"/>
        <v>1024</v>
      </c>
      <c r="U99" s="400">
        <f ca="1">IF(MAX(IF($B$6="No",ROUNDUP($B$3/$I99,0),ROUNDUP(($B$3+$I99)/$I99,0)),IF($B$6="No",ROUNDUP($B$4/$G99,0),ROUNDUP(($B$4+$G99)/$G99,0)),ROUNDUP('BVMS checklist'!$H$217/$J99,0))&gt;1,'BVMS checklist'!$H$224,'BVMS checklist'!$H$217)+MAX(IF($B$6="No",ROUNDUP($B$3/$I99,0),ROUNDUP(($B$3+$I99)/$I99,0)),IF($B$6="No",ROUNDUP($B$4/$G99,0),ROUNDUP(($B$4+$G99)/$G99,0)))+$B$5</f>
        <v>1</v>
      </c>
      <c r="V99" s="400" t="b">
        <f t="shared" ca="1" si="551"/>
        <v>1</v>
      </c>
      <c r="W99" s="400" t="str">
        <f t="shared" ca="1" si="585"/>
        <v>Accepted</v>
      </c>
      <c r="X99" s="398" t="str">
        <f t="shared" ca="1" si="560"/>
        <v>No</v>
      </c>
      <c r="Y99" s="398" t="str">
        <f t="shared" ca="1" si="561"/>
        <v/>
      </c>
      <c r="Z99" s="398" t="str">
        <f t="shared" ca="1" si="562"/>
        <v/>
      </c>
      <c r="AA99" s="398">
        <f t="shared" ca="1" si="586"/>
        <v>6</v>
      </c>
      <c r="AB99" s="398">
        <f t="shared" ca="1" si="552"/>
        <v>2</v>
      </c>
      <c r="AC99" s="398">
        <f t="shared" ca="1" si="553"/>
        <v>320</v>
      </c>
      <c r="AD99" s="398">
        <f t="shared" ca="1" si="587"/>
        <v>268056</v>
      </c>
      <c r="AE99" s="399">
        <f t="shared" si="540"/>
        <v>0</v>
      </c>
      <c r="AF99" s="399">
        <f t="shared" si="541"/>
        <v>0</v>
      </c>
      <c r="AG99" s="483" t="str">
        <f t="shared" ca="1" si="563"/>
        <v/>
      </c>
      <c r="AH99" s="400">
        <f ca="1">IF(MAX(IF($C$6="No",ROUNDUP($C$3/$I99,0),ROUNDUP(($C$3+$I99)/$I99,0)),IF($C$6="No",ROUNDUP($C$4/$G99,0),ROUNDUP(($C$4+$G99)/$G99,0)),ROUNDUP('BVMS checklist'!$H$217/$J99,0))&gt;1,'BVMS checklist'!$J$224,'BVMS checklist'!$J$217)</f>
        <v>0</v>
      </c>
      <c r="AI99" s="398">
        <f t="shared" ca="1" si="564"/>
        <v>2</v>
      </c>
      <c r="AJ99" s="400">
        <f t="shared" ca="1" si="588"/>
        <v>2</v>
      </c>
      <c r="AK99" s="400">
        <f t="shared" ca="1" si="589"/>
        <v>4250</v>
      </c>
      <c r="AL99" s="400">
        <f t="shared" ca="1" si="590"/>
        <v>0</v>
      </c>
      <c r="AM99" s="398">
        <f t="shared" ca="1" si="591"/>
        <v>268056</v>
      </c>
      <c r="AN99" s="401" t="str">
        <f t="shared" ca="1" si="565"/>
        <v/>
      </c>
      <c r="AO99" s="398">
        <f t="shared" ca="1" si="592"/>
        <v>1024</v>
      </c>
      <c r="AP99" s="400">
        <f ca="1">IF(MAX(IF($C$6="No",ROUNDUP($C$3/$I99,0),ROUNDUP(($C$3+$I99)/$I99,0)),IF($C$6="No",ROUNDUP($C$4/$G99,0),ROUNDUP(($C$4+$G99)/$G99,0)),ROUNDUP('BVMS checklist'!$H$217/$J99,0))&gt;1,'BVMS checklist'!$J$224,'BVMS checklist'!$J$217)+MAX(IF($C$6="No",ROUNDUP($C$3/$I99,0),ROUNDUP(($C$3+$I99)/$I99,0)),IF($C$6="No",ROUNDUP($C$4/$G99,0),ROUNDUP(($C$4+$G99)/$G99,0)))+$C$5</f>
        <v>1</v>
      </c>
      <c r="AQ99" s="400" t="b">
        <f t="shared" ca="1" si="554"/>
        <v>1</v>
      </c>
      <c r="AR99" s="400" t="str">
        <f t="shared" ca="1" si="593"/>
        <v>Accepted</v>
      </c>
      <c r="AS99" s="398" t="str">
        <f t="shared" ca="1" si="579"/>
        <v>No</v>
      </c>
      <c r="AT99" s="398" t="str">
        <f t="shared" ca="1" si="594"/>
        <v/>
      </c>
      <c r="AU99" s="398" t="str">
        <f t="shared" ca="1" si="566"/>
        <v/>
      </c>
      <c r="AV99" s="398">
        <f t="shared" ca="1" si="567"/>
        <v>6</v>
      </c>
      <c r="AW99" s="398">
        <f t="shared" ca="1" si="595"/>
        <v>2</v>
      </c>
      <c r="AX99" s="398">
        <f t="shared" ca="1" si="596"/>
        <v>320</v>
      </c>
      <c r="AY99" s="398">
        <f t="shared" ca="1" si="597"/>
        <v>268056</v>
      </c>
      <c r="AZ99" s="399">
        <f t="shared" si="542"/>
        <v>0</v>
      </c>
      <c r="BA99" s="399">
        <f t="shared" si="543"/>
        <v>0</v>
      </c>
      <c r="BB99" s="483" t="str">
        <f t="shared" ca="1" si="568"/>
        <v/>
      </c>
      <c r="BC99" s="400">
        <f ca="1">IF(MAX(IF($D$6="No",ROUNDUP($D$3/$I99,0),ROUNDUP(($D$3+$I99)/$I99,0)),IF($D$6="No",ROUNDUP($D$4/$G99,0),ROUNDUP(($D$4+$G99)/$G99,0)),ROUNDUP('BVMS checklist'!$H$217/$J99,0))&gt;1,'BVMS checklist'!$L$224,'BVMS checklist'!$L$217)</f>
        <v>0</v>
      </c>
      <c r="BD99" s="398">
        <f t="shared" ca="1" si="569"/>
        <v>2</v>
      </c>
      <c r="BE99" s="400">
        <f t="shared" si="598"/>
        <v>1</v>
      </c>
      <c r="BF99" s="400">
        <f t="shared" si="599"/>
        <v>2125</v>
      </c>
      <c r="BG99" s="400">
        <f t="shared" ca="1" si="580"/>
        <v>0</v>
      </c>
      <c r="BH99" s="398">
        <f t="shared" ca="1" si="600"/>
        <v>268056</v>
      </c>
      <c r="BI99" s="401" t="str">
        <f t="shared" ca="1" si="570"/>
        <v/>
      </c>
      <c r="BJ99" s="398">
        <f t="shared" ca="1" si="601"/>
        <v>1024</v>
      </c>
      <c r="BK99" s="400">
        <f ca="1">IF(MAX(IF($D$6="No",ROUNDUP($D$3/$I99,0),ROUNDUP(($D$3+$I99)/$I99,0)),IF($D$6="No",ROUNDUP($D$4/$G99,0),ROUNDUP(($D$4+$G99)/$G99,0)),ROUNDUP('BVMS checklist'!$H$217/$J99,0))&gt;1,'BVMS checklist'!$L$224,'BVMS checklist'!$L$217)+MAX(IF($D$6="No",ROUNDUP($D$3/$I99,0),ROUNDUP(($D$3+$I99)/$I99,0)),IF($D$6="No",ROUNDUP($D$4/$G99,0),ROUNDUP(($D$4+$G99)/$G99,0)))+$D$5</f>
        <v>1</v>
      </c>
      <c r="BL99" s="400" t="b">
        <f t="shared" ca="1" si="555"/>
        <v>1</v>
      </c>
      <c r="BM99" s="400" t="str">
        <f t="shared" ca="1" si="602"/>
        <v>Accepted</v>
      </c>
      <c r="BN99" s="398" t="str">
        <f t="shared" ca="1" si="581"/>
        <v>No</v>
      </c>
      <c r="BO99" s="398" t="str">
        <f t="shared" ca="1" si="603"/>
        <v/>
      </c>
      <c r="BP99" s="398" t="str">
        <f t="shared" ca="1" si="571"/>
        <v/>
      </c>
      <c r="BQ99" s="398">
        <f t="shared" ca="1" si="572"/>
        <v>6</v>
      </c>
      <c r="BR99" s="398">
        <f t="shared" ca="1" si="604"/>
        <v>2</v>
      </c>
      <c r="BS99" s="398">
        <f t="shared" ca="1" si="605"/>
        <v>320</v>
      </c>
      <c r="BT99" s="398">
        <f t="shared" ca="1" si="606"/>
        <v>268056</v>
      </c>
      <c r="BU99" s="399">
        <f t="shared" si="544"/>
        <v>0</v>
      </c>
      <c r="BV99" s="399">
        <f t="shared" si="545"/>
        <v>0</v>
      </c>
      <c r="BW99" s="483" t="str">
        <f t="shared" ca="1" si="573"/>
        <v/>
      </c>
      <c r="BX99" s="400">
        <f ca="1">IF(MAX(IF($E$6="No",ROUNDUP($E$3/$I99,0),ROUNDUP(($E$3+$I99)/$I99,0)),IF($E$6="No",ROUNDUP($E$4/$G99,0),ROUNDUP(($E$4+$G99)/$G99,0)),ROUNDUP('BVMS checklist'!$H$217/$J99,0))&gt;1,'BVMS checklist'!$N$224,'BVMS checklist'!$N$217)</f>
        <v>0</v>
      </c>
      <c r="BY99" s="398">
        <f t="shared" ca="1" si="574"/>
        <v>2</v>
      </c>
      <c r="BZ99" s="400">
        <f t="shared" ca="1" si="607"/>
        <v>2</v>
      </c>
      <c r="CA99" s="400">
        <f t="shared" ca="1" si="608"/>
        <v>4250</v>
      </c>
      <c r="CB99" s="400">
        <f t="shared" ca="1" si="582"/>
        <v>0</v>
      </c>
      <c r="CC99" s="398">
        <f t="shared" ca="1" si="609"/>
        <v>268056</v>
      </c>
      <c r="CD99" s="401" t="str">
        <f t="shared" ca="1" si="575"/>
        <v/>
      </c>
      <c r="CE99" s="398">
        <f t="shared" ca="1" si="610"/>
        <v>1024</v>
      </c>
      <c r="CF99" s="400">
        <f ca="1">IF(MAX(IF($E$6="No",ROUNDUP($E$3/$I99,0),ROUNDUP(($E$3+$I99)/$I99,0)),IF($E$6="No",ROUNDUP($E$4/$G99,0),ROUNDUP(($E$4+$G99)/$G99,0)),ROUNDUP('BVMS checklist'!$H$217/$J99,0))&gt;1,'BVMS checklist'!$N$224,'BVMS checklist'!$N$217)+MAX(IF($E$6="No",ROUNDUP($E$3/$I99,0),ROUNDUP(($E$3+$I99)/$I99,0)),IF($E$6="No",ROUNDUP($E$4/$G99,0),ROUNDUP(($E$4+$G99)/$G99,0)))+$E$5</f>
        <v>1</v>
      </c>
      <c r="CG99" s="400" t="b">
        <f t="shared" ca="1" si="556"/>
        <v>1</v>
      </c>
      <c r="CH99" s="400" t="str">
        <f t="shared" ca="1" si="611"/>
        <v>Accepted</v>
      </c>
      <c r="CI99" s="398" t="str">
        <f t="shared" ca="1" si="583"/>
        <v>No</v>
      </c>
      <c r="CJ99" s="398" t="str">
        <f t="shared" ca="1" si="612"/>
        <v/>
      </c>
      <c r="CK99" s="398" t="str">
        <f t="shared" ca="1" si="576"/>
        <v/>
      </c>
      <c r="CL99" s="398">
        <f t="shared" ca="1" si="577"/>
        <v>6</v>
      </c>
      <c r="CM99" s="398">
        <f t="shared" ca="1" si="613"/>
        <v>2</v>
      </c>
      <c r="CN99" s="398">
        <f t="shared" ca="1" si="614"/>
        <v>320</v>
      </c>
      <c r="CO99" s="398">
        <f t="shared" ca="1" si="615"/>
        <v>268056</v>
      </c>
      <c r="CP99" s="399">
        <f t="shared" si="546"/>
        <v>0</v>
      </c>
      <c r="CQ99" s="399">
        <f t="shared" si="547"/>
        <v>0</v>
      </c>
      <c r="CR99" s="483" t="str">
        <f t="shared" ca="1" si="578"/>
        <v/>
      </c>
      <c r="CS99"/>
    </row>
    <row r="100" spans="1:97">
      <c r="A100" s="398" t="s">
        <v>361</v>
      </c>
      <c r="B100" s="398" t="s">
        <v>987</v>
      </c>
      <c r="C100" s="440" t="s">
        <v>891</v>
      </c>
      <c r="D100" s="398">
        <v>5</v>
      </c>
      <c r="E100" s="398"/>
      <c r="F100" s="440">
        <v>0</v>
      </c>
      <c r="G100" s="398">
        <f>IF(C100="RAID5",(((15-F100)*3723))+(4*(((7-F100)*3723))),(((14-F100)*3723))+(4*(((6-F100)*3723))))</f>
        <v>160089</v>
      </c>
      <c r="H100" s="399">
        <v>192</v>
      </c>
      <c r="I100" s="399">
        <v>2675</v>
      </c>
      <c r="J100" s="399">
        <v>640</v>
      </c>
      <c r="K100" s="399"/>
      <c r="L100" s="399"/>
      <c r="M100" s="400">
        <f ca="1">IF(MAX(IF($B$6="No",ROUNDUP($B$3/$I100,0),ROUNDUP(($B$3+$I100)/$I100,0)),IF($B$6="No",ROUNDUP($B$4/$G100,0),ROUNDUP(($B$4+$G100)/$G100,0)),ROUNDUP('BVMS checklist'!$H$217/$J100,0))&gt;1,'BVMS checklist'!$H$224,'BVMS checklist'!$H$217)</f>
        <v>0</v>
      </c>
      <c r="N100" s="398">
        <f t="shared" ca="1" si="557"/>
        <v>2</v>
      </c>
      <c r="O100" s="400">
        <f t="shared" ca="1" si="584"/>
        <v>2</v>
      </c>
      <c r="P100" s="400">
        <f t="shared" ca="1" si="548"/>
        <v>5350</v>
      </c>
      <c r="Q100" s="400">
        <f t="shared" ca="1" si="549"/>
        <v>0</v>
      </c>
      <c r="R100" s="398">
        <f t="shared" ca="1" si="550"/>
        <v>320178</v>
      </c>
      <c r="S100" s="401" t="str">
        <f t="shared" ca="1" si="558"/>
        <v/>
      </c>
      <c r="T100" s="398">
        <f t="shared" ca="1" si="559"/>
        <v>1280</v>
      </c>
      <c r="U100" s="400">
        <f ca="1">IF(MAX(IF($B$6="No",ROUNDUP($B$3/$I100,0),ROUNDUP(($B$3+$I100)/$I100,0)),IF($B$6="No",ROUNDUP($B$4/$G100,0),ROUNDUP(($B$4+$G100)/$G100,0)),ROUNDUP('BVMS checklist'!$H$217/$J100,0))&gt;1,'BVMS checklist'!$H$224,'BVMS checklist'!$H$217)+MAX(IF($B$6="No",ROUNDUP($B$3/$I100,0),ROUNDUP(($B$3+$I100)/$I100,0)),IF($B$6="No",ROUNDUP($B$4/$G100,0),ROUNDUP(($B$4+$G100)/$G100,0)))+$B$5</f>
        <v>1</v>
      </c>
      <c r="V100" s="400" t="b">
        <f t="shared" ca="1" si="551"/>
        <v>1</v>
      </c>
      <c r="W100" s="400" t="str">
        <f t="shared" ca="1" si="585"/>
        <v>Accepted</v>
      </c>
      <c r="X100" s="398" t="str">
        <f t="shared" ca="1" si="560"/>
        <v>No</v>
      </c>
      <c r="Y100" s="398" t="str">
        <f t="shared" ca="1" si="561"/>
        <v/>
      </c>
      <c r="Z100" s="398" t="str">
        <f t="shared" ca="1" si="562"/>
        <v/>
      </c>
      <c r="AA100" s="398">
        <f t="shared" ca="1" si="586"/>
        <v>6</v>
      </c>
      <c r="AB100" s="398">
        <f t="shared" ca="1" si="552"/>
        <v>2</v>
      </c>
      <c r="AC100" s="398">
        <f t="shared" ca="1" si="553"/>
        <v>384</v>
      </c>
      <c r="AD100" s="398">
        <f t="shared" ca="1" si="587"/>
        <v>320178</v>
      </c>
      <c r="AE100" s="399">
        <f t="shared" si="540"/>
        <v>0</v>
      </c>
      <c r="AF100" s="399">
        <f t="shared" si="541"/>
        <v>0</v>
      </c>
      <c r="AG100" s="483" t="str">
        <f t="shared" ca="1" si="563"/>
        <v/>
      </c>
      <c r="AH100" s="400">
        <f ca="1">IF(MAX(IF($C$6="No",ROUNDUP($C$3/$I100,0),ROUNDUP(($C$3+$I100)/$I100,0)),IF($C$6="No",ROUNDUP($C$4/$G100,0),ROUNDUP(($C$4+$G100)/$G100,0)),ROUNDUP('BVMS checklist'!$H$217/$J100,0))&gt;1,'BVMS checklist'!$J$224,'BVMS checklist'!$J$217)</f>
        <v>0</v>
      </c>
      <c r="AI100" s="398">
        <f t="shared" ca="1" si="564"/>
        <v>2</v>
      </c>
      <c r="AJ100" s="400">
        <f t="shared" ca="1" si="588"/>
        <v>2</v>
      </c>
      <c r="AK100" s="400">
        <f t="shared" ca="1" si="589"/>
        <v>5350</v>
      </c>
      <c r="AL100" s="400">
        <f t="shared" ca="1" si="590"/>
        <v>0</v>
      </c>
      <c r="AM100" s="398">
        <f t="shared" ca="1" si="591"/>
        <v>320178</v>
      </c>
      <c r="AN100" s="401" t="str">
        <f t="shared" ca="1" si="565"/>
        <v/>
      </c>
      <c r="AO100" s="398">
        <f t="shared" ca="1" si="592"/>
        <v>1280</v>
      </c>
      <c r="AP100" s="400">
        <f ca="1">IF(MAX(IF($C$6="No",ROUNDUP($C$3/$I100,0),ROUNDUP(($C$3+$I100)/$I100,0)),IF($C$6="No",ROUNDUP($C$4/$G100,0),ROUNDUP(($C$4+$G100)/$G100,0)),ROUNDUP('BVMS checklist'!$H$217/$J100,0))&gt;1,'BVMS checklist'!$J$224,'BVMS checklist'!$J$217)+MAX(IF($C$6="No",ROUNDUP($C$3/$I100,0),ROUNDUP(($C$3+$I100)/$I100,0)),IF($C$6="No",ROUNDUP($C$4/$G100,0),ROUNDUP(($C$4+$G100)/$G100,0)))+$C$5</f>
        <v>1</v>
      </c>
      <c r="AQ100" s="400" t="b">
        <f t="shared" ca="1" si="554"/>
        <v>1</v>
      </c>
      <c r="AR100" s="400" t="str">
        <f t="shared" ca="1" si="593"/>
        <v>Accepted</v>
      </c>
      <c r="AS100" s="398" t="str">
        <f t="shared" ca="1" si="579"/>
        <v>No</v>
      </c>
      <c r="AT100" s="398" t="str">
        <f t="shared" ca="1" si="594"/>
        <v/>
      </c>
      <c r="AU100" s="398" t="str">
        <f t="shared" ca="1" si="566"/>
        <v/>
      </c>
      <c r="AV100" s="398">
        <f t="shared" ca="1" si="567"/>
        <v>6</v>
      </c>
      <c r="AW100" s="398">
        <f t="shared" ca="1" si="595"/>
        <v>2</v>
      </c>
      <c r="AX100" s="398">
        <f t="shared" ca="1" si="596"/>
        <v>384</v>
      </c>
      <c r="AY100" s="398">
        <f t="shared" ca="1" si="597"/>
        <v>320178</v>
      </c>
      <c r="AZ100" s="399">
        <f t="shared" si="542"/>
        <v>0</v>
      </c>
      <c r="BA100" s="399">
        <f t="shared" si="543"/>
        <v>0</v>
      </c>
      <c r="BB100" s="483" t="str">
        <f t="shared" ca="1" si="568"/>
        <v/>
      </c>
      <c r="BC100" s="400">
        <f ca="1">IF(MAX(IF($D$6="No",ROUNDUP($D$3/$I100,0),ROUNDUP(($D$3+$I100)/$I100,0)),IF($D$6="No",ROUNDUP($D$4/$G100,0),ROUNDUP(($D$4+$G100)/$G100,0)),ROUNDUP('BVMS checklist'!$H$217/$J100,0))&gt;1,'BVMS checklist'!$L$224,'BVMS checklist'!$L$217)</f>
        <v>0</v>
      </c>
      <c r="BD100" s="398">
        <f t="shared" ca="1" si="569"/>
        <v>2</v>
      </c>
      <c r="BE100" s="400">
        <f t="shared" si="598"/>
        <v>1</v>
      </c>
      <c r="BF100" s="400">
        <f t="shared" si="599"/>
        <v>2675</v>
      </c>
      <c r="BG100" s="400">
        <f t="shared" ca="1" si="580"/>
        <v>0</v>
      </c>
      <c r="BH100" s="398">
        <f t="shared" ca="1" si="600"/>
        <v>320178</v>
      </c>
      <c r="BI100" s="401" t="str">
        <f t="shared" ca="1" si="570"/>
        <v/>
      </c>
      <c r="BJ100" s="398">
        <f t="shared" ca="1" si="601"/>
        <v>1280</v>
      </c>
      <c r="BK100" s="400">
        <f ca="1">IF(MAX(IF($D$6="No",ROUNDUP($D$3/$I100,0),ROUNDUP(($D$3+$I100)/$I100,0)),IF($D$6="No",ROUNDUP($D$4/$G100,0),ROUNDUP(($D$4+$G100)/$G100,0)),ROUNDUP('BVMS checklist'!$H$217/$J100,0))&gt;1,'BVMS checklist'!$L$224,'BVMS checklist'!$L$217)+MAX(IF($D$6="No",ROUNDUP($D$3/$I100,0),ROUNDUP(($D$3+$I100)/$I100,0)),IF($D$6="No",ROUNDUP($D$4/$G100,0),ROUNDUP(($D$4+$G100)/$G100,0)))+$D$5</f>
        <v>1</v>
      </c>
      <c r="BL100" s="400" t="b">
        <f t="shared" ca="1" si="555"/>
        <v>1</v>
      </c>
      <c r="BM100" s="400" t="str">
        <f t="shared" ca="1" si="602"/>
        <v>Accepted</v>
      </c>
      <c r="BN100" s="398" t="str">
        <f t="shared" ca="1" si="581"/>
        <v>No</v>
      </c>
      <c r="BO100" s="398" t="str">
        <f t="shared" ca="1" si="603"/>
        <v/>
      </c>
      <c r="BP100" s="398" t="str">
        <f t="shared" ca="1" si="571"/>
        <v/>
      </c>
      <c r="BQ100" s="398">
        <f t="shared" ca="1" si="572"/>
        <v>6</v>
      </c>
      <c r="BR100" s="398">
        <f t="shared" ca="1" si="604"/>
        <v>2</v>
      </c>
      <c r="BS100" s="398">
        <f t="shared" ca="1" si="605"/>
        <v>384</v>
      </c>
      <c r="BT100" s="398">
        <f t="shared" ca="1" si="606"/>
        <v>320178</v>
      </c>
      <c r="BU100" s="399">
        <f t="shared" si="544"/>
        <v>0</v>
      </c>
      <c r="BV100" s="399">
        <f t="shared" si="545"/>
        <v>0</v>
      </c>
      <c r="BW100" s="483" t="str">
        <f t="shared" ca="1" si="573"/>
        <v/>
      </c>
      <c r="BX100" s="400">
        <f ca="1">IF(MAX(IF($E$6="No",ROUNDUP($E$3/$I100,0),ROUNDUP(($E$3+$I100)/$I100,0)),IF($E$6="No",ROUNDUP($E$4/$G100,0),ROUNDUP(($E$4+$G100)/$G100,0)),ROUNDUP('BVMS checklist'!$H$217/$J100,0))&gt;1,'BVMS checklist'!$N$224,'BVMS checklist'!$N$217)</f>
        <v>0</v>
      </c>
      <c r="BY100" s="398">
        <f t="shared" ca="1" si="574"/>
        <v>2</v>
      </c>
      <c r="BZ100" s="400">
        <f t="shared" ca="1" si="607"/>
        <v>2</v>
      </c>
      <c r="CA100" s="400">
        <f t="shared" ca="1" si="608"/>
        <v>5350</v>
      </c>
      <c r="CB100" s="400">
        <f t="shared" ca="1" si="582"/>
        <v>0</v>
      </c>
      <c r="CC100" s="398">
        <f t="shared" ca="1" si="609"/>
        <v>320178</v>
      </c>
      <c r="CD100" s="401" t="str">
        <f t="shared" ca="1" si="575"/>
        <v/>
      </c>
      <c r="CE100" s="398">
        <f t="shared" ca="1" si="610"/>
        <v>1280</v>
      </c>
      <c r="CF100" s="400">
        <f ca="1">IF(MAX(IF($E$6="No",ROUNDUP($E$3/$I100,0),ROUNDUP(($E$3+$I100)/$I100,0)),IF($E$6="No",ROUNDUP($E$4/$G100,0),ROUNDUP(($E$4+$G100)/$G100,0)),ROUNDUP('BVMS checklist'!$H$217/$J100,0))&gt;1,'BVMS checklist'!$N$224,'BVMS checklist'!$N$217)+MAX(IF($E$6="No",ROUNDUP($E$3/$I100,0),ROUNDUP(($E$3+$I100)/$I100,0)),IF($E$6="No",ROUNDUP($E$4/$G100,0),ROUNDUP(($E$4+$G100)/$G100,0)))+$E$5</f>
        <v>1</v>
      </c>
      <c r="CG100" s="400" t="b">
        <f t="shared" ca="1" si="556"/>
        <v>1</v>
      </c>
      <c r="CH100" s="400" t="str">
        <f t="shared" ca="1" si="611"/>
        <v>Accepted</v>
      </c>
      <c r="CI100" s="398" t="str">
        <f t="shared" ca="1" si="583"/>
        <v>No</v>
      </c>
      <c r="CJ100" s="398" t="str">
        <f t="shared" ca="1" si="612"/>
        <v/>
      </c>
      <c r="CK100" s="398" t="str">
        <f t="shared" ca="1" si="576"/>
        <v/>
      </c>
      <c r="CL100" s="398">
        <f t="shared" ca="1" si="577"/>
        <v>6</v>
      </c>
      <c r="CM100" s="398">
        <f t="shared" ca="1" si="613"/>
        <v>2</v>
      </c>
      <c r="CN100" s="398">
        <f t="shared" ca="1" si="614"/>
        <v>384</v>
      </c>
      <c r="CO100" s="398">
        <f t="shared" ca="1" si="615"/>
        <v>320178</v>
      </c>
      <c r="CP100" s="399">
        <f t="shared" si="546"/>
        <v>0</v>
      </c>
      <c r="CQ100" s="399">
        <f t="shared" si="547"/>
        <v>0</v>
      </c>
      <c r="CR100" s="483" t="str">
        <f t="shared" ca="1" si="578"/>
        <v/>
      </c>
      <c r="CS100"/>
    </row>
    <row r="101" spans="1:97">
      <c r="A101" s="398" t="s">
        <v>365</v>
      </c>
      <c r="B101" s="398" t="s">
        <v>987</v>
      </c>
      <c r="C101" s="440" t="s">
        <v>891</v>
      </c>
      <c r="D101" s="398">
        <v>2</v>
      </c>
      <c r="E101" s="398"/>
      <c r="F101" s="440">
        <v>0</v>
      </c>
      <c r="G101" s="398">
        <f>IF(C101="RAID5",(((15-F101)*3723))+(1*(((15-F101)*2792))),(((14-F101)*3723))+(1*(((14-F101)*2792))))</f>
        <v>97725</v>
      </c>
      <c r="H101" s="399">
        <v>112</v>
      </c>
      <c r="I101" s="399">
        <v>1025</v>
      </c>
      <c r="J101" s="399">
        <v>256</v>
      </c>
      <c r="K101" s="399"/>
      <c r="L101" s="399"/>
      <c r="M101" s="400">
        <f ca="1">IF(MAX(IF($B$6="No",ROUNDUP($B$3/$I101,0),ROUNDUP(($B$3+$I101)/$I101,0)),IF($B$6="No",ROUNDUP($B$4/$G101,0),ROUNDUP(($B$4+$G101)/$G101,0)),ROUNDUP('BVMS checklist'!$H$217/$J101,0))&gt;1,'BVMS checklist'!$H$224,'BVMS checklist'!$H$217)</f>
        <v>0</v>
      </c>
      <c r="N101" s="398">
        <f t="shared" ca="1" si="557"/>
        <v>2</v>
      </c>
      <c r="O101" s="400">
        <f t="shared" ca="1" si="584"/>
        <v>2</v>
      </c>
      <c r="P101" s="400">
        <f t="shared" ca="1" si="548"/>
        <v>2050</v>
      </c>
      <c r="Q101" s="400">
        <f t="shared" ca="1" si="549"/>
        <v>0</v>
      </c>
      <c r="R101" s="398">
        <f t="shared" ca="1" si="550"/>
        <v>195450</v>
      </c>
      <c r="S101" s="401" t="str">
        <f t="shared" ca="1" si="558"/>
        <v/>
      </c>
      <c r="T101" s="398">
        <f t="shared" ca="1" si="559"/>
        <v>512</v>
      </c>
      <c r="U101" s="400">
        <f ca="1">IF(MAX(IF($B$6="No",ROUNDUP($B$3/$I101,0),ROUNDUP(($B$3+$I101)/$I101,0)),IF($B$6="No",ROUNDUP($B$4/$G101,0),ROUNDUP(($B$4+$G101)/$G101,0)),ROUNDUP('BVMS checklist'!$H$217/$J101,0))&gt;1,'BVMS checklist'!$H$224,'BVMS checklist'!$H$217)+MAX(IF($B$6="No",ROUNDUP($B$3/$I101,0),ROUNDUP(($B$3+$I101)/$I101,0)),IF($B$6="No",ROUNDUP($B$4/$G101,0),ROUNDUP(($B$4+$G101)/$G101,0)))+$B$5</f>
        <v>1</v>
      </c>
      <c r="V101" s="400" t="b">
        <f t="shared" ca="1" si="551"/>
        <v>1</v>
      </c>
      <c r="W101" s="400" t="str">
        <f t="shared" ca="1" si="585"/>
        <v>Accepted</v>
      </c>
      <c r="X101" s="398" t="str">
        <f t="shared" ca="1" si="560"/>
        <v>No</v>
      </c>
      <c r="Y101" s="398" t="str">
        <f t="shared" ca="1" si="561"/>
        <v/>
      </c>
      <c r="Z101" s="398" t="str">
        <f t="shared" ca="1" si="562"/>
        <v/>
      </c>
      <c r="AA101" s="398">
        <f t="shared" ca="1" si="586"/>
        <v>6</v>
      </c>
      <c r="AB101" s="398">
        <f t="shared" ca="1" si="552"/>
        <v>2</v>
      </c>
      <c r="AC101" s="398">
        <f t="shared" ca="1" si="553"/>
        <v>224</v>
      </c>
      <c r="AD101" s="398">
        <f t="shared" ca="1" si="587"/>
        <v>195450</v>
      </c>
      <c r="AE101" s="399">
        <f t="shared" si="540"/>
        <v>0</v>
      </c>
      <c r="AF101" s="399">
        <f t="shared" si="541"/>
        <v>0</v>
      </c>
      <c r="AG101" s="483" t="str">
        <f t="shared" ca="1" si="563"/>
        <v/>
      </c>
      <c r="AH101" s="400">
        <f ca="1">IF(MAX(IF($C$6="No",ROUNDUP($C$3/$I101,0),ROUNDUP(($C$3+$I101)/$I101,0)),IF($C$6="No",ROUNDUP($C$4/$G101,0),ROUNDUP(($C$4+$G101)/$G101,0)),ROUNDUP('BVMS checklist'!$H$217/$J101,0))&gt;1,'BVMS checklist'!$J$224,'BVMS checklist'!$J$217)</f>
        <v>0</v>
      </c>
      <c r="AI101" s="398">
        <f t="shared" ca="1" si="564"/>
        <v>2</v>
      </c>
      <c r="AJ101" s="400">
        <f t="shared" ca="1" si="588"/>
        <v>2</v>
      </c>
      <c r="AK101" s="400">
        <f t="shared" ca="1" si="589"/>
        <v>2050</v>
      </c>
      <c r="AL101" s="400">
        <f t="shared" ca="1" si="590"/>
        <v>0</v>
      </c>
      <c r="AM101" s="398">
        <f t="shared" ca="1" si="591"/>
        <v>195450</v>
      </c>
      <c r="AN101" s="401" t="str">
        <f t="shared" ca="1" si="565"/>
        <v/>
      </c>
      <c r="AO101" s="398">
        <f t="shared" ca="1" si="592"/>
        <v>512</v>
      </c>
      <c r="AP101" s="400">
        <f ca="1">IF(MAX(IF($C$6="No",ROUNDUP($C$3/$I101,0),ROUNDUP(($C$3+$I101)/$I101,0)),IF($C$6="No",ROUNDUP($C$4/$G101,0),ROUNDUP(($C$4+$G101)/$G101,0)),ROUNDUP('BVMS checklist'!$H$217/$J101,0))&gt;1,'BVMS checklist'!$J$224,'BVMS checklist'!$J$217)+MAX(IF($C$6="No",ROUNDUP($C$3/$I101,0),ROUNDUP(($C$3+$I101)/$I101,0)),IF($C$6="No",ROUNDUP($C$4/$G101,0),ROUNDUP(($C$4+$G101)/$G101,0)))+$C$5</f>
        <v>1</v>
      </c>
      <c r="AQ101" s="400" t="b">
        <f t="shared" ca="1" si="554"/>
        <v>1</v>
      </c>
      <c r="AR101" s="400" t="str">
        <f t="shared" ca="1" si="593"/>
        <v>Accepted</v>
      </c>
      <c r="AS101" s="398" t="str">
        <f t="shared" ca="1" si="579"/>
        <v>No</v>
      </c>
      <c r="AT101" s="398" t="str">
        <f t="shared" ca="1" si="594"/>
        <v/>
      </c>
      <c r="AU101" s="398" t="str">
        <f t="shared" ca="1" si="566"/>
        <v/>
      </c>
      <c r="AV101" s="398">
        <f t="shared" ca="1" si="567"/>
        <v>6</v>
      </c>
      <c r="AW101" s="398">
        <f t="shared" ca="1" si="595"/>
        <v>2</v>
      </c>
      <c r="AX101" s="398">
        <f t="shared" ca="1" si="596"/>
        <v>224</v>
      </c>
      <c r="AY101" s="398">
        <f t="shared" ca="1" si="597"/>
        <v>195450</v>
      </c>
      <c r="AZ101" s="399">
        <f t="shared" si="542"/>
        <v>0</v>
      </c>
      <c r="BA101" s="399">
        <f t="shared" si="543"/>
        <v>0</v>
      </c>
      <c r="BB101" s="483" t="str">
        <f t="shared" ca="1" si="568"/>
        <v/>
      </c>
      <c r="BC101" s="400">
        <f ca="1">IF(MAX(IF($D$6="No",ROUNDUP($D$3/$I101,0),ROUNDUP(($D$3+$I101)/$I101,0)),IF($D$6="No",ROUNDUP($D$4/$G101,0),ROUNDUP(($D$4+$G101)/$G101,0)),ROUNDUP('BVMS checklist'!$H$217/$J101,0))&gt;1,'BVMS checklist'!$L$224,'BVMS checklist'!$L$217)</f>
        <v>0</v>
      </c>
      <c r="BD101" s="398">
        <f t="shared" ca="1" si="569"/>
        <v>2</v>
      </c>
      <c r="BE101" s="400">
        <f t="shared" si="598"/>
        <v>1</v>
      </c>
      <c r="BF101" s="400">
        <f t="shared" si="599"/>
        <v>1025</v>
      </c>
      <c r="BG101" s="400">
        <f t="shared" ca="1" si="580"/>
        <v>0</v>
      </c>
      <c r="BH101" s="398">
        <f t="shared" ca="1" si="600"/>
        <v>195450</v>
      </c>
      <c r="BI101" s="401" t="str">
        <f t="shared" ca="1" si="570"/>
        <v/>
      </c>
      <c r="BJ101" s="398">
        <f t="shared" ca="1" si="601"/>
        <v>512</v>
      </c>
      <c r="BK101" s="400">
        <f ca="1">IF(MAX(IF($D$6="No",ROUNDUP($D$3/$I101,0),ROUNDUP(($D$3+$I101)/$I101,0)),IF($D$6="No",ROUNDUP($D$4/$G101,0),ROUNDUP(($D$4+$G101)/$G101,0)),ROUNDUP('BVMS checklist'!$H$217/$J101,0))&gt;1,'BVMS checklist'!$L$224,'BVMS checklist'!$L$217)+MAX(IF($D$6="No",ROUNDUP($D$3/$I101,0),ROUNDUP(($D$3+$I101)/$I101,0)),IF($D$6="No",ROUNDUP($D$4/$G101,0),ROUNDUP(($D$4+$G101)/$G101,0)))+$D$5</f>
        <v>1</v>
      </c>
      <c r="BL101" s="400" t="b">
        <f t="shared" ca="1" si="555"/>
        <v>1</v>
      </c>
      <c r="BM101" s="400" t="str">
        <f t="shared" ca="1" si="602"/>
        <v>Accepted</v>
      </c>
      <c r="BN101" s="398" t="str">
        <f t="shared" ca="1" si="581"/>
        <v>No</v>
      </c>
      <c r="BO101" s="398" t="str">
        <f t="shared" ca="1" si="603"/>
        <v/>
      </c>
      <c r="BP101" s="398" t="str">
        <f t="shared" ca="1" si="571"/>
        <v/>
      </c>
      <c r="BQ101" s="398">
        <f t="shared" ca="1" si="572"/>
        <v>6</v>
      </c>
      <c r="BR101" s="398">
        <f t="shared" ca="1" si="604"/>
        <v>2</v>
      </c>
      <c r="BS101" s="398">
        <f t="shared" ca="1" si="605"/>
        <v>224</v>
      </c>
      <c r="BT101" s="398">
        <f t="shared" ca="1" si="606"/>
        <v>195450</v>
      </c>
      <c r="BU101" s="399">
        <f t="shared" si="544"/>
        <v>0</v>
      </c>
      <c r="BV101" s="399">
        <f t="shared" si="545"/>
        <v>0</v>
      </c>
      <c r="BW101" s="483" t="str">
        <f t="shared" ca="1" si="573"/>
        <v/>
      </c>
      <c r="BX101" s="400">
        <f ca="1">IF(MAX(IF($E$6="No",ROUNDUP($E$3/$I101,0),ROUNDUP(($E$3+$I101)/$I101,0)),IF($E$6="No",ROUNDUP($E$4/$G101,0),ROUNDUP(($E$4+$G101)/$G101,0)),ROUNDUP('BVMS checklist'!$H$217/$J101,0))&gt;1,'BVMS checklist'!$N$224,'BVMS checklist'!$N$217)</f>
        <v>0</v>
      </c>
      <c r="BY101" s="398">
        <f t="shared" ca="1" si="574"/>
        <v>2</v>
      </c>
      <c r="BZ101" s="400">
        <f t="shared" ca="1" si="607"/>
        <v>2</v>
      </c>
      <c r="CA101" s="400">
        <f t="shared" ca="1" si="608"/>
        <v>2050</v>
      </c>
      <c r="CB101" s="400">
        <f t="shared" ca="1" si="582"/>
        <v>0</v>
      </c>
      <c r="CC101" s="398">
        <f t="shared" ca="1" si="609"/>
        <v>195450</v>
      </c>
      <c r="CD101" s="401" t="str">
        <f t="shared" ca="1" si="575"/>
        <v/>
      </c>
      <c r="CE101" s="398">
        <f t="shared" ca="1" si="610"/>
        <v>512</v>
      </c>
      <c r="CF101" s="400">
        <f ca="1">IF(MAX(IF($E$6="No",ROUNDUP($E$3/$I101,0),ROUNDUP(($E$3+$I101)/$I101,0)),IF($E$6="No",ROUNDUP($E$4/$G101,0),ROUNDUP(($E$4+$G101)/$G101,0)),ROUNDUP('BVMS checklist'!$H$217/$J101,0))&gt;1,'BVMS checklist'!$N$224,'BVMS checklist'!$N$217)+MAX(IF($E$6="No",ROUNDUP($E$3/$I101,0),ROUNDUP(($E$3+$I101)/$I101,0)),IF($E$6="No",ROUNDUP($E$4/$G101,0),ROUNDUP(($E$4+$G101)/$G101,0)))+$E$5</f>
        <v>1</v>
      </c>
      <c r="CG101" s="400" t="b">
        <f t="shared" ca="1" si="556"/>
        <v>1</v>
      </c>
      <c r="CH101" s="400" t="str">
        <f t="shared" ca="1" si="611"/>
        <v>Accepted</v>
      </c>
      <c r="CI101" s="398" t="str">
        <f t="shared" ca="1" si="583"/>
        <v>No</v>
      </c>
      <c r="CJ101" s="398" t="str">
        <f t="shared" ca="1" si="612"/>
        <v/>
      </c>
      <c r="CK101" s="398" t="str">
        <f t="shared" ca="1" si="576"/>
        <v/>
      </c>
      <c r="CL101" s="398">
        <f t="shared" ca="1" si="577"/>
        <v>6</v>
      </c>
      <c r="CM101" s="398">
        <f t="shared" ca="1" si="613"/>
        <v>2</v>
      </c>
      <c r="CN101" s="398">
        <f t="shared" ca="1" si="614"/>
        <v>224</v>
      </c>
      <c r="CO101" s="398">
        <f t="shared" ca="1" si="615"/>
        <v>195450</v>
      </c>
      <c r="CP101" s="399">
        <f t="shared" si="546"/>
        <v>0</v>
      </c>
      <c r="CQ101" s="399">
        <f t="shared" si="547"/>
        <v>0</v>
      </c>
      <c r="CR101" s="483" t="str">
        <f t="shared" ca="1" si="578"/>
        <v/>
      </c>
      <c r="CS101"/>
    </row>
    <row r="102" spans="1:97">
      <c r="A102" s="398" t="s">
        <v>366</v>
      </c>
      <c r="B102" s="398" t="s">
        <v>987</v>
      </c>
      <c r="C102" s="440" t="s">
        <v>891</v>
      </c>
      <c r="D102" s="398">
        <v>3</v>
      </c>
      <c r="E102" s="398"/>
      <c r="F102" s="440">
        <v>0</v>
      </c>
      <c r="G102" s="398">
        <f>IF(C102="RAID5",(((15-F102)*3723))+(2*(((15-F102)*2792))),(((14-F102)*3723))+(2*(((14-F102)*2792))))</f>
        <v>139605</v>
      </c>
      <c r="H102" s="399">
        <v>160</v>
      </c>
      <c r="I102" s="399">
        <v>1575</v>
      </c>
      <c r="J102" s="399">
        <v>384</v>
      </c>
      <c r="K102" s="399"/>
      <c r="L102" s="399"/>
      <c r="M102" s="400">
        <f ca="1">IF(MAX(IF($B$6="No",ROUNDUP($B$3/$I102,0),ROUNDUP(($B$3+$I102)/$I102,0)),IF($B$6="No",ROUNDUP($B$4/$G102,0),ROUNDUP(($B$4+$G102)/$G102,0)),ROUNDUP('BVMS checklist'!$H$217/$J102,0))&gt;1,'BVMS checklist'!$H$224,'BVMS checklist'!$H$217)</f>
        <v>0</v>
      </c>
      <c r="N102" s="398">
        <f t="shared" ca="1" si="557"/>
        <v>2</v>
      </c>
      <c r="O102" s="400">
        <f t="shared" ca="1" si="584"/>
        <v>2</v>
      </c>
      <c r="P102" s="400">
        <f t="shared" ca="1" si="548"/>
        <v>3150</v>
      </c>
      <c r="Q102" s="400">
        <f t="shared" ca="1" si="549"/>
        <v>0</v>
      </c>
      <c r="R102" s="398">
        <f t="shared" ca="1" si="550"/>
        <v>279210</v>
      </c>
      <c r="S102" s="401" t="str">
        <f t="shared" ca="1" si="558"/>
        <v/>
      </c>
      <c r="T102" s="398">
        <f t="shared" ca="1" si="559"/>
        <v>768</v>
      </c>
      <c r="U102" s="400">
        <f ca="1">IF(MAX(IF($B$6="No",ROUNDUP($B$3/$I102,0),ROUNDUP(($B$3+$I102)/$I102,0)),IF($B$6="No",ROUNDUP($B$4/$G102,0),ROUNDUP(($B$4+$G102)/$G102,0)),ROUNDUP('BVMS checklist'!$H$217/$J102,0))&gt;1,'BVMS checklist'!$H$224,'BVMS checklist'!$H$217)+MAX(IF($B$6="No",ROUNDUP($B$3/$I102,0),ROUNDUP(($B$3+$I102)/$I102,0)),IF($B$6="No",ROUNDUP($B$4/$G102,0),ROUNDUP(($B$4+$G102)/$G102,0)))+$B$5</f>
        <v>1</v>
      </c>
      <c r="V102" s="400" t="b">
        <f t="shared" ca="1" si="551"/>
        <v>1</v>
      </c>
      <c r="W102" s="400" t="str">
        <f t="shared" ca="1" si="585"/>
        <v>Accepted</v>
      </c>
      <c r="X102" s="398" t="str">
        <f t="shared" ca="1" si="560"/>
        <v>No</v>
      </c>
      <c r="Y102" s="398" t="str">
        <f t="shared" ca="1" si="561"/>
        <v/>
      </c>
      <c r="Z102" s="398" t="str">
        <f t="shared" ca="1" si="562"/>
        <v/>
      </c>
      <c r="AA102" s="398">
        <f t="shared" ca="1" si="586"/>
        <v>6</v>
      </c>
      <c r="AB102" s="398">
        <f t="shared" ca="1" si="552"/>
        <v>2</v>
      </c>
      <c r="AC102" s="398">
        <f t="shared" ca="1" si="553"/>
        <v>320</v>
      </c>
      <c r="AD102" s="398">
        <f t="shared" ca="1" si="587"/>
        <v>279210</v>
      </c>
      <c r="AE102" s="399">
        <f t="shared" si="540"/>
        <v>0</v>
      </c>
      <c r="AF102" s="399">
        <f t="shared" si="541"/>
        <v>0</v>
      </c>
      <c r="AG102" s="483" t="str">
        <f t="shared" ca="1" si="563"/>
        <v/>
      </c>
      <c r="AH102" s="400">
        <f ca="1">IF(MAX(IF($C$6="No",ROUNDUP($C$3/$I102,0),ROUNDUP(($C$3+$I102)/$I102,0)),IF($C$6="No",ROUNDUP($C$4/$G102,0),ROUNDUP(($C$4+$G102)/$G102,0)),ROUNDUP('BVMS checklist'!$H$217/$J102,0))&gt;1,'BVMS checklist'!$J$224,'BVMS checklist'!$J$217)</f>
        <v>0</v>
      </c>
      <c r="AI102" s="398">
        <f t="shared" ca="1" si="564"/>
        <v>2</v>
      </c>
      <c r="AJ102" s="400">
        <f t="shared" ca="1" si="588"/>
        <v>2</v>
      </c>
      <c r="AK102" s="400">
        <f t="shared" ca="1" si="589"/>
        <v>3150</v>
      </c>
      <c r="AL102" s="400">
        <f t="shared" ca="1" si="590"/>
        <v>0</v>
      </c>
      <c r="AM102" s="398">
        <f t="shared" ca="1" si="591"/>
        <v>279210</v>
      </c>
      <c r="AN102" s="401" t="str">
        <f t="shared" ca="1" si="565"/>
        <v/>
      </c>
      <c r="AO102" s="398">
        <f t="shared" ca="1" si="592"/>
        <v>768</v>
      </c>
      <c r="AP102" s="400">
        <f ca="1">IF(MAX(IF($C$6="No",ROUNDUP($C$3/$I102,0),ROUNDUP(($C$3+$I102)/$I102,0)),IF($C$6="No",ROUNDUP($C$4/$G102,0),ROUNDUP(($C$4+$G102)/$G102,0)),ROUNDUP('BVMS checklist'!$H$217/$J102,0))&gt;1,'BVMS checklist'!$J$224,'BVMS checklist'!$J$217)+MAX(IF($C$6="No",ROUNDUP($C$3/$I102,0),ROUNDUP(($C$3+$I102)/$I102,0)),IF($C$6="No",ROUNDUP($C$4/$G102,0),ROUNDUP(($C$4+$G102)/$G102,0)))+$C$5</f>
        <v>1</v>
      </c>
      <c r="AQ102" s="400" t="b">
        <f t="shared" ca="1" si="554"/>
        <v>1</v>
      </c>
      <c r="AR102" s="400" t="str">
        <f t="shared" ca="1" si="593"/>
        <v>Accepted</v>
      </c>
      <c r="AS102" s="398" t="str">
        <f t="shared" ca="1" si="579"/>
        <v>No</v>
      </c>
      <c r="AT102" s="398" t="str">
        <f t="shared" ca="1" si="594"/>
        <v/>
      </c>
      <c r="AU102" s="398" t="str">
        <f t="shared" ca="1" si="566"/>
        <v/>
      </c>
      <c r="AV102" s="398">
        <f t="shared" ca="1" si="567"/>
        <v>6</v>
      </c>
      <c r="AW102" s="398">
        <f t="shared" ca="1" si="595"/>
        <v>2</v>
      </c>
      <c r="AX102" s="398">
        <f t="shared" ca="1" si="596"/>
        <v>320</v>
      </c>
      <c r="AY102" s="398">
        <f t="shared" ca="1" si="597"/>
        <v>279210</v>
      </c>
      <c r="AZ102" s="399">
        <f t="shared" si="542"/>
        <v>0</v>
      </c>
      <c r="BA102" s="399">
        <f t="shared" si="543"/>
        <v>0</v>
      </c>
      <c r="BB102" s="483" t="str">
        <f t="shared" ca="1" si="568"/>
        <v/>
      </c>
      <c r="BC102" s="400">
        <f ca="1">IF(MAX(IF($D$6="No",ROUNDUP($D$3/$I102,0),ROUNDUP(($D$3+$I102)/$I102,0)),IF($D$6="No",ROUNDUP($D$4/$G102,0),ROUNDUP(($D$4+$G102)/$G102,0)),ROUNDUP('BVMS checklist'!$H$217/$J102,0))&gt;1,'BVMS checklist'!$L$224,'BVMS checklist'!$L$217)</f>
        <v>0</v>
      </c>
      <c r="BD102" s="398">
        <f t="shared" ca="1" si="569"/>
        <v>2</v>
      </c>
      <c r="BE102" s="400">
        <f t="shared" si="598"/>
        <v>1</v>
      </c>
      <c r="BF102" s="400">
        <f t="shared" si="599"/>
        <v>1575</v>
      </c>
      <c r="BG102" s="400">
        <f t="shared" ca="1" si="580"/>
        <v>0</v>
      </c>
      <c r="BH102" s="398">
        <f t="shared" ca="1" si="600"/>
        <v>279210</v>
      </c>
      <c r="BI102" s="401" t="str">
        <f t="shared" ca="1" si="570"/>
        <v/>
      </c>
      <c r="BJ102" s="398">
        <f t="shared" ca="1" si="601"/>
        <v>768</v>
      </c>
      <c r="BK102" s="400">
        <f ca="1">IF(MAX(IF($D$6="No",ROUNDUP($D$3/$I102,0),ROUNDUP(($D$3+$I102)/$I102,0)),IF($D$6="No",ROUNDUP($D$4/$G102,0),ROUNDUP(($D$4+$G102)/$G102,0)),ROUNDUP('BVMS checklist'!$H$217/$J102,0))&gt;1,'BVMS checklist'!$L$224,'BVMS checklist'!$L$217)+MAX(IF($D$6="No",ROUNDUP($D$3/$I102,0),ROUNDUP(($D$3+$I102)/$I102,0)),IF($D$6="No",ROUNDUP($D$4/$G102,0),ROUNDUP(($D$4+$G102)/$G102,0)))+$D$5</f>
        <v>1</v>
      </c>
      <c r="BL102" s="400" t="b">
        <f t="shared" ca="1" si="555"/>
        <v>1</v>
      </c>
      <c r="BM102" s="400" t="str">
        <f t="shared" ca="1" si="602"/>
        <v>Accepted</v>
      </c>
      <c r="BN102" s="398" t="str">
        <f t="shared" ca="1" si="581"/>
        <v>No</v>
      </c>
      <c r="BO102" s="398" t="str">
        <f t="shared" ca="1" si="603"/>
        <v/>
      </c>
      <c r="BP102" s="398" t="str">
        <f t="shared" ca="1" si="571"/>
        <v/>
      </c>
      <c r="BQ102" s="398">
        <f t="shared" ca="1" si="572"/>
        <v>6</v>
      </c>
      <c r="BR102" s="398">
        <f t="shared" ca="1" si="604"/>
        <v>2</v>
      </c>
      <c r="BS102" s="398">
        <f t="shared" ca="1" si="605"/>
        <v>320</v>
      </c>
      <c r="BT102" s="398">
        <f t="shared" ca="1" si="606"/>
        <v>279210</v>
      </c>
      <c r="BU102" s="399">
        <f t="shared" si="544"/>
        <v>0</v>
      </c>
      <c r="BV102" s="399">
        <f t="shared" si="545"/>
        <v>0</v>
      </c>
      <c r="BW102" s="483" t="str">
        <f t="shared" ca="1" si="573"/>
        <v/>
      </c>
      <c r="BX102" s="400">
        <f ca="1">IF(MAX(IF($E$6="No",ROUNDUP($E$3/$I102,0),ROUNDUP(($E$3+$I102)/$I102,0)),IF($E$6="No",ROUNDUP($E$4/$G102,0),ROUNDUP(($E$4+$G102)/$G102,0)),ROUNDUP('BVMS checklist'!$H$217/$J102,0))&gt;1,'BVMS checklist'!$N$224,'BVMS checklist'!$N$217)</f>
        <v>0</v>
      </c>
      <c r="BY102" s="398">
        <f t="shared" ca="1" si="574"/>
        <v>2</v>
      </c>
      <c r="BZ102" s="400">
        <f t="shared" ca="1" si="607"/>
        <v>2</v>
      </c>
      <c r="CA102" s="400">
        <f t="shared" ca="1" si="608"/>
        <v>3150</v>
      </c>
      <c r="CB102" s="400">
        <f t="shared" ca="1" si="582"/>
        <v>0</v>
      </c>
      <c r="CC102" s="398">
        <f t="shared" ca="1" si="609"/>
        <v>279210</v>
      </c>
      <c r="CD102" s="401" t="str">
        <f t="shared" ca="1" si="575"/>
        <v/>
      </c>
      <c r="CE102" s="398">
        <f t="shared" ca="1" si="610"/>
        <v>768</v>
      </c>
      <c r="CF102" s="400">
        <f ca="1">IF(MAX(IF($E$6="No",ROUNDUP($E$3/$I102,0),ROUNDUP(($E$3+$I102)/$I102,0)),IF($E$6="No",ROUNDUP($E$4/$G102,0),ROUNDUP(($E$4+$G102)/$G102,0)),ROUNDUP('BVMS checklist'!$H$217/$J102,0))&gt;1,'BVMS checklist'!$N$224,'BVMS checklist'!$N$217)+MAX(IF($E$6="No",ROUNDUP($E$3/$I102,0),ROUNDUP(($E$3+$I102)/$I102,0)),IF($E$6="No",ROUNDUP($E$4/$G102,0),ROUNDUP(($E$4+$G102)/$G102,0)))+$E$5</f>
        <v>1</v>
      </c>
      <c r="CG102" s="400" t="b">
        <f t="shared" ca="1" si="556"/>
        <v>1</v>
      </c>
      <c r="CH102" s="400" t="str">
        <f t="shared" ca="1" si="611"/>
        <v>Accepted</v>
      </c>
      <c r="CI102" s="398" t="str">
        <f t="shared" ca="1" si="583"/>
        <v>No</v>
      </c>
      <c r="CJ102" s="398" t="str">
        <f t="shared" ca="1" si="612"/>
        <v/>
      </c>
      <c r="CK102" s="398" t="str">
        <f t="shared" ca="1" si="576"/>
        <v/>
      </c>
      <c r="CL102" s="398">
        <f t="shared" ca="1" si="577"/>
        <v>6</v>
      </c>
      <c r="CM102" s="398">
        <f t="shared" ca="1" si="613"/>
        <v>2</v>
      </c>
      <c r="CN102" s="398">
        <f t="shared" ca="1" si="614"/>
        <v>320</v>
      </c>
      <c r="CO102" s="398">
        <f t="shared" ca="1" si="615"/>
        <v>279210</v>
      </c>
      <c r="CP102" s="399">
        <f t="shared" si="546"/>
        <v>0</v>
      </c>
      <c r="CQ102" s="399">
        <f t="shared" si="547"/>
        <v>0</v>
      </c>
      <c r="CR102" s="483" t="str">
        <f t="shared" ca="1" si="578"/>
        <v/>
      </c>
      <c r="CS102"/>
    </row>
    <row r="103" spans="1:97">
      <c r="A103" s="398" t="s">
        <v>367</v>
      </c>
      <c r="B103" s="398" t="s">
        <v>987</v>
      </c>
      <c r="C103" s="440" t="s">
        <v>891</v>
      </c>
      <c r="D103" s="398">
        <v>4</v>
      </c>
      <c r="E103" s="398"/>
      <c r="F103" s="440">
        <v>0</v>
      </c>
      <c r="G103" s="398">
        <f>IF(C103="RAID5",(((15-F103)*3723))+(3*(((15-F103)*2792))),(((14-F103)*3723))+(3*(((14-F103)*2792))))</f>
        <v>181485</v>
      </c>
      <c r="H103" s="399">
        <v>208</v>
      </c>
      <c r="I103" s="399">
        <v>2125</v>
      </c>
      <c r="J103" s="399">
        <v>512</v>
      </c>
      <c r="K103" s="399"/>
      <c r="L103" s="399"/>
      <c r="M103" s="400">
        <f ca="1">IF(MAX(IF($B$6="No",ROUNDUP($B$3/$I103,0),ROUNDUP(($B$3+$I103)/$I103,0)),IF($B$6="No",ROUNDUP($B$4/$G103,0),ROUNDUP(($B$4+$G103)/$G103,0)),ROUNDUP('BVMS checklist'!$H$217/$J103,0))&gt;1,'BVMS checklist'!$H$224,'BVMS checklist'!$H$217)</f>
        <v>0</v>
      </c>
      <c r="N103" s="398">
        <f t="shared" ca="1" si="557"/>
        <v>2</v>
      </c>
      <c r="O103" s="400">
        <f t="shared" ca="1" si="584"/>
        <v>2</v>
      </c>
      <c r="P103" s="400">
        <f t="shared" ca="1" si="548"/>
        <v>4250</v>
      </c>
      <c r="Q103" s="400">
        <f t="shared" ca="1" si="549"/>
        <v>0</v>
      </c>
      <c r="R103" s="398">
        <f t="shared" ca="1" si="550"/>
        <v>362970</v>
      </c>
      <c r="S103" s="401" t="str">
        <f t="shared" ca="1" si="558"/>
        <v/>
      </c>
      <c r="T103" s="398">
        <f t="shared" ca="1" si="559"/>
        <v>1024</v>
      </c>
      <c r="U103" s="400">
        <f ca="1">IF(MAX(IF($B$6="No",ROUNDUP($B$3/$I103,0),ROUNDUP(($B$3+$I103)/$I103,0)),IF($B$6="No",ROUNDUP($B$4/$G103,0),ROUNDUP(($B$4+$G103)/$G103,0)),ROUNDUP('BVMS checklist'!$H$217/$J103,0))&gt;1,'BVMS checklist'!$H$224,'BVMS checklist'!$H$217)+MAX(IF($B$6="No",ROUNDUP($B$3/$I103,0),ROUNDUP(($B$3+$I103)/$I103,0)),IF($B$6="No",ROUNDUP($B$4/$G103,0),ROUNDUP(($B$4+$G103)/$G103,0)))+$B$5</f>
        <v>1</v>
      </c>
      <c r="V103" s="400" t="b">
        <f t="shared" ca="1" si="551"/>
        <v>1</v>
      </c>
      <c r="W103" s="400" t="str">
        <f t="shared" ca="1" si="585"/>
        <v>Accepted</v>
      </c>
      <c r="X103" s="398" t="str">
        <f t="shared" ca="1" si="560"/>
        <v>No</v>
      </c>
      <c r="Y103" s="398" t="str">
        <f t="shared" ca="1" si="561"/>
        <v/>
      </c>
      <c r="Z103" s="398" t="str">
        <f t="shared" ca="1" si="562"/>
        <v/>
      </c>
      <c r="AA103" s="398">
        <f t="shared" ca="1" si="586"/>
        <v>6</v>
      </c>
      <c r="AB103" s="398">
        <f t="shared" ca="1" si="552"/>
        <v>2</v>
      </c>
      <c r="AC103" s="398">
        <f t="shared" ca="1" si="553"/>
        <v>416</v>
      </c>
      <c r="AD103" s="398">
        <f t="shared" ca="1" si="587"/>
        <v>362970</v>
      </c>
      <c r="AE103" s="399">
        <f t="shared" si="540"/>
        <v>0</v>
      </c>
      <c r="AF103" s="399">
        <f t="shared" si="541"/>
        <v>0</v>
      </c>
      <c r="AG103" s="483" t="str">
        <f t="shared" ca="1" si="563"/>
        <v/>
      </c>
      <c r="AH103" s="400">
        <f ca="1">IF(MAX(IF($C$6="No",ROUNDUP($C$3/$I103,0),ROUNDUP(($C$3+$I103)/$I103,0)),IF($C$6="No",ROUNDUP($C$4/$G103,0),ROUNDUP(($C$4+$G103)/$G103,0)),ROUNDUP('BVMS checklist'!$H$217/$J103,0))&gt;1,'BVMS checklist'!$J$224,'BVMS checklist'!$J$217)</f>
        <v>0</v>
      </c>
      <c r="AI103" s="398">
        <f t="shared" ca="1" si="564"/>
        <v>2</v>
      </c>
      <c r="AJ103" s="400">
        <f t="shared" ca="1" si="588"/>
        <v>2</v>
      </c>
      <c r="AK103" s="400">
        <f t="shared" ca="1" si="589"/>
        <v>4250</v>
      </c>
      <c r="AL103" s="400">
        <f t="shared" ca="1" si="590"/>
        <v>0</v>
      </c>
      <c r="AM103" s="398">
        <f t="shared" ca="1" si="591"/>
        <v>362970</v>
      </c>
      <c r="AN103" s="401" t="str">
        <f t="shared" ca="1" si="565"/>
        <v/>
      </c>
      <c r="AO103" s="398">
        <f t="shared" ca="1" si="592"/>
        <v>1024</v>
      </c>
      <c r="AP103" s="400">
        <f ca="1">IF(MAX(IF($C$6="No",ROUNDUP($C$3/$I103,0),ROUNDUP(($C$3+$I103)/$I103,0)),IF($C$6="No",ROUNDUP($C$4/$G103,0),ROUNDUP(($C$4+$G103)/$G103,0)),ROUNDUP('BVMS checklist'!$H$217/$J103,0))&gt;1,'BVMS checklist'!$J$224,'BVMS checklist'!$J$217)+MAX(IF($C$6="No",ROUNDUP($C$3/$I103,0),ROUNDUP(($C$3+$I103)/$I103,0)),IF($C$6="No",ROUNDUP($C$4/$G103,0),ROUNDUP(($C$4+$G103)/$G103,0)))+$C$5</f>
        <v>1</v>
      </c>
      <c r="AQ103" s="400" t="b">
        <f t="shared" ca="1" si="554"/>
        <v>1</v>
      </c>
      <c r="AR103" s="400" t="str">
        <f t="shared" ca="1" si="593"/>
        <v>Accepted</v>
      </c>
      <c r="AS103" s="398" t="str">
        <f t="shared" ca="1" si="579"/>
        <v>No</v>
      </c>
      <c r="AT103" s="398" t="str">
        <f t="shared" ca="1" si="594"/>
        <v/>
      </c>
      <c r="AU103" s="398" t="str">
        <f t="shared" ca="1" si="566"/>
        <v/>
      </c>
      <c r="AV103" s="398">
        <f t="shared" ca="1" si="567"/>
        <v>6</v>
      </c>
      <c r="AW103" s="398">
        <f t="shared" ca="1" si="595"/>
        <v>2</v>
      </c>
      <c r="AX103" s="398">
        <f t="shared" ca="1" si="596"/>
        <v>416</v>
      </c>
      <c r="AY103" s="398">
        <f t="shared" ca="1" si="597"/>
        <v>362970</v>
      </c>
      <c r="AZ103" s="399">
        <f t="shared" si="542"/>
        <v>0</v>
      </c>
      <c r="BA103" s="399">
        <f t="shared" si="543"/>
        <v>0</v>
      </c>
      <c r="BB103" s="483" t="str">
        <f t="shared" ca="1" si="568"/>
        <v/>
      </c>
      <c r="BC103" s="400">
        <f ca="1">IF(MAX(IF($D$6="No",ROUNDUP($D$3/$I103,0),ROUNDUP(($D$3+$I103)/$I103,0)),IF($D$6="No",ROUNDUP($D$4/$G103,0),ROUNDUP(($D$4+$G103)/$G103,0)),ROUNDUP('BVMS checklist'!$H$217/$J103,0))&gt;1,'BVMS checklist'!$L$224,'BVMS checklist'!$L$217)</f>
        <v>0</v>
      </c>
      <c r="BD103" s="398">
        <f t="shared" ca="1" si="569"/>
        <v>2</v>
      </c>
      <c r="BE103" s="400">
        <f t="shared" si="598"/>
        <v>1</v>
      </c>
      <c r="BF103" s="400">
        <f t="shared" si="599"/>
        <v>2125</v>
      </c>
      <c r="BG103" s="400">
        <f t="shared" ca="1" si="580"/>
        <v>0</v>
      </c>
      <c r="BH103" s="398">
        <f t="shared" ca="1" si="600"/>
        <v>362970</v>
      </c>
      <c r="BI103" s="401" t="str">
        <f t="shared" ca="1" si="570"/>
        <v/>
      </c>
      <c r="BJ103" s="398">
        <f t="shared" ca="1" si="601"/>
        <v>1024</v>
      </c>
      <c r="BK103" s="400">
        <f ca="1">IF(MAX(IF($D$6="No",ROUNDUP($D$3/$I103,0),ROUNDUP(($D$3+$I103)/$I103,0)),IF($D$6="No",ROUNDUP($D$4/$G103,0),ROUNDUP(($D$4+$G103)/$G103,0)),ROUNDUP('BVMS checklist'!$H$217/$J103,0))&gt;1,'BVMS checklist'!$L$224,'BVMS checklist'!$L$217)+MAX(IF($D$6="No",ROUNDUP($D$3/$I103,0),ROUNDUP(($D$3+$I103)/$I103,0)),IF($D$6="No",ROUNDUP($D$4/$G103,0),ROUNDUP(($D$4+$G103)/$G103,0)))+$D$5</f>
        <v>1</v>
      </c>
      <c r="BL103" s="400" t="b">
        <f t="shared" ca="1" si="555"/>
        <v>1</v>
      </c>
      <c r="BM103" s="400" t="str">
        <f t="shared" ca="1" si="602"/>
        <v>Accepted</v>
      </c>
      <c r="BN103" s="398" t="str">
        <f t="shared" ca="1" si="581"/>
        <v>No</v>
      </c>
      <c r="BO103" s="398" t="str">
        <f t="shared" ca="1" si="603"/>
        <v/>
      </c>
      <c r="BP103" s="398" t="str">
        <f t="shared" ca="1" si="571"/>
        <v/>
      </c>
      <c r="BQ103" s="398">
        <f t="shared" ca="1" si="572"/>
        <v>6</v>
      </c>
      <c r="BR103" s="398">
        <f t="shared" ca="1" si="604"/>
        <v>2</v>
      </c>
      <c r="BS103" s="398">
        <f t="shared" ca="1" si="605"/>
        <v>416</v>
      </c>
      <c r="BT103" s="398">
        <f t="shared" ca="1" si="606"/>
        <v>362970</v>
      </c>
      <c r="BU103" s="399">
        <f t="shared" si="544"/>
        <v>0</v>
      </c>
      <c r="BV103" s="399">
        <f t="shared" si="545"/>
        <v>0</v>
      </c>
      <c r="BW103" s="483" t="str">
        <f t="shared" ca="1" si="573"/>
        <v/>
      </c>
      <c r="BX103" s="400">
        <f ca="1">IF(MAX(IF($E$6="No",ROUNDUP($E$3/$I103,0),ROUNDUP(($E$3+$I103)/$I103,0)),IF($E$6="No",ROUNDUP($E$4/$G103,0),ROUNDUP(($E$4+$G103)/$G103,0)),ROUNDUP('BVMS checklist'!$H$217/$J103,0))&gt;1,'BVMS checklist'!$N$224,'BVMS checklist'!$N$217)</f>
        <v>0</v>
      </c>
      <c r="BY103" s="398">
        <f t="shared" ca="1" si="574"/>
        <v>2</v>
      </c>
      <c r="BZ103" s="400">
        <f t="shared" ca="1" si="607"/>
        <v>2</v>
      </c>
      <c r="CA103" s="400">
        <f t="shared" ca="1" si="608"/>
        <v>4250</v>
      </c>
      <c r="CB103" s="400">
        <f t="shared" ca="1" si="582"/>
        <v>0</v>
      </c>
      <c r="CC103" s="398">
        <f t="shared" ca="1" si="609"/>
        <v>362970</v>
      </c>
      <c r="CD103" s="401" t="str">
        <f t="shared" ca="1" si="575"/>
        <v/>
      </c>
      <c r="CE103" s="398">
        <f t="shared" ca="1" si="610"/>
        <v>1024</v>
      </c>
      <c r="CF103" s="400">
        <f ca="1">IF(MAX(IF($E$6="No",ROUNDUP($E$3/$I103,0),ROUNDUP(($E$3+$I103)/$I103,0)),IF($E$6="No",ROUNDUP($E$4/$G103,0),ROUNDUP(($E$4+$G103)/$G103,0)),ROUNDUP('BVMS checklist'!$H$217/$J103,0))&gt;1,'BVMS checklist'!$N$224,'BVMS checklist'!$N$217)+MAX(IF($E$6="No",ROUNDUP($E$3/$I103,0),ROUNDUP(($E$3+$I103)/$I103,0)),IF($E$6="No",ROUNDUP($E$4/$G103,0),ROUNDUP(($E$4+$G103)/$G103,0)))+$E$5</f>
        <v>1</v>
      </c>
      <c r="CG103" s="400" t="b">
        <f t="shared" ca="1" si="556"/>
        <v>1</v>
      </c>
      <c r="CH103" s="400" t="str">
        <f t="shared" ca="1" si="611"/>
        <v>Accepted</v>
      </c>
      <c r="CI103" s="398" t="str">
        <f t="shared" ca="1" si="583"/>
        <v>No</v>
      </c>
      <c r="CJ103" s="398" t="str">
        <f t="shared" ca="1" si="612"/>
        <v/>
      </c>
      <c r="CK103" s="398" t="str">
        <f t="shared" ca="1" si="576"/>
        <v/>
      </c>
      <c r="CL103" s="398">
        <f t="shared" ca="1" si="577"/>
        <v>6</v>
      </c>
      <c r="CM103" s="398">
        <f t="shared" ca="1" si="613"/>
        <v>2</v>
      </c>
      <c r="CN103" s="398">
        <f t="shared" ca="1" si="614"/>
        <v>416</v>
      </c>
      <c r="CO103" s="398">
        <f t="shared" ca="1" si="615"/>
        <v>362970</v>
      </c>
      <c r="CP103" s="399">
        <f t="shared" si="546"/>
        <v>0</v>
      </c>
      <c r="CQ103" s="399">
        <f t="shared" si="547"/>
        <v>0</v>
      </c>
      <c r="CR103" s="483" t="str">
        <f t="shared" ca="1" si="578"/>
        <v/>
      </c>
      <c r="CS103"/>
    </row>
    <row r="104" spans="1:97">
      <c r="A104" s="398" t="s">
        <v>368</v>
      </c>
      <c r="B104" s="398" t="s">
        <v>987</v>
      </c>
      <c r="C104" s="440" t="s">
        <v>891</v>
      </c>
      <c r="D104" s="398">
        <v>5</v>
      </c>
      <c r="E104" s="398"/>
      <c r="F104" s="440">
        <v>0</v>
      </c>
      <c r="G104" s="398">
        <f>IF(C104="RAID5",(((15-F104)*3723))+(4*(((15-F104)*2792))),(((14-F104)*3723))+(4*(((14-F104)*2792))))</f>
        <v>223365</v>
      </c>
      <c r="H104" s="399">
        <v>256</v>
      </c>
      <c r="I104" s="399">
        <v>2675</v>
      </c>
      <c r="J104" s="399">
        <v>640</v>
      </c>
      <c r="K104" s="399"/>
      <c r="L104" s="399"/>
      <c r="M104" s="400">
        <f ca="1">IF(MAX(IF($B$6="No",ROUNDUP($B$3/$I104,0),ROUNDUP(($B$3+$I104)/$I104,0)),IF($B$6="No",ROUNDUP($B$4/$G104,0),ROUNDUP(($B$4+$G104)/$G104,0)),ROUNDUP('BVMS checklist'!$H$217/$J104,0))&gt;1,'BVMS checklist'!$H$224,'BVMS checklist'!$H$217)</f>
        <v>0</v>
      </c>
      <c r="N104" s="398">
        <f t="shared" ca="1" si="557"/>
        <v>2</v>
      </c>
      <c r="O104" s="400">
        <f t="shared" ca="1" si="584"/>
        <v>2</v>
      </c>
      <c r="P104" s="400">
        <f t="shared" ca="1" si="548"/>
        <v>5350</v>
      </c>
      <c r="Q104" s="400">
        <f t="shared" ca="1" si="549"/>
        <v>0</v>
      </c>
      <c r="R104" s="398">
        <f t="shared" ca="1" si="550"/>
        <v>446730</v>
      </c>
      <c r="S104" s="401" t="str">
        <f t="shared" ca="1" si="558"/>
        <v/>
      </c>
      <c r="T104" s="398">
        <f t="shared" ca="1" si="559"/>
        <v>1280</v>
      </c>
      <c r="U104" s="400">
        <f ca="1">IF(MAX(IF($B$6="No",ROUNDUP($B$3/$I104,0),ROUNDUP(($B$3+$I104)/$I104,0)),IF($B$6="No",ROUNDUP($B$4/$G104,0),ROUNDUP(($B$4+$G104)/$G104,0)),ROUNDUP('BVMS checklist'!$H$217/$J104,0))&gt;1,'BVMS checklist'!$H$224,'BVMS checklist'!$H$217)+MAX(IF($B$6="No",ROUNDUP($B$3/$I104,0),ROUNDUP(($B$3+$I104)/$I104,0)),IF($B$6="No",ROUNDUP($B$4/$G104,0),ROUNDUP(($B$4+$G104)/$G104,0)))+$B$5</f>
        <v>1</v>
      </c>
      <c r="V104" s="400" t="b">
        <f t="shared" ca="1" si="551"/>
        <v>1</v>
      </c>
      <c r="W104" s="400" t="str">
        <f t="shared" ca="1" si="585"/>
        <v>Accepted</v>
      </c>
      <c r="X104" s="398" t="str">
        <f t="shared" ca="1" si="560"/>
        <v>No</v>
      </c>
      <c r="Y104" s="398" t="str">
        <f t="shared" ca="1" si="561"/>
        <v/>
      </c>
      <c r="Z104" s="398" t="str">
        <f t="shared" ca="1" si="562"/>
        <v/>
      </c>
      <c r="AA104" s="398">
        <f t="shared" ca="1" si="586"/>
        <v>6</v>
      </c>
      <c r="AB104" s="398">
        <f t="shared" ca="1" si="552"/>
        <v>2</v>
      </c>
      <c r="AC104" s="398">
        <f t="shared" ca="1" si="553"/>
        <v>512</v>
      </c>
      <c r="AD104" s="398">
        <f t="shared" ca="1" si="587"/>
        <v>446730</v>
      </c>
      <c r="AE104" s="399">
        <f t="shared" si="540"/>
        <v>0</v>
      </c>
      <c r="AF104" s="399">
        <f t="shared" si="541"/>
        <v>0</v>
      </c>
      <c r="AG104" s="483" t="str">
        <f t="shared" ca="1" si="563"/>
        <v/>
      </c>
      <c r="AH104" s="400">
        <f ca="1">IF(MAX(IF($C$6="No",ROUNDUP($C$3/$I104,0),ROUNDUP(($C$3+$I104)/$I104,0)),IF($C$6="No",ROUNDUP($C$4/$G104,0),ROUNDUP(($C$4+$G104)/$G104,0)),ROUNDUP('BVMS checklist'!$H$217/$J104,0))&gt;1,'BVMS checklist'!$J$224,'BVMS checklist'!$J$217)</f>
        <v>0</v>
      </c>
      <c r="AI104" s="398">
        <f t="shared" ca="1" si="564"/>
        <v>2</v>
      </c>
      <c r="AJ104" s="400">
        <f t="shared" ca="1" si="588"/>
        <v>2</v>
      </c>
      <c r="AK104" s="400">
        <f t="shared" ca="1" si="589"/>
        <v>5350</v>
      </c>
      <c r="AL104" s="400">
        <f t="shared" ca="1" si="590"/>
        <v>0</v>
      </c>
      <c r="AM104" s="398">
        <f t="shared" ca="1" si="591"/>
        <v>446730</v>
      </c>
      <c r="AN104" s="401" t="str">
        <f t="shared" ca="1" si="565"/>
        <v/>
      </c>
      <c r="AO104" s="398">
        <f t="shared" ca="1" si="592"/>
        <v>1280</v>
      </c>
      <c r="AP104" s="400">
        <f ca="1">IF(MAX(IF($C$6="No",ROUNDUP($C$3/$I104,0),ROUNDUP(($C$3+$I104)/$I104,0)),IF($C$6="No",ROUNDUP($C$4/$G104,0),ROUNDUP(($C$4+$G104)/$G104,0)),ROUNDUP('BVMS checklist'!$H$217/$J104,0))&gt;1,'BVMS checklist'!$J$224,'BVMS checklist'!$J$217)+MAX(IF($C$6="No",ROUNDUP($C$3/$I104,0),ROUNDUP(($C$3+$I104)/$I104,0)),IF($C$6="No",ROUNDUP($C$4/$G104,0),ROUNDUP(($C$4+$G104)/$G104,0)))+$C$5</f>
        <v>1</v>
      </c>
      <c r="AQ104" s="400" t="b">
        <f t="shared" ca="1" si="554"/>
        <v>1</v>
      </c>
      <c r="AR104" s="400" t="str">
        <f t="shared" ca="1" si="593"/>
        <v>Accepted</v>
      </c>
      <c r="AS104" s="398" t="str">
        <f t="shared" ca="1" si="579"/>
        <v>No</v>
      </c>
      <c r="AT104" s="398" t="str">
        <f t="shared" ca="1" si="594"/>
        <v/>
      </c>
      <c r="AU104" s="398" t="str">
        <f t="shared" ca="1" si="566"/>
        <v/>
      </c>
      <c r="AV104" s="398">
        <f t="shared" ca="1" si="567"/>
        <v>6</v>
      </c>
      <c r="AW104" s="398">
        <f t="shared" ca="1" si="595"/>
        <v>2</v>
      </c>
      <c r="AX104" s="398">
        <f t="shared" ca="1" si="596"/>
        <v>512</v>
      </c>
      <c r="AY104" s="398">
        <f t="shared" ca="1" si="597"/>
        <v>446730</v>
      </c>
      <c r="AZ104" s="399">
        <f t="shared" si="542"/>
        <v>0</v>
      </c>
      <c r="BA104" s="399">
        <f t="shared" si="543"/>
        <v>0</v>
      </c>
      <c r="BB104" s="483" t="str">
        <f t="shared" ca="1" si="568"/>
        <v/>
      </c>
      <c r="BC104" s="400">
        <f ca="1">IF(MAX(IF($D$6="No",ROUNDUP($D$3/$I104,0),ROUNDUP(($D$3+$I104)/$I104,0)),IF($D$6="No",ROUNDUP($D$4/$G104,0),ROUNDUP(($D$4+$G104)/$G104,0)),ROUNDUP('BVMS checklist'!$H$217/$J104,0))&gt;1,'BVMS checklist'!$L$224,'BVMS checklist'!$L$217)</f>
        <v>0</v>
      </c>
      <c r="BD104" s="398">
        <f t="shared" ca="1" si="569"/>
        <v>2</v>
      </c>
      <c r="BE104" s="400">
        <f t="shared" si="598"/>
        <v>1</v>
      </c>
      <c r="BF104" s="400">
        <f t="shared" si="599"/>
        <v>2675</v>
      </c>
      <c r="BG104" s="400">
        <f t="shared" ca="1" si="580"/>
        <v>0</v>
      </c>
      <c r="BH104" s="398">
        <f t="shared" ca="1" si="600"/>
        <v>446730</v>
      </c>
      <c r="BI104" s="401" t="str">
        <f t="shared" ca="1" si="570"/>
        <v/>
      </c>
      <c r="BJ104" s="398">
        <f t="shared" ca="1" si="601"/>
        <v>1280</v>
      </c>
      <c r="BK104" s="400">
        <f ca="1">IF(MAX(IF($D$6="No",ROUNDUP($D$3/$I104,0),ROUNDUP(($D$3+$I104)/$I104,0)),IF($D$6="No",ROUNDUP($D$4/$G104,0),ROUNDUP(($D$4+$G104)/$G104,0)),ROUNDUP('BVMS checklist'!$H$217/$J104,0))&gt;1,'BVMS checklist'!$L$224,'BVMS checklist'!$L$217)+MAX(IF($D$6="No",ROUNDUP($D$3/$I104,0),ROUNDUP(($D$3+$I104)/$I104,0)),IF($D$6="No",ROUNDUP($D$4/$G104,0),ROUNDUP(($D$4+$G104)/$G104,0)))+$D$5</f>
        <v>1</v>
      </c>
      <c r="BL104" s="400" t="b">
        <f t="shared" ca="1" si="555"/>
        <v>1</v>
      </c>
      <c r="BM104" s="400" t="str">
        <f t="shared" ca="1" si="602"/>
        <v>Accepted</v>
      </c>
      <c r="BN104" s="398" t="str">
        <f t="shared" ca="1" si="581"/>
        <v>No</v>
      </c>
      <c r="BO104" s="398" t="str">
        <f t="shared" ca="1" si="603"/>
        <v/>
      </c>
      <c r="BP104" s="398" t="str">
        <f t="shared" ca="1" si="571"/>
        <v/>
      </c>
      <c r="BQ104" s="398">
        <f t="shared" ca="1" si="572"/>
        <v>6</v>
      </c>
      <c r="BR104" s="398">
        <f t="shared" ca="1" si="604"/>
        <v>2</v>
      </c>
      <c r="BS104" s="398">
        <f t="shared" ca="1" si="605"/>
        <v>512</v>
      </c>
      <c r="BT104" s="398">
        <f t="shared" ca="1" si="606"/>
        <v>446730</v>
      </c>
      <c r="BU104" s="399">
        <f t="shared" si="544"/>
        <v>0</v>
      </c>
      <c r="BV104" s="399">
        <f t="shared" si="545"/>
        <v>0</v>
      </c>
      <c r="BW104" s="483" t="str">
        <f t="shared" ca="1" si="573"/>
        <v/>
      </c>
      <c r="BX104" s="400">
        <f ca="1">IF(MAX(IF($E$6="No",ROUNDUP($E$3/$I104,0),ROUNDUP(($E$3+$I104)/$I104,0)),IF($E$6="No",ROUNDUP($E$4/$G104,0),ROUNDUP(($E$4+$G104)/$G104,0)),ROUNDUP('BVMS checklist'!$H$217/$J104,0))&gt;1,'BVMS checklist'!$N$224,'BVMS checklist'!$N$217)</f>
        <v>0</v>
      </c>
      <c r="BY104" s="398">
        <f t="shared" ca="1" si="574"/>
        <v>2</v>
      </c>
      <c r="BZ104" s="400">
        <f t="shared" ca="1" si="607"/>
        <v>2</v>
      </c>
      <c r="CA104" s="400">
        <f t="shared" ca="1" si="608"/>
        <v>5350</v>
      </c>
      <c r="CB104" s="400">
        <f t="shared" ca="1" si="582"/>
        <v>0</v>
      </c>
      <c r="CC104" s="398">
        <f t="shared" ca="1" si="609"/>
        <v>446730</v>
      </c>
      <c r="CD104" s="401" t="str">
        <f t="shared" ca="1" si="575"/>
        <v/>
      </c>
      <c r="CE104" s="398">
        <f t="shared" ca="1" si="610"/>
        <v>1280</v>
      </c>
      <c r="CF104" s="400">
        <f ca="1">IF(MAX(IF($E$6="No",ROUNDUP($E$3/$I104,0),ROUNDUP(($E$3+$I104)/$I104,0)),IF($E$6="No",ROUNDUP($E$4/$G104,0),ROUNDUP(($E$4+$G104)/$G104,0)),ROUNDUP('BVMS checklist'!$H$217/$J104,0))&gt;1,'BVMS checklist'!$N$224,'BVMS checklist'!$N$217)+MAX(IF($E$6="No",ROUNDUP($E$3/$I104,0),ROUNDUP(($E$3+$I104)/$I104,0)),IF($E$6="No",ROUNDUP($E$4/$G104,0),ROUNDUP(($E$4+$G104)/$G104,0)))+$E$5</f>
        <v>1</v>
      </c>
      <c r="CG104" s="400" t="b">
        <f t="shared" ca="1" si="556"/>
        <v>1</v>
      </c>
      <c r="CH104" s="400" t="str">
        <f t="shared" ca="1" si="611"/>
        <v>Accepted</v>
      </c>
      <c r="CI104" s="398" t="str">
        <f t="shared" ca="1" si="583"/>
        <v>No</v>
      </c>
      <c r="CJ104" s="398" t="str">
        <f t="shared" ca="1" si="612"/>
        <v/>
      </c>
      <c r="CK104" s="398" t="str">
        <f t="shared" ca="1" si="576"/>
        <v/>
      </c>
      <c r="CL104" s="398">
        <f t="shared" ca="1" si="577"/>
        <v>6</v>
      </c>
      <c r="CM104" s="398">
        <f t="shared" ca="1" si="613"/>
        <v>2</v>
      </c>
      <c r="CN104" s="398">
        <f t="shared" ca="1" si="614"/>
        <v>512</v>
      </c>
      <c r="CO104" s="398">
        <f t="shared" ca="1" si="615"/>
        <v>446730</v>
      </c>
      <c r="CP104" s="399">
        <f t="shared" si="546"/>
        <v>0</v>
      </c>
      <c r="CQ104" s="399">
        <f t="shared" si="547"/>
        <v>0</v>
      </c>
      <c r="CR104" s="483" t="str">
        <f t="shared" ca="1" si="578"/>
        <v/>
      </c>
      <c r="CS104"/>
    </row>
    <row r="105" spans="1:97">
      <c r="A105" s="398" t="s">
        <v>369</v>
      </c>
      <c r="B105" s="398" t="s">
        <v>987</v>
      </c>
      <c r="C105" s="440" t="s">
        <v>891</v>
      </c>
      <c r="D105" s="398">
        <v>2</v>
      </c>
      <c r="E105" s="398"/>
      <c r="F105" s="440">
        <v>0</v>
      </c>
      <c r="G105" s="398">
        <f>IF(C105="RAID5",(((15-F105)*3723))+(1*(((15-F105)*3723))),(((14-F105)*3723))+(1*(((14-F105)*3723))))</f>
        <v>111690</v>
      </c>
      <c r="H105" s="399">
        <v>128</v>
      </c>
      <c r="I105" s="399">
        <v>1025</v>
      </c>
      <c r="J105" s="399">
        <v>256</v>
      </c>
      <c r="K105" s="399"/>
      <c r="L105" s="399"/>
      <c r="M105" s="400">
        <f ca="1">IF(MAX(IF($B$6="No",ROUNDUP($B$3/$I105,0),ROUNDUP(($B$3+$I105)/$I105,0)),IF($B$6="No",ROUNDUP($B$4/$G105,0),ROUNDUP(($B$4+$G105)/$G105,0)),ROUNDUP('BVMS checklist'!$H$217/$J105,0))&gt;1,'BVMS checklist'!$H$224,'BVMS checklist'!$H$217)</f>
        <v>0</v>
      </c>
      <c r="N105" s="398">
        <f t="shared" ca="1" si="557"/>
        <v>2</v>
      </c>
      <c r="O105" s="400">
        <f t="shared" ca="1" si="584"/>
        <v>2</v>
      </c>
      <c r="P105" s="400">
        <f t="shared" ca="1" si="548"/>
        <v>2050</v>
      </c>
      <c r="Q105" s="400">
        <f t="shared" ca="1" si="549"/>
        <v>0</v>
      </c>
      <c r="R105" s="398">
        <f t="shared" ca="1" si="550"/>
        <v>223380</v>
      </c>
      <c r="S105" s="401" t="str">
        <f t="shared" ca="1" si="558"/>
        <v/>
      </c>
      <c r="T105" s="398">
        <f t="shared" ca="1" si="559"/>
        <v>512</v>
      </c>
      <c r="U105" s="400">
        <f ca="1">IF(MAX(IF($B$6="No",ROUNDUP($B$3/$I105,0),ROUNDUP(($B$3+$I105)/$I105,0)),IF($B$6="No",ROUNDUP($B$4/$G105,0),ROUNDUP(($B$4+$G105)/$G105,0)),ROUNDUP('BVMS checklist'!$H$217/$J105,0))&gt;1,'BVMS checklist'!$H$224,'BVMS checklist'!$H$217)+MAX(IF($B$6="No",ROUNDUP($B$3/$I105,0),ROUNDUP(($B$3+$I105)/$I105,0)),IF($B$6="No",ROUNDUP($B$4/$G105,0),ROUNDUP(($B$4+$G105)/$G105,0)))+$B$5</f>
        <v>1</v>
      </c>
      <c r="V105" s="400" t="b">
        <f t="shared" ca="1" si="551"/>
        <v>1</v>
      </c>
      <c r="W105" s="400" t="str">
        <f t="shared" ca="1" si="585"/>
        <v>Accepted</v>
      </c>
      <c r="X105" s="398" t="str">
        <f t="shared" ca="1" si="560"/>
        <v>No</v>
      </c>
      <c r="Y105" s="398" t="str">
        <f t="shared" ca="1" si="561"/>
        <v/>
      </c>
      <c r="Z105" s="398" t="str">
        <f t="shared" ca="1" si="562"/>
        <v/>
      </c>
      <c r="AA105" s="398">
        <f t="shared" ca="1" si="586"/>
        <v>6</v>
      </c>
      <c r="AB105" s="398">
        <f t="shared" ca="1" si="552"/>
        <v>2</v>
      </c>
      <c r="AC105" s="398">
        <f t="shared" ca="1" si="553"/>
        <v>256</v>
      </c>
      <c r="AD105" s="398">
        <f t="shared" ca="1" si="587"/>
        <v>223380</v>
      </c>
      <c r="AE105" s="399">
        <f t="shared" si="540"/>
        <v>0</v>
      </c>
      <c r="AF105" s="399">
        <f t="shared" si="541"/>
        <v>0</v>
      </c>
      <c r="AG105" s="483" t="str">
        <f t="shared" ca="1" si="563"/>
        <v/>
      </c>
      <c r="AH105" s="400">
        <f ca="1">IF(MAX(IF($C$6="No",ROUNDUP($C$3/$I105,0),ROUNDUP(($C$3+$I105)/$I105,0)),IF($C$6="No",ROUNDUP($C$4/$G105,0),ROUNDUP(($C$4+$G105)/$G105,0)),ROUNDUP('BVMS checklist'!$H$217/$J105,0))&gt;1,'BVMS checklist'!$J$224,'BVMS checklist'!$J$217)</f>
        <v>0</v>
      </c>
      <c r="AI105" s="398">
        <f t="shared" ca="1" si="564"/>
        <v>2</v>
      </c>
      <c r="AJ105" s="400">
        <f t="shared" ca="1" si="588"/>
        <v>2</v>
      </c>
      <c r="AK105" s="400">
        <f t="shared" ca="1" si="589"/>
        <v>2050</v>
      </c>
      <c r="AL105" s="400">
        <f t="shared" ca="1" si="590"/>
        <v>0</v>
      </c>
      <c r="AM105" s="398">
        <f t="shared" ca="1" si="591"/>
        <v>223380</v>
      </c>
      <c r="AN105" s="401" t="str">
        <f t="shared" ca="1" si="565"/>
        <v/>
      </c>
      <c r="AO105" s="398">
        <f t="shared" ca="1" si="592"/>
        <v>512</v>
      </c>
      <c r="AP105" s="400">
        <f ca="1">IF(MAX(IF($C$6="No",ROUNDUP($C$3/$I105,0),ROUNDUP(($C$3+$I105)/$I105,0)),IF($C$6="No",ROUNDUP($C$4/$G105,0),ROUNDUP(($C$4+$G105)/$G105,0)),ROUNDUP('BVMS checklist'!$H$217/$J105,0))&gt;1,'BVMS checklist'!$J$224,'BVMS checklist'!$J$217)+MAX(IF($C$6="No",ROUNDUP($C$3/$I105,0),ROUNDUP(($C$3+$I105)/$I105,0)),IF($C$6="No",ROUNDUP($C$4/$G105,0),ROUNDUP(($C$4+$G105)/$G105,0)))+$C$5</f>
        <v>1</v>
      </c>
      <c r="AQ105" s="400" t="b">
        <f t="shared" ca="1" si="554"/>
        <v>1</v>
      </c>
      <c r="AR105" s="400" t="str">
        <f t="shared" ca="1" si="593"/>
        <v>Accepted</v>
      </c>
      <c r="AS105" s="398" t="str">
        <f t="shared" ca="1" si="579"/>
        <v>No</v>
      </c>
      <c r="AT105" s="398" t="str">
        <f t="shared" ca="1" si="594"/>
        <v/>
      </c>
      <c r="AU105" s="398" t="str">
        <f t="shared" ca="1" si="566"/>
        <v/>
      </c>
      <c r="AV105" s="398">
        <f t="shared" ca="1" si="567"/>
        <v>6</v>
      </c>
      <c r="AW105" s="398">
        <f t="shared" ca="1" si="595"/>
        <v>2</v>
      </c>
      <c r="AX105" s="398">
        <f t="shared" ca="1" si="596"/>
        <v>256</v>
      </c>
      <c r="AY105" s="398">
        <f t="shared" ca="1" si="597"/>
        <v>223380</v>
      </c>
      <c r="AZ105" s="399">
        <f t="shared" si="542"/>
        <v>0</v>
      </c>
      <c r="BA105" s="399">
        <f t="shared" si="543"/>
        <v>0</v>
      </c>
      <c r="BB105" s="483" t="str">
        <f t="shared" ca="1" si="568"/>
        <v/>
      </c>
      <c r="BC105" s="400">
        <f ca="1">IF(MAX(IF($D$6="No",ROUNDUP($D$3/$I105,0),ROUNDUP(($D$3+$I105)/$I105,0)),IF($D$6="No",ROUNDUP($D$4/$G105,0),ROUNDUP(($D$4+$G105)/$G105,0)),ROUNDUP('BVMS checklist'!$H$217/$J105,0))&gt;1,'BVMS checklist'!$L$224,'BVMS checklist'!$L$217)</f>
        <v>0</v>
      </c>
      <c r="BD105" s="398">
        <f t="shared" ca="1" si="569"/>
        <v>2</v>
      </c>
      <c r="BE105" s="400">
        <f t="shared" si="598"/>
        <v>1</v>
      </c>
      <c r="BF105" s="400">
        <f t="shared" si="599"/>
        <v>1025</v>
      </c>
      <c r="BG105" s="400">
        <f t="shared" ca="1" si="580"/>
        <v>0</v>
      </c>
      <c r="BH105" s="398">
        <f t="shared" ca="1" si="600"/>
        <v>223380</v>
      </c>
      <c r="BI105" s="401" t="str">
        <f t="shared" ca="1" si="570"/>
        <v/>
      </c>
      <c r="BJ105" s="398">
        <f t="shared" ca="1" si="601"/>
        <v>512</v>
      </c>
      <c r="BK105" s="400">
        <f ca="1">IF(MAX(IF($D$6="No",ROUNDUP($D$3/$I105,0),ROUNDUP(($D$3+$I105)/$I105,0)),IF($D$6="No",ROUNDUP($D$4/$G105,0),ROUNDUP(($D$4+$G105)/$G105,0)),ROUNDUP('BVMS checklist'!$H$217/$J105,0))&gt;1,'BVMS checklist'!$L$224,'BVMS checklist'!$L$217)+MAX(IF($D$6="No",ROUNDUP($D$3/$I105,0),ROUNDUP(($D$3+$I105)/$I105,0)),IF($D$6="No",ROUNDUP($D$4/$G105,0),ROUNDUP(($D$4+$G105)/$G105,0)))+$D$5</f>
        <v>1</v>
      </c>
      <c r="BL105" s="400" t="b">
        <f t="shared" ca="1" si="555"/>
        <v>1</v>
      </c>
      <c r="BM105" s="400" t="str">
        <f t="shared" ca="1" si="602"/>
        <v>Accepted</v>
      </c>
      <c r="BN105" s="398" t="str">
        <f t="shared" ca="1" si="581"/>
        <v>No</v>
      </c>
      <c r="BO105" s="398" t="str">
        <f t="shared" ca="1" si="603"/>
        <v/>
      </c>
      <c r="BP105" s="398" t="str">
        <f t="shared" ca="1" si="571"/>
        <v/>
      </c>
      <c r="BQ105" s="398">
        <f t="shared" ca="1" si="572"/>
        <v>6</v>
      </c>
      <c r="BR105" s="398">
        <f t="shared" ca="1" si="604"/>
        <v>2</v>
      </c>
      <c r="BS105" s="398">
        <f t="shared" ca="1" si="605"/>
        <v>256</v>
      </c>
      <c r="BT105" s="398">
        <f t="shared" ca="1" si="606"/>
        <v>223380</v>
      </c>
      <c r="BU105" s="399">
        <f t="shared" si="544"/>
        <v>0</v>
      </c>
      <c r="BV105" s="399">
        <f t="shared" si="545"/>
        <v>0</v>
      </c>
      <c r="BW105" s="483" t="str">
        <f t="shared" ca="1" si="573"/>
        <v/>
      </c>
      <c r="BX105" s="400">
        <f ca="1">IF(MAX(IF($E$6="No",ROUNDUP($E$3/$I105,0),ROUNDUP(($E$3+$I105)/$I105,0)),IF($E$6="No",ROUNDUP($E$4/$G105,0),ROUNDUP(($E$4+$G105)/$G105,0)),ROUNDUP('BVMS checklist'!$H$217/$J105,0))&gt;1,'BVMS checklist'!$N$224,'BVMS checklist'!$N$217)</f>
        <v>0</v>
      </c>
      <c r="BY105" s="398">
        <f t="shared" ca="1" si="574"/>
        <v>2</v>
      </c>
      <c r="BZ105" s="400">
        <f t="shared" ca="1" si="607"/>
        <v>2</v>
      </c>
      <c r="CA105" s="400">
        <f t="shared" ca="1" si="608"/>
        <v>2050</v>
      </c>
      <c r="CB105" s="400">
        <f t="shared" ca="1" si="582"/>
        <v>0</v>
      </c>
      <c r="CC105" s="398">
        <f t="shared" ca="1" si="609"/>
        <v>223380</v>
      </c>
      <c r="CD105" s="401" t="str">
        <f t="shared" ca="1" si="575"/>
        <v/>
      </c>
      <c r="CE105" s="398">
        <f t="shared" ca="1" si="610"/>
        <v>512</v>
      </c>
      <c r="CF105" s="400">
        <f ca="1">IF(MAX(IF($E$6="No",ROUNDUP($E$3/$I105,0),ROUNDUP(($E$3+$I105)/$I105,0)),IF($E$6="No",ROUNDUP($E$4/$G105,0),ROUNDUP(($E$4+$G105)/$G105,0)),ROUNDUP('BVMS checklist'!$H$217/$J105,0))&gt;1,'BVMS checklist'!$N$224,'BVMS checklist'!$N$217)+MAX(IF($E$6="No",ROUNDUP($E$3/$I105,0),ROUNDUP(($E$3+$I105)/$I105,0)),IF($E$6="No",ROUNDUP($E$4/$G105,0),ROUNDUP(($E$4+$G105)/$G105,0)))+$E$5</f>
        <v>1</v>
      </c>
      <c r="CG105" s="400" t="b">
        <f t="shared" ca="1" si="556"/>
        <v>1</v>
      </c>
      <c r="CH105" s="400" t="str">
        <f t="shared" ca="1" si="611"/>
        <v>Accepted</v>
      </c>
      <c r="CI105" s="398" t="str">
        <f t="shared" ca="1" si="583"/>
        <v>No</v>
      </c>
      <c r="CJ105" s="398" t="str">
        <f t="shared" ca="1" si="612"/>
        <v/>
      </c>
      <c r="CK105" s="398" t="str">
        <f t="shared" ca="1" si="576"/>
        <v/>
      </c>
      <c r="CL105" s="398">
        <f t="shared" ca="1" si="577"/>
        <v>6</v>
      </c>
      <c r="CM105" s="398">
        <f t="shared" ca="1" si="613"/>
        <v>2</v>
      </c>
      <c r="CN105" s="398">
        <f t="shared" ca="1" si="614"/>
        <v>256</v>
      </c>
      <c r="CO105" s="398">
        <f t="shared" ca="1" si="615"/>
        <v>223380</v>
      </c>
      <c r="CP105" s="399">
        <f t="shared" si="546"/>
        <v>0</v>
      </c>
      <c r="CQ105" s="399">
        <f t="shared" si="547"/>
        <v>0</v>
      </c>
      <c r="CR105" s="483" t="str">
        <f t="shared" ca="1" si="578"/>
        <v/>
      </c>
      <c r="CS105"/>
    </row>
    <row r="106" spans="1:97">
      <c r="A106" s="398" t="s">
        <v>370</v>
      </c>
      <c r="B106" s="398" t="s">
        <v>987</v>
      </c>
      <c r="C106" s="440" t="s">
        <v>891</v>
      </c>
      <c r="D106" s="398">
        <v>3</v>
      </c>
      <c r="E106" s="398"/>
      <c r="F106" s="440">
        <v>0</v>
      </c>
      <c r="G106" s="398">
        <f>IF(C106="RAID5",(((15-F106)*3723))+(2*(((15-F106)*3723))),(((14-F106)*3723))+(2*(((14-F106)*3723))))</f>
        <v>167535</v>
      </c>
      <c r="H106" s="399">
        <v>192</v>
      </c>
      <c r="I106" s="399">
        <v>1575</v>
      </c>
      <c r="J106" s="399">
        <v>384</v>
      </c>
      <c r="K106" s="399"/>
      <c r="L106" s="399"/>
      <c r="M106" s="400">
        <f ca="1">IF(MAX(IF($B$6="No",ROUNDUP($B$3/$I106,0),ROUNDUP(($B$3+$I106)/$I106,0)),IF($B$6="No",ROUNDUP($B$4/$G106,0),ROUNDUP(($B$4+$G106)/$G106,0)),ROUNDUP('BVMS checklist'!$H$217/$J106,0))&gt;1,'BVMS checklist'!$H$224,'BVMS checklist'!$H$217)</f>
        <v>0</v>
      </c>
      <c r="N106" s="398">
        <f t="shared" ca="1" si="557"/>
        <v>2</v>
      </c>
      <c r="O106" s="400">
        <f t="shared" ca="1" si="584"/>
        <v>2</v>
      </c>
      <c r="P106" s="400">
        <f t="shared" ca="1" si="548"/>
        <v>3150</v>
      </c>
      <c r="Q106" s="400">
        <f t="shared" ca="1" si="549"/>
        <v>0</v>
      </c>
      <c r="R106" s="398">
        <f t="shared" ca="1" si="550"/>
        <v>335070</v>
      </c>
      <c r="S106" s="401" t="str">
        <f t="shared" ca="1" si="558"/>
        <v/>
      </c>
      <c r="T106" s="398">
        <f t="shared" ca="1" si="559"/>
        <v>768</v>
      </c>
      <c r="U106" s="400">
        <f ca="1">IF(MAX(IF($B$6="No",ROUNDUP($B$3/$I106,0),ROUNDUP(($B$3+$I106)/$I106,0)),IF($B$6="No",ROUNDUP($B$4/$G106,0),ROUNDUP(($B$4+$G106)/$G106,0)),ROUNDUP('BVMS checklist'!$H$217/$J106,0))&gt;1,'BVMS checklist'!$H$224,'BVMS checklist'!$H$217)+MAX(IF($B$6="No",ROUNDUP($B$3/$I106,0),ROUNDUP(($B$3+$I106)/$I106,0)),IF($B$6="No",ROUNDUP($B$4/$G106,0),ROUNDUP(($B$4+$G106)/$G106,0)))+$B$5</f>
        <v>1</v>
      </c>
      <c r="V106" s="400" t="b">
        <f t="shared" ca="1" si="551"/>
        <v>1</v>
      </c>
      <c r="W106" s="400" t="str">
        <f t="shared" ca="1" si="585"/>
        <v>Accepted</v>
      </c>
      <c r="X106" s="398" t="str">
        <f t="shared" ca="1" si="560"/>
        <v>No</v>
      </c>
      <c r="Y106" s="398" t="str">
        <f t="shared" ca="1" si="561"/>
        <v/>
      </c>
      <c r="Z106" s="398" t="str">
        <f t="shared" ca="1" si="562"/>
        <v/>
      </c>
      <c r="AA106" s="398">
        <f t="shared" ca="1" si="586"/>
        <v>6</v>
      </c>
      <c r="AB106" s="398">
        <f t="shared" ca="1" si="552"/>
        <v>2</v>
      </c>
      <c r="AC106" s="398">
        <f t="shared" ca="1" si="553"/>
        <v>384</v>
      </c>
      <c r="AD106" s="398">
        <f t="shared" ca="1" si="587"/>
        <v>335070</v>
      </c>
      <c r="AE106" s="399">
        <f t="shared" si="540"/>
        <v>0</v>
      </c>
      <c r="AF106" s="399">
        <f t="shared" si="541"/>
        <v>0</v>
      </c>
      <c r="AG106" s="483" t="str">
        <f t="shared" ca="1" si="563"/>
        <v/>
      </c>
      <c r="AH106" s="400">
        <f ca="1">IF(MAX(IF($C$6="No",ROUNDUP($C$3/$I106,0),ROUNDUP(($C$3+$I106)/$I106,0)),IF($C$6="No",ROUNDUP($C$4/$G106,0),ROUNDUP(($C$4+$G106)/$G106,0)),ROUNDUP('BVMS checklist'!$H$217/$J106,0))&gt;1,'BVMS checklist'!$J$224,'BVMS checklist'!$J$217)</f>
        <v>0</v>
      </c>
      <c r="AI106" s="398">
        <f t="shared" ca="1" si="564"/>
        <v>2</v>
      </c>
      <c r="AJ106" s="400">
        <f t="shared" ca="1" si="588"/>
        <v>2</v>
      </c>
      <c r="AK106" s="400">
        <f t="shared" ca="1" si="589"/>
        <v>3150</v>
      </c>
      <c r="AL106" s="400">
        <f t="shared" ca="1" si="590"/>
        <v>0</v>
      </c>
      <c r="AM106" s="398">
        <f t="shared" ca="1" si="591"/>
        <v>335070</v>
      </c>
      <c r="AN106" s="401" t="str">
        <f t="shared" ca="1" si="565"/>
        <v/>
      </c>
      <c r="AO106" s="398">
        <f t="shared" ca="1" si="592"/>
        <v>768</v>
      </c>
      <c r="AP106" s="400">
        <f ca="1">IF(MAX(IF($C$6="No",ROUNDUP($C$3/$I106,0),ROUNDUP(($C$3+$I106)/$I106,0)),IF($C$6="No",ROUNDUP($C$4/$G106,0),ROUNDUP(($C$4+$G106)/$G106,0)),ROUNDUP('BVMS checklist'!$H$217/$J106,0))&gt;1,'BVMS checklist'!$J$224,'BVMS checklist'!$J$217)+MAX(IF($C$6="No",ROUNDUP($C$3/$I106,0),ROUNDUP(($C$3+$I106)/$I106,0)),IF($C$6="No",ROUNDUP($C$4/$G106,0),ROUNDUP(($C$4+$G106)/$G106,0)))+$C$5</f>
        <v>1</v>
      </c>
      <c r="AQ106" s="400" t="b">
        <f t="shared" ca="1" si="554"/>
        <v>1</v>
      </c>
      <c r="AR106" s="400" t="str">
        <f t="shared" ca="1" si="593"/>
        <v>Accepted</v>
      </c>
      <c r="AS106" s="398" t="str">
        <f t="shared" ca="1" si="579"/>
        <v>No</v>
      </c>
      <c r="AT106" s="398" t="str">
        <f t="shared" ca="1" si="594"/>
        <v/>
      </c>
      <c r="AU106" s="398" t="str">
        <f t="shared" ca="1" si="566"/>
        <v/>
      </c>
      <c r="AV106" s="398">
        <f t="shared" ca="1" si="567"/>
        <v>6</v>
      </c>
      <c r="AW106" s="398">
        <f t="shared" ca="1" si="595"/>
        <v>2</v>
      </c>
      <c r="AX106" s="398">
        <f t="shared" ca="1" si="596"/>
        <v>384</v>
      </c>
      <c r="AY106" s="398">
        <f t="shared" ca="1" si="597"/>
        <v>335070</v>
      </c>
      <c r="AZ106" s="399">
        <f t="shared" si="542"/>
        <v>0</v>
      </c>
      <c r="BA106" s="399">
        <f t="shared" si="543"/>
        <v>0</v>
      </c>
      <c r="BB106" s="483" t="str">
        <f t="shared" ca="1" si="568"/>
        <v/>
      </c>
      <c r="BC106" s="400">
        <f ca="1">IF(MAX(IF($D$6="No",ROUNDUP($D$3/$I106,0),ROUNDUP(($D$3+$I106)/$I106,0)),IF($D$6="No",ROUNDUP($D$4/$G106,0),ROUNDUP(($D$4+$G106)/$G106,0)),ROUNDUP('BVMS checklist'!$H$217/$J106,0))&gt;1,'BVMS checklist'!$L$224,'BVMS checklist'!$L$217)</f>
        <v>0</v>
      </c>
      <c r="BD106" s="398">
        <f t="shared" ca="1" si="569"/>
        <v>2</v>
      </c>
      <c r="BE106" s="400">
        <f t="shared" si="598"/>
        <v>1</v>
      </c>
      <c r="BF106" s="400">
        <f t="shared" si="599"/>
        <v>1575</v>
      </c>
      <c r="BG106" s="400">
        <f t="shared" ca="1" si="580"/>
        <v>0</v>
      </c>
      <c r="BH106" s="398">
        <f t="shared" ca="1" si="600"/>
        <v>335070</v>
      </c>
      <c r="BI106" s="401" t="str">
        <f t="shared" ca="1" si="570"/>
        <v/>
      </c>
      <c r="BJ106" s="398">
        <f t="shared" ca="1" si="601"/>
        <v>768</v>
      </c>
      <c r="BK106" s="400">
        <f ca="1">IF(MAX(IF($D$6="No",ROUNDUP($D$3/$I106,0),ROUNDUP(($D$3+$I106)/$I106,0)),IF($D$6="No",ROUNDUP($D$4/$G106,0),ROUNDUP(($D$4+$G106)/$G106,0)),ROUNDUP('BVMS checklist'!$H$217/$J106,0))&gt;1,'BVMS checklist'!$L$224,'BVMS checklist'!$L$217)+MAX(IF($D$6="No",ROUNDUP($D$3/$I106,0),ROUNDUP(($D$3+$I106)/$I106,0)),IF($D$6="No",ROUNDUP($D$4/$G106,0),ROUNDUP(($D$4+$G106)/$G106,0)))+$D$5</f>
        <v>1</v>
      </c>
      <c r="BL106" s="400" t="b">
        <f t="shared" ca="1" si="555"/>
        <v>1</v>
      </c>
      <c r="BM106" s="400" t="str">
        <f t="shared" ca="1" si="602"/>
        <v>Accepted</v>
      </c>
      <c r="BN106" s="398" t="str">
        <f t="shared" ca="1" si="581"/>
        <v>No</v>
      </c>
      <c r="BO106" s="398" t="str">
        <f t="shared" ca="1" si="603"/>
        <v/>
      </c>
      <c r="BP106" s="398" t="str">
        <f t="shared" ca="1" si="571"/>
        <v/>
      </c>
      <c r="BQ106" s="398">
        <f t="shared" ca="1" si="572"/>
        <v>6</v>
      </c>
      <c r="BR106" s="398">
        <f t="shared" ca="1" si="604"/>
        <v>2</v>
      </c>
      <c r="BS106" s="398">
        <f t="shared" ca="1" si="605"/>
        <v>384</v>
      </c>
      <c r="BT106" s="398">
        <f t="shared" ca="1" si="606"/>
        <v>335070</v>
      </c>
      <c r="BU106" s="399">
        <f t="shared" si="544"/>
        <v>0</v>
      </c>
      <c r="BV106" s="399">
        <f t="shared" si="545"/>
        <v>0</v>
      </c>
      <c r="BW106" s="483" t="str">
        <f t="shared" ca="1" si="573"/>
        <v/>
      </c>
      <c r="BX106" s="400">
        <f ca="1">IF(MAX(IF($E$6="No",ROUNDUP($E$3/$I106,0),ROUNDUP(($E$3+$I106)/$I106,0)),IF($E$6="No",ROUNDUP($E$4/$G106,0),ROUNDUP(($E$4+$G106)/$G106,0)),ROUNDUP('BVMS checklist'!$H$217/$J106,0))&gt;1,'BVMS checklist'!$N$224,'BVMS checklist'!$N$217)</f>
        <v>0</v>
      </c>
      <c r="BY106" s="398">
        <f t="shared" ca="1" si="574"/>
        <v>2</v>
      </c>
      <c r="BZ106" s="400">
        <f t="shared" ca="1" si="607"/>
        <v>2</v>
      </c>
      <c r="CA106" s="400">
        <f t="shared" ca="1" si="608"/>
        <v>3150</v>
      </c>
      <c r="CB106" s="400">
        <f t="shared" ca="1" si="582"/>
        <v>0</v>
      </c>
      <c r="CC106" s="398">
        <f t="shared" ca="1" si="609"/>
        <v>335070</v>
      </c>
      <c r="CD106" s="401" t="str">
        <f t="shared" ca="1" si="575"/>
        <v/>
      </c>
      <c r="CE106" s="398">
        <f t="shared" ca="1" si="610"/>
        <v>768</v>
      </c>
      <c r="CF106" s="400">
        <f ca="1">IF(MAX(IF($E$6="No",ROUNDUP($E$3/$I106,0),ROUNDUP(($E$3+$I106)/$I106,0)),IF($E$6="No",ROUNDUP($E$4/$G106,0),ROUNDUP(($E$4+$G106)/$G106,0)),ROUNDUP('BVMS checklist'!$H$217/$J106,0))&gt;1,'BVMS checklist'!$N$224,'BVMS checklist'!$N$217)+MAX(IF($E$6="No",ROUNDUP($E$3/$I106,0),ROUNDUP(($E$3+$I106)/$I106,0)),IF($E$6="No",ROUNDUP($E$4/$G106,0),ROUNDUP(($E$4+$G106)/$G106,0)))+$E$5</f>
        <v>1</v>
      </c>
      <c r="CG106" s="400" t="b">
        <f t="shared" ca="1" si="556"/>
        <v>1</v>
      </c>
      <c r="CH106" s="400" t="str">
        <f t="shared" ca="1" si="611"/>
        <v>Accepted</v>
      </c>
      <c r="CI106" s="398" t="str">
        <f t="shared" ca="1" si="583"/>
        <v>No</v>
      </c>
      <c r="CJ106" s="398" t="str">
        <f t="shared" ca="1" si="612"/>
        <v/>
      </c>
      <c r="CK106" s="398" t="str">
        <f t="shared" ca="1" si="576"/>
        <v/>
      </c>
      <c r="CL106" s="398">
        <f t="shared" ca="1" si="577"/>
        <v>6</v>
      </c>
      <c r="CM106" s="398">
        <f t="shared" ca="1" si="613"/>
        <v>2</v>
      </c>
      <c r="CN106" s="398">
        <f t="shared" ca="1" si="614"/>
        <v>384</v>
      </c>
      <c r="CO106" s="398">
        <f t="shared" ca="1" si="615"/>
        <v>335070</v>
      </c>
      <c r="CP106" s="399">
        <f t="shared" si="546"/>
        <v>0</v>
      </c>
      <c r="CQ106" s="399">
        <f t="shared" si="547"/>
        <v>0</v>
      </c>
      <c r="CR106" s="483" t="str">
        <f t="shared" ca="1" si="578"/>
        <v/>
      </c>
      <c r="CS106"/>
    </row>
    <row r="107" spans="1:97">
      <c r="A107" s="398" t="s">
        <v>371</v>
      </c>
      <c r="B107" s="398" t="s">
        <v>987</v>
      </c>
      <c r="C107" s="440" t="s">
        <v>891</v>
      </c>
      <c r="D107" s="398">
        <v>4</v>
      </c>
      <c r="E107" s="398"/>
      <c r="F107" s="440">
        <v>0</v>
      </c>
      <c r="G107" s="398">
        <f>IF(C107="RAID5",(((15-F107)*3723))+(3*(((15-F107)*3723))),(((14-F107)*3723))+(3*(((14-F107)*3723))))</f>
        <v>223380</v>
      </c>
      <c r="H107" s="399">
        <v>256</v>
      </c>
      <c r="I107" s="399">
        <v>2125</v>
      </c>
      <c r="J107" s="399">
        <v>512</v>
      </c>
      <c r="K107" s="399"/>
      <c r="L107" s="399"/>
      <c r="M107" s="400">
        <f ca="1">IF(MAX(IF($B$6="No",ROUNDUP($B$3/$I107,0),ROUNDUP(($B$3+$I107)/$I107,0)),IF($B$6="No",ROUNDUP($B$4/$G107,0),ROUNDUP(($B$4+$G107)/$G107,0)),ROUNDUP('BVMS checklist'!$H$217/$J107,0))&gt;1,'BVMS checklist'!$H$224,'BVMS checklist'!$H$217)</f>
        <v>0</v>
      </c>
      <c r="N107" s="398">
        <f t="shared" ca="1" si="557"/>
        <v>2</v>
      </c>
      <c r="O107" s="400">
        <f t="shared" ca="1" si="584"/>
        <v>2</v>
      </c>
      <c r="P107" s="400">
        <f t="shared" ca="1" si="548"/>
        <v>4250</v>
      </c>
      <c r="Q107" s="400">
        <f t="shared" ca="1" si="549"/>
        <v>0</v>
      </c>
      <c r="R107" s="398">
        <f t="shared" ca="1" si="550"/>
        <v>446760</v>
      </c>
      <c r="S107" s="401" t="str">
        <f t="shared" ca="1" si="558"/>
        <v/>
      </c>
      <c r="T107" s="398">
        <f t="shared" ca="1" si="559"/>
        <v>1024</v>
      </c>
      <c r="U107" s="400">
        <f ca="1">IF(MAX(IF($B$6="No",ROUNDUP($B$3/$I107,0),ROUNDUP(($B$3+$I107)/$I107,0)),IF($B$6="No",ROUNDUP($B$4/$G107,0),ROUNDUP(($B$4+$G107)/$G107,0)),ROUNDUP('BVMS checklist'!$H$217/$J107,0))&gt;1,'BVMS checklist'!$H$224,'BVMS checklist'!$H$217)+MAX(IF($B$6="No",ROUNDUP($B$3/$I107,0),ROUNDUP(($B$3+$I107)/$I107,0)),IF($B$6="No",ROUNDUP($B$4/$G107,0),ROUNDUP(($B$4+$G107)/$G107,0)))+$B$5</f>
        <v>1</v>
      </c>
      <c r="V107" s="400" t="b">
        <f t="shared" ca="1" si="551"/>
        <v>1</v>
      </c>
      <c r="W107" s="400" t="str">
        <f t="shared" ca="1" si="585"/>
        <v>Accepted</v>
      </c>
      <c r="X107" s="398" t="str">
        <f t="shared" ca="1" si="560"/>
        <v>No</v>
      </c>
      <c r="Y107" s="398" t="str">
        <f t="shared" ca="1" si="561"/>
        <v/>
      </c>
      <c r="Z107" s="398" t="str">
        <f t="shared" ca="1" si="562"/>
        <v/>
      </c>
      <c r="AA107" s="398">
        <f t="shared" ca="1" si="586"/>
        <v>6</v>
      </c>
      <c r="AB107" s="398">
        <f t="shared" ca="1" si="552"/>
        <v>2</v>
      </c>
      <c r="AC107" s="398">
        <f t="shared" ca="1" si="553"/>
        <v>512</v>
      </c>
      <c r="AD107" s="398">
        <f t="shared" ca="1" si="587"/>
        <v>446760</v>
      </c>
      <c r="AE107" s="399">
        <f t="shared" si="540"/>
        <v>0</v>
      </c>
      <c r="AF107" s="399">
        <f t="shared" si="541"/>
        <v>0</v>
      </c>
      <c r="AG107" s="483" t="str">
        <f t="shared" ca="1" si="563"/>
        <v/>
      </c>
      <c r="AH107" s="400">
        <f ca="1">IF(MAX(IF($C$6="No",ROUNDUP($C$3/$I107,0),ROUNDUP(($C$3+$I107)/$I107,0)),IF($C$6="No",ROUNDUP($C$4/$G107,0),ROUNDUP(($C$4+$G107)/$G107,0)),ROUNDUP('BVMS checklist'!$H$217/$J107,0))&gt;1,'BVMS checklist'!$J$224,'BVMS checklist'!$J$217)</f>
        <v>0</v>
      </c>
      <c r="AI107" s="398">
        <f t="shared" ca="1" si="564"/>
        <v>2</v>
      </c>
      <c r="AJ107" s="400">
        <f t="shared" ca="1" si="588"/>
        <v>2</v>
      </c>
      <c r="AK107" s="400">
        <f t="shared" ca="1" si="589"/>
        <v>4250</v>
      </c>
      <c r="AL107" s="400">
        <f t="shared" ca="1" si="590"/>
        <v>0</v>
      </c>
      <c r="AM107" s="398">
        <f t="shared" ca="1" si="591"/>
        <v>446760</v>
      </c>
      <c r="AN107" s="401" t="str">
        <f t="shared" ca="1" si="565"/>
        <v/>
      </c>
      <c r="AO107" s="398">
        <f t="shared" ca="1" si="592"/>
        <v>1024</v>
      </c>
      <c r="AP107" s="400">
        <f ca="1">IF(MAX(IF($C$6="No",ROUNDUP($C$3/$I107,0),ROUNDUP(($C$3+$I107)/$I107,0)),IF($C$6="No",ROUNDUP($C$4/$G107,0),ROUNDUP(($C$4+$G107)/$G107,0)),ROUNDUP('BVMS checklist'!$H$217/$J107,0))&gt;1,'BVMS checklist'!$J$224,'BVMS checklist'!$J$217)+MAX(IF($C$6="No",ROUNDUP($C$3/$I107,0),ROUNDUP(($C$3+$I107)/$I107,0)),IF($C$6="No",ROUNDUP($C$4/$G107,0),ROUNDUP(($C$4+$G107)/$G107,0)))+$C$5</f>
        <v>1</v>
      </c>
      <c r="AQ107" s="400" t="b">
        <f t="shared" ca="1" si="554"/>
        <v>1</v>
      </c>
      <c r="AR107" s="400" t="str">
        <f t="shared" ca="1" si="593"/>
        <v>Accepted</v>
      </c>
      <c r="AS107" s="398" t="str">
        <f t="shared" ca="1" si="579"/>
        <v>No</v>
      </c>
      <c r="AT107" s="398" t="str">
        <f t="shared" ca="1" si="594"/>
        <v/>
      </c>
      <c r="AU107" s="398" t="str">
        <f t="shared" ca="1" si="566"/>
        <v/>
      </c>
      <c r="AV107" s="398">
        <f t="shared" ca="1" si="567"/>
        <v>6</v>
      </c>
      <c r="AW107" s="398">
        <f t="shared" ca="1" si="595"/>
        <v>2</v>
      </c>
      <c r="AX107" s="398">
        <f t="shared" ca="1" si="596"/>
        <v>512</v>
      </c>
      <c r="AY107" s="398">
        <f t="shared" ca="1" si="597"/>
        <v>446760</v>
      </c>
      <c r="AZ107" s="399">
        <f t="shared" si="542"/>
        <v>0</v>
      </c>
      <c r="BA107" s="399">
        <f t="shared" si="543"/>
        <v>0</v>
      </c>
      <c r="BB107" s="483" t="str">
        <f t="shared" ca="1" si="568"/>
        <v/>
      </c>
      <c r="BC107" s="400">
        <f ca="1">IF(MAX(IF($D$6="No",ROUNDUP($D$3/$I107,0),ROUNDUP(($D$3+$I107)/$I107,0)),IF($D$6="No",ROUNDUP($D$4/$G107,0),ROUNDUP(($D$4+$G107)/$G107,0)),ROUNDUP('BVMS checklist'!$H$217/$J107,0))&gt;1,'BVMS checklist'!$L$224,'BVMS checklist'!$L$217)</f>
        <v>0</v>
      </c>
      <c r="BD107" s="398">
        <f t="shared" ca="1" si="569"/>
        <v>2</v>
      </c>
      <c r="BE107" s="400">
        <f t="shared" si="598"/>
        <v>1</v>
      </c>
      <c r="BF107" s="400">
        <f t="shared" si="599"/>
        <v>2125</v>
      </c>
      <c r="BG107" s="400">
        <f t="shared" ca="1" si="580"/>
        <v>0</v>
      </c>
      <c r="BH107" s="398">
        <f t="shared" ca="1" si="600"/>
        <v>446760</v>
      </c>
      <c r="BI107" s="401" t="str">
        <f t="shared" ca="1" si="570"/>
        <v/>
      </c>
      <c r="BJ107" s="398">
        <f t="shared" ca="1" si="601"/>
        <v>1024</v>
      </c>
      <c r="BK107" s="400">
        <f ca="1">IF(MAX(IF($D$6="No",ROUNDUP($D$3/$I107,0),ROUNDUP(($D$3+$I107)/$I107,0)),IF($D$6="No",ROUNDUP($D$4/$G107,0),ROUNDUP(($D$4+$G107)/$G107,0)),ROUNDUP('BVMS checklist'!$H$217/$J107,0))&gt;1,'BVMS checklist'!$L$224,'BVMS checklist'!$L$217)+MAX(IF($D$6="No",ROUNDUP($D$3/$I107,0),ROUNDUP(($D$3+$I107)/$I107,0)),IF($D$6="No",ROUNDUP($D$4/$G107,0),ROUNDUP(($D$4+$G107)/$G107,0)))+$D$5</f>
        <v>1</v>
      </c>
      <c r="BL107" s="400" t="b">
        <f t="shared" ca="1" si="555"/>
        <v>1</v>
      </c>
      <c r="BM107" s="400" t="str">
        <f t="shared" ca="1" si="602"/>
        <v>Accepted</v>
      </c>
      <c r="BN107" s="398" t="str">
        <f t="shared" ca="1" si="581"/>
        <v>No</v>
      </c>
      <c r="BO107" s="398" t="str">
        <f t="shared" ca="1" si="603"/>
        <v/>
      </c>
      <c r="BP107" s="398" t="str">
        <f t="shared" ca="1" si="571"/>
        <v/>
      </c>
      <c r="BQ107" s="398">
        <f t="shared" ca="1" si="572"/>
        <v>6</v>
      </c>
      <c r="BR107" s="398">
        <f t="shared" ca="1" si="604"/>
        <v>2</v>
      </c>
      <c r="BS107" s="398">
        <f t="shared" ca="1" si="605"/>
        <v>512</v>
      </c>
      <c r="BT107" s="398">
        <f t="shared" ca="1" si="606"/>
        <v>446760</v>
      </c>
      <c r="BU107" s="399">
        <f t="shared" si="544"/>
        <v>0</v>
      </c>
      <c r="BV107" s="399">
        <f t="shared" si="545"/>
        <v>0</v>
      </c>
      <c r="BW107" s="483" t="str">
        <f t="shared" ca="1" si="573"/>
        <v/>
      </c>
      <c r="BX107" s="400">
        <f ca="1">IF(MAX(IF($E$6="No",ROUNDUP($E$3/$I107,0),ROUNDUP(($E$3+$I107)/$I107,0)),IF($E$6="No",ROUNDUP($E$4/$G107,0),ROUNDUP(($E$4+$G107)/$G107,0)),ROUNDUP('BVMS checklist'!$H$217/$J107,0))&gt;1,'BVMS checklist'!$N$224,'BVMS checklist'!$N$217)</f>
        <v>0</v>
      </c>
      <c r="BY107" s="398">
        <f t="shared" ca="1" si="574"/>
        <v>2</v>
      </c>
      <c r="BZ107" s="400">
        <f t="shared" ca="1" si="607"/>
        <v>2</v>
      </c>
      <c r="CA107" s="400">
        <f t="shared" ca="1" si="608"/>
        <v>4250</v>
      </c>
      <c r="CB107" s="400">
        <f t="shared" ca="1" si="582"/>
        <v>0</v>
      </c>
      <c r="CC107" s="398">
        <f t="shared" ca="1" si="609"/>
        <v>446760</v>
      </c>
      <c r="CD107" s="401" t="str">
        <f t="shared" ca="1" si="575"/>
        <v/>
      </c>
      <c r="CE107" s="398">
        <f t="shared" ca="1" si="610"/>
        <v>1024</v>
      </c>
      <c r="CF107" s="400">
        <f ca="1">IF(MAX(IF($E$6="No",ROUNDUP($E$3/$I107,0),ROUNDUP(($E$3+$I107)/$I107,0)),IF($E$6="No",ROUNDUP($E$4/$G107,0),ROUNDUP(($E$4+$G107)/$G107,0)),ROUNDUP('BVMS checklist'!$H$217/$J107,0))&gt;1,'BVMS checklist'!$N$224,'BVMS checklist'!$N$217)+MAX(IF($E$6="No",ROUNDUP($E$3/$I107,0),ROUNDUP(($E$3+$I107)/$I107,0)),IF($E$6="No",ROUNDUP($E$4/$G107,0),ROUNDUP(($E$4+$G107)/$G107,0)))+$E$5</f>
        <v>1</v>
      </c>
      <c r="CG107" s="400" t="b">
        <f t="shared" ca="1" si="556"/>
        <v>1</v>
      </c>
      <c r="CH107" s="400" t="str">
        <f t="shared" ca="1" si="611"/>
        <v>Accepted</v>
      </c>
      <c r="CI107" s="398" t="str">
        <f t="shared" ca="1" si="583"/>
        <v>No</v>
      </c>
      <c r="CJ107" s="398" t="str">
        <f t="shared" ca="1" si="612"/>
        <v/>
      </c>
      <c r="CK107" s="398" t="str">
        <f t="shared" ca="1" si="576"/>
        <v/>
      </c>
      <c r="CL107" s="398">
        <f t="shared" ca="1" si="577"/>
        <v>6</v>
      </c>
      <c r="CM107" s="398">
        <f t="shared" ca="1" si="613"/>
        <v>2</v>
      </c>
      <c r="CN107" s="398">
        <f t="shared" ca="1" si="614"/>
        <v>512</v>
      </c>
      <c r="CO107" s="398">
        <f t="shared" ca="1" si="615"/>
        <v>446760</v>
      </c>
      <c r="CP107" s="399">
        <f t="shared" si="546"/>
        <v>0</v>
      </c>
      <c r="CQ107" s="399">
        <f t="shared" si="547"/>
        <v>0</v>
      </c>
      <c r="CR107" s="483" t="str">
        <f t="shared" ca="1" si="578"/>
        <v/>
      </c>
      <c r="CS107"/>
    </row>
    <row r="108" spans="1:97">
      <c r="A108" s="398" t="s">
        <v>372</v>
      </c>
      <c r="B108" s="398" t="s">
        <v>987</v>
      </c>
      <c r="C108" s="440" t="s">
        <v>891</v>
      </c>
      <c r="D108" s="398">
        <v>5</v>
      </c>
      <c r="E108" s="398"/>
      <c r="F108" s="440">
        <v>0</v>
      </c>
      <c r="G108" s="398">
        <f>IF(C108="RAID5",(((15-F108)*3723))+(4*(((15-F108)*3723))),(((14-F108)*3723))+(4*(((14-F108)*3723))))</f>
        <v>279225</v>
      </c>
      <c r="H108" s="399">
        <v>320</v>
      </c>
      <c r="I108" s="399">
        <v>2675</v>
      </c>
      <c r="J108" s="399">
        <v>640</v>
      </c>
      <c r="K108" s="399"/>
      <c r="L108" s="399"/>
      <c r="M108" s="400">
        <f ca="1">IF(MAX(IF($B$6="No",ROUNDUP($B$3/$I108,0),ROUNDUP(($B$3+$I108)/$I108,0)),IF($B$6="No",ROUNDUP($B$4/$G108,0),ROUNDUP(($B$4+$G108)/$G108,0)),ROUNDUP('BVMS checklist'!$H$217/$J108,0))&gt;1,'BVMS checklist'!$H$224,'BVMS checklist'!$H$217)</f>
        <v>0</v>
      </c>
      <c r="N108" s="398">
        <f t="shared" ca="1" si="557"/>
        <v>2</v>
      </c>
      <c r="O108" s="400">
        <f t="shared" ca="1" si="584"/>
        <v>2</v>
      </c>
      <c r="P108" s="400">
        <f t="shared" ca="1" si="548"/>
        <v>5350</v>
      </c>
      <c r="Q108" s="400">
        <f t="shared" ca="1" si="549"/>
        <v>0</v>
      </c>
      <c r="R108" s="398">
        <f t="shared" ca="1" si="550"/>
        <v>558450</v>
      </c>
      <c r="S108" s="401" t="str">
        <f t="shared" ca="1" si="558"/>
        <v/>
      </c>
      <c r="T108" s="398">
        <f t="shared" ca="1" si="559"/>
        <v>1280</v>
      </c>
      <c r="U108" s="400">
        <f ca="1">IF(MAX(IF($B$6="No",ROUNDUP($B$3/$I108,0),ROUNDUP(($B$3+$I108)/$I108,0)),IF($B$6="No",ROUNDUP($B$4/$G108,0),ROUNDUP(($B$4+$G108)/$G108,0)),ROUNDUP('BVMS checklist'!$H$217/$J108,0))&gt;1,'BVMS checklist'!$H$224,'BVMS checklist'!$H$217)+MAX(IF($B$6="No",ROUNDUP($B$3/$I108,0),ROUNDUP(($B$3+$I108)/$I108,0)),IF($B$6="No",ROUNDUP($B$4/$G108,0),ROUNDUP(($B$4+$G108)/$G108,0)))+$B$5</f>
        <v>1</v>
      </c>
      <c r="V108" s="400" t="b">
        <f t="shared" ca="1" si="551"/>
        <v>1</v>
      </c>
      <c r="W108" s="400" t="str">
        <f t="shared" ca="1" si="585"/>
        <v>Accepted</v>
      </c>
      <c r="X108" s="398" t="str">
        <f t="shared" ca="1" si="560"/>
        <v>No</v>
      </c>
      <c r="Y108" s="398" t="str">
        <f t="shared" ca="1" si="561"/>
        <v/>
      </c>
      <c r="Z108" s="398" t="str">
        <f t="shared" ca="1" si="562"/>
        <v/>
      </c>
      <c r="AA108" s="398">
        <f t="shared" ca="1" si="586"/>
        <v>6</v>
      </c>
      <c r="AB108" s="398">
        <f t="shared" ca="1" si="552"/>
        <v>2</v>
      </c>
      <c r="AC108" s="398">
        <f t="shared" ca="1" si="553"/>
        <v>640</v>
      </c>
      <c r="AD108" s="398">
        <f t="shared" ca="1" si="587"/>
        <v>558450</v>
      </c>
      <c r="AE108" s="399">
        <f t="shared" si="540"/>
        <v>0</v>
      </c>
      <c r="AF108" s="399">
        <f t="shared" si="541"/>
        <v>0</v>
      </c>
      <c r="AG108" s="483" t="str">
        <f t="shared" ca="1" si="563"/>
        <v/>
      </c>
      <c r="AH108" s="400">
        <f ca="1">IF(MAX(IF($C$6="No",ROUNDUP($C$3/$I108,0),ROUNDUP(($C$3+$I108)/$I108,0)),IF($C$6="No",ROUNDUP($C$4/$G108,0),ROUNDUP(($C$4+$G108)/$G108,0)),ROUNDUP('BVMS checklist'!$H$217/$J108,0))&gt;1,'BVMS checklist'!$J$224,'BVMS checklist'!$J$217)</f>
        <v>0</v>
      </c>
      <c r="AI108" s="398">
        <f t="shared" ca="1" si="564"/>
        <v>2</v>
      </c>
      <c r="AJ108" s="400">
        <f t="shared" ca="1" si="588"/>
        <v>2</v>
      </c>
      <c r="AK108" s="400">
        <f t="shared" ca="1" si="589"/>
        <v>5350</v>
      </c>
      <c r="AL108" s="400">
        <f t="shared" ca="1" si="590"/>
        <v>0</v>
      </c>
      <c r="AM108" s="398">
        <f t="shared" ca="1" si="591"/>
        <v>558450</v>
      </c>
      <c r="AN108" s="401" t="str">
        <f t="shared" ca="1" si="565"/>
        <v/>
      </c>
      <c r="AO108" s="398">
        <f t="shared" ca="1" si="592"/>
        <v>1280</v>
      </c>
      <c r="AP108" s="400">
        <f ca="1">IF(MAX(IF($C$6="No",ROUNDUP($C$3/$I108,0),ROUNDUP(($C$3+$I108)/$I108,0)),IF($C$6="No",ROUNDUP($C$4/$G108,0),ROUNDUP(($C$4+$G108)/$G108,0)),ROUNDUP('BVMS checklist'!$H$217/$J108,0))&gt;1,'BVMS checklist'!$J$224,'BVMS checklist'!$J$217)+MAX(IF($C$6="No",ROUNDUP($C$3/$I108,0),ROUNDUP(($C$3+$I108)/$I108,0)),IF($C$6="No",ROUNDUP($C$4/$G108,0),ROUNDUP(($C$4+$G108)/$G108,0)))+$C$5</f>
        <v>1</v>
      </c>
      <c r="AQ108" s="400" t="b">
        <f t="shared" ca="1" si="554"/>
        <v>1</v>
      </c>
      <c r="AR108" s="400" t="str">
        <f t="shared" ca="1" si="593"/>
        <v>Accepted</v>
      </c>
      <c r="AS108" s="398" t="str">
        <f t="shared" ca="1" si="579"/>
        <v>No</v>
      </c>
      <c r="AT108" s="398" t="str">
        <f t="shared" ca="1" si="594"/>
        <v/>
      </c>
      <c r="AU108" s="398" t="str">
        <f t="shared" ca="1" si="566"/>
        <v/>
      </c>
      <c r="AV108" s="398">
        <f t="shared" ca="1" si="567"/>
        <v>6</v>
      </c>
      <c r="AW108" s="398">
        <f t="shared" ca="1" si="595"/>
        <v>2</v>
      </c>
      <c r="AX108" s="398">
        <f t="shared" ca="1" si="596"/>
        <v>640</v>
      </c>
      <c r="AY108" s="398">
        <f t="shared" ca="1" si="597"/>
        <v>558450</v>
      </c>
      <c r="AZ108" s="399">
        <f t="shared" si="542"/>
        <v>0</v>
      </c>
      <c r="BA108" s="399">
        <f t="shared" si="543"/>
        <v>0</v>
      </c>
      <c r="BB108" s="483" t="str">
        <f t="shared" ca="1" si="568"/>
        <v/>
      </c>
      <c r="BC108" s="400">
        <f ca="1">IF(MAX(IF($D$6="No",ROUNDUP($D$3/$I108,0),ROUNDUP(($D$3+$I108)/$I108,0)),IF($D$6="No",ROUNDUP($D$4/$G108,0),ROUNDUP(($D$4+$G108)/$G108,0)),ROUNDUP('BVMS checklist'!$H$217/$J108,0))&gt;1,'BVMS checklist'!$L$224,'BVMS checklist'!$L$217)</f>
        <v>0</v>
      </c>
      <c r="BD108" s="398">
        <f t="shared" ca="1" si="569"/>
        <v>2</v>
      </c>
      <c r="BE108" s="400">
        <f t="shared" si="598"/>
        <v>1</v>
      </c>
      <c r="BF108" s="400">
        <f t="shared" si="599"/>
        <v>2675</v>
      </c>
      <c r="BG108" s="400">
        <f t="shared" ca="1" si="580"/>
        <v>0</v>
      </c>
      <c r="BH108" s="398">
        <f t="shared" ca="1" si="600"/>
        <v>558450</v>
      </c>
      <c r="BI108" s="401" t="str">
        <f t="shared" ca="1" si="570"/>
        <v/>
      </c>
      <c r="BJ108" s="398">
        <f t="shared" ca="1" si="601"/>
        <v>1280</v>
      </c>
      <c r="BK108" s="400">
        <f ca="1">IF(MAX(IF($D$6="No",ROUNDUP($D$3/$I108,0),ROUNDUP(($D$3+$I108)/$I108,0)),IF($D$6="No",ROUNDUP($D$4/$G108,0),ROUNDUP(($D$4+$G108)/$G108,0)),ROUNDUP('BVMS checklist'!$H$217/$J108,0))&gt;1,'BVMS checklist'!$L$224,'BVMS checklist'!$L$217)+MAX(IF($D$6="No",ROUNDUP($D$3/$I108,0),ROUNDUP(($D$3+$I108)/$I108,0)),IF($D$6="No",ROUNDUP($D$4/$G108,0),ROUNDUP(($D$4+$G108)/$G108,0)))+$D$5</f>
        <v>1</v>
      </c>
      <c r="BL108" s="400" t="b">
        <f t="shared" ca="1" si="555"/>
        <v>1</v>
      </c>
      <c r="BM108" s="400" t="str">
        <f t="shared" ca="1" si="602"/>
        <v>Accepted</v>
      </c>
      <c r="BN108" s="398" t="str">
        <f t="shared" ca="1" si="581"/>
        <v>No</v>
      </c>
      <c r="BO108" s="398" t="str">
        <f t="shared" ca="1" si="603"/>
        <v/>
      </c>
      <c r="BP108" s="398" t="str">
        <f t="shared" ca="1" si="571"/>
        <v/>
      </c>
      <c r="BQ108" s="398">
        <f t="shared" ca="1" si="572"/>
        <v>6</v>
      </c>
      <c r="BR108" s="398">
        <f t="shared" ca="1" si="604"/>
        <v>2</v>
      </c>
      <c r="BS108" s="398">
        <f t="shared" ca="1" si="605"/>
        <v>640</v>
      </c>
      <c r="BT108" s="398">
        <f t="shared" ca="1" si="606"/>
        <v>558450</v>
      </c>
      <c r="BU108" s="399">
        <f t="shared" si="544"/>
        <v>0</v>
      </c>
      <c r="BV108" s="399">
        <f t="shared" si="545"/>
        <v>0</v>
      </c>
      <c r="BW108" s="483" t="str">
        <f t="shared" ca="1" si="573"/>
        <v/>
      </c>
      <c r="BX108" s="400">
        <f ca="1">IF(MAX(IF($E$6="No",ROUNDUP($E$3/$I108,0),ROUNDUP(($E$3+$I108)/$I108,0)),IF($E$6="No",ROUNDUP($E$4/$G108,0),ROUNDUP(($E$4+$G108)/$G108,0)),ROUNDUP('BVMS checklist'!$H$217/$J108,0))&gt;1,'BVMS checklist'!$N$224,'BVMS checklist'!$N$217)</f>
        <v>0</v>
      </c>
      <c r="BY108" s="398">
        <f t="shared" ca="1" si="574"/>
        <v>2</v>
      </c>
      <c r="BZ108" s="400">
        <f t="shared" ca="1" si="607"/>
        <v>2</v>
      </c>
      <c r="CA108" s="400">
        <f t="shared" ca="1" si="608"/>
        <v>5350</v>
      </c>
      <c r="CB108" s="400">
        <f t="shared" ca="1" si="582"/>
        <v>0</v>
      </c>
      <c r="CC108" s="398">
        <f t="shared" ca="1" si="609"/>
        <v>558450</v>
      </c>
      <c r="CD108" s="401" t="str">
        <f t="shared" ca="1" si="575"/>
        <v/>
      </c>
      <c r="CE108" s="398">
        <f t="shared" ca="1" si="610"/>
        <v>1280</v>
      </c>
      <c r="CF108" s="400">
        <f ca="1">IF(MAX(IF($E$6="No",ROUNDUP($E$3/$I108,0),ROUNDUP(($E$3+$I108)/$I108,0)),IF($E$6="No",ROUNDUP($E$4/$G108,0),ROUNDUP(($E$4+$G108)/$G108,0)),ROUNDUP('BVMS checklist'!$H$217/$J108,0))&gt;1,'BVMS checklist'!$N$224,'BVMS checklist'!$N$217)+MAX(IF($E$6="No",ROUNDUP($E$3/$I108,0),ROUNDUP(($E$3+$I108)/$I108,0)),IF($E$6="No",ROUNDUP($E$4/$G108,0),ROUNDUP(($E$4+$G108)/$G108,0)))+$E$5</f>
        <v>1</v>
      </c>
      <c r="CG108" s="400" t="b">
        <f t="shared" ca="1" si="556"/>
        <v>1</v>
      </c>
      <c r="CH108" s="400" t="str">
        <f t="shared" ca="1" si="611"/>
        <v>Accepted</v>
      </c>
      <c r="CI108" s="398" t="str">
        <f t="shared" ca="1" si="583"/>
        <v>No</v>
      </c>
      <c r="CJ108" s="398" t="str">
        <f t="shared" ca="1" si="612"/>
        <v/>
      </c>
      <c r="CK108" s="398" t="str">
        <f t="shared" ca="1" si="576"/>
        <v/>
      </c>
      <c r="CL108" s="398">
        <f t="shared" ca="1" si="577"/>
        <v>6</v>
      </c>
      <c r="CM108" s="398">
        <f t="shared" ca="1" si="613"/>
        <v>2</v>
      </c>
      <c r="CN108" s="398">
        <f t="shared" ca="1" si="614"/>
        <v>640</v>
      </c>
      <c r="CO108" s="398">
        <f t="shared" ca="1" si="615"/>
        <v>558450</v>
      </c>
      <c r="CP108" s="399">
        <f t="shared" si="546"/>
        <v>0</v>
      </c>
      <c r="CQ108" s="399">
        <f t="shared" si="547"/>
        <v>0</v>
      </c>
      <c r="CR108" s="483" t="str">
        <f t="shared" ca="1" si="578"/>
        <v/>
      </c>
      <c r="CS108"/>
    </row>
    <row r="109" spans="1:97">
      <c r="A109" s="398" t="s">
        <v>391</v>
      </c>
      <c r="B109" s="398" t="s">
        <v>987</v>
      </c>
      <c r="C109" s="440" t="s">
        <v>891</v>
      </c>
      <c r="D109" s="398">
        <v>2</v>
      </c>
      <c r="E109" s="398"/>
      <c r="F109" s="440">
        <v>0</v>
      </c>
      <c r="G109" s="398">
        <f>IF(C109="RAID5",(((7-F109)*5586))+(1*(((7-F109)*2793))),(((6-F109)*5586))+(1*(((6-F109)*2793))))</f>
        <v>58653</v>
      </c>
      <c r="H109" s="399">
        <v>72</v>
      </c>
      <c r="I109" s="399">
        <v>1025</v>
      </c>
      <c r="J109" s="399">
        <v>256</v>
      </c>
      <c r="K109" s="399"/>
      <c r="L109" s="399"/>
      <c r="M109" s="400">
        <f ca="1">IF(MAX(IF($B$6="No",ROUNDUP($B$3/$I109,0),ROUNDUP(($B$3+$I109)/$I109,0)),IF($B$6="No",ROUNDUP($B$4/$G109,0),ROUNDUP(($B$4+$G109)/$G109,0)),ROUNDUP('BVMS checklist'!$H$217/$J109,0))&gt;1,'BVMS checklist'!$H$224,'BVMS checklist'!$H$217)</f>
        <v>0</v>
      </c>
      <c r="N109" s="398">
        <f t="shared" ca="1" si="557"/>
        <v>2</v>
      </c>
      <c r="O109" s="400">
        <f t="shared" ca="1" si="584"/>
        <v>2</v>
      </c>
      <c r="P109" s="400">
        <f t="shared" ca="1" si="548"/>
        <v>2050</v>
      </c>
      <c r="Q109" s="400">
        <f t="shared" ca="1" si="549"/>
        <v>0</v>
      </c>
      <c r="R109" s="398">
        <f t="shared" ca="1" si="550"/>
        <v>117306</v>
      </c>
      <c r="S109" s="401" t="str">
        <f t="shared" ca="1" si="558"/>
        <v/>
      </c>
      <c r="T109" s="398">
        <f t="shared" ca="1" si="559"/>
        <v>512</v>
      </c>
      <c r="U109" s="400">
        <f ca="1">IF(MAX(IF($B$6="No",ROUNDUP($B$3/$I109,0),ROUNDUP(($B$3+$I109)/$I109,0)),IF($B$6="No",ROUNDUP($B$4/$G109,0),ROUNDUP(($B$4+$G109)/$G109,0)),ROUNDUP('BVMS checklist'!$H$217/$J109,0))&gt;1,'BVMS checklist'!$H$224,'BVMS checklist'!$H$217)+MAX(IF($B$6="No",ROUNDUP($B$3/$I109,0),ROUNDUP(($B$3+$I109)/$I109,0)),IF($B$6="No",ROUNDUP($B$4/$G109,0),ROUNDUP(($B$4+$G109)/$G109,0)))+$B$5</f>
        <v>1</v>
      </c>
      <c r="V109" s="400" t="b">
        <f t="shared" ca="1" si="551"/>
        <v>1</v>
      </c>
      <c r="W109" s="400" t="str">
        <f t="shared" ca="1" si="585"/>
        <v>Accepted</v>
      </c>
      <c r="X109" s="398" t="str">
        <f t="shared" ca="1" si="560"/>
        <v>No</v>
      </c>
      <c r="Y109" s="398" t="str">
        <f t="shared" ca="1" si="561"/>
        <v/>
      </c>
      <c r="Z109" s="398" t="str">
        <f t="shared" ca="1" si="562"/>
        <v/>
      </c>
      <c r="AA109" s="398">
        <f t="shared" ca="1" si="586"/>
        <v>6</v>
      </c>
      <c r="AB109" s="398">
        <f t="shared" ca="1" si="552"/>
        <v>2</v>
      </c>
      <c r="AC109" s="398">
        <f t="shared" ca="1" si="553"/>
        <v>144</v>
      </c>
      <c r="AD109" s="398">
        <f t="shared" ca="1" si="587"/>
        <v>117306</v>
      </c>
      <c r="AE109" s="399">
        <f t="shared" si="540"/>
        <v>0</v>
      </c>
      <c r="AF109" s="399">
        <f t="shared" si="541"/>
        <v>0</v>
      </c>
      <c r="AG109" s="483" t="str">
        <f t="shared" ca="1" si="563"/>
        <v/>
      </c>
      <c r="AH109" s="400">
        <f ca="1">IF(MAX(IF($C$6="No",ROUNDUP($C$3/$I109,0),ROUNDUP(($C$3+$I109)/$I109,0)),IF($C$6="No",ROUNDUP($C$4/$G109,0),ROUNDUP(($C$4+$G109)/$G109,0)),ROUNDUP('BVMS checklist'!$H$217/$J109,0))&gt;1,'BVMS checklist'!$J$224,'BVMS checklist'!$J$217)</f>
        <v>0</v>
      </c>
      <c r="AI109" s="398">
        <f t="shared" ca="1" si="564"/>
        <v>2</v>
      </c>
      <c r="AJ109" s="400">
        <f t="shared" ca="1" si="588"/>
        <v>2</v>
      </c>
      <c r="AK109" s="400">
        <f t="shared" ca="1" si="589"/>
        <v>2050</v>
      </c>
      <c r="AL109" s="400">
        <f t="shared" ca="1" si="590"/>
        <v>0</v>
      </c>
      <c r="AM109" s="398">
        <f t="shared" ca="1" si="591"/>
        <v>117306</v>
      </c>
      <c r="AN109" s="401" t="str">
        <f t="shared" ca="1" si="565"/>
        <v/>
      </c>
      <c r="AO109" s="398">
        <f t="shared" ca="1" si="592"/>
        <v>512</v>
      </c>
      <c r="AP109" s="400">
        <f ca="1">IF(MAX(IF($C$6="No",ROUNDUP($C$3/$I109,0),ROUNDUP(($C$3+$I109)/$I109,0)),IF($C$6="No",ROUNDUP($C$4/$G109,0),ROUNDUP(($C$4+$G109)/$G109,0)),ROUNDUP('BVMS checklist'!$H$217/$J109,0))&gt;1,'BVMS checklist'!$J$224,'BVMS checklist'!$J$217)+MAX(IF($C$6="No",ROUNDUP($C$3/$I109,0),ROUNDUP(($C$3+$I109)/$I109,0)),IF($C$6="No",ROUNDUP($C$4/$G109,0),ROUNDUP(($C$4+$G109)/$G109,0)))+$C$5</f>
        <v>1</v>
      </c>
      <c r="AQ109" s="400" t="b">
        <f t="shared" ca="1" si="554"/>
        <v>1</v>
      </c>
      <c r="AR109" s="400" t="str">
        <f t="shared" ca="1" si="593"/>
        <v>Accepted</v>
      </c>
      <c r="AS109" s="398" t="str">
        <f t="shared" ca="1" si="579"/>
        <v>No</v>
      </c>
      <c r="AT109" s="398" t="str">
        <f t="shared" ca="1" si="594"/>
        <v/>
      </c>
      <c r="AU109" s="398" t="str">
        <f t="shared" ca="1" si="566"/>
        <v/>
      </c>
      <c r="AV109" s="398">
        <f t="shared" ca="1" si="567"/>
        <v>6</v>
      </c>
      <c r="AW109" s="398">
        <f t="shared" ca="1" si="595"/>
        <v>2</v>
      </c>
      <c r="AX109" s="398">
        <f t="shared" ca="1" si="596"/>
        <v>144</v>
      </c>
      <c r="AY109" s="398">
        <f t="shared" ca="1" si="597"/>
        <v>117306</v>
      </c>
      <c r="AZ109" s="399">
        <f t="shared" si="542"/>
        <v>0</v>
      </c>
      <c r="BA109" s="399">
        <f t="shared" si="543"/>
        <v>0</v>
      </c>
      <c r="BB109" s="483" t="str">
        <f t="shared" ca="1" si="568"/>
        <v/>
      </c>
      <c r="BC109" s="400">
        <f ca="1">IF(MAX(IF($D$6="No",ROUNDUP($D$3/$I109,0),ROUNDUP(($D$3+$I109)/$I109,0)),IF($D$6="No",ROUNDUP($D$4/$G109,0),ROUNDUP(($D$4+$G109)/$G109,0)),ROUNDUP('BVMS checklist'!$H$217/$J109,0))&gt;1,'BVMS checklist'!$L$224,'BVMS checklist'!$L$217)</f>
        <v>0</v>
      </c>
      <c r="BD109" s="398">
        <f t="shared" ca="1" si="569"/>
        <v>2</v>
      </c>
      <c r="BE109" s="400">
        <f t="shared" si="598"/>
        <v>1</v>
      </c>
      <c r="BF109" s="400">
        <f t="shared" si="599"/>
        <v>1025</v>
      </c>
      <c r="BG109" s="400">
        <f t="shared" ca="1" si="580"/>
        <v>0</v>
      </c>
      <c r="BH109" s="398">
        <f t="shared" ca="1" si="600"/>
        <v>117306</v>
      </c>
      <c r="BI109" s="401" t="str">
        <f t="shared" ca="1" si="570"/>
        <v/>
      </c>
      <c r="BJ109" s="398">
        <f t="shared" ca="1" si="601"/>
        <v>512</v>
      </c>
      <c r="BK109" s="400">
        <f ca="1">IF(MAX(IF($D$6="No",ROUNDUP($D$3/$I109,0),ROUNDUP(($D$3+$I109)/$I109,0)),IF($D$6="No",ROUNDUP($D$4/$G109,0),ROUNDUP(($D$4+$G109)/$G109,0)),ROUNDUP('BVMS checklist'!$H$217/$J109,0))&gt;1,'BVMS checklist'!$L$224,'BVMS checklist'!$L$217)+MAX(IF($D$6="No",ROUNDUP($D$3/$I109,0),ROUNDUP(($D$3+$I109)/$I109,0)),IF($D$6="No",ROUNDUP($D$4/$G109,0),ROUNDUP(($D$4+$G109)/$G109,0)))+$D$5</f>
        <v>1</v>
      </c>
      <c r="BL109" s="400" t="b">
        <f t="shared" ca="1" si="555"/>
        <v>1</v>
      </c>
      <c r="BM109" s="400" t="str">
        <f t="shared" ca="1" si="602"/>
        <v>Accepted</v>
      </c>
      <c r="BN109" s="398" t="str">
        <f t="shared" ca="1" si="581"/>
        <v>No</v>
      </c>
      <c r="BO109" s="398" t="str">
        <f t="shared" ca="1" si="603"/>
        <v/>
      </c>
      <c r="BP109" s="398" t="str">
        <f t="shared" ca="1" si="571"/>
        <v/>
      </c>
      <c r="BQ109" s="398">
        <f t="shared" ca="1" si="572"/>
        <v>6</v>
      </c>
      <c r="BR109" s="398">
        <f t="shared" ca="1" si="604"/>
        <v>2</v>
      </c>
      <c r="BS109" s="398">
        <f t="shared" ca="1" si="605"/>
        <v>144</v>
      </c>
      <c r="BT109" s="398">
        <f t="shared" ca="1" si="606"/>
        <v>117306</v>
      </c>
      <c r="BU109" s="399">
        <f t="shared" si="544"/>
        <v>0</v>
      </c>
      <c r="BV109" s="399">
        <f t="shared" si="545"/>
        <v>0</v>
      </c>
      <c r="BW109" s="483" t="str">
        <f t="shared" ca="1" si="573"/>
        <v/>
      </c>
      <c r="BX109" s="400">
        <f ca="1">IF(MAX(IF($E$6="No",ROUNDUP($E$3/$I109,0),ROUNDUP(($E$3+$I109)/$I109,0)),IF($E$6="No",ROUNDUP($E$4/$G109,0),ROUNDUP(($E$4+$G109)/$G109,0)),ROUNDUP('BVMS checklist'!$H$217/$J109,0))&gt;1,'BVMS checklist'!$N$224,'BVMS checklist'!$N$217)</f>
        <v>0</v>
      </c>
      <c r="BY109" s="398">
        <f t="shared" ca="1" si="574"/>
        <v>2</v>
      </c>
      <c r="BZ109" s="400">
        <f t="shared" ca="1" si="607"/>
        <v>2</v>
      </c>
      <c r="CA109" s="400">
        <f t="shared" ca="1" si="608"/>
        <v>2050</v>
      </c>
      <c r="CB109" s="400">
        <f t="shared" ca="1" si="582"/>
        <v>0</v>
      </c>
      <c r="CC109" s="398">
        <f t="shared" ca="1" si="609"/>
        <v>117306</v>
      </c>
      <c r="CD109" s="401" t="str">
        <f t="shared" ca="1" si="575"/>
        <v/>
      </c>
      <c r="CE109" s="398">
        <f t="shared" ca="1" si="610"/>
        <v>512</v>
      </c>
      <c r="CF109" s="400">
        <f ca="1">IF(MAX(IF($E$6="No",ROUNDUP($E$3/$I109,0),ROUNDUP(($E$3+$I109)/$I109,0)),IF($E$6="No",ROUNDUP($E$4/$G109,0),ROUNDUP(($E$4+$G109)/$G109,0)),ROUNDUP('BVMS checklist'!$H$217/$J109,0))&gt;1,'BVMS checklist'!$N$224,'BVMS checklist'!$N$217)+MAX(IF($E$6="No",ROUNDUP($E$3/$I109,0),ROUNDUP(($E$3+$I109)/$I109,0)),IF($E$6="No",ROUNDUP($E$4/$G109,0),ROUNDUP(($E$4+$G109)/$G109,0)))+$E$5</f>
        <v>1</v>
      </c>
      <c r="CG109" s="400" t="b">
        <f t="shared" ca="1" si="556"/>
        <v>1</v>
      </c>
      <c r="CH109" s="400" t="str">
        <f t="shared" ca="1" si="611"/>
        <v>Accepted</v>
      </c>
      <c r="CI109" s="398" t="str">
        <f t="shared" ca="1" si="583"/>
        <v>No</v>
      </c>
      <c r="CJ109" s="398" t="str">
        <f t="shared" ca="1" si="612"/>
        <v/>
      </c>
      <c r="CK109" s="398" t="str">
        <f t="shared" ca="1" si="576"/>
        <v/>
      </c>
      <c r="CL109" s="398">
        <f t="shared" ca="1" si="577"/>
        <v>6</v>
      </c>
      <c r="CM109" s="398">
        <f t="shared" ca="1" si="613"/>
        <v>2</v>
      </c>
      <c r="CN109" s="398">
        <f t="shared" ca="1" si="614"/>
        <v>144</v>
      </c>
      <c r="CO109" s="398">
        <f t="shared" ca="1" si="615"/>
        <v>117306</v>
      </c>
      <c r="CP109" s="399">
        <f t="shared" si="546"/>
        <v>0</v>
      </c>
      <c r="CQ109" s="399">
        <f t="shared" si="547"/>
        <v>0</v>
      </c>
      <c r="CR109" s="483" t="str">
        <f t="shared" ca="1" si="578"/>
        <v/>
      </c>
      <c r="CS109"/>
    </row>
    <row r="110" spans="1:97">
      <c r="A110" s="398" t="s">
        <v>392</v>
      </c>
      <c r="B110" s="398" t="s">
        <v>987</v>
      </c>
      <c r="C110" s="440" t="s">
        <v>891</v>
      </c>
      <c r="D110" s="398">
        <v>3</v>
      </c>
      <c r="E110" s="398"/>
      <c r="F110" s="440">
        <v>0</v>
      </c>
      <c r="G110" s="398">
        <f>IF(C110="RAID5",(((7-F110)*5586))+(2*(((7-F110)*2793))),(((6-F110)*5586))+(2*(((6-F110)*2793))))</f>
        <v>78204</v>
      </c>
      <c r="H110" s="399">
        <v>96</v>
      </c>
      <c r="I110" s="399">
        <v>1575</v>
      </c>
      <c r="J110" s="399">
        <v>384</v>
      </c>
      <c r="K110" s="399"/>
      <c r="L110" s="399"/>
      <c r="M110" s="400">
        <f ca="1">IF(MAX(IF($B$6="No",ROUNDUP($B$3/$I110,0),ROUNDUP(($B$3+$I110)/$I110,0)),IF($B$6="No",ROUNDUP($B$4/$G110,0),ROUNDUP(($B$4+$G110)/$G110,0)),ROUNDUP('BVMS checklist'!$H$217/$J110,0))&gt;1,'BVMS checklist'!$H$224,'BVMS checklist'!$H$217)</f>
        <v>0</v>
      </c>
      <c r="N110" s="398">
        <f t="shared" ca="1" si="557"/>
        <v>2</v>
      </c>
      <c r="O110" s="400">
        <f t="shared" ca="1" si="584"/>
        <v>2</v>
      </c>
      <c r="P110" s="400">
        <f t="shared" ca="1" si="548"/>
        <v>3150</v>
      </c>
      <c r="Q110" s="400">
        <f t="shared" ca="1" si="549"/>
        <v>0</v>
      </c>
      <c r="R110" s="398">
        <f t="shared" ca="1" si="550"/>
        <v>156408</v>
      </c>
      <c r="S110" s="401" t="str">
        <f t="shared" ca="1" si="558"/>
        <v/>
      </c>
      <c r="T110" s="398">
        <f t="shared" ca="1" si="559"/>
        <v>768</v>
      </c>
      <c r="U110" s="400">
        <f ca="1">IF(MAX(IF($B$6="No",ROUNDUP($B$3/$I110,0),ROUNDUP(($B$3+$I110)/$I110,0)),IF($B$6="No",ROUNDUP($B$4/$G110,0),ROUNDUP(($B$4+$G110)/$G110,0)),ROUNDUP('BVMS checklist'!$H$217/$J110,0))&gt;1,'BVMS checklist'!$H$224,'BVMS checklist'!$H$217)+MAX(IF($B$6="No",ROUNDUP($B$3/$I110,0),ROUNDUP(($B$3+$I110)/$I110,0)),IF($B$6="No",ROUNDUP($B$4/$G110,0),ROUNDUP(($B$4+$G110)/$G110,0)))+$B$5</f>
        <v>1</v>
      </c>
      <c r="V110" s="400" t="b">
        <f t="shared" ca="1" si="551"/>
        <v>1</v>
      </c>
      <c r="W110" s="400" t="str">
        <f t="shared" ca="1" si="585"/>
        <v>Accepted</v>
      </c>
      <c r="X110" s="398" t="str">
        <f t="shared" ca="1" si="560"/>
        <v>No</v>
      </c>
      <c r="Y110" s="398" t="str">
        <f t="shared" ca="1" si="561"/>
        <v/>
      </c>
      <c r="Z110" s="398" t="str">
        <f t="shared" ca="1" si="562"/>
        <v/>
      </c>
      <c r="AA110" s="398">
        <f t="shared" ca="1" si="586"/>
        <v>6</v>
      </c>
      <c r="AB110" s="398">
        <f t="shared" ca="1" si="552"/>
        <v>2</v>
      </c>
      <c r="AC110" s="398">
        <f t="shared" ca="1" si="553"/>
        <v>192</v>
      </c>
      <c r="AD110" s="398">
        <f t="shared" ca="1" si="587"/>
        <v>156408</v>
      </c>
      <c r="AE110" s="399">
        <f t="shared" si="540"/>
        <v>0</v>
      </c>
      <c r="AF110" s="399">
        <f t="shared" si="541"/>
        <v>0</v>
      </c>
      <c r="AG110" s="483" t="str">
        <f t="shared" ca="1" si="563"/>
        <v/>
      </c>
      <c r="AH110" s="400">
        <f ca="1">IF(MAX(IF($C$6="No",ROUNDUP($C$3/$I110,0),ROUNDUP(($C$3+$I110)/$I110,0)),IF($C$6="No",ROUNDUP($C$4/$G110,0),ROUNDUP(($C$4+$G110)/$G110,0)),ROUNDUP('BVMS checklist'!$H$217/$J110,0))&gt;1,'BVMS checklist'!$J$224,'BVMS checklist'!$J$217)</f>
        <v>0</v>
      </c>
      <c r="AI110" s="398">
        <f t="shared" ca="1" si="564"/>
        <v>2</v>
      </c>
      <c r="AJ110" s="400">
        <f t="shared" ca="1" si="588"/>
        <v>2</v>
      </c>
      <c r="AK110" s="400">
        <f t="shared" ca="1" si="589"/>
        <v>3150</v>
      </c>
      <c r="AL110" s="400">
        <f t="shared" ca="1" si="590"/>
        <v>0</v>
      </c>
      <c r="AM110" s="398">
        <f t="shared" ca="1" si="591"/>
        <v>156408</v>
      </c>
      <c r="AN110" s="401" t="str">
        <f t="shared" ca="1" si="565"/>
        <v/>
      </c>
      <c r="AO110" s="398">
        <f t="shared" ca="1" si="592"/>
        <v>768</v>
      </c>
      <c r="AP110" s="400">
        <f ca="1">IF(MAX(IF($C$6="No",ROUNDUP($C$3/$I110,0),ROUNDUP(($C$3+$I110)/$I110,0)),IF($C$6="No",ROUNDUP($C$4/$G110,0),ROUNDUP(($C$4+$G110)/$G110,0)),ROUNDUP('BVMS checklist'!$H$217/$J110,0))&gt;1,'BVMS checklist'!$J$224,'BVMS checklist'!$J$217)+MAX(IF($C$6="No",ROUNDUP($C$3/$I110,0),ROUNDUP(($C$3+$I110)/$I110,0)),IF($C$6="No",ROUNDUP($C$4/$G110,0),ROUNDUP(($C$4+$G110)/$G110,0)))+$C$5</f>
        <v>1</v>
      </c>
      <c r="AQ110" s="400" t="b">
        <f t="shared" ca="1" si="554"/>
        <v>1</v>
      </c>
      <c r="AR110" s="400" t="str">
        <f t="shared" ca="1" si="593"/>
        <v>Accepted</v>
      </c>
      <c r="AS110" s="398" t="str">
        <f t="shared" ca="1" si="579"/>
        <v>No</v>
      </c>
      <c r="AT110" s="398" t="str">
        <f t="shared" ca="1" si="594"/>
        <v/>
      </c>
      <c r="AU110" s="398" t="str">
        <f t="shared" ca="1" si="566"/>
        <v/>
      </c>
      <c r="AV110" s="398">
        <f t="shared" ca="1" si="567"/>
        <v>6</v>
      </c>
      <c r="AW110" s="398">
        <f t="shared" ca="1" si="595"/>
        <v>2</v>
      </c>
      <c r="AX110" s="398">
        <f t="shared" ca="1" si="596"/>
        <v>192</v>
      </c>
      <c r="AY110" s="398">
        <f t="shared" ca="1" si="597"/>
        <v>156408</v>
      </c>
      <c r="AZ110" s="399">
        <f t="shared" si="542"/>
        <v>0</v>
      </c>
      <c r="BA110" s="399">
        <f t="shared" si="543"/>
        <v>0</v>
      </c>
      <c r="BB110" s="483" t="str">
        <f t="shared" ca="1" si="568"/>
        <v/>
      </c>
      <c r="BC110" s="400">
        <f ca="1">IF(MAX(IF($D$6="No",ROUNDUP($D$3/$I110,0),ROUNDUP(($D$3+$I110)/$I110,0)),IF($D$6="No",ROUNDUP($D$4/$G110,0),ROUNDUP(($D$4+$G110)/$G110,0)),ROUNDUP('BVMS checklist'!$H$217/$J110,0))&gt;1,'BVMS checklist'!$L$224,'BVMS checklist'!$L$217)</f>
        <v>0</v>
      </c>
      <c r="BD110" s="398">
        <f t="shared" ca="1" si="569"/>
        <v>2</v>
      </c>
      <c r="BE110" s="400">
        <f t="shared" si="598"/>
        <v>1</v>
      </c>
      <c r="BF110" s="400">
        <f t="shared" si="599"/>
        <v>1575</v>
      </c>
      <c r="BG110" s="400">
        <f t="shared" ca="1" si="580"/>
        <v>0</v>
      </c>
      <c r="BH110" s="398">
        <f t="shared" ca="1" si="600"/>
        <v>156408</v>
      </c>
      <c r="BI110" s="401" t="str">
        <f t="shared" ca="1" si="570"/>
        <v/>
      </c>
      <c r="BJ110" s="398">
        <f t="shared" ca="1" si="601"/>
        <v>768</v>
      </c>
      <c r="BK110" s="400">
        <f ca="1">IF(MAX(IF($D$6="No",ROUNDUP($D$3/$I110,0),ROUNDUP(($D$3+$I110)/$I110,0)),IF($D$6="No",ROUNDUP($D$4/$G110,0),ROUNDUP(($D$4+$G110)/$G110,0)),ROUNDUP('BVMS checklist'!$H$217/$J110,0))&gt;1,'BVMS checklist'!$L$224,'BVMS checklist'!$L$217)+MAX(IF($D$6="No",ROUNDUP($D$3/$I110,0),ROUNDUP(($D$3+$I110)/$I110,0)),IF($D$6="No",ROUNDUP($D$4/$G110,0),ROUNDUP(($D$4+$G110)/$G110,0)))+$D$5</f>
        <v>1</v>
      </c>
      <c r="BL110" s="400" t="b">
        <f t="shared" ca="1" si="555"/>
        <v>1</v>
      </c>
      <c r="BM110" s="400" t="str">
        <f t="shared" ca="1" si="602"/>
        <v>Accepted</v>
      </c>
      <c r="BN110" s="398" t="str">
        <f t="shared" ca="1" si="581"/>
        <v>No</v>
      </c>
      <c r="BO110" s="398" t="str">
        <f t="shared" ca="1" si="603"/>
        <v/>
      </c>
      <c r="BP110" s="398" t="str">
        <f t="shared" ca="1" si="571"/>
        <v/>
      </c>
      <c r="BQ110" s="398">
        <f t="shared" ca="1" si="572"/>
        <v>6</v>
      </c>
      <c r="BR110" s="398">
        <f t="shared" ca="1" si="604"/>
        <v>2</v>
      </c>
      <c r="BS110" s="398">
        <f t="shared" ca="1" si="605"/>
        <v>192</v>
      </c>
      <c r="BT110" s="398">
        <f t="shared" ca="1" si="606"/>
        <v>156408</v>
      </c>
      <c r="BU110" s="399">
        <f t="shared" si="544"/>
        <v>0</v>
      </c>
      <c r="BV110" s="399">
        <f t="shared" si="545"/>
        <v>0</v>
      </c>
      <c r="BW110" s="483" t="str">
        <f t="shared" ca="1" si="573"/>
        <v/>
      </c>
      <c r="BX110" s="400">
        <f ca="1">IF(MAX(IF($E$6="No",ROUNDUP($E$3/$I110,0),ROUNDUP(($E$3+$I110)/$I110,0)),IF($E$6="No",ROUNDUP($E$4/$G110,0),ROUNDUP(($E$4+$G110)/$G110,0)),ROUNDUP('BVMS checklist'!$H$217/$J110,0))&gt;1,'BVMS checklist'!$N$224,'BVMS checklist'!$N$217)</f>
        <v>0</v>
      </c>
      <c r="BY110" s="398">
        <f t="shared" ca="1" si="574"/>
        <v>2</v>
      </c>
      <c r="BZ110" s="400">
        <f t="shared" ca="1" si="607"/>
        <v>2</v>
      </c>
      <c r="CA110" s="400">
        <f t="shared" ca="1" si="608"/>
        <v>3150</v>
      </c>
      <c r="CB110" s="400">
        <f t="shared" ca="1" si="582"/>
        <v>0</v>
      </c>
      <c r="CC110" s="398">
        <f t="shared" ca="1" si="609"/>
        <v>156408</v>
      </c>
      <c r="CD110" s="401" t="str">
        <f t="shared" ca="1" si="575"/>
        <v/>
      </c>
      <c r="CE110" s="398">
        <f t="shared" ca="1" si="610"/>
        <v>768</v>
      </c>
      <c r="CF110" s="400">
        <f ca="1">IF(MAX(IF($E$6="No",ROUNDUP($E$3/$I110,0),ROUNDUP(($E$3+$I110)/$I110,0)),IF($E$6="No",ROUNDUP($E$4/$G110,0),ROUNDUP(($E$4+$G110)/$G110,0)),ROUNDUP('BVMS checklist'!$H$217/$J110,0))&gt;1,'BVMS checklist'!$N$224,'BVMS checklist'!$N$217)+MAX(IF($E$6="No",ROUNDUP($E$3/$I110,0),ROUNDUP(($E$3+$I110)/$I110,0)),IF($E$6="No",ROUNDUP($E$4/$G110,0),ROUNDUP(($E$4+$G110)/$G110,0)))+$E$5</f>
        <v>1</v>
      </c>
      <c r="CG110" s="400" t="b">
        <f t="shared" ca="1" si="556"/>
        <v>1</v>
      </c>
      <c r="CH110" s="400" t="str">
        <f t="shared" ca="1" si="611"/>
        <v>Accepted</v>
      </c>
      <c r="CI110" s="398" t="str">
        <f t="shared" ca="1" si="583"/>
        <v>No</v>
      </c>
      <c r="CJ110" s="398" t="str">
        <f t="shared" ca="1" si="612"/>
        <v/>
      </c>
      <c r="CK110" s="398" t="str">
        <f t="shared" ca="1" si="576"/>
        <v/>
      </c>
      <c r="CL110" s="398">
        <f t="shared" ca="1" si="577"/>
        <v>6</v>
      </c>
      <c r="CM110" s="398">
        <f t="shared" ca="1" si="613"/>
        <v>2</v>
      </c>
      <c r="CN110" s="398">
        <f t="shared" ca="1" si="614"/>
        <v>192</v>
      </c>
      <c r="CO110" s="398">
        <f t="shared" ca="1" si="615"/>
        <v>156408</v>
      </c>
      <c r="CP110" s="399">
        <f t="shared" si="546"/>
        <v>0</v>
      </c>
      <c r="CQ110" s="399">
        <f t="shared" si="547"/>
        <v>0</v>
      </c>
      <c r="CR110" s="483" t="str">
        <f t="shared" ca="1" si="578"/>
        <v/>
      </c>
      <c r="CS110"/>
    </row>
    <row r="111" spans="1:97">
      <c r="A111" s="398" t="s">
        <v>393</v>
      </c>
      <c r="B111" s="398" t="s">
        <v>987</v>
      </c>
      <c r="C111" s="440" t="s">
        <v>891</v>
      </c>
      <c r="D111" s="398">
        <v>4</v>
      </c>
      <c r="E111" s="398"/>
      <c r="F111" s="440">
        <v>0</v>
      </c>
      <c r="G111" s="398">
        <f>IF(C111="RAID5",(((7-F111)*5586))+(3*(((7-F111)*2793))),(((6-F111)*5586))+(3*(((6-F111)*2793))))</f>
        <v>97755</v>
      </c>
      <c r="H111" s="399">
        <v>120</v>
      </c>
      <c r="I111" s="399">
        <v>2125</v>
      </c>
      <c r="J111" s="399">
        <v>512</v>
      </c>
      <c r="K111" s="399"/>
      <c r="L111" s="399"/>
      <c r="M111" s="400">
        <f ca="1">IF(MAX(IF($B$6="No",ROUNDUP($B$3/$I111,0),ROUNDUP(($B$3+$I111)/$I111,0)),IF($B$6="No",ROUNDUP($B$4/$G111,0),ROUNDUP(($B$4+$G111)/$G111,0)),ROUNDUP('BVMS checklist'!$H$217/$J111,0))&gt;1,'BVMS checklist'!$H$224,'BVMS checklist'!$H$217)</f>
        <v>0</v>
      </c>
      <c r="N111" s="398">
        <f t="shared" ca="1" si="557"/>
        <v>2</v>
      </c>
      <c r="O111" s="400">
        <f t="shared" ca="1" si="584"/>
        <v>2</v>
      </c>
      <c r="P111" s="400">
        <f t="shared" ca="1" si="548"/>
        <v>4250</v>
      </c>
      <c r="Q111" s="400">
        <f t="shared" ca="1" si="549"/>
        <v>0</v>
      </c>
      <c r="R111" s="398">
        <f t="shared" ca="1" si="550"/>
        <v>195510</v>
      </c>
      <c r="S111" s="401" t="str">
        <f t="shared" ca="1" si="558"/>
        <v/>
      </c>
      <c r="T111" s="398">
        <f t="shared" ca="1" si="559"/>
        <v>1024</v>
      </c>
      <c r="U111" s="400">
        <f ca="1">IF(MAX(IF($B$6="No",ROUNDUP($B$3/$I111,0),ROUNDUP(($B$3+$I111)/$I111,0)),IF($B$6="No",ROUNDUP($B$4/$G111,0),ROUNDUP(($B$4+$G111)/$G111,0)),ROUNDUP('BVMS checklist'!$H$217/$J111,0))&gt;1,'BVMS checklist'!$H$224,'BVMS checklist'!$H$217)+MAX(IF($B$6="No",ROUNDUP($B$3/$I111,0),ROUNDUP(($B$3+$I111)/$I111,0)),IF($B$6="No",ROUNDUP($B$4/$G111,0),ROUNDUP(($B$4+$G111)/$G111,0)))+$B$5</f>
        <v>1</v>
      </c>
      <c r="V111" s="400" t="b">
        <f t="shared" ca="1" si="551"/>
        <v>1</v>
      </c>
      <c r="W111" s="400" t="str">
        <f t="shared" ca="1" si="585"/>
        <v>Accepted</v>
      </c>
      <c r="X111" s="398" t="str">
        <f t="shared" ca="1" si="560"/>
        <v>No</v>
      </c>
      <c r="Y111" s="398" t="str">
        <f t="shared" ca="1" si="561"/>
        <v/>
      </c>
      <c r="Z111" s="398" t="str">
        <f t="shared" ca="1" si="562"/>
        <v/>
      </c>
      <c r="AA111" s="398">
        <f t="shared" ca="1" si="586"/>
        <v>6</v>
      </c>
      <c r="AB111" s="398">
        <f t="shared" ca="1" si="552"/>
        <v>2</v>
      </c>
      <c r="AC111" s="398">
        <f t="shared" ca="1" si="553"/>
        <v>240</v>
      </c>
      <c r="AD111" s="398">
        <f t="shared" ca="1" si="587"/>
        <v>195510</v>
      </c>
      <c r="AE111" s="399">
        <f t="shared" si="540"/>
        <v>0</v>
      </c>
      <c r="AF111" s="399">
        <f t="shared" si="541"/>
        <v>0</v>
      </c>
      <c r="AG111" s="483" t="str">
        <f t="shared" ca="1" si="563"/>
        <v/>
      </c>
      <c r="AH111" s="400">
        <f ca="1">IF(MAX(IF($C$6="No",ROUNDUP($C$3/$I111,0),ROUNDUP(($C$3+$I111)/$I111,0)),IF($C$6="No",ROUNDUP($C$4/$G111,0),ROUNDUP(($C$4+$G111)/$G111,0)),ROUNDUP('BVMS checklist'!$H$217/$J111,0))&gt;1,'BVMS checklist'!$J$224,'BVMS checklist'!$J$217)</f>
        <v>0</v>
      </c>
      <c r="AI111" s="398">
        <f t="shared" ca="1" si="564"/>
        <v>2</v>
      </c>
      <c r="AJ111" s="400">
        <f t="shared" ca="1" si="588"/>
        <v>2</v>
      </c>
      <c r="AK111" s="400">
        <f t="shared" ca="1" si="589"/>
        <v>4250</v>
      </c>
      <c r="AL111" s="400">
        <f t="shared" ca="1" si="590"/>
        <v>0</v>
      </c>
      <c r="AM111" s="398">
        <f t="shared" ca="1" si="591"/>
        <v>195510</v>
      </c>
      <c r="AN111" s="401" t="str">
        <f t="shared" ca="1" si="565"/>
        <v/>
      </c>
      <c r="AO111" s="398">
        <f t="shared" ca="1" si="592"/>
        <v>1024</v>
      </c>
      <c r="AP111" s="400">
        <f ca="1">IF(MAX(IF($C$6="No",ROUNDUP($C$3/$I111,0),ROUNDUP(($C$3+$I111)/$I111,0)),IF($C$6="No",ROUNDUP($C$4/$G111,0),ROUNDUP(($C$4+$G111)/$G111,0)),ROUNDUP('BVMS checklist'!$H$217/$J111,0))&gt;1,'BVMS checklist'!$J$224,'BVMS checklist'!$J$217)+MAX(IF($C$6="No",ROUNDUP($C$3/$I111,0),ROUNDUP(($C$3+$I111)/$I111,0)),IF($C$6="No",ROUNDUP($C$4/$G111,0),ROUNDUP(($C$4+$G111)/$G111,0)))+$C$5</f>
        <v>1</v>
      </c>
      <c r="AQ111" s="400" t="b">
        <f t="shared" ca="1" si="554"/>
        <v>1</v>
      </c>
      <c r="AR111" s="400" t="str">
        <f t="shared" ca="1" si="593"/>
        <v>Accepted</v>
      </c>
      <c r="AS111" s="398" t="str">
        <f t="shared" ca="1" si="579"/>
        <v>No</v>
      </c>
      <c r="AT111" s="398" t="str">
        <f t="shared" ca="1" si="594"/>
        <v/>
      </c>
      <c r="AU111" s="398" t="str">
        <f t="shared" ca="1" si="566"/>
        <v/>
      </c>
      <c r="AV111" s="398">
        <f t="shared" ca="1" si="567"/>
        <v>6</v>
      </c>
      <c r="AW111" s="398">
        <f t="shared" ca="1" si="595"/>
        <v>2</v>
      </c>
      <c r="AX111" s="398">
        <f t="shared" ca="1" si="596"/>
        <v>240</v>
      </c>
      <c r="AY111" s="398">
        <f t="shared" ca="1" si="597"/>
        <v>195510</v>
      </c>
      <c r="AZ111" s="399">
        <f t="shared" si="542"/>
        <v>0</v>
      </c>
      <c r="BA111" s="399">
        <f t="shared" si="543"/>
        <v>0</v>
      </c>
      <c r="BB111" s="483" t="str">
        <f t="shared" ca="1" si="568"/>
        <v/>
      </c>
      <c r="BC111" s="400">
        <f ca="1">IF(MAX(IF($D$6="No",ROUNDUP($D$3/$I111,0),ROUNDUP(($D$3+$I111)/$I111,0)),IF($D$6="No",ROUNDUP($D$4/$G111,0),ROUNDUP(($D$4+$G111)/$G111,0)),ROUNDUP('BVMS checklist'!$H$217/$J111,0))&gt;1,'BVMS checklist'!$L$224,'BVMS checklist'!$L$217)</f>
        <v>0</v>
      </c>
      <c r="BD111" s="398">
        <f t="shared" ca="1" si="569"/>
        <v>2</v>
      </c>
      <c r="BE111" s="400">
        <f t="shared" si="598"/>
        <v>1</v>
      </c>
      <c r="BF111" s="400">
        <f t="shared" si="599"/>
        <v>2125</v>
      </c>
      <c r="BG111" s="400">
        <f t="shared" ca="1" si="580"/>
        <v>0</v>
      </c>
      <c r="BH111" s="398">
        <f t="shared" ca="1" si="600"/>
        <v>195510</v>
      </c>
      <c r="BI111" s="401" t="str">
        <f t="shared" ca="1" si="570"/>
        <v/>
      </c>
      <c r="BJ111" s="398">
        <f t="shared" ca="1" si="601"/>
        <v>1024</v>
      </c>
      <c r="BK111" s="400">
        <f ca="1">IF(MAX(IF($D$6="No",ROUNDUP($D$3/$I111,0),ROUNDUP(($D$3+$I111)/$I111,0)),IF($D$6="No",ROUNDUP($D$4/$G111,0),ROUNDUP(($D$4+$G111)/$G111,0)),ROUNDUP('BVMS checklist'!$H$217/$J111,0))&gt;1,'BVMS checklist'!$L$224,'BVMS checklist'!$L$217)+MAX(IF($D$6="No",ROUNDUP($D$3/$I111,0),ROUNDUP(($D$3+$I111)/$I111,0)),IF($D$6="No",ROUNDUP($D$4/$G111,0),ROUNDUP(($D$4+$G111)/$G111,0)))+$D$5</f>
        <v>1</v>
      </c>
      <c r="BL111" s="400" t="b">
        <f t="shared" ca="1" si="555"/>
        <v>1</v>
      </c>
      <c r="BM111" s="400" t="str">
        <f t="shared" ca="1" si="602"/>
        <v>Accepted</v>
      </c>
      <c r="BN111" s="398" t="str">
        <f t="shared" ca="1" si="581"/>
        <v>No</v>
      </c>
      <c r="BO111" s="398" t="str">
        <f t="shared" ca="1" si="603"/>
        <v/>
      </c>
      <c r="BP111" s="398" t="str">
        <f t="shared" ca="1" si="571"/>
        <v/>
      </c>
      <c r="BQ111" s="398">
        <f t="shared" ca="1" si="572"/>
        <v>6</v>
      </c>
      <c r="BR111" s="398">
        <f t="shared" ca="1" si="604"/>
        <v>2</v>
      </c>
      <c r="BS111" s="398">
        <f t="shared" ca="1" si="605"/>
        <v>240</v>
      </c>
      <c r="BT111" s="398">
        <f t="shared" ca="1" si="606"/>
        <v>195510</v>
      </c>
      <c r="BU111" s="399">
        <f t="shared" si="544"/>
        <v>0</v>
      </c>
      <c r="BV111" s="399">
        <f t="shared" si="545"/>
        <v>0</v>
      </c>
      <c r="BW111" s="483" t="str">
        <f t="shared" ca="1" si="573"/>
        <v/>
      </c>
      <c r="BX111" s="400">
        <f ca="1">IF(MAX(IF($E$6="No",ROUNDUP($E$3/$I111,0),ROUNDUP(($E$3+$I111)/$I111,0)),IF($E$6="No",ROUNDUP($E$4/$G111,0),ROUNDUP(($E$4+$G111)/$G111,0)),ROUNDUP('BVMS checklist'!$H$217/$J111,0))&gt;1,'BVMS checklist'!$N$224,'BVMS checklist'!$N$217)</f>
        <v>0</v>
      </c>
      <c r="BY111" s="398">
        <f t="shared" ca="1" si="574"/>
        <v>2</v>
      </c>
      <c r="BZ111" s="400">
        <f t="shared" ca="1" si="607"/>
        <v>2</v>
      </c>
      <c r="CA111" s="400">
        <f t="shared" ca="1" si="608"/>
        <v>4250</v>
      </c>
      <c r="CB111" s="400">
        <f t="shared" ca="1" si="582"/>
        <v>0</v>
      </c>
      <c r="CC111" s="398">
        <f t="shared" ca="1" si="609"/>
        <v>195510</v>
      </c>
      <c r="CD111" s="401" t="str">
        <f t="shared" ca="1" si="575"/>
        <v/>
      </c>
      <c r="CE111" s="398">
        <f t="shared" ca="1" si="610"/>
        <v>1024</v>
      </c>
      <c r="CF111" s="400">
        <f ca="1">IF(MAX(IF($E$6="No",ROUNDUP($E$3/$I111,0),ROUNDUP(($E$3+$I111)/$I111,0)),IF($E$6="No",ROUNDUP($E$4/$G111,0),ROUNDUP(($E$4+$G111)/$G111,0)),ROUNDUP('BVMS checklist'!$H$217/$J111,0))&gt;1,'BVMS checklist'!$N$224,'BVMS checklist'!$N$217)+MAX(IF($E$6="No",ROUNDUP($E$3/$I111,0),ROUNDUP(($E$3+$I111)/$I111,0)),IF($E$6="No",ROUNDUP($E$4/$G111,0),ROUNDUP(($E$4+$G111)/$G111,0)))+$E$5</f>
        <v>1</v>
      </c>
      <c r="CG111" s="400" t="b">
        <f t="shared" ca="1" si="556"/>
        <v>1</v>
      </c>
      <c r="CH111" s="400" t="str">
        <f t="shared" ca="1" si="611"/>
        <v>Accepted</v>
      </c>
      <c r="CI111" s="398" t="str">
        <f t="shared" ca="1" si="583"/>
        <v>No</v>
      </c>
      <c r="CJ111" s="398" t="str">
        <f t="shared" ca="1" si="612"/>
        <v/>
      </c>
      <c r="CK111" s="398" t="str">
        <f t="shared" ca="1" si="576"/>
        <v/>
      </c>
      <c r="CL111" s="398">
        <f t="shared" ca="1" si="577"/>
        <v>6</v>
      </c>
      <c r="CM111" s="398">
        <f t="shared" ca="1" si="613"/>
        <v>2</v>
      </c>
      <c r="CN111" s="398">
        <f t="shared" ca="1" si="614"/>
        <v>240</v>
      </c>
      <c r="CO111" s="398">
        <f t="shared" ca="1" si="615"/>
        <v>195510</v>
      </c>
      <c r="CP111" s="399">
        <f t="shared" si="546"/>
        <v>0</v>
      </c>
      <c r="CQ111" s="399">
        <f t="shared" si="547"/>
        <v>0</v>
      </c>
      <c r="CR111" s="483" t="str">
        <f t="shared" ca="1" si="578"/>
        <v/>
      </c>
      <c r="CS111"/>
    </row>
    <row r="112" spans="1:97">
      <c r="A112" s="398" t="s">
        <v>394</v>
      </c>
      <c r="B112" s="398" t="s">
        <v>987</v>
      </c>
      <c r="C112" s="440" t="s">
        <v>891</v>
      </c>
      <c r="D112" s="398">
        <v>5</v>
      </c>
      <c r="E112" s="398"/>
      <c r="F112" s="440">
        <v>0</v>
      </c>
      <c r="G112" s="398">
        <f>IF(C112="RAID5",(((7-F112)*5586))+(4*(((7-F112)*2793))),(((6-F112)*5586))+(4*(((6-F112)*2793))))</f>
        <v>117306</v>
      </c>
      <c r="H112" s="399">
        <v>144</v>
      </c>
      <c r="I112" s="399">
        <v>2675</v>
      </c>
      <c r="J112" s="399">
        <v>640</v>
      </c>
      <c r="K112" s="399"/>
      <c r="L112" s="399"/>
      <c r="M112" s="400">
        <f ca="1">IF(MAX(IF($B$6="No",ROUNDUP($B$3/$I112,0),ROUNDUP(($B$3+$I112)/$I112,0)),IF($B$6="No",ROUNDUP($B$4/$G112,0),ROUNDUP(($B$4+$G112)/$G112,0)),ROUNDUP('BVMS checklist'!$H$217/$J112,0))&gt;1,'BVMS checklist'!$H$224,'BVMS checklist'!$H$217)</f>
        <v>0</v>
      </c>
      <c r="N112" s="398">
        <f t="shared" ca="1" si="557"/>
        <v>2</v>
      </c>
      <c r="O112" s="400">
        <f t="shared" ca="1" si="584"/>
        <v>2</v>
      </c>
      <c r="P112" s="400">
        <f t="shared" ca="1" si="548"/>
        <v>5350</v>
      </c>
      <c r="Q112" s="400">
        <f t="shared" ca="1" si="549"/>
        <v>0</v>
      </c>
      <c r="R112" s="398">
        <f t="shared" ca="1" si="550"/>
        <v>234612</v>
      </c>
      <c r="S112" s="401" t="str">
        <f t="shared" ca="1" si="558"/>
        <v/>
      </c>
      <c r="T112" s="398">
        <f t="shared" ca="1" si="559"/>
        <v>1280</v>
      </c>
      <c r="U112" s="400">
        <f ca="1">IF(MAX(IF($B$6="No",ROUNDUP($B$3/$I112,0),ROUNDUP(($B$3+$I112)/$I112,0)),IF($B$6="No",ROUNDUP($B$4/$G112,0),ROUNDUP(($B$4+$G112)/$G112,0)),ROUNDUP('BVMS checklist'!$H$217/$J112,0))&gt;1,'BVMS checklist'!$H$224,'BVMS checklist'!$H$217)+MAX(IF($B$6="No",ROUNDUP($B$3/$I112,0),ROUNDUP(($B$3+$I112)/$I112,0)),IF($B$6="No",ROUNDUP($B$4/$G112,0),ROUNDUP(($B$4+$G112)/$G112,0)))+$B$5</f>
        <v>1</v>
      </c>
      <c r="V112" s="400" t="b">
        <f t="shared" ca="1" si="551"/>
        <v>1</v>
      </c>
      <c r="W112" s="400" t="str">
        <f t="shared" ca="1" si="585"/>
        <v>Accepted</v>
      </c>
      <c r="X112" s="398" t="str">
        <f t="shared" ca="1" si="560"/>
        <v>No</v>
      </c>
      <c r="Y112" s="398" t="str">
        <f t="shared" ca="1" si="561"/>
        <v/>
      </c>
      <c r="Z112" s="398" t="str">
        <f t="shared" ca="1" si="562"/>
        <v/>
      </c>
      <c r="AA112" s="398">
        <f t="shared" ca="1" si="586"/>
        <v>6</v>
      </c>
      <c r="AB112" s="398">
        <f t="shared" ca="1" si="552"/>
        <v>2</v>
      </c>
      <c r="AC112" s="398">
        <f t="shared" ca="1" si="553"/>
        <v>288</v>
      </c>
      <c r="AD112" s="398">
        <f t="shared" ca="1" si="587"/>
        <v>234612</v>
      </c>
      <c r="AE112" s="399">
        <f t="shared" si="540"/>
        <v>0</v>
      </c>
      <c r="AF112" s="399">
        <f t="shared" si="541"/>
        <v>0</v>
      </c>
      <c r="AG112" s="483" t="str">
        <f t="shared" ca="1" si="563"/>
        <v/>
      </c>
      <c r="AH112" s="400">
        <f ca="1">IF(MAX(IF($C$6="No",ROUNDUP($C$3/$I112,0),ROUNDUP(($C$3+$I112)/$I112,0)),IF($C$6="No",ROUNDUP($C$4/$G112,0),ROUNDUP(($C$4+$G112)/$G112,0)),ROUNDUP('BVMS checklist'!$H$217/$J112,0))&gt;1,'BVMS checklist'!$J$224,'BVMS checklist'!$J$217)</f>
        <v>0</v>
      </c>
      <c r="AI112" s="398">
        <f t="shared" ca="1" si="564"/>
        <v>2</v>
      </c>
      <c r="AJ112" s="400">
        <f t="shared" ca="1" si="588"/>
        <v>2</v>
      </c>
      <c r="AK112" s="400">
        <f t="shared" ca="1" si="589"/>
        <v>5350</v>
      </c>
      <c r="AL112" s="400">
        <f t="shared" ca="1" si="590"/>
        <v>0</v>
      </c>
      <c r="AM112" s="398">
        <f t="shared" ca="1" si="591"/>
        <v>234612</v>
      </c>
      <c r="AN112" s="401" t="str">
        <f t="shared" ca="1" si="565"/>
        <v/>
      </c>
      <c r="AO112" s="398">
        <f t="shared" ca="1" si="592"/>
        <v>1280</v>
      </c>
      <c r="AP112" s="400">
        <f ca="1">IF(MAX(IF($C$6="No",ROUNDUP($C$3/$I112,0),ROUNDUP(($C$3+$I112)/$I112,0)),IF($C$6="No",ROUNDUP($C$4/$G112,0),ROUNDUP(($C$4+$G112)/$G112,0)),ROUNDUP('BVMS checklist'!$H$217/$J112,0))&gt;1,'BVMS checklist'!$J$224,'BVMS checklist'!$J$217)+MAX(IF($C$6="No",ROUNDUP($C$3/$I112,0),ROUNDUP(($C$3+$I112)/$I112,0)),IF($C$6="No",ROUNDUP($C$4/$G112,0),ROUNDUP(($C$4+$G112)/$G112,0)))+$C$5</f>
        <v>1</v>
      </c>
      <c r="AQ112" s="400" t="b">
        <f t="shared" ca="1" si="554"/>
        <v>1</v>
      </c>
      <c r="AR112" s="400" t="str">
        <f t="shared" ca="1" si="593"/>
        <v>Accepted</v>
      </c>
      <c r="AS112" s="398" t="str">
        <f t="shared" ca="1" si="579"/>
        <v>No</v>
      </c>
      <c r="AT112" s="398" t="str">
        <f t="shared" ca="1" si="594"/>
        <v/>
      </c>
      <c r="AU112" s="398" t="str">
        <f t="shared" ca="1" si="566"/>
        <v/>
      </c>
      <c r="AV112" s="398">
        <f t="shared" ca="1" si="567"/>
        <v>6</v>
      </c>
      <c r="AW112" s="398">
        <f t="shared" ca="1" si="595"/>
        <v>2</v>
      </c>
      <c r="AX112" s="398">
        <f t="shared" ca="1" si="596"/>
        <v>288</v>
      </c>
      <c r="AY112" s="398">
        <f t="shared" ca="1" si="597"/>
        <v>234612</v>
      </c>
      <c r="AZ112" s="399">
        <f t="shared" si="542"/>
        <v>0</v>
      </c>
      <c r="BA112" s="399">
        <f t="shared" si="543"/>
        <v>0</v>
      </c>
      <c r="BB112" s="483" t="str">
        <f t="shared" ca="1" si="568"/>
        <v/>
      </c>
      <c r="BC112" s="400">
        <f ca="1">IF(MAX(IF($D$6="No",ROUNDUP($D$3/$I112,0),ROUNDUP(($D$3+$I112)/$I112,0)),IF($D$6="No",ROUNDUP($D$4/$G112,0),ROUNDUP(($D$4+$G112)/$G112,0)),ROUNDUP('BVMS checklist'!$H$217/$J112,0))&gt;1,'BVMS checklist'!$L$224,'BVMS checklist'!$L$217)</f>
        <v>0</v>
      </c>
      <c r="BD112" s="398">
        <f t="shared" ca="1" si="569"/>
        <v>2</v>
      </c>
      <c r="BE112" s="400">
        <f t="shared" si="598"/>
        <v>1</v>
      </c>
      <c r="BF112" s="400">
        <f t="shared" si="599"/>
        <v>2675</v>
      </c>
      <c r="BG112" s="400">
        <f t="shared" ca="1" si="580"/>
        <v>0</v>
      </c>
      <c r="BH112" s="398">
        <f t="shared" ca="1" si="600"/>
        <v>234612</v>
      </c>
      <c r="BI112" s="401" t="str">
        <f t="shared" ca="1" si="570"/>
        <v/>
      </c>
      <c r="BJ112" s="398">
        <f t="shared" ca="1" si="601"/>
        <v>1280</v>
      </c>
      <c r="BK112" s="400">
        <f ca="1">IF(MAX(IF($D$6="No",ROUNDUP($D$3/$I112,0),ROUNDUP(($D$3+$I112)/$I112,0)),IF($D$6="No",ROUNDUP($D$4/$G112,0),ROUNDUP(($D$4+$G112)/$G112,0)),ROUNDUP('BVMS checklist'!$H$217/$J112,0))&gt;1,'BVMS checklist'!$L$224,'BVMS checklist'!$L$217)+MAX(IF($D$6="No",ROUNDUP($D$3/$I112,0),ROUNDUP(($D$3+$I112)/$I112,0)),IF($D$6="No",ROUNDUP($D$4/$G112,0),ROUNDUP(($D$4+$G112)/$G112,0)))+$D$5</f>
        <v>1</v>
      </c>
      <c r="BL112" s="400" t="b">
        <f t="shared" ca="1" si="555"/>
        <v>1</v>
      </c>
      <c r="BM112" s="400" t="str">
        <f t="shared" ca="1" si="602"/>
        <v>Accepted</v>
      </c>
      <c r="BN112" s="398" t="str">
        <f t="shared" ca="1" si="581"/>
        <v>No</v>
      </c>
      <c r="BO112" s="398" t="str">
        <f t="shared" ca="1" si="603"/>
        <v/>
      </c>
      <c r="BP112" s="398" t="str">
        <f t="shared" ca="1" si="571"/>
        <v/>
      </c>
      <c r="BQ112" s="398">
        <f t="shared" ca="1" si="572"/>
        <v>6</v>
      </c>
      <c r="BR112" s="398">
        <f t="shared" ca="1" si="604"/>
        <v>2</v>
      </c>
      <c r="BS112" s="398">
        <f t="shared" ca="1" si="605"/>
        <v>288</v>
      </c>
      <c r="BT112" s="398">
        <f t="shared" ca="1" si="606"/>
        <v>234612</v>
      </c>
      <c r="BU112" s="399">
        <f t="shared" si="544"/>
        <v>0</v>
      </c>
      <c r="BV112" s="399">
        <f t="shared" si="545"/>
        <v>0</v>
      </c>
      <c r="BW112" s="483" t="str">
        <f t="shared" ca="1" si="573"/>
        <v/>
      </c>
      <c r="BX112" s="400">
        <f ca="1">IF(MAX(IF($E$6="No",ROUNDUP($E$3/$I112,0),ROUNDUP(($E$3+$I112)/$I112,0)),IF($E$6="No",ROUNDUP($E$4/$G112,0),ROUNDUP(($E$4+$G112)/$G112,0)),ROUNDUP('BVMS checklist'!$H$217/$J112,0))&gt;1,'BVMS checklist'!$N$224,'BVMS checklist'!$N$217)</f>
        <v>0</v>
      </c>
      <c r="BY112" s="398">
        <f t="shared" ca="1" si="574"/>
        <v>2</v>
      </c>
      <c r="BZ112" s="400">
        <f t="shared" ca="1" si="607"/>
        <v>2</v>
      </c>
      <c r="CA112" s="400">
        <f t="shared" ca="1" si="608"/>
        <v>5350</v>
      </c>
      <c r="CB112" s="400">
        <f t="shared" ca="1" si="582"/>
        <v>0</v>
      </c>
      <c r="CC112" s="398">
        <f t="shared" ca="1" si="609"/>
        <v>234612</v>
      </c>
      <c r="CD112" s="401" t="str">
        <f t="shared" ca="1" si="575"/>
        <v/>
      </c>
      <c r="CE112" s="398">
        <f t="shared" ca="1" si="610"/>
        <v>1280</v>
      </c>
      <c r="CF112" s="400">
        <f ca="1">IF(MAX(IF($E$6="No",ROUNDUP($E$3/$I112,0),ROUNDUP(($E$3+$I112)/$I112,0)),IF($E$6="No",ROUNDUP($E$4/$G112,0),ROUNDUP(($E$4+$G112)/$G112,0)),ROUNDUP('BVMS checklist'!$H$217/$J112,0))&gt;1,'BVMS checklist'!$N$224,'BVMS checklist'!$N$217)+MAX(IF($E$6="No",ROUNDUP($E$3/$I112,0),ROUNDUP(($E$3+$I112)/$I112,0)),IF($E$6="No",ROUNDUP($E$4/$G112,0),ROUNDUP(($E$4+$G112)/$G112,0)))+$E$5</f>
        <v>1</v>
      </c>
      <c r="CG112" s="400" t="b">
        <f t="shared" ca="1" si="556"/>
        <v>1</v>
      </c>
      <c r="CH112" s="400" t="str">
        <f t="shared" ca="1" si="611"/>
        <v>Accepted</v>
      </c>
      <c r="CI112" s="398" t="str">
        <f t="shared" ca="1" si="583"/>
        <v>No</v>
      </c>
      <c r="CJ112" s="398" t="str">
        <f t="shared" ca="1" si="612"/>
        <v/>
      </c>
      <c r="CK112" s="398" t="str">
        <f t="shared" ca="1" si="576"/>
        <v/>
      </c>
      <c r="CL112" s="398">
        <f t="shared" ca="1" si="577"/>
        <v>6</v>
      </c>
      <c r="CM112" s="398">
        <f t="shared" ca="1" si="613"/>
        <v>2</v>
      </c>
      <c r="CN112" s="398">
        <f t="shared" ca="1" si="614"/>
        <v>288</v>
      </c>
      <c r="CO112" s="398">
        <f t="shared" ca="1" si="615"/>
        <v>234612</v>
      </c>
      <c r="CP112" s="399">
        <f t="shared" si="546"/>
        <v>0</v>
      </c>
      <c r="CQ112" s="399">
        <f t="shared" si="547"/>
        <v>0</v>
      </c>
      <c r="CR112" s="483" t="str">
        <f t="shared" ca="1" si="578"/>
        <v/>
      </c>
      <c r="CS112"/>
    </row>
    <row r="113" spans="1:97">
      <c r="A113" s="398" t="s">
        <v>395</v>
      </c>
      <c r="B113" s="398" t="s">
        <v>987</v>
      </c>
      <c r="C113" s="440" t="s">
        <v>891</v>
      </c>
      <c r="D113" s="398">
        <v>2</v>
      </c>
      <c r="E113" s="398"/>
      <c r="F113" s="440">
        <v>0</v>
      </c>
      <c r="G113" s="398">
        <f>IF(C113="RAID5",(((7-F113)*5586))+(1*(((15-F113)*2793))),(((6-F113)*5586))+(1*(((14-F113)*2793))))</f>
        <v>80997</v>
      </c>
      <c r="H113" s="399">
        <v>96</v>
      </c>
      <c r="I113" s="399">
        <v>1025</v>
      </c>
      <c r="J113" s="399">
        <v>256</v>
      </c>
      <c r="K113" s="399"/>
      <c r="L113" s="399"/>
      <c r="M113" s="400">
        <f ca="1">IF(MAX(IF($B$6="No",ROUNDUP($B$3/$I113,0),ROUNDUP(($B$3+$I113)/$I113,0)),IF($B$6="No",ROUNDUP($B$4/$G113,0),ROUNDUP(($B$4+$G113)/$G113,0)),ROUNDUP('BVMS checklist'!$H$217/$J113,0))&gt;1,'BVMS checklist'!$H$224,'BVMS checklist'!$H$217)</f>
        <v>0</v>
      </c>
      <c r="N113" s="398">
        <f t="shared" ca="1" si="557"/>
        <v>2</v>
      </c>
      <c r="O113" s="400">
        <f t="shared" ca="1" si="584"/>
        <v>2</v>
      </c>
      <c r="P113" s="400">
        <f t="shared" ca="1" si="548"/>
        <v>2050</v>
      </c>
      <c r="Q113" s="400">
        <f t="shared" ca="1" si="549"/>
        <v>0</v>
      </c>
      <c r="R113" s="398">
        <f t="shared" ca="1" si="550"/>
        <v>161994</v>
      </c>
      <c r="S113" s="401" t="str">
        <f t="shared" ca="1" si="558"/>
        <v/>
      </c>
      <c r="T113" s="398">
        <f t="shared" ca="1" si="559"/>
        <v>512</v>
      </c>
      <c r="U113" s="400">
        <f ca="1">IF(MAX(IF($B$6="No",ROUNDUP($B$3/$I113,0),ROUNDUP(($B$3+$I113)/$I113,0)),IF($B$6="No",ROUNDUP($B$4/$G113,0),ROUNDUP(($B$4+$G113)/$G113,0)),ROUNDUP('BVMS checklist'!$H$217/$J113,0))&gt;1,'BVMS checklist'!$H$224,'BVMS checklist'!$H$217)+MAX(IF($B$6="No",ROUNDUP($B$3/$I113,0),ROUNDUP(($B$3+$I113)/$I113,0)),IF($B$6="No",ROUNDUP($B$4/$G113,0),ROUNDUP(($B$4+$G113)/$G113,0)))+$B$5</f>
        <v>1</v>
      </c>
      <c r="V113" s="400" t="b">
        <f t="shared" ca="1" si="551"/>
        <v>1</v>
      </c>
      <c r="W113" s="400" t="str">
        <f t="shared" ca="1" si="585"/>
        <v>Accepted</v>
      </c>
      <c r="X113" s="398" t="str">
        <f t="shared" ca="1" si="560"/>
        <v>No</v>
      </c>
      <c r="Y113" s="398" t="str">
        <f t="shared" ca="1" si="561"/>
        <v/>
      </c>
      <c r="Z113" s="398" t="str">
        <f t="shared" ca="1" si="562"/>
        <v/>
      </c>
      <c r="AA113" s="398">
        <f t="shared" ca="1" si="586"/>
        <v>6</v>
      </c>
      <c r="AB113" s="398">
        <f t="shared" ca="1" si="552"/>
        <v>2</v>
      </c>
      <c r="AC113" s="398">
        <f t="shared" ca="1" si="553"/>
        <v>192</v>
      </c>
      <c r="AD113" s="398">
        <f t="shared" ca="1" si="587"/>
        <v>161994</v>
      </c>
      <c r="AE113" s="399">
        <f t="shared" si="540"/>
        <v>0</v>
      </c>
      <c r="AF113" s="399">
        <f t="shared" si="541"/>
        <v>0</v>
      </c>
      <c r="AG113" s="483" t="str">
        <f t="shared" ca="1" si="563"/>
        <v/>
      </c>
      <c r="AH113" s="400">
        <f ca="1">IF(MAX(IF($C$6="No",ROUNDUP($C$3/$I113,0),ROUNDUP(($C$3+$I113)/$I113,0)),IF($C$6="No",ROUNDUP($C$4/$G113,0),ROUNDUP(($C$4+$G113)/$G113,0)),ROUNDUP('BVMS checklist'!$H$217/$J113,0))&gt;1,'BVMS checklist'!$J$224,'BVMS checklist'!$J$217)</f>
        <v>0</v>
      </c>
      <c r="AI113" s="398">
        <f t="shared" ca="1" si="564"/>
        <v>2</v>
      </c>
      <c r="AJ113" s="400">
        <f t="shared" ca="1" si="588"/>
        <v>2</v>
      </c>
      <c r="AK113" s="400">
        <f t="shared" ca="1" si="589"/>
        <v>2050</v>
      </c>
      <c r="AL113" s="400">
        <f t="shared" ca="1" si="590"/>
        <v>0</v>
      </c>
      <c r="AM113" s="398">
        <f t="shared" ca="1" si="591"/>
        <v>161994</v>
      </c>
      <c r="AN113" s="401" t="str">
        <f t="shared" ca="1" si="565"/>
        <v/>
      </c>
      <c r="AO113" s="398">
        <f t="shared" ca="1" si="592"/>
        <v>512</v>
      </c>
      <c r="AP113" s="400">
        <f ca="1">IF(MAX(IF($C$6="No",ROUNDUP($C$3/$I113,0),ROUNDUP(($C$3+$I113)/$I113,0)),IF($C$6="No",ROUNDUP($C$4/$G113,0),ROUNDUP(($C$4+$G113)/$G113,0)),ROUNDUP('BVMS checklist'!$H$217/$J113,0))&gt;1,'BVMS checklist'!$J$224,'BVMS checklist'!$J$217)+MAX(IF($C$6="No",ROUNDUP($C$3/$I113,0),ROUNDUP(($C$3+$I113)/$I113,0)),IF($C$6="No",ROUNDUP($C$4/$G113,0),ROUNDUP(($C$4+$G113)/$G113,0)))+$C$5</f>
        <v>1</v>
      </c>
      <c r="AQ113" s="400" t="b">
        <f t="shared" ca="1" si="554"/>
        <v>1</v>
      </c>
      <c r="AR113" s="400" t="str">
        <f t="shared" ca="1" si="593"/>
        <v>Accepted</v>
      </c>
      <c r="AS113" s="398" t="str">
        <f t="shared" ca="1" si="579"/>
        <v>No</v>
      </c>
      <c r="AT113" s="398" t="str">
        <f t="shared" ca="1" si="594"/>
        <v/>
      </c>
      <c r="AU113" s="398" t="str">
        <f t="shared" ca="1" si="566"/>
        <v/>
      </c>
      <c r="AV113" s="398">
        <f t="shared" ca="1" si="567"/>
        <v>6</v>
      </c>
      <c r="AW113" s="398">
        <f t="shared" ca="1" si="595"/>
        <v>2</v>
      </c>
      <c r="AX113" s="398">
        <f t="shared" ca="1" si="596"/>
        <v>192</v>
      </c>
      <c r="AY113" s="398">
        <f t="shared" ca="1" si="597"/>
        <v>161994</v>
      </c>
      <c r="AZ113" s="399">
        <f t="shared" si="542"/>
        <v>0</v>
      </c>
      <c r="BA113" s="399">
        <f t="shared" si="543"/>
        <v>0</v>
      </c>
      <c r="BB113" s="483" t="str">
        <f t="shared" ca="1" si="568"/>
        <v/>
      </c>
      <c r="BC113" s="400">
        <f ca="1">IF(MAX(IF($D$6="No",ROUNDUP($D$3/$I113,0),ROUNDUP(($D$3+$I113)/$I113,0)),IF($D$6="No",ROUNDUP($D$4/$G113,0),ROUNDUP(($D$4+$G113)/$G113,0)),ROUNDUP('BVMS checklist'!$H$217/$J113,0))&gt;1,'BVMS checklist'!$L$224,'BVMS checklist'!$L$217)</f>
        <v>0</v>
      </c>
      <c r="BD113" s="398">
        <f t="shared" ca="1" si="569"/>
        <v>2</v>
      </c>
      <c r="BE113" s="400">
        <f t="shared" si="598"/>
        <v>1</v>
      </c>
      <c r="BF113" s="400">
        <f t="shared" si="599"/>
        <v>1025</v>
      </c>
      <c r="BG113" s="400">
        <f t="shared" ca="1" si="580"/>
        <v>0</v>
      </c>
      <c r="BH113" s="398">
        <f t="shared" ca="1" si="600"/>
        <v>161994</v>
      </c>
      <c r="BI113" s="401" t="str">
        <f t="shared" ca="1" si="570"/>
        <v/>
      </c>
      <c r="BJ113" s="398">
        <f t="shared" ca="1" si="601"/>
        <v>512</v>
      </c>
      <c r="BK113" s="400">
        <f ca="1">IF(MAX(IF($D$6="No",ROUNDUP($D$3/$I113,0),ROUNDUP(($D$3+$I113)/$I113,0)),IF($D$6="No",ROUNDUP($D$4/$G113,0),ROUNDUP(($D$4+$G113)/$G113,0)),ROUNDUP('BVMS checklist'!$H$217/$J113,0))&gt;1,'BVMS checklist'!$L$224,'BVMS checklist'!$L$217)+MAX(IF($D$6="No",ROUNDUP($D$3/$I113,0),ROUNDUP(($D$3+$I113)/$I113,0)),IF($D$6="No",ROUNDUP($D$4/$G113,0),ROUNDUP(($D$4+$G113)/$G113,0)))+$D$5</f>
        <v>1</v>
      </c>
      <c r="BL113" s="400" t="b">
        <f t="shared" ca="1" si="555"/>
        <v>1</v>
      </c>
      <c r="BM113" s="400" t="str">
        <f t="shared" ca="1" si="602"/>
        <v>Accepted</v>
      </c>
      <c r="BN113" s="398" t="str">
        <f t="shared" ca="1" si="581"/>
        <v>No</v>
      </c>
      <c r="BO113" s="398" t="str">
        <f t="shared" ca="1" si="603"/>
        <v/>
      </c>
      <c r="BP113" s="398" t="str">
        <f t="shared" ca="1" si="571"/>
        <v/>
      </c>
      <c r="BQ113" s="398">
        <f t="shared" ca="1" si="572"/>
        <v>6</v>
      </c>
      <c r="BR113" s="398">
        <f t="shared" ca="1" si="604"/>
        <v>2</v>
      </c>
      <c r="BS113" s="398">
        <f t="shared" ca="1" si="605"/>
        <v>192</v>
      </c>
      <c r="BT113" s="398">
        <f t="shared" ca="1" si="606"/>
        <v>161994</v>
      </c>
      <c r="BU113" s="399">
        <f t="shared" si="544"/>
        <v>0</v>
      </c>
      <c r="BV113" s="399">
        <f t="shared" si="545"/>
        <v>0</v>
      </c>
      <c r="BW113" s="483" t="str">
        <f t="shared" ca="1" si="573"/>
        <v/>
      </c>
      <c r="BX113" s="400">
        <f ca="1">IF(MAX(IF($E$6="No",ROUNDUP($E$3/$I113,0),ROUNDUP(($E$3+$I113)/$I113,0)),IF($E$6="No",ROUNDUP($E$4/$G113,0),ROUNDUP(($E$4+$G113)/$G113,0)),ROUNDUP('BVMS checklist'!$H$217/$J113,0))&gt;1,'BVMS checklist'!$N$224,'BVMS checklist'!$N$217)</f>
        <v>0</v>
      </c>
      <c r="BY113" s="398">
        <f t="shared" ca="1" si="574"/>
        <v>2</v>
      </c>
      <c r="BZ113" s="400">
        <f t="shared" ca="1" si="607"/>
        <v>2</v>
      </c>
      <c r="CA113" s="400">
        <f t="shared" ca="1" si="608"/>
        <v>2050</v>
      </c>
      <c r="CB113" s="400">
        <f t="shared" ca="1" si="582"/>
        <v>0</v>
      </c>
      <c r="CC113" s="398">
        <f t="shared" ca="1" si="609"/>
        <v>161994</v>
      </c>
      <c r="CD113" s="401" t="str">
        <f t="shared" ca="1" si="575"/>
        <v/>
      </c>
      <c r="CE113" s="398">
        <f t="shared" ca="1" si="610"/>
        <v>512</v>
      </c>
      <c r="CF113" s="400">
        <f ca="1">IF(MAX(IF($E$6="No",ROUNDUP($E$3/$I113,0),ROUNDUP(($E$3+$I113)/$I113,0)),IF($E$6="No",ROUNDUP($E$4/$G113,0),ROUNDUP(($E$4+$G113)/$G113,0)),ROUNDUP('BVMS checklist'!$H$217/$J113,0))&gt;1,'BVMS checklist'!$N$224,'BVMS checklist'!$N$217)+MAX(IF($E$6="No",ROUNDUP($E$3/$I113,0),ROUNDUP(($E$3+$I113)/$I113,0)),IF($E$6="No",ROUNDUP($E$4/$G113,0),ROUNDUP(($E$4+$G113)/$G113,0)))+$E$5</f>
        <v>1</v>
      </c>
      <c r="CG113" s="400" t="b">
        <f t="shared" ca="1" si="556"/>
        <v>1</v>
      </c>
      <c r="CH113" s="400" t="str">
        <f t="shared" ca="1" si="611"/>
        <v>Accepted</v>
      </c>
      <c r="CI113" s="398" t="str">
        <f t="shared" ca="1" si="583"/>
        <v>No</v>
      </c>
      <c r="CJ113" s="398" t="str">
        <f t="shared" ca="1" si="612"/>
        <v/>
      </c>
      <c r="CK113" s="398" t="str">
        <f t="shared" ca="1" si="576"/>
        <v/>
      </c>
      <c r="CL113" s="398">
        <f t="shared" ca="1" si="577"/>
        <v>6</v>
      </c>
      <c r="CM113" s="398">
        <f t="shared" ca="1" si="613"/>
        <v>2</v>
      </c>
      <c r="CN113" s="398">
        <f t="shared" ca="1" si="614"/>
        <v>192</v>
      </c>
      <c r="CO113" s="398">
        <f t="shared" ca="1" si="615"/>
        <v>161994</v>
      </c>
      <c r="CP113" s="399">
        <f t="shared" si="546"/>
        <v>0</v>
      </c>
      <c r="CQ113" s="399">
        <f t="shared" si="547"/>
        <v>0</v>
      </c>
      <c r="CR113" s="483" t="str">
        <f t="shared" ca="1" si="578"/>
        <v/>
      </c>
      <c r="CS113"/>
    </row>
    <row r="114" spans="1:97">
      <c r="A114" s="398" t="s">
        <v>396</v>
      </c>
      <c r="B114" s="398" t="s">
        <v>987</v>
      </c>
      <c r="C114" s="440" t="s">
        <v>891</v>
      </c>
      <c r="D114" s="398">
        <v>3</v>
      </c>
      <c r="E114" s="398"/>
      <c r="F114" s="440">
        <v>0</v>
      </c>
      <c r="G114" s="398">
        <f>IF(C114="RAID5",(((7-F114)*5586))+(2*(((15-F114)*2793))),(((6-F114)*5586))+(2*(((14-F114)*2793))))</f>
        <v>122892</v>
      </c>
      <c r="H114" s="399">
        <v>144</v>
      </c>
      <c r="I114" s="399">
        <v>1575</v>
      </c>
      <c r="J114" s="399">
        <v>384</v>
      </c>
      <c r="K114" s="399"/>
      <c r="L114" s="399"/>
      <c r="M114" s="400">
        <f ca="1">IF(MAX(IF($B$6="No",ROUNDUP($B$3/$I114,0),ROUNDUP(($B$3+$I114)/$I114,0)),IF($B$6="No",ROUNDUP($B$4/$G114,0),ROUNDUP(($B$4+$G114)/$G114,0)),ROUNDUP('BVMS checklist'!$H$217/$J114,0))&gt;1,'BVMS checklist'!$H$224,'BVMS checklist'!$H$217)</f>
        <v>0</v>
      </c>
      <c r="N114" s="398">
        <f t="shared" ca="1" si="557"/>
        <v>2</v>
      </c>
      <c r="O114" s="400">
        <f t="shared" ca="1" si="584"/>
        <v>2</v>
      </c>
      <c r="P114" s="400">
        <f t="shared" ca="1" si="548"/>
        <v>3150</v>
      </c>
      <c r="Q114" s="400">
        <f t="shared" ca="1" si="549"/>
        <v>0</v>
      </c>
      <c r="R114" s="398">
        <f t="shared" ca="1" si="550"/>
        <v>245784</v>
      </c>
      <c r="S114" s="401" t="str">
        <f t="shared" ca="1" si="558"/>
        <v/>
      </c>
      <c r="T114" s="398">
        <f t="shared" ca="1" si="559"/>
        <v>768</v>
      </c>
      <c r="U114" s="400">
        <f ca="1">IF(MAX(IF($B$6="No",ROUNDUP($B$3/$I114,0),ROUNDUP(($B$3+$I114)/$I114,0)),IF($B$6="No",ROUNDUP($B$4/$G114,0),ROUNDUP(($B$4+$G114)/$G114,0)),ROUNDUP('BVMS checklist'!$H$217/$J114,0))&gt;1,'BVMS checklist'!$H$224,'BVMS checklist'!$H$217)+MAX(IF($B$6="No",ROUNDUP($B$3/$I114,0),ROUNDUP(($B$3+$I114)/$I114,0)),IF($B$6="No",ROUNDUP($B$4/$G114,0),ROUNDUP(($B$4+$G114)/$G114,0)))+$B$5</f>
        <v>1</v>
      </c>
      <c r="V114" s="400" t="b">
        <f t="shared" ca="1" si="551"/>
        <v>1</v>
      </c>
      <c r="W114" s="400" t="str">
        <f t="shared" ca="1" si="585"/>
        <v>Accepted</v>
      </c>
      <c r="X114" s="398" t="str">
        <f t="shared" ca="1" si="560"/>
        <v>No</v>
      </c>
      <c r="Y114" s="398" t="str">
        <f t="shared" ca="1" si="561"/>
        <v/>
      </c>
      <c r="Z114" s="398" t="str">
        <f t="shared" ca="1" si="562"/>
        <v/>
      </c>
      <c r="AA114" s="398">
        <f t="shared" ca="1" si="586"/>
        <v>6</v>
      </c>
      <c r="AB114" s="398">
        <f t="shared" ca="1" si="552"/>
        <v>2</v>
      </c>
      <c r="AC114" s="398">
        <f t="shared" ca="1" si="553"/>
        <v>288</v>
      </c>
      <c r="AD114" s="398">
        <f t="shared" ca="1" si="587"/>
        <v>245784</v>
      </c>
      <c r="AE114" s="399">
        <f t="shared" si="540"/>
        <v>0</v>
      </c>
      <c r="AF114" s="399">
        <f t="shared" si="541"/>
        <v>0</v>
      </c>
      <c r="AG114" s="483" t="str">
        <f t="shared" ca="1" si="563"/>
        <v/>
      </c>
      <c r="AH114" s="400">
        <f ca="1">IF(MAX(IF($C$6="No",ROUNDUP($C$3/$I114,0),ROUNDUP(($C$3+$I114)/$I114,0)),IF($C$6="No",ROUNDUP($C$4/$G114,0),ROUNDUP(($C$4+$G114)/$G114,0)),ROUNDUP('BVMS checklist'!$H$217/$J114,0))&gt;1,'BVMS checklist'!$J$224,'BVMS checklist'!$J$217)</f>
        <v>0</v>
      </c>
      <c r="AI114" s="398">
        <f t="shared" ca="1" si="564"/>
        <v>2</v>
      </c>
      <c r="AJ114" s="400">
        <f t="shared" ca="1" si="588"/>
        <v>2</v>
      </c>
      <c r="AK114" s="400">
        <f t="shared" ca="1" si="589"/>
        <v>3150</v>
      </c>
      <c r="AL114" s="400">
        <f t="shared" ca="1" si="590"/>
        <v>0</v>
      </c>
      <c r="AM114" s="398">
        <f t="shared" ca="1" si="591"/>
        <v>245784</v>
      </c>
      <c r="AN114" s="401" t="str">
        <f t="shared" ca="1" si="565"/>
        <v/>
      </c>
      <c r="AO114" s="398">
        <f t="shared" ca="1" si="592"/>
        <v>768</v>
      </c>
      <c r="AP114" s="400">
        <f ca="1">IF(MAX(IF($C$6="No",ROUNDUP($C$3/$I114,0),ROUNDUP(($C$3+$I114)/$I114,0)),IF($C$6="No",ROUNDUP($C$4/$G114,0),ROUNDUP(($C$4+$G114)/$G114,0)),ROUNDUP('BVMS checklist'!$H$217/$J114,0))&gt;1,'BVMS checklist'!$J$224,'BVMS checklist'!$J$217)+MAX(IF($C$6="No",ROUNDUP($C$3/$I114,0),ROUNDUP(($C$3+$I114)/$I114,0)),IF($C$6="No",ROUNDUP($C$4/$G114,0),ROUNDUP(($C$4+$G114)/$G114,0)))+$C$5</f>
        <v>1</v>
      </c>
      <c r="AQ114" s="400" t="b">
        <f t="shared" ca="1" si="554"/>
        <v>1</v>
      </c>
      <c r="AR114" s="400" t="str">
        <f t="shared" ca="1" si="593"/>
        <v>Accepted</v>
      </c>
      <c r="AS114" s="398" t="str">
        <f t="shared" ca="1" si="579"/>
        <v>No</v>
      </c>
      <c r="AT114" s="398" t="str">
        <f t="shared" ca="1" si="594"/>
        <v/>
      </c>
      <c r="AU114" s="398" t="str">
        <f t="shared" ca="1" si="566"/>
        <v/>
      </c>
      <c r="AV114" s="398">
        <f t="shared" ca="1" si="567"/>
        <v>6</v>
      </c>
      <c r="AW114" s="398">
        <f t="shared" ca="1" si="595"/>
        <v>2</v>
      </c>
      <c r="AX114" s="398">
        <f t="shared" ca="1" si="596"/>
        <v>288</v>
      </c>
      <c r="AY114" s="398">
        <f t="shared" ca="1" si="597"/>
        <v>245784</v>
      </c>
      <c r="AZ114" s="399">
        <f t="shared" si="542"/>
        <v>0</v>
      </c>
      <c r="BA114" s="399">
        <f t="shared" si="543"/>
        <v>0</v>
      </c>
      <c r="BB114" s="483" t="str">
        <f t="shared" ca="1" si="568"/>
        <v/>
      </c>
      <c r="BC114" s="400">
        <f ca="1">IF(MAX(IF($D$6="No",ROUNDUP($D$3/$I114,0),ROUNDUP(($D$3+$I114)/$I114,0)),IF($D$6="No",ROUNDUP($D$4/$G114,0),ROUNDUP(($D$4+$G114)/$G114,0)),ROUNDUP('BVMS checklist'!$H$217/$J114,0))&gt;1,'BVMS checklist'!$L$224,'BVMS checklist'!$L$217)</f>
        <v>0</v>
      </c>
      <c r="BD114" s="398">
        <f t="shared" ca="1" si="569"/>
        <v>2</v>
      </c>
      <c r="BE114" s="400">
        <f t="shared" si="598"/>
        <v>1</v>
      </c>
      <c r="BF114" s="400">
        <f t="shared" si="599"/>
        <v>1575</v>
      </c>
      <c r="BG114" s="400">
        <f t="shared" ca="1" si="580"/>
        <v>0</v>
      </c>
      <c r="BH114" s="398">
        <f t="shared" ca="1" si="600"/>
        <v>245784</v>
      </c>
      <c r="BI114" s="401" t="str">
        <f t="shared" ca="1" si="570"/>
        <v/>
      </c>
      <c r="BJ114" s="398">
        <f t="shared" ca="1" si="601"/>
        <v>768</v>
      </c>
      <c r="BK114" s="400">
        <f ca="1">IF(MAX(IF($D$6="No",ROUNDUP($D$3/$I114,0),ROUNDUP(($D$3+$I114)/$I114,0)),IF($D$6="No",ROUNDUP($D$4/$G114,0),ROUNDUP(($D$4+$G114)/$G114,0)),ROUNDUP('BVMS checklist'!$H$217/$J114,0))&gt;1,'BVMS checklist'!$L$224,'BVMS checklist'!$L$217)+MAX(IF($D$6="No",ROUNDUP($D$3/$I114,0),ROUNDUP(($D$3+$I114)/$I114,0)),IF($D$6="No",ROUNDUP($D$4/$G114,0),ROUNDUP(($D$4+$G114)/$G114,0)))+$D$5</f>
        <v>1</v>
      </c>
      <c r="BL114" s="400" t="b">
        <f t="shared" ca="1" si="555"/>
        <v>1</v>
      </c>
      <c r="BM114" s="400" t="str">
        <f t="shared" ca="1" si="602"/>
        <v>Accepted</v>
      </c>
      <c r="BN114" s="398" t="str">
        <f t="shared" ca="1" si="581"/>
        <v>No</v>
      </c>
      <c r="BO114" s="398" t="str">
        <f t="shared" ca="1" si="603"/>
        <v/>
      </c>
      <c r="BP114" s="398" t="str">
        <f t="shared" ca="1" si="571"/>
        <v/>
      </c>
      <c r="BQ114" s="398">
        <f t="shared" ca="1" si="572"/>
        <v>6</v>
      </c>
      <c r="BR114" s="398">
        <f t="shared" ca="1" si="604"/>
        <v>2</v>
      </c>
      <c r="BS114" s="398">
        <f t="shared" ca="1" si="605"/>
        <v>288</v>
      </c>
      <c r="BT114" s="398">
        <f t="shared" ca="1" si="606"/>
        <v>245784</v>
      </c>
      <c r="BU114" s="399">
        <f t="shared" si="544"/>
        <v>0</v>
      </c>
      <c r="BV114" s="399">
        <f t="shared" si="545"/>
        <v>0</v>
      </c>
      <c r="BW114" s="483" t="str">
        <f t="shared" ca="1" si="573"/>
        <v/>
      </c>
      <c r="BX114" s="400">
        <f ca="1">IF(MAX(IF($E$6="No",ROUNDUP($E$3/$I114,0),ROUNDUP(($E$3+$I114)/$I114,0)),IF($E$6="No",ROUNDUP($E$4/$G114,0),ROUNDUP(($E$4+$G114)/$G114,0)),ROUNDUP('BVMS checklist'!$H$217/$J114,0))&gt;1,'BVMS checklist'!$N$224,'BVMS checklist'!$N$217)</f>
        <v>0</v>
      </c>
      <c r="BY114" s="398">
        <f t="shared" ca="1" si="574"/>
        <v>2</v>
      </c>
      <c r="BZ114" s="400">
        <f t="shared" ca="1" si="607"/>
        <v>2</v>
      </c>
      <c r="CA114" s="400">
        <f t="shared" ca="1" si="608"/>
        <v>3150</v>
      </c>
      <c r="CB114" s="400">
        <f t="shared" ca="1" si="582"/>
        <v>0</v>
      </c>
      <c r="CC114" s="398">
        <f t="shared" ca="1" si="609"/>
        <v>245784</v>
      </c>
      <c r="CD114" s="401" t="str">
        <f t="shared" ca="1" si="575"/>
        <v/>
      </c>
      <c r="CE114" s="398">
        <f t="shared" ca="1" si="610"/>
        <v>768</v>
      </c>
      <c r="CF114" s="400">
        <f ca="1">IF(MAX(IF($E$6="No",ROUNDUP($E$3/$I114,0),ROUNDUP(($E$3+$I114)/$I114,0)),IF($E$6="No",ROUNDUP($E$4/$G114,0),ROUNDUP(($E$4+$G114)/$G114,0)),ROUNDUP('BVMS checklist'!$H$217/$J114,0))&gt;1,'BVMS checklist'!$N$224,'BVMS checklist'!$N$217)+MAX(IF($E$6="No",ROUNDUP($E$3/$I114,0),ROUNDUP(($E$3+$I114)/$I114,0)),IF($E$6="No",ROUNDUP($E$4/$G114,0),ROUNDUP(($E$4+$G114)/$G114,0)))+$E$5</f>
        <v>1</v>
      </c>
      <c r="CG114" s="400" t="b">
        <f t="shared" ca="1" si="556"/>
        <v>1</v>
      </c>
      <c r="CH114" s="400" t="str">
        <f t="shared" ca="1" si="611"/>
        <v>Accepted</v>
      </c>
      <c r="CI114" s="398" t="str">
        <f t="shared" ca="1" si="583"/>
        <v>No</v>
      </c>
      <c r="CJ114" s="398" t="str">
        <f t="shared" ca="1" si="612"/>
        <v/>
      </c>
      <c r="CK114" s="398" t="str">
        <f t="shared" ca="1" si="576"/>
        <v/>
      </c>
      <c r="CL114" s="398">
        <f t="shared" ca="1" si="577"/>
        <v>6</v>
      </c>
      <c r="CM114" s="398">
        <f t="shared" ca="1" si="613"/>
        <v>2</v>
      </c>
      <c r="CN114" s="398">
        <f t="shared" ca="1" si="614"/>
        <v>288</v>
      </c>
      <c r="CO114" s="398">
        <f t="shared" ca="1" si="615"/>
        <v>245784</v>
      </c>
      <c r="CP114" s="399">
        <f t="shared" si="546"/>
        <v>0</v>
      </c>
      <c r="CQ114" s="399">
        <f t="shared" si="547"/>
        <v>0</v>
      </c>
      <c r="CR114" s="483" t="str">
        <f t="shared" ca="1" si="578"/>
        <v/>
      </c>
      <c r="CS114"/>
    </row>
    <row r="115" spans="1:97">
      <c r="A115" s="398" t="s">
        <v>397</v>
      </c>
      <c r="B115" s="398" t="s">
        <v>987</v>
      </c>
      <c r="C115" s="440" t="s">
        <v>891</v>
      </c>
      <c r="D115" s="398">
        <v>4</v>
      </c>
      <c r="E115" s="398"/>
      <c r="F115" s="440">
        <v>0</v>
      </c>
      <c r="G115" s="398">
        <f>IF(C115="RAID5",(((7-F115)*5586))+(3*(((15-F115)*2793))),(((6-F115)*5586))+(3*(((14-F115)*2793))))</f>
        <v>164787</v>
      </c>
      <c r="H115" s="399">
        <v>192</v>
      </c>
      <c r="I115" s="399">
        <v>2125</v>
      </c>
      <c r="J115" s="399">
        <v>512</v>
      </c>
      <c r="K115" s="399"/>
      <c r="L115" s="399"/>
      <c r="M115" s="400">
        <f ca="1">IF(MAX(IF($B$6="No",ROUNDUP($B$3/$I115,0),ROUNDUP(($B$3+$I115)/$I115,0)),IF($B$6="No",ROUNDUP($B$4/$G115,0),ROUNDUP(($B$4+$G115)/$G115,0)),ROUNDUP('BVMS checklist'!$H$217/$J115,0))&gt;1,'BVMS checklist'!$H$224,'BVMS checklist'!$H$217)</f>
        <v>0</v>
      </c>
      <c r="N115" s="398">
        <f t="shared" ca="1" si="557"/>
        <v>2</v>
      </c>
      <c r="O115" s="400">
        <f t="shared" ca="1" si="584"/>
        <v>2</v>
      </c>
      <c r="P115" s="400">
        <f t="shared" ca="1" si="548"/>
        <v>4250</v>
      </c>
      <c r="Q115" s="400">
        <f t="shared" ca="1" si="549"/>
        <v>0</v>
      </c>
      <c r="R115" s="398">
        <f t="shared" ca="1" si="550"/>
        <v>329574</v>
      </c>
      <c r="S115" s="401" t="str">
        <f t="shared" ca="1" si="558"/>
        <v/>
      </c>
      <c r="T115" s="398">
        <f t="shared" ca="1" si="559"/>
        <v>1024</v>
      </c>
      <c r="U115" s="400">
        <f ca="1">IF(MAX(IF($B$6="No",ROUNDUP($B$3/$I115,0),ROUNDUP(($B$3+$I115)/$I115,0)),IF($B$6="No",ROUNDUP($B$4/$G115,0),ROUNDUP(($B$4+$G115)/$G115,0)),ROUNDUP('BVMS checklist'!$H$217/$J115,0))&gt;1,'BVMS checklist'!$H$224,'BVMS checklist'!$H$217)+MAX(IF($B$6="No",ROUNDUP($B$3/$I115,0),ROUNDUP(($B$3+$I115)/$I115,0)),IF($B$6="No",ROUNDUP($B$4/$G115,0),ROUNDUP(($B$4+$G115)/$G115,0)))+$B$5</f>
        <v>1</v>
      </c>
      <c r="V115" s="400" t="b">
        <f t="shared" ca="1" si="551"/>
        <v>1</v>
      </c>
      <c r="W115" s="400" t="str">
        <f t="shared" ca="1" si="585"/>
        <v>Accepted</v>
      </c>
      <c r="X115" s="398" t="str">
        <f t="shared" ca="1" si="560"/>
        <v>No</v>
      </c>
      <c r="Y115" s="398" t="str">
        <f t="shared" ca="1" si="561"/>
        <v/>
      </c>
      <c r="Z115" s="398" t="str">
        <f t="shared" ca="1" si="562"/>
        <v/>
      </c>
      <c r="AA115" s="398">
        <f t="shared" ca="1" si="586"/>
        <v>6</v>
      </c>
      <c r="AB115" s="398">
        <f t="shared" ca="1" si="552"/>
        <v>2</v>
      </c>
      <c r="AC115" s="398">
        <f t="shared" ca="1" si="553"/>
        <v>384</v>
      </c>
      <c r="AD115" s="398">
        <f t="shared" ca="1" si="587"/>
        <v>329574</v>
      </c>
      <c r="AE115" s="399">
        <f t="shared" ref="AE115:AE178" si="616">K115</f>
        <v>0</v>
      </c>
      <c r="AF115" s="399">
        <f t="shared" ref="AF115:AF178" si="617">L115</f>
        <v>0</v>
      </c>
      <c r="AG115" s="483" t="str">
        <f t="shared" ca="1" si="563"/>
        <v/>
      </c>
      <c r="AH115" s="400">
        <f ca="1">IF(MAX(IF($C$6="No",ROUNDUP($C$3/$I115,0),ROUNDUP(($C$3+$I115)/$I115,0)),IF($C$6="No",ROUNDUP($C$4/$G115,0),ROUNDUP(($C$4+$G115)/$G115,0)),ROUNDUP('BVMS checklist'!$H$217/$J115,0))&gt;1,'BVMS checklist'!$J$224,'BVMS checklist'!$J$217)</f>
        <v>0</v>
      </c>
      <c r="AI115" s="398">
        <f t="shared" ca="1" si="564"/>
        <v>2</v>
      </c>
      <c r="AJ115" s="400">
        <f t="shared" ca="1" si="588"/>
        <v>2</v>
      </c>
      <c r="AK115" s="400">
        <f t="shared" ca="1" si="589"/>
        <v>4250</v>
      </c>
      <c r="AL115" s="400">
        <f t="shared" ca="1" si="590"/>
        <v>0</v>
      </c>
      <c r="AM115" s="398">
        <f t="shared" ca="1" si="591"/>
        <v>329574</v>
      </c>
      <c r="AN115" s="401" t="str">
        <f t="shared" ca="1" si="565"/>
        <v/>
      </c>
      <c r="AO115" s="398">
        <f t="shared" ca="1" si="592"/>
        <v>1024</v>
      </c>
      <c r="AP115" s="400">
        <f ca="1">IF(MAX(IF($C$6="No",ROUNDUP($C$3/$I115,0),ROUNDUP(($C$3+$I115)/$I115,0)),IF($C$6="No",ROUNDUP($C$4/$G115,0),ROUNDUP(($C$4+$G115)/$G115,0)),ROUNDUP('BVMS checklist'!$H$217/$J115,0))&gt;1,'BVMS checklist'!$J$224,'BVMS checklist'!$J$217)+MAX(IF($C$6="No",ROUNDUP($C$3/$I115,0),ROUNDUP(($C$3+$I115)/$I115,0)),IF($C$6="No",ROUNDUP($C$4/$G115,0),ROUNDUP(($C$4+$G115)/$G115,0)))+$C$5</f>
        <v>1</v>
      </c>
      <c r="AQ115" s="400" t="b">
        <f t="shared" ca="1" si="554"/>
        <v>1</v>
      </c>
      <c r="AR115" s="400" t="str">
        <f t="shared" ca="1" si="593"/>
        <v>Accepted</v>
      </c>
      <c r="AS115" s="398" t="str">
        <f t="shared" ca="1" si="579"/>
        <v>No</v>
      </c>
      <c r="AT115" s="398" t="str">
        <f t="shared" ca="1" si="594"/>
        <v/>
      </c>
      <c r="AU115" s="398" t="str">
        <f t="shared" ca="1" si="566"/>
        <v/>
      </c>
      <c r="AV115" s="398">
        <f t="shared" ca="1" si="567"/>
        <v>6</v>
      </c>
      <c r="AW115" s="398">
        <f t="shared" ca="1" si="595"/>
        <v>2</v>
      </c>
      <c r="AX115" s="398">
        <f t="shared" ca="1" si="596"/>
        <v>384</v>
      </c>
      <c r="AY115" s="398">
        <f t="shared" ca="1" si="597"/>
        <v>329574</v>
      </c>
      <c r="AZ115" s="399">
        <f t="shared" ref="AZ115:AZ178" si="618">K115</f>
        <v>0</v>
      </c>
      <c r="BA115" s="399">
        <f t="shared" ref="BA115:BA178" si="619">L115</f>
        <v>0</v>
      </c>
      <c r="BB115" s="483" t="str">
        <f t="shared" ca="1" si="568"/>
        <v/>
      </c>
      <c r="BC115" s="400">
        <f ca="1">IF(MAX(IF($D$6="No",ROUNDUP($D$3/$I115,0),ROUNDUP(($D$3+$I115)/$I115,0)),IF($D$6="No",ROUNDUP($D$4/$G115,0),ROUNDUP(($D$4+$G115)/$G115,0)),ROUNDUP('BVMS checklist'!$H$217/$J115,0))&gt;1,'BVMS checklist'!$L$224,'BVMS checklist'!$L$217)</f>
        <v>0</v>
      </c>
      <c r="BD115" s="398">
        <f t="shared" ca="1" si="569"/>
        <v>2</v>
      </c>
      <c r="BE115" s="400">
        <f t="shared" si="598"/>
        <v>1</v>
      </c>
      <c r="BF115" s="400">
        <f t="shared" si="599"/>
        <v>2125</v>
      </c>
      <c r="BG115" s="400">
        <f t="shared" ca="1" si="580"/>
        <v>0</v>
      </c>
      <c r="BH115" s="398">
        <f t="shared" ca="1" si="600"/>
        <v>329574</v>
      </c>
      <c r="BI115" s="401" t="str">
        <f t="shared" ca="1" si="570"/>
        <v/>
      </c>
      <c r="BJ115" s="398">
        <f t="shared" ca="1" si="601"/>
        <v>1024</v>
      </c>
      <c r="BK115" s="400">
        <f ca="1">IF(MAX(IF($D$6="No",ROUNDUP($D$3/$I115,0),ROUNDUP(($D$3+$I115)/$I115,0)),IF($D$6="No",ROUNDUP($D$4/$G115,0),ROUNDUP(($D$4+$G115)/$G115,0)),ROUNDUP('BVMS checklist'!$H$217/$J115,0))&gt;1,'BVMS checklist'!$L$224,'BVMS checklist'!$L$217)+MAX(IF($D$6="No",ROUNDUP($D$3/$I115,0),ROUNDUP(($D$3+$I115)/$I115,0)),IF($D$6="No",ROUNDUP($D$4/$G115,0),ROUNDUP(($D$4+$G115)/$G115,0)))+$D$5</f>
        <v>1</v>
      </c>
      <c r="BL115" s="400" t="b">
        <f t="shared" ca="1" si="555"/>
        <v>1</v>
      </c>
      <c r="BM115" s="400" t="str">
        <f t="shared" ca="1" si="602"/>
        <v>Accepted</v>
      </c>
      <c r="BN115" s="398" t="str">
        <f t="shared" ca="1" si="581"/>
        <v>No</v>
      </c>
      <c r="BO115" s="398" t="str">
        <f t="shared" ca="1" si="603"/>
        <v/>
      </c>
      <c r="BP115" s="398" t="str">
        <f t="shared" ca="1" si="571"/>
        <v/>
      </c>
      <c r="BQ115" s="398">
        <f t="shared" ca="1" si="572"/>
        <v>6</v>
      </c>
      <c r="BR115" s="398">
        <f t="shared" ca="1" si="604"/>
        <v>2</v>
      </c>
      <c r="BS115" s="398">
        <f t="shared" ca="1" si="605"/>
        <v>384</v>
      </c>
      <c r="BT115" s="398">
        <f t="shared" ca="1" si="606"/>
        <v>329574</v>
      </c>
      <c r="BU115" s="399">
        <f t="shared" ref="BU115:BU178" si="620">K115</f>
        <v>0</v>
      </c>
      <c r="BV115" s="399">
        <f t="shared" ref="BV115:BV178" si="621">L115</f>
        <v>0</v>
      </c>
      <c r="BW115" s="483" t="str">
        <f t="shared" ca="1" si="573"/>
        <v/>
      </c>
      <c r="BX115" s="400">
        <f ca="1">IF(MAX(IF($E$6="No",ROUNDUP($E$3/$I115,0),ROUNDUP(($E$3+$I115)/$I115,0)),IF($E$6="No",ROUNDUP($E$4/$G115,0),ROUNDUP(($E$4+$G115)/$G115,0)),ROUNDUP('BVMS checklist'!$H$217/$J115,0))&gt;1,'BVMS checklist'!$N$224,'BVMS checklist'!$N$217)</f>
        <v>0</v>
      </c>
      <c r="BY115" s="398">
        <f t="shared" ca="1" si="574"/>
        <v>2</v>
      </c>
      <c r="BZ115" s="400">
        <f t="shared" ca="1" si="607"/>
        <v>2</v>
      </c>
      <c r="CA115" s="400">
        <f t="shared" ca="1" si="608"/>
        <v>4250</v>
      </c>
      <c r="CB115" s="400">
        <f t="shared" ca="1" si="582"/>
        <v>0</v>
      </c>
      <c r="CC115" s="398">
        <f t="shared" ca="1" si="609"/>
        <v>329574</v>
      </c>
      <c r="CD115" s="401" t="str">
        <f t="shared" ca="1" si="575"/>
        <v/>
      </c>
      <c r="CE115" s="398">
        <f t="shared" ca="1" si="610"/>
        <v>1024</v>
      </c>
      <c r="CF115" s="400">
        <f ca="1">IF(MAX(IF($E$6="No",ROUNDUP($E$3/$I115,0),ROUNDUP(($E$3+$I115)/$I115,0)),IF($E$6="No",ROUNDUP($E$4/$G115,0),ROUNDUP(($E$4+$G115)/$G115,0)),ROUNDUP('BVMS checklist'!$H$217/$J115,0))&gt;1,'BVMS checklist'!$N$224,'BVMS checklist'!$N$217)+MAX(IF($E$6="No",ROUNDUP($E$3/$I115,0),ROUNDUP(($E$3+$I115)/$I115,0)),IF($E$6="No",ROUNDUP($E$4/$G115,0),ROUNDUP(($E$4+$G115)/$G115,0)))+$E$5</f>
        <v>1</v>
      </c>
      <c r="CG115" s="400" t="b">
        <f t="shared" ca="1" si="556"/>
        <v>1</v>
      </c>
      <c r="CH115" s="400" t="str">
        <f t="shared" ca="1" si="611"/>
        <v>Accepted</v>
      </c>
      <c r="CI115" s="398" t="str">
        <f t="shared" ca="1" si="583"/>
        <v>No</v>
      </c>
      <c r="CJ115" s="398" t="str">
        <f t="shared" ca="1" si="612"/>
        <v/>
      </c>
      <c r="CK115" s="398" t="str">
        <f t="shared" ca="1" si="576"/>
        <v/>
      </c>
      <c r="CL115" s="398">
        <f t="shared" ca="1" si="577"/>
        <v>6</v>
      </c>
      <c r="CM115" s="398">
        <f t="shared" ca="1" si="613"/>
        <v>2</v>
      </c>
      <c r="CN115" s="398">
        <f t="shared" ca="1" si="614"/>
        <v>384</v>
      </c>
      <c r="CO115" s="398">
        <f t="shared" ca="1" si="615"/>
        <v>329574</v>
      </c>
      <c r="CP115" s="399">
        <f t="shared" ref="CP115:CP178" si="622">K115</f>
        <v>0</v>
      </c>
      <c r="CQ115" s="399">
        <f t="shared" ref="CQ115:CQ178" si="623">L115</f>
        <v>0</v>
      </c>
      <c r="CR115" s="483" t="str">
        <f t="shared" ca="1" si="578"/>
        <v/>
      </c>
      <c r="CS115"/>
    </row>
    <row r="116" spans="1:97">
      <c r="A116" s="398" t="s">
        <v>398</v>
      </c>
      <c r="B116" s="398" t="s">
        <v>987</v>
      </c>
      <c r="C116" s="440" t="s">
        <v>891</v>
      </c>
      <c r="D116" s="398">
        <v>5</v>
      </c>
      <c r="E116" s="398"/>
      <c r="F116" s="440">
        <v>0</v>
      </c>
      <c r="G116" s="398">
        <f>IF(C116="RAID5",(((7-F116)*5586))+(4*(((15-F116)*2793))),(((6-F116)*5586))+(4*(((14-F116)*2793))))</f>
        <v>206682</v>
      </c>
      <c r="H116" s="399">
        <v>240</v>
      </c>
      <c r="I116" s="399">
        <v>2675</v>
      </c>
      <c r="J116" s="399">
        <v>640</v>
      </c>
      <c r="K116" s="399"/>
      <c r="L116" s="399"/>
      <c r="M116" s="400">
        <f ca="1">IF(MAX(IF($B$6="No",ROUNDUP($B$3/$I116,0),ROUNDUP(($B$3+$I116)/$I116,0)),IF($B$6="No",ROUNDUP($B$4/$G116,0),ROUNDUP(($B$4+$G116)/$G116,0)),ROUNDUP('BVMS checklist'!$H$217/$J116,0))&gt;1,'BVMS checklist'!$H$224,'BVMS checklist'!$H$217)</f>
        <v>0</v>
      </c>
      <c r="N116" s="398">
        <f t="shared" ca="1" si="557"/>
        <v>2</v>
      </c>
      <c r="O116" s="400">
        <f t="shared" ca="1" si="584"/>
        <v>2</v>
      </c>
      <c r="P116" s="400">
        <f t="shared" ca="1" si="548"/>
        <v>5350</v>
      </c>
      <c r="Q116" s="400">
        <f t="shared" ca="1" si="549"/>
        <v>0</v>
      </c>
      <c r="R116" s="398">
        <f t="shared" ca="1" si="550"/>
        <v>413364</v>
      </c>
      <c r="S116" s="401" t="str">
        <f t="shared" ca="1" si="558"/>
        <v/>
      </c>
      <c r="T116" s="398">
        <f t="shared" ca="1" si="559"/>
        <v>1280</v>
      </c>
      <c r="U116" s="400">
        <f ca="1">IF(MAX(IF($B$6="No",ROUNDUP($B$3/$I116,0),ROUNDUP(($B$3+$I116)/$I116,0)),IF($B$6="No",ROUNDUP($B$4/$G116,0),ROUNDUP(($B$4+$G116)/$G116,0)),ROUNDUP('BVMS checklist'!$H$217/$J116,0))&gt;1,'BVMS checklist'!$H$224,'BVMS checklist'!$H$217)+MAX(IF($B$6="No",ROUNDUP($B$3/$I116,0),ROUNDUP(($B$3+$I116)/$I116,0)),IF($B$6="No",ROUNDUP($B$4/$G116,0),ROUNDUP(($B$4+$G116)/$G116,0)))+$B$5</f>
        <v>1</v>
      </c>
      <c r="V116" s="400" t="b">
        <f t="shared" ca="1" si="551"/>
        <v>1</v>
      </c>
      <c r="W116" s="400" t="str">
        <f t="shared" ca="1" si="585"/>
        <v>Accepted</v>
      </c>
      <c r="X116" s="398" t="str">
        <f t="shared" ca="1" si="560"/>
        <v>No</v>
      </c>
      <c r="Y116" s="398" t="str">
        <f t="shared" ca="1" si="561"/>
        <v/>
      </c>
      <c r="Z116" s="398" t="str">
        <f t="shared" ca="1" si="562"/>
        <v/>
      </c>
      <c r="AA116" s="398">
        <f t="shared" ca="1" si="586"/>
        <v>6</v>
      </c>
      <c r="AB116" s="398">
        <f t="shared" ca="1" si="552"/>
        <v>2</v>
      </c>
      <c r="AC116" s="398">
        <f t="shared" ca="1" si="553"/>
        <v>480</v>
      </c>
      <c r="AD116" s="398">
        <f t="shared" ca="1" si="587"/>
        <v>413364</v>
      </c>
      <c r="AE116" s="399">
        <f t="shared" si="616"/>
        <v>0</v>
      </c>
      <c r="AF116" s="399">
        <f t="shared" si="617"/>
        <v>0</v>
      </c>
      <c r="AG116" s="483" t="str">
        <f t="shared" ca="1" si="563"/>
        <v/>
      </c>
      <c r="AH116" s="400">
        <f ca="1">IF(MAX(IF($C$6="No",ROUNDUP($C$3/$I116,0),ROUNDUP(($C$3+$I116)/$I116,0)),IF($C$6="No",ROUNDUP($C$4/$G116,0),ROUNDUP(($C$4+$G116)/$G116,0)),ROUNDUP('BVMS checklist'!$H$217/$J116,0))&gt;1,'BVMS checklist'!$J$224,'BVMS checklist'!$J$217)</f>
        <v>0</v>
      </c>
      <c r="AI116" s="398">
        <f t="shared" ca="1" si="564"/>
        <v>2</v>
      </c>
      <c r="AJ116" s="400">
        <f t="shared" ca="1" si="588"/>
        <v>2</v>
      </c>
      <c r="AK116" s="400">
        <f t="shared" ca="1" si="589"/>
        <v>5350</v>
      </c>
      <c r="AL116" s="400">
        <f t="shared" ca="1" si="590"/>
        <v>0</v>
      </c>
      <c r="AM116" s="398">
        <f t="shared" ca="1" si="591"/>
        <v>413364</v>
      </c>
      <c r="AN116" s="401" t="str">
        <f t="shared" ca="1" si="565"/>
        <v/>
      </c>
      <c r="AO116" s="398">
        <f t="shared" ca="1" si="592"/>
        <v>1280</v>
      </c>
      <c r="AP116" s="400">
        <f ca="1">IF(MAX(IF($C$6="No",ROUNDUP($C$3/$I116,0),ROUNDUP(($C$3+$I116)/$I116,0)),IF($C$6="No",ROUNDUP($C$4/$G116,0),ROUNDUP(($C$4+$G116)/$G116,0)),ROUNDUP('BVMS checklist'!$H$217/$J116,0))&gt;1,'BVMS checklist'!$J$224,'BVMS checklist'!$J$217)+MAX(IF($C$6="No",ROUNDUP($C$3/$I116,0),ROUNDUP(($C$3+$I116)/$I116,0)),IF($C$6="No",ROUNDUP($C$4/$G116,0),ROUNDUP(($C$4+$G116)/$G116,0)))+$C$5</f>
        <v>1</v>
      </c>
      <c r="AQ116" s="400" t="b">
        <f t="shared" ca="1" si="554"/>
        <v>1</v>
      </c>
      <c r="AR116" s="400" t="str">
        <f t="shared" ca="1" si="593"/>
        <v>Accepted</v>
      </c>
      <c r="AS116" s="398" t="str">
        <f t="shared" ca="1" si="579"/>
        <v>No</v>
      </c>
      <c r="AT116" s="398" t="str">
        <f t="shared" ca="1" si="594"/>
        <v/>
      </c>
      <c r="AU116" s="398" t="str">
        <f t="shared" ca="1" si="566"/>
        <v/>
      </c>
      <c r="AV116" s="398">
        <f t="shared" ca="1" si="567"/>
        <v>6</v>
      </c>
      <c r="AW116" s="398">
        <f t="shared" ca="1" si="595"/>
        <v>2</v>
      </c>
      <c r="AX116" s="398">
        <f t="shared" ca="1" si="596"/>
        <v>480</v>
      </c>
      <c r="AY116" s="398">
        <f t="shared" ca="1" si="597"/>
        <v>413364</v>
      </c>
      <c r="AZ116" s="399">
        <f t="shared" si="618"/>
        <v>0</v>
      </c>
      <c r="BA116" s="399">
        <f t="shared" si="619"/>
        <v>0</v>
      </c>
      <c r="BB116" s="483" t="str">
        <f t="shared" ca="1" si="568"/>
        <v/>
      </c>
      <c r="BC116" s="400">
        <f ca="1">IF(MAX(IF($D$6="No",ROUNDUP($D$3/$I116,0),ROUNDUP(($D$3+$I116)/$I116,0)),IF($D$6="No",ROUNDUP($D$4/$G116,0),ROUNDUP(($D$4+$G116)/$G116,0)),ROUNDUP('BVMS checklist'!$H$217/$J116,0))&gt;1,'BVMS checklist'!$L$224,'BVMS checklist'!$L$217)</f>
        <v>0</v>
      </c>
      <c r="BD116" s="398">
        <f t="shared" ca="1" si="569"/>
        <v>2</v>
      </c>
      <c r="BE116" s="400">
        <f t="shared" si="598"/>
        <v>1</v>
      </c>
      <c r="BF116" s="400">
        <f t="shared" si="599"/>
        <v>2675</v>
      </c>
      <c r="BG116" s="400">
        <f t="shared" ca="1" si="580"/>
        <v>0</v>
      </c>
      <c r="BH116" s="398">
        <f t="shared" ca="1" si="600"/>
        <v>413364</v>
      </c>
      <c r="BI116" s="401" t="str">
        <f t="shared" ca="1" si="570"/>
        <v/>
      </c>
      <c r="BJ116" s="398">
        <f t="shared" ca="1" si="601"/>
        <v>1280</v>
      </c>
      <c r="BK116" s="400">
        <f ca="1">IF(MAX(IF($D$6="No",ROUNDUP($D$3/$I116,0),ROUNDUP(($D$3+$I116)/$I116,0)),IF($D$6="No",ROUNDUP($D$4/$G116,0),ROUNDUP(($D$4+$G116)/$G116,0)),ROUNDUP('BVMS checklist'!$H$217/$J116,0))&gt;1,'BVMS checklist'!$L$224,'BVMS checklist'!$L$217)+MAX(IF($D$6="No",ROUNDUP($D$3/$I116,0),ROUNDUP(($D$3+$I116)/$I116,0)),IF($D$6="No",ROUNDUP($D$4/$G116,0),ROUNDUP(($D$4+$G116)/$G116,0)))+$D$5</f>
        <v>1</v>
      </c>
      <c r="BL116" s="400" t="b">
        <f t="shared" ca="1" si="555"/>
        <v>1</v>
      </c>
      <c r="BM116" s="400" t="str">
        <f t="shared" ca="1" si="602"/>
        <v>Accepted</v>
      </c>
      <c r="BN116" s="398" t="str">
        <f t="shared" ca="1" si="581"/>
        <v>No</v>
      </c>
      <c r="BO116" s="398" t="str">
        <f t="shared" ca="1" si="603"/>
        <v/>
      </c>
      <c r="BP116" s="398" t="str">
        <f t="shared" ca="1" si="571"/>
        <v/>
      </c>
      <c r="BQ116" s="398">
        <f t="shared" ca="1" si="572"/>
        <v>6</v>
      </c>
      <c r="BR116" s="398">
        <f t="shared" ca="1" si="604"/>
        <v>2</v>
      </c>
      <c r="BS116" s="398">
        <f t="shared" ca="1" si="605"/>
        <v>480</v>
      </c>
      <c r="BT116" s="398">
        <f t="shared" ca="1" si="606"/>
        <v>413364</v>
      </c>
      <c r="BU116" s="399">
        <f t="shared" si="620"/>
        <v>0</v>
      </c>
      <c r="BV116" s="399">
        <f t="shared" si="621"/>
        <v>0</v>
      </c>
      <c r="BW116" s="483" t="str">
        <f t="shared" ca="1" si="573"/>
        <v/>
      </c>
      <c r="BX116" s="400">
        <f ca="1">IF(MAX(IF($E$6="No",ROUNDUP($E$3/$I116,0),ROUNDUP(($E$3+$I116)/$I116,0)),IF($E$6="No",ROUNDUP($E$4/$G116,0),ROUNDUP(($E$4+$G116)/$G116,0)),ROUNDUP('BVMS checklist'!$H$217/$J116,0))&gt;1,'BVMS checklist'!$N$224,'BVMS checklist'!$N$217)</f>
        <v>0</v>
      </c>
      <c r="BY116" s="398">
        <f t="shared" ca="1" si="574"/>
        <v>2</v>
      </c>
      <c r="BZ116" s="400">
        <f t="shared" ca="1" si="607"/>
        <v>2</v>
      </c>
      <c r="CA116" s="400">
        <f t="shared" ca="1" si="608"/>
        <v>5350</v>
      </c>
      <c r="CB116" s="400">
        <f t="shared" ca="1" si="582"/>
        <v>0</v>
      </c>
      <c r="CC116" s="398">
        <f t="shared" ca="1" si="609"/>
        <v>413364</v>
      </c>
      <c r="CD116" s="401" t="str">
        <f t="shared" ca="1" si="575"/>
        <v/>
      </c>
      <c r="CE116" s="398">
        <f t="shared" ca="1" si="610"/>
        <v>1280</v>
      </c>
      <c r="CF116" s="400">
        <f ca="1">IF(MAX(IF($E$6="No",ROUNDUP($E$3/$I116,0),ROUNDUP(($E$3+$I116)/$I116,0)),IF($E$6="No",ROUNDUP($E$4/$G116,0),ROUNDUP(($E$4+$G116)/$G116,0)),ROUNDUP('BVMS checklist'!$H$217/$J116,0))&gt;1,'BVMS checklist'!$N$224,'BVMS checklist'!$N$217)+MAX(IF($E$6="No",ROUNDUP($E$3/$I116,0),ROUNDUP(($E$3+$I116)/$I116,0)),IF($E$6="No",ROUNDUP($E$4/$G116,0),ROUNDUP(($E$4+$G116)/$G116,0)))+$E$5</f>
        <v>1</v>
      </c>
      <c r="CG116" s="400" t="b">
        <f t="shared" ca="1" si="556"/>
        <v>1</v>
      </c>
      <c r="CH116" s="400" t="str">
        <f t="shared" ca="1" si="611"/>
        <v>Accepted</v>
      </c>
      <c r="CI116" s="398" t="str">
        <f t="shared" ca="1" si="583"/>
        <v>No</v>
      </c>
      <c r="CJ116" s="398" t="str">
        <f t="shared" ca="1" si="612"/>
        <v/>
      </c>
      <c r="CK116" s="398" t="str">
        <f t="shared" ca="1" si="576"/>
        <v/>
      </c>
      <c r="CL116" s="398">
        <f t="shared" ca="1" si="577"/>
        <v>6</v>
      </c>
      <c r="CM116" s="398">
        <f t="shared" ca="1" si="613"/>
        <v>2</v>
      </c>
      <c r="CN116" s="398">
        <f t="shared" ca="1" si="614"/>
        <v>480</v>
      </c>
      <c r="CO116" s="398">
        <f t="shared" ca="1" si="615"/>
        <v>413364</v>
      </c>
      <c r="CP116" s="399">
        <f t="shared" si="622"/>
        <v>0</v>
      </c>
      <c r="CQ116" s="399">
        <f t="shared" si="623"/>
        <v>0</v>
      </c>
      <c r="CR116" s="483" t="str">
        <f t="shared" ca="1" si="578"/>
        <v/>
      </c>
      <c r="CS116"/>
    </row>
    <row r="117" spans="1:97">
      <c r="A117" s="398" t="s">
        <v>399</v>
      </c>
      <c r="B117" s="398" t="s">
        <v>987</v>
      </c>
      <c r="C117" s="440" t="s">
        <v>891</v>
      </c>
      <c r="D117" s="398">
        <v>2</v>
      </c>
      <c r="E117" s="398"/>
      <c r="F117" s="440">
        <v>0</v>
      </c>
      <c r="G117" s="398">
        <f>IF(C117="RAID5",(((7-F117)*5586))+(1*(((7-F117)*3723))),(((6-F117)*5586))+(1*(((7-F117)*3723))))</f>
        <v>65163</v>
      </c>
      <c r="H117" s="399">
        <v>80</v>
      </c>
      <c r="I117" s="399">
        <v>1025</v>
      </c>
      <c r="J117" s="399">
        <v>256</v>
      </c>
      <c r="K117" s="399"/>
      <c r="L117" s="399"/>
      <c r="M117" s="400">
        <f ca="1">IF(MAX(IF($B$6="No",ROUNDUP($B$3/$I117,0),ROUNDUP(($B$3+$I117)/$I117,0)),IF($B$6="No",ROUNDUP($B$4/$G117,0),ROUNDUP(($B$4+$G117)/$G117,0)),ROUNDUP('BVMS checklist'!$H$217/$J117,0))&gt;1,'BVMS checklist'!$H$224,'BVMS checklist'!$H$217)</f>
        <v>0</v>
      </c>
      <c r="N117" s="398">
        <f t="shared" ca="1" si="557"/>
        <v>2</v>
      </c>
      <c r="O117" s="400">
        <f t="shared" ca="1" si="584"/>
        <v>2</v>
      </c>
      <c r="P117" s="400">
        <f t="shared" ca="1" si="548"/>
        <v>2050</v>
      </c>
      <c r="Q117" s="400">
        <f t="shared" ca="1" si="549"/>
        <v>0</v>
      </c>
      <c r="R117" s="398">
        <f t="shared" ca="1" si="550"/>
        <v>130326</v>
      </c>
      <c r="S117" s="401" t="str">
        <f t="shared" ca="1" si="558"/>
        <v/>
      </c>
      <c r="T117" s="398">
        <f t="shared" ca="1" si="559"/>
        <v>512</v>
      </c>
      <c r="U117" s="400">
        <f ca="1">IF(MAX(IF($B$6="No",ROUNDUP($B$3/$I117,0),ROUNDUP(($B$3+$I117)/$I117,0)),IF($B$6="No",ROUNDUP($B$4/$G117,0),ROUNDUP(($B$4+$G117)/$G117,0)),ROUNDUP('BVMS checklist'!$H$217/$J117,0))&gt;1,'BVMS checklist'!$H$224,'BVMS checklist'!$H$217)+MAX(IF($B$6="No",ROUNDUP($B$3/$I117,0),ROUNDUP(($B$3+$I117)/$I117,0)),IF($B$6="No",ROUNDUP($B$4/$G117,0),ROUNDUP(($B$4+$G117)/$G117,0)))+$B$5</f>
        <v>1</v>
      </c>
      <c r="V117" s="400" t="b">
        <f t="shared" ca="1" si="551"/>
        <v>1</v>
      </c>
      <c r="W117" s="400" t="str">
        <f t="shared" ca="1" si="585"/>
        <v>Accepted</v>
      </c>
      <c r="X117" s="398" t="str">
        <f t="shared" ca="1" si="560"/>
        <v>No</v>
      </c>
      <c r="Y117" s="398" t="str">
        <f t="shared" ca="1" si="561"/>
        <v/>
      </c>
      <c r="Z117" s="398" t="str">
        <f t="shared" ca="1" si="562"/>
        <v/>
      </c>
      <c r="AA117" s="398">
        <f t="shared" ca="1" si="586"/>
        <v>6</v>
      </c>
      <c r="AB117" s="398">
        <f t="shared" ca="1" si="552"/>
        <v>2</v>
      </c>
      <c r="AC117" s="398">
        <f t="shared" ca="1" si="553"/>
        <v>160</v>
      </c>
      <c r="AD117" s="398">
        <f t="shared" ca="1" si="587"/>
        <v>130326</v>
      </c>
      <c r="AE117" s="399">
        <f t="shared" si="616"/>
        <v>0</v>
      </c>
      <c r="AF117" s="399">
        <f t="shared" si="617"/>
        <v>0</v>
      </c>
      <c r="AG117" s="483" t="str">
        <f t="shared" ca="1" si="563"/>
        <v/>
      </c>
      <c r="AH117" s="400">
        <f ca="1">IF(MAX(IF($C$6="No",ROUNDUP($C$3/$I117,0),ROUNDUP(($C$3+$I117)/$I117,0)),IF($C$6="No",ROUNDUP($C$4/$G117,0),ROUNDUP(($C$4+$G117)/$G117,0)),ROUNDUP('BVMS checklist'!$H$217/$J117,0))&gt;1,'BVMS checklist'!$J$224,'BVMS checklist'!$J$217)</f>
        <v>0</v>
      </c>
      <c r="AI117" s="398">
        <f t="shared" ca="1" si="564"/>
        <v>2</v>
      </c>
      <c r="AJ117" s="400">
        <f t="shared" ca="1" si="588"/>
        <v>2</v>
      </c>
      <c r="AK117" s="400">
        <f t="shared" ca="1" si="589"/>
        <v>2050</v>
      </c>
      <c r="AL117" s="400">
        <f t="shared" ca="1" si="590"/>
        <v>0</v>
      </c>
      <c r="AM117" s="398">
        <f t="shared" ca="1" si="591"/>
        <v>130326</v>
      </c>
      <c r="AN117" s="401" t="str">
        <f t="shared" ca="1" si="565"/>
        <v/>
      </c>
      <c r="AO117" s="398">
        <f t="shared" ca="1" si="592"/>
        <v>512</v>
      </c>
      <c r="AP117" s="400">
        <f ca="1">IF(MAX(IF($C$6="No",ROUNDUP($C$3/$I117,0),ROUNDUP(($C$3+$I117)/$I117,0)),IF($C$6="No",ROUNDUP($C$4/$G117,0),ROUNDUP(($C$4+$G117)/$G117,0)),ROUNDUP('BVMS checklist'!$H$217/$J117,0))&gt;1,'BVMS checklist'!$J$224,'BVMS checklist'!$J$217)+MAX(IF($C$6="No",ROUNDUP($C$3/$I117,0),ROUNDUP(($C$3+$I117)/$I117,0)),IF($C$6="No",ROUNDUP($C$4/$G117,0),ROUNDUP(($C$4+$G117)/$G117,0)))+$C$5</f>
        <v>1</v>
      </c>
      <c r="AQ117" s="400" t="b">
        <f t="shared" ca="1" si="554"/>
        <v>1</v>
      </c>
      <c r="AR117" s="400" t="str">
        <f t="shared" ca="1" si="593"/>
        <v>Accepted</v>
      </c>
      <c r="AS117" s="398" t="str">
        <f t="shared" ca="1" si="579"/>
        <v>No</v>
      </c>
      <c r="AT117" s="398" t="str">
        <f t="shared" ca="1" si="594"/>
        <v/>
      </c>
      <c r="AU117" s="398" t="str">
        <f t="shared" ca="1" si="566"/>
        <v/>
      </c>
      <c r="AV117" s="398">
        <f t="shared" ca="1" si="567"/>
        <v>6</v>
      </c>
      <c r="AW117" s="398">
        <f t="shared" ca="1" si="595"/>
        <v>2</v>
      </c>
      <c r="AX117" s="398">
        <f t="shared" ca="1" si="596"/>
        <v>160</v>
      </c>
      <c r="AY117" s="398">
        <f t="shared" ca="1" si="597"/>
        <v>130326</v>
      </c>
      <c r="AZ117" s="399">
        <f t="shared" si="618"/>
        <v>0</v>
      </c>
      <c r="BA117" s="399">
        <f t="shared" si="619"/>
        <v>0</v>
      </c>
      <c r="BB117" s="483" t="str">
        <f t="shared" ca="1" si="568"/>
        <v/>
      </c>
      <c r="BC117" s="400">
        <f ca="1">IF(MAX(IF($D$6="No",ROUNDUP($D$3/$I117,0),ROUNDUP(($D$3+$I117)/$I117,0)),IF($D$6="No",ROUNDUP($D$4/$G117,0),ROUNDUP(($D$4+$G117)/$G117,0)),ROUNDUP('BVMS checklist'!$H$217/$J117,0))&gt;1,'BVMS checklist'!$L$224,'BVMS checklist'!$L$217)</f>
        <v>0</v>
      </c>
      <c r="BD117" s="398">
        <f t="shared" ca="1" si="569"/>
        <v>2</v>
      </c>
      <c r="BE117" s="400">
        <f t="shared" si="598"/>
        <v>1</v>
      </c>
      <c r="BF117" s="400">
        <f t="shared" si="599"/>
        <v>1025</v>
      </c>
      <c r="BG117" s="400">
        <f t="shared" ca="1" si="580"/>
        <v>0</v>
      </c>
      <c r="BH117" s="398">
        <f t="shared" ca="1" si="600"/>
        <v>130326</v>
      </c>
      <c r="BI117" s="401" t="str">
        <f t="shared" ca="1" si="570"/>
        <v/>
      </c>
      <c r="BJ117" s="398">
        <f t="shared" ca="1" si="601"/>
        <v>512</v>
      </c>
      <c r="BK117" s="400">
        <f ca="1">IF(MAX(IF($D$6="No",ROUNDUP($D$3/$I117,0),ROUNDUP(($D$3+$I117)/$I117,0)),IF($D$6="No",ROUNDUP($D$4/$G117,0),ROUNDUP(($D$4+$G117)/$G117,0)),ROUNDUP('BVMS checklist'!$H$217/$J117,0))&gt;1,'BVMS checklist'!$L$224,'BVMS checklist'!$L$217)+MAX(IF($D$6="No",ROUNDUP($D$3/$I117,0),ROUNDUP(($D$3+$I117)/$I117,0)),IF($D$6="No",ROUNDUP($D$4/$G117,0),ROUNDUP(($D$4+$G117)/$G117,0)))+$D$5</f>
        <v>1</v>
      </c>
      <c r="BL117" s="400" t="b">
        <f t="shared" ca="1" si="555"/>
        <v>1</v>
      </c>
      <c r="BM117" s="400" t="str">
        <f t="shared" ca="1" si="602"/>
        <v>Accepted</v>
      </c>
      <c r="BN117" s="398" t="str">
        <f t="shared" ca="1" si="581"/>
        <v>No</v>
      </c>
      <c r="BO117" s="398" t="str">
        <f t="shared" ca="1" si="603"/>
        <v/>
      </c>
      <c r="BP117" s="398" t="str">
        <f t="shared" ca="1" si="571"/>
        <v/>
      </c>
      <c r="BQ117" s="398">
        <f t="shared" ca="1" si="572"/>
        <v>6</v>
      </c>
      <c r="BR117" s="398">
        <f t="shared" ca="1" si="604"/>
        <v>2</v>
      </c>
      <c r="BS117" s="398">
        <f t="shared" ca="1" si="605"/>
        <v>160</v>
      </c>
      <c r="BT117" s="398">
        <f t="shared" ca="1" si="606"/>
        <v>130326</v>
      </c>
      <c r="BU117" s="399">
        <f t="shared" si="620"/>
        <v>0</v>
      </c>
      <c r="BV117" s="399">
        <f t="shared" si="621"/>
        <v>0</v>
      </c>
      <c r="BW117" s="483" t="str">
        <f t="shared" ca="1" si="573"/>
        <v/>
      </c>
      <c r="BX117" s="400">
        <f ca="1">IF(MAX(IF($E$6="No",ROUNDUP($E$3/$I117,0),ROUNDUP(($E$3+$I117)/$I117,0)),IF($E$6="No",ROUNDUP($E$4/$G117,0),ROUNDUP(($E$4+$G117)/$G117,0)),ROUNDUP('BVMS checklist'!$H$217/$J117,0))&gt;1,'BVMS checklist'!$N$224,'BVMS checklist'!$N$217)</f>
        <v>0</v>
      </c>
      <c r="BY117" s="398">
        <f t="shared" ca="1" si="574"/>
        <v>2</v>
      </c>
      <c r="BZ117" s="400">
        <f t="shared" ca="1" si="607"/>
        <v>2</v>
      </c>
      <c r="CA117" s="400">
        <f t="shared" ca="1" si="608"/>
        <v>2050</v>
      </c>
      <c r="CB117" s="400">
        <f t="shared" ca="1" si="582"/>
        <v>0</v>
      </c>
      <c r="CC117" s="398">
        <f t="shared" ca="1" si="609"/>
        <v>130326</v>
      </c>
      <c r="CD117" s="401" t="str">
        <f t="shared" ca="1" si="575"/>
        <v/>
      </c>
      <c r="CE117" s="398">
        <f t="shared" ca="1" si="610"/>
        <v>512</v>
      </c>
      <c r="CF117" s="400">
        <f ca="1">IF(MAX(IF($E$6="No",ROUNDUP($E$3/$I117,0),ROUNDUP(($E$3+$I117)/$I117,0)),IF($E$6="No",ROUNDUP($E$4/$G117,0),ROUNDUP(($E$4+$G117)/$G117,0)),ROUNDUP('BVMS checklist'!$H$217/$J117,0))&gt;1,'BVMS checklist'!$N$224,'BVMS checklist'!$N$217)+MAX(IF($E$6="No",ROUNDUP($E$3/$I117,0),ROUNDUP(($E$3+$I117)/$I117,0)),IF($E$6="No",ROUNDUP($E$4/$G117,0),ROUNDUP(($E$4+$G117)/$G117,0)))+$E$5</f>
        <v>1</v>
      </c>
      <c r="CG117" s="400" t="b">
        <f t="shared" ca="1" si="556"/>
        <v>1</v>
      </c>
      <c r="CH117" s="400" t="str">
        <f t="shared" ca="1" si="611"/>
        <v>Accepted</v>
      </c>
      <c r="CI117" s="398" t="str">
        <f t="shared" ca="1" si="583"/>
        <v>No</v>
      </c>
      <c r="CJ117" s="398" t="str">
        <f t="shared" ca="1" si="612"/>
        <v/>
      </c>
      <c r="CK117" s="398" t="str">
        <f t="shared" ca="1" si="576"/>
        <v/>
      </c>
      <c r="CL117" s="398">
        <f t="shared" ca="1" si="577"/>
        <v>6</v>
      </c>
      <c r="CM117" s="398">
        <f t="shared" ca="1" si="613"/>
        <v>2</v>
      </c>
      <c r="CN117" s="398">
        <f t="shared" ca="1" si="614"/>
        <v>160</v>
      </c>
      <c r="CO117" s="398">
        <f t="shared" ca="1" si="615"/>
        <v>130326</v>
      </c>
      <c r="CP117" s="399">
        <f t="shared" si="622"/>
        <v>0</v>
      </c>
      <c r="CQ117" s="399">
        <f t="shared" si="623"/>
        <v>0</v>
      </c>
      <c r="CR117" s="483" t="str">
        <f t="shared" ca="1" si="578"/>
        <v/>
      </c>
      <c r="CS117"/>
    </row>
    <row r="118" spans="1:97">
      <c r="A118" s="398" t="s">
        <v>400</v>
      </c>
      <c r="B118" s="398" t="s">
        <v>987</v>
      </c>
      <c r="C118" s="440" t="s">
        <v>891</v>
      </c>
      <c r="D118" s="398">
        <v>3</v>
      </c>
      <c r="E118" s="398"/>
      <c r="F118" s="440">
        <v>0</v>
      </c>
      <c r="G118" s="398">
        <f>IF(C118="RAID5",(((7-F118)*5586))+(2*(((7-F118)*3723))),(((6-F118)*5586))+(2*(((7-F118)*3723))))</f>
        <v>91224</v>
      </c>
      <c r="H118" s="399">
        <v>112</v>
      </c>
      <c r="I118" s="399">
        <v>1575</v>
      </c>
      <c r="J118" s="399">
        <v>384</v>
      </c>
      <c r="K118" s="399"/>
      <c r="L118" s="399"/>
      <c r="M118" s="400">
        <f ca="1">IF(MAX(IF($B$6="No",ROUNDUP($B$3/$I118,0),ROUNDUP(($B$3+$I118)/$I118,0)),IF($B$6="No",ROUNDUP($B$4/$G118,0),ROUNDUP(($B$4+$G118)/$G118,0)),ROUNDUP('BVMS checklist'!$H$217/$J118,0))&gt;1,'BVMS checklist'!$H$224,'BVMS checklist'!$H$217)</f>
        <v>0</v>
      </c>
      <c r="N118" s="398">
        <f t="shared" ca="1" si="557"/>
        <v>2</v>
      </c>
      <c r="O118" s="400">
        <f t="shared" ca="1" si="584"/>
        <v>2</v>
      </c>
      <c r="P118" s="400">
        <f t="shared" ca="1" si="548"/>
        <v>3150</v>
      </c>
      <c r="Q118" s="400">
        <f t="shared" ca="1" si="549"/>
        <v>0</v>
      </c>
      <c r="R118" s="398">
        <f t="shared" ca="1" si="550"/>
        <v>182448</v>
      </c>
      <c r="S118" s="401" t="str">
        <f t="shared" ca="1" si="558"/>
        <v/>
      </c>
      <c r="T118" s="398">
        <f t="shared" ca="1" si="559"/>
        <v>768</v>
      </c>
      <c r="U118" s="400">
        <f ca="1">IF(MAX(IF($B$6="No",ROUNDUP($B$3/$I118,0),ROUNDUP(($B$3+$I118)/$I118,0)),IF($B$6="No",ROUNDUP($B$4/$G118,0),ROUNDUP(($B$4+$G118)/$G118,0)),ROUNDUP('BVMS checklist'!$H$217/$J118,0))&gt;1,'BVMS checklist'!$H$224,'BVMS checklist'!$H$217)+MAX(IF($B$6="No",ROUNDUP($B$3/$I118,0),ROUNDUP(($B$3+$I118)/$I118,0)),IF($B$6="No",ROUNDUP($B$4/$G118,0),ROUNDUP(($B$4+$G118)/$G118,0)))+$B$5</f>
        <v>1</v>
      </c>
      <c r="V118" s="400" t="b">
        <f t="shared" ca="1" si="551"/>
        <v>1</v>
      </c>
      <c r="W118" s="400" t="str">
        <f t="shared" ca="1" si="585"/>
        <v>Accepted</v>
      </c>
      <c r="X118" s="398" t="str">
        <f t="shared" ca="1" si="560"/>
        <v>No</v>
      </c>
      <c r="Y118" s="398" t="str">
        <f t="shared" ca="1" si="561"/>
        <v/>
      </c>
      <c r="Z118" s="398" t="str">
        <f t="shared" ca="1" si="562"/>
        <v/>
      </c>
      <c r="AA118" s="398">
        <f t="shared" ca="1" si="586"/>
        <v>6</v>
      </c>
      <c r="AB118" s="398">
        <f t="shared" ca="1" si="552"/>
        <v>2</v>
      </c>
      <c r="AC118" s="398">
        <f t="shared" ca="1" si="553"/>
        <v>224</v>
      </c>
      <c r="AD118" s="398">
        <f t="shared" ca="1" si="587"/>
        <v>182448</v>
      </c>
      <c r="AE118" s="399">
        <f t="shared" si="616"/>
        <v>0</v>
      </c>
      <c r="AF118" s="399">
        <f t="shared" si="617"/>
        <v>0</v>
      </c>
      <c r="AG118" s="483" t="str">
        <f t="shared" ca="1" si="563"/>
        <v/>
      </c>
      <c r="AH118" s="400">
        <f ca="1">IF(MAX(IF($C$6="No",ROUNDUP($C$3/$I118,0),ROUNDUP(($C$3+$I118)/$I118,0)),IF($C$6="No",ROUNDUP($C$4/$G118,0),ROUNDUP(($C$4+$G118)/$G118,0)),ROUNDUP('BVMS checklist'!$H$217/$J118,0))&gt;1,'BVMS checklist'!$J$224,'BVMS checklist'!$J$217)</f>
        <v>0</v>
      </c>
      <c r="AI118" s="398">
        <f t="shared" ca="1" si="564"/>
        <v>2</v>
      </c>
      <c r="AJ118" s="400">
        <f t="shared" ca="1" si="588"/>
        <v>2</v>
      </c>
      <c r="AK118" s="400">
        <f t="shared" ca="1" si="589"/>
        <v>3150</v>
      </c>
      <c r="AL118" s="400">
        <f t="shared" ca="1" si="590"/>
        <v>0</v>
      </c>
      <c r="AM118" s="398">
        <f t="shared" ca="1" si="591"/>
        <v>182448</v>
      </c>
      <c r="AN118" s="401" t="str">
        <f t="shared" ca="1" si="565"/>
        <v/>
      </c>
      <c r="AO118" s="398">
        <f t="shared" ca="1" si="592"/>
        <v>768</v>
      </c>
      <c r="AP118" s="400">
        <f ca="1">IF(MAX(IF($C$6="No",ROUNDUP($C$3/$I118,0),ROUNDUP(($C$3+$I118)/$I118,0)),IF($C$6="No",ROUNDUP($C$4/$G118,0),ROUNDUP(($C$4+$G118)/$G118,0)),ROUNDUP('BVMS checklist'!$H$217/$J118,0))&gt;1,'BVMS checklist'!$J$224,'BVMS checklist'!$J$217)+MAX(IF($C$6="No",ROUNDUP($C$3/$I118,0),ROUNDUP(($C$3+$I118)/$I118,0)),IF($C$6="No",ROUNDUP($C$4/$G118,0),ROUNDUP(($C$4+$G118)/$G118,0)))+$C$5</f>
        <v>1</v>
      </c>
      <c r="AQ118" s="400" t="b">
        <f t="shared" ca="1" si="554"/>
        <v>1</v>
      </c>
      <c r="AR118" s="400" t="str">
        <f t="shared" ca="1" si="593"/>
        <v>Accepted</v>
      </c>
      <c r="AS118" s="398" t="str">
        <f t="shared" ca="1" si="579"/>
        <v>No</v>
      </c>
      <c r="AT118" s="398" t="str">
        <f t="shared" ca="1" si="594"/>
        <v/>
      </c>
      <c r="AU118" s="398" t="str">
        <f t="shared" ca="1" si="566"/>
        <v/>
      </c>
      <c r="AV118" s="398">
        <f t="shared" ca="1" si="567"/>
        <v>6</v>
      </c>
      <c r="AW118" s="398">
        <f t="shared" ca="1" si="595"/>
        <v>2</v>
      </c>
      <c r="AX118" s="398">
        <f t="shared" ca="1" si="596"/>
        <v>224</v>
      </c>
      <c r="AY118" s="398">
        <f t="shared" ca="1" si="597"/>
        <v>182448</v>
      </c>
      <c r="AZ118" s="399">
        <f t="shared" si="618"/>
        <v>0</v>
      </c>
      <c r="BA118" s="399">
        <f t="shared" si="619"/>
        <v>0</v>
      </c>
      <c r="BB118" s="483" t="str">
        <f t="shared" ca="1" si="568"/>
        <v/>
      </c>
      <c r="BC118" s="400">
        <f ca="1">IF(MAX(IF($D$6="No",ROUNDUP($D$3/$I118,0),ROUNDUP(($D$3+$I118)/$I118,0)),IF($D$6="No",ROUNDUP($D$4/$G118,0),ROUNDUP(($D$4+$G118)/$G118,0)),ROUNDUP('BVMS checklist'!$H$217/$J118,0))&gt;1,'BVMS checklist'!$L$224,'BVMS checklist'!$L$217)</f>
        <v>0</v>
      </c>
      <c r="BD118" s="398">
        <f t="shared" ca="1" si="569"/>
        <v>2</v>
      </c>
      <c r="BE118" s="400">
        <f t="shared" si="598"/>
        <v>1</v>
      </c>
      <c r="BF118" s="400">
        <f t="shared" si="599"/>
        <v>1575</v>
      </c>
      <c r="BG118" s="400">
        <f t="shared" ca="1" si="580"/>
        <v>0</v>
      </c>
      <c r="BH118" s="398">
        <f t="shared" ca="1" si="600"/>
        <v>182448</v>
      </c>
      <c r="BI118" s="401" t="str">
        <f t="shared" ca="1" si="570"/>
        <v/>
      </c>
      <c r="BJ118" s="398">
        <f t="shared" ca="1" si="601"/>
        <v>768</v>
      </c>
      <c r="BK118" s="400">
        <f ca="1">IF(MAX(IF($D$6="No",ROUNDUP($D$3/$I118,0),ROUNDUP(($D$3+$I118)/$I118,0)),IF($D$6="No",ROUNDUP($D$4/$G118,0),ROUNDUP(($D$4+$G118)/$G118,0)),ROUNDUP('BVMS checklist'!$H$217/$J118,0))&gt;1,'BVMS checklist'!$L$224,'BVMS checklist'!$L$217)+MAX(IF($D$6="No",ROUNDUP($D$3/$I118,0),ROUNDUP(($D$3+$I118)/$I118,0)),IF($D$6="No",ROUNDUP($D$4/$G118,0),ROUNDUP(($D$4+$G118)/$G118,0)))+$D$5</f>
        <v>1</v>
      </c>
      <c r="BL118" s="400" t="b">
        <f t="shared" ca="1" si="555"/>
        <v>1</v>
      </c>
      <c r="BM118" s="400" t="str">
        <f t="shared" ca="1" si="602"/>
        <v>Accepted</v>
      </c>
      <c r="BN118" s="398" t="str">
        <f t="shared" ca="1" si="581"/>
        <v>No</v>
      </c>
      <c r="BO118" s="398" t="str">
        <f t="shared" ca="1" si="603"/>
        <v/>
      </c>
      <c r="BP118" s="398" t="str">
        <f t="shared" ca="1" si="571"/>
        <v/>
      </c>
      <c r="BQ118" s="398">
        <f t="shared" ca="1" si="572"/>
        <v>6</v>
      </c>
      <c r="BR118" s="398">
        <f t="shared" ca="1" si="604"/>
        <v>2</v>
      </c>
      <c r="BS118" s="398">
        <f t="shared" ca="1" si="605"/>
        <v>224</v>
      </c>
      <c r="BT118" s="398">
        <f t="shared" ca="1" si="606"/>
        <v>182448</v>
      </c>
      <c r="BU118" s="399">
        <f t="shared" si="620"/>
        <v>0</v>
      </c>
      <c r="BV118" s="399">
        <f t="shared" si="621"/>
        <v>0</v>
      </c>
      <c r="BW118" s="483" t="str">
        <f t="shared" ca="1" si="573"/>
        <v/>
      </c>
      <c r="BX118" s="400">
        <f ca="1">IF(MAX(IF($E$6="No",ROUNDUP($E$3/$I118,0),ROUNDUP(($E$3+$I118)/$I118,0)),IF($E$6="No",ROUNDUP($E$4/$G118,0),ROUNDUP(($E$4+$G118)/$G118,0)),ROUNDUP('BVMS checklist'!$H$217/$J118,0))&gt;1,'BVMS checklist'!$N$224,'BVMS checklist'!$N$217)</f>
        <v>0</v>
      </c>
      <c r="BY118" s="398">
        <f t="shared" ca="1" si="574"/>
        <v>2</v>
      </c>
      <c r="BZ118" s="400">
        <f t="shared" ca="1" si="607"/>
        <v>2</v>
      </c>
      <c r="CA118" s="400">
        <f t="shared" ca="1" si="608"/>
        <v>3150</v>
      </c>
      <c r="CB118" s="400">
        <f t="shared" ca="1" si="582"/>
        <v>0</v>
      </c>
      <c r="CC118" s="398">
        <f t="shared" ca="1" si="609"/>
        <v>182448</v>
      </c>
      <c r="CD118" s="401" t="str">
        <f t="shared" ca="1" si="575"/>
        <v/>
      </c>
      <c r="CE118" s="398">
        <f t="shared" ca="1" si="610"/>
        <v>768</v>
      </c>
      <c r="CF118" s="400">
        <f ca="1">IF(MAX(IF($E$6="No",ROUNDUP($E$3/$I118,0),ROUNDUP(($E$3+$I118)/$I118,0)),IF($E$6="No",ROUNDUP($E$4/$G118,0),ROUNDUP(($E$4+$G118)/$G118,0)),ROUNDUP('BVMS checklist'!$H$217/$J118,0))&gt;1,'BVMS checklist'!$N$224,'BVMS checklist'!$N$217)+MAX(IF($E$6="No",ROUNDUP($E$3/$I118,0),ROUNDUP(($E$3+$I118)/$I118,0)),IF($E$6="No",ROUNDUP($E$4/$G118,0),ROUNDUP(($E$4+$G118)/$G118,0)))+$E$5</f>
        <v>1</v>
      </c>
      <c r="CG118" s="400" t="b">
        <f t="shared" ca="1" si="556"/>
        <v>1</v>
      </c>
      <c r="CH118" s="400" t="str">
        <f t="shared" ca="1" si="611"/>
        <v>Accepted</v>
      </c>
      <c r="CI118" s="398" t="str">
        <f t="shared" ca="1" si="583"/>
        <v>No</v>
      </c>
      <c r="CJ118" s="398" t="str">
        <f t="shared" ca="1" si="612"/>
        <v/>
      </c>
      <c r="CK118" s="398" t="str">
        <f t="shared" ca="1" si="576"/>
        <v/>
      </c>
      <c r="CL118" s="398">
        <f t="shared" ca="1" si="577"/>
        <v>6</v>
      </c>
      <c r="CM118" s="398">
        <f t="shared" ca="1" si="613"/>
        <v>2</v>
      </c>
      <c r="CN118" s="398">
        <f t="shared" ca="1" si="614"/>
        <v>224</v>
      </c>
      <c r="CO118" s="398">
        <f t="shared" ca="1" si="615"/>
        <v>182448</v>
      </c>
      <c r="CP118" s="399">
        <f t="shared" si="622"/>
        <v>0</v>
      </c>
      <c r="CQ118" s="399">
        <f t="shared" si="623"/>
        <v>0</v>
      </c>
      <c r="CR118" s="483" t="str">
        <f t="shared" ca="1" si="578"/>
        <v/>
      </c>
      <c r="CS118"/>
    </row>
    <row r="119" spans="1:97">
      <c r="A119" s="398" t="s">
        <v>401</v>
      </c>
      <c r="B119" s="398" t="s">
        <v>987</v>
      </c>
      <c r="C119" s="440" t="s">
        <v>891</v>
      </c>
      <c r="D119" s="398">
        <v>4</v>
      </c>
      <c r="E119" s="398"/>
      <c r="F119" s="440">
        <v>0</v>
      </c>
      <c r="G119" s="398">
        <f>IF(C119="RAID5",(((7-F119)*5586))+(3*(((7-F119)*3723))),(((6-F119)*5586))+(3*(((7-F119)*3723))))</f>
        <v>117285</v>
      </c>
      <c r="H119" s="399">
        <v>144</v>
      </c>
      <c r="I119" s="399">
        <v>2125</v>
      </c>
      <c r="J119" s="399">
        <v>512</v>
      </c>
      <c r="K119" s="399"/>
      <c r="L119" s="399"/>
      <c r="M119" s="400">
        <f ca="1">IF(MAX(IF($B$6="No",ROUNDUP($B$3/$I119,0),ROUNDUP(($B$3+$I119)/$I119,0)),IF($B$6="No",ROUNDUP($B$4/$G119,0),ROUNDUP(($B$4+$G119)/$G119,0)),ROUNDUP('BVMS checklist'!$H$217/$J119,0))&gt;1,'BVMS checklist'!$H$224,'BVMS checklist'!$H$217)</f>
        <v>0</v>
      </c>
      <c r="N119" s="398">
        <f t="shared" ca="1" si="557"/>
        <v>2</v>
      </c>
      <c r="O119" s="400">
        <f t="shared" ca="1" si="584"/>
        <v>2</v>
      </c>
      <c r="P119" s="400">
        <f t="shared" ca="1" si="548"/>
        <v>4250</v>
      </c>
      <c r="Q119" s="400">
        <f t="shared" ca="1" si="549"/>
        <v>0</v>
      </c>
      <c r="R119" s="398">
        <f t="shared" ca="1" si="550"/>
        <v>234570</v>
      </c>
      <c r="S119" s="401" t="str">
        <f t="shared" ca="1" si="558"/>
        <v/>
      </c>
      <c r="T119" s="398">
        <f t="shared" ca="1" si="559"/>
        <v>1024</v>
      </c>
      <c r="U119" s="400">
        <f ca="1">IF(MAX(IF($B$6="No",ROUNDUP($B$3/$I119,0),ROUNDUP(($B$3+$I119)/$I119,0)),IF($B$6="No",ROUNDUP($B$4/$G119,0),ROUNDUP(($B$4+$G119)/$G119,0)),ROUNDUP('BVMS checklist'!$H$217/$J119,0))&gt;1,'BVMS checklist'!$H$224,'BVMS checklist'!$H$217)+MAX(IF($B$6="No",ROUNDUP($B$3/$I119,0),ROUNDUP(($B$3+$I119)/$I119,0)),IF($B$6="No",ROUNDUP($B$4/$G119,0),ROUNDUP(($B$4+$G119)/$G119,0)))+$B$5</f>
        <v>1</v>
      </c>
      <c r="V119" s="400" t="b">
        <f t="shared" ca="1" si="551"/>
        <v>1</v>
      </c>
      <c r="W119" s="400" t="str">
        <f t="shared" ca="1" si="585"/>
        <v>Accepted</v>
      </c>
      <c r="X119" s="398" t="str">
        <f t="shared" ca="1" si="560"/>
        <v>No</v>
      </c>
      <c r="Y119" s="398" t="str">
        <f t="shared" ca="1" si="561"/>
        <v/>
      </c>
      <c r="Z119" s="398" t="str">
        <f t="shared" ca="1" si="562"/>
        <v/>
      </c>
      <c r="AA119" s="398">
        <f t="shared" ca="1" si="586"/>
        <v>6</v>
      </c>
      <c r="AB119" s="398">
        <f t="shared" ca="1" si="552"/>
        <v>2</v>
      </c>
      <c r="AC119" s="398">
        <f t="shared" ca="1" si="553"/>
        <v>288</v>
      </c>
      <c r="AD119" s="398">
        <f t="shared" ca="1" si="587"/>
        <v>234570</v>
      </c>
      <c r="AE119" s="399">
        <f t="shared" si="616"/>
        <v>0</v>
      </c>
      <c r="AF119" s="399">
        <f t="shared" si="617"/>
        <v>0</v>
      </c>
      <c r="AG119" s="483" t="str">
        <f t="shared" ca="1" si="563"/>
        <v/>
      </c>
      <c r="AH119" s="400">
        <f ca="1">IF(MAX(IF($C$6="No",ROUNDUP($C$3/$I119,0),ROUNDUP(($C$3+$I119)/$I119,0)),IF($C$6="No",ROUNDUP($C$4/$G119,0),ROUNDUP(($C$4+$G119)/$G119,0)),ROUNDUP('BVMS checklist'!$H$217/$J119,0))&gt;1,'BVMS checklist'!$J$224,'BVMS checklist'!$J$217)</f>
        <v>0</v>
      </c>
      <c r="AI119" s="398">
        <f t="shared" ca="1" si="564"/>
        <v>2</v>
      </c>
      <c r="AJ119" s="400">
        <f t="shared" ca="1" si="588"/>
        <v>2</v>
      </c>
      <c r="AK119" s="400">
        <f t="shared" ca="1" si="589"/>
        <v>4250</v>
      </c>
      <c r="AL119" s="400">
        <f t="shared" ca="1" si="590"/>
        <v>0</v>
      </c>
      <c r="AM119" s="398">
        <f t="shared" ca="1" si="591"/>
        <v>234570</v>
      </c>
      <c r="AN119" s="401" t="str">
        <f t="shared" ca="1" si="565"/>
        <v/>
      </c>
      <c r="AO119" s="398">
        <f t="shared" ca="1" si="592"/>
        <v>1024</v>
      </c>
      <c r="AP119" s="400">
        <f ca="1">IF(MAX(IF($C$6="No",ROUNDUP($C$3/$I119,0),ROUNDUP(($C$3+$I119)/$I119,0)),IF($C$6="No",ROUNDUP($C$4/$G119,0),ROUNDUP(($C$4+$G119)/$G119,0)),ROUNDUP('BVMS checklist'!$H$217/$J119,0))&gt;1,'BVMS checklist'!$J$224,'BVMS checklist'!$J$217)+MAX(IF($C$6="No",ROUNDUP($C$3/$I119,0),ROUNDUP(($C$3+$I119)/$I119,0)),IF($C$6="No",ROUNDUP($C$4/$G119,0),ROUNDUP(($C$4+$G119)/$G119,0)))+$C$5</f>
        <v>1</v>
      </c>
      <c r="AQ119" s="400" t="b">
        <f t="shared" ca="1" si="554"/>
        <v>1</v>
      </c>
      <c r="AR119" s="400" t="str">
        <f t="shared" ca="1" si="593"/>
        <v>Accepted</v>
      </c>
      <c r="AS119" s="398" t="str">
        <f t="shared" ca="1" si="579"/>
        <v>No</v>
      </c>
      <c r="AT119" s="398" t="str">
        <f t="shared" ca="1" si="594"/>
        <v/>
      </c>
      <c r="AU119" s="398" t="str">
        <f t="shared" ca="1" si="566"/>
        <v/>
      </c>
      <c r="AV119" s="398">
        <f t="shared" ca="1" si="567"/>
        <v>6</v>
      </c>
      <c r="AW119" s="398">
        <f t="shared" ca="1" si="595"/>
        <v>2</v>
      </c>
      <c r="AX119" s="398">
        <f t="shared" ca="1" si="596"/>
        <v>288</v>
      </c>
      <c r="AY119" s="398">
        <f t="shared" ca="1" si="597"/>
        <v>234570</v>
      </c>
      <c r="AZ119" s="399">
        <f t="shared" si="618"/>
        <v>0</v>
      </c>
      <c r="BA119" s="399">
        <f t="shared" si="619"/>
        <v>0</v>
      </c>
      <c r="BB119" s="483" t="str">
        <f t="shared" ca="1" si="568"/>
        <v/>
      </c>
      <c r="BC119" s="400">
        <f ca="1">IF(MAX(IF($D$6="No",ROUNDUP($D$3/$I119,0),ROUNDUP(($D$3+$I119)/$I119,0)),IF($D$6="No",ROUNDUP($D$4/$G119,0),ROUNDUP(($D$4+$G119)/$G119,0)),ROUNDUP('BVMS checklist'!$H$217/$J119,0))&gt;1,'BVMS checklist'!$L$224,'BVMS checklist'!$L$217)</f>
        <v>0</v>
      </c>
      <c r="BD119" s="398">
        <f t="shared" ca="1" si="569"/>
        <v>2</v>
      </c>
      <c r="BE119" s="400">
        <f t="shared" si="598"/>
        <v>1</v>
      </c>
      <c r="BF119" s="400">
        <f t="shared" si="599"/>
        <v>2125</v>
      </c>
      <c r="BG119" s="400">
        <f t="shared" ca="1" si="580"/>
        <v>0</v>
      </c>
      <c r="BH119" s="398">
        <f t="shared" ca="1" si="600"/>
        <v>234570</v>
      </c>
      <c r="BI119" s="401" t="str">
        <f t="shared" ca="1" si="570"/>
        <v/>
      </c>
      <c r="BJ119" s="398">
        <f t="shared" ca="1" si="601"/>
        <v>1024</v>
      </c>
      <c r="BK119" s="400">
        <f ca="1">IF(MAX(IF($D$6="No",ROUNDUP($D$3/$I119,0),ROUNDUP(($D$3+$I119)/$I119,0)),IF($D$6="No",ROUNDUP($D$4/$G119,0),ROUNDUP(($D$4+$G119)/$G119,0)),ROUNDUP('BVMS checklist'!$H$217/$J119,0))&gt;1,'BVMS checklist'!$L$224,'BVMS checklist'!$L$217)+MAX(IF($D$6="No",ROUNDUP($D$3/$I119,0),ROUNDUP(($D$3+$I119)/$I119,0)),IF($D$6="No",ROUNDUP($D$4/$G119,0),ROUNDUP(($D$4+$G119)/$G119,0)))+$D$5</f>
        <v>1</v>
      </c>
      <c r="BL119" s="400" t="b">
        <f t="shared" ca="1" si="555"/>
        <v>1</v>
      </c>
      <c r="BM119" s="400" t="str">
        <f t="shared" ca="1" si="602"/>
        <v>Accepted</v>
      </c>
      <c r="BN119" s="398" t="str">
        <f t="shared" ca="1" si="581"/>
        <v>No</v>
      </c>
      <c r="BO119" s="398" t="str">
        <f t="shared" ca="1" si="603"/>
        <v/>
      </c>
      <c r="BP119" s="398" t="str">
        <f t="shared" ca="1" si="571"/>
        <v/>
      </c>
      <c r="BQ119" s="398">
        <f t="shared" ca="1" si="572"/>
        <v>6</v>
      </c>
      <c r="BR119" s="398">
        <f t="shared" ca="1" si="604"/>
        <v>2</v>
      </c>
      <c r="BS119" s="398">
        <f t="shared" ca="1" si="605"/>
        <v>288</v>
      </c>
      <c r="BT119" s="398">
        <f t="shared" ca="1" si="606"/>
        <v>234570</v>
      </c>
      <c r="BU119" s="399">
        <f t="shared" si="620"/>
        <v>0</v>
      </c>
      <c r="BV119" s="399">
        <f t="shared" si="621"/>
        <v>0</v>
      </c>
      <c r="BW119" s="483" t="str">
        <f t="shared" ca="1" si="573"/>
        <v/>
      </c>
      <c r="BX119" s="400">
        <f ca="1">IF(MAX(IF($E$6="No",ROUNDUP($E$3/$I119,0),ROUNDUP(($E$3+$I119)/$I119,0)),IF($E$6="No",ROUNDUP($E$4/$G119,0),ROUNDUP(($E$4+$G119)/$G119,0)),ROUNDUP('BVMS checklist'!$H$217/$J119,0))&gt;1,'BVMS checklist'!$N$224,'BVMS checklist'!$N$217)</f>
        <v>0</v>
      </c>
      <c r="BY119" s="398">
        <f t="shared" ca="1" si="574"/>
        <v>2</v>
      </c>
      <c r="BZ119" s="400">
        <f t="shared" ca="1" si="607"/>
        <v>2</v>
      </c>
      <c r="CA119" s="400">
        <f t="shared" ca="1" si="608"/>
        <v>4250</v>
      </c>
      <c r="CB119" s="400">
        <f t="shared" ca="1" si="582"/>
        <v>0</v>
      </c>
      <c r="CC119" s="398">
        <f t="shared" ca="1" si="609"/>
        <v>234570</v>
      </c>
      <c r="CD119" s="401" t="str">
        <f t="shared" ca="1" si="575"/>
        <v/>
      </c>
      <c r="CE119" s="398">
        <f t="shared" ca="1" si="610"/>
        <v>1024</v>
      </c>
      <c r="CF119" s="400">
        <f ca="1">IF(MAX(IF($E$6="No",ROUNDUP($E$3/$I119,0),ROUNDUP(($E$3+$I119)/$I119,0)),IF($E$6="No",ROUNDUP($E$4/$G119,0),ROUNDUP(($E$4+$G119)/$G119,0)),ROUNDUP('BVMS checklist'!$H$217/$J119,0))&gt;1,'BVMS checklist'!$N$224,'BVMS checklist'!$N$217)+MAX(IF($E$6="No",ROUNDUP($E$3/$I119,0),ROUNDUP(($E$3+$I119)/$I119,0)),IF($E$6="No",ROUNDUP($E$4/$G119,0),ROUNDUP(($E$4+$G119)/$G119,0)))+$E$5</f>
        <v>1</v>
      </c>
      <c r="CG119" s="400" t="b">
        <f t="shared" ca="1" si="556"/>
        <v>1</v>
      </c>
      <c r="CH119" s="400" t="str">
        <f t="shared" ca="1" si="611"/>
        <v>Accepted</v>
      </c>
      <c r="CI119" s="398" t="str">
        <f t="shared" ca="1" si="583"/>
        <v>No</v>
      </c>
      <c r="CJ119" s="398" t="str">
        <f t="shared" ca="1" si="612"/>
        <v/>
      </c>
      <c r="CK119" s="398" t="str">
        <f t="shared" ca="1" si="576"/>
        <v/>
      </c>
      <c r="CL119" s="398">
        <f t="shared" ca="1" si="577"/>
        <v>6</v>
      </c>
      <c r="CM119" s="398">
        <f t="shared" ca="1" si="613"/>
        <v>2</v>
      </c>
      <c r="CN119" s="398">
        <f t="shared" ca="1" si="614"/>
        <v>288</v>
      </c>
      <c r="CO119" s="398">
        <f t="shared" ca="1" si="615"/>
        <v>234570</v>
      </c>
      <c r="CP119" s="399">
        <f t="shared" si="622"/>
        <v>0</v>
      </c>
      <c r="CQ119" s="399">
        <f t="shared" si="623"/>
        <v>0</v>
      </c>
      <c r="CR119" s="483" t="str">
        <f t="shared" ca="1" si="578"/>
        <v/>
      </c>
      <c r="CS119"/>
    </row>
    <row r="120" spans="1:97">
      <c r="A120" s="398" t="s">
        <v>402</v>
      </c>
      <c r="B120" s="398" t="s">
        <v>987</v>
      </c>
      <c r="C120" s="440" t="s">
        <v>891</v>
      </c>
      <c r="D120" s="398">
        <v>5</v>
      </c>
      <c r="E120" s="398"/>
      <c r="F120" s="440">
        <v>0</v>
      </c>
      <c r="G120" s="398">
        <f>IF(C120="RAID5",(((7-F120)*5586))+(4*(((7-F120)*3723))),(((6-F120)*5586))+(4*(((7-F120)*3723))))</f>
        <v>143346</v>
      </c>
      <c r="H120" s="399">
        <v>176</v>
      </c>
      <c r="I120" s="399">
        <v>2675</v>
      </c>
      <c r="J120" s="399">
        <v>640</v>
      </c>
      <c r="K120" s="399"/>
      <c r="L120" s="399"/>
      <c r="M120" s="400">
        <f ca="1">IF(MAX(IF($B$6="No",ROUNDUP($B$3/$I120,0),ROUNDUP(($B$3+$I120)/$I120,0)),IF($B$6="No",ROUNDUP($B$4/$G120,0),ROUNDUP(($B$4+$G120)/$G120,0)),ROUNDUP('BVMS checklist'!$H$217/$J120,0))&gt;1,'BVMS checklist'!$H$224,'BVMS checklist'!$H$217)</f>
        <v>0</v>
      </c>
      <c r="N120" s="398">
        <f t="shared" ca="1" si="557"/>
        <v>2</v>
      </c>
      <c r="O120" s="400">
        <f t="shared" ca="1" si="584"/>
        <v>2</v>
      </c>
      <c r="P120" s="400">
        <f t="shared" ca="1" si="548"/>
        <v>5350</v>
      </c>
      <c r="Q120" s="400">
        <f t="shared" ca="1" si="549"/>
        <v>0</v>
      </c>
      <c r="R120" s="398">
        <f t="shared" ca="1" si="550"/>
        <v>286692</v>
      </c>
      <c r="S120" s="401" t="str">
        <f t="shared" ca="1" si="558"/>
        <v/>
      </c>
      <c r="T120" s="398">
        <f t="shared" ca="1" si="559"/>
        <v>1280</v>
      </c>
      <c r="U120" s="400">
        <f ca="1">IF(MAX(IF($B$6="No",ROUNDUP($B$3/$I120,0),ROUNDUP(($B$3+$I120)/$I120,0)),IF($B$6="No",ROUNDUP($B$4/$G120,0),ROUNDUP(($B$4+$G120)/$G120,0)),ROUNDUP('BVMS checklist'!$H$217/$J120,0))&gt;1,'BVMS checklist'!$H$224,'BVMS checklist'!$H$217)+MAX(IF($B$6="No",ROUNDUP($B$3/$I120,0),ROUNDUP(($B$3+$I120)/$I120,0)),IF($B$6="No",ROUNDUP($B$4/$G120,0),ROUNDUP(($B$4+$G120)/$G120,0)))+$B$5</f>
        <v>1</v>
      </c>
      <c r="V120" s="400" t="b">
        <f t="shared" ca="1" si="551"/>
        <v>1</v>
      </c>
      <c r="W120" s="400" t="str">
        <f t="shared" ca="1" si="585"/>
        <v>Accepted</v>
      </c>
      <c r="X120" s="398" t="str">
        <f t="shared" ca="1" si="560"/>
        <v>No</v>
      </c>
      <c r="Y120" s="398" t="str">
        <f t="shared" ca="1" si="561"/>
        <v/>
      </c>
      <c r="Z120" s="398" t="str">
        <f t="shared" ca="1" si="562"/>
        <v/>
      </c>
      <c r="AA120" s="398">
        <f t="shared" ca="1" si="586"/>
        <v>6</v>
      </c>
      <c r="AB120" s="398">
        <f t="shared" ca="1" si="552"/>
        <v>2</v>
      </c>
      <c r="AC120" s="398">
        <f t="shared" ca="1" si="553"/>
        <v>352</v>
      </c>
      <c r="AD120" s="398">
        <f t="shared" ca="1" si="587"/>
        <v>286692</v>
      </c>
      <c r="AE120" s="399">
        <f t="shared" si="616"/>
        <v>0</v>
      </c>
      <c r="AF120" s="399">
        <f t="shared" si="617"/>
        <v>0</v>
      </c>
      <c r="AG120" s="483" t="str">
        <f t="shared" ca="1" si="563"/>
        <v/>
      </c>
      <c r="AH120" s="400">
        <f ca="1">IF(MAX(IF($C$6="No",ROUNDUP($C$3/$I120,0),ROUNDUP(($C$3+$I120)/$I120,0)),IF($C$6="No",ROUNDUP($C$4/$G120,0),ROUNDUP(($C$4+$G120)/$G120,0)),ROUNDUP('BVMS checklist'!$H$217/$J120,0))&gt;1,'BVMS checklist'!$J$224,'BVMS checklist'!$J$217)</f>
        <v>0</v>
      </c>
      <c r="AI120" s="398">
        <f t="shared" ca="1" si="564"/>
        <v>2</v>
      </c>
      <c r="AJ120" s="400">
        <f t="shared" ca="1" si="588"/>
        <v>2</v>
      </c>
      <c r="AK120" s="400">
        <f t="shared" ca="1" si="589"/>
        <v>5350</v>
      </c>
      <c r="AL120" s="400">
        <f t="shared" ca="1" si="590"/>
        <v>0</v>
      </c>
      <c r="AM120" s="398">
        <f t="shared" ca="1" si="591"/>
        <v>286692</v>
      </c>
      <c r="AN120" s="401" t="str">
        <f t="shared" ca="1" si="565"/>
        <v/>
      </c>
      <c r="AO120" s="398">
        <f t="shared" ca="1" si="592"/>
        <v>1280</v>
      </c>
      <c r="AP120" s="400">
        <f ca="1">IF(MAX(IF($C$6="No",ROUNDUP($C$3/$I120,0),ROUNDUP(($C$3+$I120)/$I120,0)),IF($C$6="No",ROUNDUP($C$4/$G120,0),ROUNDUP(($C$4+$G120)/$G120,0)),ROUNDUP('BVMS checklist'!$H$217/$J120,0))&gt;1,'BVMS checklist'!$J$224,'BVMS checklist'!$J$217)+MAX(IF($C$6="No",ROUNDUP($C$3/$I120,0),ROUNDUP(($C$3+$I120)/$I120,0)),IF($C$6="No",ROUNDUP($C$4/$G120,0),ROUNDUP(($C$4+$G120)/$G120,0)))+$C$5</f>
        <v>1</v>
      </c>
      <c r="AQ120" s="400" t="b">
        <f t="shared" ca="1" si="554"/>
        <v>1</v>
      </c>
      <c r="AR120" s="400" t="str">
        <f t="shared" ca="1" si="593"/>
        <v>Accepted</v>
      </c>
      <c r="AS120" s="398" t="str">
        <f t="shared" ca="1" si="579"/>
        <v>No</v>
      </c>
      <c r="AT120" s="398" t="str">
        <f t="shared" ca="1" si="594"/>
        <v/>
      </c>
      <c r="AU120" s="398" t="str">
        <f t="shared" ca="1" si="566"/>
        <v/>
      </c>
      <c r="AV120" s="398">
        <f t="shared" ca="1" si="567"/>
        <v>6</v>
      </c>
      <c r="AW120" s="398">
        <f t="shared" ca="1" si="595"/>
        <v>2</v>
      </c>
      <c r="AX120" s="398">
        <f t="shared" ca="1" si="596"/>
        <v>352</v>
      </c>
      <c r="AY120" s="398">
        <f t="shared" ca="1" si="597"/>
        <v>286692</v>
      </c>
      <c r="AZ120" s="399">
        <f t="shared" si="618"/>
        <v>0</v>
      </c>
      <c r="BA120" s="399">
        <f t="shared" si="619"/>
        <v>0</v>
      </c>
      <c r="BB120" s="483" t="str">
        <f t="shared" ca="1" si="568"/>
        <v/>
      </c>
      <c r="BC120" s="400">
        <f ca="1">IF(MAX(IF($D$6="No",ROUNDUP($D$3/$I120,0),ROUNDUP(($D$3+$I120)/$I120,0)),IF($D$6="No",ROUNDUP($D$4/$G120,0),ROUNDUP(($D$4+$G120)/$G120,0)),ROUNDUP('BVMS checklist'!$H$217/$J120,0))&gt;1,'BVMS checklist'!$L$224,'BVMS checklist'!$L$217)</f>
        <v>0</v>
      </c>
      <c r="BD120" s="398">
        <f t="shared" ca="1" si="569"/>
        <v>2</v>
      </c>
      <c r="BE120" s="400">
        <f t="shared" si="598"/>
        <v>1</v>
      </c>
      <c r="BF120" s="400">
        <f t="shared" si="599"/>
        <v>2675</v>
      </c>
      <c r="BG120" s="400">
        <f t="shared" ca="1" si="580"/>
        <v>0</v>
      </c>
      <c r="BH120" s="398">
        <f t="shared" ca="1" si="600"/>
        <v>286692</v>
      </c>
      <c r="BI120" s="401" t="str">
        <f t="shared" ca="1" si="570"/>
        <v/>
      </c>
      <c r="BJ120" s="398">
        <f t="shared" ca="1" si="601"/>
        <v>1280</v>
      </c>
      <c r="BK120" s="400">
        <f ca="1">IF(MAX(IF($D$6="No",ROUNDUP($D$3/$I120,0),ROUNDUP(($D$3+$I120)/$I120,0)),IF($D$6="No",ROUNDUP($D$4/$G120,0),ROUNDUP(($D$4+$G120)/$G120,0)),ROUNDUP('BVMS checklist'!$H$217/$J120,0))&gt;1,'BVMS checklist'!$L$224,'BVMS checklist'!$L$217)+MAX(IF($D$6="No",ROUNDUP($D$3/$I120,0),ROUNDUP(($D$3+$I120)/$I120,0)),IF($D$6="No",ROUNDUP($D$4/$G120,0),ROUNDUP(($D$4+$G120)/$G120,0)))+$D$5</f>
        <v>1</v>
      </c>
      <c r="BL120" s="400" t="b">
        <f t="shared" ca="1" si="555"/>
        <v>1</v>
      </c>
      <c r="BM120" s="400" t="str">
        <f t="shared" ca="1" si="602"/>
        <v>Accepted</v>
      </c>
      <c r="BN120" s="398" t="str">
        <f t="shared" ca="1" si="581"/>
        <v>No</v>
      </c>
      <c r="BO120" s="398" t="str">
        <f t="shared" ca="1" si="603"/>
        <v/>
      </c>
      <c r="BP120" s="398" t="str">
        <f t="shared" ca="1" si="571"/>
        <v/>
      </c>
      <c r="BQ120" s="398">
        <f t="shared" ca="1" si="572"/>
        <v>6</v>
      </c>
      <c r="BR120" s="398">
        <f t="shared" ca="1" si="604"/>
        <v>2</v>
      </c>
      <c r="BS120" s="398">
        <f t="shared" ca="1" si="605"/>
        <v>352</v>
      </c>
      <c r="BT120" s="398">
        <f t="shared" ca="1" si="606"/>
        <v>286692</v>
      </c>
      <c r="BU120" s="399">
        <f t="shared" si="620"/>
        <v>0</v>
      </c>
      <c r="BV120" s="399">
        <f t="shared" si="621"/>
        <v>0</v>
      </c>
      <c r="BW120" s="483" t="str">
        <f t="shared" ca="1" si="573"/>
        <v/>
      </c>
      <c r="BX120" s="400">
        <f ca="1">IF(MAX(IF($E$6="No",ROUNDUP($E$3/$I120,0),ROUNDUP(($E$3+$I120)/$I120,0)),IF($E$6="No",ROUNDUP($E$4/$G120,0),ROUNDUP(($E$4+$G120)/$G120,0)),ROUNDUP('BVMS checklist'!$H$217/$J120,0))&gt;1,'BVMS checklist'!$N$224,'BVMS checklist'!$N$217)</f>
        <v>0</v>
      </c>
      <c r="BY120" s="398">
        <f t="shared" ca="1" si="574"/>
        <v>2</v>
      </c>
      <c r="BZ120" s="400">
        <f t="shared" ca="1" si="607"/>
        <v>2</v>
      </c>
      <c r="CA120" s="400">
        <f t="shared" ca="1" si="608"/>
        <v>5350</v>
      </c>
      <c r="CB120" s="400">
        <f t="shared" ca="1" si="582"/>
        <v>0</v>
      </c>
      <c r="CC120" s="398">
        <f t="shared" ca="1" si="609"/>
        <v>286692</v>
      </c>
      <c r="CD120" s="401" t="str">
        <f t="shared" ca="1" si="575"/>
        <v/>
      </c>
      <c r="CE120" s="398">
        <f t="shared" ca="1" si="610"/>
        <v>1280</v>
      </c>
      <c r="CF120" s="400">
        <f ca="1">IF(MAX(IF($E$6="No",ROUNDUP($E$3/$I120,0),ROUNDUP(($E$3+$I120)/$I120,0)),IF($E$6="No",ROUNDUP($E$4/$G120,0),ROUNDUP(($E$4+$G120)/$G120,0)),ROUNDUP('BVMS checklist'!$H$217/$J120,0))&gt;1,'BVMS checklist'!$N$224,'BVMS checklist'!$N$217)+MAX(IF($E$6="No",ROUNDUP($E$3/$I120,0),ROUNDUP(($E$3+$I120)/$I120,0)),IF($E$6="No",ROUNDUP($E$4/$G120,0),ROUNDUP(($E$4+$G120)/$G120,0)))+$E$5</f>
        <v>1</v>
      </c>
      <c r="CG120" s="400" t="b">
        <f t="shared" ca="1" si="556"/>
        <v>1</v>
      </c>
      <c r="CH120" s="400" t="str">
        <f t="shared" ca="1" si="611"/>
        <v>Accepted</v>
      </c>
      <c r="CI120" s="398" t="str">
        <f t="shared" ca="1" si="583"/>
        <v>No</v>
      </c>
      <c r="CJ120" s="398" t="str">
        <f t="shared" ca="1" si="612"/>
        <v/>
      </c>
      <c r="CK120" s="398" t="str">
        <f t="shared" ca="1" si="576"/>
        <v/>
      </c>
      <c r="CL120" s="398">
        <f t="shared" ca="1" si="577"/>
        <v>6</v>
      </c>
      <c r="CM120" s="398">
        <f t="shared" ca="1" si="613"/>
        <v>2</v>
      </c>
      <c r="CN120" s="398">
        <f t="shared" ca="1" si="614"/>
        <v>352</v>
      </c>
      <c r="CO120" s="398">
        <f t="shared" ca="1" si="615"/>
        <v>286692</v>
      </c>
      <c r="CP120" s="399">
        <f t="shared" si="622"/>
        <v>0</v>
      </c>
      <c r="CQ120" s="399">
        <f t="shared" si="623"/>
        <v>0</v>
      </c>
      <c r="CR120" s="483" t="str">
        <f t="shared" ca="1" si="578"/>
        <v/>
      </c>
      <c r="CS120"/>
    </row>
    <row r="121" spans="1:97">
      <c r="A121" s="398" t="s">
        <v>403</v>
      </c>
      <c r="B121" s="398" t="s">
        <v>987</v>
      </c>
      <c r="C121" s="440" t="s">
        <v>891</v>
      </c>
      <c r="D121" s="398">
        <v>2</v>
      </c>
      <c r="E121" s="398"/>
      <c r="F121" s="440">
        <v>0</v>
      </c>
      <c r="G121" s="398">
        <f>IF(C121="RAID5",(((7-F121)*5586))+(1*(((15-F121)*3723))),(((6-F121)*5586))+(1*(((14-F121)*3723))))</f>
        <v>94947</v>
      </c>
      <c r="H121" s="399">
        <v>112</v>
      </c>
      <c r="I121" s="399">
        <v>1025</v>
      </c>
      <c r="J121" s="399">
        <v>256</v>
      </c>
      <c r="K121" s="399"/>
      <c r="L121" s="399"/>
      <c r="M121" s="400">
        <f ca="1">IF(MAX(IF($B$6="No",ROUNDUP($B$3/$I121,0),ROUNDUP(($B$3+$I121)/$I121,0)),IF($B$6="No",ROUNDUP($B$4/$G121,0),ROUNDUP(($B$4+$G121)/$G121,0)),ROUNDUP('BVMS checklist'!$H$217/$J121,0))&gt;1,'BVMS checklist'!$H$224,'BVMS checklist'!$H$217)</f>
        <v>0</v>
      </c>
      <c r="N121" s="398">
        <f t="shared" ca="1" si="557"/>
        <v>2</v>
      </c>
      <c r="O121" s="400">
        <f t="shared" ca="1" si="584"/>
        <v>2</v>
      </c>
      <c r="P121" s="400">
        <f t="shared" ca="1" si="548"/>
        <v>2050</v>
      </c>
      <c r="Q121" s="400">
        <f t="shared" ca="1" si="549"/>
        <v>0</v>
      </c>
      <c r="R121" s="398">
        <f t="shared" ca="1" si="550"/>
        <v>189894</v>
      </c>
      <c r="S121" s="401" t="str">
        <f t="shared" ca="1" si="558"/>
        <v/>
      </c>
      <c r="T121" s="398">
        <f t="shared" ca="1" si="559"/>
        <v>512</v>
      </c>
      <c r="U121" s="400">
        <f ca="1">IF(MAX(IF($B$6="No",ROUNDUP($B$3/$I121,0),ROUNDUP(($B$3+$I121)/$I121,0)),IF($B$6="No",ROUNDUP($B$4/$G121,0),ROUNDUP(($B$4+$G121)/$G121,0)),ROUNDUP('BVMS checklist'!$H$217/$J121,0))&gt;1,'BVMS checklist'!$H$224,'BVMS checklist'!$H$217)+MAX(IF($B$6="No",ROUNDUP($B$3/$I121,0),ROUNDUP(($B$3+$I121)/$I121,0)),IF($B$6="No",ROUNDUP($B$4/$G121,0),ROUNDUP(($B$4+$G121)/$G121,0)))+$B$5</f>
        <v>1</v>
      </c>
      <c r="V121" s="400" t="b">
        <f t="shared" ca="1" si="551"/>
        <v>1</v>
      </c>
      <c r="W121" s="400" t="str">
        <f t="shared" ca="1" si="585"/>
        <v>Accepted</v>
      </c>
      <c r="X121" s="398" t="str">
        <f t="shared" ca="1" si="560"/>
        <v>No</v>
      </c>
      <c r="Y121" s="398" t="str">
        <f t="shared" ca="1" si="561"/>
        <v/>
      </c>
      <c r="Z121" s="398" t="str">
        <f t="shared" ca="1" si="562"/>
        <v/>
      </c>
      <c r="AA121" s="398">
        <f t="shared" ca="1" si="586"/>
        <v>6</v>
      </c>
      <c r="AB121" s="398">
        <f t="shared" ca="1" si="552"/>
        <v>2</v>
      </c>
      <c r="AC121" s="398">
        <f t="shared" ca="1" si="553"/>
        <v>224</v>
      </c>
      <c r="AD121" s="398">
        <f t="shared" ca="1" si="587"/>
        <v>189894</v>
      </c>
      <c r="AE121" s="399">
        <f t="shared" si="616"/>
        <v>0</v>
      </c>
      <c r="AF121" s="399">
        <f t="shared" si="617"/>
        <v>0</v>
      </c>
      <c r="AG121" s="483" t="str">
        <f t="shared" ca="1" si="563"/>
        <v/>
      </c>
      <c r="AH121" s="400">
        <f ca="1">IF(MAX(IF($C$6="No",ROUNDUP($C$3/$I121,0),ROUNDUP(($C$3+$I121)/$I121,0)),IF($C$6="No",ROUNDUP($C$4/$G121,0),ROUNDUP(($C$4+$G121)/$G121,0)),ROUNDUP('BVMS checklist'!$H$217/$J121,0))&gt;1,'BVMS checklist'!$J$224,'BVMS checklist'!$J$217)</f>
        <v>0</v>
      </c>
      <c r="AI121" s="398">
        <f t="shared" ca="1" si="564"/>
        <v>2</v>
      </c>
      <c r="AJ121" s="400">
        <f t="shared" ca="1" si="588"/>
        <v>2</v>
      </c>
      <c r="AK121" s="400">
        <f t="shared" ca="1" si="589"/>
        <v>2050</v>
      </c>
      <c r="AL121" s="400">
        <f t="shared" ca="1" si="590"/>
        <v>0</v>
      </c>
      <c r="AM121" s="398">
        <f t="shared" ca="1" si="591"/>
        <v>189894</v>
      </c>
      <c r="AN121" s="401" t="str">
        <f t="shared" ca="1" si="565"/>
        <v/>
      </c>
      <c r="AO121" s="398">
        <f t="shared" ca="1" si="592"/>
        <v>512</v>
      </c>
      <c r="AP121" s="400">
        <f ca="1">IF(MAX(IF($C$6="No",ROUNDUP($C$3/$I121,0),ROUNDUP(($C$3+$I121)/$I121,0)),IF($C$6="No",ROUNDUP($C$4/$G121,0),ROUNDUP(($C$4+$G121)/$G121,0)),ROUNDUP('BVMS checklist'!$H$217/$J121,0))&gt;1,'BVMS checklist'!$J$224,'BVMS checklist'!$J$217)+MAX(IF($C$6="No",ROUNDUP($C$3/$I121,0),ROUNDUP(($C$3+$I121)/$I121,0)),IF($C$6="No",ROUNDUP($C$4/$G121,0),ROUNDUP(($C$4+$G121)/$G121,0)))+$C$5</f>
        <v>1</v>
      </c>
      <c r="AQ121" s="400" t="b">
        <f t="shared" ca="1" si="554"/>
        <v>1</v>
      </c>
      <c r="AR121" s="400" t="str">
        <f t="shared" ca="1" si="593"/>
        <v>Accepted</v>
      </c>
      <c r="AS121" s="398" t="str">
        <f t="shared" ca="1" si="579"/>
        <v>No</v>
      </c>
      <c r="AT121" s="398" t="str">
        <f t="shared" ca="1" si="594"/>
        <v/>
      </c>
      <c r="AU121" s="398" t="str">
        <f t="shared" ca="1" si="566"/>
        <v/>
      </c>
      <c r="AV121" s="398">
        <f t="shared" ca="1" si="567"/>
        <v>6</v>
      </c>
      <c r="AW121" s="398">
        <f t="shared" ca="1" si="595"/>
        <v>2</v>
      </c>
      <c r="AX121" s="398">
        <f t="shared" ca="1" si="596"/>
        <v>224</v>
      </c>
      <c r="AY121" s="398">
        <f t="shared" ca="1" si="597"/>
        <v>189894</v>
      </c>
      <c r="AZ121" s="399">
        <f t="shared" si="618"/>
        <v>0</v>
      </c>
      <c r="BA121" s="399">
        <f t="shared" si="619"/>
        <v>0</v>
      </c>
      <c r="BB121" s="483" t="str">
        <f t="shared" ca="1" si="568"/>
        <v/>
      </c>
      <c r="BC121" s="400">
        <f ca="1">IF(MAX(IF($D$6="No",ROUNDUP($D$3/$I121,0),ROUNDUP(($D$3+$I121)/$I121,0)),IF($D$6="No",ROUNDUP($D$4/$G121,0),ROUNDUP(($D$4+$G121)/$G121,0)),ROUNDUP('BVMS checklist'!$H$217/$J121,0))&gt;1,'BVMS checklist'!$L$224,'BVMS checklist'!$L$217)</f>
        <v>0</v>
      </c>
      <c r="BD121" s="398">
        <f t="shared" ca="1" si="569"/>
        <v>2</v>
      </c>
      <c r="BE121" s="400">
        <f t="shared" si="598"/>
        <v>1</v>
      </c>
      <c r="BF121" s="400">
        <f t="shared" si="599"/>
        <v>1025</v>
      </c>
      <c r="BG121" s="400">
        <f t="shared" ca="1" si="580"/>
        <v>0</v>
      </c>
      <c r="BH121" s="398">
        <f t="shared" ca="1" si="600"/>
        <v>189894</v>
      </c>
      <c r="BI121" s="401" t="str">
        <f t="shared" ca="1" si="570"/>
        <v/>
      </c>
      <c r="BJ121" s="398">
        <f t="shared" ca="1" si="601"/>
        <v>512</v>
      </c>
      <c r="BK121" s="400">
        <f ca="1">IF(MAX(IF($D$6="No",ROUNDUP($D$3/$I121,0),ROUNDUP(($D$3+$I121)/$I121,0)),IF($D$6="No",ROUNDUP($D$4/$G121,0),ROUNDUP(($D$4+$G121)/$G121,0)),ROUNDUP('BVMS checklist'!$H$217/$J121,0))&gt;1,'BVMS checklist'!$L$224,'BVMS checklist'!$L$217)+MAX(IF($D$6="No",ROUNDUP($D$3/$I121,0),ROUNDUP(($D$3+$I121)/$I121,0)),IF($D$6="No",ROUNDUP($D$4/$G121,0),ROUNDUP(($D$4+$G121)/$G121,0)))+$D$5</f>
        <v>1</v>
      </c>
      <c r="BL121" s="400" t="b">
        <f t="shared" ca="1" si="555"/>
        <v>1</v>
      </c>
      <c r="BM121" s="400" t="str">
        <f t="shared" ca="1" si="602"/>
        <v>Accepted</v>
      </c>
      <c r="BN121" s="398" t="str">
        <f t="shared" ca="1" si="581"/>
        <v>No</v>
      </c>
      <c r="BO121" s="398" t="str">
        <f t="shared" ca="1" si="603"/>
        <v/>
      </c>
      <c r="BP121" s="398" t="str">
        <f t="shared" ca="1" si="571"/>
        <v/>
      </c>
      <c r="BQ121" s="398">
        <f t="shared" ca="1" si="572"/>
        <v>6</v>
      </c>
      <c r="BR121" s="398">
        <f t="shared" ca="1" si="604"/>
        <v>2</v>
      </c>
      <c r="BS121" s="398">
        <f t="shared" ca="1" si="605"/>
        <v>224</v>
      </c>
      <c r="BT121" s="398">
        <f t="shared" ca="1" si="606"/>
        <v>189894</v>
      </c>
      <c r="BU121" s="399">
        <f t="shared" si="620"/>
        <v>0</v>
      </c>
      <c r="BV121" s="399">
        <f t="shared" si="621"/>
        <v>0</v>
      </c>
      <c r="BW121" s="483" t="str">
        <f t="shared" ca="1" si="573"/>
        <v/>
      </c>
      <c r="BX121" s="400">
        <f ca="1">IF(MAX(IF($E$6="No",ROUNDUP($E$3/$I121,0),ROUNDUP(($E$3+$I121)/$I121,0)),IF($E$6="No",ROUNDUP($E$4/$G121,0),ROUNDUP(($E$4+$G121)/$G121,0)),ROUNDUP('BVMS checklist'!$H$217/$J121,0))&gt;1,'BVMS checklist'!$N$224,'BVMS checklist'!$N$217)</f>
        <v>0</v>
      </c>
      <c r="BY121" s="398">
        <f t="shared" ca="1" si="574"/>
        <v>2</v>
      </c>
      <c r="BZ121" s="400">
        <f t="shared" ca="1" si="607"/>
        <v>2</v>
      </c>
      <c r="CA121" s="400">
        <f t="shared" ca="1" si="608"/>
        <v>2050</v>
      </c>
      <c r="CB121" s="400">
        <f t="shared" ca="1" si="582"/>
        <v>0</v>
      </c>
      <c r="CC121" s="398">
        <f t="shared" ca="1" si="609"/>
        <v>189894</v>
      </c>
      <c r="CD121" s="401" t="str">
        <f t="shared" ca="1" si="575"/>
        <v/>
      </c>
      <c r="CE121" s="398">
        <f t="shared" ca="1" si="610"/>
        <v>512</v>
      </c>
      <c r="CF121" s="400">
        <f ca="1">IF(MAX(IF($E$6="No",ROUNDUP($E$3/$I121,0),ROUNDUP(($E$3+$I121)/$I121,0)),IF($E$6="No",ROUNDUP($E$4/$G121,0),ROUNDUP(($E$4+$G121)/$G121,0)),ROUNDUP('BVMS checklist'!$H$217/$J121,0))&gt;1,'BVMS checklist'!$N$224,'BVMS checklist'!$N$217)+MAX(IF($E$6="No",ROUNDUP($E$3/$I121,0),ROUNDUP(($E$3+$I121)/$I121,0)),IF($E$6="No",ROUNDUP($E$4/$G121,0),ROUNDUP(($E$4+$G121)/$G121,0)))+$E$5</f>
        <v>1</v>
      </c>
      <c r="CG121" s="400" t="b">
        <f t="shared" ca="1" si="556"/>
        <v>1</v>
      </c>
      <c r="CH121" s="400" t="str">
        <f t="shared" ca="1" si="611"/>
        <v>Accepted</v>
      </c>
      <c r="CI121" s="398" t="str">
        <f t="shared" ca="1" si="583"/>
        <v>No</v>
      </c>
      <c r="CJ121" s="398" t="str">
        <f t="shared" ca="1" si="612"/>
        <v/>
      </c>
      <c r="CK121" s="398" t="str">
        <f t="shared" ca="1" si="576"/>
        <v/>
      </c>
      <c r="CL121" s="398">
        <f t="shared" ca="1" si="577"/>
        <v>6</v>
      </c>
      <c r="CM121" s="398">
        <f t="shared" ca="1" si="613"/>
        <v>2</v>
      </c>
      <c r="CN121" s="398">
        <f t="shared" ca="1" si="614"/>
        <v>224</v>
      </c>
      <c r="CO121" s="398">
        <f t="shared" ca="1" si="615"/>
        <v>189894</v>
      </c>
      <c r="CP121" s="399">
        <f t="shared" si="622"/>
        <v>0</v>
      </c>
      <c r="CQ121" s="399">
        <f t="shared" si="623"/>
        <v>0</v>
      </c>
      <c r="CR121" s="483" t="str">
        <f t="shared" ca="1" si="578"/>
        <v/>
      </c>
      <c r="CS121"/>
    </row>
    <row r="122" spans="1:97">
      <c r="A122" s="398" t="s">
        <v>404</v>
      </c>
      <c r="B122" s="398" t="s">
        <v>987</v>
      </c>
      <c r="C122" s="440" t="s">
        <v>891</v>
      </c>
      <c r="D122" s="398">
        <v>3</v>
      </c>
      <c r="E122" s="398"/>
      <c r="F122" s="440">
        <v>0</v>
      </c>
      <c r="G122" s="398">
        <f>IF(C122="RAID5",(((7-F122)*5586))+(2*(((15-F122)*3723))),(((6-F122)*5586))+(2*(((14-F122)*3723))))</f>
        <v>150792</v>
      </c>
      <c r="H122" s="399">
        <v>176</v>
      </c>
      <c r="I122" s="399">
        <v>1575</v>
      </c>
      <c r="J122" s="399">
        <v>384</v>
      </c>
      <c r="K122" s="399"/>
      <c r="L122" s="399"/>
      <c r="M122" s="400">
        <f ca="1">IF(MAX(IF($B$6="No",ROUNDUP($B$3/$I122,0),ROUNDUP(($B$3+$I122)/$I122,0)),IF($B$6="No",ROUNDUP($B$4/$G122,0),ROUNDUP(($B$4+$G122)/$G122,0)),ROUNDUP('BVMS checklist'!$H$217/$J122,0))&gt;1,'BVMS checklist'!$H$224,'BVMS checklist'!$H$217)</f>
        <v>0</v>
      </c>
      <c r="N122" s="398">
        <f t="shared" ca="1" si="557"/>
        <v>2</v>
      </c>
      <c r="O122" s="400">
        <f t="shared" ca="1" si="584"/>
        <v>2</v>
      </c>
      <c r="P122" s="400">
        <f t="shared" ca="1" si="548"/>
        <v>3150</v>
      </c>
      <c r="Q122" s="400">
        <f t="shared" ca="1" si="549"/>
        <v>0</v>
      </c>
      <c r="R122" s="398">
        <f t="shared" ca="1" si="550"/>
        <v>301584</v>
      </c>
      <c r="S122" s="401" t="str">
        <f t="shared" ca="1" si="558"/>
        <v/>
      </c>
      <c r="T122" s="398">
        <f t="shared" ca="1" si="559"/>
        <v>768</v>
      </c>
      <c r="U122" s="400">
        <f ca="1">IF(MAX(IF($B$6="No",ROUNDUP($B$3/$I122,0),ROUNDUP(($B$3+$I122)/$I122,0)),IF($B$6="No",ROUNDUP($B$4/$G122,0),ROUNDUP(($B$4+$G122)/$G122,0)),ROUNDUP('BVMS checklist'!$H$217/$J122,0))&gt;1,'BVMS checklist'!$H$224,'BVMS checklist'!$H$217)+MAX(IF($B$6="No",ROUNDUP($B$3/$I122,0),ROUNDUP(($B$3+$I122)/$I122,0)),IF($B$6="No",ROUNDUP($B$4/$G122,0),ROUNDUP(($B$4+$G122)/$G122,0)))+$B$5</f>
        <v>1</v>
      </c>
      <c r="V122" s="400" t="b">
        <f t="shared" ca="1" si="551"/>
        <v>1</v>
      </c>
      <c r="W122" s="400" t="str">
        <f t="shared" ca="1" si="585"/>
        <v>Accepted</v>
      </c>
      <c r="X122" s="398" t="str">
        <f t="shared" ca="1" si="560"/>
        <v>No</v>
      </c>
      <c r="Y122" s="398" t="str">
        <f t="shared" ca="1" si="561"/>
        <v/>
      </c>
      <c r="Z122" s="398" t="str">
        <f t="shared" ca="1" si="562"/>
        <v/>
      </c>
      <c r="AA122" s="398">
        <f t="shared" ca="1" si="586"/>
        <v>6</v>
      </c>
      <c r="AB122" s="398">
        <f t="shared" ca="1" si="552"/>
        <v>2</v>
      </c>
      <c r="AC122" s="398">
        <f t="shared" ca="1" si="553"/>
        <v>352</v>
      </c>
      <c r="AD122" s="398">
        <f t="shared" ca="1" si="587"/>
        <v>301584</v>
      </c>
      <c r="AE122" s="399">
        <f t="shared" si="616"/>
        <v>0</v>
      </c>
      <c r="AF122" s="399">
        <f t="shared" si="617"/>
        <v>0</v>
      </c>
      <c r="AG122" s="483" t="str">
        <f t="shared" ca="1" si="563"/>
        <v/>
      </c>
      <c r="AH122" s="400">
        <f ca="1">IF(MAX(IF($C$6="No",ROUNDUP($C$3/$I122,0),ROUNDUP(($C$3+$I122)/$I122,0)),IF($C$6="No",ROUNDUP($C$4/$G122,0),ROUNDUP(($C$4+$G122)/$G122,0)),ROUNDUP('BVMS checklist'!$H$217/$J122,0))&gt;1,'BVMS checklist'!$J$224,'BVMS checklist'!$J$217)</f>
        <v>0</v>
      </c>
      <c r="AI122" s="398">
        <f t="shared" ca="1" si="564"/>
        <v>2</v>
      </c>
      <c r="AJ122" s="400">
        <f t="shared" ca="1" si="588"/>
        <v>2</v>
      </c>
      <c r="AK122" s="400">
        <f t="shared" ca="1" si="589"/>
        <v>3150</v>
      </c>
      <c r="AL122" s="400">
        <f t="shared" ca="1" si="590"/>
        <v>0</v>
      </c>
      <c r="AM122" s="398">
        <f t="shared" ca="1" si="591"/>
        <v>301584</v>
      </c>
      <c r="AN122" s="401" t="str">
        <f t="shared" ca="1" si="565"/>
        <v/>
      </c>
      <c r="AO122" s="398">
        <f t="shared" ca="1" si="592"/>
        <v>768</v>
      </c>
      <c r="AP122" s="400">
        <f ca="1">IF(MAX(IF($C$6="No",ROUNDUP($C$3/$I122,0),ROUNDUP(($C$3+$I122)/$I122,0)),IF($C$6="No",ROUNDUP($C$4/$G122,0),ROUNDUP(($C$4+$G122)/$G122,0)),ROUNDUP('BVMS checklist'!$H$217/$J122,0))&gt;1,'BVMS checklist'!$J$224,'BVMS checklist'!$J$217)+MAX(IF($C$6="No",ROUNDUP($C$3/$I122,0),ROUNDUP(($C$3+$I122)/$I122,0)),IF($C$6="No",ROUNDUP($C$4/$G122,0),ROUNDUP(($C$4+$G122)/$G122,0)))+$C$5</f>
        <v>1</v>
      </c>
      <c r="AQ122" s="400" t="b">
        <f t="shared" ca="1" si="554"/>
        <v>1</v>
      </c>
      <c r="AR122" s="400" t="str">
        <f t="shared" ca="1" si="593"/>
        <v>Accepted</v>
      </c>
      <c r="AS122" s="398" t="str">
        <f t="shared" ca="1" si="579"/>
        <v>No</v>
      </c>
      <c r="AT122" s="398" t="str">
        <f t="shared" ca="1" si="594"/>
        <v/>
      </c>
      <c r="AU122" s="398" t="str">
        <f t="shared" ca="1" si="566"/>
        <v/>
      </c>
      <c r="AV122" s="398">
        <f t="shared" ca="1" si="567"/>
        <v>6</v>
      </c>
      <c r="AW122" s="398">
        <f t="shared" ca="1" si="595"/>
        <v>2</v>
      </c>
      <c r="AX122" s="398">
        <f t="shared" ca="1" si="596"/>
        <v>352</v>
      </c>
      <c r="AY122" s="398">
        <f t="shared" ca="1" si="597"/>
        <v>301584</v>
      </c>
      <c r="AZ122" s="399">
        <f t="shared" si="618"/>
        <v>0</v>
      </c>
      <c r="BA122" s="399">
        <f t="shared" si="619"/>
        <v>0</v>
      </c>
      <c r="BB122" s="483" t="str">
        <f t="shared" ca="1" si="568"/>
        <v/>
      </c>
      <c r="BC122" s="400">
        <f ca="1">IF(MAX(IF($D$6="No",ROUNDUP($D$3/$I122,0),ROUNDUP(($D$3+$I122)/$I122,0)),IF($D$6="No",ROUNDUP($D$4/$G122,0),ROUNDUP(($D$4+$G122)/$G122,0)),ROUNDUP('BVMS checklist'!$H$217/$J122,0))&gt;1,'BVMS checklist'!$L$224,'BVMS checklist'!$L$217)</f>
        <v>0</v>
      </c>
      <c r="BD122" s="398">
        <f t="shared" ca="1" si="569"/>
        <v>2</v>
      </c>
      <c r="BE122" s="400">
        <f t="shared" si="598"/>
        <v>1</v>
      </c>
      <c r="BF122" s="400">
        <f t="shared" si="599"/>
        <v>1575</v>
      </c>
      <c r="BG122" s="400">
        <f t="shared" ca="1" si="580"/>
        <v>0</v>
      </c>
      <c r="BH122" s="398">
        <f t="shared" ca="1" si="600"/>
        <v>301584</v>
      </c>
      <c r="BI122" s="401" t="str">
        <f t="shared" ca="1" si="570"/>
        <v/>
      </c>
      <c r="BJ122" s="398">
        <f t="shared" ca="1" si="601"/>
        <v>768</v>
      </c>
      <c r="BK122" s="400">
        <f ca="1">IF(MAX(IF($D$6="No",ROUNDUP($D$3/$I122,0),ROUNDUP(($D$3+$I122)/$I122,0)),IF($D$6="No",ROUNDUP($D$4/$G122,0),ROUNDUP(($D$4+$G122)/$G122,0)),ROUNDUP('BVMS checklist'!$H$217/$J122,0))&gt;1,'BVMS checklist'!$L$224,'BVMS checklist'!$L$217)+MAX(IF($D$6="No",ROUNDUP($D$3/$I122,0),ROUNDUP(($D$3+$I122)/$I122,0)),IF($D$6="No",ROUNDUP($D$4/$G122,0),ROUNDUP(($D$4+$G122)/$G122,0)))+$D$5</f>
        <v>1</v>
      </c>
      <c r="BL122" s="400" t="b">
        <f t="shared" ca="1" si="555"/>
        <v>1</v>
      </c>
      <c r="BM122" s="400" t="str">
        <f t="shared" ca="1" si="602"/>
        <v>Accepted</v>
      </c>
      <c r="BN122" s="398" t="str">
        <f t="shared" ca="1" si="581"/>
        <v>No</v>
      </c>
      <c r="BO122" s="398" t="str">
        <f t="shared" ca="1" si="603"/>
        <v/>
      </c>
      <c r="BP122" s="398" t="str">
        <f t="shared" ca="1" si="571"/>
        <v/>
      </c>
      <c r="BQ122" s="398">
        <f t="shared" ca="1" si="572"/>
        <v>6</v>
      </c>
      <c r="BR122" s="398">
        <f t="shared" ca="1" si="604"/>
        <v>2</v>
      </c>
      <c r="BS122" s="398">
        <f t="shared" ca="1" si="605"/>
        <v>352</v>
      </c>
      <c r="BT122" s="398">
        <f t="shared" ca="1" si="606"/>
        <v>301584</v>
      </c>
      <c r="BU122" s="399">
        <f t="shared" si="620"/>
        <v>0</v>
      </c>
      <c r="BV122" s="399">
        <f t="shared" si="621"/>
        <v>0</v>
      </c>
      <c r="BW122" s="483" t="str">
        <f t="shared" ca="1" si="573"/>
        <v/>
      </c>
      <c r="BX122" s="400">
        <f ca="1">IF(MAX(IF($E$6="No",ROUNDUP($E$3/$I122,0),ROUNDUP(($E$3+$I122)/$I122,0)),IF($E$6="No",ROUNDUP($E$4/$G122,0),ROUNDUP(($E$4+$G122)/$G122,0)),ROUNDUP('BVMS checklist'!$H$217/$J122,0))&gt;1,'BVMS checklist'!$N$224,'BVMS checklist'!$N$217)</f>
        <v>0</v>
      </c>
      <c r="BY122" s="398">
        <f t="shared" ca="1" si="574"/>
        <v>2</v>
      </c>
      <c r="BZ122" s="400">
        <f t="shared" ca="1" si="607"/>
        <v>2</v>
      </c>
      <c r="CA122" s="400">
        <f t="shared" ca="1" si="608"/>
        <v>3150</v>
      </c>
      <c r="CB122" s="400">
        <f t="shared" ca="1" si="582"/>
        <v>0</v>
      </c>
      <c r="CC122" s="398">
        <f t="shared" ca="1" si="609"/>
        <v>301584</v>
      </c>
      <c r="CD122" s="401" t="str">
        <f t="shared" ca="1" si="575"/>
        <v/>
      </c>
      <c r="CE122" s="398">
        <f t="shared" ca="1" si="610"/>
        <v>768</v>
      </c>
      <c r="CF122" s="400">
        <f ca="1">IF(MAX(IF($E$6="No",ROUNDUP($E$3/$I122,0),ROUNDUP(($E$3+$I122)/$I122,0)),IF($E$6="No",ROUNDUP($E$4/$G122,0),ROUNDUP(($E$4+$G122)/$G122,0)),ROUNDUP('BVMS checklist'!$H$217/$J122,0))&gt;1,'BVMS checklist'!$N$224,'BVMS checklist'!$N$217)+MAX(IF($E$6="No",ROUNDUP($E$3/$I122,0),ROUNDUP(($E$3+$I122)/$I122,0)),IF($E$6="No",ROUNDUP($E$4/$G122,0),ROUNDUP(($E$4+$G122)/$G122,0)))+$E$5</f>
        <v>1</v>
      </c>
      <c r="CG122" s="400" t="b">
        <f t="shared" ca="1" si="556"/>
        <v>1</v>
      </c>
      <c r="CH122" s="400" t="str">
        <f t="shared" ca="1" si="611"/>
        <v>Accepted</v>
      </c>
      <c r="CI122" s="398" t="str">
        <f t="shared" ca="1" si="583"/>
        <v>No</v>
      </c>
      <c r="CJ122" s="398" t="str">
        <f t="shared" ca="1" si="612"/>
        <v/>
      </c>
      <c r="CK122" s="398" t="str">
        <f t="shared" ca="1" si="576"/>
        <v/>
      </c>
      <c r="CL122" s="398">
        <f t="shared" ca="1" si="577"/>
        <v>6</v>
      </c>
      <c r="CM122" s="398">
        <f t="shared" ca="1" si="613"/>
        <v>2</v>
      </c>
      <c r="CN122" s="398">
        <f t="shared" ca="1" si="614"/>
        <v>352</v>
      </c>
      <c r="CO122" s="398">
        <f t="shared" ca="1" si="615"/>
        <v>301584</v>
      </c>
      <c r="CP122" s="399">
        <f t="shared" si="622"/>
        <v>0</v>
      </c>
      <c r="CQ122" s="399">
        <f t="shared" si="623"/>
        <v>0</v>
      </c>
      <c r="CR122" s="483" t="str">
        <f t="shared" ca="1" si="578"/>
        <v/>
      </c>
      <c r="CS122"/>
    </row>
    <row r="123" spans="1:97">
      <c r="A123" s="398" t="s">
        <v>405</v>
      </c>
      <c r="B123" s="398" t="s">
        <v>987</v>
      </c>
      <c r="C123" s="440" t="s">
        <v>891</v>
      </c>
      <c r="D123" s="398">
        <v>4</v>
      </c>
      <c r="E123" s="398"/>
      <c r="F123" s="440">
        <v>0</v>
      </c>
      <c r="G123" s="398">
        <f>IF(C123="RAID5",(((7-F123)*5586))+(3*(((15-F123)*3723))),(((6-F123)*5586))+(3*(((14-F123)*3723))))</f>
        <v>206637</v>
      </c>
      <c r="H123" s="399">
        <v>240</v>
      </c>
      <c r="I123" s="399">
        <v>2125</v>
      </c>
      <c r="J123" s="399">
        <v>512</v>
      </c>
      <c r="K123" s="399"/>
      <c r="L123" s="399"/>
      <c r="M123" s="400">
        <f ca="1">IF(MAX(IF($B$6="No",ROUNDUP($B$3/$I123,0),ROUNDUP(($B$3+$I123)/$I123,0)),IF($B$6="No",ROUNDUP($B$4/$G123,0),ROUNDUP(($B$4+$G123)/$G123,0)),ROUNDUP('BVMS checklist'!$H$217/$J123,0))&gt;1,'BVMS checklist'!$H$224,'BVMS checklist'!$H$217)</f>
        <v>0</v>
      </c>
      <c r="N123" s="398">
        <f t="shared" ca="1" si="557"/>
        <v>2</v>
      </c>
      <c r="O123" s="400">
        <f t="shared" ca="1" si="584"/>
        <v>2</v>
      </c>
      <c r="P123" s="400">
        <f t="shared" ca="1" si="548"/>
        <v>4250</v>
      </c>
      <c r="Q123" s="400">
        <f t="shared" ca="1" si="549"/>
        <v>0</v>
      </c>
      <c r="R123" s="398">
        <f t="shared" ca="1" si="550"/>
        <v>413274</v>
      </c>
      <c r="S123" s="401" t="str">
        <f t="shared" ca="1" si="558"/>
        <v/>
      </c>
      <c r="T123" s="398">
        <f t="shared" ca="1" si="559"/>
        <v>1024</v>
      </c>
      <c r="U123" s="400">
        <f ca="1">IF(MAX(IF($B$6="No",ROUNDUP($B$3/$I123,0),ROUNDUP(($B$3+$I123)/$I123,0)),IF($B$6="No",ROUNDUP($B$4/$G123,0),ROUNDUP(($B$4+$G123)/$G123,0)),ROUNDUP('BVMS checklist'!$H$217/$J123,0))&gt;1,'BVMS checklist'!$H$224,'BVMS checklist'!$H$217)+MAX(IF($B$6="No",ROUNDUP($B$3/$I123,0),ROUNDUP(($B$3+$I123)/$I123,0)),IF($B$6="No",ROUNDUP($B$4/$G123,0),ROUNDUP(($B$4+$G123)/$G123,0)))+$B$5</f>
        <v>1</v>
      </c>
      <c r="V123" s="400" t="b">
        <f t="shared" ca="1" si="551"/>
        <v>1</v>
      </c>
      <c r="W123" s="400" t="str">
        <f t="shared" ca="1" si="585"/>
        <v>Accepted</v>
      </c>
      <c r="X123" s="398" t="str">
        <f t="shared" ca="1" si="560"/>
        <v>No</v>
      </c>
      <c r="Y123" s="398" t="str">
        <f t="shared" ca="1" si="561"/>
        <v/>
      </c>
      <c r="Z123" s="398" t="str">
        <f t="shared" ca="1" si="562"/>
        <v/>
      </c>
      <c r="AA123" s="398">
        <f t="shared" ca="1" si="586"/>
        <v>6</v>
      </c>
      <c r="AB123" s="398">
        <f t="shared" ca="1" si="552"/>
        <v>2</v>
      </c>
      <c r="AC123" s="398">
        <f t="shared" ca="1" si="553"/>
        <v>480</v>
      </c>
      <c r="AD123" s="398">
        <f t="shared" ca="1" si="587"/>
        <v>413274</v>
      </c>
      <c r="AE123" s="399">
        <f t="shared" si="616"/>
        <v>0</v>
      </c>
      <c r="AF123" s="399">
        <f t="shared" si="617"/>
        <v>0</v>
      </c>
      <c r="AG123" s="483" t="str">
        <f t="shared" ca="1" si="563"/>
        <v/>
      </c>
      <c r="AH123" s="400">
        <f ca="1">IF(MAX(IF($C$6="No",ROUNDUP($C$3/$I123,0),ROUNDUP(($C$3+$I123)/$I123,0)),IF($C$6="No",ROUNDUP($C$4/$G123,0),ROUNDUP(($C$4+$G123)/$G123,0)),ROUNDUP('BVMS checklist'!$H$217/$J123,0))&gt;1,'BVMS checklist'!$J$224,'BVMS checklist'!$J$217)</f>
        <v>0</v>
      </c>
      <c r="AI123" s="398">
        <f t="shared" ca="1" si="564"/>
        <v>2</v>
      </c>
      <c r="AJ123" s="400">
        <f t="shared" ca="1" si="588"/>
        <v>2</v>
      </c>
      <c r="AK123" s="400">
        <f t="shared" ca="1" si="589"/>
        <v>4250</v>
      </c>
      <c r="AL123" s="400">
        <f t="shared" ca="1" si="590"/>
        <v>0</v>
      </c>
      <c r="AM123" s="398">
        <f t="shared" ca="1" si="591"/>
        <v>413274</v>
      </c>
      <c r="AN123" s="401" t="str">
        <f t="shared" ca="1" si="565"/>
        <v/>
      </c>
      <c r="AO123" s="398">
        <f t="shared" ca="1" si="592"/>
        <v>1024</v>
      </c>
      <c r="AP123" s="400">
        <f ca="1">IF(MAX(IF($C$6="No",ROUNDUP($C$3/$I123,0),ROUNDUP(($C$3+$I123)/$I123,0)),IF($C$6="No",ROUNDUP($C$4/$G123,0),ROUNDUP(($C$4+$G123)/$G123,0)),ROUNDUP('BVMS checklist'!$H$217/$J123,0))&gt;1,'BVMS checklist'!$J$224,'BVMS checklist'!$J$217)+MAX(IF($C$6="No",ROUNDUP($C$3/$I123,0),ROUNDUP(($C$3+$I123)/$I123,0)),IF($C$6="No",ROUNDUP($C$4/$G123,0),ROUNDUP(($C$4+$G123)/$G123,0)))+$C$5</f>
        <v>1</v>
      </c>
      <c r="AQ123" s="400" t="b">
        <f t="shared" ca="1" si="554"/>
        <v>1</v>
      </c>
      <c r="AR123" s="400" t="str">
        <f t="shared" ca="1" si="593"/>
        <v>Accepted</v>
      </c>
      <c r="AS123" s="398" t="str">
        <f t="shared" ca="1" si="579"/>
        <v>No</v>
      </c>
      <c r="AT123" s="398" t="str">
        <f t="shared" ca="1" si="594"/>
        <v/>
      </c>
      <c r="AU123" s="398" t="str">
        <f t="shared" ca="1" si="566"/>
        <v/>
      </c>
      <c r="AV123" s="398">
        <f t="shared" ca="1" si="567"/>
        <v>6</v>
      </c>
      <c r="AW123" s="398">
        <f t="shared" ca="1" si="595"/>
        <v>2</v>
      </c>
      <c r="AX123" s="398">
        <f t="shared" ca="1" si="596"/>
        <v>480</v>
      </c>
      <c r="AY123" s="398">
        <f t="shared" ca="1" si="597"/>
        <v>413274</v>
      </c>
      <c r="AZ123" s="399">
        <f t="shared" si="618"/>
        <v>0</v>
      </c>
      <c r="BA123" s="399">
        <f t="shared" si="619"/>
        <v>0</v>
      </c>
      <c r="BB123" s="483" t="str">
        <f t="shared" ca="1" si="568"/>
        <v/>
      </c>
      <c r="BC123" s="400">
        <f ca="1">IF(MAX(IF($D$6="No",ROUNDUP($D$3/$I123,0),ROUNDUP(($D$3+$I123)/$I123,0)),IF($D$6="No",ROUNDUP($D$4/$G123,0),ROUNDUP(($D$4+$G123)/$G123,0)),ROUNDUP('BVMS checklist'!$H$217/$J123,0))&gt;1,'BVMS checklist'!$L$224,'BVMS checklist'!$L$217)</f>
        <v>0</v>
      </c>
      <c r="BD123" s="398">
        <f t="shared" ca="1" si="569"/>
        <v>2</v>
      </c>
      <c r="BE123" s="400">
        <f t="shared" si="598"/>
        <v>1</v>
      </c>
      <c r="BF123" s="400">
        <f t="shared" si="599"/>
        <v>2125</v>
      </c>
      <c r="BG123" s="400">
        <f t="shared" ca="1" si="580"/>
        <v>0</v>
      </c>
      <c r="BH123" s="398">
        <f t="shared" ca="1" si="600"/>
        <v>413274</v>
      </c>
      <c r="BI123" s="401" t="str">
        <f t="shared" ca="1" si="570"/>
        <v/>
      </c>
      <c r="BJ123" s="398">
        <f t="shared" ca="1" si="601"/>
        <v>1024</v>
      </c>
      <c r="BK123" s="400">
        <f ca="1">IF(MAX(IF($D$6="No",ROUNDUP($D$3/$I123,0),ROUNDUP(($D$3+$I123)/$I123,0)),IF($D$6="No",ROUNDUP($D$4/$G123,0),ROUNDUP(($D$4+$G123)/$G123,0)),ROUNDUP('BVMS checklist'!$H$217/$J123,0))&gt;1,'BVMS checklist'!$L$224,'BVMS checklist'!$L$217)+MAX(IF($D$6="No",ROUNDUP($D$3/$I123,0),ROUNDUP(($D$3+$I123)/$I123,0)),IF($D$6="No",ROUNDUP($D$4/$G123,0),ROUNDUP(($D$4+$G123)/$G123,0)))+$D$5</f>
        <v>1</v>
      </c>
      <c r="BL123" s="400" t="b">
        <f t="shared" ca="1" si="555"/>
        <v>1</v>
      </c>
      <c r="BM123" s="400" t="str">
        <f t="shared" ca="1" si="602"/>
        <v>Accepted</v>
      </c>
      <c r="BN123" s="398" t="str">
        <f t="shared" ca="1" si="581"/>
        <v>No</v>
      </c>
      <c r="BO123" s="398" t="str">
        <f t="shared" ca="1" si="603"/>
        <v/>
      </c>
      <c r="BP123" s="398" t="str">
        <f t="shared" ca="1" si="571"/>
        <v/>
      </c>
      <c r="BQ123" s="398">
        <f t="shared" ca="1" si="572"/>
        <v>6</v>
      </c>
      <c r="BR123" s="398">
        <f t="shared" ca="1" si="604"/>
        <v>2</v>
      </c>
      <c r="BS123" s="398">
        <f t="shared" ca="1" si="605"/>
        <v>480</v>
      </c>
      <c r="BT123" s="398">
        <f t="shared" ca="1" si="606"/>
        <v>413274</v>
      </c>
      <c r="BU123" s="399">
        <f t="shared" si="620"/>
        <v>0</v>
      </c>
      <c r="BV123" s="399">
        <f t="shared" si="621"/>
        <v>0</v>
      </c>
      <c r="BW123" s="483" t="str">
        <f t="shared" ca="1" si="573"/>
        <v/>
      </c>
      <c r="BX123" s="400">
        <f ca="1">IF(MAX(IF($E$6="No",ROUNDUP($E$3/$I123,0),ROUNDUP(($E$3+$I123)/$I123,0)),IF($E$6="No",ROUNDUP($E$4/$G123,0),ROUNDUP(($E$4+$G123)/$G123,0)),ROUNDUP('BVMS checklist'!$H$217/$J123,0))&gt;1,'BVMS checklist'!$N$224,'BVMS checklist'!$N$217)</f>
        <v>0</v>
      </c>
      <c r="BY123" s="398">
        <f t="shared" ca="1" si="574"/>
        <v>2</v>
      </c>
      <c r="BZ123" s="400">
        <f t="shared" ca="1" si="607"/>
        <v>2</v>
      </c>
      <c r="CA123" s="400">
        <f t="shared" ca="1" si="608"/>
        <v>4250</v>
      </c>
      <c r="CB123" s="400">
        <f t="shared" ca="1" si="582"/>
        <v>0</v>
      </c>
      <c r="CC123" s="398">
        <f t="shared" ca="1" si="609"/>
        <v>413274</v>
      </c>
      <c r="CD123" s="401" t="str">
        <f t="shared" ca="1" si="575"/>
        <v/>
      </c>
      <c r="CE123" s="398">
        <f t="shared" ca="1" si="610"/>
        <v>1024</v>
      </c>
      <c r="CF123" s="400">
        <f ca="1">IF(MAX(IF($E$6="No",ROUNDUP($E$3/$I123,0),ROUNDUP(($E$3+$I123)/$I123,0)),IF($E$6="No",ROUNDUP($E$4/$G123,0),ROUNDUP(($E$4+$G123)/$G123,0)),ROUNDUP('BVMS checklist'!$H$217/$J123,0))&gt;1,'BVMS checklist'!$N$224,'BVMS checklist'!$N$217)+MAX(IF($E$6="No",ROUNDUP($E$3/$I123,0),ROUNDUP(($E$3+$I123)/$I123,0)),IF($E$6="No",ROUNDUP($E$4/$G123,0),ROUNDUP(($E$4+$G123)/$G123,0)))+$E$5</f>
        <v>1</v>
      </c>
      <c r="CG123" s="400" t="b">
        <f t="shared" ca="1" si="556"/>
        <v>1</v>
      </c>
      <c r="CH123" s="400" t="str">
        <f t="shared" ca="1" si="611"/>
        <v>Accepted</v>
      </c>
      <c r="CI123" s="398" t="str">
        <f t="shared" ca="1" si="583"/>
        <v>No</v>
      </c>
      <c r="CJ123" s="398" t="str">
        <f t="shared" ca="1" si="612"/>
        <v/>
      </c>
      <c r="CK123" s="398" t="str">
        <f t="shared" ca="1" si="576"/>
        <v/>
      </c>
      <c r="CL123" s="398">
        <f t="shared" ca="1" si="577"/>
        <v>6</v>
      </c>
      <c r="CM123" s="398">
        <f t="shared" ca="1" si="613"/>
        <v>2</v>
      </c>
      <c r="CN123" s="398">
        <f t="shared" ca="1" si="614"/>
        <v>480</v>
      </c>
      <c r="CO123" s="398">
        <f t="shared" ca="1" si="615"/>
        <v>413274</v>
      </c>
      <c r="CP123" s="399">
        <f t="shared" si="622"/>
        <v>0</v>
      </c>
      <c r="CQ123" s="399">
        <f t="shared" si="623"/>
        <v>0</v>
      </c>
      <c r="CR123" s="483" t="str">
        <f t="shared" ca="1" si="578"/>
        <v/>
      </c>
      <c r="CS123"/>
    </row>
    <row r="124" spans="1:97">
      <c r="A124" s="398" t="s">
        <v>406</v>
      </c>
      <c r="B124" s="398" t="s">
        <v>987</v>
      </c>
      <c r="C124" s="440" t="s">
        <v>891</v>
      </c>
      <c r="D124" s="398">
        <v>5</v>
      </c>
      <c r="E124" s="398"/>
      <c r="F124" s="440">
        <v>0</v>
      </c>
      <c r="G124" s="398">
        <f>IF(C124="RAID5",(((7-F124)*5586))+(4*(((15-F124)*3723))),(((6-F124)*5586))+(4*(((14-F124)*3723))))</f>
        <v>262482</v>
      </c>
      <c r="H124" s="399">
        <v>304</v>
      </c>
      <c r="I124" s="399">
        <v>2675</v>
      </c>
      <c r="J124" s="399">
        <v>640</v>
      </c>
      <c r="K124" s="399"/>
      <c r="L124" s="399"/>
      <c r="M124" s="400">
        <f ca="1">IF(MAX(IF($B$6="No",ROUNDUP($B$3/$I124,0),ROUNDUP(($B$3+$I124)/$I124,0)),IF($B$6="No",ROUNDUP($B$4/$G124,0),ROUNDUP(($B$4+$G124)/$G124,0)),ROUNDUP('BVMS checklist'!$H$217/$J124,0))&gt;1,'BVMS checklist'!$H$224,'BVMS checklist'!$H$217)</f>
        <v>0</v>
      </c>
      <c r="N124" s="398">
        <f t="shared" ca="1" si="557"/>
        <v>2</v>
      </c>
      <c r="O124" s="400">
        <f t="shared" ca="1" si="584"/>
        <v>2</v>
      </c>
      <c r="P124" s="400">
        <f t="shared" ca="1" si="548"/>
        <v>5350</v>
      </c>
      <c r="Q124" s="400">
        <f t="shared" ca="1" si="549"/>
        <v>0</v>
      </c>
      <c r="R124" s="398">
        <f t="shared" ca="1" si="550"/>
        <v>524964</v>
      </c>
      <c r="S124" s="401" t="str">
        <f t="shared" ca="1" si="558"/>
        <v/>
      </c>
      <c r="T124" s="398">
        <f t="shared" ca="1" si="559"/>
        <v>1280</v>
      </c>
      <c r="U124" s="400">
        <f ca="1">IF(MAX(IF($B$6="No",ROUNDUP($B$3/$I124,0),ROUNDUP(($B$3+$I124)/$I124,0)),IF($B$6="No",ROUNDUP($B$4/$G124,0),ROUNDUP(($B$4+$G124)/$G124,0)),ROUNDUP('BVMS checklist'!$H$217/$J124,0))&gt;1,'BVMS checklist'!$H$224,'BVMS checklist'!$H$217)+MAX(IF($B$6="No",ROUNDUP($B$3/$I124,0),ROUNDUP(($B$3+$I124)/$I124,0)),IF($B$6="No",ROUNDUP($B$4/$G124,0),ROUNDUP(($B$4+$G124)/$G124,0)))+$B$5</f>
        <v>1</v>
      </c>
      <c r="V124" s="400" t="b">
        <f t="shared" ca="1" si="551"/>
        <v>1</v>
      </c>
      <c r="W124" s="400" t="str">
        <f t="shared" ca="1" si="585"/>
        <v>Accepted</v>
      </c>
      <c r="X124" s="398" t="str">
        <f t="shared" ca="1" si="560"/>
        <v>No</v>
      </c>
      <c r="Y124" s="398" t="str">
        <f t="shared" ca="1" si="561"/>
        <v/>
      </c>
      <c r="Z124" s="398" t="str">
        <f t="shared" ca="1" si="562"/>
        <v/>
      </c>
      <c r="AA124" s="398">
        <f t="shared" ca="1" si="586"/>
        <v>6</v>
      </c>
      <c r="AB124" s="398">
        <f t="shared" ca="1" si="552"/>
        <v>2</v>
      </c>
      <c r="AC124" s="398">
        <f t="shared" ca="1" si="553"/>
        <v>608</v>
      </c>
      <c r="AD124" s="398">
        <f t="shared" ca="1" si="587"/>
        <v>524964</v>
      </c>
      <c r="AE124" s="399">
        <f t="shared" si="616"/>
        <v>0</v>
      </c>
      <c r="AF124" s="399">
        <f t="shared" si="617"/>
        <v>0</v>
      </c>
      <c r="AG124" s="483" t="str">
        <f t="shared" ca="1" si="563"/>
        <v/>
      </c>
      <c r="AH124" s="400">
        <f ca="1">IF(MAX(IF($C$6="No",ROUNDUP($C$3/$I124,0),ROUNDUP(($C$3+$I124)/$I124,0)),IF($C$6="No",ROUNDUP($C$4/$G124,0),ROUNDUP(($C$4+$G124)/$G124,0)),ROUNDUP('BVMS checklist'!$H$217/$J124,0))&gt;1,'BVMS checklist'!$J$224,'BVMS checklist'!$J$217)</f>
        <v>0</v>
      </c>
      <c r="AI124" s="398">
        <f t="shared" ca="1" si="564"/>
        <v>2</v>
      </c>
      <c r="AJ124" s="400">
        <f t="shared" ca="1" si="588"/>
        <v>2</v>
      </c>
      <c r="AK124" s="400">
        <f t="shared" ca="1" si="589"/>
        <v>5350</v>
      </c>
      <c r="AL124" s="400">
        <f t="shared" ca="1" si="590"/>
        <v>0</v>
      </c>
      <c r="AM124" s="398">
        <f t="shared" ca="1" si="591"/>
        <v>524964</v>
      </c>
      <c r="AN124" s="401" t="str">
        <f t="shared" ca="1" si="565"/>
        <v/>
      </c>
      <c r="AO124" s="398">
        <f t="shared" ca="1" si="592"/>
        <v>1280</v>
      </c>
      <c r="AP124" s="400">
        <f ca="1">IF(MAX(IF($C$6="No",ROUNDUP($C$3/$I124,0),ROUNDUP(($C$3+$I124)/$I124,0)),IF($C$6="No",ROUNDUP($C$4/$G124,0),ROUNDUP(($C$4+$G124)/$G124,0)),ROUNDUP('BVMS checklist'!$H$217/$J124,0))&gt;1,'BVMS checklist'!$J$224,'BVMS checklist'!$J$217)+MAX(IF($C$6="No",ROUNDUP($C$3/$I124,0),ROUNDUP(($C$3+$I124)/$I124,0)),IF($C$6="No",ROUNDUP($C$4/$G124,0),ROUNDUP(($C$4+$G124)/$G124,0)))+$C$5</f>
        <v>1</v>
      </c>
      <c r="AQ124" s="400" t="b">
        <f t="shared" ca="1" si="554"/>
        <v>1</v>
      </c>
      <c r="AR124" s="400" t="str">
        <f t="shared" ca="1" si="593"/>
        <v>Accepted</v>
      </c>
      <c r="AS124" s="398" t="str">
        <f t="shared" ca="1" si="579"/>
        <v>No</v>
      </c>
      <c r="AT124" s="398" t="str">
        <f t="shared" ca="1" si="594"/>
        <v/>
      </c>
      <c r="AU124" s="398" t="str">
        <f t="shared" ca="1" si="566"/>
        <v/>
      </c>
      <c r="AV124" s="398">
        <f t="shared" ca="1" si="567"/>
        <v>6</v>
      </c>
      <c r="AW124" s="398">
        <f t="shared" ca="1" si="595"/>
        <v>2</v>
      </c>
      <c r="AX124" s="398">
        <f t="shared" ca="1" si="596"/>
        <v>608</v>
      </c>
      <c r="AY124" s="398">
        <f t="shared" ca="1" si="597"/>
        <v>524964</v>
      </c>
      <c r="AZ124" s="399">
        <f t="shared" si="618"/>
        <v>0</v>
      </c>
      <c r="BA124" s="399">
        <f t="shared" si="619"/>
        <v>0</v>
      </c>
      <c r="BB124" s="483" t="str">
        <f t="shared" ca="1" si="568"/>
        <v/>
      </c>
      <c r="BC124" s="400">
        <f ca="1">IF(MAX(IF($D$6="No",ROUNDUP($D$3/$I124,0),ROUNDUP(($D$3+$I124)/$I124,0)),IF($D$6="No",ROUNDUP($D$4/$G124,0),ROUNDUP(($D$4+$G124)/$G124,0)),ROUNDUP('BVMS checklist'!$H$217/$J124,0))&gt;1,'BVMS checklist'!$L$224,'BVMS checklist'!$L$217)</f>
        <v>0</v>
      </c>
      <c r="BD124" s="398">
        <f t="shared" ca="1" si="569"/>
        <v>2</v>
      </c>
      <c r="BE124" s="400">
        <f t="shared" si="598"/>
        <v>1</v>
      </c>
      <c r="BF124" s="400">
        <f t="shared" si="599"/>
        <v>2675</v>
      </c>
      <c r="BG124" s="400">
        <f t="shared" ca="1" si="580"/>
        <v>0</v>
      </c>
      <c r="BH124" s="398">
        <f t="shared" ca="1" si="600"/>
        <v>524964</v>
      </c>
      <c r="BI124" s="401" t="str">
        <f t="shared" ca="1" si="570"/>
        <v/>
      </c>
      <c r="BJ124" s="398">
        <f t="shared" ca="1" si="601"/>
        <v>1280</v>
      </c>
      <c r="BK124" s="400">
        <f ca="1">IF(MAX(IF($D$6="No",ROUNDUP($D$3/$I124,0),ROUNDUP(($D$3+$I124)/$I124,0)),IF($D$6="No",ROUNDUP($D$4/$G124,0),ROUNDUP(($D$4+$G124)/$G124,0)),ROUNDUP('BVMS checklist'!$H$217/$J124,0))&gt;1,'BVMS checklist'!$L$224,'BVMS checklist'!$L$217)+MAX(IF($D$6="No",ROUNDUP($D$3/$I124,0),ROUNDUP(($D$3+$I124)/$I124,0)),IF($D$6="No",ROUNDUP($D$4/$G124,0),ROUNDUP(($D$4+$G124)/$G124,0)))+$D$5</f>
        <v>1</v>
      </c>
      <c r="BL124" s="400" t="b">
        <f t="shared" ca="1" si="555"/>
        <v>1</v>
      </c>
      <c r="BM124" s="400" t="str">
        <f t="shared" ca="1" si="602"/>
        <v>Accepted</v>
      </c>
      <c r="BN124" s="398" t="str">
        <f t="shared" ca="1" si="581"/>
        <v>No</v>
      </c>
      <c r="BO124" s="398" t="str">
        <f t="shared" ca="1" si="603"/>
        <v/>
      </c>
      <c r="BP124" s="398" t="str">
        <f t="shared" ca="1" si="571"/>
        <v/>
      </c>
      <c r="BQ124" s="398">
        <f t="shared" ca="1" si="572"/>
        <v>6</v>
      </c>
      <c r="BR124" s="398">
        <f t="shared" ca="1" si="604"/>
        <v>2</v>
      </c>
      <c r="BS124" s="398">
        <f t="shared" ca="1" si="605"/>
        <v>608</v>
      </c>
      <c r="BT124" s="398">
        <f t="shared" ca="1" si="606"/>
        <v>524964</v>
      </c>
      <c r="BU124" s="399">
        <f t="shared" si="620"/>
        <v>0</v>
      </c>
      <c r="BV124" s="399">
        <f t="shared" si="621"/>
        <v>0</v>
      </c>
      <c r="BW124" s="483" t="str">
        <f t="shared" ca="1" si="573"/>
        <v/>
      </c>
      <c r="BX124" s="400">
        <f ca="1">IF(MAX(IF($E$6="No",ROUNDUP($E$3/$I124,0),ROUNDUP(($E$3+$I124)/$I124,0)),IF($E$6="No",ROUNDUP($E$4/$G124,0),ROUNDUP(($E$4+$G124)/$G124,0)),ROUNDUP('BVMS checklist'!$H$217/$J124,0))&gt;1,'BVMS checklist'!$N$224,'BVMS checklist'!$N$217)</f>
        <v>0</v>
      </c>
      <c r="BY124" s="398">
        <f t="shared" ca="1" si="574"/>
        <v>2</v>
      </c>
      <c r="BZ124" s="400">
        <f t="shared" ca="1" si="607"/>
        <v>2</v>
      </c>
      <c r="CA124" s="400">
        <f t="shared" ca="1" si="608"/>
        <v>5350</v>
      </c>
      <c r="CB124" s="400">
        <f t="shared" ca="1" si="582"/>
        <v>0</v>
      </c>
      <c r="CC124" s="398">
        <f t="shared" ca="1" si="609"/>
        <v>524964</v>
      </c>
      <c r="CD124" s="401" t="str">
        <f t="shared" ca="1" si="575"/>
        <v/>
      </c>
      <c r="CE124" s="398">
        <f t="shared" ca="1" si="610"/>
        <v>1280</v>
      </c>
      <c r="CF124" s="400">
        <f ca="1">IF(MAX(IF($E$6="No",ROUNDUP($E$3/$I124,0),ROUNDUP(($E$3+$I124)/$I124,0)),IF($E$6="No",ROUNDUP($E$4/$G124,0),ROUNDUP(($E$4+$G124)/$G124,0)),ROUNDUP('BVMS checklist'!$H$217/$J124,0))&gt;1,'BVMS checklist'!$N$224,'BVMS checklist'!$N$217)+MAX(IF($E$6="No",ROUNDUP($E$3/$I124,0),ROUNDUP(($E$3+$I124)/$I124,0)),IF($E$6="No",ROUNDUP($E$4/$G124,0),ROUNDUP(($E$4+$G124)/$G124,0)))+$E$5</f>
        <v>1</v>
      </c>
      <c r="CG124" s="400" t="b">
        <f t="shared" ca="1" si="556"/>
        <v>1</v>
      </c>
      <c r="CH124" s="400" t="str">
        <f t="shared" ca="1" si="611"/>
        <v>Accepted</v>
      </c>
      <c r="CI124" s="398" t="str">
        <f t="shared" ca="1" si="583"/>
        <v>No</v>
      </c>
      <c r="CJ124" s="398" t="str">
        <f t="shared" ca="1" si="612"/>
        <v/>
      </c>
      <c r="CK124" s="398" t="str">
        <f t="shared" ca="1" si="576"/>
        <v/>
      </c>
      <c r="CL124" s="398">
        <f t="shared" ca="1" si="577"/>
        <v>6</v>
      </c>
      <c r="CM124" s="398">
        <f t="shared" ca="1" si="613"/>
        <v>2</v>
      </c>
      <c r="CN124" s="398">
        <f t="shared" ca="1" si="614"/>
        <v>608</v>
      </c>
      <c r="CO124" s="398">
        <f t="shared" ca="1" si="615"/>
        <v>524964</v>
      </c>
      <c r="CP124" s="399">
        <f t="shared" si="622"/>
        <v>0</v>
      </c>
      <c r="CQ124" s="399">
        <f t="shared" si="623"/>
        <v>0</v>
      </c>
      <c r="CR124" s="483" t="str">
        <f t="shared" ca="1" si="578"/>
        <v/>
      </c>
      <c r="CS124"/>
    </row>
    <row r="125" spans="1:97">
      <c r="A125" s="398" t="s">
        <v>467</v>
      </c>
      <c r="B125" s="398" t="s">
        <v>987</v>
      </c>
      <c r="C125" s="440" t="s">
        <v>891</v>
      </c>
      <c r="D125" s="398">
        <v>2</v>
      </c>
      <c r="E125" s="398"/>
      <c r="F125" s="440">
        <v>0</v>
      </c>
      <c r="G125" s="398">
        <f>IF(C125="RAID5",(((7-F125)*5586))+(1*(((7-F125)*5586))),(((6-F125)*5586))+(1*(((6-F125)*5586))))</f>
        <v>78204</v>
      </c>
      <c r="H125" s="399">
        <v>96</v>
      </c>
      <c r="I125" s="399">
        <v>1025</v>
      </c>
      <c r="J125" s="399">
        <v>256</v>
      </c>
      <c r="K125" s="399"/>
      <c r="L125" s="399"/>
      <c r="M125" s="400">
        <f ca="1">IF(MAX(IF($B$6="No",ROUNDUP($B$3/$I125,0),ROUNDUP(($B$3+$I125)/$I125,0)),IF($B$6="No",ROUNDUP($B$4/$G125,0),ROUNDUP(($B$4+$G125)/$G125,0)),ROUNDUP('BVMS checklist'!$H$217/$J125,0))&gt;1,'BVMS checklist'!$H$224,'BVMS checklist'!$H$217)</f>
        <v>0</v>
      </c>
      <c r="N125" s="398">
        <f t="shared" ca="1" si="557"/>
        <v>2</v>
      </c>
      <c r="O125" s="400">
        <f t="shared" ca="1" si="584"/>
        <v>2</v>
      </c>
      <c r="P125" s="400">
        <f t="shared" ca="1" si="548"/>
        <v>2050</v>
      </c>
      <c r="Q125" s="400">
        <f t="shared" ca="1" si="549"/>
        <v>0</v>
      </c>
      <c r="R125" s="398">
        <f t="shared" ca="1" si="550"/>
        <v>156408</v>
      </c>
      <c r="S125" s="401" t="str">
        <f t="shared" ca="1" si="558"/>
        <v/>
      </c>
      <c r="T125" s="398">
        <f t="shared" ca="1" si="559"/>
        <v>512</v>
      </c>
      <c r="U125" s="400">
        <f ca="1">IF(MAX(IF($B$6="No",ROUNDUP($B$3/$I125,0),ROUNDUP(($B$3+$I125)/$I125,0)),IF($B$6="No",ROUNDUP($B$4/$G125,0),ROUNDUP(($B$4+$G125)/$G125,0)),ROUNDUP('BVMS checklist'!$H$217/$J125,0))&gt;1,'BVMS checklist'!$H$224,'BVMS checklist'!$H$217)+MAX(IF($B$6="No",ROUNDUP($B$3/$I125,0),ROUNDUP(($B$3+$I125)/$I125,0)),IF($B$6="No",ROUNDUP($B$4/$G125,0),ROUNDUP(($B$4+$G125)/$G125,0)))+$B$5</f>
        <v>1</v>
      </c>
      <c r="V125" s="400" t="b">
        <f t="shared" ca="1" si="551"/>
        <v>1</v>
      </c>
      <c r="W125" s="400" t="str">
        <f t="shared" ca="1" si="585"/>
        <v>Accepted</v>
      </c>
      <c r="X125" s="398" t="str">
        <f t="shared" ca="1" si="560"/>
        <v>No</v>
      </c>
      <c r="Y125" s="398" t="str">
        <f t="shared" ca="1" si="561"/>
        <v/>
      </c>
      <c r="Z125" s="398" t="str">
        <f t="shared" ca="1" si="562"/>
        <v/>
      </c>
      <c r="AA125" s="398">
        <f t="shared" ca="1" si="586"/>
        <v>6</v>
      </c>
      <c r="AB125" s="398">
        <f t="shared" ca="1" si="552"/>
        <v>2</v>
      </c>
      <c r="AC125" s="398">
        <f t="shared" ca="1" si="553"/>
        <v>192</v>
      </c>
      <c r="AD125" s="398">
        <f t="shared" ca="1" si="587"/>
        <v>156408</v>
      </c>
      <c r="AE125" s="399">
        <f t="shared" si="616"/>
        <v>0</v>
      </c>
      <c r="AF125" s="399">
        <f t="shared" si="617"/>
        <v>0</v>
      </c>
      <c r="AG125" s="483" t="str">
        <f t="shared" ca="1" si="563"/>
        <v/>
      </c>
      <c r="AH125" s="400">
        <f ca="1">IF(MAX(IF($C$6="No",ROUNDUP($C$3/$I125,0),ROUNDUP(($C$3+$I125)/$I125,0)),IF($C$6="No",ROUNDUP($C$4/$G125,0),ROUNDUP(($C$4+$G125)/$G125,0)),ROUNDUP('BVMS checklist'!$H$217/$J125,0))&gt;1,'BVMS checklist'!$J$224,'BVMS checklist'!$J$217)</f>
        <v>0</v>
      </c>
      <c r="AI125" s="398">
        <f t="shared" ca="1" si="564"/>
        <v>2</v>
      </c>
      <c r="AJ125" s="400">
        <f t="shared" ca="1" si="588"/>
        <v>2</v>
      </c>
      <c r="AK125" s="400">
        <f t="shared" ca="1" si="589"/>
        <v>2050</v>
      </c>
      <c r="AL125" s="400">
        <f t="shared" ca="1" si="590"/>
        <v>0</v>
      </c>
      <c r="AM125" s="398">
        <f t="shared" ca="1" si="591"/>
        <v>156408</v>
      </c>
      <c r="AN125" s="401" t="str">
        <f t="shared" ca="1" si="565"/>
        <v/>
      </c>
      <c r="AO125" s="398">
        <f t="shared" ca="1" si="592"/>
        <v>512</v>
      </c>
      <c r="AP125" s="400">
        <f ca="1">IF(MAX(IF($C$6="No",ROUNDUP($C$3/$I125,0),ROUNDUP(($C$3+$I125)/$I125,0)),IF($C$6="No",ROUNDUP($C$4/$G125,0),ROUNDUP(($C$4+$G125)/$G125,0)),ROUNDUP('BVMS checklist'!$H$217/$J125,0))&gt;1,'BVMS checklist'!$J$224,'BVMS checklist'!$J$217)+MAX(IF($C$6="No",ROUNDUP($C$3/$I125,0),ROUNDUP(($C$3+$I125)/$I125,0)),IF($C$6="No",ROUNDUP($C$4/$G125,0),ROUNDUP(($C$4+$G125)/$G125,0)))+$C$5</f>
        <v>1</v>
      </c>
      <c r="AQ125" s="400" t="b">
        <f t="shared" ca="1" si="554"/>
        <v>1</v>
      </c>
      <c r="AR125" s="400" t="str">
        <f t="shared" ca="1" si="593"/>
        <v>Accepted</v>
      </c>
      <c r="AS125" s="398" t="str">
        <f t="shared" ca="1" si="579"/>
        <v>No</v>
      </c>
      <c r="AT125" s="398" t="str">
        <f t="shared" ca="1" si="594"/>
        <v/>
      </c>
      <c r="AU125" s="398" t="str">
        <f t="shared" ca="1" si="566"/>
        <v/>
      </c>
      <c r="AV125" s="398">
        <f t="shared" ca="1" si="567"/>
        <v>6</v>
      </c>
      <c r="AW125" s="398">
        <f t="shared" ca="1" si="595"/>
        <v>2</v>
      </c>
      <c r="AX125" s="398">
        <f t="shared" ca="1" si="596"/>
        <v>192</v>
      </c>
      <c r="AY125" s="398">
        <f t="shared" ca="1" si="597"/>
        <v>156408</v>
      </c>
      <c r="AZ125" s="399">
        <f t="shared" si="618"/>
        <v>0</v>
      </c>
      <c r="BA125" s="399">
        <f t="shared" si="619"/>
        <v>0</v>
      </c>
      <c r="BB125" s="483" t="str">
        <f t="shared" ca="1" si="568"/>
        <v/>
      </c>
      <c r="BC125" s="400">
        <f ca="1">IF(MAX(IF($D$6="No",ROUNDUP($D$3/$I125,0),ROUNDUP(($D$3+$I125)/$I125,0)),IF($D$6="No",ROUNDUP($D$4/$G125,0),ROUNDUP(($D$4+$G125)/$G125,0)),ROUNDUP('BVMS checklist'!$H$217/$J125,0))&gt;1,'BVMS checklist'!$L$224,'BVMS checklist'!$L$217)</f>
        <v>0</v>
      </c>
      <c r="BD125" s="398">
        <f t="shared" ca="1" si="569"/>
        <v>2</v>
      </c>
      <c r="BE125" s="400">
        <f t="shared" si="598"/>
        <v>1</v>
      </c>
      <c r="BF125" s="400">
        <f t="shared" si="599"/>
        <v>1025</v>
      </c>
      <c r="BG125" s="400">
        <f t="shared" ca="1" si="580"/>
        <v>0</v>
      </c>
      <c r="BH125" s="398">
        <f t="shared" ca="1" si="600"/>
        <v>156408</v>
      </c>
      <c r="BI125" s="401" t="str">
        <f t="shared" ca="1" si="570"/>
        <v/>
      </c>
      <c r="BJ125" s="398">
        <f t="shared" ca="1" si="601"/>
        <v>512</v>
      </c>
      <c r="BK125" s="400">
        <f ca="1">IF(MAX(IF($D$6="No",ROUNDUP($D$3/$I125,0),ROUNDUP(($D$3+$I125)/$I125,0)),IF($D$6="No",ROUNDUP($D$4/$G125,0),ROUNDUP(($D$4+$G125)/$G125,0)),ROUNDUP('BVMS checklist'!$H$217/$J125,0))&gt;1,'BVMS checklist'!$L$224,'BVMS checklist'!$L$217)+MAX(IF($D$6="No",ROUNDUP($D$3/$I125,0),ROUNDUP(($D$3+$I125)/$I125,0)),IF($D$6="No",ROUNDUP($D$4/$G125,0),ROUNDUP(($D$4+$G125)/$G125,0)))+$D$5</f>
        <v>1</v>
      </c>
      <c r="BL125" s="400" t="b">
        <f t="shared" ca="1" si="555"/>
        <v>1</v>
      </c>
      <c r="BM125" s="400" t="str">
        <f t="shared" ca="1" si="602"/>
        <v>Accepted</v>
      </c>
      <c r="BN125" s="398" t="str">
        <f t="shared" ca="1" si="581"/>
        <v>No</v>
      </c>
      <c r="BO125" s="398" t="str">
        <f t="shared" ca="1" si="603"/>
        <v/>
      </c>
      <c r="BP125" s="398" t="str">
        <f t="shared" ca="1" si="571"/>
        <v/>
      </c>
      <c r="BQ125" s="398">
        <f t="shared" ca="1" si="572"/>
        <v>6</v>
      </c>
      <c r="BR125" s="398">
        <f t="shared" ca="1" si="604"/>
        <v>2</v>
      </c>
      <c r="BS125" s="398">
        <f t="shared" ca="1" si="605"/>
        <v>192</v>
      </c>
      <c r="BT125" s="398">
        <f t="shared" ca="1" si="606"/>
        <v>156408</v>
      </c>
      <c r="BU125" s="399">
        <f t="shared" si="620"/>
        <v>0</v>
      </c>
      <c r="BV125" s="399">
        <f t="shared" si="621"/>
        <v>0</v>
      </c>
      <c r="BW125" s="483" t="str">
        <f t="shared" ca="1" si="573"/>
        <v/>
      </c>
      <c r="BX125" s="400">
        <f ca="1">IF(MAX(IF($E$6="No",ROUNDUP($E$3/$I125,0),ROUNDUP(($E$3+$I125)/$I125,0)),IF($E$6="No",ROUNDUP($E$4/$G125,0),ROUNDUP(($E$4+$G125)/$G125,0)),ROUNDUP('BVMS checklist'!$H$217/$J125,0))&gt;1,'BVMS checklist'!$N$224,'BVMS checklist'!$N$217)</f>
        <v>0</v>
      </c>
      <c r="BY125" s="398">
        <f t="shared" ca="1" si="574"/>
        <v>2</v>
      </c>
      <c r="BZ125" s="400">
        <f t="shared" ca="1" si="607"/>
        <v>2</v>
      </c>
      <c r="CA125" s="400">
        <f t="shared" ca="1" si="608"/>
        <v>2050</v>
      </c>
      <c r="CB125" s="400">
        <f t="shared" ca="1" si="582"/>
        <v>0</v>
      </c>
      <c r="CC125" s="398">
        <f t="shared" ca="1" si="609"/>
        <v>156408</v>
      </c>
      <c r="CD125" s="401" t="str">
        <f t="shared" ca="1" si="575"/>
        <v/>
      </c>
      <c r="CE125" s="398">
        <f t="shared" ca="1" si="610"/>
        <v>512</v>
      </c>
      <c r="CF125" s="400">
        <f ca="1">IF(MAX(IF($E$6="No",ROUNDUP($E$3/$I125,0),ROUNDUP(($E$3+$I125)/$I125,0)),IF($E$6="No",ROUNDUP($E$4/$G125,0),ROUNDUP(($E$4+$G125)/$G125,0)),ROUNDUP('BVMS checklist'!$H$217/$J125,0))&gt;1,'BVMS checklist'!$N$224,'BVMS checklist'!$N$217)+MAX(IF($E$6="No",ROUNDUP($E$3/$I125,0),ROUNDUP(($E$3+$I125)/$I125,0)),IF($E$6="No",ROUNDUP($E$4/$G125,0),ROUNDUP(($E$4+$G125)/$G125,0)))+$E$5</f>
        <v>1</v>
      </c>
      <c r="CG125" s="400" t="b">
        <f t="shared" ca="1" si="556"/>
        <v>1</v>
      </c>
      <c r="CH125" s="400" t="str">
        <f t="shared" ca="1" si="611"/>
        <v>Accepted</v>
      </c>
      <c r="CI125" s="398" t="str">
        <f t="shared" ca="1" si="583"/>
        <v>No</v>
      </c>
      <c r="CJ125" s="398" t="str">
        <f t="shared" ca="1" si="612"/>
        <v/>
      </c>
      <c r="CK125" s="398" t="str">
        <f t="shared" ca="1" si="576"/>
        <v/>
      </c>
      <c r="CL125" s="398">
        <f t="shared" ca="1" si="577"/>
        <v>6</v>
      </c>
      <c r="CM125" s="398">
        <f t="shared" ca="1" si="613"/>
        <v>2</v>
      </c>
      <c r="CN125" s="398">
        <f t="shared" ca="1" si="614"/>
        <v>192</v>
      </c>
      <c r="CO125" s="398">
        <f t="shared" ca="1" si="615"/>
        <v>156408</v>
      </c>
      <c r="CP125" s="399">
        <f t="shared" si="622"/>
        <v>0</v>
      </c>
      <c r="CQ125" s="399">
        <f t="shared" si="623"/>
        <v>0</v>
      </c>
      <c r="CR125" s="483" t="str">
        <f t="shared" ca="1" si="578"/>
        <v/>
      </c>
      <c r="CS125"/>
    </row>
    <row r="126" spans="1:97">
      <c r="A126" s="398" t="s">
        <v>468</v>
      </c>
      <c r="B126" s="398" t="s">
        <v>987</v>
      </c>
      <c r="C126" s="440" t="s">
        <v>891</v>
      </c>
      <c r="D126" s="398">
        <v>3</v>
      </c>
      <c r="E126" s="398"/>
      <c r="F126" s="440">
        <v>0</v>
      </c>
      <c r="G126" s="398">
        <f>IF(C126="RAID5",(((7-F126)*5586))+(2*(((7-F126)*5586))),(((6-F126)*5586))+(2*(((6-F126)*5586))))</f>
        <v>117306</v>
      </c>
      <c r="H126" s="399">
        <v>144</v>
      </c>
      <c r="I126" s="399">
        <v>1575</v>
      </c>
      <c r="J126" s="399">
        <v>384</v>
      </c>
      <c r="K126" s="399"/>
      <c r="L126" s="399"/>
      <c r="M126" s="400">
        <f ca="1">IF(MAX(IF($B$6="No",ROUNDUP($B$3/$I126,0),ROUNDUP(($B$3+$I126)/$I126,0)),IF($B$6="No",ROUNDUP($B$4/$G126,0),ROUNDUP(($B$4+$G126)/$G126,0)),ROUNDUP('BVMS checklist'!$H$217/$J126,0))&gt;1,'BVMS checklist'!$H$224,'BVMS checklist'!$H$217)</f>
        <v>0</v>
      </c>
      <c r="N126" s="398">
        <f t="shared" ca="1" si="557"/>
        <v>2</v>
      </c>
      <c r="O126" s="400">
        <f t="shared" ca="1" si="584"/>
        <v>2</v>
      </c>
      <c r="P126" s="400">
        <f t="shared" ca="1" si="548"/>
        <v>3150</v>
      </c>
      <c r="Q126" s="400">
        <f t="shared" ca="1" si="549"/>
        <v>0</v>
      </c>
      <c r="R126" s="398">
        <f t="shared" ca="1" si="550"/>
        <v>234612</v>
      </c>
      <c r="S126" s="401" t="str">
        <f t="shared" ca="1" si="558"/>
        <v/>
      </c>
      <c r="T126" s="398">
        <f t="shared" ca="1" si="559"/>
        <v>768</v>
      </c>
      <c r="U126" s="400">
        <f ca="1">IF(MAX(IF($B$6="No",ROUNDUP($B$3/$I126,0),ROUNDUP(($B$3+$I126)/$I126,0)),IF($B$6="No",ROUNDUP($B$4/$G126,0),ROUNDUP(($B$4+$G126)/$G126,0)),ROUNDUP('BVMS checklist'!$H$217/$J126,0))&gt;1,'BVMS checklist'!$H$224,'BVMS checklist'!$H$217)+MAX(IF($B$6="No",ROUNDUP($B$3/$I126,0),ROUNDUP(($B$3+$I126)/$I126,0)),IF($B$6="No",ROUNDUP($B$4/$G126,0),ROUNDUP(($B$4+$G126)/$G126,0)))+$B$5</f>
        <v>1</v>
      </c>
      <c r="V126" s="400" t="b">
        <f t="shared" ca="1" si="551"/>
        <v>1</v>
      </c>
      <c r="W126" s="400" t="str">
        <f t="shared" ca="1" si="585"/>
        <v>Accepted</v>
      </c>
      <c r="X126" s="398" t="str">
        <f t="shared" ca="1" si="560"/>
        <v>No</v>
      </c>
      <c r="Y126" s="398" t="str">
        <f t="shared" ca="1" si="561"/>
        <v/>
      </c>
      <c r="Z126" s="398" t="str">
        <f t="shared" ca="1" si="562"/>
        <v/>
      </c>
      <c r="AA126" s="398">
        <f t="shared" ca="1" si="586"/>
        <v>6</v>
      </c>
      <c r="AB126" s="398">
        <f t="shared" ca="1" si="552"/>
        <v>2</v>
      </c>
      <c r="AC126" s="398">
        <f t="shared" ca="1" si="553"/>
        <v>288</v>
      </c>
      <c r="AD126" s="398">
        <f t="shared" ca="1" si="587"/>
        <v>234612</v>
      </c>
      <c r="AE126" s="399">
        <f t="shared" si="616"/>
        <v>0</v>
      </c>
      <c r="AF126" s="399">
        <f t="shared" si="617"/>
        <v>0</v>
      </c>
      <c r="AG126" s="483" t="str">
        <f t="shared" ca="1" si="563"/>
        <v/>
      </c>
      <c r="AH126" s="400">
        <f ca="1">IF(MAX(IF($C$6="No",ROUNDUP($C$3/$I126,0),ROUNDUP(($C$3+$I126)/$I126,0)),IF($C$6="No",ROUNDUP($C$4/$G126,0),ROUNDUP(($C$4+$G126)/$G126,0)),ROUNDUP('BVMS checklist'!$H$217/$J126,0))&gt;1,'BVMS checklist'!$J$224,'BVMS checklist'!$J$217)</f>
        <v>0</v>
      </c>
      <c r="AI126" s="398">
        <f t="shared" ca="1" si="564"/>
        <v>2</v>
      </c>
      <c r="AJ126" s="400">
        <f t="shared" ca="1" si="588"/>
        <v>2</v>
      </c>
      <c r="AK126" s="400">
        <f t="shared" ca="1" si="589"/>
        <v>3150</v>
      </c>
      <c r="AL126" s="400">
        <f t="shared" ca="1" si="590"/>
        <v>0</v>
      </c>
      <c r="AM126" s="398">
        <f t="shared" ca="1" si="591"/>
        <v>234612</v>
      </c>
      <c r="AN126" s="401" t="str">
        <f t="shared" ca="1" si="565"/>
        <v/>
      </c>
      <c r="AO126" s="398">
        <f t="shared" ca="1" si="592"/>
        <v>768</v>
      </c>
      <c r="AP126" s="400">
        <f ca="1">IF(MAX(IF($C$6="No",ROUNDUP($C$3/$I126,0),ROUNDUP(($C$3+$I126)/$I126,0)),IF($C$6="No",ROUNDUP($C$4/$G126,0),ROUNDUP(($C$4+$G126)/$G126,0)),ROUNDUP('BVMS checklist'!$H$217/$J126,0))&gt;1,'BVMS checklist'!$J$224,'BVMS checklist'!$J$217)+MAX(IF($C$6="No",ROUNDUP($C$3/$I126,0),ROUNDUP(($C$3+$I126)/$I126,0)),IF($C$6="No",ROUNDUP($C$4/$G126,0),ROUNDUP(($C$4+$G126)/$G126,0)))+$C$5</f>
        <v>1</v>
      </c>
      <c r="AQ126" s="400" t="b">
        <f t="shared" ca="1" si="554"/>
        <v>1</v>
      </c>
      <c r="AR126" s="400" t="str">
        <f t="shared" ca="1" si="593"/>
        <v>Accepted</v>
      </c>
      <c r="AS126" s="398" t="str">
        <f t="shared" ca="1" si="579"/>
        <v>No</v>
      </c>
      <c r="AT126" s="398" t="str">
        <f t="shared" ca="1" si="594"/>
        <v/>
      </c>
      <c r="AU126" s="398" t="str">
        <f t="shared" ca="1" si="566"/>
        <v/>
      </c>
      <c r="AV126" s="398">
        <f t="shared" ca="1" si="567"/>
        <v>6</v>
      </c>
      <c r="AW126" s="398">
        <f t="shared" ca="1" si="595"/>
        <v>2</v>
      </c>
      <c r="AX126" s="398">
        <f t="shared" ca="1" si="596"/>
        <v>288</v>
      </c>
      <c r="AY126" s="398">
        <f t="shared" ca="1" si="597"/>
        <v>234612</v>
      </c>
      <c r="AZ126" s="399">
        <f t="shared" si="618"/>
        <v>0</v>
      </c>
      <c r="BA126" s="399">
        <f t="shared" si="619"/>
        <v>0</v>
      </c>
      <c r="BB126" s="483" t="str">
        <f t="shared" ca="1" si="568"/>
        <v/>
      </c>
      <c r="BC126" s="400">
        <f ca="1">IF(MAX(IF($D$6="No",ROUNDUP($D$3/$I126,0),ROUNDUP(($D$3+$I126)/$I126,0)),IF($D$6="No",ROUNDUP($D$4/$G126,0),ROUNDUP(($D$4+$G126)/$G126,0)),ROUNDUP('BVMS checklist'!$H$217/$J126,0))&gt;1,'BVMS checklist'!$L$224,'BVMS checklist'!$L$217)</f>
        <v>0</v>
      </c>
      <c r="BD126" s="398">
        <f t="shared" ca="1" si="569"/>
        <v>2</v>
      </c>
      <c r="BE126" s="400">
        <f t="shared" si="598"/>
        <v>1</v>
      </c>
      <c r="BF126" s="400">
        <f t="shared" si="599"/>
        <v>1575</v>
      </c>
      <c r="BG126" s="400">
        <f t="shared" ca="1" si="580"/>
        <v>0</v>
      </c>
      <c r="BH126" s="398">
        <f t="shared" ca="1" si="600"/>
        <v>234612</v>
      </c>
      <c r="BI126" s="401" t="str">
        <f t="shared" ca="1" si="570"/>
        <v/>
      </c>
      <c r="BJ126" s="398">
        <f t="shared" ca="1" si="601"/>
        <v>768</v>
      </c>
      <c r="BK126" s="400">
        <f ca="1">IF(MAX(IF($D$6="No",ROUNDUP($D$3/$I126,0),ROUNDUP(($D$3+$I126)/$I126,0)),IF($D$6="No",ROUNDUP($D$4/$G126,0),ROUNDUP(($D$4+$G126)/$G126,0)),ROUNDUP('BVMS checklist'!$H$217/$J126,0))&gt;1,'BVMS checklist'!$L$224,'BVMS checklist'!$L$217)+MAX(IF($D$6="No",ROUNDUP($D$3/$I126,0),ROUNDUP(($D$3+$I126)/$I126,0)),IF($D$6="No",ROUNDUP($D$4/$G126,0),ROUNDUP(($D$4+$G126)/$G126,0)))+$D$5</f>
        <v>1</v>
      </c>
      <c r="BL126" s="400" t="b">
        <f t="shared" ca="1" si="555"/>
        <v>1</v>
      </c>
      <c r="BM126" s="400" t="str">
        <f t="shared" ca="1" si="602"/>
        <v>Accepted</v>
      </c>
      <c r="BN126" s="398" t="str">
        <f t="shared" ca="1" si="581"/>
        <v>No</v>
      </c>
      <c r="BO126" s="398" t="str">
        <f t="shared" ca="1" si="603"/>
        <v/>
      </c>
      <c r="BP126" s="398" t="str">
        <f t="shared" ca="1" si="571"/>
        <v/>
      </c>
      <c r="BQ126" s="398">
        <f t="shared" ca="1" si="572"/>
        <v>6</v>
      </c>
      <c r="BR126" s="398">
        <f t="shared" ca="1" si="604"/>
        <v>2</v>
      </c>
      <c r="BS126" s="398">
        <f t="shared" ca="1" si="605"/>
        <v>288</v>
      </c>
      <c r="BT126" s="398">
        <f t="shared" ca="1" si="606"/>
        <v>234612</v>
      </c>
      <c r="BU126" s="399">
        <f t="shared" si="620"/>
        <v>0</v>
      </c>
      <c r="BV126" s="399">
        <f t="shared" si="621"/>
        <v>0</v>
      </c>
      <c r="BW126" s="483" t="str">
        <f t="shared" ca="1" si="573"/>
        <v/>
      </c>
      <c r="BX126" s="400">
        <f ca="1">IF(MAX(IF($E$6="No",ROUNDUP($E$3/$I126,0),ROUNDUP(($E$3+$I126)/$I126,0)),IF($E$6="No",ROUNDUP($E$4/$G126,0),ROUNDUP(($E$4+$G126)/$G126,0)),ROUNDUP('BVMS checklist'!$H$217/$J126,0))&gt;1,'BVMS checklist'!$N$224,'BVMS checklist'!$N$217)</f>
        <v>0</v>
      </c>
      <c r="BY126" s="398">
        <f t="shared" ca="1" si="574"/>
        <v>2</v>
      </c>
      <c r="BZ126" s="400">
        <f t="shared" ca="1" si="607"/>
        <v>2</v>
      </c>
      <c r="CA126" s="400">
        <f t="shared" ca="1" si="608"/>
        <v>3150</v>
      </c>
      <c r="CB126" s="400">
        <f t="shared" ca="1" si="582"/>
        <v>0</v>
      </c>
      <c r="CC126" s="398">
        <f t="shared" ca="1" si="609"/>
        <v>234612</v>
      </c>
      <c r="CD126" s="401" t="str">
        <f t="shared" ca="1" si="575"/>
        <v/>
      </c>
      <c r="CE126" s="398">
        <f t="shared" ca="1" si="610"/>
        <v>768</v>
      </c>
      <c r="CF126" s="400">
        <f ca="1">IF(MAX(IF($E$6="No",ROUNDUP($E$3/$I126,0),ROUNDUP(($E$3+$I126)/$I126,0)),IF($E$6="No",ROUNDUP($E$4/$G126,0),ROUNDUP(($E$4+$G126)/$G126,0)),ROUNDUP('BVMS checklist'!$H$217/$J126,0))&gt;1,'BVMS checklist'!$N$224,'BVMS checklist'!$N$217)+MAX(IF($E$6="No",ROUNDUP($E$3/$I126,0),ROUNDUP(($E$3+$I126)/$I126,0)),IF($E$6="No",ROUNDUP($E$4/$G126,0),ROUNDUP(($E$4+$G126)/$G126,0)))+$E$5</f>
        <v>1</v>
      </c>
      <c r="CG126" s="400" t="b">
        <f t="shared" ca="1" si="556"/>
        <v>1</v>
      </c>
      <c r="CH126" s="400" t="str">
        <f t="shared" ca="1" si="611"/>
        <v>Accepted</v>
      </c>
      <c r="CI126" s="398" t="str">
        <f t="shared" ca="1" si="583"/>
        <v>No</v>
      </c>
      <c r="CJ126" s="398" t="str">
        <f t="shared" ca="1" si="612"/>
        <v/>
      </c>
      <c r="CK126" s="398" t="str">
        <f t="shared" ca="1" si="576"/>
        <v/>
      </c>
      <c r="CL126" s="398">
        <f t="shared" ca="1" si="577"/>
        <v>6</v>
      </c>
      <c r="CM126" s="398">
        <f t="shared" ca="1" si="613"/>
        <v>2</v>
      </c>
      <c r="CN126" s="398">
        <f t="shared" ca="1" si="614"/>
        <v>288</v>
      </c>
      <c r="CO126" s="398">
        <f t="shared" ca="1" si="615"/>
        <v>234612</v>
      </c>
      <c r="CP126" s="399">
        <f t="shared" si="622"/>
        <v>0</v>
      </c>
      <c r="CQ126" s="399">
        <f t="shared" si="623"/>
        <v>0</v>
      </c>
      <c r="CR126" s="483" t="str">
        <f t="shared" ca="1" si="578"/>
        <v/>
      </c>
      <c r="CS126"/>
    </row>
    <row r="127" spans="1:97">
      <c r="A127" s="398" t="s">
        <v>469</v>
      </c>
      <c r="B127" s="398" t="s">
        <v>987</v>
      </c>
      <c r="C127" s="440" t="s">
        <v>891</v>
      </c>
      <c r="D127" s="398">
        <v>4</v>
      </c>
      <c r="E127" s="398"/>
      <c r="F127" s="440">
        <v>0</v>
      </c>
      <c r="G127" s="398">
        <f>IF(C127="RAID5",(((7-F127)*5586))+(3*(((7-F127)*5586))),(((6-F127)*5586))+(3*(((6-F127)*5586))))</f>
        <v>156408</v>
      </c>
      <c r="H127" s="399">
        <v>192</v>
      </c>
      <c r="I127" s="399">
        <v>2125</v>
      </c>
      <c r="J127" s="399">
        <v>512</v>
      </c>
      <c r="K127" s="399"/>
      <c r="L127" s="399"/>
      <c r="M127" s="400">
        <f ca="1">IF(MAX(IF($B$6="No",ROUNDUP($B$3/$I127,0),ROUNDUP(($B$3+$I127)/$I127,0)),IF($B$6="No",ROUNDUP($B$4/$G127,0),ROUNDUP(($B$4+$G127)/$G127,0)),ROUNDUP('BVMS checklist'!$H$217/$J127,0))&gt;1,'BVMS checklist'!$H$224,'BVMS checklist'!$H$217)</f>
        <v>0</v>
      </c>
      <c r="N127" s="398">
        <f t="shared" ca="1" si="557"/>
        <v>2</v>
      </c>
      <c r="O127" s="400">
        <f t="shared" ca="1" si="584"/>
        <v>2</v>
      </c>
      <c r="P127" s="400">
        <f t="shared" ca="1" si="548"/>
        <v>4250</v>
      </c>
      <c r="Q127" s="400">
        <f t="shared" ca="1" si="549"/>
        <v>0</v>
      </c>
      <c r="R127" s="398">
        <f t="shared" ca="1" si="550"/>
        <v>312816</v>
      </c>
      <c r="S127" s="401" t="str">
        <f t="shared" ca="1" si="558"/>
        <v/>
      </c>
      <c r="T127" s="398">
        <f t="shared" ca="1" si="559"/>
        <v>1024</v>
      </c>
      <c r="U127" s="400">
        <f ca="1">IF(MAX(IF($B$6="No",ROUNDUP($B$3/$I127,0),ROUNDUP(($B$3+$I127)/$I127,0)),IF($B$6="No",ROUNDUP($B$4/$G127,0),ROUNDUP(($B$4+$G127)/$G127,0)),ROUNDUP('BVMS checklist'!$H$217/$J127,0))&gt;1,'BVMS checklist'!$H$224,'BVMS checklist'!$H$217)+MAX(IF($B$6="No",ROUNDUP($B$3/$I127,0),ROUNDUP(($B$3+$I127)/$I127,0)),IF($B$6="No",ROUNDUP($B$4/$G127,0),ROUNDUP(($B$4+$G127)/$G127,0)))+$B$5</f>
        <v>1</v>
      </c>
      <c r="V127" s="400" t="b">
        <f t="shared" ca="1" si="551"/>
        <v>1</v>
      </c>
      <c r="W127" s="400" t="str">
        <f t="shared" ca="1" si="585"/>
        <v>Accepted</v>
      </c>
      <c r="X127" s="398" t="str">
        <f t="shared" ca="1" si="560"/>
        <v>No</v>
      </c>
      <c r="Y127" s="398" t="str">
        <f t="shared" ca="1" si="561"/>
        <v/>
      </c>
      <c r="Z127" s="398" t="str">
        <f t="shared" ca="1" si="562"/>
        <v/>
      </c>
      <c r="AA127" s="398">
        <f t="shared" ca="1" si="586"/>
        <v>6</v>
      </c>
      <c r="AB127" s="398">
        <f t="shared" ca="1" si="552"/>
        <v>2</v>
      </c>
      <c r="AC127" s="398">
        <f t="shared" ca="1" si="553"/>
        <v>384</v>
      </c>
      <c r="AD127" s="398">
        <f t="shared" ca="1" si="587"/>
        <v>312816</v>
      </c>
      <c r="AE127" s="399">
        <f t="shared" si="616"/>
        <v>0</v>
      </c>
      <c r="AF127" s="399">
        <f t="shared" si="617"/>
        <v>0</v>
      </c>
      <c r="AG127" s="483" t="str">
        <f t="shared" ca="1" si="563"/>
        <v/>
      </c>
      <c r="AH127" s="400">
        <f ca="1">IF(MAX(IF($C$6="No",ROUNDUP($C$3/$I127,0),ROUNDUP(($C$3+$I127)/$I127,0)),IF($C$6="No",ROUNDUP($C$4/$G127,0),ROUNDUP(($C$4+$G127)/$G127,0)),ROUNDUP('BVMS checklist'!$H$217/$J127,0))&gt;1,'BVMS checklist'!$J$224,'BVMS checklist'!$J$217)</f>
        <v>0</v>
      </c>
      <c r="AI127" s="398">
        <f t="shared" ca="1" si="564"/>
        <v>2</v>
      </c>
      <c r="AJ127" s="400">
        <f t="shared" ca="1" si="588"/>
        <v>2</v>
      </c>
      <c r="AK127" s="400">
        <f t="shared" ca="1" si="589"/>
        <v>4250</v>
      </c>
      <c r="AL127" s="400">
        <f t="shared" ca="1" si="590"/>
        <v>0</v>
      </c>
      <c r="AM127" s="398">
        <f t="shared" ca="1" si="591"/>
        <v>312816</v>
      </c>
      <c r="AN127" s="401" t="str">
        <f t="shared" ca="1" si="565"/>
        <v/>
      </c>
      <c r="AO127" s="398">
        <f t="shared" ca="1" si="592"/>
        <v>1024</v>
      </c>
      <c r="AP127" s="400">
        <f ca="1">IF(MAX(IF($C$6="No",ROUNDUP($C$3/$I127,0),ROUNDUP(($C$3+$I127)/$I127,0)),IF($C$6="No",ROUNDUP($C$4/$G127,0),ROUNDUP(($C$4+$G127)/$G127,0)),ROUNDUP('BVMS checklist'!$H$217/$J127,0))&gt;1,'BVMS checklist'!$J$224,'BVMS checklist'!$J$217)+MAX(IF($C$6="No",ROUNDUP($C$3/$I127,0),ROUNDUP(($C$3+$I127)/$I127,0)),IF($C$6="No",ROUNDUP($C$4/$G127,0),ROUNDUP(($C$4+$G127)/$G127,0)))+$C$5</f>
        <v>1</v>
      </c>
      <c r="AQ127" s="400" t="b">
        <f t="shared" ca="1" si="554"/>
        <v>1</v>
      </c>
      <c r="AR127" s="400" t="str">
        <f t="shared" ca="1" si="593"/>
        <v>Accepted</v>
      </c>
      <c r="AS127" s="398" t="str">
        <f t="shared" ca="1" si="579"/>
        <v>No</v>
      </c>
      <c r="AT127" s="398" t="str">
        <f t="shared" ca="1" si="594"/>
        <v/>
      </c>
      <c r="AU127" s="398" t="str">
        <f t="shared" ca="1" si="566"/>
        <v/>
      </c>
      <c r="AV127" s="398">
        <f t="shared" ca="1" si="567"/>
        <v>6</v>
      </c>
      <c r="AW127" s="398">
        <f t="shared" ca="1" si="595"/>
        <v>2</v>
      </c>
      <c r="AX127" s="398">
        <f t="shared" ca="1" si="596"/>
        <v>384</v>
      </c>
      <c r="AY127" s="398">
        <f t="shared" ca="1" si="597"/>
        <v>312816</v>
      </c>
      <c r="AZ127" s="399">
        <f t="shared" si="618"/>
        <v>0</v>
      </c>
      <c r="BA127" s="399">
        <f t="shared" si="619"/>
        <v>0</v>
      </c>
      <c r="BB127" s="483" t="str">
        <f t="shared" ca="1" si="568"/>
        <v/>
      </c>
      <c r="BC127" s="400">
        <f ca="1">IF(MAX(IF($D$6="No",ROUNDUP($D$3/$I127,0),ROUNDUP(($D$3+$I127)/$I127,0)),IF($D$6="No",ROUNDUP($D$4/$G127,0),ROUNDUP(($D$4+$G127)/$G127,0)),ROUNDUP('BVMS checklist'!$H$217/$J127,0))&gt;1,'BVMS checklist'!$L$224,'BVMS checklist'!$L$217)</f>
        <v>0</v>
      </c>
      <c r="BD127" s="398">
        <f t="shared" ca="1" si="569"/>
        <v>2</v>
      </c>
      <c r="BE127" s="400">
        <f t="shared" si="598"/>
        <v>1</v>
      </c>
      <c r="BF127" s="400">
        <f t="shared" si="599"/>
        <v>2125</v>
      </c>
      <c r="BG127" s="400">
        <f t="shared" ca="1" si="580"/>
        <v>0</v>
      </c>
      <c r="BH127" s="398">
        <f t="shared" ca="1" si="600"/>
        <v>312816</v>
      </c>
      <c r="BI127" s="401" t="str">
        <f t="shared" ca="1" si="570"/>
        <v/>
      </c>
      <c r="BJ127" s="398">
        <f t="shared" ca="1" si="601"/>
        <v>1024</v>
      </c>
      <c r="BK127" s="400">
        <f ca="1">IF(MAX(IF($D$6="No",ROUNDUP($D$3/$I127,0),ROUNDUP(($D$3+$I127)/$I127,0)),IF($D$6="No",ROUNDUP($D$4/$G127,0),ROUNDUP(($D$4+$G127)/$G127,0)),ROUNDUP('BVMS checklist'!$H$217/$J127,0))&gt;1,'BVMS checklist'!$L$224,'BVMS checklist'!$L$217)+MAX(IF($D$6="No",ROUNDUP($D$3/$I127,0),ROUNDUP(($D$3+$I127)/$I127,0)),IF($D$6="No",ROUNDUP($D$4/$G127,0),ROUNDUP(($D$4+$G127)/$G127,0)))+$D$5</f>
        <v>1</v>
      </c>
      <c r="BL127" s="400" t="b">
        <f t="shared" ca="1" si="555"/>
        <v>1</v>
      </c>
      <c r="BM127" s="400" t="str">
        <f t="shared" ca="1" si="602"/>
        <v>Accepted</v>
      </c>
      <c r="BN127" s="398" t="str">
        <f t="shared" ca="1" si="581"/>
        <v>No</v>
      </c>
      <c r="BO127" s="398" t="str">
        <f t="shared" ca="1" si="603"/>
        <v/>
      </c>
      <c r="BP127" s="398" t="str">
        <f t="shared" ca="1" si="571"/>
        <v/>
      </c>
      <c r="BQ127" s="398">
        <f t="shared" ca="1" si="572"/>
        <v>6</v>
      </c>
      <c r="BR127" s="398">
        <f t="shared" ca="1" si="604"/>
        <v>2</v>
      </c>
      <c r="BS127" s="398">
        <f t="shared" ca="1" si="605"/>
        <v>384</v>
      </c>
      <c r="BT127" s="398">
        <f t="shared" ca="1" si="606"/>
        <v>312816</v>
      </c>
      <c r="BU127" s="399">
        <f t="shared" si="620"/>
        <v>0</v>
      </c>
      <c r="BV127" s="399">
        <f t="shared" si="621"/>
        <v>0</v>
      </c>
      <c r="BW127" s="483" t="str">
        <f t="shared" ca="1" si="573"/>
        <v/>
      </c>
      <c r="BX127" s="400">
        <f ca="1">IF(MAX(IF($E$6="No",ROUNDUP($E$3/$I127,0),ROUNDUP(($E$3+$I127)/$I127,0)),IF($E$6="No",ROUNDUP($E$4/$G127,0),ROUNDUP(($E$4+$G127)/$G127,0)),ROUNDUP('BVMS checklist'!$H$217/$J127,0))&gt;1,'BVMS checklist'!$N$224,'BVMS checklist'!$N$217)</f>
        <v>0</v>
      </c>
      <c r="BY127" s="398">
        <f t="shared" ca="1" si="574"/>
        <v>2</v>
      </c>
      <c r="BZ127" s="400">
        <f t="shared" ca="1" si="607"/>
        <v>2</v>
      </c>
      <c r="CA127" s="400">
        <f t="shared" ca="1" si="608"/>
        <v>4250</v>
      </c>
      <c r="CB127" s="400">
        <f t="shared" ca="1" si="582"/>
        <v>0</v>
      </c>
      <c r="CC127" s="398">
        <f t="shared" ca="1" si="609"/>
        <v>312816</v>
      </c>
      <c r="CD127" s="401" t="str">
        <f t="shared" ca="1" si="575"/>
        <v/>
      </c>
      <c r="CE127" s="398">
        <f t="shared" ca="1" si="610"/>
        <v>1024</v>
      </c>
      <c r="CF127" s="400">
        <f ca="1">IF(MAX(IF($E$6="No",ROUNDUP($E$3/$I127,0),ROUNDUP(($E$3+$I127)/$I127,0)),IF($E$6="No",ROUNDUP($E$4/$G127,0),ROUNDUP(($E$4+$G127)/$G127,0)),ROUNDUP('BVMS checklist'!$H$217/$J127,0))&gt;1,'BVMS checklist'!$N$224,'BVMS checklist'!$N$217)+MAX(IF($E$6="No",ROUNDUP($E$3/$I127,0),ROUNDUP(($E$3+$I127)/$I127,0)),IF($E$6="No",ROUNDUP($E$4/$G127,0),ROUNDUP(($E$4+$G127)/$G127,0)))+$E$5</f>
        <v>1</v>
      </c>
      <c r="CG127" s="400" t="b">
        <f t="shared" ca="1" si="556"/>
        <v>1</v>
      </c>
      <c r="CH127" s="400" t="str">
        <f t="shared" ca="1" si="611"/>
        <v>Accepted</v>
      </c>
      <c r="CI127" s="398" t="str">
        <f t="shared" ca="1" si="583"/>
        <v>No</v>
      </c>
      <c r="CJ127" s="398" t="str">
        <f t="shared" ca="1" si="612"/>
        <v/>
      </c>
      <c r="CK127" s="398" t="str">
        <f t="shared" ca="1" si="576"/>
        <v/>
      </c>
      <c r="CL127" s="398">
        <f t="shared" ca="1" si="577"/>
        <v>6</v>
      </c>
      <c r="CM127" s="398">
        <f t="shared" ca="1" si="613"/>
        <v>2</v>
      </c>
      <c r="CN127" s="398">
        <f t="shared" ca="1" si="614"/>
        <v>384</v>
      </c>
      <c r="CO127" s="398">
        <f t="shared" ca="1" si="615"/>
        <v>312816</v>
      </c>
      <c r="CP127" s="399">
        <f t="shared" si="622"/>
        <v>0</v>
      </c>
      <c r="CQ127" s="399">
        <f t="shared" si="623"/>
        <v>0</v>
      </c>
      <c r="CR127" s="483" t="str">
        <f t="shared" ca="1" si="578"/>
        <v/>
      </c>
      <c r="CS127"/>
    </row>
    <row r="128" spans="1:97">
      <c r="A128" s="398" t="s">
        <v>470</v>
      </c>
      <c r="B128" s="398" t="s">
        <v>987</v>
      </c>
      <c r="C128" s="440" t="s">
        <v>891</v>
      </c>
      <c r="D128" s="398">
        <v>5</v>
      </c>
      <c r="E128" s="398"/>
      <c r="F128" s="440">
        <v>0</v>
      </c>
      <c r="G128" s="398">
        <f>IF(C128="RAID5",(((7-F128)*5586))+(4*(((7-F128)*5586))),(((6-F128)*5586))+(4*(((6-F128)*5586))))</f>
        <v>195510</v>
      </c>
      <c r="H128" s="399">
        <v>240</v>
      </c>
      <c r="I128" s="399">
        <v>2675</v>
      </c>
      <c r="J128" s="399">
        <v>640</v>
      </c>
      <c r="K128" s="399"/>
      <c r="L128" s="399"/>
      <c r="M128" s="400">
        <f ca="1">IF(MAX(IF($B$6="No",ROUNDUP($B$3/$I128,0),ROUNDUP(($B$3+$I128)/$I128,0)),IF($B$6="No",ROUNDUP($B$4/$G128,0),ROUNDUP(($B$4+$G128)/$G128,0)),ROUNDUP('BVMS checklist'!$H$217/$J128,0))&gt;1,'BVMS checklist'!$H$224,'BVMS checklist'!$H$217)</f>
        <v>0</v>
      </c>
      <c r="N128" s="398">
        <f t="shared" ca="1" si="557"/>
        <v>2</v>
      </c>
      <c r="O128" s="400">
        <f t="shared" ca="1" si="584"/>
        <v>2</v>
      </c>
      <c r="P128" s="400">
        <f t="shared" ca="1" si="548"/>
        <v>5350</v>
      </c>
      <c r="Q128" s="400">
        <f t="shared" ca="1" si="549"/>
        <v>0</v>
      </c>
      <c r="R128" s="398">
        <f t="shared" ca="1" si="550"/>
        <v>391020</v>
      </c>
      <c r="S128" s="401" t="str">
        <f t="shared" ca="1" si="558"/>
        <v/>
      </c>
      <c r="T128" s="398">
        <f t="shared" ca="1" si="559"/>
        <v>1280</v>
      </c>
      <c r="U128" s="400">
        <f ca="1">IF(MAX(IF($B$6="No",ROUNDUP($B$3/$I128,0),ROUNDUP(($B$3+$I128)/$I128,0)),IF($B$6="No",ROUNDUP($B$4/$G128,0),ROUNDUP(($B$4+$G128)/$G128,0)),ROUNDUP('BVMS checklist'!$H$217/$J128,0))&gt;1,'BVMS checklist'!$H$224,'BVMS checklist'!$H$217)+MAX(IF($B$6="No",ROUNDUP($B$3/$I128,0),ROUNDUP(($B$3+$I128)/$I128,0)),IF($B$6="No",ROUNDUP($B$4/$G128,0),ROUNDUP(($B$4+$G128)/$G128,0)))+$B$5</f>
        <v>1</v>
      </c>
      <c r="V128" s="400" t="b">
        <f t="shared" ca="1" si="551"/>
        <v>1</v>
      </c>
      <c r="W128" s="400" t="str">
        <f t="shared" ca="1" si="585"/>
        <v>Accepted</v>
      </c>
      <c r="X128" s="398" t="str">
        <f t="shared" ca="1" si="560"/>
        <v>No</v>
      </c>
      <c r="Y128" s="398" t="str">
        <f t="shared" ca="1" si="561"/>
        <v/>
      </c>
      <c r="Z128" s="398" t="str">
        <f t="shared" ca="1" si="562"/>
        <v/>
      </c>
      <c r="AA128" s="398">
        <f t="shared" ca="1" si="586"/>
        <v>6</v>
      </c>
      <c r="AB128" s="398">
        <f t="shared" ca="1" si="552"/>
        <v>2</v>
      </c>
      <c r="AC128" s="398">
        <f t="shared" ca="1" si="553"/>
        <v>480</v>
      </c>
      <c r="AD128" s="398">
        <f t="shared" ca="1" si="587"/>
        <v>391020</v>
      </c>
      <c r="AE128" s="399">
        <f t="shared" si="616"/>
        <v>0</v>
      </c>
      <c r="AF128" s="399">
        <f t="shared" si="617"/>
        <v>0</v>
      </c>
      <c r="AG128" s="483" t="str">
        <f t="shared" ca="1" si="563"/>
        <v/>
      </c>
      <c r="AH128" s="400">
        <f ca="1">IF(MAX(IF($C$6="No",ROUNDUP($C$3/$I128,0),ROUNDUP(($C$3+$I128)/$I128,0)),IF($C$6="No",ROUNDUP($C$4/$G128,0),ROUNDUP(($C$4+$G128)/$G128,0)),ROUNDUP('BVMS checklist'!$H$217/$J128,0))&gt;1,'BVMS checklist'!$J$224,'BVMS checklist'!$J$217)</f>
        <v>0</v>
      </c>
      <c r="AI128" s="398">
        <f t="shared" ca="1" si="564"/>
        <v>2</v>
      </c>
      <c r="AJ128" s="400">
        <f t="shared" ca="1" si="588"/>
        <v>2</v>
      </c>
      <c r="AK128" s="400">
        <f t="shared" ca="1" si="589"/>
        <v>5350</v>
      </c>
      <c r="AL128" s="400">
        <f t="shared" ca="1" si="590"/>
        <v>0</v>
      </c>
      <c r="AM128" s="398">
        <f t="shared" ca="1" si="591"/>
        <v>391020</v>
      </c>
      <c r="AN128" s="401" t="str">
        <f t="shared" ca="1" si="565"/>
        <v/>
      </c>
      <c r="AO128" s="398">
        <f t="shared" ca="1" si="592"/>
        <v>1280</v>
      </c>
      <c r="AP128" s="400">
        <f ca="1">IF(MAX(IF($C$6="No",ROUNDUP($C$3/$I128,0),ROUNDUP(($C$3+$I128)/$I128,0)),IF($C$6="No",ROUNDUP($C$4/$G128,0),ROUNDUP(($C$4+$G128)/$G128,0)),ROUNDUP('BVMS checklist'!$H$217/$J128,0))&gt;1,'BVMS checklist'!$J$224,'BVMS checklist'!$J$217)+MAX(IF($C$6="No",ROUNDUP($C$3/$I128,0),ROUNDUP(($C$3+$I128)/$I128,0)),IF($C$6="No",ROUNDUP($C$4/$G128,0),ROUNDUP(($C$4+$G128)/$G128,0)))+$C$5</f>
        <v>1</v>
      </c>
      <c r="AQ128" s="400" t="b">
        <f t="shared" ca="1" si="554"/>
        <v>1</v>
      </c>
      <c r="AR128" s="400" t="str">
        <f t="shared" ca="1" si="593"/>
        <v>Accepted</v>
      </c>
      <c r="AS128" s="398" t="str">
        <f t="shared" ca="1" si="579"/>
        <v>No</v>
      </c>
      <c r="AT128" s="398" t="str">
        <f t="shared" ca="1" si="594"/>
        <v/>
      </c>
      <c r="AU128" s="398" t="str">
        <f t="shared" ca="1" si="566"/>
        <v/>
      </c>
      <c r="AV128" s="398">
        <f t="shared" ca="1" si="567"/>
        <v>6</v>
      </c>
      <c r="AW128" s="398">
        <f t="shared" ca="1" si="595"/>
        <v>2</v>
      </c>
      <c r="AX128" s="398">
        <f t="shared" ca="1" si="596"/>
        <v>480</v>
      </c>
      <c r="AY128" s="398">
        <f t="shared" ca="1" si="597"/>
        <v>391020</v>
      </c>
      <c r="AZ128" s="399">
        <f t="shared" si="618"/>
        <v>0</v>
      </c>
      <c r="BA128" s="399">
        <f t="shared" si="619"/>
        <v>0</v>
      </c>
      <c r="BB128" s="483" t="str">
        <f t="shared" ca="1" si="568"/>
        <v/>
      </c>
      <c r="BC128" s="400">
        <f ca="1">IF(MAX(IF($D$6="No",ROUNDUP($D$3/$I128,0),ROUNDUP(($D$3+$I128)/$I128,0)),IF($D$6="No",ROUNDUP($D$4/$G128,0),ROUNDUP(($D$4+$G128)/$G128,0)),ROUNDUP('BVMS checklist'!$H$217/$J128,0))&gt;1,'BVMS checklist'!$L$224,'BVMS checklist'!$L$217)</f>
        <v>0</v>
      </c>
      <c r="BD128" s="398">
        <f t="shared" ca="1" si="569"/>
        <v>2</v>
      </c>
      <c r="BE128" s="400">
        <f t="shared" si="598"/>
        <v>1</v>
      </c>
      <c r="BF128" s="400">
        <f t="shared" si="599"/>
        <v>2675</v>
      </c>
      <c r="BG128" s="400">
        <f t="shared" ca="1" si="580"/>
        <v>0</v>
      </c>
      <c r="BH128" s="398">
        <f t="shared" ca="1" si="600"/>
        <v>391020</v>
      </c>
      <c r="BI128" s="401" t="str">
        <f t="shared" ca="1" si="570"/>
        <v/>
      </c>
      <c r="BJ128" s="398">
        <f t="shared" ca="1" si="601"/>
        <v>1280</v>
      </c>
      <c r="BK128" s="400">
        <f ca="1">IF(MAX(IF($D$6="No",ROUNDUP($D$3/$I128,0),ROUNDUP(($D$3+$I128)/$I128,0)),IF($D$6="No",ROUNDUP($D$4/$G128,0),ROUNDUP(($D$4+$G128)/$G128,0)),ROUNDUP('BVMS checklist'!$H$217/$J128,0))&gt;1,'BVMS checklist'!$L$224,'BVMS checklist'!$L$217)+MAX(IF($D$6="No",ROUNDUP($D$3/$I128,0),ROUNDUP(($D$3+$I128)/$I128,0)),IF($D$6="No",ROUNDUP($D$4/$G128,0),ROUNDUP(($D$4+$G128)/$G128,0)))+$D$5</f>
        <v>1</v>
      </c>
      <c r="BL128" s="400" t="b">
        <f t="shared" ca="1" si="555"/>
        <v>1</v>
      </c>
      <c r="BM128" s="400" t="str">
        <f t="shared" ca="1" si="602"/>
        <v>Accepted</v>
      </c>
      <c r="BN128" s="398" t="str">
        <f t="shared" ca="1" si="581"/>
        <v>No</v>
      </c>
      <c r="BO128" s="398" t="str">
        <f t="shared" ca="1" si="603"/>
        <v/>
      </c>
      <c r="BP128" s="398" t="str">
        <f t="shared" ca="1" si="571"/>
        <v/>
      </c>
      <c r="BQ128" s="398">
        <f t="shared" ca="1" si="572"/>
        <v>6</v>
      </c>
      <c r="BR128" s="398">
        <f t="shared" ca="1" si="604"/>
        <v>2</v>
      </c>
      <c r="BS128" s="398">
        <f t="shared" ca="1" si="605"/>
        <v>480</v>
      </c>
      <c r="BT128" s="398">
        <f t="shared" ca="1" si="606"/>
        <v>391020</v>
      </c>
      <c r="BU128" s="399">
        <f t="shared" si="620"/>
        <v>0</v>
      </c>
      <c r="BV128" s="399">
        <f t="shared" si="621"/>
        <v>0</v>
      </c>
      <c r="BW128" s="483" t="str">
        <f t="shared" ca="1" si="573"/>
        <v/>
      </c>
      <c r="BX128" s="400">
        <f ca="1">IF(MAX(IF($E$6="No",ROUNDUP($E$3/$I128,0),ROUNDUP(($E$3+$I128)/$I128,0)),IF($E$6="No",ROUNDUP($E$4/$G128,0),ROUNDUP(($E$4+$G128)/$G128,0)),ROUNDUP('BVMS checklist'!$H$217/$J128,0))&gt;1,'BVMS checklist'!$N$224,'BVMS checklist'!$N$217)</f>
        <v>0</v>
      </c>
      <c r="BY128" s="398">
        <f t="shared" ca="1" si="574"/>
        <v>2</v>
      </c>
      <c r="BZ128" s="400">
        <f t="shared" ca="1" si="607"/>
        <v>2</v>
      </c>
      <c r="CA128" s="400">
        <f t="shared" ca="1" si="608"/>
        <v>5350</v>
      </c>
      <c r="CB128" s="400">
        <f t="shared" ca="1" si="582"/>
        <v>0</v>
      </c>
      <c r="CC128" s="398">
        <f t="shared" ca="1" si="609"/>
        <v>391020</v>
      </c>
      <c r="CD128" s="401" t="str">
        <f t="shared" ca="1" si="575"/>
        <v/>
      </c>
      <c r="CE128" s="398">
        <f t="shared" ca="1" si="610"/>
        <v>1280</v>
      </c>
      <c r="CF128" s="400">
        <f ca="1">IF(MAX(IF($E$6="No",ROUNDUP($E$3/$I128,0),ROUNDUP(($E$3+$I128)/$I128,0)),IF($E$6="No",ROUNDUP($E$4/$G128,0),ROUNDUP(($E$4+$G128)/$G128,0)),ROUNDUP('BVMS checklist'!$H$217/$J128,0))&gt;1,'BVMS checklist'!$N$224,'BVMS checklist'!$N$217)+MAX(IF($E$6="No",ROUNDUP($E$3/$I128,0),ROUNDUP(($E$3+$I128)/$I128,0)),IF($E$6="No",ROUNDUP($E$4/$G128,0),ROUNDUP(($E$4+$G128)/$G128,0)))+$E$5</f>
        <v>1</v>
      </c>
      <c r="CG128" s="400" t="b">
        <f t="shared" ca="1" si="556"/>
        <v>1</v>
      </c>
      <c r="CH128" s="400" t="str">
        <f t="shared" ca="1" si="611"/>
        <v>Accepted</v>
      </c>
      <c r="CI128" s="398" t="str">
        <f t="shared" ca="1" si="583"/>
        <v>No</v>
      </c>
      <c r="CJ128" s="398" t="str">
        <f t="shared" ca="1" si="612"/>
        <v/>
      </c>
      <c r="CK128" s="398" t="str">
        <f t="shared" ca="1" si="576"/>
        <v/>
      </c>
      <c r="CL128" s="398">
        <f t="shared" ca="1" si="577"/>
        <v>6</v>
      </c>
      <c r="CM128" s="398">
        <f t="shared" ca="1" si="613"/>
        <v>2</v>
      </c>
      <c r="CN128" s="398">
        <f t="shared" ca="1" si="614"/>
        <v>480</v>
      </c>
      <c r="CO128" s="398">
        <f t="shared" ca="1" si="615"/>
        <v>391020</v>
      </c>
      <c r="CP128" s="399">
        <f t="shared" si="622"/>
        <v>0</v>
      </c>
      <c r="CQ128" s="399">
        <f t="shared" si="623"/>
        <v>0</v>
      </c>
      <c r="CR128" s="483" t="str">
        <f t="shared" ca="1" si="578"/>
        <v/>
      </c>
      <c r="CS128"/>
    </row>
    <row r="129" spans="1:97">
      <c r="A129" s="398" t="s">
        <v>471</v>
      </c>
      <c r="B129" s="398" t="s">
        <v>987</v>
      </c>
      <c r="C129" s="440" t="s">
        <v>891</v>
      </c>
      <c r="D129" s="398">
        <v>2</v>
      </c>
      <c r="E129" s="398"/>
      <c r="F129" s="440">
        <v>0</v>
      </c>
      <c r="G129" s="398">
        <f>IF(C129="RAID5",(((7-F129)*5586))+(1*(((15-F129)*5586))),(((6-F129)*5586))+(1*(((14-F129)*5586))))</f>
        <v>122892</v>
      </c>
      <c r="H129" s="399">
        <v>144</v>
      </c>
      <c r="I129" s="399">
        <v>1025</v>
      </c>
      <c r="J129" s="399">
        <v>256</v>
      </c>
      <c r="K129" s="399"/>
      <c r="L129" s="399"/>
      <c r="M129" s="400">
        <f ca="1">IF(MAX(IF($B$6="No",ROUNDUP($B$3/$I129,0),ROUNDUP(($B$3+$I129)/$I129,0)),IF($B$6="No",ROUNDUP($B$4/$G129,0),ROUNDUP(($B$4+$G129)/$G129,0)),ROUNDUP('BVMS checklist'!$H$217/$J129,0))&gt;1,'BVMS checklist'!$H$224,'BVMS checklist'!$H$217)</f>
        <v>0</v>
      </c>
      <c r="N129" s="398">
        <f t="shared" ca="1" si="557"/>
        <v>2</v>
      </c>
      <c r="O129" s="400">
        <f t="shared" ca="1" si="584"/>
        <v>2</v>
      </c>
      <c r="P129" s="400">
        <f t="shared" ca="1" si="548"/>
        <v>2050</v>
      </c>
      <c r="Q129" s="400">
        <f t="shared" ca="1" si="549"/>
        <v>0</v>
      </c>
      <c r="R129" s="398">
        <f t="shared" ca="1" si="550"/>
        <v>245784</v>
      </c>
      <c r="S129" s="401" t="str">
        <f t="shared" ca="1" si="558"/>
        <v/>
      </c>
      <c r="T129" s="398">
        <f t="shared" ca="1" si="559"/>
        <v>512</v>
      </c>
      <c r="U129" s="400">
        <f ca="1">IF(MAX(IF($B$6="No",ROUNDUP($B$3/$I129,0),ROUNDUP(($B$3+$I129)/$I129,0)),IF($B$6="No",ROUNDUP($B$4/$G129,0),ROUNDUP(($B$4+$G129)/$G129,0)),ROUNDUP('BVMS checklist'!$H$217/$J129,0))&gt;1,'BVMS checklist'!$H$224,'BVMS checklist'!$H$217)+MAX(IF($B$6="No",ROUNDUP($B$3/$I129,0),ROUNDUP(($B$3+$I129)/$I129,0)),IF($B$6="No",ROUNDUP($B$4/$G129,0),ROUNDUP(($B$4+$G129)/$G129,0)))+$B$5</f>
        <v>1</v>
      </c>
      <c r="V129" s="400" t="b">
        <f t="shared" ca="1" si="551"/>
        <v>1</v>
      </c>
      <c r="W129" s="400" t="str">
        <f t="shared" ca="1" si="585"/>
        <v>Accepted</v>
      </c>
      <c r="X129" s="398" t="str">
        <f t="shared" ca="1" si="560"/>
        <v>No</v>
      </c>
      <c r="Y129" s="398" t="str">
        <f t="shared" ca="1" si="561"/>
        <v/>
      </c>
      <c r="Z129" s="398" t="str">
        <f t="shared" ca="1" si="562"/>
        <v/>
      </c>
      <c r="AA129" s="398">
        <f t="shared" ca="1" si="586"/>
        <v>6</v>
      </c>
      <c r="AB129" s="398">
        <f t="shared" ca="1" si="552"/>
        <v>2</v>
      </c>
      <c r="AC129" s="398">
        <f t="shared" ca="1" si="553"/>
        <v>288</v>
      </c>
      <c r="AD129" s="398">
        <f t="shared" ca="1" si="587"/>
        <v>245784</v>
      </c>
      <c r="AE129" s="399">
        <f t="shared" si="616"/>
        <v>0</v>
      </c>
      <c r="AF129" s="399">
        <f t="shared" si="617"/>
        <v>0</v>
      </c>
      <c r="AG129" s="483" t="str">
        <f t="shared" ca="1" si="563"/>
        <v/>
      </c>
      <c r="AH129" s="400">
        <f ca="1">IF(MAX(IF($C$6="No",ROUNDUP($C$3/$I129,0),ROUNDUP(($C$3+$I129)/$I129,0)),IF($C$6="No",ROUNDUP($C$4/$G129,0),ROUNDUP(($C$4+$G129)/$G129,0)),ROUNDUP('BVMS checklist'!$H$217/$J129,0))&gt;1,'BVMS checklist'!$J$224,'BVMS checklist'!$J$217)</f>
        <v>0</v>
      </c>
      <c r="AI129" s="398">
        <f t="shared" ca="1" si="564"/>
        <v>2</v>
      </c>
      <c r="AJ129" s="400">
        <f t="shared" ca="1" si="588"/>
        <v>2</v>
      </c>
      <c r="AK129" s="400">
        <f t="shared" ca="1" si="589"/>
        <v>2050</v>
      </c>
      <c r="AL129" s="400">
        <f t="shared" ca="1" si="590"/>
        <v>0</v>
      </c>
      <c r="AM129" s="398">
        <f t="shared" ca="1" si="591"/>
        <v>245784</v>
      </c>
      <c r="AN129" s="401" t="str">
        <f t="shared" ca="1" si="565"/>
        <v/>
      </c>
      <c r="AO129" s="398">
        <f t="shared" ca="1" si="592"/>
        <v>512</v>
      </c>
      <c r="AP129" s="400">
        <f ca="1">IF(MAX(IF($C$6="No",ROUNDUP($C$3/$I129,0),ROUNDUP(($C$3+$I129)/$I129,0)),IF($C$6="No",ROUNDUP($C$4/$G129,0),ROUNDUP(($C$4+$G129)/$G129,0)),ROUNDUP('BVMS checklist'!$H$217/$J129,0))&gt;1,'BVMS checklist'!$J$224,'BVMS checklist'!$J$217)+MAX(IF($C$6="No",ROUNDUP($C$3/$I129,0),ROUNDUP(($C$3+$I129)/$I129,0)),IF($C$6="No",ROUNDUP($C$4/$G129,0),ROUNDUP(($C$4+$G129)/$G129,0)))+$C$5</f>
        <v>1</v>
      </c>
      <c r="AQ129" s="400" t="b">
        <f t="shared" ca="1" si="554"/>
        <v>1</v>
      </c>
      <c r="AR129" s="400" t="str">
        <f t="shared" ca="1" si="593"/>
        <v>Accepted</v>
      </c>
      <c r="AS129" s="398" t="str">
        <f t="shared" ca="1" si="579"/>
        <v>No</v>
      </c>
      <c r="AT129" s="398" t="str">
        <f t="shared" ca="1" si="594"/>
        <v/>
      </c>
      <c r="AU129" s="398" t="str">
        <f t="shared" ca="1" si="566"/>
        <v/>
      </c>
      <c r="AV129" s="398">
        <f t="shared" ca="1" si="567"/>
        <v>6</v>
      </c>
      <c r="AW129" s="398">
        <f t="shared" ca="1" si="595"/>
        <v>2</v>
      </c>
      <c r="AX129" s="398">
        <f t="shared" ca="1" si="596"/>
        <v>288</v>
      </c>
      <c r="AY129" s="398">
        <f t="shared" ca="1" si="597"/>
        <v>245784</v>
      </c>
      <c r="AZ129" s="399">
        <f t="shared" si="618"/>
        <v>0</v>
      </c>
      <c r="BA129" s="399">
        <f t="shared" si="619"/>
        <v>0</v>
      </c>
      <c r="BB129" s="483" t="str">
        <f t="shared" ca="1" si="568"/>
        <v/>
      </c>
      <c r="BC129" s="400">
        <f ca="1">IF(MAX(IF($D$6="No",ROUNDUP($D$3/$I129,0),ROUNDUP(($D$3+$I129)/$I129,0)),IF($D$6="No",ROUNDUP($D$4/$G129,0),ROUNDUP(($D$4+$G129)/$G129,0)),ROUNDUP('BVMS checklist'!$H$217/$J129,0))&gt;1,'BVMS checklist'!$L$224,'BVMS checklist'!$L$217)</f>
        <v>0</v>
      </c>
      <c r="BD129" s="398">
        <f t="shared" ca="1" si="569"/>
        <v>2</v>
      </c>
      <c r="BE129" s="400">
        <f t="shared" si="598"/>
        <v>1</v>
      </c>
      <c r="BF129" s="400">
        <f t="shared" si="599"/>
        <v>1025</v>
      </c>
      <c r="BG129" s="400">
        <f t="shared" ca="1" si="580"/>
        <v>0</v>
      </c>
      <c r="BH129" s="398">
        <f t="shared" ca="1" si="600"/>
        <v>245784</v>
      </c>
      <c r="BI129" s="401" t="str">
        <f t="shared" ca="1" si="570"/>
        <v/>
      </c>
      <c r="BJ129" s="398">
        <f t="shared" ca="1" si="601"/>
        <v>512</v>
      </c>
      <c r="BK129" s="400">
        <f ca="1">IF(MAX(IF($D$6="No",ROUNDUP($D$3/$I129,0),ROUNDUP(($D$3+$I129)/$I129,0)),IF($D$6="No",ROUNDUP($D$4/$G129,0),ROUNDUP(($D$4+$G129)/$G129,0)),ROUNDUP('BVMS checklist'!$H$217/$J129,0))&gt;1,'BVMS checklist'!$L$224,'BVMS checklist'!$L$217)+MAX(IF($D$6="No",ROUNDUP($D$3/$I129,0),ROUNDUP(($D$3+$I129)/$I129,0)),IF($D$6="No",ROUNDUP($D$4/$G129,0),ROUNDUP(($D$4+$G129)/$G129,0)))+$D$5</f>
        <v>1</v>
      </c>
      <c r="BL129" s="400" t="b">
        <f t="shared" ca="1" si="555"/>
        <v>1</v>
      </c>
      <c r="BM129" s="400" t="str">
        <f t="shared" ca="1" si="602"/>
        <v>Accepted</v>
      </c>
      <c r="BN129" s="398" t="str">
        <f t="shared" ca="1" si="581"/>
        <v>No</v>
      </c>
      <c r="BO129" s="398" t="str">
        <f t="shared" ca="1" si="603"/>
        <v/>
      </c>
      <c r="BP129" s="398" t="str">
        <f t="shared" ca="1" si="571"/>
        <v/>
      </c>
      <c r="BQ129" s="398">
        <f t="shared" ca="1" si="572"/>
        <v>6</v>
      </c>
      <c r="BR129" s="398">
        <f t="shared" ca="1" si="604"/>
        <v>2</v>
      </c>
      <c r="BS129" s="398">
        <f t="shared" ca="1" si="605"/>
        <v>288</v>
      </c>
      <c r="BT129" s="398">
        <f t="shared" ca="1" si="606"/>
        <v>245784</v>
      </c>
      <c r="BU129" s="399">
        <f t="shared" si="620"/>
        <v>0</v>
      </c>
      <c r="BV129" s="399">
        <f t="shared" si="621"/>
        <v>0</v>
      </c>
      <c r="BW129" s="483" t="str">
        <f t="shared" ca="1" si="573"/>
        <v/>
      </c>
      <c r="BX129" s="400">
        <f ca="1">IF(MAX(IF($E$6="No",ROUNDUP($E$3/$I129,0),ROUNDUP(($E$3+$I129)/$I129,0)),IF($E$6="No",ROUNDUP($E$4/$G129,0),ROUNDUP(($E$4+$G129)/$G129,0)),ROUNDUP('BVMS checklist'!$H$217/$J129,0))&gt;1,'BVMS checklist'!$N$224,'BVMS checklist'!$N$217)</f>
        <v>0</v>
      </c>
      <c r="BY129" s="398">
        <f t="shared" ca="1" si="574"/>
        <v>2</v>
      </c>
      <c r="BZ129" s="400">
        <f t="shared" ca="1" si="607"/>
        <v>2</v>
      </c>
      <c r="CA129" s="400">
        <f t="shared" ca="1" si="608"/>
        <v>2050</v>
      </c>
      <c r="CB129" s="400">
        <f t="shared" ca="1" si="582"/>
        <v>0</v>
      </c>
      <c r="CC129" s="398">
        <f t="shared" ca="1" si="609"/>
        <v>245784</v>
      </c>
      <c r="CD129" s="401" t="str">
        <f t="shared" ca="1" si="575"/>
        <v/>
      </c>
      <c r="CE129" s="398">
        <f t="shared" ca="1" si="610"/>
        <v>512</v>
      </c>
      <c r="CF129" s="400">
        <f ca="1">IF(MAX(IF($E$6="No",ROUNDUP($E$3/$I129,0),ROUNDUP(($E$3+$I129)/$I129,0)),IF($E$6="No",ROUNDUP($E$4/$G129,0),ROUNDUP(($E$4+$G129)/$G129,0)),ROUNDUP('BVMS checklist'!$H$217/$J129,0))&gt;1,'BVMS checklist'!$N$224,'BVMS checklist'!$N$217)+MAX(IF($E$6="No",ROUNDUP($E$3/$I129,0),ROUNDUP(($E$3+$I129)/$I129,0)),IF($E$6="No",ROUNDUP($E$4/$G129,0),ROUNDUP(($E$4+$G129)/$G129,0)))+$E$5</f>
        <v>1</v>
      </c>
      <c r="CG129" s="400" t="b">
        <f t="shared" ca="1" si="556"/>
        <v>1</v>
      </c>
      <c r="CH129" s="400" t="str">
        <f t="shared" ca="1" si="611"/>
        <v>Accepted</v>
      </c>
      <c r="CI129" s="398" t="str">
        <f t="shared" ca="1" si="583"/>
        <v>No</v>
      </c>
      <c r="CJ129" s="398" t="str">
        <f t="shared" ca="1" si="612"/>
        <v/>
      </c>
      <c r="CK129" s="398" t="str">
        <f t="shared" ca="1" si="576"/>
        <v/>
      </c>
      <c r="CL129" s="398">
        <f t="shared" ca="1" si="577"/>
        <v>6</v>
      </c>
      <c r="CM129" s="398">
        <f t="shared" ca="1" si="613"/>
        <v>2</v>
      </c>
      <c r="CN129" s="398">
        <f t="shared" ca="1" si="614"/>
        <v>288</v>
      </c>
      <c r="CO129" s="398">
        <f t="shared" ca="1" si="615"/>
        <v>245784</v>
      </c>
      <c r="CP129" s="399">
        <f t="shared" si="622"/>
        <v>0</v>
      </c>
      <c r="CQ129" s="399">
        <f t="shared" si="623"/>
        <v>0</v>
      </c>
      <c r="CR129" s="483" t="str">
        <f t="shared" ca="1" si="578"/>
        <v/>
      </c>
      <c r="CS129"/>
    </row>
    <row r="130" spans="1:97">
      <c r="A130" s="398" t="s">
        <v>472</v>
      </c>
      <c r="B130" s="398" t="s">
        <v>987</v>
      </c>
      <c r="C130" s="440" t="s">
        <v>891</v>
      </c>
      <c r="D130" s="398">
        <v>3</v>
      </c>
      <c r="E130" s="398"/>
      <c r="F130" s="440">
        <v>0</v>
      </c>
      <c r="G130" s="398">
        <f>IF(C130="RAID5",(((7-F130)*5586))+(2*(((15-F130)*5586))),(((6-F130)*5586))+(2*(((14-F130)*5586))))</f>
        <v>206682</v>
      </c>
      <c r="H130" s="399">
        <v>240</v>
      </c>
      <c r="I130" s="399">
        <v>1575</v>
      </c>
      <c r="J130" s="399">
        <v>384</v>
      </c>
      <c r="K130" s="399"/>
      <c r="L130" s="399"/>
      <c r="M130" s="400">
        <f ca="1">IF(MAX(IF($B$6="No",ROUNDUP($B$3/$I130,0),ROUNDUP(($B$3+$I130)/$I130,0)),IF($B$6="No",ROUNDUP($B$4/$G130,0),ROUNDUP(($B$4+$G130)/$G130,0)),ROUNDUP('BVMS checklist'!$H$217/$J130,0))&gt;1,'BVMS checklist'!$H$224,'BVMS checklist'!$H$217)</f>
        <v>0</v>
      </c>
      <c r="N130" s="398">
        <f t="shared" ca="1" si="557"/>
        <v>2</v>
      </c>
      <c r="O130" s="400">
        <f t="shared" ca="1" si="584"/>
        <v>2</v>
      </c>
      <c r="P130" s="400">
        <f t="shared" ca="1" si="548"/>
        <v>3150</v>
      </c>
      <c r="Q130" s="400">
        <f t="shared" ca="1" si="549"/>
        <v>0</v>
      </c>
      <c r="R130" s="398">
        <f t="shared" ca="1" si="550"/>
        <v>413364</v>
      </c>
      <c r="S130" s="401" t="str">
        <f t="shared" ca="1" si="558"/>
        <v/>
      </c>
      <c r="T130" s="398">
        <f t="shared" ca="1" si="559"/>
        <v>768</v>
      </c>
      <c r="U130" s="400">
        <f ca="1">IF(MAX(IF($B$6="No",ROUNDUP($B$3/$I130,0),ROUNDUP(($B$3+$I130)/$I130,0)),IF($B$6="No",ROUNDUP($B$4/$G130,0),ROUNDUP(($B$4+$G130)/$G130,0)),ROUNDUP('BVMS checklist'!$H$217/$J130,0))&gt;1,'BVMS checklist'!$H$224,'BVMS checklist'!$H$217)+MAX(IF($B$6="No",ROUNDUP($B$3/$I130,0),ROUNDUP(($B$3+$I130)/$I130,0)),IF($B$6="No",ROUNDUP($B$4/$G130,0),ROUNDUP(($B$4+$G130)/$G130,0)))+$B$5</f>
        <v>1</v>
      </c>
      <c r="V130" s="400" t="b">
        <f t="shared" ca="1" si="551"/>
        <v>1</v>
      </c>
      <c r="W130" s="400" t="str">
        <f t="shared" ca="1" si="585"/>
        <v>Accepted</v>
      </c>
      <c r="X130" s="398" t="str">
        <f t="shared" ca="1" si="560"/>
        <v>No</v>
      </c>
      <c r="Y130" s="398" t="str">
        <f t="shared" ca="1" si="561"/>
        <v/>
      </c>
      <c r="Z130" s="398" t="str">
        <f t="shared" ca="1" si="562"/>
        <v/>
      </c>
      <c r="AA130" s="398">
        <f t="shared" ca="1" si="586"/>
        <v>6</v>
      </c>
      <c r="AB130" s="398">
        <f t="shared" ca="1" si="552"/>
        <v>2</v>
      </c>
      <c r="AC130" s="398">
        <f t="shared" ca="1" si="553"/>
        <v>480</v>
      </c>
      <c r="AD130" s="398">
        <f t="shared" ca="1" si="587"/>
        <v>413364</v>
      </c>
      <c r="AE130" s="399">
        <f t="shared" si="616"/>
        <v>0</v>
      </c>
      <c r="AF130" s="399">
        <f t="shared" si="617"/>
        <v>0</v>
      </c>
      <c r="AG130" s="483" t="str">
        <f t="shared" ca="1" si="563"/>
        <v/>
      </c>
      <c r="AH130" s="400">
        <f ca="1">IF(MAX(IF($C$6="No",ROUNDUP($C$3/$I130,0),ROUNDUP(($C$3+$I130)/$I130,0)),IF($C$6="No",ROUNDUP($C$4/$G130,0),ROUNDUP(($C$4+$G130)/$G130,0)),ROUNDUP('BVMS checklist'!$H$217/$J130,0))&gt;1,'BVMS checklist'!$J$224,'BVMS checklist'!$J$217)</f>
        <v>0</v>
      </c>
      <c r="AI130" s="398">
        <f t="shared" ca="1" si="564"/>
        <v>2</v>
      </c>
      <c r="AJ130" s="400">
        <f t="shared" ca="1" si="588"/>
        <v>2</v>
      </c>
      <c r="AK130" s="400">
        <f t="shared" ca="1" si="589"/>
        <v>3150</v>
      </c>
      <c r="AL130" s="400">
        <f t="shared" ca="1" si="590"/>
        <v>0</v>
      </c>
      <c r="AM130" s="398">
        <f t="shared" ca="1" si="591"/>
        <v>413364</v>
      </c>
      <c r="AN130" s="401" t="str">
        <f t="shared" ca="1" si="565"/>
        <v/>
      </c>
      <c r="AO130" s="398">
        <f t="shared" ca="1" si="592"/>
        <v>768</v>
      </c>
      <c r="AP130" s="400">
        <f ca="1">IF(MAX(IF($C$6="No",ROUNDUP($C$3/$I130,0),ROUNDUP(($C$3+$I130)/$I130,0)),IF($C$6="No",ROUNDUP($C$4/$G130,0),ROUNDUP(($C$4+$G130)/$G130,0)),ROUNDUP('BVMS checklist'!$H$217/$J130,0))&gt;1,'BVMS checklist'!$J$224,'BVMS checklist'!$J$217)+MAX(IF($C$6="No",ROUNDUP($C$3/$I130,0),ROUNDUP(($C$3+$I130)/$I130,0)),IF($C$6="No",ROUNDUP($C$4/$G130,0),ROUNDUP(($C$4+$G130)/$G130,0)))+$C$5</f>
        <v>1</v>
      </c>
      <c r="AQ130" s="400" t="b">
        <f t="shared" ca="1" si="554"/>
        <v>1</v>
      </c>
      <c r="AR130" s="400" t="str">
        <f t="shared" ca="1" si="593"/>
        <v>Accepted</v>
      </c>
      <c r="AS130" s="398" t="str">
        <f t="shared" ca="1" si="579"/>
        <v>No</v>
      </c>
      <c r="AT130" s="398" t="str">
        <f t="shared" ca="1" si="594"/>
        <v/>
      </c>
      <c r="AU130" s="398" t="str">
        <f t="shared" ca="1" si="566"/>
        <v/>
      </c>
      <c r="AV130" s="398">
        <f t="shared" ca="1" si="567"/>
        <v>6</v>
      </c>
      <c r="AW130" s="398">
        <f t="shared" ca="1" si="595"/>
        <v>2</v>
      </c>
      <c r="AX130" s="398">
        <f t="shared" ca="1" si="596"/>
        <v>480</v>
      </c>
      <c r="AY130" s="398">
        <f t="shared" ca="1" si="597"/>
        <v>413364</v>
      </c>
      <c r="AZ130" s="399">
        <f t="shared" si="618"/>
        <v>0</v>
      </c>
      <c r="BA130" s="399">
        <f t="shared" si="619"/>
        <v>0</v>
      </c>
      <c r="BB130" s="483" t="str">
        <f t="shared" ca="1" si="568"/>
        <v/>
      </c>
      <c r="BC130" s="400">
        <f ca="1">IF(MAX(IF($D$6="No",ROUNDUP($D$3/$I130,0),ROUNDUP(($D$3+$I130)/$I130,0)),IF($D$6="No",ROUNDUP($D$4/$G130,0),ROUNDUP(($D$4+$G130)/$G130,0)),ROUNDUP('BVMS checklist'!$H$217/$J130,0))&gt;1,'BVMS checklist'!$L$224,'BVMS checklist'!$L$217)</f>
        <v>0</v>
      </c>
      <c r="BD130" s="398">
        <f t="shared" ca="1" si="569"/>
        <v>2</v>
      </c>
      <c r="BE130" s="400">
        <f t="shared" si="598"/>
        <v>1</v>
      </c>
      <c r="BF130" s="400">
        <f t="shared" si="599"/>
        <v>1575</v>
      </c>
      <c r="BG130" s="400">
        <f t="shared" ca="1" si="580"/>
        <v>0</v>
      </c>
      <c r="BH130" s="398">
        <f t="shared" ca="1" si="600"/>
        <v>413364</v>
      </c>
      <c r="BI130" s="401" t="str">
        <f t="shared" ca="1" si="570"/>
        <v/>
      </c>
      <c r="BJ130" s="398">
        <f t="shared" ca="1" si="601"/>
        <v>768</v>
      </c>
      <c r="BK130" s="400">
        <f ca="1">IF(MAX(IF($D$6="No",ROUNDUP($D$3/$I130,0),ROUNDUP(($D$3+$I130)/$I130,0)),IF($D$6="No",ROUNDUP($D$4/$G130,0),ROUNDUP(($D$4+$G130)/$G130,0)),ROUNDUP('BVMS checklist'!$H$217/$J130,0))&gt;1,'BVMS checklist'!$L$224,'BVMS checklist'!$L$217)+MAX(IF($D$6="No",ROUNDUP($D$3/$I130,0),ROUNDUP(($D$3+$I130)/$I130,0)),IF($D$6="No",ROUNDUP($D$4/$G130,0),ROUNDUP(($D$4+$G130)/$G130,0)))+$D$5</f>
        <v>1</v>
      </c>
      <c r="BL130" s="400" t="b">
        <f t="shared" ca="1" si="555"/>
        <v>1</v>
      </c>
      <c r="BM130" s="400" t="str">
        <f t="shared" ca="1" si="602"/>
        <v>Accepted</v>
      </c>
      <c r="BN130" s="398" t="str">
        <f t="shared" ca="1" si="581"/>
        <v>No</v>
      </c>
      <c r="BO130" s="398" t="str">
        <f t="shared" ca="1" si="603"/>
        <v/>
      </c>
      <c r="BP130" s="398" t="str">
        <f t="shared" ca="1" si="571"/>
        <v/>
      </c>
      <c r="BQ130" s="398">
        <f t="shared" ca="1" si="572"/>
        <v>6</v>
      </c>
      <c r="BR130" s="398">
        <f t="shared" ca="1" si="604"/>
        <v>2</v>
      </c>
      <c r="BS130" s="398">
        <f t="shared" ca="1" si="605"/>
        <v>480</v>
      </c>
      <c r="BT130" s="398">
        <f t="shared" ca="1" si="606"/>
        <v>413364</v>
      </c>
      <c r="BU130" s="399">
        <f t="shared" si="620"/>
        <v>0</v>
      </c>
      <c r="BV130" s="399">
        <f t="shared" si="621"/>
        <v>0</v>
      </c>
      <c r="BW130" s="483" t="str">
        <f t="shared" ca="1" si="573"/>
        <v/>
      </c>
      <c r="BX130" s="400">
        <f ca="1">IF(MAX(IF($E$6="No",ROUNDUP($E$3/$I130,0),ROUNDUP(($E$3+$I130)/$I130,0)),IF($E$6="No",ROUNDUP($E$4/$G130,0),ROUNDUP(($E$4+$G130)/$G130,0)),ROUNDUP('BVMS checklist'!$H$217/$J130,0))&gt;1,'BVMS checklist'!$N$224,'BVMS checklist'!$N$217)</f>
        <v>0</v>
      </c>
      <c r="BY130" s="398">
        <f t="shared" ca="1" si="574"/>
        <v>2</v>
      </c>
      <c r="BZ130" s="400">
        <f t="shared" ca="1" si="607"/>
        <v>2</v>
      </c>
      <c r="CA130" s="400">
        <f t="shared" ca="1" si="608"/>
        <v>3150</v>
      </c>
      <c r="CB130" s="400">
        <f t="shared" ca="1" si="582"/>
        <v>0</v>
      </c>
      <c r="CC130" s="398">
        <f t="shared" ca="1" si="609"/>
        <v>413364</v>
      </c>
      <c r="CD130" s="401" t="str">
        <f t="shared" ca="1" si="575"/>
        <v/>
      </c>
      <c r="CE130" s="398">
        <f t="shared" ca="1" si="610"/>
        <v>768</v>
      </c>
      <c r="CF130" s="400">
        <f ca="1">IF(MAX(IF($E$6="No",ROUNDUP($E$3/$I130,0),ROUNDUP(($E$3+$I130)/$I130,0)),IF($E$6="No",ROUNDUP($E$4/$G130,0),ROUNDUP(($E$4+$G130)/$G130,0)),ROUNDUP('BVMS checklist'!$H$217/$J130,0))&gt;1,'BVMS checklist'!$N$224,'BVMS checklist'!$N$217)+MAX(IF($E$6="No",ROUNDUP($E$3/$I130,0),ROUNDUP(($E$3+$I130)/$I130,0)),IF($E$6="No",ROUNDUP($E$4/$G130,0),ROUNDUP(($E$4+$G130)/$G130,0)))+$E$5</f>
        <v>1</v>
      </c>
      <c r="CG130" s="400" t="b">
        <f t="shared" ca="1" si="556"/>
        <v>1</v>
      </c>
      <c r="CH130" s="400" t="str">
        <f t="shared" ca="1" si="611"/>
        <v>Accepted</v>
      </c>
      <c r="CI130" s="398" t="str">
        <f t="shared" ca="1" si="583"/>
        <v>No</v>
      </c>
      <c r="CJ130" s="398" t="str">
        <f t="shared" ca="1" si="612"/>
        <v/>
      </c>
      <c r="CK130" s="398" t="str">
        <f t="shared" ca="1" si="576"/>
        <v/>
      </c>
      <c r="CL130" s="398">
        <f t="shared" ca="1" si="577"/>
        <v>6</v>
      </c>
      <c r="CM130" s="398">
        <f t="shared" ca="1" si="613"/>
        <v>2</v>
      </c>
      <c r="CN130" s="398">
        <f t="shared" ca="1" si="614"/>
        <v>480</v>
      </c>
      <c r="CO130" s="398">
        <f t="shared" ca="1" si="615"/>
        <v>413364</v>
      </c>
      <c r="CP130" s="399">
        <f t="shared" si="622"/>
        <v>0</v>
      </c>
      <c r="CQ130" s="399">
        <f t="shared" si="623"/>
        <v>0</v>
      </c>
      <c r="CR130" s="483" t="str">
        <f t="shared" ca="1" si="578"/>
        <v/>
      </c>
      <c r="CS130"/>
    </row>
    <row r="131" spans="1:97">
      <c r="A131" s="398" t="s">
        <v>473</v>
      </c>
      <c r="B131" s="398" t="s">
        <v>987</v>
      </c>
      <c r="C131" s="440" t="s">
        <v>891</v>
      </c>
      <c r="D131" s="398">
        <v>4</v>
      </c>
      <c r="E131" s="398"/>
      <c r="F131" s="440">
        <v>0</v>
      </c>
      <c r="G131" s="398">
        <f>IF(C131="RAID5",(((7-F131)*5586))+(3*(((15-F131)*5586))),(((6-F131)*5586))+(3*(((14-F131)*5586))))</f>
        <v>290472</v>
      </c>
      <c r="H131" s="399">
        <v>336</v>
      </c>
      <c r="I131" s="399">
        <v>2125</v>
      </c>
      <c r="J131" s="399">
        <v>512</v>
      </c>
      <c r="K131" s="399"/>
      <c r="L131" s="399"/>
      <c r="M131" s="400">
        <f ca="1">IF(MAX(IF($B$6="No",ROUNDUP($B$3/$I131,0),ROUNDUP(($B$3+$I131)/$I131,0)),IF($B$6="No",ROUNDUP($B$4/$G131,0),ROUNDUP(($B$4+$G131)/$G131,0)),ROUNDUP('BVMS checklist'!$H$217/$J131,0))&gt;1,'BVMS checklist'!$H$224,'BVMS checklist'!$H$217)</f>
        <v>0</v>
      </c>
      <c r="N131" s="398">
        <f t="shared" ca="1" si="557"/>
        <v>2</v>
      </c>
      <c r="O131" s="400">
        <f t="shared" ca="1" si="584"/>
        <v>2</v>
      </c>
      <c r="P131" s="400">
        <f t="shared" ca="1" si="548"/>
        <v>4250</v>
      </c>
      <c r="Q131" s="400">
        <f t="shared" ca="1" si="549"/>
        <v>0</v>
      </c>
      <c r="R131" s="398">
        <f t="shared" ca="1" si="550"/>
        <v>580944</v>
      </c>
      <c r="S131" s="401" t="str">
        <f t="shared" ca="1" si="558"/>
        <v/>
      </c>
      <c r="T131" s="398">
        <f t="shared" ca="1" si="559"/>
        <v>1024</v>
      </c>
      <c r="U131" s="400">
        <f ca="1">IF(MAX(IF($B$6="No",ROUNDUP($B$3/$I131,0),ROUNDUP(($B$3+$I131)/$I131,0)),IF($B$6="No",ROUNDUP($B$4/$G131,0),ROUNDUP(($B$4+$G131)/$G131,0)),ROUNDUP('BVMS checklist'!$H$217/$J131,0))&gt;1,'BVMS checklist'!$H$224,'BVMS checklist'!$H$217)+MAX(IF($B$6="No",ROUNDUP($B$3/$I131,0),ROUNDUP(($B$3+$I131)/$I131,0)),IF($B$6="No",ROUNDUP($B$4/$G131,0),ROUNDUP(($B$4+$G131)/$G131,0)))+$B$5</f>
        <v>1</v>
      </c>
      <c r="V131" s="400" t="b">
        <f t="shared" ca="1" si="551"/>
        <v>1</v>
      </c>
      <c r="W131" s="400" t="str">
        <f t="shared" ca="1" si="585"/>
        <v>Accepted</v>
      </c>
      <c r="X131" s="398" t="str">
        <f t="shared" ca="1" si="560"/>
        <v>No</v>
      </c>
      <c r="Y131" s="398" t="str">
        <f t="shared" ca="1" si="561"/>
        <v/>
      </c>
      <c r="Z131" s="398" t="str">
        <f t="shared" ca="1" si="562"/>
        <v/>
      </c>
      <c r="AA131" s="398">
        <f t="shared" ca="1" si="586"/>
        <v>6</v>
      </c>
      <c r="AB131" s="398">
        <f t="shared" ca="1" si="552"/>
        <v>2</v>
      </c>
      <c r="AC131" s="398">
        <f t="shared" ca="1" si="553"/>
        <v>672</v>
      </c>
      <c r="AD131" s="398">
        <f t="shared" ca="1" si="587"/>
        <v>580944</v>
      </c>
      <c r="AE131" s="399">
        <f t="shared" si="616"/>
        <v>0</v>
      </c>
      <c r="AF131" s="399">
        <f t="shared" si="617"/>
        <v>0</v>
      </c>
      <c r="AG131" s="483" t="str">
        <f t="shared" ca="1" si="563"/>
        <v/>
      </c>
      <c r="AH131" s="400">
        <f ca="1">IF(MAX(IF($C$6="No",ROUNDUP($C$3/$I131,0),ROUNDUP(($C$3+$I131)/$I131,0)),IF($C$6="No",ROUNDUP($C$4/$G131,0),ROUNDUP(($C$4+$G131)/$G131,0)),ROUNDUP('BVMS checklist'!$H$217/$J131,0))&gt;1,'BVMS checklist'!$J$224,'BVMS checklist'!$J$217)</f>
        <v>0</v>
      </c>
      <c r="AI131" s="398">
        <f t="shared" ca="1" si="564"/>
        <v>2</v>
      </c>
      <c r="AJ131" s="400">
        <f t="shared" ca="1" si="588"/>
        <v>2</v>
      </c>
      <c r="AK131" s="400">
        <f t="shared" ca="1" si="589"/>
        <v>4250</v>
      </c>
      <c r="AL131" s="400">
        <f t="shared" ca="1" si="590"/>
        <v>0</v>
      </c>
      <c r="AM131" s="398">
        <f t="shared" ca="1" si="591"/>
        <v>580944</v>
      </c>
      <c r="AN131" s="401" t="str">
        <f t="shared" ca="1" si="565"/>
        <v/>
      </c>
      <c r="AO131" s="398">
        <f t="shared" ca="1" si="592"/>
        <v>1024</v>
      </c>
      <c r="AP131" s="400">
        <f ca="1">IF(MAX(IF($C$6="No",ROUNDUP($C$3/$I131,0),ROUNDUP(($C$3+$I131)/$I131,0)),IF($C$6="No",ROUNDUP($C$4/$G131,0),ROUNDUP(($C$4+$G131)/$G131,0)),ROUNDUP('BVMS checklist'!$H$217/$J131,0))&gt;1,'BVMS checklist'!$J$224,'BVMS checklist'!$J$217)+MAX(IF($C$6="No",ROUNDUP($C$3/$I131,0),ROUNDUP(($C$3+$I131)/$I131,0)),IF($C$6="No",ROUNDUP($C$4/$G131,0),ROUNDUP(($C$4+$G131)/$G131,0)))+$C$5</f>
        <v>1</v>
      </c>
      <c r="AQ131" s="400" t="b">
        <f t="shared" ca="1" si="554"/>
        <v>1</v>
      </c>
      <c r="AR131" s="400" t="str">
        <f t="shared" ca="1" si="593"/>
        <v>Accepted</v>
      </c>
      <c r="AS131" s="398" t="str">
        <f t="shared" ca="1" si="579"/>
        <v>No</v>
      </c>
      <c r="AT131" s="398" t="str">
        <f t="shared" ca="1" si="594"/>
        <v/>
      </c>
      <c r="AU131" s="398" t="str">
        <f t="shared" ca="1" si="566"/>
        <v/>
      </c>
      <c r="AV131" s="398">
        <f t="shared" ca="1" si="567"/>
        <v>6</v>
      </c>
      <c r="AW131" s="398">
        <f t="shared" ca="1" si="595"/>
        <v>2</v>
      </c>
      <c r="AX131" s="398">
        <f t="shared" ca="1" si="596"/>
        <v>672</v>
      </c>
      <c r="AY131" s="398">
        <f t="shared" ca="1" si="597"/>
        <v>580944</v>
      </c>
      <c r="AZ131" s="399">
        <f t="shared" si="618"/>
        <v>0</v>
      </c>
      <c r="BA131" s="399">
        <f t="shared" si="619"/>
        <v>0</v>
      </c>
      <c r="BB131" s="483" t="str">
        <f t="shared" ca="1" si="568"/>
        <v/>
      </c>
      <c r="BC131" s="400">
        <f ca="1">IF(MAX(IF($D$6="No",ROUNDUP($D$3/$I131,0),ROUNDUP(($D$3+$I131)/$I131,0)),IF($D$6="No",ROUNDUP($D$4/$G131,0),ROUNDUP(($D$4+$G131)/$G131,0)),ROUNDUP('BVMS checklist'!$H$217/$J131,0))&gt;1,'BVMS checklist'!$L$224,'BVMS checklist'!$L$217)</f>
        <v>0</v>
      </c>
      <c r="BD131" s="398">
        <f t="shared" ca="1" si="569"/>
        <v>2</v>
      </c>
      <c r="BE131" s="400">
        <f t="shared" si="598"/>
        <v>1</v>
      </c>
      <c r="BF131" s="400">
        <f t="shared" si="599"/>
        <v>2125</v>
      </c>
      <c r="BG131" s="400">
        <f t="shared" ca="1" si="580"/>
        <v>0</v>
      </c>
      <c r="BH131" s="398">
        <f t="shared" ca="1" si="600"/>
        <v>580944</v>
      </c>
      <c r="BI131" s="401" t="str">
        <f t="shared" ca="1" si="570"/>
        <v/>
      </c>
      <c r="BJ131" s="398">
        <f t="shared" ca="1" si="601"/>
        <v>1024</v>
      </c>
      <c r="BK131" s="400">
        <f ca="1">IF(MAX(IF($D$6="No",ROUNDUP($D$3/$I131,0),ROUNDUP(($D$3+$I131)/$I131,0)),IF($D$6="No",ROUNDUP($D$4/$G131,0),ROUNDUP(($D$4+$G131)/$G131,0)),ROUNDUP('BVMS checklist'!$H$217/$J131,0))&gt;1,'BVMS checklist'!$L$224,'BVMS checklist'!$L$217)+MAX(IF($D$6="No",ROUNDUP($D$3/$I131,0),ROUNDUP(($D$3+$I131)/$I131,0)),IF($D$6="No",ROUNDUP($D$4/$G131,0),ROUNDUP(($D$4+$G131)/$G131,0)))+$D$5</f>
        <v>1</v>
      </c>
      <c r="BL131" s="400" t="b">
        <f t="shared" ca="1" si="555"/>
        <v>1</v>
      </c>
      <c r="BM131" s="400" t="str">
        <f t="shared" ca="1" si="602"/>
        <v>Accepted</v>
      </c>
      <c r="BN131" s="398" t="str">
        <f t="shared" ca="1" si="581"/>
        <v>No</v>
      </c>
      <c r="BO131" s="398" t="str">
        <f t="shared" ca="1" si="603"/>
        <v/>
      </c>
      <c r="BP131" s="398" t="str">
        <f t="shared" ca="1" si="571"/>
        <v/>
      </c>
      <c r="BQ131" s="398">
        <f t="shared" ca="1" si="572"/>
        <v>6</v>
      </c>
      <c r="BR131" s="398">
        <f t="shared" ca="1" si="604"/>
        <v>2</v>
      </c>
      <c r="BS131" s="398">
        <f t="shared" ca="1" si="605"/>
        <v>672</v>
      </c>
      <c r="BT131" s="398">
        <f t="shared" ca="1" si="606"/>
        <v>580944</v>
      </c>
      <c r="BU131" s="399">
        <f t="shared" si="620"/>
        <v>0</v>
      </c>
      <c r="BV131" s="399">
        <f t="shared" si="621"/>
        <v>0</v>
      </c>
      <c r="BW131" s="483" t="str">
        <f t="shared" ca="1" si="573"/>
        <v/>
      </c>
      <c r="BX131" s="400">
        <f ca="1">IF(MAX(IF($E$6="No",ROUNDUP($E$3/$I131,0),ROUNDUP(($E$3+$I131)/$I131,0)),IF($E$6="No",ROUNDUP($E$4/$G131,0),ROUNDUP(($E$4+$G131)/$G131,0)),ROUNDUP('BVMS checklist'!$H$217/$J131,0))&gt;1,'BVMS checklist'!$N$224,'BVMS checklist'!$N$217)</f>
        <v>0</v>
      </c>
      <c r="BY131" s="398">
        <f t="shared" ca="1" si="574"/>
        <v>2</v>
      </c>
      <c r="BZ131" s="400">
        <f t="shared" ca="1" si="607"/>
        <v>2</v>
      </c>
      <c r="CA131" s="400">
        <f t="shared" ca="1" si="608"/>
        <v>4250</v>
      </c>
      <c r="CB131" s="400">
        <f t="shared" ca="1" si="582"/>
        <v>0</v>
      </c>
      <c r="CC131" s="398">
        <f t="shared" ca="1" si="609"/>
        <v>580944</v>
      </c>
      <c r="CD131" s="401" t="str">
        <f t="shared" ca="1" si="575"/>
        <v/>
      </c>
      <c r="CE131" s="398">
        <f t="shared" ca="1" si="610"/>
        <v>1024</v>
      </c>
      <c r="CF131" s="400">
        <f ca="1">IF(MAX(IF($E$6="No",ROUNDUP($E$3/$I131,0),ROUNDUP(($E$3+$I131)/$I131,0)),IF($E$6="No",ROUNDUP($E$4/$G131,0),ROUNDUP(($E$4+$G131)/$G131,0)),ROUNDUP('BVMS checklist'!$H$217/$J131,0))&gt;1,'BVMS checklist'!$N$224,'BVMS checklist'!$N$217)+MAX(IF($E$6="No",ROUNDUP($E$3/$I131,0),ROUNDUP(($E$3+$I131)/$I131,0)),IF($E$6="No",ROUNDUP($E$4/$G131,0),ROUNDUP(($E$4+$G131)/$G131,0)))+$E$5</f>
        <v>1</v>
      </c>
      <c r="CG131" s="400" t="b">
        <f t="shared" ca="1" si="556"/>
        <v>1</v>
      </c>
      <c r="CH131" s="400" t="str">
        <f t="shared" ca="1" si="611"/>
        <v>Accepted</v>
      </c>
      <c r="CI131" s="398" t="str">
        <f t="shared" ca="1" si="583"/>
        <v>No</v>
      </c>
      <c r="CJ131" s="398" t="str">
        <f t="shared" ca="1" si="612"/>
        <v/>
      </c>
      <c r="CK131" s="398" t="str">
        <f t="shared" ca="1" si="576"/>
        <v/>
      </c>
      <c r="CL131" s="398">
        <f t="shared" ca="1" si="577"/>
        <v>6</v>
      </c>
      <c r="CM131" s="398">
        <f t="shared" ca="1" si="613"/>
        <v>2</v>
      </c>
      <c r="CN131" s="398">
        <f t="shared" ca="1" si="614"/>
        <v>672</v>
      </c>
      <c r="CO131" s="398">
        <f t="shared" ca="1" si="615"/>
        <v>580944</v>
      </c>
      <c r="CP131" s="399">
        <f t="shared" si="622"/>
        <v>0</v>
      </c>
      <c r="CQ131" s="399">
        <f t="shared" si="623"/>
        <v>0</v>
      </c>
      <c r="CR131" s="483" t="str">
        <f t="shared" ca="1" si="578"/>
        <v/>
      </c>
      <c r="CS131"/>
    </row>
    <row r="132" spans="1:97">
      <c r="A132" s="398" t="s">
        <v>474</v>
      </c>
      <c r="B132" s="398" t="s">
        <v>987</v>
      </c>
      <c r="C132" s="440" t="s">
        <v>891</v>
      </c>
      <c r="D132" s="398">
        <v>5</v>
      </c>
      <c r="E132" s="398"/>
      <c r="F132" s="440">
        <v>0</v>
      </c>
      <c r="G132" s="398">
        <f>IF(C132="RAID5",(((7-F132)*5586))+(4*(((15-F132)*5586))),(((6-F132)*5586))+(4*(((14-F132)*5586))))</f>
        <v>374262</v>
      </c>
      <c r="H132" s="399">
        <v>432</v>
      </c>
      <c r="I132" s="399">
        <v>2675</v>
      </c>
      <c r="J132" s="399">
        <v>640</v>
      </c>
      <c r="K132" s="399"/>
      <c r="L132" s="399"/>
      <c r="M132" s="400">
        <f ca="1">IF(MAX(IF($B$6="No",ROUNDUP($B$3/$I132,0),ROUNDUP(($B$3+$I132)/$I132,0)),IF($B$6="No",ROUNDUP($B$4/$G132,0),ROUNDUP(($B$4+$G132)/$G132,0)),ROUNDUP('BVMS checklist'!$H$217/$J132,0))&gt;1,'BVMS checklist'!$H$224,'BVMS checklist'!$H$217)</f>
        <v>0</v>
      </c>
      <c r="N132" s="398">
        <f t="shared" ca="1" si="557"/>
        <v>2</v>
      </c>
      <c r="O132" s="400">
        <f t="shared" ca="1" si="584"/>
        <v>2</v>
      </c>
      <c r="P132" s="400">
        <f t="shared" ca="1" si="548"/>
        <v>5350</v>
      </c>
      <c r="Q132" s="400">
        <f t="shared" ca="1" si="549"/>
        <v>0</v>
      </c>
      <c r="R132" s="398">
        <f t="shared" ca="1" si="550"/>
        <v>748524</v>
      </c>
      <c r="S132" s="401" t="str">
        <f t="shared" ca="1" si="558"/>
        <v/>
      </c>
      <c r="T132" s="398">
        <f t="shared" ca="1" si="559"/>
        <v>1280</v>
      </c>
      <c r="U132" s="400">
        <f ca="1">IF(MAX(IF($B$6="No",ROUNDUP($B$3/$I132,0),ROUNDUP(($B$3+$I132)/$I132,0)),IF($B$6="No",ROUNDUP($B$4/$G132,0),ROUNDUP(($B$4+$G132)/$G132,0)),ROUNDUP('BVMS checklist'!$H$217/$J132,0))&gt;1,'BVMS checklist'!$H$224,'BVMS checklist'!$H$217)+MAX(IF($B$6="No",ROUNDUP($B$3/$I132,0),ROUNDUP(($B$3+$I132)/$I132,0)),IF($B$6="No",ROUNDUP($B$4/$G132,0),ROUNDUP(($B$4+$G132)/$G132,0)))+$B$5</f>
        <v>1</v>
      </c>
      <c r="V132" s="400" t="b">
        <f t="shared" ca="1" si="551"/>
        <v>1</v>
      </c>
      <c r="W132" s="400" t="str">
        <f t="shared" ca="1" si="585"/>
        <v>Accepted</v>
      </c>
      <c r="X132" s="398" t="str">
        <f t="shared" ca="1" si="560"/>
        <v>No</v>
      </c>
      <c r="Y132" s="398" t="str">
        <f t="shared" ca="1" si="561"/>
        <v/>
      </c>
      <c r="Z132" s="398" t="str">
        <f t="shared" ca="1" si="562"/>
        <v/>
      </c>
      <c r="AA132" s="398">
        <f t="shared" ca="1" si="586"/>
        <v>6</v>
      </c>
      <c r="AB132" s="398">
        <f t="shared" ca="1" si="552"/>
        <v>2</v>
      </c>
      <c r="AC132" s="398">
        <f t="shared" ca="1" si="553"/>
        <v>864</v>
      </c>
      <c r="AD132" s="398">
        <f t="shared" ca="1" si="587"/>
        <v>748524</v>
      </c>
      <c r="AE132" s="399">
        <f t="shared" si="616"/>
        <v>0</v>
      </c>
      <c r="AF132" s="399">
        <f t="shared" si="617"/>
        <v>0</v>
      </c>
      <c r="AG132" s="483" t="str">
        <f t="shared" ca="1" si="563"/>
        <v/>
      </c>
      <c r="AH132" s="400">
        <f ca="1">IF(MAX(IF($C$6="No",ROUNDUP($C$3/$I132,0),ROUNDUP(($C$3+$I132)/$I132,0)),IF($C$6="No",ROUNDUP($C$4/$G132,0),ROUNDUP(($C$4+$G132)/$G132,0)),ROUNDUP('BVMS checklist'!$H$217/$J132,0))&gt;1,'BVMS checklist'!$J$224,'BVMS checklist'!$J$217)</f>
        <v>0</v>
      </c>
      <c r="AI132" s="398">
        <f t="shared" ca="1" si="564"/>
        <v>2</v>
      </c>
      <c r="AJ132" s="400">
        <f t="shared" ca="1" si="588"/>
        <v>2</v>
      </c>
      <c r="AK132" s="400">
        <f t="shared" ca="1" si="589"/>
        <v>5350</v>
      </c>
      <c r="AL132" s="400">
        <f t="shared" ca="1" si="590"/>
        <v>0</v>
      </c>
      <c r="AM132" s="398">
        <f t="shared" ca="1" si="591"/>
        <v>748524</v>
      </c>
      <c r="AN132" s="401" t="str">
        <f t="shared" ca="1" si="565"/>
        <v/>
      </c>
      <c r="AO132" s="398">
        <f t="shared" ca="1" si="592"/>
        <v>1280</v>
      </c>
      <c r="AP132" s="400">
        <f ca="1">IF(MAX(IF($C$6="No",ROUNDUP($C$3/$I132,0),ROUNDUP(($C$3+$I132)/$I132,0)),IF($C$6="No",ROUNDUP($C$4/$G132,0),ROUNDUP(($C$4+$G132)/$G132,0)),ROUNDUP('BVMS checklist'!$H$217/$J132,0))&gt;1,'BVMS checklist'!$J$224,'BVMS checklist'!$J$217)+MAX(IF($C$6="No",ROUNDUP($C$3/$I132,0),ROUNDUP(($C$3+$I132)/$I132,0)),IF($C$6="No",ROUNDUP($C$4/$G132,0),ROUNDUP(($C$4+$G132)/$G132,0)))+$C$5</f>
        <v>1</v>
      </c>
      <c r="AQ132" s="400" t="b">
        <f t="shared" ca="1" si="554"/>
        <v>1</v>
      </c>
      <c r="AR132" s="400" t="str">
        <f t="shared" ca="1" si="593"/>
        <v>Accepted</v>
      </c>
      <c r="AS132" s="398" t="str">
        <f t="shared" ca="1" si="579"/>
        <v>No</v>
      </c>
      <c r="AT132" s="398" t="str">
        <f t="shared" ca="1" si="594"/>
        <v/>
      </c>
      <c r="AU132" s="398" t="str">
        <f t="shared" ca="1" si="566"/>
        <v/>
      </c>
      <c r="AV132" s="398">
        <f t="shared" ca="1" si="567"/>
        <v>6</v>
      </c>
      <c r="AW132" s="398">
        <f t="shared" ca="1" si="595"/>
        <v>2</v>
      </c>
      <c r="AX132" s="398">
        <f t="shared" ca="1" si="596"/>
        <v>864</v>
      </c>
      <c r="AY132" s="398">
        <f t="shared" ca="1" si="597"/>
        <v>748524</v>
      </c>
      <c r="AZ132" s="399">
        <f t="shared" si="618"/>
        <v>0</v>
      </c>
      <c r="BA132" s="399">
        <f t="shared" si="619"/>
        <v>0</v>
      </c>
      <c r="BB132" s="483" t="str">
        <f t="shared" ca="1" si="568"/>
        <v/>
      </c>
      <c r="BC132" s="400">
        <f ca="1">IF(MAX(IF($D$6="No",ROUNDUP($D$3/$I132,0),ROUNDUP(($D$3+$I132)/$I132,0)),IF($D$6="No",ROUNDUP($D$4/$G132,0),ROUNDUP(($D$4+$G132)/$G132,0)),ROUNDUP('BVMS checklist'!$H$217/$J132,0))&gt;1,'BVMS checklist'!$L$224,'BVMS checklist'!$L$217)</f>
        <v>0</v>
      </c>
      <c r="BD132" s="398">
        <f t="shared" ca="1" si="569"/>
        <v>2</v>
      </c>
      <c r="BE132" s="400">
        <f t="shared" si="598"/>
        <v>1</v>
      </c>
      <c r="BF132" s="400">
        <f t="shared" si="599"/>
        <v>2675</v>
      </c>
      <c r="BG132" s="400">
        <f t="shared" ca="1" si="580"/>
        <v>0</v>
      </c>
      <c r="BH132" s="398">
        <f t="shared" ca="1" si="600"/>
        <v>748524</v>
      </c>
      <c r="BI132" s="401" t="str">
        <f t="shared" ca="1" si="570"/>
        <v/>
      </c>
      <c r="BJ132" s="398">
        <f t="shared" ca="1" si="601"/>
        <v>1280</v>
      </c>
      <c r="BK132" s="400">
        <f ca="1">IF(MAX(IF($D$6="No",ROUNDUP($D$3/$I132,0),ROUNDUP(($D$3+$I132)/$I132,0)),IF($D$6="No",ROUNDUP($D$4/$G132,0),ROUNDUP(($D$4+$G132)/$G132,0)),ROUNDUP('BVMS checklist'!$H$217/$J132,0))&gt;1,'BVMS checklist'!$L$224,'BVMS checklist'!$L$217)+MAX(IF($D$6="No",ROUNDUP($D$3/$I132,0),ROUNDUP(($D$3+$I132)/$I132,0)),IF($D$6="No",ROUNDUP($D$4/$G132,0),ROUNDUP(($D$4+$G132)/$G132,0)))+$D$5</f>
        <v>1</v>
      </c>
      <c r="BL132" s="400" t="b">
        <f t="shared" ca="1" si="555"/>
        <v>1</v>
      </c>
      <c r="BM132" s="400" t="str">
        <f t="shared" ca="1" si="602"/>
        <v>Accepted</v>
      </c>
      <c r="BN132" s="398" t="str">
        <f t="shared" ca="1" si="581"/>
        <v>No</v>
      </c>
      <c r="BO132" s="398" t="str">
        <f t="shared" ca="1" si="603"/>
        <v/>
      </c>
      <c r="BP132" s="398" t="str">
        <f t="shared" ca="1" si="571"/>
        <v/>
      </c>
      <c r="BQ132" s="398">
        <f t="shared" ca="1" si="572"/>
        <v>6</v>
      </c>
      <c r="BR132" s="398">
        <f t="shared" ca="1" si="604"/>
        <v>2</v>
      </c>
      <c r="BS132" s="398">
        <f t="shared" ca="1" si="605"/>
        <v>864</v>
      </c>
      <c r="BT132" s="398">
        <f t="shared" ca="1" si="606"/>
        <v>748524</v>
      </c>
      <c r="BU132" s="399">
        <f t="shared" si="620"/>
        <v>0</v>
      </c>
      <c r="BV132" s="399">
        <f t="shared" si="621"/>
        <v>0</v>
      </c>
      <c r="BW132" s="483" t="str">
        <f t="shared" ca="1" si="573"/>
        <v/>
      </c>
      <c r="BX132" s="400">
        <f ca="1">IF(MAX(IF($E$6="No",ROUNDUP($E$3/$I132,0),ROUNDUP(($E$3+$I132)/$I132,0)),IF($E$6="No",ROUNDUP($E$4/$G132,0),ROUNDUP(($E$4+$G132)/$G132,0)),ROUNDUP('BVMS checklist'!$H$217/$J132,0))&gt;1,'BVMS checklist'!$N$224,'BVMS checklist'!$N$217)</f>
        <v>0</v>
      </c>
      <c r="BY132" s="398">
        <f t="shared" ca="1" si="574"/>
        <v>2</v>
      </c>
      <c r="BZ132" s="400">
        <f t="shared" ca="1" si="607"/>
        <v>2</v>
      </c>
      <c r="CA132" s="400">
        <f t="shared" ca="1" si="608"/>
        <v>5350</v>
      </c>
      <c r="CB132" s="400">
        <f t="shared" ca="1" si="582"/>
        <v>0</v>
      </c>
      <c r="CC132" s="398">
        <f t="shared" ca="1" si="609"/>
        <v>748524</v>
      </c>
      <c r="CD132" s="401" t="str">
        <f t="shared" ca="1" si="575"/>
        <v/>
      </c>
      <c r="CE132" s="398">
        <f t="shared" ca="1" si="610"/>
        <v>1280</v>
      </c>
      <c r="CF132" s="400">
        <f ca="1">IF(MAX(IF($E$6="No",ROUNDUP($E$3/$I132,0),ROUNDUP(($E$3+$I132)/$I132,0)),IF($E$6="No",ROUNDUP($E$4/$G132,0),ROUNDUP(($E$4+$G132)/$G132,0)),ROUNDUP('BVMS checklist'!$H$217/$J132,0))&gt;1,'BVMS checklist'!$N$224,'BVMS checklist'!$N$217)+MAX(IF($E$6="No",ROUNDUP($E$3/$I132,0),ROUNDUP(($E$3+$I132)/$I132,0)),IF($E$6="No",ROUNDUP($E$4/$G132,0),ROUNDUP(($E$4+$G132)/$G132,0)))+$E$5</f>
        <v>1</v>
      </c>
      <c r="CG132" s="400" t="b">
        <f t="shared" ca="1" si="556"/>
        <v>1</v>
      </c>
      <c r="CH132" s="400" t="str">
        <f t="shared" ca="1" si="611"/>
        <v>Accepted</v>
      </c>
      <c r="CI132" s="398" t="str">
        <f t="shared" ca="1" si="583"/>
        <v>No</v>
      </c>
      <c r="CJ132" s="398" t="str">
        <f t="shared" ca="1" si="612"/>
        <v/>
      </c>
      <c r="CK132" s="398" t="str">
        <f t="shared" ca="1" si="576"/>
        <v/>
      </c>
      <c r="CL132" s="398">
        <f t="shared" ca="1" si="577"/>
        <v>6</v>
      </c>
      <c r="CM132" s="398">
        <f t="shared" ca="1" si="613"/>
        <v>2</v>
      </c>
      <c r="CN132" s="398">
        <f t="shared" ca="1" si="614"/>
        <v>864</v>
      </c>
      <c r="CO132" s="398">
        <f t="shared" ca="1" si="615"/>
        <v>748524</v>
      </c>
      <c r="CP132" s="399">
        <f t="shared" si="622"/>
        <v>0</v>
      </c>
      <c r="CQ132" s="399">
        <f t="shared" si="623"/>
        <v>0</v>
      </c>
      <c r="CR132" s="483" t="str">
        <f t="shared" ca="1" si="578"/>
        <v/>
      </c>
      <c r="CS132"/>
    </row>
    <row r="133" spans="1:97">
      <c r="A133" s="398" t="s">
        <v>475</v>
      </c>
      <c r="B133" s="398" t="s">
        <v>987</v>
      </c>
      <c r="C133" s="440" t="s">
        <v>891</v>
      </c>
      <c r="D133" s="398">
        <v>2</v>
      </c>
      <c r="E133" s="398"/>
      <c r="F133" s="440">
        <v>0</v>
      </c>
      <c r="G133" s="398">
        <f>IF(C133="RAID5",(((7-F133)*5586))+(1*(((7-F133)*7448))),(((6-F133)*5586))+(1*(((6-F133)*7448))))</f>
        <v>91238</v>
      </c>
      <c r="H133" s="399">
        <v>112</v>
      </c>
      <c r="I133" s="399">
        <v>1025</v>
      </c>
      <c r="J133" s="399">
        <v>256</v>
      </c>
      <c r="K133" s="399"/>
      <c r="L133" s="399"/>
      <c r="M133" s="400">
        <f ca="1">IF(MAX(IF($B$6="No",ROUNDUP($B$3/$I133,0),ROUNDUP(($B$3+$I133)/$I133,0)),IF($B$6="No",ROUNDUP($B$4/$G133,0),ROUNDUP(($B$4+$G133)/$G133,0)),ROUNDUP('BVMS checklist'!$H$217/$J133,0))&gt;1,'BVMS checklist'!$H$224,'BVMS checklist'!$H$217)</f>
        <v>0</v>
      </c>
      <c r="N133" s="398">
        <f t="shared" ca="1" si="557"/>
        <v>2</v>
      </c>
      <c r="O133" s="400">
        <f t="shared" ca="1" si="584"/>
        <v>2</v>
      </c>
      <c r="P133" s="400">
        <f t="shared" ca="1" si="548"/>
        <v>2050</v>
      </c>
      <c r="Q133" s="400">
        <f t="shared" ca="1" si="549"/>
        <v>0</v>
      </c>
      <c r="R133" s="398">
        <f t="shared" ca="1" si="550"/>
        <v>182476</v>
      </c>
      <c r="S133" s="401" t="str">
        <f t="shared" ca="1" si="558"/>
        <v/>
      </c>
      <c r="T133" s="398">
        <f t="shared" ca="1" si="559"/>
        <v>512</v>
      </c>
      <c r="U133" s="400">
        <f ca="1">IF(MAX(IF($B$6="No",ROUNDUP($B$3/$I133,0),ROUNDUP(($B$3+$I133)/$I133,0)),IF($B$6="No",ROUNDUP($B$4/$G133,0),ROUNDUP(($B$4+$G133)/$G133,0)),ROUNDUP('BVMS checklist'!$H$217/$J133,0))&gt;1,'BVMS checklist'!$H$224,'BVMS checklist'!$H$217)+MAX(IF($B$6="No",ROUNDUP($B$3/$I133,0),ROUNDUP(($B$3+$I133)/$I133,0)),IF($B$6="No",ROUNDUP($B$4/$G133,0),ROUNDUP(($B$4+$G133)/$G133,0)))+$B$5</f>
        <v>1</v>
      </c>
      <c r="V133" s="400" t="b">
        <f t="shared" ca="1" si="551"/>
        <v>1</v>
      </c>
      <c r="W133" s="400" t="str">
        <f t="shared" ca="1" si="585"/>
        <v>Accepted</v>
      </c>
      <c r="X133" s="398" t="str">
        <f t="shared" ca="1" si="560"/>
        <v>No</v>
      </c>
      <c r="Y133" s="398" t="str">
        <f t="shared" ca="1" si="561"/>
        <v/>
      </c>
      <c r="Z133" s="398" t="str">
        <f t="shared" ca="1" si="562"/>
        <v/>
      </c>
      <c r="AA133" s="398">
        <f t="shared" ca="1" si="586"/>
        <v>6</v>
      </c>
      <c r="AB133" s="398">
        <f t="shared" ca="1" si="552"/>
        <v>2</v>
      </c>
      <c r="AC133" s="398">
        <f t="shared" ca="1" si="553"/>
        <v>224</v>
      </c>
      <c r="AD133" s="398">
        <f t="shared" ca="1" si="587"/>
        <v>182476</v>
      </c>
      <c r="AE133" s="399">
        <f t="shared" si="616"/>
        <v>0</v>
      </c>
      <c r="AF133" s="399">
        <f t="shared" si="617"/>
        <v>0</v>
      </c>
      <c r="AG133" s="483" t="str">
        <f t="shared" ca="1" si="563"/>
        <v/>
      </c>
      <c r="AH133" s="400">
        <f ca="1">IF(MAX(IF($C$6="No",ROUNDUP($C$3/$I133,0),ROUNDUP(($C$3+$I133)/$I133,0)),IF($C$6="No",ROUNDUP($C$4/$G133,0),ROUNDUP(($C$4+$G133)/$G133,0)),ROUNDUP('BVMS checklist'!$H$217/$J133,0))&gt;1,'BVMS checklist'!$J$224,'BVMS checklist'!$J$217)</f>
        <v>0</v>
      </c>
      <c r="AI133" s="398">
        <f t="shared" ca="1" si="564"/>
        <v>2</v>
      </c>
      <c r="AJ133" s="400">
        <f t="shared" ca="1" si="588"/>
        <v>2</v>
      </c>
      <c r="AK133" s="400">
        <f t="shared" ca="1" si="589"/>
        <v>2050</v>
      </c>
      <c r="AL133" s="400">
        <f t="shared" ca="1" si="590"/>
        <v>0</v>
      </c>
      <c r="AM133" s="398">
        <f t="shared" ca="1" si="591"/>
        <v>182476</v>
      </c>
      <c r="AN133" s="401" t="str">
        <f t="shared" ca="1" si="565"/>
        <v/>
      </c>
      <c r="AO133" s="398">
        <f t="shared" ca="1" si="592"/>
        <v>512</v>
      </c>
      <c r="AP133" s="400">
        <f ca="1">IF(MAX(IF($C$6="No",ROUNDUP($C$3/$I133,0),ROUNDUP(($C$3+$I133)/$I133,0)),IF($C$6="No",ROUNDUP($C$4/$G133,0),ROUNDUP(($C$4+$G133)/$G133,0)),ROUNDUP('BVMS checklist'!$H$217/$J133,0))&gt;1,'BVMS checklist'!$J$224,'BVMS checklist'!$J$217)+MAX(IF($C$6="No",ROUNDUP($C$3/$I133,0),ROUNDUP(($C$3+$I133)/$I133,0)),IF($C$6="No",ROUNDUP($C$4/$G133,0),ROUNDUP(($C$4+$G133)/$G133,0)))+$C$5</f>
        <v>1</v>
      </c>
      <c r="AQ133" s="400" t="b">
        <f t="shared" ca="1" si="554"/>
        <v>1</v>
      </c>
      <c r="AR133" s="400" t="str">
        <f t="shared" ca="1" si="593"/>
        <v>Accepted</v>
      </c>
      <c r="AS133" s="398" t="str">
        <f t="shared" ca="1" si="579"/>
        <v>No</v>
      </c>
      <c r="AT133" s="398" t="str">
        <f t="shared" ca="1" si="594"/>
        <v/>
      </c>
      <c r="AU133" s="398" t="str">
        <f t="shared" ca="1" si="566"/>
        <v/>
      </c>
      <c r="AV133" s="398">
        <f t="shared" ca="1" si="567"/>
        <v>6</v>
      </c>
      <c r="AW133" s="398">
        <f t="shared" ca="1" si="595"/>
        <v>2</v>
      </c>
      <c r="AX133" s="398">
        <f t="shared" ca="1" si="596"/>
        <v>224</v>
      </c>
      <c r="AY133" s="398">
        <f t="shared" ca="1" si="597"/>
        <v>182476</v>
      </c>
      <c r="AZ133" s="399">
        <f t="shared" si="618"/>
        <v>0</v>
      </c>
      <c r="BA133" s="399">
        <f t="shared" si="619"/>
        <v>0</v>
      </c>
      <c r="BB133" s="483" t="str">
        <f t="shared" ca="1" si="568"/>
        <v/>
      </c>
      <c r="BC133" s="400">
        <f ca="1">IF(MAX(IF($D$6="No",ROUNDUP($D$3/$I133,0),ROUNDUP(($D$3+$I133)/$I133,0)),IF($D$6="No",ROUNDUP($D$4/$G133,0),ROUNDUP(($D$4+$G133)/$G133,0)),ROUNDUP('BVMS checklist'!$H$217/$J133,0))&gt;1,'BVMS checklist'!$L$224,'BVMS checklist'!$L$217)</f>
        <v>0</v>
      </c>
      <c r="BD133" s="398">
        <f t="shared" ca="1" si="569"/>
        <v>2</v>
      </c>
      <c r="BE133" s="400">
        <f t="shared" si="598"/>
        <v>1</v>
      </c>
      <c r="BF133" s="400">
        <f t="shared" si="599"/>
        <v>1025</v>
      </c>
      <c r="BG133" s="400">
        <f t="shared" ca="1" si="580"/>
        <v>0</v>
      </c>
      <c r="BH133" s="398">
        <f t="shared" ca="1" si="600"/>
        <v>182476</v>
      </c>
      <c r="BI133" s="401" t="str">
        <f t="shared" ca="1" si="570"/>
        <v/>
      </c>
      <c r="BJ133" s="398">
        <f t="shared" ca="1" si="601"/>
        <v>512</v>
      </c>
      <c r="BK133" s="400">
        <f ca="1">IF(MAX(IF($D$6="No",ROUNDUP($D$3/$I133,0),ROUNDUP(($D$3+$I133)/$I133,0)),IF($D$6="No",ROUNDUP($D$4/$G133,0),ROUNDUP(($D$4+$G133)/$G133,0)),ROUNDUP('BVMS checklist'!$H$217/$J133,0))&gt;1,'BVMS checklist'!$L$224,'BVMS checklist'!$L$217)+MAX(IF($D$6="No",ROUNDUP($D$3/$I133,0),ROUNDUP(($D$3+$I133)/$I133,0)),IF($D$6="No",ROUNDUP($D$4/$G133,0),ROUNDUP(($D$4+$G133)/$G133,0)))+$D$5</f>
        <v>1</v>
      </c>
      <c r="BL133" s="400" t="b">
        <f t="shared" ca="1" si="555"/>
        <v>1</v>
      </c>
      <c r="BM133" s="400" t="str">
        <f t="shared" ca="1" si="602"/>
        <v>Accepted</v>
      </c>
      <c r="BN133" s="398" t="str">
        <f t="shared" ca="1" si="581"/>
        <v>No</v>
      </c>
      <c r="BO133" s="398" t="str">
        <f t="shared" ca="1" si="603"/>
        <v/>
      </c>
      <c r="BP133" s="398" t="str">
        <f t="shared" ca="1" si="571"/>
        <v/>
      </c>
      <c r="BQ133" s="398">
        <f t="shared" ca="1" si="572"/>
        <v>6</v>
      </c>
      <c r="BR133" s="398">
        <f t="shared" ca="1" si="604"/>
        <v>2</v>
      </c>
      <c r="BS133" s="398">
        <f t="shared" ca="1" si="605"/>
        <v>224</v>
      </c>
      <c r="BT133" s="398">
        <f t="shared" ca="1" si="606"/>
        <v>182476</v>
      </c>
      <c r="BU133" s="399">
        <f t="shared" si="620"/>
        <v>0</v>
      </c>
      <c r="BV133" s="399">
        <f t="shared" si="621"/>
        <v>0</v>
      </c>
      <c r="BW133" s="483" t="str">
        <f t="shared" ca="1" si="573"/>
        <v/>
      </c>
      <c r="BX133" s="400">
        <f ca="1">IF(MAX(IF($E$6="No",ROUNDUP($E$3/$I133,0),ROUNDUP(($E$3+$I133)/$I133,0)),IF($E$6="No",ROUNDUP($E$4/$G133,0),ROUNDUP(($E$4+$G133)/$G133,0)),ROUNDUP('BVMS checklist'!$H$217/$J133,0))&gt;1,'BVMS checklist'!$N$224,'BVMS checklist'!$N$217)</f>
        <v>0</v>
      </c>
      <c r="BY133" s="398">
        <f t="shared" ca="1" si="574"/>
        <v>2</v>
      </c>
      <c r="BZ133" s="400">
        <f t="shared" ca="1" si="607"/>
        <v>2</v>
      </c>
      <c r="CA133" s="400">
        <f t="shared" ca="1" si="608"/>
        <v>2050</v>
      </c>
      <c r="CB133" s="400">
        <f t="shared" ca="1" si="582"/>
        <v>0</v>
      </c>
      <c r="CC133" s="398">
        <f t="shared" ca="1" si="609"/>
        <v>182476</v>
      </c>
      <c r="CD133" s="401" t="str">
        <f t="shared" ca="1" si="575"/>
        <v/>
      </c>
      <c r="CE133" s="398">
        <f t="shared" ca="1" si="610"/>
        <v>512</v>
      </c>
      <c r="CF133" s="400">
        <f ca="1">IF(MAX(IF($E$6="No",ROUNDUP($E$3/$I133,0),ROUNDUP(($E$3+$I133)/$I133,0)),IF($E$6="No",ROUNDUP($E$4/$G133,0),ROUNDUP(($E$4+$G133)/$G133,0)),ROUNDUP('BVMS checklist'!$H$217/$J133,0))&gt;1,'BVMS checklist'!$N$224,'BVMS checklist'!$N$217)+MAX(IF($E$6="No",ROUNDUP($E$3/$I133,0),ROUNDUP(($E$3+$I133)/$I133,0)),IF($E$6="No",ROUNDUP($E$4/$G133,0),ROUNDUP(($E$4+$G133)/$G133,0)))+$E$5</f>
        <v>1</v>
      </c>
      <c r="CG133" s="400" t="b">
        <f t="shared" ca="1" si="556"/>
        <v>1</v>
      </c>
      <c r="CH133" s="400" t="str">
        <f t="shared" ca="1" si="611"/>
        <v>Accepted</v>
      </c>
      <c r="CI133" s="398" t="str">
        <f t="shared" ca="1" si="583"/>
        <v>No</v>
      </c>
      <c r="CJ133" s="398" t="str">
        <f t="shared" ca="1" si="612"/>
        <v/>
      </c>
      <c r="CK133" s="398" t="str">
        <f t="shared" ca="1" si="576"/>
        <v/>
      </c>
      <c r="CL133" s="398">
        <f t="shared" ca="1" si="577"/>
        <v>6</v>
      </c>
      <c r="CM133" s="398">
        <f t="shared" ca="1" si="613"/>
        <v>2</v>
      </c>
      <c r="CN133" s="398">
        <f t="shared" ca="1" si="614"/>
        <v>224</v>
      </c>
      <c r="CO133" s="398">
        <f t="shared" ca="1" si="615"/>
        <v>182476</v>
      </c>
      <c r="CP133" s="399">
        <f t="shared" si="622"/>
        <v>0</v>
      </c>
      <c r="CQ133" s="399">
        <f t="shared" si="623"/>
        <v>0</v>
      </c>
      <c r="CR133" s="483" t="str">
        <f t="shared" ca="1" si="578"/>
        <v/>
      </c>
      <c r="CS133"/>
    </row>
    <row r="134" spans="1:97">
      <c r="A134" s="398" t="s">
        <v>476</v>
      </c>
      <c r="B134" s="398" t="s">
        <v>987</v>
      </c>
      <c r="C134" s="440" t="s">
        <v>891</v>
      </c>
      <c r="D134" s="398">
        <v>3</v>
      </c>
      <c r="E134" s="398"/>
      <c r="F134" s="440">
        <v>0</v>
      </c>
      <c r="G134" s="398">
        <f>IF(C134="RAID5",(((7-F134)*5586))+(2*(((7-F134)*7448))),(((6-F134)*5586))+(2*(((6-F134)*7448))))</f>
        <v>143374</v>
      </c>
      <c r="H134" s="399">
        <v>176</v>
      </c>
      <c r="I134" s="399">
        <v>1575</v>
      </c>
      <c r="J134" s="399">
        <v>384</v>
      </c>
      <c r="K134" s="399"/>
      <c r="L134" s="399"/>
      <c r="M134" s="400">
        <f ca="1">IF(MAX(IF($B$6="No",ROUNDUP($B$3/$I134,0),ROUNDUP(($B$3+$I134)/$I134,0)),IF($B$6="No",ROUNDUP($B$4/$G134,0),ROUNDUP(($B$4+$G134)/$G134,0)),ROUNDUP('BVMS checklist'!$H$217/$J134,0))&gt;1,'BVMS checklist'!$H$224,'BVMS checklist'!$H$217)</f>
        <v>0</v>
      </c>
      <c r="N134" s="398">
        <f t="shared" ca="1" si="557"/>
        <v>2</v>
      </c>
      <c r="O134" s="400">
        <f t="shared" ca="1" si="584"/>
        <v>2</v>
      </c>
      <c r="P134" s="400">
        <f t="shared" ca="1" si="548"/>
        <v>3150</v>
      </c>
      <c r="Q134" s="400">
        <f t="shared" ca="1" si="549"/>
        <v>0</v>
      </c>
      <c r="R134" s="398">
        <f t="shared" ca="1" si="550"/>
        <v>286748</v>
      </c>
      <c r="S134" s="401" t="str">
        <f t="shared" ca="1" si="558"/>
        <v/>
      </c>
      <c r="T134" s="398">
        <f t="shared" ca="1" si="559"/>
        <v>768</v>
      </c>
      <c r="U134" s="400">
        <f ca="1">IF(MAX(IF($B$6="No",ROUNDUP($B$3/$I134,0),ROUNDUP(($B$3+$I134)/$I134,0)),IF($B$6="No",ROUNDUP($B$4/$G134,0),ROUNDUP(($B$4+$G134)/$G134,0)),ROUNDUP('BVMS checklist'!$H$217/$J134,0))&gt;1,'BVMS checklist'!$H$224,'BVMS checklist'!$H$217)+MAX(IF($B$6="No",ROUNDUP($B$3/$I134,0),ROUNDUP(($B$3+$I134)/$I134,0)),IF($B$6="No",ROUNDUP($B$4/$G134,0),ROUNDUP(($B$4+$G134)/$G134,0)))+$B$5</f>
        <v>1</v>
      </c>
      <c r="V134" s="400" t="b">
        <f t="shared" ca="1" si="551"/>
        <v>1</v>
      </c>
      <c r="W134" s="400" t="str">
        <f t="shared" ca="1" si="585"/>
        <v>Accepted</v>
      </c>
      <c r="X134" s="398" t="str">
        <f t="shared" ca="1" si="560"/>
        <v>No</v>
      </c>
      <c r="Y134" s="398" t="str">
        <f t="shared" ca="1" si="561"/>
        <v/>
      </c>
      <c r="Z134" s="398" t="str">
        <f t="shared" ca="1" si="562"/>
        <v/>
      </c>
      <c r="AA134" s="398">
        <f t="shared" ca="1" si="586"/>
        <v>6</v>
      </c>
      <c r="AB134" s="398">
        <f t="shared" ca="1" si="552"/>
        <v>2</v>
      </c>
      <c r="AC134" s="398">
        <f t="shared" ca="1" si="553"/>
        <v>352</v>
      </c>
      <c r="AD134" s="398">
        <f t="shared" ca="1" si="587"/>
        <v>286748</v>
      </c>
      <c r="AE134" s="399">
        <f t="shared" si="616"/>
        <v>0</v>
      </c>
      <c r="AF134" s="399">
        <f t="shared" si="617"/>
        <v>0</v>
      </c>
      <c r="AG134" s="483" t="str">
        <f t="shared" ca="1" si="563"/>
        <v/>
      </c>
      <c r="AH134" s="400">
        <f ca="1">IF(MAX(IF($C$6="No",ROUNDUP($C$3/$I134,0),ROUNDUP(($C$3+$I134)/$I134,0)),IF($C$6="No",ROUNDUP($C$4/$G134,0),ROUNDUP(($C$4+$G134)/$G134,0)),ROUNDUP('BVMS checklist'!$H$217/$J134,0))&gt;1,'BVMS checklist'!$J$224,'BVMS checklist'!$J$217)</f>
        <v>0</v>
      </c>
      <c r="AI134" s="398">
        <f t="shared" ca="1" si="564"/>
        <v>2</v>
      </c>
      <c r="AJ134" s="400">
        <f t="shared" ca="1" si="588"/>
        <v>2</v>
      </c>
      <c r="AK134" s="400">
        <f t="shared" ca="1" si="589"/>
        <v>3150</v>
      </c>
      <c r="AL134" s="400">
        <f t="shared" ca="1" si="590"/>
        <v>0</v>
      </c>
      <c r="AM134" s="398">
        <f t="shared" ca="1" si="591"/>
        <v>286748</v>
      </c>
      <c r="AN134" s="401" t="str">
        <f t="shared" ca="1" si="565"/>
        <v/>
      </c>
      <c r="AO134" s="398">
        <f t="shared" ca="1" si="592"/>
        <v>768</v>
      </c>
      <c r="AP134" s="400">
        <f ca="1">IF(MAX(IF($C$6="No",ROUNDUP($C$3/$I134,0),ROUNDUP(($C$3+$I134)/$I134,0)),IF($C$6="No",ROUNDUP($C$4/$G134,0),ROUNDUP(($C$4+$G134)/$G134,0)),ROUNDUP('BVMS checklist'!$H$217/$J134,0))&gt;1,'BVMS checklist'!$J$224,'BVMS checklist'!$J$217)+MAX(IF($C$6="No",ROUNDUP($C$3/$I134,0),ROUNDUP(($C$3+$I134)/$I134,0)),IF($C$6="No",ROUNDUP($C$4/$G134,0),ROUNDUP(($C$4+$G134)/$G134,0)))+$C$5</f>
        <v>1</v>
      </c>
      <c r="AQ134" s="400" t="b">
        <f t="shared" ca="1" si="554"/>
        <v>1</v>
      </c>
      <c r="AR134" s="400" t="str">
        <f t="shared" ca="1" si="593"/>
        <v>Accepted</v>
      </c>
      <c r="AS134" s="398" t="str">
        <f t="shared" ca="1" si="579"/>
        <v>No</v>
      </c>
      <c r="AT134" s="398" t="str">
        <f t="shared" ca="1" si="594"/>
        <v/>
      </c>
      <c r="AU134" s="398" t="str">
        <f t="shared" ca="1" si="566"/>
        <v/>
      </c>
      <c r="AV134" s="398">
        <f t="shared" ca="1" si="567"/>
        <v>6</v>
      </c>
      <c r="AW134" s="398">
        <f t="shared" ca="1" si="595"/>
        <v>2</v>
      </c>
      <c r="AX134" s="398">
        <f t="shared" ca="1" si="596"/>
        <v>352</v>
      </c>
      <c r="AY134" s="398">
        <f t="shared" ca="1" si="597"/>
        <v>286748</v>
      </c>
      <c r="AZ134" s="399">
        <f t="shared" si="618"/>
        <v>0</v>
      </c>
      <c r="BA134" s="399">
        <f t="shared" si="619"/>
        <v>0</v>
      </c>
      <c r="BB134" s="483" t="str">
        <f t="shared" ca="1" si="568"/>
        <v/>
      </c>
      <c r="BC134" s="400">
        <f ca="1">IF(MAX(IF($D$6="No",ROUNDUP($D$3/$I134,0),ROUNDUP(($D$3+$I134)/$I134,0)),IF($D$6="No",ROUNDUP($D$4/$G134,0),ROUNDUP(($D$4+$G134)/$G134,0)),ROUNDUP('BVMS checklist'!$H$217/$J134,0))&gt;1,'BVMS checklist'!$L$224,'BVMS checklist'!$L$217)</f>
        <v>0</v>
      </c>
      <c r="BD134" s="398">
        <f t="shared" ca="1" si="569"/>
        <v>2</v>
      </c>
      <c r="BE134" s="400">
        <f t="shared" si="598"/>
        <v>1</v>
      </c>
      <c r="BF134" s="400">
        <f t="shared" si="599"/>
        <v>1575</v>
      </c>
      <c r="BG134" s="400">
        <f t="shared" ca="1" si="580"/>
        <v>0</v>
      </c>
      <c r="BH134" s="398">
        <f t="shared" ca="1" si="600"/>
        <v>286748</v>
      </c>
      <c r="BI134" s="401" t="str">
        <f t="shared" ca="1" si="570"/>
        <v/>
      </c>
      <c r="BJ134" s="398">
        <f t="shared" ca="1" si="601"/>
        <v>768</v>
      </c>
      <c r="BK134" s="400">
        <f ca="1">IF(MAX(IF($D$6="No",ROUNDUP($D$3/$I134,0),ROUNDUP(($D$3+$I134)/$I134,0)),IF($D$6="No",ROUNDUP($D$4/$G134,0),ROUNDUP(($D$4+$G134)/$G134,0)),ROUNDUP('BVMS checklist'!$H$217/$J134,0))&gt;1,'BVMS checklist'!$L$224,'BVMS checklist'!$L$217)+MAX(IF($D$6="No",ROUNDUP($D$3/$I134,0),ROUNDUP(($D$3+$I134)/$I134,0)),IF($D$6="No",ROUNDUP($D$4/$G134,0),ROUNDUP(($D$4+$G134)/$G134,0)))+$D$5</f>
        <v>1</v>
      </c>
      <c r="BL134" s="400" t="b">
        <f t="shared" ca="1" si="555"/>
        <v>1</v>
      </c>
      <c r="BM134" s="400" t="str">
        <f t="shared" ca="1" si="602"/>
        <v>Accepted</v>
      </c>
      <c r="BN134" s="398" t="str">
        <f t="shared" ca="1" si="581"/>
        <v>No</v>
      </c>
      <c r="BO134" s="398" t="str">
        <f t="shared" ca="1" si="603"/>
        <v/>
      </c>
      <c r="BP134" s="398" t="str">
        <f t="shared" ca="1" si="571"/>
        <v/>
      </c>
      <c r="BQ134" s="398">
        <f t="shared" ca="1" si="572"/>
        <v>6</v>
      </c>
      <c r="BR134" s="398">
        <f t="shared" ca="1" si="604"/>
        <v>2</v>
      </c>
      <c r="BS134" s="398">
        <f t="shared" ca="1" si="605"/>
        <v>352</v>
      </c>
      <c r="BT134" s="398">
        <f t="shared" ca="1" si="606"/>
        <v>286748</v>
      </c>
      <c r="BU134" s="399">
        <f t="shared" si="620"/>
        <v>0</v>
      </c>
      <c r="BV134" s="399">
        <f t="shared" si="621"/>
        <v>0</v>
      </c>
      <c r="BW134" s="483" t="str">
        <f t="shared" ca="1" si="573"/>
        <v/>
      </c>
      <c r="BX134" s="400">
        <f ca="1">IF(MAX(IF($E$6="No",ROUNDUP($E$3/$I134,0),ROUNDUP(($E$3+$I134)/$I134,0)),IF($E$6="No",ROUNDUP($E$4/$G134,0),ROUNDUP(($E$4+$G134)/$G134,0)),ROUNDUP('BVMS checklist'!$H$217/$J134,0))&gt;1,'BVMS checklist'!$N$224,'BVMS checklist'!$N$217)</f>
        <v>0</v>
      </c>
      <c r="BY134" s="398">
        <f t="shared" ca="1" si="574"/>
        <v>2</v>
      </c>
      <c r="BZ134" s="400">
        <f t="shared" ca="1" si="607"/>
        <v>2</v>
      </c>
      <c r="CA134" s="400">
        <f t="shared" ca="1" si="608"/>
        <v>3150</v>
      </c>
      <c r="CB134" s="400">
        <f t="shared" ca="1" si="582"/>
        <v>0</v>
      </c>
      <c r="CC134" s="398">
        <f t="shared" ca="1" si="609"/>
        <v>286748</v>
      </c>
      <c r="CD134" s="401" t="str">
        <f t="shared" ca="1" si="575"/>
        <v/>
      </c>
      <c r="CE134" s="398">
        <f t="shared" ca="1" si="610"/>
        <v>768</v>
      </c>
      <c r="CF134" s="400">
        <f ca="1">IF(MAX(IF($E$6="No",ROUNDUP($E$3/$I134,0),ROUNDUP(($E$3+$I134)/$I134,0)),IF($E$6="No",ROUNDUP($E$4/$G134,0),ROUNDUP(($E$4+$G134)/$G134,0)),ROUNDUP('BVMS checklist'!$H$217/$J134,0))&gt;1,'BVMS checklist'!$N$224,'BVMS checklist'!$N$217)+MAX(IF($E$6="No",ROUNDUP($E$3/$I134,0),ROUNDUP(($E$3+$I134)/$I134,0)),IF($E$6="No",ROUNDUP($E$4/$G134,0),ROUNDUP(($E$4+$G134)/$G134,0)))+$E$5</f>
        <v>1</v>
      </c>
      <c r="CG134" s="400" t="b">
        <f t="shared" ca="1" si="556"/>
        <v>1</v>
      </c>
      <c r="CH134" s="400" t="str">
        <f t="shared" ca="1" si="611"/>
        <v>Accepted</v>
      </c>
      <c r="CI134" s="398" t="str">
        <f t="shared" ca="1" si="583"/>
        <v>No</v>
      </c>
      <c r="CJ134" s="398" t="str">
        <f t="shared" ca="1" si="612"/>
        <v/>
      </c>
      <c r="CK134" s="398" t="str">
        <f t="shared" ca="1" si="576"/>
        <v/>
      </c>
      <c r="CL134" s="398">
        <f t="shared" ca="1" si="577"/>
        <v>6</v>
      </c>
      <c r="CM134" s="398">
        <f t="shared" ca="1" si="613"/>
        <v>2</v>
      </c>
      <c r="CN134" s="398">
        <f t="shared" ca="1" si="614"/>
        <v>352</v>
      </c>
      <c r="CO134" s="398">
        <f t="shared" ca="1" si="615"/>
        <v>286748</v>
      </c>
      <c r="CP134" s="399">
        <f t="shared" si="622"/>
        <v>0</v>
      </c>
      <c r="CQ134" s="399">
        <f t="shared" si="623"/>
        <v>0</v>
      </c>
      <c r="CR134" s="483" t="str">
        <f t="shared" ca="1" si="578"/>
        <v/>
      </c>
      <c r="CS134"/>
    </row>
    <row r="135" spans="1:97">
      <c r="A135" s="398" t="s">
        <v>477</v>
      </c>
      <c r="B135" s="398" t="s">
        <v>987</v>
      </c>
      <c r="C135" s="440" t="s">
        <v>891</v>
      </c>
      <c r="D135" s="398">
        <v>4</v>
      </c>
      <c r="E135" s="398"/>
      <c r="F135" s="440">
        <v>0</v>
      </c>
      <c r="G135" s="398">
        <f>IF(C135="RAID5",(((7-F135)*5586))+(3*(((7-F135)*7448))),(((6-F135)*5586))+(3*(((6-F135)*7448))))</f>
        <v>195510</v>
      </c>
      <c r="H135" s="399">
        <v>240</v>
      </c>
      <c r="I135" s="399">
        <v>2125</v>
      </c>
      <c r="J135" s="399">
        <v>512</v>
      </c>
      <c r="K135" s="399"/>
      <c r="L135" s="399"/>
      <c r="M135" s="400">
        <f ca="1">IF(MAX(IF($B$6="No",ROUNDUP($B$3/$I135,0),ROUNDUP(($B$3+$I135)/$I135,0)),IF($B$6="No",ROUNDUP($B$4/$G135,0),ROUNDUP(($B$4+$G135)/$G135,0)),ROUNDUP('BVMS checklist'!$H$217/$J135,0))&gt;1,'BVMS checklist'!$H$224,'BVMS checklist'!$H$217)</f>
        <v>0</v>
      </c>
      <c r="N135" s="398">
        <f t="shared" ca="1" si="557"/>
        <v>2</v>
      </c>
      <c r="O135" s="400">
        <f t="shared" ca="1" si="584"/>
        <v>2</v>
      </c>
      <c r="P135" s="400">
        <f t="shared" ca="1" si="548"/>
        <v>4250</v>
      </c>
      <c r="Q135" s="400">
        <f t="shared" ca="1" si="549"/>
        <v>0</v>
      </c>
      <c r="R135" s="398">
        <f t="shared" ca="1" si="550"/>
        <v>391020</v>
      </c>
      <c r="S135" s="401" t="str">
        <f t="shared" ca="1" si="558"/>
        <v/>
      </c>
      <c r="T135" s="398">
        <f t="shared" ca="1" si="559"/>
        <v>1024</v>
      </c>
      <c r="U135" s="400">
        <f ca="1">IF(MAX(IF($B$6="No",ROUNDUP($B$3/$I135,0),ROUNDUP(($B$3+$I135)/$I135,0)),IF($B$6="No",ROUNDUP($B$4/$G135,0),ROUNDUP(($B$4+$G135)/$G135,0)),ROUNDUP('BVMS checklist'!$H$217/$J135,0))&gt;1,'BVMS checklist'!$H$224,'BVMS checklist'!$H$217)+MAX(IF($B$6="No",ROUNDUP($B$3/$I135,0),ROUNDUP(($B$3+$I135)/$I135,0)),IF($B$6="No",ROUNDUP($B$4/$G135,0),ROUNDUP(($B$4+$G135)/$G135,0)))+$B$5</f>
        <v>1</v>
      </c>
      <c r="V135" s="400" t="b">
        <f t="shared" ca="1" si="551"/>
        <v>1</v>
      </c>
      <c r="W135" s="400" t="str">
        <f t="shared" ca="1" si="585"/>
        <v>Accepted</v>
      </c>
      <c r="X135" s="398" t="str">
        <f t="shared" ca="1" si="560"/>
        <v>No</v>
      </c>
      <c r="Y135" s="398" t="str">
        <f t="shared" ca="1" si="561"/>
        <v/>
      </c>
      <c r="Z135" s="398" t="str">
        <f t="shared" ca="1" si="562"/>
        <v/>
      </c>
      <c r="AA135" s="398">
        <f t="shared" ca="1" si="586"/>
        <v>6</v>
      </c>
      <c r="AB135" s="398">
        <f t="shared" ca="1" si="552"/>
        <v>2</v>
      </c>
      <c r="AC135" s="398">
        <f t="shared" ca="1" si="553"/>
        <v>480</v>
      </c>
      <c r="AD135" s="398">
        <f t="shared" ca="1" si="587"/>
        <v>391020</v>
      </c>
      <c r="AE135" s="399">
        <f t="shared" si="616"/>
        <v>0</v>
      </c>
      <c r="AF135" s="399">
        <f t="shared" si="617"/>
        <v>0</v>
      </c>
      <c r="AG135" s="483" t="str">
        <f t="shared" ca="1" si="563"/>
        <v/>
      </c>
      <c r="AH135" s="400">
        <f ca="1">IF(MAX(IF($C$6="No",ROUNDUP($C$3/$I135,0),ROUNDUP(($C$3+$I135)/$I135,0)),IF($C$6="No",ROUNDUP($C$4/$G135,0),ROUNDUP(($C$4+$G135)/$G135,0)),ROUNDUP('BVMS checklist'!$H$217/$J135,0))&gt;1,'BVMS checklist'!$J$224,'BVMS checklist'!$J$217)</f>
        <v>0</v>
      </c>
      <c r="AI135" s="398">
        <f t="shared" ca="1" si="564"/>
        <v>2</v>
      </c>
      <c r="AJ135" s="400">
        <f t="shared" ca="1" si="588"/>
        <v>2</v>
      </c>
      <c r="AK135" s="400">
        <f t="shared" ca="1" si="589"/>
        <v>4250</v>
      </c>
      <c r="AL135" s="400">
        <f t="shared" ca="1" si="590"/>
        <v>0</v>
      </c>
      <c r="AM135" s="398">
        <f t="shared" ca="1" si="591"/>
        <v>391020</v>
      </c>
      <c r="AN135" s="401" t="str">
        <f t="shared" ca="1" si="565"/>
        <v/>
      </c>
      <c r="AO135" s="398">
        <f t="shared" ca="1" si="592"/>
        <v>1024</v>
      </c>
      <c r="AP135" s="400">
        <f ca="1">IF(MAX(IF($C$6="No",ROUNDUP($C$3/$I135,0),ROUNDUP(($C$3+$I135)/$I135,0)),IF($C$6="No",ROUNDUP($C$4/$G135,0),ROUNDUP(($C$4+$G135)/$G135,0)),ROUNDUP('BVMS checklist'!$H$217/$J135,0))&gt;1,'BVMS checklist'!$J$224,'BVMS checklist'!$J$217)+MAX(IF($C$6="No",ROUNDUP($C$3/$I135,0),ROUNDUP(($C$3+$I135)/$I135,0)),IF($C$6="No",ROUNDUP($C$4/$G135,0),ROUNDUP(($C$4+$G135)/$G135,0)))+$C$5</f>
        <v>1</v>
      </c>
      <c r="AQ135" s="400" t="b">
        <f t="shared" ca="1" si="554"/>
        <v>1</v>
      </c>
      <c r="AR135" s="400" t="str">
        <f t="shared" ca="1" si="593"/>
        <v>Accepted</v>
      </c>
      <c r="AS135" s="398" t="str">
        <f t="shared" ca="1" si="579"/>
        <v>No</v>
      </c>
      <c r="AT135" s="398" t="str">
        <f t="shared" ca="1" si="594"/>
        <v/>
      </c>
      <c r="AU135" s="398" t="str">
        <f t="shared" ca="1" si="566"/>
        <v/>
      </c>
      <c r="AV135" s="398">
        <f t="shared" ca="1" si="567"/>
        <v>6</v>
      </c>
      <c r="AW135" s="398">
        <f t="shared" ca="1" si="595"/>
        <v>2</v>
      </c>
      <c r="AX135" s="398">
        <f t="shared" ca="1" si="596"/>
        <v>480</v>
      </c>
      <c r="AY135" s="398">
        <f t="shared" ca="1" si="597"/>
        <v>391020</v>
      </c>
      <c r="AZ135" s="399">
        <f t="shared" si="618"/>
        <v>0</v>
      </c>
      <c r="BA135" s="399">
        <f t="shared" si="619"/>
        <v>0</v>
      </c>
      <c r="BB135" s="483" t="str">
        <f t="shared" ca="1" si="568"/>
        <v/>
      </c>
      <c r="BC135" s="400">
        <f ca="1">IF(MAX(IF($D$6="No",ROUNDUP($D$3/$I135,0),ROUNDUP(($D$3+$I135)/$I135,0)),IF($D$6="No",ROUNDUP($D$4/$G135,0),ROUNDUP(($D$4+$G135)/$G135,0)),ROUNDUP('BVMS checklist'!$H$217/$J135,0))&gt;1,'BVMS checklist'!$L$224,'BVMS checklist'!$L$217)</f>
        <v>0</v>
      </c>
      <c r="BD135" s="398">
        <f t="shared" ca="1" si="569"/>
        <v>2</v>
      </c>
      <c r="BE135" s="400">
        <f t="shared" si="598"/>
        <v>1</v>
      </c>
      <c r="BF135" s="400">
        <f t="shared" si="599"/>
        <v>2125</v>
      </c>
      <c r="BG135" s="400">
        <f t="shared" ca="1" si="580"/>
        <v>0</v>
      </c>
      <c r="BH135" s="398">
        <f t="shared" ca="1" si="600"/>
        <v>391020</v>
      </c>
      <c r="BI135" s="401" t="str">
        <f t="shared" ca="1" si="570"/>
        <v/>
      </c>
      <c r="BJ135" s="398">
        <f t="shared" ca="1" si="601"/>
        <v>1024</v>
      </c>
      <c r="BK135" s="400">
        <f ca="1">IF(MAX(IF($D$6="No",ROUNDUP($D$3/$I135,0),ROUNDUP(($D$3+$I135)/$I135,0)),IF($D$6="No",ROUNDUP($D$4/$G135,0),ROUNDUP(($D$4+$G135)/$G135,0)),ROUNDUP('BVMS checklist'!$H$217/$J135,0))&gt;1,'BVMS checklist'!$L$224,'BVMS checklist'!$L$217)+MAX(IF($D$6="No",ROUNDUP($D$3/$I135,0),ROUNDUP(($D$3+$I135)/$I135,0)),IF($D$6="No",ROUNDUP($D$4/$G135,0),ROUNDUP(($D$4+$G135)/$G135,0)))+$D$5</f>
        <v>1</v>
      </c>
      <c r="BL135" s="400" t="b">
        <f t="shared" ca="1" si="555"/>
        <v>1</v>
      </c>
      <c r="BM135" s="400" t="str">
        <f t="shared" ca="1" si="602"/>
        <v>Accepted</v>
      </c>
      <c r="BN135" s="398" t="str">
        <f t="shared" ca="1" si="581"/>
        <v>No</v>
      </c>
      <c r="BO135" s="398" t="str">
        <f t="shared" ca="1" si="603"/>
        <v/>
      </c>
      <c r="BP135" s="398" t="str">
        <f t="shared" ca="1" si="571"/>
        <v/>
      </c>
      <c r="BQ135" s="398">
        <f t="shared" ca="1" si="572"/>
        <v>6</v>
      </c>
      <c r="BR135" s="398">
        <f t="shared" ca="1" si="604"/>
        <v>2</v>
      </c>
      <c r="BS135" s="398">
        <f t="shared" ca="1" si="605"/>
        <v>480</v>
      </c>
      <c r="BT135" s="398">
        <f t="shared" ca="1" si="606"/>
        <v>391020</v>
      </c>
      <c r="BU135" s="399">
        <f t="shared" si="620"/>
        <v>0</v>
      </c>
      <c r="BV135" s="399">
        <f t="shared" si="621"/>
        <v>0</v>
      </c>
      <c r="BW135" s="483" t="str">
        <f t="shared" ca="1" si="573"/>
        <v/>
      </c>
      <c r="BX135" s="400">
        <f ca="1">IF(MAX(IF($E$6="No",ROUNDUP($E$3/$I135,0),ROUNDUP(($E$3+$I135)/$I135,0)),IF($E$6="No",ROUNDUP($E$4/$G135,0),ROUNDUP(($E$4+$G135)/$G135,0)),ROUNDUP('BVMS checklist'!$H$217/$J135,0))&gt;1,'BVMS checklist'!$N$224,'BVMS checklist'!$N$217)</f>
        <v>0</v>
      </c>
      <c r="BY135" s="398">
        <f t="shared" ca="1" si="574"/>
        <v>2</v>
      </c>
      <c r="BZ135" s="400">
        <f t="shared" ca="1" si="607"/>
        <v>2</v>
      </c>
      <c r="CA135" s="400">
        <f t="shared" ca="1" si="608"/>
        <v>4250</v>
      </c>
      <c r="CB135" s="400">
        <f t="shared" ca="1" si="582"/>
        <v>0</v>
      </c>
      <c r="CC135" s="398">
        <f t="shared" ca="1" si="609"/>
        <v>391020</v>
      </c>
      <c r="CD135" s="401" t="str">
        <f t="shared" ca="1" si="575"/>
        <v/>
      </c>
      <c r="CE135" s="398">
        <f t="shared" ca="1" si="610"/>
        <v>1024</v>
      </c>
      <c r="CF135" s="400">
        <f ca="1">IF(MAX(IF($E$6="No",ROUNDUP($E$3/$I135,0),ROUNDUP(($E$3+$I135)/$I135,0)),IF($E$6="No",ROUNDUP($E$4/$G135,0),ROUNDUP(($E$4+$G135)/$G135,0)),ROUNDUP('BVMS checklist'!$H$217/$J135,0))&gt;1,'BVMS checklist'!$N$224,'BVMS checklist'!$N$217)+MAX(IF($E$6="No",ROUNDUP($E$3/$I135,0),ROUNDUP(($E$3+$I135)/$I135,0)),IF($E$6="No",ROUNDUP($E$4/$G135,0),ROUNDUP(($E$4+$G135)/$G135,0)))+$E$5</f>
        <v>1</v>
      </c>
      <c r="CG135" s="400" t="b">
        <f t="shared" ca="1" si="556"/>
        <v>1</v>
      </c>
      <c r="CH135" s="400" t="str">
        <f t="shared" ca="1" si="611"/>
        <v>Accepted</v>
      </c>
      <c r="CI135" s="398" t="str">
        <f t="shared" ca="1" si="583"/>
        <v>No</v>
      </c>
      <c r="CJ135" s="398" t="str">
        <f t="shared" ca="1" si="612"/>
        <v/>
      </c>
      <c r="CK135" s="398" t="str">
        <f t="shared" ca="1" si="576"/>
        <v/>
      </c>
      <c r="CL135" s="398">
        <f t="shared" ca="1" si="577"/>
        <v>6</v>
      </c>
      <c r="CM135" s="398">
        <f t="shared" ca="1" si="613"/>
        <v>2</v>
      </c>
      <c r="CN135" s="398">
        <f t="shared" ca="1" si="614"/>
        <v>480</v>
      </c>
      <c r="CO135" s="398">
        <f t="shared" ca="1" si="615"/>
        <v>391020</v>
      </c>
      <c r="CP135" s="399">
        <f t="shared" si="622"/>
        <v>0</v>
      </c>
      <c r="CQ135" s="399">
        <f t="shared" si="623"/>
        <v>0</v>
      </c>
      <c r="CR135" s="483" t="str">
        <f t="shared" ca="1" si="578"/>
        <v/>
      </c>
      <c r="CS135"/>
    </row>
    <row r="136" spans="1:97">
      <c r="A136" s="398" t="s">
        <v>478</v>
      </c>
      <c r="B136" s="398" t="s">
        <v>987</v>
      </c>
      <c r="C136" s="440" t="s">
        <v>891</v>
      </c>
      <c r="D136" s="398">
        <v>5</v>
      </c>
      <c r="E136" s="398"/>
      <c r="F136" s="440">
        <v>0</v>
      </c>
      <c r="G136" s="398">
        <f>IF(C136="RAID5",(((7-F136)*5586))+(4*(((7-F136)*7448))),(((6-F136)*5586))+(4*(((6-F136)*7448))))</f>
        <v>247646</v>
      </c>
      <c r="H136" s="399">
        <v>304</v>
      </c>
      <c r="I136" s="399">
        <v>2675</v>
      </c>
      <c r="J136" s="399">
        <v>640</v>
      </c>
      <c r="K136" s="399"/>
      <c r="L136" s="399"/>
      <c r="M136" s="400">
        <f ca="1">IF(MAX(IF($B$6="No",ROUNDUP($B$3/$I136,0),ROUNDUP(($B$3+$I136)/$I136,0)),IF($B$6="No",ROUNDUP($B$4/$G136,0),ROUNDUP(($B$4+$G136)/$G136,0)),ROUNDUP('BVMS checklist'!$H$217/$J136,0))&gt;1,'BVMS checklist'!$H$224,'BVMS checklist'!$H$217)</f>
        <v>0</v>
      </c>
      <c r="N136" s="398">
        <f t="shared" ca="1" si="557"/>
        <v>2</v>
      </c>
      <c r="O136" s="400">
        <f t="shared" ca="1" si="584"/>
        <v>2</v>
      </c>
      <c r="P136" s="400">
        <f t="shared" ca="1" si="548"/>
        <v>5350</v>
      </c>
      <c r="Q136" s="400">
        <f t="shared" ca="1" si="549"/>
        <v>0</v>
      </c>
      <c r="R136" s="398">
        <f t="shared" ca="1" si="550"/>
        <v>495292</v>
      </c>
      <c r="S136" s="401" t="str">
        <f t="shared" ca="1" si="558"/>
        <v/>
      </c>
      <c r="T136" s="398">
        <f t="shared" ca="1" si="559"/>
        <v>1280</v>
      </c>
      <c r="U136" s="400">
        <f ca="1">IF(MAX(IF($B$6="No",ROUNDUP($B$3/$I136,0),ROUNDUP(($B$3+$I136)/$I136,0)),IF($B$6="No",ROUNDUP($B$4/$G136,0),ROUNDUP(($B$4+$G136)/$G136,0)),ROUNDUP('BVMS checklist'!$H$217/$J136,0))&gt;1,'BVMS checklist'!$H$224,'BVMS checklist'!$H$217)+MAX(IF($B$6="No",ROUNDUP($B$3/$I136,0),ROUNDUP(($B$3+$I136)/$I136,0)),IF($B$6="No",ROUNDUP($B$4/$G136,0),ROUNDUP(($B$4+$G136)/$G136,0)))+$B$5</f>
        <v>1</v>
      </c>
      <c r="V136" s="400" t="b">
        <f t="shared" ca="1" si="551"/>
        <v>1</v>
      </c>
      <c r="W136" s="400" t="str">
        <f t="shared" ca="1" si="585"/>
        <v>Accepted</v>
      </c>
      <c r="X136" s="398" t="str">
        <f t="shared" ca="1" si="560"/>
        <v>No</v>
      </c>
      <c r="Y136" s="398" t="str">
        <f t="shared" ca="1" si="561"/>
        <v/>
      </c>
      <c r="Z136" s="398" t="str">
        <f t="shared" ca="1" si="562"/>
        <v/>
      </c>
      <c r="AA136" s="398">
        <f t="shared" ca="1" si="586"/>
        <v>6</v>
      </c>
      <c r="AB136" s="398">
        <f t="shared" ca="1" si="552"/>
        <v>2</v>
      </c>
      <c r="AC136" s="398">
        <f t="shared" ca="1" si="553"/>
        <v>608</v>
      </c>
      <c r="AD136" s="398">
        <f t="shared" ca="1" si="587"/>
        <v>495292</v>
      </c>
      <c r="AE136" s="399">
        <f t="shared" si="616"/>
        <v>0</v>
      </c>
      <c r="AF136" s="399">
        <f t="shared" si="617"/>
        <v>0</v>
      </c>
      <c r="AG136" s="483" t="str">
        <f t="shared" ca="1" si="563"/>
        <v/>
      </c>
      <c r="AH136" s="400">
        <f ca="1">IF(MAX(IF($C$6="No",ROUNDUP($C$3/$I136,0),ROUNDUP(($C$3+$I136)/$I136,0)),IF($C$6="No",ROUNDUP($C$4/$G136,0),ROUNDUP(($C$4+$G136)/$G136,0)),ROUNDUP('BVMS checklist'!$H$217/$J136,0))&gt;1,'BVMS checklist'!$J$224,'BVMS checklist'!$J$217)</f>
        <v>0</v>
      </c>
      <c r="AI136" s="398">
        <f t="shared" ca="1" si="564"/>
        <v>2</v>
      </c>
      <c r="AJ136" s="400">
        <f t="shared" ca="1" si="588"/>
        <v>2</v>
      </c>
      <c r="AK136" s="400">
        <f t="shared" ca="1" si="589"/>
        <v>5350</v>
      </c>
      <c r="AL136" s="400">
        <f t="shared" ca="1" si="590"/>
        <v>0</v>
      </c>
      <c r="AM136" s="398">
        <f t="shared" ca="1" si="591"/>
        <v>495292</v>
      </c>
      <c r="AN136" s="401" t="str">
        <f t="shared" ca="1" si="565"/>
        <v/>
      </c>
      <c r="AO136" s="398">
        <f t="shared" ca="1" si="592"/>
        <v>1280</v>
      </c>
      <c r="AP136" s="400">
        <f ca="1">IF(MAX(IF($C$6="No",ROUNDUP($C$3/$I136,0),ROUNDUP(($C$3+$I136)/$I136,0)),IF($C$6="No",ROUNDUP($C$4/$G136,0),ROUNDUP(($C$4+$G136)/$G136,0)),ROUNDUP('BVMS checklist'!$H$217/$J136,0))&gt;1,'BVMS checklist'!$J$224,'BVMS checklist'!$J$217)+MAX(IF($C$6="No",ROUNDUP($C$3/$I136,0),ROUNDUP(($C$3+$I136)/$I136,0)),IF($C$6="No",ROUNDUP($C$4/$G136,0),ROUNDUP(($C$4+$G136)/$G136,0)))+$C$5</f>
        <v>1</v>
      </c>
      <c r="AQ136" s="400" t="b">
        <f t="shared" ca="1" si="554"/>
        <v>1</v>
      </c>
      <c r="AR136" s="400" t="str">
        <f t="shared" ca="1" si="593"/>
        <v>Accepted</v>
      </c>
      <c r="AS136" s="398" t="str">
        <f t="shared" ca="1" si="579"/>
        <v>No</v>
      </c>
      <c r="AT136" s="398" t="str">
        <f t="shared" ca="1" si="594"/>
        <v/>
      </c>
      <c r="AU136" s="398" t="str">
        <f t="shared" ca="1" si="566"/>
        <v/>
      </c>
      <c r="AV136" s="398">
        <f t="shared" ca="1" si="567"/>
        <v>6</v>
      </c>
      <c r="AW136" s="398">
        <f t="shared" ca="1" si="595"/>
        <v>2</v>
      </c>
      <c r="AX136" s="398">
        <f t="shared" ca="1" si="596"/>
        <v>608</v>
      </c>
      <c r="AY136" s="398">
        <f t="shared" ca="1" si="597"/>
        <v>495292</v>
      </c>
      <c r="AZ136" s="399">
        <f t="shared" si="618"/>
        <v>0</v>
      </c>
      <c r="BA136" s="399">
        <f t="shared" si="619"/>
        <v>0</v>
      </c>
      <c r="BB136" s="483" t="str">
        <f t="shared" ca="1" si="568"/>
        <v/>
      </c>
      <c r="BC136" s="400">
        <f ca="1">IF(MAX(IF($D$6="No",ROUNDUP($D$3/$I136,0),ROUNDUP(($D$3+$I136)/$I136,0)),IF($D$6="No",ROUNDUP($D$4/$G136,0),ROUNDUP(($D$4+$G136)/$G136,0)),ROUNDUP('BVMS checklist'!$H$217/$J136,0))&gt;1,'BVMS checklist'!$L$224,'BVMS checklist'!$L$217)</f>
        <v>0</v>
      </c>
      <c r="BD136" s="398">
        <f t="shared" ca="1" si="569"/>
        <v>2</v>
      </c>
      <c r="BE136" s="400">
        <f t="shared" si="598"/>
        <v>1</v>
      </c>
      <c r="BF136" s="400">
        <f t="shared" si="599"/>
        <v>2675</v>
      </c>
      <c r="BG136" s="400">
        <f t="shared" ca="1" si="580"/>
        <v>0</v>
      </c>
      <c r="BH136" s="398">
        <f t="shared" ca="1" si="600"/>
        <v>495292</v>
      </c>
      <c r="BI136" s="401" t="str">
        <f t="shared" ca="1" si="570"/>
        <v/>
      </c>
      <c r="BJ136" s="398">
        <f t="shared" ca="1" si="601"/>
        <v>1280</v>
      </c>
      <c r="BK136" s="400">
        <f ca="1">IF(MAX(IF($D$6="No",ROUNDUP($D$3/$I136,0),ROUNDUP(($D$3+$I136)/$I136,0)),IF($D$6="No",ROUNDUP($D$4/$G136,0),ROUNDUP(($D$4+$G136)/$G136,0)),ROUNDUP('BVMS checklist'!$H$217/$J136,0))&gt;1,'BVMS checklist'!$L$224,'BVMS checklist'!$L$217)+MAX(IF($D$6="No",ROUNDUP($D$3/$I136,0),ROUNDUP(($D$3+$I136)/$I136,0)),IF($D$6="No",ROUNDUP($D$4/$G136,0),ROUNDUP(($D$4+$G136)/$G136,0)))+$D$5</f>
        <v>1</v>
      </c>
      <c r="BL136" s="400" t="b">
        <f t="shared" ca="1" si="555"/>
        <v>1</v>
      </c>
      <c r="BM136" s="400" t="str">
        <f t="shared" ca="1" si="602"/>
        <v>Accepted</v>
      </c>
      <c r="BN136" s="398" t="str">
        <f t="shared" ca="1" si="581"/>
        <v>No</v>
      </c>
      <c r="BO136" s="398" t="str">
        <f t="shared" ca="1" si="603"/>
        <v/>
      </c>
      <c r="BP136" s="398" t="str">
        <f t="shared" ca="1" si="571"/>
        <v/>
      </c>
      <c r="BQ136" s="398">
        <f t="shared" ca="1" si="572"/>
        <v>6</v>
      </c>
      <c r="BR136" s="398">
        <f t="shared" ca="1" si="604"/>
        <v>2</v>
      </c>
      <c r="BS136" s="398">
        <f t="shared" ca="1" si="605"/>
        <v>608</v>
      </c>
      <c r="BT136" s="398">
        <f t="shared" ca="1" si="606"/>
        <v>495292</v>
      </c>
      <c r="BU136" s="399">
        <f t="shared" si="620"/>
        <v>0</v>
      </c>
      <c r="BV136" s="399">
        <f t="shared" si="621"/>
        <v>0</v>
      </c>
      <c r="BW136" s="483" t="str">
        <f t="shared" ca="1" si="573"/>
        <v/>
      </c>
      <c r="BX136" s="400">
        <f ca="1">IF(MAX(IF($E$6="No",ROUNDUP($E$3/$I136,0),ROUNDUP(($E$3+$I136)/$I136,0)),IF($E$6="No",ROUNDUP($E$4/$G136,0),ROUNDUP(($E$4+$G136)/$G136,0)),ROUNDUP('BVMS checklist'!$H$217/$J136,0))&gt;1,'BVMS checklist'!$N$224,'BVMS checklist'!$N$217)</f>
        <v>0</v>
      </c>
      <c r="BY136" s="398">
        <f t="shared" ca="1" si="574"/>
        <v>2</v>
      </c>
      <c r="BZ136" s="400">
        <f t="shared" ca="1" si="607"/>
        <v>2</v>
      </c>
      <c r="CA136" s="400">
        <f t="shared" ca="1" si="608"/>
        <v>5350</v>
      </c>
      <c r="CB136" s="400">
        <f t="shared" ca="1" si="582"/>
        <v>0</v>
      </c>
      <c r="CC136" s="398">
        <f t="shared" ca="1" si="609"/>
        <v>495292</v>
      </c>
      <c r="CD136" s="401" t="str">
        <f t="shared" ca="1" si="575"/>
        <v/>
      </c>
      <c r="CE136" s="398">
        <f t="shared" ca="1" si="610"/>
        <v>1280</v>
      </c>
      <c r="CF136" s="400">
        <f ca="1">IF(MAX(IF($E$6="No",ROUNDUP($E$3/$I136,0),ROUNDUP(($E$3+$I136)/$I136,0)),IF($E$6="No",ROUNDUP($E$4/$G136,0),ROUNDUP(($E$4+$G136)/$G136,0)),ROUNDUP('BVMS checklist'!$H$217/$J136,0))&gt;1,'BVMS checklist'!$N$224,'BVMS checklist'!$N$217)+MAX(IF($E$6="No",ROUNDUP($E$3/$I136,0),ROUNDUP(($E$3+$I136)/$I136,0)),IF($E$6="No",ROUNDUP($E$4/$G136,0),ROUNDUP(($E$4+$G136)/$G136,0)))+$E$5</f>
        <v>1</v>
      </c>
      <c r="CG136" s="400" t="b">
        <f t="shared" ca="1" si="556"/>
        <v>1</v>
      </c>
      <c r="CH136" s="400" t="str">
        <f t="shared" ca="1" si="611"/>
        <v>Accepted</v>
      </c>
      <c r="CI136" s="398" t="str">
        <f t="shared" ca="1" si="583"/>
        <v>No</v>
      </c>
      <c r="CJ136" s="398" t="str">
        <f t="shared" ca="1" si="612"/>
        <v/>
      </c>
      <c r="CK136" s="398" t="str">
        <f t="shared" ca="1" si="576"/>
        <v/>
      </c>
      <c r="CL136" s="398">
        <f t="shared" ca="1" si="577"/>
        <v>6</v>
      </c>
      <c r="CM136" s="398">
        <f t="shared" ca="1" si="613"/>
        <v>2</v>
      </c>
      <c r="CN136" s="398">
        <f t="shared" ca="1" si="614"/>
        <v>608</v>
      </c>
      <c r="CO136" s="398">
        <f t="shared" ca="1" si="615"/>
        <v>495292</v>
      </c>
      <c r="CP136" s="399">
        <f t="shared" si="622"/>
        <v>0</v>
      </c>
      <c r="CQ136" s="399">
        <f t="shared" si="623"/>
        <v>0</v>
      </c>
      <c r="CR136" s="483" t="str">
        <f t="shared" ca="1" si="578"/>
        <v/>
      </c>
      <c r="CS136"/>
    </row>
    <row r="137" spans="1:97">
      <c r="A137" s="398" t="s">
        <v>479</v>
      </c>
      <c r="B137" s="398" t="s">
        <v>987</v>
      </c>
      <c r="C137" s="440" t="s">
        <v>891</v>
      </c>
      <c r="D137" s="398">
        <v>2</v>
      </c>
      <c r="E137" s="398"/>
      <c r="F137" s="440">
        <v>0</v>
      </c>
      <c r="G137" s="398">
        <f>IF(C137="RAID5",(((7-F137)*5586))+(1*(((15-F137)*7448))),(((6-F137)*5586))+(1*(((14-F137)*7448))))</f>
        <v>150822</v>
      </c>
      <c r="H137" s="399">
        <v>176</v>
      </c>
      <c r="I137" s="399">
        <v>1025</v>
      </c>
      <c r="J137" s="399">
        <v>256</v>
      </c>
      <c r="K137" s="399"/>
      <c r="L137" s="399"/>
      <c r="M137" s="400">
        <f ca="1">IF(MAX(IF($B$6="No",ROUNDUP($B$3/$I137,0),ROUNDUP(($B$3+$I137)/$I137,0)),IF($B$6="No",ROUNDUP($B$4/$G137,0),ROUNDUP(($B$4+$G137)/$G137,0)),ROUNDUP('BVMS checklist'!$H$217/$J137,0))&gt;1,'BVMS checklist'!$H$224,'BVMS checklist'!$H$217)</f>
        <v>0</v>
      </c>
      <c r="N137" s="398">
        <f t="shared" ca="1" si="557"/>
        <v>2</v>
      </c>
      <c r="O137" s="400">
        <f t="shared" ca="1" si="584"/>
        <v>2</v>
      </c>
      <c r="P137" s="400">
        <f t="shared" ca="1" si="548"/>
        <v>2050</v>
      </c>
      <c r="Q137" s="400">
        <f t="shared" ca="1" si="549"/>
        <v>0</v>
      </c>
      <c r="R137" s="398">
        <f t="shared" ca="1" si="550"/>
        <v>301644</v>
      </c>
      <c r="S137" s="401" t="str">
        <f t="shared" ca="1" si="558"/>
        <v/>
      </c>
      <c r="T137" s="398">
        <f t="shared" ca="1" si="559"/>
        <v>512</v>
      </c>
      <c r="U137" s="400">
        <f ca="1">IF(MAX(IF($B$6="No",ROUNDUP($B$3/$I137,0),ROUNDUP(($B$3+$I137)/$I137,0)),IF($B$6="No",ROUNDUP($B$4/$G137,0),ROUNDUP(($B$4+$G137)/$G137,0)),ROUNDUP('BVMS checklist'!$H$217/$J137,0))&gt;1,'BVMS checklist'!$H$224,'BVMS checklist'!$H$217)+MAX(IF($B$6="No",ROUNDUP($B$3/$I137,0),ROUNDUP(($B$3+$I137)/$I137,0)),IF($B$6="No",ROUNDUP($B$4/$G137,0),ROUNDUP(($B$4+$G137)/$G137,0)))+$B$5</f>
        <v>1</v>
      </c>
      <c r="V137" s="400" t="b">
        <f t="shared" ca="1" si="551"/>
        <v>1</v>
      </c>
      <c r="W137" s="400" t="str">
        <f t="shared" ca="1" si="585"/>
        <v>Accepted</v>
      </c>
      <c r="X137" s="398" t="str">
        <f t="shared" ca="1" si="560"/>
        <v>No</v>
      </c>
      <c r="Y137" s="398" t="str">
        <f t="shared" ca="1" si="561"/>
        <v/>
      </c>
      <c r="Z137" s="398" t="str">
        <f t="shared" ca="1" si="562"/>
        <v/>
      </c>
      <c r="AA137" s="398">
        <f t="shared" ca="1" si="586"/>
        <v>6</v>
      </c>
      <c r="AB137" s="398">
        <f t="shared" ca="1" si="552"/>
        <v>2</v>
      </c>
      <c r="AC137" s="398">
        <f t="shared" ca="1" si="553"/>
        <v>352</v>
      </c>
      <c r="AD137" s="398">
        <f t="shared" ca="1" si="587"/>
        <v>301644</v>
      </c>
      <c r="AE137" s="399">
        <f t="shared" si="616"/>
        <v>0</v>
      </c>
      <c r="AF137" s="399">
        <f t="shared" si="617"/>
        <v>0</v>
      </c>
      <c r="AG137" s="483" t="str">
        <f t="shared" ca="1" si="563"/>
        <v/>
      </c>
      <c r="AH137" s="400">
        <f ca="1">IF(MAX(IF($C$6="No",ROUNDUP($C$3/$I137,0),ROUNDUP(($C$3+$I137)/$I137,0)),IF($C$6="No",ROUNDUP($C$4/$G137,0),ROUNDUP(($C$4+$G137)/$G137,0)),ROUNDUP('BVMS checklist'!$H$217/$J137,0))&gt;1,'BVMS checklist'!$J$224,'BVMS checklist'!$J$217)</f>
        <v>0</v>
      </c>
      <c r="AI137" s="398">
        <f t="shared" ca="1" si="564"/>
        <v>2</v>
      </c>
      <c r="AJ137" s="400">
        <f t="shared" ca="1" si="588"/>
        <v>2</v>
      </c>
      <c r="AK137" s="400">
        <f t="shared" ca="1" si="589"/>
        <v>2050</v>
      </c>
      <c r="AL137" s="400">
        <f t="shared" ca="1" si="590"/>
        <v>0</v>
      </c>
      <c r="AM137" s="398">
        <f t="shared" ca="1" si="591"/>
        <v>301644</v>
      </c>
      <c r="AN137" s="401" t="str">
        <f t="shared" ca="1" si="565"/>
        <v/>
      </c>
      <c r="AO137" s="398">
        <f t="shared" ca="1" si="592"/>
        <v>512</v>
      </c>
      <c r="AP137" s="400">
        <f ca="1">IF(MAX(IF($C$6="No",ROUNDUP($C$3/$I137,0),ROUNDUP(($C$3+$I137)/$I137,0)),IF($C$6="No",ROUNDUP($C$4/$G137,0),ROUNDUP(($C$4+$G137)/$G137,0)),ROUNDUP('BVMS checklist'!$H$217/$J137,0))&gt;1,'BVMS checklist'!$J$224,'BVMS checklist'!$J$217)+MAX(IF($C$6="No",ROUNDUP($C$3/$I137,0),ROUNDUP(($C$3+$I137)/$I137,0)),IF($C$6="No",ROUNDUP($C$4/$G137,0),ROUNDUP(($C$4+$G137)/$G137,0)))+$C$5</f>
        <v>1</v>
      </c>
      <c r="AQ137" s="400" t="b">
        <f t="shared" ca="1" si="554"/>
        <v>1</v>
      </c>
      <c r="AR137" s="400" t="str">
        <f t="shared" ca="1" si="593"/>
        <v>Accepted</v>
      </c>
      <c r="AS137" s="398" t="str">
        <f t="shared" ca="1" si="579"/>
        <v>No</v>
      </c>
      <c r="AT137" s="398" t="str">
        <f t="shared" ca="1" si="594"/>
        <v/>
      </c>
      <c r="AU137" s="398" t="str">
        <f t="shared" ca="1" si="566"/>
        <v/>
      </c>
      <c r="AV137" s="398">
        <f t="shared" ca="1" si="567"/>
        <v>6</v>
      </c>
      <c r="AW137" s="398">
        <f t="shared" ca="1" si="595"/>
        <v>2</v>
      </c>
      <c r="AX137" s="398">
        <f t="shared" ca="1" si="596"/>
        <v>352</v>
      </c>
      <c r="AY137" s="398">
        <f t="shared" ca="1" si="597"/>
        <v>301644</v>
      </c>
      <c r="AZ137" s="399">
        <f t="shared" si="618"/>
        <v>0</v>
      </c>
      <c r="BA137" s="399">
        <f t="shared" si="619"/>
        <v>0</v>
      </c>
      <c r="BB137" s="483" t="str">
        <f t="shared" ca="1" si="568"/>
        <v/>
      </c>
      <c r="BC137" s="400">
        <f ca="1">IF(MAX(IF($D$6="No",ROUNDUP($D$3/$I137,0),ROUNDUP(($D$3+$I137)/$I137,0)),IF($D$6="No",ROUNDUP($D$4/$G137,0),ROUNDUP(($D$4+$G137)/$G137,0)),ROUNDUP('BVMS checklist'!$H$217/$J137,0))&gt;1,'BVMS checklist'!$L$224,'BVMS checklist'!$L$217)</f>
        <v>0</v>
      </c>
      <c r="BD137" s="398">
        <f t="shared" ca="1" si="569"/>
        <v>2</v>
      </c>
      <c r="BE137" s="400">
        <f t="shared" si="598"/>
        <v>1</v>
      </c>
      <c r="BF137" s="400">
        <f t="shared" si="599"/>
        <v>1025</v>
      </c>
      <c r="BG137" s="400">
        <f t="shared" ca="1" si="580"/>
        <v>0</v>
      </c>
      <c r="BH137" s="398">
        <f t="shared" ca="1" si="600"/>
        <v>301644</v>
      </c>
      <c r="BI137" s="401" t="str">
        <f t="shared" ca="1" si="570"/>
        <v/>
      </c>
      <c r="BJ137" s="398">
        <f t="shared" ca="1" si="601"/>
        <v>512</v>
      </c>
      <c r="BK137" s="400">
        <f ca="1">IF(MAX(IF($D$6="No",ROUNDUP($D$3/$I137,0),ROUNDUP(($D$3+$I137)/$I137,0)),IF($D$6="No",ROUNDUP($D$4/$G137,0),ROUNDUP(($D$4+$G137)/$G137,0)),ROUNDUP('BVMS checklist'!$H$217/$J137,0))&gt;1,'BVMS checklist'!$L$224,'BVMS checklist'!$L$217)+MAX(IF($D$6="No",ROUNDUP($D$3/$I137,0),ROUNDUP(($D$3+$I137)/$I137,0)),IF($D$6="No",ROUNDUP($D$4/$G137,0),ROUNDUP(($D$4+$G137)/$G137,0)))+$D$5</f>
        <v>1</v>
      </c>
      <c r="BL137" s="400" t="b">
        <f t="shared" ca="1" si="555"/>
        <v>1</v>
      </c>
      <c r="BM137" s="400" t="str">
        <f t="shared" ca="1" si="602"/>
        <v>Accepted</v>
      </c>
      <c r="BN137" s="398" t="str">
        <f t="shared" ca="1" si="581"/>
        <v>No</v>
      </c>
      <c r="BO137" s="398" t="str">
        <f t="shared" ca="1" si="603"/>
        <v/>
      </c>
      <c r="BP137" s="398" t="str">
        <f t="shared" ca="1" si="571"/>
        <v/>
      </c>
      <c r="BQ137" s="398">
        <f t="shared" ca="1" si="572"/>
        <v>6</v>
      </c>
      <c r="BR137" s="398">
        <f t="shared" ca="1" si="604"/>
        <v>2</v>
      </c>
      <c r="BS137" s="398">
        <f t="shared" ca="1" si="605"/>
        <v>352</v>
      </c>
      <c r="BT137" s="398">
        <f t="shared" ca="1" si="606"/>
        <v>301644</v>
      </c>
      <c r="BU137" s="399">
        <f t="shared" si="620"/>
        <v>0</v>
      </c>
      <c r="BV137" s="399">
        <f t="shared" si="621"/>
        <v>0</v>
      </c>
      <c r="BW137" s="483" t="str">
        <f t="shared" ca="1" si="573"/>
        <v/>
      </c>
      <c r="BX137" s="400">
        <f ca="1">IF(MAX(IF($E$6="No",ROUNDUP($E$3/$I137,0),ROUNDUP(($E$3+$I137)/$I137,0)),IF($E$6="No",ROUNDUP($E$4/$G137,0),ROUNDUP(($E$4+$G137)/$G137,0)),ROUNDUP('BVMS checklist'!$H$217/$J137,0))&gt;1,'BVMS checklist'!$N$224,'BVMS checklist'!$N$217)</f>
        <v>0</v>
      </c>
      <c r="BY137" s="398">
        <f t="shared" ca="1" si="574"/>
        <v>2</v>
      </c>
      <c r="BZ137" s="400">
        <f t="shared" ca="1" si="607"/>
        <v>2</v>
      </c>
      <c r="CA137" s="400">
        <f t="shared" ca="1" si="608"/>
        <v>2050</v>
      </c>
      <c r="CB137" s="400">
        <f t="shared" ca="1" si="582"/>
        <v>0</v>
      </c>
      <c r="CC137" s="398">
        <f t="shared" ca="1" si="609"/>
        <v>301644</v>
      </c>
      <c r="CD137" s="401" t="str">
        <f t="shared" ca="1" si="575"/>
        <v/>
      </c>
      <c r="CE137" s="398">
        <f t="shared" ca="1" si="610"/>
        <v>512</v>
      </c>
      <c r="CF137" s="400">
        <f ca="1">IF(MAX(IF($E$6="No",ROUNDUP($E$3/$I137,0),ROUNDUP(($E$3+$I137)/$I137,0)),IF($E$6="No",ROUNDUP($E$4/$G137,0),ROUNDUP(($E$4+$G137)/$G137,0)),ROUNDUP('BVMS checklist'!$H$217/$J137,0))&gt;1,'BVMS checklist'!$N$224,'BVMS checklist'!$N$217)+MAX(IF($E$6="No",ROUNDUP($E$3/$I137,0),ROUNDUP(($E$3+$I137)/$I137,0)),IF($E$6="No",ROUNDUP($E$4/$G137,0),ROUNDUP(($E$4+$G137)/$G137,0)))+$E$5</f>
        <v>1</v>
      </c>
      <c r="CG137" s="400" t="b">
        <f t="shared" ca="1" si="556"/>
        <v>1</v>
      </c>
      <c r="CH137" s="400" t="str">
        <f t="shared" ca="1" si="611"/>
        <v>Accepted</v>
      </c>
      <c r="CI137" s="398" t="str">
        <f t="shared" ca="1" si="583"/>
        <v>No</v>
      </c>
      <c r="CJ137" s="398" t="str">
        <f t="shared" ca="1" si="612"/>
        <v/>
      </c>
      <c r="CK137" s="398" t="str">
        <f t="shared" ca="1" si="576"/>
        <v/>
      </c>
      <c r="CL137" s="398">
        <f t="shared" ca="1" si="577"/>
        <v>6</v>
      </c>
      <c r="CM137" s="398">
        <f t="shared" ca="1" si="613"/>
        <v>2</v>
      </c>
      <c r="CN137" s="398">
        <f t="shared" ca="1" si="614"/>
        <v>352</v>
      </c>
      <c r="CO137" s="398">
        <f t="shared" ca="1" si="615"/>
        <v>301644</v>
      </c>
      <c r="CP137" s="399">
        <f t="shared" si="622"/>
        <v>0</v>
      </c>
      <c r="CQ137" s="399">
        <f t="shared" si="623"/>
        <v>0</v>
      </c>
      <c r="CR137" s="483" t="str">
        <f t="shared" ca="1" si="578"/>
        <v/>
      </c>
      <c r="CS137"/>
    </row>
    <row r="138" spans="1:97">
      <c r="A138" s="398" t="s">
        <v>480</v>
      </c>
      <c r="B138" s="398" t="s">
        <v>987</v>
      </c>
      <c r="C138" s="440" t="s">
        <v>891</v>
      </c>
      <c r="D138" s="398">
        <v>3</v>
      </c>
      <c r="E138" s="398"/>
      <c r="F138" s="440">
        <v>0</v>
      </c>
      <c r="G138" s="398">
        <f>IF(C138="RAID5",(((7-F138)*5586))+(2*(((15-F138)*7448))),(((6-F138)*5586))+(2*(((14-F138)*7448))))</f>
        <v>262542</v>
      </c>
      <c r="H138" s="399">
        <v>304</v>
      </c>
      <c r="I138" s="399">
        <v>1575</v>
      </c>
      <c r="J138" s="399">
        <v>384</v>
      </c>
      <c r="K138" s="399"/>
      <c r="L138" s="399"/>
      <c r="M138" s="400">
        <f ca="1">IF(MAX(IF($B$6="No",ROUNDUP($B$3/$I138,0),ROUNDUP(($B$3+$I138)/$I138,0)),IF($B$6="No",ROUNDUP($B$4/$G138,0),ROUNDUP(($B$4+$G138)/$G138,0)),ROUNDUP('BVMS checklist'!$H$217/$J138,0))&gt;1,'BVMS checklist'!$H$224,'BVMS checklist'!$H$217)</f>
        <v>0</v>
      </c>
      <c r="N138" s="398">
        <f t="shared" ca="1" si="557"/>
        <v>2</v>
      </c>
      <c r="O138" s="400">
        <f t="shared" ca="1" si="584"/>
        <v>2</v>
      </c>
      <c r="P138" s="400">
        <f t="shared" ca="1" si="548"/>
        <v>3150</v>
      </c>
      <c r="Q138" s="400">
        <f t="shared" ca="1" si="549"/>
        <v>0</v>
      </c>
      <c r="R138" s="398">
        <f t="shared" ca="1" si="550"/>
        <v>525084</v>
      </c>
      <c r="S138" s="401" t="str">
        <f t="shared" ca="1" si="558"/>
        <v/>
      </c>
      <c r="T138" s="398">
        <f t="shared" ca="1" si="559"/>
        <v>768</v>
      </c>
      <c r="U138" s="400">
        <f ca="1">IF(MAX(IF($B$6="No",ROUNDUP($B$3/$I138,0),ROUNDUP(($B$3+$I138)/$I138,0)),IF($B$6="No",ROUNDUP($B$4/$G138,0),ROUNDUP(($B$4+$G138)/$G138,0)),ROUNDUP('BVMS checklist'!$H$217/$J138,0))&gt;1,'BVMS checklist'!$H$224,'BVMS checklist'!$H$217)+MAX(IF($B$6="No",ROUNDUP($B$3/$I138,0),ROUNDUP(($B$3+$I138)/$I138,0)),IF($B$6="No",ROUNDUP($B$4/$G138,0),ROUNDUP(($B$4+$G138)/$G138,0)))+$B$5</f>
        <v>1</v>
      </c>
      <c r="V138" s="400" t="b">
        <f t="shared" ca="1" si="551"/>
        <v>1</v>
      </c>
      <c r="W138" s="400" t="str">
        <f t="shared" ca="1" si="585"/>
        <v>Accepted</v>
      </c>
      <c r="X138" s="398" t="str">
        <f t="shared" ca="1" si="560"/>
        <v>No</v>
      </c>
      <c r="Y138" s="398" t="str">
        <f t="shared" ca="1" si="561"/>
        <v/>
      </c>
      <c r="Z138" s="398" t="str">
        <f t="shared" ca="1" si="562"/>
        <v/>
      </c>
      <c r="AA138" s="398">
        <f t="shared" ca="1" si="586"/>
        <v>6</v>
      </c>
      <c r="AB138" s="398">
        <f t="shared" ca="1" si="552"/>
        <v>2</v>
      </c>
      <c r="AC138" s="398">
        <f t="shared" ca="1" si="553"/>
        <v>608</v>
      </c>
      <c r="AD138" s="398">
        <f t="shared" ca="1" si="587"/>
        <v>525084</v>
      </c>
      <c r="AE138" s="399">
        <f t="shared" si="616"/>
        <v>0</v>
      </c>
      <c r="AF138" s="399">
        <f t="shared" si="617"/>
        <v>0</v>
      </c>
      <c r="AG138" s="483" t="str">
        <f t="shared" ca="1" si="563"/>
        <v/>
      </c>
      <c r="AH138" s="400">
        <f ca="1">IF(MAX(IF($C$6="No",ROUNDUP($C$3/$I138,0),ROUNDUP(($C$3+$I138)/$I138,0)),IF($C$6="No",ROUNDUP($C$4/$G138,0),ROUNDUP(($C$4+$G138)/$G138,0)),ROUNDUP('BVMS checklist'!$H$217/$J138,0))&gt;1,'BVMS checklist'!$J$224,'BVMS checklist'!$J$217)</f>
        <v>0</v>
      </c>
      <c r="AI138" s="398">
        <f t="shared" ca="1" si="564"/>
        <v>2</v>
      </c>
      <c r="AJ138" s="400">
        <f t="shared" ca="1" si="588"/>
        <v>2</v>
      </c>
      <c r="AK138" s="400">
        <f t="shared" ca="1" si="589"/>
        <v>3150</v>
      </c>
      <c r="AL138" s="400">
        <f t="shared" ca="1" si="590"/>
        <v>0</v>
      </c>
      <c r="AM138" s="398">
        <f t="shared" ca="1" si="591"/>
        <v>525084</v>
      </c>
      <c r="AN138" s="401" t="str">
        <f t="shared" ca="1" si="565"/>
        <v/>
      </c>
      <c r="AO138" s="398">
        <f t="shared" ca="1" si="592"/>
        <v>768</v>
      </c>
      <c r="AP138" s="400">
        <f ca="1">IF(MAX(IF($C$6="No",ROUNDUP($C$3/$I138,0),ROUNDUP(($C$3+$I138)/$I138,0)),IF($C$6="No",ROUNDUP($C$4/$G138,0),ROUNDUP(($C$4+$G138)/$G138,0)),ROUNDUP('BVMS checklist'!$H$217/$J138,0))&gt;1,'BVMS checklist'!$J$224,'BVMS checklist'!$J$217)+MAX(IF($C$6="No",ROUNDUP($C$3/$I138,0),ROUNDUP(($C$3+$I138)/$I138,0)),IF($C$6="No",ROUNDUP($C$4/$G138,0),ROUNDUP(($C$4+$G138)/$G138,0)))+$C$5</f>
        <v>1</v>
      </c>
      <c r="AQ138" s="400" t="b">
        <f t="shared" ca="1" si="554"/>
        <v>1</v>
      </c>
      <c r="AR138" s="400" t="str">
        <f t="shared" ca="1" si="593"/>
        <v>Accepted</v>
      </c>
      <c r="AS138" s="398" t="str">
        <f t="shared" ca="1" si="579"/>
        <v>No</v>
      </c>
      <c r="AT138" s="398" t="str">
        <f t="shared" ca="1" si="594"/>
        <v/>
      </c>
      <c r="AU138" s="398" t="str">
        <f t="shared" ca="1" si="566"/>
        <v/>
      </c>
      <c r="AV138" s="398">
        <f t="shared" ca="1" si="567"/>
        <v>6</v>
      </c>
      <c r="AW138" s="398">
        <f t="shared" ca="1" si="595"/>
        <v>2</v>
      </c>
      <c r="AX138" s="398">
        <f t="shared" ca="1" si="596"/>
        <v>608</v>
      </c>
      <c r="AY138" s="398">
        <f t="shared" ca="1" si="597"/>
        <v>525084</v>
      </c>
      <c r="AZ138" s="399">
        <f t="shared" si="618"/>
        <v>0</v>
      </c>
      <c r="BA138" s="399">
        <f t="shared" si="619"/>
        <v>0</v>
      </c>
      <c r="BB138" s="483" t="str">
        <f t="shared" ca="1" si="568"/>
        <v/>
      </c>
      <c r="BC138" s="400">
        <f ca="1">IF(MAX(IF($D$6="No",ROUNDUP($D$3/$I138,0),ROUNDUP(($D$3+$I138)/$I138,0)),IF($D$6="No",ROUNDUP($D$4/$G138,0),ROUNDUP(($D$4+$G138)/$G138,0)),ROUNDUP('BVMS checklist'!$H$217/$J138,0))&gt;1,'BVMS checklist'!$L$224,'BVMS checklist'!$L$217)</f>
        <v>0</v>
      </c>
      <c r="BD138" s="398">
        <f t="shared" ca="1" si="569"/>
        <v>2</v>
      </c>
      <c r="BE138" s="400">
        <f t="shared" si="598"/>
        <v>1</v>
      </c>
      <c r="BF138" s="400">
        <f t="shared" si="599"/>
        <v>1575</v>
      </c>
      <c r="BG138" s="400">
        <f t="shared" ca="1" si="580"/>
        <v>0</v>
      </c>
      <c r="BH138" s="398">
        <f t="shared" ca="1" si="600"/>
        <v>525084</v>
      </c>
      <c r="BI138" s="401" t="str">
        <f t="shared" ca="1" si="570"/>
        <v/>
      </c>
      <c r="BJ138" s="398">
        <f t="shared" ca="1" si="601"/>
        <v>768</v>
      </c>
      <c r="BK138" s="400">
        <f ca="1">IF(MAX(IF($D$6="No",ROUNDUP($D$3/$I138,0),ROUNDUP(($D$3+$I138)/$I138,0)),IF($D$6="No",ROUNDUP($D$4/$G138,0),ROUNDUP(($D$4+$G138)/$G138,0)),ROUNDUP('BVMS checklist'!$H$217/$J138,0))&gt;1,'BVMS checklist'!$L$224,'BVMS checklist'!$L$217)+MAX(IF($D$6="No",ROUNDUP($D$3/$I138,0),ROUNDUP(($D$3+$I138)/$I138,0)),IF($D$6="No",ROUNDUP($D$4/$G138,0),ROUNDUP(($D$4+$G138)/$G138,0)))+$D$5</f>
        <v>1</v>
      </c>
      <c r="BL138" s="400" t="b">
        <f t="shared" ca="1" si="555"/>
        <v>1</v>
      </c>
      <c r="BM138" s="400" t="str">
        <f t="shared" ca="1" si="602"/>
        <v>Accepted</v>
      </c>
      <c r="BN138" s="398" t="str">
        <f t="shared" ca="1" si="581"/>
        <v>No</v>
      </c>
      <c r="BO138" s="398" t="str">
        <f t="shared" ca="1" si="603"/>
        <v/>
      </c>
      <c r="BP138" s="398" t="str">
        <f t="shared" ca="1" si="571"/>
        <v/>
      </c>
      <c r="BQ138" s="398">
        <f t="shared" ca="1" si="572"/>
        <v>6</v>
      </c>
      <c r="BR138" s="398">
        <f t="shared" ca="1" si="604"/>
        <v>2</v>
      </c>
      <c r="BS138" s="398">
        <f t="shared" ca="1" si="605"/>
        <v>608</v>
      </c>
      <c r="BT138" s="398">
        <f t="shared" ca="1" si="606"/>
        <v>525084</v>
      </c>
      <c r="BU138" s="399">
        <f t="shared" si="620"/>
        <v>0</v>
      </c>
      <c r="BV138" s="399">
        <f t="shared" si="621"/>
        <v>0</v>
      </c>
      <c r="BW138" s="483" t="str">
        <f t="shared" ca="1" si="573"/>
        <v/>
      </c>
      <c r="BX138" s="400">
        <f ca="1">IF(MAX(IF($E$6="No",ROUNDUP($E$3/$I138,0),ROUNDUP(($E$3+$I138)/$I138,0)),IF($E$6="No",ROUNDUP($E$4/$G138,0),ROUNDUP(($E$4+$G138)/$G138,0)),ROUNDUP('BVMS checklist'!$H$217/$J138,0))&gt;1,'BVMS checklist'!$N$224,'BVMS checklist'!$N$217)</f>
        <v>0</v>
      </c>
      <c r="BY138" s="398">
        <f t="shared" ca="1" si="574"/>
        <v>2</v>
      </c>
      <c r="BZ138" s="400">
        <f t="shared" ca="1" si="607"/>
        <v>2</v>
      </c>
      <c r="CA138" s="400">
        <f t="shared" ca="1" si="608"/>
        <v>3150</v>
      </c>
      <c r="CB138" s="400">
        <f t="shared" ca="1" si="582"/>
        <v>0</v>
      </c>
      <c r="CC138" s="398">
        <f t="shared" ca="1" si="609"/>
        <v>525084</v>
      </c>
      <c r="CD138" s="401" t="str">
        <f t="shared" ca="1" si="575"/>
        <v/>
      </c>
      <c r="CE138" s="398">
        <f t="shared" ca="1" si="610"/>
        <v>768</v>
      </c>
      <c r="CF138" s="400">
        <f ca="1">IF(MAX(IF($E$6="No",ROUNDUP($E$3/$I138,0),ROUNDUP(($E$3+$I138)/$I138,0)),IF($E$6="No",ROUNDUP($E$4/$G138,0),ROUNDUP(($E$4+$G138)/$G138,0)),ROUNDUP('BVMS checklist'!$H$217/$J138,0))&gt;1,'BVMS checklist'!$N$224,'BVMS checklist'!$N$217)+MAX(IF($E$6="No",ROUNDUP($E$3/$I138,0),ROUNDUP(($E$3+$I138)/$I138,0)),IF($E$6="No",ROUNDUP($E$4/$G138,0),ROUNDUP(($E$4+$G138)/$G138,0)))+$E$5</f>
        <v>1</v>
      </c>
      <c r="CG138" s="400" t="b">
        <f t="shared" ca="1" si="556"/>
        <v>1</v>
      </c>
      <c r="CH138" s="400" t="str">
        <f t="shared" ca="1" si="611"/>
        <v>Accepted</v>
      </c>
      <c r="CI138" s="398" t="str">
        <f t="shared" ca="1" si="583"/>
        <v>No</v>
      </c>
      <c r="CJ138" s="398" t="str">
        <f t="shared" ca="1" si="612"/>
        <v/>
      </c>
      <c r="CK138" s="398" t="str">
        <f t="shared" ca="1" si="576"/>
        <v/>
      </c>
      <c r="CL138" s="398">
        <f t="shared" ca="1" si="577"/>
        <v>6</v>
      </c>
      <c r="CM138" s="398">
        <f t="shared" ca="1" si="613"/>
        <v>2</v>
      </c>
      <c r="CN138" s="398">
        <f t="shared" ca="1" si="614"/>
        <v>608</v>
      </c>
      <c r="CO138" s="398">
        <f t="shared" ca="1" si="615"/>
        <v>525084</v>
      </c>
      <c r="CP138" s="399">
        <f t="shared" si="622"/>
        <v>0</v>
      </c>
      <c r="CQ138" s="399">
        <f t="shared" si="623"/>
        <v>0</v>
      </c>
      <c r="CR138" s="483" t="str">
        <f t="shared" ca="1" si="578"/>
        <v/>
      </c>
      <c r="CS138"/>
    </row>
    <row r="139" spans="1:97">
      <c r="A139" s="398" t="s">
        <v>481</v>
      </c>
      <c r="B139" s="398" t="s">
        <v>987</v>
      </c>
      <c r="C139" s="440" t="s">
        <v>891</v>
      </c>
      <c r="D139" s="398">
        <v>4</v>
      </c>
      <c r="E139" s="398"/>
      <c r="F139" s="440">
        <v>0</v>
      </c>
      <c r="G139" s="398">
        <f>IF(C139="RAID5",(((7-F139)*5586))+(3*(((15-F139)*7448))),(((6-F139)*5586))+(3*(((14-F139)*7448))))</f>
        <v>374262</v>
      </c>
      <c r="H139" s="399">
        <v>432</v>
      </c>
      <c r="I139" s="399">
        <v>2125</v>
      </c>
      <c r="J139" s="399">
        <v>512</v>
      </c>
      <c r="K139" s="399"/>
      <c r="L139" s="399"/>
      <c r="M139" s="400">
        <f ca="1">IF(MAX(IF($B$6="No",ROUNDUP($B$3/$I139,0),ROUNDUP(($B$3+$I139)/$I139,0)),IF($B$6="No",ROUNDUP($B$4/$G139,0),ROUNDUP(($B$4+$G139)/$G139,0)),ROUNDUP('BVMS checklist'!$H$217/$J139,0))&gt;1,'BVMS checklist'!$H$224,'BVMS checklist'!$H$217)</f>
        <v>0</v>
      </c>
      <c r="N139" s="398">
        <f t="shared" ca="1" si="557"/>
        <v>2</v>
      </c>
      <c r="O139" s="400">
        <f t="shared" ca="1" si="584"/>
        <v>2</v>
      </c>
      <c r="P139" s="400">
        <f t="shared" ca="1" si="548"/>
        <v>4250</v>
      </c>
      <c r="Q139" s="400">
        <f t="shared" ca="1" si="549"/>
        <v>0</v>
      </c>
      <c r="R139" s="398">
        <f t="shared" ca="1" si="550"/>
        <v>748524</v>
      </c>
      <c r="S139" s="401" t="str">
        <f t="shared" ca="1" si="558"/>
        <v/>
      </c>
      <c r="T139" s="398">
        <f t="shared" ca="1" si="559"/>
        <v>1024</v>
      </c>
      <c r="U139" s="400">
        <f ca="1">IF(MAX(IF($B$6="No",ROUNDUP($B$3/$I139,0),ROUNDUP(($B$3+$I139)/$I139,0)),IF($B$6="No",ROUNDUP($B$4/$G139,0),ROUNDUP(($B$4+$G139)/$G139,0)),ROUNDUP('BVMS checklist'!$H$217/$J139,0))&gt;1,'BVMS checklist'!$H$224,'BVMS checklist'!$H$217)+MAX(IF($B$6="No",ROUNDUP($B$3/$I139,0),ROUNDUP(($B$3+$I139)/$I139,0)),IF($B$6="No",ROUNDUP($B$4/$G139,0),ROUNDUP(($B$4+$G139)/$G139,0)))+$B$5</f>
        <v>1</v>
      </c>
      <c r="V139" s="400" t="b">
        <f t="shared" ca="1" si="551"/>
        <v>1</v>
      </c>
      <c r="W139" s="400" t="str">
        <f t="shared" ca="1" si="585"/>
        <v>Accepted</v>
      </c>
      <c r="X139" s="398" t="str">
        <f t="shared" ca="1" si="560"/>
        <v>No</v>
      </c>
      <c r="Y139" s="398" t="str">
        <f t="shared" ca="1" si="561"/>
        <v/>
      </c>
      <c r="Z139" s="398" t="str">
        <f t="shared" ca="1" si="562"/>
        <v/>
      </c>
      <c r="AA139" s="398">
        <f t="shared" ca="1" si="586"/>
        <v>6</v>
      </c>
      <c r="AB139" s="398">
        <f t="shared" ca="1" si="552"/>
        <v>2</v>
      </c>
      <c r="AC139" s="398">
        <f t="shared" ca="1" si="553"/>
        <v>864</v>
      </c>
      <c r="AD139" s="398">
        <f t="shared" ca="1" si="587"/>
        <v>748524</v>
      </c>
      <c r="AE139" s="399">
        <f t="shared" si="616"/>
        <v>0</v>
      </c>
      <c r="AF139" s="399">
        <f t="shared" si="617"/>
        <v>0</v>
      </c>
      <c r="AG139" s="483" t="str">
        <f t="shared" ca="1" si="563"/>
        <v/>
      </c>
      <c r="AH139" s="400">
        <f ca="1">IF(MAX(IF($C$6="No",ROUNDUP($C$3/$I139,0),ROUNDUP(($C$3+$I139)/$I139,0)),IF($C$6="No",ROUNDUP($C$4/$G139,0),ROUNDUP(($C$4+$G139)/$G139,0)),ROUNDUP('BVMS checklist'!$H$217/$J139,0))&gt;1,'BVMS checklist'!$J$224,'BVMS checklist'!$J$217)</f>
        <v>0</v>
      </c>
      <c r="AI139" s="398">
        <f t="shared" ca="1" si="564"/>
        <v>2</v>
      </c>
      <c r="AJ139" s="400">
        <f t="shared" ca="1" si="588"/>
        <v>2</v>
      </c>
      <c r="AK139" s="400">
        <f t="shared" ca="1" si="589"/>
        <v>4250</v>
      </c>
      <c r="AL139" s="400">
        <f t="shared" ca="1" si="590"/>
        <v>0</v>
      </c>
      <c r="AM139" s="398">
        <f t="shared" ca="1" si="591"/>
        <v>748524</v>
      </c>
      <c r="AN139" s="401" t="str">
        <f t="shared" ca="1" si="565"/>
        <v/>
      </c>
      <c r="AO139" s="398">
        <f t="shared" ca="1" si="592"/>
        <v>1024</v>
      </c>
      <c r="AP139" s="400">
        <f ca="1">IF(MAX(IF($C$6="No",ROUNDUP($C$3/$I139,0),ROUNDUP(($C$3+$I139)/$I139,0)),IF($C$6="No",ROUNDUP($C$4/$G139,0),ROUNDUP(($C$4+$G139)/$G139,0)),ROUNDUP('BVMS checklist'!$H$217/$J139,0))&gt;1,'BVMS checklist'!$J$224,'BVMS checklist'!$J$217)+MAX(IF($C$6="No",ROUNDUP($C$3/$I139,0),ROUNDUP(($C$3+$I139)/$I139,0)),IF($C$6="No",ROUNDUP($C$4/$G139,0),ROUNDUP(($C$4+$G139)/$G139,0)))+$C$5</f>
        <v>1</v>
      </c>
      <c r="AQ139" s="400" t="b">
        <f t="shared" ca="1" si="554"/>
        <v>1</v>
      </c>
      <c r="AR139" s="400" t="str">
        <f t="shared" ca="1" si="593"/>
        <v>Accepted</v>
      </c>
      <c r="AS139" s="398" t="str">
        <f t="shared" ca="1" si="579"/>
        <v>No</v>
      </c>
      <c r="AT139" s="398" t="str">
        <f t="shared" ca="1" si="594"/>
        <v/>
      </c>
      <c r="AU139" s="398" t="str">
        <f t="shared" ca="1" si="566"/>
        <v/>
      </c>
      <c r="AV139" s="398">
        <f t="shared" ca="1" si="567"/>
        <v>6</v>
      </c>
      <c r="AW139" s="398">
        <f t="shared" ca="1" si="595"/>
        <v>2</v>
      </c>
      <c r="AX139" s="398">
        <f t="shared" ca="1" si="596"/>
        <v>864</v>
      </c>
      <c r="AY139" s="398">
        <f t="shared" ca="1" si="597"/>
        <v>748524</v>
      </c>
      <c r="AZ139" s="399">
        <f t="shared" si="618"/>
        <v>0</v>
      </c>
      <c r="BA139" s="399">
        <f t="shared" si="619"/>
        <v>0</v>
      </c>
      <c r="BB139" s="483" t="str">
        <f t="shared" ca="1" si="568"/>
        <v/>
      </c>
      <c r="BC139" s="400">
        <f ca="1">IF(MAX(IF($D$6="No",ROUNDUP($D$3/$I139,0),ROUNDUP(($D$3+$I139)/$I139,0)),IF($D$6="No",ROUNDUP($D$4/$G139,0),ROUNDUP(($D$4+$G139)/$G139,0)),ROUNDUP('BVMS checklist'!$H$217/$J139,0))&gt;1,'BVMS checklist'!$L$224,'BVMS checklist'!$L$217)</f>
        <v>0</v>
      </c>
      <c r="BD139" s="398">
        <f t="shared" ca="1" si="569"/>
        <v>2</v>
      </c>
      <c r="BE139" s="400">
        <f t="shared" si="598"/>
        <v>1</v>
      </c>
      <c r="BF139" s="400">
        <f t="shared" si="599"/>
        <v>2125</v>
      </c>
      <c r="BG139" s="400">
        <f t="shared" ca="1" si="580"/>
        <v>0</v>
      </c>
      <c r="BH139" s="398">
        <f t="shared" ca="1" si="600"/>
        <v>748524</v>
      </c>
      <c r="BI139" s="401" t="str">
        <f t="shared" ca="1" si="570"/>
        <v/>
      </c>
      <c r="BJ139" s="398">
        <f t="shared" ca="1" si="601"/>
        <v>1024</v>
      </c>
      <c r="BK139" s="400">
        <f ca="1">IF(MAX(IF($D$6="No",ROUNDUP($D$3/$I139,0),ROUNDUP(($D$3+$I139)/$I139,0)),IF($D$6="No",ROUNDUP($D$4/$G139,0),ROUNDUP(($D$4+$G139)/$G139,0)),ROUNDUP('BVMS checklist'!$H$217/$J139,0))&gt;1,'BVMS checklist'!$L$224,'BVMS checklist'!$L$217)+MAX(IF($D$6="No",ROUNDUP($D$3/$I139,0),ROUNDUP(($D$3+$I139)/$I139,0)),IF($D$6="No",ROUNDUP($D$4/$G139,0),ROUNDUP(($D$4+$G139)/$G139,0)))+$D$5</f>
        <v>1</v>
      </c>
      <c r="BL139" s="400" t="b">
        <f t="shared" ca="1" si="555"/>
        <v>1</v>
      </c>
      <c r="BM139" s="400" t="str">
        <f t="shared" ca="1" si="602"/>
        <v>Accepted</v>
      </c>
      <c r="BN139" s="398" t="str">
        <f t="shared" ca="1" si="581"/>
        <v>No</v>
      </c>
      <c r="BO139" s="398" t="str">
        <f t="shared" ca="1" si="603"/>
        <v/>
      </c>
      <c r="BP139" s="398" t="str">
        <f t="shared" ca="1" si="571"/>
        <v/>
      </c>
      <c r="BQ139" s="398">
        <f t="shared" ca="1" si="572"/>
        <v>6</v>
      </c>
      <c r="BR139" s="398">
        <f t="shared" ca="1" si="604"/>
        <v>2</v>
      </c>
      <c r="BS139" s="398">
        <f t="shared" ca="1" si="605"/>
        <v>864</v>
      </c>
      <c r="BT139" s="398">
        <f t="shared" ca="1" si="606"/>
        <v>748524</v>
      </c>
      <c r="BU139" s="399">
        <f t="shared" si="620"/>
        <v>0</v>
      </c>
      <c r="BV139" s="399">
        <f t="shared" si="621"/>
        <v>0</v>
      </c>
      <c r="BW139" s="483" t="str">
        <f t="shared" ca="1" si="573"/>
        <v/>
      </c>
      <c r="BX139" s="400">
        <f ca="1">IF(MAX(IF($E$6="No",ROUNDUP($E$3/$I139,0),ROUNDUP(($E$3+$I139)/$I139,0)),IF($E$6="No",ROUNDUP($E$4/$G139,0),ROUNDUP(($E$4+$G139)/$G139,0)),ROUNDUP('BVMS checklist'!$H$217/$J139,0))&gt;1,'BVMS checklist'!$N$224,'BVMS checklist'!$N$217)</f>
        <v>0</v>
      </c>
      <c r="BY139" s="398">
        <f t="shared" ca="1" si="574"/>
        <v>2</v>
      </c>
      <c r="BZ139" s="400">
        <f t="shared" ca="1" si="607"/>
        <v>2</v>
      </c>
      <c r="CA139" s="400">
        <f t="shared" ca="1" si="608"/>
        <v>4250</v>
      </c>
      <c r="CB139" s="400">
        <f t="shared" ca="1" si="582"/>
        <v>0</v>
      </c>
      <c r="CC139" s="398">
        <f t="shared" ca="1" si="609"/>
        <v>748524</v>
      </c>
      <c r="CD139" s="401" t="str">
        <f t="shared" ca="1" si="575"/>
        <v/>
      </c>
      <c r="CE139" s="398">
        <f t="shared" ca="1" si="610"/>
        <v>1024</v>
      </c>
      <c r="CF139" s="400">
        <f ca="1">IF(MAX(IF($E$6="No",ROUNDUP($E$3/$I139,0),ROUNDUP(($E$3+$I139)/$I139,0)),IF($E$6="No",ROUNDUP($E$4/$G139,0),ROUNDUP(($E$4+$G139)/$G139,0)),ROUNDUP('BVMS checklist'!$H$217/$J139,0))&gt;1,'BVMS checklist'!$N$224,'BVMS checklist'!$N$217)+MAX(IF($E$6="No",ROUNDUP($E$3/$I139,0),ROUNDUP(($E$3+$I139)/$I139,0)),IF($E$6="No",ROUNDUP($E$4/$G139,0),ROUNDUP(($E$4+$G139)/$G139,0)))+$E$5</f>
        <v>1</v>
      </c>
      <c r="CG139" s="400" t="b">
        <f t="shared" ca="1" si="556"/>
        <v>1</v>
      </c>
      <c r="CH139" s="400" t="str">
        <f t="shared" ca="1" si="611"/>
        <v>Accepted</v>
      </c>
      <c r="CI139" s="398" t="str">
        <f t="shared" ca="1" si="583"/>
        <v>No</v>
      </c>
      <c r="CJ139" s="398" t="str">
        <f t="shared" ca="1" si="612"/>
        <v/>
      </c>
      <c r="CK139" s="398" t="str">
        <f t="shared" ca="1" si="576"/>
        <v/>
      </c>
      <c r="CL139" s="398">
        <f t="shared" ca="1" si="577"/>
        <v>6</v>
      </c>
      <c r="CM139" s="398">
        <f t="shared" ca="1" si="613"/>
        <v>2</v>
      </c>
      <c r="CN139" s="398">
        <f t="shared" ca="1" si="614"/>
        <v>864</v>
      </c>
      <c r="CO139" s="398">
        <f t="shared" ca="1" si="615"/>
        <v>748524</v>
      </c>
      <c r="CP139" s="399">
        <f t="shared" si="622"/>
        <v>0</v>
      </c>
      <c r="CQ139" s="399">
        <f t="shared" si="623"/>
        <v>0</v>
      </c>
      <c r="CR139" s="483" t="str">
        <f t="shared" ca="1" si="578"/>
        <v/>
      </c>
      <c r="CS139"/>
    </row>
    <row r="140" spans="1:97">
      <c r="A140" s="398" t="s">
        <v>482</v>
      </c>
      <c r="B140" s="398" t="s">
        <v>987</v>
      </c>
      <c r="C140" s="440" t="s">
        <v>891</v>
      </c>
      <c r="D140" s="398">
        <v>5</v>
      </c>
      <c r="E140" s="398"/>
      <c r="F140" s="440">
        <v>0</v>
      </c>
      <c r="G140" s="398">
        <f>IF(C140="RAID5",(((7-F140)*5586))+(4*(((15-F140)*7448))),(((6-F140)*5586))+(4*(((14-F140)*7448))))</f>
        <v>485982</v>
      </c>
      <c r="H140" s="399">
        <v>560</v>
      </c>
      <c r="I140" s="399">
        <v>2675</v>
      </c>
      <c r="J140" s="399">
        <v>640</v>
      </c>
      <c r="K140" s="399"/>
      <c r="L140" s="399"/>
      <c r="M140" s="400">
        <f ca="1">IF(MAX(IF($B$6="No",ROUNDUP($B$3/$I140,0),ROUNDUP(($B$3+$I140)/$I140,0)),IF($B$6="No",ROUNDUP($B$4/$G140,0),ROUNDUP(($B$4+$G140)/$G140,0)),ROUNDUP('BVMS checklist'!$H$217/$J140,0))&gt;1,'BVMS checklist'!$H$224,'BVMS checklist'!$H$217)</f>
        <v>0</v>
      </c>
      <c r="N140" s="398">
        <f t="shared" ca="1" si="557"/>
        <v>2</v>
      </c>
      <c r="O140" s="400">
        <f t="shared" ca="1" si="584"/>
        <v>2</v>
      </c>
      <c r="P140" s="400">
        <f t="shared" ca="1" si="548"/>
        <v>5350</v>
      </c>
      <c r="Q140" s="400">
        <f t="shared" ca="1" si="549"/>
        <v>0</v>
      </c>
      <c r="R140" s="398">
        <f t="shared" ca="1" si="550"/>
        <v>971964</v>
      </c>
      <c r="S140" s="401" t="str">
        <f t="shared" ca="1" si="558"/>
        <v/>
      </c>
      <c r="T140" s="398">
        <f t="shared" ca="1" si="559"/>
        <v>1280</v>
      </c>
      <c r="U140" s="400">
        <f ca="1">IF(MAX(IF($B$6="No",ROUNDUP($B$3/$I140,0),ROUNDUP(($B$3+$I140)/$I140,0)),IF($B$6="No",ROUNDUP($B$4/$G140,0),ROUNDUP(($B$4+$G140)/$G140,0)),ROUNDUP('BVMS checklist'!$H$217/$J140,0))&gt;1,'BVMS checklist'!$H$224,'BVMS checklist'!$H$217)+MAX(IF($B$6="No",ROUNDUP($B$3/$I140,0),ROUNDUP(($B$3+$I140)/$I140,0)),IF($B$6="No",ROUNDUP($B$4/$G140,0),ROUNDUP(($B$4+$G140)/$G140,0)))+$B$5</f>
        <v>1</v>
      </c>
      <c r="V140" s="400" t="b">
        <f t="shared" ca="1" si="551"/>
        <v>1</v>
      </c>
      <c r="W140" s="400" t="str">
        <f t="shared" ca="1" si="585"/>
        <v>Accepted</v>
      </c>
      <c r="X140" s="398" t="str">
        <f t="shared" ca="1" si="560"/>
        <v>No</v>
      </c>
      <c r="Y140" s="398" t="str">
        <f t="shared" ca="1" si="561"/>
        <v/>
      </c>
      <c r="Z140" s="398" t="str">
        <f t="shared" ca="1" si="562"/>
        <v/>
      </c>
      <c r="AA140" s="398">
        <f t="shared" ca="1" si="586"/>
        <v>6</v>
      </c>
      <c r="AB140" s="398">
        <f t="shared" ca="1" si="552"/>
        <v>2</v>
      </c>
      <c r="AC140" s="398">
        <f t="shared" ca="1" si="553"/>
        <v>1120</v>
      </c>
      <c r="AD140" s="398">
        <f t="shared" ca="1" si="587"/>
        <v>971964</v>
      </c>
      <c r="AE140" s="399">
        <f t="shared" si="616"/>
        <v>0</v>
      </c>
      <c r="AF140" s="399">
        <f t="shared" si="617"/>
        <v>0</v>
      </c>
      <c r="AG140" s="483" t="str">
        <f t="shared" ca="1" si="563"/>
        <v/>
      </c>
      <c r="AH140" s="400">
        <f ca="1">IF(MAX(IF($C$6="No",ROUNDUP($C$3/$I140,0),ROUNDUP(($C$3+$I140)/$I140,0)),IF($C$6="No",ROUNDUP($C$4/$G140,0),ROUNDUP(($C$4+$G140)/$G140,0)),ROUNDUP('BVMS checklist'!$H$217/$J140,0))&gt;1,'BVMS checklist'!$J$224,'BVMS checklist'!$J$217)</f>
        <v>0</v>
      </c>
      <c r="AI140" s="398">
        <f t="shared" ca="1" si="564"/>
        <v>2</v>
      </c>
      <c r="AJ140" s="400">
        <f t="shared" ca="1" si="588"/>
        <v>2</v>
      </c>
      <c r="AK140" s="400">
        <f t="shared" ca="1" si="589"/>
        <v>5350</v>
      </c>
      <c r="AL140" s="400">
        <f t="shared" ca="1" si="590"/>
        <v>0</v>
      </c>
      <c r="AM140" s="398">
        <f t="shared" ca="1" si="591"/>
        <v>971964</v>
      </c>
      <c r="AN140" s="401" t="str">
        <f t="shared" ca="1" si="565"/>
        <v/>
      </c>
      <c r="AO140" s="398">
        <f t="shared" ca="1" si="592"/>
        <v>1280</v>
      </c>
      <c r="AP140" s="400">
        <f ca="1">IF(MAX(IF($C$6="No",ROUNDUP($C$3/$I140,0),ROUNDUP(($C$3+$I140)/$I140,0)),IF($C$6="No",ROUNDUP($C$4/$G140,0),ROUNDUP(($C$4+$G140)/$G140,0)),ROUNDUP('BVMS checklist'!$H$217/$J140,0))&gt;1,'BVMS checklist'!$J$224,'BVMS checklist'!$J$217)+MAX(IF($C$6="No",ROUNDUP($C$3/$I140,0),ROUNDUP(($C$3+$I140)/$I140,0)),IF($C$6="No",ROUNDUP($C$4/$G140,0),ROUNDUP(($C$4+$G140)/$G140,0)))+$C$5</f>
        <v>1</v>
      </c>
      <c r="AQ140" s="400" t="b">
        <f t="shared" ca="1" si="554"/>
        <v>1</v>
      </c>
      <c r="AR140" s="400" t="str">
        <f t="shared" ca="1" si="593"/>
        <v>Accepted</v>
      </c>
      <c r="AS140" s="398" t="str">
        <f t="shared" ca="1" si="579"/>
        <v>No</v>
      </c>
      <c r="AT140" s="398" t="str">
        <f t="shared" ca="1" si="594"/>
        <v/>
      </c>
      <c r="AU140" s="398" t="str">
        <f t="shared" ca="1" si="566"/>
        <v/>
      </c>
      <c r="AV140" s="398">
        <f t="shared" ca="1" si="567"/>
        <v>6</v>
      </c>
      <c r="AW140" s="398">
        <f t="shared" ca="1" si="595"/>
        <v>2</v>
      </c>
      <c r="AX140" s="398">
        <f t="shared" ca="1" si="596"/>
        <v>1120</v>
      </c>
      <c r="AY140" s="398">
        <f t="shared" ca="1" si="597"/>
        <v>971964</v>
      </c>
      <c r="AZ140" s="399">
        <f t="shared" si="618"/>
        <v>0</v>
      </c>
      <c r="BA140" s="399">
        <f t="shared" si="619"/>
        <v>0</v>
      </c>
      <c r="BB140" s="483" t="str">
        <f t="shared" ca="1" si="568"/>
        <v/>
      </c>
      <c r="BC140" s="400">
        <f ca="1">IF(MAX(IF($D$6="No",ROUNDUP($D$3/$I140,0),ROUNDUP(($D$3+$I140)/$I140,0)),IF($D$6="No",ROUNDUP($D$4/$G140,0),ROUNDUP(($D$4+$G140)/$G140,0)),ROUNDUP('BVMS checklist'!$H$217/$J140,0))&gt;1,'BVMS checklist'!$L$224,'BVMS checklist'!$L$217)</f>
        <v>0</v>
      </c>
      <c r="BD140" s="398">
        <f t="shared" ca="1" si="569"/>
        <v>2</v>
      </c>
      <c r="BE140" s="400">
        <f t="shared" si="598"/>
        <v>1</v>
      </c>
      <c r="BF140" s="400">
        <f t="shared" si="599"/>
        <v>2675</v>
      </c>
      <c r="BG140" s="400">
        <f t="shared" ca="1" si="580"/>
        <v>0</v>
      </c>
      <c r="BH140" s="398">
        <f t="shared" ca="1" si="600"/>
        <v>971964</v>
      </c>
      <c r="BI140" s="401" t="str">
        <f t="shared" ca="1" si="570"/>
        <v/>
      </c>
      <c r="BJ140" s="398">
        <f t="shared" ca="1" si="601"/>
        <v>1280</v>
      </c>
      <c r="BK140" s="400">
        <f ca="1">IF(MAX(IF($D$6="No",ROUNDUP($D$3/$I140,0),ROUNDUP(($D$3+$I140)/$I140,0)),IF($D$6="No",ROUNDUP($D$4/$G140,0),ROUNDUP(($D$4+$G140)/$G140,0)),ROUNDUP('BVMS checklist'!$H$217/$J140,0))&gt;1,'BVMS checklist'!$L$224,'BVMS checklist'!$L$217)+MAX(IF($D$6="No",ROUNDUP($D$3/$I140,0),ROUNDUP(($D$3+$I140)/$I140,0)),IF($D$6="No",ROUNDUP($D$4/$G140,0),ROUNDUP(($D$4+$G140)/$G140,0)))+$D$5</f>
        <v>1</v>
      </c>
      <c r="BL140" s="400" t="b">
        <f t="shared" ca="1" si="555"/>
        <v>1</v>
      </c>
      <c r="BM140" s="400" t="str">
        <f t="shared" ca="1" si="602"/>
        <v>Accepted</v>
      </c>
      <c r="BN140" s="398" t="str">
        <f t="shared" ca="1" si="581"/>
        <v>No</v>
      </c>
      <c r="BO140" s="398" t="str">
        <f t="shared" ca="1" si="603"/>
        <v/>
      </c>
      <c r="BP140" s="398" t="str">
        <f t="shared" ca="1" si="571"/>
        <v/>
      </c>
      <c r="BQ140" s="398">
        <f t="shared" ca="1" si="572"/>
        <v>6</v>
      </c>
      <c r="BR140" s="398">
        <f t="shared" ca="1" si="604"/>
        <v>2</v>
      </c>
      <c r="BS140" s="398">
        <f t="shared" ca="1" si="605"/>
        <v>1120</v>
      </c>
      <c r="BT140" s="398">
        <f t="shared" ca="1" si="606"/>
        <v>971964</v>
      </c>
      <c r="BU140" s="399">
        <f t="shared" si="620"/>
        <v>0</v>
      </c>
      <c r="BV140" s="399">
        <f t="shared" si="621"/>
        <v>0</v>
      </c>
      <c r="BW140" s="483" t="str">
        <f t="shared" ca="1" si="573"/>
        <v/>
      </c>
      <c r="BX140" s="400">
        <f ca="1">IF(MAX(IF($E$6="No",ROUNDUP($E$3/$I140,0),ROUNDUP(($E$3+$I140)/$I140,0)),IF($E$6="No",ROUNDUP($E$4/$G140,0),ROUNDUP(($E$4+$G140)/$G140,0)),ROUNDUP('BVMS checklist'!$H$217/$J140,0))&gt;1,'BVMS checklist'!$N$224,'BVMS checklist'!$N$217)</f>
        <v>0</v>
      </c>
      <c r="BY140" s="398">
        <f t="shared" ca="1" si="574"/>
        <v>2</v>
      </c>
      <c r="BZ140" s="400">
        <f t="shared" ca="1" si="607"/>
        <v>2</v>
      </c>
      <c r="CA140" s="400">
        <f t="shared" ca="1" si="608"/>
        <v>5350</v>
      </c>
      <c r="CB140" s="400">
        <f t="shared" ca="1" si="582"/>
        <v>0</v>
      </c>
      <c r="CC140" s="398">
        <f t="shared" ca="1" si="609"/>
        <v>971964</v>
      </c>
      <c r="CD140" s="401" t="str">
        <f t="shared" ca="1" si="575"/>
        <v/>
      </c>
      <c r="CE140" s="398">
        <f t="shared" ca="1" si="610"/>
        <v>1280</v>
      </c>
      <c r="CF140" s="400">
        <f ca="1">IF(MAX(IF($E$6="No",ROUNDUP($E$3/$I140,0),ROUNDUP(($E$3+$I140)/$I140,0)),IF($E$6="No",ROUNDUP($E$4/$G140,0),ROUNDUP(($E$4+$G140)/$G140,0)),ROUNDUP('BVMS checklist'!$H$217/$J140,0))&gt;1,'BVMS checklist'!$N$224,'BVMS checklist'!$N$217)+MAX(IF($E$6="No",ROUNDUP($E$3/$I140,0),ROUNDUP(($E$3+$I140)/$I140,0)),IF($E$6="No",ROUNDUP($E$4/$G140,0),ROUNDUP(($E$4+$G140)/$G140,0)))+$E$5</f>
        <v>1</v>
      </c>
      <c r="CG140" s="400" t="b">
        <f t="shared" ca="1" si="556"/>
        <v>1</v>
      </c>
      <c r="CH140" s="400" t="str">
        <f t="shared" ca="1" si="611"/>
        <v>Accepted</v>
      </c>
      <c r="CI140" s="398" t="str">
        <f t="shared" ca="1" si="583"/>
        <v>No</v>
      </c>
      <c r="CJ140" s="398" t="str">
        <f t="shared" ca="1" si="612"/>
        <v/>
      </c>
      <c r="CK140" s="398" t="str">
        <f t="shared" ca="1" si="576"/>
        <v/>
      </c>
      <c r="CL140" s="398">
        <f t="shared" ca="1" si="577"/>
        <v>6</v>
      </c>
      <c r="CM140" s="398">
        <f t="shared" ca="1" si="613"/>
        <v>2</v>
      </c>
      <c r="CN140" s="398">
        <f t="shared" ca="1" si="614"/>
        <v>1120</v>
      </c>
      <c r="CO140" s="398">
        <f t="shared" ca="1" si="615"/>
        <v>971964</v>
      </c>
      <c r="CP140" s="399">
        <f t="shared" si="622"/>
        <v>0</v>
      </c>
      <c r="CQ140" s="399">
        <f t="shared" si="623"/>
        <v>0</v>
      </c>
      <c r="CR140" s="483" t="str">
        <f t="shared" ca="1" si="578"/>
        <v/>
      </c>
      <c r="CS140"/>
    </row>
    <row r="141" spans="1:97">
      <c r="A141" s="398" t="s">
        <v>407</v>
      </c>
      <c r="B141" s="398" t="s">
        <v>987</v>
      </c>
      <c r="C141" s="440" t="s">
        <v>891</v>
      </c>
      <c r="D141" s="398">
        <v>2</v>
      </c>
      <c r="E141" s="398"/>
      <c r="F141" s="440">
        <v>0</v>
      </c>
      <c r="G141" s="398">
        <f>IF(C141="RAID5",(((7-F141)*7448))+(1*(((7-F141)*2793))),(((6-F141)*7448))+(1*(((6-F141)*2793))))</f>
        <v>71687</v>
      </c>
      <c r="H141" s="399">
        <v>88</v>
      </c>
      <c r="I141" s="399">
        <v>1025</v>
      </c>
      <c r="J141" s="399">
        <v>256</v>
      </c>
      <c r="K141" s="399"/>
      <c r="L141" s="399"/>
      <c r="M141" s="400">
        <f ca="1">IF(MAX(IF($B$6="No",ROUNDUP($B$3/$I141,0),ROUNDUP(($B$3+$I141)/$I141,0)),IF($B$6="No",ROUNDUP($B$4/$G141,0),ROUNDUP(($B$4+$G141)/$G141,0)),ROUNDUP('BVMS checklist'!$H$217/$J141,0))&gt;1,'BVMS checklist'!$H$224,'BVMS checklist'!$H$217)</f>
        <v>0</v>
      </c>
      <c r="N141" s="398">
        <f t="shared" ca="1" si="557"/>
        <v>2</v>
      </c>
      <c r="O141" s="400">
        <f t="shared" ca="1" si="584"/>
        <v>2</v>
      </c>
      <c r="P141" s="400">
        <f t="shared" ca="1" si="548"/>
        <v>2050</v>
      </c>
      <c r="Q141" s="400">
        <f t="shared" ca="1" si="549"/>
        <v>0</v>
      </c>
      <c r="R141" s="398">
        <f t="shared" ca="1" si="550"/>
        <v>143374</v>
      </c>
      <c r="S141" s="401" t="str">
        <f t="shared" ca="1" si="558"/>
        <v/>
      </c>
      <c r="T141" s="398">
        <f t="shared" ca="1" si="559"/>
        <v>512</v>
      </c>
      <c r="U141" s="400">
        <f ca="1">IF(MAX(IF($B$6="No",ROUNDUP($B$3/$I141,0),ROUNDUP(($B$3+$I141)/$I141,0)),IF($B$6="No",ROUNDUP($B$4/$G141,0),ROUNDUP(($B$4+$G141)/$G141,0)),ROUNDUP('BVMS checklist'!$H$217/$J141,0))&gt;1,'BVMS checklist'!$H$224,'BVMS checklist'!$H$217)+MAX(IF($B$6="No",ROUNDUP($B$3/$I141,0),ROUNDUP(($B$3+$I141)/$I141,0)),IF($B$6="No",ROUNDUP($B$4/$G141,0),ROUNDUP(($B$4+$G141)/$G141,0)))+$B$5</f>
        <v>1</v>
      </c>
      <c r="V141" s="400" t="b">
        <f t="shared" ca="1" si="551"/>
        <v>1</v>
      </c>
      <c r="W141" s="400" t="str">
        <f t="shared" ca="1" si="585"/>
        <v>Accepted</v>
      </c>
      <c r="X141" s="398" t="str">
        <f t="shared" ca="1" si="560"/>
        <v>No</v>
      </c>
      <c r="Y141" s="398" t="str">
        <f t="shared" ca="1" si="561"/>
        <v/>
      </c>
      <c r="Z141" s="398" t="str">
        <f t="shared" ca="1" si="562"/>
        <v/>
      </c>
      <c r="AA141" s="398">
        <f t="shared" ca="1" si="586"/>
        <v>6</v>
      </c>
      <c r="AB141" s="398">
        <f t="shared" ca="1" si="552"/>
        <v>2</v>
      </c>
      <c r="AC141" s="398">
        <f t="shared" ca="1" si="553"/>
        <v>176</v>
      </c>
      <c r="AD141" s="398">
        <f t="shared" ca="1" si="587"/>
        <v>143374</v>
      </c>
      <c r="AE141" s="399">
        <f t="shared" si="616"/>
        <v>0</v>
      </c>
      <c r="AF141" s="399">
        <f t="shared" si="617"/>
        <v>0</v>
      </c>
      <c r="AG141" s="483" t="str">
        <f t="shared" ca="1" si="563"/>
        <v/>
      </c>
      <c r="AH141" s="400">
        <f ca="1">IF(MAX(IF($C$6="No",ROUNDUP($C$3/$I141,0),ROUNDUP(($C$3+$I141)/$I141,0)),IF($C$6="No",ROUNDUP($C$4/$G141,0),ROUNDUP(($C$4+$G141)/$G141,0)),ROUNDUP('BVMS checklist'!$H$217/$J141,0))&gt;1,'BVMS checklist'!$J$224,'BVMS checklist'!$J$217)</f>
        <v>0</v>
      </c>
      <c r="AI141" s="398">
        <f t="shared" ca="1" si="564"/>
        <v>2</v>
      </c>
      <c r="AJ141" s="400">
        <f t="shared" ca="1" si="588"/>
        <v>2</v>
      </c>
      <c r="AK141" s="400">
        <f t="shared" ca="1" si="589"/>
        <v>2050</v>
      </c>
      <c r="AL141" s="400">
        <f t="shared" ca="1" si="590"/>
        <v>0</v>
      </c>
      <c r="AM141" s="398">
        <f t="shared" ca="1" si="591"/>
        <v>143374</v>
      </c>
      <c r="AN141" s="401" t="str">
        <f t="shared" ca="1" si="565"/>
        <v/>
      </c>
      <c r="AO141" s="398">
        <f t="shared" ca="1" si="592"/>
        <v>512</v>
      </c>
      <c r="AP141" s="400">
        <f ca="1">IF(MAX(IF($C$6="No",ROUNDUP($C$3/$I141,0),ROUNDUP(($C$3+$I141)/$I141,0)),IF($C$6="No",ROUNDUP($C$4/$G141,0),ROUNDUP(($C$4+$G141)/$G141,0)),ROUNDUP('BVMS checklist'!$H$217/$J141,0))&gt;1,'BVMS checklist'!$J$224,'BVMS checklist'!$J$217)+MAX(IF($C$6="No",ROUNDUP($C$3/$I141,0),ROUNDUP(($C$3+$I141)/$I141,0)),IF($C$6="No",ROUNDUP($C$4/$G141,0),ROUNDUP(($C$4+$G141)/$G141,0)))+$C$5</f>
        <v>1</v>
      </c>
      <c r="AQ141" s="400" t="b">
        <f t="shared" ca="1" si="554"/>
        <v>1</v>
      </c>
      <c r="AR141" s="400" t="str">
        <f t="shared" ca="1" si="593"/>
        <v>Accepted</v>
      </c>
      <c r="AS141" s="398" t="str">
        <f t="shared" ca="1" si="579"/>
        <v>No</v>
      </c>
      <c r="AT141" s="398" t="str">
        <f t="shared" ca="1" si="594"/>
        <v/>
      </c>
      <c r="AU141" s="398" t="str">
        <f t="shared" ca="1" si="566"/>
        <v/>
      </c>
      <c r="AV141" s="398">
        <f t="shared" ca="1" si="567"/>
        <v>6</v>
      </c>
      <c r="AW141" s="398">
        <f t="shared" ca="1" si="595"/>
        <v>2</v>
      </c>
      <c r="AX141" s="398">
        <f t="shared" ca="1" si="596"/>
        <v>176</v>
      </c>
      <c r="AY141" s="398">
        <f t="shared" ca="1" si="597"/>
        <v>143374</v>
      </c>
      <c r="AZ141" s="399">
        <f t="shared" si="618"/>
        <v>0</v>
      </c>
      <c r="BA141" s="399">
        <f t="shared" si="619"/>
        <v>0</v>
      </c>
      <c r="BB141" s="483" t="str">
        <f t="shared" ca="1" si="568"/>
        <v/>
      </c>
      <c r="BC141" s="400">
        <f ca="1">IF(MAX(IF($D$6="No",ROUNDUP($D$3/$I141,0),ROUNDUP(($D$3+$I141)/$I141,0)),IF($D$6="No",ROUNDUP($D$4/$G141,0),ROUNDUP(($D$4+$G141)/$G141,0)),ROUNDUP('BVMS checklist'!$H$217/$J141,0))&gt;1,'BVMS checklist'!$L$224,'BVMS checklist'!$L$217)</f>
        <v>0</v>
      </c>
      <c r="BD141" s="398">
        <f t="shared" ca="1" si="569"/>
        <v>2</v>
      </c>
      <c r="BE141" s="400">
        <f t="shared" si="598"/>
        <v>1</v>
      </c>
      <c r="BF141" s="400">
        <f t="shared" si="599"/>
        <v>1025</v>
      </c>
      <c r="BG141" s="400">
        <f t="shared" ca="1" si="580"/>
        <v>0</v>
      </c>
      <c r="BH141" s="398">
        <f t="shared" ca="1" si="600"/>
        <v>143374</v>
      </c>
      <c r="BI141" s="401" t="str">
        <f t="shared" ca="1" si="570"/>
        <v/>
      </c>
      <c r="BJ141" s="398">
        <f t="shared" ca="1" si="601"/>
        <v>512</v>
      </c>
      <c r="BK141" s="400">
        <f ca="1">IF(MAX(IF($D$6="No",ROUNDUP($D$3/$I141,0),ROUNDUP(($D$3+$I141)/$I141,0)),IF($D$6="No",ROUNDUP($D$4/$G141,0),ROUNDUP(($D$4+$G141)/$G141,0)),ROUNDUP('BVMS checklist'!$H$217/$J141,0))&gt;1,'BVMS checklist'!$L$224,'BVMS checklist'!$L$217)+MAX(IF($D$6="No",ROUNDUP($D$3/$I141,0),ROUNDUP(($D$3+$I141)/$I141,0)),IF($D$6="No",ROUNDUP($D$4/$G141,0),ROUNDUP(($D$4+$G141)/$G141,0)))+$D$5</f>
        <v>1</v>
      </c>
      <c r="BL141" s="400" t="b">
        <f t="shared" ca="1" si="555"/>
        <v>1</v>
      </c>
      <c r="BM141" s="400" t="str">
        <f t="shared" ca="1" si="602"/>
        <v>Accepted</v>
      </c>
      <c r="BN141" s="398" t="str">
        <f t="shared" ca="1" si="581"/>
        <v>No</v>
      </c>
      <c r="BO141" s="398" t="str">
        <f t="shared" ca="1" si="603"/>
        <v/>
      </c>
      <c r="BP141" s="398" t="str">
        <f t="shared" ca="1" si="571"/>
        <v/>
      </c>
      <c r="BQ141" s="398">
        <f t="shared" ca="1" si="572"/>
        <v>6</v>
      </c>
      <c r="BR141" s="398">
        <f t="shared" ca="1" si="604"/>
        <v>2</v>
      </c>
      <c r="BS141" s="398">
        <f t="shared" ca="1" si="605"/>
        <v>176</v>
      </c>
      <c r="BT141" s="398">
        <f t="shared" ca="1" si="606"/>
        <v>143374</v>
      </c>
      <c r="BU141" s="399">
        <f t="shared" si="620"/>
        <v>0</v>
      </c>
      <c r="BV141" s="399">
        <f t="shared" si="621"/>
        <v>0</v>
      </c>
      <c r="BW141" s="483" t="str">
        <f t="shared" ca="1" si="573"/>
        <v/>
      </c>
      <c r="BX141" s="400">
        <f ca="1">IF(MAX(IF($E$6="No",ROUNDUP($E$3/$I141,0),ROUNDUP(($E$3+$I141)/$I141,0)),IF($E$6="No",ROUNDUP($E$4/$G141,0),ROUNDUP(($E$4+$G141)/$G141,0)),ROUNDUP('BVMS checklist'!$H$217/$J141,0))&gt;1,'BVMS checklist'!$N$224,'BVMS checklist'!$N$217)</f>
        <v>0</v>
      </c>
      <c r="BY141" s="398">
        <f t="shared" ca="1" si="574"/>
        <v>2</v>
      </c>
      <c r="BZ141" s="400">
        <f t="shared" ca="1" si="607"/>
        <v>2</v>
      </c>
      <c r="CA141" s="400">
        <f t="shared" ca="1" si="608"/>
        <v>2050</v>
      </c>
      <c r="CB141" s="400">
        <f t="shared" ca="1" si="582"/>
        <v>0</v>
      </c>
      <c r="CC141" s="398">
        <f t="shared" ca="1" si="609"/>
        <v>143374</v>
      </c>
      <c r="CD141" s="401" t="str">
        <f t="shared" ca="1" si="575"/>
        <v/>
      </c>
      <c r="CE141" s="398">
        <f t="shared" ca="1" si="610"/>
        <v>512</v>
      </c>
      <c r="CF141" s="400">
        <f ca="1">IF(MAX(IF($E$6="No",ROUNDUP($E$3/$I141,0),ROUNDUP(($E$3+$I141)/$I141,0)),IF($E$6="No",ROUNDUP($E$4/$G141,0),ROUNDUP(($E$4+$G141)/$G141,0)),ROUNDUP('BVMS checklist'!$H$217/$J141,0))&gt;1,'BVMS checklist'!$N$224,'BVMS checklist'!$N$217)+MAX(IF($E$6="No",ROUNDUP($E$3/$I141,0),ROUNDUP(($E$3+$I141)/$I141,0)),IF($E$6="No",ROUNDUP($E$4/$G141,0),ROUNDUP(($E$4+$G141)/$G141,0)))+$E$5</f>
        <v>1</v>
      </c>
      <c r="CG141" s="400" t="b">
        <f t="shared" ca="1" si="556"/>
        <v>1</v>
      </c>
      <c r="CH141" s="400" t="str">
        <f t="shared" ca="1" si="611"/>
        <v>Accepted</v>
      </c>
      <c r="CI141" s="398" t="str">
        <f t="shared" ca="1" si="583"/>
        <v>No</v>
      </c>
      <c r="CJ141" s="398" t="str">
        <f t="shared" ca="1" si="612"/>
        <v/>
      </c>
      <c r="CK141" s="398" t="str">
        <f t="shared" ca="1" si="576"/>
        <v/>
      </c>
      <c r="CL141" s="398">
        <f t="shared" ca="1" si="577"/>
        <v>6</v>
      </c>
      <c r="CM141" s="398">
        <f t="shared" ca="1" si="613"/>
        <v>2</v>
      </c>
      <c r="CN141" s="398">
        <f t="shared" ca="1" si="614"/>
        <v>176</v>
      </c>
      <c r="CO141" s="398">
        <f t="shared" ca="1" si="615"/>
        <v>143374</v>
      </c>
      <c r="CP141" s="399">
        <f t="shared" si="622"/>
        <v>0</v>
      </c>
      <c r="CQ141" s="399">
        <f t="shared" si="623"/>
        <v>0</v>
      </c>
      <c r="CR141" s="483" t="str">
        <f t="shared" ca="1" si="578"/>
        <v/>
      </c>
      <c r="CS141"/>
    </row>
    <row r="142" spans="1:97">
      <c r="A142" s="398" t="s">
        <v>408</v>
      </c>
      <c r="B142" s="398" t="s">
        <v>987</v>
      </c>
      <c r="C142" s="440" t="s">
        <v>891</v>
      </c>
      <c r="D142" s="398">
        <v>3</v>
      </c>
      <c r="E142" s="398"/>
      <c r="F142" s="440">
        <v>0</v>
      </c>
      <c r="G142" s="398">
        <f>IF(C142="RAID5",(((7-F142)*7448))+(2*(((7-F142)*2793))),(((6-F142)*7448))+(2*(((6-F142)*2793))))</f>
        <v>91238</v>
      </c>
      <c r="H142" s="399">
        <v>112</v>
      </c>
      <c r="I142" s="399">
        <v>1575</v>
      </c>
      <c r="J142" s="399">
        <v>384</v>
      </c>
      <c r="K142" s="399"/>
      <c r="L142" s="399"/>
      <c r="M142" s="400">
        <f ca="1">IF(MAX(IF($B$6="No",ROUNDUP($B$3/$I142,0),ROUNDUP(($B$3+$I142)/$I142,0)),IF($B$6="No",ROUNDUP($B$4/$G142,0),ROUNDUP(($B$4+$G142)/$G142,0)),ROUNDUP('BVMS checklist'!$H$217/$J142,0))&gt;1,'BVMS checklist'!$H$224,'BVMS checklist'!$H$217)</f>
        <v>0</v>
      </c>
      <c r="N142" s="398">
        <f t="shared" ca="1" si="557"/>
        <v>2</v>
      </c>
      <c r="O142" s="400">
        <f t="shared" ca="1" si="584"/>
        <v>2</v>
      </c>
      <c r="P142" s="400">
        <f t="shared" ca="1" si="548"/>
        <v>3150</v>
      </c>
      <c r="Q142" s="400">
        <f t="shared" ca="1" si="549"/>
        <v>0</v>
      </c>
      <c r="R142" s="398">
        <f t="shared" ca="1" si="550"/>
        <v>182476</v>
      </c>
      <c r="S142" s="401" t="str">
        <f t="shared" ca="1" si="558"/>
        <v/>
      </c>
      <c r="T142" s="398">
        <f t="shared" ca="1" si="559"/>
        <v>768</v>
      </c>
      <c r="U142" s="400">
        <f ca="1">IF(MAX(IF($B$6="No",ROUNDUP($B$3/$I142,0),ROUNDUP(($B$3+$I142)/$I142,0)),IF($B$6="No",ROUNDUP($B$4/$G142,0),ROUNDUP(($B$4+$G142)/$G142,0)),ROUNDUP('BVMS checklist'!$H$217/$J142,0))&gt;1,'BVMS checklist'!$H$224,'BVMS checklist'!$H$217)+MAX(IF($B$6="No",ROUNDUP($B$3/$I142,0),ROUNDUP(($B$3+$I142)/$I142,0)),IF($B$6="No",ROUNDUP($B$4/$G142,0),ROUNDUP(($B$4+$G142)/$G142,0)))+$B$5</f>
        <v>1</v>
      </c>
      <c r="V142" s="400" t="b">
        <f t="shared" ca="1" si="551"/>
        <v>1</v>
      </c>
      <c r="W142" s="400" t="str">
        <f t="shared" ca="1" si="585"/>
        <v>Accepted</v>
      </c>
      <c r="X142" s="398" t="str">
        <f t="shared" ca="1" si="560"/>
        <v>No</v>
      </c>
      <c r="Y142" s="398" t="str">
        <f t="shared" ca="1" si="561"/>
        <v/>
      </c>
      <c r="Z142" s="398" t="str">
        <f t="shared" ca="1" si="562"/>
        <v/>
      </c>
      <c r="AA142" s="398">
        <f t="shared" ca="1" si="586"/>
        <v>6</v>
      </c>
      <c r="AB142" s="398">
        <f t="shared" ca="1" si="552"/>
        <v>2</v>
      </c>
      <c r="AC142" s="398">
        <f t="shared" ca="1" si="553"/>
        <v>224</v>
      </c>
      <c r="AD142" s="398">
        <f t="shared" ca="1" si="587"/>
        <v>182476</v>
      </c>
      <c r="AE142" s="399">
        <f t="shared" si="616"/>
        <v>0</v>
      </c>
      <c r="AF142" s="399">
        <f t="shared" si="617"/>
        <v>0</v>
      </c>
      <c r="AG142" s="483" t="str">
        <f t="shared" ca="1" si="563"/>
        <v/>
      </c>
      <c r="AH142" s="400">
        <f ca="1">IF(MAX(IF($C$6="No",ROUNDUP($C$3/$I142,0),ROUNDUP(($C$3+$I142)/$I142,0)),IF($C$6="No",ROUNDUP($C$4/$G142,0),ROUNDUP(($C$4+$G142)/$G142,0)),ROUNDUP('BVMS checklist'!$H$217/$J142,0))&gt;1,'BVMS checklist'!$J$224,'BVMS checklist'!$J$217)</f>
        <v>0</v>
      </c>
      <c r="AI142" s="398">
        <f t="shared" ca="1" si="564"/>
        <v>2</v>
      </c>
      <c r="AJ142" s="400">
        <f t="shared" ca="1" si="588"/>
        <v>2</v>
      </c>
      <c r="AK142" s="400">
        <f t="shared" ca="1" si="589"/>
        <v>3150</v>
      </c>
      <c r="AL142" s="400">
        <f t="shared" ca="1" si="590"/>
        <v>0</v>
      </c>
      <c r="AM142" s="398">
        <f t="shared" ca="1" si="591"/>
        <v>182476</v>
      </c>
      <c r="AN142" s="401" t="str">
        <f t="shared" ca="1" si="565"/>
        <v/>
      </c>
      <c r="AO142" s="398">
        <f t="shared" ca="1" si="592"/>
        <v>768</v>
      </c>
      <c r="AP142" s="400">
        <f ca="1">IF(MAX(IF($C$6="No",ROUNDUP($C$3/$I142,0),ROUNDUP(($C$3+$I142)/$I142,0)),IF($C$6="No",ROUNDUP($C$4/$G142,0),ROUNDUP(($C$4+$G142)/$G142,0)),ROUNDUP('BVMS checklist'!$H$217/$J142,0))&gt;1,'BVMS checklist'!$J$224,'BVMS checklist'!$J$217)+MAX(IF($C$6="No",ROUNDUP($C$3/$I142,0),ROUNDUP(($C$3+$I142)/$I142,0)),IF($C$6="No",ROUNDUP($C$4/$G142,0),ROUNDUP(($C$4+$G142)/$G142,0)))+$C$5</f>
        <v>1</v>
      </c>
      <c r="AQ142" s="400" t="b">
        <f t="shared" ca="1" si="554"/>
        <v>1</v>
      </c>
      <c r="AR142" s="400" t="str">
        <f t="shared" ca="1" si="593"/>
        <v>Accepted</v>
      </c>
      <c r="AS142" s="398" t="str">
        <f t="shared" ca="1" si="579"/>
        <v>No</v>
      </c>
      <c r="AT142" s="398" t="str">
        <f t="shared" ca="1" si="594"/>
        <v/>
      </c>
      <c r="AU142" s="398" t="str">
        <f t="shared" ca="1" si="566"/>
        <v/>
      </c>
      <c r="AV142" s="398">
        <f t="shared" ca="1" si="567"/>
        <v>6</v>
      </c>
      <c r="AW142" s="398">
        <f t="shared" ca="1" si="595"/>
        <v>2</v>
      </c>
      <c r="AX142" s="398">
        <f t="shared" ca="1" si="596"/>
        <v>224</v>
      </c>
      <c r="AY142" s="398">
        <f t="shared" ca="1" si="597"/>
        <v>182476</v>
      </c>
      <c r="AZ142" s="399">
        <f t="shared" si="618"/>
        <v>0</v>
      </c>
      <c r="BA142" s="399">
        <f t="shared" si="619"/>
        <v>0</v>
      </c>
      <c r="BB142" s="483" t="str">
        <f t="shared" ca="1" si="568"/>
        <v/>
      </c>
      <c r="BC142" s="400">
        <f ca="1">IF(MAX(IF($D$6="No",ROUNDUP($D$3/$I142,0),ROUNDUP(($D$3+$I142)/$I142,0)),IF($D$6="No",ROUNDUP($D$4/$G142,0),ROUNDUP(($D$4+$G142)/$G142,0)),ROUNDUP('BVMS checklist'!$H$217/$J142,0))&gt;1,'BVMS checklist'!$L$224,'BVMS checklist'!$L$217)</f>
        <v>0</v>
      </c>
      <c r="BD142" s="398">
        <f t="shared" ca="1" si="569"/>
        <v>2</v>
      </c>
      <c r="BE142" s="400">
        <f t="shared" si="598"/>
        <v>1</v>
      </c>
      <c r="BF142" s="400">
        <f t="shared" si="599"/>
        <v>1575</v>
      </c>
      <c r="BG142" s="400">
        <f t="shared" ca="1" si="580"/>
        <v>0</v>
      </c>
      <c r="BH142" s="398">
        <f t="shared" ca="1" si="600"/>
        <v>182476</v>
      </c>
      <c r="BI142" s="401" t="str">
        <f t="shared" ca="1" si="570"/>
        <v/>
      </c>
      <c r="BJ142" s="398">
        <f t="shared" ca="1" si="601"/>
        <v>768</v>
      </c>
      <c r="BK142" s="400">
        <f ca="1">IF(MAX(IF($D$6="No",ROUNDUP($D$3/$I142,0),ROUNDUP(($D$3+$I142)/$I142,0)),IF($D$6="No",ROUNDUP($D$4/$G142,0),ROUNDUP(($D$4+$G142)/$G142,0)),ROUNDUP('BVMS checklist'!$H$217/$J142,0))&gt;1,'BVMS checklist'!$L$224,'BVMS checklist'!$L$217)+MAX(IF($D$6="No",ROUNDUP($D$3/$I142,0),ROUNDUP(($D$3+$I142)/$I142,0)),IF($D$6="No",ROUNDUP($D$4/$G142,0),ROUNDUP(($D$4+$G142)/$G142,0)))+$D$5</f>
        <v>1</v>
      </c>
      <c r="BL142" s="400" t="b">
        <f t="shared" ca="1" si="555"/>
        <v>1</v>
      </c>
      <c r="BM142" s="400" t="str">
        <f t="shared" ca="1" si="602"/>
        <v>Accepted</v>
      </c>
      <c r="BN142" s="398" t="str">
        <f t="shared" ca="1" si="581"/>
        <v>No</v>
      </c>
      <c r="BO142" s="398" t="str">
        <f t="shared" ca="1" si="603"/>
        <v/>
      </c>
      <c r="BP142" s="398" t="str">
        <f t="shared" ca="1" si="571"/>
        <v/>
      </c>
      <c r="BQ142" s="398">
        <f t="shared" ca="1" si="572"/>
        <v>6</v>
      </c>
      <c r="BR142" s="398">
        <f t="shared" ca="1" si="604"/>
        <v>2</v>
      </c>
      <c r="BS142" s="398">
        <f t="shared" ca="1" si="605"/>
        <v>224</v>
      </c>
      <c r="BT142" s="398">
        <f t="shared" ca="1" si="606"/>
        <v>182476</v>
      </c>
      <c r="BU142" s="399">
        <f t="shared" si="620"/>
        <v>0</v>
      </c>
      <c r="BV142" s="399">
        <f t="shared" si="621"/>
        <v>0</v>
      </c>
      <c r="BW142" s="483" t="str">
        <f t="shared" ca="1" si="573"/>
        <v/>
      </c>
      <c r="BX142" s="400">
        <f ca="1">IF(MAX(IF($E$6="No",ROUNDUP($E$3/$I142,0),ROUNDUP(($E$3+$I142)/$I142,0)),IF($E$6="No",ROUNDUP($E$4/$G142,0),ROUNDUP(($E$4+$G142)/$G142,0)),ROUNDUP('BVMS checklist'!$H$217/$J142,0))&gt;1,'BVMS checklist'!$N$224,'BVMS checklist'!$N$217)</f>
        <v>0</v>
      </c>
      <c r="BY142" s="398">
        <f t="shared" ca="1" si="574"/>
        <v>2</v>
      </c>
      <c r="BZ142" s="400">
        <f t="shared" ca="1" si="607"/>
        <v>2</v>
      </c>
      <c r="CA142" s="400">
        <f t="shared" ca="1" si="608"/>
        <v>3150</v>
      </c>
      <c r="CB142" s="400">
        <f t="shared" ca="1" si="582"/>
        <v>0</v>
      </c>
      <c r="CC142" s="398">
        <f t="shared" ca="1" si="609"/>
        <v>182476</v>
      </c>
      <c r="CD142" s="401" t="str">
        <f t="shared" ca="1" si="575"/>
        <v/>
      </c>
      <c r="CE142" s="398">
        <f t="shared" ca="1" si="610"/>
        <v>768</v>
      </c>
      <c r="CF142" s="400">
        <f ca="1">IF(MAX(IF($E$6="No",ROUNDUP($E$3/$I142,0),ROUNDUP(($E$3+$I142)/$I142,0)),IF($E$6="No",ROUNDUP($E$4/$G142,0),ROUNDUP(($E$4+$G142)/$G142,0)),ROUNDUP('BVMS checklist'!$H$217/$J142,0))&gt;1,'BVMS checklist'!$N$224,'BVMS checklist'!$N$217)+MAX(IF($E$6="No",ROUNDUP($E$3/$I142,0),ROUNDUP(($E$3+$I142)/$I142,0)),IF($E$6="No",ROUNDUP($E$4/$G142,0),ROUNDUP(($E$4+$G142)/$G142,0)))+$E$5</f>
        <v>1</v>
      </c>
      <c r="CG142" s="400" t="b">
        <f t="shared" ca="1" si="556"/>
        <v>1</v>
      </c>
      <c r="CH142" s="400" t="str">
        <f t="shared" ca="1" si="611"/>
        <v>Accepted</v>
      </c>
      <c r="CI142" s="398" t="str">
        <f t="shared" ca="1" si="583"/>
        <v>No</v>
      </c>
      <c r="CJ142" s="398" t="str">
        <f t="shared" ca="1" si="612"/>
        <v/>
      </c>
      <c r="CK142" s="398" t="str">
        <f t="shared" ca="1" si="576"/>
        <v/>
      </c>
      <c r="CL142" s="398">
        <f t="shared" ca="1" si="577"/>
        <v>6</v>
      </c>
      <c r="CM142" s="398">
        <f t="shared" ca="1" si="613"/>
        <v>2</v>
      </c>
      <c r="CN142" s="398">
        <f t="shared" ca="1" si="614"/>
        <v>224</v>
      </c>
      <c r="CO142" s="398">
        <f t="shared" ca="1" si="615"/>
        <v>182476</v>
      </c>
      <c r="CP142" s="399">
        <f t="shared" si="622"/>
        <v>0</v>
      </c>
      <c r="CQ142" s="399">
        <f t="shared" si="623"/>
        <v>0</v>
      </c>
      <c r="CR142" s="483" t="str">
        <f t="shared" ca="1" si="578"/>
        <v/>
      </c>
      <c r="CS142"/>
    </row>
    <row r="143" spans="1:97">
      <c r="A143" s="398" t="s">
        <v>409</v>
      </c>
      <c r="B143" s="398" t="s">
        <v>987</v>
      </c>
      <c r="C143" s="440" t="s">
        <v>891</v>
      </c>
      <c r="D143" s="398">
        <v>4</v>
      </c>
      <c r="E143" s="398"/>
      <c r="F143" s="440">
        <v>0</v>
      </c>
      <c r="G143" s="398">
        <f>IF(C143="RAID5",(((7-F143)*7448))+(3*(((7-F143)*2793))),(((6-F143)*7448))+(3*(((6-F143)*2793))))</f>
        <v>110789</v>
      </c>
      <c r="H143" s="399">
        <v>136</v>
      </c>
      <c r="I143" s="399">
        <v>2125</v>
      </c>
      <c r="J143" s="399">
        <v>512</v>
      </c>
      <c r="K143" s="399"/>
      <c r="L143" s="399"/>
      <c r="M143" s="400">
        <f ca="1">IF(MAX(IF($B$6="No",ROUNDUP($B$3/$I143,0),ROUNDUP(($B$3+$I143)/$I143,0)),IF($B$6="No",ROUNDUP($B$4/$G143,0),ROUNDUP(($B$4+$G143)/$G143,0)),ROUNDUP('BVMS checklist'!$H$217/$J143,0))&gt;1,'BVMS checklist'!$H$224,'BVMS checklist'!$H$217)</f>
        <v>0</v>
      </c>
      <c r="N143" s="398">
        <f t="shared" ca="1" si="557"/>
        <v>2</v>
      </c>
      <c r="O143" s="400">
        <f t="shared" ca="1" si="584"/>
        <v>2</v>
      </c>
      <c r="P143" s="400">
        <f t="shared" ca="1" si="548"/>
        <v>4250</v>
      </c>
      <c r="Q143" s="400">
        <f t="shared" ca="1" si="549"/>
        <v>0</v>
      </c>
      <c r="R143" s="398">
        <f t="shared" ca="1" si="550"/>
        <v>221578</v>
      </c>
      <c r="S143" s="401" t="str">
        <f t="shared" ca="1" si="558"/>
        <v/>
      </c>
      <c r="T143" s="398">
        <f t="shared" ca="1" si="559"/>
        <v>1024</v>
      </c>
      <c r="U143" s="400">
        <f ca="1">IF(MAX(IF($B$6="No",ROUNDUP($B$3/$I143,0),ROUNDUP(($B$3+$I143)/$I143,0)),IF($B$6="No",ROUNDUP($B$4/$G143,0),ROUNDUP(($B$4+$G143)/$G143,0)),ROUNDUP('BVMS checklist'!$H$217/$J143,0))&gt;1,'BVMS checklist'!$H$224,'BVMS checklist'!$H$217)+MAX(IF($B$6="No",ROUNDUP($B$3/$I143,0),ROUNDUP(($B$3+$I143)/$I143,0)),IF($B$6="No",ROUNDUP($B$4/$G143,0),ROUNDUP(($B$4+$G143)/$G143,0)))+$B$5</f>
        <v>1</v>
      </c>
      <c r="V143" s="400" t="b">
        <f t="shared" ca="1" si="551"/>
        <v>1</v>
      </c>
      <c r="W143" s="400" t="str">
        <f t="shared" ca="1" si="585"/>
        <v>Accepted</v>
      </c>
      <c r="X143" s="398" t="str">
        <f t="shared" ca="1" si="560"/>
        <v>No</v>
      </c>
      <c r="Y143" s="398" t="str">
        <f t="shared" ca="1" si="561"/>
        <v/>
      </c>
      <c r="Z143" s="398" t="str">
        <f t="shared" ca="1" si="562"/>
        <v/>
      </c>
      <c r="AA143" s="398">
        <f t="shared" ca="1" si="586"/>
        <v>6</v>
      </c>
      <c r="AB143" s="398">
        <f t="shared" ca="1" si="552"/>
        <v>2</v>
      </c>
      <c r="AC143" s="398">
        <f t="shared" ca="1" si="553"/>
        <v>272</v>
      </c>
      <c r="AD143" s="398">
        <f t="shared" ca="1" si="587"/>
        <v>221578</v>
      </c>
      <c r="AE143" s="399">
        <f t="shared" si="616"/>
        <v>0</v>
      </c>
      <c r="AF143" s="399">
        <f t="shared" si="617"/>
        <v>0</v>
      </c>
      <c r="AG143" s="483" t="str">
        <f t="shared" ca="1" si="563"/>
        <v/>
      </c>
      <c r="AH143" s="400">
        <f ca="1">IF(MAX(IF($C$6="No",ROUNDUP($C$3/$I143,0),ROUNDUP(($C$3+$I143)/$I143,0)),IF($C$6="No",ROUNDUP($C$4/$G143,0),ROUNDUP(($C$4+$G143)/$G143,0)),ROUNDUP('BVMS checklist'!$H$217/$J143,0))&gt;1,'BVMS checklist'!$J$224,'BVMS checklist'!$J$217)</f>
        <v>0</v>
      </c>
      <c r="AI143" s="398">
        <f t="shared" ca="1" si="564"/>
        <v>2</v>
      </c>
      <c r="AJ143" s="400">
        <f t="shared" ca="1" si="588"/>
        <v>2</v>
      </c>
      <c r="AK143" s="400">
        <f t="shared" ca="1" si="589"/>
        <v>4250</v>
      </c>
      <c r="AL143" s="400">
        <f t="shared" ca="1" si="590"/>
        <v>0</v>
      </c>
      <c r="AM143" s="398">
        <f t="shared" ca="1" si="591"/>
        <v>221578</v>
      </c>
      <c r="AN143" s="401" t="str">
        <f t="shared" ca="1" si="565"/>
        <v/>
      </c>
      <c r="AO143" s="398">
        <f t="shared" ca="1" si="592"/>
        <v>1024</v>
      </c>
      <c r="AP143" s="400">
        <f ca="1">IF(MAX(IF($C$6="No",ROUNDUP($C$3/$I143,0),ROUNDUP(($C$3+$I143)/$I143,0)),IF($C$6="No",ROUNDUP($C$4/$G143,0),ROUNDUP(($C$4+$G143)/$G143,0)),ROUNDUP('BVMS checklist'!$H$217/$J143,0))&gt;1,'BVMS checklist'!$J$224,'BVMS checklist'!$J$217)+MAX(IF($C$6="No",ROUNDUP($C$3/$I143,0),ROUNDUP(($C$3+$I143)/$I143,0)),IF($C$6="No",ROUNDUP($C$4/$G143,0),ROUNDUP(($C$4+$G143)/$G143,0)))+$C$5</f>
        <v>1</v>
      </c>
      <c r="AQ143" s="400" t="b">
        <f t="shared" ca="1" si="554"/>
        <v>1</v>
      </c>
      <c r="AR143" s="400" t="str">
        <f t="shared" ca="1" si="593"/>
        <v>Accepted</v>
      </c>
      <c r="AS143" s="398" t="str">
        <f t="shared" ca="1" si="579"/>
        <v>No</v>
      </c>
      <c r="AT143" s="398" t="str">
        <f t="shared" ca="1" si="594"/>
        <v/>
      </c>
      <c r="AU143" s="398" t="str">
        <f t="shared" ca="1" si="566"/>
        <v/>
      </c>
      <c r="AV143" s="398">
        <f t="shared" ca="1" si="567"/>
        <v>6</v>
      </c>
      <c r="AW143" s="398">
        <f t="shared" ca="1" si="595"/>
        <v>2</v>
      </c>
      <c r="AX143" s="398">
        <f t="shared" ca="1" si="596"/>
        <v>272</v>
      </c>
      <c r="AY143" s="398">
        <f t="shared" ca="1" si="597"/>
        <v>221578</v>
      </c>
      <c r="AZ143" s="399">
        <f t="shared" si="618"/>
        <v>0</v>
      </c>
      <c r="BA143" s="399">
        <f t="shared" si="619"/>
        <v>0</v>
      </c>
      <c r="BB143" s="483" t="str">
        <f t="shared" ca="1" si="568"/>
        <v/>
      </c>
      <c r="BC143" s="400">
        <f ca="1">IF(MAX(IF($D$6="No",ROUNDUP($D$3/$I143,0),ROUNDUP(($D$3+$I143)/$I143,0)),IF($D$6="No",ROUNDUP($D$4/$G143,0),ROUNDUP(($D$4+$G143)/$G143,0)),ROUNDUP('BVMS checklist'!$H$217/$J143,0))&gt;1,'BVMS checklist'!$L$224,'BVMS checklist'!$L$217)</f>
        <v>0</v>
      </c>
      <c r="BD143" s="398">
        <f t="shared" ca="1" si="569"/>
        <v>2</v>
      </c>
      <c r="BE143" s="400">
        <f t="shared" si="598"/>
        <v>1</v>
      </c>
      <c r="BF143" s="400">
        <f t="shared" si="599"/>
        <v>2125</v>
      </c>
      <c r="BG143" s="400">
        <f t="shared" ca="1" si="580"/>
        <v>0</v>
      </c>
      <c r="BH143" s="398">
        <f t="shared" ca="1" si="600"/>
        <v>221578</v>
      </c>
      <c r="BI143" s="401" t="str">
        <f t="shared" ca="1" si="570"/>
        <v/>
      </c>
      <c r="BJ143" s="398">
        <f t="shared" ca="1" si="601"/>
        <v>1024</v>
      </c>
      <c r="BK143" s="400">
        <f ca="1">IF(MAX(IF($D$6="No",ROUNDUP($D$3/$I143,0),ROUNDUP(($D$3+$I143)/$I143,0)),IF($D$6="No",ROUNDUP($D$4/$G143,0),ROUNDUP(($D$4+$G143)/$G143,0)),ROUNDUP('BVMS checklist'!$H$217/$J143,0))&gt;1,'BVMS checklist'!$L$224,'BVMS checklist'!$L$217)+MAX(IF($D$6="No",ROUNDUP($D$3/$I143,0),ROUNDUP(($D$3+$I143)/$I143,0)),IF($D$6="No",ROUNDUP($D$4/$G143,0),ROUNDUP(($D$4+$G143)/$G143,0)))+$D$5</f>
        <v>1</v>
      </c>
      <c r="BL143" s="400" t="b">
        <f t="shared" ca="1" si="555"/>
        <v>1</v>
      </c>
      <c r="BM143" s="400" t="str">
        <f t="shared" ca="1" si="602"/>
        <v>Accepted</v>
      </c>
      <c r="BN143" s="398" t="str">
        <f t="shared" ca="1" si="581"/>
        <v>No</v>
      </c>
      <c r="BO143" s="398" t="str">
        <f t="shared" ca="1" si="603"/>
        <v/>
      </c>
      <c r="BP143" s="398" t="str">
        <f t="shared" ca="1" si="571"/>
        <v/>
      </c>
      <c r="BQ143" s="398">
        <f t="shared" ca="1" si="572"/>
        <v>6</v>
      </c>
      <c r="BR143" s="398">
        <f t="shared" ca="1" si="604"/>
        <v>2</v>
      </c>
      <c r="BS143" s="398">
        <f t="shared" ca="1" si="605"/>
        <v>272</v>
      </c>
      <c r="BT143" s="398">
        <f t="shared" ca="1" si="606"/>
        <v>221578</v>
      </c>
      <c r="BU143" s="399">
        <f t="shared" si="620"/>
        <v>0</v>
      </c>
      <c r="BV143" s="399">
        <f t="shared" si="621"/>
        <v>0</v>
      </c>
      <c r="BW143" s="483" t="str">
        <f t="shared" ca="1" si="573"/>
        <v/>
      </c>
      <c r="BX143" s="400">
        <f ca="1">IF(MAX(IF($E$6="No",ROUNDUP($E$3/$I143,0),ROUNDUP(($E$3+$I143)/$I143,0)),IF($E$6="No",ROUNDUP($E$4/$G143,0),ROUNDUP(($E$4+$G143)/$G143,0)),ROUNDUP('BVMS checklist'!$H$217/$J143,0))&gt;1,'BVMS checklist'!$N$224,'BVMS checklist'!$N$217)</f>
        <v>0</v>
      </c>
      <c r="BY143" s="398">
        <f t="shared" ca="1" si="574"/>
        <v>2</v>
      </c>
      <c r="BZ143" s="400">
        <f t="shared" ca="1" si="607"/>
        <v>2</v>
      </c>
      <c r="CA143" s="400">
        <f t="shared" ca="1" si="608"/>
        <v>4250</v>
      </c>
      <c r="CB143" s="400">
        <f t="shared" ca="1" si="582"/>
        <v>0</v>
      </c>
      <c r="CC143" s="398">
        <f t="shared" ca="1" si="609"/>
        <v>221578</v>
      </c>
      <c r="CD143" s="401" t="str">
        <f t="shared" ca="1" si="575"/>
        <v/>
      </c>
      <c r="CE143" s="398">
        <f t="shared" ca="1" si="610"/>
        <v>1024</v>
      </c>
      <c r="CF143" s="400">
        <f ca="1">IF(MAX(IF($E$6="No",ROUNDUP($E$3/$I143,0),ROUNDUP(($E$3+$I143)/$I143,0)),IF($E$6="No",ROUNDUP($E$4/$G143,0),ROUNDUP(($E$4+$G143)/$G143,0)),ROUNDUP('BVMS checklist'!$H$217/$J143,0))&gt;1,'BVMS checklist'!$N$224,'BVMS checklist'!$N$217)+MAX(IF($E$6="No",ROUNDUP($E$3/$I143,0),ROUNDUP(($E$3+$I143)/$I143,0)),IF($E$6="No",ROUNDUP($E$4/$G143,0),ROUNDUP(($E$4+$G143)/$G143,0)))+$E$5</f>
        <v>1</v>
      </c>
      <c r="CG143" s="400" t="b">
        <f t="shared" ca="1" si="556"/>
        <v>1</v>
      </c>
      <c r="CH143" s="400" t="str">
        <f t="shared" ca="1" si="611"/>
        <v>Accepted</v>
      </c>
      <c r="CI143" s="398" t="str">
        <f t="shared" ca="1" si="583"/>
        <v>No</v>
      </c>
      <c r="CJ143" s="398" t="str">
        <f t="shared" ca="1" si="612"/>
        <v/>
      </c>
      <c r="CK143" s="398" t="str">
        <f t="shared" ca="1" si="576"/>
        <v/>
      </c>
      <c r="CL143" s="398">
        <f t="shared" ca="1" si="577"/>
        <v>6</v>
      </c>
      <c r="CM143" s="398">
        <f t="shared" ca="1" si="613"/>
        <v>2</v>
      </c>
      <c r="CN143" s="398">
        <f t="shared" ca="1" si="614"/>
        <v>272</v>
      </c>
      <c r="CO143" s="398">
        <f t="shared" ca="1" si="615"/>
        <v>221578</v>
      </c>
      <c r="CP143" s="399">
        <f t="shared" si="622"/>
        <v>0</v>
      </c>
      <c r="CQ143" s="399">
        <f t="shared" si="623"/>
        <v>0</v>
      </c>
      <c r="CR143" s="483" t="str">
        <f t="shared" ca="1" si="578"/>
        <v/>
      </c>
      <c r="CS143"/>
    </row>
    <row r="144" spans="1:97">
      <c r="A144" s="398" t="s">
        <v>410</v>
      </c>
      <c r="B144" s="398" t="s">
        <v>987</v>
      </c>
      <c r="C144" s="440" t="s">
        <v>891</v>
      </c>
      <c r="D144" s="398">
        <v>5</v>
      </c>
      <c r="E144" s="398"/>
      <c r="F144" s="440">
        <v>0</v>
      </c>
      <c r="G144" s="398">
        <f>IF(C144="RAID5",(((7-F144)*7448))+(4*(((7-F144)*2793))),(((6-F144)*7448))+(4*(((6-F144)*2793))))</f>
        <v>130340</v>
      </c>
      <c r="H144" s="399">
        <v>160</v>
      </c>
      <c r="I144" s="399">
        <v>2675</v>
      </c>
      <c r="J144" s="399">
        <v>640</v>
      </c>
      <c r="K144" s="399"/>
      <c r="L144" s="399"/>
      <c r="M144" s="400">
        <f ca="1">IF(MAX(IF($B$6="No",ROUNDUP($B$3/$I144,0),ROUNDUP(($B$3+$I144)/$I144,0)),IF($B$6="No",ROUNDUP($B$4/$G144,0),ROUNDUP(($B$4+$G144)/$G144,0)),ROUNDUP('BVMS checklist'!$H$217/$J144,0))&gt;1,'BVMS checklist'!$H$224,'BVMS checklist'!$H$217)</f>
        <v>0</v>
      </c>
      <c r="N144" s="398">
        <f t="shared" ca="1" si="557"/>
        <v>2</v>
      </c>
      <c r="O144" s="400">
        <f t="shared" ca="1" si="584"/>
        <v>2</v>
      </c>
      <c r="P144" s="400">
        <f t="shared" ca="1" si="548"/>
        <v>5350</v>
      </c>
      <c r="Q144" s="400">
        <f t="shared" ca="1" si="549"/>
        <v>0</v>
      </c>
      <c r="R144" s="398">
        <f t="shared" ca="1" si="550"/>
        <v>260680</v>
      </c>
      <c r="S144" s="401" t="str">
        <f t="shared" ca="1" si="558"/>
        <v/>
      </c>
      <c r="T144" s="398">
        <f t="shared" ca="1" si="559"/>
        <v>1280</v>
      </c>
      <c r="U144" s="400">
        <f ca="1">IF(MAX(IF($B$6="No",ROUNDUP($B$3/$I144,0),ROUNDUP(($B$3+$I144)/$I144,0)),IF($B$6="No",ROUNDUP($B$4/$G144,0),ROUNDUP(($B$4+$G144)/$G144,0)),ROUNDUP('BVMS checklist'!$H$217/$J144,0))&gt;1,'BVMS checklist'!$H$224,'BVMS checklist'!$H$217)+MAX(IF($B$6="No",ROUNDUP($B$3/$I144,0),ROUNDUP(($B$3+$I144)/$I144,0)),IF($B$6="No",ROUNDUP($B$4/$G144,0),ROUNDUP(($B$4+$G144)/$G144,0)))+$B$5</f>
        <v>1</v>
      </c>
      <c r="V144" s="400" t="b">
        <f t="shared" ca="1" si="551"/>
        <v>1</v>
      </c>
      <c r="W144" s="400" t="str">
        <f t="shared" ca="1" si="585"/>
        <v>Accepted</v>
      </c>
      <c r="X144" s="398" t="str">
        <f t="shared" ca="1" si="560"/>
        <v>No</v>
      </c>
      <c r="Y144" s="398" t="str">
        <f t="shared" ca="1" si="561"/>
        <v/>
      </c>
      <c r="Z144" s="398" t="str">
        <f t="shared" ca="1" si="562"/>
        <v/>
      </c>
      <c r="AA144" s="398">
        <f t="shared" ca="1" si="586"/>
        <v>6</v>
      </c>
      <c r="AB144" s="398">
        <f t="shared" ca="1" si="552"/>
        <v>2</v>
      </c>
      <c r="AC144" s="398">
        <f t="shared" ca="1" si="553"/>
        <v>320</v>
      </c>
      <c r="AD144" s="398">
        <f t="shared" ca="1" si="587"/>
        <v>260680</v>
      </c>
      <c r="AE144" s="399">
        <f t="shared" si="616"/>
        <v>0</v>
      </c>
      <c r="AF144" s="399">
        <f t="shared" si="617"/>
        <v>0</v>
      </c>
      <c r="AG144" s="483" t="str">
        <f t="shared" ca="1" si="563"/>
        <v/>
      </c>
      <c r="AH144" s="400">
        <f ca="1">IF(MAX(IF($C$6="No",ROUNDUP($C$3/$I144,0),ROUNDUP(($C$3+$I144)/$I144,0)),IF($C$6="No",ROUNDUP($C$4/$G144,0),ROUNDUP(($C$4+$G144)/$G144,0)),ROUNDUP('BVMS checklist'!$H$217/$J144,0))&gt;1,'BVMS checklist'!$J$224,'BVMS checklist'!$J$217)</f>
        <v>0</v>
      </c>
      <c r="AI144" s="398">
        <f t="shared" ca="1" si="564"/>
        <v>2</v>
      </c>
      <c r="AJ144" s="400">
        <f t="shared" ca="1" si="588"/>
        <v>2</v>
      </c>
      <c r="AK144" s="400">
        <f t="shared" ca="1" si="589"/>
        <v>5350</v>
      </c>
      <c r="AL144" s="400">
        <f t="shared" ca="1" si="590"/>
        <v>0</v>
      </c>
      <c r="AM144" s="398">
        <f t="shared" ca="1" si="591"/>
        <v>260680</v>
      </c>
      <c r="AN144" s="401" t="str">
        <f t="shared" ca="1" si="565"/>
        <v/>
      </c>
      <c r="AO144" s="398">
        <f t="shared" ca="1" si="592"/>
        <v>1280</v>
      </c>
      <c r="AP144" s="400">
        <f ca="1">IF(MAX(IF($C$6="No",ROUNDUP($C$3/$I144,0),ROUNDUP(($C$3+$I144)/$I144,0)),IF($C$6="No",ROUNDUP($C$4/$G144,0),ROUNDUP(($C$4+$G144)/$G144,0)),ROUNDUP('BVMS checklist'!$H$217/$J144,0))&gt;1,'BVMS checklist'!$J$224,'BVMS checklist'!$J$217)+MAX(IF($C$6="No",ROUNDUP($C$3/$I144,0),ROUNDUP(($C$3+$I144)/$I144,0)),IF($C$6="No",ROUNDUP($C$4/$G144,0),ROUNDUP(($C$4+$G144)/$G144,0)))+$C$5</f>
        <v>1</v>
      </c>
      <c r="AQ144" s="400" t="b">
        <f t="shared" ca="1" si="554"/>
        <v>1</v>
      </c>
      <c r="AR144" s="400" t="str">
        <f t="shared" ca="1" si="593"/>
        <v>Accepted</v>
      </c>
      <c r="AS144" s="398" t="str">
        <f t="shared" ca="1" si="579"/>
        <v>No</v>
      </c>
      <c r="AT144" s="398" t="str">
        <f t="shared" ca="1" si="594"/>
        <v/>
      </c>
      <c r="AU144" s="398" t="str">
        <f t="shared" ca="1" si="566"/>
        <v/>
      </c>
      <c r="AV144" s="398">
        <f t="shared" ca="1" si="567"/>
        <v>6</v>
      </c>
      <c r="AW144" s="398">
        <f t="shared" ca="1" si="595"/>
        <v>2</v>
      </c>
      <c r="AX144" s="398">
        <f t="shared" ca="1" si="596"/>
        <v>320</v>
      </c>
      <c r="AY144" s="398">
        <f t="shared" ca="1" si="597"/>
        <v>260680</v>
      </c>
      <c r="AZ144" s="399">
        <f t="shared" si="618"/>
        <v>0</v>
      </c>
      <c r="BA144" s="399">
        <f t="shared" si="619"/>
        <v>0</v>
      </c>
      <c r="BB144" s="483" t="str">
        <f t="shared" ca="1" si="568"/>
        <v/>
      </c>
      <c r="BC144" s="400">
        <f ca="1">IF(MAX(IF($D$6="No",ROUNDUP($D$3/$I144,0),ROUNDUP(($D$3+$I144)/$I144,0)),IF($D$6="No",ROUNDUP($D$4/$G144,0),ROUNDUP(($D$4+$G144)/$G144,0)),ROUNDUP('BVMS checklist'!$H$217/$J144,0))&gt;1,'BVMS checklist'!$L$224,'BVMS checklist'!$L$217)</f>
        <v>0</v>
      </c>
      <c r="BD144" s="398">
        <f t="shared" ca="1" si="569"/>
        <v>2</v>
      </c>
      <c r="BE144" s="400">
        <f t="shared" si="598"/>
        <v>1</v>
      </c>
      <c r="BF144" s="400">
        <f t="shared" si="599"/>
        <v>2675</v>
      </c>
      <c r="BG144" s="400">
        <f t="shared" ca="1" si="580"/>
        <v>0</v>
      </c>
      <c r="BH144" s="398">
        <f t="shared" ca="1" si="600"/>
        <v>260680</v>
      </c>
      <c r="BI144" s="401" t="str">
        <f t="shared" ca="1" si="570"/>
        <v/>
      </c>
      <c r="BJ144" s="398">
        <f t="shared" ca="1" si="601"/>
        <v>1280</v>
      </c>
      <c r="BK144" s="400">
        <f ca="1">IF(MAX(IF($D$6="No",ROUNDUP($D$3/$I144,0),ROUNDUP(($D$3+$I144)/$I144,0)),IF($D$6="No",ROUNDUP($D$4/$G144,0),ROUNDUP(($D$4+$G144)/$G144,0)),ROUNDUP('BVMS checklist'!$H$217/$J144,0))&gt;1,'BVMS checklist'!$L$224,'BVMS checklist'!$L$217)+MAX(IF($D$6="No",ROUNDUP($D$3/$I144,0),ROUNDUP(($D$3+$I144)/$I144,0)),IF($D$6="No",ROUNDUP($D$4/$G144,0),ROUNDUP(($D$4+$G144)/$G144,0)))+$D$5</f>
        <v>1</v>
      </c>
      <c r="BL144" s="400" t="b">
        <f t="shared" ca="1" si="555"/>
        <v>1</v>
      </c>
      <c r="BM144" s="400" t="str">
        <f t="shared" ca="1" si="602"/>
        <v>Accepted</v>
      </c>
      <c r="BN144" s="398" t="str">
        <f t="shared" ca="1" si="581"/>
        <v>No</v>
      </c>
      <c r="BO144" s="398" t="str">
        <f t="shared" ca="1" si="603"/>
        <v/>
      </c>
      <c r="BP144" s="398" t="str">
        <f t="shared" ca="1" si="571"/>
        <v/>
      </c>
      <c r="BQ144" s="398">
        <f t="shared" ca="1" si="572"/>
        <v>6</v>
      </c>
      <c r="BR144" s="398">
        <f t="shared" ca="1" si="604"/>
        <v>2</v>
      </c>
      <c r="BS144" s="398">
        <f t="shared" ca="1" si="605"/>
        <v>320</v>
      </c>
      <c r="BT144" s="398">
        <f t="shared" ca="1" si="606"/>
        <v>260680</v>
      </c>
      <c r="BU144" s="399">
        <f t="shared" si="620"/>
        <v>0</v>
      </c>
      <c r="BV144" s="399">
        <f t="shared" si="621"/>
        <v>0</v>
      </c>
      <c r="BW144" s="483" t="str">
        <f t="shared" ca="1" si="573"/>
        <v/>
      </c>
      <c r="BX144" s="400">
        <f ca="1">IF(MAX(IF($E$6="No",ROUNDUP($E$3/$I144,0),ROUNDUP(($E$3+$I144)/$I144,0)),IF($E$6="No",ROUNDUP($E$4/$G144,0),ROUNDUP(($E$4+$G144)/$G144,0)),ROUNDUP('BVMS checklist'!$H$217/$J144,0))&gt;1,'BVMS checklist'!$N$224,'BVMS checklist'!$N$217)</f>
        <v>0</v>
      </c>
      <c r="BY144" s="398">
        <f t="shared" ca="1" si="574"/>
        <v>2</v>
      </c>
      <c r="BZ144" s="400">
        <f t="shared" ca="1" si="607"/>
        <v>2</v>
      </c>
      <c r="CA144" s="400">
        <f t="shared" ca="1" si="608"/>
        <v>5350</v>
      </c>
      <c r="CB144" s="400">
        <f t="shared" ca="1" si="582"/>
        <v>0</v>
      </c>
      <c r="CC144" s="398">
        <f t="shared" ca="1" si="609"/>
        <v>260680</v>
      </c>
      <c r="CD144" s="401" t="str">
        <f t="shared" ca="1" si="575"/>
        <v/>
      </c>
      <c r="CE144" s="398">
        <f t="shared" ca="1" si="610"/>
        <v>1280</v>
      </c>
      <c r="CF144" s="400">
        <f ca="1">IF(MAX(IF($E$6="No",ROUNDUP($E$3/$I144,0),ROUNDUP(($E$3+$I144)/$I144,0)),IF($E$6="No",ROUNDUP($E$4/$G144,0),ROUNDUP(($E$4+$G144)/$G144,0)),ROUNDUP('BVMS checklist'!$H$217/$J144,0))&gt;1,'BVMS checklist'!$N$224,'BVMS checklist'!$N$217)+MAX(IF($E$6="No",ROUNDUP($E$3/$I144,0),ROUNDUP(($E$3+$I144)/$I144,0)),IF($E$6="No",ROUNDUP($E$4/$G144,0),ROUNDUP(($E$4+$G144)/$G144,0)))+$E$5</f>
        <v>1</v>
      </c>
      <c r="CG144" s="400" t="b">
        <f t="shared" ca="1" si="556"/>
        <v>1</v>
      </c>
      <c r="CH144" s="400" t="str">
        <f t="shared" ca="1" si="611"/>
        <v>Accepted</v>
      </c>
      <c r="CI144" s="398" t="str">
        <f t="shared" ca="1" si="583"/>
        <v>No</v>
      </c>
      <c r="CJ144" s="398" t="str">
        <f t="shared" ca="1" si="612"/>
        <v/>
      </c>
      <c r="CK144" s="398" t="str">
        <f t="shared" ca="1" si="576"/>
        <v/>
      </c>
      <c r="CL144" s="398">
        <f t="shared" ca="1" si="577"/>
        <v>6</v>
      </c>
      <c r="CM144" s="398">
        <f t="shared" ca="1" si="613"/>
        <v>2</v>
      </c>
      <c r="CN144" s="398">
        <f t="shared" ca="1" si="614"/>
        <v>320</v>
      </c>
      <c r="CO144" s="398">
        <f t="shared" ca="1" si="615"/>
        <v>260680</v>
      </c>
      <c r="CP144" s="399">
        <f t="shared" si="622"/>
        <v>0</v>
      </c>
      <c r="CQ144" s="399">
        <f t="shared" si="623"/>
        <v>0</v>
      </c>
      <c r="CR144" s="483" t="str">
        <f t="shared" ca="1" si="578"/>
        <v/>
      </c>
      <c r="CS144"/>
    </row>
    <row r="145" spans="1:97">
      <c r="A145" s="398" t="s">
        <v>411</v>
      </c>
      <c r="B145" s="398" t="s">
        <v>987</v>
      </c>
      <c r="C145" s="440" t="s">
        <v>891</v>
      </c>
      <c r="D145" s="398">
        <v>2</v>
      </c>
      <c r="E145" s="398"/>
      <c r="F145" s="440">
        <v>0</v>
      </c>
      <c r="G145" s="398">
        <f>IF(C145="RAID5",(((7-F145)*7448))+(1*(((15-F145)*2793))),(((6-F145)*7448))+(1*(((14-F145)*2793))))</f>
        <v>94031</v>
      </c>
      <c r="H145" s="399">
        <v>112</v>
      </c>
      <c r="I145" s="399">
        <v>1025</v>
      </c>
      <c r="J145" s="399">
        <v>256</v>
      </c>
      <c r="K145" s="399"/>
      <c r="L145" s="399"/>
      <c r="M145" s="400">
        <f ca="1">IF(MAX(IF($B$6="No",ROUNDUP($B$3/$I145,0),ROUNDUP(($B$3+$I145)/$I145,0)),IF($B$6="No",ROUNDUP($B$4/$G145,0),ROUNDUP(($B$4+$G145)/$G145,0)),ROUNDUP('BVMS checklist'!$H$217/$J145,0))&gt;1,'BVMS checklist'!$H$224,'BVMS checklist'!$H$217)</f>
        <v>0</v>
      </c>
      <c r="N145" s="398">
        <f t="shared" ca="1" si="557"/>
        <v>2</v>
      </c>
      <c r="O145" s="400">
        <f t="shared" ca="1" si="584"/>
        <v>2</v>
      </c>
      <c r="P145" s="400">
        <f t="shared" ca="1" si="548"/>
        <v>2050</v>
      </c>
      <c r="Q145" s="400">
        <f t="shared" ca="1" si="549"/>
        <v>0</v>
      </c>
      <c r="R145" s="398">
        <f t="shared" ca="1" si="550"/>
        <v>188062</v>
      </c>
      <c r="S145" s="401" t="str">
        <f t="shared" ca="1" si="558"/>
        <v/>
      </c>
      <c r="T145" s="398">
        <f t="shared" ca="1" si="559"/>
        <v>512</v>
      </c>
      <c r="U145" s="400">
        <f ca="1">IF(MAX(IF($B$6="No",ROUNDUP($B$3/$I145,0),ROUNDUP(($B$3+$I145)/$I145,0)),IF($B$6="No",ROUNDUP($B$4/$G145,0),ROUNDUP(($B$4+$G145)/$G145,0)),ROUNDUP('BVMS checklist'!$H$217/$J145,0))&gt;1,'BVMS checklist'!$H$224,'BVMS checklist'!$H$217)+MAX(IF($B$6="No",ROUNDUP($B$3/$I145,0),ROUNDUP(($B$3+$I145)/$I145,0)),IF($B$6="No",ROUNDUP($B$4/$G145,0),ROUNDUP(($B$4+$G145)/$G145,0)))+$B$5</f>
        <v>1</v>
      </c>
      <c r="V145" s="400" t="b">
        <f t="shared" ca="1" si="551"/>
        <v>1</v>
      </c>
      <c r="W145" s="400" t="str">
        <f t="shared" ca="1" si="585"/>
        <v>Accepted</v>
      </c>
      <c r="X145" s="398" t="str">
        <f t="shared" ca="1" si="560"/>
        <v>No</v>
      </c>
      <c r="Y145" s="398" t="str">
        <f t="shared" ca="1" si="561"/>
        <v/>
      </c>
      <c r="Z145" s="398" t="str">
        <f t="shared" ca="1" si="562"/>
        <v/>
      </c>
      <c r="AA145" s="398">
        <f t="shared" ca="1" si="586"/>
        <v>6</v>
      </c>
      <c r="AB145" s="398">
        <f t="shared" ca="1" si="552"/>
        <v>2</v>
      </c>
      <c r="AC145" s="398">
        <f t="shared" ca="1" si="553"/>
        <v>224</v>
      </c>
      <c r="AD145" s="398">
        <f t="shared" ca="1" si="587"/>
        <v>188062</v>
      </c>
      <c r="AE145" s="399">
        <f t="shared" si="616"/>
        <v>0</v>
      </c>
      <c r="AF145" s="399">
        <f t="shared" si="617"/>
        <v>0</v>
      </c>
      <c r="AG145" s="483" t="str">
        <f t="shared" ca="1" si="563"/>
        <v/>
      </c>
      <c r="AH145" s="400">
        <f ca="1">IF(MAX(IF($C$6="No",ROUNDUP($C$3/$I145,0),ROUNDUP(($C$3+$I145)/$I145,0)),IF($C$6="No",ROUNDUP($C$4/$G145,0),ROUNDUP(($C$4+$G145)/$G145,0)),ROUNDUP('BVMS checklist'!$H$217/$J145,0))&gt;1,'BVMS checklist'!$J$224,'BVMS checklist'!$J$217)</f>
        <v>0</v>
      </c>
      <c r="AI145" s="398">
        <f t="shared" ca="1" si="564"/>
        <v>2</v>
      </c>
      <c r="AJ145" s="400">
        <f t="shared" ca="1" si="588"/>
        <v>2</v>
      </c>
      <c r="AK145" s="400">
        <f t="shared" ca="1" si="589"/>
        <v>2050</v>
      </c>
      <c r="AL145" s="400">
        <f t="shared" ca="1" si="590"/>
        <v>0</v>
      </c>
      <c r="AM145" s="398">
        <f t="shared" ca="1" si="591"/>
        <v>188062</v>
      </c>
      <c r="AN145" s="401" t="str">
        <f t="shared" ca="1" si="565"/>
        <v/>
      </c>
      <c r="AO145" s="398">
        <f t="shared" ca="1" si="592"/>
        <v>512</v>
      </c>
      <c r="AP145" s="400">
        <f ca="1">IF(MAX(IF($C$6="No",ROUNDUP($C$3/$I145,0),ROUNDUP(($C$3+$I145)/$I145,0)),IF($C$6="No",ROUNDUP($C$4/$G145,0),ROUNDUP(($C$4+$G145)/$G145,0)),ROUNDUP('BVMS checklist'!$H$217/$J145,0))&gt;1,'BVMS checklist'!$J$224,'BVMS checklist'!$J$217)+MAX(IF($C$6="No",ROUNDUP($C$3/$I145,0),ROUNDUP(($C$3+$I145)/$I145,0)),IF($C$6="No",ROUNDUP($C$4/$G145,0),ROUNDUP(($C$4+$G145)/$G145,0)))+$C$5</f>
        <v>1</v>
      </c>
      <c r="AQ145" s="400" t="b">
        <f t="shared" ca="1" si="554"/>
        <v>1</v>
      </c>
      <c r="AR145" s="400" t="str">
        <f t="shared" ca="1" si="593"/>
        <v>Accepted</v>
      </c>
      <c r="AS145" s="398" t="str">
        <f t="shared" ca="1" si="579"/>
        <v>No</v>
      </c>
      <c r="AT145" s="398" t="str">
        <f t="shared" ca="1" si="594"/>
        <v/>
      </c>
      <c r="AU145" s="398" t="str">
        <f t="shared" ca="1" si="566"/>
        <v/>
      </c>
      <c r="AV145" s="398">
        <f t="shared" ca="1" si="567"/>
        <v>6</v>
      </c>
      <c r="AW145" s="398">
        <f t="shared" ca="1" si="595"/>
        <v>2</v>
      </c>
      <c r="AX145" s="398">
        <f t="shared" ca="1" si="596"/>
        <v>224</v>
      </c>
      <c r="AY145" s="398">
        <f t="shared" ca="1" si="597"/>
        <v>188062</v>
      </c>
      <c r="AZ145" s="399">
        <f t="shared" si="618"/>
        <v>0</v>
      </c>
      <c r="BA145" s="399">
        <f t="shared" si="619"/>
        <v>0</v>
      </c>
      <c r="BB145" s="483" t="str">
        <f t="shared" ca="1" si="568"/>
        <v/>
      </c>
      <c r="BC145" s="400">
        <f ca="1">IF(MAX(IF($D$6="No",ROUNDUP($D$3/$I145,0),ROUNDUP(($D$3+$I145)/$I145,0)),IF($D$6="No",ROUNDUP($D$4/$G145,0),ROUNDUP(($D$4+$G145)/$G145,0)),ROUNDUP('BVMS checklist'!$H$217/$J145,0))&gt;1,'BVMS checklist'!$L$224,'BVMS checklist'!$L$217)</f>
        <v>0</v>
      </c>
      <c r="BD145" s="398">
        <f t="shared" ca="1" si="569"/>
        <v>2</v>
      </c>
      <c r="BE145" s="400">
        <f t="shared" si="598"/>
        <v>1</v>
      </c>
      <c r="BF145" s="400">
        <f t="shared" si="599"/>
        <v>1025</v>
      </c>
      <c r="BG145" s="400">
        <f t="shared" ca="1" si="580"/>
        <v>0</v>
      </c>
      <c r="BH145" s="398">
        <f t="shared" ca="1" si="600"/>
        <v>188062</v>
      </c>
      <c r="BI145" s="401" t="str">
        <f t="shared" ca="1" si="570"/>
        <v/>
      </c>
      <c r="BJ145" s="398">
        <f t="shared" ca="1" si="601"/>
        <v>512</v>
      </c>
      <c r="BK145" s="400">
        <f ca="1">IF(MAX(IF($D$6="No",ROUNDUP($D$3/$I145,0),ROUNDUP(($D$3+$I145)/$I145,0)),IF($D$6="No",ROUNDUP($D$4/$G145,0),ROUNDUP(($D$4+$G145)/$G145,0)),ROUNDUP('BVMS checklist'!$H$217/$J145,0))&gt;1,'BVMS checklist'!$L$224,'BVMS checklist'!$L$217)+MAX(IF($D$6="No",ROUNDUP($D$3/$I145,0),ROUNDUP(($D$3+$I145)/$I145,0)),IF($D$6="No",ROUNDUP($D$4/$G145,0),ROUNDUP(($D$4+$G145)/$G145,0)))+$D$5</f>
        <v>1</v>
      </c>
      <c r="BL145" s="400" t="b">
        <f t="shared" ca="1" si="555"/>
        <v>1</v>
      </c>
      <c r="BM145" s="400" t="str">
        <f t="shared" ca="1" si="602"/>
        <v>Accepted</v>
      </c>
      <c r="BN145" s="398" t="str">
        <f t="shared" ca="1" si="581"/>
        <v>No</v>
      </c>
      <c r="BO145" s="398" t="str">
        <f t="shared" ca="1" si="603"/>
        <v/>
      </c>
      <c r="BP145" s="398" t="str">
        <f t="shared" ca="1" si="571"/>
        <v/>
      </c>
      <c r="BQ145" s="398">
        <f t="shared" ca="1" si="572"/>
        <v>6</v>
      </c>
      <c r="BR145" s="398">
        <f t="shared" ca="1" si="604"/>
        <v>2</v>
      </c>
      <c r="BS145" s="398">
        <f t="shared" ca="1" si="605"/>
        <v>224</v>
      </c>
      <c r="BT145" s="398">
        <f t="shared" ca="1" si="606"/>
        <v>188062</v>
      </c>
      <c r="BU145" s="399">
        <f t="shared" si="620"/>
        <v>0</v>
      </c>
      <c r="BV145" s="399">
        <f t="shared" si="621"/>
        <v>0</v>
      </c>
      <c r="BW145" s="483" t="str">
        <f t="shared" ca="1" si="573"/>
        <v/>
      </c>
      <c r="BX145" s="400">
        <f ca="1">IF(MAX(IF($E$6="No",ROUNDUP($E$3/$I145,0),ROUNDUP(($E$3+$I145)/$I145,0)),IF($E$6="No",ROUNDUP($E$4/$G145,0),ROUNDUP(($E$4+$G145)/$G145,0)),ROUNDUP('BVMS checklist'!$H$217/$J145,0))&gt;1,'BVMS checklist'!$N$224,'BVMS checklist'!$N$217)</f>
        <v>0</v>
      </c>
      <c r="BY145" s="398">
        <f t="shared" ca="1" si="574"/>
        <v>2</v>
      </c>
      <c r="BZ145" s="400">
        <f t="shared" ca="1" si="607"/>
        <v>2</v>
      </c>
      <c r="CA145" s="400">
        <f t="shared" ca="1" si="608"/>
        <v>2050</v>
      </c>
      <c r="CB145" s="400">
        <f t="shared" ca="1" si="582"/>
        <v>0</v>
      </c>
      <c r="CC145" s="398">
        <f t="shared" ca="1" si="609"/>
        <v>188062</v>
      </c>
      <c r="CD145" s="401" t="str">
        <f t="shared" ca="1" si="575"/>
        <v/>
      </c>
      <c r="CE145" s="398">
        <f t="shared" ca="1" si="610"/>
        <v>512</v>
      </c>
      <c r="CF145" s="400">
        <f ca="1">IF(MAX(IF($E$6="No",ROUNDUP($E$3/$I145,0),ROUNDUP(($E$3+$I145)/$I145,0)),IF($E$6="No",ROUNDUP($E$4/$G145,0),ROUNDUP(($E$4+$G145)/$G145,0)),ROUNDUP('BVMS checklist'!$H$217/$J145,0))&gt;1,'BVMS checklist'!$N$224,'BVMS checklist'!$N$217)+MAX(IF($E$6="No",ROUNDUP($E$3/$I145,0),ROUNDUP(($E$3+$I145)/$I145,0)),IF($E$6="No",ROUNDUP($E$4/$G145,0),ROUNDUP(($E$4+$G145)/$G145,0)))+$E$5</f>
        <v>1</v>
      </c>
      <c r="CG145" s="400" t="b">
        <f t="shared" ca="1" si="556"/>
        <v>1</v>
      </c>
      <c r="CH145" s="400" t="str">
        <f t="shared" ca="1" si="611"/>
        <v>Accepted</v>
      </c>
      <c r="CI145" s="398" t="str">
        <f t="shared" ca="1" si="583"/>
        <v>No</v>
      </c>
      <c r="CJ145" s="398" t="str">
        <f t="shared" ca="1" si="612"/>
        <v/>
      </c>
      <c r="CK145" s="398" t="str">
        <f t="shared" ca="1" si="576"/>
        <v/>
      </c>
      <c r="CL145" s="398">
        <f t="shared" ca="1" si="577"/>
        <v>6</v>
      </c>
      <c r="CM145" s="398">
        <f t="shared" ca="1" si="613"/>
        <v>2</v>
      </c>
      <c r="CN145" s="398">
        <f t="shared" ca="1" si="614"/>
        <v>224</v>
      </c>
      <c r="CO145" s="398">
        <f t="shared" ca="1" si="615"/>
        <v>188062</v>
      </c>
      <c r="CP145" s="399">
        <f t="shared" si="622"/>
        <v>0</v>
      </c>
      <c r="CQ145" s="399">
        <f t="shared" si="623"/>
        <v>0</v>
      </c>
      <c r="CR145" s="483" t="str">
        <f t="shared" ca="1" si="578"/>
        <v/>
      </c>
      <c r="CS145"/>
    </row>
    <row r="146" spans="1:97">
      <c r="A146" s="398" t="s">
        <v>412</v>
      </c>
      <c r="B146" s="398" t="s">
        <v>987</v>
      </c>
      <c r="C146" s="440" t="s">
        <v>891</v>
      </c>
      <c r="D146" s="398">
        <v>3</v>
      </c>
      <c r="E146" s="398"/>
      <c r="F146" s="440">
        <v>0</v>
      </c>
      <c r="G146" s="398">
        <f>IF(C146="RAID5",(((7-F146)*7448))+(2*(((15-F146)*2793))),(((6-F146)*7448))+(2*(((14-F146)*2793))))</f>
        <v>135926</v>
      </c>
      <c r="H146" s="399">
        <v>160</v>
      </c>
      <c r="I146" s="399">
        <v>1575</v>
      </c>
      <c r="J146" s="399">
        <v>384</v>
      </c>
      <c r="K146" s="399"/>
      <c r="L146" s="399"/>
      <c r="M146" s="400">
        <f ca="1">IF(MAX(IF($B$6="No",ROUNDUP($B$3/$I146,0),ROUNDUP(($B$3+$I146)/$I146,0)),IF($B$6="No",ROUNDUP($B$4/$G146,0),ROUNDUP(($B$4+$G146)/$G146,0)),ROUNDUP('BVMS checklist'!$H$217/$J146,0))&gt;1,'BVMS checklist'!$H$224,'BVMS checklist'!$H$217)</f>
        <v>0</v>
      </c>
      <c r="N146" s="398">
        <f t="shared" ca="1" si="557"/>
        <v>2</v>
      </c>
      <c r="O146" s="400">
        <f t="shared" ca="1" si="584"/>
        <v>2</v>
      </c>
      <c r="P146" s="400">
        <f t="shared" ca="1" si="548"/>
        <v>3150</v>
      </c>
      <c r="Q146" s="400">
        <f t="shared" ca="1" si="549"/>
        <v>0</v>
      </c>
      <c r="R146" s="398">
        <f t="shared" ca="1" si="550"/>
        <v>271852</v>
      </c>
      <c r="S146" s="401" t="str">
        <f t="shared" ca="1" si="558"/>
        <v/>
      </c>
      <c r="T146" s="398">
        <f t="shared" ca="1" si="559"/>
        <v>768</v>
      </c>
      <c r="U146" s="400">
        <f ca="1">IF(MAX(IF($B$6="No",ROUNDUP($B$3/$I146,0),ROUNDUP(($B$3+$I146)/$I146,0)),IF($B$6="No",ROUNDUP($B$4/$G146,0),ROUNDUP(($B$4+$G146)/$G146,0)),ROUNDUP('BVMS checklist'!$H$217/$J146,0))&gt;1,'BVMS checklist'!$H$224,'BVMS checklist'!$H$217)+MAX(IF($B$6="No",ROUNDUP($B$3/$I146,0),ROUNDUP(($B$3+$I146)/$I146,0)),IF($B$6="No",ROUNDUP($B$4/$G146,0),ROUNDUP(($B$4+$G146)/$G146,0)))+$B$5</f>
        <v>1</v>
      </c>
      <c r="V146" s="400" t="b">
        <f t="shared" ca="1" si="551"/>
        <v>1</v>
      </c>
      <c r="W146" s="400" t="str">
        <f t="shared" ca="1" si="585"/>
        <v>Accepted</v>
      </c>
      <c r="X146" s="398" t="str">
        <f t="shared" ca="1" si="560"/>
        <v>No</v>
      </c>
      <c r="Y146" s="398" t="str">
        <f t="shared" ca="1" si="561"/>
        <v/>
      </c>
      <c r="Z146" s="398" t="str">
        <f t="shared" ca="1" si="562"/>
        <v/>
      </c>
      <c r="AA146" s="398">
        <f t="shared" ca="1" si="586"/>
        <v>6</v>
      </c>
      <c r="AB146" s="398">
        <f t="shared" ca="1" si="552"/>
        <v>2</v>
      </c>
      <c r="AC146" s="398">
        <f t="shared" ca="1" si="553"/>
        <v>320</v>
      </c>
      <c r="AD146" s="398">
        <f t="shared" ca="1" si="587"/>
        <v>271852</v>
      </c>
      <c r="AE146" s="399">
        <f t="shared" si="616"/>
        <v>0</v>
      </c>
      <c r="AF146" s="399">
        <f t="shared" si="617"/>
        <v>0</v>
      </c>
      <c r="AG146" s="483" t="str">
        <f t="shared" ca="1" si="563"/>
        <v/>
      </c>
      <c r="AH146" s="400">
        <f ca="1">IF(MAX(IF($C$6="No",ROUNDUP($C$3/$I146,0),ROUNDUP(($C$3+$I146)/$I146,0)),IF($C$6="No",ROUNDUP($C$4/$G146,0),ROUNDUP(($C$4+$G146)/$G146,0)),ROUNDUP('BVMS checklist'!$H$217/$J146,0))&gt;1,'BVMS checklist'!$J$224,'BVMS checklist'!$J$217)</f>
        <v>0</v>
      </c>
      <c r="AI146" s="398">
        <f t="shared" ca="1" si="564"/>
        <v>2</v>
      </c>
      <c r="AJ146" s="400">
        <f t="shared" ca="1" si="588"/>
        <v>2</v>
      </c>
      <c r="AK146" s="400">
        <f t="shared" ca="1" si="589"/>
        <v>3150</v>
      </c>
      <c r="AL146" s="400">
        <f t="shared" ca="1" si="590"/>
        <v>0</v>
      </c>
      <c r="AM146" s="398">
        <f t="shared" ca="1" si="591"/>
        <v>271852</v>
      </c>
      <c r="AN146" s="401" t="str">
        <f t="shared" ca="1" si="565"/>
        <v/>
      </c>
      <c r="AO146" s="398">
        <f t="shared" ca="1" si="592"/>
        <v>768</v>
      </c>
      <c r="AP146" s="400">
        <f ca="1">IF(MAX(IF($C$6="No",ROUNDUP($C$3/$I146,0),ROUNDUP(($C$3+$I146)/$I146,0)),IF($C$6="No",ROUNDUP($C$4/$G146,0),ROUNDUP(($C$4+$G146)/$G146,0)),ROUNDUP('BVMS checklist'!$H$217/$J146,0))&gt;1,'BVMS checklist'!$J$224,'BVMS checklist'!$J$217)+MAX(IF($C$6="No",ROUNDUP($C$3/$I146,0),ROUNDUP(($C$3+$I146)/$I146,0)),IF($C$6="No",ROUNDUP($C$4/$G146,0),ROUNDUP(($C$4+$G146)/$G146,0)))+$C$5</f>
        <v>1</v>
      </c>
      <c r="AQ146" s="400" t="b">
        <f t="shared" ca="1" si="554"/>
        <v>1</v>
      </c>
      <c r="AR146" s="400" t="str">
        <f t="shared" ca="1" si="593"/>
        <v>Accepted</v>
      </c>
      <c r="AS146" s="398" t="str">
        <f t="shared" ca="1" si="579"/>
        <v>No</v>
      </c>
      <c r="AT146" s="398" t="str">
        <f t="shared" ca="1" si="594"/>
        <v/>
      </c>
      <c r="AU146" s="398" t="str">
        <f t="shared" ca="1" si="566"/>
        <v/>
      </c>
      <c r="AV146" s="398">
        <f t="shared" ca="1" si="567"/>
        <v>6</v>
      </c>
      <c r="AW146" s="398">
        <f t="shared" ca="1" si="595"/>
        <v>2</v>
      </c>
      <c r="AX146" s="398">
        <f t="shared" ca="1" si="596"/>
        <v>320</v>
      </c>
      <c r="AY146" s="398">
        <f t="shared" ca="1" si="597"/>
        <v>271852</v>
      </c>
      <c r="AZ146" s="399">
        <f t="shared" si="618"/>
        <v>0</v>
      </c>
      <c r="BA146" s="399">
        <f t="shared" si="619"/>
        <v>0</v>
      </c>
      <c r="BB146" s="483" t="str">
        <f t="shared" ca="1" si="568"/>
        <v/>
      </c>
      <c r="BC146" s="400">
        <f ca="1">IF(MAX(IF($D$6="No",ROUNDUP($D$3/$I146,0),ROUNDUP(($D$3+$I146)/$I146,0)),IF($D$6="No",ROUNDUP($D$4/$G146,0),ROUNDUP(($D$4+$G146)/$G146,0)),ROUNDUP('BVMS checklist'!$H$217/$J146,0))&gt;1,'BVMS checklist'!$L$224,'BVMS checklist'!$L$217)</f>
        <v>0</v>
      </c>
      <c r="BD146" s="398">
        <f t="shared" ca="1" si="569"/>
        <v>2</v>
      </c>
      <c r="BE146" s="400">
        <f t="shared" si="598"/>
        <v>1</v>
      </c>
      <c r="BF146" s="400">
        <f t="shared" si="599"/>
        <v>1575</v>
      </c>
      <c r="BG146" s="400">
        <f t="shared" ca="1" si="580"/>
        <v>0</v>
      </c>
      <c r="BH146" s="398">
        <f t="shared" ca="1" si="600"/>
        <v>271852</v>
      </c>
      <c r="BI146" s="401" t="str">
        <f t="shared" ca="1" si="570"/>
        <v/>
      </c>
      <c r="BJ146" s="398">
        <f t="shared" ca="1" si="601"/>
        <v>768</v>
      </c>
      <c r="BK146" s="400">
        <f ca="1">IF(MAX(IF($D$6="No",ROUNDUP($D$3/$I146,0),ROUNDUP(($D$3+$I146)/$I146,0)),IF($D$6="No",ROUNDUP($D$4/$G146,0),ROUNDUP(($D$4+$G146)/$G146,0)),ROUNDUP('BVMS checklist'!$H$217/$J146,0))&gt;1,'BVMS checklist'!$L$224,'BVMS checklist'!$L$217)+MAX(IF($D$6="No",ROUNDUP($D$3/$I146,0),ROUNDUP(($D$3+$I146)/$I146,0)),IF($D$6="No",ROUNDUP($D$4/$G146,0),ROUNDUP(($D$4+$G146)/$G146,0)))+$D$5</f>
        <v>1</v>
      </c>
      <c r="BL146" s="400" t="b">
        <f t="shared" ca="1" si="555"/>
        <v>1</v>
      </c>
      <c r="BM146" s="400" t="str">
        <f t="shared" ca="1" si="602"/>
        <v>Accepted</v>
      </c>
      <c r="BN146" s="398" t="str">
        <f t="shared" ca="1" si="581"/>
        <v>No</v>
      </c>
      <c r="BO146" s="398" t="str">
        <f t="shared" ca="1" si="603"/>
        <v/>
      </c>
      <c r="BP146" s="398" t="str">
        <f t="shared" ca="1" si="571"/>
        <v/>
      </c>
      <c r="BQ146" s="398">
        <f t="shared" ca="1" si="572"/>
        <v>6</v>
      </c>
      <c r="BR146" s="398">
        <f t="shared" ca="1" si="604"/>
        <v>2</v>
      </c>
      <c r="BS146" s="398">
        <f t="shared" ca="1" si="605"/>
        <v>320</v>
      </c>
      <c r="BT146" s="398">
        <f t="shared" ca="1" si="606"/>
        <v>271852</v>
      </c>
      <c r="BU146" s="399">
        <f t="shared" si="620"/>
        <v>0</v>
      </c>
      <c r="BV146" s="399">
        <f t="shared" si="621"/>
        <v>0</v>
      </c>
      <c r="BW146" s="483" t="str">
        <f t="shared" ca="1" si="573"/>
        <v/>
      </c>
      <c r="BX146" s="400">
        <f ca="1">IF(MAX(IF($E$6="No",ROUNDUP($E$3/$I146,0),ROUNDUP(($E$3+$I146)/$I146,0)),IF($E$6="No",ROUNDUP($E$4/$G146,0),ROUNDUP(($E$4+$G146)/$G146,0)),ROUNDUP('BVMS checklist'!$H$217/$J146,0))&gt;1,'BVMS checklist'!$N$224,'BVMS checklist'!$N$217)</f>
        <v>0</v>
      </c>
      <c r="BY146" s="398">
        <f t="shared" ca="1" si="574"/>
        <v>2</v>
      </c>
      <c r="BZ146" s="400">
        <f t="shared" ca="1" si="607"/>
        <v>2</v>
      </c>
      <c r="CA146" s="400">
        <f t="shared" ca="1" si="608"/>
        <v>3150</v>
      </c>
      <c r="CB146" s="400">
        <f t="shared" ca="1" si="582"/>
        <v>0</v>
      </c>
      <c r="CC146" s="398">
        <f t="shared" ca="1" si="609"/>
        <v>271852</v>
      </c>
      <c r="CD146" s="401" t="str">
        <f t="shared" ca="1" si="575"/>
        <v/>
      </c>
      <c r="CE146" s="398">
        <f t="shared" ca="1" si="610"/>
        <v>768</v>
      </c>
      <c r="CF146" s="400">
        <f ca="1">IF(MAX(IF($E$6="No",ROUNDUP($E$3/$I146,0),ROUNDUP(($E$3+$I146)/$I146,0)),IF($E$6="No",ROUNDUP($E$4/$G146,0),ROUNDUP(($E$4+$G146)/$G146,0)),ROUNDUP('BVMS checklist'!$H$217/$J146,0))&gt;1,'BVMS checklist'!$N$224,'BVMS checklist'!$N$217)+MAX(IF($E$6="No",ROUNDUP($E$3/$I146,0),ROUNDUP(($E$3+$I146)/$I146,0)),IF($E$6="No",ROUNDUP($E$4/$G146,0),ROUNDUP(($E$4+$G146)/$G146,0)))+$E$5</f>
        <v>1</v>
      </c>
      <c r="CG146" s="400" t="b">
        <f t="shared" ca="1" si="556"/>
        <v>1</v>
      </c>
      <c r="CH146" s="400" t="str">
        <f t="shared" ca="1" si="611"/>
        <v>Accepted</v>
      </c>
      <c r="CI146" s="398" t="str">
        <f t="shared" ca="1" si="583"/>
        <v>No</v>
      </c>
      <c r="CJ146" s="398" t="str">
        <f t="shared" ca="1" si="612"/>
        <v/>
      </c>
      <c r="CK146" s="398" t="str">
        <f t="shared" ca="1" si="576"/>
        <v/>
      </c>
      <c r="CL146" s="398">
        <f t="shared" ca="1" si="577"/>
        <v>6</v>
      </c>
      <c r="CM146" s="398">
        <f t="shared" ca="1" si="613"/>
        <v>2</v>
      </c>
      <c r="CN146" s="398">
        <f t="shared" ca="1" si="614"/>
        <v>320</v>
      </c>
      <c r="CO146" s="398">
        <f t="shared" ca="1" si="615"/>
        <v>271852</v>
      </c>
      <c r="CP146" s="399">
        <f t="shared" si="622"/>
        <v>0</v>
      </c>
      <c r="CQ146" s="399">
        <f t="shared" si="623"/>
        <v>0</v>
      </c>
      <c r="CR146" s="483" t="str">
        <f t="shared" ca="1" si="578"/>
        <v/>
      </c>
      <c r="CS146"/>
    </row>
    <row r="147" spans="1:97">
      <c r="A147" s="398" t="s">
        <v>413</v>
      </c>
      <c r="B147" s="398" t="s">
        <v>987</v>
      </c>
      <c r="C147" s="440" t="s">
        <v>891</v>
      </c>
      <c r="D147" s="398">
        <v>4</v>
      </c>
      <c r="E147" s="398"/>
      <c r="F147" s="440">
        <v>0</v>
      </c>
      <c r="G147" s="398">
        <f>IF(C147="RAID5",(((7-F147)*7448))+(3*(((15-F147)*2793))),(((6-F147)*7448))+(3*(((14-F147)*2793))))</f>
        <v>177821</v>
      </c>
      <c r="H147" s="399">
        <v>208</v>
      </c>
      <c r="I147" s="399">
        <v>2125</v>
      </c>
      <c r="J147" s="399">
        <v>512</v>
      </c>
      <c r="K147" s="399"/>
      <c r="L147" s="399"/>
      <c r="M147" s="400">
        <f ca="1">IF(MAX(IF($B$6="No",ROUNDUP($B$3/$I147,0),ROUNDUP(($B$3+$I147)/$I147,0)),IF($B$6="No",ROUNDUP($B$4/$G147,0),ROUNDUP(($B$4+$G147)/$G147,0)),ROUNDUP('BVMS checklist'!$H$217/$J147,0))&gt;1,'BVMS checklist'!$H$224,'BVMS checklist'!$H$217)</f>
        <v>0</v>
      </c>
      <c r="N147" s="398">
        <f t="shared" ca="1" si="557"/>
        <v>2</v>
      </c>
      <c r="O147" s="400">
        <f t="shared" ca="1" si="584"/>
        <v>2</v>
      </c>
      <c r="P147" s="400">
        <f t="shared" ca="1" si="548"/>
        <v>4250</v>
      </c>
      <c r="Q147" s="400">
        <f t="shared" ca="1" si="549"/>
        <v>0</v>
      </c>
      <c r="R147" s="398">
        <f t="shared" ca="1" si="550"/>
        <v>355642</v>
      </c>
      <c r="S147" s="401" t="str">
        <f t="shared" ca="1" si="558"/>
        <v/>
      </c>
      <c r="T147" s="398">
        <f t="shared" ca="1" si="559"/>
        <v>1024</v>
      </c>
      <c r="U147" s="400">
        <f ca="1">IF(MAX(IF($B$6="No",ROUNDUP($B$3/$I147,0),ROUNDUP(($B$3+$I147)/$I147,0)),IF($B$6="No",ROUNDUP($B$4/$G147,0),ROUNDUP(($B$4+$G147)/$G147,0)),ROUNDUP('BVMS checklist'!$H$217/$J147,0))&gt;1,'BVMS checklist'!$H$224,'BVMS checklist'!$H$217)+MAX(IF($B$6="No",ROUNDUP($B$3/$I147,0),ROUNDUP(($B$3+$I147)/$I147,0)),IF($B$6="No",ROUNDUP($B$4/$G147,0),ROUNDUP(($B$4+$G147)/$G147,0)))+$B$5</f>
        <v>1</v>
      </c>
      <c r="V147" s="400" t="b">
        <f t="shared" ca="1" si="551"/>
        <v>1</v>
      </c>
      <c r="W147" s="400" t="str">
        <f t="shared" ca="1" si="585"/>
        <v>Accepted</v>
      </c>
      <c r="X147" s="398" t="str">
        <f t="shared" ca="1" si="560"/>
        <v>No</v>
      </c>
      <c r="Y147" s="398" t="str">
        <f t="shared" ca="1" si="561"/>
        <v/>
      </c>
      <c r="Z147" s="398" t="str">
        <f t="shared" ca="1" si="562"/>
        <v/>
      </c>
      <c r="AA147" s="398">
        <f t="shared" ca="1" si="586"/>
        <v>6</v>
      </c>
      <c r="AB147" s="398">
        <f t="shared" ca="1" si="552"/>
        <v>2</v>
      </c>
      <c r="AC147" s="398">
        <f t="shared" ca="1" si="553"/>
        <v>416</v>
      </c>
      <c r="AD147" s="398">
        <f t="shared" ca="1" si="587"/>
        <v>355642</v>
      </c>
      <c r="AE147" s="399">
        <f t="shared" si="616"/>
        <v>0</v>
      </c>
      <c r="AF147" s="399">
        <f t="shared" si="617"/>
        <v>0</v>
      </c>
      <c r="AG147" s="483" t="str">
        <f t="shared" ca="1" si="563"/>
        <v/>
      </c>
      <c r="AH147" s="400">
        <f ca="1">IF(MAX(IF($C$6="No",ROUNDUP($C$3/$I147,0),ROUNDUP(($C$3+$I147)/$I147,0)),IF($C$6="No",ROUNDUP($C$4/$G147,0),ROUNDUP(($C$4+$G147)/$G147,0)),ROUNDUP('BVMS checklist'!$H$217/$J147,0))&gt;1,'BVMS checklist'!$J$224,'BVMS checklist'!$J$217)</f>
        <v>0</v>
      </c>
      <c r="AI147" s="398">
        <f t="shared" ca="1" si="564"/>
        <v>2</v>
      </c>
      <c r="AJ147" s="400">
        <f t="shared" ca="1" si="588"/>
        <v>2</v>
      </c>
      <c r="AK147" s="400">
        <f t="shared" ca="1" si="589"/>
        <v>4250</v>
      </c>
      <c r="AL147" s="400">
        <f t="shared" ca="1" si="590"/>
        <v>0</v>
      </c>
      <c r="AM147" s="398">
        <f t="shared" ca="1" si="591"/>
        <v>355642</v>
      </c>
      <c r="AN147" s="401" t="str">
        <f t="shared" ca="1" si="565"/>
        <v/>
      </c>
      <c r="AO147" s="398">
        <f t="shared" ca="1" si="592"/>
        <v>1024</v>
      </c>
      <c r="AP147" s="400">
        <f ca="1">IF(MAX(IF($C$6="No",ROUNDUP($C$3/$I147,0),ROUNDUP(($C$3+$I147)/$I147,0)),IF($C$6="No",ROUNDUP($C$4/$G147,0),ROUNDUP(($C$4+$G147)/$G147,0)),ROUNDUP('BVMS checklist'!$H$217/$J147,0))&gt;1,'BVMS checklist'!$J$224,'BVMS checklist'!$J$217)+MAX(IF($C$6="No",ROUNDUP($C$3/$I147,0),ROUNDUP(($C$3+$I147)/$I147,0)),IF($C$6="No",ROUNDUP($C$4/$G147,0),ROUNDUP(($C$4+$G147)/$G147,0)))+$C$5</f>
        <v>1</v>
      </c>
      <c r="AQ147" s="400" t="b">
        <f t="shared" ca="1" si="554"/>
        <v>1</v>
      </c>
      <c r="AR147" s="400" t="str">
        <f t="shared" ca="1" si="593"/>
        <v>Accepted</v>
      </c>
      <c r="AS147" s="398" t="str">
        <f t="shared" ca="1" si="579"/>
        <v>No</v>
      </c>
      <c r="AT147" s="398" t="str">
        <f t="shared" ca="1" si="594"/>
        <v/>
      </c>
      <c r="AU147" s="398" t="str">
        <f t="shared" ca="1" si="566"/>
        <v/>
      </c>
      <c r="AV147" s="398">
        <f t="shared" ca="1" si="567"/>
        <v>6</v>
      </c>
      <c r="AW147" s="398">
        <f t="shared" ca="1" si="595"/>
        <v>2</v>
      </c>
      <c r="AX147" s="398">
        <f t="shared" ca="1" si="596"/>
        <v>416</v>
      </c>
      <c r="AY147" s="398">
        <f t="shared" ca="1" si="597"/>
        <v>355642</v>
      </c>
      <c r="AZ147" s="399">
        <f t="shared" si="618"/>
        <v>0</v>
      </c>
      <c r="BA147" s="399">
        <f t="shared" si="619"/>
        <v>0</v>
      </c>
      <c r="BB147" s="483" t="str">
        <f t="shared" ca="1" si="568"/>
        <v/>
      </c>
      <c r="BC147" s="400">
        <f ca="1">IF(MAX(IF($D$6="No",ROUNDUP($D$3/$I147,0),ROUNDUP(($D$3+$I147)/$I147,0)),IF($D$6="No",ROUNDUP($D$4/$G147,0),ROUNDUP(($D$4+$G147)/$G147,0)),ROUNDUP('BVMS checklist'!$H$217/$J147,0))&gt;1,'BVMS checklist'!$L$224,'BVMS checklist'!$L$217)</f>
        <v>0</v>
      </c>
      <c r="BD147" s="398">
        <f t="shared" ca="1" si="569"/>
        <v>2</v>
      </c>
      <c r="BE147" s="400">
        <f t="shared" si="598"/>
        <v>1</v>
      </c>
      <c r="BF147" s="400">
        <f t="shared" si="599"/>
        <v>2125</v>
      </c>
      <c r="BG147" s="400">
        <f t="shared" ca="1" si="580"/>
        <v>0</v>
      </c>
      <c r="BH147" s="398">
        <f t="shared" ca="1" si="600"/>
        <v>355642</v>
      </c>
      <c r="BI147" s="401" t="str">
        <f t="shared" ca="1" si="570"/>
        <v/>
      </c>
      <c r="BJ147" s="398">
        <f t="shared" ca="1" si="601"/>
        <v>1024</v>
      </c>
      <c r="BK147" s="400">
        <f ca="1">IF(MAX(IF($D$6="No",ROUNDUP($D$3/$I147,0),ROUNDUP(($D$3+$I147)/$I147,0)),IF($D$6="No",ROUNDUP($D$4/$G147,0),ROUNDUP(($D$4+$G147)/$G147,0)),ROUNDUP('BVMS checklist'!$H$217/$J147,0))&gt;1,'BVMS checklist'!$L$224,'BVMS checklist'!$L$217)+MAX(IF($D$6="No",ROUNDUP($D$3/$I147,0),ROUNDUP(($D$3+$I147)/$I147,0)),IF($D$6="No",ROUNDUP($D$4/$G147,0),ROUNDUP(($D$4+$G147)/$G147,0)))+$D$5</f>
        <v>1</v>
      </c>
      <c r="BL147" s="400" t="b">
        <f t="shared" ca="1" si="555"/>
        <v>1</v>
      </c>
      <c r="BM147" s="400" t="str">
        <f t="shared" ca="1" si="602"/>
        <v>Accepted</v>
      </c>
      <c r="BN147" s="398" t="str">
        <f t="shared" ca="1" si="581"/>
        <v>No</v>
      </c>
      <c r="BO147" s="398" t="str">
        <f t="shared" ca="1" si="603"/>
        <v/>
      </c>
      <c r="BP147" s="398" t="str">
        <f t="shared" ca="1" si="571"/>
        <v/>
      </c>
      <c r="BQ147" s="398">
        <f t="shared" ca="1" si="572"/>
        <v>6</v>
      </c>
      <c r="BR147" s="398">
        <f t="shared" ca="1" si="604"/>
        <v>2</v>
      </c>
      <c r="BS147" s="398">
        <f t="shared" ca="1" si="605"/>
        <v>416</v>
      </c>
      <c r="BT147" s="398">
        <f t="shared" ca="1" si="606"/>
        <v>355642</v>
      </c>
      <c r="BU147" s="399">
        <f t="shared" si="620"/>
        <v>0</v>
      </c>
      <c r="BV147" s="399">
        <f t="shared" si="621"/>
        <v>0</v>
      </c>
      <c r="BW147" s="483" t="str">
        <f t="shared" ca="1" si="573"/>
        <v/>
      </c>
      <c r="BX147" s="400">
        <f ca="1">IF(MAX(IF($E$6="No",ROUNDUP($E$3/$I147,0),ROUNDUP(($E$3+$I147)/$I147,0)),IF($E$6="No",ROUNDUP($E$4/$G147,0),ROUNDUP(($E$4+$G147)/$G147,0)),ROUNDUP('BVMS checklist'!$H$217/$J147,0))&gt;1,'BVMS checklist'!$N$224,'BVMS checklist'!$N$217)</f>
        <v>0</v>
      </c>
      <c r="BY147" s="398">
        <f t="shared" ca="1" si="574"/>
        <v>2</v>
      </c>
      <c r="BZ147" s="400">
        <f t="shared" ca="1" si="607"/>
        <v>2</v>
      </c>
      <c r="CA147" s="400">
        <f t="shared" ca="1" si="608"/>
        <v>4250</v>
      </c>
      <c r="CB147" s="400">
        <f t="shared" ca="1" si="582"/>
        <v>0</v>
      </c>
      <c r="CC147" s="398">
        <f t="shared" ca="1" si="609"/>
        <v>355642</v>
      </c>
      <c r="CD147" s="401" t="str">
        <f t="shared" ca="1" si="575"/>
        <v/>
      </c>
      <c r="CE147" s="398">
        <f t="shared" ca="1" si="610"/>
        <v>1024</v>
      </c>
      <c r="CF147" s="400">
        <f ca="1">IF(MAX(IF($E$6="No",ROUNDUP($E$3/$I147,0),ROUNDUP(($E$3+$I147)/$I147,0)),IF($E$6="No",ROUNDUP($E$4/$G147,0),ROUNDUP(($E$4+$G147)/$G147,0)),ROUNDUP('BVMS checklist'!$H$217/$J147,0))&gt;1,'BVMS checklist'!$N$224,'BVMS checklist'!$N$217)+MAX(IF($E$6="No",ROUNDUP($E$3/$I147,0),ROUNDUP(($E$3+$I147)/$I147,0)),IF($E$6="No",ROUNDUP($E$4/$G147,0),ROUNDUP(($E$4+$G147)/$G147,0)))+$E$5</f>
        <v>1</v>
      </c>
      <c r="CG147" s="400" t="b">
        <f t="shared" ca="1" si="556"/>
        <v>1</v>
      </c>
      <c r="CH147" s="400" t="str">
        <f t="shared" ca="1" si="611"/>
        <v>Accepted</v>
      </c>
      <c r="CI147" s="398" t="str">
        <f t="shared" ca="1" si="583"/>
        <v>No</v>
      </c>
      <c r="CJ147" s="398" t="str">
        <f t="shared" ca="1" si="612"/>
        <v/>
      </c>
      <c r="CK147" s="398" t="str">
        <f t="shared" ca="1" si="576"/>
        <v/>
      </c>
      <c r="CL147" s="398">
        <f t="shared" ca="1" si="577"/>
        <v>6</v>
      </c>
      <c r="CM147" s="398">
        <f t="shared" ca="1" si="613"/>
        <v>2</v>
      </c>
      <c r="CN147" s="398">
        <f t="shared" ca="1" si="614"/>
        <v>416</v>
      </c>
      <c r="CO147" s="398">
        <f t="shared" ca="1" si="615"/>
        <v>355642</v>
      </c>
      <c r="CP147" s="399">
        <f t="shared" si="622"/>
        <v>0</v>
      </c>
      <c r="CQ147" s="399">
        <f t="shared" si="623"/>
        <v>0</v>
      </c>
      <c r="CR147" s="483" t="str">
        <f t="shared" ca="1" si="578"/>
        <v/>
      </c>
      <c r="CS147"/>
    </row>
    <row r="148" spans="1:97">
      <c r="A148" s="398" t="s">
        <v>414</v>
      </c>
      <c r="B148" s="398" t="s">
        <v>987</v>
      </c>
      <c r="C148" s="440" t="s">
        <v>891</v>
      </c>
      <c r="D148" s="398">
        <v>5</v>
      </c>
      <c r="E148" s="398"/>
      <c r="F148" s="440">
        <v>0</v>
      </c>
      <c r="G148" s="398">
        <f>IF(C148="RAID5",(((7-F148)*7448))+(4*(((15-F148)*2793))),(((6-F148)*7448))+(4*(((14-F148)*2793))))</f>
        <v>219716</v>
      </c>
      <c r="H148" s="399">
        <v>256</v>
      </c>
      <c r="I148" s="399">
        <v>2675</v>
      </c>
      <c r="J148" s="399">
        <v>640</v>
      </c>
      <c r="K148" s="399"/>
      <c r="L148" s="399"/>
      <c r="M148" s="400">
        <f ca="1">IF(MAX(IF($B$6="No",ROUNDUP($B$3/$I148,0),ROUNDUP(($B$3+$I148)/$I148,0)),IF($B$6="No",ROUNDUP($B$4/$G148,0),ROUNDUP(($B$4+$G148)/$G148,0)),ROUNDUP('BVMS checklist'!$H$217/$J148,0))&gt;1,'BVMS checklist'!$H$224,'BVMS checklist'!$H$217)</f>
        <v>0</v>
      </c>
      <c r="N148" s="398">
        <f t="shared" ca="1" si="557"/>
        <v>2</v>
      </c>
      <c r="O148" s="400">
        <f t="shared" ca="1" si="584"/>
        <v>2</v>
      </c>
      <c r="P148" s="400">
        <f t="shared" ca="1" si="548"/>
        <v>5350</v>
      </c>
      <c r="Q148" s="400">
        <f t="shared" ca="1" si="549"/>
        <v>0</v>
      </c>
      <c r="R148" s="398">
        <f t="shared" ca="1" si="550"/>
        <v>439432</v>
      </c>
      <c r="S148" s="401" t="str">
        <f t="shared" ca="1" si="558"/>
        <v/>
      </c>
      <c r="T148" s="398">
        <f t="shared" ca="1" si="559"/>
        <v>1280</v>
      </c>
      <c r="U148" s="400">
        <f ca="1">IF(MAX(IF($B$6="No",ROUNDUP($B$3/$I148,0),ROUNDUP(($B$3+$I148)/$I148,0)),IF($B$6="No",ROUNDUP($B$4/$G148,0),ROUNDUP(($B$4+$G148)/$G148,0)),ROUNDUP('BVMS checklist'!$H$217/$J148,0))&gt;1,'BVMS checklist'!$H$224,'BVMS checklist'!$H$217)+MAX(IF($B$6="No",ROUNDUP($B$3/$I148,0),ROUNDUP(($B$3+$I148)/$I148,0)),IF($B$6="No",ROUNDUP($B$4/$G148,0),ROUNDUP(($B$4+$G148)/$G148,0)))+$B$5</f>
        <v>1</v>
      </c>
      <c r="V148" s="400" t="b">
        <f t="shared" ca="1" si="551"/>
        <v>1</v>
      </c>
      <c r="W148" s="400" t="str">
        <f t="shared" ca="1" si="585"/>
        <v>Accepted</v>
      </c>
      <c r="X148" s="398" t="str">
        <f t="shared" ca="1" si="560"/>
        <v>No</v>
      </c>
      <c r="Y148" s="398" t="str">
        <f t="shared" ca="1" si="561"/>
        <v/>
      </c>
      <c r="Z148" s="398" t="str">
        <f t="shared" ca="1" si="562"/>
        <v/>
      </c>
      <c r="AA148" s="398">
        <f t="shared" ca="1" si="586"/>
        <v>6</v>
      </c>
      <c r="AB148" s="398">
        <f t="shared" ca="1" si="552"/>
        <v>2</v>
      </c>
      <c r="AC148" s="398">
        <f t="shared" ca="1" si="553"/>
        <v>512</v>
      </c>
      <c r="AD148" s="398">
        <f t="shared" ca="1" si="587"/>
        <v>439432</v>
      </c>
      <c r="AE148" s="399">
        <f t="shared" si="616"/>
        <v>0</v>
      </c>
      <c r="AF148" s="399">
        <f t="shared" si="617"/>
        <v>0</v>
      </c>
      <c r="AG148" s="483" t="str">
        <f t="shared" ca="1" si="563"/>
        <v/>
      </c>
      <c r="AH148" s="400">
        <f ca="1">IF(MAX(IF($C$6="No",ROUNDUP($C$3/$I148,0),ROUNDUP(($C$3+$I148)/$I148,0)),IF($C$6="No",ROUNDUP($C$4/$G148,0),ROUNDUP(($C$4+$G148)/$G148,0)),ROUNDUP('BVMS checklist'!$H$217/$J148,0))&gt;1,'BVMS checklist'!$J$224,'BVMS checklist'!$J$217)</f>
        <v>0</v>
      </c>
      <c r="AI148" s="398">
        <f t="shared" ca="1" si="564"/>
        <v>2</v>
      </c>
      <c r="AJ148" s="400">
        <f t="shared" ca="1" si="588"/>
        <v>2</v>
      </c>
      <c r="AK148" s="400">
        <f t="shared" ca="1" si="589"/>
        <v>5350</v>
      </c>
      <c r="AL148" s="400">
        <f t="shared" ca="1" si="590"/>
        <v>0</v>
      </c>
      <c r="AM148" s="398">
        <f t="shared" ca="1" si="591"/>
        <v>439432</v>
      </c>
      <c r="AN148" s="401" t="str">
        <f t="shared" ca="1" si="565"/>
        <v/>
      </c>
      <c r="AO148" s="398">
        <f t="shared" ca="1" si="592"/>
        <v>1280</v>
      </c>
      <c r="AP148" s="400">
        <f ca="1">IF(MAX(IF($C$6="No",ROUNDUP($C$3/$I148,0),ROUNDUP(($C$3+$I148)/$I148,0)),IF($C$6="No",ROUNDUP($C$4/$G148,0),ROUNDUP(($C$4+$G148)/$G148,0)),ROUNDUP('BVMS checklist'!$H$217/$J148,0))&gt;1,'BVMS checklist'!$J$224,'BVMS checklist'!$J$217)+MAX(IF($C$6="No",ROUNDUP($C$3/$I148,0),ROUNDUP(($C$3+$I148)/$I148,0)),IF($C$6="No",ROUNDUP($C$4/$G148,0),ROUNDUP(($C$4+$G148)/$G148,0)))+$C$5</f>
        <v>1</v>
      </c>
      <c r="AQ148" s="400" t="b">
        <f t="shared" ca="1" si="554"/>
        <v>1</v>
      </c>
      <c r="AR148" s="400" t="str">
        <f t="shared" ca="1" si="593"/>
        <v>Accepted</v>
      </c>
      <c r="AS148" s="398" t="str">
        <f t="shared" ca="1" si="579"/>
        <v>No</v>
      </c>
      <c r="AT148" s="398" t="str">
        <f t="shared" ca="1" si="594"/>
        <v/>
      </c>
      <c r="AU148" s="398" t="str">
        <f t="shared" ca="1" si="566"/>
        <v/>
      </c>
      <c r="AV148" s="398">
        <f t="shared" ca="1" si="567"/>
        <v>6</v>
      </c>
      <c r="AW148" s="398">
        <f t="shared" ca="1" si="595"/>
        <v>2</v>
      </c>
      <c r="AX148" s="398">
        <f t="shared" ca="1" si="596"/>
        <v>512</v>
      </c>
      <c r="AY148" s="398">
        <f t="shared" ca="1" si="597"/>
        <v>439432</v>
      </c>
      <c r="AZ148" s="399">
        <f t="shared" si="618"/>
        <v>0</v>
      </c>
      <c r="BA148" s="399">
        <f t="shared" si="619"/>
        <v>0</v>
      </c>
      <c r="BB148" s="483" t="str">
        <f t="shared" ca="1" si="568"/>
        <v/>
      </c>
      <c r="BC148" s="400">
        <f ca="1">IF(MAX(IF($D$6="No",ROUNDUP($D$3/$I148,0),ROUNDUP(($D$3+$I148)/$I148,0)),IF($D$6="No",ROUNDUP($D$4/$G148,0),ROUNDUP(($D$4+$G148)/$G148,0)),ROUNDUP('BVMS checklist'!$H$217/$J148,0))&gt;1,'BVMS checklist'!$L$224,'BVMS checklist'!$L$217)</f>
        <v>0</v>
      </c>
      <c r="BD148" s="398">
        <f t="shared" ca="1" si="569"/>
        <v>2</v>
      </c>
      <c r="BE148" s="400">
        <f t="shared" si="598"/>
        <v>1</v>
      </c>
      <c r="BF148" s="400">
        <f t="shared" si="599"/>
        <v>2675</v>
      </c>
      <c r="BG148" s="400">
        <f t="shared" ca="1" si="580"/>
        <v>0</v>
      </c>
      <c r="BH148" s="398">
        <f t="shared" ca="1" si="600"/>
        <v>439432</v>
      </c>
      <c r="BI148" s="401" t="str">
        <f t="shared" ca="1" si="570"/>
        <v/>
      </c>
      <c r="BJ148" s="398">
        <f t="shared" ca="1" si="601"/>
        <v>1280</v>
      </c>
      <c r="BK148" s="400">
        <f ca="1">IF(MAX(IF($D$6="No",ROUNDUP($D$3/$I148,0),ROUNDUP(($D$3+$I148)/$I148,0)),IF($D$6="No",ROUNDUP($D$4/$G148,0),ROUNDUP(($D$4+$G148)/$G148,0)),ROUNDUP('BVMS checklist'!$H$217/$J148,0))&gt;1,'BVMS checklist'!$L$224,'BVMS checklist'!$L$217)+MAX(IF($D$6="No",ROUNDUP($D$3/$I148,0),ROUNDUP(($D$3+$I148)/$I148,0)),IF($D$6="No",ROUNDUP($D$4/$G148,0),ROUNDUP(($D$4+$G148)/$G148,0)))+$D$5</f>
        <v>1</v>
      </c>
      <c r="BL148" s="400" t="b">
        <f t="shared" ca="1" si="555"/>
        <v>1</v>
      </c>
      <c r="BM148" s="400" t="str">
        <f t="shared" ca="1" si="602"/>
        <v>Accepted</v>
      </c>
      <c r="BN148" s="398" t="str">
        <f t="shared" ca="1" si="581"/>
        <v>No</v>
      </c>
      <c r="BO148" s="398" t="str">
        <f t="shared" ca="1" si="603"/>
        <v/>
      </c>
      <c r="BP148" s="398" t="str">
        <f t="shared" ca="1" si="571"/>
        <v/>
      </c>
      <c r="BQ148" s="398">
        <f t="shared" ca="1" si="572"/>
        <v>6</v>
      </c>
      <c r="BR148" s="398">
        <f t="shared" ca="1" si="604"/>
        <v>2</v>
      </c>
      <c r="BS148" s="398">
        <f t="shared" ca="1" si="605"/>
        <v>512</v>
      </c>
      <c r="BT148" s="398">
        <f t="shared" ca="1" si="606"/>
        <v>439432</v>
      </c>
      <c r="BU148" s="399">
        <f t="shared" si="620"/>
        <v>0</v>
      </c>
      <c r="BV148" s="399">
        <f t="shared" si="621"/>
        <v>0</v>
      </c>
      <c r="BW148" s="483" t="str">
        <f t="shared" ca="1" si="573"/>
        <v/>
      </c>
      <c r="BX148" s="400">
        <f ca="1">IF(MAX(IF($E$6="No",ROUNDUP($E$3/$I148,0),ROUNDUP(($E$3+$I148)/$I148,0)),IF($E$6="No",ROUNDUP($E$4/$G148,0),ROUNDUP(($E$4+$G148)/$G148,0)),ROUNDUP('BVMS checklist'!$H$217/$J148,0))&gt;1,'BVMS checklist'!$N$224,'BVMS checklist'!$N$217)</f>
        <v>0</v>
      </c>
      <c r="BY148" s="398">
        <f t="shared" ca="1" si="574"/>
        <v>2</v>
      </c>
      <c r="BZ148" s="400">
        <f t="shared" ca="1" si="607"/>
        <v>2</v>
      </c>
      <c r="CA148" s="400">
        <f t="shared" ca="1" si="608"/>
        <v>5350</v>
      </c>
      <c r="CB148" s="400">
        <f t="shared" ca="1" si="582"/>
        <v>0</v>
      </c>
      <c r="CC148" s="398">
        <f t="shared" ca="1" si="609"/>
        <v>439432</v>
      </c>
      <c r="CD148" s="401" t="str">
        <f t="shared" ca="1" si="575"/>
        <v/>
      </c>
      <c r="CE148" s="398">
        <f t="shared" ca="1" si="610"/>
        <v>1280</v>
      </c>
      <c r="CF148" s="400">
        <f ca="1">IF(MAX(IF($E$6="No",ROUNDUP($E$3/$I148,0),ROUNDUP(($E$3+$I148)/$I148,0)),IF($E$6="No",ROUNDUP($E$4/$G148,0),ROUNDUP(($E$4+$G148)/$G148,0)),ROUNDUP('BVMS checklist'!$H$217/$J148,0))&gt;1,'BVMS checklist'!$N$224,'BVMS checklist'!$N$217)+MAX(IF($E$6="No",ROUNDUP($E$3/$I148,0),ROUNDUP(($E$3+$I148)/$I148,0)),IF($E$6="No",ROUNDUP($E$4/$G148,0),ROUNDUP(($E$4+$G148)/$G148,0)))+$E$5</f>
        <v>1</v>
      </c>
      <c r="CG148" s="400" t="b">
        <f t="shared" ca="1" si="556"/>
        <v>1</v>
      </c>
      <c r="CH148" s="400" t="str">
        <f t="shared" ca="1" si="611"/>
        <v>Accepted</v>
      </c>
      <c r="CI148" s="398" t="str">
        <f t="shared" ca="1" si="583"/>
        <v>No</v>
      </c>
      <c r="CJ148" s="398" t="str">
        <f t="shared" ca="1" si="612"/>
        <v/>
      </c>
      <c r="CK148" s="398" t="str">
        <f t="shared" ca="1" si="576"/>
        <v/>
      </c>
      <c r="CL148" s="398">
        <f t="shared" ca="1" si="577"/>
        <v>6</v>
      </c>
      <c r="CM148" s="398">
        <f t="shared" ca="1" si="613"/>
        <v>2</v>
      </c>
      <c r="CN148" s="398">
        <f t="shared" ca="1" si="614"/>
        <v>512</v>
      </c>
      <c r="CO148" s="398">
        <f t="shared" ca="1" si="615"/>
        <v>439432</v>
      </c>
      <c r="CP148" s="399">
        <f t="shared" si="622"/>
        <v>0</v>
      </c>
      <c r="CQ148" s="399">
        <f t="shared" si="623"/>
        <v>0</v>
      </c>
      <c r="CR148" s="483" t="str">
        <f t="shared" ca="1" si="578"/>
        <v/>
      </c>
      <c r="CS148"/>
    </row>
    <row r="149" spans="1:97">
      <c r="A149" s="398" t="s">
        <v>415</v>
      </c>
      <c r="B149" s="398" t="s">
        <v>987</v>
      </c>
      <c r="C149" s="440" t="s">
        <v>891</v>
      </c>
      <c r="D149" s="398">
        <v>2</v>
      </c>
      <c r="E149" s="398"/>
      <c r="F149" s="440">
        <v>0</v>
      </c>
      <c r="G149" s="398">
        <f>IF(C149="RAID5",(((7-F149)*7448))+(1*(((7-F149)*3723))),(((6-F149)*7448))+(1*(((6-F149)*3723))))</f>
        <v>78197</v>
      </c>
      <c r="H149" s="399">
        <v>96</v>
      </c>
      <c r="I149" s="399">
        <v>1025</v>
      </c>
      <c r="J149" s="399">
        <v>256</v>
      </c>
      <c r="K149" s="399"/>
      <c r="L149" s="399"/>
      <c r="M149" s="400">
        <f ca="1">IF(MAX(IF($B$6="No",ROUNDUP($B$3/$I149,0),ROUNDUP(($B$3+$I149)/$I149,0)),IF($B$6="No",ROUNDUP($B$4/$G149,0),ROUNDUP(($B$4+$G149)/$G149,0)),ROUNDUP('BVMS checklist'!$H$217/$J149,0))&gt;1,'BVMS checklist'!$H$224,'BVMS checklist'!$H$217)</f>
        <v>0</v>
      </c>
      <c r="N149" s="398">
        <f t="shared" ca="1" si="557"/>
        <v>2</v>
      </c>
      <c r="O149" s="400">
        <f t="shared" ca="1" si="584"/>
        <v>2</v>
      </c>
      <c r="P149" s="400">
        <f t="shared" ca="1" si="548"/>
        <v>2050</v>
      </c>
      <c r="Q149" s="400">
        <f t="shared" ca="1" si="549"/>
        <v>0</v>
      </c>
      <c r="R149" s="398">
        <f t="shared" ca="1" si="550"/>
        <v>156394</v>
      </c>
      <c r="S149" s="401" t="str">
        <f t="shared" ca="1" si="558"/>
        <v/>
      </c>
      <c r="T149" s="398">
        <f t="shared" ca="1" si="559"/>
        <v>512</v>
      </c>
      <c r="U149" s="400">
        <f ca="1">IF(MAX(IF($B$6="No",ROUNDUP($B$3/$I149,0),ROUNDUP(($B$3+$I149)/$I149,0)),IF($B$6="No",ROUNDUP($B$4/$G149,0),ROUNDUP(($B$4+$G149)/$G149,0)),ROUNDUP('BVMS checklist'!$H$217/$J149,0))&gt;1,'BVMS checklist'!$H$224,'BVMS checklist'!$H$217)+MAX(IF($B$6="No",ROUNDUP($B$3/$I149,0),ROUNDUP(($B$3+$I149)/$I149,0)),IF($B$6="No",ROUNDUP($B$4/$G149,0),ROUNDUP(($B$4+$G149)/$G149,0)))+$B$5</f>
        <v>1</v>
      </c>
      <c r="V149" s="400" t="b">
        <f t="shared" ca="1" si="551"/>
        <v>1</v>
      </c>
      <c r="W149" s="400" t="str">
        <f t="shared" ca="1" si="585"/>
        <v>Accepted</v>
      </c>
      <c r="X149" s="398" t="str">
        <f t="shared" ca="1" si="560"/>
        <v>No</v>
      </c>
      <c r="Y149" s="398" t="str">
        <f t="shared" ca="1" si="561"/>
        <v/>
      </c>
      <c r="Z149" s="398" t="str">
        <f t="shared" ca="1" si="562"/>
        <v/>
      </c>
      <c r="AA149" s="398">
        <f t="shared" ca="1" si="586"/>
        <v>6</v>
      </c>
      <c r="AB149" s="398">
        <f t="shared" ca="1" si="552"/>
        <v>2</v>
      </c>
      <c r="AC149" s="398">
        <f t="shared" ca="1" si="553"/>
        <v>192</v>
      </c>
      <c r="AD149" s="398">
        <f t="shared" ca="1" si="587"/>
        <v>156394</v>
      </c>
      <c r="AE149" s="399">
        <f t="shared" si="616"/>
        <v>0</v>
      </c>
      <c r="AF149" s="399">
        <f t="shared" si="617"/>
        <v>0</v>
      </c>
      <c r="AG149" s="483" t="str">
        <f t="shared" ca="1" si="563"/>
        <v/>
      </c>
      <c r="AH149" s="400">
        <f ca="1">IF(MAX(IF($C$6="No",ROUNDUP($C$3/$I149,0),ROUNDUP(($C$3+$I149)/$I149,0)),IF($C$6="No",ROUNDUP($C$4/$G149,0),ROUNDUP(($C$4+$G149)/$G149,0)),ROUNDUP('BVMS checklist'!$H$217/$J149,0))&gt;1,'BVMS checklist'!$J$224,'BVMS checklist'!$J$217)</f>
        <v>0</v>
      </c>
      <c r="AI149" s="398">
        <f t="shared" ca="1" si="564"/>
        <v>2</v>
      </c>
      <c r="AJ149" s="400">
        <f t="shared" ca="1" si="588"/>
        <v>2</v>
      </c>
      <c r="AK149" s="400">
        <f t="shared" ca="1" si="589"/>
        <v>2050</v>
      </c>
      <c r="AL149" s="400">
        <f t="shared" ca="1" si="590"/>
        <v>0</v>
      </c>
      <c r="AM149" s="398">
        <f t="shared" ca="1" si="591"/>
        <v>156394</v>
      </c>
      <c r="AN149" s="401" t="str">
        <f t="shared" ca="1" si="565"/>
        <v/>
      </c>
      <c r="AO149" s="398">
        <f t="shared" ca="1" si="592"/>
        <v>512</v>
      </c>
      <c r="AP149" s="400">
        <f ca="1">IF(MAX(IF($C$6="No",ROUNDUP($C$3/$I149,0),ROUNDUP(($C$3+$I149)/$I149,0)),IF($C$6="No",ROUNDUP($C$4/$G149,0),ROUNDUP(($C$4+$G149)/$G149,0)),ROUNDUP('BVMS checklist'!$H$217/$J149,0))&gt;1,'BVMS checklist'!$J$224,'BVMS checklist'!$J$217)+MAX(IF($C$6="No",ROUNDUP($C$3/$I149,0),ROUNDUP(($C$3+$I149)/$I149,0)),IF($C$6="No",ROUNDUP($C$4/$G149,0),ROUNDUP(($C$4+$G149)/$G149,0)))+$C$5</f>
        <v>1</v>
      </c>
      <c r="AQ149" s="400" t="b">
        <f t="shared" ca="1" si="554"/>
        <v>1</v>
      </c>
      <c r="AR149" s="400" t="str">
        <f t="shared" ca="1" si="593"/>
        <v>Accepted</v>
      </c>
      <c r="AS149" s="398" t="str">
        <f t="shared" ca="1" si="579"/>
        <v>No</v>
      </c>
      <c r="AT149" s="398" t="str">
        <f t="shared" ca="1" si="594"/>
        <v/>
      </c>
      <c r="AU149" s="398" t="str">
        <f t="shared" ca="1" si="566"/>
        <v/>
      </c>
      <c r="AV149" s="398">
        <f t="shared" ca="1" si="567"/>
        <v>6</v>
      </c>
      <c r="AW149" s="398">
        <f t="shared" ca="1" si="595"/>
        <v>2</v>
      </c>
      <c r="AX149" s="398">
        <f t="shared" ca="1" si="596"/>
        <v>192</v>
      </c>
      <c r="AY149" s="398">
        <f t="shared" ca="1" si="597"/>
        <v>156394</v>
      </c>
      <c r="AZ149" s="399">
        <f t="shared" si="618"/>
        <v>0</v>
      </c>
      <c r="BA149" s="399">
        <f t="shared" si="619"/>
        <v>0</v>
      </c>
      <c r="BB149" s="483" t="str">
        <f t="shared" ca="1" si="568"/>
        <v/>
      </c>
      <c r="BC149" s="400">
        <f ca="1">IF(MAX(IF($D$6="No",ROUNDUP($D$3/$I149,0),ROUNDUP(($D$3+$I149)/$I149,0)),IF($D$6="No",ROUNDUP($D$4/$G149,0),ROUNDUP(($D$4+$G149)/$G149,0)),ROUNDUP('BVMS checklist'!$H$217/$J149,0))&gt;1,'BVMS checklist'!$L$224,'BVMS checklist'!$L$217)</f>
        <v>0</v>
      </c>
      <c r="BD149" s="398">
        <f t="shared" ca="1" si="569"/>
        <v>2</v>
      </c>
      <c r="BE149" s="400">
        <f t="shared" si="598"/>
        <v>1</v>
      </c>
      <c r="BF149" s="400">
        <f t="shared" si="599"/>
        <v>1025</v>
      </c>
      <c r="BG149" s="400">
        <f t="shared" ca="1" si="580"/>
        <v>0</v>
      </c>
      <c r="BH149" s="398">
        <f t="shared" ca="1" si="600"/>
        <v>156394</v>
      </c>
      <c r="BI149" s="401" t="str">
        <f t="shared" ca="1" si="570"/>
        <v/>
      </c>
      <c r="BJ149" s="398">
        <f t="shared" ca="1" si="601"/>
        <v>512</v>
      </c>
      <c r="BK149" s="400">
        <f ca="1">IF(MAX(IF($D$6="No",ROUNDUP($D$3/$I149,0),ROUNDUP(($D$3+$I149)/$I149,0)),IF($D$6="No",ROUNDUP($D$4/$G149,0),ROUNDUP(($D$4+$G149)/$G149,0)),ROUNDUP('BVMS checklist'!$H$217/$J149,0))&gt;1,'BVMS checklist'!$L$224,'BVMS checklist'!$L$217)+MAX(IF($D$6="No",ROUNDUP($D$3/$I149,0),ROUNDUP(($D$3+$I149)/$I149,0)),IF($D$6="No",ROUNDUP($D$4/$G149,0),ROUNDUP(($D$4+$G149)/$G149,0)))+$D$5</f>
        <v>1</v>
      </c>
      <c r="BL149" s="400" t="b">
        <f t="shared" ca="1" si="555"/>
        <v>1</v>
      </c>
      <c r="BM149" s="400" t="str">
        <f t="shared" ca="1" si="602"/>
        <v>Accepted</v>
      </c>
      <c r="BN149" s="398" t="str">
        <f t="shared" ca="1" si="581"/>
        <v>No</v>
      </c>
      <c r="BO149" s="398" t="str">
        <f t="shared" ca="1" si="603"/>
        <v/>
      </c>
      <c r="BP149" s="398" t="str">
        <f t="shared" ca="1" si="571"/>
        <v/>
      </c>
      <c r="BQ149" s="398">
        <f t="shared" ca="1" si="572"/>
        <v>6</v>
      </c>
      <c r="BR149" s="398">
        <f t="shared" ca="1" si="604"/>
        <v>2</v>
      </c>
      <c r="BS149" s="398">
        <f t="shared" ca="1" si="605"/>
        <v>192</v>
      </c>
      <c r="BT149" s="398">
        <f t="shared" ca="1" si="606"/>
        <v>156394</v>
      </c>
      <c r="BU149" s="399">
        <f t="shared" si="620"/>
        <v>0</v>
      </c>
      <c r="BV149" s="399">
        <f t="shared" si="621"/>
        <v>0</v>
      </c>
      <c r="BW149" s="483" t="str">
        <f t="shared" ca="1" si="573"/>
        <v/>
      </c>
      <c r="BX149" s="400">
        <f ca="1">IF(MAX(IF($E$6="No",ROUNDUP($E$3/$I149,0),ROUNDUP(($E$3+$I149)/$I149,0)),IF($E$6="No",ROUNDUP($E$4/$G149,0),ROUNDUP(($E$4+$G149)/$G149,0)),ROUNDUP('BVMS checklist'!$H$217/$J149,0))&gt;1,'BVMS checklist'!$N$224,'BVMS checklist'!$N$217)</f>
        <v>0</v>
      </c>
      <c r="BY149" s="398">
        <f t="shared" ca="1" si="574"/>
        <v>2</v>
      </c>
      <c r="BZ149" s="400">
        <f t="shared" ca="1" si="607"/>
        <v>2</v>
      </c>
      <c r="CA149" s="400">
        <f t="shared" ca="1" si="608"/>
        <v>2050</v>
      </c>
      <c r="CB149" s="400">
        <f t="shared" ca="1" si="582"/>
        <v>0</v>
      </c>
      <c r="CC149" s="398">
        <f t="shared" ca="1" si="609"/>
        <v>156394</v>
      </c>
      <c r="CD149" s="401" t="str">
        <f t="shared" ca="1" si="575"/>
        <v/>
      </c>
      <c r="CE149" s="398">
        <f t="shared" ca="1" si="610"/>
        <v>512</v>
      </c>
      <c r="CF149" s="400">
        <f ca="1">IF(MAX(IF($E$6="No",ROUNDUP($E$3/$I149,0),ROUNDUP(($E$3+$I149)/$I149,0)),IF($E$6="No",ROUNDUP($E$4/$G149,0),ROUNDUP(($E$4+$G149)/$G149,0)),ROUNDUP('BVMS checklist'!$H$217/$J149,0))&gt;1,'BVMS checklist'!$N$224,'BVMS checklist'!$N$217)+MAX(IF($E$6="No",ROUNDUP($E$3/$I149,0),ROUNDUP(($E$3+$I149)/$I149,0)),IF($E$6="No",ROUNDUP($E$4/$G149,0),ROUNDUP(($E$4+$G149)/$G149,0)))+$E$5</f>
        <v>1</v>
      </c>
      <c r="CG149" s="400" t="b">
        <f t="shared" ca="1" si="556"/>
        <v>1</v>
      </c>
      <c r="CH149" s="400" t="str">
        <f t="shared" ca="1" si="611"/>
        <v>Accepted</v>
      </c>
      <c r="CI149" s="398" t="str">
        <f t="shared" ca="1" si="583"/>
        <v>No</v>
      </c>
      <c r="CJ149" s="398" t="str">
        <f t="shared" ca="1" si="612"/>
        <v/>
      </c>
      <c r="CK149" s="398" t="str">
        <f t="shared" ca="1" si="576"/>
        <v/>
      </c>
      <c r="CL149" s="398">
        <f t="shared" ca="1" si="577"/>
        <v>6</v>
      </c>
      <c r="CM149" s="398">
        <f t="shared" ca="1" si="613"/>
        <v>2</v>
      </c>
      <c r="CN149" s="398">
        <f t="shared" ca="1" si="614"/>
        <v>192</v>
      </c>
      <c r="CO149" s="398">
        <f t="shared" ca="1" si="615"/>
        <v>156394</v>
      </c>
      <c r="CP149" s="399">
        <f t="shared" si="622"/>
        <v>0</v>
      </c>
      <c r="CQ149" s="399">
        <f t="shared" si="623"/>
        <v>0</v>
      </c>
      <c r="CR149" s="483" t="str">
        <f t="shared" ca="1" si="578"/>
        <v/>
      </c>
      <c r="CS149"/>
    </row>
    <row r="150" spans="1:97">
      <c r="A150" s="398" t="s">
        <v>416</v>
      </c>
      <c r="B150" s="398" t="s">
        <v>987</v>
      </c>
      <c r="C150" s="440" t="s">
        <v>891</v>
      </c>
      <c r="D150" s="398">
        <v>3</v>
      </c>
      <c r="E150" s="398"/>
      <c r="F150" s="440">
        <v>0</v>
      </c>
      <c r="G150" s="398">
        <f>IF(C150="RAID5",(((7-F150)*7448))+(2*(((7-F150)*3723))),(((6-F150)*7448))+(2*(((6-F150)*3723))))</f>
        <v>104258</v>
      </c>
      <c r="H150" s="399">
        <v>128</v>
      </c>
      <c r="I150" s="399">
        <v>1575</v>
      </c>
      <c r="J150" s="399">
        <v>384</v>
      </c>
      <c r="K150" s="399"/>
      <c r="L150" s="399"/>
      <c r="M150" s="400">
        <f ca="1">IF(MAX(IF($B$6="No",ROUNDUP($B$3/$I150,0),ROUNDUP(($B$3+$I150)/$I150,0)),IF($B$6="No",ROUNDUP($B$4/$G150,0),ROUNDUP(($B$4+$G150)/$G150,0)),ROUNDUP('BVMS checklist'!$H$217/$J150,0))&gt;1,'BVMS checklist'!$H$224,'BVMS checklist'!$H$217)</f>
        <v>0</v>
      </c>
      <c r="N150" s="398">
        <f t="shared" ca="1" si="557"/>
        <v>2</v>
      </c>
      <c r="O150" s="400">
        <f t="shared" ca="1" si="584"/>
        <v>2</v>
      </c>
      <c r="P150" s="400">
        <f t="shared" ca="1" si="548"/>
        <v>3150</v>
      </c>
      <c r="Q150" s="400">
        <f t="shared" ca="1" si="549"/>
        <v>0</v>
      </c>
      <c r="R150" s="398">
        <f t="shared" ca="1" si="550"/>
        <v>208516</v>
      </c>
      <c r="S150" s="401" t="str">
        <f t="shared" ca="1" si="558"/>
        <v/>
      </c>
      <c r="T150" s="398">
        <f t="shared" ca="1" si="559"/>
        <v>768</v>
      </c>
      <c r="U150" s="400">
        <f ca="1">IF(MAX(IF($B$6="No",ROUNDUP($B$3/$I150,0),ROUNDUP(($B$3+$I150)/$I150,0)),IF($B$6="No",ROUNDUP($B$4/$G150,0),ROUNDUP(($B$4+$G150)/$G150,0)),ROUNDUP('BVMS checklist'!$H$217/$J150,0))&gt;1,'BVMS checklist'!$H$224,'BVMS checklist'!$H$217)+MAX(IF($B$6="No",ROUNDUP($B$3/$I150,0),ROUNDUP(($B$3+$I150)/$I150,0)),IF($B$6="No",ROUNDUP($B$4/$G150,0),ROUNDUP(($B$4+$G150)/$G150,0)))+$B$5</f>
        <v>1</v>
      </c>
      <c r="V150" s="400" t="b">
        <f t="shared" ca="1" si="551"/>
        <v>1</v>
      </c>
      <c r="W150" s="400" t="str">
        <f t="shared" ca="1" si="585"/>
        <v>Accepted</v>
      </c>
      <c r="X150" s="398" t="str">
        <f t="shared" ca="1" si="560"/>
        <v>No</v>
      </c>
      <c r="Y150" s="398" t="str">
        <f t="shared" ca="1" si="561"/>
        <v/>
      </c>
      <c r="Z150" s="398" t="str">
        <f t="shared" ca="1" si="562"/>
        <v/>
      </c>
      <c r="AA150" s="398">
        <f t="shared" ca="1" si="586"/>
        <v>6</v>
      </c>
      <c r="AB150" s="398">
        <f t="shared" ca="1" si="552"/>
        <v>2</v>
      </c>
      <c r="AC150" s="398">
        <f t="shared" ca="1" si="553"/>
        <v>256</v>
      </c>
      <c r="AD150" s="398">
        <f t="shared" ca="1" si="587"/>
        <v>208516</v>
      </c>
      <c r="AE150" s="399">
        <f t="shared" si="616"/>
        <v>0</v>
      </c>
      <c r="AF150" s="399">
        <f t="shared" si="617"/>
        <v>0</v>
      </c>
      <c r="AG150" s="483" t="str">
        <f t="shared" ca="1" si="563"/>
        <v/>
      </c>
      <c r="AH150" s="400">
        <f ca="1">IF(MAX(IF($C$6="No",ROUNDUP($C$3/$I150,0),ROUNDUP(($C$3+$I150)/$I150,0)),IF($C$6="No",ROUNDUP($C$4/$G150,0),ROUNDUP(($C$4+$G150)/$G150,0)),ROUNDUP('BVMS checklist'!$H$217/$J150,0))&gt;1,'BVMS checklist'!$J$224,'BVMS checklist'!$J$217)</f>
        <v>0</v>
      </c>
      <c r="AI150" s="398">
        <f t="shared" ca="1" si="564"/>
        <v>2</v>
      </c>
      <c r="AJ150" s="400">
        <f t="shared" ca="1" si="588"/>
        <v>2</v>
      </c>
      <c r="AK150" s="400">
        <f t="shared" ca="1" si="589"/>
        <v>3150</v>
      </c>
      <c r="AL150" s="400">
        <f t="shared" ca="1" si="590"/>
        <v>0</v>
      </c>
      <c r="AM150" s="398">
        <f t="shared" ca="1" si="591"/>
        <v>208516</v>
      </c>
      <c r="AN150" s="401" t="str">
        <f t="shared" ca="1" si="565"/>
        <v/>
      </c>
      <c r="AO150" s="398">
        <f t="shared" ca="1" si="592"/>
        <v>768</v>
      </c>
      <c r="AP150" s="400">
        <f ca="1">IF(MAX(IF($C$6="No",ROUNDUP($C$3/$I150,0),ROUNDUP(($C$3+$I150)/$I150,0)),IF($C$6="No",ROUNDUP($C$4/$G150,0),ROUNDUP(($C$4+$G150)/$G150,0)),ROUNDUP('BVMS checklist'!$H$217/$J150,0))&gt;1,'BVMS checklist'!$J$224,'BVMS checklist'!$J$217)+MAX(IF($C$6="No",ROUNDUP($C$3/$I150,0),ROUNDUP(($C$3+$I150)/$I150,0)),IF($C$6="No",ROUNDUP($C$4/$G150,0),ROUNDUP(($C$4+$G150)/$G150,0)))+$C$5</f>
        <v>1</v>
      </c>
      <c r="AQ150" s="400" t="b">
        <f t="shared" ca="1" si="554"/>
        <v>1</v>
      </c>
      <c r="AR150" s="400" t="str">
        <f t="shared" ca="1" si="593"/>
        <v>Accepted</v>
      </c>
      <c r="AS150" s="398" t="str">
        <f t="shared" ca="1" si="579"/>
        <v>No</v>
      </c>
      <c r="AT150" s="398" t="str">
        <f t="shared" ca="1" si="594"/>
        <v/>
      </c>
      <c r="AU150" s="398" t="str">
        <f t="shared" ca="1" si="566"/>
        <v/>
      </c>
      <c r="AV150" s="398">
        <f t="shared" ca="1" si="567"/>
        <v>6</v>
      </c>
      <c r="AW150" s="398">
        <f t="shared" ca="1" si="595"/>
        <v>2</v>
      </c>
      <c r="AX150" s="398">
        <f t="shared" ca="1" si="596"/>
        <v>256</v>
      </c>
      <c r="AY150" s="398">
        <f t="shared" ca="1" si="597"/>
        <v>208516</v>
      </c>
      <c r="AZ150" s="399">
        <f t="shared" si="618"/>
        <v>0</v>
      </c>
      <c r="BA150" s="399">
        <f t="shared" si="619"/>
        <v>0</v>
      </c>
      <c r="BB150" s="483" t="str">
        <f t="shared" ca="1" si="568"/>
        <v/>
      </c>
      <c r="BC150" s="400">
        <f ca="1">IF(MAX(IF($D$6="No",ROUNDUP($D$3/$I150,0),ROUNDUP(($D$3+$I150)/$I150,0)),IF($D$6="No",ROUNDUP($D$4/$G150,0),ROUNDUP(($D$4+$G150)/$G150,0)),ROUNDUP('BVMS checklist'!$H$217/$J150,0))&gt;1,'BVMS checklist'!$L$224,'BVMS checklist'!$L$217)</f>
        <v>0</v>
      </c>
      <c r="BD150" s="398">
        <f t="shared" ca="1" si="569"/>
        <v>2</v>
      </c>
      <c r="BE150" s="400">
        <f t="shared" si="598"/>
        <v>1</v>
      </c>
      <c r="BF150" s="400">
        <f t="shared" si="599"/>
        <v>1575</v>
      </c>
      <c r="BG150" s="400">
        <f t="shared" ca="1" si="580"/>
        <v>0</v>
      </c>
      <c r="BH150" s="398">
        <f t="shared" ca="1" si="600"/>
        <v>208516</v>
      </c>
      <c r="BI150" s="401" t="str">
        <f t="shared" ca="1" si="570"/>
        <v/>
      </c>
      <c r="BJ150" s="398">
        <f t="shared" ca="1" si="601"/>
        <v>768</v>
      </c>
      <c r="BK150" s="400">
        <f ca="1">IF(MAX(IF($D$6="No",ROUNDUP($D$3/$I150,0),ROUNDUP(($D$3+$I150)/$I150,0)),IF($D$6="No",ROUNDUP($D$4/$G150,0),ROUNDUP(($D$4+$G150)/$G150,0)),ROUNDUP('BVMS checklist'!$H$217/$J150,0))&gt;1,'BVMS checklist'!$L$224,'BVMS checklist'!$L$217)+MAX(IF($D$6="No",ROUNDUP($D$3/$I150,0),ROUNDUP(($D$3+$I150)/$I150,0)),IF($D$6="No",ROUNDUP($D$4/$G150,0),ROUNDUP(($D$4+$G150)/$G150,0)))+$D$5</f>
        <v>1</v>
      </c>
      <c r="BL150" s="400" t="b">
        <f t="shared" ca="1" si="555"/>
        <v>1</v>
      </c>
      <c r="BM150" s="400" t="str">
        <f t="shared" ca="1" si="602"/>
        <v>Accepted</v>
      </c>
      <c r="BN150" s="398" t="str">
        <f t="shared" ca="1" si="581"/>
        <v>No</v>
      </c>
      <c r="BO150" s="398" t="str">
        <f t="shared" ca="1" si="603"/>
        <v/>
      </c>
      <c r="BP150" s="398" t="str">
        <f t="shared" ca="1" si="571"/>
        <v/>
      </c>
      <c r="BQ150" s="398">
        <f t="shared" ca="1" si="572"/>
        <v>6</v>
      </c>
      <c r="BR150" s="398">
        <f t="shared" ca="1" si="604"/>
        <v>2</v>
      </c>
      <c r="BS150" s="398">
        <f t="shared" ca="1" si="605"/>
        <v>256</v>
      </c>
      <c r="BT150" s="398">
        <f t="shared" ca="1" si="606"/>
        <v>208516</v>
      </c>
      <c r="BU150" s="399">
        <f t="shared" si="620"/>
        <v>0</v>
      </c>
      <c r="BV150" s="399">
        <f t="shared" si="621"/>
        <v>0</v>
      </c>
      <c r="BW150" s="483" t="str">
        <f t="shared" ca="1" si="573"/>
        <v/>
      </c>
      <c r="BX150" s="400">
        <f ca="1">IF(MAX(IF($E$6="No",ROUNDUP($E$3/$I150,0),ROUNDUP(($E$3+$I150)/$I150,0)),IF($E$6="No",ROUNDUP($E$4/$G150,0),ROUNDUP(($E$4+$G150)/$G150,0)),ROUNDUP('BVMS checklist'!$H$217/$J150,0))&gt;1,'BVMS checklist'!$N$224,'BVMS checklist'!$N$217)</f>
        <v>0</v>
      </c>
      <c r="BY150" s="398">
        <f t="shared" ca="1" si="574"/>
        <v>2</v>
      </c>
      <c r="BZ150" s="400">
        <f t="shared" ca="1" si="607"/>
        <v>2</v>
      </c>
      <c r="CA150" s="400">
        <f t="shared" ca="1" si="608"/>
        <v>3150</v>
      </c>
      <c r="CB150" s="400">
        <f t="shared" ca="1" si="582"/>
        <v>0</v>
      </c>
      <c r="CC150" s="398">
        <f t="shared" ca="1" si="609"/>
        <v>208516</v>
      </c>
      <c r="CD150" s="401" t="str">
        <f t="shared" ca="1" si="575"/>
        <v/>
      </c>
      <c r="CE150" s="398">
        <f t="shared" ca="1" si="610"/>
        <v>768</v>
      </c>
      <c r="CF150" s="400">
        <f ca="1">IF(MAX(IF($E$6="No",ROUNDUP($E$3/$I150,0),ROUNDUP(($E$3+$I150)/$I150,0)),IF($E$6="No",ROUNDUP($E$4/$G150,0),ROUNDUP(($E$4+$G150)/$G150,0)),ROUNDUP('BVMS checklist'!$H$217/$J150,0))&gt;1,'BVMS checklist'!$N$224,'BVMS checklist'!$N$217)+MAX(IF($E$6="No",ROUNDUP($E$3/$I150,0),ROUNDUP(($E$3+$I150)/$I150,0)),IF($E$6="No",ROUNDUP($E$4/$G150,0),ROUNDUP(($E$4+$G150)/$G150,0)))+$E$5</f>
        <v>1</v>
      </c>
      <c r="CG150" s="400" t="b">
        <f t="shared" ca="1" si="556"/>
        <v>1</v>
      </c>
      <c r="CH150" s="400" t="str">
        <f t="shared" ca="1" si="611"/>
        <v>Accepted</v>
      </c>
      <c r="CI150" s="398" t="str">
        <f t="shared" ca="1" si="583"/>
        <v>No</v>
      </c>
      <c r="CJ150" s="398" t="str">
        <f t="shared" ca="1" si="612"/>
        <v/>
      </c>
      <c r="CK150" s="398" t="str">
        <f t="shared" ca="1" si="576"/>
        <v/>
      </c>
      <c r="CL150" s="398">
        <f t="shared" ca="1" si="577"/>
        <v>6</v>
      </c>
      <c r="CM150" s="398">
        <f t="shared" ca="1" si="613"/>
        <v>2</v>
      </c>
      <c r="CN150" s="398">
        <f t="shared" ca="1" si="614"/>
        <v>256</v>
      </c>
      <c r="CO150" s="398">
        <f t="shared" ca="1" si="615"/>
        <v>208516</v>
      </c>
      <c r="CP150" s="399">
        <f t="shared" si="622"/>
        <v>0</v>
      </c>
      <c r="CQ150" s="399">
        <f t="shared" si="623"/>
        <v>0</v>
      </c>
      <c r="CR150" s="483" t="str">
        <f t="shared" ca="1" si="578"/>
        <v/>
      </c>
      <c r="CS150"/>
    </row>
    <row r="151" spans="1:97">
      <c r="A151" s="398" t="s">
        <v>417</v>
      </c>
      <c r="B151" s="398" t="s">
        <v>987</v>
      </c>
      <c r="C151" s="440" t="s">
        <v>891</v>
      </c>
      <c r="D151" s="398">
        <v>4</v>
      </c>
      <c r="E151" s="398"/>
      <c r="F151" s="440">
        <v>0</v>
      </c>
      <c r="G151" s="398">
        <f>IF(C151="RAID5",(((7-F151)*7448))+(3*(((7-F151)*3723))),(((6-F151)*7448))+(3*(((6-F151)*3723))))</f>
        <v>130319</v>
      </c>
      <c r="H151" s="399">
        <v>160</v>
      </c>
      <c r="I151" s="399">
        <v>2125</v>
      </c>
      <c r="J151" s="399">
        <v>512</v>
      </c>
      <c r="K151" s="399"/>
      <c r="L151" s="399"/>
      <c r="M151" s="400">
        <f ca="1">IF(MAX(IF($B$6="No",ROUNDUP($B$3/$I151,0),ROUNDUP(($B$3+$I151)/$I151,0)),IF($B$6="No",ROUNDUP($B$4/$G151,0),ROUNDUP(($B$4+$G151)/$G151,0)),ROUNDUP('BVMS checklist'!$H$217/$J151,0))&gt;1,'BVMS checklist'!$H$224,'BVMS checklist'!$H$217)</f>
        <v>0</v>
      </c>
      <c r="N151" s="398">
        <f t="shared" ca="1" si="557"/>
        <v>2</v>
      </c>
      <c r="O151" s="400">
        <f t="shared" ca="1" si="584"/>
        <v>2</v>
      </c>
      <c r="P151" s="400">
        <f t="shared" ca="1" si="548"/>
        <v>4250</v>
      </c>
      <c r="Q151" s="400">
        <f t="shared" ca="1" si="549"/>
        <v>0</v>
      </c>
      <c r="R151" s="398">
        <f t="shared" ca="1" si="550"/>
        <v>260638</v>
      </c>
      <c r="S151" s="401" t="str">
        <f t="shared" ca="1" si="558"/>
        <v/>
      </c>
      <c r="T151" s="398">
        <f t="shared" ca="1" si="559"/>
        <v>1024</v>
      </c>
      <c r="U151" s="400">
        <f ca="1">IF(MAX(IF($B$6="No",ROUNDUP($B$3/$I151,0),ROUNDUP(($B$3+$I151)/$I151,0)),IF($B$6="No",ROUNDUP($B$4/$G151,0),ROUNDUP(($B$4+$G151)/$G151,0)),ROUNDUP('BVMS checklist'!$H$217/$J151,0))&gt;1,'BVMS checklist'!$H$224,'BVMS checklist'!$H$217)+MAX(IF($B$6="No",ROUNDUP($B$3/$I151,0),ROUNDUP(($B$3+$I151)/$I151,0)),IF($B$6="No",ROUNDUP($B$4/$G151,0),ROUNDUP(($B$4+$G151)/$G151,0)))+$B$5</f>
        <v>1</v>
      </c>
      <c r="V151" s="400" t="b">
        <f t="shared" ca="1" si="551"/>
        <v>1</v>
      </c>
      <c r="W151" s="400" t="str">
        <f t="shared" ca="1" si="585"/>
        <v>Accepted</v>
      </c>
      <c r="X151" s="398" t="str">
        <f t="shared" ca="1" si="560"/>
        <v>No</v>
      </c>
      <c r="Y151" s="398" t="str">
        <f t="shared" ca="1" si="561"/>
        <v/>
      </c>
      <c r="Z151" s="398" t="str">
        <f t="shared" ca="1" si="562"/>
        <v/>
      </c>
      <c r="AA151" s="398">
        <f t="shared" ca="1" si="586"/>
        <v>6</v>
      </c>
      <c r="AB151" s="398">
        <f t="shared" ca="1" si="552"/>
        <v>2</v>
      </c>
      <c r="AC151" s="398">
        <f t="shared" ca="1" si="553"/>
        <v>320</v>
      </c>
      <c r="AD151" s="398">
        <f t="shared" ca="1" si="587"/>
        <v>260638</v>
      </c>
      <c r="AE151" s="399">
        <f t="shared" si="616"/>
        <v>0</v>
      </c>
      <c r="AF151" s="399">
        <f t="shared" si="617"/>
        <v>0</v>
      </c>
      <c r="AG151" s="483" t="str">
        <f t="shared" ca="1" si="563"/>
        <v/>
      </c>
      <c r="AH151" s="400">
        <f ca="1">IF(MAX(IF($C$6="No",ROUNDUP($C$3/$I151,0),ROUNDUP(($C$3+$I151)/$I151,0)),IF($C$6="No",ROUNDUP($C$4/$G151,0),ROUNDUP(($C$4+$G151)/$G151,0)),ROUNDUP('BVMS checklist'!$H$217/$J151,0))&gt;1,'BVMS checklist'!$J$224,'BVMS checklist'!$J$217)</f>
        <v>0</v>
      </c>
      <c r="AI151" s="398">
        <f t="shared" ca="1" si="564"/>
        <v>2</v>
      </c>
      <c r="AJ151" s="400">
        <f t="shared" ca="1" si="588"/>
        <v>2</v>
      </c>
      <c r="AK151" s="400">
        <f t="shared" ca="1" si="589"/>
        <v>4250</v>
      </c>
      <c r="AL151" s="400">
        <f t="shared" ca="1" si="590"/>
        <v>0</v>
      </c>
      <c r="AM151" s="398">
        <f t="shared" ca="1" si="591"/>
        <v>260638</v>
      </c>
      <c r="AN151" s="401" t="str">
        <f t="shared" ca="1" si="565"/>
        <v/>
      </c>
      <c r="AO151" s="398">
        <f t="shared" ca="1" si="592"/>
        <v>1024</v>
      </c>
      <c r="AP151" s="400">
        <f ca="1">IF(MAX(IF($C$6="No",ROUNDUP($C$3/$I151,0),ROUNDUP(($C$3+$I151)/$I151,0)),IF($C$6="No",ROUNDUP($C$4/$G151,0),ROUNDUP(($C$4+$G151)/$G151,0)),ROUNDUP('BVMS checklist'!$H$217/$J151,0))&gt;1,'BVMS checklist'!$J$224,'BVMS checklist'!$J$217)+MAX(IF($C$6="No",ROUNDUP($C$3/$I151,0),ROUNDUP(($C$3+$I151)/$I151,0)),IF($C$6="No",ROUNDUP($C$4/$G151,0),ROUNDUP(($C$4+$G151)/$G151,0)))+$C$5</f>
        <v>1</v>
      </c>
      <c r="AQ151" s="400" t="b">
        <f t="shared" ca="1" si="554"/>
        <v>1</v>
      </c>
      <c r="AR151" s="400" t="str">
        <f t="shared" ca="1" si="593"/>
        <v>Accepted</v>
      </c>
      <c r="AS151" s="398" t="str">
        <f t="shared" ca="1" si="579"/>
        <v>No</v>
      </c>
      <c r="AT151" s="398" t="str">
        <f t="shared" ca="1" si="594"/>
        <v/>
      </c>
      <c r="AU151" s="398" t="str">
        <f t="shared" ca="1" si="566"/>
        <v/>
      </c>
      <c r="AV151" s="398">
        <f t="shared" ca="1" si="567"/>
        <v>6</v>
      </c>
      <c r="AW151" s="398">
        <f t="shared" ca="1" si="595"/>
        <v>2</v>
      </c>
      <c r="AX151" s="398">
        <f t="shared" ca="1" si="596"/>
        <v>320</v>
      </c>
      <c r="AY151" s="398">
        <f t="shared" ca="1" si="597"/>
        <v>260638</v>
      </c>
      <c r="AZ151" s="399">
        <f t="shared" si="618"/>
        <v>0</v>
      </c>
      <c r="BA151" s="399">
        <f t="shared" si="619"/>
        <v>0</v>
      </c>
      <c r="BB151" s="483" t="str">
        <f t="shared" ca="1" si="568"/>
        <v/>
      </c>
      <c r="BC151" s="400">
        <f ca="1">IF(MAX(IF($D$6="No",ROUNDUP($D$3/$I151,0),ROUNDUP(($D$3+$I151)/$I151,0)),IF($D$6="No",ROUNDUP($D$4/$G151,0),ROUNDUP(($D$4+$G151)/$G151,0)),ROUNDUP('BVMS checklist'!$H$217/$J151,0))&gt;1,'BVMS checklist'!$L$224,'BVMS checklist'!$L$217)</f>
        <v>0</v>
      </c>
      <c r="BD151" s="398">
        <f t="shared" ca="1" si="569"/>
        <v>2</v>
      </c>
      <c r="BE151" s="400">
        <f t="shared" si="598"/>
        <v>1</v>
      </c>
      <c r="BF151" s="400">
        <f t="shared" si="599"/>
        <v>2125</v>
      </c>
      <c r="BG151" s="400">
        <f t="shared" ca="1" si="580"/>
        <v>0</v>
      </c>
      <c r="BH151" s="398">
        <f t="shared" ca="1" si="600"/>
        <v>260638</v>
      </c>
      <c r="BI151" s="401" t="str">
        <f t="shared" ca="1" si="570"/>
        <v/>
      </c>
      <c r="BJ151" s="398">
        <f t="shared" ca="1" si="601"/>
        <v>1024</v>
      </c>
      <c r="BK151" s="400">
        <f ca="1">IF(MAX(IF($D$6="No",ROUNDUP($D$3/$I151,0),ROUNDUP(($D$3+$I151)/$I151,0)),IF($D$6="No",ROUNDUP($D$4/$G151,0),ROUNDUP(($D$4+$G151)/$G151,0)),ROUNDUP('BVMS checklist'!$H$217/$J151,0))&gt;1,'BVMS checklist'!$L$224,'BVMS checklist'!$L$217)+MAX(IF($D$6="No",ROUNDUP($D$3/$I151,0),ROUNDUP(($D$3+$I151)/$I151,0)),IF($D$6="No",ROUNDUP($D$4/$G151,0),ROUNDUP(($D$4+$G151)/$G151,0)))+$D$5</f>
        <v>1</v>
      </c>
      <c r="BL151" s="400" t="b">
        <f t="shared" ca="1" si="555"/>
        <v>1</v>
      </c>
      <c r="BM151" s="400" t="str">
        <f t="shared" ca="1" si="602"/>
        <v>Accepted</v>
      </c>
      <c r="BN151" s="398" t="str">
        <f t="shared" ca="1" si="581"/>
        <v>No</v>
      </c>
      <c r="BO151" s="398" t="str">
        <f t="shared" ca="1" si="603"/>
        <v/>
      </c>
      <c r="BP151" s="398" t="str">
        <f t="shared" ca="1" si="571"/>
        <v/>
      </c>
      <c r="BQ151" s="398">
        <f t="shared" ca="1" si="572"/>
        <v>6</v>
      </c>
      <c r="BR151" s="398">
        <f t="shared" ca="1" si="604"/>
        <v>2</v>
      </c>
      <c r="BS151" s="398">
        <f t="shared" ca="1" si="605"/>
        <v>320</v>
      </c>
      <c r="BT151" s="398">
        <f t="shared" ca="1" si="606"/>
        <v>260638</v>
      </c>
      <c r="BU151" s="399">
        <f t="shared" si="620"/>
        <v>0</v>
      </c>
      <c r="BV151" s="399">
        <f t="shared" si="621"/>
        <v>0</v>
      </c>
      <c r="BW151" s="483" t="str">
        <f t="shared" ca="1" si="573"/>
        <v/>
      </c>
      <c r="BX151" s="400">
        <f ca="1">IF(MAX(IF($E$6="No",ROUNDUP($E$3/$I151,0),ROUNDUP(($E$3+$I151)/$I151,0)),IF($E$6="No",ROUNDUP($E$4/$G151,0),ROUNDUP(($E$4+$G151)/$G151,0)),ROUNDUP('BVMS checklist'!$H$217/$J151,0))&gt;1,'BVMS checklist'!$N$224,'BVMS checklist'!$N$217)</f>
        <v>0</v>
      </c>
      <c r="BY151" s="398">
        <f t="shared" ca="1" si="574"/>
        <v>2</v>
      </c>
      <c r="BZ151" s="400">
        <f t="shared" ca="1" si="607"/>
        <v>2</v>
      </c>
      <c r="CA151" s="400">
        <f t="shared" ca="1" si="608"/>
        <v>4250</v>
      </c>
      <c r="CB151" s="400">
        <f t="shared" ca="1" si="582"/>
        <v>0</v>
      </c>
      <c r="CC151" s="398">
        <f t="shared" ca="1" si="609"/>
        <v>260638</v>
      </c>
      <c r="CD151" s="401" t="str">
        <f t="shared" ca="1" si="575"/>
        <v/>
      </c>
      <c r="CE151" s="398">
        <f t="shared" ca="1" si="610"/>
        <v>1024</v>
      </c>
      <c r="CF151" s="400">
        <f ca="1">IF(MAX(IF($E$6="No",ROUNDUP($E$3/$I151,0),ROUNDUP(($E$3+$I151)/$I151,0)),IF($E$6="No",ROUNDUP($E$4/$G151,0),ROUNDUP(($E$4+$G151)/$G151,0)),ROUNDUP('BVMS checklist'!$H$217/$J151,0))&gt;1,'BVMS checklist'!$N$224,'BVMS checklist'!$N$217)+MAX(IF($E$6="No",ROUNDUP($E$3/$I151,0),ROUNDUP(($E$3+$I151)/$I151,0)),IF($E$6="No",ROUNDUP($E$4/$G151,0),ROUNDUP(($E$4+$G151)/$G151,0)))+$E$5</f>
        <v>1</v>
      </c>
      <c r="CG151" s="400" t="b">
        <f t="shared" ca="1" si="556"/>
        <v>1</v>
      </c>
      <c r="CH151" s="400" t="str">
        <f t="shared" ca="1" si="611"/>
        <v>Accepted</v>
      </c>
      <c r="CI151" s="398" t="str">
        <f t="shared" ca="1" si="583"/>
        <v>No</v>
      </c>
      <c r="CJ151" s="398" t="str">
        <f t="shared" ca="1" si="612"/>
        <v/>
      </c>
      <c r="CK151" s="398" t="str">
        <f t="shared" ca="1" si="576"/>
        <v/>
      </c>
      <c r="CL151" s="398">
        <f t="shared" ca="1" si="577"/>
        <v>6</v>
      </c>
      <c r="CM151" s="398">
        <f t="shared" ca="1" si="613"/>
        <v>2</v>
      </c>
      <c r="CN151" s="398">
        <f t="shared" ca="1" si="614"/>
        <v>320</v>
      </c>
      <c r="CO151" s="398">
        <f t="shared" ca="1" si="615"/>
        <v>260638</v>
      </c>
      <c r="CP151" s="399">
        <f t="shared" si="622"/>
        <v>0</v>
      </c>
      <c r="CQ151" s="399">
        <f t="shared" si="623"/>
        <v>0</v>
      </c>
      <c r="CR151" s="483" t="str">
        <f t="shared" ca="1" si="578"/>
        <v/>
      </c>
      <c r="CS151"/>
    </row>
    <row r="152" spans="1:97">
      <c r="A152" s="398" t="s">
        <v>418</v>
      </c>
      <c r="B152" s="398" t="s">
        <v>987</v>
      </c>
      <c r="C152" s="440" t="s">
        <v>891</v>
      </c>
      <c r="D152" s="398">
        <v>5</v>
      </c>
      <c r="E152" s="398"/>
      <c r="F152" s="440">
        <v>0</v>
      </c>
      <c r="G152" s="398">
        <f>IF(C152="RAID5",(((7-F152)*7448))+(4*(((7-F152)*3723))),(((6-F152)*7448))+(4*(((6-F152)*3723))))</f>
        <v>156380</v>
      </c>
      <c r="H152" s="399">
        <v>192</v>
      </c>
      <c r="I152" s="399">
        <v>2675</v>
      </c>
      <c r="J152" s="399">
        <v>640</v>
      </c>
      <c r="K152" s="399"/>
      <c r="L152" s="399"/>
      <c r="M152" s="400">
        <f ca="1">IF(MAX(IF($B$6="No",ROUNDUP($B$3/$I152,0),ROUNDUP(($B$3+$I152)/$I152,0)),IF($B$6="No",ROUNDUP($B$4/$G152,0),ROUNDUP(($B$4+$G152)/$G152,0)),ROUNDUP('BVMS checklist'!$H$217/$J152,0))&gt;1,'BVMS checklist'!$H$224,'BVMS checklist'!$H$217)</f>
        <v>0</v>
      </c>
      <c r="N152" s="398">
        <f t="shared" ca="1" si="557"/>
        <v>2</v>
      </c>
      <c r="O152" s="400">
        <f t="shared" ca="1" si="584"/>
        <v>2</v>
      </c>
      <c r="P152" s="400">
        <f t="shared" ca="1" si="548"/>
        <v>5350</v>
      </c>
      <c r="Q152" s="400">
        <f t="shared" ca="1" si="549"/>
        <v>0</v>
      </c>
      <c r="R152" s="398">
        <f t="shared" ca="1" si="550"/>
        <v>312760</v>
      </c>
      <c r="S152" s="401" t="str">
        <f t="shared" ca="1" si="558"/>
        <v/>
      </c>
      <c r="T152" s="398">
        <f t="shared" ca="1" si="559"/>
        <v>1280</v>
      </c>
      <c r="U152" s="400">
        <f ca="1">IF(MAX(IF($B$6="No",ROUNDUP($B$3/$I152,0),ROUNDUP(($B$3+$I152)/$I152,0)),IF($B$6="No",ROUNDUP($B$4/$G152,0),ROUNDUP(($B$4+$G152)/$G152,0)),ROUNDUP('BVMS checklist'!$H$217/$J152,0))&gt;1,'BVMS checklist'!$H$224,'BVMS checklist'!$H$217)+MAX(IF($B$6="No",ROUNDUP($B$3/$I152,0),ROUNDUP(($B$3+$I152)/$I152,0)),IF($B$6="No",ROUNDUP($B$4/$G152,0),ROUNDUP(($B$4+$G152)/$G152,0)))+$B$5</f>
        <v>1</v>
      </c>
      <c r="V152" s="400" t="b">
        <f t="shared" ca="1" si="551"/>
        <v>1</v>
      </c>
      <c r="W152" s="400" t="str">
        <f t="shared" ca="1" si="585"/>
        <v>Accepted</v>
      </c>
      <c r="X152" s="398" t="str">
        <f t="shared" ca="1" si="560"/>
        <v>No</v>
      </c>
      <c r="Y152" s="398" t="str">
        <f t="shared" ca="1" si="561"/>
        <v/>
      </c>
      <c r="Z152" s="398" t="str">
        <f t="shared" ca="1" si="562"/>
        <v/>
      </c>
      <c r="AA152" s="398">
        <f t="shared" ca="1" si="586"/>
        <v>6</v>
      </c>
      <c r="AB152" s="398">
        <f t="shared" ca="1" si="552"/>
        <v>2</v>
      </c>
      <c r="AC152" s="398">
        <f t="shared" ca="1" si="553"/>
        <v>384</v>
      </c>
      <c r="AD152" s="398">
        <f t="shared" ca="1" si="587"/>
        <v>312760</v>
      </c>
      <c r="AE152" s="399">
        <f t="shared" si="616"/>
        <v>0</v>
      </c>
      <c r="AF152" s="399">
        <f t="shared" si="617"/>
        <v>0</v>
      </c>
      <c r="AG152" s="483" t="str">
        <f t="shared" ca="1" si="563"/>
        <v/>
      </c>
      <c r="AH152" s="400">
        <f ca="1">IF(MAX(IF($C$6="No",ROUNDUP($C$3/$I152,0),ROUNDUP(($C$3+$I152)/$I152,0)),IF($C$6="No",ROUNDUP($C$4/$G152,0),ROUNDUP(($C$4+$G152)/$G152,0)),ROUNDUP('BVMS checklist'!$H$217/$J152,0))&gt;1,'BVMS checklist'!$J$224,'BVMS checklist'!$J$217)</f>
        <v>0</v>
      </c>
      <c r="AI152" s="398">
        <f t="shared" ca="1" si="564"/>
        <v>2</v>
      </c>
      <c r="AJ152" s="400">
        <f t="shared" ca="1" si="588"/>
        <v>2</v>
      </c>
      <c r="AK152" s="400">
        <f t="shared" ca="1" si="589"/>
        <v>5350</v>
      </c>
      <c r="AL152" s="400">
        <f t="shared" ca="1" si="590"/>
        <v>0</v>
      </c>
      <c r="AM152" s="398">
        <f t="shared" ca="1" si="591"/>
        <v>312760</v>
      </c>
      <c r="AN152" s="401" t="str">
        <f t="shared" ca="1" si="565"/>
        <v/>
      </c>
      <c r="AO152" s="398">
        <f t="shared" ca="1" si="592"/>
        <v>1280</v>
      </c>
      <c r="AP152" s="400">
        <f ca="1">IF(MAX(IF($C$6="No",ROUNDUP($C$3/$I152,0),ROUNDUP(($C$3+$I152)/$I152,0)),IF($C$6="No",ROUNDUP($C$4/$G152,0),ROUNDUP(($C$4+$G152)/$G152,0)),ROUNDUP('BVMS checklist'!$H$217/$J152,0))&gt;1,'BVMS checklist'!$J$224,'BVMS checklist'!$J$217)+MAX(IF($C$6="No",ROUNDUP($C$3/$I152,0),ROUNDUP(($C$3+$I152)/$I152,0)),IF($C$6="No",ROUNDUP($C$4/$G152,0),ROUNDUP(($C$4+$G152)/$G152,0)))+$C$5</f>
        <v>1</v>
      </c>
      <c r="AQ152" s="400" t="b">
        <f t="shared" ca="1" si="554"/>
        <v>1</v>
      </c>
      <c r="AR152" s="400" t="str">
        <f t="shared" ca="1" si="593"/>
        <v>Accepted</v>
      </c>
      <c r="AS152" s="398" t="str">
        <f t="shared" ca="1" si="579"/>
        <v>No</v>
      </c>
      <c r="AT152" s="398" t="str">
        <f t="shared" ca="1" si="594"/>
        <v/>
      </c>
      <c r="AU152" s="398" t="str">
        <f t="shared" ca="1" si="566"/>
        <v/>
      </c>
      <c r="AV152" s="398">
        <f t="shared" ca="1" si="567"/>
        <v>6</v>
      </c>
      <c r="AW152" s="398">
        <f t="shared" ca="1" si="595"/>
        <v>2</v>
      </c>
      <c r="AX152" s="398">
        <f t="shared" ca="1" si="596"/>
        <v>384</v>
      </c>
      <c r="AY152" s="398">
        <f t="shared" ca="1" si="597"/>
        <v>312760</v>
      </c>
      <c r="AZ152" s="399">
        <f t="shared" si="618"/>
        <v>0</v>
      </c>
      <c r="BA152" s="399">
        <f t="shared" si="619"/>
        <v>0</v>
      </c>
      <c r="BB152" s="483" t="str">
        <f t="shared" ca="1" si="568"/>
        <v/>
      </c>
      <c r="BC152" s="400">
        <f ca="1">IF(MAX(IF($D$6="No",ROUNDUP($D$3/$I152,0),ROUNDUP(($D$3+$I152)/$I152,0)),IF($D$6="No",ROUNDUP($D$4/$G152,0),ROUNDUP(($D$4+$G152)/$G152,0)),ROUNDUP('BVMS checklist'!$H$217/$J152,0))&gt;1,'BVMS checklist'!$L$224,'BVMS checklist'!$L$217)</f>
        <v>0</v>
      </c>
      <c r="BD152" s="398">
        <f t="shared" ca="1" si="569"/>
        <v>2</v>
      </c>
      <c r="BE152" s="400">
        <f t="shared" si="598"/>
        <v>1</v>
      </c>
      <c r="BF152" s="400">
        <f t="shared" si="599"/>
        <v>2675</v>
      </c>
      <c r="BG152" s="400">
        <f t="shared" ca="1" si="580"/>
        <v>0</v>
      </c>
      <c r="BH152" s="398">
        <f t="shared" ca="1" si="600"/>
        <v>312760</v>
      </c>
      <c r="BI152" s="401" t="str">
        <f t="shared" ca="1" si="570"/>
        <v/>
      </c>
      <c r="BJ152" s="398">
        <f t="shared" ca="1" si="601"/>
        <v>1280</v>
      </c>
      <c r="BK152" s="400">
        <f ca="1">IF(MAX(IF($D$6="No",ROUNDUP($D$3/$I152,0),ROUNDUP(($D$3+$I152)/$I152,0)),IF($D$6="No",ROUNDUP($D$4/$G152,0),ROUNDUP(($D$4+$G152)/$G152,0)),ROUNDUP('BVMS checklist'!$H$217/$J152,0))&gt;1,'BVMS checklist'!$L$224,'BVMS checklist'!$L$217)+MAX(IF($D$6="No",ROUNDUP($D$3/$I152,0),ROUNDUP(($D$3+$I152)/$I152,0)),IF($D$6="No",ROUNDUP($D$4/$G152,0),ROUNDUP(($D$4+$G152)/$G152,0)))+$D$5</f>
        <v>1</v>
      </c>
      <c r="BL152" s="400" t="b">
        <f t="shared" ca="1" si="555"/>
        <v>1</v>
      </c>
      <c r="BM152" s="400" t="str">
        <f t="shared" ca="1" si="602"/>
        <v>Accepted</v>
      </c>
      <c r="BN152" s="398" t="str">
        <f t="shared" ca="1" si="581"/>
        <v>No</v>
      </c>
      <c r="BO152" s="398" t="str">
        <f t="shared" ca="1" si="603"/>
        <v/>
      </c>
      <c r="BP152" s="398" t="str">
        <f t="shared" ca="1" si="571"/>
        <v/>
      </c>
      <c r="BQ152" s="398">
        <f t="shared" ca="1" si="572"/>
        <v>6</v>
      </c>
      <c r="BR152" s="398">
        <f t="shared" ca="1" si="604"/>
        <v>2</v>
      </c>
      <c r="BS152" s="398">
        <f t="shared" ca="1" si="605"/>
        <v>384</v>
      </c>
      <c r="BT152" s="398">
        <f t="shared" ca="1" si="606"/>
        <v>312760</v>
      </c>
      <c r="BU152" s="399">
        <f t="shared" si="620"/>
        <v>0</v>
      </c>
      <c r="BV152" s="399">
        <f t="shared" si="621"/>
        <v>0</v>
      </c>
      <c r="BW152" s="483" t="str">
        <f t="shared" ca="1" si="573"/>
        <v/>
      </c>
      <c r="BX152" s="400">
        <f ca="1">IF(MAX(IF($E$6="No",ROUNDUP($E$3/$I152,0),ROUNDUP(($E$3+$I152)/$I152,0)),IF($E$6="No",ROUNDUP($E$4/$G152,0),ROUNDUP(($E$4+$G152)/$G152,0)),ROUNDUP('BVMS checklist'!$H$217/$J152,0))&gt;1,'BVMS checklist'!$N$224,'BVMS checklist'!$N$217)</f>
        <v>0</v>
      </c>
      <c r="BY152" s="398">
        <f t="shared" ca="1" si="574"/>
        <v>2</v>
      </c>
      <c r="BZ152" s="400">
        <f t="shared" ca="1" si="607"/>
        <v>2</v>
      </c>
      <c r="CA152" s="400">
        <f t="shared" ca="1" si="608"/>
        <v>5350</v>
      </c>
      <c r="CB152" s="400">
        <f t="shared" ca="1" si="582"/>
        <v>0</v>
      </c>
      <c r="CC152" s="398">
        <f t="shared" ca="1" si="609"/>
        <v>312760</v>
      </c>
      <c r="CD152" s="401" t="str">
        <f t="shared" ca="1" si="575"/>
        <v/>
      </c>
      <c r="CE152" s="398">
        <f t="shared" ca="1" si="610"/>
        <v>1280</v>
      </c>
      <c r="CF152" s="400">
        <f ca="1">IF(MAX(IF($E$6="No",ROUNDUP($E$3/$I152,0),ROUNDUP(($E$3+$I152)/$I152,0)),IF($E$6="No",ROUNDUP($E$4/$G152,0),ROUNDUP(($E$4+$G152)/$G152,0)),ROUNDUP('BVMS checklist'!$H$217/$J152,0))&gt;1,'BVMS checklist'!$N$224,'BVMS checklist'!$N$217)+MAX(IF($E$6="No",ROUNDUP($E$3/$I152,0),ROUNDUP(($E$3+$I152)/$I152,0)),IF($E$6="No",ROUNDUP($E$4/$G152,0),ROUNDUP(($E$4+$G152)/$G152,0)))+$E$5</f>
        <v>1</v>
      </c>
      <c r="CG152" s="400" t="b">
        <f t="shared" ca="1" si="556"/>
        <v>1</v>
      </c>
      <c r="CH152" s="400" t="str">
        <f t="shared" ca="1" si="611"/>
        <v>Accepted</v>
      </c>
      <c r="CI152" s="398" t="str">
        <f t="shared" ca="1" si="583"/>
        <v>No</v>
      </c>
      <c r="CJ152" s="398" t="str">
        <f t="shared" ca="1" si="612"/>
        <v/>
      </c>
      <c r="CK152" s="398" t="str">
        <f t="shared" ca="1" si="576"/>
        <v/>
      </c>
      <c r="CL152" s="398">
        <f t="shared" ca="1" si="577"/>
        <v>6</v>
      </c>
      <c r="CM152" s="398">
        <f t="shared" ca="1" si="613"/>
        <v>2</v>
      </c>
      <c r="CN152" s="398">
        <f t="shared" ca="1" si="614"/>
        <v>384</v>
      </c>
      <c r="CO152" s="398">
        <f t="shared" ca="1" si="615"/>
        <v>312760</v>
      </c>
      <c r="CP152" s="399">
        <f t="shared" si="622"/>
        <v>0</v>
      </c>
      <c r="CQ152" s="399">
        <f t="shared" si="623"/>
        <v>0</v>
      </c>
      <c r="CR152" s="483" t="str">
        <f t="shared" ca="1" si="578"/>
        <v/>
      </c>
      <c r="CS152"/>
    </row>
    <row r="153" spans="1:97">
      <c r="A153" s="398" t="s">
        <v>419</v>
      </c>
      <c r="B153" s="398" t="s">
        <v>987</v>
      </c>
      <c r="C153" s="440" t="s">
        <v>891</v>
      </c>
      <c r="D153" s="398">
        <v>2</v>
      </c>
      <c r="E153" s="398"/>
      <c r="F153" s="440">
        <v>0</v>
      </c>
      <c r="G153" s="398">
        <f>IF(C153="RAID5",(((7-F153)*7448))+(1*(((15-F153)*3723))),(((6-F153)*7448))+(1*(((14-F153)*3723))))</f>
        <v>107981</v>
      </c>
      <c r="H153" s="399">
        <v>128</v>
      </c>
      <c r="I153" s="399">
        <v>1025</v>
      </c>
      <c r="J153" s="399">
        <v>256</v>
      </c>
      <c r="K153" s="399"/>
      <c r="L153" s="399"/>
      <c r="M153" s="400">
        <f ca="1">IF(MAX(IF($B$6="No",ROUNDUP($B$3/$I153,0),ROUNDUP(($B$3+$I153)/$I153,0)),IF($B$6="No",ROUNDUP($B$4/$G153,0),ROUNDUP(($B$4+$G153)/$G153,0)),ROUNDUP('BVMS checklist'!$H$217/$J153,0))&gt;1,'BVMS checklist'!$H$224,'BVMS checklist'!$H$217)</f>
        <v>0</v>
      </c>
      <c r="N153" s="398">
        <f t="shared" ca="1" si="557"/>
        <v>2</v>
      </c>
      <c r="O153" s="400">
        <f t="shared" ca="1" si="584"/>
        <v>2</v>
      </c>
      <c r="P153" s="400">
        <f t="shared" ca="1" si="548"/>
        <v>2050</v>
      </c>
      <c r="Q153" s="400">
        <f t="shared" ca="1" si="549"/>
        <v>0</v>
      </c>
      <c r="R153" s="398">
        <f t="shared" ca="1" si="550"/>
        <v>215962</v>
      </c>
      <c r="S153" s="401" t="str">
        <f t="shared" ca="1" si="558"/>
        <v/>
      </c>
      <c r="T153" s="398">
        <f t="shared" ca="1" si="559"/>
        <v>512</v>
      </c>
      <c r="U153" s="400">
        <f ca="1">IF(MAX(IF($B$6="No",ROUNDUP($B$3/$I153,0),ROUNDUP(($B$3+$I153)/$I153,0)),IF($B$6="No",ROUNDUP($B$4/$G153,0),ROUNDUP(($B$4+$G153)/$G153,0)),ROUNDUP('BVMS checklist'!$H$217/$J153,0))&gt;1,'BVMS checklist'!$H$224,'BVMS checklist'!$H$217)+MAX(IF($B$6="No",ROUNDUP($B$3/$I153,0),ROUNDUP(($B$3+$I153)/$I153,0)),IF($B$6="No",ROUNDUP($B$4/$G153,0),ROUNDUP(($B$4+$G153)/$G153,0)))+$B$5</f>
        <v>1</v>
      </c>
      <c r="V153" s="400" t="b">
        <f t="shared" ca="1" si="551"/>
        <v>1</v>
      </c>
      <c r="W153" s="400" t="str">
        <f t="shared" ca="1" si="585"/>
        <v>Accepted</v>
      </c>
      <c r="X153" s="398" t="str">
        <f t="shared" ca="1" si="560"/>
        <v>No</v>
      </c>
      <c r="Y153" s="398" t="str">
        <f t="shared" ca="1" si="561"/>
        <v/>
      </c>
      <c r="Z153" s="398" t="str">
        <f t="shared" ca="1" si="562"/>
        <v/>
      </c>
      <c r="AA153" s="398">
        <f t="shared" ca="1" si="586"/>
        <v>6</v>
      </c>
      <c r="AB153" s="398">
        <f t="shared" ca="1" si="552"/>
        <v>2</v>
      </c>
      <c r="AC153" s="398">
        <f t="shared" ca="1" si="553"/>
        <v>256</v>
      </c>
      <c r="AD153" s="398">
        <f t="shared" ca="1" si="587"/>
        <v>215962</v>
      </c>
      <c r="AE153" s="399">
        <f t="shared" si="616"/>
        <v>0</v>
      </c>
      <c r="AF153" s="399">
        <f t="shared" si="617"/>
        <v>0</v>
      </c>
      <c r="AG153" s="483" t="str">
        <f t="shared" ca="1" si="563"/>
        <v/>
      </c>
      <c r="AH153" s="400">
        <f ca="1">IF(MAX(IF($C$6="No",ROUNDUP($C$3/$I153,0),ROUNDUP(($C$3+$I153)/$I153,0)),IF($C$6="No",ROUNDUP($C$4/$G153,0),ROUNDUP(($C$4+$G153)/$G153,0)),ROUNDUP('BVMS checklist'!$H$217/$J153,0))&gt;1,'BVMS checklist'!$J$224,'BVMS checklist'!$J$217)</f>
        <v>0</v>
      </c>
      <c r="AI153" s="398">
        <f t="shared" ca="1" si="564"/>
        <v>2</v>
      </c>
      <c r="AJ153" s="400">
        <f t="shared" ca="1" si="588"/>
        <v>2</v>
      </c>
      <c r="AK153" s="400">
        <f t="shared" ca="1" si="589"/>
        <v>2050</v>
      </c>
      <c r="AL153" s="400">
        <f t="shared" ca="1" si="590"/>
        <v>0</v>
      </c>
      <c r="AM153" s="398">
        <f t="shared" ca="1" si="591"/>
        <v>215962</v>
      </c>
      <c r="AN153" s="401" t="str">
        <f t="shared" ca="1" si="565"/>
        <v/>
      </c>
      <c r="AO153" s="398">
        <f t="shared" ca="1" si="592"/>
        <v>512</v>
      </c>
      <c r="AP153" s="400">
        <f ca="1">IF(MAX(IF($C$6="No",ROUNDUP($C$3/$I153,0),ROUNDUP(($C$3+$I153)/$I153,0)),IF($C$6="No",ROUNDUP($C$4/$G153,0),ROUNDUP(($C$4+$G153)/$G153,0)),ROUNDUP('BVMS checklist'!$H$217/$J153,0))&gt;1,'BVMS checklist'!$J$224,'BVMS checklist'!$J$217)+MAX(IF($C$6="No",ROUNDUP($C$3/$I153,0),ROUNDUP(($C$3+$I153)/$I153,0)),IF($C$6="No",ROUNDUP($C$4/$G153,0),ROUNDUP(($C$4+$G153)/$G153,0)))+$C$5</f>
        <v>1</v>
      </c>
      <c r="AQ153" s="400" t="b">
        <f t="shared" ca="1" si="554"/>
        <v>1</v>
      </c>
      <c r="AR153" s="400" t="str">
        <f t="shared" ca="1" si="593"/>
        <v>Accepted</v>
      </c>
      <c r="AS153" s="398" t="str">
        <f t="shared" ca="1" si="579"/>
        <v>No</v>
      </c>
      <c r="AT153" s="398" t="str">
        <f t="shared" ca="1" si="594"/>
        <v/>
      </c>
      <c r="AU153" s="398" t="str">
        <f t="shared" ca="1" si="566"/>
        <v/>
      </c>
      <c r="AV153" s="398">
        <f t="shared" ca="1" si="567"/>
        <v>6</v>
      </c>
      <c r="AW153" s="398">
        <f t="shared" ca="1" si="595"/>
        <v>2</v>
      </c>
      <c r="AX153" s="398">
        <f t="shared" ca="1" si="596"/>
        <v>256</v>
      </c>
      <c r="AY153" s="398">
        <f t="shared" ca="1" si="597"/>
        <v>215962</v>
      </c>
      <c r="AZ153" s="399">
        <f t="shared" si="618"/>
        <v>0</v>
      </c>
      <c r="BA153" s="399">
        <f t="shared" si="619"/>
        <v>0</v>
      </c>
      <c r="BB153" s="483" t="str">
        <f t="shared" ca="1" si="568"/>
        <v/>
      </c>
      <c r="BC153" s="400">
        <f ca="1">IF(MAX(IF($D$6="No",ROUNDUP($D$3/$I153,0),ROUNDUP(($D$3+$I153)/$I153,0)),IF($D$6="No",ROUNDUP($D$4/$G153,0),ROUNDUP(($D$4+$G153)/$G153,0)),ROUNDUP('BVMS checklist'!$H$217/$J153,0))&gt;1,'BVMS checklist'!$L$224,'BVMS checklist'!$L$217)</f>
        <v>0</v>
      </c>
      <c r="BD153" s="398">
        <f t="shared" ca="1" si="569"/>
        <v>2</v>
      </c>
      <c r="BE153" s="400">
        <f t="shared" si="598"/>
        <v>1</v>
      </c>
      <c r="BF153" s="400">
        <f t="shared" si="599"/>
        <v>1025</v>
      </c>
      <c r="BG153" s="400">
        <f t="shared" ca="1" si="580"/>
        <v>0</v>
      </c>
      <c r="BH153" s="398">
        <f t="shared" ca="1" si="600"/>
        <v>215962</v>
      </c>
      <c r="BI153" s="401" t="str">
        <f t="shared" ca="1" si="570"/>
        <v/>
      </c>
      <c r="BJ153" s="398">
        <f t="shared" ca="1" si="601"/>
        <v>512</v>
      </c>
      <c r="BK153" s="400">
        <f ca="1">IF(MAX(IF($D$6="No",ROUNDUP($D$3/$I153,0),ROUNDUP(($D$3+$I153)/$I153,0)),IF($D$6="No",ROUNDUP($D$4/$G153,0),ROUNDUP(($D$4+$G153)/$G153,0)),ROUNDUP('BVMS checklist'!$H$217/$J153,0))&gt;1,'BVMS checklist'!$L$224,'BVMS checklist'!$L$217)+MAX(IF($D$6="No",ROUNDUP($D$3/$I153,0),ROUNDUP(($D$3+$I153)/$I153,0)),IF($D$6="No",ROUNDUP($D$4/$G153,0),ROUNDUP(($D$4+$G153)/$G153,0)))+$D$5</f>
        <v>1</v>
      </c>
      <c r="BL153" s="400" t="b">
        <f t="shared" ca="1" si="555"/>
        <v>1</v>
      </c>
      <c r="BM153" s="400" t="str">
        <f t="shared" ca="1" si="602"/>
        <v>Accepted</v>
      </c>
      <c r="BN153" s="398" t="str">
        <f t="shared" ca="1" si="581"/>
        <v>No</v>
      </c>
      <c r="BO153" s="398" t="str">
        <f t="shared" ca="1" si="603"/>
        <v/>
      </c>
      <c r="BP153" s="398" t="str">
        <f t="shared" ca="1" si="571"/>
        <v/>
      </c>
      <c r="BQ153" s="398">
        <f t="shared" ca="1" si="572"/>
        <v>6</v>
      </c>
      <c r="BR153" s="398">
        <f t="shared" ca="1" si="604"/>
        <v>2</v>
      </c>
      <c r="BS153" s="398">
        <f t="shared" ca="1" si="605"/>
        <v>256</v>
      </c>
      <c r="BT153" s="398">
        <f t="shared" ca="1" si="606"/>
        <v>215962</v>
      </c>
      <c r="BU153" s="399">
        <f t="shared" si="620"/>
        <v>0</v>
      </c>
      <c r="BV153" s="399">
        <f t="shared" si="621"/>
        <v>0</v>
      </c>
      <c r="BW153" s="483" t="str">
        <f t="shared" ca="1" si="573"/>
        <v/>
      </c>
      <c r="BX153" s="400">
        <f ca="1">IF(MAX(IF($E$6="No",ROUNDUP($E$3/$I153,0),ROUNDUP(($E$3+$I153)/$I153,0)),IF($E$6="No",ROUNDUP($E$4/$G153,0),ROUNDUP(($E$4+$G153)/$G153,0)),ROUNDUP('BVMS checklist'!$H$217/$J153,0))&gt;1,'BVMS checklist'!$N$224,'BVMS checklist'!$N$217)</f>
        <v>0</v>
      </c>
      <c r="BY153" s="398">
        <f t="shared" ca="1" si="574"/>
        <v>2</v>
      </c>
      <c r="BZ153" s="400">
        <f t="shared" ca="1" si="607"/>
        <v>2</v>
      </c>
      <c r="CA153" s="400">
        <f t="shared" ca="1" si="608"/>
        <v>2050</v>
      </c>
      <c r="CB153" s="400">
        <f t="shared" ca="1" si="582"/>
        <v>0</v>
      </c>
      <c r="CC153" s="398">
        <f t="shared" ca="1" si="609"/>
        <v>215962</v>
      </c>
      <c r="CD153" s="401" t="str">
        <f t="shared" ca="1" si="575"/>
        <v/>
      </c>
      <c r="CE153" s="398">
        <f t="shared" ca="1" si="610"/>
        <v>512</v>
      </c>
      <c r="CF153" s="400">
        <f ca="1">IF(MAX(IF($E$6="No",ROUNDUP($E$3/$I153,0),ROUNDUP(($E$3+$I153)/$I153,0)),IF($E$6="No",ROUNDUP($E$4/$G153,0),ROUNDUP(($E$4+$G153)/$G153,0)),ROUNDUP('BVMS checklist'!$H$217/$J153,0))&gt;1,'BVMS checklist'!$N$224,'BVMS checklist'!$N$217)+MAX(IF($E$6="No",ROUNDUP($E$3/$I153,0),ROUNDUP(($E$3+$I153)/$I153,0)),IF($E$6="No",ROUNDUP($E$4/$G153,0),ROUNDUP(($E$4+$G153)/$G153,0)))+$E$5</f>
        <v>1</v>
      </c>
      <c r="CG153" s="400" t="b">
        <f t="shared" ca="1" si="556"/>
        <v>1</v>
      </c>
      <c r="CH153" s="400" t="str">
        <f t="shared" ca="1" si="611"/>
        <v>Accepted</v>
      </c>
      <c r="CI153" s="398" t="str">
        <f t="shared" ca="1" si="583"/>
        <v>No</v>
      </c>
      <c r="CJ153" s="398" t="str">
        <f t="shared" ca="1" si="612"/>
        <v/>
      </c>
      <c r="CK153" s="398" t="str">
        <f t="shared" ca="1" si="576"/>
        <v/>
      </c>
      <c r="CL153" s="398">
        <f t="shared" ca="1" si="577"/>
        <v>6</v>
      </c>
      <c r="CM153" s="398">
        <f t="shared" ca="1" si="613"/>
        <v>2</v>
      </c>
      <c r="CN153" s="398">
        <f t="shared" ca="1" si="614"/>
        <v>256</v>
      </c>
      <c r="CO153" s="398">
        <f t="shared" ca="1" si="615"/>
        <v>215962</v>
      </c>
      <c r="CP153" s="399">
        <f t="shared" si="622"/>
        <v>0</v>
      </c>
      <c r="CQ153" s="399">
        <f t="shared" si="623"/>
        <v>0</v>
      </c>
      <c r="CR153" s="483" t="str">
        <f t="shared" ca="1" si="578"/>
        <v/>
      </c>
      <c r="CS153"/>
    </row>
    <row r="154" spans="1:97">
      <c r="A154" s="398" t="s">
        <v>420</v>
      </c>
      <c r="B154" s="398" t="s">
        <v>987</v>
      </c>
      <c r="C154" s="440" t="s">
        <v>891</v>
      </c>
      <c r="D154" s="398">
        <v>3</v>
      </c>
      <c r="E154" s="398"/>
      <c r="F154" s="440">
        <v>0</v>
      </c>
      <c r="G154" s="398">
        <f>IF(C154="RAID5",(((7-F154)*7448))+(2*(((15-F154)*3723))),(((6-F154)*7448))+(2*(((14-F154)*3723))))</f>
        <v>163826</v>
      </c>
      <c r="H154" s="399">
        <v>192</v>
      </c>
      <c r="I154" s="399">
        <v>1575</v>
      </c>
      <c r="J154" s="399">
        <v>384</v>
      </c>
      <c r="K154" s="399"/>
      <c r="L154" s="399"/>
      <c r="M154" s="400">
        <f ca="1">IF(MAX(IF($B$6="No",ROUNDUP($B$3/$I154,0),ROUNDUP(($B$3+$I154)/$I154,0)),IF($B$6="No",ROUNDUP($B$4/$G154,0),ROUNDUP(($B$4+$G154)/$G154,0)),ROUNDUP('BVMS checklist'!$H$217/$J154,0))&gt;1,'BVMS checklist'!$H$224,'BVMS checklist'!$H$217)</f>
        <v>0</v>
      </c>
      <c r="N154" s="398">
        <f t="shared" ca="1" si="557"/>
        <v>2</v>
      </c>
      <c r="O154" s="400">
        <f t="shared" ca="1" si="584"/>
        <v>2</v>
      </c>
      <c r="P154" s="400">
        <f t="shared" ref="P154:P217" ca="1" si="624">O154*$I154</f>
        <v>3150</v>
      </c>
      <c r="Q154" s="400">
        <f t="shared" ref="Q154:Q217" ca="1" si="625">IFERROR($B$3/N154,"")</f>
        <v>0</v>
      </c>
      <c r="R154" s="398">
        <f t="shared" ref="R154:R217" ca="1" si="626">$G154*N154</f>
        <v>327652</v>
      </c>
      <c r="S154" s="401" t="str">
        <f t="shared" ca="1" si="558"/>
        <v/>
      </c>
      <c r="T154" s="398">
        <f t="shared" ca="1" si="559"/>
        <v>768</v>
      </c>
      <c r="U154" s="400">
        <f ca="1">IF(MAX(IF($B$6="No",ROUNDUP($B$3/$I154,0),ROUNDUP(($B$3+$I154)/$I154,0)),IF($B$6="No",ROUNDUP($B$4/$G154,0),ROUNDUP(($B$4+$G154)/$G154,0)),ROUNDUP('BVMS checklist'!$H$217/$J154,0))&gt;1,'BVMS checklist'!$H$224,'BVMS checklist'!$H$217)+MAX(IF($B$6="No",ROUNDUP($B$3/$I154,0),ROUNDUP(($B$3+$I154)/$I154,0)),IF($B$6="No",ROUNDUP($B$4/$G154,0),ROUNDUP(($B$4+$G154)/$G154,0)))+$B$5</f>
        <v>1</v>
      </c>
      <c r="V154" s="400" t="b">
        <f t="shared" ref="V154:V217" ca="1" si="627">IF(AND((T154/$D154)-U154&gt;=0,OR(N154&gt;=2,$D154&gt;=2),P154-I154&gt;=$B$3),TRUE,FALSE)</f>
        <v>1</v>
      </c>
      <c r="W154" s="400" t="str">
        <f t="shared" ca="1" si="585"/>
        <v>Accepted</v>
      </c>
      <c r="X154" s="398" t="str">
        <f t="shared" ca="1" si="560"/>
        <v>No</v>
      </c>
      <c r="Y154" s="398" t="str">
        <f t="shared" ca="1" si="561"/>
        <v/>
      </c>
      <c r="Z154" s="398" t="str">
        <f t="shared" ca="1" si="562"/>
        <v/>
      </c>
      <c r="AA154" s="398">
        <f t="shared" ca="1" si="586"/>
        <v>6</v>
      </c>
      <c r="AB154" s="398">
        <f t="shared" ref="AB154:AB217" ca="1" si="628">N154</f>
        <v>2</v>
      </c>
      <c r="AC154" s="398">
        <f t="shared" ref="AC154:AC217" ca="1" si="629">N154*$H154</f>
        <v>384</v>
      </c>
      <c r="AD154" s="398">
        <f t="shared" ca="1" si="587"/>
        <v>327652</v>
      </c>
      <c r="AE154" s="399">
        <f t="shared" si="616"/>
        <v>0</v>
      </c>
      <c r="AF154" s="399">
        <f t="shared" si="617"/>
        <v>0</v>
      </c>
      <c r="AG154" s="483" t="str">
        <f t="shared" ca="1" si="563"/>
        <v/>
      </c>
      <c r="AH154" s="400">
        <f ca="1">IF(MAX(IF($C$6="No",ROUNDUP($C$3/$I154,0),ROUNDUP(($C$3+$I154)/$I154,0)),IF($C$6="No",ROUNDUP($C$4/$G154,0),ROUNDUP(($C$4+$G154)/$G154,0)),ROUNDUP('BVMS checklist'!$H$217/$J154,0))&gt;1,'BVMS checklist'!$J$224,'BVMS checklist'!$J$217)</f>
        <v>0</v>
      </c>
      <c r="AI154" s="398">
        <f t="shared" ca="1" si="564"/>
        <v>2</v>
      </c>
      <c r="AJ154" s="400">
        <f t="shared" ca="1" si="588"/>
        <v>2</v>
      </c>
      <c r="AK154" s="400">
        <f t="shared" ca="1" si="589"/>
        <v>3150</v>
      </c>
      <c r="AL154" s="400">
        <f t="shared" ca="1" si="590"/>
        <v>0</v>
      </c>
      <c r="AM154" s="398">
        <f t="shared" ca="1" si="591"/>
        <v>327652</v>
      </c>
      <c r="AN154" s="401" t="str">
        <f t="shared" ca="1" si="565"/>
        <v/>
      </c>
      <c r="AO154" s="398">
        <f t="shared" ca="1" si="592"/>
        <v>768</v>
      </c>
      <c r="AP154" s="400">
        <f ca="1">IF(MAX(IF($C$6="No",ROUNDUP($C$3/$I154,0),ROUNDUP(($C$3+$I154)/$I154,0)),IF($C$6="No",ROUNDUP($C$4/$G154,0),ROUNDUP(($C$4+$G154)/$G154,0)),ROUNDUP('BVMS checklist'!$H$217/$J154,0))&gt;1,'BVMS checklist'!$J$224,'BVMS checklist'!$J$217)+MAX(IF($C$6="No",ROUNDUP($C$3/$I154,0),ROUNDUP(($C$3+$I154)/$I154,0)),IF($C$6="No",ROUNDUP($C$4/$G154,0),ROUNDUP(($C$4+$G154)/$G154,0)))+$C$5</f>
        <v>1</v>
      </c>
      <c r="AQ154" s="400" t="b">
        <f t="shared" ref="AQ154:AQ217" ca="1" si="630">IF(AND((AO154/$D154)-AP154&gt;=0,OR(AI154&gt;=2,$D154&gt;=2),AK154-I154&gt;=$C$3),TRUE,FALSE)</f>
        <v>1</v>
      </c>
      <c r="AR154" s="400" t="str">
        <f t="shared" ca="1" si="593"/>
        <v>Accepted</v>
      </c>
      <c r="AS154" s="398" t="str">
        <f t="shared" ca="1" si="579"/>
        <v>No</v>
      </c>
      <c r="AT154" s="398" t="str">
        <f t="shared" ca="1" si="594"/>
        <v/>
      </c>
      <c r="AU154" s="398" t="str">
        <f t="shared" ca="1" si="566"/>
        <v/>
      </c>
      <c r="AV154" s="398">
        <f t="shared" ca="1" si="567"/>
        <v>6</v>
      </c>
      <c r="AW154" s="398">
        <f t="shared" ca="1" si="595"/>
        <v>2</v>
      </c>
      <c r="AX154" s="398">
        <f t="shared" ca="1" si="596"/>
        <v>384</v>
      </c>
      <c r="AY154" s="398">
        <f t="shared" ca="1" si="597"/>
        <v>327652</v>
      </c>
      <c r="AZ154" s="399">
        <f t="shared" si="618"/>
        <v>0</v>
      </c>
      <c r="BA154" s="399">
        <f t="shared" si="619"/>
        <v>0</v>
      </c>
      <c r="BB154" s="483" t="str">
        <f t="shared" ca="1" si="568"/>
        <v/>
      </c>
      <c r="BC154" s="400">
        <f ca="1">IF(MAX(IF($D$6="No",ROUNDUP($D$3/$I154,0),ROUNDUP(($D$3+$I154)/$I154,0)),IF($D$6="No",ROUNDUP($D$4/$G154,0),ROUNDUP(($D$4+$G154)/$G154,0)),ROUNDUP('BVMS checklist'!$H$217/$J154,0))&gt;1,'BVMS checklist'!$L$224,'BVMS checklist'!$L$217)</f>
        <v>0</v>
      </c>
      <c r="BD154" s="398">
        <f t="shared" ca="1" si="569"/>
        <v>2</v>
      </c>
      <c r="BE154" s="400">
        <f t="shared" si="598"/>
        <v>1</v>
      </c>
      <c r="BF154" s="400">
        <f t="shared" si="599"/>
        <v>1575</v>
      </c>
      <c r="BG154" s="400">
        <f t="shared" ca="1" si="580"/>
        <v>0</v>
      </c>
      <c r="BH154" s="398">
        <f t="shared" ca="1" si="600"/>
        <v>327652</v>
      </c>
      <c r="BI154" s="401" t="str">
        <f t="shared" ca="1" si="570"/>
        <v/>
      </c>
      <c r="BJ154" s="398">
        <f t="shared" ca="1" si="601"/>
        <v>768</v>
      </c>
      <c r="BK154" s="400">
        <f ca="1">IF(MAX(IF($D$6="No",ROUNDUP($D$3/$I154,0),ROUNDUP(($D$3+$I154)/$I154,0)),IF($D$6="No",ROUNDUP($D$4/$G154,0),ROUNDUP(($D$4+$G154)/$G154,0)),ROUNDUP('BVMS checklist'!$H$217/$J154,0))&gt;1,'BVMS checklist'!$L$224,'BVMS checklist'!$L$217)+MAX(IF($D$6="No",ROUNDUP($D$3/$I154,0),ROUNDUP(($D$3+$I154)/$I154,0)),IF($D$6="No",ROUNDUP($D$4/$G154,0),ROUNDUP(($D$4+$G154)/$G154,0)))+$D$5</f>
        <v>1</v>
      </c>
      <c r="BL154" s="400" t="b">
        <f t="shared" ref="BL154:BL217" ca="1" si="631">IF(AND((BJ154/$D154)-BK154&gt;=0,OR(BD154&gt;=2,$D154&gt;=2),BF154-I154&gt;=$D$3),TRUE,FALSE)</f>
        <v>1</v>
      </c>
      <c r="BM154" s="400" t="str">
        <f t="shared" ca="1" si="602"/>
        <v>Accepted</v>
      </c>
      <c r="BN154" s="398" t="str">
        <f t="shared" ca="1" si="581"/>
        <v>No</v>
      </c>
      <c r="BO154" s="398" t="str">
        <f t="shared" ca="1" si="603"/>
        <v/>
      </c>
      <c r="BP154" s="398" t="str">
        <f t="shared" ca="1" si="571"/>
        <v/>
      </c>
      <c r="BQ154" s="398">
        <f t="shared" ca="1" si="572"/>
        <v>6</v>
      </c>
      <c r="BR154" s="398">
        <f t="shared" ca="1" si="604"/>
        <v>2</v>
      </c>
      <c r="BS154" s="398">
        <f t="shared" ca="1" si="605"/>
        <v>384</v>
      </c>
      <c r="BT154" s="398">
        <f t="shared" ca="1" si="606"/>
        <v>327652</v>
      </c>
      <c r="BU154" s="399">
        <f t="shared" si="620"/>
        <v>0</v>
      </c>
      <c r="BV154" s="399">
        <f t="shared" si="621"/>
        <v>0</v>
      </c>
      <c r="BW154" s="483" t="str">
        <f t="shared" ca="1" si="573"/>
        <v/>
      </c>
      <c r="BX154" s="400">
        <f ca="1">IF(MAX(IF($E$6="No",ROUNDUP($E$3/$I154,0),ROUNDUP(($E$3+$I154)/$I154,0)),IF($E$6="No",ROUNDUP($E$4/$G154,0),ROUNDUP(($E$4+$G154)/$G154,0)),ROUNDUP('BVMS checklist'!$H$217/$J154,0))&gt;1,'BVMS checklist'!$N$224,'BVMS checklist'!$N$217)</f>
        <v>0</v>
      </c>
      <c r="BY154" s="398">
        <f t="shared" ca="1" si="574"/>
        <v>2</v>
      </c>
      <c r="BZ154" s="400">
        <f t="shared" ca="1" si="607"/>
        <v>2</v>
      </c>
      <c r="CA154" s="400">
        <f t="shared" ca="1" si="608"/>
        <v>3150</v>
      </c>
      <c r="CB154" s="400">
        <f t="shared" ca="1" si="582"/>
        <v>0</v>
      </c>
      <c r="CC154" s="398">
        <f t="shared" ca="1" si="609"/>
        <v>327652</v>
      </c>
      <c r="CD154" s="401" t="str">
        <f t="shared" ca="1" si="575"/>
        <v/>
      </c>
      <c r="CE154" s="398">
        <f t="shared" ca="1" si="610"/>
        <v>768</v>
      </c>
      <c r="CF154" s="400">
        <f ca="1">IF(MAX(IF($E$6="No",ROUNDUP($E$3/$I154,0),ROUNDUP(($E$3+$I154)/$I154,0)),IF($E$6="No",ROUNDUP($E$4/$G154,0),ROUNDUP(($E$4+$G154)/$G154,0)),ROUNDUP('BVMS checklist'!$H$217/$J154,0))&gt;1,'BVMS checklist'!$N$224,'BVMS checklist'!$N$217)+MAX(IF($E$6="No",ROUNDUP($E$3/$I154,0),ROUNDUP(($E$3+$I154)/$I154,0)),IF($E$6="No",ROUNDUP($E$4/$G154,0),ROUNDUP(($E$4+$G154)/$G154,0)))+$E$5</f>
        <v>1</v>
      </c>
      <c r="CG154" s="400" t="b">
        <f t="shared" ref="CG154:CG217" ca="1" si="632">IF(AND((CE154/$D154)-CF154&gt;=0,OR(BY154&gt;=2,$D154&gt;=2),CA154-I154&gt;=$E$3),TRUE,FALSE)</f>
        <v>1</v>
      </c>
      <c r="CH154" s="400" t="str">
        <f t="shared" ca="1" si="611"/>
        <v>Accepted</v>
      </c>
      <c r="CI154" s="398" t="str">
        <f t="shared" ca="1" si="583"/>
        <v>No</v>
      </c>
      <c r="CJ154" s="398" t="str">
        <f t="shared" ca="1" si="612"/>
        <v/>
      </c>
      <c r="CK154" s="398" t="str">
        <f t="shared" ca="1" si="576"/>
        <v/>
      </c>
      <c r="CL154" s="398">
        <f t="shared" ca="1" si="577"/>
        <v>6</v>
      </c>
      <c r="CM154" s="398">
        <f t="shared" ca="1" si="613"/>
        <v>2</v>
      </c>
      <c r="CN154" s="398">
        <f t="shared" ca="1" si="614"/>
        <v>384</v>
      </c>
      <c r="CO154" s="398">
        <f t="shared" ca="1" si="615"/>
        <v>327652</v>
      </c>
      <c r="CP154" s="399">
        <f t="shared" si="622"/>
        <v>0</v>
      </c>
      <c r="CQ154" s="399">
        <f t="shared" si="623"/>
        <v>0</v>
      </c>
      <c r="CR154" s="483" t="str">
        <f t="shared" ca="1" si="578"/>
        <v/>
      </c>
      <c r="CS154"/>
    </row>
    <row r="155" spans="1:97">
      <c r="A155" s="398" t="s">
        <v>421</v>
      </c>
      <c r="B155" s="398" t="s">
        <v>987</v>
      </c>
      <c r="C155" s="440" t="s">
        <v>891</v>
      </c>
      <c r="D155" s="398">
        <v>4</v>
      </c>
      <c r="E155" s="398"/>
      <c r="F155" s="440">
        <v>0</v>
      </c>
      <c r="G155" s="398">
        <f>IF(C155="RAID5",(((7-F155)*7448))+(3*(((15-F155)*3723))),(((6-F155)*7448))+(3*(((14-F155)*3723))))</f>
        <v>219671</v>
      </c>
      <c r="H155" s="399">
        <v>256</v>
      </c>
      <c r="I155" s="399">
        <v>2125</v>
      </c>
      <c r="J155" s="399">
        <v>512</v>
      </c>
      <c r="K155" s="399"/>
      <c r="L155" s="399"/>
      <c r="M155" s="400">
        <f ca="1">IF(MAX(IF($B$6="No",ROUNDUP($B$3/$I155,0),ROUNDUP(($B$3+$I155)/$I155,0)),IF($B$6="No",ROUNDUP($B$4/$G155,0),ROUNDUP(($B$4+$G155)/$G155,0)),ROUNDUP('BVMS checklist'!$H$217/$J155,0))&gt;1,'BVMS checklist'!$H$224,'BVMS checklist'!$H$217)</f>
        <v>0</v>
      </c>
      <c r="N155" s="398">
        <f t="shared" ref="N155:N218" ca="1" si="633">MAX(IF($B$6="No",ROUNDUP($B$3/$I155,0),ROUNDUP(($B$3+$I155)/$I155,0)),IF($B$6="No",ROUNDUP($B$4/$G155,0),ROUNDUP($B$4/$G155,0)),IF($B$6="Yes",ROUNDUP((U155+J155)/J155,0),ROUNDUP(U155/J155,0)))</f>
        <v>2</v>
      </c>
      <c r="O155" s="400">
        <f t="shared" ca="1" si="584"/>
        <v>2</v>
      </c>
      <c r="P155" s="400">
        <f t="shared" ca="1" si="624"/>
        <v>4250</v>
      </c>
      <c r="Q155" s="400">
        <f t="shared" ca="1" si="625"/>
        <v>0</v>
      </c>
      <c r="R155" s="398">
        <f t="shared" ca="1" si="626"/>
        <v>439342</v>
      </c>
      <c r="S155" s="401" t="str">
        <f t="shared" ref="S155:S218" ca="1" si="634">IF(X155="yes",(R155)/$B$4,"")</f>
        <v/>
      </c>
      <c r="T155" s="398">
        <f t="shared" ref="T155:T218" ca="1" si="635">N155*J155</f>
        <v>1024</v>
      </c>
      <c r="U155" s="400">
        <f ca="1">IF(MAX(IF($B$6="No",ROUNDUP($B$3/$I155,0),ROUNDUP(($B$3+$I155)/$I155,0)),IF($B$6="No",ROUNDUP($B$4/$G155,0),ROUNDUP(($B$4+$G155)/$G155,0)),ROUNDUP('BVMS checklist'!$H$217/$J155,0))&gt;1,'BVMS checklist'!$H$224,'BVMS checklist'!$H$217)+MAX(IF($B$6="No",ROUNDUP($B$3/$I155,0),ROUNDUP(($B$3+$I155)/$I155,0)),IF($B$6="No",ROUNDUP($B$4/$G155,0),ROUNDUP(($B$4+$G155)/$G155,0)))+$B$5</f>
        <v>1</v>
      </c>
      <c r="V155" s="400" t="b">
        <f t="shared" ca="1" si="627"/>
        <v>1</v>
      </c>
      <c r="W155" s="400" t="str">
        <f t="shared" ca="1" si="585"/>
        <v>Accepted</v>
      </c>
      <c r="X155" s="398" t="str">
        <f t="shared" ref="X155:X218" ca="1" si="636">IF(AND(U155&lt;T155,Q155&lt;I155,B155="Active",W155="Accepted"),"Yes","No")</f>
        <v>No</v>
      </c>
      <c r="Y155" s="398" t="str">
        <f t="shared" ref="Y155:Y218" ca="1" si="637">IF(AA154=AA155,"",AA155)</f>
        <v/>
      </c>
      <c r="Z155" s="398" t="str">
        <f t="shared" ref="Z155:Z218" ca="1" si="638">IF(X155="Yes",$A155&amp;" "&amp;$C155,"")</f>
        <v/>
      </c>
      <c r="AA155" s="398">
        <f t="shared" ca="1" si="586"/>
        <v>6</v>
      </c>
      <c r="AB155" s="398">
        <f t="shared" ca="1" si="628"/>
        <v>2</v>
      </c>
      <c r="AC155" s="398">
        <f t="shared" ca="1" si="629"/>
        <v>512</v>
      </c>
      <c r="AD155" s="398">
        <f t="shared" ca="1" si="587"/>
        <v>439342</v>
      </c>
      <c r="AE155" s="399">
        <f t="shared" si="616"/>
        <v>0</v>
      </c>
      <c r="AF155" s="399">
        <f t="shared" si="617"/>
        <v>0</v>
      </c>
      <c r="AG155" s="483" t="str">
        <f t="shared" ref="AG155:AG218" ca="1" si="639">S155</f>
        <v/>
      </c>
      <c r="AH155" s="400">
        <f ca="1">IF(MAX(IF($C$6="No",ROUNDUP($C$3/$I155,0),ROUNDUP(($C$3+$I155)/$I155,0)),IF($C$6="No",ROUNDUP($C$4/$G155,0),ROUNDUP(($C$4+$G155)/$G155,0)),ROUNDUP('BVMS checklist'!$H$217/$J155,0))&gt;1,'BVMS checklist'!$J$224,'BVMS checklist'!$J$217)</f>
        <v>0</v>
      </c>
      <c r="AI155" s="398">
        <f t="shared" ref="AI155:AI218" ca="1" si="640">MAX(IF($C$6="No",ROUNDUP($C$3/$I155,0),ROUNDUP(($C$3+$I155)/$I155,0)),IF($C$6="No",ROUNDUP($C$4/$G155,0),ROUNDUP(($C$4+$G155)/$G155,0)),IF($C$6="Yes",ROUNDUP(AP155/J155,0)+1,ROUNDUP(AP155/J155,0)))</f>
        <v>2</v>
      </c>
      <c r="AJ155" s="400">
        <f t="shared" ca="1" si="588"/>
        <v>2</v>
      </c>
      <c r="AK155" s="400">
        <f t="shared" ca="1" si="589"/>
        <v>4250</v>
      </c>
      <c r="AL155" s="400">
        <f t="shared" ca="1" si="590"/>
        <v>0</v>
      </c>
      <c r="AM155" s="398">
        <f t="shared" ca="1" si="591"/>
        <v>439342</v>
      </c>
      <c r="AN155" s="401" t="str">
        <f t="shared" ref="AN155:AN218" ca="1" si="641">IF(AS155="yes",(AM155)/$C$4,"")</f>
        <v/>
      </c>
      <c r="AO155" s="398">
        <f t="shared" ca="1" si="592"/>
        <v>1024</v>
      </c>
      <c r="AP155" s="400">
        <f ca="1">IF(MAX(IF($C$6="No",ROUNDUP($C$3/$I155,0),ROUNDUP(($C$3+$I155)/$I155,0)),IF($C$6="No",ROUNDUP($C$4/$G155,0),ROUNDUP(($C$4+$G155)/$G155,0)),ROUNDUP('BVMS checklist'!$H$217/$J155,0))&gt;1,'BVMS checklist'!$J$224,'BVMS checklist'!$J$217)+MAX(IF($C$6="No",ROUNDUP($C$3/$I155,0),ROUNDUP(($C$3+$I155)/$I155,0)),IF($C$6="No",ROUNDUP($C$4/$G155,0),ROUNDUP(($C$4+$G155)/$G155,0)))+$C$5</f>
        <v>1</v>
      </c>
      <c r="AQ155" s="400" t="b">
        <f t="shared" ca="1" si="630"/>
        <v>1</v>
      </c>
      <c r="AR155" s="400" t="str">
        <f t="shared" ca="1" si="593"/>
        <v>Accepted</v>
      </c>
      <c r="AS155" s="398" t="str">
        <f t="shared" ca="1" si="579"/>
        <v>No</v>
      </c>
      <c r="AT155" s="398" t="str">
        <f t="shared" ca="1" si="594"/>
        <v/>
      </c>
      <c r="AU155" s="398" t="str">
        <f t="shared" ref="AU155:AU218" ca="1" si="642">IF(AS155="Yes",$A155&amp;" "&amp;$C155,"")</f>
        <v/>
      </c>
      <c r="AV155" s="398">
        <f t="shared" ref="AV155:AV218" ca="1" si="643">IF(AU155&lt;&gt;"",AV154+1,AV154)</f>
        <v>6</v>
      </c>
      <c r="AW155" s="398">
        <f t="shared" ca="1" si="595"/>
        <v>2</v>
      </c>
      <c r="AX155" s="398">
        <f t="shared" ca="1" si="596"/>
        <v>512</v>
      </c>
      <c r="AY155" s="398">
        <f t="shared" ca="1" si="597"/>
        <v>439342</v>
      </c>
      <c r="AZ155" s="399">
        <f t="shared" si="618"/>
        <v>0</v>
      </c>
      <c r="BA155" s="399">
        <f t="shared" si="619"/>
        <v>0</v>
      </c>
      <c r="BB155" s="483" t="str">
        <f t="shared" ref="BB155:BB218" ca="1" si="644">AN155</f>
        <v/>
      </c>
      <c r="BC155" s="400">
        <f ca="1">IF(MAX(IF($D$6="No",ROUNDUP($D$3/$I155,0),ROUNDUP(($D$3+$I155)/$I155,0)),IF($D$6="No",ROUNDUP($D$4/$G155,0),ROUNDUP(($D$4+$G155)/$G155,0)),ROUNDUP('BVMS checklist'!$H$217/$J155,0))&gt;1,'BVMS checklist'!$L$224,'BVMS checklist'!$L$217)</f>
        <v>0</v>
      </c>
      <c r="BD155" s="398">
        <f t="shared" ref="BD155:BD218" ca="1" si="645">MAX(IF($D$6="No",ROUNDUP($D$3/$I155,0),ROUNDUP(($D$3+$I155)/$I155,0)),IF($D$6="No",ROUNDUP($D$4/$G155,0),ROUNDUP(($D$4+$G155)/$G155,0)),IF($D$6="Yes",ROUNDUP(BK155/J155,0)+1,ROUNDUP(BK155/J155,0)))</f>
        <v>2</v>
      </c>
      <c r="BE155" s="400">
        <f t="shared" si="598"/>
        <v>1</v>
      </c>
      <c r="BF155" s="400">
        <f t="shared" si="599"/>
        <v>2125</v>
      </c>
      <c r="BG155" s="400">
        <f t="shared" ca="1" si="580"/>
        <v>0</v>
      </c>
      <c r="BH155" s="398">
        <f t="shared" ca="1" si="600"/>
        <v>439342</v>
      </c>
      <c r="BI155" s="401" t="str">
        <f t="shared" ref="BI155:BI218" ca="1" si="646">IF(BN155="yes",(BH155)/$D$4,"")</f>
        <v/>
      </c>
      <c r="BJ155" s="398">
        <f t="shared" ca="1" si="601"/>
        <v>1024</v>
      </c>
      <c r="BK155" s="400">
        <f ca="1">IF(MAX(IF($D$6="No",ROUNDUP($D$3/$I155,0),ROUNDUP(($D$3+$I155)/$I155,0)),IF($D$6="No",ROUNDUP($D$4/$G155,0),ROUNDUP(($D$4+$G155)/$G155,0)),ROUNDUP('BVMS checklist'!$H$217/$J155,0))&gt;1,'BVMS checklist'!$L$224,'BVMS checklist'!$L$217)+MAX(IF($D$6="No",ROUNDUP($D$3/$I155,0),ROUNDUP(($D$3+$I155)/$I155,0)),IF($D$6="No",ROUNDUP($D$4/$G155,0),ROUNDUP(($D$4+$G155)/$G155,0)))+$D$5</f>
        <v>1</v>
      </c>
      <c r="BL155" s="400" t="b">
        <f t="shared" ca="1" si="631"/>
        <v>1</v>
      </c>
      <c r="BM155" s="400" t="str">
        <f t="shared" ca="1" si="602"/>
        <v>Accepted</v>
      </c>
      <c r="BN155" s="398" t="str">
        <f t="shared" ca="1" si="581"/>
        <v>No</v>
      </c>
      <c r="BO155" s="398" t="str">
        <f t="shared" ca="1" si="603"/>
        <v/>
      </c>
      <c r="BP155" s="398" t="str">
        <f t="shared" ref="BP155:BP218" ca="1" si="647">IF(BN155="Yes",$A155&amp;" "&amp;$C155,"")</f>
        <v/>
      </c>
      <c r="BQ155" s="398">
        <f t="shared" ref="BQ155:BQ218" ca="1" si="648">IF(BP155&lt;&gt;"",BQ154+1,BQ154)</f>
        <v>6</v>
      </c>
      <c r="BR155" s="398">
        <f t="shared" ca="1" si="604"/>
        <v>2</v>
      </c>
      <c r="BS155" s="398">
        <f t="shared" ca="1" si="605"/>
        <v>512</v>
      </c>
      <c r="BT155" s="398">
        <f t="shared" ca="1" si="606"/>
        <v>439342</v>
      </c>
      <c r="BU155" s="399">
        <f t="shared" si="620"/>
        <v>0</v>
      </c>
      <c r="BV155" s="399">
        <f t="shared" si="621"/>
        <v>0</v>
      </c>
      <c r="BW155" s="483" t="str">
        <f t="shared" ref="BW155:BW218" ca="1" si="649">BI155</f>
        <v/>
      </c>
      <c r="BX155" s="400">
        <f ca="1">IF(MAX(IF($E$6="No",ROUNDUP($E$3/$I155,0),ROUNDUP(($E$3+$I155)/$I155,0)),IF($E$6="No",ROUNDUP($E$4/$G155,0),ROUNDUP(($E$4+$G155)/$G155,0)),ROUNDUP('BVMS checklist'!$H$217/$J155,0))&gt;1,'BVMS checklist'!$N$224,'BVMS checklist'!$N$217)</f>
        <v>0</v>
      </c>
      <c r="BY155" s="398">
        <f t="shared" ref="BY155:BY218" ca="1" si="650">MAX(IF($E$6="No",ROUNDUP($E$3/$I155,0),ROUNDUP(($E$3+$I155)/$I155,0)),IF($E$6="No",ROUNDUP($E$4/$G155,0),ROUNDUP(($E$4+$G155)/$G155,0)),IF($E$6="Yes",ROUNDUP(CF155/J155,0)+1,ROUNDUP(CF155/J155,0)))</f>
        <v>2</v>
      </c>
      <c r="BZ155" s="400">
        <f t="shared" ca="1" si="607"/>
        <v>2</v>
      </c>
      <c r="CA155" s="400">
        <f t="shared" ca="1" si="608"/>
        <v>4250</v>
      </c>
      <c r="CB155" s="400">
        <f t="shared" ca="1" si="582"/>
        <v>0</v>
      </c>
      <c r="CC155" s="398">
        <f t="shared" ca="1" si="609"/>
        <v>439342</v>
      </c>
      <c r="CD155" s="401" t="str">
        <f t="shared" ref="CD155:CD218" ca="1" si="651">IF(CI155="yes",(CC155)/$E$4,"")</f>
        <v/>
      </c>
      <c r="CE155" s="398">
        <f t="shared" ca="1" si="610"/>
        <v>1024</v>
      </c>
      <c r="CF155" s="400">
        <f ca="1">IF(MAX(IF($E$6="No",ROUNDUP($E$3/$I155,0),ROUNDUP(($E$3+$I155)/$I155,0)),IF($E$6="No",ROUNDUP($E$4/$G155,0),ROUNDUP(($E$4+$G155)/$G155,0)),ROUNDUP('BVMS checklist'!$H$217/$J155,0))&gt;1,'BVMS checklist'!$N$224,'BVMS checklist'!$N$217)+MAX(IF($E$6="No",ROUNDUP($E$3/$I155,0),ROUNDUP(($E$3+$I155)/$I155,0)),IF($E$6="No",ROUNDUP($E$4/$G155,0),ROUNDUP(($E$4+$G155)/$G155,0)))+$E$5</f>
        <v>1</v>
      </c>
      <c r="CG155" s="400" t="b">
        <f t="shared" ca="1" si="632"/>
        <v>1</v>
      </c>
      <c r="CH155" s="400" t="str">
        <f t="shared" ca="1" si="611"/>
        <v>Accepted</v>
      </c>
      <c r="CI155" s="398" t="str">
        <f t="shared" ca="1" si="583"/>
        <v>No</v>
      </c>
      <c r="CJ155" s="398" t="str">
        <f t="shared" ca="1" si="612"/>
        <v/>
      </c>
      <c r="CK155" s="398" t="str">
        <f t="shared" ref="CK155:CK218" ca="1" si="652">IF(CI155="Yes",$A155&amp;" "&amp;$C155,"")</f>
        <v/>
      </c>
      <c r="CL155" s="398">
        <f t="shared" ref="CL155:CL218" ca="1" si="653">IF(CK155&lt;&gt;"",CL154+1,CL154)</f>
        <v>6</v>
      </c>
      <c r="CM155" s="398">
        <f t="shared" ca="1" si="613"/>
        <v>2</v>
      </c>
      <c r="CN155" s="398">
        <f t="shared" ca="1" si="614"/>
        <v>512</v>
      </c>
      <c r="CO155" s="398">
        <f t="shared" ca="1" si="615"/>
        <v>439342</v>
      </c>
      <c r="CP155" s="399">
        <f t="shared" si="622"/>
        <v>0</v>
      </c>
      <c r="CQ155" s="399">
        <f t="shared" si="623"/>
        <v>0</v>
      </c>
      <c r="CR155" s="483" t="str">
        <f t="shared" ref="CR155:CR218" ca="1" si="654">CD155</f>
        <v/>
      </c>
      <c r="CS155"/>
    </row>
    <row r="156" spans="1:97">
      <c r="A156" s="398" t="s">
        <v>422</v>
      </c>
      <c r="B156" s="398" t="s">
        <v>987</v>
      </c>
      <c r="C156" s="440" t="s">
        <v>891</v>
      </c>
      <c r="D156" s="398">
        <v>5</v>
      </c>
      <c r="E156" s="398"/>
      <c r="F156" s="440">
        <v>0</v>
      </c>
      <c r="G156" s="398">
        <f>IF(C156="RAID5",(((7-F156)*7448))+(4*(((15-F156)*3723))),(((6-F156)*7448))+(4*(((14-F156)*3723))))</f>
        <v>275516</v>
      </c>
      <c r="H156" s="399">
        <v>320</v>
      </c>
      <c r="I156" s="399">
        <v>2675</v>
      </c>
      <c r="J156" s="399">
        <v>640</v>
      </c>
      <c r="K156" s="399"/>
      <c r="L156" s="399"/>
      <c r="M156" s="400">
        <f ca="1">IF(MAX(IF($B$6="No",ROUNDUP($B$3/$I156,0),ROUNDUP(($B$3+$I156)/$I156,0)),IF($B$6="No",ROUNDUP($B$4/$G156,0),ROUNDUP(($B$4+$G156)/$G156,0)),ROUNDUP('BVMS checklist'!$H$217/$J156,0))&gt;1,'BVMS checklist'!$H$224,'BVMS checklist'!$H$217)</f>
        <v>0</v>
      </c>
      <c r="N156" s="398">
        <f t="shared" ca="1" si="633"/>
        <v>2</v>
      </c>
      <c r="O156" s="400">
        <f t="shared" ca="1" si="584"/>
        <v>2</v>
      </c>
      <c r="P156" s="400">
        <f t="shared" ca="1" si="624"/>
        <v>5350</v>
      </c>
      <c r="Q156" s="400">
        <f t="shared" ca="1" si="625"/>
        <v>0</v>
      </c>
      <c r="R156" s="398">
        <f t="shared" ca="1" si="626"/>
        <v>551032</v>
      </c>
      <c r="S156" s="401" t="str">
        <f t="shared" ca="1" si="634"/>
        <v/>
      </c>
      <c r="T156" s="398">
        <f t="shared" ca="1" si="635"/>
        <v>1280</v>
      </c>
      <c r="U156" s="400">
        <f ca="1">IF(MAX(IF($B$6="No",ROUNDUP($B$3/$I156,0),ROUNDUP(($B$3+$I156)/$I156,0)),IF($B$6="No",ROUNDUP($B$4/$G156,0),ROUNDUP(($B$4+$G156)/$G156,0)),ROUNDUP('BVMS checklist'!$H$217/$J156,0))&gt;1,'BVMS checklist'!$H$224,'BVMS checklist'!$H$217)+MAX(IF($B$6="No",ROUNDUP($B$3/$I156,0),ROUNDUP(($B$3+$I156)/$I156,0)),IF($B$6="No",ROUNDUP($B$4/$G156,0),ROUNDUP(($B$4+$G156)/$G156,0)))+$B$5</f>
        <v>1</v>
      </c>
      <c r="V156" s="400" t="b">
        <f t="shared" ca="1" si="627"/>
        <v>1</v>
      </c>
      <c r="W156" s="400" t="str">
        <f t="shared" ca="1" si="585"/>
        <v>Accepted</v>
      </c>
      <c r="X156" s="398" t="str">
        <f t="shared" ca="1" si="636"/>
        <v>No</v>
      </c>
      <c r="Y156" s="398" t="str">
        <f t="shared" ca="1" si="637"/>
        <v/>
      </c>
      <c r="Z156" s="398" t="str">
        <f t="shared" ca="1" si="638"/>
        <v/>
      </c>
      <c r="AA156" s="398">
        <f t="shared" ca="1" si="586"/>
        <v>6</v>
      </c>
      <c r="AB156" s="398">
        <f t="shared" ca="1" si="628"/>
        <v>2</v>
      </c>
      <c r="AC156" s="398">
        <f t="shared" ca="1" si="629"/>
        <v>640</v>
      </c>
      <c r="AD156" s="398">
        <f t="shared" ca="1" si="587"/>
        <v>551032</v>
      </c>
      <c r="AE156" s="399">
        <f t="shared" si="616"/>
        <v>0</v>
      </c>
      <c r="AF156" s="399">
        <f t="shared" si="617"/>
        <v>0</v>
      </c>
      <c r="AG156" s="483" t="str">
        <f t="shared" ca="1" si="639"/>
        <v/>
      </c>
      <c r="AH156" s="400">
        <f ca="1">IF(MAX(IF($C$6="No",ROUNDUP($C$3/$I156,0),ROUNDUP(($C$3+$I156)/$I156,0)),IF($C$6="No",ROUNDUP($C$4/$G156,0),ROUNDUP(($C$4+$G156)/$G156,0)),ROUNDUP('BVMS checklist'!$H$217/$J156,0))&gt;1,'BVMS checklist'!$J$224,'BVMS checklist'!$J$217)</f>
        <v>0</v>
      </c>
      <c r="AI156" s="398">
        <f t="shared" ca="1" si="640"/>
        <v>2</v>
      </c>
      <c r="AJ156" s="400">
        <f t="shared" ca="1" si="588"/>
        <v>2</v>
      </c>
      <c r="AK156" s="400">
        <f t="shared" ca="1" si="589"/>
        <v>5350</v>
      </c>
      <c r="AL156" s="400">
        <f t="shared" ca="1" si="590"/>
        <v>0</v>
      </c>
      <c r="AM156" s="398">
        <f t="shared" ca="1" si="591"/>
        <v>551032</v>
      </c>
      <c r="AN156" s="401" t="str">
        <f t="shared" ca="1" si="641"/>
        <v/>
      </c>
      <c r="AO156" s="398">
        <f t="shared" ca="1" si="592"/>
        <v>1280</v>
      </c>
      <c r="AP156" s="400">
        <f ca="1">IF(MAX(IF($C$6="No",ROUNDUP($C$3/$I156,0),ROUNDUP(($C$3+$I156)/$I156,0)),IF($C$6="No",ROUNDUP($C$4/$G156,0),ROUNDUP(($C$4+$G156)/$G156,0)),ROUNDUP('BVMS checklist'!$H$217/$J156,0))&gt;1,'BVMS checklist'!$J$224,'BVMS checklist'!$J$217)+MAX(IF($C$6="No",ROUNDUP($C$3/$I156,0),ROUNDUP(($C$3+$I156)/$I156,0)),IF($C$6="No",ROUNDUP($C$4/$G156,0),ROUNDUP(($C$4+$G156)/$G156,0)))+$C$5</f>
        <v>1</v>
      </c>
      <c r="AQ156" s="400" t="b">
        <f t="shared" ca="1" si="630"/>
        <v>1</v>
      </c>
      <c r="AR156" s="400" t="str">
        <f t="shared" ca="1" si="593"/>
        <v>Accepted</v>
      </c>
      <c r="AS156" s="398" t="str">
        <f t="shared" ca="1" si="579"/>
        <v>No</v>
      </c>
      <c r="AT156" s="398" t="str">
        <f t="shared" ca="1" si="594"/>
        <v/>
      </c>
      <c r="AU156" s="398" t="str">
        <f t="shared" ca="1" si="642"/>
        <v/>
      </c>
      <c r="AV156" s="398">
        <f t="shared" ca="1" si="643"/>
        <v>6</v>
      </c>
      <c r="AW156" s="398">
        <f t="shared" ca="1" si="595"/>
        <v>2</v>
      </c>
      <c r="AX156" s="398">
        <f t="shared" ca="1" si="596"/>
        <v>640</v>
      </c>
      <c r="AY156" s="398">
        <f t="shared" ca="1" si="597"/>
        <v>551032</v>
      </c>
      <c r="AZ156" s="399">
        <f t="shared" si="618"/>
        <v>0</v>
      </c>
      <c r="BA156" s="399">
        <f t="shared" si="619"/>
        <v>0</v>
      </c>
      <c r="BB156" s="483" t="str">
        <f t="shared" ca="1" si="644"/>
        <v/>
      </c>
      <c r="BC156" s="400">
        <f ca="1">IF(MAX(IF($D$6="No",ROUNDUP($D$3/$I156,0),ROUNDUP(($D$3+$I156)/$I156,0)),IF($D$6="No",ROUNDUP($D$4/$G156,0),ROUNDUP(($D$4+$G156)/$G156,0)),ROUNDUP('BVMS checklist'!$H$217/$J156,0))&gt;1,'BVMS checklist'!$L$224,'BVMS checklist'!$L$217)</f>
        <v>0</v>
      </c>
      <c r="BD156" s="398">
        <f t="shared" ca="1" si="645"/>
        <v>2</v>
      </c>
      <c r="BE156" s="400">
        <f t="shared" si="598"/>
        <v>1</v>
      </c>
      <c r="BF156" s="400">
        <f t="shared" si="599"/>
        <v>2675</v>
      </c>
      <c r="BG156" s="400">
        <f t="shared" ca="1" si="580"/>
        <v>0</v>
      </c>
      <c r="BH156" s="398">
        <f t="shared" ca="1" si="600"/>
        <v>551032</v>
      </c>
      <c r="BI156" s="401" t="str">
        <f t="shared" ca="1" si="646"/>
        <v/>
      </c>
      <c r="BJ156" s="398">
        <f t="shared" ca="1" si="601"/>
        <v>1280</v>
      </c>
      <c r="BK156" s="400">
        <f ca="1">IF(MAX(IF($D$6="No",ROUNDUP($D$3/$I156,0),ROUNDUP(($D$3+$I156)/$I156,0)),IF($D$6="No",ROUNDUP($D$4/$G156,0),ROUNDUP(($D$4+$G156)/$G156,0)),ROUNDUP('BVMS checklist'!$H$217/$J156,0))&gt;1,'BVMS checklist'!$L$224,'BVMS checklist'!$L$217)+MAX(IF($D$6="No",ROUNDUP($D$3/$I156,0),ROUNDUP(($D$3+$I156)/$I156,0)),IF($D$6="No",ROUNDUP($D$4/$G156,0),ROUNDUP(($D$4+$G156)/$G156,0)))+$D$5</f>
        <v>1</v>
      </c>
      <c r="BL156" s="400" t="b">
        <f t="shared" ca="1" si="631"/>
        <v>1</v>
      </c>
      <c r="BM156" s="400" t="str">
        <f t="shared" ca="1" si="602"/>
        <v>Accepted</v>
      </c>
      <c r="BN156" s="398" t="str">
        <f t="shared" ca="1" si="581"/>
        <v>No</v>
      </c>
      <c r="BO156" s="398" t="str">
        <f t="shared" ca="1" si="603"/>
        <v/>
      </c>
      <c r="BP156" s="398" t="str">
        <f t="shared" ca="1" si="647"/>
        <v/>
      </c>
      <c r="BQ156" s="398">
        <f t="shared" ca="1" si="648"/>
        <v>6</v>
      </c>
      <c r="BR156" s="398">
        <f t="shared" ca="1" si="604"/>
        <v>2</v>
      </c>
      <c r="BS156" s="398">
        <f t="shared" ca="1" si="605"/>
        <v>640</v>
      </c>
      <c r="BT156" s="398">
        <f t="shared" ca="1" si="606"/>
        <v>551032</v>
      </c>
      <c r="BU156" s="399">
        <f t="shared" si="620"/>
        <v>0</v>
      </c>
      <c r="BV156" s="399">
        <f t="shared" si="621"/>
        <v>0</v>
      </c>
      <c r="BW156" s="483" t="str">
        <f t="shared" ca="1" si="649"/>
        <v/>
      </c>
      <c r="BX156" s="400">
        <f ca="1">IF(MAX(IF($E$6="No",ROUNDUP($E$3/$I156,0),ROUNDUP(($E$3+$I156)/$I156,0)),IF($E$6="No",ROUNDUP($E$4/$G156,0),ROUNDUP(($E$4+$G156)/$G156,0)),ROUNDUP('BVMS checklist'!$H$217/$J156,0))&gt;1,'BVMS checklist'!$N$224,'BVMS checklist'!$N$217)</f>
        <v>0</v>
      </c>
      <c r="BY156" s="398">
        <f t="shared" ca="1" si="650"/>
        <v>2</v>
      </c>
      <c r="BZ156" s="400">
        <f t="shared" ca="1" si="607"/>
        <v>2</v>
      </c>
      <c r="CA156" s="400">
        <f t="shared" ca="1" si="608"/>
        <v>5350</v>
      </c>
      <c r="CB156" s="400">
        <f t="shared" ca="1" si="582"/>
        <v>0</v>
      </c>
      <c r="CC156" s="398">
        <f t="shared" ca="1" si="609"/>
        <v>551032</v>
      </c>
      <c r="CD156" s="401" t="str">
        <f t="shared" ca="1" si="651"/>
        <v/>
      </c>
      <c r="CE156" s="398">
        <f t="shared" ca="1" si="610"/>
        <v>1280</v>
      </c>
      <c r="CF156" s="400">
        <f ca="1">IF(MAX(IF($E$6="No",ROUNDUP($E$3/$I156,0),ROUNDUP(($E$3+$I156)/$I156,0)),IF($E$6="No",ROUNDUP($E$4/$G156,0),ROUNDUP(($E$4+$G156)/$G156,0)),ROUNDUP('BVMS checklist'!$H$217/$J156,0))&gt;1,'BVMS checklist'!$N$224,'BVMS checklist'!$N$217)+MAX(IF($E$6="No",ROUNDUP($E$3/$I156,0),ROUNDUP(($E$3+$I156)/$I156,0)),IF($E$6="No",ROUNDUP($E$4/$G156,0),ROUNDUP(($E$4+$G156)/$G156,0)))+$E$5</f>
        <v>1</v>
      </c>
      <c r="CG156" s="400" t="b">
        <f t="shared" ca="1" si="632"/>
        <v>1</v>
      </c>
      <c r="CH156" s="400" t="str">
        <f t="shared" ca="1" si="611"/>
        <v>Accepted</v>
      </c>
      <c r="CI156" s="398" t="str">
        <f t="shared" ca="1" si="583"/>
        <v>No</v>
      </c>
      <c r="CJ156" s="398" t="str">
        <f t="shared" ca="1" si="612"/>
        <v/>
      </c>
      <c r="CK156" s="398" t="str">
        <f t="shared" ca="1" si="652"/>
        <v/>
      </c>
      <c r="CL156" s="398">
        <f t="shared" ca="1" si="653"/>
        <v>6</v>
      </c>
      <c r="CM156" s="398">
        <f t="shared" ca="1" si="613"/>
        <v>2</v>
      </c>
      <c r="CN156" s="398">
        <f t="shared" ca="1" si="614"/>
        <v>640</v>
      </c>
      <c r="CO156" s="398">
        <f t="shared" ca="1" si="615"/>
        <v>551032</v>
      </c>
      <c r="CP156" s="399">
        <f t="shared" si="622"/>
        <v>0</v>
      </c>
      <c r="CQ156" s="399">
        <f t="shared" si="623"/>
        <v>0</v>
      </c>
      <c r="CR156" s="483" t="str">
        <f t="shared" ca="1" si="654"/>
        <v/>
      </c>
      <c r="CS156"/>
    </row>
    <row r="157" spans="1:97">
      <c r="A157" s="398" t="s">
        <v>483</v>
      </c>
      <c r="B157" s="398" t="s">
        <v>987</v>
      </c>
      <c r="C157" s="440" t="s">
        <v>891</v>
      </c>
      <c r="D157" s="398">
        <v>2</v>
      </c>
      <c r="E157" s="398"/>
      <c r="F157" s="440">
        <v>0</v>
      </c>
      <c r="G157" s="398">
        <f>IF(C157="RAID5",(((7-F157)*7448))+(1*(((7-F157)*5586))),(((6-F157)*7448))+(1*(((6-F157)*5586))))</f>
        <v>91238</v>
      </c>
      <c r="H157" s="399">
        <v>112</v>
      </c>
      <c r="I157" s="399">
        <v>1025</v>
      </c>
      <c r="J157" s="399">
        <v>256</v>
      </c>
      <c r="K157" s="399"/>
      <c r="L157" s="399"/>
      <c r="M157" s="400">
        <f ca="1">IF(MAX(IF($B$6="No",ROUNDUP($B$3/$I157,0),ROUNDUP(($B$3+$I157)/$I157,0)),IF($B$6="No",ROUNDUP($B$4/$G157,0),ROUNDUP(($B$4+$G157)/$G157,0)),ROUNDUP('BVMS checklist'!$H$217/$J157,0))&gt;1,'BVMS checklist'!$H$224,'BVMS checklist'!$H$217)</f>
        <v>0</v>
      </c>
      <c r="N157" s="398">
        <f t="shared" ca="1" si="633"/>
        <v>2</v>
      </c>
      <c r="O157" s="400">
        <f t="shared" ca="1" si="584"/>
        <v>2</v>
      </c>
      <c r="P157" s="400">
        <f t="shared" ca="1" si="624"/>
        <v>2050</v>
      </c>
      <c r="Q157" s="400">
        <f t="shared" ca="1" si="625"/>
        <v>0</v>
      </c>
      <c r="R157" s="398">
        <f t="shared" ca="1" si="626"/>
        <v>182476</v>
      </c>
      <c r="S157" s="401" t="str">
        <f t="shared" ca="1" si="634"/>
        <v/>
      </c>
      <c r="T157" s="398">
        <f t="shared" ca="1" si="635"/>
        <v>512</v>
      </c>
      <c r="U157" s="400">
        <f ca="1">IF(MAX(IF($B$6="No",ROUNDUP($B$3/$I157,0),ROUNDUP(($B$3+$I157)/$I157,0)),IF($B$6="No",ROUNDUP($B$4/$G157,0),ROUNDUP(($B$4+$G157)/$G157,0)),ROUNDUP('BVMS checklist'!$H$217/$J157,0))&gt;1,'BVMS checklist'!$H$224,'BVMS checklist'!$H$217)+MAX(IF($B$6="No",ROUNDUP($B$3/$I157,0),ROUNDUP(($B$3+$I157)/$I157,0)),IF($B$6="No",ROUNDUP($B$4/$G157,0),ROUNDUP(($B$4+$G157)/$G157,0)))+$B$5</f>
        <v>1</v>
      </c>
      <c r="V157" s="400" t="b">
        <f t="shared" ca="1" si="627"/>
        <v>1</v>
      </c>
      <c r="W157" s="400" t="str">
        <f t="shared" ca="1" si="585"/>
        <v>Accepted</v>
      </c>
      <c r="X157" s="398" t="str">
        <f t="shared" ca="1" si="636"/>
        <v>No</v>
      </c>
      <c r="Y157" s="398" t="str">
        <f t="shared" ca="1" si="637"/>
        <v/>
      </c>
      <c r="Z157" s="398" t="str">
        <f t="shared" ca="1" si="638"/>
        <v/>
      </c>
      <c r="AA157" s="398">
        <f t="shared" ca="1" si="586"/>
        <v>6</v>
      </c>
      <c r="AB157" s="398">
        <f t="shared" ca="1" si="628"/>
        <v>2</v>
      </c>
      <c r="AC157" s="398">
        <f t="shared" ca="1" si="629"/>
        <v>224</v>
      </c>
      <c r="AD157" s="398">
        <f t="shared" ca="1" si="587"/>
        <v>182476</v>
      </c>
      <c r="AE157" s="399">
        <f t="shared" si="616"/>
        <v>0</v>
      </c>
      <c r="AF157" s="399">
        <f t="shared" si="617"/>
        <v>0</v>
      </c>
      <c r="AG157" s="483" t="str">
        <f t="shared" ca="1" si="639"/>
        <v/>
      </c>
      <c r="AH157" s="400">
        <f ca="1">IF(MAX(IF($C$6="No",ROUNDUP($C$3/$I157,0),ROUNDUP(($C$3+$I157)/$I157,0)),IF($C$6="No",ROUNDUP($C$4/$G157,0),ROUNDUP(($C$4+$G157)/$G157,0)),ROUNDUP('BVMS checklist'!$H$217/$J157,0))&gt;1,'BVMS checklist'!$J$224,'BVMS checklist'!$J$217)</f>
        <v>0</v>
      </c>
      <c r="AI157" s="398">
        <f t="shared" ca="1" si="640"/>
        <v>2</v>
      </c>
      <c r="AJ157" s="400">
        <f t="shared" ca="1" si="588"/>
        <v>2</v>
      </c>
      <c r="AK157" s="400">
        <f t="shared" ca="1" si="589"/>
        <v>2050</v>
      </c>
      <c r="AL157" s="400">
        <f t="shared" ca="1" si="590"/>
        <v>0</v>
      </c>
      <c r="AM157" s="398">
        <f t="shared" ca="1" si="591"/>
        <v>182476</v>
      </c>
      <c r="AN157" s="401" t="str">
        <f t="shared" ca="1" si="641"/>
        <v/>
      </c>
      <c r="AO157" s="398">
        <f t="shared" ca="1" si="592"/>
        <v>512</v>
      </c>
      <c r="AP157" s="400">
        <f ca="1">IF(MAX(IF($C$6="No",ROUNDUP($C$3/$I157,0),ROUNDUP(($C$3+$I157)/$I157,0)),IF($C$6="No",ROUNDUP($C$4/$G157,0),ROUNDUP(($C$4+$G157)/$G157,0)),ROUNDUP('BVMS checklist'!$H$217/$J157,0))&gt;1,'BVMS checklist'!$J$224,'BVMS checklist'!$J$217)+MAX(IF($C$6="No",ROUNDUP($C$3/$I157,0),ROUNDUP(($C$3+$I157)/$I157,0)),IF($C$6="No",ROUNDUP($C$4/$G157,0),ROUNDUP(($C$4+$G157)/$G157,0)))+$C$5</f>
        <v>1</v>
      </c>
      <c r="AQ157" s="400" t="b">
        <f t="shared" ca="1" si="630"/>
        <v>1</v>
      </c>
      <c r="AR157" s="400" t="str">
        <f t="shared" ca="1" si="593"/>
        <v>Accepted</v>
      </c>
      <c r="AS157" s="398" t="str">
        <f t="shared" ca="1" si="579"/>
        <v>No</v>
      </c>
      <c r="AT157" s="398" t="str">
        <f t="shared" ca="1" si="594"/>
        <v/>
      </c>
      <c r="AU157" s="398" t="str">
        <f t="shared" ca="1" si="642"/>
        <v/>
      </c>
      <c r="AV157" s="398">
        <f t="shared" ca="1" si="643"/>
        <v>6</v>
      </c>
      <c r="AW157" s="398">
        <f t="shared" ca="1" si="595"/>
        <v>2</v>
      </c>
      <c r="AX157" s="398">
        <f t="shared" ca="1" si="596"/>
        <v>224</v>
      </c>
      <c r="AY157" s="398">
        <f t="shared" ca="1" si="597"/>
        <v>182476</v>
      </c>
      <c r="AZ157" s="399">
        <f t="shared" si="618"/>
        <v>0</v>
      </c>
      <c r="BA157" s="399">
        <f t="shared" si="619"/>
        <v>0</v>
      </c>
      <c r="BB157" s="483" t="str">
        <f t="shared" ca="1" si="644"/>
        <v/>
      </c>
      <c r="BC157" s="400">
        <f ca="1">IF(MAX(IF($D$6="No",ROUNDUP($D$3/$I157,0),ROUNDUP(($D$3+$I157)/$I157,0)),IF($D$6="No",ROUNDUP($D$4/$G157,0),ROUNDUP(($D$4+$G157)/$G157,0)),ROUNDUP('BVMS checklist'!$H$217/$J157,0))&gt;1,'BVMS checklist'!$L$224,'BVMS checklist'!$L$217)</f>
        <v>0</v>
      </c>
      <c r="BD157" s="398">
        <f t="shared" ca="1" si="645"/>
        <v>2</v>
      </c>
      <c r="BE157" s="400">
        <f t="shared" si="598"/>
        <v>1</v>
      </c>
      <c r="BF157" s="400">
        <f t="shared" si="599"/>
        <v>1025</v>
      </c>
      <c r="BG157" s="400">
        <f t="shared" ca="1" si="580"/>
        <v>0</v>
      </c>
      <c r="BH157" s="398">
        <f t="shared" ca="1" si="600"/>
        <v>182476</v>
      </c>
      <c r="BI157" s="401" t="str">
        <f t="shared" ca="1" si="646"/>
        <v/>
      </c>
      <c r="BJ157" s="398">
        <f t="shared" ca="1" si="601"/>
        <v>512</v>
      </c>
      <c r="BK157" s="400">
        <f ca="1">IF(MAX(IF($D$6="No",ROUNDUP($D$3/$I157,0),ROUNDUP(($D$3+$I157)/$I157,0)),IF($D$6="No",ROUNDUP($D$4/$G157,0),ROUNDUP(($D$4+$G157)/$G157,0)),ROUNDUP('BVMS checklist'!$H$217/$J157,0))&gt;1,'BVMS checklist'!$L$224,'BVMS checklist'!$L$217)+MAX(IF($D$6="No",ROUNDUP($D$3/$I157,0),ROUNDUP(($D$3+$I157)/$I157,0)),IF($D$6="No",ROUNDUP($D$4/$G157,0),ROUNDUP(($D$4+$G157)/$G157,0)))+$D$5</f>
        <v>1</v>
      </c>
      <c r="BL157" s="400" t="b">
        <f t="shared" ca="1" si="631"/>
        <v>1</v>
      </c>
      <c r="BM157" s="400" t="str">
        <f t="shared" ca="1" si="602"/>
        <v>Accepted</v>
      </c>
      <c r="BN157" s="398" t="str">
        <f t="shared" ca="1" si="581"/>
        <v>No</v>
      </c>
      <c r="BO157" s="398" t="str">
        <f t="shared" ca="1" si="603"/>
        <v/>
      </c>
      <c r="BP157" s="398" t="str">
        <f t="shared" ca="1" si="647"/>
        <v/>
      </c>
      <c r="BQ157" s="398">
        <f t="shared" ca="1" si="648"/>
        <v>6</v>
      </c>
      <c r="BR157" s="398">
        <f t="shared" ca="1" si="604"/>
        <v>2</v>
      </c>
      <c r="BS157" s="398">
        <f t="shared" ca="1" si="605"/>
        <v>224</v>
      </c>
      <c r="BT157" s="398">
        <f t="shared" ca="1" si="606"/>
        <v>182476</v>
      </c>
      <c r="BU157" s="399">
        <f t="shared" si="620"/>
        <v>0</v>
      </c>
      <c r="BV157" s="399">
        <f t="shared" si="621"/>
        <v>0</v>
      </c>
      <c r="BW157" s="483" t="str">
        <f t="shared" ca="1" si="649"/>
        <v/>
      </c>
      <c r="BX157" s="400">
        <f ca="1">IF(MAX(IF($E$6="No",ROUNDUP($E$3/$I157,0),ROUNDUP(($E$3+$I157)/$I157,0)),IF($E$6="No",ROUNDUP($E$4/$G157,0),ROUNDUP(($E$4+$G157)/$G157,0)),ROUNDUP('BVMS checklist'!$H$217/$J157,0))&gt;1,'BVMS checklist'!$N$224,'BVMS checklist'!$N$217)</f>
        <v>0</v>
      </c>
      <c r="BY157" s="398">
        <f t="shared" ca="1" si="650"/>
        <v>2</v>
      </c>
      <c r="BZ157" s="400">
        <f t="shared" ca="1" si="607"/>
        <v>2</v>
      </c>
      <c r="CA157" s="400">
        <f t="shared" ca="1" si="608"/>
        <v>2050</v>
      </c>
      <c r="CB157" s="400">
        <f t="shared" ca="1" si="582"/>
        <v>0</v>
      </c>
      <c r="CC157" s="398">
        <f t="shared" ca="1" si="609"/>
        <v>182476</v>
      </c>
      <c r="CD157" s="401" t="str">
        <f t="shared" ca="1" si="651"/>
        <v/>
      </c>
      <c r="CE157" s="398">
        <f t="shared" ca="1" si="610"/>
        <v>512</v>
      </c>
      <c r="CF157" s="400">
        <f ca="1">IF(MAX(IF($E$6="No",ROUNDUP($E$3/$I157,0),ROUNDUP(($E$3+$I157)/$I157,0)),IF($E$6="No",ROUNDUP($E$4/$G157,0),ROUNDUP(($E$4+$G157)/$G157,0)),ROUNDUP('BVMS checklist'!$H$217/$J157,0))&gt;1,'BVMS checklist'!$N$224,'BVMS checklist'!$N$217)+MAX(IF($E$6="No",ROUNDUP($E$3/$I157,0),ROUNDUP(($E$3+$I157)/$I157,0)),IF($E$6="No",ROUNDUP($E$4/$G157,0),ROUNDUP(($E$4+$G157)/$G157,0)))+$E$5</f>
        <v>1</v>
      </c>
      <c r="CG157" s="400" t="b">
        <f t="shared" ca="1" si="632"/>
        <v>1</v>
      </c>
      <c r="CH157" s="400" t="str">
        <f t="shared" ca="1" si="611"/>
        <v>Accepted</v>
      </c>
      <c r="CI157" s="398" t="str">
        <f t="shared" ca="1" si="583"/>
        <v>No</v>
      </c>
      <c r="CJ157" s="398" t="str">
        <f t="shared" ca="1" si="612"/>
        <v/>
      </c>
      <c r="CK157" s="398" t="str">
        <f t="shared" ca="1" si="652"/>
        <v/>
      </c>
      <c r="CL157" s="398">
        <f t="shared" ca="1" si="653"/>
        <v>6</v>
      </c>
      <c r="CM157" s="398">
        <f t="shared" ca="1" si="613"/>
        <v>2</v>
      </c>
      <c r="CN157" s="398">
        <f t="shared" ca="1" si="614"/>
        <v>224</v>
      </c>
      <c r="CO157" s="398">
        <f t="shared" ca="1" si="615"/>
        <v>182476</v>
      </c>
      <c r="CP157" s="399">
        <f t="shared" si="622"/>
        <v>0</v>
      </c>
      <c r="CQ157" s="399">
        <f t="shared" si="623"/>
        <v>0</v>
      </c>
      <c r="CR157" s="483" t="str">
        <f t="shared" ca="1" si="654"/>
        <v/>
      </c>
      <c r="CS157"/>
    </row>
    <row r="158" spans="1:97">
      <c r="A158" s="398" t="s">
        <v>484</v>
      </c>
      <c r="B158" s="398" t="s">
        <v>987</v>
      </c>
      <c r="C158" s="440" t="s">
        <v>891</v>
      </c>
      <c r="D158" s="398">
        <v>3</v>
      </c>
      <c r="E158" s="398"/>
      <c r="F158" s="440">
        <v>0</v>
      </c>
      <c r="G158" s="398">
        <f>IF(C158="RAID5",(((7-F158)*7448))+(2*(((7-F158)*5586))),(((6-F158)*7448))+(2*(((6-F158)*5586))))</f>
        <v>130340</v>
      </c>
      <c r="H158" s="399">
        <v>160</v>
      </c>
      <c r="I158" s="399">
        <v>1575</v>
      </c>
      <c r="J158" s="399">
        <v>384</v>
      </c>
      <c r="K158" s="399"/>
      <c r="L158" s="399"/>
      <c r="M158" s="400">
        <f ca="1">IF(MAX(IF($B$6="No",ROUNDUP($B$3/$I158,0),ROUNDUP(($B$3+$I158)/$I158,0)),IF($B$6="No",ROUNDUP($B$4/$G158,0),ROUNDUP(($B$4+$G158)/$G158,0)),ROUNDUP('BVMS checklist'!$H$217/$J158,0))&gt;1,'BVMS checklist'!$H$224,'BVMS checklist'!$H$217)</f>
        <v>0</v>
      </c>
      <c r="N158" s="398">
        <f t="shared" ca="1" si="633"/>
        <v>2</v>
      </c>
      <c r="O158" s="400">
        <f t="shared" ca="1" si="584"/>
        <v>2</v>
      </c>
      <c r="P158" s="400">
        <f t="shared" ca="1" si="624"/>
        <v>3150</v>
      </c>
      <c r="Q158" s="400">
        <f t="shared" ca="1" si="625"/>
        <v>0</v>
      </c>
      <c r="R158" s="398">
        <f t="shared" ca="1" si="626"/>
        <v>260680</v>
      </c>
      <c r="S158" s="401" t="str">
        <f t="shared" ca="1" si="634"/>
        <v/>
      </c>
      <c r="T158" s="398">
        <f t="shared" ca="1" si="635"/>
        <v>768</v>
      </c>
      <c r="U158" s="400">
        <f ca="1">IF(MAX(IF($B$6="No",ROUNDUP($B$3/$I158,0),ROUNDUP(($B$3+$I158)/$I158,0)),IF($B$6="No",ROUNDUP($B$4/$G158,0),ROUNDUP(($B$4+$G158)/$G158,0)),ROUNDUP('BVMS checklist'!$H$217/$J158,0))&gt;1,'BVMS checklist'!$H$224,'BVMS checklist'!$H$217)+MAX(IF($B$6="No",ROUNDUP($B$3/$I158,0),ROUNDUP(($B$3+$I158)/$I158,0)),IF($B$6="No",ROUNDUP($B$4/$G158,0),ROUNDUP(($B$4+$G158)/$G158,0)))+$B$5</f>
        <v>1</v>
      </c>
      <c r="V158" s="400" t="b">
        <f t="shared" ca="1" si="627"/>
        <v>1</v>
      </c>
      <c r="W158" s="400" t="str">
        <f t="shared" ca="1" si="585"/>
        <v>Accepted</v>
      </c>
      <c r="X158" s="398" t="str">
        <f t="shared" ca="1" si="636"/>
        <v>No</v>
      </c>
      <c r="Y158" s="398" t="str">
        <f t="shared" ca="1" si="637"/>
        <v/>
      </c>
      <c r="Z158" s="398" t="str">
        <f t="shared" ca="1" si="638"/>
        <v/>
      </c>
      <c r="AA158" s="398">
        <f t="shared" ca="1" si="586"/>
        <v>6</v>
      </c>
      <c r="AB158" s="398">
        <f t="shared" ca="1" si="628"/>
        <v>2</v>
      </c>
      <c r="AC158" s="398">
        <f t="shared" ca="1" si="629"/>
        <v>320</v>
      </c>
      <c r="AD158" s="398">
        <f t="shared" ca="1" si="587"/>
        <v>260680</v>
      </c>
      <c r="AE158" s="399">
        <f t="shared" si="616"/>
        <v>0</v>
      </c>
      <c r="AF158" s="399">
        <f t="shared" si="617"/>
        <v>0</v>
      </c>
      <c r="AG158" s="483" t="str">
        <f t="shared" ca="1" si="639"/>
        <v/>
      </c>
      <c r="AH158" s="400">
        <f ca="1">IF(MAX(IF($C$6="No",ROUNDUP($C$3/$I158,0),ROUNDUP(($C$3+$I158)/$I158,0)),IF($C$6="No",ROUNDUP($C$4/$G158,0),ROUNDUP(($C$4+$G158)/$G158,0)),ROUNDUP('BVMS checklist'!$H$217/$J158,0))&gt;1,'BVMS checklist'!$J$224,'BVMS checklist'!$J$217)</f>
        <v>0</v>
      </c>
      <c r="AI158" s="398">
        <f t="shared" ca="1" si="640"/>
        <v>2</v>
      </c>
      <c r="AJ158" s="400">
        <f t="shared" ca="1" si="588"/>
        <v>2</v>
      </c>
      <c r="AK158" s="400">
        <f t="shared" ca="1" si="589"/>
        <v>3150</v>
      </c>
      <c r="AL158" s="400">
        <f t="shared" ca="1" si="590"/>
        <v>0</v>
      </c>
      <c r="AM158" s="398">
        <f t="shared" ca="1" si="591"/>
        <v>260680</v>
      </c>
      <c r="AN158" s="401" t="str">
        <f t="shared" ca="1" si="641"/>
        <v/>
      </c>
      <c r="AO158" s="398">
        <f t="shared" ca="1" si="592"/>
        <v>768</v>
      </c>
      <c r="AP158" s="400">
        <f ca="1">IF(MAX(IF($C$6="No",ROUNDUP($C$3/$I158,0),ROUNDUP(($C$3+$I158)/$I158,0)),IF($C$6="No",ROUNDUP($C$4/$G158,0),ROUNDUP(($C$4+$G158)/$G158,0)),ROUNDUP('BVMS checklist'!$H$217/$J158,0))&gt;1,'BVMS checklist'!$J$224,'BVMS checklist'!$J$217)+MAX(IF($C$6="No",ROUNDUP($C$3/$I158,0),ROUNDUP(($C$3+$I158)/$I158,0)),IF($C$6="No",ROUNDUP($C$4/$G158,0),ROUNDUP(($C$4+$G158)/$G158,0)))+$C$5</f>
        <v>1</v>
      </c>
      <c r="AQ158" s="400" t="b">
        <f t="shared" ca="1" si="630"/>
        <v>1</v>
      </c>
      <c r="AR158" s="400" t="str">
        <f t="shared" ca="1" si="593"/>
        <v>Accepted</v>
      </c>
      <c r="AS158" s="398" t="str">
        <f t="shared" ca="1" si="579"/>
        <v>No</v>
      </c>
      <c r="AT158" s="398" t="str">
        <f t="shared" ca="1" si="594"/>
        <v/>
      </c>
      <c r="AU158" s="398" t="str">
        <f t="shared" ca="1" si="642"/>
        <v/>
      </c>
      <c r="AV158" s="398">
        <f t="shared" ca="1" si="643"/>
        <v>6</v>
      </c>
      <c r="AW158" s="398">
        <f t="shared" ca="1" si="595"/>
        <v>2</v>
      </c>
      <c r="AX158" s="398">
        <f t="shared" ca="1" si="596"/>
        <v>320</v>
      </c>
      <c r="AY158" s="398">
        <f t="shared" ca="1" si="597"/>
        <v>260680</v>
      </c>
      <c r="AZ158" s="399">
        <f t="shared" si="618"/>
        <v>0</v>
      </c>
      <c r="BA158" s="399">
        <f t="shared" si="619"/>
        <v>0</v>
      </c>
      <c r="BB158" s="483" t="str">
        <f t="shared" ca="1" si="644"/>
        <v/>
      </c>
      <c r="BC158" s="400">
        <f ca="1">IF(MAX(IF($D$6="No",ROUNDUP($D$3/$I158,0),ROUNDUP(($D$3+$I158)/$I158,0)),IF($D$6="No",ROUNDUP($D$4/$G158,0),ROUNDUP(($D$4+$G158)/$G158,0)),ROUNDUP('BVMS checklist'!$H$217/$J158,0))&gt;1,'BVMS checklist'!$L$224,'BVMS checklist'!$L$217)</f>
        <v>0</v>
      </c>
      <c r="BD158" s="398">
        <f t="shared" ca="1" si="645"/>
        <v>2</v>
      </c>
      <c r="BE158" s="400">
        <f t="shared" si="598"/>
        <v>1</v>
      </c>
      <c r="BF158" s="400">
        <f t="shared" si="599"/>
        <v>1575</v>
      </c>
      <c r="BG158" s="400">
        <f t="shared" ca="1" si="580"/>
        <v>0</v>
      </c>
      <c r="BH158" s="398">
        <f t="shared" ca="1" si="600"/>
        <v>260680</v>
      </c>
      <c r="BI158" s="401" t="str">
        <f t="shared" ca="1" si="646"/>
        <v/>
      </c>
      <c r="BJ158" s="398">
        <f t="shared" ca="1" si="601"/>
        <v>768</v>
      </c>
      <c r="BK158" s="400">
        <f ca="1">IF(MAX(IF($D$6="No",ROUNDUP($D$3/$I158,0),ROUNDUP(($D$3+$I158)/$I158,0)),IF($D$6="No",ROUNDUP($D$4/$G158,0),ROUNDUP(($D$4+$G158)/$G158,0)),ROUNDUP('BVMS checklist'!$H$217/$J158,0))&gt;1,'BVMS checklist'!$L$224,'BVMS checklist'!$L$217)+MAX(IF($D$6="No",ROUNDUP($D$3/$I158,0),ROUNDUP(($D$3+$I158)/$I158,0)),IF($D$6="No",ROUNDUP($D$4/$G158,0),ROUNDUP(($D$4+$G158)/$G158,0)))+$D$5</f>
        <v>1</v>
      </c>
      <c r="BL158" s="400" t="b">
        <f t="shared" ca="1" si="631"/>
        <v>1</v>
      </c>
      <c r="BM158" s="400" t="str">
        <f t="shared" ca="1" si="602"/>
        <v>Accepted</v>
      </c>
      <c r="BN158" s="398" t="str">
        <f t="shared" ca="1" si="581"/>
        <v>No</v>
      </c>
      <c r="BO158" s="398" t="str">
        <f t="shared" ca="1" si="603"/>
        <v/>
      </c>
      <c r="BP158" s="398" t="str">
        <f t="shared" ca="1" si="647"/>
        <v/>
      </c>
      <c r="BQ158" s="398">
        <f t="shared" ca="1" si="648"/>
        <v>6</v>
      </c>
      <c r="BR158" s="398">
        <f t="shared" ca="1" si="604"/>
        <v>2</v>
      </c>
      <c r="BS158" s="398">
        <f t="shared" ca="1" si="605"/>
        <v>320</v>
      </c>
      <c r="BT158" s="398">
        <f t="shared" ca="1" si="606"/>
        <v>260680</v>
      </c>
      <c r="BU158" s="399">
        <f t="shared" si="620"/>
        <v>0</v>
      </c>
      <c r="BV158" s="399">
        <f t="shared" si="621"/>
        <v>0</v>
      </c>
      <c r="BW158" s="483" t="str">
        <f t="shared" ca="1" si="649"/>
        <v/>
      </c>
      <c r="BX158" s="400">
        <f ca="1">IF(MAX(IF($E$6="No",ROUNDUP($E$3/$I158,0),ROUNDUP(($E$3+$I158)/$I158,0)),IF($E$6="No",ROUNDUP($E$4/$G158,0),ROUNDUP(($E$4+$G158)/$G158,0)),ROUNDUP('BVMS checklist'!$H$217/$J158,0))&gt;1,'BVMS checklist'!$N$224,'BVMS checklist'!$N$217)</f>
        <v>0</v>
      </c>
      <c r="BY158" s="398">
        <f t="shared" ca="1" si="650"/>
        <v>2</v>
      </c>
      <c r="BZ158" s="400">
        <f t="shared" ca="1" si="607"/>
        <v>2</v>
      </c>
      <c r="CA158" s="400">
        <f t="shared" ca="1" si="608"/>
        <v>3150</v>
      </c>
      <c r="CB158" s="400">
        <f t="shared" ca="1" si="582"/>
        <v>0</v>
      </c>
      <c r="CC158" s="398">
        <f t="shared" ca="1" si="609"/>
        <v>260680</v>
      </c>
      <c r="CD158" s="401" t="str">
        <f t="shared" ca="1" si="651"/>
        <v/>
      </c>
      <c r="CE158" s="398">
        <f t="shared" ca="1" si="610"/>
        <v>768</v>
      </c>
      <c r="CF158" s="400">
        <f ca="1">IF(MAX(IF($E$6="No",ROUNDUP($E$3/$I158,0),ROUNDUP(($E$3+$I158)/$I158,0)),IF($E$6="No",ROUNDUP($E$4/$G158,0),ROUNDUP(($E$4+$G158)/$G158,0)),ROUNDUP('BVMS checklist'!$H$217/$J158,0))&gt;1,'BVMS checklist'!$N$224,'BVMS checklist'!$N$217)+MAX(IF($E$6="No",ROUNDUP($E$3/$I158,0),ROUNDUP(($E$3+$I158)/$I158,0)),IF($E$6="No",ROUNDUP($E$4/$G158,0),ROUNDUP(($E$4+$G158)/$G158,0)))+$E$5</f>
        <v>1</v>
      </c>
      <c r="CG158" s="400" t="b">
        <f t="shared" ca="1" si="632"/>
        <v>1</v>
      </c>
      <c r="CH158" s="400" t="str">
        <f t="shared" ca="1" si="611"/>
        <v>Accepted</v>
      </c>
      <c r="CI158" s="398" t="str">
        <f t="shared" ca="1" si="583"/>
        <v>No</v>
      </c>
      <c r="CJ158" s="398" t="str">
        <f t="shared" ca="1" si="612"/>
        <v/>
      </c>
      <c r="CK158" s="398" t="str">
        <f t="shared" ca="1" si="652"/>
        <v/>
      </c>
      <c r="CL158" s="398">
        <f t="shared" ca="1" si="653"/>
        <v>6</v>
      </c>
      <c r="CM158" s="398">
        <f t="shared" ca="1" si="613"/>
        <v>2</v>
      </c>
      <c r="CN158" s="398">
        <f t="shared" ca="1" si="614"/>
        <v>320</v>
      </c>
      <c r="CO158" s="398">
        <f t="shared" ca="1" si="615"/>
        <v>260680</v>
      </c>
      <c r="CP158" s="399">
        <f t="shared" si="622"/>
        <v>0</v>
      </c>
      <c r="CQ158" s="399">
        <f t="shared" si="623"/>
        <v>0</v>
      </c>
      <c r="CR158" s="483" t="str">
        <f t="shared" ca="1" si="654"/>
        <v/>
      </c>
      <c r="CS158"/>
    </row>
    <row r="159" spans="1:97">
      <c r="A159" s="398" t="s">
        <v>485</v>
      </c>
      <c r="B159" s="398" t="s">
        <v>987</v>
      </c>
      <c r="C159" s="440" t="s">
        <v>891</v>
      </c>
      <c r="D159" s="398">
        <v>4</v>
      </c>
      <c r="E159" s="398"/>
      <c r="F159" s="440">
        <v>0</v>
      </c>
      <c r="G159" s="398">
        <f>IF(C159="RAID5",(((7-F159)*7448))+(3*(((7-F159)*5586))),(((6-F159)*7448))+(3*(((6-F159)*5586))))</f>
        <v>169442</v>
      </c>
      <c r="H159" s="399">
        <v>208</v>
      </c>
      <c r="I159" s="399">
        <v>2125</v>
      </c>
      <c r="J159" s="399">
        <v>512</v>
      </c>
      <c r="K159" s="399"/>
      <c r="L159" s="399"/>
      <c r="M159" s="400">
        <f ca="1">IF(MAX(IF($B$6="No",ROUNDUP($B$3/$I159,0),ROUNDUP(($B$3+$I159)/$I159,0)),IF($B$6="No",ROUNDUP($B$4/$G159,0),ROUNDUP(($B$4+$G159)/$G159,0)),ROUNDUP('BVMS checklist'!$H$217/$J159,0))&gt;1,'BVMS checklist'!$H$224,'BVMS checklist'!$H$217)</f>
        <v>0</v>
      </c>
      <c r="N159" s="398">
        <f t="shared" ca="1" si="633"/>
        <v>2</v>
      </c>
      <c r="O159" s="400">
        <f t="shared" ca="1" si="584"/>
        <v>2</v>
      </c>
      <c r="P159" s="400">
        <f t="shared" ca="1" si="624"/>
        <v>4250</v>
      </c>
      <c r="Q159" s="400">
        <f t="shared" ca="1" si="625"/>
        <v>0</v>
      </c>
      <c r="R159" s="398">
        <f t="shared" ca="1" si="626"/>
        <v>338884</v>
      </c>
      <c r="S159" s="401" t="str">
        <f t="shared" ca="1" si="634"/>
        <v/>
      </c>
      <c r="T159" s="398">
        <f t="shared" ca="1" si="635"/>
        <v>1024</v>
      </c>
      <c r="U159" s="400">
        <f ca="1">IF(MAX(IF($B$6="No",ROUNDUP($B$3/$I159,0),ROUNDUP(($B$3+$I159)/$I159,0)),IF($B$6="No",ROUNDUP($B$4/$G159,0),ROUNDUP(($B$4+$G159)/$G159,0)),ROUNDUP('BVMS checklist'!$H$217/$J159,0))&gt;1,'BVMS checklist'!$H$224,'BVMS checklist'!$H$217)+MAX(IF($B$6="No",ROUNDUP($B$3/$I159,0),ROUNDUP(($B$3+$I159)/$I159,0)),IF($B$6="No",ROUNDUP($B$4/$G159,0),ROUNDUP(($B$4+$G159)/$G159,0)))+$B$5</f>
        <v>1</v>
      </c>
      <c r="V159" s="400" t="b">
        <f t="shared" ca="1" si="627"/>
        <v>1</v>
      </c>
      <c r="W159" s="400" t="str">
        <f t="shared" ca="1" si="585"/>
        <v>Accepted</v>
      </c>
      <c r="X159" s="398" t="str">
        <f t="shared" ca="1" si="636"/>
        <v>No</v>
      </c>
      <c r="Y159" s="398" t="str">
        <f t="shared" ca="1" si="637"/>
        <v/>
      </c>
      <c r="Z159" s="398" t="str">
        <f t="shared" ca="1" si="638"/>
        <v/>
      </c>
      <c r="AA159" s="398">
        <f t="shared" ca="1" si="586"/>
        <v>6</v>
      </c>
      <c r="AB159" s="398">
        <f t="shared" ca="1" si="628"/>
        <v>2</v>
      </c>
      <c r="AC159" s="398">
        <f t="shared" ca="1" si="629"/>
        <v>416</v>
      </c>
      <c r="AD159" s="398">
        <f t="shared" ca="1" si="587"/>
        <v>338884</v>
      </c>
      <c r="AE159" s="399">
        <f t="shared" si="616"/>
        <v>0</v>
      </c>
      <c r="AF159" s="399">
        <f t="shared" si="617"/>
        <v>0</v>
      </c>
      <c r="AG159" s="483" t="str">
        <f t="shared" ca="1" si="639"/>
        <v/>
      </c>
      <c r="AH159" s="400">
        <f ca="1">IF(MAX(IF($C$6="No",ROUNDUP($C$3/$I159,0),ROUNDUP(($C$3+$I159)/$I159,0)),IF($C$6="No",ROUNDUP($C$4/$G159,0),ROUNDUP(($C$4+$G159)/$G159,0)),ROUNDUP('BVMS checklist'!$H$217/$J159,0))&gt;1,'BVMS checklist'!$J$224,'BVMS checklist'!$J$217)</f>
        <v>0</v>
      </c>
      <c r="AI159" s="398">
        <f t="shared" ca="1" si="640"/>
        <v>2</v>
      </c>
      <c r="AJ159" s="400">
        <f t="shared" ca="1" si="588"/>
        <v>2</v>
      </c>
      <c r="AK159" s="400">
        <f t="shared" ca="1" si="589"/>
        <v>4250</v>
      </c>
      <c r="AL159" s="400">
        <f t="shared" ca="1" si="590"/>
        <v>0</v>
      </c>
      <c r="AM159" s="398">
        <f t="shared" ca="1" si="591"/>
        <v>338884</v>
      </c>
      <c r="AN159" s="401" t="str">
        <f t="shared" ca="1" si="641"/>
        <v/>
      </c>
      <c r="AO159" s="398">
        <f t="shared" ca="1" si="592"/>
        <v>1024</v>
      </c>
      <c r="AP159" s="400">
        <f ca="1">IF(MAX(IF($C$6="No",ROUNDUP($C$3/$I159,0),ROUNDUP(($C$3+$I159)/$I159,0)),IF($C$6="No",ROUNDUP($C$4/$G159,0),ROUNDUP(($C$4+$G159)/$G159,0)),ROUNDUP('BVMS checklist'!$H$217/$J159,0))&gt;1,'BVMS checklist'!$J$224,'BVMS checklist'!$J$217)+MAX(IF($C$6="No",ROUNDUP($C$3/$I159,0),ROUNDUP(($C$3+$I159)/$I159,0)),IF($C$6="No",ROUNDUP($C$4/$G159,0),ROUNDUP(($C$4+$G159)/$G159,0)))+$C$5</f>
        <v>1</v>
      </c>
      <c r="AQ159" s="400" t="b">
        <f t="shared" ca="1" si="630"/>
        <v>1</v>
      </c>
      <c r="AR159" s="400" t="str">
        <f t="shared" ca="1" si="593"/>
        <v>Accepted</v>
      </c>
      <c r="AS159" s="398" t="str">
        <f t="shared" ref="AS159:AS222" ca="1" si="655">IF(AND(AP159&lt;AO159,AL159&lt;$I159,$B159="Active",AR159="Accepted"),"Yes","No")</f>
        <v>No</v>
      </c>
      <c r="AT159" s="398" t="str">
        <f t="shared" ca="1" si="594"/>
        <v/>
      </c>
      <c r="AU159" s="398" t="str">
        <f t="shared" ca="1" si="642"/>
        <v/>
      </c>
      <c r="AV159" s="398">
        <f t="shared" ca="1" si="643"/>
        <v>6</v>
      </c>
      <c r="AW159" s="398">
        <f t="shared" ca="1" si="595"/>
        <v>2</v>
      </c>
      <c r="AX159" s="398">
        <f t="shared" ca="1" si="596"/>
        <v>416</v>
      </c>
      <c r="AY159" s="398">
        <f t="shared" ca="1" si="597"/>
        <v>338884</v>
      </c>
      <c r="AZ159" s="399">
        <f t="shared" si="618"/>
        <v>0</v>
      </c>
      <c r="BA159" s="399">
        <f t="shared" si="619"/>
        <v>0</v>
      </c>
      <c r="BB159" s="483" t="str">
        <f t="shared" ca="1" si="644"/>
        <v/>
      </c>
      <c r="BC159" s="400">
        <f ca="1">IF(MAX(IF($D$6="No",ROUNDUP($D$3/$I159,0),ROUNDUP(($D$3+$I159)/$I159,0)),IF($D$6="No",ROUNDUP($D$4/$G159,0),ROUNDUP(($D$4+$G159)/$G159,0)),ROUNDUP('BVMS checklist'!$H$217/$J159,0))&gt;1,'BVMS checklist'!$L$224,'BVMS checklist'!$L$217)</f>
        <v>0</v>
      </c>
      <c r="BD159" s="398">
        <f t="shared" ca="1" si="645"/>
        <v>2</v>
      </c>
      <c r="BE159" s="400">
        <f t="shared" si="598"/>
        <v>1</v>
      </c>
      <c r="BF159" s="400">
        <f t="shared" si="599"/>
        <v>2125</v>
      </c>
      <c r="BG159" s="400">
        <f t="shared" ref="BG159:BG222" ca="1" si="656">IFERROR($D$3/BD159,"")</f>
        <v>0</v>
      </c>
      <c r="BH159" s="398">
        <f t="shared" ca="1" si="600"/>
        <v>338884</v>
      </c>
      <c r="BI159" s="401" t="str">
        <f t="shared" ca="1" si="646"/>
        <v/>
      </c>
      <c r="BJ159" s="398">
        <f t="shared" ca="1" si="601"/>
        <v>1024</v>
      </c>
      <c r="BK159" s="400">
        <f ca="1">IF(MAX(IF($D$6="No",ROUNDUP($D$3/$I159,0),ROUNDUP(($D$3+$I159)/$I159,0)),IF($D$6="No",ROUNDUP($D$4/$G159,0),ROUNDUP(($D$4+$G159)/$G159,0)),ROUNDUP('BVMS checklist'!$H$217/$J159,0))&gt;1,'BVMS checklist'!$L$224,'BVMS checklist'!$L$217)+MAX(IF($D$6="No",ROUNDUP($D$3/$I159,0),ROUNDUP(($D$3+$I159)/$I159,0)),IF($D$6="No",ROUNDUP($D$4/$G159,0),ROUNDUP(($D$4+$G159)/$G159,0)))+$D$5</f>
        <v>1</v>
      </c>
      <c r="BL159" s="400" t="b">
        <f t="shared" ca="1" si="631"/>
        <v>1</v>
      </c>
      <c r="BM159" s="400" t="str">
        <f t="shared" ca="1" si="602"/>
        <v>Accepted</v>
      </c>
      <c r="BN159" s="398" t="str">
        <f t="shared" ref="BN159:BN222" ca="1" si="657">IF(AND(BK159&lt;BJ159,BG159&lt;$I159,$B159="Active",BM159="Accepted"),"Yes","No")</f>
        <v>No</v>
      </c>
      <c r="BO159" s="398" t="str">
        <f t="shared" ca="1" si="603"/>
        <v/>
      </c>
      <c r="BP159" s="398" t="str">
        <f t="shared" ca="1" si="647"/>
        <v/>
      </c>
      <c r="BQ159" s="398">
        <f t="shared" ca="1" si="648"/>
        <v>6</v>
      </c>
      <c r="BR159" s="398">
        <f t="shared" ca="1" si="604"/>
        <v>2</v>
      </c>
      <c r="BS159" s="398">
        <f t="shared" ca="1" si="605"/>
        <v>416</v>
      </c>
      <c r="BT159" s="398">
        <f t="shared" ca="1" si="606"/>
        <v>338884</v>
      </c>
      <c r="BU159" s="399">
        <f t="shared" si="620"/>
        <v>0</v>
      </c>
      <c r="BV159" s="399">
        <f t="shared" si="621"/>
        <v>0</v>
      </c>
      <c r="BW159" s="483" t="str">
        <f t="shared" ca="1" si="649"/>
        <v/>
      </c>
      <c r="BX159" s="400">
        <f ca="1">IF(MAX(IF($E$6="No",ROUNDUP($E$3/$I159,0),ROUNDUP(($E$3+$I159)/$I159,0)),IF($E$6="No",ROUNDUP($E$4/$G159,0),ROUNDUP(($E$4+$G159)/$G159,0)),ROUNDUP('BVMS checklist'!$H$217/$J159,0))&gt;1,'BVMS checklist'!$N$224,'BVMS checklist'!$N$217)</f>
        <v>0</v>
      </c>
      <c r="BY159" s="398">
        <f t="shared" ca="1" si="650"/>
        <v>2</v>
      </c>
      <c r="BZ159" s="400">
        <f t="shared" ca="1" si="607"/>
        <v>2</v>
      </c>
      <c r="CA159" s="400">
        <f t="shared" ca="1" si="608"/>
        <v>4250</v>
      </c>
      <c r="CB159" s="400">
        <f t="shared" ref="CB159:CB222" ca="1" si="658">IFERROR($E$3/BY159,"")</f>
        <v>0</v>
      </c>
      <c r="CC159" s="398">
        <f t="shared" ca="1" si="609"/>
        <v>338884</v>
      </c>
      <c r="CD159" s="401" t="str">
        <f t="shared" ca="1" si="651"/>
        <v/>
      </c>
      <c r="CE159" s="398">
        <f t="shared" ca="1" si="610"/>
        <v>1024</v>
      </c>
      <c r="CF159" s="400">
        <f ca="1">IF(MAX(IF($E$6="No",ROUNDUP($E$3/$I159,0),ROUNDUP(($E$3+$I159)/$I159,0)),IF($E$6="No",ROUNDUP($E$4/$G159,0),ROUNDUP(($E$4+$G159)/$G159,0)),ROUNDUP('BVMS checklist'!$H$217/$J159,0))&gt;1,'BVMS checklist'!$N$224,'BVMS checklist'!$N$217)+MAX(IF($E$6="No",ROUNDUP($E$3/$I159,0),ROUNDUP(($E$3+$I159)/$I159,0)),IF($E$6="No",ROUNDUP($E$4/$G159,0),ROUNDUP(($E$4+$G159)/$G159,0)))+$E$5</f>
        <v>1</v>
      </c>
      <c r="CG159" s="400" t="b">
        <f t="shared" ca="1" si="632"/>
        <v>1</v>
      </c>
      <c r="CH159" s="400" t="str">
        <f t="shared" ca="1" si="611"/>
        <v>Accepted</v>
      </c>
      <c r="CI159" s="398" t="str">
        <f t="shared" ref="CI159:CI222" ca="1" si="659">IF(AND(CF159&lt;CE159,CB159&lt;$I159,$B159="Active",CH159="Accepted"),"Yes","No")</f>
        <v>No</v>
      </c>
      <c r="CJ159" s="398" t="str">
        <f t="shared" ca="1" si="612"/>
        <v/>
      </c>
      <c r="CK159" s="398" t="str">
        <f t="shared" ca="1" si="652"/>
        <v/>
      </c>
      <c r="CL159" s="398">
        <f t="shared" ca="1" si="653"/>
        <v>6</v>
      </c>
      <c r="CM159" s="398">
        <f t="shared" ca="1" si="613"/>
        <v>2</v>
      </c>
      <c r="CN159" s="398">
        <f t="shared" ca="1" si="614"/>
        <v>416</v>
      </c>
      <c r="CO159" s="398">
        <f t="shared" ca="1" si="615"/>
        <v>338884</v>
      </c>
      <c r="CP159" s="399">
        <f t="shared" si="622"/>
        <v>0</v>
      </c>
      <c r="CQ159" s="399">
        <f t="shared" si="623"/>
        <v>0</v>
      </c>
      <c r="CR159" s="483" t="str">
        <f t="shared" ca="1" si="654"/>
        <v/>
      </c>
      <c r="CS159"/>
    </row>
    <row r="160" spans="1:97">
      <c r="A160" s="398" t="s">
        <v>486</v>
      </c>
      <c r="B160" s="398" t="s">
        <v>987</v>
      </c>
      <c r="C160" s="440" t="s">
        <v>891</v>
      </c>
      <c r="D160" s="398">
        <v>5</v>
      </c>
      <c r="E160" s="398"/>
      <c r="F160" s="440">
        <v>0</v>
      </c>
      <c r="G160" s="398">
        <f>IF(C160="RAID5",(((7-F160)*7448))+(4*(((7-F160)*5586))),(((6-F160)*7448))+(4*(((6-F160)*5586))))</f>
        <v>208544</v>
      </c>
      <c r="H160" s="399">
        <v>256</v>
      </c>
      <c r="I160" s="399">
        <v>2675</v>
      </c>
      <c r="J160" s="399">
        <v>640</v>
      </c>
      <c r="K160" s="399"/>
      <c r="L160" s="399"/>
      <c r="M160" s="400">
        <f ca="1">IF(MAX(IF($B$6="No",ROUNDUP($B$3/$I160,0),ROUNDUP(($B$3+$I160)/$I160,0)),IF($B$6="No",ROUNDUP($B$4/$G160,0),ROUNDUP(($B$4+$G160)/$G160,0)),ROUNDUP('BVMS checklist'!$H$217/$J160,0))&gt;1,'BVMS checklist'!$H$224,'BVMS checklist'!$H$217)</f>
        <v>0</v>
      </c>
      <c r="N160" s="398">
        <f t="shared" ca="1" si="633"/>
        <v>2</v>
      </c>
      <c r="O160" s="400">
        <f t="shared" ref="O160:O223" ca="1" si="660">N160</f>
        <v>2</v>
      </c>
      <c r="P160" s="400">
        <f t="shared" ca="1" si="624"/>
        <v>5350</v>
      </c>
      <c r="Q160" s="400">
        <f t="shared" ca="1" si="625"/>
        <v>0</v>
      </c>
      <c r="R160" s="398">
        <f t="shared" ca="1" si="626"/>
        <v>417088</v>
      </c>
      <c r="S160" s="401" t="str">
        <f t="shared" ca="1" si="634"/>
        <v/>
      </c>
      <c r="T160" s="398">
        <f t="shared" ca="1" si="635"/>
        <v>1280</v>
      </c>
      <c r="U160" s="400">
        <f ca="1">IF(MAX(IF($B$6="No",ROUNDUP($B$3/$I160,0),ROUNDUP(($B$3+$I160)/$I160,0)),IF($B$6="No",ROUNDUP($B$4/$G160,0),ROUNDUP(($B$4+$G160)/$G160,0)),ROUNDUP('BVMS checklist'!$H$217/$J160,0))&gt;1,'BVMS checklist'!$H$224,'BVMS checklist'!$H$217)+MAX(IF($B$6="No",ROUNDUP($B$3/$I160,0),ROUNDUP(($B$3+$I160)/$I160,0)),IF($B$6="No",ROUNDUP($B$4/$G160,0),ROUNDUP(($B$4+$G160)/$G160,0)))+$B$5</f>
        <v>1</v>
      </c>
      <c r="V160" s="400" t="b">
        <f t="shared" ca="1" si="627"/>
        <v>1</v>
      </c>
      <c r="W160" s="400" t="str">
        <f t="shared" ref="W160:W223" ca="1" si="661">IF(OR(AND($B$6="Yes",V160=TRUE),$B$6="No"),"Accepted","Not accepted")</f>
        <v>Accepted</v>
      </c>
      <c r="X160" s="398" t="str">
        <f t="shared" ca="1" si="636"/>
        <v>No</v>
      </c>
      <c r="Y160" s="398" t="str">
        <f t="shared" ca="1" si="637"/>
        <v/>
      </c>
      <c r="Z160" s="398" t="str">
        <f t="shared" ca="1" si="638"/>
        <v/>
      </c>
      <c r="AA160" s="398">
        <f t="shared" ref="AA160:AA223" ca="1" si="662">IF(Z160&lt;&gt;"",AA159+1,AA159)</f>
        <v>6</v>
      </c>
      <c r="AB160" s="398">
        <f t="shared" ca="1" si="628"/>
        <v>2</v>
      </c>
      <c r="AC160" s="398">
        <f t="shared" ca="1" si="629"/>
        <v>512</v>
      </c>
      <c r="AD160" s="398">
        <f t="shared" ref="AD160:AD223" ca="1" si="663">R160</f>
        <v>417088</v>
      </c>
      <c r="AE160" s="399">
        <f t="shared" si="616"/>
        <v>0</v>
      </c>
      <c r="AF160" s="399">
        <f t="shared" si="617"/>
        <v>0</v>
      </c>
      <c r="AG160" s="483" t="str">
        <f t="shared" ca="1" si="639"/>
        <v/>
      </c>
      <c r="AH160" s="400">
        <f ca="1">IF(MAX(IF($C$6="No",ROUNDUP($C$3/$I160,0),ROUNDUP(($C$3+$I160)/$I160,0)),IF($C$6="No",ROUNDUP($C$4/$G160,0),ROUNDUP(($C$4+$G160)/$G160,0)),ROUNDUP('BVMS checklist'!$H$217/$J160,0))&gt;1,'BVMS checklist'!$J$224,'BVMS checklist'!$J$217)</f>
        <v>0</v>
      </c>
      <c r="AI160" s="398">
        <f t="shared" ca="1" si="640"/>
        <v>2</v>
      </c>
      <c r="AJ160" s="400">
        <f t="shared" ref="AJ160:AJ223" ca="1" si="664">AI160</f>
        <v>2</v>
      </c>
      <c r="AK160" s="400">
        <f t="shared" ref="AK160:AK223" ca="1" si="665">AJ160*$I160</f>
        <v>5350</v>
      </c>
      <c r="AL160" s="400">
        <f t="shared" ref="AL160:AL223" ca="1" si="666">IFERROR($C$3/AI160,"")</f>
        <v>0</v>
      </c>
      <c r="AM160" s="398">
        <f t="shared" ref="AM160:AM223" ca="1" si="667">$G160*AI160</f>
        <v>417088</v>
      </c>
      <c r="AN160" s="401" t="str">
        <f t="shared" ca="1" si="641"/>
        <v/>
      </c>
      <c r="AO160" s="398">
        <f t="shared" ref="AO160:AO223" ca="1" si="668">AI160*$J160</f>
        <v>1280</v>
      </c>
      <c r="AP160" s="400">
        <f ca="1">IF(MAX(IF($C$6="No",ROUNDUP($C$3/$I160,0),ROUNDUP(($C$3+$I160)/$I160,0)),IF($C$6="No",ROUNDUP($C$4/$G160,0),ROUNDUP(($C$4+$G160)/$G160,0)),ROUNDUP('BVMS checklist'!$H$217/$J160,0))&gt;1,'BVMS checklist'!$J$224,'BVMS checklist'!$J$217)+MAX(IF($C$6="No",ROUNDUP($C$3/$I160,0),ROUNDUP(($C$3+$I160)/$I160,0)),IF($C$6="No",ROUNDUP($C$4/$G160,0),ROUNDUP(($C$4+$G160)/$G160,0)))+$C$5</f>
        <v>1</v>
      </c>
      <c r="AQ160" s="400" t="b">
        <f t="shared" ca="1" si="630"/>
        <v>1</v>
      </c>
      <c r="AR160" s="400" t="str">
        <f t="shared" ref="AR160:AR223" ca="1" si="669">IF(OR(AND($C$6="Yes",AQ160=TRUE),$C$6="No"),"Accepted","Not accepted")</f>
        <v>Accepted</v>
      </c>
      <c r="AS160" s="398" t="str">
        <f t="shared" ca="1" si="655"/>
        <v>No</v>
      </c>
      <c r="AT160" s="398" t="str">
        <f t="shared" ref="AT160:AT223" ca="1" si="670">IF(AV159=AV160,"",AV160)</f>
        <v/>
      </c>
      <c r="AU160" s="398" t="str">
        <f t="shared" ca="1" si="642"/>
        <v/>
      </c>
      <c r="AV160" s="398">
        <f t="shared" ca="1" si="643"/>
        <v>6</v>
      </c>
      <c r="AW160" s="398">
        <f t="shared" ref="AW160:AW223" ca="1" si="671">AI160</f>
        <v>2</v>
      </c>
      <c r="AX160" s="398">
        <f t="shared" ref="AX160:AX223" ca="1" si="672">AI160*$H160</f>
        <v>512</v>
      </c>
      <c r="AY160" s="398">
        <f t="shared" ref="AY160:AY223" ca="1" si="673">AM160</f>
        <v>417088</v>
      </c>
      <c r="AZ160" s="399">
        <f t="shared" si="618"/>
        <v>0</v>
      </c>
      <c r="BA160" s="399">
        <f t="shared" si="619"/>
        <v>0</v>
      </c>
      <c r="BB160" s="483" t="str">
        <f t="shared" ca="1" si="644"/>
        <v/>
      </c>
      <c r="BC160" s="400">
        <f ca="1">IF(MAX(IF($D$6="No",ROUNDUP($D$3/$I160,0),ROUNDUP(($D$3+$I160)/$I160,0)),IF($D$6="No",ROUNDUP($D$4/$G160,0),ROUNDUP(($D$4+$G160)/$G160,0)),ROUNDUP('BVMS checklist'!$H$217/$J160,0))&gt;1,'BVMS checklist'!$L$224,'BVMS checklist'!$L$217)</f>
        <v>0</v>
      </c>
      <c r="BD160" s="398">
        <f t="shared" ca="1" si="645"/>
        <v>2</v>
      </c>
      <c r="BE160" s="400">
        <f t="shared" ref="BE160:BE223" si="674">MAX(IF($D$6="No",ROUNDUP($D$3/$I160,0),ROUNDUP(($D$3+$I160)/$I160,0)),IF($D$6="No",ROUNDUP($D$4/$G160,0),ROUNDUP(($D$4+$G160)/$G160,0)))</f>
        <v>1</v>
      </c>
      <c r="BF160" s="400">
        <f t="shared" ref="BF160:BF223" si="675">BE160*$I160</f>
        <v>2675</v>
      </c>
      <c r="BG160" s="400">
        <f t="shared" ca="1" si="656"/>
        <v>0</v>
      </c>
      <c r="BH160" s="398">
        <f t="shared" ref="BH160:BH223" ca="1" si="676">$G160*BD160</f>
        <v>417088</v>
      </c>
      <c r="BI160" s="401" t="str">
        <f t="shared" ca="1" si="646"/>
        <v/>
      </c>
      <c r="BJ160" s="398">
        <f t="shared" ref="BJ160:BJ223" ca="1" si="677">BD160*$J160</f>
        <v>1280</v>
      </c>
      <c r="BK160" s="400">
        <f ca="1">IF(MAX(IF($D$6="No",ROUNDUP($D$3/$I160,0),ROUNDUP(($D$3+$I160)/$I160,0)),IF($D$6="No",ROUNDUP($D$4/$G160,0),ROUNDUP(($D$4+$G160)/$G160,0)),ROUNDUP('BVMS checklist'!$H$217/$J160,0))&gt;1,'BVMS checklist'!$L$224,'BVMS checklist'!$L$217)+MAX(IF($D$6="No",ROUNDUP($D$3/$I160,0),ROUNDUP(($D$3+$I160)/$I160,0)),IF($D$6="No",ROUNDUP($D$4/$G160,0),ROUNDUP(($D$4+$G160)/$G160,0)))+$D$5</f>
        <v>1</v>
      </c>
      <c r="BL160" s="400" t="b">
        <f t="shared" ca="1" si="631"/>
        <v>1</v>
      </c>
      <c r="BM160" s="400" t="str">
        <f t="shared" ref="BM160:BM223" ca="1" si="678">IF(OR(AND($D$6="Yes",BL160=TRUE),$D$6="No"),"Accepted","Not accepted")</f>
        <v>Accepted</v>
      </c>
      <c r="BN160" s="398" t="str">
        <f t="shared" ca="1" si="657"/>
        <v>No</v>
      </c>
      <c r="BO160" s="398" t="str">
        <f t="shared" ref="BO160:BO223" ca="1" si="679">IF(BQ159=BQ160,"",BQ160)</f>
        <v/>
      </c>
      <c r="BP160" s="398" t="str">
        <f t="shared" ca="1" si="647"/>
        <v/>
      </c>
      <c r="BQ160" s="398">
        <f t="shared" ca="1" si="648"/>
        <v>6</v>
      </c>
      <c r="BR160" s="398">
        <f t="shared" ref="BR160:BR223" ca="1" si="680">BD160</f>
        <v>2</v>
      </c>
      <c r="BS160" s="398">
        <f t="shared" ref="BS160:BS223" ca="1" si="681">BD160*$H160</f>
        <v>512</v>
      </c>
      <c r="BT160" s="398">
        <f t="shared" ref="BT160:BT223" ca="1" si="682">BH160</f>
        <v>417088</v>
      </c>
      <c r="BU160" s="399">
        <f t="shared" si="620"/>
        <v>0</v>
      </c>
      <c r="BV160" s="399">
        <f t="shared" si="621"/>
        <v>0</v>
      </c>
      <c r="BW160" s="483" t="str">
        <f t="shared" ca="1" si="649"/>
        <v/>
      </c>
      <c r="BX160" s="400">
        <f ca="1">IF(MAX(IF($E$6="No",ROUNDUP($E$3/$I160,0),ROUNDUP(($E$3+$I160)/$I160,0)),IF($E$6="No",ROUNDUP($E$4/$G160,0),ROUNDUP(($E$4+$G160)/$G160,0)),ROUNDUP('BVMS checklist'!$H$217/$J160,0))&gt;1,'BVMS checklist'!$N$224,'BVMS checklist'!$N$217)</f>
        <v>0</v>
      </c>
      <c r="BY160" s="398">
        <f t="shared" ca="1" si="650"/>
        <v>2</v>
      </c>
      <c r="BZ160" s="400">
        <f t="shared" ref="BZ160:BZ223" ca="1" si="683">BY160</f>
        <v>2</v>
      </c>
      <c r="CA160" s="400">
        <f t="shared" ref="CA160:CA223" ca="1" si="684">BZ160*$I160</f>
        <v>5350</v>
      </c>
      <c r="CB160" s="400">
        <f t="shared" ca="1" si="658"/>
        <v>0</v>
      </c>
      <c r="CC160" s="398">
        <f t="shared" ref="CC160:CC223" ca="1" si="685">$G160*BY160</f>
        <v>417088</v>
      </c>
      <c r="CD160" s="401" t="str">
        <f t="shared" ca="1" si="651"/>
        <v/>
      </c>
      <c r="CE160" s="398">
        <f t="shared" ref="CE160:CE223" ca="1" si="686">BY160*$J160</f>
        <v>1280</v>
      </c>
      <c r="CF160" s="400">
        <f ca="1">IF(MAX(IF($E$6="No",ROUNDUP($E$3/$I160,0),ROUNDUP(($E$3+$I160)/$I160,0)),IF($E$6="No",ROUNDUP($E$4/$G160,0),ROUNDUP(($E$4+$G160)/$G160,0)),ROUNDUP('BVMS checklist'!$H$217/$J160,0))&gt;1,'BVMS checklist'!$N$224,'BVMS checklist'!$N$217)+MAX(IF($E$6="No",ROUNDUP($E$3/$I160,0),ROUNDUP(($E$3+$I160)/$I160,0)),IF($E$6="No",ROUNDUP($E$4/$G160,0),ROUNDUP(($E$4+$G160)/$G160,0)))+$E$5</f>
        <v>1</v>
      </c>
      <c r="CG160" s="400" t="b">
        <f t="shared" ca="1" si="632"/>
        <v>1</v>
      </c>
      <c r="CH160" s="400" t="str">
        <f t="shared" ref="CH160:CH223" ca="1" si="687">IF(OR(AND($E$6="Yes",CG160=TRUE),$E$6="No"),"Accepted","Not accepted")</f>
        <v>Accepted</v>
      </c>
      <c r="CI160" s="398" t="str">
        <f t="shared" ca="1" si="659"/>
        <v>No</v>
      </c>
      <c r="CJ160" s="398" t="str">
        <f t="shared" ref="CJ160:CJ223" ca="1" si="688">IF(CL159=CL160,"",CL160)</f>
        <v/>
      </c>
      <c r="CK160" s="398" t="str">
        <f t="shared" ca="1" si="652"/>
        <v/>
      </c>
      <c r="CL160" s="398">
        <f t="shared" ca="1" si="653"/>
        <v>6</v>
      </c>
      <c r="CM160" s="398">
        <f t="shared" ref="CM160:CM223" ca="1" si="689">BY160</f>
        <v>2</v>
      </c>
      <c r="CN160" s="398">
        <f t="shared" ref="CN160:CN223" ca="1" si="690">BY160*$H160</f>
        <v>512</v>
      </c>
      <c r="CO160" s="398">
        <f t="shared" ref="CO160:CO223" ca="1" si="691">CC160</f>
        <v>417088</v>
      </c>
      <c r="CP160" s="399">
        <f t="shared" si="622"/>
        <v>0</v>
      </c>
      <c r="CQ160" s="399">
        <f t="shared" si="623"/>
        <v>0</v>
      </c>
      <c r="CR160" s="483" t="str">
        <f t="shared" ca="1" si="654"/>
        <v/>
      </c>
      <c r="CS160"/>
    </row>
    <row r="161" spans="1:97">
      <c r="A161" s="398" t="s">
        <v>487</v>
      </c>
      <c r="B161" s="398" t="s">
        <v>987</v>
      </c>
      <c r="C161" s="440" t="s">
        <v>891</v>
      </c>
      <c r="D161" s="398">
        <v>2</v>
      </c>
      <c r="E161" s="398"/>
      <c r="F161" s="440">
        <v>0</v>
      </c>
      <c r="G161" s="398">
        <f>IF(C161="RAID5",(((7-F161)*7448))+(1*(((15-F161)*5586))),(((6-F161)*7448))+(1*(((14-F161)*5586))))</f>
        <v>135926</v>
      </c>
      <c r="H161" s="399">
        <v>160</v>
      </c>
      <c r="I161" s="399">
        <v>1025</v>
      </c>
      <c r="J161" s="399">
        <v>256</v>
      </c>
      <c r="K161" s="399"/>
      <c r="L161" s="399"/>
      <c r="M161" s="400">
        <f ca="1">IF(MAX(IF($B$6="No",ROUNDUP($B$3/$I161,0),ROUNDUP(($B$3+$I161)/$I161,0)),IF($B$6="No",ROUNDUP($B$4/$G161,0),ROUNDUP(($B$4+$G161)/$G161,0)),ROUNDUP('BVMS checklist'!$H$217/$J161,0))&gt;1,'BVMS checklist'!$H$224,'BVMS checklist'!$H$217)</f>
        <v>0</v>
      </c>
      <c r="N161" s="398">
        <f t="shared" ca="1" si="633"/>
        <v>2</v>
      </c>
      <c r="O161" s="400">
        <f t="shared" ca="1" si="660"/>
        <v>2</v>
      </c>
      <c r="P161" s="400">
        <f t="shared" ca="1" si="624"/>
        <v>2050</v>
      </c>
      <c r="Q161" s="400">
        <f t="shared" ca="1" si="625"/>
        <v>0</v>
      </c>
      <c r="R161" s="398">
        <f t="shared" ca="1" si="626"/>
        <v>271852</v>
      </c>
      <c r="S161" s="401" t="str">
        <f t="shared" ca="1" si="634"/>
        <v/>
      </c>
      <c r="T161" s="398">
        <f t="shared" ca="1" si="635"/>
        <v>512</v>
      </c>
      <c r="U161" s="400">
        <f ca="1">IF(MAX(IF($B$6="No",ROUNDUP($B$3/$I161,0),ROUNDUP(($B$3+$I161)/$I161,0)),IF($B$6="No",ROUNDUP($B$4/$G161,0),ROUNDUP(($B$4+$G161)/$G161,0)),ROUNDUP('BVMS checklist'!$H$217/$J161,0))&gt;1,'BVMS checklist'!$H$224,'BVMS checklist'!$H$217)+MAX(IF($B$6="No",ROUNDUP($B$3/$I161,0),ROUNDUP(($B$3+$I161)/$I161,0)),IF($B$6="No",ROUNDUP($B$4/$G161,0),ROUNDUP(($B$4+$G161)/$G161,0)))+$B$5</f>
        <v>1</v>
      </c>
      <c r="V161" s="400" t="b">
        <f t="shared" ca="1" si="627"/>
        <v>1</v>
      </c>
      <c r="W161" s="400" t="str">
        <f t="shared" ca="1" si="661"/>
        <v>Accepted</v>
      </c>
      <c r="X161" s="398" t="str">
        <f t="shared" ca="1" si="636"/>
        <v>No</v>
      </c>
      <c r="Y161" s="398" t="str">
        <f t="shared" ca="1" si="637"/>
        <v/>
      </c>
      <c r="Z161" s="398" t="str">
        <f t="shared" ca="1" si="638"/>
        <v/>
      </c>
      <c r="AA161" s="398">
        <f t="shared" ca="1" si="662"/>
        <v>6</v>
      </c>
      <c r="AB161" s="398">
        <f t="shared" ca="1" si="628"/>
        <v>2</v>
      </c>
      <c r="AC161" s="398">
        <f t="shared" ca="1" si="629"/>
        <v>320</v>
      </c>
      <c r="AD161" s="398">
        <f t="shared" ca="1" si="663"/>
        <v>271852</v>
      </c>
      <c r="AE161" s="399">
        <f t="shared" si="616"/>
        <v>0</v>
      </c>
      <c r="AF161" s="399">
        <f t="shared" si="617"/>
        <v>0</v>
      </c>
      <c r="AG161" s="483" t="str">
        <f t="shared" ca="1" si="639"/>
        <v/>
      </c>
      <c r="AH161" s="400">
        <f ca="1">IF(MAX(IF($C$6="No",ROUNDUP($C$3/$I161,0),ROUNDUP(($C$3+$I161)/$I161,0)),IF($C$6="No",ROUNDUP($C$4/$G161,0),ROUNDUP(($C$4+$G161)/$G161,0)),ROUNDUP('BVMS checklist'!$H$217/$J161,0))&gt;1,'BVMS checklist'!$J$224,'BVMS checklist'!$J$217)</f>
        <v>0</v>
      </c>
      <c r="AI161" s="398">
        <f t="shared" ca="1" si="640"/>
        <v>2</v>
      </c>
      <c r="AJ161" s="400">
        <f t="shared" ca="1" si="664"/>
        <v>2</v>
      </c>
      <c r="AK161" s="400">
        <f t="shared" ca="1" si="665"/>
        <v>2050</v>
      </c>
      <c r="AL161" s="400">
        <f t="shared" ca="1" si="666"/>
        <v>0</v>
      </c>
      <c r="AM161" s="398">
        <f t="shared" ca="1" si="667"/>
        <v>271852</v>
      </c>
      <c r="AN161" s="401" t="str">
        <f t="shared" ca="1" si="641"/>
        <v/>
      </c>
      <c r="AO161" s="398">
        <f t="shared" ca="1" si="668"/>
        <v>512</v>
      </c>
      <c r="AP161" s="400">
        <f ca="1">IF(MAX(IF($C$6="No",ROUNDUP($C$3/$I161,0),ROUNDUP(($C$3+$I161)/$I161,0)),IF($C$6="No",ROUNDUP($C$4/$G161,0),ROUNDUP(($C$4+$G161)/$G161,0)),ROUNDUP('BVMS checklist'!$H$217/$J161,0))&gt;1,'BVMS checklist'!$J$224,'BVMS checklist'!$J$217)+MAX(IF($C$6="No",ROUNDUP($C$3/$I161,0),ROUNDUP(($C$3+$I161)/$I161,0)),IF($C$6="No",ROUNDUP($C$4/$G161,0),ROUNDUP(($C$4+$G161)/$G161,0)))+$C$5</f>
        <v>1</v>
      </c>
      <c r="AQ161" s="400" t="b">
        <f t="shared" ca="1" si="630"/>
        <v>1</v>
      </c>
      <c r="AR161" s="400" t="str">
        <f t="shared" ca="1" si="669"/>
        <v>Accepted</v>
      </c>
      <c r="AS161" s="398" t="str">
        <f t="shared" ca="1" si="655"/>
        <v>No</v>
      </c>
      <c r="AT161" s="398" t="str">
        <f t="shared" ca="1" si="670"/>
        <v/>
      </c>
      <c r="AU161" s="398" t="str">
        <f t="shared" ca="1" si="642"/>
        <v/>
      </c>
      <c r="AV161" s="398">
        <f t="shared" ca="1" si="643"/>
        <v>6</v>
      </c>
      <c r="AW161" s="398">
        <f t="shared" ca="1" si="671"/>
        <v>2</v>
      </c>
      <c r="AX161" s="398">
        <f t="shared" ca="1" si="672"/>
        <v>320</v>
      </c>
      <c r="AY161" s="398">
        <f t="shared" ca="1" si="673"/>
        <v>271852</v>
      </c>
      <c r="AZ161" s="399">
        <f t="shared" si="618"/>
        <v>0</v>
      </c>
      <c r="BA161" s="399">
        <f t="shared" si="619"/>
        <v>0</v>
      </c>
      <c r="BB161" s="483" t="str">
        <f t="shared" ca="1" si="644"/>
        <v/>
      </c>
      <c r="BC161" s="400">
        <f ca="1">IF(MAX(IF($D$6="No",ROUNDUP($D$3/$I161,0),ROUNDUP(($D$3+$I161)/$I161,0)),IF($D$6="No",ROUNDUP($D$4/$G161,0),ROUNDUP(($D$4+$G161)/$G161,0)),ROUNDUP('BVMS checklist'!$H$217/$J161,0))&gt;1,'BVMS checklist'!$L$224,'BVMS checklist'!$L$217)</f>
        <v>0</v>
      </c>
      <c r="BD161" s="398">
        <f t="shared" ca="1" si="645"/>
        <v>2</v>
      </c>
      <c r="BE161" s="400">
        <f t="shared" si="674"/>
        <v>1</v>
      </c>
      <c r="BF161" s="400">
        <f t="shared" si="675"/>
        <v>1025</v>
      </c>
      <c r="BG161" s="400">
        <f t="shared" ca="1" si="656"/>
        <v>0</v>
      </c>
      <c r="BH161" s="398">
        <f t="shared" ca="1" si="676"/>
        <v>271852</v>
      </c>
      <c r="BI161" s="401" t="str">
        <f t="shared" ca="1" si="646"/>
        <v/>
      </c>
      <c r="BJ161" s="398">
        <f t="shared" ca="1" si="677"/>
        <v>512</v>
      </c>
      <c r="BK161" s="400">
        <f ca="1">IF(MAX(IF($D$6="No",ROUNDUP($D$3/$I161,0),ROUNDUP(($D$3+$I161)/$I161,0)),IF($D$6="No",ROUNDUP($D$4/$G161,0),ROUNDUP(($D$4+$G161)/$G161,0)),ROUNDUP('BVMS checklist'!$H$217/$J161,0))&gt;1,'BVMS checklist'!$L$224,'BVMS checklist'!$L$217)+MAX(IF($D$6="No",ROUNDUP($D$3/$I161,0),ROUNDUP(($D$3+$I161)/$I161,0)),IF($D$6="No",ROUNDUP($D$4/$G161,0),ROUNDUP(($D$4+$G161)/$G161,0)))+$D$5</f>
        <v>1</v>
      </c>
      <c r="BL161" s="400" t="b">
        <f t="shared" ca="1" si="631"/>
        <v>1</v>
      </c>
      <c r="BM161" s="400" t="str">
        <f t="shared" ca="1" si="678"/>
        <v>Accepted</v>
      </c>
      <c r="BN161" s="398" t="str">
        <f t="shared" ca="1" si="657"/>
        <v>No</v>
      </c>
      <c r="BO161" s="398" t="str">
        <f t="shared" ca="1" si="679"/>
        <v/>
      </c>
      <c r="BP161" s="398" t="str">
        <f t="shared" ca="1" si="647"/>
        <v/>
      </c>
      <c r="BQ161" s="398">
        <f t="shared" ca="1" si="648"/>
        <v>6</v>
      </c>
      <c r="BR161" s="398">
        <f t="shared" ca="1" si="680"/>
        <v>2</v>
      </c>
      <c r="BS161" s="398">
        <f t="shared" ca="1" si="681"/>
        <v>320</v>
      </c>
      <c r="BT161" s="398">
        <f t="shared" ca="1" si="682"/>
        <v>271852</v>
      </c>
      <c r="BU161" s="399">
        <f t="shared" si="620"/>
        <v>0</v>
      </c>
      <c r="BV161" s="399">
        <f t="shared" si="621"/>
        <v>0</v>
      </c>
      <c r="BW161" s="483" t="str">
        <f t="shared" ca="1" si="649"/>
        <v/>
      </c>
      <c r="BX161" s="400">
        <f ca="1">IF(MAX(IF($E$6="No",ROUNDUP($E$3/$I161,0),ROUNDUP(($E$3+$I161)/$I161,0)),IF($E$6="No",ROUNDUP($E$4/$G161,0),ROUNDUP(($E$4+$G161)/$G161,0)),ROUNDUP('BVMS checklist'!$H$217/$J161,0))&gt;1,'BVMS checklist'!$N$224,'BVMS checklist'!$N$217)</f>
        <v>0</v>
      </c>
      <c r="BY161" s="398">
        <f t="shared" ca="1" si="650"/>
        <v>2</v>
      </c>
      <c r="BZ161" s="400">
        <f t="shared" ca="1" si="683"/>
        <v>2</v>
      </c>
      <c r="CA161" s="400">
        <f t="shared" ca="1" si="684"/>
        <v>2050</v>
      </c>
      <c r="CB161" s="400">
        <f t="shared" ca="1" si="658"/>
        <v>0</v>
      </c>
      <c r="CC161" s="398">
        <f t="shared" ca="1" si="685"/>
        <v>271852</v>
      </c>
      <c r="CD161" s="401" t="str">
        <f t="shared" ca="1" si="651"/>
        <v/>
      </c>
      <c r="CE161" s="398">
        <f t="shared" ca="1" si="686"/>
        <v>512</v>
      </c>
      <c r="CF161" s="400">
        <f ca="1">IF(MAX(IF($E$6="No",ROUNDUP($E$3/$I161,0),ROUNDUP(($E$3+$I161)/$I161,0)),IF($E$6="No",ROUNDUP($E$4/$G161,0),ROUNDUP(($E$4+$G161)/$G161,0)),ROUNDUP('BVMS checklist'!$H$217/$J161,0))&gt;1,'BVMS checklist'!$N$224,'BVMS checklist'!$N$217)+MAX(IF($E$6="No",ROUNDUP($E$3/$I161,0),ROUNDUP(($E$3+$I161)/$I161,0)),IF($E$6="No",ROUNDUP($E$4/$G161,0),ROUNDUP(($E$4+$G161)/$G161,0)))+$E$5</f>
        <v>1</v>
      </c>
      <c r="CG161" s="400" t="b">
        <f t="shared" ca="1" si="632"/>
        <v>1</v>
      </c>
      <c r="CH161" s="400" t="str">
        <f t="shared" ca="1" si="687"/>
        <v>Accepted</v>
      </c>
      <c r="CI161" s="398" t="str">
        <f t="shared" ca="1" si="659"/>
        <v>No</v>
      </c>
      <c r="CJ161" s="398" t="str">
        <f t="shared" ca="1" si="688"/>
        <v/>
      </c>
      <c r="CK161" s="398" t="str">
        <f t="shared" ca="1" si="652"/>
        <v/>
      </c>
      <c r="CL161" s="398">
        <f t="shared" ca="1" si="653"/>
        <v>6</v>
      </c>
      <c r="CM161" s="398">
        <f t="shared" ca="1" si="689"/>
        <v>2</v>
      </c>
      <c r="CN161" s="398">
        <f t="shared" ca="1" si="690"/>
        <v>320</v>
      </c>
      <c r="CO161" s="398">
        <f t="shared" ca="1" si="691"/>
        <v>271852</v>
      </c>
      <c r="CP161" s="399">
        <f t="shared" si="622"/>
        <v>0</v>
      </c>
      <c r="CQ161" s="399">
        <f t="shared" si="623"/>
        <v>0</v>
      </c>
      <c r="CR161" s="483" t="str">
        <f t="shared" ca="1" si="654"/>
        <v/>
      </c>
      <c r="CS161"/>
    </row>
    <row r="162" spans="1:97">
      <c r="A162" s="398" t="s">
        <v>488</v>
      </c>
      <c r="B162" s="398" t="s">
        <v>987</v>
      </c>
      <c r="C162" s="440" t="s">
        <v>891</v>
      </c>
      <c r="D162" s="398">
        <v>3</v>
      </c>
      <c r="E162" s="398"/>
      <c r="F162" s="440">
        <v>0</v>
      </c>
      <c r="G162" s="398">
        <f>IF(C162="RAID5",(((7-F162)*7448))+(2*(((15-F162)*5586))),(((6-F162)*7448))+(2*(((14-F162)*5586))))</f>
        <v>219716</v>
      </c>
      <c r="H162" s="399">
        <v>256</v>
      </c>
      <c r="I162" s="399">
        <v>1575</v>
      </c>
      <c r="J162" s="399">
        <v>384</v>
      </c>
      <c r="K162" s="399"/>
      <c r="L162" s="399"/>
      <c r="M162" s="400">
        <f ca="1">IF(MAX(IF($B$6="No",ROUNDUP($B$3/$I162,0),ROUNDUP(($B$3+$I162)/$I162,0)),IF($B$6="No",ROUNDUP($B$4/$G162,0),ROUNDUP(($B$4+$G162)/$G162,0)),ROUNDUP('BVMS checklist'!$H$217/$J162,0))&gt;1,'BVMS checklist'!$H$224,'BVMS checklist'!$H$217)</f>
        <v>0</v>
      </c>
      <c r="N162" s="398">
        <f t="shared" ca="1" si="633"/>
        <v>2</v>
      </c>
      <c r="O162" s="400">
        <f t="shared" ca="1" si="660"/>
        <v>2</v>
      </c>
      <c r="P162" s="400">
        <f t="shared" ca="1" si="624"/>
        <v>3150</v>
      </c>
      <c r="Q162" s="400">
        <f t="shared" ca="1" si="625"/>
        <v>0</v>
      </c>
      <c r="R162" s="398">
        <f t="shared" ca="1" si="626"/>
        <v>439432</v>
      </c>
      <c r="S162" s="401" t="str">
        <f t="shared" ca="1" si="634"/>
        <v/>
      </c>
      <c r="T162" s="398">
        <f t="shared" ca="1" si="635"/>
        <v>768</v>
      </c>
      <c r="U162" s="400">
        <f ca="1">IF(MAX(IF($B$6="No",ROUNDUP($B$3/$I162,0),ROUNDUP(($B$3+$I162)/$I162,0)),IF($B$6="No",ROUNDUP($B$4/$G162,0),ROUNDUP(($B$4+$G162)/$G162,0)),ROUNDUP('BVMS checklist'!$H$217/$J162,0))&gt;1,'BVMS checklist'!$H$224,'BVMS checklist'!$H$217)+MAX(IF($B$6="No",ROUNDUP($B$3/$I162,0),ROUNDUP(($B$3+$I162)/$I162,0)),IF($B$6="No",ROUNDUP($B$4/$G162,0),ROUNDUP(($B$4+$G162)/$G162,0)))+$B$5</f>
        <v>1</v>
      </c>
      <c r="V162" s="400" t="b">
        <f t="shared" ca="1" si="627"/>
        <v>1</v>
      </c>
      <c r="W162" s="400" t="str">
        <f t="shared" ca="1" si="661"/>
        <v>Accepted</v>
      </c>
      <c r="X162" s="398" t="str">
        <f t="shared" ca="1" si="636"/>
        <v>No</v>
      </c>
      <c r="Y162" s="398" t="str">
        <f t="shared" ca="1" si="637"/>
        <v/>
      </c>
      <c r="Z162" s="398" t="str">
        <f t="shared" ca="1" si="638"/>
        <v/>
      </c>
      <c r="AA162" s="398">
        <f t="shared" ca="1" si="662"/>
        <v>6</v>
      </c>
      <c r="AB162" s="398">
        <f t="shared" ca="1" si="628"/>
        <v>2</v>
      </c>
      <c r="AC162" s="398">
        <f t="shared" ca="1" si="629"/>
        <v>512</v>
      </c>
      <c r="AD162" s="398">
        <f t="shared" ca="1" si="663"/>
        <v>439432</v>
      </c>
      <c r="AE162" s="399">
        <f t="shared" si="616"/>
        <v>0</v>
      </c>
      <c r="AF162" s="399">
        <f t="shared" si="617"/>
        <v>0</v>
      </c>
      <c r="AG162" s="483" t="str">
        <f t="shared" ca="1" si="639"/>
        <v/>
      </c>
      <c r="AH162" s="400">
        <f ca="1">IF(MAX(IF($C$6="No",ROUNDUP($C$3/$I162,0),ROUNDUP(($C$3+$I162)/$I162,0)),IF($C$6="No",ROUNDUP($C$4/$G162,0),ROUNDUP(($C$4+$G162)/$G162,0)),ROUNDUP('BVMS checklist'!$H$217/$J162,0))&gt;1,'BVMS checklist'!$J$224,'BVMS checklist'!$J$217)</f>
        <v>0</v>
      </c>
      <c r="AI162" s="398">
        <f t="shared" ca="1" si="640"/>
        <v>2</v>
      </c>
      <c r="AJ162" s="400">
        <f t="shared" ca="1" si="664"/>
        <v>2</v>
      </c>
      <c r="AK162" s="400">
        <f t="shared" ca="1" si="665"/>
        <v>3150</v>
      </c>
      <c r="AL162" s="400">
        <f t="shared" ca="1" si="666"/>
        <v>0</v>
      </c>
      <c r="AM162" s="398">
        <f t="shared" ca="1" si="667"/>
        <v>439432</v>
      </c>
      <c r="AN162" s="401" t="str">
        <f t="shared" ca="1" si="641"/>
        <v/>
      </c>
      <c r="AO162" s="398">
        <f t="shared" ca="1" si="668"/>
        <v>768</v>
      </c>
      <c r="AP162" s="400">
        <f ca="1">IF(MAX(IF($C$6="No",ROUNDUP($C$3/$I162,0),ROUNDUP(($C$3+$I162)/$I162,0)),IF($C$6="No",ROUNDUP($C$4/$G162,0),ROUNDUP(($C$4+$G162)/$G162,0)),ROUNDUP('BVMS checklist'!$H$217/$J162,0))&gt;1,'BVMS checklist'!$J$224,'BVMS checklist'!$J$217)+MAX(IF($C$6="No",ROUNDUP($C$3/$I162,0),ROUNDUP(($C$3+$I162)/$I162,0)),IF($C$6="No",ROUNDUP($C$4/$G162,0),ROUNDUP(($C$4+$G162)/$G162,0)))+$C$5</f>
        <v>1</v>
      </c>
      <c r="AQ162" s="400" t="b">
        <f t="shared" ca="1" si="630"/>
        <v>1</v>
      </c>
      <c r="AR162" s="400" t="str">
        <f t="shared" ca="1" si="669"/>
        <v>Accepted</v>
      </c>
      <c r="AS162" s="398" t="str">
        <f t="shared" ca="1" si="655"/>
        <v>No</v>
      </c>
      <c r="AT162" s="398" t="str">
        <f t="shared" ca="1" si="670"/>
        <v/>
      </c>
      <c r="AU162" s="398" t="str">
        <f t="shared" ca="1" si="642"/>
        <v/>
      </c>
      <c r="AV162" s="398">
        <f t="shared" ca="1" si="643"/>
        <v>6</v>
      </c>
      <c r="AW162" s="398">
        <f t="shared" ca="1" si="671"/>
        <v>2</v>
      </c>
      <c r="AX162" s="398">
        <f t="shared" ca="1" si="672"/>
        <v>512</v>
      </c>
      <c r="AY162" s="398">
        <f t="shared" ca="1" si="673"/>
        <v>439432</v>
      </c>
      <c r="AZ162" s="399">
        <f t="shared" si="618"/>
        <v>0</v>
      </c>
      <c r="BA162" s="399">
        <f t="shared" si="619"/>
        <v>0</v>
      </c>
      <c r="BB162" s="483" t="str">
        <f t="shared" ca="1" si="644"/>
        <v/>
      </c>
      <c r="BC162" s="400">
        <f ca="1">IF(MAX(IF($D$6="No",ROUNDUP($D$3/$I162,0),ROUNDUP(($D$3+$I162)/$I162,0)),IF($D$6="No",ROUNDUP($D$4/$G162,0),ROUNDUP(($D$4+$G162)/$G162,0)),ROUNDUP('BVMS checklist'!$H$217/$J162,0))&gt;1,'BVMS checklist'!$L$224,'BVMS checklist'!$L$217)</f>
        <v>0</v>
      </c>
      <c r="BD162" s="398">
        <f t="shared" ca="1" si="645"/>
        <v>2</v>
      </c>
      <c r="BE162" s="400">
        <f t="shared" si="674"/>
        <v>1</v>
      </c>
      <c r="BF162" s="400">
        <f t="shared" si="675"/>
        <v>1575</v>
      </c>
      <c r="BG162" s="400">
        <f t="shared" ca="1" si="656"/>
        <v>0</v>
      </c>
      <c r="BH162" s="398">
        <f t="shared" ca="1" si="676"/>
        <v>439432</v>
      </c>
      <c r="BI162" s="401" t="str">
        <f t="shared" ca="1" si="646"/>
        <v/>
      </c>
      <c r="BJ162" s="398">
        <f t="shared" ca="1" si="677"/>
        <v>768</v>
      </c>
      <c r="BK162" s="400">
        <f ca="1">IF(MAX(IF($D$6="No",ROUNDUP($D$3/$I162,0),ROUNDUP(($D$3+$I162)/$I162,0)),IF($D$6="No",ROUNDUP($D$4/$G162,0),ROUNDUP(($D$4+$G162)/$G162,0)),ROUNDUP('BVMS checklist'!$H$217/$J162,0))&gt;1,'BVMS checklist'!$L$224,'BVMS checklist'!$L$217)+MAX(IF($D$6="No",ROUNDUP($D$3/$I162,0),ROUNDUP(($D$3+$I162)/$I162,0)),IF($D$6="No",ROUNDUP($D$4/$G162,0),ROUNDUP(($D$4+$G162)/$G162,0)))+$D$5</f>
        <v>1</v>
      </c>
      <c r="BL162" s="400" t="b">
        <f t="shared" ca="1" si="631"/>
        <v>1</v>
      </c>
      <c r="BM162" s="400" t="str">
        <f t="shared" ca="1" si="678"/>
        <v>Accepted</v>
      </c>
      <c r="BN162" s="398" t="str">
        <f t="shared" ca="1" si="657"/>
        <v>No</v>
      </c>
      <c r="BO162" s="398" t="str">
        <f t="shared" ca="1" si="679"/>
        <v/>
      </c>
      <c r="BP162" s="398" t="str">
        <f t="shared" ca="1" si="647"/>
        <v/>
      </c>
      <c r="BQ162" s="398">
        <f t="shared" ca="1" si="648"/>
        <v>6</v>
      </c>
      <c r="BR162" s="398">
        <f t="shared" ca="1" si="680"/>
        <v>2</v>
      </c>
      <c r="BS162" s="398">
        <f t="shared" ca="1" si="681"/>
        <v>512</v>
      </c>
      <c r="BT162" s="398">
        <f t="shared" ca="1" si="682"/>
        <v>439432</v>
      </c>
      <c r="BU162" s="399">
        <f t="shared" si="620"/>
        <v>0</v>
      </c>
      <c r="BV162" s="399">
        <f t="shared" si="621"/>
        <v>0</v>
      </c>
      <c r="BW162" s="483" t="str">
        <f t="shared" ca="1" si="649"/>
        <v/>
      </c>
      <c r="BX162" s="400">
        <f ca="1">IF(MAX(IF($E$6="No",ROUNDUP($E$3/$I162,0),ROUNDUP(($E$3+$I162)/$I162,0)),IF($E$6="No",ROUNDUP($E$4/$G162,0),ROUNDUP(($E$4+$G162)/$G162,0)),ROUNDUP('BVMS checklist'!$H$217/$J162,0))&gt;1,'BVMS checklist'!$N$224,'BVMS checklist'!$N$217)</f>
        <v>0</v>
      </c>
      <c r="BY162" s="398">
        <f t="shared" ca="1" si="650"/>
        <v>2</v>
      </c>
      <c r="BZ162" s="400">
        <f t="shared" ca="1" si="683"/>
        <v>2</v>
      </c>
      <c r="CA162" s="400">
        <f t="shared" ca="1" si="684"/>
        <v>3150</v>
      </c>
      <c r="CB162" s="400">
        <f t="shared" ca="1" si="658"/>
        <v>0</v>
      </c>
      <c r="CC162" s="398">
        <f t="shared" ca="1" si="685"/>
        <v>439432</v>
      </c>
      <c r="CD162" s="401" t="str">
        <f t="shared" ca="1" si="651"/>
        <v/>
      </c>
      <c r="CE162" s="398">
        <f t="shared" ca="1" si="686"/>
        <v>768</v>
      </c>
      <c r="CF162" s="400">
        <f ca="1">IF(MAX(IF($E$6="No",ROUNDUP($E$3/$I162,0),ROUNDUP(($E$3+$I162)/$I162,0)),IF($E$6="No",ROUNDUP($E$4/$G162,0),ROUNDUP(($E$4+$G162)/$G162,0)),ROUNDUP('BVMS checklist'!$H$217/$J162,0))&gt;1,'BVMS checklist'!$N$224,'BVMS checklist'!$N$217)+MAX(IF($E$6="No",ROUNDUP($E$3/$I162,0),ROUNDUP(($E$3+$I162)/$I162,0)),IF($E$6="No",ROUNDUP($E$4/$G162,0),ROUNDUP(($E$4+$G162)/$G162,0)))+$E$5</f>
        <v>1</v>
      </c>
      <c r="CG162" s="400" t="b">
        <f t="shared" ca="1" si="632"/>
        <v>1</v>
      </c>
      <c r="CH162" s="400" t="str">
        <f t="shared" ca="1" si="687"/>
        <v>Accepted</v>
      </c>
      <c r="CI162" s="398" t="str">
        <f t="shared" ca="1" si="659"/>
        <v>No</v>
      </c>
      <c r="CJ162" s="398" t="str">
        <f t="shared" ca="1" si="688"/>
        <v/>
      </c>
      <c r="CK162" s="398" t="str">
        <f t="shared" ca="1" si="652"/>
        <v/>
      </c>
      <c r="CL162" s="398">
        <f t="shared" ca="1" si="653"/>
        <v>6</v>
      </c>
      <c r="CM162" s="398">
        <f t="shared" ca="1" si="689"/>
        <v>2</v>
      </c>
      <c r="CN162" s="398">
        <f t="shared" ca="1" si="690"/>
        <v>512</v>
      </c>
      <c r="CO162" s="398">
        <f t="shared" ca="1" si="691"/>
        <v>439432</v>
      </c>
      <c r="CP162" s="399">
        <f t="shared" si="622"/>
        <v>0</v>
      </c>
      <c r="CQ162" s="399">
        <f t="shared" si="623"/>
        <v>0</v>
      </c>
      <c r="CR162" s="483" t="str">
        <f t="shared" ca="1" si="654"/>
        <v/>
      </c>
      <c r="CS162"/>
    </row>
    <row r="163" spans="1:97">
      <c r="A163" s="398" t="s">
        <v>489</v>
      </c>
      <c r="B163" s="398" t="s">
        <v>987</v>
      </c>
      <c r="C163" s="440" t="s">
        <v>891</v>
      </c>
      <c r="D163" s="398">
        <v>4</v>
      </c>
      <c r="E163" s="398"/>
      <c r="F163" s="440">
        <v>0</v>
      </c>
      <c r="G163" s="398">
        <f>IF(C163="RAID5",(((7-F163)*7448))+(3*(((15-F163)*5586))),(((6-F163)*7448))+(3*(((14-F163)*5586))))</f>
        <v>303506</v>
      </c>
      <c r="H163" s="399">
        <v>352</v>
      </c>
      <c r="I163" s="399">
        <v>2125</v>
      </c>
      <c r="J163" s="399">
        <v>512</v>
      </c>
      <c r="K163" s="399"/>
      <c r="L163" s="399"/>
      <c r="M163" s="400">
        <f ca="1">IF(MAX(IF($B$6="No",ROUNDUP($B$3/$I163,0),ROUNDUP(($B$3+$I163)/$I163,0)),IF($B$6="No",ROUNDUP($B$4/$G163,0),ROUNDUP(($B$4+$G163)/$G163,0)),ROUNDUP('BVMS checklist'!$H$217/$J163,0))&gt;1,'BVMS checklist'!$H$224,'BVMS checklist'!$H$217)</f>
        <v>0</v>
      </c>
      <c r="N163" s="398">
        <f t="shared" ca="1" si="633"/>
        <v>2</v>
      </c>
      <c r="O163" s="400">
        <f t="shared" ca="1" si="660"/>
        <v>2</v>
      </c>
      <c r="P163" s="400">
        <f t="shared" ca="1" si="624"/>
        <v>4250</v>
      </c>
      <c r="Q163" s="400">
        <f t="shared" ca="1" si="625"/>
        <v>0</v>
      </c>
      <c r="R163" s="398">
        <f t="shared" ca="1" si="626"/>
        <v>607012</v>
      </c>
      <c r="S163" s="401" t="str">
        <f t="shared" ca="1" si="634"/>
        <v/>
      </c>
      <c r="T163" s="398">
        <f t="shared" ca="1" si="635"/>
        <v>1024</v>
      </c>
      <c r="U163" s="400">
        <f ca="1">IF(MAX(IF($B$6="No",ROUNDUP($B$3/$I163,0),ROUNDUP(($B$3+$I163)/$I163,0)),IF($B$6="No",ROUNDUP($B$4/$G163,0),ROUNDUP(($B$4+$G163)/$G163,0)),ROUNDUP('BVMS checklist'!$H$217/$J163,0))&gt;1,'BVMS checklist'!$H$224,'BVMS checklist'!$H$217)+MAX(IF($B$6="No",ROUNDUP($B$3/$I163,0),ROUNDUP(($B$3+$I163)/$I163,0)),IF($B$6="No",ROUNDUP($B$4/$G163,0),ROUNDUP(($B$4+$G163)/$G163,0)))+$B$5</f>
        <v>1</v>
      </c>
      <c r="V163" s="400" t="b">
        <f t="shared" ca="1" si="627"/>
        <v>1</v>
      </c>
      <c r="W163" s="400" t="str">
        <f t="shared" ca="1" si="661"/>
        <v>Accepted</v>
      </c>
      <c r="X163" s="398" t="str">
        <f t="shared" ca="1" si="636"/>
        <v>No</v>
      </c>
      <c r="Y163" s="398" t="str">
        <f t="shared" ca="1" si="637"/>
        <v/>
      </c>
      <c r="Z163" s="398" t="str">
        <f t="shared" ca="1" si="638"/>
        <v/>
      </c>
      <c r="AA163" s="398">
        <f t="shared" ca="1" si="662"/>
        <v>6</v>
      </c>
      <c r="AB163" s="398">
        <f t="shared" ca="1" si="628"/>
        <v>2</v>
      </c>
      <c r="AC163" s="398">
        <f t="shared" ca="1" si="629"/>
        <v>704</v>
      </c>
      <c r="AD163" s="398">
        <f t="shared" ca="1" si="663"/>
        <v>607012</v>
      </c>
      <c r="AE163" s="399">
        <f t="shared" si="616"/>
        <v>0</v>
      </c>
      <c r="AF163" s="399">
        <f t="shared" si="617"/>
        <v>0</v>
      </c>
      <c r="AG163" s="483" t="str">
        <f t="shared" ca="1" si="639"/>
        <v/>
      </c>
      <c r="AH163" s="400">
        <f ca="1">IF(MAX(IF($C$6="No",ROUNDUP($C$3/$I163,0),ROUNDUP(($C$3+$I163)/$I163,0)),IF($C$6="No",ROUNDUP($C$4/$G163,0),ROUNDUP(($C$4+$G163)/$G163,0)),ROUNDUP('BVMS checklist'!$H$217/$J163,0))&gt;1,'BVMS checklist'!$J$224,'BVMS checklist'!$J$217)</f>
        <v>0</v>
      </c>
      <c r="AI163" s="398">
        <f t="shared" ca="1" si="640"/>
        <v>2</v>
      </c>
      <c r="AJ163" s="400">
        <f t="shared" ca="1" si="664"/>
        <v>2</v>
      </c>
      <c r="AK163" s="400">
        <f t="shared" ca="1" si="665"/>
        <v>4250</v>
      </c>
      <c r="AL163" s="400">
        <f t="shared" ca="1" si="666"/>
        <v>0</v>
      </c>
      <c r="AM163" s="398">
        <f t="shared" ca="1" si="667"/>
        <v>607012</v>
      </c>
      <c r="AN163" s="401" t="str">
        <f t="shared" ca="1" si="641"/>
        <v/>
      </c>
      <c r="AO163" s="398">
        <f t="shared" ca="1" si="668"/>
        <v>1024</v>
      </c>
      <c r="AP163" s="400">
        <f ca="1">IF(MAX(IF($C$6="No",ROUNDUP($C$3/$I163,0),ROUNDUP(($C$3+$I163)/$I163,0)),IF($C$6="No",ROUNDUP($C$4/$G163,0),ROUNDUP(($C$4+$G163)/$G163,0)),ROUNDUP('BVMS checklist'!$H$217/$J163,0))&gt;1,'BVMS checklist'!$J$224,'BVMS checklist'!$J$217)+MAX(IF($C$6="No",ROUNDUP($C$3/$I163,0),ROUNDUP(($C$3+$I163)/$I163,0)),IF($C$6="No",ROUNDUP($C$4/$G163,0),ROUNDUP(($C$4+$G163)/$G163,0)))+$C$5</f>
        <v>1</v>
      </c>
      <c r="AQ163" s="400" t="b">
        <f t="shared" ca="1" si="630"/>
        <v>1</v>
      </c>
      <c r="AR163" s="400" t="str">
        <f t="shared" ca="1" si="669"/>
        <v>Accepted</v>
      </c>
      <c r="AS163" s="398" t="str">
        <f t="shared" ca="1" si="655"/>
        <v>No</v>
      </c>
      <c r="AT163" s="398" t="str">
        <f t="shared" ca="1" si="670"/>
        <v/>
      </c>
      <c r="AU163" s="398" t="str">
        <f t="shared" ca="1" si="642"/>
        <v/>
      </c>
      <c r="AV163" s="398">
        <f t="shared" ca="1" si="643"/>
        <v>6</v>
      </c>
      <c r="AW163" s="398">
        <f t="shared" ca="1" si="671"/>
        <v>2</v>
      </c>
      <c r="AX163" s="398">
        <f t="shared" ca="1" si="672"/>
        <v>704</v>
      </c>
      <c r="AY163" s="398">
        <f t="shared" ca="1" si="673"/>
        <v>607012</v>
      </c>
      <c r="AZ163" s="399">
        <f t="shared" si="618"/>
        <v>0</v>
      </c>
      <c r="BA163" s="399">
        <f t="shared" si="619"/>
        <v>0</v>
      </c>
      <c r="BB163" s="483" t="str">
        <f t="shared" ca="1" si="644"/>
        <v/>
      </c>
      <c r="BC163" s="400">
        <f ca="1">IF(MAX(IF($D$6="No",ROUNDUP($D$3/$I163,0),ROUNDUP(($D$3+$I163)/$I163,0)),IF($D$6="No",ROUNDUP($D$4/$G163,0),ROUNDUP(($D$4+$G163)/$G163,0)),ROUNDUP('BVMS checklist'!$H$217/$J163,0))&gt;1,'BVMS checklist'!$L$224,'BVMS checklist'!$L$217)</f>
        <v>0</v>
      </c>
      <c r="BD163" s="398">
        <f t="shared" ca="1" si="645"/>
        <v>2</v>
      </c>
      <c r="BE163" s="400">
        <f t="shared" si="674"/>
        <v>1</v>
      </c>
      <c r="BF163" s="400">
        <f t="shared" si="675"/>
        <v>2125</v>
      </c>
      <c r="BG163" s="400">
        <f t="shared" ca="1" si="656"/>
        <v>0</v>
      </c>
      <c r="BH163" s="398">
        <f t="shared" ca="1" si="676"/>
        <v>607012</v>
      </c>
      <c r="BI163" s="401" t="str">
        <f t="shared" ca="1" si="646"/>
        <v/>
      </c>
      <c r="BJ163" s="398">
        <f t="shared" ca="1" si="677"/>
        <v>1024</v>
      </c>
      <c r="BK163" s="400">
        <f ca="1">IF(MAX(IF($D$6="No",ROUNDUP($D$3/$I163,0),ROUNDUP(($D$3+$I163)/$I163,0)),IF($D$6="No",ROUNDUP($D$4/$G163,0),ROUNDUP(($D$4+$G163)/$G163,0)),ROUNDUP('BVMS checklist'!$H$217/$J163,0))&gt;1,'BVMS checklist'!$L$224,'BVMS checklist'!$L$217)+MAX(IF($D$6="No",ROUNDUP($D$3/$I163,0),ROUNDUP(($D$3+$I163)/$I163,0)),IF($D$6="No",ROUNDUP($D$4/$G163,0),ROUNDUP(($D$4+$G163)/$G163,0)))+$D$5</f>
        <v>1</v>
      </c>
      <c r="BL163" s="400" t="b">
        <f t="shared" ca="1" si="631"/>
        <v>1</v>
      </c>
      <c r="BM163" s="400" t="str">
        <f t="shared" ca="1" si="678"/>
        <v>Accepted</v>
      </c>
      <c r="BN163" s="398" t="str">
        <f t="shared" ca="1" si="657"/>
        <v>No</v>
      </c>
      <c r="BO163" s="398" t="str">
        <f t="shared" ca="1" si="679"/>
        <v/>
      </c>
      <c r="BP163" s="398" t="str">
        <f t="shared" ca="1" si="647"/>
        <v/>
      </c>
      <c r="BQ163" s="398">
        <f t="shared" ca="1" si="648"/>
        <v>6</v>
      </c>
      <c r="BR163" s="398">
        <f t="shared" ca="1" si="680"/>
        <v>2</v>
      </c>
      <c r="BS163" s="398">
        <f t="shared" ca="1" si="681"/>
        <v>704</v>
      </c>
      <c r="BT163" s="398">
        <f t="shared" ca="1" si="682"/>
        <v>607012</v>
      </c>
      <c r="BU163" s="399">
        <f t="shared" si="620"/>
        <v>0</v>
      </c>
      <c r="BV163" s="399">
        <f t="shared" si="621"/>
        <v>0</v>
      </c>
      <c r="BW163" s="483" t="str">
        <f t="shared" ca="1" si="649"/>
        <v/>
      </c>
      <c r="BX163" s="400">
        <f ca="1">IF(MAX(IF($E$6="No",ROUNDUP($E$3/$I163,0),ROUNDUP(($E$3+$I163)/$I163,0)),IF($E$6="No",ROUNDUP($E$4/$G163,0),ROUNDUP(($E$4+$G163)/$G163,0)),ROUNDUP('BVMS checklist'!$H$217/$J163,0))&gt;1,'BVMS checklist'!$N$224,'BVMS checklist'!$N$217)</f>
        <v>0</v>
      </c>
      <c r="BY163" s="398">
        <f t="shared" ca="1" si="650"/>
        <v>2</v>
      </c>
      <c r="BZ163" s="400">
        <f t="shared" ca="1" si="683"/>
        <v>2</v>
      </c>
      <c r="CA163" s="400">
        <f t="shared" ca="1" si="684"/>
        <v>4250</v>
      </c>
      <c r="CB163" s="400">
        <f t="shared" ca="1" si="658"/>
        <v>0</v>
      </c>
      <c r="CC163" s="398">
        <f t="shared" ca="1" si="685"/>
        <v>607012</v>
      </c>
      <c r="CD163" s="401" t="str">
        <f t="shared" ca="1" si="651"/>
        <v/>
      </c>
      <c r="CE163" s="398">
        <f t="shared" ca="1" si="686"/>
        <v>1024</v>
      </c>
      <c r="CF163" s="400">
        <f ca="1">IF(MAX(IF($E$6="No",ROUNDUP($E$3/$I163,0),ROUNDUP(($E$3+$I163)/$I163,0)),IF($E$6="No",ROUNDUP($E$4/$G163,0),ROUNDUP(($E$4+$G163)/$G163,0)),ROUNDUP('BVMS checklist'!$H$217/$J163,0))&gt;1,'BVMS checklist'!$N$224,'BVMS checklist'!$N$217)+MAX(IF($E$6="No",ROUNDUP($E$3/$I163,0),ROUNDUP(($E$3+$I163)/$I163,0)),IF($E$6="No",ROUNDUP($E$4/$G163,0),ROUNDUP(($E$4+$G163)/$G163,0)))+$E$5</f>
        <v>1</v>
      </c>
      <c r="CG163" s="400" t="b">
        <f t="shared" ca="1" si="632"/>
        <v>1</v>
      </c>
      <c r="CH163" s="400" t="str">
        <f t="shared" ca="1" si="687"/>
        <v>Accepted</v>
      </c>
      <c r="CI163" s="398" t="str">
        <f t="shared" ca="1" si="659"/>
        <v>No</v>
      </c>
      <c r="CJ163" s="398" t="str">
        <f t="shared" ca="1" si="688"/>
        <v/>
      </c>
      <c r="CK163" s="398" t="str">
        <f t="shared" ca="1" si="652"/>
        <v/>
      </c>
      <c r="CL163" s="398">
        <f t="shared" ca="1" si="653"/>
        <v>6</v>
      </c>
      <c r="CM163" s="398">
        <f t="shared" ca="1" si="689"/>
        <v>2</v>
      </c>
      <c r="CN163" s="398">
        <f t="shared" ca="1" si="690"/>
        <v>704</v>
      </c>
      <c r="CO163" s="398">
        <f t="shared" ca="1" si="691"/>
        <v>607012</v>
      </c>
      <c r="CP163" s="399">
        <f t="shared" si="622"/>
        <v>0</v>
      </c>
      <c r="CQ163" s="399">
        <f t="shared" si="623"/>
        <v>0</v>
      </c>
      <c r="CR163" s="483" t="str">
        <f t="shared" ca="1" si="654"/>
        <v/>
      </c>
      <c r="CS163"/>
    </row>
    <row r="164" spans="1:97">
      <c r="A164" s="398" t="s">
        <v>490</v>
      </c>
      <c r="B164" s="398" t="s">
        <v>987</v>
      </c>
      <c r="C164" s="440" t="s">
        <v>891</v>
      </c>
      <c r="D164" s="398">
        <v>5</v>
      </c>
      <c r="E164" s="398"/>
      <c r="F164" s="440">
        <v>0</v>
      </c>
      <c r="G164" s="398">
        <f>IF(C164="RAID5",(((7-F164)*7448))+(4*(((15-F164)*5586))),(((6-F164)*7448))+(4*(((14-F164)*5586))))</f>
        <v>387296</v>
      </c>
      <c r="H164" s="399">
        <v>448</v>
      </c>
      <c r="I164" s="399">
        <v>2675</v>
      </c>
      <c r="J164" s="399">
        <v>640</v>
      </c>
      <c r="K164" s="399"/>
      <c r="L164" s="399"/>
      <c r="M164" s="400">
        <f ca="1">IF(MAX(IF($B$6="No",ROUNDUP($B$3/$I164,0),ROUNDUP(($B$3+$I164)/$I164,0)),IF($B$6="No",ROUNDUP($B$4/$G164,0),ROUNDUP(($B$4+$G164)/$G164,0)),ROUNDUP('BVMS checklist'!$H$217/$J164,0))&gt;1,'BVMS checklist'!$H$224,'BVMS checklist'!$H$217)</f>
        <v>0</v>
      </c>
      <c r="N164" s="398">
        <f t="shared" ca="1" si="633"/>
        <v>2</v>
      </c>
      <c r="O164" s="400">
        <f t="shared" ca="1" si="660"/>
        <v>2</v>
      </c>
      <c r="P164" s="400">
        <f t="shared" ca="1" si="624"/>
        <v>5350</v>
      </c>
      <c r="Q164" s="400">
        <f t="shared" ca="1" si="625"/>
        <v>0</v>
      </c>
      <c r="R164" s="398">
        <f t="shared" ca="1" si="626"/>
        <v>774592</v>
      </c>
      <c r="S164" s="401" t="str">
        <f t="shared" ca="1" si="634"/>
        <v/>
      </c>
      <c r="T164" s="398">
        <f t="shared" ca="1" si="635"/>
        <v>1280</v>
      </c>
      <c r="U164" s="400">
        <f ca="1">IF(MAX(IF($B$6="No",ROUNDUP($B$3/$I164,0),ROUNDUP(($B$3+$I164)/$I164,0)),IF($B$6="No",ROUNDUP($B$4/$G164,0),ROUNDUP(($B$4+$G164)/$G164,0)),ROUNDUP('BVMS checklist'!$H$217/$J164,0))&gt;1,'BVMS checklist'!$H$224,'BVMS checklist'!$H$217)+MAX(IF($B$6="No",ROUNDUP($B$3/$I164,0),ROUNDUP(($B$3+$I164)/$I164,0)),IF($B$6="No",ROUNDUP($B$4/$G164,0),ROUNDUP(($B$4+$G164)/$G164,0)))+$B$5</f>
        <v>1</v>
      </c>
      <c r="V164" s="400" t="b">
        <f t="shared" ca="1" si="627"/>
        <v>1</v>
      </c>
      <c r="W164" s="400" t="str">
        <f t="shared" ca="1" si="661"/>
        <v>Accepted</v>
      </c>
      <c r="X164" s="398" t="str">
        <f t="shared" ca="1" si="636"/>
        <v>No</v>
      </c>
      <c r="Y164" s="398" t="str">
        <f t="shared" ca="1" si="637"/>
        <v/>
      </c>
      <c r="Z164" s="398" t="str">
        <f t="shared" ca="1" si="638"/>
        <v/>
      </c>
      <c r="AA164" s="398">
        <f t="shared" ca="1" si="662"/>
        <v>6</v>
      </c>
      <c r="AB164" s="398">
        <f t="shared" ca="1" si="628"/>
        <v>2</v>
      </c>
      <c r="AC164" s="398">
        <f t="shared" ca="1" si="629"/>
        <v>896</v>
      </c>
      <c r="AD164" s="398">
        <f t="shared" ca="1" si="663"/>
        <v>774592</v>
      </c>
      <c r="AE164" s="399">
        <f t="shared" si="616"/>
        <v>0</v>
      </c>
      <c r="AF164" s="399">
        <f t="shared" si="617"/>
        <v>0</v>
      </c>
      <c r="AG164" s="483" t="str">
        <f t="shared" ca="1" si="639"/>
        <v/>
      </c>
      <c r="AH164" s="400">
        <f ca="1">IF(MAX(IF($C$6="No",ROUNDUP($C$3/$I164,0),ROUNDUP(($C$3+$I164)/$I164,0)),IF($C$6="No",ROUNDUP($C$4/$G164,0),ROUNDUP(($C$4+$G164)/$G164,0)),ROUNDUP('BVMS checklist'!$H$217/$J164,0))&gt;1,'BVMS checklist'!$J$224,'BVMS checklist'!$J$217)</f>
        <v>0</v>
      </c>
      <c r="AI164" s="398">
        <f t="shared" ca="1" si="640"/>
        <v>2</v>
      </c>
      <c r="AJ164" s="400">
        <f t="shared" ca="1" si="664"/>
        <v>2</v>
      </c>
      <c r="AK164" s="400">
        <f t="shared" ca="1" si="665"/>
        <v>5350</v>
      </c>
      <c r="AL164" s="400">
        <f t="shared" ca="1" si="666"/>
        <v>0</v>
      </c>
      <c r="AM164" s="398">
        <f t="shared" ca="1" si="667"/>
        <v>774592</v>
      </c>
      <c r="AN164" s="401" t="str">
        <f t="shared" ca="1" si="641"/>
        <v/>
      </c>
      <c r="AO164" s="398">
        <f t="shared" ca="1" si="668"/>
        <v>1280</v>
      </c>
      <c r="AP164" s="400">
        <f ca="1">IF(MAX(IF($C$6="No",ROUNDUP($C$3/$I164,0),ROUNDUP(($C$3+$I164)/$I164,0)),IF($C$6="No",ROUNDUP($C$4/$G164,0),ROUNDUP(($C$4+$G164)/$G164,0)),ROUNDUP('BVMS checklist'!$H$217/$J164,0))&gt;1,'BVMS checklist'!$J$224,'BVMS checklist'!$J$217)+MAX(IF($C$6="No",ROUNDUP($C$3/$I164,0),ROUNDUP(($C$3+$I164)/$I164,0)),IF($C$6="No",ROUNDUP($C$4/$G164,0),ROUNDUP(($C$4+$G164)/$G164,0)))+$C$5</f>
        <v>1</v>
      </c>
      <c r="AQ164" s="400" t="b">
        <f t="shared" ca="1" si="630"/>
        <v>1</v>
      </c>
      <c r="AR164" s="400" t="str">
        <f t="shared" ca="1" si="669"/>
        <v>Accepted</v>
      </c>
      <c r="AS164" s="398" t="str">
        <f t="shared" ca="1" si="655"/>
        <v>No</v>
      </c>
      <c r="AT164" s="398" t="str">
        <f t="shared" ca="1" si="670"/>
        <v/>
      </c>
      <c r="AU164" s="398" t="str">
        <f t="shared" ca="1" si="642"/>
        <v/>
      </c>
      <c r="AV164" s="398">
        <f t="shared" ca="1" si="643"/>
        <v>6</v>
      </c>
      <c r="AW164" s="398">
        <f t="shared" ca="1" si="671"/>
        <v>2</v>
      </c>
      <c r="AX164" s="398">
        <f t="shared" ca="1" si="672"/>
        <v>896</v>
      </c>
      <c r="AY164" s="398">
        <f t="shared" ca="1" si="673"/>
        <v>774592</v>
      </c>
      <c r="AZ164" s="399">
        <f t="shared" si="618"/>
        <v>0</v>
      </c>
      <c r="BA164" s="399">
        <f t="shared" si="619"/>
        <v>0</v>
      </c>
      <c r="BB164" s="483" t="str">
        <f t="shared" ca="1" si="644"/>
        <v/>
      </c>
      <c r="BC164" s="400">
        <f ca="1">IF(MAX(IF($D$6="No",ROUNDUP($D$3/$I164,0),ROUNDUP(($D$3+$I164)/$I164,0)),IF($D$6="No",ROUNDUP($D$4/$G164,0),ROUNDUP(($D$4+$G164)/$G164,0)),ROUNDUP('BVMS checklist'!$H$217/$J164,0))&gt;1,'BVMS checklist'!$L$224,'BVMS checklist'!$L$217)</f>
        <v>0</v>
      </c>
      <c r="BD164" s="398">
        <f t="shared" ca="1" si="645"/>
        <v>2</v>
      </c>
      <c r="BE164" s="400">
        <f t="shared" si="674"/>
        <v>1</v>
      </c>
      <c r="BF164" s="400">
        <f t="shared" si="675"/>
        <v>2675</v>
      </c>
      <c r="BG164" s="400">
        <f t="shared" ca="1" si="656"/>
        <v>0</v>
      </c>
      <c r="BH164" s="398">
        <f t="shared" ca="1" si="676"/>
        <v>774592</v>
      </c>
      <c r="BI164" s="401" t="str">
        <f t="shared" ca="1" si="646"/>
        <v/>
      </c>
      <c r="BJ164" s="398">
        <f t="shared" ca="1" si="677"/>
        <v>1280</v>
      </c>
      <c r="BK164" s="400">
        <f ca="1">IF(MAX(IF($D$6="No",ROUNDUP($D$3/$I164,0),ROUNDUP(($D$3+$I164)/$I164,0)),IF($D$6="No",ROUNDUP($D$4/$G164,0),ROUNDUP(($D$4+$G164)/$G164,0)),ROUNDUP('BVMS checklist'!$H$217/$J164,0))&gt;1,'BVMS checklist'!$L$224,'BVMS checklist'!$L$217)+MAX(IF($D$6="No",ROUNDUP($D$3/$I164,0),ROUNDUP(($D$3+$I164)/$I164,0)),IF($D$6="No",ROUNDUP($D$4/$G164,0),ROUNDUP(($D$4+$G164)/$G164,0)))+$D$5</f>
        <v>1</v>
      </c>
      <c r="BL164" s="400" t="b">
        <f t="shared" ca="1" si="631"/>
        <v>1</v>
      </c>
      <c r="BM164" s="400" t="str">
        <f t="shared" ca="1" si="678"/>
        <v>Accepted</v>
      </c>
      <c r="BN164" s="398" t="str">
        <f t="shared" ca="1" si="657"/>
        <v>No</v>
      </c>
      <c r="BO164" s="398" t="str">
        <f t="shared" ca="1" si="679"/>
        <v/>
      </c>
      <c r="BP164" s="398" t="str">
        <f t="shared" ca="1" si="647"/>
        <v/>
      </c>
      <c r="BQ164" s="398">
        <f t="shared" ca="1" si="648"/>
        <v>6</v>
      </c>
      <c r="BR164" s="398">
        <f t="shared" ca="1" si="680"/>
        <v>2</v>
      </c>
      <c r="BS164" s="398">
        <f t="shared" ca="1" si="681"/>
        <v>896</v>
      </c>
      <c r="BT164" s="398">
        <f t="shared" ca="1" si="682"/>
        <v>774592</v>
      </c>
      <c r="BU164" s="399">
        <f t="shared" si="620"/>
        <v>0</v>
      </c>
      <c r="BV164" s="399">
        <f t="shared" si="621"/>
        <v>0</v>
      </c>
      <c r="BW164" s="483" t="str">
        <f t="shared" ca="1" si="649"/>
        <v/>
      </c>
      <c r="BX164" s="400">
        <f ca="1">IF(MAX(IF($E$6="No",ROUNDUP($E$3/$I164,0),ROUNDUP(($E$3+$I164)/$I164,0)),IF($E$6="No",ROUNDUP($E$4/$G164,0),ROUNDUP(($E$4+$G164)/$G164,0)),ROUNDUP('BVMS checklist'!$H$217/$J164,0))&gt;1,'BVMS checklist'!$N$224,'BVMS checklist'!$N$217)</f>
        <v>0</v>
      </c>
      <c r="BY164" s="398">
        <f t="shared" ca="1" si="650"/>
        <v>2</v>
      </c>
      <c r="BZ164" s="400">
        <f t="shared" ca="1" si="683"/>
        <v>2</v>
      </c>
      <c r="CA164" s="400">
        <f t="shared" ca="1" si="684"/>
        <v>5350</v>
      </c>
      <c r="CB164" s="400">
        <f t="shared" ca="1" si="658"/>
        <v>0</v>
      </c>
      <c r="CC164" s="398">
        <f t="shared" ca="1" si="685"/>
        <v>774592</v>
      </c>
      <c r="CD164" s="401" t="str">
        <f t="shared" ca="1" si="651"/>
        <v/>
      </c>
      <c r="CE164" s="398">
        <f t="shared" ca="1" si="686"/>
        <v>1280</v>
      </c>
      <c r="CF164" s="400">
        <f ca="1">IF(MAX(IF($E$6="No",ROUNDUP($E$3/$I164,0),ROUNDUP(($E$3+$I164)/$I164,0)),IF($E$6="No",ROUNDUP($E$4/$G164,0),ROUNDUP(($E$4+$G164)/$G164,0)),ROUNDUP('BVMS checklist'!$H$217/$J164,0))&gt;1,'BVMS checklist'!$N$224,'BVMS checklist'!$N$217)+MAX(IF($E$6="No",ROUNDUP($E$3/$I164,0),ROUNDUP(($E$3+$I164)/$I164,0)),IF($E$6="No",ROUNDUP($E$4/$G164,0),ROUNDUP(($E$4+$G164)/$G164,0)))+$E$5</f>
        <v>1</v>
      </c>
      <c r="CG164" s="400" t="b">
        <f t="shared" ca="1" si="632"/>
        <v>1</v>
      </c>
      <c r="CH164" s="400" t="str">
        <f t="shared" ca="1" si="687"/>
        <v>Accepted</v>
      </c>
      <c r="CI164" s="398" t="str">
        <f t="shared" ca="1" si="659"/>
        <v>No</v>
      </c>
      <c r="CJ164" s="398" t="str">
        <f t="shared" ca="1" si="688"/>
        <v/>
      </c>
      <c r="CK164" s="398" t="str">
        <f t="shared" ca="1" si="652"/>
        <v/>
      </c>
      <c r="CL164" s="398">
        <f t="shared" ca="1" si="653"/>
        <v>6</v>
      </c>
      <c r="CM164" s="398">
        <f t="shared" ca="1" si="689"/>
        <v>2</v>
      </c>
      <c r="CN164" s="398">
        <f t="shared" ca="1" si="690"/>
        <v>896</v>
      </c>
      <c r="CO164" s="398">
        <f t="shared" ca="1" si="691"/>
        <v>774592</v>
      </c>
      <c r="CP164" s="399">
        <f t="shared" si="622"/>
        <v>0</v>
      </c>
      <c r="CQ164" s="399">
        <f t="shared" si="623"/>
        <v>0</v>
      </c>
      <c r="CR164" s="483" t="str">
        <f t="shared" ca="1" si="654"/>
        <v/>
      </c>
      <c r="CS164"/>
    </row>
    <row r="165" spans="1:97">
      <c r="A165" s="398" t="s">
        <v>491</v>
      </c>
      <c r="B165" s="398" t="s">
        <v>987</v>
      </c>
      <c r="C165" s="440" t="s">
        <v>891</v>
      </c>
      <c r="D165" s="398">
        <v>2</v>
      </c>
      <c r="E165" s="398"/>
      <c r="F165" s="440">
        <v>0</v>
      </c>
      <c r="G165" s="398">
        <f>IF(C165="RAID5",(((7-F165)*7448))+(1*(((7-F165)*7448))),(((6-F165)*7448))+(1*(((6-F165)*7448))))</f>
        <v>104272</v>
      </c>
      <c r="H165" s="399">
        <v>128</v>
      </c>
      <c r="I165" s="399">
        <v>1025</v>
      </c>
      <c r="J165" s="399">
        <v>256</v>
      </c>
      <c r="K165" s="399"/>
      <c r="L165" s="399"/>
      <c r="M165" s="400">
        <f ca="1">IF(MAX(IF($B$6="No",ROUNDUP($B$3/$I165,0),ROUNDUP(($B$3+$I165)/$I165,0)),IF($B$6="No",ROUNDUP($B$4/$G165,0),ROUNDUP(($B$4+$G165)/$G165,0)),ROUNDUP('BVMS checklist'!$H$217/$J165,0))&gt;1,'BVMS checklist'!$H$224,'BVMS checklist'!$H$217)</f>
        <v>0</v>
      </c>
      <c r="N165" s="398">
        <f t="shared" ca="1" si="633"/>
        <v>2</v>
      </c>
      <c r="O165" s="400">
        <f t="shared" ca="1" si="660"/>
        <v>2</v>
      </c>
      <c r="P165" s="400">
        <f t="shared" ca="1" si="624"/>
        <v>2050</v>
      </c>
      <c r="Q165" s="400">
        <f t="shared" ca="1" si="625"/>
        <v>0</v>
      </c>
      <c r="R165" s="398">
        <f t="shared" ca="1" si="626"/>
        <v>208544</v>
      </c>
      <c r="S165" s="401" t="str">
        <f t="shared" ca="1" si="634"/>
        <v/>
      </c>
      <c r="T165" s="398">
        <f t="shared" ca="1" si="635"/>
        <v>512</v>
      </c>
      <c r="U165" s="400">
        <f ca="1">IF(MAX(IF($B$6="No",ROUNDUP($B$3/$I165,0),ROUNDUP(($B$3+$I165)/$I165,0)),IF($B$6="No",ROUNDUP($B$4/$G165,0),ROUNDUP(($B$4+$G165)/$G165,0)),ROUNDUP('BVMS checklist'!$H$217/$J165,0))&gt;1,'BVMS checklist'!$H$224,'BVMS checklist'!$H$217)+MAX(IF($B$6="No",ROUNDUP($B$3/$I165,0),ROUNDUP(($B$3+$I165)/$I165,0)),IF($B$6="No",ROUNDUP($B$4/$G165,0),ROUNDUP(($B$4+$G165)/$G165,0)))+$B$5</f>
        <v>1</v>
      </c>
      <c r="V165" s="400" t="b">
        <f t="shared" ca="1" si="627"/>
        <v>1</v>
      </c>
      <c r="W165" s="400" t="str">
        <f t="shared" ca="1" si="661"/>
        <v>Accepted</v>
      </c>
      <c r="X165" s="398" t="str">
        <f t="shared" ca="1" si="636"/>
        <v>No</v>
      </c>
      <c r="Y165" s="398" t="str">
        <f t="shared" ca="1" si="637"/>
        <v/>
      </c>
      <c r="Z165" s="398" t="str">
        <f t="shared" ca="1" si="638"/>
        <v/>
      </c>
      <c r="AA165" s="398">
        <f t="shared" ca="1" si="662"/>
        <v>6</v>
      </c>
      <c r="AB165" s="398">
        <f t="shared" ca="1" si="628"/>
        <v>2</v>
      </c>
      <c r="AC165" s="398">
        <f t="shared" ca="1" si="629"/>
        <v>256</v>
      </c>
      <c r="AD165" s="398">
        <f t="shared" ca="1" si="663"/>
        <v>208544</v>
      </c>
      <c r="AE165" s="399">
        <f t="shared" si="616"/>
        <v>0</v>
      </c>
      <c r="AF165" s="399">
        <f t="shared" si="617"/>
        <v>0</v>
      </c>
      <c r="AG165" s="483" t="str">
        <f t="shared" ca="1" si="639"/>
        <v/>
      </c>
      <c r="AH165" s="400">
        <f ca="1">IF(MAX(IF($C$6="No",ROUNDUP($C$3/$I165,0),ROUNDUP(($C$3+$I165)/$I165,0)),IF($C$6="No",ROUNDUP($C$4/$G165,0),ROUNDUP(($C$4+$G165)/$G165,0)),ROUNDUP('BVMS checklist'!$H$217/$J165,0))&gt;1,'BVMS checklist'!$J$224,'BVMS checklist'!$J$217)</f>
        <v>0</v>
      </c>
      <c r="AI165" s="398">
        <f t="shared" ca="1" si="640"/>
        <v>2</v>
      </c>
      <c r="AJ165" s="400">
        <f t="shared" ca="1" si="664"/>
        <v>2</v>
      </c>
      <c r="AK165" s="400">
        <f t="shared" ca="1" si="665"/>
        <v>2050</v>
      </c>
      <c r="AL165" s="400">
        <f t="shared" ca="1" si="666"/>
        <v>0</v>
      </c>
      <c r="AM165" s="398">
        <f t="shared" ca="1" si="667"/>
        <v>208544</v>
      </c>
      <c r="AN165" s="401" t="str">
        <f t="shared" ca="1" si="641"/>
        <v/>
      </c>
      <c r="AO165" s="398">
        <f t="shared" ca="1" si="668"/>
        <v>512</v>
      </c>
      <c r="AP165" s="400">
        <f ca="1">IF(MAX(IF($C$6="No",ROUNDUP($C$3/$I165,0),ROUNDUP(($C$3+$I165)/$I165,0)),IF($C$6="No",ROUNDUP($C$4/$G165,0),ROUNDUP(($C$4+$G165)/$G165,0)),ROUNDUP('BVMS checklist'!$H$217/$J165,0))&gt;1,'BVMS checklist'!$J$224,'BVMS checklist'!$J$217)+MAX(IF($C$6="No",ROUNDUP($C$3/$I165,0),ROUNDUP(($C$3+$I165)/$I165,0)),IF($C$6="No",ROUNDUP($C$4/$G165,0),ROUNDUP(($C$4+$G165)/$G165,0)))+$C$5</f>
        <v>1</v>
      </c>
      <c r="AQ165" s="400" t="b">
        <f t="shared" ca="1" si="630"/>
        <v>1</v>
      </c>
      <c r="AR165" s="400" t="str">
        <f t="shared" ca="1" si="669"/>
        <v>Accepted</v>
      </c>
      <c r="AS165" s="398" t="str">
        <f t="shared" ca="1" si="655"/>
        <v>No</v>
      </c>
      <c r="AT165" s="398" t="str">
        <f t="shared" ca="1" si="670"/>
        <v/>
      </c>
      <c r="AU165" s="398" t="str">
        <f t="shared" ca="1" si="642"/>
        <v/>
      </c>
      <c r="AV165" s="398">
        <f t="shared" ca="1" si="643"/>
        <v>6</v>
      </c>
      <c r="AW165" s="398">
        <f t="shared" ca="1" si="671"/>
        <v>2</v>
      </c>
      <c r="AX165" s="398">
        <f t="shared" ca="1" si="672"/>
        <v>256</v>
      </c>
      <c r="AY165" s="398">
        <f t="shared" ca="1" si="673"/>
        <v>208544</v>
      </c>
      <c r="AZ165" s="399">
        <f t="shared" si="618"/>
        <v>0</v>
      </c>
      <c r="BA165" s="399">
        <f t="shared" si="619"/>
        <v>0</v>
      </c>
      <c r="BB165" s="483" t="str">
        <f t="shared" ca="1" si="644"/>
        <v/>
      </c>
      <c r="BC165" s="400">
        <f ca="1">IF(MAX(IF($D$6="No",ROUNDUP($D$3/$I165,0),ROUNDUP(($D$3+$I165)/$I165,0)),IF($D$6="No",ROUNDUP($D$4/$G165,0),ROUNDUP(($D$4+$G165)/$G165,0)),ROUNDUP('BVMS checklist'!$H$217/$J165,0))&gt;1,'BVMS checklist'!$L$224,'BVMS checklist'!$L$217)</f>
        <v>0</v>
      </c>
      <c r="BD165" s="398">
        <f t="shared" ca="1" si="645"/>
        <v>2</v>
      </c>
      <c r="BE165" s="400">
        <f t="shared" si="674"/>
        <v>1</v>
      </c>
      <c r="BF165" s="400">
        <f t="shared" si="675"/>
        <v>1025</v>
      </c>
      <c r="BG165" s="400">
        <f t="shared" ca="1" si="656"/>
        <v>0</v>
      </c>
      <c r="BH165" s="398">
        <f t="shared" ca="1" si="676"/>
        <v>208544</v>
      </c>
      <c r="BI165" s="401" t="str">
        <f t="shared" ca="1" si="646"/>
        <v/>
      </c>
      <c r="BJ165" s="398">
        <f t="shared" ca="1" si="677"/>
        <v>512</v>
      </c>
      <c r="BK165" s="400">
        <f ca="1">IF(MAX(IF($D$6="No",ROUNDUP($D$3/$I165,0),ROUNDUP(($D$3+$I165)/$I165,0)),IF($D$6="No",ROUNDUP($D$4/$G165,0),ROUNDUP(($D$4+$G165)/$G165,0)),ROUNDUP('BVMS checklist'!$H$217/$J165,0))&gt;1,'BVMS checklist'!$L$224,'BVMS checklist'!$L$217)+MAX(IF($D$6="No",ROUNDUP($D$3/$I165,0),ROUNDUP(($D$3+$I165)/$I165,0)),IF($D$6="No",ROUNDUP($D$4/$G165,0),ROUNDUP(($D$4+$G165)/$G165,0)))+$D$5</f>
        <v>1</v>
      </c>
      <c r="BL165" s="400" t="b">
        <f t="shared" ca="1" si="631"/>
        <v>1</v>
      </c>
      <c r="BM165" s="400" t="str">
        <f t="shared" ca="1" si="678"/>
        <v>Accepted</v>
      </c>
      <c r="BN165" s="398" t="str">
        <f t="shared" ca="1" si="657"/>
        <v>No</v>
      </c>
      <c r="BO165" s="398" t="str">
        <f t="shared" ca="1" si="679"/>
        <v/>
      </c>
      <c r="BP165" s="398" t="str">
        <f t="shared" ca="1" si="647"/>
        <v/>
      </c>
      <c r="BQ165" s="398">
        <f t="shared" ca="1" si="648"/>
        <v>6</v>
      </c>
      <c r="BR165" s="398">
        <f t="shared" ca="1" si="680"/>
        <v>2</v>
      </c>
      <c r="BS165" s="398">
        <f t="shared" ca="1" si="681"/>
        <v>256</v>
      </c>
      <c r="BT165" s="398">
        <f t="shared" ca="1" si="682"/>
        <v>208544</v>
      </c>
      <c r="BU165" s="399">
        <f t="shared" si="620"/>
        <v>0</v>
      </c>
      <c r="BV165" s="399">
        <f t="shared" si="621"/>
        <v>0</v>
      </c>
      <c r="BW165" s="483" t="str">
        <f t="shared" ca="1" si="649"/>
        <v/>
      </c>
      <c r="BX165" s="400">
        <f ca="1">IF(MAX(IF($E$6="No",ROUNDUP($E$3/$I165,0),ROUNDUP(($E$3+$I165)/$I165,0)),IF($E$6="No",ROUNDUP($E$4/$G165,0),ROUNDUP(($E$4+$G165)/$G165,0)),ROUNDUP('BVMS checklist'!$H$217/$J165,0))&gt;1,'BVMS checklist'!$N$224,'BVMS checklist'!$N$217)</f>
        <v>0</v>
      </c>
      <c r="BY165" s="398">
        <f t="shared" ca="1" si="650"/>
        <v>2</v>
      </c>
      <c r="BZ165" s="400">
        <f t="shared" ca="1" si="683"/>
        <v>2</v>
      </c>
      <c r="CA165" s="400">
        <f t="shared" ca="1" si="684"/>
        <v>2050</v>
      </c>
      <c r="CB165" s="400">
        <f t="shared" ca="1" si="658"/>
        <v>0</v>
      </c>
      <c r="CC165" s="398">
        <f t="shared" ca="1" si="685"/>
        <v>208544</v>
      </c>
      <c r="CD165" s="401" t="str">
        <f t="shared" ca="1" si="651"/>
        <v/>
      </c>
      <c r="CE165" s="398">
        <f t="shared" ca="1" si="686"/>
        <v>512</v>
      </c>
      <c r="CF165" s="400">
        <f ca="1">IF(MAX(IF($E$6="No",ROUNDUP($E$3/$I165,0),ROUNDUP(($E$3+$I165)/$I165,0)),IF($E$6="No",ROUNDUP($E$4/$G165,0),ROUNDUP(($E$4+$G165)/$G165,0)),ROUNDUP('BVMS checklist'!$H$217/$J165,0))&gt;1,'BVMS checklist'!$N$224,'BVMS checklist'!$N$217)+MAX(IF($E$6="No",ROUNDUP($E$3/$I165,0),ROUNDUP(($E$3+$I165)/$I165,0)),IF($E$6="No",ROUNDUP($E$4/$G165,0),ROUNDUP(($E$4+$G165)/$G165,0)))+$E$5</f>
        <v>1</v>
      </c>
      <c r="CG165" s="400" t="b">
        <f t="shared" ca="1" si="632"/>
        <v>1</v>
      </c>
      <c r="CH165" s="400" t="str">
        <f t="shared" ca="1" si="687"/>
        <v>Accepted</v>
      </c>
      <c r="CI165" s="398" t="str">
        <f t="shared" ca="1" si="659"/>
        <v>No</v>
      </c>
      <c r="CJ165" s="398" t="str">
        <f t="shared" ca="1" si="688"/>
        <v/>
      </c>
      <c r="CK165" s="398" t="str">
        <f t="shared" ca="1" si="652"/>
        <v/>
      </c>
      <c r="CL165" s="398">
        <f t="shared" ca="1" si="653"/>
        <v>6</v>
      </c>
      <c r="CM165" s="398">
        <f t="shared" ca="1" si="689"/>
        <v>2</v>
      </c>
      <c r="CN165" s="398">
        <f t="shared" ca="1" si="690"/>
        <v>256</v>
      </c>
      <c r="CO165" s="398">
        <f t="shared" ca="1" si="691"/>
        <v>208544</v>
      </c>
      <c r="CP165" s="399">
        <f t="shared" si="622"/>
        <v>0</v>
      </c>
      <c r="CQ165" s="399">
        <f t="shared" si="623"/>
        <v>0</v>
      </c>
      <c r="CR165" s="483" t="str">
        <f t="shared" ca="1" si="654"/>
        <v/>
      </c>
      <c r="CS165"/>
    </row>
    <row r="166" spans="1:97">
      <c r="A166" s="398" t="s">
        <v>492</v>
      </c>
      <c r="B166" s="398" t="s">
        <v>987</v>
      </c>
      <c r="C166" s="440" t="s">
        <v>891</v>
      </c>
      <c r="D166" s="398">
        <v>3</v>
      </c>
      <c r="E166" s="398"/>
      <c r="F166" s="440">
        <v>0</v>
      </c>
      <c r="G166" s="398">
        <f>IF(C166="RAID5",(((7-F166)*7448))+(2*(((7-F166)*7448))),(((6-F166)*7448))+(2*(((6-F166)*7448))))</f>
        <v>156408</v>
      </c>
      <c r="H166" s="399">
        <v>192</v>
      </c>
      <c r="I166" s="399">
        <v>1575</v>
      </c>
      <c r="J166" s="399">
        <v>384</v>
      </c>
      <c r="K166" s="399"/>
      <c r="L166" s="399"/>
      <c r="M166" s="400">
        <f ca="1">IF(MAX(IF($B$6="No",ROUNDUP($B$3/$I166,0),ROUNDUP(($B$3+$I166)/$I166,0)),IF($B$6="No",ROUNDUP($B$4/$G166,0),ROUNDUP(($B$4+$G166)/$G166,0)),ROUNDUP('BVMS checklist'!$H$217/$J166,0))&gt;1,'BVMS checklist'!$H$224,'BVMS checklist'!$H$217)</f>
        <v>0</v>
      </c>
      <c r="N166" s="398">
        <f t="shared" ca="1" si="633"/>
        <v>2</v>
      </c>
      <c r="O166" s="400">
        <f t="shared" ca="1" si="660"/>
        <v>2</v>
      </c>
      <c r="P166" s="400">
        <f t="shared" ca="1" si="624"/>
        <v>3150</v>
      </c>
      <c r="Q166" s="400">
        <f t="shared" ca="1" si="625"/>
        <v>0</v>
      </c>
      <c r="R166" s="398">
        <f t="shared" ca="1" si="626"/>
        <v>312816</v>
      </c>
      <c r="S166" s="401" t="str">
        <f t="shared" ca="1" si="634"/>
        <v/>
      </c>
      <c r="T166" s="398">
        <f t="shared" ca="1" si="635"/>
        <v>768</v>
      </c>
      <c r="U166" s="400">
        <f ca="1">IF(MAX(IF($B$6="No",ROUNDUP($B$3/$I166,0),ROUNDUP(($B$3+$I166)/$I166,0)),IF($B$6="No",ROUNDUP($B$4/$G166,0),ROUNDUP(($B$4+$G166)/$G166,0)),ROUNDUP('BVMS checklist'!$H$217/$J166,0))&gt;1,'BVMS checklist'!$H$224,'BVMS checklist'!$H$217)+MAX(IF($B$6="No",ROUNDUP($B$3/$I166,0),ROUNDUP(($B$3+$I166)/$I166,0)),IF($B$6="No",ROUNDUP($B$4/$G166,0),ROUNDUP(($B$4+$G166)/$G166,0)))+$B$5</f>
        <v>1</v>
      </c>
      <c r="V166" s="400" t="b">
        <f t="shared" ca="1" si="627"/>
        <v>1</v>
      </c>
      <c r="W166" s="400" t="str">
        <f t="shared" ca="1" si="661"/>
        <v>Accepted</v>
      </c>
      <c r="X166" s="398" t="str">
        <f t="shared" ca="1" si="636"/>
        <v>No</v>
      </c>
      <c r="Y166" s="398" t="str">
        <f t="shared" ca="1" si="637"/>
        <v/>
      </c>
      <c r="Z166" s="398" t="str">
        <f t="shared" ca="1" si="638"/>
        <v/>
      </c>
      <c r="AA166" s="398">
        <f t="shared" ca="1" si="662"/>
        <v>6</v>
      </c>
      <c r="AB166" s="398">
        <f t="shared" ca="1" si="628"/>
        <v>2</v>
      </c>
      <c r="AC166" s="398">
        <f t="shared" ca="1" si="629"/>
        <v>384</v>
      </c>
      <c r="AD166" s="398">
        <f t="shared" ca="1" si="663"/>
        <v>312816</v>
      </c>
      <c r="AE166" s="399">
        <f t="shared" si="616"/>
        <v>0</v>
      </c>
      <c r="AF166" s="399">
        <f t="shared" si="617"/>
        <v>0</v>
      </c>
      <c r="AG166" s="483" t="str">
        <f t="shared" ca="1" si="639"/>
        <v/>
      </c>
      <c r="AH166" s="400">
        <f ca="1">IF(MAX(IF($C$6="No",ROUNDUP($C$3/$I166,0),ROUNDUP(($C$3+$I166)/$I166,0)),IF($C$6="No",ROUNDUP($C$4/$G166,0),ROUNDUP(($C$4+$G166)/$G166,0)),ROUNDUP('BVMS checklist'!$H$217/$J166,0))&gt;1,'BVMS checklist'!$J$224,'BVMS checklist'!$J$217)</f>
        <v>0</v>
      </c>
      <c r="AI166" s="398">
        <f t="shared" ca="1" si="640"/>
        <v>2</v>
      </c>
      <c r="AJ166" s="400">
        <f t="shared" ca="1" si="664"/>
        <v>2</v>
      </c>
      <c r="AK166" s="400">
        <f t="shared" ca="1" si="665"/>
        <v>3150</v>
      </c>
      <c r="AL166" s="400">
        <f t="shared" ca="1" si="666"/>
        <v>0</v>
      </c>
      <c r="AM166" s="398">
        <f t="shared" ca="1" si="667"/>
        <v>312816</v>
      </c>
      <c r="AN166" s="401" t="str">
        <f t="shared" ca="1" si="641"/>
        <v/>
      </c>
      <c r="AO166" s="398">
        <f t="shared" ca="1" si="668"/>
        <v>768</v>
      </c>
      <c r="AP166" s="400">
        <f ca="1">IF(MAX(IF($C$6="No",ROUNDUP($C$3/$I166,0),ROUNDUP(($C$3+$I166)/$I166,0)),IF($C$6="No",ROUNDUP($C$4/$G166,0),ROUNDUP(($C$4+$G166)/$G166,0)),ROUNDUP('BVMS checklist'!$H$217/$J166,0))&gt;1,'BVMS checklist'!$J$224,'BVMS checklist'!$J$217)+MAX(IF($C$6="No",ROUNDUP($C$3/$I166,0),ROUNDUP(($C$3+$I166)/$I166,0)),IF($C$6="No",ROUNDUP($C$4/$G166,0),ROUNDUP(($C$4+$G166)/$G166,0)))+$C$5</f>
        <v>1</v>
      </c>
      <c r="AQ166" s="400" t="b">
        <f t="shared" ca="1" si="630"/>
        <v>1</v>
      </c>
      <c r="AR166" s="400" t="str">
        <f t="shared" ca="1" si="669"/>
        <v>Accepted</v>
      </c>
      <c r="AS166" s="398" t="str">
        <f t="shared" ca="1" si="655"/>
        <v>No</v>
      </c>
      <c r="AT166" s="398" t="str">
        <f t="shared" ca="1" si="670"/>
        <v/>
      </c>
      <c r="AU166" s="398" t="str">
        <f t="shared" ca="1" si="642"/>
        <v/>
      </c>
      <c r="AV166" s="398">
        <f t="shared" ca="1" si="643"/>
        <v>6</v>
      </c>
      <c r="AW166" s="398">
        <f t="shared" ca="1" si="671"/>
        <v>2</v>
      </c>
      <c r="AX166" s="398">
        <f t="shared" ca="1" si="672"/>
        <v>384</v>
      </c>
      <c r="AY166" s="398">
        <f t="shared" ca="1" si="673"/>
        <v>312816</v>
      </c>
      <c r="AZ166" s="399">
        <f t="shared" si="618"/>
        <v>0</v>
      </c>
      <c r="BA166" s="399">
        <f t="shared" si="619"/>
        <v>0</v>
      </c>
      <c r="BB166" s="483" t="str">
        <f t="shared" ca="1" si="644"/>
        <v/>
      </c>
      <c r="BC166" s="400">
        <f ca="1">IF(MAX(IF($D$6="No",ROUNDUP($D$3/$I166,0),ROUNDUP(($D$3+$I166)/$I166,0)),IF($D$6="No",ROUNDUP($D$4/$G166,0),ROUNDUP(($D$4+$G166)/$G166,0)),ROUNDUP('BVMS checklist'!$H$217/$J166,0))&gt;1,'BVMS checklist'!$L$224,'BVMS checklist'!$L$217)</f>
        <v>0</v>
      </c>
      <c r="BD166" s="398">
        <f t="shared" ca="1" si="645"/>
        <v>2</v>
      </c>
      <c r="BE166" s="400">
        <f t="shared" si="674"/>
        <v>1</v>
      </c>
      <c r="BF166" s="400">
        <f t="shared" si="675"/>
        <v>1575</v>
      </c>
      <c r="BG166" s="400">
        <f t="shared" ca="1" si="656"/>
        <v>0</v>
      </c>
      <c r="BH166" s="398">
        <f t="shared" ca="1" si="676"/>
        <v>312816</v>
      </c>
      <c r="BI166" s="401" t="str">
        <f t="shared" ca="1" si="646"/>
        <v/>
      </c>
      <c r="BJ166" s="398">
        <f t="shared" ca="1" si="677"/>
        <v>768</v>
      </c>
      <c r="BK166" s="400">
        <f ca="1">IF(MAX(IF($D$6="No",ROUNDUP($D$3/$I166,0),ROUNDUP(($D$3+$I166)/$I166,0)),IF($D$6="No",ROUNDUP($D$4/$G166,0),ROUNDUP(($D$4+$G166)/$G166,0)),ROUNDUP('BVMS checklist'!$H$217/$J166,0))&gt;1,'BVMS checklist'!$L$224,'BVMS checklist'!$L$217)+MAX(IF($D$6="No",ROUNDUP($D$3/$I166,0),ROUNDUP(($D$3+$I166)/$I166,0)),IF($D$6="No",ROUNDUP($D$4/$G166,0),ROUNDUP(($D$4+$G166)/$G166,0)))+$D$5</f>
        <v>1</v>
      </c>
      <c r="BL166" s="400" t="b">
        <f t="shared" ca="1" si="631"/>
        <v>1</v>
      </c>
      <c r="BM166" s="400" t="str">
        <f t="shared" ca="1" si="678"/>
        <v>Accepted</v>
      </c>
      <c r="BN166" s="398" t="str">
        <f t="shared" ca="1" si="657"/>
        <v>No</v>
      </c>
      <c r="BO166" s="398" t="str">
        <f t="shared" ca="1" si="679"/>
        <v/>
      </c>
      <c r="BP166" s="398" t="str">
        <f t="shared" ca="1" si="647"/>
        <v/>
      </c>
      <c r="BQ166" s="398">
        <f t="shared" ca="1" si="648"/>
        <v>6</v>
      </c>
      <c r="BR166" s="398">
        <f t="shared" ca="1" si="680"/>
        <v>2</v>
      </c>
      <c r="BS166" s="398">
        <f t="shared" ca="1" si="681"/>
        <v>384</v>
      </c>
      <c r="BT166" s="398">
        <f t="shared" ca="1" si="682"/>
        <v>312816</v>
      </c>
      <c r="BU166" s="399">
        <f t="shared" si="620"/>
        <v>0</v>
      </c>
      <c r="BV166" s="399">
        <f t="shared" si="621"/>
        <v>0</v>
      </c>
      <c r="BW166" s="483" t="str">
        <f t="shared" ca="1" si="649"/>
        <v/>
      </c>
      <c r="BX166" s="400">
        <f ca="1">IF(MAX(IF($E$6="No",ROUNDUP($E$3/$I166,0),ROUNDUP(($E$3+$I166)/$I166,0)),IF($E$6="No",ROUNDUP($E$4/$G166,0),ROUNDUP(($E$4+$G166)/$G166,0)),ROUNDUP('BVMS checklist'!$H$217/$J166,0))&gt;1,'BVMS checklist'!$N$224,'BVMS checklist'!$N$217)</f>
        <v>0</v>
      </c>
      <c r="BY166" s="398">
        <f t="shared" ca="1" si="650"/>
        <v>2</v>
      </c>
      <c r="BZ166" s="400">
        <f t="shared" ca="1" si="683"/>
        <v>2</v>
      </c>
      <c r="CA166" s="400">
        <f t="shared" ca="1" si="684"/>
        <v>3150</v>
      </c>
      <c r="CB166" s="400">
        <f t="shared" ca="1" si="658"/>
        <v>0</v>
      </c>
      <c r="CC166" s="398">
        <f t="shared" ca="1" si="685"/>
        <v>312816</v>
      </c>
      <c r="CD166" s="401" t="str">
        <f t="shared" ca="1" si="651"/>
        <v/>
      </c>
      <c r="CE166" s="398">
        <f t="shared" ca="1" si="686"/>
        <v>768</v>
      </c>
      <c r="CF166" s="400">
        <f ca="1">IF(MAX(IF($E$6="No",ROUNDUP($E$3/$I166,0),ROUNDUP(($E$3+$I166)/$I166,0)),IF($E$6="No",ROUNDUP($E$4/$G166,0),ROUNDUP(($E$4+$G166)/$G166,0)),ROUNDUP('BVMS checklist'!$H$217/$J166,0))&gt;1,'BVMS checklist'!$N$224,'BVMS checklist'!$N$217)+MAX(IF($E$6="No",ROUNDUP($E$3/$I166,0),ROUNDUP(($E$3+$I166)/$I166,0)),IF($E$6="No",ROUNDUP($E$4/$G166,0),ROUNDUP(($E$4+$G166)/$G166,0)))+$E$5</f>
        <v>1</v>
      </c>
      <c r="CG166" s="400" t="b">
        <f t="shared" ca="1" si="632"/>
        <v>1</v>
      </c>
      <c r="CH166" s="400" t="str">
        <f t="shared" ca="1" si="687"/>
        <v>Accepted</v>
      </c>
      <c r="CI166" s="398" t="str">
        <f t="shared" ca="1" si="659"/>
        <v>No</v>
      </c>
      <c r="CJ166" s="398" t="str">
        <f t="shared" ca="1" si="688"/>
        <v/>
      </c>
      <c r="CK166" s="398" t="str">
        <f t="shared" ca="1" si="652"/>
        <v/>
      </c>
      <c r="CL166" s="398">
        <f t="shared" ca="1" si="653"/>
        <v>6</v>
      </c>
      <c r="CM166" s="398">
        <f t="shared" ca="1" si="689"/>
        <v>2</v>
      </c>
      <c r="CN166" s="398">
        <f t="shared" ca="1" si="690"/>
        <v>384</v>
      </c>
      <c r="CO166" s="398">
        <f t="shared" ca="1" si="691"/>
        <v>312816</v>
      </c>
      <c r="CP166" s="399">
        <f t="shared" si="622"/>
        <v>0</v>
      </c>
      <c r="CQ166" s="399">
        <f t="shared" si="623"/>
        <v>0</v>
      </c>
      <c r="CR166" s="483" t="str">
        <f t="shared" ca="1" si="654"/>
        <v/>
      </c>
      <c r="CS166"/>
    </row>
    <row r="167" spans="1:97">
      <c r="A167" s="398" t="s">
        <v>493</v>
      </c>
      <c r="B167" s="398" t="s">
        <v>987</v>
      </c>
      <c r="C167" s="440" t="s">
        <v>891</v>
      </c>
      <c r="D167" s="398">
        <v>4</v>
      </c>
      <c r="E167" s="398"/>
      <c r="F167" s="440">
        <v>0</v>
      </c>
      <c r="G167" s="398">
        <f>IF(C167="RAID5",(((7-F167)*7448))+(3*(((7-F167)*7448))),(((6-F167)*7448))+(3*(((6-F167)*7448))))</f>
        <v>208544</v>
      </c>
      <c r="H167" s="399">
        <v>256</v>
      </c>
      <c r="I167" s="399">
        <v>2125</v>
      </c>
      <c r="J167" s="399">
        <v>512</v>
      </c>
      <c r="K167" s="399"/>
      <c r="L167" s="399"/>
      <c r="M167" s="400">
        <f ca="1">IF(MAX(IF($B$6="No",ROUNDUP($B$3/$I167,0),ROUNDUP(($B$3+$I167)/$I167,0)),IF($B$6="No",ROUNDUP($B$4/$G167,0),ROUNDUP(($B$4+$G167)/$G167,0)),ROUNDUP('BVMS checklist'!$H$217/$J167,0))&gt;1,'BVMS checklist'!$H$224,'BVMS checklist'!$H$217)</f>
        <v>0</v>
      </c>
      <c r="N167" s="398">
        <f t="shared" ca="1" si="633"/>
        <v>2</v>
      </c>
      <c r="O167" s="400">
        <f t="shared" ca="1" si="660"/>
        <v>2</v>
      </c>
      <c r="P167" s="400">
        <f t="shared" ca="1" si="624"/>
        <v>4250</v>
      </c>
      <c r="Q167" s="400">
        <f t="shared" ca="1" si="625"/>
        <v>0</v>
      </c>
      <c r="R167" s="398">
        <f t="shared" ca="1" si="626"/>
        <v>417088</v>
      </c>
      <c r="S167" s="401" t="str">
        <f t="shared" ca="1" si="634"/>
        <v/>
      </c>
      <c r="T167" s="398">
        <f t="shared" ca="1" si="635"/>
        <v>1024</v>
      </c>
      <c r="U167" s="400">
        <f ca="1">IF(MAX(IF($B$6="No",ROUNDUP($B$3/$I167,0),ROUNDUP(($B$3+$I167)/$I167,0)),IF($B$6="No",ROUNDUP($B$4/$G167,0),ROUNDUP(($B$4+$G167)/$G167,0)),ROUNDUP('BVMS checklist'!$H$217/$J167,0))&gt;1,'BVMS checklist'!$H$224,'BVMS checklist'!$H$217)+MAX(IF($B$6="No",ROUNDUP($B$3/$I167,0),ROUNDUP(($B$3+$I167)/$I167,0)),IF($B$6="No",ROUNDUP($B$4/$G167,0),ROUNDUP(($B$4+$G167)/$G167,0)))+$B$5</f>
        <v>1</v>
      </c>
      <c r="V167" s="400" t="b">
        <f t="shared" ca="1" si="627"/>
        <v>1</v>
      </c>
      <c r="W167" s="400" t="str">
        <f t="shared" ca="1" si="661"/>
        <v>Accepted</v>
      </c>
      <c r="X167" s="398" t="str">
        <f t="shared" ca="1" si="636"/>
        <v>No</v>
      </c>
      <c r="Y167" s="398" t="str">
        <f t="shared" ca="1" si="637"/>
        <v/>
      </c>
      <c r="Z167" s="398" t="str">
        <f t="shared" ca="1" si="638"/>
        <v/>
      </c>
      <c r="AA167" s="398">
        <f t="shared" ca="1" si="662"/>
        <v>6</v>
      </c>
      <c r="AB167" s="398">
        <f t="shared" ca="1" si="628"/>
        <v>2</v>
      </c>
      <c r="AC167" s="398">
        <f t="shared" ca="1" si="629"/>
        <v>512</v>
      </c>
      <c r="AD167" s="398">
        <f t="shared" ca="1" si="663"/>
        <v>417088</v>
      </c>
      <c r="AE167" s="399">
        <f t="shared" si="616"/>
        <v>0</v>
      </c>
      <c r="AF167" s="399">
        <f t="shared" si="617"/>
        <v>0</v>
      </c>
      <c r="AG167" s="483" t="str">
        <f t="shared" ca="1" si="639"/>
        <v/>
      </c>
      <c r="AH167" s="400">
        <f ca="1">IF(MAX(IF($C$6="No",ROUNDUP($C$3/$I167,0),ROUNDUP(($C$3+$I167)/$I167,0)),IF($C$6="No",ROUNDUP($C$4/$G167,0),ROUNDUP(($C$4+$G167)/$G167,0)),ROUNDUP('BVMS checklist'!$H$217/$J167,0))&gt;1,'BVMS checklist'!$J$224,'BVMS checklist'!$J$217)</f>
        <v>0</v>
      </c>
      <c r="AI167" s="398">
        <f t="shared" ca="1" si="640"/>
        <v>2</v>
      </c>
      <c r="AJ167" s="400">
        <f t="shared" ca="1" si="664"/>
        <v>2</v>
      </c>
      <c r="AK167" s="400">
        <f t="shared" ca="1" si="665"/>
        <v>4250</v>
      </c>
      <c r="AL167" s="400">
        <f t="shared" ca="1" si="666"/>
        <v>0</v>
      </c>
      <c r="AM167" s="398">
        <f t="shared" ca="1" si="667"/>
        <v>417088</v>
      </c>
      <c r="AN167" s="401" t="str">
        <f t="shared" ca="1" si="641"/>
        <v/>
      </c>
      <c r="AO167" s="398">
        <f t="shared" ca="1" si="668"/>
        <v>1024</v>
      </c>
      <c r="AP167" s="400">
        <f ca="1">IF(MAX(IF($C$6="No",ROUNDUP($C$3/$I167,0),ROUNDUP(($C$3+$I167)/$I167,0)),IF($C$6="No",ROUNDUP($C$4/$G167,0),ROUNDUP(($C$4+$G167)/$G167,0)),ROUNDUP('BVMS checklist'!$H$217/$J167,0))&gt;1,'BVMS checklist'!$J$224,'BVMS checklist'!$J$217)+MAX(IF($C$6="No",ROUNDUP($C$3/$I167,0),ROUNDUP(($C$3+$I167)/$I167,0)),IF($C$6="No",ROUNDUP($C$4/$G167,0),ROUNDUP(($C$4+$G167)/$G167,0)))+$C$5</f>
        <v>1</v>
      </c>
      <c r="AQ167" s="400" t="b">
        <f t="shared" ca="1" si="630"/>
        <v>1</v>
      </c>
      <c r="AR167" s="400" t="str">
        <f t="shared" ca="1" si="669"/>
        <v>Accepted</v>
      </c>
      <c r="AS167" s="398" t="str">
        <f t="shared" ca="1" si="655"/>
        <v>No</v>
      </c>
      <c r="AT167" s="398" t="str">
        <f t="shared" ca="1" si="670"/>
        <v/>
      </c>
      <c r="AU167" s="398" t="str">
        <f t="shared" ca="1" si="642"/>
        <v/>
      </c>
      <c r="AV167" s="398">
        <f t="shared" ca="1" si="643"/>
        <v>6</v>
      </c>
      <c r="AW167" s="398">
        <f t="shared" ca="1" si="671"/>
        <v>2</v>
      </c>
      <c r="AX167" s="398">
        <f t="shared" ca="1" si="672"/>
        <v>512</v>
      </c>
      <c r="AY167" s="398">
        <f t="shared" ca="1" si="673"/>
        <v>417088</v>
      </c>
      <c r="AZ167" s="399">
        <f t="shared" si="618"/>
        <v>0</v>
      </c>
      <c r="BA167" s="399">
        <f t="shared" si="619"/>
        <v>0</v>
      </c>
      <c r="BB167" s="483" t="str">
        <f t="shared" ca="1" si="644"/>
        <v/>
      </c>
      <c r="BC167" s="400">
        <f ca="1">IF(MAX(IF($D$6="No",ROUNDUP($D$3/$I167,0),ROUNDUP(($D$3+$I167)/$I167,0)),IF($D$6="No",ROUNDUP($D$4/$G167,0),ROUNDUP(($D$4+$G167)/$G167,0)),ROUNDUP('BVMS checklist'!$H$217/$J167,0))&gt;1,'BVMS checklist'!$L$224,'BVMS checklist'!$L$217)</f>
        <v>0</v>
      </c>
      <c r="BD167" s="398">
        <f t="shared" ca="1" si="645"/>
        <v>2</v>
      </c>
      <c r="BE167" s="400">
        <f t="shared" si="674"/>
        <v>1</v>
      </c>
      <c r="BF167" s="400">
        <f t="shared" si="675"/>
        <v>2125</v>
      </c>
      <c r="BG167" s="400">
        <f t="shared" ca="1" si="656"/>
        <v>0</v>
      </c>
      <c r="BH167" s="398">
        <f t="shared" ca="1" si="676"/>
        <v>417088</v>
      </c>
      <c r="BI167" s="401" t="str">
        <f t="shared" ca="1" si="646"/>
        <v/>
      </c>
      <c r="BJ167" s="398">
        <f t="shared" ca="1" si="677"/>
        <v>1024</v>
      </c>
      <c r="BK167" s="400">
        <f ca="1">IF(MAX(IF($D$6="No",ROUNDUP($D$3/$I167,0),ROUNDUP(($D$3+$I167)/$I167,0)),IF($D$6="No",ROUNDUP($D$4/$G167,0),ROUNDUP(($D$4+$G167)/$G167,0)),ROUNDUP('BVMS checklist'!$H$217/$J167,0))&gt;1,'BVMS checklist'!$L$224,'BVMS checklist'!$L$217)+MAX(IF($D$6="No",ROUNDUP($D$3/$I167,0),ROUNDUP(($D$3+$I167)/$I167,0)),IF($D$6="No",ROUNDUP($D$4/$G167,0),ROUNDUP(($D$4+$G167)/$G167,0)))+$D$5</f>
        <v>1</v>
      </c>
      <c r="BL167" s="400" t="b">
        <f t="shared" ca="1" si="631"/>
        <v>1</v>
      </c>
      <c r="BM167" s="400" t="str">
        <f t="shared" ca="1" si="678"/>
        <v>Accepted</v>
      </c>
      <c r="BN167" s="398" t="str">
        <f t="shared" ca="1" si="657"/>
        <v>No</v>
      </c>
      <c r="BO167" s="398" t="str">
        <f t="shared" ca="1" si="679"/>
        <v/>
      </c>
      <c r="BP167" s="398" t="str">
        <f t="shared" ca="1" si="647"/>
        <v/>
      </c>
      <c r="BQ167" s="398">
        <f t="shared" ca="1" si="648"/>
        <v>6</v>
      </c>
      <c r="BR167" s="398">
        <f t="shared" ca="1" si="680"/>
        <v>2</v>
      </c>
      <c r="BS167" s="398">
        <f t="shared" ca="1" si="681"/>
        <v>512</v>
      </c>
      <c r="BT167" s="398">
        <f t="shared" ca="1" si="682"/>
        <v>417088</v>
      </c>
      <c r="BU167" s="399">
        <f t="shared" si="620"/>
        <v>0</v>
      </c>
      <c r="BV167" s="399">
        <f t="shared" si="621"/>
        <v>0</v>
      </c>
      <c r="BW167" s="483" t="str">
        <f t="shared" ca="1" si="649"/>
        <v/>
      </c>
      <c r="BX167" s="400">
        <f ca="1">IF(MAX(IF($E$6="No",ROUNDUP($E$3/$I167,0),ROUNDUP(($E$3+$I167)/$I167,0)),IF($E$6="No",ROUNDUP($E$4/$G167,0),ROUNDUP(($E$4+$G167)/$G167,0)),ROUNDUP('BVMS checklist'!$H$217/$J167,0))&gt;1,'BVMS checklist'!$N$224,'BVMS checklist'!$N$217)</f>
        <v>0</v>
      </c>
      <c r="BY167" s="398">
        <f t="shared" ca="1" si="650"/>
        <v>2</v>
      </c>
      <c r="BZ167" s="400">
        <f t="shared" ca="1" si="683"/>
        <v>2</v>
      </c>
      <c r="CA167" s="400">
        <f t="shared" ca="1" si="684"/>
        <v>4250</v>
      </c>
      <c r="CB167" s="400">
        <f t="shared" ca="1" si="658"/>
        <v>0</v>
      </c>
      <c r="CC167" s="398">
        <f t="shared" ca="1" si="685"/>
        <v>417088</v>
      </c>
      <c r="CD167" s="401" t="str">
        <f t="shared" ca="1" si="651"/>
        <v/>
      </c>
      <c r="CE167" s="398">
        <f t="shared" ca="1" si="686"/>
        <v>1024</v>
      </c>
      <c r="CF167" s="400">
        <f ca="1">IF(MAX(IF($E$6="No",ROUNDUP($E$3/$I167,0),ROUNDUP(($E$3+$I167)/$I167,0)),IF($E$6="No",ROUNDUP($E$4/$G167,0),ROUNDUP(($E$4+$G167)/$G167,0)),ROUNDUP('BVMS checklist'!$H$217/$J167,0))&gt;1,'BVMS checklist'!$N$224,'BVMS checklist'!$N$217)+MAX(IF($E$6="No",ROUNDUP($E$3/$I167,0),ROUNDUP(($E$3+$I167)/$I167,0)),IF($E$6="No",ROUNDUP($E$4/$G167,0),ROUNDUP(($E$4+$G167)/$G167,0)))+$E$5</f>
        <v>1</v>
      </c>
      <c r="CG167" s="400" t="b">
        <f t="shared" ca="1" si="632"/>
        <v>1</v>
      </c>
      <c r="CH167" s="400" t="str">
        <f t="shared" ca="1" si="687"/>
        <v>Accepted</v>
      </c>
      <c r="CI167" s="398" t="str">
        <f t="shared" ca="1" si="659"/>
        <v>No</v>
      </c>
      <c r="CJ167" s="398" t="str">
        <f t="shared" ca="1" si="688"/>
        <v/>
      </c>
      <c r="CK167" s="398" t="str">
        <f t="shared" ca="1" si="652"/>
        <v/>
      </c>
      <c r="CL167" s="398">
        <f t="shared" ca="1" si="653"/>
        <v>6</v>
      </c>
      <c r="CM167" s="398">
        <f t="shared" ca="1" si="689"/>
        <v>2</v>
      </c>
      <c r="CN167" s="398">
        <f t="shared" ca="1" si="690"/>
        <v>512</v>
      </c>
      <c r="CO167" s="398">
        <f t="shared" ca="1" si="691"/>
        <v>417088</v>
      </c>
      <c r="CP167" s="399">
        <f t="shared" si="622"/>
        <v>0</v>
      </c>
      <c r="CQ167" s="399">
        <f t="shared" si="623"/>
        <v>0</v>
      </c>
      <c r="CR167" s="483" t="str">
        <f t="shared" ca="1" si="654"/>
        <v/>
      </c>
      <c r="CS167"/>
    </row>
    <row r="168" spans="1:97">
      <c r="A168" s="398" t="s">
        <v>494</v>
      </c>
      <c r="B168" s="398" t="s">
        <v>987</v>
      </c>
      <c r="C168" s="440" t="s">
        <v>891</v>
      </c>
      <c r="D168" s="398">
        <v>5</v>
      </c>
      <c r="E168" s="398"/>
      <c r="F168" s="440">
        <v>0</v>
      </c>
      <c r="G168" s="398">
        <f>IF(C168="RAID5",(((7-F168)*7448))+(4*(((7-F168)*7448))),(((6-F168)*7448))+(4*(((6-F168)*7448))))</f>
        <v>260680</v>
      </c>
      <c r="H168" s="399">
        <v>320</v>
      </c>
      <c r="I168" s="399">
        <v>2675</v>
      </c>
      <c r="J168" s="399">
        <v>640</v>
      </c>
      <c r="K168" s="399"/>
      <c r="L168" s="399"/>
      <c r="M168" s="400">
        <f ca="1">IF(MAX(IF($B$6="No",ROUNDUP($B$3/$I168,0),ROUNDUP(($B$3+$I168)/$I168,0)),IF($B$6="No",ROUNDUP($B$4/$G168,0),ROUNDUP(($B$4+$G168)/$G168,0)),ROUNDUP('BVMS checklist'!$H$217/$J168,0))&gt;1,'BVMS checklist'!$H$224,'BVMS checklist'!$H$217)</f>
        <v>0</v>
      </c>
      <c r="N168" s="398">
        <f t="shared" ca="1" si="633"/>
        <v>2</v>
      </c>
      <c r="O168" s="400">
        <f t="shared" ca="1" si="660"/>
        <v>2</v>
      </c>
      <c r="P168" s="400">
        <f t="shared" ca="1" si="624"/>
        <v>5350</v>
      </c>
      <c r="Q168" s="400">
        <f t="shared" ca="1" si="625"/>
        <v>0</v>
      </c>
      <c r="R168" s="398">
        <f t="shared" ca="1" si="626"/>
        <v>521360</v>
      </c>
      <c r="S168" s="401" t="str">
        <f t="shared" ca="1" si="634"/>
        <v/>
      </c>
      <c r="T168" s="398">
        <f t="shared" ca="1" si="635"/>
        <v>1280</v>
      </c>
      <c r="U168" s="400">
        <f ca="1">IF(MAX(IF($B$6="No",ROUNDUP($B$3/$I168,0),ROUNDUP(($B$3+$I168)/$I168,0)),IF($B$6="No",ROUNDUP($B$4/$G168,0),ROUNDUP(($B$4+$G168)/$G168,0)),ROUNDUP('BVMS checklist'!$H$217/$J168,0))&gt;1,'BVMS checklist'!$H$224,'BVMS checklist'!$H$217)+MAX(IF($B$6="No",ROUNDUP($B$3/$I168,0),ROUNDUP(($B$3+$I168)/$I168,0)),IF($B$6="No",ROUNDUP($B$4/$G168,0),ROUNDUP(($B$4+$G168)/$G168,0)))+$B$5</f>
        <v>1</v>
      </c>
      <c r="V168" s="400" t="b">
        <f t="shared" ca="1" si="627"/>
        <v>1</v>
      </c>
      <c r="W168" s="400" t="str">
        <f t="shared" ca="1" si="661"/>
        <v>Accepted</v>
      </c>
      <c r="X168" s="398" t="str">
        <f t="shared" ca="1" si="636"/>
        <v>No</v>
      </c>
      <c r="Y168" s="398" t="str">
        <f t="shared" ca="1" si="637"/>
        <v/>
      </c>
      <c r="Z168" s="398" t="str">
        <f t="shared" ca="1" si="638"/>
        <v/>
      </c>
      <c r="AA168" s="398">
        <f t="shared" ca="1" si="662"/>
        <v>6</v>
      </c>
      <c r="AB168" s="398">
        <f t="shared" ca="1" si="628"/>
        <v>2</v>
      </c>
      <c r="AC168" s="398">
        <f t="shared" ca="1" si="629"/>
        <v>640</v>
      </c>
      <c r="AD168" s="398">
        <f t="shared" ca="1" si="663"/>
        <v>521360</v>
      </c>
      <c r="AE168" s="399">
        <f t="shared" si="616"/>
        <v>0</v>
      </c>
      <c r="AF168" s="399">
        <f t="shared" si="617"/>
        <v>0</v>
      </c>
      <c r="AG168" s="483" t="str">
        <f t="shared" ca="1" si="639"/>
        <v/>
      </c>
      <c r="AH168" s="400">
        <f ca="1">IF(MAX(IF($C$6="No",ROUNDUP($C$3/$I168,0),ROUNDUP(($C$3+$I168)/$I168,0)),IF($C$6="No",ROUNDUP($C$4/$G168,0),ROUNDUP(($C$4+$G168)/$G168,0)),ROUNDUP('BVMS checklist'!$H$217/$J168,0))&gt;1,'BVMS checklist'!$J$224,'BVMS checklist'!$J$217)</f>
        <v>0</v>
      </c>
      <c r="AI168" s="398">
        <f t="shared" ca="1" si="640"/>
        <v>2</v>
      </c>
      <c r="AJ168" s="400">
        <f t="shared" ca="1" si="664"/>
        <v>2</v>
      </c>
      <c r="AK168" s="400">
        <f t="shared" ca="1" si="665"/>
        <v>5350</v>
      </c>
      <c r="AL168" s="400">
        <f t="shared" ca="1" si="666"/>
        <v>0</v>
      </c>
      <c r="AM168" s="398">
        <f t="shared" ca="1" si="667"/>
        <v>521360</v>
      </c>
      <c r="AN168" s="401" t="str">
        <f t="shared" ca="1" si="641"/>
        <v/>
      </c>
      <c r="AO168" s="398">
        <f t="shared" ca="1" si="668"/>
        <v>1280</v>
      </c>
      <c r="AP168" s="400">
        <f ca="1">IF(MAX(IF($C$6="No",ROUNDUP($C$3/$I168,0),ROUNDUP(($C$3+$I168)/$I168,0)),IF($C$6="No",ROUNDUP($C$4/$G168,0),ROUNDUP(($C$4+$G168)/$G168,0)),ROUNDUP('BVMS checklist'!$H$217/$J168,0))&gt;1,'BVMS checklist'!$J$224,'BVMS checklist'!$J$217)+MAX(IF($C$6="No",ROUNDUP($C$3/$I168,0),ROUNDUP(($C$3+$I168)/$I168,0)),IF($C$6="No",ROUNDUP($C$4/$G168,0),ROUNDUP(($C$4+$G168)/$G168,0)))+$C$5</f>
        <v>1</v>
      </c>
      <c r="AQ168" s="400" t="b">
        <f t="shared" ca="1" si="630"/>
        <v>1</v>
      </c>
      <c r="AR168" s="400" t="str">
        <f t="shared" ca="1" si="669"/>
        <v>Accepted</v>
      </c>
      <c r="AS168" s="398" t="str">
        <f t="shared" ca="1" si="655"/>
        <v>No</v>
      </c>
      <c r="AT168" s="398" t="str">
        <f t="shared" ca="1" si="670"/>
        <v/>
      </c>
      <c r="AU168" s="398" t="str">
        <f t="shared" ca="1" si="642"/>
        <v/>
      </c>
      <c r="AV168" s="398">
        <f t="shared" ca="1" si="643"/>
        <v>6</v>
      </c>
      <c r="AW168" s="398">
        <f t="shared" ca="1" si="671"/>
        <v>2</v>
      </c>
      <c r="AX168" s="398">
        <f t="shared" ca="1" si="672"/>
        <v>640</v>
      </c>
      <c r="AY168" s="398">
        <f t="shared" ca="1" si="673"/>
        <v>521360</v>
      </c>
      <c r="AZ168" s="399">
        <f t="shared" si="618"/>
        <v>0</v>
      </c>
      <c r="BA168" s="399">
        <f t="shared" si="619"/>
        <v>0</v>
      </c>
      <c r="BB168" s="483" t="str">
        <f t="shared" ca="1" si="644"/>
        <v/>
      </c>
      <c r="BC168" s="400">
        <f ca="1">IF(MAX(IF($D$6="No",ROUNDUP($D$3/$I168,0),ROUNDUP(($D$3+$I168)/$I168,0)),IF($D$6="No",ROUNDUP($D$4/$G168,0),ROUNDUP(($D$4+$G168)/$G168,0)),ROUNDUP('BVMS checklist'!$H$217/$J168,0))&gt;1,'BVMS checklist'!$L$224,'BVMS checklist'!$L$217)</f>
        <v>0</v>
      </c>
      <c r="BD168" s="398">
        <f t="shared" ca="1" si="645"/>
        <v>2</v>
      </c>
      <c r="BE168" s="400">
        <f t="shared" si="674"/>
        <v>1</v>
      </c>
      <c r="BF168" s="400">
        <f t="shared" si="675"/>
        <v>2675</v>
      </c>
      <c r="BG168" s="400">
        <f t="shared" ca="1" si="656"/>
        <v>0</v>
      </c>
      <c r="BH168" s="398">
        <f t="shared" ca="1" si="676"/>
        <v>521360</v>
      </c>
      <c r="BI168" s="401" t="str">
        <f t="shared" ca="1" si="646"/>
        <v/>
      </c>
      <c r="BJ168" s="398">
        <f t="shared" ca="1" si="677"/>
        <v>1280</v>
      </c>
      <c r="BK168" s="400">
        <f ca="1">IF(MAX(IF($D$6="No",ROUNDUP($D$3/$I168,0),ROUNDUP(($D$3+$I168)/$I168,0)),IF($D$6="No",ROUNDUP($D$4/$G168,0),ROUNDUP(($D$4+$G168)/$G168,0)),ROUNDUP('BVMS checklist'!$H$217/$J168,0))&gt;1,'BVMS checklist'!$L$224,'BVMS checklist'!$L$217)+MAX(IF($D$6="No",ROUNDUP($D$3/$I168,0),ROUNDUP(($D$3+$I168)/$I168,0)),IF($D$6="No",ROUNDUP($D$4/$G168,0),ROUNDUP(($D$4+$G168)/$G168,0)))+$D$5</f>
        <v>1</v>
      </c>
      <c r="BL168" s="400" t="b">
        <f t="shared" ca="1" si="631"/>
        <v>1</v>
      </c>
      <c r="BM168" s="400" t="str">
        <f t="shared" ca="1" si="678"/>
        <v>Accepted</v>
      </c>
      <c r="BN168" s="398" t="str">
        <f t="shared" ca="1" si="657"/>
        <v>No</v>
      </c>
      <c r="BO168" s="398" t="str">
        <f t="shared" ca="1" si="679"/>
        <v/>
      </c>
      <c r="BP168" s="398" t="str">
        <f t="shared" ca="1" si="647"/>
        <v/>
      </c>
      <c r="BQ168" s="398">
        <f t="shared" ca="1" si="648"/>
        <v>6</v>
      </c>
      <c r="BR168" s="398">
        <f t="shared" ca="1" si="680"/>
        <v>2</v>
      </c>
      <c r="BS168" s="398">
        <f t="shared" ca="1" si="681"/>
        <v>640</v>
      </c>
      <c r="BT168" s="398">
        <f t="shared" ca="1" si="682"/>
        <v>521360</v>
      </c>
      <c r="BU168" s="399">
        <f t="shared" si="620"/>
        <v>0</v>
      </c>
      <c r="BV168" s="399">
        <f t="shared" si="621"/>
        <v>0</v>
      </c>
      <c r="BW168" s="483" t="str">
        <f t="shared" ca="1" si="649"/>
        <v/>
      </c>
      <c r="BX168" s="400">
        <f ca="1">IF(MAX(IF($E$6="No",ROUNDUP($E$3/$I168,0),ROUNDUP(($E$3+$I168)/$I168,0)),IF($E$6="No",ROUNDUP($E$4/$G168,0),ROUNDUP(($E$4+$G168)/$G168,0)),ROUNDUP('BVMS checklist'!$H$217/$J168,0))&gt;1,'BVMS checklist'!$N$224,'BVMS checklist'!$N$217)</f>
        <v>0</v>
      </c>
      <c r="BY168" s="398">
        <f t="shared" ca="1" si="650"/>
        <v>2</v>
      </c>
      <c r="BZ168" s="400">
        <f t="shared" ca="1" si="683"/>
        <v>2</v>
      </c>
      <c r="CA168" s="400">
        <f t="shared" ca="1" si="684"/>
        <v>5350</v>
      </c>
      <c r="CB168" s="400">
        <f t="shared" ca="1" si="658"/>
        <v>0</v>
      </c>
      <c r="CC168" s="398">
        <f t="shared" ca="1" si="685"/>
        <v>521360</v>
      </c>
      <c r="CD168" s="401" t="str">
        <f t="shared" ca="1" si="651"/>
        <v/>
      </c>
      <c r="CE168" s="398">
        <f t="shared" ca="1" si="686"/>
        <v>1280</v>
      </c>
      <c r="CF168" s="400">
        <f ca="1">IF(MAX(IF($E$6="No",ROUNDUP($E$3/$I168,0),ROUNDUP(($E$3+$I168)/$I168,0)),IF($E$6="No",ROUNDUP($E$4/$G168,0),ROUNDUP(($E$4+$G168)/$G168,0)),ROUNDUP('BVMS checklist'!$H$217/$J168,0))&gt;1,'BVMS checklist'!$N$224,'BVMS checklist'!$N$217)+MAX(IF($E$6="No",ROUNDUP($E$3/$I168,0),ROUNDUP(($E$3+$I168)/$I168,0)),IF($E$6="No",ROUNDUP($E$4/$G168,0),ROUNDUP(($E$4+$G168)/$G168,0)))+$E$5</f>
        <v>1</v>
      </c>
      <c r="CG168" s="400" t="b">
        <f t="shared" ca="1" si="632"/>
        <v>1</v>
      </c>
      <c r="CH168" s="400" t="str">
        <f t="shared" ca="1" si="687"/>
        <v>Accepted</v>
      </c>
      <c r="CI168" s="398" t="str">
        <f t="shared" ca="1" si="659"/>
        <v>No</v>
      </c>
      <c r="CJ168" s="398" t="str">
        <f t="shared" ca="1" si="688"/>
        <v/>
      </c>
      <c r="CK168" s="398" t="str">
        <f t="shared" ca="1" si="652"/>
        <v/>
      </c>
      <c r="CL168" s="398">
        <f t="shared" ca="1" si="653"/>
        <v>6</v>
      </c>
      <c r="CM168" s="398">
        <f t="shared" ca="1" si="689"/>
        <v>2</v>
      </c>
      <c r="CN168" s="398">
        <f t="shared" ca="1" si="690"/>
        <v>640</v>
      </c>
      <c r="CO168" s="398">
        <f t="shared" ca="1" si="691"/>
        <v>521360</v>
      </c>
      <c r="CP168" s="399">
        <f t="shared" si="622"/>
        <v>0</v>
      </c>
      <c r="CQ168" s="399">
        <f t="shared" si="623"/>
        <v>0</v>
      </c>
      <c r="CR168" s="483" t="str">
        <f t="shared" ca="1" si="654"/>
        <v/>
      </c>
      <c r="CS168"/>
    </row>
    <row r="169" spans="1:97">
      <c r="A169" s="398" t="s">
        <v>495</v>
      </c>
      <c r="B169" s="398" t="s">
        <v>987</v>
      </c>
      <c r="C169" s="440" t="s">
        <v>891</v>
      </c>
      <c r="D169" s="398">
        <v>2</v>
      </c>
      <c r="E169" s="398"/>
      <c r="F169" s="440">
        <v>0</v>
      </c>
      <c r="G169" s="398">
        <f>IF(C169="RAID5",(((7-F169)*7448))+(1*(((15-F169)*7448))),(((6-F169)*7448))+(1*(((14-F169)*7448))))</f>
        <v>163856</v>
      </c>
      <c r="H169" s="399">
        <v>192</v>
      </c>
      <c r="I169" s="399">
        <v>1025</v>
      </c>
      <c r="J169" s="399">
        <v>256</v>
      </c>
      <c r="K169" s="399"/>
      <c r="L169" s="399"/>
      <c r="M169" s="400">
        <f ca="1">IF(MAX(IF($B$6="No",ROUNDUP($B$3/$I169,0),ROUNDUP(($B$3+$I169)/$I169,0)),IF($B$6="No",ROUNDUP($B$4/$G169,0),ROUNDUP(($B$4+$G169)/$G169,0)),ROUNDUP('BVMS checklist'!$H$217/$J169,0))&gt;1,'BVMS checklist'!$H$224,'BVMS checklist'!$H$217)</f>
        <v>0</v>
      </c>
      <c r="N169" s="398">
        <f t="shared" ca="1" si="633"/>
        <v>2</v>
      </c>
      <c r="O169" s="400">
        <f t="shared" ca="1" si="660"/>
        <v>2</v>
      </c>
      <c r="P169" s="400">
        <f t="shared" ca="1" si="624"/>
        <v>2050</v>
      </c>
      <c r="Q169" s="400">
        <f t="shared" ca="1" si="625"/>
        <v>0</v>
      </c>
      <c r="R169" s="398">
        <f t="shared" ca="1" si="626"/>
        <v>327712</v>
      </c>
      <c r="S169" s="401" t="str">
        <f t="shared" ca="1" si="634"/>
        <v/>
      </c>
      <c r="T169" s="398">
        <f t="shared" ca="1" si="635"/>
        <v>512</v>
      </c>
      <c r="U169" s="400">
        <f ca="1">IF(MAX(IF($B$6="No",ROUNDUP($B$3/$I169,0),ROUNDUP(($B$3+$I169)/$I169,0)),IF($B$6="No",ROUNDUP($B$4/$G169,0),ROUNDUP(($B$4+$G169)/$G169,0)),ROUNDUP('BVMS checklist'!$H$217/$J169,0))&gt;1,'BVMS checklist'!$H$224,'BVMS checklist'!$H$217)+MAX(IF($B$6="No",ROUNDUP($B$3/$I169,0),ROUNDUP(($B$3+$I169)/$I169,0)),IF($B$6="No",ROUNDUP($B$4/$G169,0),ROUNDUP(($B$4+$G169)/$G169,0)))+$B$5</f>
        <v>1</v>
      </c>
      <c r="V169" s="400" t="b">
        <f t="shared" ca="1" si="627"/>
        <v>1</v>
      </c>
      <c r="W169" s="400" t="str">
        <f t="shared" ca="1" si="661"/>
        <v>Accepted</v>
      </c>
      <c r="X169" s="398" t="str">
        <f t="shared" ca="1" si="636"/>
        <v>No</v>
      </c>
      <c r="Y169" s="398" t="str">
        <f t="shared" ca="1" si="637"/>
        <v/>
      </c>
      <c r="Z169" s="398" t="str">
        <f t="shared" ca="1" si="638"/>
        <v/>
      </c>
      <c r="AA169" s="398">
        <f t="shared" ca="1" si="662"/>
        <v>6</v>
      </c>
      <c r="AB169" s="398">
        <f t="shared" ca="1" si="628"/>
        <v>2</v>
      </c>
      <c r="AC169" s="398">
        <f t="shared" ca="1" si="629"/>
        <v>384</v>
      </c>
      <c r="AD169" s="398">
        <f t="shared" ca="1" si="663"/>
        <v>327712</v>
      </c>
      <c r="AE169" s="399">
        <f t="shared" si="616"/>
        <v>0</v>
      </c>
      <c r="AF169" s="399">
        <f t="shared" si="617"/>
        <v>0</v>
      </c>
      <c r="AG169" s="483" t="str">
        <f t="shared" ca="1" si="639"/>
        <v/>
      </c>
      <c r="AH169" s="400">
        <f ca="1">IF(MAX(IF($C$6="No",ROUNDUP($C$3/$I169,0),ROUNDUP(($C$3+$I169)/$I169,0)),IF($C$6="No",ROUNDUP($C$4/$G169,0),ROUNDUP(($C$4+$G169)/$G169,0)),ROUNDUP('BVMS checklist'!$H$217/$J169,0))&gt;1,'BVMS checklist'!$J$224,'BVMS checklist'!$J$217)</f>
        <v>0</v>
      </c>
      <c r="AI169" s="398">
        <f t="shared" ca="1" si="640"/>
        <v>2</v>
      </c>
      <c r="AJ169" s="400">
        <f t="shared" ca="1" si="664"/>
        <v>2</v>
      </c>
      <c r="AK169" s="400">
        <f t="shared" ca="1" si="665"/>
        <v>2050</v>
      </c>
      <c r="AL169" s="400">
        <f t="shared" ca="1" si="666"/>
        <v>0</v>
      </c>
      <c r="AM169" s="398">
        <f t="shared" ca="1" si="667"/>
        <v>327712</v>
      </c>
      <c r="AN169" s="401" t="str">
        <f t="shared" ca="1" si="641"/>
        <v/>
      </c>
      <c r="AO169" s="398">
        <f t="shared" ca="1" si="668"/>
        <v>512</v>
      </c>
      <c r="AP169" s="400">
        <f ca="1">IF(MAX(IF($C$6="No",ROUNDUP($C$3/$I169,0),ROUNDUP(($C$3+$I169)/$I169,0)),IF($C$6="No",ROUNDUP($C$4/$G169,0),ROUNDUP(($C$4+$G169)/$G169,0)),ROUNDUP('BVMS checklist'!$H$217/$J169,0))&gt;1,'BVMS checklist'!$J$224,'BVMS checklist'!$J$217)+MAX(IF($C$6="No",ROUNDUP($C$3/$I169,0),ROUNDUP(($C$3+$I169)/$I169,0)),IF($C$6="No",ROUNDUP($C$4/$G169,0),ROUNDUP(($C$4+$G169)/$G169,0)))+$C$5</f>
        <v>1</v>
      </c>
      <c r="AQ169" s="400" t="b">
        <f t="shared" ca="1" si="630"/>
        <v>1</v>
      </c>
      <c r="AR169" s="400" t="str">
        <f t="shared" ca="1" si="669"/>
        <v>Accepted</v>
      </c>
      <c r="AS169" s="398" t="str">
        <f t="shared" ca="1" si="655"/>
        <v>No</v>
      </c>
      <c r="AT169" s="398" t="str">
        <f t="shared" ca="1" si="670"/>
        <v/>
      </c>
      <c r="AU169" s="398" t="str">
        <f t="shared" ca="1" si="642"/>
        <v/>
      </c>
      <c r="AV169" s="398">
        <f t="shared" ca="1" si="643"/>
        <v>6</v>
      </c>
      <c r="AW169" s="398">
        <f t="shared" ca="1" si="671"/>
        <v>2</v>
      </c>
      <c r="AX169" s="398">
        <f t="shared" ca="1" si="672"/>
        <v>384</v>
      </c>
      <c r="AY169" s="398">
        <f t="shared" ca="1" si="673"/>
        <v>327712</v>
      </c>
      <c r="AZ169" s="399">
        <f t="shared" si="618"/>
        <v>0</v>
      </c>
      <c r="BA169" s="399">
        <f t="shared" si="619"/>
        <v>0</v>
      </c>
      <c r="BB169" s="483" t="str">
        <f t="shared" ca="1" si="644"/>
        <v/>
      </c>
      <c r="BC169" s="400">
        <f ca="1">IF(MAX(IF($D$6="No",ROUNDUP($D$3/$I169,0),ROUNDUP(($D$3+$I169)/$I169,0)),IF($D$6="No",ROUNDUP($D$4/$G169,0),ROUNDUP(($D$4+$G169)/$G169,0)),ROUNDUP('BVMS checklist'!$H$217/$J169,0))&gt;1,'BVMS checklist'!$L$224,'BVMS checklist'!$L$217)</f>
        <v>0</v>
      </c>
      <c r="BD169" s="398">
        <f t="shared" ca="1" si="645"/>
        <v>2</v>
      </c>
      <c r="BE169" s="400">
        <f t="shared" si="674"/>
        <v>1</v>
      </c>
      <c r="BF169" s="400">
        <f t="shared" si="675"/>
        <v>1025</v>
      </c>
      <c r="BG169" s="400">
        <f t="shared" ca="1" si="656"/>
        <v>0</v>
      </c>
      <c r="BH169" s="398">
        <f t="shared" ca="1" si="676"/>
        <v>327712</v>
      </c>
      <c r="BI169" s="401" t="str">
        <f t="shared" ca="1" si="646"/>
        <v/>
      </c>
      <c r="BJ169" s="398">
        <f t="shared" ca="1" si="677"/>
        <v>512</v>
      </c>
      <c r="BK169" s="400">
        <f ca="1">IF(MAX(IF($D$6="No",ROUNDUP($D$3/$I169,0),ROUNDUP(($D$3+$I169)/$I169,0)),IF($D$6="No",ROUNDUP($D$4/$G169,0),ROUNDUP(($D$4+$G169)/$G169,0)),ROUNDUP('BVMS checklist'!$H$217/$J169,0))&gt;1,'BVMS checklist'!$L$224,'BVMS checklist'!$L$217)+MAX(IF($D$6="No",ROUNDUP($D$3/$I169,0),ROUNDUP(($D$3+$I169)/$I169,0)),IF($D$6="No",ROUNDUP($D$4/$G169,0),ROUNDUP(($D$4+$G169)/$G169,0)))+$D$5</f>
        <v>1</v>
      </c>
      <c r="BL169" s="400" t="b">
        <f t="shared" ca="1" si="631"/>
        <v>1</v>
      </c>
      <c r="BM169" s="400" t="str">
        <f t="shared" ca="1" si="678"/>
        <v>Accepted</v>
      </c>
      <c r="BN169" s="398" t="str">
        <f t="shared" ca="1" si="657"/>
        <v>No</v>
      </c>
      <c r="BO169" s="398" t="str">
        <f t="shared" ca="1" si="679"/>
        <v/>
      </c>
      <c r="BP169" s="398" t="str">
        <f t="shared" ca="1" si="647"/>
        <v/>
      </c>
      <c r="BQ169" s="398">
        <f t="shared" ca="1" si="648"/>
        <v>6</v>
      </c>
      <c r="BR169" s="398">
        <f t="shared" ca="1" si="680"/>
        <v>2</v>
      </c>
      <c r="BS169" s="398">
        <f t="shared" ca="1" si="681"/>
        <v>384</v>
      </c>
      <c r="BT169" s="398">
        <f t="shared" ca="1" si="682"/>
        <v>327712</v>
      </c>
      <c r="BU169" s="399">
        <f t="shared" si="620"/>
        <v>0</v>
      </c>
      <c r="BV169" s="399">
        <f t="shared" si="621"/>
        <v>0</v>
      </c>
      <c r="BW169" s="483" t="str">
        <f t="shared" ca="1" si="649"/>
        <v/>
      </c>
      <c r="BX169" s="400">
        <f ca="1">IF(MAX(IF($E$6="No",ROUNDUP($E$3/$I169,0),ROUNDUP(($E$3+$I169)/$I169,0)),IF($E$6="No",ROUNDUP($E$4/$G169,0),ROUNDUP(($E$4+$G169)/$G169,0)),ROUNDUP('BVMS checklist'!$H$217/$J169,0))&gt;1,'BVMS checklist'!$N$224,'BVMS checklist'!$N$217)</f>
        <v>0</v>
      </c>
      <c r="BY169" s="398">
        <f t="shared" ca="1" si="650"/>
        <v>2</v>
      </c>
      <c r="BZ169" s="400">
        <f t="shared" ca="1" si="683"/>
        <v>2</v>
      </c>
      <c r="CA169" s="400">
        <f t="shared" ca="1" si="684"/>
        <v>2050</v>
      </c>
      <c r="CB169" s="400">
        <f t="shared" ca="1" si="658"/>
        <v>0</v>
      </c>
      <c r="CC169" s="398">
        <f t="shared" ca="1" si="685"/>
        <v>327712</v>
      </c>
      <c r="CD169" s="401" t="str">
        <f t="shared" ca="1" si="651"/>
        <v/>
      </c>
      <c r="CE169" s="398">
        <f t="shared" ca="1" si="686"/>
        <v>512</v>
      </c>
      <c r="CF169" s="400">
        <f ca="1">IF(MAX(IF($E$6="No",ROUNDUP($E$3/$I169,0),ROUNDUP(($E$3+$I169)/$I169,0)),IF($E$6="No",ROUNDUP($E$4/$G169,0),ROUNDUP(($E$4+$G169)/$G169,0)),ROUNDUP('BVMS checklist'!$H$217/$J169,0))&gt;1,'BVMS checklist'!$N$224,'BVMS checklist'!$N$217)+MAX(IF($E$6="No",ROUNDUP($E$3/$I169,0),ROUNDUP(($E$3+$I169)/$I169,0)),IF($E$6="No",ROUNDUP($E$4/$G169,0),ROUNDUP(($E$4+$G169)/$G169,0)))+$E$5</f>
        <v>1</v>
      </c>
      <c r="CG169" s="400" t="b">
        <f t="shared" ca="1" si="632"/>
        <v>1</v>
      </c>
      <c r="CH169" s="400" t="str">
        <f t="shared" ca="1" si="687"/>
        <v>Accepted</v>
      </c>
      <c r="CI169" s="398" t="str">
        <f t="shared" ca="1" si="659"/>
        <v>No</v>
      </c>
      <c r="CJ169" s="398" t="str">
        <f t="shared" ca="1" si="688"/>
        <v/>
      </c>
      <c r="CK169" s="398" t="str">
        <f t="shared" ca="1" si="652"/>
        <v/>
      </c>
      <c r="CL169" s="398">
        <f t="shared" ca="1" si="653"/>
        <v>6</v>
      </c>
      <c r="CM169" s="398">
        <f t="shared" ca="1" si="689"/>
        <v>2</v>
      </c>
      <c r="CN169" s="398">
        <f t="shared" ca="1" si="690"/>
        <v>384</v>
      </c>
      <c r="CO169" s="398">
        <f t="shared" ca="1" si="691"/>
        <v>327712</v>
      </c>
      <c r="CP169" s="399">
        <f t="shared" si="622"/>
        <v>0</v>
      </c>
      <c r="CQ169" s="399">
        <f t="shared" si="623"/>
        <v>0</v>
      </c>
      <c r="CR169" s="483" t="str">
        <f t="shared" ca="1" si="654"/>
        <v/>
      </c>
      <c r="CS169"/>
    </row>
    <row r="170" spans="1:97">
      <c r="A170" s="398" t="s">
        <v>496</v>
      </c>
      <c r="B170" s="398" t="s">
        <v>987</v>
      </c>
      <c r="C170" s="440" t="s">
        <v>891</v>
      </c>
      <c r="D170" s="398">
        <v>3</v>
      </c>
      <c r="E170" s="398"/>
      <c r="F170" s="440">
        <v>0</v>
      </c>
      <c r="G170" s="398">
        <f>IF(C170="RAID5",(((7-F170)*7448))+(2*(((15-F170)*7448))),(((6-F170)*7448))+(2*(((14-F170)*7448))))</f>
        <v>275576</v>
      </c>
      <c r="H170" s="399">
        <v>320</v>
      </c>
      <c r="I170" s="399">
        <v>1575</v>
      </c>
      <c r="J170" s="399">
        <v>384</v>
      </c>
      <c r="K170" s="399"/>
      <c r="L170" s="399"/>
      <c r="M170" s="400">
        <f ca="1">IF(MAX(IF($B$6="No",ROUNDUP($B$3/$I170,0),ROUNDUP(($B$3+$I170)/$I170,0)),IF($B$6="No",ROUNDUP($B$4/$G170,0),ROUNDUP(($B$4+$G170)/$G170,0)),ROUNDUP('BVMS checklist'!$H$217/$J170,0))&gt;1,'BVMS checklist'!$H$224,'BVMS checklist'!$H$217)</f>
        <v>0</v>
      </c>
      <c r="N170" s="398">
        <f t="shared" ca="1" si="633"/>
        <v>2</v>
      </c>
      <c r="O170" s="400">
        <f t="shared" ca="1" si="660"/>
        <v>2</v>
      </c>
      <c r="P170" s="400">
        <f t="shared" ca="1" si="624"/>
        <v>3150</v>
      </c>
      <c r="Q170" s="400">
        <f t="shared" ca="1" si="625"/>
        <v>0</v>
      </c>
      <c r="R170" s="398">
        <f t="shared" ca="1" si="626"/>
        <v>551152</v>
      </c>
      <c r="S170" s="401" t="str">
        <f t="shared" ca="1" si="634"/>
        <v/>
      </c>
      <c r="T170" s="398">
        <f t="shared" ca="1" si="635"/>
        <v>768</v>
      </c>
      <c r="U170" s="400">
        <f ca="1">IF(MAX(IF($B$6="No",ROUNDUP($B$3/$I170,0),ROUNDUP(($B$3+$I170)/$I170,0)),IF($B$6="No",ROUNDUP($B$4/$G170,0),ROUNDUP(($B$4+$G170)/$G170,0)),ROUNDUP('BVMS checklist'!$H$217/$J170,0))&gt;1,'BVMS checklist'!$H$224,'BVMS checklist'!$H$217)+MAX(IF($B$6="No",ROUNDUP($B$3/$I170,0),ROUNDUP(($B$3+$I170)/$I170,0)),IF($B$6="No",ROUNDUP($B$4/$G170,0),ROUNDUP(($B$4+$G170)/$G170,0)))+$B$5</f>
        <v>1</v>
      </c>
      <c r="V170" s="400" t="b">
        <f t="shared" ca="1" si="627"/>
        <v>1</v>
      </c>
      <c r="W170" s="400" t="str">
        <f t="shared" ca="1" si="661"/>
        <v>Accepted</v>
      </c>
      <c r="X170" s="398" t="str">
        <f t="shared" ca="1" si="636"/>
        <v>No</v>
      </c>
      <c r="Y170" s="398" t="str">
        <f t="shared" ca="1" si="637"/>
        <v/>
      </c>
      <c r="Z170" s="398" t="str">
        <f t="shared" ca="1" si="638"/>
        <v/>
      </c>
      <c r="AA170" s="398">
        <f t="shared" ca="1" si="662"/>
        <v>6</v>
      </c>
      <c r="AB170" s="398">
        <f t="shared" ca="1" si="628"/>
        <v>2</v>
      </c>
      <c r="AC170" s="398">
        <f t="shared" ca="1" si="629"/>
        <v>640</v>
      </c>
      <c r="AD170" s="398">
        <f t="shared" ca="1" si="663"/>
        <v>551152</v>
      </c>
      <c r="AE170" s="399">
        <f t="shared" si="616"/>
        <v>0</v>
      </c>
      <c r="AF170" s="399">
        <f t="shared" si="617"/>
        <v>0</v>
      </c>
      <c r="AG170" s="483" t="str">
        <f t="shared" ca="1" si="639"/>
        <v/>
      </c>
      <c r="AH170" s="400">
        <f ca="1">IF(MAX(IF($C$6="No",ROUNDUP($C$3/$I170,0),ROUNDUP(($C$3+$I170)/$I170,0)),IF($C$6="No",ROUNDUP($C$4/$G170,0),ROUNDUP(($C$4+$G170)/$G170,0)),ROUNDUP('BVMS checklist'!$H$217/$J170,0))&gt;1,'BVMS checklist'!$J$224,'BVMS checklist'!$J$217)</f>
        <v>0</v>
      </c>
      <c r="AI170" s="398">
        <f t="shared" ca="1" si="640"/>
        <v>2</v>
      </c>
      <c r="AJ170" s="400">
        <f t="shared" ca="1" si="664"/>
        <v>2</v>
      </c>
      <c r="AK170" s="400">
        <f t="shared" ca="1" si="665"/>
        <v>3150</v>
      </c>
      <c r="AL170" s="400">
        <f t="shared" ca="1" si="666"/>
        <v>0</v>
      </c>
      <c r="AM170" s="398">
        <f t="shared" ca="1" si="667"/>
        <v>551152</v>
      </c>
      <c r="AN170" s="401" t="str">
        <f t="shared" ca="1" si="641"/>
        <v/>
      </c>
      <c r="AO170" s="398">
        <f t="shared" ca="1" si="668"/>
        <v>768</v>
      </c>
      <c r="AP170" s="400">
        <f ca="1">IF(MAX(IF($C$6="No",ROUNDUP($C$3/$I170,0),ROUNDUP(($C$3+$I170)/$I170,0)),IF($C$6="No",ROUNDUP($C$4/$G170,0),ROUNDUP(($C$4+$G170)/$G170,0)),ROUNDUP('BVMS checklist'!$H$217/$J170,0))&gt;1,'BVMS checklist'!$J$224,'BVMS checklist'!$J$217)+MAX(IF($C$6="No",ROUNDUP($C$3/$I170,0),ROUNDUP(($C$3+$I170)/$I170,0)),IF($C$6="No",ROUNDUP($C$4/$G170,0),ROUNDUP(($C$4+$G170)/$G170,0)))+$C$5</f>
        <v>1</v>
      </c>
      <c r="AQ170" s="400" t="b">
        <f t="shared" ca="1" si="630"/>
        <v>1</v>
      </c>
      <c r="AR170" s="400" t="str">
        <f t="shared" ca="1" si="669"/>
        <v>Accepted</v>
      </c>
      <c r="AS170" s="398" t="str">
        <f t="shared" ca="1" si="655"/>
        <v>No</v>
      </c>
      <c r="AT170" s="398" t="str">
        <f t="shared" ca="1" si="670"/>
        <v/>
      </c>
      <c r="AU170" s="398" t="str">
        <f t="shared" ca="1" si="642"/>
        <v/>
      </c>
      <c r="AV170" s="398">
        <f t="shared" ca="1" si="643"/>
        <v>6</v>
      </c>
      <c r="AW170" s="398">
        <f t="shared" ca="1" si="671"/>
        <v>2</v>
      </c>
      <c r="AX170" s="398">
        <f t="shared" ca="1" si="672"/>
        <v>640</v>
      </c>
      <c r="AY170" s="398">
        <f t="shared" ca="1" si="673"/>
        <v>551152</v>
      </c>
      <c r="AZ170" s="399">
        <f t="shared" si="618"/>
        <v>0</v>
      </c>
      <c r="BA170" s="399">
        <f t="shared" si="619"/>
        <v>0</v>
      </c>
      <c r="BB170" s="483" t="str">
        <f t="shared" ca="1" si="644"/>
        <v/>
      </c>
      <c r="BC170" s="400">
        <f ca="1">IF(MAX(IF($D$6="No",ROUNDUP($D$3/$I170,0),ROUNDUP(($D$3+$I170)/$I170,0)),IF($D$6="No",ROUNDUP($D$4/$G170,0),ROUNDUP(($D$4+$G170)/$G170,0)),ROUNDUP('BVMS checklist'!$H$217/$J170,0))&gt;1,'BVMS checklist'!$L$224,'BVMS checklist'!$L$217)</f>
        <v>0</v>
      </c>
      <c r="BD170" s="398">
        <f t="shared" ca="1" si="645"/>
        <v>2</v>
      </c>
      <c r="BE170" s="400">
        <f t="shared" si="674"/>
        <v>1</v>
      </c>
      <c r="BF170" s="400">
        <f t="shared" si="675"/>
        <v>1575</v>
      </c>
      <c r="BG170" s="400">
        <f t="shared" ca="1" si="656"/>
        <v>0</v>
      </c>
      <c r="BH170" s="398">
        <f t="shared" ca="1" si="676"/>
        <v>551152</v>
      </c>
      <c r="BI170" s="401" t="str">
        <f t="shared" ca="1" si="646"/>
        <v/>
      </c>
      <c r="BJ170" s="398">
        <f t="shared" ca="1" si="677"/>
        <v>768</v>
      </c>
      <c r="BK170" s="400">
        <f ca="1">IF(MAX(IF($D$6="No",ROUNDUP($D$3/$I170,0),ROUNDUP(($D$3+$I170)/$I170,0)),IF($D$6="No",ROUNDUP($D$4/$G170,0),ROUNDUP(($D$4+$G170)/$G170,0)),ROUNDUP('BVMS checklist'!$H$217/$J170,0))&gt;1,'BVMS checklist'!$L$224,'BVMS checklist'!$L$217)+MAX(IF($D$6="No",ROUNDUP($D$3/$I170,0),ROUNDUP(($D$3+$I170)/$I170,0)),IF($D$6="No",ROUNDUP($D$4/$G170,0),ROUNDUP(($D$4+$G170)/$G170,0)))+$D$5</f>
        <v>1</v>
      </c>
      <c r="BL170" s="400" t="b">
        <f t="shared" ca="1" si="631"/>
        <v>1</v>
      </c>
      <c r="BM170" s="400" t="str">
        <f t="shared" ca="1" si="678"/>
        <v>Accepted</v>
      </c>
      <c r="BN170" s="398" t="str">
        <f t="shared" ca="1" si="657"/>
        <v>No</v>
      </c>
      <c r="BO170" s="398" t="str">
        <f t="shared" ca="1" si="679"/>
        <v/>
      </c>
      <c r="BP170" s="398" t="str">
        <f t="shared" ca="1" si="647"/>
        <v/>
      </c>
      <c r="BQ170" s="398">
        <f t="shared" ca="1" si="648"/>
        <v>6</v>
      </c>
      <c r="BR170" s="398">
        <f t="shared" ca="1" si="680"/>
        <v>2</v>
      </c>
      <c r="BS170" s="398">
        <f t="shared" ca="1" si="681"/>
        <v>640</v>
      </c>
      <c r="BT170" s="398">
        <f t="shared" ca="1" si="682"/>
        <v>551152</v>
      </c>
      <c r="BU170" s="399">
        <f t="shared" si="620"/>
        <v>0</v>
      </c>
      <c r="BV170" s="399">
        <f t="shared" si="621"/>
        <v>0</v>
      </c>
      <c r="BW170" s="483" t="str">
        <f t="shared" ca="1" si="649"/>
        <v/>
      </c>
      <c r="BX170" s="400">
        <f ca="1">IF(MAX(IF($E$6="No",ROUNDUP($E$3/$I170,0),ROUNDUP(($E$3+$I170)/$I170,0)),IF($E$6="No",ROUNDUP($E$4/$G170,0),ROUNDUP(($E$4+$G170)/$G170,0)),ROUNDUP('BVMS checklist'!$H$217/$J170,0))&gt;1,'BVMS checklist'!$N$224,'BVMS checklist'!$N$217)</f>
        <v>0</v>
      </c>
      <c r="BY170" s="398">
        <f t="shared" ca="1" si="650"/>
        <v>2</v>
      </c>
      <c r="BZ170" s="400">
        <f t="shared" ca="1" si="683"/>
        <v>2</v>
      </c>
      <c r="CA170" s="400">
        <f t="shared" ca="1" si="684"/>
        <v>3150</v>
      </c>
      <c r="CB170" s="400">
        <f t="shared" ca="1" si="658"/>
        <v>0</v>
      </c>
      <c r="CC170" s="398">
        <f t="shared" ca="1" si="685"/>
        <v>551152</v>
      </c>
      <c r="CD170" s="401" t="str">
        <f t="shared" ca="1" si="651"/>
        <v/>
      </c>
      <c r="CE170" s="398">
        <f t="shared" ca="1" si="686"/>
        <v>768</v>
      </c>
      <c r="CF170" s="400">
        <f ca="1">IF(MAX(IF($E$6="No",ROUNDUP($E$3/$I170,0),ROUNDUP(($E$3+$I170)/$I170,0)),IF($E$6="No",ROUNDUP($E$4/$G170,0),ROUNDUP(($E$4+$G170)/$G170,0)),ROUNDUP('BVMS checklist'!$H$217/$J170,0))&gt;1,'BVMS checklist'!$N$224,'BVMS checklist'!$N$217)+MAX(IF($E$6="No",ROUNDUP($E$3/$I170,0),ROUNDUP(($E$3+$I170)/$I170,0)),IF($E$6="No",ROUNDUP($E$4/$G170,0),ROUNDUP(($E$4+$G170)/$G170,0)))+$E$5</f>
        <v>1</v>
      </c>
      <c r="CG170" s="400" t="b">
        <f t="shared" ca="1" si="632"/>
        <v>1</v>
      </c>
      <c r="CH170" s="400" t="str">
        <f t="shared" ca="1" si="687"/>
        <v>Accepted</v>
      </c>
      <c r="CI170" s="398" t="str">
        <f t="shared" ca="1" si="659"/>
        <v>No</v>
      </c>
      <c r="CJ170" s="398" t="str">
        <f t="shared" ca="1" si="688"/>
        <v/>
      </c>
      <c r="CK170" s="398" t="str">
        <f t="shared" ca="1" si="652"/>
        <v/>
      </c>
      <c r="CL170" s="398">
        <f t="shared" ca="1" si="653"/>
        <v>6</v>
      </c>
      <c r="CM170" s="398">
        <f t="shared" ca="1" si="689"/>
        <v>2</v>
      </c>
      <c r="CN170" s="398">
        <f t="shared" ca="1" si="690"/>
        <v>640</v>
      </c>
      <c r="CO170" s="398">
        <f t="shared" ca="1" si="691"/>
        <v>551152</v>
      </c>
      <c r="CP170" s="399">
        <f t="shared" si="622"/>
        <v>0</v>
      </c>
      <c r="CQ170" s="399">
        <f t="shared" si="623"/>
        <v>0</v>
      </c>
      <c r="CR170" s="483" t="str">
        <f t="shared" ca="1" si="654"/>
        <v/>
      </c>
      <c r="CS170"/>
    </row>
    <row r="171" spans="1:97">
      <c r="A171" s="398" t="s">
        <v>497</v>
      </c>
      <c r="B171" s="398" t="s">
        <v>987</v>
      </c>
      <c r="C171" s="440" t="s">
        <v>891</v>
      </c>
      <c r="D171" s="398">
        <v>4</v>
      </c>
      <c r="E171" s="398"/>
      <c r="F171" s="440">
        <v>0</v>
      </c>
      <c r="G171" s="398">
        <f>IF(C171="RAID5",(((7-F171)*7448))+(3*(((15-F171)*7448))),(((6-F171)*7448))+(3*(((14-F171)*7448))))</f>
        <v>387296</v>
      </c>
      <c r="H171" s="399">
        <v>448</v>
      </c>
      <c r="I171" s="399">
        <v>2125</v>
      </c>
      <c r="J171" s="399">
        <v>512</v>
      </c>
      <c r="K171" s="399"/>
      <c r="L171" s="399"/>
      <c r="M171" s="400">
        <f ca="1">IF(MAX(IF($B$6="No",ROUNDUP($B$3/$I171,0),ROUNDUP(($B$3+$I171)/$I171,0)),IF($B$6="No",ROUNDUP($B$4/$G171,0),ROUNDUP(($B$4+$G171)/$G171,0)),ROUNDUP('BVMS checklist'!$H$217/$J171,0))&gt;1,'BVMS checklist'!$H$224,'BVMS checklist'!$H$217)</f>
        <v>0</v>
      </c>
      <c r="N171" s="398">
        <f t="shared" ca="1" si="633"/>
        <v>2</v>
      </c>
      <c r="O171" s="400">
        <f t="shared" ca="1" si="660"/>
        <v>2</v>
      </c>
      <c r="P171" s="400">
        <f t="shared" ca="1" si="624"/>
        <v>4250</v>
      </c>
      <c r="Q171" s="400">
        <f t="shared" ca="1" si="625"/>
        <v>0</v>
      </c>
      <c r="R171" s="398">
        <f t="shared" ca="1" si="626"/>
        <v>774592</v>
      </c>
      <c r="S171" s="401" t="str">
        <f t="shared" ca="1" si="634"/>
        <v/>
      </c>
      <c r="T171" s="398">
        <f t="shared" ca="1" si="635"/>
        <v>1024</v>
      </c>
      <c r="U171" s="400">
        <f ca="1">IF(MAX(IF($B$6="No",ROUNDUP($B$3/$I171,0),ROUNDUP(($B$3+$I171)/$I171,0)),IF($B$6="No",ROUNDUP($B$4/$G171,0),ROUNDUP(($B$4+$G171)/$G171,0)),ROUNDUP('BVMS checklist'!$H$217/$J171,0))&gt;1,'BVMS checklist'!$H$224,'BVMS checklist'!$H$217)+MAX(IF($B$6="No",ROUNDUP($B$3/$I171,0),ROUNDUP(($B$3+$I171)/$I171,0)),IF($B$6="No",ROUNDUP($B$4/$G171,0),ROUNDUP(($B$4+$G171)/$G171,0)))+$B$5</f>
        <v>1</v>
      </c>
      <c r="V171" s="400" t="b">
        <f t="shared" ca="1" si="627"/>
        <v>1</v>
      </c>
      <c r="W171" s="400" t="str">
        <f t="shared" ca="1" si="661"/>
        <v>Accepted</v>
      </c>
      <c r="X171" s="398" t="str">
        <f t="shared" ca="1" si="636"/>
        <v>No</v>
      </c>
      <c r="Y171" s="398" t="str">
        <f t="shared" ca="1" si="637"/>
        <v/>
      </c>
      <c r="Z171" s="398" t="str">
        <f t="shared" ca="1" si="638"/>
        <v/>
      </c>
      <c r="AA171" s="398">
        <f t="shared" ca="1" si="662"/>
        <v>6</v>
      </c>
      <c r="AB171" s="398">
        <f t="shared" ca="1" si="628"/>
        <v>2</v>
      </c>
      <c r="AC171" s="398">
        <f t="shared" ca="1" si="629"/>
        <v>896</v>
      </c>
      <c r="AD171" s="398">
        <f t="shared" ca="1" si="663"/>
        <v>774592</v>
      </c>
      <c r="AE171" s="399">
        <f t="shared" si="616"/>
        <v>0</v>
      </c>
      <c r="AF171" s="399">
        <f t="shared" si="617"/>
        <v>0</v>
      </c>
      <c r="AG171" s="483" t="str">
        <f t="shared" ca="1" si="639"/>
        <v/>
      </c>
      <c r="AH171" s="400">
        <f ca="1">IF(MAX(IF($C$6="No",ROUNDUP($C$3/$I171,0),ROUNDUP(($C$3+$I171)/$I171,0)),IF($C$6="No",ROUNDUP($C$4/$G171,0),ROUNDUP(($C$4+$G171)/$G171,0)),ROUNDUP('BVMS checklist'!$H$217/$J171,0))&gt;1,'BVMS checklist'!$J$224,'BVMS checklist'!$J$217)</f>
        <v>0</v>
      </c>
      <c r="AI171" s="398">
        <f t="shared" ca="1" si="640"/>
        <v>2</v>
      </c>
      <c r="AJ171" s="400">
        <f t="shared" ca="1" si="664"/>
        <v>2</v>
      </c>
      <c r="AK171" s="400">
        <f t="shared" ca="1" si="665"/>
        <v>4250</v>
      </c>
      <c r="AL171" s="400">
        <f t="shared" ca="1" si="666"/>
        <v>0</v>
      </c>
      <c r="AM171" s="398">
        <f t="shared" ca="1" si="667"/>
        <v>774592</v>
      </c>
      <c r="AN171" s="401" t="str">
        <f t="shared" ca="1" si="641"/>
        <v/>
      </c>
      <c r="AO171" s="398">
        <f t="shared" ca="1" si="668"/>
        <v>1024</v>
      </c>
      <c r="AP171" s="400">
        <f ca="1">IF(MAX(IF($C$6="No",ROUNDUP($C$3/$I171,0),ROUNDUP(($C$3+$I171)/$I171,0)),IF($C$6="No",ROUNDUP($C$4/$G171,0),ROUNDUP(($C$4+$G171)/$G171,0)),ROUNDUP('BVMS checklist'!$H$217/$J171,0))&gt;1,'BVMS checklist'!$J$224,'BVMS checklist'!$J$217)+MAX(IF($C$6="No",ROUNDUP($C$3/$I171,0),ROUNDUP(($C$3+$I171)/$I171,0)),IF($C$6="No",ROUNDUP($C$4/$G171,0),ROUNDUP(($C$4+$G171)/$G171,0)))+$C$5</f>
        <v>1</v>
      </c>
      <c r="AQ171" s="400" t="b">
        <f t="shared" ca="1" si="630"/>
        <v>1</v>
      </c>
      <c r="AR171" s="400" t="str">
        <f t="shared" ca="1" si="669"/>
        <v>Accepted</v>
      </c>
      <c r="AS171" s="398" t="str">
        <f t="shared" ca="1" si="655"/>
        <v>No</v>
      </c>
      <c r="AT171" s="398" t="str">
        <f t="shared" ca="1" si="670"/>
        <v/>
      </c>
      <c r="AU171" s="398" t="str">
        <f t="shared" ca="1" si="642"/>
        <v/>
      </c>
      <c r="AV171" s="398">
        <f t="shared" ca="1" si="643"/>
        <v>6</v>
      </c>
      <c r="AW171" s="398">
        <f t="shared" ca="1" si="671"/>
        <v>2</v>
      </c>
      <c r="AX171" s="398">
        <f t="shared" ca="1" si="672"/>
        <v>896</v>
      </c>
      <c r="AY171" s="398">
        <f t="shared" ca="1" si="673"/>
        <v>774592</v>
      </c>
      <c r="AZ171" s="399">
        <f t="shared" si="618"/>
        <v>0</v>
      </c>
      <c r="BA171" s="399">
        <f t="shared" si="619"/>
        <v>0</v>
      </c>
      <c r="BB171" s="483" t="str">
        <f t="shared" ca="1" si="644"/>
        <v/>
      </c>
      <c r="BC171" s="400">
        <f ca="1">IF(MAX(IF($D$6="No",ROUNDUP($D$3/$I171,0),ROUNDUP(($D$3+$I171)/$I171,0)),IF($D$6="No",ROUNDUP($D$4/$G171,0),ROUNDUP(($D$4+$G171)/$G171,0)),ROUNDUP('BVMS checklist'!$H$217/$J171,0))&gt;1,'BVMS checklist'!$L$224,'BVMS checklist'!$L$217)</f>
        <v>0</v>
      </c>
      <c r="BD171" s="398">
        <f t="shared" ca="1" si="645"/>
        <v>2</v>
      </c>
      <c r="BE171" s="400">
        <f t="shared" si="674"/>
        <v>1</v>
      </c>
      <c r="BF171" s="400">
        <f t="shared" si="675"/>
        <v>2125</v>
      </c>
      <c r="BG171" s="400">
        <f t="shared" ca="1" si="656"/>
        <v>0</v>
      </c>
      <c r="BH171" s="398">
        <f t="shared" ca="1" si="676"/>
        <v>774592</v>
      </c>
      <c r="BI171" s="401" t="str">
        <f t="shared" ca="1" si="646"/>
        <v/>
      </c>
      <c r="BJ171" s="398">
        <f t="shared" ca="1" si="677"/>
        <v>1024</v>
      </c>
      <c r="BK171" s="400">
        <f ca="1">IF(MAX(IF($D$6="No",ROUNDUP($D$3/$I171,0),ROUNDUP(($D$3+$I171)/$I171,0)),IF($D$6="No",ROUNDUP($D$4/$G171,0),ROUNDUP(($D$4+$G171)/$G171,0)),ROUNDUP('BVMS checklist'!$H$217/$J171,0))&gt;1,'BVMS checklist'!$L$224,'BVMS checklist'!$L$217)+MAX(IF($D$6="No",ROUNDUP($D$3/$I171,0),ROUNDUP(($D$3+$I171)/$I171,0)),IF($D$6="No",ROUNDUP($D$4/$G171,0),ROUNDUP(($D$4+$G171)/$G171,0)))+$D$5</f>
        <v>1</v>
      </c>
      <c r="BL171" s="400" t="b">
        <f t="shared" ca="1" si="631"/>
        <v>1</v>
      </c>
      <c r="BM171" s="400" t="str">
        <f t="shared" ca="1" si="678"/>
        <v>Accepted</v>
      </c>
      <c r="BN171" s="398" t="str">
        <f t="shared" ca="1" si="657"/>
        <v>No</v>
      </c>
      <c r="BO171" s="398" t="str">
        <f t="shared" ca="1" si="679"/>
        <v/>
      </c>
      <c r="BP171" s="398" t="str">
        <f t="shared" ca="1" si="647"/>
        <v/>
      </c>
      <c r="BQ171" s="398">
        <f t="shared" ca="1" si="648"/>
        <v>6</v>
      </c>
      <c r="BR171" s="398">
        <f t="shared" ca="1" si="680"/>
        <v>2</v>
      </c>
      <c r="BS171" s="398">
        <f t="shared" ca="1" si="681"/>
        <v>896</v>
      </c>
      <c r="BT171" s="398">
        <f t="shared" ca="1" si="682"/>
        <v>774592</v>
      </c>
      <c r="BU171" s="399">
        <f t="shared" si="620"/>
        <v>0</v>
      </c>
      <c r="BV171" s="399">
        <f t="shared" si="621"/>
        <v>0</v>
      </c>
      <c r="BW171" s="483" t="str">
        <f t="shared" ca="1" si="649"/>
        <v/>
      </c>
      <c r="BX171" s="400">
        <f ca="1">IF(MAX(IF($E$6="No",ROUNDUP($E$3/$I171,0),ROUNDUP(($E$3+$I171)/$I171,0)),IF($E$6="No",ROUNDUP($E$4/$G171,0),ROUNDUP(($E$4+$G171)/$G171,0)),ROUNDUP('BVMS checklist'!$H$217/$J171,0))&gt;1,'BVMS checklist'!$N$224,'BVMS checklist'!$N$217)</f>
        <v>0</v>
      </c>
      <c r="BY171" s="398">
        <f t="shared" ca="1" si="650"/>
        <v>2</v>
      </c>
      <c r="BZ171" s="400">
        <f t="shared" ca="1" si="683"/>
        <v>2</v>
      </c>
      <c r="CA171" s="400">
        <f t="shared" ca="1" si="684"/>
        <v>4250</v>
      </c>
      <c r="CB171" s="400">
        <f t="shared" ca="1" si="658"/>
        <v>0</v>
      </c>
      <c r="CC171" s="398">
        <f t="shared" ca="1" si="685"/>
        <v>774592</v>
      </c>
      <c r="CD171" s="401" t="str">
        <f t="shared" ca="1" si="651"/>
        <v/>
      </c>
      <c r="CE171" s="398">
        <f t="shared" ca="1" si="686"/>
        <v>1024</v>
      </c>
      <c r="CF171" s="400">
        <f ca="1">IF(MAX(IF($E$6="No",ROUNDUP($E$3/$I171,0),ROUNDUP(($E$3+$I171)/$I171,0)),IF($E$6="No",ROUNDUP($E$4/$G171,0),ROUNDUP(($E$4+$G171)/$G171,0)),ROUNDUP('BVMS checklist'!$H$217/$J171,0))&gt;1,'BVMS checklist'!$N$224,'BVMS checklist'!$N$217)+MAX(IF($E$6="No",ROUNDUP($E$3/$I171,0),ROUNDUP(($E$3+$I171)/$I171,0)),IF($E$6="No",ROUNDUP($E$4/$G171,0),ROUNDUP(($E$4+$G171)/$G171,0)))+$E$5</f>
        <v>1</v>
      </c>
      <c r="CG171" s="400" t="b">
        <f t="shared" ca="1" si="632"/>
        <v>1</v>
      </c>
      <c r="CH171" s="400" t="str">
        <f t="shared" ca="1" si="687"/>
        <v>Accepted</v>
      </c>
      <c r="CI171" s="398" t="str">
        <f t="shared" ca="1" si="659"/>
        <v>No</v>
      </c>
      <c r="CJ171" s="398" t="str">
        <f t="shared" ca="1" si="688"/>
        <v/>
      </c>
      <c r="CK171" s="398" t="str">
        <f t="shared" ca="1" si="652"/>
        <v/>
      </c>
      <c r="CL171" s="398">
        <f t="shared" ca="1" si="653"/>
        <v>6</v>
      </c>
      <c r="CM171" s="398">
        <f t="shared" ca="1" si="689"/>
        <v>2</v>
      </c>
      <c r="CN171" s="398">
        <f t="shared" ca="1" si="690"/>
        <v>896</v>
      </c>
      <c r="CO171" s="398">
        <f t="shared" ca="1" si="691"/>
        <v>774592</v>
      </c>
      <c r="CP171" s="399">
        <f t="shared" si="622"/>
        <v>0</v>
      </c>
      <c r="CQ171" s="399">
        <f t="shared" si="623"/>
        <v>0</v>
      </c>
      <c r="CR171" s="483" t="str">
        <f t="shared" ca="1" si="654"/>
        <v/>
      </c>
      <c r="CS171"/>
    </row>
    <row r="172" spans="1:97">
      <c r="A172" s="398" t="s">
        <v>498</v>
      </c>
      <c r="B172" s="398" t="s">
        <v>987</v>
      </c>
      <c r="C172" s="440" t="s">
        <v>891</v>
      </c>
      <c r="D172" s="398">
        <v>5</v>
      </c>
      <c r="E172" s="398"/>
      <c r="F172" s="440">
        <v>0</v>
      </c>
      <c r="G172" s="398">
        <f>IF(C172="RAID5",(((7-F172)*7448))+(4*(((15-F172)*7448))),(((6-F172)*7448))+(4*(((14-F172)*7448))))</f>
        <v>499016</v>
      </c>
      <c r="H172" s="399">
        <v>576</v>
      </c>
      <c r="I172" s="399">
        <v>2675</v>
      </c>
      <c r="J172" s="399">
        <v>640</v>
      </c>
      <c r="K172" s="399"/>
      <c r="L172" s="399"/>
      <c r="M172" s="400">
        <f ca="1">IF(MAX(IF($B$6="No",ROUNDUP($B$3/$I172,0),ROUNDUP(($B$3+$I172)/$I172,0)),IF($B$6="No",ROUNDUP($B$4/$G172,0),ROUNDUP(($B$4+$G172)/$G172,0)),ROUNDUP('BVMS checklist'!$H$217/$J172,0))&gt;1,'BVMS checklist'!$H$224,'BVMS checklist'!$H$217)</f>
        <v>0</v>
      </c>
      <c r="N172" s="398">
        <f t="shared" ca="1" si="633"/>
        <v>2</v>
      </c>
      <c r="O172" s="400">
        <f t="shared" ca="1" si="660"/>
        <v>2</v>
      </c>
      <c r="P172" s="400">
        <f t="shared" ca="1" si="624"/>
        <v>5350</v>
      </c>
      <c r="Q172" s="400">
        <f t="shared" ca="1" si="625"/>
        <v>0</v>
      </c>
      <c r="R172" s="398">
        <f t="shared" ca="1" si="626"/>
        <v>998032</v>
      </c>
      <c r="S172" s="401" t="str">
        <f t="shared" ca="1" si="634"/>
        <v/>
      </c>
      <c r="T172" s="398">
        <f t="shared" ca="1" si="635"/>
        <v>1280</v>
      </c>
      <c r="U172" s="400">
        <f ca="1">IF(MAX(IF($B$6="No",ROUNDUP($B$3/$I172,0),ROUNDUP(($B$3+$I172)/$I172,0)),IF($B$6="No",ROUNDUP($B$4/$G172,0),ROUNDUP(($B$4+$G172)/$G172,0)),ROUNDUP('BVMS checklist'!$H$217/$J172,0))&gt;1,'BVMS checklist'!$H$224,'BVMS checklist'!$H$217)+MAX(IF($B$6="No",ROUNDUP($B$3/$I172,0),ROUNDUP(($B$3+$I172)/$I172,0)),IF($B$6="No",ROUNDUP($B$4/$G172,0),ROUNDUP(($B$4+$G172)/$G172,0)))+$B$5</f>
        <v>1</v>
      </c>
      <c r="V172" s="400" t="b">
        <f t="shared" ca="1" si="627"/>
        <v>1</v>
      </c>
      <c r="W172" s="400" t="str">
        <f t="shared" ca="1" si="661"/>
        <v>Accepted</v>
      </c>
      <c r="X172" s="398" t="str">
        <f t="shared" ca="1" si="636"/>
        <v>No</v>
      </c>
      <c r="Y172" s="398" t="str">
        <f t="shared" ca="1" si="637"/>
        <v/>
      </c>
      <c r="Z172" s="398" t="str">
        <f t="shared" ca="1" si="638"/>
        <v/>
      </c>
      <c r="AA172" s="398">
        <f t="shared" ca="1" si="662"/>
        <v>6</v>
      </c>
      <c r="AB172" s="398">
        <f t="shared" ca="1" si="628"/>
        <v>2</v>
      </c>
      <c r="AC172" s="398">
        <f t="shared" ca="1" si="629"/>
        <v>1152</v>
      </c>
      <c r="AD172" s="398">
        <f t="shared" ca="1" si="663"/>
        <v>998032</v>
      </c>
      <c r="AE172" s="399">
        <f t="shared" si="616"/>
        <v>0</v>
      </c>
      <c r="AF172" s="399">
        <f t="shared" si="617"/>
        <v>0</v>
      </c>
      <c r="AG172" s="483" t="str">
        <f t="shared" ca="1" si="639"/>
        <v/>
      </c>
      <c r="AH172" s="400">
        <f ca="1">IF(MAX(IF($C$6="No",ROUNDUP($C$3/$I172,0),ROUNDUP(($C$3+$I172)/$I172,0)),IF($C$6="No",ROUNDUP($C$4/$G172,0),ROUNDUP(($C$4+$G172)/$G172,0)),ROUNDUP('BVMS checklist'!$H$217/$J172,0))&gt;1,'BVMS checklist'!$J$224,'BVMS checklist'!$J$217)</f>
        <v>0</v>
      </c>
      <c r="AI172" s="398">
        <f t="shared" ca="1" si="640"/>
        <v>2</v>
      </c>
      <c r="AJ172" s="400">
        <f t="shared" ca="1" si="664"/>
        <v>2</v>
      </c>
      <c r="AK172" s="400">
        <f t="shared" ca="1" si="665"/>
        <v>5350</v>
      </c>
      <c r="AL172" s="400">
        <f t="shared" ca="1" si="666"/>
        <v>0</v>
      </c>
      <c r="AM172" s="398">
        <f t="shared" ca="1" si="667"/>
        <v>998032</v>
      </c>
      <c r="AN172" s="401" t="str">
        <f t="shared" ca="1" si="641"/>
        <v/>
      </c>
      <c r="AO172" s="398">
        <f t="shared" ca="1" si="668"/>
        <v>1280</v>
      </c>
      <c r="AP172" s="400">
        <f ca="1">IF(MAX(IF($C$6="No",ROUNDUP($C$3/$I172,0),ROUNDUP(($C$3+$I172)/$I172,0)),IF($C$6="No",ROUNDUP($C$4/$G172,0),ROUNDUP(($C$4+$G172)/$G172,0)),ROUNDUP('BVMS checklist'!$H$217/$J172,0))&gt;1,'BVMS checklist'!$J$224,'BVMS checklist'!$J$217)+MAX(IF($C$6="No",ROUNDUP($C$3/$I172,0),ROUNDUP(($C$3+$I172)/$I172,0)),IF($C$6="No",ROUNDUP($C$4/$G172,0),ROUNDUP(($C$4+$G172)/$G172,0)))+$C$5</f>
        <v>1</v>
      </c>
      <c r="AQ172" s="400" t="b">
        <f t="shared" ca="1" si="630"/>
        <v>1</v>
      </c>
      <c r="AR172" s="400" t="str">
        <f t="shared" ca="1" si="669"/>
        <v>Accepted</v>
      </c>
      <c r="AS172" s="398" t="str">
        <f t="shared" ca="1" si="655"/>
        <v>No</v>
      </c>
      <c r="AT172" s="398" t="str">
        <f t="shared" ca="1" si="670"/>
        <v/>
      </c>
      <c r="AU172" s="398" t="str">
        <f t="shared" ca="1" si="642"/>
        <v/>
      </c>
      <c r="AV172" s="398">
        <f t="shared" ca="1" si="643"/>
        <v>6</v>
      </c>
      <c r="AW172" s="398">
        <f t="shared" ca="1" si="671"/>
        <v>2</v>
      </c>
      <c r="AX172" s="398">
        <f t="shared" ca="1" si="672"/>
        <v>1152</v>
      </c>
      <c r="AY172" s="398">
        <f t="shared" ca="1" si="673"/>
        <v>998032</v>
      </c>
      <c r="AZ172" s="399">
        <f t="shared" si="618"/>
        <v>0</v>
      </c>
      <c r="BA172" s="399">
        <f t="shared" si="619"/>
        <v>0</v>
      </c>
      <c r="BB172" s="483" t="str">
        <f t="shared" ca="1" si="644"/>
        <v/>
      </c>
      <c r="BC172" s="400">
        <f ca="1">IF(MAX(IF($D$6="No",ROUNDUP($D$3/$I172,0),ROUNDUP(($D$3+$I172)/$I172,0)),IF($D$6="No",ROUNDUP($D$4/$G172,0),ROUNDUP(($D$4+$G172)/$G172,0)),ROUNDUP('BVMS checklist'!$H$217/$J172,0))&gt;1,'BVMS checklist'!$L$224,'BVMS checklist'!$L$217)</f>
        <v>0</v>
      </c>
      <c r="BD172" s="398">
        <f t="shared" ca="1" si="645"/>
        <v>2</v>
      </c>
      <c r="BE172" s="400">
        <f t="shared" si="674"/>
        <v>1</v>
      </c>
      <c r="BF172" s="400">
        <f t="shared" si="675"/>
        <v>2675</v>
      </c>
      <c r="BG172" s="400">
        <f t="shared" ca="1" si="656"/>
        <v>0</v>
      </c>
      <c r="BH172" s="398">
        <f t="shared" ca="1" si="676"/>
        <v>998032</v>
      </c>
      <c r="BI172" s="401" t="str">
        <f t="shared" ca="1" si="646"/>
        <v/>
      </c>
      <c r="BJ172" s="398">
        <f t="shared" ca="1" si="677"/>
        <v>1280</v>
      </c>
      <c r="BK172" s="400">
        <f ca="1">IF(MAX(IF($D$6="No",ROUNDUP($D$3/$I172,0),ROUNDUP(($D$3+$I172)/$I172,0)),IF($D$6="No",ROUNDUP($D$4/$G172,0),ROUNDUP(($D$4+$G172)/$G172,0)),ROUNDUP('BVMS checklist'!$H$217/$J172,0))&gt;1,'BVMS checklist'!$L$224,'BVMS checklist'!$L$217)+MAX(IF($D$6="No",ROUNDUP($D$3/$I172,0),ROUNDUP(($D$3+$I172)/$I172,0)),IF($D$6="No",ROUNDUP($D$4/$G172,0),ROUNDUP(($D$4+$G172)/$G172,0)))+$D$5</f>
        <v>1</v>
      </c>
      <c r="BL172" s="400" t="b">
        <f t="shared" ca="1" si="631"/>
        <v>1</v>
      </c>
      <c r="BM172" s="400" t="str">
        <f t="shared" ca="1" si="678"/>
        <v>Accepted</v>
      </c>
      <c r="BN172" s="398" t="str">
        <f t="shared" ca="1" si="657"/>
        <v>No</v>
      </c>
      <c r="BO172" s="398" t="str">
        <f t="shared" ca="1" si="679"/>
        <v/>
      </c>
      <c r="BP172" s="398" t="str">
        <f t="shared" ca="1" si="647"/>
        <v/>
      </c>
      <c r="BQ172" s="398">
        <f t="shared" ca="1" si="648"/>
        <v>6</v>
      </c>
      <c r="BR172" s="398">
        <f t="shared" ca="1" si="680"/>
        <v>2</v>
      </c>
      <c r="BS172" s="398">
        <f t="shared" ca="1" si="681"/>
        <v>1152</v>
      </c>
      <c r="BT172" s="398">
        <f t="shared" ca="1" si="682"/>
        <v>998032</v>
      </c>
      <c r="BU172" s="399">
        <f t="shared" si="620"/>
        <v>0</v>
      </c>
      <c r="BV172" s="399">
        <f t="shared" si="621"/>
        <v>0</v>
      </c>
      <c r="BW172" s="483" t="str">
        <f t="shared" ca="1" si="649"/>
        <v/>
      </c>
      <c r="BX172" s="400">
        <f ca="1">IF(MAX(IF($E$6="No",ROUNDUP($E$3/$I172,0),ROUNDUP(($E$3+$I172)/$I172,0)),IF($E$6="No",ROUNDUP($E$4/$G172,0),ROUNDUP(($E$4+$G172)/$G172,0)),ROUNDUP('BVMS checklist'!$H$217/$J172,0))&gt;1,'BVMS checklist'!$N$224,'BVMS checklist'!$N$217)</f>
        <v>0</v>
      </c>
      <c r="BY172" s="398">
        <f t="shared" ca="1" si="650"/>
        <v>2</v>
      </c>
      <c r="BZ172" s="400">
        <f t="shared" ca="1" si="683"/>
        <v>2</v>
      </c>
      <c r="CA172" s="400">
        <f t="shared" ca="1" si="684"/>
        <v>5350</v>
      </c>
      <c r="CB172" s="400">
        <f t="shared" ca="1" si="658"/>
        <v>0</v>
      </c>
      <c r="CC172" s="398">
        <f t="shared" ca="1" si="685"/>
        <v>998032</v>
      </c>
      <c r="CD172" s="401" t="str">
        <f t="shared" ca="1" si="651"/>
        <v/>
      </c>
      <c r="CE172" s="398">
        <f t="shared" ca="1" si="686"/>
        <v>1280</v>
      </c>
      <c r="CF172" s="400">
        <f ca="1">IF(MAX(IF($E$6="No",ROUNDUP($E$3/$I172,0),ROUNDUP(($E$3+$I172)/$I172,0)),IF($E$6="No",ROUNDUP($E$4/$G172,0),ROUNDUP(($E$4+$G172)/$G172,0)),ROUNDUP('BVMS checklist'!$H$217/$J172,0))&gt;1,'BVMS checklist'!$N$224,'BVMS checklist'!$N$217)+MAX(IF($E$6="No",ROUNDUP($E$3/$I172,0),ROUNDUP(($E$3+$I172)/$I172,0)),IF($E$6="No",ROUNDUP($E$4/$G172,0),ROUNDUP(($E$4+$G172)/$G172,0)))+$E$5</f>
        <v>1</v>
      </c>
      <c r="CG172" s="400" t="b">
        <f t="shared" ca="1" si="632"/>
        <v>1</v>
      </c>
      <c r="CH172" s="400" t="str">
        <f t="shared" ca="1" si="687"/>
        <v>Accepted</v>
      </c>
      <c r="CI172" s="398" t="str">
        <f t="shared" ca="1" si="659"/>
        <v>No</v>
      </c>
      <c r="CJ172" s="398" t="str">
        <f t="shared" ca="1" si="688"/>
        <v/>
      </c>
      <c r="CK172" s="398" t="str">
        <f t="shared" ca="1" si="652"/>
        <v/>
      </c>
      <c r="CL172" s="398">
        <f t="shared" ca="1" si="653"/>
        <v>6</v>
      </c>
      <c r="CM172" s="398">
        <f t="shared" ca="1" si="689"/>
        <v>2</v>
      </c>
      <c r="CN172" s="398">
        <f t="shared" ca="1" si="690"/>
        <v>1152</v>
      </c>
      <c r="CO172" s="398">
        <f t="shared" ca="1" si="691"/>
        <v>998032</v>
      </c>
      <c r="CP172" s="399">
        <f t="shared" si="622"/>
        <v>0</v>
      </c>
      <c r="CQ172" s="399">
        <f t="shared" si="623"/>
        <v>0</v>
      </c>
      <c r="CR172" s="483" t="str">
        <f t="shared" ca="1" si="654"/>
        <v/>
      </c>
      <c r="CS172"/>
    </row>
    <row r="173" spans="1:97">
      <c r="A173" s="398" t="s">
        <v>423</v>
      </c>
      <c r="B173" s="398" t="s">
        <v>987</v>
      </c>
      <c r="C173" s="440" t="s">
        <v>891</v>
      </c>
      <c r="D173" s="398">
        <v>2</v>
      </c>
      <c r="E173" s="398"/>
      <c r="F173" s="440">
        <v>0</v>
      </c>
      <c r="G173" s="398">
        <f>IF(C173="RAID5",(((15-F173)*5586))+(1*(((7-F173)*2793))),(((14-F173)*5586))+(1*(((6-F173)*2793))))</f>
        <v>103341</v>
      </c>
      <c r="H173" s="399">
        <v>120</v>
      </c>
      <c r="I173" s="399">
        <v>1025</v>
      </c>
      <c r="J173" s="399">
        <v>256</v>
      </c>
      <c r="K173" s="399"/>
      <c r="L173" s="399"/>
      <c r="M173" s="400">
        <f ca="1">IF(MAX(IF($B$6="No",ROUNDUP($B$3/$I173,0),ROUNDUP(($B$3+$I173)/$I173,0)),IF($B$6="No",ROUNDUP($B$4/$G173,0),ROUNDUP(($B$4+$G173)/$G173,0)),ROUNDUP('BVMS checklist'!$H$217/$J173,0))&gt;1,'BVMS checklist'!$H$224,'BVMS checklist'!$H$217)</f>
        <v>0</v>
      </c>
      <c r="N173" s="398">
        <f t="shared" ca="1" si="633"/>
        <v>2</v>
      </c>
      <c r="O173" s="400">
        <f t="shared" ca="1" si="660"/>
        <v>2</v>
      </c>
      <c r="P173" s="400">
        <f t="shared" ca="1" si="624"/>
        <v>2050</v>
      </c>
      <c r="Q173" s="400">
        <f t="shared" ca="1" si="625"/>
        <v>0</v>
      </c>
      <c r="R173" s="398">
        <f t="shared" ca="1" si="626"/>
        <v>206682</v>
      </c>
      <c r="S173" s="401" t="str">
        <f t="shared" ca="1" si="634"/>
        <v/>
      </c>
      <c r="T173" s="398">
        <f t="shared" ca="1" si="635"/>
        <v>512</v>
      </c>
      <c r="U173" s="400">
        <f ca="1">IF(MAX(IF($B$6="No",ROUNDUP($B$3/$I173,0),ROUNDUP(($B$3+$I173)/$I173,0)),IF($B$6="No",ROUNDUP($B$4/$G173,0),ROUNDUP(($B$4+$G173)/$G173,0)),ROUNDUP('BVMS checklist'!$H$217/$J173,0))&gt;1,'BVMS checklist'!$H$224,'BVMS checklist'!$H$217)+MAX(IF($B$6="No",ROUNDUP($B$3/$I173,0),ROUNDUP(($B$3+$I173)/$I173,0)),IF($B$6="No",ROUNDUP($B$4/$G173,0),ROUNDUP(($B$4+$G173)/$G173,0)))+$B$5</f>
        <v>1</v>
      </c>
      <c r="V173" s="400" t="b">
        <f t="shared" ca="1" si="627"/>
        <v>1</v>
      </c>
      <c r="W173" s="400" t="str">
        <f t="shared" ca="1" si="661"/>
        <v>Accepted</v>
      </c>
      <c r="X173" s="398" t="str">
        <f t="shared" ca="1" si="636"/>
        <v>No</v>
      </c>
      <c r="Y173" s="398" t="str">
        <f t="shared" ca="1" si="637"/>
        <v/>
      </c>
      <c r="Z173" s="398" t="str">
        <f t="shared" ca="1" si="638"/>
        <v/>
      </c>
      <c r="AA173" s="398">
        <f t="shared" ca="1" si="662"/>
        <v>6</v>
      </c>
      <c r="AB173" s="398">
        <f t="shared" ca="1" si="628"/>
        <v>2</v>
      </c>
      <c r="AC173" s="398">
        <f t="shared" ca="1" si="629"/>
        <v>240</v>
      </c>
      <c r="AD173" s="398">
        <f t="shared" ca="1" si="663"/>
        <v>206682</v>
      </c>
      <c r="AE173" s="399">
        <f t="shared" si="616"/>
        <v>0</v>
      </c>
      <c r="AF173" s="399">
        <f t="shared" si="617"/>
        <v>0</v>
      </c>
      <c r="AG173" s="483" t="str">
        <f t="shared" ca="1" si="639"/>
        <v/>
      </c>
      <c r="AH173" s="400">
        <f ca="1">IF(MAX(IF($C$6="No",ROUNDUP($C$3/$I173,0),ROUNDUP(($C$3+$I173)/$I173,0)),IF($C$6="No",ROUNDUP($C$4/$G173,0),ROUNDUP(($C$4+$G173)/$G173,0)),ROUNDUP('BVMS checklist'!$H$217/$J173,0))&gt;1,'BVMS checklist'!$J$224,'BVMS checklist'!$J$217)</f>
        <v>0</v>
      </c>
      <c r="AI173" s="398">
        <f t="shared" ca="1" si="640"/>
        <v>2</v>
      </c>
      <c r="AJ173" s="400">
        <f t="shared" ca="1" si="664"/>
        <v>2</v>
      </c>
      <c r="AK173" s="400">
        <f t="shared" ca="1" si="665"/>
        <v>2050</v>
      </c>
      <c r="AL173" s="400">
        <f t="shared" ca="1" si="666"/>
        <v>0</v>
      </c>
      <c r="AM173" s="398">
        <f t="shared" ca="1" si="667"/>
        <v>206682</v>
      </c>
      <c r="AN173" s="401" t="str">
        <f t="shared" ca="1" si="641"/>
        <v/>
      </c>
      <c r="AO173" s="398">
        <f t="shared" ca="1" si="668"/>
        <v>512</v>
      </c>
      <c r="AP173" s="400">
        <f ca="1">IF(MAX(IF($C$6="No",ROUNDUP($C$3/$I173,0),ROUNDUP(($C$3+$I173)/$I173,0)),IF($C$6="No",ROUNDUP($C$4/$G173,0),ROUNDUP(($C$4+$G173)/$G173,0)),ROUNDUP('BVMS checklist'!$H$217/$J173,0))&gt;1,'BVMS checklist'!$J$224,'BVMS checklist'!$J$217)+MAX(IF($C$6="No",ROUNDUP($C$3/$I173,0),ROUNDUP(($C$3+$I173)/$I173,0)),IF($C$6="No",ROUNDUP($C$4/$G173,0),ROUNDUP(($C$4+$G173)/$G173,0)))+$C$5</f>
        <v>1</v>
      </c>
      <c r="AQ173" s="400" t="b">
        <f t="shared" ca="1" si="630"/>
        <v>1</v>
      </c>
      <c r="AR173" s="400" t="str">
        <f t="shared" ca="1" si="669"/>
        <v>Accepted</v>
      </c>
      <c r="AS173" s="398" t="str">
        <f t="shared" ca="1" si="655"/>
        <v>No</v>
      </c>
      <c r="AT173" s="398" t="str">
        <f t="shared" ca="1" si="670"/>
        <v/>
      </c>
      <c r="AU173" s="398" t="str">
        <f t="shared" ca="1" si="642"/>
        <v/>
      </c>
      <c r="AV173" s="398">
        <f t="shared" ca="1" si="643"/>
        <v>6</v>
      </c>
      <c r="AW173" s="398">
        <f t="shared" ca="1" si="671"/>
        <v>2</v>
      </c>
      <c r="AX173" s="398">
        <f t="shared" ca="1" si="672"/>
        <v>240</v>
      </c>
      <c r="AY173" s="398">
        <f t="shared" ca="1" si="673"/>
        <v>206682</v>
      </c>
      <c r="AZ173" s="399">
        <f t="shared" si="618"/>
        <v>0</v>
      </c>
      <c r="BA173" s="399">
        <f t="shared" si="619"/>
        <v>0</v>
      </c>
      <c r="BB173" s="483" t="str">
        <f t="shared" ca="1" si="644"/>
        <v/>
      </c>
      <c r="BC173" s="400">
        <f ca="1">IF(MAX(IF($D$6="No",ROUNDUP($D$3/$I173,0),ROUNDUP(($D$3+$I173)/$I173,0)),IF($D$6="No",ROUNDUP($D$4/$G173,0),ROUNDUP(($D$4+$G173)/$G173,0)),ROUNDUP('BVMS checklist'!$H$217/$J173,0))&gt;1,'BVMS checklist'!$L$224,'BVMS checklist'!$L$217)</f>
        <v>0</v>
      </c>
      <c r="BD173" s="398">
        <f t="shared" ca="1" si="645"/>
        <v>2</v>
      </c>
      <c r="BE173" s="400">
        <f t="shared" si="674"/>
        <v>1</v>
      </c>
      <c r="BF173" s="400">
        <f t="shared" si="675"/>
        <v>1025</v>
      </c>
      <c r="BG173" s="400">
        <f t="shared" ca="1" si="656"/>
        <v>0</v>
      </c>
      <c r="BH173" s="398">
        <f t="shared" ca="1" si="676"/>
        <v>206682</v>
      </c>
      <c r="BI173" s="401" t="str">
        <f t="shared" ca="1" si="646"/>
        <v/>
      </c>
      <c r="BJ173" s="398">
        <f t="shared" ca="1" si="677"/>
        <v>512</v>
      </c>
      <c r="BK173" s="400">
        <f ca="1">IF(MAX(IF($D$6="No",ROUNDUP($D$3/$I173,0),ROUNDUP(($D$3+$I173)/$I173,0)),IF($D$6="No",ROUNDUP($D$4/$G173,0),ROUNDUP(($D$4+$G173)/$G173,0)),ROUNDUP('BVMS checklist'!$H$217/$J173,0))&gt;1,'BVMS checklist'!$L$224,'BVMS checklist'!$L$217)+MAX(IF($D$6="No",ROUNDUP($D$3/$I173,0),ROUNDUP(($D$3+$I173)/$I173,0)),IF($D$6="No",ROUNDUP($D$4/$G173,0),ROUNDUP(($D$4+$G173)/$G173,0)))+$D$5</f>
        <v>1</v>
      </c>
      <c r="BL173" s="400" t="b">
        <f t="shared" ca="1" si="631"/>
        <v>1</v>
      </c>
      <c r="BM173" s="400" t="str">
        <f t="shared" ca="1" si="678"/>
        <v>Accepted</v>
      </c>
      <c r="BN173" s="398" t="str">
        <f t="shared" ca="1" si="657"/>
        <v>No</v>
      </c>
      <c r="BO173" s="398" t="str">
        <f t="shared" ca="1" si="679"/>
        <v/>
      </c>
      <c r="BP173" s="398" t="str">
        <f t="shared" ca="1" si="647"/>
        <v/>
      </c>
      <c r="BQ173" s="398">
        <f t="shared" ca="1" si="648"/>
        <v>6</v>
      </c>
      <c r="BR173" s="398">
        <f t="shared" ca="1" si="680"/>
        <v>2</v>
      </c>
      <c r="BS173" s="398">
        <f t="shared" ca="1" si="681"/>
        <v>240</v>
      </c>
      <c r="BT173" s="398">
        <f t="shared" ca="1" si="682"/>
        <v>206682</v>
      </c>
      <c r="BU173" s="399">
        <f t="shared" si="620"/>
        <v>0</v>
      </c>
      <c r="BV173" s="399">
        <f t="shared" si="621"/>
        <v>0</v>
      </c>
      <c r="BW173" s="483" t="str">
        <f t="shared" ca="1" si="649"/>
        <v/>
      </c>
      <c r="BX173" s="400">
        <f ca="1">IF(MAX(IF($E$6="No",ROUNDUP($E$3/$I173,0),ROUNDUP(($E$3+$I173)/$I173,0)),IF($E$6="No",ROUNDUP($E$4/$G173,0),ROUNDUP(($E$4+$G173)/$G173,0)),ROUNDUP('BVMS checklist'!$H$217/$J173,0))&gt;1,'BVMS checklist'!$N$224,'BVMS checklist'!$N$217)</f>
        <v>0</v>
      </c>
      <c r="BY173" s="398">
        <f t="shared" ca="1" si="650"/>
        <v>2</v>
      </c>
      <c r="BZ173" s="400">
        <f t="shared" ca="1" si="683"/>
        <v>2</v>
      </c>
      <c r="CA173" s="400">
        <f t="shared" ca="1" si="684"/>
        <v>2050</v>
      </c>
      <c r="CB173" s="400">
        <f t="shared" ca="1" si="658"/>
        <v>0</v>
      </c>
      <c r="CC173" s="398">
        <f t="shared" ca="1" si="685"/>
        <v>206682</v>
      </c>
      <c r="CD173" s="401" t="str">
        <f t="shared" ca="1" si="651"/>
        <v/>
      </c>
      <c r="CE173" s="398">
        <f t="shared" ca="1" si="686"/>
        <v>512</v>
      </c>
      <c r="CF173" s="400">
        <f ca="1">IF(MAX(IF($E$6="No",ROUNDUP($E$3/$I173,0),ROUNDUP(($E$3+$I173)/$I173,0)),IF($E$6="No",ROUNDUP($E$4/$G173,0),ROUNDUP(($E$4+$G173)/$G173,0)),ROUNDUP('BVMS checklist'!$H$217/$J173,0))&gt;1,'BVMS checklist'!$N$224,'BVMS checklist'!$N$217)+MAX(IF($E$6="No",ROUNDUP($E$3/$I173,0),ROUNDUP(($E$3+$I173)/$I173,0)),IF($E$6="No",ROUNDUP($E$4/$G173,0),ROUNDUP(($E$4+$G173)/$G173,0)))+$E$5</f>
        <v>1</v>
      </c>
      <c r="CG173" s="400" t="b">
        <f t="shared" ca="1" si="632"/>
        <v>1</v>
      </c>
      <c r="CH173" s="400" t="str">
        <f t="shared" ca="1" si="687"/>
        <v>Accepted</v>
      </c>
      <c r="CI173" s="398" t="str">
        <f t="shared" ca="1" si="659"/>
        <v>No</v>
      </c>
      <c r="CJ173" s="398" t="str">
        <f t="shared" ca="1" si="688"/>
        <v/>
      </c>
      <c r="CK173" s="398" t="str">
        <f t="shared" ca="1" si="652"/>
        <v/>
      </c>
      <c r="CL173" s="398">
        <f t="shared" ca="1" si="653"/>
        <v>6</v>
      </c>
      <c r="CM173" s="398">
        <f t="shared" ca="1" si="689"/>
        <v>2</v>
      </c>
      <c r="CN173" s="398">
        <f t="shared" ca="1" si="690"/>
        <v>240</v>
      </c>
      <c r="CO173" s="398">
        <f t="shared" ca="1" si="691"/>
        <v>206682</v>
      </c>
      <c r="CP173" s="399">
        <f t="shared" si="622"/>
        <v>0</v>
      </c>
      <c r="CQ173" s="399">
        <f t="shared" si="623"/>
        <v>0</v>
      </c>
      <c r="CR173" s="483" t="str">
        <f t="shared" ca="1" si="654"/>
        <v/>
      </c>
      <c r="CS173"/>
    </row>
    <row r="174" spans="1:97">
      <c r="A174" s="398" t="s">
        <v>424</v>
      </c>
      <c r="B174" s="398" t="s">
        <v>987</v>
      </c>
      <c r="C174" s="440" t="s">
        <v>891</v>
      </c>
      <c r="D174" s="398">
        <v>3</v>
      </c>
      <c r="E174" s="398"/>
      <c r="F174" s="440">
        <v>0</v>
      </c>
      <c r="G174" s="398">
        <f>IF(C174="RAID5",(((15-F174)*5586))+(2*(((7-F174)*2793))),(((14-F174)*5586))+(2*(((6-F174)*2793))))</f>
        <v>122892</v>
      </c>
      <c r="H174" s="399">
        <v>144</v>
      </c>
      <c r="I174" s="399">
        <v>1575</v>
      </c>
      <c r="J174" s="399">
        <v>384</v>
      </c>
      <c r="K174" s="399"/>
      <c r="L174" s="399"/>
      <c r="M174" s="400">
        <f ca="1">IF(MAX(IF($B$6="No",ROUNDUP($B$3/$I174,0),ROUNDUP(($B$3+$I174)/$I174,0)),IF($B$6="No",ROUNDUP($B$4/$G174,0),ROUNDUP(($B$4+$G174)/$G174,0)),ROUNDUP('BVMS checklist'!$H$217/$J174,0))&gt;1,'BVMS checklist'!$H$224,'BVMS checklist'!$H$217)</f>
        <v>0</v>
      </c>
      <c r="N174" s="398">
        <f t="shared" ca="1" si="633"/>
        <v>2</v>
      </c>
      <c r="O174" s="400">
        <f t="shared" ca="1" si="660"/>
        <v>2</v>
      </c>
      <c r="P174" s="400">
        <f t="shared" ca="1" si="624"/>
        <v>3150</v>
      </c>
      <c r="Q174" s="400">
        <f t="shared" ca="1" si="625"/>
        <v>0</v>
      </c>
      <c r="R174" s="398">
        <f t="shared" ca="1" si="626"/>
        <v>245784</v>
      </c>
      <c r="S174" s="401" t="str">
        <f t="shared" ca="1" si="634"/>
        <v/>
      </c>
      <c r="T174" s="398">
        <f t="shared" ca="1" si="635"/>
        <v>768</v>
      </c>
      <c r="U174" s="400">
        <f ca="1">IF(MAX(IF($B$6="No",ROUNDUP($B$3/$I174,0),ROUNDUP(($B$3+$I174)/$I174,0)),IF($B$6="No",ROUNDUP($B$4/$G174,0),ROUNDUP(($B$4+$G174)/$G174,0)),ROUNDUP('BVMS checklist'!$H$217/$J174,0))&gt;1,'BVMS checklist'!$H$224,'BVMS checklist'!$H$217)+MAX(IF($B$6="No",ROUNDUP($B$3/$I174,0),ROUNDUP(($B$3+$I174)/$I174,0)),IF($B$6="No",ROUNDUP($B$4/$G174,0),ROUNDUP(($B$4+$G174)/$G174,0)))+$B$5</f>
        <v>1</v>
      </c>
      <c r="V174" s="400" t="b">
        <f t="shared" ca="1" si="627"/>
        <v>1</v>
      </c>
      <c r="W174" s="400" t="str">
        <f t="shared" ca="1" si="661"/>
        <v>Accepted</v>
      </c>
      <c r="X174" s="398" t="str">
        <f t="shared" ca="1" si="636"/>
        <v>No</v>
      </c>
      <c r="Y174" s="398" t="str">
        <f t="shared" ca="1" si="637"/>
        <v/>
      </c>
      <c r="Z174" s="398" t="str">
        <f t="shared" ca="1" si="638"/>
        <v/>
      </c>
      <c r="AA174" s="398">
        <f t="shared" ca="1" si="662"/>
        <v>6</v>
      </c>
      <c r="AB174" s="398">
        <f t="shared" ca="1" si="628"/>
        <v>2</v>
      </c>
      <c r="AC174" s="398">
        <f t="shared" ca="1" si="629"/>
        <v>288</v>
      </c>
      <c r="AD174" s="398">
        <f t="shared" ca="1" si="663"/>
        <v>245784</v>
      </c>
      <c r="AE174" s="399">
        <f t="shared" si="616"/>
        <v>0</v>
      </c>
      <c r="AF174" s="399">
        <f t="shared" si="617"/>
        <v>0</v>
      </c>
      <c r="AG174" s="483" t="str">
        <f t="shared" ca="1" si="639"/>
        <v/>
      </c>
      <c r="AH174" s="400">
        <f ca="1">IF(MAX(IF($C$6="No",ROUNDUP($C$3/$I174,0),ROUNDUP(($C$3+$I174)/$I174,0)),IF($C$6="No",ROUNDUP($C$4/$G174,0),ROUNDUP(($C$4+$G174)/$G174,0)),ROUNDUP('BVMS checklist'!$H$217/$J174,0))&gt;1,'BVMS checklist'!$J$224,'BVMS checklist'!$J$217)</f>
        <v>0</v>
      </c>
      <c r="AI174" s="398">
        <f t="shared" ca="1" si="640"/>
        <v>2</v>
      </c>
      <c r="AJ174" s="400">
        <f t="shared" ca="1" si="664"/>
        <v>2</v>
      </c>
      <c r="AK174" s="400">
        <f t="shared" ca="1" si="665"/>
        <v>3150</v>
      </c>
      <c r="AL174" s="400">
        <f t="shared" ca="1" si="666"/>
        <v>0</v>
      </c>
      <c r="AM174" s="398">
        <f t="shared" ca="1" si="667"/>
        <v>245784</v>
      </c>
      <c r="AN174" s="401" t="str">
        <f t="shared" ca="1" si="641"/>
        <v/>
      </c>
      <c r="AO174" s="398">
        <f t="shared" ca="1" si="668"/>
        <v>768</v>
      </c>
      <c r="AP174" s="400">
        <f ca="1">IF(MAX(IF($C$6="No",ROUNDUP($C$3/$I174,0),ROUNDUP(($C$3+$I174)/$I174,0)),IF($C$6="No",ROUNDUP($C$4/$G174,0),ROUNDUP(($C$4+$G174)/$G174,0)),ROUNDUP('BVMS checklist'!$H$217/$J174,0))&gt;1,'BVMS checklist'!$J$224,'BVMS checklist'!$J$217)+MAX(IF($C$6="No",ROUNDUP($C$3/$I174,0),ROUNDUP(($C$3+$I174)/$I174,0)),IF($C$6="No",ROUNDUP($C$4/$G174,0),ROUNDUP(($C$4+$G174)/$G174,0)))+$C$5</f>
        <v>1</v>
      </c>
      <c r="AQ174" s="400" t="b">
        <f t="shared" ca="1" si="630"/>
        <v>1</v>
      </c>
      <c r="AR174" s="400" t="str">
        <f t="shared" ca="1" si="669"/>
        <v>Accepted</v>
      </c>
      <c r="AS174" s="398" t="str">
        <f t="shared" ca="1" si="655"/>
        <v>No</v>
      </c>
      <c r="AT174" s="398" t="str">
        <f t="shared" ca="1" si="670"/>
        <v/>
      </c>
      <c r="AU174" s="398" t="str">
        <f t="shared" ca="1" si="642"/>
        <v/>
      </c>
      <c r="AV174" s="398">
        <f t="shared" ca="1" si="643"/>
        <v>6</v>
      </c>
      <c r="AW174" s="398">
        <f t="shared" ca="1" si="671"/>
        <v>2</v>
      </c>
      <c r="AX174" s="398">
        <f t="shared" ca="1" si="672"/>
        <v>288</v>
      </c>
      <c r="AY174" s="398">
        <f t="shared" ca="1" si="673"/>
        <v>245784</v>
      </c>
      <c r="AZ174" s="399">
        <f t="shared" si="618"/>
        <v>0</v>
      </c>
      <c r="BA174" s="399">
        <f t="shared" si="619"/>
        <v>0</v>
      </c>
      <c r="BB174" s="483" t="str">
        <f t="shared" ca="1" si="644"/>
        <v/>
      </c>
      <c r="BC174" s="400">
        <f ca="1">IF(MAX(IF($D$6="No",ROUNDUP($D$3/$I174,0),ROUNDUP(($D$3+$I174)/$I174,0)),IF($D$6="No",ROUNDUP($D$4/$G174,0),ROUNDUP(($D$4+$G174)/$G174,0)),ROUNDUP('BVMS checklist'!$H$217/$J174,0))&gt;1,'BVMS checklist'!$L$224,'BVMS checklist'!$L$217)</f>
        <v>0</v>
      </c>
      <c r="BD174" s="398">
        <f t="shared" ca="1" si="645"/>
        <v>2</v>
      </c>
      <c r="BE174" s="400">
        <f t="shared" si="674"/>
        <v>1</v>
      </c>
      <c r="BF174" s="400">
        <f t="shared" si="675"/>
        <v>1575</v>
      </c>
      <c r="BG174" s="400">
        <f t="shared" ca="1" si="656"/>
        <v>0</v>
      </c>
      <c r="BH174" s="398">
        <f t="shared" ca="1" si="676"/>
        <v>245784</v>
      </c>
      <c r="BI174" s="401" t="str">
        <f t="shared" ca="1" si="646"/>
        <v/>
      </c>
      <c r="BJ174" s="398">
        <f t="shared" ca="1" si="677"/>
        <v>768</v>
      </c>
      <c r="BK174" s="400">
        <f ca="1">IF(MAX(IF($D$6="No",ROUNDUP($D$3/$I174,0),ROUNDUP(($D$3+$I174)/$I174,0)),IF($D$6="No",ROUNDUP($D$4/$G174,0),ROUNDUP(($D$4+$G174)/$G174,0)),ROUNDUP('BVMS checklist'!$H$217/$J174,0))&gt;1,'BVMS checklist'!$L$224,'BVMS checklist'!$L$217)+MAX(IF($D$6="No",ROUNDUP($D$3/$I174,0),ROUNDUP(($D$3+$I174)/$I174,0)),IF($D$6="No",ROUNDUP($D$4/$G174,0),ROUNDUP(($D$4+$G174)/$G174,0)))+$D$5</f>
        <v>1</v>
      </c>
      <c r="BL174" s="400" t="b">
        <f t="shared" ca="1" si="631"/>
        <v>1</v>
      </c>
      <c r="BM174" s="400" t="str">
        <f t="shared" ca="1" si="678"/>
        <v>Accepted</v>
      </c>
      <c r="BN174" s="398" t="str">
        <f t="shared" ca="1" si="657"/>
        <v>No</v>
      </c>
      <c r="BO174" s="398" t="str">
        <f t="shared" ca="1" si="679"/>
        <v/>
      </c>
      <c r="BP174" s="398" t="str">
        <f t="shared" ca="1" si="647"/>
        <v/>
      </c>
      <c r="BQ174" s="398">
        <f t="shared" ca="1" si="648"/>
        <v>6</v>
      </c>
      <c r="BR174" s="398">
        <f t="shared" ca="1" si="680"/>
        <v>2</v>
      </c>
      <c r="BS174" s="398">
        <f t="shared" ca="1" si="681"/>
        <v>288</v>
      </c>
      <c r="BT174" s="398">
        <f t="shared" ca="1" si="682"/>
        <v>245784</v>
      </c>
      <c r="BU174" s="399">
        <f t="shared" si="620"/>
        <v>0</v>
      </c>
      <c r="BV174" s="399">
        <f t="shared" si="621"/>
        <v>0</v>
      </c>
      <c r="BW174" s="483" t="str">
        <f t="shared" ca="1" si="649"/>
        <v/>
      </c>
      <c r="BX174" s="400">
        <f ca="1">IF(MAX(IF($E$6="No",ROUNDUP($E$3/$I174,0),ROUNDUP(($E$3+$I174)/$I174,0)),IF($E$6="No",ROUNDUP($E$4/$G174,0),ROUNDUP(($E$4+$G174)/$G174,0)),ROUNDUP('BVMS checklist'!$H$217/$J174,0))&gt;1,'BVMS checklist'!$N$224,'BVMS checklist'!$N$217)</f>
        <v>0</v>
      </c>
      <c r="BY174" s="398">
        <f t="shared" ca="1" si="650"/>
        <v>2</v>
      </c>
      <c r="BZ174" s="400">
        <f t="shared" ca="1" si="683"/>
        <v>2</v>
      </c>
      <c r="CA174" s="400">
        <f t="shared" ca="1" si="684"/>
        <v>3150</v>
      </c>
      <c r="CB174" s="400">
        <f t="shared" ca="1" si="658"/>
        <v>0</v>
      </c>
      <c r="CC174" s="398">
        <f t="shared" ca="1" si="685"/>
        <v>245784</v>
      </c>
      <c r="CD174" s="401" t="str">
        <f t="shared" ca="1" si="651"/>
        <v/>
      </c>
      <c r="CE174" s="398">
        <f t="shared" ca="1" si="686"/>
        <v>768</v>
      </c>
      <c r="CF174" s="400">
        <f ca="1">IF(MAX(IF($E$6="No",ROUNDUP($E$3/$I174,0),ROUNDUP(($E$3+$I174)/$I174,0)),IF($E$6="No",ROUNDUP($E$4/$G174,0),ROUNDUP(($E$4+$G174)/$G174,0)),ROUNDUP('BVMS checklist'!$H$217/$J174,0))&gt;1,'BVMS checklist'!$N$224,'BVMS checklist'!$N$217)+MAX(IF($E$6="No",ROUNDUP($E$3/$I174,0),ROUNDUP(($E$3+$I174)/$I174,0)),IF($E$6="No",ROUNDUP($E$4/$G174,0),ROUNDUP(($E$4+$G174)/$G174,0)))+$E$5</f>
        <v>1</v>
      </c>
      <c r="CG174" s="400" t="b">
        <f t="shared" ca="1" si="632"/>
        <v>1</v>
      </c>
      <c r="CH174" s="400" t="str">
        <f t="shared" ca="1" si="687"/>
        <v>Accepted</v>
      </c>
      <c r="CI174" s="398" t="str">
        <f t="shared" ca="1" si="659"/>
        <v>No</v>
      </c>
      <c r="CJ174" s="398" t="str">
        <f t="shared" ca="1" si="688"/>
        <v/>
      </c>
      <c r="CK174" s="398" t="str">
        <f t="shared" ca="1" si="652"/>
        <v/>
      </c>
      <c r="CL174" s="398">
        <f t="shared" ca="1" si="653"/>
        <v>6</v>
      </c>
      <c r="CM174" s="398">
        <f t="shared" ca="1" si="689"/>
        <v>2</v>
      </c>
      <c r="CN174" s="398">
        <f t="shared" ca="1" si="690"/>
        <v>288</v>
      </c>
      <c r="CO174" s="398">
        <f t="shared" ca="1" si="691"/>
        <v>245784</v>
      </c>
      <c r="CP174" s="399">
        <f t="shared" si="622"/>
        <v>0</v>
      </c>
      <c r="CQ174" s="399">
        <f t="shared" si="623"/>
        <v>0</v>
      </c>
      <c r="CR174" s="483" t="str">
        <f t="shared" ca="1" si="654"/>
        <v/>
      </c>
      <c r="CS174"/>
    </row>
    <row r="175" spans="1:97">
      <c r="A175" s="398" t="s">
        <v>425</v>
      </c>
      <c r="B175" s="398" t="s">
        <v>987</v>
      </c>
      <c r="C175" s="440" t="s">
        <v>891</v>
      </c>
      <c r="D175" s="398">
        <v>4</v>
      </c>
      <c r="E175" s="398"/>
      <c r="F175" s="440">
        <v>0</v>
      </c>
      <c r="G175" s="398">
        <f>IF(C175="RAID5",(((15-F175)*5586))+(3*(((7-F175)*2793))),(((14-F175)*5586))+(3*(((6-F175)*2793))))</f>
        <v>142443</v>
      </c>
      <c r="H175" s="399">
        <v>168</v>
      </c>
      <c r="I175" s="399">
        <v>2125</v>
      </c>
      <c r="J175" s="399">
        <v>512</v>
      </c>
      <c r="K175" s="399"/>
      <c r="L175" s="399"/>
      <c r="M175" s="400">
        <f ca="1">IF(MAX(IF($B$6="No",ROUNDUP($B$3/$I175,0),ROUNDUP(($B$3+$I175)/$I175,0)),IF($B$6="No",ROUNDUP($B$4/$G175,0),ROUNDUP(($B$4+$G175)/$G175,0)),ROUNDUP('BVMS checklist'!$H$217/$J175,0))&gt;1,'BVMS checklist'!$H$224,'BVMS checklist'!$H$217)</f>
        <v>0</v>
      </c>
      <c r="N175" s="398">
        <f t="shared" ca="1" si="633"/>
        <v>2</v>
      </c>
      <c r="O175" s="400">
        <f t="shared" ca="1" si="660"/>
        <v>2</v>
      </c>
      <c r="P175" s="400">
        <f t="shared" ca="1" si="624"/>
        <v>4250</v>
      </c>
      <c r="Q175" s="400">
        <f t="shared" ca="1" si="625"/>
        <v>0</v>
      </c>
      <c r="R175" s="398">
        <f t="shared" ca="1" si="626"/>
        <v>284886</v>
      </c>
      <c r="S175" s="401" t="str">
        <f t="shared" ca="1" si="634"/>
        <v/>
      </c>
      <c r="T175" s="398">
        <f t="shared" ca="1" si="635"/>
        <v>1024</v>
      </c>
      <c r="U175" s="400">
        <f ca="1">IF(MAX(IF($B$6="No",ROUNDUP($B$3/$I175,0),ROUNDUP(($B$3+$I175)/$I175,0)),IF($B$6="No",ROUNDUP($B$4/$G175,0),ROUNDUP(($B$4+$G175)/$G175,0)),ROUNDUP('BVMS checklist'!$H$217/$J175,0))&gt;1,'BVMS checklist'!$H$224,'BVMS checklist'!$H$217)+MAX(IF($B$6="No",ROUNDUP($B$3/$I175,0),ROUNDUP(($B$3+$I175)/$I175,0)),IF($B$6="No",ROUNDUP($B$4/$G175,0),ROUNDUP(($B$4+$G175)/$G175,0)))+$B$5</f>
        <v>1</v>
      </c>
      <c r="V175" s="400" t="b">
        <f t="shared" ca="1" si="627"/>
        <v>1</v>
      </c>
      <c r="W175" s="400" t="str">
        <f t="shared" ca="1" si="661"/>
        <v>Accepted</v>
      </c>
      <c r="X175" s="398" t="str">
        <f t="shared" ca="1" si="636"/>
        <v>No</v>
      </c>
      <c r="Y175" s="398" t="str">
        <f t="shared" ca="1" si="637"/>
        <v/>
      </c>
      <c r="Z175" s="398" t="str">
        <f t="shared" ca="1" si="638"/>
        <v/>
      </c>
      <c r="AA175" s="398">
        <f t="shared" ca="1" si="662"/>
        <v>6</v>
      </c>
      <c r="AB175" s="398">
        <f t="shared" ca="1" si="628"/>
        <v>2</v>
      </c>
      <c r="AC175" s="398">
        <f t="shared" ca="1" si="629"/>
        <v>336</v>
      </c>
      <c r="AD175" s="398">
        <f t="shared" ca="1" si="663"/>
        <v>284886</v>
      </c>
      <c r="AE175" s="399">
        <f t="shared" si="616"/>
        <v>0</v>
      </c>
      <c r="AF175" s="399">
        <f t="shared" si="617"/>
        <v>0</v>
      </c>
      <c r="AG175" s="483" t="str">
        <f t="shared" ca="1" si="639"/>
        <v/>
      </c>
      <c r="AH175" s="400">
        <f ca="1">IF(MAX(IF($C$6="No",ROUNDUP($C$3/$I175,0),ROUNDUP(($C$3+$I175)/$I175,0)),IF($C$6="No",ROUNDUP($C$4/$G175,0),ROUNDUP(($C$4+$G175)/$G175,0)),ROUNDUP('BVMS checklist'!$H$217/$J175,0))&gt;1,'BVMS checklist'!$J$224,'BVMS checklist'!$J$217)</f>
        <v>0</v>
      </c>
      <c r="AI175" s="398">
        <f t="shared" ca="1" si="640"/>
        <v>2</v>
      </c>
      <c r="AJ175" s="400">
        <f t="shared" ca="1" si="664"/>
        <v>2</v>
      </c>
      <c r="AK175" s="400">
        <f t="shared" ca="1" si="665"/>
        <v>4250</v>
      </c>
      <c r="AL175" s="400">
        <f t="shared" ca="1" si="666"/>
        <v>0</v>
      </c>
      <c r="AM175" s="398">
        <f t="shared" ca="1" si="667"/>
        <v>284886</v>
      </c>
      <c r="AN175" s="401" t="str">
        <f t="shared" ca="1" si="641"/>
        <v/>
      </c>
      <c r="AO175" s="398">
        <f t="shared" ca="1" si="668"/>
        <v>1024</v>
      </c>
      <c r="AP175" s="400">
        <f ca="1">IF(MAX(IF($C$6="No",ROUNDUP($C$3/$I175,0),ROUNDUP(($C$3+$I175)/$I175,0)),IF($C$6="No",ROUNDUP($C$4/$G175,0),ROUNDUP(($C$4+$G175)/$G175,0)),ROUNDUP('BVMS checklist'!$H$217/$J175,0))&gt;1,'BVMS checklist'!$J$224,'BVMS checklist'!$J$217)+MAX(IF($C$6="No",ROUNDUP($C$3/$I175,0),ROUNDUP(($C$3+$I175)/$I175,0)),IF($C$6="No",ROUNDUP($C$4/$G175,0),ROUNDUP(($C$4+$G175)/$G175,0)))+$C$5</f>
        <v>1</v>
      </c>
      <c r="AQ175" s="400" t="b">
        <f t="shared" ca="1" si="630"/>
        <v>1</v>
      </c>
      <c r="AR175" s="400" t="str">
        <f t="shared" ca="1" si="669"/>
        <v>Accepted</v>
      </c>
      <c r="AS175" s="398" t="str">
        <f t="shared" ca="1" si="655"/>
        <v>No</v>
      </c>
      <c r="AT175" s="398" t="str">
        <f t="shared" ca="1" si="670"/>
        <v/>
      </c>
      <c r="AU175" s="398" t="str">
        <f t="shared" ca="1" si="642"/>
        <v/>
      </c>
      <c r="AV175" s="398">
        <f t="shared" ca="1" si="643"/>
        <v>6</v>
      </c>
      <c r="AW175" s="398">
        <f t="shared" ca="1" si="671"/>
        <v>2</v>
      </c>
      <c r="AX175" s="398">
        <f t="shared" ca="1" si="672"/>
        <v>336</v>
      </c>
      <c r="AY175" s="398">
        <f t="shared" ca="1" si="673"/>
        <v>284886</v>
      </c>
      <c r="AZ175" s="399">
        <f t="shared" si="618"/>
        <v>0</v>
      </c>
      <c r="BA175" s="399">
        <f t="shared" si="619"/>
        <v>0</v>
      </c>
      <c r="BB175" s="483" t="str">
        <f t="shared" ca="1" si="644"/>
        <v/>
      </c>
      <c r="BC175" s="400">
        <f ca="1">IF(MAX(IF($D$6="No",ROUNDUP($D$3/$I175,0),ROUNDUP(($D$3+$I175)/$I175,0)),IF($D$6="No",ROUNDUP($D$4/$G175,0),ROUNDUP(($D$4+$G175)/$G175,0)),ROUNDUP('BVMS checklist'!$H$217/$J175,0))&gt;1,'BVMS checklist'!$L$224,'BVMS checklist'!$L$217)</f>
        <v>0</v>
      </c>
      <c r="BD175" s="398">
        <f t="shared" ca="1" si="645"/>
        <v>2</v>
      </c>
      <c r="BE175" s="400">
        <f t="shared" si="674"/>
        <v>1</v>
      </c>
      <c r="BF175" s="400">
        <f t="shared" si="675"/>
        <v>2125</v>
      </c>
      <c r="BG175" s="400">
        <f t="shared" ca="1" si="656"/>
        <v>0</v>
      </c>
      <c r="BH175" s="398">
        <f t="shared" ca="1" si="676"/>
        <v>284886</v>
      </c>
      <c r="BI175" s="401" t="str">
        <f t="shared" ca="1" si="646"/>
        <v/>
      </c>
      <c r="BJ175" s="398">
        <f t="shared" ca="1" si="677"/>
        <v>1024</v>
      </c>
      <c r="BK175" s="400">
        <f ca="1">IF(MAX(IF($D$6="No",ROUNDUP($D$3/$I175,0),ROUNDUP(($D$3+$I175)/$I175,0)),IF($D$6="No",ROUNDUP($D$4/$G175,0),ROUNDUP(($D$4+$G175)/$G175,0)),ROUNDUP('BVMS checklist'!$H$217/$J175,0))&gt;1,'BVMS checklist'!$L$224,'BVMS checklist'!$L$217)+MAX(IF($D$6="No",ROUNDUP($D$3/$I175,0),ROUNDUP(($D$3+$I175)/$I175,0)),IF($D$6="No",ROUNDUP($D$4/$G175,0),ROUNDUP(($D$4+$G175)/$G175,0)))+$D$5</f>
        <v>1</v>
      </c>
      <c r="BL175" s="400" t="b">
        <f t="shared" ca="1" si="631"/>
        <v>1</v>
      </c>
      <c r="BM175" s="400" t="str">
        <f t="shared" ca="1" si="678"/>
        <v>Accepted</v>
      </c>
      <c r="BN175" s="398" t="str">
        <f t="shared" ca="1" si="657"/>
        <v>No</v>
      </c>
      <c r="BO175" s="398" t="str">
        <f t="shared" ca="1" si="679"/>
        <v/>
      </c>
      <c r="BP175" s="398" t="str">
        <f t="shared" ca="1" si="647"/>
        <v/>
      </c>
      <c r="BQ175" s="398">
        <f t="shared" ca="1" si="648"/>
        <v>6</v>
      </c>
      <c r="BR175" s="398">
        <f t="shared" ca="1" si="680"/>
        <v>2</v>
      </c>
      <c r="BS175" s="398">
        <f t="shared" ca="1" si="681"/>
        <v>336</v>
      </c>
      <c r="BT175" s="398">
        <f t="shared" ca="1" si="682"/>
        <v>284886</v>
      </c>
      <c r="BU175" s="399">
        <f t="shared" si="620"/>
        <v>0</v>
      </c>
      <c r="BV175" s="399">
        <f t="shared" si="621"/>
        <v>0</v>
      </c>
      <c r="BW175" s="483" t="str">
        <f t="shared" ca="1" si="649"/>
        <v/>
      </c>
      <c r="BX175" s="400">
        <f ca="1">IF(MAX(IF($E$6="No",ROUNDUP($E$3/$I175,0),ROUNDUP(($E$3+$I175)/$I175,0)),IF($E$6="No",ROUNDUP($E$4/$G175,0),ROUNDUP(($E$4+$G175)/$G175,0)),ROUNDUP('BVMS checklist'!$H$217/$J175,0))&gt;1,'BVMS checklist'!$N$224,'BVMS checklist'!$N$217)</f>
        <v>0</v>
      </c>
      <c r="BY175" s="398">
        <f t="shared" ca="1" si="650"/>
        <v>2</v>
      </c>
      <c r="BZ175" s="400">
        <f t="shared" ca="1" si="683"/>
        <v>2</v>
      </c>
      <c r="CA175" s="400">
        <f t="shared" ca="1" si="684"/>
        <v>4250</v>
      </c>
      <c r="CB175" s="400">
        <f t="shared" ca="1" si="658"/>
        <v>0</v>
      </c>
      <c r="CC175" s="398">
        <f t="shared" ca="1" si="685"/>
        <v>284886</v>
      </c>
      <c r="CD175" s="401" t="str">
        <f t="shared" ca="1" si="651"/>
        <v/>
      </c>
      <c r="CE175" s="398">
        <f t="shared" ca="1" si="686"/>
        <v>1024</v>
      </c>
      <c r="CF175" s="400">
        <f ca="1">IF(MAX(IF($E$6="No",ROUNDUP($E$3/$I175,0),ROUNDUP(($E$3+$I175)/$I175,0)),IF($E$6="No",ROUNDUP($E$4/$G175,0),ROUNDUP(($E$4+$G175)/$G175,0)),ROUNDUP('BVMS checklist'!$H$217/$J175,0))&gt;1,'BVMS checklist'!$N$224,'BVMS checklist'!$N$217)+MAX(IF($E$6="No",ROUNDUP($E$3/$I175,0),ROUNDUP(($E$3+$I175)/$I175,0)),IF($E$6="No",ROUNDUP($E$4/$G175,0),ROUNDUP(($E$4+$G175)/$G175,0)))+$E$5</f>
        <v>1</v>
      </c>
      <c r="CG175" s="400" t="b">
        <f t="shared" ca="1" si="632"/>
        <v>1</v>
      </c>
      <c r="CH175" s="400" t="str">
        <f t="shared" ca="1" si="687"/>
        <v>Accepted</v>
      </c>
      <c r="CI175" s="398" t="str">
        <f t="shared" ca="1" si="659"/>
        <v>No</v>
      </c>
      <c r="CJ175" s="398" t="str">
        <f t="shared" ca="1" si="688"/>
        <v/>
      </c>
      <c r="CK175" s="398" t="str">
        <f t="shared" ca="1" si="652"/>
        <v/>
      </c>
      <c r="CL175" s="398">
        <f t="shared" ca="1" si="653"/>
        <v>6</v>
      </c>
      <c r="CM175" s="398">
        <f t="shared" ca="1" si="689"/>
        <v>2</v>
      </c>
      <c r="CN175" s="398">
        <f t="shared" ca="1" si="690"/>
        <v>336</v>
      </c>
      <c r="CO175" s="398">
        <f t="shared" ca="1" si="691"/>
        <v>284886</v>
      </c>
      <c r="CP175" s="399">
        <f t="shared" si="622"/>
        <v>0</v>
      </c>
      <c r="CQ175" s="399">
        <f t="shared" si="623"/>
        <v>0</v>
      </c>
      <c r="CR175" s="483" t="str">
        <f t="shared" ca="1" si="654"/>
        <v/>
      </c>
      <c r="CS175"/>
    </row>
    <row r="176" spans="1:97">
      <c r="A176" s="398" t="s">
        <v>426</v>
      </c>
      <c r="B176" s="398" t="s">
        <v>987</v>
      </c>
      <c r="C176" s="440" t="s">
        <v>891</v>
      </c>
      <c r="D176" s="398">
        <v>5</v>
      </c>
      <c r="E176" s="398"/>
      <c r="F176" s="440">
        <v>0</v>
      </c>
      <c r="G176" s="398">
        <f>IF(C176="RAID5",(((15-F176)*5586))+(4*(((7-F176)*2793))),(((14-F176)*5586))+(4*(((6-F176)*2793))))</f>
        <v>161994</v>
      </c>
      <c r="H176" s="399">
        <v>192</v>
      </c>
      <c r="I176" s="399">
        <v>2675</v>
      </c>
      <c r="J176" s="399">
        <v>640</v>
      </c>
      <c r="K176" s="399"/>
      <c r="L176" s="399"/>
      <c r="M176" s="400">
        <f ca="1">IF(MAX(IF($B$6="No",ROUNDUP($B$3/$I176,0),ROUNDUP(($B$3+$I176)/$I176,0)),IF($B$6="No",ROUNDUP($B$4/$G176,0),ROUNDUP(($B$4+$G176)/$G176,0)),ROUNDUP('BVMS checklist'!$H$217/$J176,0))&gt;1,'BVMS checklist'!$H$224,'BVMS checklist'!$H$217)</f>
        <v>0</v>
      </c>
      <c r="N176" s="398">
        <f t="shared" ca="1" si="633"/>
        <v>2</v>
      </c>
      <c r="O176" s="400">
        <f t="shared" ca="1" si="660"/>
        <v>2</v>
      </c>
      <c r="P176" s="400">
        <f t="shared" ca="1" si="624"/>
        <v>5350</v>
      </c>
      <c r="Q176" s="400">
        <f t="shared" ca="1" si="625"/>
        <v>0</v>
      </c>
      <c r="R176" s="398">
        <f t="shared" ca="1" si="626"/>
        <v>323988</v>
      </c>
      <c r="S176" s="401" t="str">
        <f t="shared" ca="1" si="634"/>
        <v/>
      </c>
      <c r="T176" s="398">
        <f t="shared" ca="1" si="635"/>
        <v>1280</v>
      </c>
      <c r="U176" s="400">
        <f ca="1">IF(MAX(IF($B$6="No",ROUNDUP($B$3/$I176,0),ROUNDUP(($B$3+$I176)/$I176,0)),IF($B$6="No",ROUNDUP($B$4/$G176,0),ROUNDUP(($B$4+$G176)/$G176,0)),ROUNDUP('BVMS checklist'!$H$217/$J176,0))&gt;1,'BVMS checklist'!$H$224,'BVMS checklist'!$H$217)+MAX(IF($B$6="No",ROUNDUP($B$3/$I176,0),ROUNDUP(($B$3+$I176)/$I176,0)),IF($B$6="No",ROUNDUP($B$4/$G176,0),ROUNDUP(($B$4+$G176)/$G176,0)))+$B$5</f>
        <v>1</v>
      </c>
      <c r="V176" s="400" t="b">
        <f t="shared" ca="1" si="627"/>
        <v>1</v>
      </c>
      <c r="W176" s="400" t="str">
        <f t="shared" ca="1" si="661"/>
        <v>Accepted</v>
      </c>
      <c r="X176" s="398" t="str">
        <f t="shared" ca="1" si="636"/>
        <v>No</v>
      </c>
      <c r="Y176" s="398" t="str">
        <f t="shared" ca="1" si="637"/>
        <v/>
      </c>
      <c r="Z176" s="398" t="str">
        <f t="shared" ca="1" si="638"/>
        <v/>
      </c>
      <c r="AA176" s="398">
        <f t="shared" ca="1" si="662"/>
        <v>6</v>
      </c>
      <c r="AB176" s="398">
        <f t="shared" ca="1" si="628"/>
        <v>2</v>
      </c>
      <c r="AC176" s="398">
        <f t="shared" ca="1" si="629"/>
        <v>384</v>
      </c>
      <c r="AD176" s="398">
        <f t="shared" ca="1" si="663"/>
        <v>323988</v>
      </c>
      <c r="AE176" s="399">
        <f t="shared" si="616"/>
        <v>0</v>
      </c>
      <c r="AF176" s="399">
        <f t="shared" si="617"/>
        <v>0</v>
      </c>
      <c r="AG176" s="483" t="str">
        <f t="shared" ca="1" si="639"/>
        <v/>
      </c>
      <c r="AH176" s="400">
        <f ca="1">IF(MAX(IF($C$6="No",ROUNDUP($C$3/$I176,0),ROUNDUP(($C$3+$I176)/$I176,0)),IF($C$6="No",ROUNDUP($C$4/$G176,0),ROUNDUP(($C$4+$G176)/$G176,0)),ROUNDUP('BVMS checklist'!$H$217/$J176,0))&gt;1,'BVMS checklist'!$J$224,'BVMS checklist'!$J$217)</f>
        <v>0</v>
      </c>
      <c r="AI176" s="398">
        <f t="shared" ca="1" si="640"/>
        <v>2</v>
      </c>
      <c r="AJ176" s="400">
        <f t="shared" ca="1" si="664"/>
        <v>2</v>
      </c>
      <c r="AK176" s="400">
        <f t="shared" ca="1" si="665"/>
        <v>5350</v>
      </c>
      <c r="AL176" s="400">
        <f t="shared" ca="1" si="666"/>
        <v>0</v>
      </c>
      <c r="AM176" s="398">
        <f t="shared" ca="1" si="667"/>
        <v>323988</v>
      </c>
      <c r="AN176" s="401" t="str">
        <f t="shared" ca="1" si="641"/>
        <v/>
      </c>
      <c r="AO176" s="398">
        <f t="shared" ca="1" si="668"/>
        <v>1280</v>
      </c>
      <c r="AP176" s="400">
        <f ca="1">IF(MAX(IF($C$6="No",ROUNDUP($C$3/$I176,0),ROUNDUP(($C$3+$I176)/$I176,0)),IF($C$6="No",ROUNDUP($C$4/$G176,0),ROUNDUP(($C$4+$G176)/$G176,0)),ROUNDUP('BVMS checklist'!$H$217/$J176,0))&gt;1,'BVMS checklist'!$J$224,'BVMS checklist'!$J$217)+MAX(IF($C$6="No",ROUNDUP($C$3/$I176,0),ROUNDUP(($C$3+$I176)/$I176,0)),IF($C$6="No",ROUNDUP($C$4/$G176,0),ROUNDUP(($C$4+$G176)/$G176,0)))+$C$5</f>
        <v>1</v>
      </c>
      <c r="AQ176" s="400" t="b">
        <f t="shared" ca="1" si="630"/>
        <v>1</v>
      </c>
      <c r="AR176" s="400" t="str">
        <f t="shared" ca="1" si="669"/>
        <v>Accepted</v>
      </c>
      <c r="AS176" s="398" t="str">
        <f t="shared" ca="1" si="655"/>
        <v>No</v>
      </c>
      <c r="AT176" s="398" t="str">
        <f t="shared" ca="1" si="670"/>
        <v/>
      </c>
      <c r="AU176" s="398" t="str">
        <f t="shared" ca="1" si="642"/>
        <v/>
      </c>
      <c r="AV176" s="398">
        <f t="shared" ca="1" si="643"/>
        <v>6</v>
      </c>
      <c r="AW176" s="398">
        <f t="shared" ca="1" si="671"/>
        <v>2</v>
      </c>
      <c r="AX176" s="398">
        <f t="shared" ca="1" si="672"/>
        <v>384</v>
      </c>
      <c r="AY176" s="398">
        <f t="shared" ca="1" si="673"/>
        <v>323988</v>
      </c>
      <c r="AZ176" s="399">
        <f t="shared" si="618"/>
        <v>0</v>
      </c>
      <c r="BA176" s="399">
        <f t="shared" si="619"/>
        <v>0</v>
      </c>
      <c r="BB176" s="483" t="str">
        <f t="shared" ca="1" si="644"/>
        <v/>
      </c>
      <c r="BC176" s="400">
        <f ca="1">IF(MAX(IF($D$6="No",ROUNDUP($D$3/$I176,0),ROUNDUP(($D$3+$I176)/$I176,0)),IF($D$6="No",ROUNDUP($D$4/$G176,0),ROUNDUP(($D$4+$G176)/$G176,0)),ROUNDUP('BVMS checklist'!$H$217/$J176,0))&gt;1,'BVMS checklist'!$L$224,'BVMS checklist'!$L$217)</f>
        <v>0</v>
      </c>
      <c r="BD176" s="398">
        <f t="shared" ca="1" si="645"/>
        <v>2</v>
      </c>
      <c r="BE176" s="400">
        <f t="shared" si="674"/>
        <v>1</v>
      </c>
      <c r="BF176" s="400">
        <f t="shared" si="675"/>
        <v>2675</v>
      </c>
      <c r="BG176" s="400">
        <f t="shared" ca="1" si="656"/>
        <v>0</v>
      </c>
      <c r="BH176" s="398">
        <f t="shared" ca="1" si="676"/>
        <v>323988</v>
      </c>
      <c r="BI176" s="401" t="str">
        <f t="shared" ca="1" si="646"/>
        <v/>
      </c>
      <c r="BJ176" s="398">
        <f t="shared" ca="1" si="677"/>
        <v>1280</v>
      </c>
      <c r="BK176" s="400">
        <f ca="1">IF(MAX(IF($D$6="No",ROUNDUP($D$3/$I176,0),ROUNDUP(($D$3+$I176)/$I176,0)),IF($D$6="No",ROUNDUP($D$4/$G176,0),ROUNDUP(($D$4+$G176)/$G176,0)),ROUNDUP('BVMS checklist'!$H$217/$J176,0))&gt;1,'BVMS checklist'!$L$224,'BVMS checklist'!$L$217)+MAX(IF($D$6="No",ROUNDUP($D$3/$I176,0),ROUNDUP(($D$3+$I176)/$I176,0)),IF($D$6="No",ROUNDUP($D$4/$G176,0),ROUNDUP(($D$4+$G176)/$G176,0)))+$D$5</f>
        <v>1</v>
      </c>
      <c r="BL176" s="400" t="b">
        <f t="shared" ca="1" si="631"/>
        <v>1</v>
      </c>
      <c r="BM176" s="400" t="str">
        <f t="shared" ca="1" si="678"/>
        <v>Accepted</v>
      </c>
      <c r="BN176" s="398" t="str">
        <f t="shared" ca="1" si="657"/>
        <v>No</v>
      </c>
      <c r="BO176" s="398" t="str">
        <f t="shared" ca="1" si="679"/>
        <v/>
      </c>
      <c r="BP176" s="398" t="str">
        <f t="shared" ca="1" si="647"/>
        <v/>
      </c>
      <c r="BQ176" s="398">
        <f t="shared" ca="1" si="648"/>
        <v>6</v>
      </c>
      <c r="BR176" s="398">
        <f t="shared" ca="1" si="680"/>
        <v>2</v>
      </c>
      <c r="BS176" s="398">
        <f t="shared" ca="1" si="681"/>
        <v>384</v>
      </c>
      <c r="BT176" s="398">
        <f t="shared" ca="1" si="682"/>
        <v>323988</v>
      </c>
      <c r="BU176" s="399">
        <f t="shared" si="620"/>
        <v>0</v>
      </c>
      <c r="BV176" s="399">
        <f t="shared" si="621"/>
        <v>0</v>
      </c>
      <c r="BW176" s="483" t="str">
        <f t="shared" ca="1" si="649"/>
        <v/>
      </c>
      <c r="BX176" s="400">
        <f ca="1">IF(MAX(IF($E$6="No",ROUNDUP($E$3/$I176,0),ROUNDUP(($E$3+$I176)/$I176,0)),IF($E$6="No",ROUNDUP($E$4/$G176,0),ROUNDUP(($E$4+$G176)/$G176,0)),ROUNDUP('BVMS checklist'!$H$217/$J176,0))&gt;1,'BVMS checklist'!$N$224,'BVMS checklist'!$N$217)</f>
        <v>0</v>
      </c>
      <c r="BY176" s="398">
        <f t="shared" ca="1" si="650"/>
        <v>2</v>
      </c>
      <c r="BZ176" s="400">
        <f t="shared" ca="1" si="683"/>
        <v>2</v>
      </c>
      <c r="CA176" s="400">
        <f t="shared" ca="1" si="684"/>
        <v>5350</v>
      </c>
      <c r="CB176" s="400">
        <f t="shared" ca="1" si="658"/>
        <v>0</v>
      </c>
      <c r="CC176" s="398">
        <f t="shared" ca="1" si="685"/>
        <v>323988</v>
      </c>
      <c r="CD176" s="401" t="str">
        <f t="shared" ca="1" si="651"/>
        <v/>
      </c>
      <c r="CE176" s="398">
        <f t="shared" ca="1" si="686"/>
        <v>1280</v>
      </c>
      <c r="CF176" s="400">
        <f ca="1">IF(MAX(IF($E$6="No",ROUNDUP($E$3/$I176,0),ROUNDUP(($E$3+$I176)/$I176,0)),IF($E$6="No",ROUNDUP($E$4/$G176,0),ROUNDUP(($E$4+$G176)/$G176,0)),ROUNDUP('BVMS checklist'!$H$217/$J176,0))&gt;1,'BVMS checklist'!$N$224,'BVMS checklist'!$N$217)+MAX(IF($E$6="No",ROUNDUP($E$3/$I176,0),ROUNDUP(($E$3+$I176)/$I176,0)),IF($E$6="No",ROUNDUP($E$4/$G176,0),ROUNDUP(($E$4+$G176)/$G176,0)))+$E$5</f>
        <v>1</v>
      </c>
      <c r="CG176" s="400" t="b">
        <f t="shared" ca="1" si="632"/>
        <v>1</v>
      </c>
      <c r="CH176" s="400" t="str">
        <f t="shared" ca="1" si="687"/>
        <v>Accepted</v>
      </c>
      <c r="CI176" s="398" t="str">
        <f t="shared" ca="1" si="659"/>
        <v>No</v>
      </c>
      <c r="CJ176" s="398" t="str">
        <f t="shared" ca="1" si="688"/>
        <v/>
      </c>
      <c r="CK176" s="398" t="str">
        <f t="shared" ca="1" si="652"/>
        <v/>
      </c>
      <c r="CL176" s="398">
        <f t="shared" ca="1" si="653"/>
        <v>6</v>
      </c>
      <c r="CM176" s="398">
        <f t="shared" ca="1" si="689"/>
        <v>2</v>
      </c>
      <c r="CN176" s="398">
        <f t="shared" ca="1" si="690"/>
        <v>384</v>
      </c>
      <c r="CO176" s="398">
        <f t="shared" ca="1" si="691"/>
        <v>323988</v>
      </c>
      <c r="CP176" s="399">
        <f t="shared" si="622"/>
        <v>0</v>
      </c>
      <c r="CQ176" s="399">
        <f t="shared" si="623"/>
        <v>0</v>
      </c>
      <c r="CR176" s="483" t="str">
        <f t="shared" ca="1" si="654"/>
        <v/>
      </c>
      <c r="CS176"/>
    </row>
    <row r="177" spans="1:97">
      <c r="A177" s="398" t="s">
        <v>427</v>
      </c>
      <c r="B177" s="398" t="s">
        <v>987</v>
      </c>
      <c r="C177" s="440" t="s">
        <v>891</v>
      </c>
      <c r="D177" s="398">
        <v>2</v>
      </c>
      <c r="E177" s="398"/>
      <c r="F177" s="440">
        <v>0</v>
      </c>
      <c r="G177" s="398">
        <f>IF(C177="RAID5",(((15-F177)*5586))+(1*(((15-F177)*2793))),(((14-F177)*5586))+(1*(((14-F177)*2793))))</f>
        <v>125685</v>
      </c>
      <c r="H177" s="399">
        <v>144</v>
      </c>
      <c r="I177" s="399">
        <v>1025</v>
      </c>
      <c r="J177" s="399">
        <v>256</v>
      </c>
      <c r="K177" s="399"/>
      <c r="L177" s="399"/>
      <c r="M177" s="400">
        <f ca="1">IF(MAX(IF($B$6="No",ROUNDUP($B$3/$I177,0),ROUNDUP(($B$3+$I177)/$I177,0)),IF($B$6="No",ROUNDUP($B$4/$G177,0),ROUNDUP(($B$4+$G177)/$G177,0)),ROUNDUP('BVMS checklist'!$H$217/$J177,0))&gt;1,'BVMS checklist'!$H$224,'BVMS checklist'!$H$217)</f>
        <v>0</v>
      </c>
      <c r="N177" s="398">
        <f t="shared" ca="1" si="633"/>
        <v>2</v>
      </c>
      <c r="O177" s="400">
        <f t="shared" ca="1" si="660"/>
        <v>2</v>
      </c>
      <c r="P177" s="400">
        <f t="shared" ca="1" si="624"/>
        <v>2050</v>
      </c>
      <c r="Q177" s="400">
        <f t="shared" ca="1" si="625"/>
        <v>0</v>
      </c>
      <c r="R177" s="398">
        <f t="shared" ca="1" si="626"/>
        <v>251370</v>
      </c>
      <c r="S177" s="401" t="str">
        <f t="shared" ca="1" si="634"/>
        <v/>
      </c>
      <c r="T177" s="398">
        <f t="shared" ca="1" si="635"/>
        <v>512</v>
      </c>
      <c r="U177" s="400">
        <f ca="1">IF(MAX(IF($B$6="No",ROUNDUP($B$3/$I177,0),ROUNDUP(($B$3+$I177)/$I177,0)),IF($B$6="No",ROUNDUP($B$4/$G177,0),ROUNDUP(($B$4+$G177)/$G177,0)),ROUNDUP('BVMS checklist'!$H$217/$J177,0))&gt;1,'BVMS checklist'!$H$224,'BVMS checklist'!$H$217)+MAX(IF($B$6="No",ROUNDUP($B$3/$I177,0),ROUNDUP(($B$3+$I177)/$I177,0)),IF($B$6="No",ROUNDUP($B$4/$G177,0),ROUNDUP(($B$4+$G177)/$G177,0)))+$B$5</f>
        <v>1</v>
      </c>
      <c r="V177" s="400" t="b">
        <f t="shared" ca="1" si="627"/>
        <v>1</v>
      </c>
      <c r="W177" s="400" t="str">
        <f t="shared" ca="1" si="661"/>
        <v>Accepted</v>
      </c>
      <c r="X177" s="398" t="str">
        <f t="shared" ca="1" si="636"/>
        <v>No</v>
      </c>
      <c r="Y177" s="398" t="str">
        <f t="shared" ca="1" si="637"/>
        <v/>
      </c>
      <c r="Z177" s="398" t="str">
        <f t="shared" ca="1" si="638"/>
        <v/>
      </c>
      <c r="AA177" s="398">
        <f t="shared" ca="1" si="662"/>
        <v>6</v>
      </c>
      <c r="AB177" s="398">
        <f t="shared" ca="1" si="628"/>
        <v>2</v>
      </c>
      <c r="AC177" s="398">
        <f t="shared" ca="1" si="629"/>
        <v>288</v>
      </c>
      <c r="AD177" s="398">
        <f t="shared" ca="1" si="663"/>
        <v>251370</v>
      </c>
      <c r="AE177" s="399">
        <f t="shared" si="616"/>
        <v>0</v>
      </c>
      <c r="AF177" s="399">
        <f t="shared" si="617"/>
        <v>0</v>
      </c>
      <c r="AG177" s="483" t="str">
        <f t="shared" ca="1" si="639"/>
        <v/>
      </c>
      <c r="AH177" s="400">
        <f ca="1">IF(MAX(IF($C$6="No",ROUNDUP($C$3/$I177,0),ROUNDUP(($C$3+$I177)/$I177,0)),IF($C$6="No",ROUNDUP($C$4/$G177,0),ROUNDUP(($C$4+$G177)/$G177,0)),ROUNDUP('BVMS checklist'!$H$217/$J177,0))&gt;1,'BVMS checklist'!$J$224,'BVMS checklist'!$J$217)</f>
        <v>0</v>
      </c>
      <c r="AI177" s="398">
        <f t="shared" ca="1" si="640"/>
        <v>2</v>
      </c>
      <c r="AJ177" s="400">
        <f t="shared" ca="1" si="664"/>
        <v>2</v>
      </c>
      <c r="AK177" s="400">
        <f t="shared" ca="1" si="665"/>
        <v>2050</v>
      </c>
      <c r="AL177" s="400">
        <f t="shared" ca="1" si="666"/>
        <v>0</v>
      </c>
      <c r="AM177" s="398">
        <f t="shared" ca="1" si="667"/>
        <v>251370</v>
      </c>
      <c r="AN177" s="401" t="str">
        <f t="shared" ca="1" si="641"/>
        <v/>
      </c>
      <c r="AO177" s="398">
        <f t="shared" ca="1" si="668"/>
        <v>512</v>
      </c>
      <c r="AP177" s="400">
        <f ca="1">IF(MAX(IF($C$6="No",ROUNDUP($C$3/$I177,0),ROUNDUP(($C$3+$I177)/$I177,0)),IF($C$6="No",ROUNDUP($C$4/$G177,0),ROUNDUP(($C$4+$G177)/$G177,0)),ROUNDUP('BVMS checklist'!$H$217/$J177,0))&gt;1,'BVMS checklist'!$J$224,'BVMS checklist'!$J$217)+MAX(IF($C$6="No",ROUNDUP($C$3/$I177,0),ROUNDUP(($C$3+$I177)/$I177,0)),IF($C$6="No",ROUNDUP($C$4/$G177,0),ROUNDUP(($C$4+$G177)/$G177,0)))+$C$5</f>
        <v>1</v>
      </c>
      <c r="AQ177" s="400" t="b">
        <f t="shared" ca="1" si="630"/>
        <v>1</v>
      </c>
      <c r="AR177" s="400" t="str">
        <f t="shared" ca="1" si="669"/>
        <v>Accepted</v>
      </c>
      <c r="AS177" s="398" t="str">
        <f t="shared" ca="1" si="655"/>
        <v>No</v>
      </c>
      <c r="AT177" s="398" t="str">
        <f t="shared" ca="1" si="670"/>
        <v/>
      </c>
      <c r="AU177" s="398" t="str">
        <f t="shared" ca="1" si="642"/>
        <v/>
      </c>
      <c r="AV177" s="398">
        <f t="shared" ca="1" si="643"/>
        <v>6</v>
      </c>
      <c r="AW177" s="398">
        <f t="shared" ca="1" si="671"/>
        <v>2</v>
      </c>
      <c r="AX177" s="398">
        <f t="shared" ca="1" si="672"/>
        <v>288</v>
      </c>
      <c r="AY177" s="398">
        <f t="shared" ca="1" si="673"/>
        <v>251370</v>
      </c>
      <c r="AZ177" s="399">
        <f t="shared" si="618"/>
        <v>0</v>
      </c>
      <c r="BA177" s="399">
        <f t="shared" si="619"/>
        <v>0</v>
      </c>
      <c r="BB177" s="483" t="str">
        <f t="shared" ca="1" si="644"/>
        <v/>
      </c>
      <c r="BC177" s="400">
        <f ca="1">IF(MAX(IF($D$6="No",ROUNDUP($D$3/$I177,0),ROUNDUP(($D$3+$I177)/$I177,0)),IF($D$6="No",ROUNDUP($D$4/$G177,0),ROUNDUP(($D$4+$G177)/$G177,0)),ROUNDUP('BVMS checklist'!$H$217/$J177,0))&gt;1,'BVMS checklist'!$L$224,'BVMS checklist'!$L$217)</f>
        <v>0</v>
      </c>
      <c r="BD177" s="398">
        <f t="shared" ca="1" si="645"/>
        <v>2</v>
      </c>
      <c r="BE177" s="400">
        <f t="shared" si="674"/>
        <v>1</v>
      </c>
      <c r="BF177" s="400">
        <f t="shared" si="675"/>
        <v>1025</v>
      </c>
      <c r="BG177" s="400">
        <f t="shared" ca="1" si="656"/>
        <v>0</v>
      </c>
      <c r="BH177" s="398">
        <f t="shared" ca="1" si="676"/>
        <v>251370</v>
      </c>
      <c r="BI177" s="401" t="str">
        <f t="shared" ca="1" si="646"/>
        <v/>
      </c>
      <c r="BJ177" s="398">
        <f t="shared" ca="1" si="677"/>
        <v>512</v>
      </c>
      <c r="BK177" s="400">
        <f ca="1">IF(MAX(IF($D$6="No",ROUNDUP($D$3/$I177,0),ROUNDUP(($D$3+$I177)/$I177,0)),IF($D$6="No",ROUNDUP($D$4/$G177,0),ROUNDUP(($D$4+$G177)/$G177,0)),ROUNDUP('BVMS checklist'!$H$217/$J177,0))&gt;1,'BVMS checklist'!$L$224,'BVMS checklist'!$L$217)+MAX(IF($D$6="No",ROUNDUP($D$3/$I177,0),ROUNDUP(($D$3+$I177)/$I177,0)),IF($D$6="No",ROUNDUP($D$4/$G177,0),ROUNDUP(($D$4+$G177)/$G177,0)))+$D$5</f>
        <v>1</v>
      </c>
      <c r="BL177" s="400" t="b">
        <f t="shared" ca="1" si="631"/>
        <v>1</v>
      </c>
      <c r="BM177" s="400" t="str">
        <f t="shared" ca="1" si="678"/>
        <v>Accepted</v>
      </c>
      <c r="BN177" s="398" t="str">
        <f t="shared" ca="1" si="657"/>
        <v>No</v>
      </c>
      <c r="BO177" s="398" t="str">
        <f t="shared" ca="1" si="679"/>
        <v/>
      </c>
      <c r="BP177" s="398" t="str">
        <f t="shared" ca="1" si="647"/>
        <v/>
      </c>
      <c r="BQ177" s="398">
        <f t="shared" ca="1" si="648"/>
        <v>6</v>
      </c>
      <c r="BR177" s="398">
        <f t="shared" ca="1" si="680"/>
        <v>2</v>
      </c>
      <c r="BS177" s="398">
        <f t="shared" ca="1" si="681"/>
        <v>288</v>
      </c>
      <c r="BT177" s="398">
        <f t="shared" ca="1" si="682"/>
        <v>251370</v>
      </c>
      <c r="BU177" s="399">
        <f t="shared" si="620"/>
        <v>0</v>
      </c>
      <c r="BV177" s="399">
        <f t="shared" si="621"/>
        <v>0</v>
      </c>
      <c r="BW177" s="483" t="str">
        <f t="shared" ca="1" si="649"/>
        <v/>
      </c>
      <c r="BX177" s="400">
        <f ca="1">IF(MAX(IF($E$6="No",ROUNDUP($E$3/$I177,0),ROUNDUP(($E$3+$I177)/$I177,0)),IF($E$6="No",ROUNDUP($E$4/$G177,0),ROUNDUP(($E$4+$G177)/$G177,0)),ROUNDUP('BVMS checklist'!$H$217/$J177,0))&gt;1,'BVMS checklist'!$N$224,'BVMS checklist'!$N$217)</f>
        <v>0</v>
      </c>
      <c r="BY177" s="398">
        <f t="shared" ca="1" si="650"/>
        <v>2</v>
      </c>
      <c r="BZ177" s="400">
        <f t="shared" ca="1" si="683"/>
        <v>2</v>
      </c>
      <c r="CA177" s="400">
        <f t="shared" ca="1" si="684"/>
        <v>2050</v>
      </c>
      <c r="CB177" s="400">
        <f t="shared" ca="1" si="658"/>
        <v>0</v>
      </c>
      <c r="CC177" s="398">
        <f t="shared" ca="1" si="685"/>
        <v>251370</v>
      </c>
      <c r="CD177" s="401" t="str">
        <f t="shared" ca="1" si="651"/>
        <v/>
      </c>
      <c r="CE177" s="398">
        <f t="shared" ca="1" si="686"/>
        <v>512</v>
      </c>
      <c r="CF177" s="400">
        <f ca="1">IF(MAX(IF($E$6="No",ROUNDUP($E$3/$I177,0),ROUNDUP(($E$3+$I177)/$I177,0)),IF($E$6="No",ROUNDUP($E$4/$G177,0),ROUNDUP(($E$4+$G177)/$G177,0)),ROUNDUP('BVMS checklist'!$H$217/$J177,0))&gt;1,'BVMS checklist'!$N$224,'BVMS checklist'!$N$217)+MAX(IF($E$6="No",ROUNDUP($E$3/$I177,0),ROUNDUP(($E$3+$I177)/$I177,0)),IF($E$6="No",ROUNDUP($E$4/$G177,0),ROUNDUP(($E$4+$G177)/$G177,0)))+$E$5</f>
        <v>1</v>
      </c>
      <c r="CG177" s="400" t="b">
        <f t="shared" ca="1" si="632"/>
        <v>1</v>
      </c>
      <c r="CH177" s="400" t="str">
        <f t="shared" ca="1" si="687"/>
        <v>Accepted</v>
      </c>
      <c r="CI177" s="398" t="str">
        <f t="shared" ca="1" si="659"/>
        <v>No</v>
      </c>
      <c r="CJ177" s="398" t="str">
        <f t="shared" ca="1" si="688"/>
        <v/>
      </c>
      <c r="CK177" s="398" t="str">
        <f t="shared" ca="1" si="652"/>
        <v/>
      </c>
      <c r="CL177" s="398">
        <f t="shared" ca="1" si="653"/>
        <v>6</v>
      </c>
      <c r="CM177" s="398">
        <f t="shared" ca="1" si="689"/>
        <v>2</v>
      </c>
      <c r="CN177" s="398">
        <f t="shared" ca="1" si="690"/>
        <v>288</v>
      </c>
      <c r="CO177" s="398">
        <f t="shared" ca="1" si="691"/>
        <v>251370</v>
      </c>
      <c r="CP177" s="399">
        <f t="shared" si="622"/>
        <v>0</v>
      </c>
      <c r="CQ177" s="399">
        <f t="shared" si="623"/>
        <v>0</v>
      </c>
      <c r="CR177" s="483" t="str">
        <f t="shared" ca="1" si="654"/>
        <v/>
      </c>
      <c r="CS177"/>
    </row>
    <row r="178" spans="1:97">
      <c r="A178" s="398" t="s">
        <v>428</v>
      </c>
      <c r="B178" s="398" t="s">
        <v>987</v>
      </c>
      <c r="C178" s="440" t="s">
        <v>891</v>
      </c>
      <c r="D178" s="398">
        <v>3</v>
      </c>
      <c r="E178" s="398"/>
      <c r="F178" s="440">
        <v>0</v>
      </c>
      <c r="G178" s="398">
        <f>IF(C178="RAID5",(((15-F178)*5586))+(2*(((15-F178)*2793))),(((14-F178)*5586))+(2*(((14-F178)*2793))))</f>
        <v>167580</v>
      </c>
      <c r="H178" s="399">
        <v>192</v>
      </c>
      <c r="I178" s="399">
        <v>1575</v>
      </c>
      <c r="J178" s="399">
        <v>384</v>
      </c>
      <c r="K178" s="399"/>
      <c r="L178" s="399"/>
      <c r="M178" s="400">
        <f ca="1">IF(MAX(IF($B$6="No",ROUNDUP($B$3/$I178,0),ROUNDUP(($B$3+$I178)/$I178,0)),IF($B$6="No",ROUNDUP($B$4/$G178,0),ROUNDUP(($B$4+$G178)/$G178,0)),ROUNDUP('BVMS checklist'!$H$217/$J178,0))&gt;1,'BVMS checklist'!$H$224,'BVMS checklist'!$H$217)</f>
        <v>0</v>
      </c>
      <c r="N178" s="398">
        <f t="shared" ca="1" si="633"/>
        <v>2</v>
      </c>
      <c r="O178" s="400">
        <f t="shared" ca="1" si="660"/>
        <v>2</v>
      </c>
      <c r="P178" s="400">
        <f t="shared" ca="1" si="624"/>
        <v>3150</v>
      </c>
      <c r="Q178" s="400">
        <f t="shared" ca="1" si="625"/>
        <v>0</v>
      </c>
      <c r="R178" s="398">
        <f t="shared" ca="1" si="626"/>
        <v>335160</v>
      </c>
      <c r="S178" s="401" t="str">
        <f t="shared" ca="1" si="634"/>
        <v/>
      </c>
      <c r="T178" s="398">
        <f t="shared" ca="1" si="635"/>
        <v>768</v>
      </c>
      <c r="U178" s="400">
        <f ca="1">IF(MAX(IF($B$6="No",ROUNDUP($B$3/$I178,0),ROUNDUP(($B$3+$I178)/$I178,0)),IF($B$6="No",ROUNDUP($B$4/$G178,0),ROUNDUP(($B$4+$G178)/$G178,0)),ROUNDUP('BVMS checklist'!$H$217/$J178,0))&gt;1,'BVMS checklist'!$H$224,'BVMS checklist'!$H$217)+MAX(IF($B$6="No",ROUNDUP($B$3/$I178,0),ROUNDUP(($B$3+$I178)/$I178,0)),IF($B$6="No",ROUNDUP($B$4/$G178,0),ROUNDUP(($B$4+$G178)/$G178,0)))+$B$5</f>
        <v>1</v>
      </c>
      <c r="V178" s="400" t="b">
        <f t="shared" ca="1" si="627"/>
        <v>1</v>
      </c>
      <c r="W178" s="400" t="str">
        <f t="shared" ca="1" si="661"/>
        <v>Accepted</v>
      </c>
      <c r="X178" s="398" t="str">
        <f t="shared" ca="1" si="636"/>
        <v>No</v>
      </c>
      <c r="Y178" s="398" t="str">
        <f t="shared" ca="1" si="637"/>
        <v/>
      </c>
      <c r="Z178" s="398" t="str">
        <f t="shared" ca="1" si="638"/>
        <v/>
      </c>
      <c r="AA178" s="398">
        <f t="shared" ca="1" si="662"/>
        <v>6</v>
      </c>
      <c r="AB178" s="398">
        <f t="shared" ca="1" si="628"/>
        <v>2</v>
      </c>
      <c r="AC178" s="398">
        <f t="shared" ca="1" si="629"/>
        <v>384</v>
      </c>
      <c r="AD178" s="398">
        <f t="shared" ca="1" si="663"/>
        <v>335160</v>
      </c>
      <c r="AE178" s="399">
        <f t="shared" si="616"/>
        <v>0</v>
      </c>
      <c r="AF178" s="399">
        <f t="shared" si="617"/>
        <v>0</v>
      </c>
      <c r="AG178" s="483" t="str">
        <f t="shared" ca="1" si="639"/>
        <v/>
      </c>
      <c r="AH178" s="400">
        <f ca="1">IF(MAX(IF($C$6="No",ROUNDUP($C$3/$I178,0),ROUNDUP(($C$3+$I178)/$I178,0)),IF($C$6="No",ROUNDUP($C$4/$G178,0),ROUNDUP(($C$4+$G178)/$G178,0)),ROUNDUP('BVMS checklist'!$H$217/$J178,0))&gt;1,'BVMS checklist'!$J$224,'BVMS checklist'!$J$217)</f>
        <v>0</v>
      </c>
      <c r="AI178" s="398">
        <f t="shared" ca="1" si="640"/>
        <v>2</v>
      </c>
      <c r="AJ178" s="400">
        <f t="shared" ca="1" si="664"/>
        <v>2</v>
      </c>
      <c r="AK178" s="400">
        <f t="shared" ca="1" si="665"/>
        <v>3150</v>
      </c>
      <c r="AL178" s="400">
        <f t="shared" ca="1" si="666"/>
        <v>0</v>
      </c>
      <c r="AM178" s="398">
        <f t="shared" ca="1" si="667"/>
        <v>335160</v>
      </c>
      <c r="AN178" s="401" t="str">
        <f t="shared" ca="1" si="641"/>
        <v/>
      </c>
      <c r="AO178" s="398">
        <f t="shared" ca="1" si="668"/>
        <v>768</v>
      </c>
      <c r="AP178" s="400">
        <f ca="1">IF(MAX(IF($C$6="No",ROUNDUP($C$3/$I178,0),ROUNDUP(($C$3+$I178)/$I178,0)),IF($C$6="No",ROUNDUP($C$4/$G178,0),ROUNDUP(($C$4+$G178)/$G178,0)),ROUNDUP('BVMS checklist'!$H$217/$J178,0))&gt;1,'BVMS checklist'!$J$224,'BVMS checklist'!$J$217)+MAX(IF($C$6="No",ROUNDUP($C$3/$I178,0),ROUNDUP(($C$3+$I178)/$I178,0)),IF($C$6="No",ROUNDUP($C$4/$G178,0),ROUNDUP(($C$4+$G178)/$G178,0)))+$C$5</f>
        <v>1</v>
      </c>
      <c r="AQ178" s="400" t="b">
        <f t="shared" ca="1" si="630"/>
        <v>1</v>
      </c>
      <c r="AR178" s="400" t="str">
        <f t="shared" ca="1" si="669"/>
        <v>Accepted</v>
      </c>
      <c r="AS178" s="398" t="str">
        <f t="shared" ca="1" si="655"/>
        <v>No</v>
      </c>
      <c r="AT178" s="398" t="str">
        <f t="shared" ca="1" si="670"/>
        <v/>
      </c>
      <c r="AU178" s="398" t="str">
        <f t="shared" ca="1" si="642"/>
        <v/>
      </c>
      <c r="AV178" s="398">
        <f t="shared" ca="1" si="643"/>
        <v>6</v>
      </c>
      <c r="AW178" s="398">
        <f t="shared" ca="1" si="671"/>
        <v>2</v>
      </c>
      <c r="AX178" s="398">
        <f t="shared" ca="1" si="672"/>
        <v>384</v>
      </c>
      <c r="AY178" s="398">
        <f t="shared" ca="1" si="673"/>
        <v>335160</v>
      </c>
      <c r="AZ178" s="399">
        <f t="shared" si="618"/>
        <v>0</v>
      </c>
      <c r="BA178" s="399">
        <f t="shared" si="619"/>
        <v>0</v>
      </c>
      <c r="BB178" s="483" t="str">
        <f t="shared" ca="1" si="644"/>
        <v/>
      </c>
      <c r="BC178" s="400">
        <f ca="1">IF(MAX(IF($D$6="No",ROUNDUP($D$3/$I178,0),ROUNDUP(($D$3+$I178)/$I178,0)),IF($D$6="No",ROUNDUP($D$4/$G178,0),ROUNDUP(($D$4+$G178)/$G178,0)),ROUNDUP('BVMS checklist'!$H$217/$J178,0))&gt;1,'BVMS checklist'!$L$224,'BVMS checklist'!$L$217)</f>
        <v>0</v>
      </c>
      <c r="BD178" s="398">
        <f t="shared" ca="1" si="645"/>
        <v>2</v>
      </c>
      <c r="BE178" s="400">
        <f t="shared" si="674"/>
        <v>1</v>
      </c>
      <c r="BF178" s="400">
        <f t="shared" si="675"/>
        <v>1575</v>
      </c>
      <c r="BG178" s="400">
        <f t="shared" ca="1" si="656"/>
        <v>0</v>
      </c>
      <c r="BH178" s="398">
        <f t="shared" ca="1" si="676"/>
        <v>335160</v>
      </c>
      <c r="BI178" s="401" t="str">
        <f t="shared" ca="1" si="646"/>
        <v/>
      </c>
      <c r="BJ178" s="398">
        <f t="shared" ca="1" si="677"/>
        <v>768</v>
      </c>
      <c r="BK178" s="400">
        <f ca="1">IF(MAX(IF($D$6="No",ROUNDUP($D$3/$I178,0),ROUNDUP(($D$3+$I178)/$I178,0)),IF($D$6="No",ROUNDUP($D$4/$G178,0),ROUNDUP(($D$4+$G178)/$G178,0)),ROUNDUP('BVMS checklist'!$H$217/$J178,0))&gt;1,'BVMS checklist'!$L$224,'BVMS checklist'!$L$217)+MAX(IF($D$6="No",ROUNDUP($D$3/$I178,0),ROUNDUP(($D$3+$I178)/$I178,0)),IF($D$6="No",ROUNDUP($D$4/$G178,0),ROUNDUP(($D$4+$G178)/$G178,0)))+$D$5</f>
        <v>1</v>
      </c>
      <c r="BL178" s="400" t="b">
        <f t="shared" ca="1" si="631"/>
        <v>1</v>
      </c>
      <c r="BM178" s="400" t="str">
        <f t="shared" ca="1" si="678"/>
        <v>Accepted</v>
      </c>
      <c r="BN178" s="398" t="str">
        <f t="shared" ca="1" si="657"/>
        <v>No</v>
      </c>
      <c r="BO178" s="398" t="str">
        <f t="shared" ca="1" si="679"/>
        <v/>
      </c>
      <c r="BP178" s="398" t="str">
        <f t="shared" ca="1" si="647"/>
        <v/>
      </c>
      <c r="BQ178" s="398">
        <f t="shared" ca="1" si="648"/>
        <v>6</v>
      </c>
      <c r="BR178" s="398">
        <f t="shared" ca="1" si="680"/>
        <v>2</v>
      </c>
      <c r="BS178" s="398">
        <f t="shared" ca="1" si="681"/>
        <v>384</v>
      </c>
      <c r="BT178" s="398">
        <f t="shared" ca="1" si="682"/>
        <v>335160</v>
      </c>
      <c r="BU178" s="399">
        <f t="shared" si="620"/>
        <v>0</v>
      </c>
      <c r="BV178" s="399">
        <f t="shared" si="621"/>
        <v>0</v>
      </c>
      <c r="BW178" s="483" t="str">
        <f t="shared" ca="1" si="649"/>
        <v/>
      </c>
      <c r="BX178" s="400">
        <f ca="1">IF(MAX(IF($E$6="No",ROUNDUP($E$3/$I178,0),ROUNDUP(($E$3+$I178)/$I178,0)),IF($E$6="No",ROUNDUP($E$4/$G178,0),ROUNDUP(($E$4+$G178)/$G178,0)),ROUNDUP('BVMS checklist'!$H$217/$J178,0))&gt;1,'BVMS checklist'!$N$224,'BVMS checklist'!$N$217)</f>
        <v>0</v>
      </c>
      <c r="BY178" s="398">
        <f t="shared" ca="1" si="650"/>
        <v>2</v>
      </c>
      <c r="BZ178" s="400">
        <f t="shared" ca="1" si="683"/>
        <v>2</v>
      </c>
      <c r="CA178" s="400">
        <f t="shared" ca="1" si="684"/>
        <v>3150</v>
      </c>
      <c r="CB178" s="400">
        <f t="shared" ca="1" si="658"/>
        <v>0</v>
      </c>
      <c r="CC178" s="398">
        <f t="shared" ca="1" si="685"/>
        <v>335160</v>
      </c>
      <c r="CD178" s="401" t="str">
        <f t="shared" ca="1" si="651"/>
        <v/>
      </c>
      <c r="CE178" s="398">
        <f t="shared" ca="1" si="686"/>
        <v>768</v>
      </c>
      <c r="CF178" s="400">
        <f ca="1">IF(MAX(IF($E$6="No",ROUNDUP($E$3/$I178,0),ROUNDUP(($E$3+$I178)/$I178,0)),IF($E$6="No",ROUNDUP($E$4/$G178,0),ROUNDUP(($E$4+$G178)/$G178,0)),ROUNDUP('BVMS checklist'!$H$217/$J178,0))&gt;1,'BVMS checklist'!$N$224,'BVMS checklist'!$N$217)+MAX(IF($E$6="No",ROUNDUP($E$3/$I178,0),ROUNDUP(($E$3+$I178)/$I178,0)),IF($E$6="No",ROUNDUP($E$4/$G178,0),ROUNDUP(($E$4+$G178)/$G178,0)))+$E$5</f>
        <v>1</v>
      </c>
      <c r="CG178" s="400" t="b">
        <f t="shared" ca="1" si="632"/>
        <v>1</v>
      </c>
      <c r="CH178" s="400" t="str">
        <f t="shared" ca="1" si="687"/>
        <v>Accepted</v>
      </c>
      <c r="CI178" s="398" t="str">
        <f t="shared" ca="1" si="659"/>
        <v>No</v>
      </c>
      <c r="CJ178" s="398" t="str">
        <f t="shared" ca="1" si="688"/>
        <v/>
      </c>
      <c r="CK178" s="398" t="str">
        <f t="shared" ca="1" si="652"/>
        <v/>
      </c>
      <c r="CL178" s="398">
        <f t="shared" ca="1" si="653"/>
        <v>6</v>
      </c>
      <c r="CM178" s="398">
        <f t="shared" ca="1" si="689"/>
        <v>2</v>
      </c>
      <c r="CN178" s="398">
        <f t="shared" ca="1" si="690"/>
        <v>384</v>
      </c>
      <c r="CO178" s="398">
        <f t="shared" ca="1" si="691"/>
        <v>335160</v>
      </c>
      <c r="CP178" s="399">
        <f t="shared" si="622"/>
        <v>0</v>
      </c>
      <c r="CQ178" s="399">
        <f t="shared" si="623"/>
        <v>0</v>
      </c>
      <c r="CR178" s="483" t="str">
        <f t="shared" ca="1" si="654"/>
        <v/>
      </c>
      <c r="CS178"/>
    </row>
    <row r="179" spans="1:97">
      <c r="A179" s="398" t="s">
        <v>429</v>
      </c>
      <c r="B179" s="398" t="s">
        <v>987</v>
      </c>
      <c r="C179" s="440" t="s">
        <v>891</v>
      </c>
      <c r="D179" s="398">
        <v>4</v>
      </c>
      <c r="E179" s="398"/>
      <c r="F179" s="440">
        <v>0</v>
      </c>
      <c r="G179" s="398">
        <f>IF(C179="RAID5",(((15-F179)*5586))+(3*(((15-F179)*2793))),(((14-F179)*5586))+(3*(((14-F179)*2793))))</f>
        <v>209475</v>
      </c>
      <c r="H179" s="399">
        <v>240</v>
      </c>
      <c r="I179" s="399">
        <v>2125</v>
      </c>
      <c r="J179" s="399">
        <v>512</v>
      </c>
      <c r="K179" s="399"/>
      <c r="L179" s="399"/>
      <c r="M179" s="400">
        <f ca="1">IF(MAX(IF($B$6="No",ROUNDUP($B$3/$I179,0),ROUNDUP(($B$3+$I179)/$I179,0)),IF($B$6="No",ROUNDUP($B$4/$G179,0),ROUNDUP(($B$4+$G179)/$G179,0)),ROUNDUP('BVMS checklist'!$H$217/$J179,0))&gt;1,'BVMS checklist'!$H$224,'BVMS checklist'!$H$217)</f>
        <v>0</v>
      </c>
      <c r="N179" s="398">
        <f t="shared" ca="1" si="633"/>
        <v>2</v>
      </c>
      <c r="O179" s="400">
        <f t="shared" ca="1" si="660"/>
        <v>2</v>
      </c>
      <c r="P179" s="400">
        <f t="shared" ca="1" si="624"/>
        <v>4250</v>
      </c>
      <c r="Q179" s="400">
        <f t="shared" ca="1" si="625"/>
        <v>0</v>
      </c>
      <c r="R179" s="398">
        <f t="shared" ca="1" si="626"/>
        <v>418950</v>
      </c>
      <c r="S179" s="401" t="str">
        <f t="shared" ca="1" si="634"/>
        <v/>
      </c>
      <c r="T179" s="398">
        <f t="shared" ca="1" si="635"/>
        <v>1024</v>
      </c>
      <c r="U179" s="400">
        <f ca="1">IF(MAX(IF($B$6="No",ROUNDUP($B$3/$I179,0),ROUNDUP(($B$3+$I179)/$I179,0)),IF($B$6="No",ROUNDUP($B$4/$G179,0),ROUNDUP(($B$4+$G179)/$G179,0)),ROUNDUP('BVMS checklist'!$H$217/$J179,0))&gt;1,'BVMS checklist'!$H$224,'BVMS checklist'!$H$217)+MAX(IF($B$6="No",ROUNDUP($B$3/$I179,0),ROUNDUP(($B$3+$I179)/$I179,0)),IF($B$6="No",ROUNDUP($B$4/$G179,0),ROUNDUP(($B$4+$G179)/$G179,0)))+$B$5</f>
        <v>1</v>
      </c>
      <c r="V179" s="400" t="b">
        <f t="shared" ca="1" si="627"/>
        <v>1</v>
      </c>
      <c r="W179" s="400" t="str">
        <f t="shared" ca="1" si="661"/>
        <v>Accepted</v>
      </c>
      <c r="X179" s="398" t="str">
        <f t="shared" ca="1" si="636"/>
        <v>No</v>
      </c>
      <c r="Y179" s="398" t="str">
        <f t="shared" ca="1" si="637"/>
        <v/>
      </c>
      <c r="Z179" s="398" t="str">
        <f t="shared" ca="1" si="638"/>
        <v/>
      </c>
      <c r="AA179" s="398">
        <f t="shared" ca="1" si="662"/>
        <v>6</v>
      </c>
      <c r="AB179" s="398">
        <f t="shared" ca="1" si="628"/>
        <v>2</v>
      </c>
      <c r="AC179" s="398">
        <f t="shared" ca="1" si="629"/>
        <v>480</v>
      </c>
      <c r="AD179" s="398">
        <f t="shared" ca="1" si="663"/>
        <v>418950</v>
      </c>
      <c r="AE179" s="399">
        <f t="shared" ref="AE179:AE242" si="692">K179</f>
        <v>0</v>
      </c>
      <c r="AF179" s="399">
        <f t="shared" ref="AF179:AF242" si="693">L179</f>
        <v>0</v>
      </c>
      <c r="AG179" s="483" t="str">
        <f t="shared" ca="1" si="639"/>
        <v/>
      </c>
      <c r="AH179" s="400">
        <f ca="1">IF(MAX(IF($C$6="No",ROUNDUP($C$3/$I179,0),ROUNDUP(($C$3+$I179)/$I179,0)),IF($C$6="No",ROUNDUP($C$4/$G179,0),ROUNDUP(($C$4+$G179)/$G179,0)),ROUNDUP('BVMS checklist'!$H$217/$J179,0))&gt;1,'BVMS checklist'!$J$224,'BVMS checklist'!$J$217)</f>
        <v>0</v>
      </c>
      <c r="AI179" s="398">
        <f t="shared" ca="1" si="640"/>
        <v>2</v>
      </c>
      <c r="AJ179" s="400">
        <f t="shared" ca="1" si="664"/>
        <v>2</v>
      </c>
      <c r="AK179" s="400">
        <f t="shared" ca="1" si="665"/>
        <v>4250</v>
      </c>
      <c r="AL179" s="400">
        <f t="shared" ca="1" si="666"/>
        <v>0</v>
      </c>
      <c r="AM179" s="398">
        <f t="shared" ca="1" si="667"/>
        <v>418950</v>
      </c>
      <c r="AN179" s="401" t="str">
        <f t="shared" ca="1" si="641"/>
        <v/>
      </c>
      <c r="AO179" s="398">
        <f t="shared" ca="1" si="668"/>
        <v>1024</v>
      </c>
      <c r="AP179" s="400">
        <f ca="1">IF(MAX(IF($C$6="No",ROUNDUP($C$3/$I179,0),ROUNDUP(($C$3+$I179)/$I179,0)),IF($C$6="No",ROUNDUP($C$4/$G179,0),ROUNDUP(($C$4+$G179)/$G179,0)),ROUNDUP('BVMS checklist'!$H$217/$J179,0))&gt;1,'BVMS checklist'!$J$224,'BVMS checklist'!$J$217)+MAX(IF($C$6="No",ROUNDUP($C$3/$I179,0),ROUNDUP(($C$3+$I179)/$I179,0)),IF($C$6="No",ROUNDUP($C$4/$G179,0),ROUNDUP(($C$4+$G179)/$G179,0)))+$C$5</f>
        <v>1</v>
      </c>
      <c r="AQ179" s="400" t="b">
        <f t="shared" ca="1" si="630"/>
        <v>1</v>
      </c>
      <c r="AR179" s="400" t="str">
        <f t="shared" ca="1" si="669"/>
        <v>Accepted</v>
      </c>
      <c r="AS179" s="398" t="str">
        <f t="shared" ca="1" si="655"/>
        <v>No</v>
      </c>
      <c r="AT179" s="398" t="str">
        <f t="shared" ca="1" si="670"/>
        <v/>
      </c>
      <c r="AU179" s="398" t="str">
        <f t="shared" ca="1" si="642"/>
        <v/>
      </c>
      <c r="AV179" s="398">
        <f t="shared" ca="1" si="643"/>
        <v>6</v>
      </c>
      <c r="AW179" s="398">
        <f t="shared" ca="1" si="671"/>
        <v>2</v>
      </c>
      <c r="AX179" s="398">
        <f t="shared" ca="1" si="672"/>
        <v>480</v>
      </c>
      <c r="AY179" s="398">
        <f t="shared" ca="1" si="673"/>
        <v>418950</v>
      </c>
      <c r="AZ179" s="399">
        <f t="shared" ref="AZ179:AZ242" si="694">K179</f>
        <v>0</v>
      </c>
      <c r="BA179" s="399">
        <f t="shared" ref="BA179:BA242" si="695">L179</f>
        <v>0</v>
      </c>
      <c r="BB179" s="483" t="str">
        <f t="shared" ca="1" si="644"/>
        <v/>
      </c>
      <c r="BC179" s="400">
        <f ca="1">IF(MAX(IF($D$6="No",ROUNDUP($D$3/$I179,0),ROUNDUP(($D$3+$I179)/$I179,0)),IF($D$6="No",ROUNDUP($D$4/$G179,0),ROUNDUP(($D$4+$G179)/$G179,0)),ROUNDUP('BVMS checklist'!$H$217/$J179,0))&gt;1,'BVMS checklist'!$L$224,'BVMS checklist'!$L$217)</f>
        <v>0</v>
      </c>
      <c r="BD179" s="398">
        <f t="shared" ca="1" si="645"/>
        <v>2</v>
      </c>
      <c r="BE179" s="400">
        <f t="shared" si="674"/>
        <v>1</v>
      </c>
      <c r="BF179" s="400">
        <f t="shared" si="675"/>
        <v>2125</v>
      </c>
      <c r="BG179" s="400">
        <f t="shared" ca="1" si="656"/>
        <v>0</v>
      </c>
      <c r="BH179" s="398">
        <f t="shared" ca="1" si="676"/>
        <v>418950</v>
      </c>
      <c r="BI179" s="401" t="str">
        <f t="shared" ca="1" si="646"/>
        <v/>
      </c>
      <c r="BJ179" s="398">
        <f t="shared" ca="1" si="677"/>
        <v>1024</v>
      </c>
      <c r="BK179" s="400">
        <f ca="1">IF(MAX(IF($D$6="No",ROUNDUP($D$3/$I179,0),ROUNDUP(($D$3+$I179)/$I179,0)),IF($D$6="No",ROUNDUP($D$4/$G179,0),ROUNDUP(($D$4+$G179)/$G179,0)),ROUNDUP('BVMS checklist'!$H$217/$J179,0))&gt;1,'BVMS checklist'!$L$224,'BVMS checklist'!$L$217)+MAX(IF($D$6="No",ROUNDUP($D$3/$I179,0),ROUNDUP(($D$3+$I179)/$I179,0)),IF($D$6="No",ROUNDUP($D$4/$G179,0),ROUNDUP(($D$4+$G179)/$G179,0)))+$D$5</f>
        <v>1</v>
      </c>
      <c r="BL179" s="400" t="b">
        <f t="shared" ca="1" si="631"/>
        <v>1</v>
      </c>
      <c r="BM179" s="400" t="str">
        <f t="shared" ca="1" si="678"/>
        <v>Accepted</v>
      </c>
      <c r="BN179" s="398" t="str">
        <f t="shared" ca="1" si="657"/>
        <v>No</v>
      </c>
      <c r="BO179" s="398" t="str">
        <f t="shared" ca="1" si="679"/>
        <v/>
      </c>
      <c r="BP179" s="398" t="str">
        <f t="shared" ca="1" si="647"/>
        <v/>
      </c>
      <c r="BQ179" s="398">
        <f t="shared" ca="1" si="648"/>
        <v>6</v>
      </c>
      <c r="BR179" s="398">
        <f t="shared" ca="1" si="680"/>
        <v>2</v>
      </c>
      <c r="BS179" s="398">
        <f t="shared" ca="1" si="681"/>
        <v>480</v>
      </c>
      <c r="BT179" s="398">
        <f t="shared" ca="1" si="682"/>
        <v>418950</v>
      </c>
      <c r="BU179" s="399">
        <f t="shared" ref="BU179:BU242" si="696">K179</f>
        <v>0</v>
      </c>
      <c r="BV179" s="399">
        <f t="shared" ref="BV179:BV242" si="697">L179</f>
        <v>0</v>
      </c>
      <c r="BW179" s="483" t="str">
        <f t="shared" ca="1" si="649"/>
        <v/>
      </c>
      <c r="BX179" s="400">
        <f ca="1">IF(MAX(IF($E$6="No",ROUNDUP($E$3/$I179,0),ROUNDUP(($E$3+$I179)/$I179,0)),IF($E$6="No",ROUNDUP($E$4/$G179,0),ROUNDUP(($E$4+$G179)/$G179,0)),ROUNDUP('BVMS checklist'!$H$217/$J179,0))&gt;1,'BVMS checklist'!$N$224,'BVMS checklist'!$N$217)</f>
        <v>0</v>
      </c>
      <c r="BY179" s="398">
        <f t="shared" ca="1" si="650"/>
        <v>2</v>
      </c>
      <c r="BZ179" s="400">
        <f t="shared" ca="1" si="683"/>
        <v>2</v>
      </c>
      <c r="CA179" s="400">
        <f t="shared" ca="1" si="684"/>
        <v>4250</v>
      </c>
      <c r="CB179" s="400">
        <f t="shared" ca="1" si="658"/>
        <v>0</v>
      </c>
      <c r="CC179" s="398">
        <f t="shared" ca="1" si="685"/>
        <v>418950</v>
      </c>
      <c r="CD179" s="401" t="str">
        <f t="shared" ca="1" si="651"/>
        <v/>
      </c>
      <c r="CE179" s="398">
        <f t="shared" ca="1" si="686"/>
        <v>1024</v>
      </c>
      <c r="CF179" s="400">
        <f ca="1">IF(MAX(IF($E$6="No",ROUNDUP($E$3/$I179,0),ROUNDUP(($E$3+$I179)/$I179,0)),IF($E$6="No",ROUNDUP($E$4/$G179,0),ROUNDUP(($E$4+$G179)/$G179,0)),ROUNDUP('BVMS checklist'!$H$217/$J179,0))&gt;1,'BVMS checklist'!$N$224,'BVMS checklist'!$N$217)+MAX(IF($E$6="No",ROUNDUP($E$3/$I179,0),ROUNDUP(($E$3+$I179)/$I179,0)),IF($E$6="No",ROUNDUP($E$4/$G179,0),ROUNDUP(($E$4+$G179)/$G179,0)))+$E$5</f>
        <v>1</v>
      </c>
      <c r="CG179" s="400" t="b">
        <f t="shared" ca="1" si="632"/>
        <v>1</v>
      </c>
      <c r="CH179" s="400" t="str">
        <f t="shared" ca="1" si="687"/>
        <v>Accepted</v>
      </c>
      <c r="CI179" s="398" t="str">
        <f t="shared" ca="1" si="659"/>
        <v>No</v>
      </c>
      <c r="CJ179" s="398" t="str">
        <f t="shared" ca="1" si="688"/>
        <v/>
      </c>
      <c r="CK179" s="398" t="str">
        <f t="shared" ca="1" si="652"/>
        <v/>
      </c>
      <c r="CL179" s="398">
        <f t="shared" ca="1" si="653"/>
        <v>6</v>
      </c>
      <c r="CM179" s="398">
        <f t="shared" ca="1" si="689"/>
        <v>2</v>
      </c>
      <c r="CN179" s="398">
        <f t="shared" ca="1" si="690"/>
        <v>480</v>
      </c>
      <c r="CO179" s="398">
        <f t="shared" ca="1" si="691"/>
        <v>418950</v>
      </c>
      <c r="CP179" s="399">
        <f t="shared" ref="CP179:CP242" si="698">K179</f>
        <v>0</v>
      </c>
      <c r="CQ179" s="399">
        <f t="shared" ref="CQ179:CQ242" si="699">L179</f>
        <v>0</v>
      </c>
      <c r="CR179" s="483" t="str">
        <f t="shared" ca="1" si="654"/>
        <v/>
      </c>
      <c r="CS179"/>
    </row>
    <row r="180" spans="1:97">
      <c r="A180" s="398" t="s">
        <v>430</v>
      </c>
      <c r="B180" s="398" t="s">
        <v>987</v>
      </c>
      <c r="C180" s="440" t="s">
        <v>891</v>
      </c>
      <c r="D180" s="398">
        <v>5</v>
      </c>
      <c r="E180" s="398"/>
      <c r="F180" s="440">
        <v>0</v>
      </c>
      <c r="G180" s="398">
        <f>IF(C180="RAID5",(((15-F180)*5586))+(4*(((15-F180)*2793))),(((14-F180)*5586))+(4*(((14-F180)*2793))))</f>
        <v>251370</v>
      </c>
      <c r="H180" s="399">
        <v>288</v>
      </c>
      <c r="I180" s="399">
        <v>2675</v>
      </c>
      <c r="J180" s="399">
        <v>640</v>
      </c>
      <c r="K180" s="399"/>
      <c r="L180" s="399"/>
      <c r="M180" s="400">
        <f ca="1">IF(MAX(IF($B$6="No",ROUNDUP($B$3/$I180,0),ROUNDUP(($B$3+$I180)/$I180,0)),IF($B$6="No",ROUNDUP($B$4/$G180,0),ROUNDUP(($B$4+$G180)/$G180,0)),ROUNDUP('BVMS checklist'!$H$217/$J180,0))&gt;1,'BVMS checklist'!$H$224,'BVMS checklist'!$H$217)</f>
        <v>0</v>
      </c>
      <c r="N180" s="398">
        <f t="shared" ca="1" si="633"/>
        <v>2</v>
      </c>
      <c r="O180" s="400">
        <f t="shared" ca="1" si="660"/>
        <v>2</v>
      </c>
      <c r="P180" s="400">
        <f t="shared" ca="1" si="624"/>
        <v>5350</v>
      </c>
      <c r="Q180" s="400">
        <f t="shared" ca="1" si="625"/>
        <v>0</v>
      </c>
      <c r="R180" s="398">
        <f t="shared" ca="1" si="626"/>
        <v>502740</v>
      </c>
      <c r="S180" s="401" t="str">
        <f t="shared" ca="1" si="634"/>
        <v/>
      </c>
      <c r="T180" s="398">
        <f t="shared" ca="1" si="635"/>
        <v>1280</v>
      </c>
      <c r="U180" s="400">
        <f ca="1">IF(MAX(IF($B$6="No",ROUNDUP($B$3/$I180,0),ROUNDUP(($B$3+$I180)/$I180,0)),IF($B$6="No",ROUNDUP($B$4/$G180,0),ROUNDUP(($B$4+$G180)/$G180,0)),ROUNDUP('BVMS checklist'!$H$217/$J180,0))&gt;1,'BVMS checklist'!$H$224,'BVMS checklist'!$H$217)+MAX(IF($B$6="No",ROUNDUP($B$3/$I180,0),ROUNDUP(($B$3+$I180)/$I180,0)),IF($B$6="No",ROUNDUP($B$4/$G180,0),ROUNDUP(($B$4+$G180)/$G180,0)))+$B$5</f>
        <v>1</v>
      </c>
      <c r="V180" s="400" t="b">
        <f t="shared" ca="1" si="627"/>
        <v>1</v>
      </c>
      <c r="W180" s="400" t="str">
        <f t="shared" ca="1" si="661"/>
        <v>Accepted</v>
      </c>
      <c r="X180" s="398" t="str">
        <f t="shared" ca="1" si="636"/>
        <v>No</v>
      </c>
      <c r="Y180" s="398" t="str">
        <f t="shared" ca="1" si="637"/>
        <v/>
      </c>
      <c r="Z180" s="398" t="str">
        <f t="shared" ca="1" si="638"/>
        <v/>
      </c>
      <c r="AA180" s="398">
        <f t="shared" ca="1" si="662"/>
        <v>6</v>
      </c>
      <c r="AB180" s="398">
        <f t="shared" ca="1" si="628"/>
        <v>2</v>
      </c>
      <c r="AC180" s="398">
        <f t="shared" ca="1" si="629"/>
        <v>576</v>
      </c>
      <c r="AD180" s="398">
        <f t="shared" ca="1" si="663"/>
        <v>502740</v>
      </c>
      <c r="AE180" s="399">
        <f t="shared" si="692"/>
        <v>0</v>
      </c>
      <c r="AF180" s="399">
        <f t="shared" si="693"/>
        <v>0</v>
      </c>
      <c r="AG180" s="483" t="str">
        <f t="shared" ca="1" si="639"/>
        <v/>
      </c>
      <c r="AH180" s="400">
        <f ca="1">IF(MAX(IF($C$6="No",ROUNDUP($C$3/$I180,0),ROUNDUP(($C$3+$I180)/$I180,0)),IF($C$6="No",ROUNDUP($C$4/$G180,0),ROUNDUP(($C$4+$G180)/$G180,0)),ROUNDUP('BVMS checklist'!$H$217/$J180,0))&gt;1,'BVMS checklist'!$J$224,'BVMS checklist'!$J$217)</f>
        <v>0</v>
      </c>
      <c r="AI180" s="398">
        <f t="shared" ca="1" si="640"/>
        <v>2</v>
      </c>
      <c r="AJ180" s="400">
        <f t="shared" ca="1" si="664"/>
        <v>2</v>
      </c>
      <c r="AK180" s="400">
        <f t="shared" ca="1" si="665"/>
        <v>5350</v>
      </c>
      <c r="AL180" s="400">
        <f t="shared" ca="1" si="666"/>
        <v>0</v>
      </c>
      <c r="AM180" s="398">
        <f t="shared" ca="1" si="667"/>
        <v>502740</v>
      </c>
      <c r="AN180" s="401" t="str">
        <f t="shared" ca="1" si="641"/>
        <v/>
      </c>
      <c r="AO180" s="398">
        <f t="shared" ca="1" si="668"/>
        <v>1280</v>
      </c>
      <c r="AP180" s="400">
        <f ca="1">IF(MAX(IF($C$6="No",ROUNDUP($C$3/$I180,0),ROUNDUP(($C$3+$I180)/$I180,0)),IF($C$6="No",ROUNDUP($C$4/$G180,0),ROUNDUP(($C$4+$G180)/$G180,0)),ROUNDUP('BVMS checklist'!$H$217/$J180,0))&gt;1,'BVMS checklist'!$J$224,'BVMS checklist'!$J$217)+MAX(IF($C$6="No",ROUNDUP($C$3/$I180,0),ROUNDUP(($C$3+$I180)/$I180,0)),IF($C$6="No",ROUNDUP($C$4/$G180,0),ROUNDUP(($C$4+$G180)/$G180,0)))+$C$5</f>
        <v>1</v>
      </c>
      <c r="AQ180" s="400" t="b">
        <f t="shared" ca="1" si="630"/>
        <v>1</v>
      </c>
      <c r="AR180" s="400" t="str">
        <f t="shared" ca="1" si="669"/>
        <v>Accepted</v>
      </c>
      <c r="AS180" s="398" t="str">
        <f t="shared" ca="1" si="655"/>
        <v>No</v>
      </c>
      <c r="AT180" s="398" t="str">
        <f t="shared" ca="1" si="670"/>
        <v/>
      </c>
      <c r="AU180" s="398" t="str">
        <f t="shared" ca="1" si="642"/>
        <v/>
      </c>
      <c r="AV180" s="398">
        <f t="shared" ca="1" si="643"/>
        <v>6</v>
      </c>
      <c r="AW180" s="398">
        <f t="shared" ca="1" si="671"/>
        <v>2</v>
      </c>
      <c r="AX180" s="398">
        <f t="shared" ca="1" si="672"/>
        <v>576</v>
      </c>
      <c r="AY180" s="398">
        <f t="shared" ca="1" si="673"/>
        <v>502740</v>
      </c>
      <c r="AZ180" s="399">
        <f t="shared" si="694"/>
        <v>0</v>
      </c>
      <c r="BA180" s="399">
        <f t="shared" si="695"/>
        <v>0</v>
      </c>
      <c r="BB180" s="483" t="str">
        <f t="shared" ca="1" si="644"/>
        <v/>
      </c>
      <c r="BC180" s="400">
        <f ca="1">IF(MAX(IF($D$6="No",ROUNDUP($D$3/$I180,0),ROUNDUP(($D$3+$I180)/$I180,0)),IF($D$6="No",ROUNDUP($D$4/$G180,0),ROUNDUP(($D$4+$G180)/$G180,0)),ROUNDUP('BVMS checklist'!$H$217/$J180,0))&gt;1,'BVMS checklist'!$L$224,'BVMS checklist'!$L$217)</f>
        <v>0</v>
      </c>
      <c r="BD180" s="398">
        <f t="shared" ca="1" si="645"/>
        <v>2</v>
      </c>
      <c r="BE180" s="400">
        <f t="shared" si="674"/>
        <v>1</v>
      </c>
      <c r="BF180" s="400">
        <f t="shared" si="675"/>
        <v>2675</v>
      </c>
      <c r="BG180" s="400">
        <f t="shared" ca="1" si="656"/>
        <v>0</v>
      </c>
      <c r="BH180" s="398">
        <f t="shared" ca="1" si="676"/>
        <v>502740</v>
      </c>
      <c r="BI180" s="401" t="str">
        <f t="shared" ca="1" si="646"/>
        <v/>
      </c>
      <c r="BJ180" s="398">
        <f t="shared" ca="1" si="677"/>
        <v>1280</v>
      </c>
      <c r="BK180" s="400">
        <f ca="1">IF(MAX(IF($D$6="No",ROUNDUP($D$3/$I180,0),ROUNDUP(($D$3+$I180)/$I180,0)),IF($D$6="No",ROUNDUP($D$4/$G180,0),ROUNDUP(($D$4+$G180)/$G180,0)),ROUNDUP('BVMS checklist'!$H$217/$J180,0))&gt;1,'BVMS checklist'!$L$224,'BVMS checklist'!$L$217)+MAX(IF($D$6="No",ROUNDUP($D$3/$I180,0),ROUNDUP(($D$3+$I180)/$I180,0)),IF($D$6="No",ROUNDUP($D$4/$G180,0),ROUNDUP(($D$4+$G180)/$G180,0)))+$D$5</f>
        <v>1</v>
      </c>
      <c r="BL180" s="400" t="b">
        <f t="shared" ca="1" si="631"/>
        <v>1</v>
      </c>
      <c r="BM180" s="400" t="str">
        <f t="shared" ca="1" si="678"/>
        <v>Accepted</v>
      </c>
      <c r="BN180" s="398" t="str">
        <f t="shared" ca="1" si="657"/>
        <v>No</v>
      </c>
      <c r="BO180" s="398" t="str">
        <f t="shared" ca="1" si="679"/>
        <v/>
      </c>
      <c r="BP180" s="398" t="str">
        <f t="shared" ca="1" si="647"/>
        <v/>
      </c>
      <c r="BQ180" s="398">
        <f t="shared" ca="1" si="648"/>
        <v>6</v>
      </c>
      <c r="BR180" s="398">
        <f t="shared" ca="1" si="680"/>
        <v>2</v>
      </c>
      <c r="BS180" s="398">
        <f t="shared" ca="1" si="681"/>
        <v>576</v>
      </c>
      <c r="BT180" s="398">
        <f t="shared" ca="1" si="682"/>
        <v>502740</v>
      </c>
      <c r="BU180" s="399">
        <f t="shared" si="696"/>
        <v>0</v>
      </c>
      <c r="BV180" s="399">
        <f t="shared" si="697"/>
        <v>0</v>
      </c>
      <c r="BW180" s="483" t="str">
        <f t="shared" ca="1" si="649"/>
        <v/>
      </c>
      <c r="BX180" s="400">
        <f ca="1">IF(MAX(IF($E$6="No",ROUNDUP($E$3/$I180,0),ROUNDUP(($E$3+$I180)/$I180,0)),IF($E$6="No",ROUNDUP($E$4/$G180,0),ROUNDUP(($E$4+$G180)/$G180,0)),ROUNDUP('BVMS checklist'!$H$217/$J180,0))&gt;1,'BVMS checklist'!$N$224,'BVMS checklist'!$N$217)</f>
        <v>0</v>
      </c>
      <c r="BY180" s="398">
        <f t="shared" ca="1" si="650"/>
        <v>2</v>
      </c>
      <c r="BZ180" s="400">
        <f t="shared" ca="1" si="683"/>
        <v>2</v>
      </c>
      <c r="CA180" s="400">
        <f t="shared" ca="1" si="684"/>
        <v>5350</v>
      </c>
      <c r="CB180" s="400">
        <f t="shared" ca="1" si="658"/>
        <v>0</v>
      </c>
      <c r="CC180" s="398">
        <f t="shared" ca="1" si="685"/>
        <v>502740</v>
      </c>
      <c r="CD180" s="401" t="str">
        <f t="shared" ca="1" si="651"/>
        <v/>
      </c>
      <c r="CE180" s="398">
        <f t="shared" ca="1" si="686"/>
        <v>1280</v>
      </c>
      <c r="CF180" s="400">
        <f ca="1">IF(MAX(IF($E$6="No",ROUNDUP($E$3/$I180,0),ROUNDUP(($E$3+$I180)/$I180,0)),IF($E$6="No",ROUNDUP($E$4/$G180,0),ROUNDUP(($E$4+$G180)/$G180,0)),ROUNDUP('BVMS checklist'!$H$217/$J180,0))&gt;1,'BVMS checklist'!$N$224,'BVMS checklist'!$N$217)+MAX(IF($E$6="No",ROUNDUP($E$3/$I180,0),ROUNDUP(($E$3+$I180)/$I180,0)),IF($E$6="No",ROUNDUP($E$4/$G180,0),ROUNDUP(($E$4+$G180)/$G180,0)))+$E$5</f>
        <v>1</v>
      </c>
      <c r="CG180" s="400" t="b">
        <f t="shared" ca="1" si="632"/>
        <v>1</v>
      </c>
      <c r="CH180" s="400" t="str">
        <f t="shared" ca="1" si="687"/>
        <v>Accepted</v>
      </c>
      <c r="CI180" s="398" t="str">
        <f t="shared" ca="1" si="659"/>
        <v>No</v>
      </c>
      <c r="CJ180" s="398" t="str">
        <f t="shared" ca="1" si="688"/>
        <v/>
      </c>
      <c r="CK180" s="398" t="str">
        <f t="shared" ca="1" si="652"/>
        <v/>
      </c>
      <c r="CL180" s="398">
        <f t="shared" ca="1" si="653"/>
        <v>6</v>
      </c>
      <c r="CM180" s="398">
        <f t="shared" ca="1" si="689"/>
        <v>2</v>
      </c>
      <c r="CN180" s="398">
        <f t="shared" ca="1" si="690"/>
        <v>576</v>
      </c>
      <c r="CO180" s="398">
        <f t="shared" ca="1" si="691"/>
        <v>502740</v>
      </c>
      <c r="CP180" s="399">
        <f t="shared" si="698"/>
        <v>0</v>
      </c>
      <c r="CQ180" s="399">
        <f t="shared" si="699"/>
        <v>0</v>
      </c>
      <c r="CR180" s="483" t="str">
        <f t="shared" ca="1" si="654"/>
        <v/>
      </c>
      <c r="CS180"/>
    </row>
    <row r="181" spans="1:97">
      <c r="A181" s="398" t="s">
        <v>431</v>
      </c>
      <c r="B181" s="398" t="s">
        <v>987</v>
      </c>
      <c r="C181" s="440" t="s">
        <v>891</v>
      </c>
      <c r="D181" s="398">
        <v>2</v>
      </c>
      <c r="E181" s="398"/>
      <c r="F181" s="440">
        <v>0</v>
      </c>
      <c r="G181" s="398">
        <f>IF(C181="RAID5",(((15-F181)*5586))+(1*(((7-F181)*3723))),(((14-F181)*5586))+(1*(((6-F181)*3723))))</f>
        <v>109851</v>
      </c>
      <c r="H181" s="399">
        <v>128</v>
      </c>
      <c r="I181" s="399">
        <v>1025</v>
      </c>
      <c r="J181" s="399">
        <v>256</v>
      </c>
      <c r="K181" s="399"/>
      <c r="L181" s="399"/>
      <c r="M181" s="400">
        <f ca="1">IF(MAX(IF($B$6="No",ROUNDUP($B$3/$I181,0),ROUNDUP(($B$3+$I181)/$I181,0)),IF($B$6="No",ROUNDUP($B$4/$G181,0),ROUNDUP(($B$4+$G181)/$G181,0)),ROUNDUP('BVMS checklist'!$H$217/$J181,0))&gt;1,'BVMS checklist'!$H$224,'BVMS checklist'!$H$217)</f>
        <v>0</v>
      </c>
      <c r="N181" s="398">
        <f t="shared" ca="1" si="633"/>
        <v>2</v>
      </c>
      <c r="O181" s="400">
        <f t="shared" ca="1" si="660"/>
        <v>2</v>
      </c>
      <c r="P181" s="400">
        <f t="shared" ca="1" si="624"/>
        <v>2050</v>
      </c>
      <c r="Q181" s="400">
        <f t="shared" ca="1" si="625"/>
        <v>0</v>
      </c>
      <c r="R181" s="398">
        <f t="shared" ca="1" si="626"/>
        <v>219702</v>
      </c>
      <c r="S181" s="401" t="str">
        <f t="shared" ca="1" si="634"/>
        <v/>
      </c>
      <c r="T181" s="398">
        <f t="shared" ca="1" si="635"/>
        <v>512</v>
      </c>
      <c r="U181" s="400">
        <f ca="1">IF(MAX(IF($B$6="No",ROUNDUP($B$3/$I181,0),ROUNDUP(($B$3+$I181)/$I181,0)),IF($B$6="No",ROUNDUP($B$4/$G181,0),ROUNDUP(($B$4+$G181)/$G181,0)),ROUNDUP('BVMS checklist'!$H$217/$J181,0))&gt;1,'BVMS checklist'!$H$224,'BVMS checklist'!$H$217)+MAX(IF($B$6="No",ROUNDUP($B$3/$I181,0),ROUNDUP(($B$3+$I181)/$I181,0)),IF($B$6="No",ROUNDUP($B$4/$G181,0),ROUNDUP(($B$4+$G181)/$G181,0)))+$B$5</f>
        <v>1</v>
      </c>
      <c r="V181" s="400" t="b">
        <f t="shared" ca="1" si="627"/>
        <v>1</v>
      </c>
      <c r="W181" s="400" t="str">
        <f t="shared" ca="1" si="661"/>
        <v>Accepted</v>
      </c>
      <c r="X181" s="398" t="str">
        <f t="shared" ca="1" si="636"/>
        <v>No</v>
      </c>
      <c r="Y181" s="398" t="str">
        <f t="shared" ca="1" si="637"/>
        <v/>
      </c>
      <c r="Z181" s="398" t="str">
        <f t="shared" ca="1" si="638"/>
        <v/>
      </c>
      <c r="AA181" s="398">
        <f t="shared" ca="1" si="662"/>
        <v>6</v>
      </c>
      <c r="AB181" s="398">
        <f t="shared" ca="1" si="628"/>
        <v>2</v>
      </c>
      <c r="AC181" s="398">
        <f t="shared" ca="1" si="629"/>
        <v>256</v>
      </c>
      <c r="AD181" s="398">
        <f t="shared" ca="1" si="663"/>
        <v>219702</v>
      </c>
      <c r="AE181" s="399">
        <f t="shared" si="692"/>
        <v>0</v>
      </c>
      <c r="AF181" s="399">
        <f t="shared" si="693"/>
        <v>0</v>
      </c>
      <c r="AG181" s="483" t="str">
        <f t="shared" ca="1" si="639"/>
        <v/>
      </c>
      <c r="AH181" s="400">
        <f ca="1">IF(MAX(IF($C$6="No",ROUNDUP($C$3/$I181,0),ROUNDUP(($C$3+$I181)/$I181,0)),IF($C$6="No",ROUNDUP($C$4/$G181,0),ROUNDUP(($C$4+$G181)/$G181,0)),ROUNDUP('BVMS checklist'!$H$217/$J181,0))&gt;1,'BVMS checklist'!$J$224,'BVMS checklist'!$J$217)</f>
        <v>0</v>
      </c>
      <c r="AI181" s="398">
        <f t="shared" ca="1" si="640"/>
        <v>2</v>
      </c>
      <c r="AJ181" s="400">
        <f t="shared" ca="1" si="664"/>
        <v>2</v>
      </c>
      <c r="AK181" s="400">
        <f t="shared" ca="1" si="665"/>
        <v>2050</v>
      </c>
      <c r="AL181" s="400">
        <f t="shared" ca="1" si="666"/>
        <v>0</v>
      </c>
      <c r="AM181" s="398">
        <f t="shared" ca="1" si="667"/>
        <v>219702</v>
      </c>
      <c r="AN181" s="401" t="str">
        <f t="shared" ca="1" si="641"/>
        <v/>
      </c>
      <c r="AO181" s="398">
        <f t="shared" ca="1" si="668"/>
        <v>512</v>
      </c>
      <c r="AP181" s="400">
        <f ca="1">IF(MAX(IF($C$6="No",ROUNDUP($C$3/$I181,0),ROUNDUP(($C$3+$I181)/$I181,0)),IF($C$6="No",ROUNDUP($C$4/$G181,0),ROUNDUP(($C$4+$G181)/$G181,0)),ROUNDUP('BVMS checklist'!$H$217/$J181,0))&gt;1,'BVMS checklist'!$J$224,'BVMS checklist'!$J$217)+MAX(IF($C$6="No",ROUNDUP($C$3/$I181,0),ROUNDUP(($C$3+$I181)/$I181,0)),IF($C$6="No",ROUNDUP($C$4/$G181,0),ROUNDUP(($C$4+$G181)/$G181,0)))+$C$5</f>
        <v>1</v>
      </c>
      <c r="AQ181" s="400" t="b">
        <f t="shared" ca="1" si="630"/>
        <v>1</v>
      </c>
      <c r="AR181" s="400" t="str">
        <f t="shared" ca="1" si="669"/>
        <v>Accepted</v>
      </c>
      <c r="AS181" s="398" t="str">
        <f t="shared" ca="1" si="655"/>
        <v>No</v>
      </c>
      <c r="AT181" s="398" t="str">
        <f t="shared" ca="1" si="670"/>
        <v/>
      </c>
      <c r="AU181" s="398" t="str">
        <f t="shared" ca="1" si="642"/>
        <v/>
      </c>
      <c r="AV181" s="398">
        <f t="shared" ca="1" si="643"/>
        <v>6</v>
      </c>
      <c r="AW181" s="398">
        <f t="shared" ca="1" si="671"/>
        <v>2</v>
      </c>
      <c r="AX181" s="398">
        <f t="shared" ca="1" si="672"/>
        <v>256</v>
      </c>
      <c r="AY181" s="398">
        <f t="shared" ca="1" si="673"/>
        <v>219702</v>
      </c>
      <c r="AZ181" s="399">
        <f t="shared" si="694"/>
        <v>0</v>
      </c>
      <c r="BA181" s="399">
        <f t="shared" si="695"/>
        <v>0</v>
      </c>
      <c r="BB181" s="483" t="str">
        <f t="shared" ca="1" si="644"/>
        <v/>
      </c>
      <c r="BC181" s="400">
        <f ca="1">IF(MAX(IF($D$6="No",ROUNDUP($D$3/$I181,0),ROUNDUP(($D$3+$I181)/$I181,0)),IF($D$6="No",ROUNDUP($D$4/$G181,0),ROUNDUP(($D$4+$G181)/$G181,0)),ROUNDUP('BVMS checklist'!$H$217/$J181,0))&gt;1,'BVMS checklist'!$L$224,'BVMS checklist'!$L$217)</f>
        <v>0</v>
      </c>
      <c r="BD181" s="398">
        <f t="shared" ca="1" si="645"/>
        <v>2</v>
      </c>
      <c r="BE181" s="400">
        <f t="shared" si="674"/>
        <v>1</v>
      </c>
      <c r="BF181" s="400">
        <f t="shared" si="675"/>
        <v>1025</v>
      </c>
      <c r="BG181" s="400">
        <f t="shared" ca="1" si="656"/>
        <v>0</v>
      </c>
      <c r="BH181" s="398">
        <f t="shared" ca="1" si="676"/>
        <v>219702</v>
      </c>
      <c r="BI181" s="401" t="str">
        <f t="shared" ca="1" si="646"/>
        <v/>
      </c>
      <c r="BJ181" s="398">
        <f t="shared" ca="1" si="677"/>
        <v>512</v>
      </c>
      <c r="BK181" s="400">
        <f ca="1">IF(MAX(IF($D$6="No",ROUNDUP($D$3/$I181,0),ROUNDUP(($D$3+$I181)/$I181,0)),IF($D$6="No",ROUNDUP($D$4/$G181,0),ROUNDUP(($D$4+$G181)/$G181,0)),ROUNDUP('BVMS checklist'!$H$217/$J181,0))&gt;1,'BVMS checklist'!$L$224,'BVMS checklist'!$L$217)+MAX(IF($D$6="No",ROUNDUP($D$3/$I181,0),ROUNDUP(($D$3+$I181)/$I181,0)),IF($D$6="No",ROUNDUP($D$4/$G181,0),ROUNDUP(($D$4+$G181)/$G181,0)))+$D$5</f>
        <v>1</v>
      </c>
      <c r="BL181" s="400" t="b">
        <f t="shared" ca="1" si="631"/>
        <v>1</v>
      </c>
      <c r="BM181" s="400" t="str">
        <f t="shared" ca="1" si="678"/>
        <v>Accepted</v>
      </c>
      <c r="BN181" s="398" t="str">
        <f t="shared" ca="1" si="657"/>
        <v>No</v>
      </c>
      <c r="BO181" s="398" t="str">
        <f t="shared" ca="1" si="679"/>
        <v/>
      </c>
      <c r="BP181" s="398" t="str">
        <f t="shared" ca="1" si="647"/>
        <v/>
      </c>
      <c r="BQ181" s="398">
        <f t="shared" ca="1" si="648"/>
        <v>6</v>
      </c>
      <c r="BR181" s="398">
        <f t="shared" ca="1" si="680"/>
        <v>2</v>
      </c>
      <c r="BS181" s="398">
        <f t="shared" ca="1" si="681"/>
        <v>256</v>
      </c>
      <c r="BT181" s="398">
        <f t="shared" ca="1" si="682"/>
        <v>219702</v>
      </c>
      <c r="BU181" s="399">
        <f t="shared" si="696"/>
        <v>0</v>
      </c>
      <c r="BV181" s="399">
        <f t="shared" si="697"/>
        <v>0</v>
      </c>
      <c r="BW181" s="483" t="str">
        <f t="shared" ca="1" si="649"/>
        <v/>
      </c>
      <c r="BX181" s="400">
        <f ca="1">IF(MAX(IF($E$6="No",ROUNDUP($E$3/$I181,0),ROUNDUP(($E$3+$I181)/$I181,0)),IF($E$6="No",ROUNDUP($E$4/$G181,0),ROUNDUP(($E$4+$G181)/$G181,0)),ROUNDUP('BVMS checklist'!$H$217/$J181,0))&gt;1,'BVMS checklist'!$N$224,'BVMS checklist'!$N$217)</f>
        <v>0</v>
      </c>
      <c r="BY181" s="398">
        <f t="shared" ca="1" si="650"/>
        <v>2</v>
      </c>
      <c r="BZ181" s="400">
        <f t="shared" ca="1" si="683"/>
        <v>2</v>
      </c>
      <c r="CA181" s="400">
        <f t="shared" ca="1" si="684"/>
        <v>2050</v>
      </c>
      <c r="CB181" s="400">
        <f t="shared" ca="1" si="658"/>
        <v>0</v>
      </c>
      <c r="CC181" s="398">
        <f t="shared" ca="1" si="685"/>
        <v>219702</v>
      </c>
      <c r="CD181" s="401" t="str">
        <f t="shared" ca="1" si="651"/>
        <v/>
      </c>
      <c r="CE181" s="398">
        <f t="shared" ca="1" si="686"/>
        <v>512</v>
      </c>
      <c r="CF181" s="400">
        <f ca="1">IF(MAX(IF($E$6="No",ROUNDUP($E$3/$I181,0),ROUNDUP(($E$3+$I181)/$I181,0)),IF($E$6="No",ROUNDUP($E$4/$G181,0),ROUNDUP(($E$4+$G181)/$G181,0)),ROUNDUP('BVMS checklist'!$H$217/$J181,0))&gt;1,'BVMS checklist'!$N$224,'BVMS checklist'!$N$217)+MAX(IF($E$6="No",ROUNDUP($E$3/$I181,0),ROUNDUP(($E$3+$I181)/$I181,0)),IF($E$6="No",ROUNDUP($E$4/$G181,0),ROUNDUP(($E$4+$G181)/$G181,0)))+$E$5</f>
        <v>1</v>
      </c>
      <c r="CG181" s="400" t="b">
        <f t="shared" ca="1" si="632"/>
        <v>1</v>
      </c>
      <c r="CH181" s="400" t="str">
        <f t="shared" ca="1" si="687"/>
        <v>Accepted</v>
      </c>
      <c r="CI181" s="398" t="str">
        <f t="shared" ca="1" si="659"/>
        <v>No</v>
      </c>
      <c r="CJ181" s="398" t="str">
        <f t="shared" ca="1" si="688"/>
        <v/>
      </c>
      <c r="CK181" s="398" t="str">
        <f t="shared" ca="1" si="652"/>
        <v/>
      </c>
      <c r="CL181" s="398">
        <f t="shared" ca="1" si="653"/>
        <v>6</v>
      </c>
      <c r="CM181" s="398">
        <f t="shared" ca="1" si="689"/>
        <v>2</v>
      </c>
      <c r="CN181" s="398">
        <f t="shared" ca="1" si="690"/>
        <v>256</v>
      </c>
      <c r="CO181" s="398">
        <f t="shared" ca="1" si="691"/>
        <v>219702</v>
      </c>
      <c r="CP181" s="399">
        <f t="shared" si="698"/>
        <v>0</v>
      </c>
      <c r="CQ181" s="399">
        <f t="shared" si="699"/>
        <v>0</v>
      </c>
      <c r="CR181" s="483" t="str">
        <f t="shared" ca="1" si="654"/>
        <v/>
      </c>
      <c r="CS181"/>
    </row>
    <row r="182" spans="1:97">
      <c r="A182" s="398" t="s">
        <v>432</v>
      </c>
      <c r="B182" s="398" t="s">
        <v>987</v>
      </c>
      <c r="C182" s="440" t="s">
        <v>891</v>
      </c>
      <c r="D182" s="398">
        <v>3</v>
      </c>
      <c r="E182" s="398"/>
      <c r="F182" s="440">
        <v>0</v>
      </c>
      <c r="G182" s="398">
        <f>IF(C182="RAID5",(((15-F182)*5586))+(2*(((7-F182)*3723))),(((14-F182)*5586))+(2*(((6-F182)*3723))))</f>
        <v>135912</v>
      </c>
      <c r="H182" s="399">
        <v>160</v>
      </c>
      <c r="I182" s="399">
        <v>1575</v>
      </c>
      <c r="J182" s="399">
        <v>384</v>
      </c>
      <c r="K182" s="399"/>
      <c r="L182" s="399"/>
      <c r="M182" s="400">
        <f ca="1">IF(MAX(IF($B$6="No",ROUNDUP($B$3/$I182,0),ROUNDUP(($B$3+$I182)/$I182,0)),IF($B$6="No",ROUNDUP($B$4/$G182,0),ROUNDUP(($B$4+$G182)/$G182,0)),ROUNDUP('BVMS checklist'!$H$217/$J182,0))&gt;1,'BVMS checklist'!$H$224,'BVMS checklist'!$H$217)</f>
        <v>0</v>
      </c>
      <c r="N182" s="398">
        <f t="shared" ca="1" si="633"/>
        <v>2</v>
      </c>
      <c r="O182" s="400">
        <f t="shared" ca="1" si="660"/>
        <v>2</v>
      </c>
      <c r="P182" s="400">
        <f t="shared" ca="1" si="624"/>
        <v>3150</v>
      </c>
      <c r="Q182" s="400">
        <f t="shared" ca="1" si="625"/>
        <v>0</v>
      </c>
      <c r="R182" s="398">
        <f t="shared" ca="1" si="626"/>
        <v>271824</v>
      </c>
      <c r="S182" s="401" t="str">
        <f t="shared" ca="1" si="634"/>
        <v/>
      </c>
      <c r="T182" s="398">
        <f t="shared" ca="1" si="635"/>
        <v>768</v>
      </c>
      <c r="U182" s="400">
        <f ca="1">IF(MAX(IF($B$6="No",ROUNDUP($B$3/$I182,0),ROUNDUP(($B$3+$I182)/$I182,0)),IF($B$6="No",ROUNDUP($B$4/$G182,0),ROUNDUP(($B$4+$G182)/$G182,0)),ROUNDUP('BVMS checklist'!$H$217/$J182,0))&gt;1,'BVMS checklist'!$H$224,'BVMS checklist'!$H$217)+MAX(IF($B$6="No",ROUNDUP($B$3/$I182,0),ROUNDUP(($B$3+$I182)/$I182,0)),IF($B$6="No",ROUNDUP($B$4/$G182,0),ROUNDUP(($B$4+$G182)/$G182,0)))+$B$5</f>
        <v>1</v>
      </c>
      <c r="V182" s="400" t="b">
        <f t="shared" ca="1" si="627"/>
        <v>1</v>
      </c>
      <c r="W182" s="400" t="str">
        <f t="shared" ca="1" si="661"/>
        <v>Accepted</v>
      </c>
      <c r="X182" s="398" t="str">
        <f t="shared" ca="1" si="636"/>
        <v>No</v>
      </c>
      <c r="Y182" s="398" t="str">
        <f t="shared" ca="1" si="637"/>
        <v/>
      </c>
      <c r="Z182" s="398" t="str">
        <f t="shared" ca="1" si="638"/>
        <v/>
      </c>
      <c r="AA182" s="398">
        <f t="shared" ca="1" si="662"/>
        <v>6</v>
      </c>
      <c r="AB182" s="398">
        <f t="shared" ca="1" si="628"/>
        <v>2</v>
      </c>
      <c r="AC182" s="398">
        <f t="shared" ca="1" si="629"/>
        <v>320</v>
      </c>
      <c r="AD182" s="398">
        <f t="shared" ca="1" si="663"/>
        <v>271824</v>
      </c>
      <c r="AE182" s="399">
        <f t="shared" si="692"/>
        <v>0</v>
      </c>
      <c r="AF182" s="399">
        <f t="shared" si="693"/>
        <v>0</v>
      </c>
      <c r="AG182" s="483" t="str">
        <f t="shared" ca="1" si="639"/>
        <v/>
      </c>
      <c r="AH182" s="400">
        <f ca="1">IF(MAX(IF($C$6="No",ROUNDUP($C$3/$I182,0),ROUNDUP(($C$3+$I182)/$I182,0)),IF($C$6="No",ROUNDUP($C$4/$G182,0),ROUNDUP(($C$4+$G182)/$G182,0)),ROUNDUP('BVMS checklist'!$H$217/$J182,0))&gt;1,'BVMS checklist'!$J$224,'BVMS checklist'!$J$217)</f>
        <v>0</v>
      </c>
      <c r="AI182" s="398">
        <f t="shared" ca="1" si="640"/>
        <v>2</v>
      </c>
      <c r="AJ182" s="400">
        <f t="shared" ca="1" si="664"/>
        <v>2</v>
      </c>
      <c r="AK182" s="400">
        <f t="shared" ca="1" si="665"/>
        <v>3150</v>
      </c>
      <c r="AL182" s="400">
        <f t="shared" ca="1" si="666"/>
        <v>0</v>
      </c>
      <c r="AM182" s="398">
        <f t="shared" ca="1" si="667"/>
        <v>271824</v>
      </c>
      <c r="AN182" s="401" t="str">
        <f t="shared" ca="1" si="641"/>
        <v/>
      </c>
      <c r="AO182" s="398">
        <f t="shared" ca="1" si="668"/>
        <v>768</v>
      </c>
      <c r="AP182" s="400">
        <f ca="1">IF(MAX(IF($C$6="No",ROUNDUP($C$3/$I182,0),ROUNDUP(($C$3+$I182)/$I182,0)),IF($C$6="No",ROUNDUP($C$4/$G182,0),ROUNDUP(($C$4+$G182)/$G182,0)),ROUNDUP('BVMS checklist'!$H$217/$J182,0))&gt;1,'BVMS checklist'!$J$224,'BVMS checklist'!$J$217)+MAX(IF($C$6="No",ROUNDUP($C$3/$I182,0),ROUNDUP(($C$3+$I182)/$I182,0)),IF($C$6="No",ROUNDUP($C$4/$G182,0),ROUNDUP(($C$4+$G182)/$G182,0)))+$C$5</f>
        <v>1</v>
      </c>
      <c r="AQ182" s="400" t="b">
        <f t="shared" ca="1" si="630"/>
        <v>1</v>
      </c>
      <c r="AR182" s="400" t="str">
        <f t="shared" ca="1" si="669"/>
        <v>Accepted</v>
      </c>
      <c r="AS182" s="398" t="str">
        <f t="shared" ca="1" si="655"/>
        <v>No</v>
      </c>
      <c r="AT182" s="398" t="str">
        <f t="shared" ca="1" si="670"/>
        <v/>
      </c>
      <c r="AU182" s="398" t="str">
        <f t="shared" ca="1" si="642"/>
        <v/>
      </c>
      <c r="AV182" s="398">
        <f t="shared" ca="1" si="643"/>
        <v>6</v>
      </c>
      <c r="AW182" s="398">
        <f t="shared" ca="1" si="671"/>
        <v>2</v>
      </c>
      <c r="AX182" s="398">
        <f t="shared" ca="1" si="672"/>
        <v>320</v>
      </c>
      <c r="AY182" s="398">
        <f t="shared" ca="1" si="673"/>
        <v>271824</v>
      </c>
      <c r="AZ182" s="399">
        <f t="shared" si="694"/>
        <v>0</v>
      </c>
      <c r="BA182" s="399">
        <f t="shared" si="695"/>
        <v>0</v>
      </c>
      <c r="BB182" s="483" t="str">
        <f t="shared" ca="1" si="644"/>
        <v/>
      </c>
      <c r="BC182" s="400">
        <f ca="1">IF(MAX(IF($D$6="No",ROUNDUP($D$3/$I182,0),ROUNDUP(($D$3+$I182)/$I182,0)),IF($D$6="No",ROUNDUP($D$4/$G182,0),ROUNDUP(($D$4+$G182)/$G182,0)),ROUNDUP('BVMS checklist'!$H$217/$J182,0))&gt;1,'BVMS checklist'!$L$224,'BVMS checklist'!$L$217)</f>
        <v>0</v>
      </c>
      <c r="BD182" s="398">
        <f t="shared" ca="1" si="645"/>
        <v>2</v>
      </c>
      <c r="BE182" s="400">
        <f t="shared" si="674"/>
        <v>1</v>
      </c>
      <c r="BF182" s="400">
        <f t="shared" si="675"/>
        <v>1575</v>
      </c>
      <c r="BG182" s="400">
        <f t="shared" ca="1" si="656"/>
        <v>0</v>
      </c>
      <c r="BH182" s="398">
        <f t="shared" ca="1" si="676"/>
        <v>271824</v>
      </c>
      <c r="BI182" s="401" t="str">
        <f t="shared" ca="1" si="646"/>
        <v/>
      </c>
      <c r="BJ182" s="398">
        <f t="shared" ca="1" si="677"/>
        <v>768</v>
      </c>
      <c r="BK182" s="400">
        <f ca="1">IF(MAX(IF($D$6="No",ROUNDUP($D$3/$I182,0),ROUNDUP(($D$3+$I182)/$I182,0)),IF($D$6="No",ROUNDUP($D$4/$G182,0),ROUNDUP(($D$4+$G182)/$G182,0)),ROUNDUP('BVMS checklist'!$H$217/$J182,0))&gt;1,'BVMS checklist'!$L$224,'BVMS checklist'!$L$217)+MAX(IF($D$6="No",ROUNDUP($D$3/$I182,0),ROUNDUP(($D$3+$I182)/$I182,0)),IF($D$6="No",ROUNDUP($D$4/$G182,0),ROUNDUP(($D$4+$G182)/$G182,0)))+$D$5</f>
        <v>1</v>
      </c>
      <c r="BL182" s="400" t="b">
        <f t="shared" ca="1" si="631"/>
        <v>1</v>
      </c>
      <c r="BM182" s="400" t="str">
        <f t="shared" ca="1" si="678"/>
        <v>Accepted</v>
      </c>
      <c r="BN182" s="398" t="str">
        <f t="shared" ca="1" si="657"/>
        <v>No</v>
      </c>
      <c r="BO182" s="398" t="str">
        <f t="shared" ca="1" si="679"/>
        <v/>
      </c>
      <c r="BP182" s="398" t="str">
        <f t="shared" ca="1" si="647"/>
        <v/>
      </c>
      <c r="BQ182" s="398">
        <f t="shared" ca="1" si="648"/>
        <v>6</v>
      </c>
      <c r="BR182" s="398">
        <f t="shared" ca="1" si="680"/>
        <v>2</v>
      </c>
      <c r="BS182" s="398">
        <f t="shared" ca="1" si="681"/>
        <v>320</v>
      </c>
      <c r="BT182" s="398">
        <f t="shared" ca="1" si="682"/>
        <v>271824</v>
      </c>
      <c r="BU182" s="399">
        <f t="shared" si="696"/>
        <v>0</v>
      </c>
      <c r="BV182" s="399">
        <f t="shared" si="697"/>
        <v>0</v>
      </c>
      <c r="BW182" s="483" t="str">
        <f t="shared" ca="1" si="649"/>
        <v/>
      </c>
      <c r="BX182" s="400">
        <f ca="1">IF(MAX(IF($E$6="No",ROUNDUP($E$3/$I182,0),ROUNDUP(($E$3+$I182)/$I182,0)),IF($E$6="No",ROUNDUP($E$4/$G182,0),ROUNDUP(($E$4+$G182)/$G182,0)),ROUNDUP('BVMS checklist'!$H$217/$J182,0))&gt;1,'BVMS checklist'!$N$224,'BVMS checklist'!$N$217)</f>
        <v>0</v>
      </c>
      <c r="BY182" s="398">
        <f t="shared" ca="1" si="650"/>
        <v>2</v>
      </c>
      <c r="BZ182" s="400">
        <f t="shared" ca="1" si="683"/>
        <v>2</v>
      </c>
      <c r="CA182" s="400">
        <f t="shared" ca="1" si="684"/>
        <v>3150</v>
      </c>
      <c r="CB182" s="400">
        <f t="shared" ca="1" si="658"/>
        <v>0</v>
      </c>
      <c r="CC182" s="398">
        <f t="shared" ca="1" si="685"/>
        <v>271824</v>
      </c>
      <c r="CD182" s="401" t="str">
        <f t="shared" ca="1" si="651"/>
        <v/>
      </c>
      <c r="CE182" s="398">
        <f t="shared" ca="1" si="686"/>
        <v>768</v>
      </c>
      <c r="CF182" s="400">
        <f ca="1">IF(MAX(IF($E$6="No",ROUNDUP($E$3/$I182,0),ROUNDUP(($E$3+$I182)/$I182,0)),IF($E$6="No",ROUNDUP($E$4/$G182,0),ROUNDUP(($E$4+$G182)/$G182,0)),ROUNDUP('BVMS checklist'!$H$217/$J182,0))&gt;1,'BVMS checklist'!$N$224,'BVMS checklist'!$N$217)+MAX(IF($E$6="No",ROUNDUP($E$3/$I182,0),ROUNDUP(($E$3+$I182)/$I182,0)),IF($E$6="No",ROUNDUP($E$4/$G182,0),ROUNDUP(($E$4+$G182)/$G182,0)))+$E$5</f>
        <v>1</v>
      </c>
      <c r="CG182" s="400" t="b">
        <f t="shared" ca="1" si="632"/>
        <v>1</v>
      </c>
      <c r="CH182" s="400" t="str">
        <f t="shared" ca="1" si="687"/>
        <v>Accepted</v>
      </c>
      <c r="CI182" s="398" t="str">
        <f t="shared" ca="1" si="659"/>
        <v>No</v>
      </c>
      <c r="CJ182" s="398" t="str">
        <f t="shared" ca="1" si="688"/>
        <v/>
      </c>
      <c r="CK182" s="398" t="str">
        <f t="shared" ca="1" si="652"/>
        <v/>
      </c>
      <c r="CL182" s="398">
        <f t="shared" ca="1" si="653"/>
        <v>6</v>
      </c>
      <c r="CM182" s="398">
        <f t="shared" ca="1" si="689"/>
        <v>2</v>
      </c>
      <c r="CN182" s="398">
        <f t="shared" ca="1" si="690"/>
        <v>320</v>
      </c>
      <c r="CO182" s="398">
        <f t="shared" ca="1" si="691"/>
        <v>271824</v>
      </c>
      <c r="CP182" s="399">
        <f t="shared" si="698"/>
        <v>0</v>
      </c>
      <c r="CQ182" s="399">
        <f t="shared" si="699"/>
        <v>0</v>
      </c>
      <c r="CR182" s="483" t="str">
        <f t="shared" ca="1" si="654"/>
        <v/>
      </c>
      <c r="CS182"/>
    </row>
    <row r="183" spans="1:97">
      <c r="A183" s="398" t="s">
        <v>433</v>
      </c>
      <c r="B183" s="398" t="s">
        <v>987</v>
      </c>
      <c r="C183" s="440" t="s">
        <v>891</v>
      </c>
      <c r="D183" s="398">
        <v>4</v>
      </c>
      <c r="E183" s="398"/>
      <c r="F183" s="440">
        <v>0</v>
      </c>
      <c r="G183" s="398">
        <f>IF(C183="RAID5",(((15-F183)*5586))+(3*(((7-F183)*3723))),(((14-F183)*5586))+(3*(((6-F183)*3723))))</f>
        <v>161973</v>
      </c>
      <c r="H183" s="399">
        <v>192</v>
      </c>
      <c r="I183" s="399">
        <v>2125</v>
      </c>
      <c r="J183" s="399">
        <v>512</v>
      </c>
      <c r="K183" s="399"/>
      <c r="L183" s="399"/>
      <c r="M183" s="400">
        <f ca="1">IF(MAX(IF($B$6="No",ROUNDUP($B$3/$I183,0),ROUNDUP(($B$3+$I183)/$I183,0)),IF($B$6="No",ROUNDUP($B$4/$G183,0),ROUNDUP(($B$4+$G183)/$G183,0)),ROUNDUP('BVMS checklist'!$H$217/$J183,0))&gt;1,'BVMS checklist'!$H$224,'BVMS checklist'!$H$217)</f>
        <v>0</v>
      </c>
      <c r="N183" s="398">
        <f t="shared" ca="1" si="633"/>
        <v>2</v>
      </c>
      <c r="O183" s="400">
        <f t="shared" ca="1" si="660"/>
        <v>2</v>
      </c>
      <c r="P183" s="400">
        <f t="shared" ca="1" si="624"/>
        <v>4250</v>
      </c>
      <c r="Q183" s="400">
        <f t="shared" ca="1" si="625"/>
        <v>0</v>
      </c>
      <c r="R183" s="398">
        <f t="shared" ca="1" si="626"/>
        <v>323946</v>
      </c>
      <c r="S183" s="401" t="str">
        <f t="shared" ca="1" si="634"/>
        <v/>
      </c>
      <c r="T183" s="398">
        <f t="shared" ca="1" si="635"/>
        <v>1024</v>
      </c>
      <c r="U183" s="400">
        <f ca="1">IF(MAX(IF($B$6="No",ROUNDUP($B$3/$I183,0),ROUNDUP(($B$3+$I183)/$I183,0)),IF($B$6="No",ROUNDUP($B$4/$G183,0),ROUNDUP(($B$4+$G183)/$G183,0)),ROUNDUP('BVMS checklist'!$H$217/$J183,0))&gt;1,'BVMS checklist'!$H$224,'BVMS checklist'!$H$217)+MAX(IF($B$6="No",ROUNDUP($B$3/$I183,0),ROUNDUP(($B$3+$I183)/$I183,0)),IF($B$6="No",ROUNDUP($B$4/$G183,0),ROUNDUP(($B$4+$G183)/$G183,0)))+$B$5</f>
        <v>1</v>
      </c>
      <c r="V183" s="400" t="b">
        <f t="shared" ca="1" si="627"/>
        <v>1</v>
      </c>
      <c r="W183" s="400" t="str">
        <f t="shared" ca="1" si="661"/>
        <v>Accepted</v>
      </c>
      <c r="X183" s="398" t="str">
        <f t="shared" ca="1" si="636"/>
        <v>No</v>
      </c>
      <c r="Y183" s="398" t="str">
        <f t="shared" ca="1" si="637"/>
        <v/>
      </c>
      <c r="Z183" s="398" t="str">
        <f t="shared" ca="1" si="638"/>
        <v/>
      </c>
      <c r="AA183" s="398">
        <f t="shared" ca="1" si="662"/>
        <v>6</v>
      </c>
      <c r="AB183" s="398">
        <f t="shared" ca="1" si="628"/>
        <v>2</v>
      </c>
      <c r="AC183" s="398">
        <f t="shared" ca="1" si="629"/>
        <v>384</v>
      </c>
      <c r="AD183" s="398">
        <f t="shared" ca="1" si="663"/>
        <v>323946</v>
      </c>
      <c r="AE183" s="399">
        <f t="shared" si="692"/>
        <v>0</v>
      </c>
      <c r="AF183" s="399">
        <f t="shared" si="693"/>
        <v>0</v>
      </c>
      <c r="AG183" s="483" t="str">
        <f t="shared" ca="1" si="639"/>
        <v/>
      </c>
      <c r="AH183" s="400">
        <f ca="1">IF(MAX(IF($C$6="No",ROUNDUP($C$3/$I183,0),ROUNDUP(($C$3+$I183)/$I183,0)),IF($C$6="No",ROUNDUP($C$4/$G183,0),ROUNDUP(($C$4+$G183)/$G183,0)),ROUNDUP('BVMS checklist'!$H$217/$J183,0))&gt;1,'BVMS checklist'!$J$224,'BVMS checklist'!$J$217)</f>
        <v>0</v>
      </c>
      <c r="AI183" s="398">
        <f t="shared" ca="1" si="640"/>
        <v>2</v>
      </c>
      <c r="AJ183" s="400">
        <f t="shared" ca="1" si="664"/>
        <v>2</v>
      </c>
      <c r="AK183" s="400">
        <f t="shared" ca="1" si="665"/>
        <v>4250</v>
      </c>
      <c r="AL183" s="400">
        <f t="shared" ca="1" si="666"/>
        <v>0</v>
      </c>
      <c r="AM183" s="398">
        <f t="shared" ca="1" si="667"/>
        <v>323946</v>
      </c>
      <c r="AN183" s="401" t="str">
        <f t="shared" ca="1" si="641"/>
        <v/>
      </c>
      <c r="AO183" s="398">
        <f t="shared" ca="1" si="668"/>
        <v>1024</v>
      </c>
      <c r="AP183" s="400">
        <f ca="1">IF(MAX(IF($C$6="No",ROUNDUP($C$3/$I183,0),ROUNDUP(($C$3+$I183)/$I183,0)),IF($C$6="No",ROUNDUP($C$4/$G183,0),ROUNDUP(($C$4+$G183)/$G183,0)),ROUNDUP('BVMS checklist'!$H$217/$J183,0))&gt;1,'BVMS checklist'!$J$224,'BVMS checklist'!$J$217)+MAX(IF($C$6="No",ROUNDUP($C$3/$I183,0),ROUNDUP(($C$3+$I183)/$I183,0)),IF($C$6="No",ROUNDUP($C$4/$G183,0),ROUNDUP(($C$4+$G183)/$G183,0)))+$C$5</f>
        <v>1</v>
      </c>
      <c r="AQ183" s="400" t="b">
        <f t="shared" ca="1" si="630"/>
        <v>1</v>
      </c>
      <c r="AR183" s="400" t="str">
        <f t="shared" ca="1" si="669"/>
        <v>Accepted</v>
      </c>
      <c r="AS183" s="398" t="str">
        <f t="shared" ca="1" si="655"/>
        <v>No</v>
      </c>
      <c r="AT183" s="398" t="str">
        <f t="shared" ca="1" si="670"/>
        <v/>
      </c>
      <c r="AU183" s="398" t="str">
        <f t="shared" ca="1" si="642"/>
        <v/>
      </c>
      <c r="AV183" s="398">
        <f t="shared" ca="1" si="643"/>
        <v>6</v>
      </c>
      <c r="AW183" s="398">
        <f t="shared" ca="1" si="671"/>
        <v>2</v>
      </c>
      <c r="AX183" s="398">
        <f t="shared" ca="1" si="672"/>
        <v>384</v>
      </c>
      <c r="AY183" s="398">
        <f t="shared" ca="1" si="673"/>
        <v>323946</v>
      </c>
      <c r="AZ183" s="399">
        <f t="shared" si="694"/>
        <v>0</v>
      </c>
      <c r="BA183" s="399">
        <f t="shared" si="695"/>
        <v>0</v>
      </c>
      <c r="BB183" s="483" t="str">
        <f t="shared" ca="1" si="644"/>
        <v/>
      </c>
      <c r="BC183" s="400">
        <f ca="1">IF(MAX(IF($D$6="No",ROUNDUP($D$3/$I183,0),ROUNDUP(($D$3+$I183)/$I183,0)),IF($D$6="No",ROUNDUP($D$4/$G183,0),ROUNDUP(($D$4+$G183)/$G183,0)),ROUNDUP('BVMS checklist'!$H$217/$J183,0))&gt;1,'BVMS checklist'!$L$224,'BVMS checklist'!$L$217)</f>
        <v>0</v>
      </c>
      <c r="BD183" s="398">
        <f t="shared" ca="1" si="645"/>
        <v>2</v>
      </c>
      <c r="BE183" s="400">
        <f t="shared" si="674"/>
        <v>1</v>
      </c>
      <c r="BF183" s="400">
        <f t="shared" si="675"/>
        <v>2125</v>
      </c>
      <c r="BG183" s="400">
        <f t="shared" ca="1" si="656"/>
        <v>0</v>
      </c>
      <c r="BH183" s="398">
        <f t="shared" ca="1" si="676"/>
        <v>323946</v>
      </c>
      <c r="BI183" s="401" t="str">
        <f t="shared" ca="1" si="646"/>
        <v/>
      </c>
      <c r="BJ183" s="398">
        <f t="shared" ca="1" si="677"/>
        <v>1024</v>
      </c>
      <c r="BK183" s="400">
        <f ca="1">IF(MAX(IF($D$6="No",ROUNDUP($D$3/$I183,0),ROUNDUP(($D$3+$I183)/$I183,0)),IF($D$6="No",ROUNDUP($D$4/$G183,0),ROUNDUP(($D$4+$G183)/$G183,0)),ROUNDUP('BVMS checklist'!$H$217/$J183,0))&gt;1,'BVMS checklist'!$L$224,'BVMS checklist'!$L$217)+MAX(IF($D$6="No",ROUNDUP($D$3/$I183,0),ROUNDUP(($D$3+$I183)/$I183,0)),IF($D$6="No",ROUNDUP($D$4/$G183,0),ROUNDUP(($D$4+$G183)/$G183,0)))+$D$5</f>
        <v>1</v>
      </c>
      <c r="BL183" s="400" t="b">
        <f t="shared" ca="1" si="631"/>
        <v>1</v>
      </c>
      <c r="BM183" s="400" t="str">
        <f t="shared" ca="1" si="678"/>
        <v>Accepted</v>
      </c>
      <c r="BN183" s="398" t="str">
        <f t="shared" ca="1" si="657"/>
        <v>No</v>
      </c>
      <c r="BO183" s="398" t="str">
        <f t="shared" ca="1" si="679"/>
        <v/>
      </c>
      <c r="BP183" s="398" t="str">
        <f t="shared" ca="1" si="647"/>
        <v/>
      </c>
      <c r="BQ183" s="398">
        <f t="shared" ca="1" si="648"/>
        <v>6</v>
      </c>
      <c r="BR183" s="398">
        <f t="shared" ca="1" si="680"/>
        <v>2</v>
      </c>
      <c r="BS183" s="398">
        <f t="shared" ca="1" si="681"/>
        <v>384</v>
      </c>
      <c r="BT183" s="398">
        <f t="shared" ca="1" si="682"/>
        <v>323946</v>
      </c>
      <c r="BU183" s="399">
        <f t="shared" si="696"/>
        <v>0</v>
      </c>
      <c r="BV183" s="399">
        <f t="shared" si="697"/>
        <v>0</v>
      </c>
      <c r="BW183" s="483" t="str">
        <f t="shared" ca="1" si="649"/>
        <v/>
      </c>
      <c r="BX183" s="400">
        <f ca="1">IF(MAX(IF($E$6="No",ROUNDUP($E$3/$I183,0),ROUNDUP(($E$3+$I183)/$I183,0)),IF($E$6="No",ROUNDUP($E$4/$G183,0),ROUNDUP(($E$4+$G183)/$G183,0)),ROUNDUP('BVMS checklist'!$H$217/$J183,0))&gt;1,'BVMS checklist'!$N$224,'BVMS checklist'!$N$217)</f>
        <v>0</v>
      </c>
      <c r="BY183" s="398">
        <f t="shared" ca="1" si="650"/>
        <v>2</v>
      </c>
      <c r="BZ183" s="400">
        <f t="shared" ca="1" si="683"/>
        <v>2</v>
      </c>
      <c r="CA183" s="400">
        <f t="shared" ca="1" si="684"/>
        <v>4250</v>
      </c>
      <c r="CB183" s="400">
        <f t="shared" ca="1" si="658"/>
        <v>0</v>
      </c>
      <c r="CC183" s="398">
        <f t="shared" ca="1" si="685"/>
        <v>323946</v>
      </c>
      <c r="CD183" s="401" t="str">
        <f t="shared" ca="1" si="651"/>
        <v/>
      </c>
      <c r="CE183" s="398">
        <f t="shared" ca="1" si="686"/>
        <v>1024</v>
      </c>
      <c r="CF183" s="400">
        <f ca="1">IF(MAX(IF($E$6="No",ROUNDUP($E$3/$I183,0),ROUNDUP(($E$3+$I183)/$I183,0)),IF($E$6="No",ROUNDUP($E$4/$G183,0),ROUNDUP(($E$4+$G183)/$G183,0)),ROUNDUP('BVMS checklist'!$H$217/$J183,0))&gt;1,'BVMS checklist'!$N$224,'BVMS checklist'!$N$217)+MAX(IF($E$6="No",ROUNDUP($E$3/$I183,0),ROUNDUP(($E$3+$I183)/$I183,0)),IF($E$6="No",ROUNDUP($E$4/$G183,0),ROUNDUP(($E$4+$G183)/$G183,0)))+$E$5</f>
        <v>1</v>
      </c>
      <c r="CG183" s="400" t="b">
        <f t="shared" ca="1" si="632"/>
        <v>1</v>
      </c>
      <c r="CH183" s="400" t="str">
        <f t="shared" ca="1" si="687"/>
        <v>Accepted</v>
      </c>
      <c r="CI183" s="398" t="str">
        <f t="shared" ca="1" si="659"/>
        <v>No</v>
      </c>
      <c r="CJ183" s="398" t="str">
        <f t="shared" ca="1" si="688"/>
        <v/>
      </c>
      <c r="CK183" s="398" t="str">
        <f t="shared" ca="1" si="652"/>
        <v/>
      </c>
      <c r="CL183" s="398">
        <f t="shared" ca="1" si="653"/>
        <v>6</v>
      </c>
      <c r="CM183" s="398">
        <f t="shared" ca="1" si="689"/>
        <v>2</v>
      </c>
      <c r="CN183" s="398">
        <f t="shared" ca="1" si="690"/>
        <v>384</v>
      </c>
      <c r="CO183" s="398">
        <f t="shared" ca="1" si="691"/>
        <v>323946</v>
      </c>
      <c r="CP183" s="399">
        <f t="shared" si="698"/>
        <v>0</v>
      </c>
      <c r="CQ183" s="399">
        <f t="shared" si="699"/>
        <v>0</v>
      </c>
      <c r="CR183" s="483" t="str">
        <f t="shared" ca="1" si="654"/>
        <v/>
      </c>
      <c r="CS183"/>
    </row>
    <row r="184" spans="1:97">
      <c r="A184" s="398" t="s">
        <v>434</v>
      </c>
      <c r="B184" s="398" t="s">
        <v>987</v>
      </c>
      <c r="C184" s="440" t="s">
        <v>891</v>
      </c>
      <c r="D184" s="398">
        <v>5</v>
      </c>
      <c r="E184" s="398"/>
      <c r="F184" s="440">
        <v>0</v>
      </c>
      <c r="G184" s="398">
        <f>IF(C184="RAID5",(((15-F184)*5586))+(4*(((7-F184)*3723))),(((14-F184)*5586))+(4*(((6-F184)*3723))))</f>
        <v>188034</v>
      </c>
      <c r="H184" s="399">
        <v>224</v>
      </c>
      <c r="I184" s="399">
        <v>2675</v>
      </c>
      <c r="J184" s="399">
        <v>640</v>
      </c>
      <c r="K184" s="399"/>
      <c r="L184" s="399"/>
      <c r="M184" s="400">
        <f ca="1">IF(MAX(IF($B$6="No",ROUNDUP($B$3/$I184,0),ROUNDUP(($B$3+$I184)/$I184,0)),IF($B$6="No",ROUNDUP($B$4/$G184,0),ROUNDUP(($B$4+$G184)/$G184,0)),ROUNDUP('BVMS checklist'!$H$217/$J184,0))&gt;1,'BVMS checklist'!$H$224,'BVMS checklist'!$H$217)</f>
        <v>0</v>
      </c>
      <c r="N184" s="398">
        <f t="shared" ca="1" si="633"/>
        <v>2</v>
      </c>
      <c r="O184" s="400">
        <f t="shared" ca="1" si="660"/>
        <v>2</v>
      </c>
      <c r="P184" s="400">
        <f t="shared" ca="1" si="624"/>
        <v>5350</v>
      </c>
      <c r="Q184" s="400">
        <f t="shared" ca="1" si="625"/>
        <v>0</v>
      </c>
      <c r="R184" s="398">
        <f t="shared" ca="1" si="626"/>
        <v>376068</v>
      </c>
      <c r="S184" s="401" t="str">
        <f t="shared" ca="1" si="634"/>
        <v/>
      </c>
      <c r="T184" s="398">
        <f t="shared" ca="1" si="635"/>
        <v>1280</v>
      </c>
      <c r="U184" s="400">
        <f ca="1">IF(MAX(IF($B$6="No",ROUNDUP($B$3/$I184,0),ROUNDUP(($B$3+$I184)/$I184,0)),IF($B$6="No",ROUNDUP($B$4/$G184,0),ROUNDUP(($B$4+$G184)/$G184,0)),ROUNDUP('BVMS checklist'!$H$217/$J184,0))&gt;1,'BVMS checklist'!$H$224,'BVMS checklist'!$H$217)+MAX(IF($B$6="No",ROUNDUP($B$3/$I184,0),ROUNDUP(($B$3+$I184)/$I184,0)),IF($B$6="No",ROUNDUP($B$4/$G184,0),ROUNDUP(($B$4+$G184)/$G184,0)))+$B$5</f>
        <v>1</v>
      </c>
      <c r="V184" s="400" t="b">
        <f t="shared" ca="1" si="627"/>
        <v>1</v>
      </c>
      <c r="W184" s="400" t="str">
        <f t="shared" ca="1" si="661"/>
        <v>Accepted</v>
      </c>
      <c r="X184" s="398" t="str">
        <f t="shared" ca="1" si="636"/>
        <v>No</v>
      </c>
      <c r="Y184" s="398" t="str">
        <f t="shared" ca="1" si="637"/>
        <v/>
      </c>
      <c r="Z184" s="398" t="str">
        <f t="shared" ca="1" si="638"/>
        <v/>
      </c>
      <c r="AA184" s="398">
        <f t="shared" ca="1" si="662"/>
        <v>6</v>
      </c>
      <c r="AB184" s="398">
        <f t="shared" ca="1" si="628"/>
        <v>2</v>
      </c>
      <c r="AC184" s="398">
        <f t="shared" ca="1" si="629"/>
        <v>448</v>
      </c>
      <c r="AD184" s="398">
        <f t="shared" ca="1" si="663"/>
        <v>376068</v>
      </c>
      <c r="AE184" s="399">
        <f t="shared" si="692"/>
        <v>0</v>
      </c>
      <c r="AF184" s="399">
        <f t="shared" si="693"/>
        <v>0</v>
      </c>
      <c r="AG184" s="483" t="str">
        <f t="shared" ca="1" si="639"/>
        <v/>
      </c>
      <c r="AH184" s="400">
        <f ca="1">IF(MAX(IF($C$6="No",ROUNDUP($C$3/$I184,0),ROUNDUP(($C$3+$I184)/$I184,0)),IF($C$6="No",ROUNDUP($C$4/$G184,0),ROUNDUP(($C$4+$G184)/$G184,0)),ROUNDUP('BVMS checklist'!$H$217/$J184,0))&gt;1,'BVMS checklist'!$J$224,'BVMS checklist'!$J$217)</f>
        <v>0</v>
      </c>
      <c r="AI184" s="398">
        <f t="shared" ca="1" si="640"/>
        <v>2</v>
      </c>
      <c r="AJ184" s="400">
        <f t="shared" ca="1" si="664"/>
        <v>2</v>
      </c>
      <c r="AK184" s="400">
        <f t="shared" ca="1" si="665"/>
        <v>5350</v>
      </c>
      <c r="AL184" s="400">
        <f t="shared" ca="1" si="666"/>
        <v>0</v>
      </c>
      <c r="AM184" s="398">
        <f t="shared" ca="1" si="667"/>
        <v>376068</v>
      </c>
      <c r="AN184" s="401" t="str">
        <f t="shared" ca="1" si="641"/>
        <v/>
      </c>
      <c r="AO184" s="398">
        <f t="shared" ca="1" si="668"/>
        <v>1280</v>
      </c>
      <c r="AP184" s="400">
        <f ca="1">IF(MAX(IF($C$6="No",ROUNDUP($C$3/$I184,0),ROUNDUP(($C$3+$I184)/$I184,0)),IF($C$6="No",ROUNDUP($C$4/$G184,0),ROUNDUP(($C$4+$G184)/$G184,0)),ROUNDUP('BVMS checklist'!$H$217/$J184,0))&gt;1,'BVMS checklist'!$J$224,'BVMS checklist'!$J$217)+MAX(IF($C$6="No",ROUNDUP($C$3/$I184,0),ROUNDUP(($C$3+$I184)/$I184,0)),IF($C$6="No",ROUNDUP($C$4/$G184,0),ROUNDUP(($C$4+$G184)/$G184,0)))+$C$5</f>
        <v>1</v>
      </c>
      <c r="AQ184" s="400" t="b">
        <f t="shared" ca="1" si="630"/>
        <v>1</v>
      </c>
      <c r="AR184" s="400" t="str">
        <f t="shared" ca="1" si="669"/>
        <v>Accepted</v>
      </c>
      <c r="AS184" s="398" t="str">
        <f t="shared" ca="1" si="655"/>
        <v>No</v>
      </c>
      <c r="AT184" s="398" t="str">
        <f t="shared" ca="1" si="670"/>
        <v/>
      </c>
      <c r="AU184" s="398" t="str">
        <f t="shared" ca="1" si="642"/>
        <v/>
      </c>
      <c r="AV184" s="398">
        <f t="shared" ca="1" si="643"/>
        <v>6</v>
      </c>
      <c r="AW184" s="398">
        <f t="shared" ca="1" si="671"/>
        <v>2</v>
      </c>
      <c r="AX184" s="398">
        <f t="shared" ca="1" si="672"/>
        <v>448</v>
      </c>
      <c r="AY184" s="398">
        <f t="shared" ca="1" si="673"/>
        <v>376068</v>
      </c>
      <c r="AZ184" s="399">
        <f t="shared" si="694"/>
        <v>0</v>
      </c>
      <c r="BA184" s="399">
        <f t="shared" si="695"/>
        <v>0</v>
      </c>
      <c r="BB184" s="483" t="str">
        <f t="shared" ca="1" si="644"/>
        <v/>
      </c>
      <c r="BC184" s="400">
        <f ca="1">IF(MAX(IF($D$6="No",ROUNDUP($D$3/$I184,0),ROUNDUP(($D$3+$I184)/$I184,0)),IF($D$6="No",ROUNDUP($D$4/$G184,0),ROUNDUP(($D$4+$G184)/$G184,0)),ROUNDUP('BVMS checklist'!$H$217/$J184,0))&gt;1,'BVMS checklist'!$L$224,'BVMS checklist'!$L$217)</f>
        <v>0</v>
      </c>
      <c r="BD184" s="398">
        <f t="shared" ca="1" si="645"/>
        <v>2</v>
      </c>
      <c r="BE184" s="400">
        <f t="shared" si="674"/>
        <v>1</v>
      </c>
      <c r="BF184" s="400">
        <f t="shared" si="675"/>
        <v>2675</v>
      </c>
      <c r="BG184" s="400">
        <f t="shared" ca="1" si="656"/>
        <v>0</v>
      </c>
      <c r="BH184" s="398">
        <f t="shared" ca="1" si="676"/>
        <v>376068</v>
      </c>
      <c r="BI184" s="401" t="str">
        <f t="shared" ca="1" si="646"/>
        <v/>
      </c>
      <c r="BJ184" s="398">
        <f t="shared" ca="1" si="677"/>
        <v>1280</v>
      </c>
      <c r="BK184" s="400">
        <f ca="1">IF(MAX(IF($D$6="No",ROUNDUP($D$3/$I184,0),ROUNDUP(($D$3+$I184)/$I184,0)),IF($D$6="No",ROUNDUP($D$4/$G184,0),ROUNDUP(($D$4+$G184)/$G184,0)),ROUNDUP('BVMS checklist'!$H$217/$J184,0))&gt;1,'BVMS checklist'!$L$224,'BVMS checklist'!$L$217)+MAX(IF($D$6="No",ROUNDUP($D$3/$I184,0),ROUNDUP(($D$3+$I184)/$I184,0)),IF($D$6="No",ROUNDUP($D$4/$G184,0),ROUNDUP(($D$4+$G184)/$G184,0)))+$D$5</f>
        <v>1</v>
      </c>
      <c r="BL184" s="400" t="b">
        <f t="shared" ca="1" si="631"/>
        <v>1</v>
      </c>
      <c r="BM184" s="400" t="str">
        <f t="shared" ca="1" si="678"/>
        <v>Accepted</v>
      </c>
      <c r="BN184" s="398" t="str">
        <f t="shared" ca="1" si="657"/>
        <v>No</v>
      </c>
      <c r="BO184" s="398" t="str">
        <f t="shared" ca="1" si="679"/>
        <v/>
      </c>
      <c r="BP184" s="398" t="str">
        <f t="shared" ca="1" si="647"/>
        <v/>
      </c>
      <c r="BQ184" s="398">
        <f t="shared" ca="1" si="648"/>
        <v>6</v>
      </c>
      <c r="BR184" s="398">
        <f t="shared" ca="1" si="680"/>
        <v>2</v>
      </c>
      <c r="BS184" s="398">
        <f t="shared" ca="1" si="681"/>
        <v>448</v>
      </c>
      <c r="BT184" s="398">
        <f t="shared" ca="1" si="682"/>
        <v>376068</v>
      </c>
      <c r="BU184" s="399">
        <f t="shared" si="696"/>
        <v>0</v>
      </c>
      <c r="BV184" s="399">
        <f t="shared" si="697"/>
        <v>0</v>
      </c>
      <c r="BW184" s="483" t="str">
        <f t="shared" ca="1" si="649"/>
        <v/>
      </c>
      <c r="BX184" s="400">
        <f ca="1">IF(MAX(IF($E$6="No",ROUNDUP($E$3/$I184,0),ROUNDUP(($E$3+$I184)/$I184,0)),IF($E$6="No",ROUNDUP($E$4/$G184,0),ROUNDUP(($E$4+$G184)/$G184,0)),ROUNDUP('BVMS checklist'!$H$217/$J184,0))&gt;1,'BVMS checklist'!$N$224,'BVMS checklist'!$N$217)</f>
        <v>0</v>
      </c>
      <c r="BY184" s="398">
        <f t="shared" ca="1" si="650"/>
        <v>2</v>
      </c>
      <c r="BZ184" s="400">
        <f t="shared" ca="1" si="683"/>
        <v>2</v>
      </c>
      <c r="CA184" s="400">
        <f t="shared" ca="1" si="684"/>
        <v>5350</v>
      </c>
      <c r="CB184" s="400">
        <f t="shared" ca="1" si="658"/>
        <v>0</v>
      </c>
      <c r="CC184" s="398">
        <f t="shared" ca="1" si="685"/>
        <v>376068</v>
      </c>
      <c r="CD184" s="401" t="str">
        <f t="shared" ca="1" si="651"/>
        <v/>
      </c>
      <c r="CE184" s="398">
        <f t="shared" ca="1" si="686"/>
        <v>1280</v>
      </c>
      <c r="CF184" s="400">
        <f ca="1">IF(MAX(IF($E$6="No",ROUNDUP($E$3/$I184,0),ROUNDUP(($E$3+$I184)/$I184,0)),IF($E$6="No",ROUNDUP($E$4/$G184,0),ROUNDUP(($E$4+$G184)/$G184,0)),ROUNDUP('BVMS checklist'!$H$217/$J184,0))&gt;1,'BVMS checklist'!$N$224,'BVMS checklist'!$N$217)+MAX(IF($E$6="No",ROUNDUP($E$3/$I184,0),ROUNDUP(($E$3+$I184)/$I184,0)),IF($E$6="No",ROUNDUP($E$4/$G184,0),ROUNDUP(($E$4+$G184)/$G184,0)))+$E$5</f>
        <v>1</v>
      </c>
      <c r="CG184" s="400" t="b">
        <f t="shared" ca="1" si="632"/>
        <v>1</v>
      </c>
      <c r="CH184" s="400" t="str">
        <f t="shared" ca="1" si="687"/>
        <v>Accepted</v>
      </c>
      <c r="CI184" s="398" t="str">
        <f t="shared" ca="1" si="659"/>
        <v>No</v>
      </c>
      <c r="CJ184" s="398" t="str">
        <f t="shared" ca="1" si="688"/>
        <v/>
      </c>
      <c r="CK184" s="398" t="str">
        <f t="shared" ca="1" si="652"/>
        <v/>
      </c>
      <c r="CL184" s="398">
        <f t="shared" ca="1" si="653"/>
        <v>6</v>
      </c>
      <c r="CM184" s="398">
        <f t="shared" ca="1" si="689"/>
        <v>2</v>
      </c>
      <c r="CN184" s="398">
        <f t="shared" ca="1" si="690"/>
        <v>448</v>
      </c>
      <c r="CO184" s="398">
        <f t="shared" ca="1" si="691"/>
        <v>376068</v>
      </c>
      <c r="CP184" s="399">
        <f t="shared" si="698"/>
        <v>0</v>
      </c>
      <c r="CQ184" s="399">
        <f t="shared" si="699"/>
        <v>0</v>
      </c>
      <c r="CR184" s="483" t="str">
        <f t="shared" ca="1" si="654"/>
        <v/>
      </c>
      <c r="CS184"/>
    </row>
    <row r="185" spans="1:97">
      <c r="A185" s="398" t="s">
        <v>435</v>
      </c>
      <c r="B185" s="398" t="s">
        <v>987</v>
      </c>
      <c r="C185" s="440" t="s">
        <v>891</v>
      </c>
      <c r="D185" s="398">
        <v>2</v>
      </c>
      <c r="E185" s="398"/>
      <c r="F185" s="440">
        <v>0</v>
      </c>
      <c r="G185" s="398">
        <f>IF(C185="RAID5",(((15-F185)*5586))+(1*(((15-F185)*3723))),(((14-F185)*5586))+(1*(((14-F185)*3723))))</f>
        <v>139635</v>
      </c>
      <c r="H185" s="399">
        <v>160</v>
      </c>
      <c r="I185" s="399">
        <v>1025</v>
      </c>
      <c r="J185" s="399">
        <v>256</v>
      </c>
      <c r="K185" s="399"/>
      <c r="L185" s="399"/>
      <c r="M185" s="400">
        <f ca="1">IF(MAX(IF($B$6="No",ROUNDUP($B$3/$I185,0),ROUNDUP(($B$3+$I185)/$I185,0)),IF($B$6="No",ROUNDUP($B$4/$G185,0),ROUNDUP(($B$4+$G185)/$G185,0)),ROUNDUP('BVMS checklist'!$H$217/$J185,0))&gt;1,'BVMS checklist'!$H$224,'BVMS checklist'!$H$217)</f>
        <v>0</v>
      </c>
      <c r="N185" s="398">
        <f t="shared" ca="1" si="633"/>
        <v>2</v>
      </c>
      <c r="O185" s="400">
        <f t="shared" ca="1" si="660"/>
        <v>2</v>
      </c>
      <c r="P185" s="400">
        <f t="shared" ca="1" si="624"/>
        <v>2050</v>
      </c>
      <c r="Q185" s="400">
        <f t="shared" ca="1" si="625"/>
        <v>0</v>
      </c>
      <c r="R185" s="398">
        <f t="shared" ca="1" si="626"/>
        <v>279270</v>
      </c>
      <c r="S185" s="401" t="str">
        <f t="shared" ca="1" si="634"/>
        <v/>
      </c>
      <c r="T185" s="398">
        <f t="shared" ca="1" si="635"/>
        <v>512</v>
      </c>
      <c r="U185" s="400">
        <f ca="1">IF(MAX(IF($B$6="No",ROUNDUP($B$3/$I185,0),ROUNDUP(($B$3+$I185)/$I185,0)),IF($B$6="No",ROUNDUP($B$4/$G185,0),ROUNDUP(($B$4+$G185)/$G185,0)),ROUNDUP('BVMS checklist'!$H$217/$J185,0))&gt;1,'BVMS checklist'!$H$224,'BVMS checklist'!$H$217)+MAX(IF($B$6="No",ROUNDUP($B$3/$I185,0),ROUNDUP(($B$3+$I185)/$I185,0)),IF($B$6="No",ROUNDUP($B$4/$G185,0),ROUNDUP(($B$4+$G185)/$G185,0)))+$B$5</f>
        <v>1</v>
      </c>
      <c r="V185" s="400" t="b">
        <f t="shared" ca="1" si="627"/>
        <v>1</v>
      </c>
      <c r="W185" s="400" t="str">
        <f t="shared" ca="1" si="661"/>
        <v>Accepted</v>
      </c>
      <c r="X185" s="398" t="str">
        <f t="shared" ca="1" si="636"/>
        <v>No</v>
      </c>
      <c r="Y185" s="398" t="str">
        <f t="shared" ca="1" si="637"/>
        <v/>
      </c>
      <c r="Z185" s="398" t="str">
        <f t="shared" ca="1" si="638"/>
        <v/>
      </c>
      <c r="AA185" s="398">
        <f t="shared" ca="1" si="662"/>
        <v>6</v>
      </c>
      <c r="AB185" s="398">
        <f t="shared" ca="1" si="628"/>
        <v>2</v>
      </c>
      <c r="AC185" s="398">
        <f t="shared" ca="1" si="629"/>
        <v>320</v>
      </c>
      <c r="AD185" s="398">
        <f t="shared" ca="1" si="663"/>
        <v>279270</v>
      </c>
      <c r="AE185" s="399">
        <f t="shared" si="692"/>
        <v>0</v>
      </c>
      <c r="AF185" s="399">
        <f t="shared" si="693"/>
        <v>0</v>
      </c>
      <c r="AG185" s="483" t="str">
        <f t="shared" ca="1" si="639"/>
        <v/>
      </c>
      <c r="AH185" s="400">
        <f ca="1">IF(MAX(IF($C$6="No",ROUNDUP($C$3/$I185,0),ROUNDUP(($C$3+$I185)/$I185,0)),IF($C$6="No",ROUNDUP($C$4/$G185,0),ROUNDUP(($C$4+$G185)/$G185,0)),ROUNDUP('BVMS checklist'!$H$217/$J185,0))&gt;1,'BVMS checklist'!$J$224,'BVMS checklist'!$J$217)</f>
        <v>0</v>
      </c>
      <c r="AI185" s="398">
        <f t="shared" ca="1" si="640"/>
        <v>2</v>
      </c>
      <c r="AJ185" s="400">
        <f t="shared" ca="1" si="664"/>
        <v>2</v>
      </c>
      <c r="AK185" s="400">
        <f t="shared" ca="1" si="665"/>
        <v>2050</v>
      </c>
      <c r="AL185" s="400">
        <f t="shared" ca="1" si="666"/>
        <v>0</v>
      </c>
      <c r="AM185" s="398">
        <f t="shared" ca="1" si="667"/>
        <v>279270</v>
      </c>
      <c r="AN185" s="401" t="str">
        <f t="shared" ca="1" si="641"/>
        <v/>
      </c>
      <c r="AO185" s="398">
        <f t="shared" ca="1" si="668"/>
        <v>512</v>
      </c>
      <c r="AP185" s="400">
        <f ca="1">IF(MAX(IF($C$6="No",ROUNDUP($C$3/$I185,0),ROUNDUP(($C$3+$I185)/$I185,0)),IF($C$6="No",ROUNDUP($C$4/$G185,0),ROUNDUP(($C$4+$G185)/$G185,0)),ROUNDUP('BVMS checklist'!$H$217/$J185,0))&gt;1,'BVMS checklist'!$J$224,'BVMS checklist'!$J$217)+MAX(IF($C$6="No",ROUNDUP($C$3/$I185,0),ROUNDUP(($C$3+$I185)/$I185,0)),IF($C$6="No",ROUNDUP($C$4/$G185,0),ROUNDUP(($C$4+$G185)/$G185,0)))+$C$5</f>
        <v>1</v>
      </c>
      <c r="AQ185" s="400" t="b">
        <f t="shared" ca="1" si="630"/>
        <v>1</v>
      </c>
      <c r="AR185" s="400" t="str">
        <f t="shared" ca="1" si="669"/>
        <v>Accepted</v>
      </c>
      <c r="AS185" s="398" t="str">
        <f t="shared" ca="1" si="655"/>
        <v>No</v>
      </c>
      <c r="AT185" s="398" t="str">
        <f t="shared" ca="1" si="670"/>
        <v/>
      </c>
      <c r="AU185" s="398" t="str">
        <f t="shared" ca="1" si="642"/>
        <v/>
      </c>
      <c r="AV185" s="398">
        <f t="shared" ca="1" si="643"/>
        <v>6</v>
      </c>
      <c r="AW185" s="398">
        <f t="shared" ca="1" si="671"/>
        <v>2</v>
      </c>
      <c r="AX185" s="398">
        <f t="shared" ca="1" si="672"/>
        <v>320</v>
      </c>
      <c r="AY185" s="398">
        <f t="shared" ca="1" si="673"/>
        <v>279270</v>
      </c>
      <c r="AZ185" s="399">
        <f t="shared" si="694"/>
        <v>0</v>
      </c>
      <c r="BA185" s="399">
        <f t="shared" si="695"/>
        <v>0</v>
      </c>
      <c r="BB185" s="483" t="str">
        <f t="shared" ca="1" si="644"/>
        <v/>
      </c>
      <c r="BC185" s="400">
        <f ca="1">IF(MAX(IF($D$6="No",ROUNDUP($D$3/$I185,0),ROUNDUP(($D$3+$I185)/$I185,0)),IF($D$6="No",ROUNDUP($D$4/$G185,0),ROUNDUP(($D$4+$G185)/$G185,0)),ROUNDUP('BVMS checklist'!$H$217/$J185,0))&gt;1,'BVMS checklist'!$L$224,'BVMS checklist'!$L$217)</f>
        <v>0</v>
      </c>
      <c r="BD185" s="398">
        <f t="shared" ca="1" si="645"/>
        <v>2</v>
      </c>
      <c r="BE185" s="400">
        <f t="shared" si="674"/>
        <v>1</v>
      </c>
      <c r="BF185" s="400">
        <f t="shared" si="675"/>
        <v>1025</v>
      </c>
      <c r="BG185" s="400">
        <f t="shared" ca="1" si="656"/>
        <v>0</v>
      </c>
      <c r="BH185" s="398">
        <f t="shared" ca="1" si="676"/>
        <v>279270</v>
      </c>
      <c r="BI185" s="401" t="str">
        <f t="shared" ca="1" si="646"/>
        <v/>
      </c>
      <c r="BJ185" s="398">
        <f t="shared" ca="1" si="677"/>
        <v>512</v>
      </c>
      <c r="BK185" s="400">
        <f ca="1">IF(MAX(IF($D$6="No",ROUNDUP($D$3/$I185,0),ROUNDUP(($D$3+$I185)/$I185,0)),IF($D$6="No",ROUNDUP($D$4/$G185,0),ROUNDUP(($D$4+$G185)/$G185,0)),ROUNDUP('BVMS checklist'!$H$217/$J185,0))&gt;1,'BVMS checklist'!$L$224,'BVMS checklist'!$L$217)+MAX(IF($D$6="No",ROUNDUP($D$3/$I185,0),ROUNDUP(($D$3+$I185)/$I185,0)),IF($D$6="No",ROUNDUP($D$4/$G185,0),ROUNDUP(($D$4+$G185)/$G185,0)))+$D$5</f>
        <v>1</v>
      </c>
      <c r="BL185" s="400" t="b">
        <f t="shared" ca="1" si="631"/>
        <v>1</v>
      </c>
      <c r="BM185" s="400" t="str">
        <f t="shared" ca="1" si="678"/>
        <v>Accepted</v>
      </c>
      <c r="BN185" s="398" t="str">
        <f t="shared" ca="1" si="657"/>
        <v>No</v>
      </c>
      <c r="BO185" s="398" t="str">
        <f t="shared" ca="1" si="679"/>
        <v/>
      </c>
      <c r="BP185" s="398" t="str">
        <f t="shared" ca="1" si="647"/>
        <v/>
      </c>
      <c r="BQ185" s="398">
        <f t="shared" ca="1" si="648"/>
        <v>6</v>
      </c>
      <c r="BR185" s="398">
        <f t="shared" ca="1" si="680"/>
        <v>2</v>
      </c>
      <c r="BS185" s="398">
        <f t="shared" ca="1" si="681"/>
        <v>320</v>
      </c>
      <c r="BT185" s="398">
        <f t="shared" ca="1" si="682"/>
        <v>279270</v>
      </c>
      <c r="BU185" s="399">
        <f t="shared" si="696"/>
        <v>0</v>
      </c>
      <c r="BV185" s="399">
        <f t="shared" si="697"/>
        <v>0</v>
      </c>
      <c r="BW185" s="483" t="str">
        <f t="shared" ca="1" si="649"/>
        <v/>
      </c>
      <c r="BX185" s="400">
        <f ca="1">IF(MAX(IF($E$6="No",ROUNDUP($E$3/$I185,0),ROUNDUP(($E$3+$I185)/$I185,0)),IF($E$6="No",ROUNDUP($E$4/$G185,0),ROUNDUP(($E$4+$G185)/$G185,0)),ROUNDUP('BVMS checklist'!$H$217/$J185,0))&gt;1,'BVMS checklist'!$N$224,'BVMS checklist'!$N$217)</f>
        <v>0</v>
      </c>
      <c r="BY185" s="398">
        <f t="shared" ca="1" si="650"/>
        <v>2</v>
      </c>
      <c r="BZ185" s="400">
        <f t="shared" ca="1" si="683"/>
        <v>2</v>
      </c>
      <c r="CA185" s="400">
        <f t="shared" ca="1" si="684"/>
        <v>2050</v>
      </c>
      <c r="CB185" s="400">
        <f t="shared" ca="1" si="658"/>
        <v>0</v>
      </c>
      <c r="CC185" s="398">
        <f t="shared" ca="1" si="685"/>
        <v>279270</v>
      </c>
      <c r="CD185" s="401" t="str">
        <f t="shared" ca="1" si="651"/>
        <v/>
      </c>
      <c r="CE185" s="398">
        <f t="shared" ca="1" si="686"/>
        <v>512</v>
      </c>
      <c r="CF185" s="400">
        <f ca="1">IF(MAX(IF($E$6="No",ROUNDUP($E$3/$I185,0),ROUNDUP(($E$3+$I185)/$I185,0)),IF($E$6="No",ROUNDUP($E$4/$G185,0),ROUNDUP(($E$4+$G185)/$G185,0)),ROUNDUP('BVMS checklist'!$H$217/$J185,0))&gt;1,'BVMS checklist'!$N$224,'BVMS checklist'!$N$217)+MAX(IF($E$6="No",ROUNDUP($E$3/$I185,0),ROUNDUP(($E$3+$I185)/$I185,0)),IF($E$6="No",ROUNDUP($E$4/$G185,0),ROUNDUP(($E$4+$G185)/$G185,0)))+$E$5</f>
        <v>1</v>
      </c>
      <c r="CG185" s="400" t="b">
        <f t="shared" ca="1" si="632"/>
        <v>1</v>
      </c>
      <c r="CH185" s="400" t="str">
        <f t="shared" ca="1" si="687"/>
        <v>Accepted</v>
      </c>
      <c r="CI185" s="398" t="str">
        <f t="shared" ca="1" si="659"/>
        <v>No</v>
      </c>
      <c r="CJ185" s="398" t="str">
        <f t="shared" ca="1" si="688"/>
        <v/>
      </c>
      <c r="CK185" s="398" t="str">
        <f t="shared" ca="1" si="652"/>
        <v/>
      </c>
      <c r="CL185" s="398">
        <f t="shared" ca="1" si="653"/>
        <v>6</v>
      </c>
      <c r="CM185" s="398">
        <f t="shared" ca="1" si="689"/>
        <v>2</v>
      </c>
      <c r="CN185" s="398">
        <f t="shared" ca="1" si="690"/>
        <v>320</v>
      </c>
      <c r="CO185" s="398">
        <f t="shared" ca="1" si="691"/>
        <v>279270</v>
      </c>
      <c r="CP185" s="399">
        <f t="shared" si="698"/>
        <v>0</v>
      </c>
      <c r="CQ185" s="399">
        <f t="shared" si="699"/>
        <v>0</v>
      </c>
      <c r="CR185" s="483" t="str">
        <f t="shared" ca="1" si="654"/>
        <v/>
      </c>
      <c r="CS185"/>
    </row>
    <row r="186" spans="1:97">
      <c r="A186" s="398" t="s">
        <v>436</v>
      </c>
      <c r="B186" s="398" t="s">
        <v>987</v>
      </c>
      <c r="C186" s="440" t="s">
        <v>891</v>
      </c>
      <c r="D186" s="398">
        <v>3</v>
      </c>
      <c r="E186" s="398"/>
      <c r="F186" s="440">
        <v>0</v>
      </c>
      <c r="G186" s="398">
        <f>IF(C186="RAID5",(((15-F186)*5586))+(2*(((15-F186)*3723))),(((14-F186)*5586))+(2*(((14-F186)*3723))))</f>
        <v>195480</v>
      </c>
      <c r="H186" s="399">
        <v>224</v>
      </c>
      <c r="I186" s="399">
        <v>1575</v>
      </c>
      <c r="J186" s="399">
        <v>384</v>
      </c>
      <c r="K186" s="399"/>
      <c r="L186" s="399"/>
      <c r="M186" s="400">
        <f ca="1">IF(MAX(IF($B$6="No",ROUNDUP($B$3/$I186,0),ROUNDUP(($B$3+$I186)/$I186,0)),IF($B$6="No",ROUNDUP($B$4/$G186,0),ROUNDUP(($B$4+$G186)/$G186,0)),ROUNDUP('BVMS checklist'!$H$217/$J186,0))&gt;1,'BVMS checklist'!$H$224,'BVMS checklist'!$H$217)</f>
        <v>0</v>
      </c>
      <c r="N186" s="398">
        <f t="shared" ca="1" si="633"/>
        <v>2</v>
      </c>
      <c r="O186" s="400">
        <f t="shared" ca="1" si="660"/>
        <v>2</v>
      </c>
      <c r="P186" s="400">
        <f t="shared" ca="1" si="624"/>
        <v>3150</v>
      </c>
      <c r="Q186" s="400">
        <f t="shared" ca="1" si="625"/>
        <v>0</v>
      </c>
      <c r="R186" s="398">
        <f t="shared" ca="1" si="626"/>
        <v>390960</v>
      </c>
      <c r="S186" s="401" t="str">
        <f t="shared" ca="1" si="634"/>
        <v/>
      </c>
      <c r="T186" s="398">
        <f t="shared" ca="1" si="635"/>
        <v>768</v>
      </c>
      <c r="U186" s="400">
        <f ca="1">IF(MAX(IF($B$6="No",ROUNDUP($B$3/$I186,0),ROUNDUP(($B$3+$I186)/$I186,0)),IF($B$6="No",ROUNDUP($B$4/$G186,0),ROUNDUP(($B$4+$G186)/$G186,0)),ROUNDUP('BVMS checklist'!$H$217/$J186,0))&gt;1,'BVMS checklist'!$H$224,'BVMS checklist'!$H$217)+MAX(IF($B$6="No",ROUNDUP($B$3/$I186,0),ROUNDUP(($B$3+$I186)/$I186,0)),IF($B$6="No",ROUNDUP($B$4/$G186,0),ROUNDUP(($B$4+$G186)/$G186,0)))+$B$5</f>
        <v>1</v>
      </c>
      <c r="V186" s="400" t="b">
        <f t="shared" ca="1" si="627"/>
        <v>1</v>
      </c>
      <c r="W186" s="400" t="str">
        <f t="shared" ca="1" si="661"/>
        <v>Accepted</v>
      </c>
      <c r="X186" s="398" t="str">
        <f t="shared" ca="1" si="636"/>
        <v>No</v>
      </c>
      <c r="Y186" s="398" t="str">
        <f t="shared" ca="1" si="637"/>
        <v/>
      </c>
      <c r="Z186" s="398" t="str">
        <f t="shared" ca="1" si="638"/>
        <v/>
      </c>
      <c r="AA186" s="398">
        <f t="shared" ca="1" si="662"/>
        <v>6</v>
      </c>
      <c r="AB186" s="398">
        <f t="shared" ca="1" si="628"/>
        <v>2</v>
      </c>
      <c r="AC186" s="398">
        <f t="shared" ca="1" si="629"/>
        <v>448</v>
      </c>
      <c r="AD186" s="398">
        <f t="shared" ca="1" si="663"/>
        <v>390960</v>
      </c>
      <c r="AE186" s="399">
        <f t="shared" si="692"/>
        <v>0</v>
      </c>
      <c r="AF186" s="399">
        <f t="shared" si="693"/>
        <v>0</v>
      </c>
      <c r="AG186" s="483" t="str">
        <f t="shared" ca="1" si="639"/>
        <v/>
      </c>
      <c r="AH186" s="400">
        <f ca="1">IF(MAX(IF($C$6="No",ROUNDUP($C$3/$I186,0),ROUNDUP(($C$3+$I186)/$I186,0)),IF($C$6="No",ROUNDUP($C$4/$G186,0),ROUNDUP(($C$4+$G186)/$G186,0)),ROUNDUP('BVMS checklist'!$H$217/$J186,0))&gt;1,'BVMS checklist'!$J$224,'BVMS checklist'!$J$217)</f>
        <v>0</v>
      </c>
      <c r="AI186" s="398">
        <f t="shared" ca="1" si="640"/>
        <v>2</v>
      </c>
      <c r="AJ186" s="400">
        <f t="shared" ca="1" si="664"/>
        <v>2</v>
      </c>
      <c r="AK186" s="400">
        <f t="shared" ca="1" si="665"/>
        <v>3150</v>
      </c>
      <c r="AL186" s="400">
        <f t="shared" ca="1" si="666"/>
        <v>0</v>
      </c>
      <c r="AM186" s="398">
        <f t="shared" ca="1" si="667"/>
        <v>390960</v>
      </c>
      <c r="AN186" s="401" t="str">
        <f t="shared" ca="1" si="641"/>
        <v/>
      </c>
      <c r="AO186" s="398">
        <f t="shared" ca="1" si="668"/>
        <v>768</v>
      </c>
      <c r="AP186" s="400">
        <f ca="1">IF(MAX(IF($C$6="No",ROUNDUP($C$3/$I186,0),ROUNDUP(($C$3+$I186)/$I186,0)),IF($C$6="No",ROUNDUP($C$4/$G186,0),ROUNDUP(($C$4+$G186)/$G186,0)),ROUNDUP('BVMS checklist'!$H$217/$J186,0))&gt;1,'BVMS checklist'!$J$224,'BVMS checklist'!$J$217)+MAX(IF($C$6="No",ROUNDUP($C$3/$I186,0),ROUNDUP(($C$3+$I186)/$I186,0)),IF($C$6="No",ROUNDUP($C$4/$G186,0),ROUNDUP(($C$4+$G186)/$G186,0)))+$C$5</f>
        <v>1</v>
      </c>
      <c r="AQ186" s="400" t="b">
        <f t="shared" ca="1" si="630"/>
        <v>1</v>
      </c>
      <c r="AR186" s="400" t="str">
        <f t="shared" ca="1" si="669"/>
        <v>Accepted</v>
      </c>
      <c r="AS186" s="398" t="str">
        <f t="shared" ca="1" si="655"/>
        <v>No</v>
      </c>
      <c r="AT186" s="398" t="str">
        <f t="shared" ca="1" si="670"/>
        <v/>
      </c>
      <c r="AU186" s="398" t="str">
        <f t="shared" ca="1" si="642"/>
        <v/>
      </c>
      <c r="AV186" s="398">
        <f t="shared" ca="1" si="643"/>
        <v>6</v>
      </c>
      <c r="AW186" s="398">
        <f t="shared" ca="1" si="671"/>
        <v>2</v>
      </c>
      <c r="AX186" s="398">
        <f t="shared" ca="1" si="672"/>
        <v>448</v>
      </c>
      <c r="AY186" s="398">
        <f t="shared" ca="1" si="673"/>
        <v>390960</v>
      </c>
      <c r="AZ186" s="399">
        <f t="shared" si="694"/>
        <v>0</v>
      </c>
      <c r="BA186" s="399">
        <f t="shared" si="695"/>
        <v>0</v>
      </c>
      <c r="BB186" s="483" t="str">
        <f t="shared" ca="1" si="644"/>
        <v/>
      </c>
      <c r="BC186" s="400">
        <f ca="1">IF(MAX(IF($D$6="No",ROUNDUP($D$3/$I186,0),ROUNDUP(($D$3+$I186)/$I186,0)),IF($D$6="No",ROUNDUP($D$4/$G186,0),ROUNDUP(($D$4+$G186)/$G186,0)),ROUNDUP('BVMS checklist'!$H$217/$J186,0))&gt;1,'BVMS checklist'!$L$224,'BVMS checklist'!$L$217)</f>
        <v>0</v>
      </c>
      <c r="BD186" s="398">
        <f t="shared" ca="1" si="645"/>
        <v>2</v>
      </c>
      <c r="BE186" s="400">
        <f t="shared" si="674"/>
        <v>1</v>
      </c>
      <c r="BF186" s="400">
        <f t="shared" si="675"/>
        <v>1575</v>
      </c>
      <c r="BG186" s="400">
        <f t="shared" ca="1" si="656"/>
        <v>0</v>
      </c>
      <c r="BH186" s="398">
        <f t="shared" ca="1" si="676"/>
        <v>390960</v>
      </c>
      <c r="BI186" s="401" t="str">
        <f t="shared" ca="1" si="646"/>
        <v/>
      </c>
      <c r="BJ186" s="398">
        <f t="shared" ca="1" si="677"/>
        <v>768</v>
      </c>
      <c r="BK186" s="400">
        <f ca="1">IF(MAX(IF($D$6="No",ROUNDUP($D$3/$I186,0),ROUNDUP(($D$3+$I186)/$I186,0)),IF($D$6="No",ROUNDUP($D$4/$G186,0),ROUNDUP(($D$4+$G186)/$G186,0)),ROUNDUP('BVMS checklist'!$H$217/$J186,0))&gt;1,'BVMS checklist'!$L$224,'BVMS checklist'!$L$217)+MAX(IF($D$6="No",ROUNDUP($D$3/$I186,0),ROUNDUP(($D$3+$I186)/$I186,0)),IF($D$6="No",ROUNDUP($D$4/$G186,0),ROUNDUP(($D$4+$G186)/$G186,0)))+$D$5</f>
        <v>1</v>
      </c>
      <c r="BL186" s="400" t="b">
        <f t="shared" ca="1" si="631"/>
        <v>1</v>
      </c>
      <c r="BM186" s="400" t="str">
        <f t="shared" ca="1" si="678"/>
        <v>Accepted</v>
      </c>
      <c r="BN186" s="398" t="str">
        <f t="shared" ca="1" si="657"/>
        <v>No</v>
      </c>
      <c r="BO186" s="398" t="str">
        <f t="shared" ca="1" si="679"/>
        <v/>
      </c>
      <c r="BP186" s="398" t="str">
        <f t="shared" ca="1" si="647"/>
        <v/>
      </c>
      <c r="BQ186" s="398">
        <f t="shared" ca="1" si="648"/>
        <v>6</v>
      </c>
      <c r="BR186" s="398">
        <f t="shared" ca="1" si="680"/>
        <v>2</v>
      </c>
      <c r="BS186" s="398">
        <f t="shared" ca="1" si="681"/>
        <v>448</v>
      </c>
      <c r="BT186" s="398">
        <f t="shared" ca="1" si="682"/>
        <v>390960</v>
      </c>
      <c r="BU186" s="399">
        <f t="shared" si="696"/>
        <v>0</v>
      </c>
      <c r="BV186" s="399">
        <f t="shared" si="697"/>
        <v>0</v>
      </c>
      <c r="BW186" s="483" t="str">
        <f t="shared" ca="1" si="649"/>
        <v/>
      </c>
      <c r="BX186" s="400">
        <f ca="1">IF(MAX(IF($E$6="No",ROUNDUP($E$3/$I186,0),ROUNDUP(($E$3+$I186)/$I186,0)),IF($E$6="No",ROUNDUP($E$4/$G186,0),ROUNDUP(($E$4+$G186)/$G186,0)),ROUNDUP('BVMS checklist'!$H$217/$J186,0))&gt;1,'BVMS checklist'!$N$224,'BVMS checklist'!$N$217)</f>
        <v>0</v>
      </c>
      <c r="BY186" s="398">
        <f t="shared" ca="1" si="650"/>
        <v>2</v>
      </c>
      <c r="BZ186" s="400">
        <f t="shared" ca="1" si="683"/>
        <v>2</v>
      </c>
      <c r="CA186" s="400">
        <f t="shared" ca="1" si="684"/>
        <v>3150</v>
      </c>
      <c r="CB186" s="400">
        <f t="shared" ca="1" si="658"/>
        <v>0</v>
      </c>
      <c r="CC186" s="398">
        <f t="shared" ca="1" si="685"/>
        <v>390960</v>
      </c>
      <c r="CD186" s="401" t="str">
        <f t="shared" ca="1" si="651"/>
        <v/>
      </c>
      <c r="CE186" s="398">
        <f t="shared" ca="1" si="686"/>
        <v>768</v>
      </c>
      <c r="CF186" s="400">
        <f ca="1">IF(MAX(IF($E$6="No",ROUNDUP($E$3/$I186,0),ROUNDUP(($E$3+$I186)/$I186,0)),IF($E$6="No",ROUNDUP($E$4/$G186,0),ROUNDUP(($E$4+$G186)/$G186,0)),ROUNDUP('BVMS checklist'!$H$217/$J186,0))&gt;1,'BVMS checklist'!$N$224,'BVMS checklist'!$N$217)+MAX(IF($E$6="No",ROUNDUP($E$3/$I186,0),ROUNDUP(($E$3+$I186)/$I186,0)),IF($E$6="No",ROUNDUP($E$4/$G186,0),ROUNDUP(($E$4+$G186)/$G186,0)))+$E$5</f>
        <v>1</v>
      </c>
      <c r="CG186" s="400" t="b">
        <f t="shared" ca="1" si="632"/>
        <v>1</v>
      </c>
      <c r="CH186" s="400" t="str">
        <f t="shared" ca="1" si="687"/>
        <v>Accepted</v>
      </c>
      <c r="CI186" s="398" t="str">
        <f t="shared" ca="1" si="659"/>
        <v>No</v>
      </c>
      <c r="CJ186" s="398" t="str">
        <f t="shared" ca="1" si="688"/>
        <v/>
      </c>
      <c r="CK186" s="398" t="str">
        <f t="shared" ca="1" si="652"/>
        <v/>
      </c>
      <c r="CL186" s="398">
        <f t="shared" ca="1" si="653"/>
        <v>6</v>
      </c>
      <c r="CM186" s="398">
        <f t="shared" ca="1" si="689"/>
        <v>2</v>
      </c>
      <c r="CN186" s="398">
        <f t="shared" ca="1" si="690"/>
        <v>448</v>
      </c>
      <c r="CO186" s="398">
        <f t="shared" ca="1" si="691"/>
        <v>390960</v>
      </c>
      <c r="CP186" s="399">
        <f t="shared" si="698"/>
        <v>0</v>
      </c>
      <c r="CQ186" s="399">
        <f t="shared" si="699"/>
        <v>0</v>
      </c>
      <c r="CR186" s="483" t="str">
        <f t="shared" ca="1" si="654"/>
        <v/>
      </c>
      <c r="CS186"/>
    </row>
    <row r="187" spans="1:97">
      <c r="A187" s="398" t="s">
        <v>437</v>
      </c>
      <c r="B187" s="398" t="s">
        <v>987</v>
      </c>
      <c r="C187" s="440" t="s">
        <v>891</v>
      </c>
      <c r="D187" s="398">
        <v>4</v>
      </c>
      <c r="E187" s="398"/>
      <c r="F187" s="440">
        <v>0</v>
      </c>
      <c r="G187" s="398">
        <f>IF(C187="RAID5",(((15-F187)*5586))+(3*(((15-F187)*3723))),(((14-F187)*5586))+(3*(((14-F187)*3723))))</f>
        <v>251325</v>
      </c>
      <c r="H187" s="399">
        <v>288</v>
      </c>
      <c r="I187" s="399">
        <v>2125</v>
      </c>
      <c r="J187" s="399">
        <v>512</v>
      </c>
      <c r="K187" s="399"/>
      <c r="L187" s="399"/>
      <c r="M187" s="400">
        <f ca="1">IF(MAX(IF($B$6="No",ROUNDUP($B$3/$I187,0),ROUNDUP(($B$3+$I187)/$I187,0)),IF($B$6="No",ROUNDUP($B$4/$G187,0),ROUNDUP(($B$4+$G187)/$G187,0)),ROUNDUP('BVMS checklist'!$H$217/$J187,0))&gt;1,'BVMS checklist'!$H$224,'BVMS checklist'!$H$217)</f>
        <v>0</v>
      </c>
      <c r="N187" s="398">
        <f t="shared" ca="1" si="633"/>
        <v>2</v>
      </c>
      <c r="O187" s="400">
        <f t="shared" ca="1" si="660"/>
        <v>2</v>
      </c>
      <c r="P187" s="400">
        <f t="shared" ca="1" si="624"/>
        <v>4250</v>
      </c>
      <c r="Q187" s="400">
        <f t="shared" ca="1" si="625"/>
        <v>0</v>
      </c>
      <c r="R187" s="398">
        <f t="shared" ca="1" si="626"/>
        <v>502650</v>
      </c>
      <c r="S187" s="401" t="str">
        <f t="shared" ca="1" si="634"/>
        <v/>
      </c>
      <c r="T187" s="398">
        <f t="shared" ca="1" si="635"/>
        <v>1024</v>
      </c>
      <c r="U187" s="400">
        <f ca="1">IF(MAX(IF($B$6="No",ROUNDUP($B$3/$I187,0),ROUNDUP(($B$3+$I187)/$I187,0)),IF($B$6="No",ROUNDUP($B$4/$G187,0),ROUNDUP(($B$4+$G187)/$G187,0)),ROUNDUP('BVMS checklist'!$H$217/$J187,0))&gt;1,'BVMS checklist'!$H$224,'BVMS checklist'!$H$217)+MAX(IF($B$6="No",ROUNDUP($B$3/$I187,0),ROUNDUP(($B$3+$I187)/$I187,0)),IF($B$6="No",ROUNDUP($B$4/$G187,0),ROUNDUP(($B$4+$G187)/$G187,0)))+$B$5</f>
        <v>1</v>
      </c>
      <c r="V187" s="400" t="b">
        <f t="shared" ca="1" si="627"/>
        <v>1</v>
      </c>
      <c r="W187" s="400" t="str">
        <f t="shared" ca="1" si="661"/>
        <v>Accepted</v>
      </c>
      <c r="X187" s="398" t="str">
        <f t="shared" ca="1" si="636"/>
        <v>No</v>
      </c>
      <c r="Y187" s="398" t="str">
        <f t="shared" ca="1" si="637"/>
        <v/>
      </c>
      <c r="Z187" s="398" t="str">
        <f t="shared" ca="1" si="638"/>
        <v/>
      </c>
      <c r="AA187" s="398">
        <f t="shared" ca="1" si="662"/>
        <v>6</v>
      </c>
      <c r="AB187" s="398">
        <f t="shared" ca="1" si="628"/>
        <v>2</v>
      </c>
      <c r="AC187" s="398">
        <f t="shared" ca="1" si="629"/>
        <v>576</v>
      </c>
      <c r="AD187" s="398">
        <f t="shared" ca="1" si="663"/>
        <v>502650</v>
      </c>
      <c r="AE187" s="399">
        <f t="shared" si="692"/>
        <v>0</v>
      </c>
      <c r="AF187" s="399">
        <f t="shared" si="693"/>
        <v>0</v>
      </c>
      <c r="AG187" s="483" t="str">
        <f t="shared" ca="1" si="639"/>
        <v/>
      </c>
      <c r="AH187" s="400">
        <f ca="1">IF(MAX(IF($C$6="No",ROUNDUP($C$3/$I187,0),ROUNDUP(($C$3+$I187)/$I187,0)),IF($C$6="No",ROUNDUP($C$4/$G187,0),ROUNDUP(($C$4+$G187)/$G187,0)),ROUNDUP('BVMS checklist'!$H$217/$J187,0))&gt;1,'BVMS checklist'!$J$224,'BVMS checklist'!$J$217)</f>
        <v>0</v>
      </c>
      <c r="AI187" s="398">
        <f t="shared" ca="1" si="640"/>
        <v>2</v>
      </c>
      <c r="AJ187" s="400">
        <f t="shared" ca="1" si="664"/>
        <v>2</v>
      </c>
      <c r="AK187" s="400">
        <f t="shared" ca="1" si="665"/>
        <v>4250</v>
      </c>
      <c r="AL187" s="400">
        <f t="shared" ca="1" si="666"/>
        <v>0</v>
      </c>
      <c r="AM187" s="398">
        <f t="shared" ca="1" si="667"/>
        <v>502650</v>
      </c>
      <c r="AN187" s="401" t="str">
        <f t="shared" ca="1" si="641"/>
        <v/>
      </c>
      <c r="AO187" s="398">
        <f t="shared" ca="1" si="668"/>
        <v>1024</v>
      </c>
      <c r="AP187" s="400">
        <f ca="1">IF(MAX(IF($C$6="No",ROUNDUP($C$3/$I187,0),ROUNDUP(($C$3+$I187)/$I187,0)),IF($C$6="No",ROUNDUP($C$4/$G187,0),ROUNDUP(($C$4+$G187)/$G187,0)),ROUNDUP('BVMS checklist'!$H$217/$J187,0))&gt;1,'BVMS checklist'!$J$224,'BVMS checklist'!$J$217)+MAX(IF($C$6="No",ROUNDUP($C$3/$I187,0),ROUNDUP(($C$3+$I187)/$I187,0)),IF($C$6="No",ROUNDUP($C$4/$G187,0),ROUNDUP(($C$4+$G187)/$G187,0)))+$C$5</f>
        <v>1</v>
      </c>
      <c r="AQ187" s="400" t="b">
        <f t="shared" ca="1" si="630"/>
        <v>1</v>
      </c>
      <c r="AR187" s="400" t="str">
        <f t="shared" ca="1" si="669"/>
        <v>Accepted</v>
      </c>
      <c r="AS187" s="398" t="str">
        <f t="shared" ca="1" si="655"/>
        <v>No</v>
      </c>
      <c r="AT187" s="398" t="str">
        <f t="shared" ca="1" si="670"/>
        <v/>
      </c>
      <c r="AU187" s="398" t="str">
        <f t="shared" ca="1" si="642"/>
        <v/>
      </c>
      <c r="AV187" s="398">
        <f t="shared" ca="1" si="643"/>
        <v>6</v>
      </c>
      <c r="AW187" s="398">
        <f t="shared" ca="1" si="671"/>
        <v>2</v>
      </c>
      <c r="AX187" s="398">
        <f t="shared" ca="1" si="672"/>
        <v>576</v>
      </c>
      <c r="AY187" s="398">
        <f t="shared" ca="1" si="673"/>
        <v>502650</v>
      </c>
      <c r="AZ187" s="399">
        <f t="shared" si="694"/>
        <v>0</v>
      </c>
      <c r="BA187" s="399">
        <f t="shared" si="695"/>
        <v>0</v>
      </c>
      <c r="BB187" s="483" t="str">
        <f t="shared" ca="1" si="644"/>
        <v/>
      </c>
      <c r="BC187" s="400">
        <f ca="1">IF(MAX(IF($D$6="No",ROUNDUP($D$3/$I187,0),ROUNDUP(($D$3+$I187)/$I187,0)),IF($D$6="No",ROUNDUP($D$4/$G187,0),ROUNDUP(($D$4+$G187)/$G187,0)),ROUNDUP('BVMS checklist'!$H$217/$J187,0))&gt;1,'BVMS checklist'!$L$224,'BVMS checklist'!$L$217)</f>
        <v>0</v>
      </c>
      <c r="BD187" s="398">
        <f t="shared" ca="1" si="645"/>
        <v>2</v>
      </c>
      <c r="BE187" s="400">
        <f t="shared" si="674"/>
        <v>1</v>
      </c>
      <c r="BF187" s="400">
        <f t="shared" si="675"/>
        <v>2125</v>
      </c>
      <c r="BG187" s="400">
        <f t="shared" ca="1" si="656"/>
        <v>0</v>
      </c>
      <c r="BH187" s="398">
        <f t="shared" ca="1" si="676"/>
        <v>502650</v>
      </c>
      <c r="BI187" s="401" t="str">
        <f t="shared" ca="1" si="646"/>
        <v/>
      </c>
      <c r="BJ187" s="398">
        <f t="shared" ca="1" si="677"/>
        <v>1024</v>
      </c>
      <c r="BK187" s="400">
        <f ca="1">IF(MAX(IF($D$6="No",ROUNDUP($D$3/$I187,0),ROUNDUP(($D$3+$I187)/$I187,0)),IF($D$6="No",ROUNDUP($D$4/$G187,0),ROUNDUP(($D$4+$G187)/$G187,0)),ROUNDUP('BVMS checklist'!$H$217/$J187,0))&gt;1,'BVMS checklist'!$L$224,'BVMS checklist'!$L$217)+MAX(IF($D$6="No",ROUNDUP($D$3/$I187,0),ROUNDUP(($D$3+$I187)/$I187,0)),IF($D$6="No",ROUNDUP($D$4/$G187,0),ROUNDUP(($D$4+$G187)/$G187,0)))+$D$5</f>
        <v>1</v>
      </c>
      <c r="BL187" s="400" t="b">
        <f t="shared" ca="1" si="631"/>
        <v>1</v>
      </c>
      <c r="BM187" s="400" t="str">
        <f t="shared" ca="1" si="678"/>
        <v>Accepted</v>
      </c>
      <c r="BN187" s="398" t="str">
        <f t="shared" ca="1" si="657"/>
        <v>No</v>
      </c>
      <c r="BO187" s="398" t="str">
        <f t="shared" ca="1" si="679"/>
        <v/>
      </c>
      <c r="BP187" s="398" t="str">
        <f t="shared" ca="1" si="647"/>
        <v/>
      </c>
      <c r="BQ187" s="398">
        <f t="shared" ca="1" si="648"/>
        <v>6</v>
      </c>
      <c r="BR187" s="398">
        <f t="shared" ca="1" si="680"/>
        <v>2</v>
      </c>
      <c r="BS187" s="398">
        <f t="shared" ca="1" si="681"/>
        <v>576</v>
      </c>
      <c r="BT187" s="398">
        <f t="shared" ca="1" si="682"/>
        <v>502650</v>
      </c>
      <c r="BU187" s="399">
        <f t="shared" si="696"/>
        <v>0</v>
      </c>
      <c r="BV187" s="399">
        <f t="shared" si="697"/>
        <v>0</v>
      </c>
      <c r="BW187" s="483" t="str">
        <f t="shared" ca="1" si="649"/>
        <v/>
      </c>
      <c r="BX187" s="400">
        <f ca="1">IF(MAX(IF($E$6="No",ROUNDUP($E$3/$I187,0),ROUNDUP(($E$3+$I187)/$I187,0)),IF($E$6="No",ROUNDUP($E$4/$G187,0),ROUNDUP(($E$4+$G187)/$G187,0)),ROUNDUP('BVMS checklist'!$H$217/$J187,0))&gt;1,'BVMS checklist'!$N$224,'BVMS checklist'!$N$217)</f>
        <v>0</v>
      </c>
      <c r="BY187" s="398">
        <f t="shared" ca="1" si="650"/>
        <v>2</v>
      </c>
      <c r="BZ187" s="400">
        <f t="shared" ca="1" si="683"/>
        <v>2</v>
      </c>
      <c r="CA187" s="400">
        <f t="shared" ca="1" si="684"/>
        <v>4250</v>
      </c>
      <c r="CB187" s="400">
        <f t="shared" ca="1" si="658"/>
        <v>0</v>
      </c>
      <c r="CC187" s="398">
        <f t="shared" ca="1" si="685"/>
        <v>502650</v>
      </c>
      <c r="CD187" s="401" t="str">
        <f t="shared" ca="1" si="651"/>
        <v/>
      </c>
      <c r="CE187" s="398">
        <f t="shared" ca="1" si="686"/>
        <v>1024</v>
      </c>
      <c r="CF187" s="400">
        <f ca="1">IF(MAX(IF($E$6="No",ROUNDUP($E$3/$I187,0),ROUNDUP(($E$3+$I187)/$I187,0)),IF($E$6="No",ROUNDUP($E$4/$G187,0),ROUNDUP(($E$4+$G187)/$G187,0)),ROUNDUP('BVMS checklist'!$H$217/$J187,0))&gt;1,'BVMS checklist'!$N$224,'BVMS checklist'!$N$217)+MAX(IF($E$6="No",ROUNDUP($E$3/$I187,0),ROUNDUP(($E$3+$I187)/$I187,0)),IF($E$6="No",ROUNDUP($E$4/$G187,0),ROUNDUP(($E$4+$G187)/$G187,0)))+$E$5</f>
        <v>1</v>
      </c>
      <c r="CG187" s="400" t="b">
        <f t="shared" ca="1" si="632"/>
        <v>1</v>
      </c>
      <c r="CH187" s="400" t="str">
        <f t="shared" ca="1" si="687"/>
        <v>Accepted</v>
      </c>
      <c r="CI187" s="398" t="str">
        <f t="shared" ca="1" si="659"/>
        <v>No</v>
      </c>
      <c r="CJ187" s="398" t="str">
        <f t="shared" ca="1" si="688"/>
        <v/>
      </c>
      <c r="CK187" s="398" t="str">
        <f t="shared" ca="1" si="652"/>
        <v/>
      </c>
      <c r="CL187" s="398">
        <f t="shared" ca="1" si="653"/>
        <v>6</v>
      </c>
      <c r="CM187" s="398">
        <f t="shared" ca="1" si="689"/>
        <v>2</v>
      </c>
      <c r="CN187" s="398">
        <f t="shared" ca="1" si="690"/>
        <v>576</v>
      </c>
      <c r="CO187" s="398">
        <f t="shared" ca="1" si="691"/>
        <v>502650</v>
      </c>
      <c r="CP187" s="399">
        <f t="shared" si="698"/>
        <v>0</v>
      </c>
      <c r="CQ187" s="399">
        <f t="shared" si="699"/>
        <v>0</v>
      </c>
      <c r="CR187" s="483" t="str">
        <f t="shared" ca="1" si="654"/>
        <v/>
      </c>
      <c r="CS187"/>
    </row>
    <row r="188" spans="1:97">
      <c r="A188" s="398" t="s">
        <v>438</v>
      </c>
      <c r="B188" s="398" t="s">
        <v>987</v>
      </c>
      <c r="C188" s="440" t="s">
        <v>891</v>
      </c>
      <c r="D188" s="398">
        <v>5</v>
      </c>
      <c r="E188" s="398"/>
      <c r="F188" s="440">
        <v>0</v>
      </c>
      <c r="G188" s="398">
        <f>IF(C188="RAID5",(((15-F188)*5586))+(4*(((15-F188)*3723))),(((14-F188)*5586))+(4*(((14-F188)*3723))))</f>
        <v>307170</v>
      </c>
      <c r="H188" s="399">
        <v>352</v>
      </c>
      <c r="I188" s="399">
        <v>2675</v>
      </c>
      <c r="J188" s="399">
        <v>640</v>
      </c>
      <c r="K188" s="399"/>
      <c r="L188" s="399"/>
      <c r="M188" s="400">
        <f ca="1">IF(MAX(IF($B$6="No",ROUNDUP($B$3/$I188,0),ROUNDUP(($B$3+$I188)/$I188,0)),IF($B$6="No",ROUNDUP($B$4/$G188,0),ROUNDUP(($B$4+$G188)/$G188,0)),ROUNDUP('BVMS checklist'!$H$217/$J188,0))&gt;1,'BVMS checklist'!$H$224,'BVMS checklist'!$H$217)</f>
        <v>0</v>
      </c>
      <c r="N188" s="398">
        <f t="shared" ca="1" si="633"/>
        <v>2</v>
      </c>
      <c r="O188" s="400">
        <f t="shared" ca="1" si="660"/>
        <v>2</v>
      </c>
      <c r="P188" s="400">
        <f t="shared" ca="1" si="624"/>
        <v>5350</v>
      </c>
      <c r="Q188" s="400">
        <f t="shared" ca="1" si="625"/>
        <v>0</v>
      </c>
      <c r="R188" s="398">
        <f t="shared" ca="1" si="626"/>
        <v>614340</v>
      </c>
      <c r="S188" s="401" t="str">
        <f t="shared" ca="1" si="634"/>
        <v/>
      </c>
      <c r="T188" s="398">
        <f t="shared" ca="1" si="635"/>
        <v>1280</v>
      </c>
      <c r="U188" s="400">
        <f ca="1">IF(MAX(IF($B$6="No",ROUNDUP($B$3/$I188,0),ROUNDUP(($B$3+$I188)/$I188,0)),IF($B$6="No",ROUNDUP($B$4/$G188,0),ROUNDUP(($B$4+$G188)/$G188,0)),ROUNDUP('BVMS checklist'!$H$217/$J188,0))&gt;1,'BVMS checklist'!$H$224,'BVMS checklist'!$H$217)+MAX(IF($B$6="No",ROUNDUP($B$3/$I188,0),ROUNDUP(($B$3+$I188)/$I188,0)),IF($B$6="No",ROUNDUP($B$4/$G188,0),ROUNDUP(($B$4+$G188)/$G188,0)))+$B$5</f>
        <v>1</v>
      </c>
      <c r="V188" s="400" t="b">
        <f t="shared" ca="1" si="627"/>
        <v>1</v>
      </c>
      <c r="W188" s="400" t="str">
        <f t="shared" ca="1" si="661"/>
        <v>Accepted</v>
      </c>
      <c r="X188" s="398" t="str">
        <f t="shared" ca="1" si="636"/>
        <v>No</v>
      </c>
      <c r="Y188" s="398" t="str">
        <f t="shared" ca="1" si="637"/>
        <v/>
      </c>
      <c r="Z188" s="398" t="str">
        <f t="shared" ca="1" si="638"/>
        <v/>
      </c>
      <c r="AA188" s="398">
        <f t="shared" ca="1" si="662"/>
        <v>6</v>
      </c>
      <c r="AB188" s="398">
        <f t="shared" ca="1" si="628"/>
        <v>2</v>
      </c>
      <c r="AC188" s="398">
        <f t="shared" ca="1" si="629"/>
        <v>704</v>
      </c>
      <c r="AD188" s="398">
        <f t="shared" ca="1" si="663"/>
        <v>614340</v>
      </c>
      <c r="AE188" s="399">
        <f t="shared" si="692"/>
        <v>0</v>
      </c>
      <c r="AF188" s="399">
        <f t="shared" si="693"/>
        <v>0</v>
      </c>
      <c r="AG188" s="483" t="str">
        <f t="shared" ca="1" si="639"/>
        <v/>
      </c>
      <c r="AH188" s="400">
        <f ca="1">IF(MAX(IF($C$6="No",ROUNDUP($C$3/$I188,0),ROUNDUP(($C$3+$I188)/$I188,0)),IF($C$6="No",ROUNDUP($C$4/$G188,0),ROUNDUP(($C$4+$G188)/$G188,0)),ROUNDUP('BVMS checklist'!$H$217/$J188,0))&gt;1,'BVMS checklist'!$J$224,'BVMS checklist'!$J$217)</f>
        <v>0</v>
      </c>
      <c r="AI188" s="398">
        <f t="shared" ca="1" si="640"/>
        <v>2</v>
      </c>
      <c r="AJ188" s="400">
        <f t="shared" ca="1" si="664"/>
        <v>2</v>
      </c>
      <c r="AK188" s="400">
        <f t="shared" ca="1" si="665"/>
        <v>5350</v>
      </c>
      <c r="AL188" s="400">
        <f t="shared" ca="1" si="666"/>
        <v>0</v>
      </c>
      <c r="AM188" s="398">
        <f t="shared" ca="1" si="667"/>
        <v>614340</v>
      </c>
      <c r="AN188" s="401" t="str">
        <f t="shared" ca="1" si="641"/>
        <v/>
      </c>
      <c r="AO188" s="398">
        <f t="shared" ca="1" si="668"/>
        <v>1280</v>
      </c>
      <c r="AP188" s="400">
        <f ca="1">IF(MAX(IF($C$6="No",ROUNDUP($C$3/$I188,0),ROUNDUP(($C$3+$I188)/$I188,0)),IF($C$6="No",ROUNDUP($C$4/$G188,0),ROUNDUP(($C$4+$G188)/$G188,0)),ROUNDUP('BVMS checklist'!$H$217/$J188,0))&gt;1,'BVMS checklist'!$J$224,'BVMS checklist'!$J$217)+MAX(IF($C$6="No",ROUNDUP($C$3/$I188,0),ROUNDUP(($C$3+$I188)/$I188,0)),IF($C$6="No",ROUNDUP($C$4/$G188,0),ROUNDUP(($C$4+$G188)/$G188,0)))+$C$5</f>
        <v>1</v>
      </c>
      <c r="AQ188" s="400" t="b">
        <f t="shared" ca="1" si="630"/>
        <v>1</v>
      </c>
      <c r="AR188" s="400" t="str">
        <f t="shared" ca="1" si="669"/>
        <v>Accepted</v>
      </c>
      <c r="AS188" s="398" t="str">
        <f t="shared" ca="1" si="655"/>
        <v>No</v>
      </c>
      <c r="AT188" s="398" t="str">
        <f t="shared" ca="1" si="670"/>
        <v/>
      </c>
      <c r="AU188" s="398" t="str">
        <f t="shared" ca="1" si="642"/>
        <v/>
      </c>
      <c r="AV188" s="398">
        <f t="shared" ca="1" si="643"/>
        <v>6</v>
      </c>
      <c r="AW188" s="398">
        <f t="shared" ca="1" si="671"/>
        <v>2</v>
      </c>
      <c r="AX188" s="398">
        <f t="shared" ca="1" si="672"/>
        <v>704</v>
      </c>
      <c r="AY188" s="398">
        <f t="shared" ca="1" si="673"/>
        <v>614340</v>
      </c>
      <c r="AZ188" s="399">
        <f t="shared" si="694"/>
        <v>0</v>
      </c>
      <c r="BA188" s="399">
        <f t="shared" si="695"/>
        <v>0</v>
      </c>
      <c r="BB188" s="483" t="str">
        <f t="shared" ca="1" si="644"/>
        <v/>
      </c>
      <c r="BC188" s="400">
        <f ca="1">IF(MAX(IF($D$6="No",ROUNDUP($D$3/$I188,0),ROUNDUP(($D$3+$I188)/$I188,0)),IF($D$6="No",ROUNDUP($D$4/$G188,0),ROUNDUP(($D$4+$G188)/$G188,0)),ROUNDUP('BVMS checklist'!$H$217/$J188,0))&gt;1,'BVMS checklist'!$L$224,'BVMS checklist'!$L$217)</f>
        <v>0</v>
      </c>
      <c r="BD188" s="398">
        <f t="shared" ca="1" si="645"/>
        <v>2</v>
      </c>
      <c r="BE188" s="400">
        <f t="shared" si="674"/>
        <v>1</v>
      </c>
      <c r="BF188" s="400">
        <f t="shared" si="675"/>
        <v>2675</v>
      </c>
      <c r="BG188" s="400">
        <f t="shared" ca="1" si="656"/>
        <v>0</v>
      </c>
      <c r="BH188" s="398">
        <f t="shared" ca="1" si="676"/>
        <v>614340</v>
      </c>
      <c r="BI188" s="401" t="str">
        <f t="shared" ca="1" si="646"/>
        <v/>
      </c>
      <c r="BJ188" s="398">
        <f t="shared" ca="1" si="677"/>
        <v>1280</v>
      </c>
      <c r="BK188" s="400">
        <f ca="1">IF(MAX(IF($D$6="No",ROUNDUP($D$3/$I188,0),ROUNDUP(($D$3+$I188)/$I188,0)),IF($D$6="No",ROUNDUP($D$4/$G188,0),ROUNDUP(($D$4+$G188)/$G188,0)),ROUNDUP('BVMS checklist'!$H$217/$J188,0))&gt;1,'BVMS checklist'!$L$224,'BVMS checklist'!$L$217)+MAX(IF($D$6="No",ROUNDUP($D$3/$I188,0),ROUNDUP(($D$3+$I188)/$I188,0)),IF($D$6="No",ROUNDUP($D$4/$G188,0),ROUNDUP(($D$4+$G188)/$G188,0)))+$D$5</f>
        <v>1</v>
      </c>
      <c r="BL188" s="400" t="b">
        <f t="shared" ca="1" si="631"/>
        <v>1</v>
      </c>
      <c r="BM188" s="400" t="str">
        <f t="shared" ca="1" si="678"/>
        <v>Accepted</v>
      </c>
      <c r="BN188" s="398" t="str">
        <f t="shared" ca="1" si="657"/>
        <v>No</v>
      </c>
      <c r="BO188" s="398" t="str">
        <f t="shared" ca="1" si="679"/>
        <v/>
      </c>
      <c r="BP188" s="398" t="str">
        <f t="shared" ca="1" si="647"/>
        <v/>
      </c>
      <c r="BQ188" s="398">
        <f t="shared" ca="1" si="648"/>
        <v>6</v>
      </c>
      <c r="BR188" s="398">
        <f t="shared" ca="1" si="680"/>
        <v>2</v>
      </c>
      <c r="BS188" s="398">
        <f t="shared" ca="1" si="681"/>
        <v>704</v>
      </c>
      <c r="BT188" s="398">
        <f t="shared" ca="1" si="682"/>
        <v>614340</v>
      </c>
      <c r="BU188" s="399">
        <f t="shared" si="696"/>
        <v>0</v>
      </c>
      <c r="BV188" s="399">
        <f t="shared" si="697"/>
        <v>0</v>
      </c>
      <c r="BW188" s="483" t="str">
        <f t="shared" ca="1" si="649"/>
        <v/>
      </c>
      <c r="BX188" s="400">
        <f ca="1">IF(MAX(IF($E$6="No",ROUNDUP($E$3/$I188,0),ROUNDUP(($E$3+$I188)/$I188,0)),IF($E$6="No",ROUNDUP($E$4/$G188,0),ROUNDUP(($E$4+$G188)/$G188,0)),ROUNDUP('BVMS checklist'!$H$217/$J188,0))&gt;1,'BVMS checklist'!$N$224,'BVMS checklist'!$N$217)</f>
        <v>0</v>
      </c>
      <c r="BY188" s="398">
        <f t="shared" ca="1" si="650"/>
        <v>2</v>
      </c>
      <c r="BZ188" s="400">
        <f t="shared" ca="1" si="683"/>
        <v>2</v>
      </c>
      <c r="CA188" s="400">
        <f t="shared" ca="1" si="684"/>
        <v>5350</v>
      </c>
      <c r="CB188" s="400">
        <f t="shared" ca="1" si="658"/>
        <v>0</v>
      </c>
      <c r="CC188" s="398">
        <f t="shared" ca="1" si="685"/>
        <v>614340</v>
      </c>
      <c r="CD188" s="401" t="str">
        <f t="shared" ca="1" si="651"/>
        <v/>
      </c>
      <c r="CE188" s="398">
        <f t="shared" ca="1" si="686"/>
        <v>1280</v>
      </c>
      <c r="CF188" s="400">
        <f ca="1">IF(MAX(IF($E$6="No",ROUNDUP($E$3/$I188,0),ROUNDUP(($E$3+$I188)/$I188,0)),IF($E$6="No",ROUNDUP($E$4/$G188,0),ROUNDUP(($E$4+$G188)/$G188,0)),ROUNDUP('BVMS checklist'!$H$217/$J188,0))&gt;1,'BVMS checklist'!$N$224,'BVMS checklist'!$N$217)+MAX(IF($E$6="No",ROUNDUP($E$3/$I188,0),ROUNDUP(($E$3+$I188)/$I188,0)),IF($E$6="No",ROUNDUP($E$4/$G188,0),ROUNDUP(($E$4+$G188)/$G188,0)))+$E$5</f>
        <v>1</v>
      </c>
      <c r="CG188" s="400" t="b">
        <f t="shared" ca="1" si="632"/>
        <v>1</v>
      </c>
      <c r="CH188" s="400" t="str">
        <f t="shared" ca="1" si="687"/>
        <v>Accepted</v>
      </c>
      <c r="CI188" s="398" t="str">
        <f t="shared" ca="1" si="659"/>
        <v>No</v>
      </c>
      <c r="CJ188" s="398" t="str">
        <f t="shared" ca="1" si="688"/>
        <v/>
      </c>
      <c r="CK188" s="398" t="str">
        <f t="shared" ca="1" si="652"/>
        <v/>
      </c>
      <c r="CL188" s="398">
        <f t="shared" ca="1" si="653"/>
        <v>6</v>
      </c>
      <c r="CM188" s="398">
        <f t="shared" ca="1" si="689"/>
        <v>2</v>
      </c>
      <c r="CN188" s="398">
        <f t="shared" ca="1" si="690"/>
        <v>704</v>
      </c>
      <c r="CO188" s="398">
        <f t="shared" ca="1" si="691"/>
        <v>614340</v>
      </c>
      <c r="CP188" s="399">
        <f t="shared" si="698"/>
        <v>0</v>
      </c>
      <c r="CQ188" s="399">
        <f t="shared" si="699"/>
        <v>0</v>
      </c>
      <c r="CR188" s="483" t="str">
        <f t="shared" ca="1" si="654"/>
        <v/>
      </c>
      <c r="CS188"/>
    </row>
    <row r="189" spans="1:97">
      <c r="A189" s="398" t="s">
        <v>499</v>
      </c>
      <c r="B189" s="398" t="s">
        <v>987</v>
      </c>
      <c r="C189" s="440" t="s">
        <v>891</v>
      </c>
      <c r="D189" s="398">
        <v>2</v>
      </c>
      <c r="E189" s="398"/>
      <c r="F189" s="440">
        <v>0</v>
      </c>
      <c r="G189" s="398">
        <f>IF(C189="RAID5",(((15-F189)*5586))+(1*(((7-F189)*5586))),(((14-F189)*5586))+(1*(((6-F189)*5586))))</f>
        <v>122892</v>
      </c>
      <c r="H189" s="399">
        <v>144</v>
      </c>
      <c r="I189" s="399">
        <v>1025</v>
      </c>
      <c r="J189" s="399">
        <v>256</v>
      </c>
      <c r="K189" s="399"/>
      <c r="L189" s="399"/>
      <c r="M189" s="400">
        <f ca="1">IF(MAX(IF($B$6="No",ROUNDUP($B$3/$I189,0),ROUNDUP(($B$3+$I189)/$I189,0)),IF($B$6="No",ROUNDUP($B$4/$G189,0),ROUNDUP(($B$4+$G189)/$G189,0)),ROUNDUP('BVMS checklist'!$H$217/$J189,0))&gt;1,'BVMS checklist'!$H$224,'BVMS checklist'!$H$217)</f>
        <v>0</v>
      </c>
      <c r="N189" s="398">
        <f t="shared" ca="1" si="633"/>
        <v>2</v>
      </c>
      <c r="O189" s="400">
        <f t="shared" ca="1" si="660"/>
        <v>2</v>
      </c>
      <c r="P189" s="400">
        <f t="shared" ca="1" si="624"/>
        <v>2050</v>
      </c>
      <c r="Q189" s="400">
        <f t="shared" ca="1" si="625"/>
        <v>0</v>
      </c>
      <c r="R189" s="398">
        <f t="shared" ca="1" si="626"/>
        <v>245784</v>
      </c>
      <c r="S189" s="401" t="str">
        <f t="shared" ca="1" si="634"/>
        <v/>
      </c>
      <c r="T189" s="398">
        <f t="shared" ca="1" si="635"/>
        <v>512</v>
      </c>
      <c r="U189" s="400">
        <f ca="1">IF(MAX(IF($B$6="No",ROUNDUP($B$3/$I189,0),ROUNDUP(($B$3+$I189)/$I189,0)),IF($B$6="No",ROUNDUP($B$4/$G189,0),ROUNDUP(($B$4+$G189)/$G189,0)),ROUNDUP('BVMS checklist'!$H$217/$J189,0))&gt;1,'BVMS checklist'!$H$224,'BVMS checklist'!$H$217)+MAX(IF($B$6="No",ROUNDUP($B$3/$I189,0),ROUNDUP(($B$3+$I189)/$I189,0)),IF($B$6="No",ROUNDUP($B$4/$G189,0),ROUNDUP(($B$4+$G189)/$G189,0)))+$B$5</f>
        <v>1</v>
      </c>
      <c r="V189" s="400" t="b">
        <f t="shared" ca="1" si="627"/>
        <v>1</v>
      </c>
      <c r="W189" s="400" t="str">
        <f t="shared" ca="1" si="661"/>
        <v>Accepted</v>
      </c>
      <c r="X189" s="398" t="str">
        <f t="shared" ca="1" si="636"/>
        <v>No</v>
      </c>
      <c r="Y189" s="398" t="str">
        <f t="shared" ca="1" si="637"/>
        <v/>
      </c>
      <c r="Z189" s="398" t="str">
        <f t="shared" ca="1" si="638"/>
        <v/>
      </c>
      <c r="AA189" s="398">
        <f t="shared" ca="1" si="662"/>
        <v>6</v>
      </c>
      <c r="AB189" s="398">
        <f t="shared" ca="1" si="628"/>
        <v>2</v>
      </c>
      <c r="AC189" s="398">
        <f t="shared" ca="1" si="629"/>
        <v>288</v>
      </c>
      <c r="AD189" s="398">
        <f t="shared" ca="1" si="663"/>
        <v>245784</v>
      </c>
      <c r="AE189" s="399">
        <f t="shared" si="692"/>
        <v>0</v>
      </c>
      <c r="AF189" s="399">
        <f t="shared" si="693"/>
        <v>0</v>
      </c>
      <c r="AG189" s="483" t="str">
        <f t="shared" ca="1" si="639"/>
        <v/>
      </c>
      <c r="AH189" s="400">
        <f ca="1">IF(MAX(IF($C$6="No",ROUNDUP($C$3/$I189,0),ROUNDUP(($C$3+$I189)/$I189,0)),IF($C$6="No",ROUNDUP($C$4/$G189,0),ROUNDUP(($C$4+$G189)/$G189,0)),ROUNDUP('BVMS checklist'!$H$217/$J189,0))&gt;1,'BVMS checklist'!$J$224,'BVMS checklist'!$J$217)</f>
        <v>0</v>
      </c>
      <c r="AI189" s="398">
        <f t="shared" ca="1" si="640"/>
        <v>2</v>
      </c>
      <c r="AJ189" s="400">
        <f t="shared" ca="1" si="664"/>
        <v>2</v>
      </c>
      <c r="AK189" s="400">
        <f t="shared" ca="1" si="665"/>
        <v>2050</v>
      </c>
      <c r="AL189" s="400">
        <f t="shared" ca="1" si="666"/>
        <v>0</v>
      </c>
      <c r="AM189" s="398">
        <f t="shared" ca="1" si="667"/>
        <v>245784</v>
      </c>
      <c r="AN189" s="401" t="str">
        <f t="shared" ca="1" si="641"/>
        <v/>
      </c>
      <c r="AO189" s="398">
        <f t="shared" ca="1" si="668"/>
        <v>512</v>
      </c>
      <c r="AP189" s="400">
        <f ca="1">IF(MAX(IF($C$6="No",ROUNDUP($C$3/$I189,0),ROUNDUP(($C$3+$I189)/$I189,0)),IF($C$6="No",ROUNDUP($C$4/$G189,0),ROUNDUP(($C$4+$G189)/$G189,0)),ROUNDUP('BVMS checklist'!$H$217/$J189,0))&gt;1,'BVMS checklist'!$J$224,'BVMS checklist'!$J$217)+MAX(IF($C$6="No",ROUNDUP($C$3/$I189,0),ROUNDUP(($C$3+$I189)/$I189,0)),IF($C$6="No",ROUNDUP($C$4/$G189,0),ROUNDUP(($C$4+$G189)/$G189,0)))+$C$5</f>
        <v>1</v>
      </c>
      <c r="AQ189" s="400" t="b">
        <f t="shared" ca="1" si="630"/>
        <v>1</v>
      </c>
      <c r="AR189" s="400" t="str">
        <f t="shared" ca="1" si="669"/>
        <v>Accepted</v>
      </c>
      <c r="AS189" s="398" t="str">
        <f t="shared" ca="1" si="655"/>
        <v>No</v>
      </c>
      <c r="AT189" s="398" t="str">
        <f t="shared" ca="1" si="670"/>
        <v/>
      </c>
      <c r="AU189" s="398" t="str">
        <f t="shared" ca="1" si="642"/>
        <v/>
      </c>
      <c r="AV189" s="398">
        <f t="shared" ca="1" si="643"/>
        <v>6</v>
      </c>
      <c r="AW189" s="398">
        <f t="shared" ca="1" si="671"/>
        <v>2</v>
      </c>
      <c r="AX189" s="398">
        <f t="shared" ca="1" si="672"/>
        <v>288</v>
      </c>
      <c r="AY189" s="398">
        <f t="shared" ca="1" si="673"/>
        <v>245784</v>
      </c>
      <c r="AZ189" s="399">
        <f t="shared" si="694"/>
        <v>0</v>
      </c>
      <c r="BA189" s="399">
        <f t="shared" si="695"/>
        <v>0</v>
      </c>
      <c r="BB189" s="483" t="str">
        <f t="shared" ca="1" si="644"/>
        <v/>
      </c>
      <c r="BC189" s="400">
        <f ca="1">IF(MAX(IF($D$6="No",ROUNDUP($D$3/$I189,0),ROUNDUP(($D$3+$I189)/$I189,0)),IF($D$6="No",ROUNDUP($D$4/$G189,0),ROUNDUP(($D$4+$G189)/$G189,0)),ROUNDUP('BVMS checklist'!$H$217/$J189,0))&gt;1,'BVMS checklist'!$L$224,'BVMS checklist'!$L$217)</f>
        <v>0</v>
      </c>
      <c r="BD189" s="398">
        <f t="shared" ca="1" si="645"/>
        <v>2</v>
      </c>
      <c r="BE189" s="400">
        <f t="shared" si="674"/>
        <v>1</v>
      </c>
      <c r="BF189" s="400">
        <f t="shared" si="675"/>
        <v>1025</v>
      </c>
      <c r="BG189" s="400">
        <f t="shared" ca="1" si="656"/>
        <v>0</v>
      </c>
      <c r="BH189" s="398">
        <f t="shared" ca="1" si="676"/>
        <v>245784</v>
      </c>
      <c r="BI189" s="401" t="str">
        <f t="shared" ca="1" si="646"/>
        <v/>
      </c>
      <c r="BJ189" s="398">
        <f t="shared" ca="1" si="677"/>
        <v>512</v>
      </c>
      <c r="BK189" s="400">
        <f ca="1">IF(MAX(IF($D$6="No",ROUNDUP($D$3/$I189,0),ROUNDUP(($D$3+$I189)/$I189,0)),IF($D$6="No",ROUNDUP($D$4/$G189,0),ROUNDUP(($D$4+$G189)/$G189,0)),ROUNDUP('BVMS checklist'!$H$217/$J189,0))&gt;1,'BVMS checklist'!$L$224,'BVMS checklist'!$L$217)+MAX(IF($D$6="No",ROUNDUP($D$3/$I189,0),ROUNDUP(($D$3+$I189)/$I189,0)),IF($D$6="No",ROUNDUP($D$4/$G189,0),ROUNDUP(($D$4+$G189)/$G189,0)))+$D$5</f>
        <v>1</v>
      </c>
      <c r="BL189" s="400" t="b">
        <f t="shared" ca="1" si="631"/>
        <v>1</v>
      </c>
      <c r="BM189" s="400" t="str">
        <f t="shared" ca="1" si="678"/>
        <v>Accepted</v>
      </c>
      <c r="BN189" s="398" t="str">
        <f t="shared" ca="1" si="657"/>
        <v>No</v>
      </c>
      <c r="BO189" s="398" t="str">
        <f t="shared" ca="1" si="679"/>
        <v/>
      </c>
      <c r="BP189" s="398" t="str">
        <f t="shared" ca="1" si="647"/>
        <v/>
      </c>
      <c r="BQ189" s="398">
        <f t="shared" ca="1" si="648"/>
        <v>6</v>
      </c>
      <c r="BR189" s="398">
        <f t="shared" ca="1" si="680"/>
        <v>2</v>
      </c>
      <c r="BS189" s="398">
        <f t="shared" ca="1" si="681"/>
        <v>288</v>
      </c>
      <c r="BT189" s="398">
        <f t="shared" ca="1" si="682"/>
        <v>245784</v>
      </c>
      <c r="BU189" s="399">
        <f t="shared" si="696"/>
        <v>0</v>
      </c>
      <c r="BV189" s="399">
        <f t="shared" si="697"/>
        <v>0</v>
      </c>
      <c r="BW189" s="483" t="str">
        <f t="shared" ca="1" si="649"/>
        <v/>
      </c>
      <c r="BX189" s="400">
        <f ca="1">IF(MAX(IF($E$6="No",ROUNDUP($E$3/$I189,0),ROUNDUP(($E$3+$I189)/$I189,0)),IF($E$6="No",ROUNDUP($E$4/$G189,0),ROUNDUP(($E$4+$G189)/$G189,0)),ROUNDUP('BVMS checklist'!$H$217/$J189,0))&gt;1,'BVMS checklist'!$N$224,'BVMS checklist'!$N$217)</f>
        <v>0</v>
      </c>
      <c r="BY189" s="398">
        <f t="shared" ca="1" si="650"/>
        <v>2</v>
      </c>
      <c r="BZ189" s="400">
        <f t="shared" ca="1" si="683"/>
        <v>2</v>
      </c>
      <c r="CA189" s="400">
        <f t="shared" ca="1" si="684"/>
        <v>2050</v>
      </c>
      <c r="CB189" s="400">
        <f t="shared" ca="1" si="658"/>
        <v>0</v>
      </c>
      <c r="CC189" s="398">
        <f t="shared" ca="1" si="685"/>
        <v>245784</v>
      </c>
      <c r="CD189" s="401" t="str">
        <f t="shared" ca="1" si="651"/>
        <v/>
      </c>
      <c r="CE189" s="398">
        <f t="shared" ca="1" si="686"/>
        <v>512</v>
      </c>
      <c r="CF189" s="400">
        <f ca="1">IF(MAX(IF($E$6="No",ROUNDUP($E$3/$I189,0),ROUNDUP(($E$3+$I189)/$I189,0)),IF($E$6="No",ROUNDUP($E$4/$G189,0),ROUNDUP(($E$4+$G189)/$G189,0)),ROUNDUP('BVMS checklist'!$H$217/$J189,0))&gt;1,'BVMS checklist'!$N$224,'BVMS checklist'!$N$217)+MAX(IF($E$6="No",ROUNDUP($E$3/$I189,0),ROUNDUP(($E$3+$I189)/$I189,0)),IF($E$6="No",ROUNDUP($E$4/$G189,0),ROUNDUP(($E$4+$G189)/$G189,0)))+$E$5</f>
        <v>1</v>
      </c>
      <c r="CG189" s="400" t="b">
        <f t="shared" ca="1" si="632"/>
        <v>1</v>
      </c>
      <c r="CH189" s="400" t="str">
        <f t="shared" ca="1" si="687"/>
        <v>Accepted</v>
      </c>
      <c r="CI189" s="398" t="str">
        <f t="shared" ca="1" si="659"/>
        <v>No</v>
      </c>
      <c r="CJ189" s="398" t="str">
        <f t="shared" ca="1" si="688"/>
        <v/>
      </c>
      <c r="CK189" s="398" t="str">
        <f t="shared" ca="1" si="652"/>
        <v/>
      </c>
      <c r="CL189" s="398">
        <f t="shared" ca="1" si="653"/>
        <v>6</v>
      </c>
      <c r="CM189" s="398">
        <f t="shared" ca="1" si="689"/>
        <v>2</v>
      </c>
      <c r="CN189" s="398">
        <f t="shared" ca="1" si="690"/>
        <v>288</v>
      </c>
      <c r="CO189" s="398">
        <f t="shared" ca="1" si="691"/>
        <v>245784</v>
      </c>
      <c r="CP189" s="399">
        <f t="shared" si="698"/>
        <v>0</v>
      </c>
      <c r="CQ189" s="399">
        <f t="shared" si="699"/>
        <v>0</v>
      </c>
      <c r="CR189" s="483" t="str">
        <f t="shared" ca="1" si="654"/>
        <v/>
      </c>
      <c r="CS189"/>
    </row>
    <row r="190" spans="1:97">
      <c r="A190" s="398" t="s">
        <v>500</v>
      </c>
      <c r="B190" s="398" t="s">
        <v>987</v>
      </c>
      <c r="C190" s="440" t="s">
        <v>891</v>
      </c>
      <c r="D190" s="398">
        <v>3</v>
      </c>
      <c r="E190" s="398"/>
      <c r="F190" s="440">
        <v>0</v>
      </c>
      <c r="G190" s="398">
        <f>IF(C190="RAID5",(((15-F190)*5586))+(2*(((7-F190)*5586))),(((14-F190)*5586))+(2*(((6-F190)*5586))))</f>
        <v>161994</v>
      </c>
      <c r="H190" s="399">
        <v>192</v>
      </c>
      <c r="I190" s="399">
        <v>1575</v>
      </c>
      <c r="J190" s="399">
        <v>384</v>
      </c>
      <c r="K190" s="399"/>
      <c r="L190" s="399"/>
      <c r="M190" s="400">
        <f ca="1">IF(MAX(IF($B$6="No",ROUNDUP($B$3/$I190,0),ROUNDUP(($B$3+$I190)/$I190,0)),IF($B$6="No",ROUNDUP($B$4/$G190,0),ROUNDUP(($B$4+$G190)/$G190,0)),ROUNDUP('BVMS checklist'!$H$217/$J190,0))&gt;1,'BVMS checklist'!$H$224,'BVMS checklist'!$H$217)</f>
        <v>0</v>
      </c>
      <c r="N190" s="398">
        <f t="shared" ca="1" si="633"/>
        <v>2</v>
      </c>
      <c r="O190" s="400">
        <f t="shared" ca="1" si="660"/>
        <v>2</v>
      </c>
      <c r="P190" s="400">
        <f t="shared" ca="1" si="624"/>
        <v>3150</v>
      </c>
      <c r="Q190" s="400">
        <f t="shared" ca="1" si="625"/>
        <v>0</v>
      </c>
      <c r="R190" s="398">
        <f t="shared" ca="1" si="626"/>
        <v>323988</v>
      </c>
      <c r="S190" s="401" t="str">
        <f t="shared" ca="1" si="634"/>
        <v/>
      </c>
      <c r="T190" s="398">
        <f t="shared" ca="1" si="635"/>
        <v>768</v>
      </c>
      <c r="U190" s="400">
        <f ca="1">IF(MAX(IF($B$6="No",ROUNDUP($B$3/$I190,0),ROUNDUP(($B$3+$I190)/$I190,0)),IF($B$6="No",ROUNDUP($B$4/$G190,0),ROUNDUP(($B$4+$G190)/$G190,0)),ROUNDUP('BVMS checklist'!$H$217/$J190,0))&gt;1,'BVMS checklist'!$H$224,'BVMS checklist'!$H$217)+MAX(IF($B$6="No",ROUNDUP($B$3/$I190,0),ROUNDUP(($B$3+$I190)/$I190,0)),IF($B$6="No",ROUNDUP($B$4/$G190,0),ROUNDUP(($B$4+$G190)/$G190,0)))+$B$5</f>
        <v>1</v>
      </c>
      <c r="V190" s="400" t="b">
        <f t="shared" ca="1" si="627"/>
        <v>1</v>
      </c>
      <c r="W190" s="400" t="str">
        <f t="shared" ca="1" si="661"/>
        <v>Accepted</v>
      </c>
      <c r="X190" s="398" t="str">
        <f t="shared" ca="1" si="636"/>
        <v>No</v>
      </c>
      <c r="Y190" s="398" t="str">
        <f t="shared" ca="1" si="637"/>
        <v/>
      </c>
      <c r="Z190" s="398" t="str">
        <f t="shared" ca="1" si="638"/>
        <v/>
      </c>
      <c r="AA190" s="398">
        <f t="shared" ca="1" si="662"/>
        <v>6</v>
      </c>
      <c r="AB190" s="398">
        <f t="shared" ca="1" si="628"/>
        <v>2</v>
      </c>
      <c r="AC190" s="398">
        <f t="shared" ca="1" si="629"/>
        <v>384</v>
      </c>
      <c r="AD190" s="398">
        <f t="shared" ca="1" si="663"/>
        <v>323988</v>
      </c>
      <c r="AE190" s="399">
        <f t="shared" si="692"/>
        <v>0</v>
      </c>
      <c r="AF190" s="399">
        <f t="shared" si="693"/>
        <v>0</v>
      </c>
      <c r="AG190" s="483" t="str">
        <f t="shared" ca="1" si="639"/>
        <v/>
      </c>
      <c r="AH190" s="400">
        <f ca="1">IF(MAX(IF($C$6="No",ROUNDUP($C$3/$I190,0),ROUNDUP(($C$3+$I190)/$I190,0)),IF($C$6="No",ROUNDUP($C$4/$G190,0),ROUNDUP(($C$4+$G190)/$G190,0)),ROUNDUP('BVMS checklist'!$H$217/$J190,0))&gt;1,'BVMS checklist'!$J$224,'BVMS checklist'!$J$217)</f>
        <v>0</v>
      </c>
      <c r="AI190" s="398">
        <f t="shared" ca="1" si="640"/>
        <v>2</v>
      </c>
      <c r="AJ190" s="400">
        <f t="shared" ca="1" si="664"/>
        <v>2</v>
      </c>
      <c r="AK190" s="400">
        <f t="shared" ca="1" si="665"/>
        <v>3150</v>
      </c>
      <c r="AL190" s="400">
        <f t="shared" ca="1" si="666"/>
        <v>0</v>
      </c>
      <c r="AM190" s="398">
        <f t="shared" ca="1" si="667"/>
        <v>323988</v>
      </c>
      <c r="AN190" s="401" t="str">
        <f t="shared" ca="1" si="641"/>
        <v/>
      </c>
      <c r="AO190" s="398">
        <f t="shared" ca="1" si="668"/>
        <v>768</v>
      </c>
      <c r="AP190" s="400">
        <f ca="1">IF(MAX(IF($C$6="No",ROUNDUP($C$3/$I190,0),ROUNDUP(($C$3+$I190)/$I190,0)),IF($C$6="No",ROUNDUP($C$4/$G190,0),ROUNDUP(($C$4+$G190)/$G190,0)),ROUNDUP('BVMS checklist'!$H$217/$J190,0))&gt;1,'BVMS checklist'!$J$224,'BVMS checklist'!$J$217)+MAX(IF($C$6="No",ROUNDUP($C$3/$I190,0),ROUNDUP(($C$3+$I190)/$I190,0)),IF($C$6="No",ROUNDUP($C$4/$G190,0),ROUNDUP(($C$4+$G190)/$G190,0)))+$C$5</f>
        <v>1</v>
      </c>
      <c r="AQ190" s="400" t="b">
        <f t="shared" ca="1" si="630"/>
        <v>1</v>
      </c>
      <c r="AR190" s="400" t="str">
        <f t="shared" ca="1" si="669"/>
        <v>Accepted</v>
      </c>
      <c r="AS190" s="398" t="str">
        <f t="shared" ca="1" si="655"/>
        <v>No</v>
      </c>
      <c r="AT190" s="398" t="str">
        <f t="shared" ca="1" si="670"/>
        <v/>
      </c>
      <c r="AU190" s="398" t="str">
        <f t="shared" ca="1" si="642"/>
        <v/>
      </c>
      <c r="AV190" s="398">
        <f t="shared" ca="1" si="643"/>
        <v>6</v>
      </c>
      <c r="AW190" s="398">
        <f t="shared" ca="1" si="671"/>
        <v>2</v>
      </c>
      <c r="AX190" s="398">
        <f t="shared" ca="1" si="672"/>
        <v>384</v>
      </c>
      <c r="AY190" s="398">
        <f t="shared" ca="1" si="673"/>
        <v>323988</v>
      </c>
      <c r="AZ190" s="399">
        <f t="shared" si="694"/>
        <v>0</v>
      </c>
      <c r="BA190" s="399">
        <f t="shared" si="695"/>
        <v>0</v>
      </c>
      <c r="BB190" s="483" t="str">
        <f t="shared" ca="1" si="644"/>
        <v/>
      </c>
      <c r="BC190" s="400">
        <f ca="1">IF(MAX(IF($D$6="No",ROUNDUP($D$3/$I190,0),ROUNDUP(($D$3+$I190)/$I190,0)),IF($D$6="No",ROUNDUP($D$4/$G190,0),ROUNDUP(($D$4+$G190)/$G190,0)),ROUNDUP('BVMS checklist'!$H$217/$J190,0))&gt;1,'BVMS checklist'!$L$224,'BVMS checklist'!$L$217)</f>
        <v>0</v>
      </c>
      <c r="BD190" s="398">
        <f t="shared" ca="1" si="645"/>
        <v>2</v>
      </c>
      <c r="BE190" s="400">
        <f t="shared" si="674"/>
        <v>1</v>
      </c>
      <c r="BF190" s="400">
        <f t="shared" si="675"/>
        <v>1575</v>
      </c>
      <c r="BG190" s="400">
        <f t="shared" ca="1" si="656"/>
        <v>0</v>
      </c>
      <c r="BH190" s="398">
        <f t="shared" ca="1" si="676"/>
        <v>323988</v>
      </c>
      <c r="BI190" s="401" t="str">
        <f t="shared" ca="1" si="646"/>
        <v/>
      </c>
      <c r="BJ190" s="398">
        <f t="shared" ca="1" si="677"/>
        <v>768</v>
      </c>
      <c r="BK190" s="400">
        <f ca="1">IF(MAX(IF($D$6="No",ROUNDUP($D$3/$I190,0),ROUNDUP(($D$3+$I190)/$I190,0)),IF($D$6="No",ROUNDUP($D$4/$G190,0),ROUNDUP(($D$4+$G190)/$G190,0)),ROUNDUP('BVMS checklist'!$H$217/$J190,0))&gt;1,'BVMS checklist'!$L$224,'BVMS checklist'!$L$217)+MAX(IF($D$6="No",ROUNDUP($D$3/$I190,0),ROUNDUP(($D$3+$I190)/$I190,0)),IF($D$6="No",ROUNDUP($D$4/$G190,0),ROUNDUP(($D$4+$G190)/$G190,0)))+$D$5</f>
        <v>1</v>
      </c>
      <c r="BL190" s="400" t="b">
        <f t="shared" ca="1" si="631"/>
        <v>1</v>
      </c>
      <c r="BM190" s="400" t="str">
        <f t="shared" ca="1" si="678"/>
        <v>Accepted</v>
      </c>
      <c r="BN190" s="398" t="str">
        <f t="shared" ca="1" si="657"/>
        <v>No</v>
      </c>
      <c r="BO190" s="398" t="str">
        <f t="shared" ca="1" si="679"/>
        <v/>
      </c>
      <c r="BP190" s="398" t="str">
        <f t="shared" ca="1" si="647"/>
        <v/>
      </c>
      <c r="BQ190" s="398">
        <f t="shared" ca="1" si="648"/>
        <v>6</v>
      </c>
      <c r="BR190" s="398">
        <f t="shared" ca="1" si="680"/>
        <v>2</v>
      </c>
      <c r="BS190" s="398">
        <f t="shared" ca="1" si="681"/>
        <v>384</v>
      </c>
      <c r="BT190" s="398">
        <f t="shared" ca="1" si="682"/>
        <v>323988</v>
      </c>
      <c r="BU190" s="399">
        <f t="shared" si="696"/>
        <v>0</v>
      </c>
      <c r="BV190" s="399">
        <f t="shared" si="697"/>
        <v>0</v>
      </c>
      <c r="BW190" s="483" t="str">
        <f t="shared" ca="1" si="649"/>
        <v/>
      </c>
      <c r="BX190" s="400">
        <f ca="1">IF(MAX(IF($E$6="No",ROUNDUP($E$3/$I190,0),ROUNDUP(($E$3+$I190)/$I190,0)),IF($E$6="No",ROUNDUP($E$4/$G190,0),ROUNDUP(($E$4+$G190)/$G190,0)),ROUNDUP('BVMS checklist'!$H$217/$J190,0))&gt;1,'BVMS checklist'!$N$224,'BVMS checklist'!$N$217)</f>
        <v>0</v>
      </c>
      <c r="BY190" s="398">
        <f t="shared" ca="1" si="650"/>
        <v>2</v>
      </c>
      <c r="BZ190" s="400">
        <f t="shared" ca="1" si="683"/>
        <v>2</v>
      </c>
      <c r="CA190" s="400">
        <f t="shared" ca="1" si="684"/>
        <v>3150</v>
      </c>
      <c r="CB190" s="400">
        <f t="shared" ca="1" si="658"/>
        <v>0</v>
      </c>
      <c r="CC190" s="398">
        <f t="shared" ca="1" si="685"/>
        <v>323988</v>
      </c>
      <c r="CD190" s="401" t="str">
        <f t="shared" ca="1" si="651"/>
        <v/>
      </c>
      <c r="CE190" s="398">
        <f t="shared" ca="1" si="686"/>
        <v>768</v>
      </c>
      <c r="CF190" s="400">
        <f ca="1">IF(MAX(IF($E$6="No",ROUNDUP($E$3/$I190,0),ROUNDUP(($E$3+$I190)/$I190,0)),IF($E$6="No",ROUNDUP($E$4/$G190,0),ROUNDUP(($E$4+$G190)/$G190,0)),ROUNDUP('BVMS checklist'!$H$217/$J190,0))&gt;1,'BVMS checklist'!$N$224,'BVMS checklist'!$N$217)+MAX(IF($E$6="No",ROUNDUP($E$3/$I190,0),ROUNDUP(($E$3+$I190)/$I190,0)),IF($E$6="No",ROUNDUP($E$4/$G190,0),ROUNDUP(($E$4+$G190)/$G190,0)))+$E$5</f>
        <v>1</v>
      </c>
      <c r="CG190" s="400" t="b">
        <f t="shared" ca="1" si="632"/>
        <v>1</v>
      </c>
      <c r="CH190" s="400" t="str">
        <f t="shared" ca="1" si="687"/>
        <v>Accepted</v>
      </c>
      <c r="CI190" s="398" t="str">
        <f t="shared" ca="1" si="659"/>
        <v>No</v>
      </c>
      <c r="CJ190" s="398" t="str">
        <f t="shared" ca="1" si="688"/>
        <v/>
      </c>
      <c r="CK190" s="398" t="str">
        <f t="shared" ca="1" si="652"/>
        <v/>
      </c>
      <c r="CL190" s="398">
        <f t="shared" ca="1" si="653"/>
        <v>6</v>
      </c>
      <c r="CM190" s="398">
        <f t="shared" ca="1" si="689"/>
        <v>2</v>
      </c>
      <c r="CN190" s="398">
        <f t="shared" ca="1" si="690"/>
        <v>384</v>
      </c>
      <c r="CO190" s="398">
        <f t="shared" ca="1" si="691"/>
        <v>323988</v>
      </c>
      <c r="CP190" s="399">
        <f t="shared" si="698"/>
        <v>0</v>
      </c>
      <c r="CQ190" s="399">
        <f t="shared" si="699"/>
        <v>0</v>
      </c>
      <c r="CR190" s="483" t="str">
        <f t="shared" ca="1" si="654"/>
        <v/>
      </c>
      <c r="CS190"/>
    </row>
    <row r="191" spans="1:97">
      <c r="A191" s="398" t="s">
        <v>501</v>
      </c>
      <c r="B191" s="398" t="s">
        <v>987</v>
      </c>
      <c r="C191" s="440" t="s">
        <v>891</v>
      </c>
      <c r="D191" s="398">
        <v>4</v>
      </c>
      <c r="E191" s="398"/>
      <c r="F191" s="440">
        <v>0</v>
      </c>
      <c r="G191" s="398">
        <f>IF(C191="RAID5",(((15-F191)*5586))+(3*(((7-F191)*5586))),(((14-F191)*5586))+(3*(((6-F191)*5586))))</f>
        <v>201096</v>
      </c>
      <c r="H191" s="399">
        <v>240</v>
      </c>
      <c r="I191" s="399">
        <v>2125</v>
      </c>
      <c r="J191" s="399">
        <v>512</v>
      </c>
      <c r="K191" s="399"/>
      <c r="L191" s="399"/>
      <c r="M191" s="400">
        <f ca="1">IF(MAX(IF($B$6="No",ROUNDUP($B$3/$I191,0),ROUNDUP(($B$3+$I191)/$I191,0)),IF($B$6="No",ROUNDUP($B$4/$G191,0),ROUNDUP(($B$4+$G191)/$G191,0)),ROUNDUP('BVMS checklist'!$H$217/$J191,0))&gt;1,'BVMS checklist'!$H$224,'BVMS checklist'!$H$217)</f>
        <v>0</v>
      </c>
      <c r="N191" s="398">
        <f t="shared" ca="1" si="633"/>
        <v>2</v>
      </c>
      <c r="O191" s="400">
        <f t="shared" ca="1" si="660"/>
        <v>2</v>
      </c>
      <c r="P191" s="400">
        <f t="shared" ca="1" si="624"/>
        <v>4250</v>
      </c>
      <c r="Q191" s="400">
        <f t="shared" ca="1" si="625"/>
        <v>0</v>
      </c>
      <c r="R191" s="398">
        <f t="shared" ca="1" si="626"/>
        <v>402192</v>
      </c>
      <c r="S191" s="401" t="str">
        <f t="shared" ca="1" si="634"/>
        <v/>
      </c>
      <c r="T191" s="398">
        <f t="shared" ca="1" si="635"/>
        <v>1024</v>
      </c>
      <c r="U191" s="400">
        <f ca="1">IF(MAX(IF($B$6="No",ROUNDUP($B$3/$I191,0),ROUNDUP(($B$3+$I191)/$I191,0)),IF($B$6="No",ROUNDUP($B$4/$G191,0),ROUNDUP(($B$4+$G191)/$G191,0)),ROUNDUP('BVMS checklist'!$H$217/$J191,0))&gt;1,'BVMS checklist'!$H$224,'BVMS checklist'!$H$217)+MAX(IF($B$6="No",ROUNDUP($B$3/$I191,0),ROUNDUP(($B$3+$I191)/$I191,0)),IF($B$6="No",ROUNDUP($B$4/$G191,0),ROUNDUP(($B$4+$G191)/$G191,0)))+$B$5</f>
        <v>1</v>
      </c>
      <c r="V191" s="400" t="b">
        <f t="shared" ca="1" si="627"/>
        <v>1</v>
      </c>
      <c r="W191" s="400" t="str">
        <f t="shared" ca="1" si="661"/>
        <v>Accepted</v>
      </c>
      <c r="X191" s="398" t="str">
        <f t="shared" ca="1" si="636"/>
        <v>No</v>
      </c>
      <c r="Y191" s="398" t="str">
        <f t="shared" ca="1" si="637"/>
        <v/>
      </c>
      <c r="Z191" s="398" t="str">
        <f t="shared" ca="1" si="638"/>
        <v/>
      </c>
      <c r="AA191" s="398">
        <f t="shared" ca="1" si="662"/>
        <v>6</v>
      </c>
      <c r="AB191" s="398">
        <f t="shared" ca="1" si="628"/>
        <v>2</v>
      </c>
      <c r="AC191" s="398">
        <f t="shared" ca="1" si="629"/>
        <v>480</v>
      </c>
      <c r="AD191" s="398">
        <f t="shared" ca="1" si="663"/>
        <v>402192</v>
      </c>
      <c r="AE191" s="399">
        <f t="shared" si="692"/>
        <v>0</v>
      </c>
      <c r="AF191" s="399">
        <f t="shared" si="693"/>
        <v>0</v>
      </c>
      <c r="AG191" s="483" t="str">
        <f t="shared" ca="1" si="639"/>
        <v/>
      </c>
      <c r="AH191" s="400">
        <f ca="1">IF(MAX(IF($C$6="No",ROUNDUP($C$3/$I191,0),ROUNDUP(($C$3+$I191)/$I191,0)),IF($C$6="No",ROUNDUP($C$4/$G191,0),ROUNDUP(($C$4+$G191)/$G191,0)),ROUNDUP('BVMS checklist'!$H$217/$J191,0))&gt;1,'BVMS checklist'!$J$224,'BVMS checklist'!$J$217)</f>
        <v>0</v>
      </c>
      <c r="AI191" s="398">
        <f t="shared" ca="1" si="640"/>
        <v>2</v>
      </c>
      <c r="AJ191" s="400">
        <f t="shared" ca="1" si="664"/>
        <v>2</v>
      </c>
      <c r="AK191" s="400">
        <f t="shared" ca="1" si="665"/>
        <v>4250</v>
      </c>
      <c r="AL191" s="400">
        <f t="shared" ca="1" si="666"/>
        <v>0</v>
      </c>
      <c r="AM191" s="398">
        <f t="shared" ca="1" si="667"/>
        <v>402192</v>
      </c>
      <c r="AN191" s="401" t="str">
        <f t="shared" ca="1" si="641"/>
        <v/>
      </c>
      <c r="AO191" s="398">
        <f t="shared" ca="1" si="668"/>
        <v>1024</v>
      </c>
      <c r="AP191" s="400">
        <f ca="1">IF(MAX(IF($C$6="No",ROUNDUP($C$3/$I191,0),ROUNDUP(($C$3+$I191)/$I191,0)),IF($C$6="No",ROUNDUP($C$4/$G191,0),ROUNDUP(($C$4+$G191)/$G191,0)),ROUNDUP('BVMS checklist'!$H$217/$J191,0))&gt;1,'BVMS checklist'!$J$224,'BVMS checklist'!$J$217)+MAX(IF($C$6="No",ROUNDUP($C$3/$I191,0),ROUNDUP(($C$3+$I191)/$I191,0)),IF($C$6="No",ROUNDUP($C$4/$G191,0),ROUNDUP(($C$4+$G191)/$G191,0)))+$C$5</f>
        <v>1</v>
      </c>
      <c r="AQ191" s="400" t="b">
        <f t="shared" ca="1" si="630"/>
        <v>1</v>
      </c>
      <c r="AR191" s="400" t="str">
        <f t="shared" ca="1" si="669"/>
        <v>Accepted</v>
      </c>
      <c r="AS191" s="398" t="str">
        <f t="shared" ca="1" si="655"/>
        <v>No</v>
      </c>
      <c r="AT191" s="398" t="str">
        <f t="shared" ca="1" si="670"/>
        <v/>
      </c>
      <c r="AU191" s="398" t="str">
        <f t="shared" ca="1" si="642"/>
        <v/>
      </c>
      <c r="AV191" s="398">
        <f t="shared" ca="1" si="643"/>
        <v>6</v>
      </c>
      <c r="AW191" s="398">
        <f t="shared" ca="1" si="671"/>
        <v>2</v>
      </c>
      <c r="AX191" s="398">
        <f t="shared" ca="1" si="672"/>
        <v>480</v>
      </c>
      <c r="AY191" s="398">
        <f t="shared" ca="1" si="673"/>
        <v>402192</v>
      </c>
      <c r="AZ191" s="399">
        <f t="shared" si="694"/>
        <v>0</v>
      </c>
      <c r="BA191" s="399">
        <f t="shared" si="695"/>
        <v>0</v>
      </c>
      <c r="BB191" s="483" t="str">
        <f t="shared" ca="1" si="644"/>
        <v/>
      </c>
      <c r="BC191" s="400">
        <f ca="1">IF(MAX(IF($D$6="No",ROUNDUP($D$3/$I191,0),ROUNDUP(($D$3+$I191)/$I191,0)),IF($D$6="No",ROUNDUP($D$4/$G191,0),ROUNDUP(($D$4+$G191)/$G191,0)),ROUNDUP('BVMS checklist'!$H$217/$J191,0))&gt;1,'BVMS checklist'!$L$224,'BVMS checklist'!$L$217)</f>
        <v>0</v>
      </c>
      <c r="BD191" s="398">
        <f t="shared" ca="1" si="645"/>
        <v>2</v>
      </c>
      <c r="BE191" s="400">
        <f t="shared" si="674"/>
        <v>1</v>
      </c>
      <c r="BF191" s="400">
        <f t="shared" si="675"/>
        <v>2125</v>
      </c>
      <c r="BG191" s="400">
        <f t="shared" ca="1" si="656"/>
        <v>0</v>
      </c>
      <c r="BH191" s="398">
        <f t="shared" ca="1" si="676"/>
        <v>402192</v>
      </c>
      <c r="BI191" s="401" t="str">
        <f t="shared" ca="1" si="646"/>
        <v/>
      </c>
      <c r="BJ191" s="398">
        <f t="shared" ca="1" si="677"/>
        <v>1024</v>
      </c>
      <c r="BK191" s="400">
        <f ca="1">IF(MAX(IF($D$6="No",ROUNDUP($D$3/$I191,0),ROUNDUP(($D$3+$I191)/$I191,0)),IF($D$6="No",ROUNDUP($D$4/$G191,0),ROUNDUP(($D$4+$G191)/$G191,0)),ROUNDUP('BVMS checklist'!$H$217/$J191,0))&gt;1,'BVMS checklist'!$L$224,'BVMS checklist'!$L$217)+MAX(IF($D$6="No",ROUNDUP($D$3/$I191,0),ROUNDUP(($D$3+$I191)/$I191,0)),IF($D$6="No",ROUNDUP($D$4/$G191,0),ROUNDUP(($D$4+$G191)/$G191,0)))+$D$5</f>
        <v>1</v>
      </c>
      <c r="BL191" s="400" t="b">
        <f t="shared" ca="1" si="631"/>
        <v>1</v>
      </c>
      <c r="BM191" s="400" t="str">
        <f t="shared" ca="1" si="678"/>
        <v>Accepted</v>
      </c>
      <c r="BN191" s="398" t="str">
        <f t="shared" ca="1" si="657"/>
        <v>No</v>
      </c>
      <c r="BO191" s="398" t="str">
        <f t="shared" ca="1" si="679"/>
        <v/>
      </c>
      <c r="BP191" s="398" t="str">
        <f t="shared" ca="1" si="647"/>
        <v/>
      </c>
      <c r="BQ191" s="398">
        <f t="shared" ca="1" si="648"/>
        <v>6</v>
      </c>
      <c r="BR191" s="398">
        <f t="shared" ca="1" si="680"/>
        <v>2</v>
      </c>
      <c r="BS191" s="398">
        <f t="shared" ca="1" si="681"/>
        <v>480</v>
      </c>
      <c r="BT191" s="398">
        <f t="shared" ca="1" si="682"/>
        <v>402192</v>
      </c>
      <c r="BU191" s="399">
        <f t="shared" si="696"/>
        <v>0</v>
      </c>
      <c r="BV191" s="399">
        <f t="shared" si="697"/>
        <v>0</v>
      </c>
      <c r="BW191" s="483" t="str">
        <f t="shared" ca="1" si="649"/>
        <v/>
      </c>
      <c r="BX191" s="400">
        <f ca="1">IF(MAX(IF($E$6="No",ROUNDUP($E$3/$I191,0),ROUNDUP(($E$3+$I191)/$I191,0)),IF($E$6="No",ROUNDUP($E$4/$G191,0),ROUNDUP(($E$4+$G191)/$G191,0)),ROUNDUP('BVMS checklist'!$H$217/$J191,0))&gt;1,'BVMS checklist'!$N$224,'BVMS checklist'!$N$217)</f>
        <v>0</v>
      </c>
      <c r="BY191" s="398">
        <f t="shared" ca="1" si="650"/>
        <v>2</v>
      </c>
      <c r="BZ191" s="400">
        <f t="shared" ca="1" si="683"/>
        <v>2</v>
      </c>
      <c r="CA191" s="400">
        <f t="shared" ca="1" si="684"/>
        <v>4250</v>
      </c>
      <c r="CB191" s="400">
        <f t="shared" ca="1" si="658"/>
        <v>0</v>
      </c>
      <c r="CC191" s="398">
        <f t="shared" ca="1" si="685"/>
        <v>402192</v>
      </c>
      <c r="CD191" s="401" t="str">
        <f t="shared" ca="1" si="651"/>
        <v/>
      </c>
      <c r="CE191" s="398">
        <f t="shared" ca="1" si="686"/>
        <v>1024</v>
      </c>
      <c r="CF191" s="400">
        <f ca="1">IF(MAX(IF($E$6="No",ROUNDUP($E$3/$I191,0),ROUNDUP(($E$3+$I191)/$I191,0)),IF($E$6="No",ROUNDUP($E$4/$G191,0),ROUNDUP(($E$4+$G191)/$G191,0)),ROUNDUP('BVMS checklist'!$H$217/$J191,0))&gt;1,'BVMS checklist'!$N$224,'BVMS checklist'!$N$217)+MAX(IF($E$6="No",ROUNDUP($E$3/$I191,0),ROUNDUP(($E$3+$I191)/$I191,0)),IF($E$6="No",ROUNDUP($E$4/$G191,0),ROUNDUP(($E$4+$G191)/$G191,0)))+$E$5</f>
        <v>1</v>
      </c>
      <c r="CG191" s="400" t="b">
        <f t="shared" ca="1" si="632"/>
        <v>1</v>
      </c>
      <c r="CH191" s="400" t="str">
        <f t="shared" ca="1" si="687"/>
        <v>Accepted</v>
      </c>
      <c r="CI191" s="398" t="str">
        <f t="shared" ca="1" si="659"/>
        <v>No</v>
      </c>
      <c r="CJ191" s="398" t="str">
        <f t="shared" ca="1" si="688"/>
        <v/>
      </c>
      <c r="CK191" s="398" t="str">
        <f t="shared" ca="1" si="652"/>
        <v/>
      </c>
      <c r="CL191" s="398">
        <f t="shared" ca="1" si="653"/>
        <v>6</v>
      </c>
      <c r="CM191" s="398">
        <f t="shared" ca="1" si="689"/>
        <v>2</v>
      </c>
      <c r="CN191" s="398">
        <f t="shared" ca="1" si="690"/>
        <v>480</v>
      </c>
      <c r="CO191" s="398">
        <f t="shared" ca="1" si="691"/>
        <v>402192</v>
      </c>
      <c r="CP191" s="399">
        <f t="shared" si="698"/>
        <v>0</v>
      </c>
      <c r="CQ191" s="399">
        <f t="shared" si="699"/>
        <v>0</v>
      </c>
      <c r="CR191" s="483" t="str">
        <f t="shared" ca="1" si="654"/>
        <v/>
      </c>
      <c r="CS191"/>
    </row>
    <row r="192" spans="1:97">
      <c r="A192" s="398" t="s">
        <v>502</v>
      </c>
      <c r="B192" s="398" t="s">
        <v>987</v>
      </c>
      <c r="C192" s="440" t="s">
        <v>891</v>
      </c>
      <c r="D192" s="398">
        <v>5</v>
      </c>
      <c r="E192" s="398"/>
      <c r="F192" s="440">
        <v>0</v>
      </c>
      <c r="G192" s="398">
        <f>IF(C192="RAID5",(((15-F192)*5586))+(4*(((7-F192)*5586))),(((14-F192)*5586))+(4*(((6-F192)*5586))))</f>
        <v>240198</v>
      </c>
      <c r="H192" s="399">
        <v>288</v>
      </c>
      <c r="I192" s="399">
        <v>2675</v>
      </c>
      <c r="J192" s="399">
        <v>640</v>
      </c>
      <c r="K192" s="399"/>
      <c r="L192" s="399"/>
      <c r="M192" s="400">
        <f ca="1">IF(MAX(IF($B$6="No",ROUNDUP($B$3/$I192,0),ROUNDUP(($B$3+$I192)/$I192,0)),IF($B$6="No",ROUNDUP($B$4/$G192,0),ROUNDUP(($B$4+$G192)/$G192,0)),ROUNDUP('BVMS checklist'!$H$217/$J192,0))&gt;1,'BVMS checklist'!$H$224,'BVMS checklist'!$H$217)</f>
        <v>0</v>
      </c>
      <c r="N192" s="398">
        <f t="shared" ca="1" si="633"/>
        <v>2</v>
      </c>
      <c r="O192" s="400">
        <f t="shared" ca="1" si="660"/>
        <v>2</v>
      </c>
      <c r="P192" s="400">
        <f t="shared" ca="1" si="624"/>
        <v>5350</v>
      </c>
      <c r="Q192" s="400">
        <f t="shared" ca="1" si="625"/>
        <v>0</v>
      </c>
      <c r="R192" s="398">
        <f t="shared" ca="1" si="626"/>
        <v>480396</v>
      </c>
      <c r="S192" s="401" t="str">
        <f t="shared" ca="1" si="634"/>
        <v/>
      </c>
      <c r="T192" s="398">
        <f t="shared" ca="1" si="635"/>
        <v>1280</v>
      </c>
      <c r="U192" s="400">
        <f ca="1">IF(MAX(IF($B$6="No",ROUNDUP($B$3/$I192,0),ROUNDUP(($B$3+$I192)/$I192,0)),IF($B$6="No",ROUNDUP($B$4/$G192,0),ROUNDUP(($B$4+$G192)/$G192,0)),ROUNDUP('BVMS checklist'!$H$217/$J192,0))&gt;1,'BVMS checklist'!$H$224,'BVMS checklist'!$H$217)+MAX(IF($B$6="No",ROUNDUP($B$3/$I192,0),ROUNDUP(($B$3+$I192)/$I192,0)),IF($B$6="No",ROUNDUP($B$4/$G192,0),ROUNDUP(($B$4+$G192)/$G192,0)))+$B$5</f>
        <v>1</v>
      </c>
      <c r="V192" s="400" t="b">
        <f t="shared" ca="1" si="627"/>
        <v>1</v>
      </c>
      <c r="W192" s="400" t="str">
        <f t="shared" ca="1" si="661"/>
        <v>Accepted</v>
      </c>
      <c r="X192" s="398" t="str">
        <f t="shared" ca="1" si="636"/>
        <v>No</v>
      </c>
      <c r="Y192" s="398" t="str">
        <f t="shared" ca="1" si="637"/>
        <v/>
      </c>
      <c r="Z192" s="398" t="str">
        <f t="shared" ca="1" si="638"/>
        <v/>
      </c>
      <c r="AA192" s="398">
        <f t="shared" ca="1" si="662"/>
        <v>6</v>
      </c>
      <c r="AB192" s="398">
        <f t="shared" ca="1" si="628"/>
        <v>2</v>
      </c>
      <c r="AC192" s="398">
        <f t="shared" ca="1" si="629"/>
        <v>576</v>
      </c>
      <c r="AD192" s="398">
        <f t="shared" ca="1" si="663"/>
        <v>480396</v>
      </c>
      <c r="AE192" s="399">
        <f t="shared" si="692"/>
        <v>0</v>
      </c>
      <c r="AF192" s="399">
        <f t="shared" si="693"/>
        <v>0</v>
      </c>
      <c r="AG192" s="483" t="str">
        <f t="shared" ca="1" si="639"/>
        <v/>
      </c>
      <c r="AH192" s="400">
        <f ca="1">IF(MAX(IF($C$6="No",ROUNDUP($C$3/$I192,0),ROUNDUP(($C$3+$I192)/$I192,0)),IF($C$6="No",ROUNDUP($C$4/$G192,0),ROUNDUP(($C$4+$G192)/$G192,0)),ROUNDUP('BVMS checklist'!$H$217/$J192,0))&gt;1,'BVMS checklist'!$J$224,'BVMS checklist'!$J$217)</f>
        <v>0</v>
      </c>
      <c r="AI192" s="398">
        <f t="shared" ca="1" si="640"/>
        <v>2</v>
      </c>
      <c r="AJ192" s="400">
        <f t="shared" ca="1" si="664"/>
        <v>2</v>
      </c>
      <c r="AK192" s="400">
        <f t="shared" ca="1" si="665"/>
        <v>5350</v>
      </c>
      <c r="AL192" s="400">
        <f t="shared" ca="1" si="666"/>
        <v>0</v>
      </c>
      <c r="AM192" s="398">
        <f t="shared" ca="1" si="667"/>
        <v>480396</v>
      </c>
      <c r="AN192" s="401" t="str">
        <f t="shared" ca="1" si="641"/>
        <v/>
      </c>
      <c r="AO192" s="398">
        <f t="shared" ca="1" si="668"/>
        <v>1280</v>
      </c>
      <c r="AP192" s="400">
        <f ca="1">IF(MAX(IF($C$6="No",ROUNDUP($C$3/$I192,0),ROUNDUP(($C$3+$I192)/$I192,0)),IF($C$6="No",ROUNDUP($C$4/$G192,0),ROUNDUP(($C$4+$G192)/$G192,0)),ROUNDUP('BVMS checklist'!$H$217/$J192,0))&gt;1,'BVMS checklist'!$J$224,'BVMS checklist'!$J$217)+MAX(IF($C$6="No",ROUNDUP($C$3/$I192,0),ROUNDUP(($C$3+$I192)/$I192,0)),IF($C$6="No",ROUNDUP($C$4/$G192,0),ROUNDUP(($C$4+$G192)/$G192,0)))+$C$5</f>
        <v>1</v>
      </c>
      <c r="AQ192" s="400" t="b">
        <f t="shared" ca="1" si="630"/>
        <v>1</v>
      </c>
      <c r="AR192" s="400" t="str">
        <f t="shared" ca="1" si="669"/>
        <v>Accepted</v>
      </c>
      <c r="AS192" s="398" t="str">
        <f t="shared" ca="1" si="655"/>
        <v>No</v>
      </c>
      <c r="AT192" s="398" t="str">
        <f t="shared" ca="1" si="670"/>
        <v/>
      </c>
      <c r="AU192" s="398" t="str">
        <f t="shared" ca="1" si="642"/>
        <v/>
      </c>
      <c r="AV192" s="398">
        <f t="shared" ca="1" si="643"/>
        <v>6</v>
      </c>
      <c r="AW192" s="398">
        <f t="shared" ca="1" si="671"/>
        <v>2</v>
      </c>
      <c r="AX192" s="398">
        <f t="shared" ca="1" si="672"/>
        <v>576</v>
      </c>
      <c r="AY192" s="398">
        <f t="shared" ca="1" si="673"/>
        <v>480396</v>
      </c>
      <c r="AZ192" s="399">
        <f t="shared" si="694"/>
        <v>0</v>
      </c>
      <c r="BA192" s="399">
        <f t="shared" si="695"/>
        <v>0</v>
      </c>
      <c r="BB192" s="483" t="str">
        <f t="shared" ca="1" si="644"/>
        <v/>
      </c>
      <c r="BC192" s="400">
        <f ca="1">IF(MAX(IF($D$6="No",ROUNDUP($D$3/$I192,0),ROUNDUP(($D$3+$I192)/$I192,0)),IF($D$6="No",ROUNDUP($D$4/$G192,0),ROUNDUP(($D$4+$G192)/$G192,0)),ROUNDUP('BVMS checklist'!$H$217/$J192,0))&gt;1,'BVMS checklist'!$L$224,'BVMS checklist'!$L$217)</f>
        <v>0</v>
      </c>
      <c r="BD192" s="398">
        <f t="shared" ca="1" si="645"/>
        <v>2</v>
      </c>
      <c r="BE192" s="400">
        <f t="shared" si="674"/>
        <v>1</v>
      </c>
      <c r="BF192" s="400">
        <f t="shared" si="675"/>
        <v>2675</v>
      </c>
      <c r="BG192" s="400">
        <f t="shared" ca="1" si="656"/>
        <v>0</v>
      </c>
      <c r="BH192" s="398">
        <f t="shared" ca="1" si="676"/>
        <v>480396</v>
      </c>
      <c r="BI192" s="401" t="str">
        <f t="shared" ca="1" si="646"/>
        <v/>
      </c>
      <c r="BJ192" s="398">
        <f t="shared" ca="1" si="677"/>
        <v>1280</v>
      </c>
      <c r="BK192" s="400">
        <f ca="1">IF(MAX(IF($D$6="No",ROUNDUP($D$3/$I192,0),ROUNDUP(($D$3+$I192)/$I192,0)),IF($D$6="No",ROUNDUP($D$4/$G192,0),ROUNDUP(($D$4+$G192)/$G192,0)),ROUNDUP('BVMS checklist'!$H$217/$J192,0))&gt;1,'BVMS checklist'!$L$224,'BVMS checklist'!$L$217)+MAX(IF($D$6="No",ROUNDUP($D$3/$I192,0),ROUNDUP(($D$3+$I192)/$I192,0)),IF($D$6="No",ROUNDUP($D$4/$G192,0),ROUNDUP(($D$4+$G192)/$G192,0)))+$D$5</f>
        <v>1</v>
      </c>
      <c r="BL192" s="400" t="b">
        <f t="shared" ca="1" si="631"/>
        <v>1</v>
      </c>
      <c r="BM192" s="400" t="str">
        <f t="shared" ca="1" si="678"/>
        <v>Accepted</v>
      </c>
      <c r="BN192" s="398" t="str">
        <f t="shared" ca="1" si="657"/>
        <v>No</v>
      </c>
      <c r="BO192" s="398" t="str">
        <f t="shared" ca="1" si="679"/>
        <v/>
      </c>
      <c r="BP192" s="398" t="str">
        <f t="shared" ca="1" si="647"/>
        <v/>
      </c>
      <c r="BQ192" s="398">
        <f t="shared" ca="1" si="648"/>
        <v>6</v>
      </c>
      <c r="BR192" s="398">
        <f t="shared" ca="1" si="680"/>
        <v>2</v>
      </c>
      <c r="BS192" s="398">
        <f t="shared" ca="1" si="681"/>
        <v>576</v>
      </c>
      <c r="BT192" s="398">
        <f t="shared" ca="1" si="682"/>
        <v>480396</v>
      </c>
      <c r="BU192" s="399">
        <f t="shared" si="696"/>
        <v>0</v>
      </c>
      <c r="BV192" s="399">
        <f t="shared" si="697"/>
        <v>0</v>
      </c>
      <c r="BW192" s="483" t="str">
        <f t="shared" ca="1" si="649"/>
        <v/>
      </c>
      <c r="BX192" s="400">
        <f ca="1">IF(MAX(IF($E$6="No",ROUNDUP($E$3/$I192,0),ROUNDUP(($E$3+$I192)/$I192,0)),IF($E$6="No",ROUNDUP($E$4/$G192,0),ROUNDUP(($E$4+$G192)/$G192,0)),ROUNDUP('BVMS checklist'!$H$217/$J192,0))&gt;1,'BVMS checklist'!$N$224,'BVMS checklist'!$N$217)</f>
        <v>0</v>
      </c>
      <c r="BY192" s="398">
        <f t="shared" ca="1" si="650"/>
        <v>2</v>
      </c>
      <c r="BZ192" s="400">
        <f t="shared" ca="1" si="683"/>
        <v>2</v>
      </c>
      <c r="CA192" s="400">
        <f t="shared" ca="1" si="684"/>
        <v>5350</v>
      </c>
      <c r="CB192" s="400">
        <f t="shared" ca="1" si="658"/>
        <v>0</v>
      </c>
      <c r="CC192" s="398">
        <f t="shared" ca="1" si="685"/>
        <v>480396</v>
      </c>
      <c r="CD192" s="401" t="str">
        <f t="shared" ca="1" si="651"/>
        <v/>
      </c>
      <c r="CE192" s="398">
        <f t="shared" ca="1" si="686"/>
        <v>1280</v>
      </c>
      <c r="CF192" s="400">
        <f ca="1">IF(MAX(IF($E$6="No",ROUNDUP($E$3/$I192,0),ROUNDUP(($E$3+$I192)/$I192,0)),IF($E$6="No",ROUNDUP($E$4/$G192,0),ROUNDUP(($E$4+$G192)/$G192,0)),ROUNDUP('BVMS checklist'!$H$217/$J192,0))&gt;1,'BVMS checklist'!$N$224,'BVMS checklist'!$N$217)+MAX(IF($E$6="No",ROUNDUP($E$3/$I192,0),ROUNDUP(($E$3+$I192)/$I192,0)),IF($E$6="No",ROUNDUP($E$4/$G192,0),ROUNDUP(($E$4+$G192)/$G192,0)))+$E$5</f>
        <v>1</v>
      </c>
      <c r="CG192" s="400" t="b">
        <f t="shared" ca="1" si="632"/>
        <v>1</v>
      </c>
      <c r="CH192" s="400" t="str">
        <f t="shared" ca="1" si="687"/>
        <v>Accepted</v>
      </c>
      <c r="CI192" s="398" t="str">
        <f t="shared" ca="1" si="659"/>
        <v>No</v>
      </c>
      <c r="CJ192" s="398" t="str">
        <f t="shared" ca="1" si="688"/>
        <v/>
      </c>
      <c r="CK192" s="398" t="str">
        <f t="shared" ca="1" si="652"/>
        <v/>
      </c>
      <c r="CL192" s="398">
        <f t="shared" ca="1" si="653"/>
        <v>6</v>
      </c>
      <c r="CM192" s="398">
        <f t="shared" ca="1" si="689"/>
        <v>2</v>
      </c>
      <c r="CN192" s="398">
        <f t="shared" ca="1" si="690"/>
        <v>576</v>
      </c>
      <c r="CO192" s="398">
        <f t="shared" ca="1" si="691"/>
        <v>480396</v>
      </c>
      <c r="CP192" s="399">
        <f t="shared" si="698"/>
        <v>0</v>
      </c>
      <c r="CQ192" s="399">
        <f t="shared" si="699"/>
        <v>0</v>
      </c>
      <c r="CR192" s="483" t="str">
        <f t="shared" ca="1" si="654"/>
        <v/>
      </c>
      <c r="CS192"/>
    </row>
    <row r="193" spans="1:97">
      <c r="A193" s="398" t="s">
        <v>503</v>
      </c>
      <c r="B193" s="398" t="s">
        <v>987</v>
      </c>
      <c r="C193" s="440" t="s">
        <v>891</v>
      </c>
      <c r="D193" s="398">
        <v>2</v>
      </c>
      <c r="E193" s="398"/>
      <c r="F193" s="440">
        <v>0</v>
      </c>
      <c r="G193" s="398">
        <f>IF(C193="RAID5",(((15-F193)*5586))+(1*(((15-F193)*5586))),(((14-F193)*5586))+(1*(((14-F193)*5586))))</f>
        <v>167580</v>
      </c>
      <c r="H193" s="399">
        <v>192</v>
      </c>
      <c r="I193" s="399">
        <v>1025</v>
      </c>
      <c r="J193" s="399">
        <v>256</v>
      </c>
      <c r="K193" s="399"/>
      <c r="L193" s="399"/>
      <c r="M193" s="400">
        <f ca="1">IF(MAX(IF($B$6="No",ROUNDUP($B$3/$I193,0),ROUNDUP(($B$3+$I193)/$I193,0)),IF($B$6="No",ROUNDUP($B$4/$G193,0),ROUNDUP(($B$4+$G193)/$G193,0)),ROUNDUP('BVMS checklist'!$H$217/$J193,0))&gt;1,'BVMS checklist'!$H$224,'BVMS checklist'!$H$217)</f>
        <v>0</v>
      </c>
      <c r="N193" s="398">
        <f t="shared" ca="1" si="633"/>
        <v>2</v>
      </c>
      <c r="O193" s="400">
        <f t="shared" ca="1" si="660"/>
        <v>2</v>
      </c>
      <c r="P193" s="400">
        <f t="shared" ca="1" si="624"/>
        <v>2050</v>
      </c>
      <c r="Q193" s="400">
        <f t="shared" ca="1" si="625"/>
        <v>0</v>
      </c>
      <c r="R193" s="398">
        <f t="shared" ca="1" si="626"/>
        <v>335160</v>
      </c>
      <c r="S193" s="401" t="str">
        <f t="shared" ca="1" si="634"/>
        <v/>
      </c>
      <c r="T193" s="398">
        <f t="shared" ca="1" si="635"/>
        <v>512</v>
      </c>
      <c r="U193" s="400">
        <f ca="1">IF(MAX(IF($B$6="No",ROUNDUP($B$3/$I193,0),ROUNDUP(($B$3+$I193)/$I193,0)),IF($B$6="No",ROUNDUP($B$4/$G193,0),ROUNDUP(($B$4+$G193)/$G193,0)),ROUNDUP('BVMS checklist'!$H$217/$J193,0))&gt;1,'BVMS checklist'!$H$224,'BVMS checklist'!$H$217)+MAX(IF($B$6="No",ROUNDUP($B$3/$I193,0),ROUNDUP(($B$3+$I193)/$I193,0)),IF($B$6="No",ROUNDUP($B$4/$G193,0),ROUNDUP(($B$4+$G193)/$G193,0)))+$B$5</f>
        <v>1</v>
      </c>
      <c r="V193" s="400" t="b">
        <f t="shared" ca="1" si="627"/>
        <v>1</v>
      </c>
      <c r="W193" s="400" t="str">
        <f t="shared" ca="1" si="661"/>
        <v>Accepted</v>
      </c>
      <c r="X193" s="398" t="str">
        <f t="shared" ca="1" si="636"/>
        <v>No</v>
      </c>
      <c r="Y193" s="398" t="str">
        <f t="shared" ca="1" si="637"/>
        <v/>
      </c>
      <c r="Z193" s="398" t="str">
        <f t="shared" ca="1" si="638"/>
        <v/>
      </c>
      <c r="AA193" s="398">
        <f t="shared" ca="1" si="662"/>
        <v>6</v>
      </c>
      <c r="AB193" s="398">
        <f t="shared" ca="1" si="628"/>
        <v>2</v>
      </c>
      <c r="AC193" s="398">
        <f t="shared" ca="1" si="629"/>
        <v>384</v>
      </c>
      <c r="AD193" s="398">
        <f t="shared" ca="1" si="663"/>
        <v>335160</v>
      </c>
      <c r="AE193" s="399">
        <f t="shared" si="692"/>
        <v>0</v>
      </c>
      <c r="AF193" s="399">
        <f t="shared" si="693"/>
        <v>0</v>
      </c>
      <c r="AG193" s="483" t="str">
        <f t="shared" ca="1" si="639"/>
        <v/>
      </c>
      <c r="AH193" s="400">
        <f ca="1">IF(MAX(IF($C$6="No",ROUNDUP($C$3/$I193,0),ROUNDUP(($C$3+$I193)/$I193,0)),IF($C$6="No",ROUNDUP($C$4/$G193,0),ROUNDUP(($C$4+$G193)/$G193,0)),ROUNDUP('BVMS checklist'!$H$217/$J193,0))&gt;1,'BVMS checklist'!$J$224,'BVMS checklist'!$J$217)</f>
        <v>0</v>
      </c>
      <c r="AI193" s="398">
        <f t="shared" ca="1" si="640"/>
        <v>2</v>
      </c>
      <c r="AJ193" s="400">
        <f t="shared" ca="1" si="664"/>
        <v>2</v>
      </c>
      <c r="AK193" s="400">
        <f t="shared" ca="1" si="665"/>
        <v>2050</v>
      </c>
      <c r="AL193" s="400">
        <f t="shared" ca="1" si="666"/>
        <v>0</v>
      </c>
      <c r="AM193" s="398">
        <f t="shared" ca="1" si="667"/>
        <v>335160</v>
      </c>
      <c r="AN193" s="401" t="str">
        <f t="shared" ca="1" si="641"/>
        <v/>
      </c>
      <c r="AO193" s="398">
        <f t="shared" ca="1" si="668"/>
        <v>512</v>
      </c>
      <c r="AP193" s="400">
        <f ca="1">IF(MAX(IF($C$6="No",ROUNDUP($C$3/$I193,0),ROUNDUP(($C$3+$I193)/$I193,0)),IF($C$6="No",ROUNDUP($C$4/$G193,0),ROUNDUP(($C$4+$G193)/$G193,0)),ROUNDUP('BVMS checklist'!$H$217/$J193,0))&gt;1,'BVMS checklist'!$J$224,'BVMS checklist'!$J$217)+MAX(IF($C$6="No",ROUNDUP($C$3/$I193,0),ROUNDUP(($C$3+$I193)/$I193,0)),IF($C$6="No",ROUNDUP($C$4/$G193,0),ROUNDUP(($C$4+$G193)/$G193,0)))+$C$5</f>
        <v>1</v>
      </c>
      <c r="AQ193" s="400" t="b">
        <f t="shared" ca="1" si="630"/>
        <v>1</v>
      </c>
      <c r="AR193" s="400" t="str">
        <f t="shared" ca="1" si="669"/>
        <v>Accepted</v>
      </c>
      <c r="AS193" s="398" t="str">
        <f t="shared" ca="1" si="655"/>
        <v>No</v>
      </c>
      <c r="AT193" s="398" t="str">
        <f t="shared" ca="1" si="670"/>
        <v/>
      </c>
      <c r="AU193" s="398" t="str">
        <f t="shared" ca="1" si="642"/>
        <v/>
      </c>
      <c r="AV193" s="398">
        <f t="shared" ca="1" si="643"/>
        <v>6</v>
      </c>
      <c r="AW193" s="398">
        <f t="shared" ca="1" si="671"/>
        <v>2</v>
      </c>
      <c r="AX193" s="398">
        <f t="shared" ca="1" si="672"/>
        <v>384</v>
      </c>
      <c r="AY193" s="398">
        <f t="shared" ca="1" si="673"/>
        <v>335160</v>
      </c>
      <c r="AZ193" s="399">
        <f t="shared" si="694"/>
        <v>0</v>
      </c>
      <c r="BA193" s="399">
        <f t="shared" si="695"/>
        <v>0</v>
      </c>
      <c r="BB193" s="483" t="str">
        <f t="shared" ca="1" si="644"/>
        <v/>
      </c>
      <c r="BC193" s="400">
        <f ca="1">IF(MAX(IF($D$6="No",ROUNDUP($D$3/$I193,0),ROUNDUP(($D$3+$I193)/$I193,0)),IF($D$6="No",ROUNDUP($D$4/$G193,0),ROUNDUP(($D$4+$G193)/$G193,0)),ROUNDUP('BVMS checklist'!$H$217/$J193,0))&gt;1,'BVMS checklist'!$L$224,'BVMS checklist'!$L$217)</f>
        <v>0</v>
      </c>
      <c r="BD193" s="398">
        <f t="shared" ca="1" si="645"/>
        <v>2</v>
      </c>
      <c r="BE193" s="400">
        <f t="shared" si="674"/>
        <v>1</v>
      </c>
      <c r="BF193" s="400">
        <f t="shared" si="675"/>
        <v>1025</v>
      </c>
      <c r="BG193" s="400">
        <f t="shared" ca="1" si="656"/>
        <v>0</v>
      </c>
      <c r="BH193" s="398">
        <f t="shared" ca="1" si="676"/>
        <v>335160</v>
      </c>
      <c r="BI193" s="401" t="str">
        <f t="shared" ca="1" si="646"/>
        <v/>
      </c>
      <c r="BJ193" s="398">
        <f t="shared" ca="1" si="677"/>
        <v>512</v>
      </c>
      <c r="BK193" s="400">
        <f ca="1">IF(MAX(IF($D$6="No",ROUNDUP($D$3/$I193,0),ROUNDUP(($D$3+$I193)/$I193,0)),IF($D$6="No",ROUNDUP($D$4/$G193,0),ROUNDUP(($D$4+$G193)/$G193,0)),ROUNDUP('BVMS checklist'!$H$217/$J193,0))&gt;1,'BVMS checklist'!$L$224,'BVMS checklist'!$L$217)+MAX(IF($D$6="No",ROUNDUP($D$3/$I193,0),ROUNDUP(($D$3+$I193)/$I193,0)),IF($D$6="No",ROUNDUP($D$4/$G193,0),ROUNDUP(($D$4+$G193)/$G193,0)))+$D$5</f>
        <v>1</v>
      </c>
      <c r="BL193" s="400" t="b">
        <f t="shared" ca="1" si="631"/>
        <v>1</v>
      </c>
      <c r="BM193" s="400" t="str">
        <f t="shared" ca="1" si="678"/>
        <v>Accepted</v>
      </c>
      <c r="BN193" s="398" t="str">
        <f t="shared" ca="1" si="657"/>
        <v>No</v>
      </c>
      <c r="BO193" s="398" t="str">
        <f t="shared" ca="1" si="679"/>
        <v/>
      </c>
      <c r="BP193" s="398" t="str">
        <f t="shared" ca="1" si="647"/>
        <v/>
      </c>
      <c r="BQ193" s="398">
        <f t="shared" ca="1" si="648"/>
        <v>6</v>
      </c>
      <c r="BR193" s="398">
        <f t="shared" ca="1" si="680"/>
        <v>2</v>
      </c>
      <c r="BS193" s="398">
        <f t="shared" ca="1" si="681"/>
        <v>384</v>
      </c>
      <c r="BT193" s="398">
        <f t="shared" ca="1" si="682"/>
        <v>335160</v>
      </c>
      <c r="BU193" s="399">
        <f t="shared" si="696"/>
        <v>0</v>
      </c>
      <c r="BV193" s="399">
        <f t="shared" si="697"/>
        <v>0</v>
      </c>
      <c r="BW193" s="483" t="str">
        <f t="shared" ca="1" si="649"/>
        <v/>
      </c>
      <c r="BX193" s="400">
        <f ca="1">IF(MAX(IF($E$6="No",ROUNDUP($E$3/$I193,0),ROUNDUP(($E$3+$I193)/$I193,0)),IF($E$6="No",ROUNDUP($E$4/$G193,0),ROUNDUP(($E$4+$G193)/$G193,0)),ROUNDUP('BVMS checklist'!$H$217/$J193,0))&gt;1,'BVMS checklist'!$N$224,'BVMS checklist'!$N$217)</f>
        <v>0</v>
      </c>
      <c r="BY193" s="398">
        <f t="shared" ca="1" si="650"/>
        <v>2</v>
      </c>
      <c r="BZ193" s="400">
        <f t="shared" ca="1" si="683"/>
        <v>2</v>
      </c>
      <c r="CA193" s="400">
        <f t="shared" ca="1" si="684"/>
        <v>2050</v>
      </c>
      <c r="CB193" s="400">
        <f t="shared" ca="1" si="658"/>
        <v>0</v>
      </c>
      <c r="CC193" s="398">
        <f t="shared" ca="1" si="685"/>
        <v>335160</v>
      </c>
      <c r="CD193" s="401" t="str">
        <f t="shared" ca="1" si="651"/>
        <v/>
      </c>
      <c r="CE193" s="398">
        <f t="shared" ca="1" si="686"/>
        <v>512</v>
      </c>
      <c r="CF193" s="400">
        <f ca="1">IF(MAX(IF($E$6="No",ROUNDUP($E$3/$I193,0),ROUNDUP(($E$3+$I193)/$I193,0)),IF($E$6="No",ROUNDUP($E$4/$G193,0),ROUNDUP(($E$4+$G193)/$G193,0)),ROUNDUP('BVMS checklist'!$H$217/$J193,0))&gt;1,'BVMS checklist'!$N$224,'BVMS checklist'!$N$217)+MAX(IF($E$6="No",ROUNDUP($E$3/$I193,0),ROUNDUP(($E$3+$I193)/$I193,0)),IF($E$6="No",ROUNDUP($E$4/$G193,0),ROUNDUP(($E$4+$G193)/$G193,0)))+$E$5</f>
        <v>1</v>
      </c>
      <c r="CG193" s="400" t="b">
        <f t="shared" ca="1" si="632"/>
        <v>1</v>
      </c>
      <c r="CH193" s="400" t="str">
        <f t="shared" ca="1" si="687"/>
        <v>Accepted</v>
      </c>
      <c r="CI193" s="398" t="str">
        <f t="shared" ca="1" si="659"/>
        <v>No</v>
      </c>
      <c r="CJ193" s="398" t="str">
        <f t="shared" ca="1" si="688"/>
        <v/>
      </c>
      <c r="CK193" s="398" t="str">
        <f t="shared" ca="1" si="652"/>
        <v/>
      </c>
      <c r="CL193" s="398">
        <f t="shared" ca="1" si="653"/>
        <v>6</v>
      </c>
      <c r="CM193" s="398">
        <f t="shared" ca="1" si="689"/>
        <v>2</v>
      </c>
      <c r="CN193" s="398">
        <f t="shared" ca="1" si="690"/>
        <v>384</v>
      </c>
      <c r="CO193" s="398">
        <f t="shared" ca="1" si="691"/>
        <v>335160</v>
      </c>
      <c r="CP193" s="399">
        <f t="shared" si="698"/>
        <v>0</v>
      </c>
      <c r="CQ193" s="399">
        <f t="shared" si="699"/>
        <v>0</v>
      </c>
      <c r="CR193" s="483" t="str">
        <f t="shared" ca="1" si="654"/>
        <v/>
      </c>
      <c r="CS193"/>
    </row>
    <row r="194" spans="1:97">
      <c r="A194" s="398" t="s">
        <v>504</v>
      </c>
      <c r="B194" s="398" t="s">
        <v>987</v>
      </c>
      <c r="C194" s="440" t="s">
        <v>891</v>
      </c>
      <c r="D194" s="398">
        <v>3</v>
      </c>
      <c r="E194" s="398"/>
      <c r="F194" s="440">
        <v>0</v>
      </c>
      <c r="G194" s="398">
        <f>IF(C194="RAID5",(((15-F194)*5586))+(2*(((15-F194)*5586))),(((14-F194)*5586))+(2*(((14-F194)*5586))))</f>
        <v>251370</v>
      </c>
      <c r="H194" s="399">
        <v>288</v>
      </c>
      <c r="I194" s="399">
        <v>1575</v>
      </c>
      <c r="J194" s="399">
        <v>384</v>
      </c>
      <c r="K194" s="399"/>
      <c r="L194" s="399"/>
      <c r="M194" s="400">
        <f ca="1">IF(MAX(IF($B$6="No",ROUNDUP($B$3/$I194,0),ROUNDUP(($B$3+$I194)/$I194,0)),IF($B$6="No",ROUNDUP($B$4/$G194,0),ROUNDUP(($B$4+$G194)/$G194,0)),ROUNDUP('BVMS checklist'!$H$217/$J194,0))&gt;1,'BVMS checklist'!$H$224,'BVMS checklist'!$H$217)</f>
        <v>0</v>
      </c>
      <c r="N194" s="398">
        <f t="shared" ca="1" si="633"/>
        <v>2</v>
      </c>
      <c r="O194" s="400">
        <f t="shared" ca="1" si="660"/>
        <v>2</v>
      </c>
      <c r="P194" s="400">
        <f t="shared" ca="1" si="624"/>
        <v>3150</v>
      </c>
      <c r="Q194" s="400">
        <f t="shared" ca="1" si="625"/>
        <v>0</v>
      </c>
      <c r="R194" s="398">
        <f t="shared" ca="1" si="626"/>
        <v>502740</v>
      </c>
      <c r="S194" s="401" t="str">
        <f t="shared" ca="1" si="634"/>
        <v/>
      </c>
      <c r="T194" s="398">
        <f t="shared" ca="1" si="635"/>
        <v>768</v>
      </c>
      <c r="U194" s="400">
        <f ca="1">IF(MAX(IF($B$6="No",ROUNDUP($B$3/$I194,0),ROUNDUP(($B$3+$I194)/$I194,0)),IF($B$6="No",ROUNDUP($B$4/$G194,0),ROUNDUP(($B$4+$G194)/$G194,0)),ROUNDUP('BVMS checklist'!$H$217/$J194,0))&gt;1,'BVMS checklist'!$H$224,'BVMS checklist'!$H$217)+MAX(IF($B$6="No",ROUNDUP($B$3/$I194,0),ROUNDUP(($B$3+$I194)/$I194,0)),IF($B$6="No",ROUNDUP($B$4/$G194,0),ROUNDUP(($B$4+$G194)/$G194,0)))+$B$5</f>
        <v>1</v>
      </c>
      <c r="V194" s="400" t="b">
        <f t="shared" ca="1" si="627"/>
        <v>1</v>
      </c>
      <c r="W194" s="400" t="str">
        <f t="shared" ca="1" si="661"/>
        <v>Accepted</v>
      </c>
      <c r="X194" s="398" t="str">
        <f t="shared" ca="1" si="636"/>
        <v>No</v>
      </c>
      <c r="Y194" s="398" t="str">
        <f t="shared" ca="1" si="637"/>
        <v/>
      </c>
      <c r="Z194" s="398" t="str">
        <f t="shared" ca="1" si="638"/>
        <v/>
      </c>
      <c r="AA194" s="398">
        <f t="shared" ca="1" si="662"/>
        <v>6</v>
      </c>
      <c r="AB194" s="398">
        <f t="shared" ca="1" si="628"/>
        <v>2</v>
      </c>
      <c r="AC194" s="398">
        <f t="shared" ca="1" si="629"/>
        <v>576</v>
      </c>
      <c r="AD194" s="398">
        <f t="shared" ca="1" si="663"/>
        <v>502740</v>
      </c>
      <c r="AE194" s="399">
        <f t="shared" si="692"/>
        <v>0</v>
      </c>
      <c r="AF194" s="399">
        <f t="shared" si="693"/>
        <v>0</v>
      </c>
      <c r="AG194" s="483" t="str">
        <f t="shared" ca="1" si="639"/>
        <v/>
      </c>
      <c r="AH194" s="400">
        <f ca="1">IF(MAX(IF($C$6="No",ROUNDUP($C$3/$I194,0),ROUNDUP(($C$3+$I194)/$I194,0)),IF($C$6="No",ROUNDUP($C$4/$G194,0),ROUNDUP(($C$4+$G194)/$G194,0)),ROUNDUP('BVMS checklist'!$H$217/$J194,0))&gt;1,'BVMS checklist'!$J$224,'BVMS checklist'!$J$217)</f>
        <v>0</v>
      </c>
      <c r="AI194" s="398">
        <f t="shared" ca="1" si="640"/>
        <v>2</v>
      </c>
      <c r="AJ194" s="400">
        <f t="shared" ca="1" si="664"/>
        <v>2</v>
      </c>
      <c r="AK194" s="400">
        <f t="shared" ca="1" si="665"/>
        <v>3150</v>
      </c>
      <c r="AL194" s="400">
        <f t="shared" ca="1" si="666"/>
        <v>0</v>
      </c>
      <c r="AM194" s="398">
        <f t="shared" ca="1" si="667"/>
        <v>502740</v>
      </c>
      <c r="AN194" s="401" t="str">
        <f t="shared" ca="1" si="641"/>
        <v/>
      </c>
      <c r="AO194" s="398">
        <f t="shared" ca="1" si="668"/>
        <v>768</v>
      </c>
      <c r="AP194" s="400">
        <f ca="1">IF(MAX(IF($C$6="No",ROUNDUP($C$3/$I194,0),ROUNDUP(($C$3+$I194)/$I194,0)),IF($C$6="No",ROUNDUP($C$4/$G194,0),ROUNDUP(($C$4+$G194)/$G194,0)),ROUNDUP('BVMS checklist'!$H$217/$J194,0))&gt;1,'BVMS checklist'!$J$224,'BVMS checklist'!$J$217)+MAX(IF($C$6="No",ROUNDUP($C$3/$I194,0),ROUNDUP(($C$3+$I194)/$I194,0)),IF($C$6="No",ROUNDUP($C$4/$G194,0),ROUNDUP(($C$4+$G194)/$G194,0)))+$C$5</f>
        <v>1</v>
      </c>
      <c r="AQ194" s="400" t="b">
        <f t="shared" ca="1" si="630"/>
        <v>1</v>
      </c>
      <c r="AR194" s="400" t="str">
        <f t="shared" ca="1" si="669"/>
        <v>Accepted</v>
      </c>
      <c r="AS194" s="398" t="str">
        <f t="shared" ca="1" si="655"/>
        <v>No</v>
      </c>
      <c r="AT194" s="398" t="str">
        <f t="shared" ca="1" si="670"/>
        <v/>
      </c>
      <c r="AU194" s="398" t="str">
        <f t="shared" ca="1" si="642"/>
        <v/>
      </c>
      <c r="AV194" s="398">
        <f t="shared" ca="1" si="643"/>
        <v>6</v>
      </c>
      <c r="AW194" s="398">
        <f t="shared" ca="1" si="671"/>
        <v>2</v>
      </c>
      <c r="AX194" s="398">
        <f t="shared" ca="1" si="672"/>
        <v>576</v>
      </c>
      <c r="AY194" s="398">
        <f t="shared" ca="1" si="673"/>
        <v>502740</v>
      </c>
      <c r="AZ194" s="399">
        <f t="shared" si="694"/>
        <v>0</v>
      </c>
      <c r="BA194" s="399">
        <f t="shared" si="695"/>
        <v>0</v>
      </c>
      <c r="BB194" s="483" t="str">
        <f t="shared" ca="1" si="644"/>
        <v/>
      </c>
      <c r="BC194" s="400">
        <f ca="1">IF(MAX(IF($D$6="No",ROUNDUP($D$3/$I194,0),ROUNDUP(($D$3+$I194)/$I194,0)),IF($D$6="No",ROUNDUP($D$4/$G194,0),ROUNDUP(($D$4+$G194)/$G194,0)),ROUNDUP('BVMS checklist'!$H$217/$J194,0))&gt;1,'BVMS checklist'!$L$224,'BVMS checklist'!$L$217)</f>
        <v>0</v>
      </c>
      <c r="BD194" s="398">
        <f t="shared" ca="1" si="645"/>
        <v>2</v>
      </c>
      <c r="BE194" s="400">
        <f t="shared" si="674"/>
        <v>1</v>
      </c>
      <c r="BF194" s="400">
        <f t="shared" si="675"/>
        <v>1575</v>
      </c>
      <c r="BG194" s="400">
        <f t="shared" ca="1" si="656"/>
        <v>0</v>
      </c>
      <c r="BH194" s="398">
        <f t="shared" ca="1" si="676"/>
        <v>502740</v>
      </c>
      <c r="BI194" s="401" t="str">
        <f t="shared" ca="1" si="646"/>
        <v/>
      </c>
      <c r="BJ194" s="398">
        <f t="shared" ca="1" si="677"/>
        <v>768</v>
      </c>
      <c r="BK194" s="400">
        <f ca="1">IF(MAX(IF($D$6="No",ROUNDUP($D$3/$I194,0),ROUNDUP(($D$3+$I194)/$I194,0)),IF($D$6="No",ROUNDUP($D$4/$G194,0),ROUNDUP(($D$4+$G194)/$G194,0)),ROUNDUP('BVMS checklist'!$H$217/$J194,0))&gt;1,'BVMS checklist'!$L$224,'BVMS checklist'!$L$217)+MAX(IF($D$6="No",ROUNDUP($D$3/$I194,0),ROUNDUP(($D$3+$I194)/$I194,0)),IF($D$6="No",ROUNDUP($D$4/$G194,0),ROUNDUP(($D$4+$G194)/$G194,0)))+$D$5</f>
        <v>1</v>
      </c>
      <c r="BL194" s="400" t="b">
        <f t="shared" ca="1" si="631"/>
        <v>1</v>
      </c>
      <c r="BM194" s="400" t="str">
        <f t="shared" ca="1" si="678"/>
        <v>Accepted</v>
      </c>
      <c r="BN194" s="398" t="str">
        <f t="shared" ca="1" si="657"/>
        <v>No</v>
      </c>
      <c r="BO194" s="398" t="str">
        <f t="shared" ca="1" si="679"/>
        <v/>
      </c>
      <c r="BP194" s="398" t="str">
        <f t="shared" ca="1" si="647"/>
        <v/>
      </c>
      <c r="BQ194" s="398">
        <f t="shared" ca="1" si="648"/>
        <v>6</v>
      </c>
      <c r="BR194" s="398">
        <f t="shared" ca="1" si="680"/>
        <v>2</v>
      </c>
      <c r="BS194" s="398">
        <f t="shared" ca="1" si="681"/>
        <v>576</v>
      </c>
      <c r="BT194" s="398">
        <f t="shared" ca="1" si="682"/>
        <v>502740</v>
      </c>
      <c r="BU194" s="399">
        <f t="shared" si="696"/>
        <v>0</v>
      </c>
      <c r="BV194" s="399">
        <f t="shared" si="697"/>
        <v>0</v>
      </c>
      <c r="BW194" s="483" t="str">
        <f t="shared" ca="1" si="649"/>
        <v/>
      </c>
      <c r="BX194" s="400">
        <f ca="1">IF(MAX(IF($E$6="No",ROUNDUP($E$3/$I194,0),ROUNDUP(($E$3+$I194)/$I194,0)),IF($E$6="No",ROUNDUP($E$4/$G194,0),ROUNDUP(($E$4+$G194)/$G194,0)),ROUNDUP('BVMS checklist'!$H$217/$J194,0))&gt;1,'BVMS checklist'!$N$224,'BVMS checklist'!$N$217)</f>
        <v>0</v>
      </c>
      <c r="BY194" s="398">
        <f t="shared" ca="1" si="650"/>
        <v>2</v>
      </c>
      <c r="BZ194" s="400">
        <f t="shared" ca="1" si="683"/>
        <v>2</v>
      </c>
      <c r="CA194" s="400">
        <f t="shared" ca="1" si="684"/>
        <v>3150</v>
      </c>
      <c r="CB194" s="400">
        <f t="shared" ca="1" si="658"/>
        <v>0</v>
      </c>
      <c r="CC194" s="398">
        <f t="shared" ca="1" si="685"/>
        <v>502740</v>
      </c>
      <c r="CD194" s="401" t="str">
        <f t="shared" ca="1" si="651"/>
        <v/>
      </c>
      <c r="CE194" s="398">
        <f t="shared" ca="1" si="686"/>
        <v>768</v>
      </c>
      <c r="CF194" s="400">
        <f ca="1">IF(MAX(IF($E$6="No",ROUNDUP($E$3/$I194,0),ROUNDUP(($E$3+$I194)/$I194,0)),IF($E$6="No",ROUNDUP($E$4/$G194,0),ROUNDUP(($E$4+$G194)/$G194,0)),ROUNDUP('BVMS checklist'!$H$217/$J194,0))&gt;1,'BVMS checklist'!$N$224,'BVMS checklist'!$N$217)+MAX(IF($E$6="No",ROUNDUP($E$3/$I194,0),ROUNDUP(($E$3+$I194)/$I194,0)),IF($E$6="No",ROUNDUP($E$4/$G194,0),ROUNDUP(($E$4+$G194)/$G194,0)))+$E$5</f>
        <v>1</v>
      </c>
      <c r="CG194" s="400" t="b">
        <f t="shared" ca="1" si="632"/>
        <v>1</v>
      </c>
      <c r="CH194" s="400" t="str">
        <f t="shared" ca="1" si="687"/>
        <v>Accepted</v>
      </c>
      <c r="CI194" s="398" t="str">
        <f t="shared" ca="1" si="659"/>
        <v>No</v>
      </c>
      <c r="CJ194" s="398" t="str">
        <f t="shared" ca="1" si="688"/>
        <v/>
      </c>
      <c r="CK194" s="398" t="str">
        <f t="shared" ca="1" si="652"/>
        <v/>
      </c>
      <c r="CL194" s="398">
        <f t="shared" ca="1" si="653"/>
        <v>6</v>
      </c>
      <c r="CM194" s="398">
        <f t="shared" ca="1" si="689"/>
        <v>2</v>
      </c>
      <c r="CN194" s="398">
        <f t="shared" ca="1" si="690"/>
        <v>576</v>
      </c>
      <c r="CO194" s="398">
        <f t="shared" ca="1" si="691"/>
        <v>502740</v>
      </c>
      <c r="CP194" s="399">
        <f t="shared" si="698"/>
        <v>0</v>
      </c>
      <c r="CQ194" s="399">
        <f t="shared" si="699"/>
        <v>0</v>
      </c>
      <c r="CR194" s="483" t="str">
        <f t="shared" ca="1" si="654"/>
        <v/>
      </c>
      <c r="CS194"/>
    </row>
    <row r="195" spans="1:97">
      <c r="A195" s="398" t="s">
        <v>505</v>
      </c>
      <c r="B195" s="398" t="s">
        <v>987</v>
      </c>
      <c r="C195" s="440" t="s">
        <v>891</v>
      </c>
      <c r="D195" s="398">
        <v>4</v>
      </c>
      <c r="E195" s="398"/>
      <c r="F195" s="440">
        <v>0</v>
      </c>
      <c r="G195" s="398">
        <f>IF(C195="RAID5",(((15-F195)*5586))+(3*(((15-F195)*5586))),(((14-F195)*5586))+(3*(((14-F195)*5586))))</f>
        <v>335160</v>
      </c>
      <c r="H195" s="399">
        <v>384</v>
      </c>
      <c r="I195" s="399">
        <v>2125</v>
      </c>
      <c r="J195" s="399">
        <v>512</v>
      </c>
      <c r="K195" s="399"/>
      <c r="L195" s="399"/>
      <c r="M195" s="400">
        <f ca="1">IF(MAX(IF($B$6="No",ROUNDUP($B$3/$I195,0),ROUNDUP(($B$3+$I195)/$I195,0)),IF($B$6="No",ROUNDUP($B$4/$G195,0),ROUNDUP(($B$4+$G195)/$G195,0)),ROUNDUP('BVMS checklist'!$H$217/$J195,0))&gt;1,'BVMS checklist'!$H$224,'BVMS checklist'!$H$217)</f>
        <v>0</v>
      </c>
      <c r="N195" s="398">
        <f t="shared" ca="1" si="633"/>
        <v>2</v>
      </c>
      <c r="O195" s="400">
        <f t="shared" ca="1" si="660"/>
        <v>2</v>
      </c>
      <c r="P195" s="400">
        <f t="shared" ca="1" si="624"/>
        <v>4250</v>
      </c>
      <c r="Q195" s="400">
        <f t="shared" ca="1" si="625"/>
        <v>0</v>
      </c>
      <c r="R195" s="398">
        <f t="shared" ca="1" si="626"/>
        <v>670320</v>
      </c>
      <c r="S195" s="401" t="str">
        <f t="shared" ca="1" si="634"/>
        <v/>
      </c>
      <c r="T195" s="398">
        <f t="shared" ca="1" si="635"/>
        <v>1024</v>
      </c>
      <c r="U195" s="400">
        <f ca="1">IF(MAX(IF($B$6="No",ROUNDUP($B$3/$I195,0),ROUNDUP(($B$3+$I195)/$I195,0)),IF($B$6="No",ROUNDUP($B$4/$G195,0),ROUNDUP(($B$4+$G195)/$G195,0)),ROUNDUP('BVMS checklist'!$H$217/$J195,0))&gt;1,'BVMS checklist'!$H$224,'BVMS checklist'!$H$217)+MAX(IF($B$6="No",ROUNDUP($B$3/$I195,0),ROUNDUP(($B$3+$I195)/$I195,0)),IF($B$6="No",ROUNDUP($B$4/$G195,0),ROUNDUP(($B$4+$G195)/$G195,0)))+$B$5</f>
        <v>1</v>
      </c>
      <c r="V195" s="400" t="b">
        <f t="shared" ca="1" si="627"/>
        <v>1</v>
      </c>
      <c r="W195" s="400" t="str">
        <f t="shared" ca="1" si="661"/>
        <v>Accepted</v>
      </c>
      <c r="X195" s="398" t="str">
        <f t="shared" ca="1" si="636"/>
        <v>No</v>
      </c>
      <c r="Y195" s="398" t="str">
        <f t="shared" ca="1" si="637"/>
        <v/>
      </c>
      <c r="Z195" s="398" t="str">
        <f t="shared" ca="1" si="638"/>
        <v/>
      </c>
      <c r="AA195" s="398">
        <f t="shared" ca="1" si="662"/>
        <v>6</v>
      </c>
      <c r="AB195" s="398">
        <f t="shared" ca="1" si="628"/>
        <v>2</v>
      </c>
      <c r="AC195" s="398">
        <f t="shared" ca="1" si="629"/>
        <v>768</v>
      </c>
      <c r="AD195" s="398">
        <f t="shared" ca="1" si="663"/>
        <v>670320</v>
      </c>
      <c r="AE195" s="399">
        <f t="shared" si="692"/>
        <v>0</v>
      </c>
      <c r="AF195" s="399">
        <f t="shared" si="693"/>
        <v>0</v>
      </c>
      <c r="AG195" s="483" t="str">
        <f t="shared" ca="1" si="639"/>
        <v/>
      </c>
      <c r="AH195" s="400">
        <f ca="1">IF(MAX(IF($C$6="No",ROUNDUP($C$3/$I195,0),ROUNDUP(($C$3+$I195)/$I195,0)),IF($C$6="No",ROUNDUP($C$4/$G195,0),ROUNDUP(($C$4+$G195)/$G195,0)),ROUNDUP('BVMS checklist'!$H$217/$J195,0))&gt;1,'BVMS checklist'!$J$224,'BVMS checklist'!$J$217)</f>
        <v>0</v>
      </c>
      <c r="AI195" s="398">
        <f t="shared" ca="1" si="640"/>
        <v>2</v>
      </c>
      <c r="AJ195" s="400">
        <f t="shared" ca="1" si="664"/>
        <v>2</v>
      </c>
      <c r="AK195" s="400">
        <f t="shared" ca="1" si="665"/>
        <v>4250</v>
      </c>
      <c r="AL195" s="400">
        <f t="shared" ca="1" si="666"/>
        <v>0</v>
      </c>
      <c r="AM195" s="398">
        <f t="shared" ca="1" si="667"/>
        <v>670320</v>
      </c>
      <c r="AN195" s="401" t="str">
        <f t="shared" ca="1" si="641"/>
        <v/>
      </c>
      <c r="AO195" s="398">
        <f t="shared" ca="1" si="668"/>
        <v>1024</v>
      </c>
      <c r="AP195" s="400">
        <f ca="1">IF(MAX(IF($C$6="No",ROUNDUP($C$3/$I195,0),ROUNDUP(($C$3+$I195)/$I195,0)),IF($C$6="No",ROUNDUP($C$4/$G195,0),ROUNDUP(($C$4+$G195)/$G195,0)),ROUNDUP('BVMS checklist'!$H$217/$J195,0))&gt;1,'BVMS checklist'!$J$224,'BVMS checklist'!$J$217)+MAX(IF($C$6="No",ROUNDUP($C$3/$I195,0),ROUNDUP(($C$3+$I195)/$I195,0)),IF($C$6="No",ROUNDUP($C$4/$G195,0),ROUNDUP(($C$4+$G195)/$G195,0)))+$C$5</f>
        <v>1</v>
      </c>
      <c r="AQ195" s="400" t="b">
        <f t="shared" ca="1" si="630"/>
        <v>1</v>
      </c>
      <c r="AR195" s="400" t="str">
        <f t="shared" ca="1" si="669"/>
        <v>Accepted</v>
      </c>
      <c r="AS195" s="398" t="str">
        <f t="shared" ca="1" si="655"/>
        <v>No</v>
      </c>
      <c r="AT195" s="398" t="str">
        <f t="shared" ca="1" si="670"/>
        <v/>
      </c>
      <c r="AU195" s="398" t="str">
        <f t="shared" ca="1" si="642"/>
        <v/>
      </c>
      <c r="AV195" s="398">
        <f t="shared" ca="1" si="643"/>
        <v>6</v>
      </c>
      <c r="AW195" s="398">
        <f t="shared" ca="1" si="671"/>
        <v>2</v>
      </c>
      <c r="AX195" s="398">
        <f t="shared" ca="1" si="672"/>
        <v>768</v>
      </c>
      <c r="AY195" s="398">
        <f t="shared" ca="1" si="673"/>
        <v>670320</v>
      </c>
      <c r="AZ195" s="399">
        <f t="shared" si="694"/>
        <v>0</v>
      </c>
      <c r="BA195" s="399">
        <f t="shared" si="695"/>
        <v>0</v>
      </c>
      <c r="BB195" s="483" t="str">
        <f t="shared" ca="1" si="644"/>
        <v/>
      </c>
      <c r="BC195" s="400">
        <f ca="1">IF(MAX(IF($D$6="No",ROUNDUP($D$3/$I195,0),ROUNDUP(($D$3+$I195)/$I195,0)),IF($D$6="No",ROUNDUP($D$4/$G195,0),ROUNDUP(($D$4+$G195)/$G195,0)),ROUNDUP('BVMS checklist'!$H$217/$J195,0))&gt;1,'BVMS checklist'!$L$224,'BVMS checklist'!$L$217)</f>
        <v>0</v>
      </c>
      <c r="BD195" s="398">
        <f t="shared" ca="1" si="645"/>
        <v>2</v>
      </c>
      <c r="BE195" s="400">
        <f t="shared" si="674"/>
        <v>1</v>
      </c>
      <c r="BF195" s="400">
        <f t="shared" si="675"/>
        <v>2125</v>
      </c>
      <c r="BG195" s="400">
        <f t="shared" ca="1" si="656"/>
        <v>0</v>
      </c>
      <c r="BH195" s="398">
        <f t="shared" ca="1" si="676"/>
        <v>670320</v>
      </c>
      <c r="BI195" s="401" t="str">
        <f t="shared" ca="1" si="646"/>
        <v/>
      </c>
      <c r="BJ195" s="398">
        <f t="shared" ca="1" si="677"/>
        <v>1024</v>
      </c>
      <c r="BK195" s="400">
        <f ca="1">IF(MAX(IF($D$6="No",ROUNDUP($D$3/$I195,0),ROUNDUP(($D$3+$I195)/$I195,0)),IF($D$6="No",ROUNDUP($D$4/$G195,0),ROUNDUP(($D$4+$G195)/$G195,0)),ROUNDUP('BVMS checklist'!$H$217/$J195,0))&gt;1,'BVMS checklist'!$L$224,'BVMS checklist'!$L$217)+MAX(IF($D$6="No",ROUNDUP($D$3/$I195,0),ROUNDUP(($D$3+$I195)/$I195,0)),IF($D$6="No",ROUNDUP($D$4/$G195,0),ROUNDUP(($D$4+$G195)/$G195,0)))+$D$5</f>
        <v>1</v>
      </c>
      <c r="BL195" s="400" t="b">
        <f t="shared" ca="1" si="631"/>
        <v>1</v>
      </c>
      <c r="BM195" s="400" t="str">
        <f t="shared" ca="1" si="678"/>
        <v>Accepted</v>
      </c>
      <c r="BN195" s="398" t="str">
        <f t="shared" ca="1" si="657"/>
        <v>No</v>
      </c>
      <c r="BO195" s="398" t="str">
        <f t="shared" ca="1" si="679"/>
        <v/>
      </c>
      <c r="BP195" s="398" t="str">
        <f t="shared" ca="1" si="647"/>
        <v/>
      </c>
      <c r="BQ195" s="398">
        <f t="shared" ca="1" si="648"/>
        <v>6</v>
      </c>
      <c r="BR195" s="398">
        <f t="shared" ca="1" si="680"/>
        <v>2</v>
      </c>
      <c r="BS195" s="398">
        <f t="shared" ca="1" si="681"/>
        <v>768</v>
      </c>
      <c r="BT195" s="398">
        <f t="shared" ca="1" si="682"/>
        <v>670320</v>
      </c>
      <c r="BU195" s="399">
        <f t="shared" si="696"/>
        <v>0</v>
      </c>
      <c r="BV195" s="399">
        <f t="shared" si="697"/>
        <v>0</v>
      </c>
      <c r="BW195" s="483" t="str">
        <f t="shared" ca="1" si="649"/>
        <v/>
      </c>
      <c r="BX195" s="400">
        <f ca="1">IF(MAX(IF($E$6="No",ROUNDUP($E$3/$I195,0),ROUNDUP(($E$3+$I195)/$I195,0)),IF($E$6="No",ROUNDUP($E$4/$G195,0),ROUNDUP(($E$4+$G195)/$G195,0)),ROUNDUP('BVMS checklist'!$H$217/$J195,0))&gt;1,'BVMS checklist'!$N$224,'BVMS checklist'!$N$217)</f>
        <v>0</v>
      </c>
      <c r="BY195" s="398">
        <f t="shared" ca="1" si="650"/>
        <v>2</v>
      </c>
      <c r="BZ195" s="400">
        <f t="shared" ca="1" si="683"/>
        <v>2</v>
      </c>
      <c r="CA195" s="400">
        <f t="shared" ca="1" si="684"/>
        <v>4250</v>
      </c>
      <c r="CB195" s="400">
        <f t="shared" ca="1" si="658"/>
        <v>0</v>
      </c>
      <c r="CC195" s="398">
        <f t="shared" ca="1" si="685"/>
        <v>670320</v>
      </c>
      <c r="CD195" s="401" t="str">
        <f t="shared" ca="1" si="651"/>
        <v/>
      </c>
      <c r="CE195" s="398">
        <f t="shared" ca="1" si="686"/>
        <v>1024</v>
      </c>
      <c r="CF195" s="400">
        <f ca="1">IF(MAX(IF($E$6="No",ROUNDUP($E$3/$I195,0),ROUNDUP(($E$3+$I195)/$I195,0)),IF($E$6="No",ROUNDUP($E$4/$G195,0),ROUNDUP(($E$4+$G195)/$G195,0)),ROUNDUP('BVMS checklist'!$H$217/$J195,0))&gt;1,'BVMS checklist'!$N$224,'BVMS checklist'!$N$217)+MAX(IF($E$6="No",ROUNDUP($E$3/$I195,0),ROUNDUP(($E$3+$I195)/$I195,0)),IF($E$6="No",ROUNDUP($E$4/$G195,0),ROUNDUP(($E$4+$G195)/$G195,0)))+$E$5</f>
        <v>1</v>
      </c>
      <c r="CG195" s="400" t="b">
        <f t="shared" ca="1" si="632"/>
        <v>1</v>
      </c>
      <c r="CH195" s="400" t="str">
        <f t="shared" ca="1" si="687"/>
        <v>Accepted</v>
      </c>
      <c r="CI195" s="398" t="str">
        <f t="shared" ca="1" si="659"/>
        <v>No</v>
      </c>
      <c r="CJ195" s="398" t="str">
        <f t="shared" ca="1" si="688"/>
        <v/>
      </c>
      <c r="CK195" s="398" t="str">
        <f t="shared" ca="1" si="652"/>
        <v/>
      </c>
      <c r="CL195" s="398">
        <f t="shared" ca="1" si="653"/>
        <v>6</v>
      </c>
      <c r="CM195" s="398">
        <f t="shared" ca="1" si="689"/>
        <v>2</v>
      </c>
      <c r="CN195" s="398">
        <f t="shared" ca="1" si="690"/>
        <v>768</v>
      </c>
      <c r="CO195" s="398">
        <f t="shared" ca="1" si="691"/>
        <v>670320</v>
      </c>
      <c r="CP195" s="399">
        <f t="shared" si="698"/>
        <v>0</v>
      </c>
      <c r="CQ195" s="399">
        <f t="shared" si="699"/>
        <v>0</v>
      </c>
      <c r="CR195" s="483" t="str">
        <f t="shared" ca="1" si="654"/>
        <v/>
      </c>
      <c r="CS195"/>
    </row>
    <row r="196" spans="1:97">
      <c r="A196" s="398" t="s">
        <v>506</v>
      </c>
      <c r="B196" s="398" t="s">
        <v>987</v>
      </c>
      <c r="C196" s="440" t="s">
        <v>891</v>
      </c>
      <c r="D196" s="398">
        <v>5</v>
      </c>
      <c r="E196" s="398"/>
      <c r="F196" s="440">
        <v>0</v>
      </c>
      <c r="G196" s="398">
        <f>IF(C196="RAID5",(((15-F196)*5586))+(4*(((15-F196)*5586))),(((14-F196)*5586))+(4*(((14-F196)*5586))))</f>
        <v>418950</v>
      </c>
      <c r="H196" s="399">
        <v>480</v>
      </c>
      <c r="I196" s="399">
        <v>2675</v>
      </c>
      <c r="J196" s="399">
        <v>640</v>
      </c>
      <c r="K196" s="399"/>
      <c r="L196" s="399"/>
      <c r="M196" s="400">
        <f ca="1">IF(MAX(IF($B$6="No",ROUNDUP($B$3/$I196,0),ROUNDUP(($B$3+$I196)/$I196,0)),IF($B$6="No",ROUNDUP($B$4/$G196,0),ROUNDUP(($B$4+$G196)/$G196,0)),ROUNDUP('BVMS checklist'!$H$217/$J196,0))&gt;1,'BVMS checklist'!$H$224,'BVMS checklist'!$H$217)</f>
        <v>0</v>
      </c>
      <c r="N196" s="398">
        <f t="shared" ca="1" si="633"/>
        <v>2</v>
      </c>
      <c r="O196" s="400">
        <f t="shared" ca="1" si="660"/>
        <v>2</v>
      </c>
      <c r="P196" s="400">
        <f t="shared" ca="1" si="624"/>
        <v>5350</v>
      </c>
      <c r="Q196" s="400">
        <f t="shared" ca="1" si="625"/>
        <v>0</v>
      </c>
      <c r="R196" s="398">
        <f t="shared" ca="1" si="626"/>
        <v>837900</v>
      </c>
      <c r="S196" s="401" t="str">
        <f t="shared" ca="1" si="634"/>
        <v/>
      </c>
      <c r="T196" s="398">
        <f t="shared" ca="1" si="635"/>
        <v>1280</v>
      </c>
      <c r="U196" s="400">
        <f ca="1">IF(MAX(IF($B$6="No",ROUNDUP($B$3/$I196,0),ROUNDUP(($B$3+$I196)/$I196,0)),IF($B$6="No",ROUNDUP($B$4/$G196,0),ROUNDUP(($B$4+$G196)/$G196,0)),ROUNDUP('BVMS checklist'!$H$217/$J196,0))&gt;1,'BVMS checklist'!$H$224,'BVMS checklist'!$H$217)+MAX(IF($B$6="No",ROUNDUP($B$3/$I196,0),ROUNDUP(($B$3+$I196)/$I196,0)),IF($B$6="No",ROUNDUP($B$4/$G196,0),ROUNDUP(($B$4+$G196)/$G196,0)))+$B$5</f>
        <v>1</v>
      </c>
      <c r="V196" s="400" t="b">
        <f t="shared" ca="1" si="627"/>
        <v>1</v>
      </c>
      <c r="W196" s="400" t="str">
        <f t="shared" ca="1" si="661"/>
        <v>Accepted</v>
      </c>
      <c r="X196" s="398" t="str">
        <f t="shared" ca="1" si="636"/>
        <v>No</v>
      </c>
      <c r="Y196" s="398" t="str">
        <f t="shared" ca="1" si="637"/>
        <v/>
      </c>
      <c r="Z196" s="398" t="str">
        <f t="shared" ca="1" si="638"/>
        <v/>
      </c>
      <c r="AA196" s="398">
        <f t="shared" ca="1" si="662"/>
        <v>6</v>
      </c>
      <c r="AB196" s="398">
        <f t="shared" ca="1" si="628"/>
        <v>2</v>
      </c>
      <c r="AC196" s="398">
        <f t="shared" ca="1" si="629"/>
        <v>960</v>
      </c>
      <c r="AD196" s="398">
        <f t="shared" ca="1" si="663"/>
        <v>837900</v>
      </c>
      <c r="AE196" s="399">
        <f t="shared" si="692"/>
        <v>0</v>
      </c>
      <c r="AF196" s="399">
        <f t="shared" si="693"/>
        <v>0</v>
      </c>
      <c r="AG196" s="483" t="str">
        <f t="shared" ca="1" si="639"/>
        <v/>
      </c>
      <c r="AH196" s="400">
        <f ca="1">IF(MAX(IF($C$6="No",ROUNDUP($C$3/$I196,0),ROUNDUP(($C$3+$I196)/$I196,0)),IF($C$6="No",ROUNDUP($C$4/$G196,0),ROUNDUP(($C$4+$G196)/$G196,0)),ROUNDUP('BVMS checklist'!$H$217/$J196,0))&gt;1,'BVMS checklist'!$J$224,'BVMS checklist'!$J$217)</f>
        <v>0</v>
      </c>
      <c r="AI196" s="398">
        <f t="shared" ca="1" si="640"/>
        <v>2</v>
      </c>
      <c r="AJ196" s="400">
        <f t="shared" ca="1" si="664"/>
        <v>2</v>
      </c>
      <c r="AK196" s="400">
        <f t="shared" ca="1" si="665"/>
        <v>5350</v>
      </c>
      <c r="AL196" s="400">
        <f t="shared" ca="1" si="666"/>
        <v>0</v>
      </c>
      <c r="AM196" s="398">
        <f t="shared" ca="1" si="667"/>
        <v>837900</v>
      </c>
      <c r="AN196" s="401" t="str">
        <f t="shared" ca="1" si="641"/>
        <v/>
      </c>
      <c r="AO196" s="398">
        <f t="shared" ca="1" si="668"/>
        <v>1280</v>
      </c>
      <c r="AP196" s="400">
        <f ca="1">IF(MAX(IF($C$6="No",ROUNDUP($C$3/$I196,0),ROUNDUP(($C$3+$I196)/$I196,0)),IF($C$6="No",ROUNDUP($C$4/$G196,0),ROUNDUP(($C$4+$G196)/$G196,0)),ROUNDUP('BVMS checklist'!$H$217/$J196,0))&gt;1,'BVMS checklist'!$J$224,'BVMS checklist'!$J$217)+MAX(IF($C$6="No",ROUNDUP($C$3/$I196,0),ROUNDUP(($C$3+$I196)/$I196,0)),IF($C$6="No",ROUNDUP($C$4/$G196,0),ROUNDUP(($C$4+$G196)/$G196,0)))+$C$5</f>
        <v>1</v>
      </c>
      <c r="AQ196" s="400" t="b">
        <f t="shared" ca="1" si="630"/>
        <v>1</v>
      </c>
      <c r="AR196" s="400" t="str">
        <f t="shared" ca="1" si="669"/>
        <v>Accepted</v>
      </c>
      <c r="AS196" s="398" t="str">
        <f t="shared" ca="1" si="655"/>
        <v>No</v>
      </c>
      <c r="AT196" s="398" t="str">
        <f t="shared" ca="1" si="670"/>
        <v/>
      </c>
      <c r="AU196" s="398" t="str">
        <f t="shared" ca="1" si="642"/>
        <v/>
      </c>
      <c r="AV196" s="398">
        <f t="shared" ca="1" si="643"/>
        <v>6</v>
      </c>
      <c r="AW196" s="398">
        <f t="shared" ca="1" si="671"/>
        <v>2</v>
      </c>
      <c r="AX196" s="398">
        <f t="shared" ca="1" si="672"/>
        <v>960</v>
      </c>
      <c r="AY196" s="398">
        <f t="shared" ca="1" si="673"/>
        <v>837900</v>
      </c>
      <c r="AZ196" s="399">
        <f t="shared" si="694"/>
        <v>0</v>
      </c>
      <c r="BA196" s="399">
        <f t="shared" si="695"/>
        <v>0</v>
      </c>
      <c r="BB196" s="483" t="str">
        <f t="shared" ca="1" si="644"/>
        <v/>
      </c>
      <c r="BC196" s="400">
        <f ca="1">IF(MAX(IF($D$6="No",ROUNDUP($D$3/$I196,0),ROUNDUP(($D$3+$I196)/$I196,0)),IF($D$6="No",ROUNDUP($D$4/$G196,0),ROUNDUP(($D$4+$G196)/$G196,0)),ROUNDUP('BVMS checklist'!$H$217/$J196,0))&gt;1,'BVMS checklist'!$L$224,'BVMS checklist'!$L$217)</f>
        <v>0</v>
      </c>
      <c r="BD196" s="398">
        <f t="shared" ca="1" si="645"/>
        <v>2</v>
      </c>
      <c r="BE196" s="400">
        <f t="shared" si="674"/>
        <v>1</v>
      </c>
      <c r="BF196" s="400">
        <f t="shared" si="675"/>
        <v>2675</v>
      </c>
      <c r="BG196" s="400">
        <f t="shared" ca="1" si="656"/>
        <v>0</v>
      </c>
      <c r="BH196" s="398">
        <f t="shared" ca="1" si="676"/>
        <v>837900</v>
      </c>
      <c r="BI196" s="401" t="str">
        <f t="shared" ca="1" si="646"/>
        <v/>
      </c>
      <c r="BJ196" s="398">
        <f t="shared" ca="1" si="677"/>
        <v>1280</v>
      </c>
      <c r="BK196" s="400">
        <f ca="1">IF(MAX(IF($D$6="No",ROUNDUP($D$3/$I196,0),ROUNDUP(($D$3+$I196)/$I196,0)),IF($D$6="No",ROUNDUP($D$4/$G196,0),ROUNDUP(($D$4+$G196)/$G196,0)),ROUNDUP('BVMS checklist'!$H$217/$J196,0))&gt;1,'BVMS checklist'!$L$224,'BVMS checklist'!$L$217)+MAX(IF($D$6="No",ROUNDUP($D$3/$I196,0),ROUNDUP(($D$3+$I196)/$I196,0)),IF($D$6="No",ROUNDUP($D$4/$G196,0),ROUNDUP(($D$4+$G196)/$G196,0)))+$D$5</f>
        <v>1</v>
      </c>
      <c r="BL196" s="400" t="b">
        <f t="shared" ca="1" si="631"/>
        <v>1</v>
      </c>
      <c r="BM196" s="400" t="str">
        <f t="shared" ca="1" si="678"/>
        <v>Accepted</v>
      </c>
      <c r="BN196" s="398" t="str">
        <f t="shared" ca="1" si="657"/>
        <v>No</v>
      </c>
      <c r="BO196" s="398" t="str">
        <f t="shared" ca="1" si="679"/>
        <v/>
      </c>
      <c r="BP196" s="398" t="str">
        <f t="shared" ca="1" si="647"/>
        <v/>
      </c>
      <c r="BQ196" s="398">
        <f t="shared" ca="1" si="648"/>
        <v>6</v>
      </c>
      <c r="BR196" s="398">
        <f t="shared" ca="1" si="680"/>
        <v>2</v>
      </c>
      <c r="BS196" s="398">
        <f t="shared" ca="1" si="681"/>
        <v>960</v>
      </c>
      <c r="BT196" s="398">
        <f t="shared" ca="1" si="682"/>
        <v>837900</v>
      </c>
      <c r="BU196" s="399">
        <f t="shared" si="696"/>
        <v>0</v>
      </c>
      <c r="BV196" s="399">
        <f t="shared" si="697"/>
        <v>0</v>
      </c>
      <c r="BW196" s="483" t="str">
        <f t="shared" ca="1" si="649"/>
        <v/>
      </c>
      <c r="BX196" s="400">
        <f ca="1">IF(MAX(IF($E$6="No",ROUNDUP($E$3/$I196,0),ROUNDUP(($E$3+$I196)/$I196,0)),IF($E$6="No",ROUNDUP($E$4/$G196,0),ROUNDUP(($E$4+$G196)/$G196,0)),ROUNDUP('BVMS checklist'!$H$217/$J196,0))&gt;1,'BVMS checklist'!$N$224,'BVMS checklist'!$N$217)</f>
        <v>0</v>
      </c>
      <c r="BY196" s="398">
        <f t="shared" ca="1" si="650"/>
        <v>2</v>
      </c>
      <c r="BZ196" s="400">
        <f t="shared" ca="1" si="683"/>
        <v>2</v>
      </c>
      <c r="CA196" s="400">
        <f t="shared" ca="1" si="684"/>
        <v>5350</v>
      </c>
      <c r="CB196" s="400">
        <f t="shared" ca="1" si="658"/>
        <v>0</v>
      </c>
      <c r="CC196" s="398">
        <f t="shared" ca="1" si="685"/>
        <v>837900</v>
      </c>
      <c r="CD196" s="401" t="str">
        <f t="shared" ca="1" si="651"/>
        <v/>
      </c>
      <c r="CE196" s="398">
        <f t="shared" ca="1" si="686"/>
        <v>1280</v>
      </c>
      <c r="CF196" s="400">
        <f ca="1">IF(MAX(IF($E$6="No",ROUNDUP($E$3/$I196,0),ROUNDUP(($E$3+$I196)/$I196,0)),IF($E$6="No",ROUNDUP($E$4/$G196,0),ROUNDUP(($E$4+$G196)/$G196,0)),ROUNDUP('BVMS checklist'!$H$217/$J196,0))&gt;1,'BVMS checklist'!$N$224,'BVMS checklist'!$N$217)+MAX(IF($E$6="No",ROUNDUP($E$3/$I196,0),ROUNDUP(($E$3+$I196)/$I196,0)),IF($E$6="No",ROUNDUP($E$4/$G196,0),ROUNDUP(($E$4+$G196)/$G196,0)))+$E$5</f>
        <v>1</v>
      </c>
      <c r="CG196" s="400" t="b">
        <f t="shared" ca="1" si="632"/>
        <v>1</v>
      </c>
      <c r="CH196" s="400" t="str">
        <f t="shared" ca="1" si="687"/>
        <v>Accepted</v>
      </c>
      <c r="CI196" s="398" t="str">
        <f t="shared" ca="1" si="659"/>
        <v>No</v>
      </c>
      <c r="CJ196" s="398" t="str">
        <f t="shared" ca="1" si="688"/>
        <v/>
      </c>
      <c r="CK196" s="398" t="str">
        <f t="shared" ca="1" si="652"/>
        <v/>
      </c>
      <c r="CL196" s="398">
        <f t="shared" ca="1" si="653"/>
        <v>6</v>
      </c>
      <c r="CM196" s="398">
        <f t="shared" ca="1" si="689"/>
        <v>2</v>
      </c>
      <c r="CN196" s="398">
        <f t="shared" ca="1" si="690"/>
        <v>960</v>
      </c>
      <c r="CO196" s="398">
        <f t="shared" ca="1" si="691"/>
        <v>837900</v>
      </c>
      <c r="CP196" s="399">
        <f t="shared" si="698"/>
        <v>0</v>
      </c>
      <c r="CQ196" s="399">
        <f t="shared" si="699"/>
        <v>0</v>
      </c>
      <c r="CR196" s="483" t="str">
        <f t="shared" ca="1" si="654"/>
        <v/>
      </c>
      <c r="CS196"/>
    </row>
    <row r="197" spans="1:97">
      <c r="A197" s="398" t="s">
        <v>507</v>
      </c>
      <c r="B197" s="398" t="s">
        <v>987</v>
      </c>
      <c r="C197" s="440" t="s">
        <v>891</v>
      </c>
      <c r="D197" s="398">
        <v>2</v>
      </c>
      <c r="E197" s="398"/>
      <c r="F197" s="440">
        <v>0</v>
      </c>
      <c r="G197" s="398">
        <f>IF(C197="RAID5",(((15-F197)*5586))+(1*(((7-F197)*7448))),(((14-F197)*5586))+(1*(((6-F197)*7448))))</f>
        <v>135926</v>
      </c>
      <c r="H197" s="399">
        <v>160</v>
      </c>
      <c r="I197" s="399">
        <v>1025</v>
      </c>
      <c r="J197" s="399">
        <v>256</v>
      </c>
      <c r="K197" s="399"/>
      <c r="L197" s="399"/>
      <c r="M197" s="400">
        <f ca="1">IF(MAX(IF($B$6="No",ROUNDUP($B$3/$I197,0),ROUNDUP(($B$3+$I197)/$I197,0)),IF($B$6="No",ROUNDUP($B$4/$G197,0),ROUNDUP(($B$4+$G197)/$G197,0)),ROUNDUP('BVMS checklist'!$H$217/$J197,0))&gt;1,'BVMS checklist'!$H$224,'BVMS checklist'!$H$217)</f>
        <v>0</v>
      </c>
      <c r="N197" s="398">
        <f t="shared" ca="1" si="633"/>
        <v>2</v>
      </c>
      <c r="O197" s="400">
        <f t="shared" ca="1" si="660"/>
        <v>2</v>
      </c>
      <c r="P197" s="400">
        <f t="shared" ca="1" si="624"/>
        <v>2050</v>
      </c>
      <c r="Q197" s="400">
        <f t="shared" ca="1" si="625"/>
        <v>0</v>
      </c>
      <c r="R197" s="398">
        <f t="shared" ca="1" si="626"/>
        <v>271852</v>
      </c>
      <c r="S197" s="401" t="str">
        <f t="shared" ca="1" si="634"/>
        <v/>
      </c>
      <c r="T197" s="398">
        <f t="shared" ca="1" si="635"/>
        <v>512</v>
      </c>
      <c r="U197" s="400">
        <f ca="1">IF(MAX(IF($B$6="No",ROUNDUP($B$3/$I197,0),ROUNDUP(($B$3+$I197)/$I197,0)),IF($B$6="No",ROUNDUP($B$4/$G197,0),ROUNDUP(($B$4+$G197)/$G197,0)),ROUNDUP('BVMS checklist'!$H$217/$J197,0))&gt;1,'BVMS checklist'!$H$224,'BVMS checklist'!$H$217)+MAX(IF($B$6="No",ROUNDUP($B$3/$I197,0),ROUNDUP(($B$3+$I197)/$I197,0)),IF($B$6="No",ROUNDUP($B$4/$G197,0),ROUNDUP(($B$4+$G197)/$G197,0)))+$B$5</f>
        <v>1</v>
      </c>
      <c r="V197" s="400" t="b">
        <f t="shared" ca="1" si="627"/>
        <v>1</v>
      </c>
      <c r="W197" s="400" t="str">
        <f t="shared" ca="1" si="661"/>
        <v>Accepted</v>
      </c>
      <c r="X197" s="398" t="str">
        <f t="shared" ca="1" si="636"/>
        <v>No</v>
      </c>
      <c r="Y197" s="398" t="str">
        <f t="shared" ca="1" si="637"/>
        <v/>
      </c>
      <c r="Z197" s="398" t="str">
        <f t="shared" ca="1" si="638"/>
        <v/>
      </c>
      <c r="AA197" s="398">
        <f t="shared" ca="1" si="662"/>
        <v>6</v>
      </c>
      <c r="AB197" s="398">
        <f t="shared" ca="1" si="628"/>
        <v>2</v>
      </c>
      <c r="AC197" s="398">
        <f t="shared" ca="1" si="629"/>
        <v>320</v>
      </c>
      <c r="AD197" s="398">
        <f t="shared" ca="1" si="663"/>
        <v>271852</v>
      </c>
      <c r="AE197" s="399">
        <f t="shared" si="692"/>
        <v>0</v>
      </c>
      <c r="AF197" s="399">
        <f t="shared" si="693"/>
        <v>0</v>
      </c>
      <c r="AG197" s="483" t="str">
        <f t="shared" ca="1" si="639"/>
        <v/>
      </c>
      <c r="AH197" s="400">
        <f ca="1">IF(MAX(IF($C$6="No",ROUNDUP($C$3/$I197,0),ROUNDUP(($C$3+$I197)/$I197,0)),IF($C$6="No",ROUNDUP($C$4/$G197,0),ROUNDUP(($C$4+$G197)/$G197,0)),ROUNDUP('BVMS checklist'!$H$217/$J197,0))&gt;1,'BVMS checklist'!$J$224,'BVMS checklist'!$J$217)</f>
        <v>0</v>
      </c>
      <c r="AI197" s="398">
        <f t="shared" ca="1" si="640"/>
        <v>2</v>
      </c>
      <c r="AJ197" s="400">
        <f t="shared" ca="1" si="664"/>
        <v>2</v>
      </c>
      <c r="AK197" s="400">
        <f t="shared" ca="1" si="665"/>
        <v>2050</v>
      </c>
      <c r="AL197" s="400">
        <f t="shared" ca="1" si="666"/>
        <v>0</v>
      </c>
      <c r="AM197" s="398">
        <f t="shared" ca="1" si="667"/>
        <v>271852</v>
      </c>
      <c r="AN197" s="401" t="str">
        <f t="shared" ca="1" si="641"/>
        <v/>
      </c>
      <c r="AO197" s="398">
        <f t="shared" ca="1" si="668"/>
        <v>512</v>
      </c>
      <c r="AP197" s="400">
        <f ca="1">IF(MAX(IF($C$6="No",ROUNDUP($C$3/$I197,0),ROUNDUP(($C$3+$I197)/$I197,0)),IF($C$6="No",ROUNDUP($C$4/$G197,0),ROUNDUP(($C$4+$G197)/$G197,0)),ROUNDUP('BVMS checklist'!$H$217/$J197,0))&gt;1,'BVMS checklist'!$J$224,'BVMS checklist'!$J$217)+MAX(IF($C$6="No",ROUNDUP($C$3/$I197,0),ROUNDUP(($C$3+$I197)/$I197,0)),IF($C$6="No",ROUNDUP($C$4/$G197,0),ROUNDUP(($C$4+$G197)/$G197,0)))+$C$5</f>
        <v>1</v>
      </c>
      <c r="AQ197" s="400" t="b">
        <f t="shared" ca="1" si="630"/>
        <v>1</v>
      </c>
      <c r="AR197" s="400" t="str">
        <f t="shared" ca="1" si="669"/>
        <v>Accepted</v>
      </c>
      <c r="AS197" s="398" t="str">
        <f t="shared" ca="1" si="655"/>
        <v>No</v>
      </c>
      <c r="AT197" s="398" t="str">
        <f t="shared" ca="1" si="670"/>
        <v/>
      </c>
      <c r="AU197" s="398" t="str">
        <f t="shared" ca="1" si="642"/>
        <v/>
      </c>
      <c r="AV197" s="398">
        <f t="shared" ca="1" si="643"/>
        <v>6</v>
      </c>
      <c r="AW197" s="398">
        <f t="shared" ca="1" si="671"/>
        <v>2</v>
      </c>
      <c r="AX197" s="398">
        <f t="shared" ca="1" si="672"/>
        <v>320</v>
      </c>
      <c r="AY197" s="398">
        <f t="shared" ca="1" si="673"/>
        <v>271852</v>
      </c>
      <c r="AZ197" s="399">
        <f t="shared" si="694"/>
        <v>0</v>
      </c>
      <c r="BA197" s="399">
        <f t="shared" si="695"/>
        <v>0</v>
      </c>
      <c r="BB197" s="483" t="str">
        <f t="shared" ca="1" si="644"/>
        <v/>
      </c>
      <c r="BC197" s="400">
        <f ca="1">IF(MAX(IF($D$6="No",ROUNDUP($D$3/$I197,0),ROUNDUP(($D$3+$I197)/$I197,0)),IF($D$6="No",ROUNDUP($D$4/$G197,0),ROUNDUP(($D$4+$G197)/$G197,0)),ROUNDUP('BVMS checklist'!$H$217/$J197,0))&gt;1,'BVMS checklist'!$L$224,'BVMS checklist'!$L$217)</f>
        <v>0</v>
      </c>
      <c r="BD197" s="398">
        <f t="shared" ca="1" si="645"/>
        <v>2</v>
      </c>
      <c r="BE197" s="400">
        <f t="shared" si="674"/>
        <v>1</v>
      </c>
      <c r="BF197" s="400">
        <f t="shared" si="675"/>
        <v>1025</v>
      </c>
      <c r="BG197" s="400">
        <f t="shared" ca="1" si="656"/>
        <v>0</v>
      </c>
      <c r="BH197" s="398">
        <f t="shared" ca="1" si="676"/>
        <v>271852</v>
      </c>
      <c r="BI197" s="401" t="str">
        <f t="shared" ca="1" si="646"/>
        <v/>
      </c>
      <c r="BJ197" s="398">
        <f t="shared" ca="1" si="677"/>
        <v>512</v>
      </c>
      <c r="BK197" s="400">
        <f ca="1">IF(MAX(IF($D$6="No",ROUNDUP($D$3/$I197,0),ROUNDUP(($D$3+$I197)/$I197,0)),IF($D$6="No",ROUNDUP($D$4/$G197,0),ROUNDUP(($D$4+$G197)/$G197,0)),ROUNDUP('BVMS checklist'!$H$217/$J197,0))&gt;1,'BVMS checklist'!$L$224,'BVMS checklist'!$L$217)+MAX(IF($D$6="No",ROUNDUP($D$3/$I197,0),ROUNDUP(($D$3+$I197)/$I197,0)),IF($D$6="No",ROUNDUP($D$4/$G197,0),ROUNDUP(($D$4+$G197)/$G197,0)))+$D$5</f>
        <v>1</v>
      </c>
      <c r="BL197" s="400" t="b">
        <f t="shared" ca="1" si="631"/>
        <v>1</v>
      </c>
      <c r="BM197" s="400" t="str">
        <f t="shared" ca="1" si="678"/>
        <v>Accepted</v>
      </c>
      <c r="BN197" s="398" t="str">
        <f t="shared" ca="1" si="657"/>
        <v>No</v>
      </c>
      <c r="BO197" s="398" t="str">
        <f t="shared" ca="1" si="679"/>
        <v/>
      </c>
      <c r="BP197" s="398" t="str">
        <f t="shared" ca="1" si="647"/>
        <v/>
      </c>
      <c r="BQ197" s="398">
        <f t="shared" ca="1" si="648"/>
        <v>6</v>
      </c>
      <c r="BR197" s="398">
        <f t="shared" ca="1" si="680"/>
        <v>2</v>
      </c>
      <c r="BS197" s="398">
        <f t="shared" ca="1" si="681"/>
        <v>320</v>
      </c>
      <c r="BT197" s="398">
        <f t="shared" ca="1" si="682"/>
        <v>271852</v>
      </c>
      <c r="BU197" s="399">
        <f t="shared" si="696"/>
        <v>0</v>
      </c>
      <c r="BV197" s="399">
        <f t="shared" si="697"/>
        <v>0</v>
      </c>
      <c r="BW197" s="483" t="str">
        <f t="shared" ca="1" si="649"/>
        <v/>
      </c>
      <c r="BX197" s="400">
        <f ca="1">IF(MAX(IF($E$6="No",ROUNDUP($E$3/$I197,0),ROUNDUP(($E$3+$I197)/$I197,0)),IF($E$6="No",ROUNDUP($E$4/$G197,0),ROUNDUP(($E$4+$G197)/$G197,0)),ROUNDUP('BVMS checklist'!$H$217/$J197,0))&gt;1,'BVMS checklist'!$N$224,'BVMS checklist'!$N$217)</f>
        <v>0</v>
      </c>
      <c r="BY197" s="398">
        <f t="shared" ca="1" si="650"/>
        <v>2</v>
      </c>
      <c r="BZ197" s="400">
        <f t="shared" ca="1" si="683"/>
        <v>2</v>
      </c>
      <c r="CA197" s="400">
        <f t="shared" ca="1" si="684"/>
        <v>2050</v>
      </c>
      <c r="CB197" s="400">
        <f t="shared" ca="1" si="658"/>
        <v>0</v>
      </c>
      <c r="CC197" s="398">
        <f t="shared" ca="1" si="685"/>
        <v>271852</v>
      </c>
      <c r="CD197" s="401" t="str">
        <f t="shared" ca="1" si="651"/>
        <v/>
      </c>
      <c r="CE197" s="398">
        <f t="shared" ca="1" si="686"/>
        <v>512</v>
      </c>
      <c r="CF197" s="400">
        <f ca="1">IF(MAX(IF($E$6="No",ROUNDUP($E$3/$I197,0),ROUNDUP(($E$3+$I197)/$I197,0)),IF($E$6="No",ROUNDUP($E$4/$G197,0),ROUNDUP(($E$4+$G197)/$G197,0)),ROUNDUP('BVMS checklist'!$H$217/$J197,0))&gt;1,'BVMS checklist'!$N$224,'BVMS checklist'!$N$217)+MAX(IF($E$6="No",ROUNDUP($E$3/$I197,0),ROUNDUP(($E$3+$I197)/$I197,0)),IF($E$6="No",ROUNDUP($E$4/$G197,0),ROUNDUP(($E$4+$G197)/$G197,0)))+$E$5</f>
        <v>1</v>
      </c>
      <c r="CG197" s="400" t="b">
        <f t="shared" ca="1" si="632"/>
        <v>1</v>
      </c>
      <c r="CH197" s="400" t="str">
        <f t="shared" ca="1" si="687"/>
        <v>Accepted</v>
      </c>
      <c r="CI197" s="398" t="str">
        <f t="shared" ca="1" si="659"/>
        <v>No</v>
      </c>
      <c r="CJ197" s="398" t="str">
        <f t="shared" ca="1" si="688"/>
        <v/>
      </c>
      <c r="CK197" s="398" t="str">
        <f t="shared" ca="1" si="652"/>
        <v/>
      </c>
      <c r="CL197" s="398">
        <f t="shared" ca="1" si="653"/>
        <v>6</v>
      </c>
      <c r="CM197" s="398">
        <f t="shared" ca="1" si="689"/>
        <v>2</v>
      </c>
      <c r="CN197" s="398">
        <f t="shared" ca="1" si="690"/>
        <v>320</v>
      </c>
      <c r="CO197" s="398">
        <f t="shared" ca="1" si="691"/>
        <v>271852</v>
      </c>
      <c r="CP197" s="399">
        <f t="shared" si="698"/>
        <v>0</v>
      </c>
      <c r="CQ197" s="399">
        <f t="shared" si="699"/>
        <v>0</v>
      </c>
      <c r="CR197" s="483" t="str">
        <f t="shared" ca="1" si="654"/>
        <v/>
      </c>
      <c r="CS197"/>
    </row>
    <row r="198" spans="1:97">
      <c r="A198" s="398" t="s">
        <v>508</v>
      </c>
      <c r="B198" s="398" t="s">
        <v>987</v>
      </c>
      <c r="C198" s="440" t="s">
        <v>891</v>
      </c>
      <c r="D198" s="398">
        <v>3</v>
      </c>
      <c r="E198" s="398"/>
      <c r="F198" s="440">
        <v>0</v>
      </c>
      <c r="G198" s="398">
        <f>IF(C198="RAID5",(((15-F198)*5586))+(2*(((7-F198)*7448))),(((14-F198)*5586))+(2*(((6-F198)*7448))))</f>
        <v>188062</v>
      </c>
      <c r="H198" s="399">
        <v>224</v>
      </c>
      <c r="I198" s="399">
        <v>1575</v>
      </c>
      <c r="J198" s="399">
        <v>384</v>
      </c>
      <c r="K198" s="399"/>
      <c r="L198" s="399"/>
      <c r="M198" s="400">
        <f ca="1">IF(MAX(IF($B$6="No",ROUNDUP($B$3/$I198,0),ROUNDUP(($B$3+$I198)/$I198,0)),IF($B$6="No",ROUNDUP($B$4/$G198,0),ROUNDUP(($B$4+$G198)/$G198,0)),ROUNDUP('BVMS checklist'!$H$217/$J198,0))&gt;1,'BVMS checklist'!$H$224,'BVMS checklist'!$H$217)</f>
        <v>0</v>
      </c>
      <c r="N198" s="398">
        <f t="shared" ca="1" si="633"/>
        <v>2</v>
      </c>
      <c r="O198" s="400">
        <f t="shared" ca="1" si="660"/>
        <v>2</v>
      </c>
      <c r="P198" s="400">
        <f t="shared" ca="1" si="624"/>
        <v>3150</v>
      </c>
      <c r="Q198" s="400">
        <f t="shared" ca="1" si="625"/>
        <v>0</v>
      </c>
      <c r="R198" s="398">
        <f t="shared" ca="1" si="626"/>
        <v>376124</v>
      </c>
      <c r="S198" s="401" t="str">
        <f t="shared" ca="1" si="634"/>
        <v/>
      </c>
      <c r="T198" s="398">
        <f t="shared" ca="1" si="635"/>
        <v>768</v>
      </c>
      <c r="U198" s="400">
        <f ca="1">IF(MAX(IF($B$6="No",ROUNDUP($B$3/$I198,0),ROUNDUP(($B$3+$I198)/$I198,0)),IF($B$6="No",ROUNDUP($B$4/$G198,0),ROUNDUP(($B$4+$G198)/$G198,0)),ROUNDUP('BVMS checklist'!$H$217/$J198,0))&gt;1,'BVMS checklist'!$H$224,'BVMS checklist'!$H$217)+MAX(IF($B$6="No",ROUNDUP($B$3/$I198,0),ROUNDUP(($B$3+$I198)/$I198,0)),IF($B$6="No",ROUNDUP($B$4/$G198,0),ROUNDUP(($B$4+$G198)/$G198,0)))+$B$5</f>
        <v>1</v>
      </c>
      <c r="V198" s="400" t="b">
        <f t="shared" ca="1" si="627"/>
        <v>1</v>
      </c>
      <c r="W198" s="400" t="str">
        <f t="shared" ca="1" si="661"/>
        <v>Accepted</v>
      </c>
      <c r="X198" s="398" t="str">
        <f t="shared" ca="1" si="636"/>
        <v>No</v>
      </c>
      <c r="Y198" s="398" t="str">
        <f t="shared" ca="1" si="637"/>
        <v/>
      </c>
      <c r="Z198" s="398" t="str">
        <f t="shared" ca="1" si="638"/>
        <v/>
      </c>
      <c r="AA198" s="398">
        <f t="shared" ca="1" si="662"/>
        <v>6</v>
      </c>
      <c r="AB198" s="398">
        <f t="shared" ca="1" si="628"/>
        <v>2</v>
      </c>
      <c r="AC198" s="398">
        <f t="shared" ca="1" si="629"/>
        <v>448</v>
      </c>
      <c r="AD198" s="398">
        <f t="shared" ca="1" si="663"/>
        <v>376124</v>
      </c>
      <c r="AE198" s="399">
        <f t="shared" si="692"/>
        <v>0</v>
      </c>
      <c r="AF198" s="399">
        <f t="shared" si="693"/>
        <v>0</v>
      </c>
      <c r="AG198" s="483" t="str">
        <f t="shared" ca="1" si="639"/>
        <v/>
      </c>
      <c r="AH198" s="400">
        <f ca="1">IF(MAX(IF($C$6="No",ROUNDUP($C$3/$I198,0),ROUNDUP(($C$3+$I198)/$I198,0)),IF($C$6="No",ROUNDUP($C$4/$G198,0),ROUNDUP(($C$4+$G198)/$G198,0)),ROUNDUP('BVMS checklist'!$H$217/$J198,0))&gt;1,'BVMS checklist'!$J$224,'BVMS checklist'!$J$217)</f>
        <v>0</v>
      </c>
      <c r="AI198" s="398">
        <f t="shared" ca="1" si="640"/>
        <v>2</v>
      </c>
      <c r="AJ198" s="400">
        <f t="shared" ca="1" si="664"/>
        <v>2</v>
      </c>
      <c r="AK198" s="400">
        <f t="shared" ca="1" si="665"/>
        <v>3150</v>
      </c>
      <c r="AL198" s="400">
        <f t="shared" ca="1" si="666"/>
        <v>0</v>
      </c>
      <c r="AM198" s="398">
        <f t="shared" ca="1" si="667"/>
        <v>376124</v>
      </c>
      <c r="AN198" s="401" t="str">
        <f t="shared" ca="1" si="641"/>
        <v/>
      </c>
      <c r="AO198" s="398">
        <f t="shared" ca="1" si="668"/>
        <v>768</v>
      </c>
      <c r="AP198" s="400">
        <f ca="1">IF(MAX(IF($C$6="No",ROUNDUP($C$3/$I198,0),ROUNDUP(($C$3+$I198)/$I198,0)),IF($C$6="No",ROUNDUP($C$4/$G198,0),ROUNDUP(($C$4+$G198)/$G198,0)),ROUNDUP('BVMS checklist'!$H$217/$J198,0))&gt;1,'BVMS checklist'!$J$224,'BVMS checklist'!$J$217)+MAX(IF($C$6="No",ROUNDUP($C$3/$I198,0),ROUNDUP(($C$3+$I198)/$I198,0)),IF($C$6="No",ROUNDUP($C$4/$G198,0),ROUNDUP(($C$4+$G198)/$G198,0)))+$C$5</f>
        <v>1</v>
      </c>
      <c r="AQ198" s="400" t="b">
        <f t="shared" ca="1" si="630"/>
        <v>1</v>
      </c>
      <c r="AR198" s="400" t="str">
        <f t="shared" ca="1" si="669"/>
        <v>Accepted</v>
      </c>
      <c r="AS198" s="398" t="str">
        <f t="shared" ca="1" si="655"/>
        <v>No</v>
      </c>
      <c r="AT198" s="398" t="str">
        <f t="shared" ca="1" si="670"/>
        <v/>
      </c>
      <c r="AU198" s="398" t="str">
        <f t="shared" ca="1" si="642"/>
        <v/>
      </c>
      <c r="AV198" s="398">
        <f t="shared" ca="1" si="643"/>
        <v>6</v>
      </c>
      <c r="AW198" s="398">
        <f t="shared" ca="1" si="671"/>
        <v>2</v>
      </c>
      <c r="AX198" s="398">
        <f t="shared" ca="1" si="672"/>
        <v>448</v>
      </c>
      <c r="AY198" s="398">
        <f t="shared" ca="1" si="673"/>
        <v>376124</v>
      </c>
      <c r="AZ198" s="399">
        <f t="shared" si="694"/>
        <v>0</v>
      </c>
      <c r="BA198" s="399">
        <f t="shared" si="695"/>
        <v>0</v>
      </c>
      <c r="BB198" s="483" t="str">
        <f t="shared" ca="1" si="644"/>
        <v/>
      </c>
      <c r="BC198" s="400">
        <f ca="1">IF(MAX(IF($D$6="No",ROUNDUP($D$3/$I198,0),ROUNDUP(($D$3+$I198)/$I198,0)),IF($D$6="No",ROUNDUP($D$4/$G198,0),ROUNDUP(($D$4+$G198)/$G198,0)),ROUNDUP('BVMS checklist'!$H$217/$J198,0))&gt;1,'BVMS checklist'!$L$224,'BVMS checklist'!$L$217)</f>
        <v>0</v>
      </c>
      <c r="BD198" s="398">
        <f t="shared" ca="1" si="645"/>
        <v>2</v>
      </c>
      <c r="BE198" s="400">
        <f t="shared" si="674"/>
        <v>1</v>
      </c>
      <c r="BF198" s="400">
        <f t="shared" si="675"/>
        <v>1575</v>
      </c>
      <c r="BG198" s="400">
        <f t="shared" ca="1" si="656"/>
        <v>0</v>
      </c>
      <c r="BH198" s="398">
        <f t="shared" ca="1" si="676"/>
        <v>376124</v>
      </c>
      <c r="BI198" s="401" t="str">
        <f t="shared" ca="1" si="646"/>
        <v/>
      </c>
      <c r="BJ198" s="398">
        <f t="shared" ca="1" si="677"/>
        <v>768</v>
      </c>
      <c r="BK198" s="400">
        <f ca="1">IF(MAX(IF($D$6="No",ROUNDUP($D$3/$I198,0),ROUNDUP(($D$3+$I198)/$I198,0)),IF($D$6="No",ROUNDUP($D$4/$G198,0),ROUNDUP(($D$4+$G198)/$G198,0)),ROUNDUP('BVMS checklist'!$H$217/$J198,0))&gt;1,'BVMS checklist'!$L$224,'BVMS checklist'!$L$217)+MAX(IF($D$6="No",ROUNDUP($D$3/$I198,0),ROUNDUP(($D$3+$I198)/$I198,0)),IF($D$6="No",ROUNDUP($D$4/$G198,0),ROUNDUP(($D$4+$G198)/$G198,0)))+$D$5</f>
        <v>1</v>
      </c>
      <c r="BL198" s="400" t="b">
        <f t="shared" ca="1" si="631"/>
        <v>1</v>
      </c>
      <c r="BM198" s="400" t="str">
        <f t="shared" ca="1" si="678"/>
        <v>Accepted</v>
      </c>
      <c r="BN198" s="398" t="str">
        <f t="shared" ca="1" si="657"/>
        <v>No</v>
      </c>
      <c r="BO198" s="398" t="str">
        <f t="shared" ca="1" si="679"/>
        <v/>
      </c>
      <c r="BP198" s="398" t="str">
        <f t="shared" ca="1" si="647"/>
        <v/>
      </c>
      <c r="BQ198" s="398">
        <f t="shared" ca="1" si="648"/>
        <v>6</v>
      </c>
      <c r="BR198" s="398">
        <f t="shared" ca="1" si="680"/>
        <v>2</v>
      </c>
      <c r="BS198" s="398">
        <f t="shared" ca="1" si="681"/>
        <v>448</v>
      </c>
      <c r="BT198" s="398">
        <f t="shared" ca="1" si="682"/>
        <v>376124</v>
      </c>
      <c r="BU198" s="399">
        <f t="shared" si="696"/>
        <v>0</v>
      </c>
      <c r="BV198" s="399">
        <f t="shared" si="697"/>
        <v>0</v>
      </c>
      <c r="BW198" s="483" t="str">
        <f t="shared" ca="1" si="649"/>
        <v/>
      </c>
      <c r="BX198" s="400">
        <f ca="1">IF(MAX(IF($E$6="No",ROUNDUP($E$3/$I198,0),ROUNDUP(($E$3+$I198)/$I198,0)),IF($E$6="No",ROUNDUP($E$4/$G198,0),ROUNDUP(($E$4+$G198)/$G198,0)),ROUNDUP('BVMS checklist'!$H$217/$J198,0))&gt;1,'BVMS checklist'!$N$224,'BVMS checklist'!$N$217)</f>
        <v>0</v>
      </c>
      <c r="BY198" s="398">
        <f t="shared" ca="1" si="650"/>
        <v>2</v>
      </c>
      <c r="BZ198" s="400">
        <f t="shared" ca="1" si="683"/>
        <v>2</v>
      </c>
      <c r="CA198" s="400">
        <f t="shared" ca="1" si="684"/>
        <v>3150</v>
      </c>
      <c r="CB198" s="400">
        <f t="shared" ca="1" si="658"/>
        <v>0</v>
      </c>
      <c r="CC198" s="398">
        <f t="shared" ca="1" si="685"/>
        <v>376124</v>
      </c>
      <c r="CD198" s="401" t="str">
        <f t="shared" ca="1" si="651"/>
        <v/>
      </c>
      <c r="CE198" s="398">
        <f t="shared" ca="1" si="686"/>
        <v>768</v>
      </c>
      <c r="CF198" s="400">
        <f ca="1">IF(MAX(IF($E$6="No",ROUNDUP($E$3/$I198,0),ROUNDUP(($E$3+$I198)/$I198,0)),IF($E$6="No",ROUNDUP($E$4/$G198,0),ROUNDUP(($E$4+$G198)/$G198,0)),ROUNDUP('BVMS checklist'!$H$217/$J198,0))&gt;1,'BVMS checklist'!$N$224,'BVMS checklist'!$N$217)+MAX(IF($E$6="No",ROUNDUP($E$3/$I198,0),ROUNDUP(($E$3+$I198)/$I198,0)),IF($E$6="No",ROUNDUP($E$4/$G198,0),ROUNDUP(($E$4+$G198)/$G198,0)))+$E$5</f>
        <v>1</v>
      </c>
      <c r="CG198" s="400" t="b">
        <f t="shared" ca="1" si="632"/>
        <v>1</v>
      </c>
      <c r="CH198" s="400" t="str">
        <f t="shared" ca="1" si="687"/>
        <v>Accepted</v>
      </c>
      <c r="CI198" s="398" t="str">
        <f t="shared" ca="1" si="659"/>
        <v>No</v>
      </c>
      <c r="CJ198" s="398" t="str">
        <f t="shared" ca="1" si="688"/>
        <v/>
      </c>
      <c r="CK198" s="398" t="str">
        <f t="shared" ca="1" si="652"/>
        <v/>
      </c>
      <c r="CL198" s="398">
        <f t="shared" ca="1" si="653"/>
        <v>6</v>
      </c>
      <c r="CM198" s="398">
        <f t="shared" ca="1" si="689"/>
        <v>2</v>
      </c>
      <c r="CN198" s="398">
        <f t="shared" ca="1" si="690"/>
        <v>448</v>
      </c>
      <c r="CO198" s="398">
        <f t="shared" ca="1" si="691"/>
        <v>376124</v>
      </c>
      <c r="CP198" s="399">
        <f t="shared" si="698"/>
        <v>0</v>
      </c>
      <c r="CQ198" s="399">
        <f t="shared" si="699"/>
        <v>0</v>
      </c>
      <c r="CR198" s="483" t="str">
        <f t="shared" ca="1" si="654"/>
        <v/>
      </c>
      <c r="CS198"/>
    </row>
    <row r="199" spans="1:97">
      <c r="A199" s="398" t="s">
        <v>509</v>
      </c>
      <c r="B199" s="398" t="s">
        <v>987</v>
      </c>
      <c r="C199" s="440" t="s">
        <v>891</v>
      </c>
      <c r="D199" s="398">
        <v>4</v>
      </c>
      <c r="E199" s="398"/>
      <c r="F199" s="440">
        <v>0</v>
      </c>
      <c r="G199" s="398">
        <f>IF(C199="RAID5",(((15-F199)*5586))+(3*(((7-F199)*7448))),(((14-F199)*5586))+(3*(((6-F199)*7448))))</f>
        <v>240198</v>
      </c>
      <c r="H199" s="399">
        <v>288</v>
      </c>
      <c r="I199" s="399">
        <v>2125</v>
      </c>
      <c r="J199" s="399">
        <v>512</v>
      </c>
      <c r="K199" s="399"/>
      <c r="L199" s="399"/>
      <c r="M199" s="400">
        <f ca="1">IF(MAX(IF($B$6="No",ROUNDUP($B$3/$I199,0),ROUNDUP(($B$3+$I199)/$I199,0)),IF($B$6="No",ROUNDUP($B$4/$G199,0),ROUNDUP(($B$4+$G199)/$G199,0)),ROUNDUP('BVMS checklist'!$H$217/$J199,0))&gt;1,'BVMS checklist'!$H$224,'BVMS checklist'!$H$217)</f>
        <v>0</v>
      </c>
      <c r="N199" s="398">
        <f t="shared" ca="1" si="633"/>
        <v>2</v>
      </c>
      <c r="O199" s="400">
        <f t="shared" ca="1" si="660"/>
        <v>2</v>
      </c>
      <c r="P199" s="400">
        <f t="shared" ca="1" si="624"/>
        <v>4250</v>
      </c>
      <c r="Q199" s="400">
        <f t="shared" ca="1" si="625"/>
        <v>0</v>
      </c>
      <c r="R199" s="398">
        <f t="shared" ca="1" si="626"/>
        <v>480396</v>
      </c>
      <c r="S199" s="401" t="str">
        <f t="shared" ca="1" si="634"/>
        <v/>
      </c>
      <c r="T199" s="398">
        <f t="shared" ca="1" si="635"/>
        <v>1024</v>
      </c>
      <c r="U199" s="400">
        <f ca="1">IF(MAX(IF($B$6="No",ROUNDUP($B$3/$I199,0),ROUNDUP(($B$3+$I199)/$I199,0)),IF($B$6="No",ROUNDUP($B$4/$G199,0),ROUNDUP(($B$4+$G199)/$G199,0)),ROUNDUP('BVMS checklist'!$H$217/$J199,0))&gt;1,'BVMS checklist'!$H$224,'BVMS checklist'!$H$217)+MAX(IF($B$6="No",ROUNDUP($B$3/$I199,0),ROUNDUP(($B$3+$I199)/$I199,0)),IF($B$6="No",ROUNDUP($B$4/$G199,0),ROUNDUP(($B$4+$G199)/$G199,0)))+$B$5</f>
        <v>1</v>
      </c>
      <c r="V199" s="400" t="b">
        <f t="shared" ca="1" si="627"/>
        <v>1</v>
      </c>
      <c r="W199" s="400" t="str">
        <f t="shared" ca="1" si="661"/>
        <v>Accepted</v>
      </c>
      <c r="X199" s="398" t="str">
        <f t="shared" ca="1" si="636"/>
        <v>No</v>
      </c>
      <c r="Y199" s="398" t="str">
        <f t="shared" ca="1" si="637"/>
        <v/>
      </c>
      <c r="Z199" s="398" t="str">
        <f t="shared" ca="1" si="638"/>
        <v/>
      </c>
      <c r="AA199" s="398">
        <f t="shared" ca="1" si="662"/>
        <v>6</v>
      </c>
      <c r="AB199" s="398">
        <f t="shared" ca="1" si="628"/>
        <v>2</v>
      </c>
      <c r="AC199" s="398">
        <f t="shared" ca="1" si="629"/>
        <v>576</v>
      </c>
      <c r="AD199" s="398">
        <f t="shared" ca="1" si="663"/>
        <v>480396</v>
      </c>
      <c r="AE199" s="399">
        <f t="shared" si="692"/>
        <v>0</v>
      </c>
      <c r="AF199" s="399">
        <f t="shared" si="693"/>
        <v>0</v>
      </c>
      <c r="AG199" s="483" t="str">
        <f t="shared" ca="1" si="639"/>
        <v/>
      </c>
      <c r="AH199" s="400">
        <f ca="1">IF(MAX(IF($C$6="No",ROUNDUP($C$3/$I199,0),ROUNDUP(($C$3+$I199)/$I199,0)),IF($C$6="No",ROUNDUP($C$4/$G199,0),ROUNDUP(($C$4+$G199)/$G199,0)),ROUNDUP('BVMS checklist'!$H$217/$J199,0))&gt;1,'BVMS checklist'!$J$224,'BVMS checklist'!$J$217)</f>
        <v>0</v>
      </c>
      <c r="AI199" s="398">
        <f t="shared" ca="1" si="640"/>
        <v>2</v>
      </c>
      <c r="AJ199" s="400">
        <f t="shared" ca="1" si="664"/>
        <v>2</v>
      </c>
      <c r="AK199" s="400">
        <f t="shared" ca="1" si="665"/>
        <v>4250</v>
      </c>
      <c r="AL199" s="400">
        <f t="shared" ca="1" si="666"/>
        <v>0</v>
      </c>
      <c r="AM199" s="398">
        <f t="shared" ca="1" si="667"/>
        <v>480396</v>
      </c>
      <c r="AN199" s="401" t="str">
        <f t="shared" ca="1" si="641"/>
        <v/>
      </c>
      <c r="AO199" s="398">
        <f t="shared" ca="1" si="668"/>
        <v>1024</v>
      </c>
      <c r="AP199" s="400">
        <f ca="1">IF(MAX(IF($C$6="No",ROUNDUP($C$3/$I199,0),ROUNDUP(($C$3+$I199)/$I199,0)),IF($C$6="No",ROUNDUP($C$4/$G199,0),ROUNDUP(($C$4+$G199)/$G199,0)),ROUNDUP('BVMS checklist'!$H$217/$J199,0))&gt;1,'BVMS checklist'!$J$224,'BVMS checklist'!$J$217)+MAX(IF($C$6="No",ROUNDUP($C$3/$I199,0),ROUNDUP(($C$3+$I199)/$I199,0)),IF($C$6="No",ROUNDUP($C$4/$G199,0),ROUNDUP(($C$4+$G199)/$G199,0)))+$C$5</f>
        <v>1</v>
      </c>
      <c r="AQ199" s="400" t="b">
        <f t="shared" ca="1" si="630"/>
        <v>1</v>
      </c>
      <c r="AR199" s="400" t="str">
        <f t="shared" ca="1" si="669"/>
        <v>Accepted</v>
      </c>
      <c r="AS199" s="398" t="str">
        <f t="shared" ca="1" si="655"/>
        <v>No</v>
      </c>
      <c r="AT199" s="398" t="str">
        <f t="shared" ca="1" si="670"/>
        <v/>
      </c>
      <c r="AU199" s="398" t="str">
        <f t="shared" ca="1" si="642"/>
        <v/>
      </c>
      <c r="AV199" s="398">
        <f t="shared" ca="1" si="643"/>
        <v>6</v>
      </c>
      <c r="AW199" s="398">
        <f t="shared" ca="1" si="671"/>
        <v>2</v>
      </c>
      <c r="AX199" s="398">
        <f t="shared" ca="1" si="672"/>
        <v>576</v>
      </c>
      <c r="AY199" s="398">
        <f t="shared" ca="1" si="673"/>
        <v>480396</v>
      </c>
      <c r="AZ199" s="399">
        <f t="shared" si="694"/>
        <v>0</v>
      </c>
      <c r="BA199" s="399">
        <f t="shared" si="695"/>
        <v>0</v>
      </c>
      <c r="BB199" s="483" t="str">
        <f t="shared" ca="1" si="644"/>
        <v/>
      </c>
      <c r="BC199" s="400">
        <f ca="1">IF(MAX(IF($D$6="No",ROUNDUP($D$3/$I199,0),ROUNDUP(($D$3+$I199)/$I199,0)),IF($D$6="No",ROUNDUP($D$4/$G199,0),ROUNDUP(($D$4+$G199)/$G199,0)),ROUNDUP('BVMS checklist'!$H$217/$J199,0))&gt;1,'BVMS checklist'!$L$224,'BVMS checklist'!$L$217)</f>
        <v>0</v>
      </c>
      <c r="BD199" s="398">
        <f t="shared" ca="1" si="645"/>
        <v>2</v>
      </c>
      <c r="BE199" s="400">
        <f t="shared" si="674"/>
        <v>1</v>
      </c>
      <c r="BF199" s="400">
        <f t="shared" si="675"/>
        <v>2125</v>
      </c>
      <c r="BG199" s="400">
        <f t="shared" ca="1" si="656"/>
        <v>0</v>
      </c>
      <c r="BH199" s="398">
        <f t="shared" ca="1" si="676"/>
        <v>480396</v>
      </c>
      <c r="BI199" s="401" t="str">
        <f t="shared" ca="1" si="646"/>
        <v/>
      </c>
      <c r="BJ199" s="398">
        <f t="shared" ca="1" si="677"/>
        <v>1024</v>
      </c>
      <c r="BK199" s="400">
        <f ca="1">IF(MAX(IF($D$6="No",ROUNDUP($D$3/$I199,0),ROUNDUP(($D$3+$I199)/$I199,0)),IF($D$6="No",ROUNDUP($D$4/$G199,0),ROUNDUP(($D$4+$G199)/$G199,0)),ROUNDUP('BVMS checklist'!$H$217/$J199,0))&gt;1,'BVMS checklist'!$L$224,'BVMS checklist'!$L$217)+MAX(IF($D$6="No",ROUNDUP($D$3/$I199,0),ROUNDUP(($D$3+$I199)/$I199,0)),IF($D$6="No",ROUNDUP($D$4/$G199,0),ROUNDUP(($D$4+$G199)/$G199,0)))+$D$5</f>
        <v>1</v>
      </c>
      <c r="BL199" s="400" t="b">
        <f t="shared" ca="1" si="631"/>
        <v>1</v>
      </c>
      <c r="BM199" s="400" t="str">
        <f t="shared" ca="1" si="678"/>
        <v>Accepted</v>
      </c>
      <c r="BN199" s="398" t="str">
        <f t="shared" ca="1" si="657"/>
        <v>No</v>
      </c>
      <c r="BO199" s="398" t="str">
        <f t="shared" ca="1" si="679"/>
        <v/>
      </c>
      <c r="BP199" s="398" t="str">
        <f t="shared" ca="1" si="647"/>
        <v/>
      </c>
      <c r="BQ199" s="398">
        <f t="shared" ca="1" si="648"/>
        <v>6</v>
      </c>
      <c r="BR199" s="398">
        <f t="shared" ca="1" si="680"/>
        <v>2</v>
      </c>
      <c r="BS199" s="398">
        <f t="shared" ca="1" si="681"/>
        <v>576</v>
      </c>
      <c r="BT199" s="398">
        <f t="shared" ca="1" si="682"/>
        <v>480396</v>
      </c>
      <c r="BU199" s="399">
        <f t="shared" si="696"/>
        <v>0</v>
      </c>
      <c r="BV199" s="399">
        <f t="shared" si="697"/>
        <v>0</v>
      </c>
      <c r="BW199" s="483" t="str">
        <f t="shared" ca="1" si="649"/>
        <v/>
      </c>
      <c r="BX199" s="400">
        <f ca="1">IF(MAX(IF($E$6="No",ROUNDUP($E$3/$I199,0),ROUNDUP(($E$3+$I199)/$I199,0)),IF($E$6="No",ROUNDUP($E$4/$G199,0),ROUNDUP(($E$4+$G199)/$G199,0)),ROUNDUP('BVMS checklist'!$H$217/$J199,0))&gt;1,'BVMS checklist'!$N$224,'BVMS checklist'!$N$217)</f>
        <v>0</v>
      </c>
      <c r="BY199" s="398">
        <f t="shared" ca="1" si="650"/>
        <v>2</v>
      </c>
      <c r="BZ199" s="400">
        <f t="shared" ca="1" si="683"/>
        <v>2</v>
      </c>
      <c r="CA199" s="400">
        <f t="shared" ca="1" si="684"/>
        <v>4250</v>
      </c>
      <c r="CB199" s="400">
        <f t="shared" ca="1" si="658"/>
        <v>0</v>
      </c>
      <c r="CC199" s="398">
        <f t="shared" ca="1" si="685"/>
        <v>480396</v>
      </c>
      <c r="CD199" s="401" t="str">
        <f t="shared" ca="1" si="651"/>
        <v/>
      </c>
      <c r="CE199" s="398">
        <f t="shared" ca="1" si="686"/>
        <v>1024</v>
      </c>
      <c r="CF199" s="400">
        <f ca="1">IF(MAX(IF($E$6="No",ROUNDUP($E$3/$I199,0),ROUNDUP(($E$3+$I199)/$I199,0)),IF($E$6="No",ROUNDUP($E$4/$G199,0),ROUNDUP(($E$4+$G199)/$G199,0)),ROUNDUP('BVMS checklist'!$H$217/$J199,0))&gt;1,'BVMS checklist'!$N$224,'BVMS checklist'!$N$217)+MAX(IF($E$6="No",ROUNDUP($E$3/$I199,0),ROUNDUP(($E$3+$I199)/$I199,0)),IF($E$6="No",ROUNDUP($E$4/$G199,0),ROUNDUP(($E$4+$G199)/$G199,0)))+$E$5</f>
        <v>1</v>
      </c>
      <c r="CG199" s="400" t="b">
        <f t="shared" ca="1" si="632"/>
        <v>1</v>
      </c>
      <c r="CH199" s="400" t="str">
        <f t="shared" ca="1" si="687"/>
        <v>Accepted</v>
      </c>
      <c r="CI199" s="398" t="str">
        <f t="shared" ca="1" si="659"/>
        <v>No</v>
      </c>
      <c r="CJ199" s="398" t="str">
        <f t="shared" ca="1" si="688"/>
        <v/>
      </c>
      <c r="CK199" s="398" t="str">
        <f t="shared" ca="1" si="652"/>
        <v/>
      </c>
      <c r="CL199" s="398">
        <f t="shared" ca="1" si="653"/>
        <v>6</v>
      </c>
      <c r="CM199" s="398">
        <f t="shared" ca="1" si="689"/>
        <v>2</v>
      </c>
      <c r="CN199" s="398">
        <f t="shared" ca="1" si="690"/>
        <v>576</v>
      </c>
      <c r="CO199" s="398">
        <f t="shared" ca="1" si="691"/>
        <v>480396</v>
      </c>
      <c r="CP199" s="399">
        <f t="shared" si="698"/>
        <v>0</v>
      </c>
      <c r="CQ199" s="399">
        <f t="shared" si="699"/>
        <v>0</v>
      </c>
      <c r="CR199" s="483" t="str">
        <f t="shared" ca="1" si="654"/>
        <v/>
      </c>
      <c r="CS199"/>
    </row>
    <row r="200" spans="1:97">
      <c r="A200" s="398" t="s">
        <v>510</v>
      </c>
      <c r="B200" s="398" t="s">
        <v>987</v>
      </c>
      <c r="C200" s="440" t="s">
        <v>891</v>
      </c>
      <c r="D200" s="398">
        <v>5</v>
      </c>
      <c r="E200" s="398"/>
      <c r="F200" s="440">
        <v>0</v>
      </c>
      <c r="G200" s="398">
        <f>IF(C200="RAID5",(((15-F200)*5586))+(4*(((7-F200)*7448))),(((14-F200)*5586))+(4*(((6-F200)*7448))))</f>
        <v>292334</v>
      </c>
      <c r="H200" s="399">
        <v>352</v>
      </c>
      <c r="I200" s="399">
        <v>2675</v>
      </c>
      <c r="J200" s="399">
        <v>640</v>
      </c>
      <c r="K200" s="399"/>
      <c r="L200" s="399"/>
      <c r="M200" s="400">
        <f ca="1">IF(MAX(IF($B$6="No",ROUNDUP($B$3/$I200,0),ROUNDUP(($B$3+$I200)/$I200,0)),IF($B$6="No",ROUNDUP($B$4/$G200,0),ROUNDUP(($B$4+$G200)/$G200,0)),ROUNDUP('BVMS checklist'!$H$217/$J200,0))&gt;1,'BVMS checklist'!$H$224,'BVMS checklist'!$H$217)</f>
        <v>0</v>
      </c>
      <c r="N200" s="398">
        <f t="shared" ca="1" si="633"/>
        <v>2</v>
      </c>
      <c r="O200" s="400">
        <f t="shared" ca="1" si="660"/>
        <v>2</v>
      </c>
      <c r="P200" s="400">
        <f t="shared" ca="1" si="624"/>
        <v>5350</v>
      </c>
      <c r="Q200" s="400">
        <f t="shared" ca="1" si="625"/>
        <v>0</v>
      </c>
      <c r="R200" s="398">
        <f t="shared" ca="1" si="626"/>
        <v>584668</v>
      </c>
      <c r="S200" s="401" t="str">
        <f t="shared" ca="1" si="634"/>
        <v/>
      </c>
      <c r="T200" s="398">
        <f t="shared" ca="1" si="635"/>
        <v>1280</v>
      </c>
      <c r="U200" s="400">
        <f ca="1">IF(MAX(IF($B$6="No",ROUNDUP($B$3/$I200,0),ROUNDUP(($B$3+$I200)/$I200,0)),IF($B$6="No",ROUNDUP($B$4/$G200,0),ROUNDUP(($B$4+$G200)/$G200,0)),ROUNDUP('BVMS checklist'!$H$217/$J200,0))&gt;1,'BVMS checklist'!$H$224,'BVMS checklist'!$H$217)+MAX(IF($B$6="No",ROUNDUP($B$3/$I200,0),ROUNDUP(($B$3+$I200)/$I200,0)),IF($B$6="No",ROUNDUP($B$4/$G200,0),ROUNDUP(($B$4+$G200)/$G200,0)))+$B$5</f>
        <v>1</v>
      </c>
      <c r="V200" s="400" t="b">
        <f t="shared" ca="1" si="627"/>
        <v>1</v>
      </c>
      <c r="W200" s="400" t="str">
        <f t="shared" ca="1" si="661"/>
        <v>Accepted</v>
      </c>
      <c r="X200" s="398" t="str">
        <f t="shared" ca="1" si="636"/>
        <v>No</v>
      </c>
      <c r="Y200" s="398" t="str">
        <f t="shared" ca="1" si="637"/>
        <v/>
      </c>
      <c r="Z200" s="398" t="str">
        <f t="shared" ca="1" si="638"/>
        <v/>
      </c>
      <c r="AA200" s="398">
        <f t="shared" ca="1" si="662"/>
        <v>6</v>
      </c>
      <c r="AB200" s="398">
        <f t="shared" ca="1" si="628"/>
        <v>2</v>
      </c>
      <c r="AC200" s="398">
        <f t="shared" ca="1" si="629"/>
        <v>704</v>
      </c>
      <c r="AD200" s="398">
        <f t="shared" ca="1" si="663"/>
        <v>584668</v>
      </c>
      <c r="AE200" s="399">
        <f t="shared" si="692"/>
        <v>0</v>
      </c>
      <c r="AF200" s="399">
        <f t="shared" si="693"/>
        <v>0</v>
      </c>
      <c r="AG200" s="483" t="str">
        <f t="shared" ca="1" si="639"/>
        <v/>
      </c>
      <c r="AH200" s="400">
        <f ca="1">IF(MAX(IF($C$6="No",ROUNDUP($C$3/$I200,0),ROUNDUP(($C$3+$I200)/$I200,0)),IF($C$6="No",ROUNDUP($C$4/$G200,0),ROUNDUP(($C$4+$G200)/$G200,0)),ROUNDUP('BVMS checklist'!$H$217/$J200,0))&gt;1,'BVMS checklist'!$J$224,'BVMS checklist'!$J$217)</f>
        <v>0</v>
      </c>
      <c r="AI200" s="398">
        <f t="shared" ca="1" si="640"/>
        <v>2</v>
      </c>
      <c r="AJ200" s="400">
        <f t="shared" ca="1" si="664"/>
        <v>2</v>
      </c>
      <c r="AK200" s="400">
        <f t="shared" ca="1" si="665"/>
        <v>5350</v>
      </c>
      <c r="AL200" s="400">
        <f t="shared" ca="1" si="666"/>
        <v>0</v>
      </c>
      <c r="AM200" s="398">
        <f t="shared" ca="1" si="667"/>
        <v>584668</v>
      </c>
      <c r="AN200" s="401" t="str">
        <f t="shared" ca="1" si="641"/>
        <v/>
      </c>
      <c r="AO200" s="398">
        <f t="shared" ca="1" si="668"/>
        <v>1280</v>
      </c>
      <c r="AP200" s="400">
        <f ca="1">IF(MAX(IF($C$6="No",ROUNDUP($C$3/$I200,0),ROUNDUP(($C$3+$I200)/$I200,0)),IF($C$6="No",ROUNDUP($C$4/$G200,0),ROUNDUP(($C$4+$G200)/$G200,0)),ROUNDUP('BVMS checklist'!$H$217/$J200,0))&gt;1,'BVMS checklist'!$J$224,'BVMS checklist'!$J$217)+MAX(IF($C$6="No",ROUNDUP($C$3/$I200,0),ROUNDUP(($C$3+$I200)/$I200,0)),IF($C$6="No",ROUNDUP($C$4/$G200,0),ROUNDUP(($C$4+$G200)/$G200,0)))+$C$5</f>
        <v>1</v>
      </c>
      <c r="AQ200" s="400" t="b">
        <f t="shared" ca="1" si="630"/>
        <v>1</v>
      </c>
      <c r="AR200" s="400" t="str">
        <f t="shared" ca="1" si="669"/>
        <v>Accepted</v>
      </c>
      <c r="AS200" s="398" t="str">
        <f t="shared" ca="1" si="655"/>
        <v>No</v>
      </c>
      <c r="AT200" s="398" t="str">
        <f t="shared" ca="1" si="670"/>
        <v/>
      </c>
      <c r="AU200" s="398" t="str">
        <f t="shared" ca="1" si="642"/>
        <v/>
      </c>
      <c r="AV200" s="398">
        <f t="shared" ca="1" si="643"/>
        <v>6</v>
      </c>
      <c r="AW200" s="398">
        <f t="shared" ca="1" si="671"/>
        <v>2</v>
      </c>
      <c r="AX200" s="398">
        <f t="shared" ca="1" si="672"/>
        <v>704</v>
      </c>
      <c r="AY200" s="398">
        <f t="shared" ca="1" si="673"/>
        <v>584668</v>
      </c>
      <c r="AZ200" s="399">
        <f t="shared" si="694"/>
        <v>0</v>
      </c>
      <c r="BA200" s="399">
        <f t="shared" si="695"/>
        <v>0</v>
      </c>
      <c r="BB200" s="483" t="str">
        <f t="shared" ca="1" si="644"/>
        <v/>
      </c>
      <c r="BC200" s="400">
        <f ca="1">IF(MAX(IF($D$6="No",ROUNDUP($D$3/$I200,0),ROUNDUP(($D$3+$I200)/$I200,0)),IF($D$6="No",ROUNDUP($D$4/$G200,0),ROUNDUP(($D$4+$G200)/$G200,0)),ROUNDUP('BVMS checklist'!$H$217/$J200,0))&gt;1,'BVMS checklist'!$L$224,'BVMS checklist'!$L$217)</f>
        <v>0</v>
      </c>
      <c r="BD200" s="398">
        <f t="shared" ca="1" si="645"/>
        <v>2</v>
      </c>
      <c r="BE200" s="400">
        <f t="shared" si="674"/>
        <v>1</v>
      </c>
      <c r="BF200" s="400">
        <f t="shared" si="675"/>
        <v>2675</v>
      </c>
      <c r="BG200" s="400">
        <f t="shared" ca="1" si="656"/>
        <v>0</v>
      </c>
      <c r="BH200" s="398">
        <f t="shared" ca="1" si="676"/>
        <v>584668</v>
      </c>
      <c r="BI200" s="401" t="str">
        <f t="shared" ca="1" si="646"/>
        <v/>
      </c>
      <c r="BJ200" s="398">
        <f t="shared" ca="1" si="677"/>
        <v>1280</v>
      </c>
      <c r="BK200" s="400">
        <f ca="1">IF(MAX(IF($D$6="No",ROUNDUP($D$3/$I200,0),ROUNDUP(($D$3+$I200)/$I200,0)),IF($D$6="No",ROUNDUP($D$4/$G200,0),ROUNDUP(($D$4+$G200)/$G200,0)),ROUNDUP('BVMS checklist'!$H$217/$J200,0))&gt;1,'BVMS checklist'!$L$224,'BVMS checklist'!$L$217)+MAX(IF($D$6="No",ROUNDUP($D$3/$I200,0),ROUNDUP(($D$3+$I200)/$I200,0)),IF($D$6="No",ROUNDUP($D$4/$G200,0),ROUNDUP(($D$4+$G200)/$G200,0)))+$D$5</f>
        <v>1</v>
      </c>
      <c r="BL200" s="400" t="b">
        <f t="shared" ca="1" si="631"/>
        <v>1</v>
      </c>
      <c r="BM200" s="400" t="str">
        <f t="shared" ca="1" si="678"/>
        <v>Accepted</v>
      </c>
      <c r="BN200" s="398" t="str">
        <f t="shared" ca="1" si="657"/>
        <v>No</v>
      </c>
      <c r="BO200" s="398" t="str">
        <f t="shared" ca="1" si="679"/>
        <v/>
      </c>
      <c r="BP200" s="398" t="str">
        <f t="shared" ca="1" si="647"/>
        <v/>
      </c>
      <c r="BQ200" s="398">
        <f t="shared" ca="1" si="648"/>
        <v>6</v>
      </c>
      <c r="BR200" s="398">
        <f t="shared" ca="1" si="680"/>
        <v>2</v>
      </c>
      <c r="BS200" s="398">
        <f t="shared" ca="1" si="681"/>
        <v>704</v>
      </c>
      <c r="BT200" s="398">
        <f t="shared" ca="1" si="682"/>
        <v>584668</v>
      </c>
      <c r="BU200" s="399">
        <f t="shared" si="696"/>
        <v>0</v>
      </c>
      <c r="BV200" s="399">
        <f t="shared" si="697"/>
        <v>0</v>
      </c>
      <c r="BW200" s="483" t="str">
        <f t="shared" ca="1" si="649"/>
        <v/>
      </c>
      <c r="BX200" s="400">
        <f ca="1">IF(MAX(IF($E$6="No",ROUNDUP($E$3/$I200,0),ROUNDUP(($E$3+$I200)/$I200,0)),IF($E$6="No",ROUNDUP($E$4/$G200,0),ROUNDUP(($E$4+$G200)/$G200,0)),ROUNDUP('BVMS checklist'!$H$217/$J200,0))&gt;1,'BVMS checklist'!$N$224,'BVMS checklist'!$N$217)</f>
        <v>0</v>
      </c>
      <c r="BY200" s="398">
        <f t="shared" ca="1" si="650"/>
        <v>2</v>
      </c>
      <c r="BZ200" s="400">
        <f t="shared" ca="1" si="683"/>
        <v>2</v>
      </c>
      <c r="CA200" s="400">
        <f t="shared" ca="1" si="684"/>
        <v>5350</v>
      </c>
      <c r="CB200" s="400">
        <f t="shared" ca="1" si="658"/>
        <v>0</v>
      </c>
      <c r="CC200" s="398">
        <f t="shared" ca="1" si="685"/>
        <v>584668</v>
      </c>
      <c r="CD200" s="401" t="str">
        <f t="shared" ca="1" si="651"/>
        <v/>
      </c>
      <c r="CE200" s="398">
        <f t="shared" ca="1" si="686"/>
        <v>1280</v>
      </c>
      <c r="CF200" s="400">
        <f ca="1">IF(MAX(IF($E$6="No",ROUNDUP($E$3/$I200,0),ROUNDUP(($E$3+$I200)/$I200,0)),IF($E$6="No",ROUNDUP($E$4/$G200,0),ROUNDUP(($E$4+$G200)/$G200,0)),ROUNDUP('BVMS checklist'!$H$217/$J200,0))&gt;1,'BVMS checklist'!$N$224,'BVMS checklist'!$N$217)+MAX(IF($E$6="No",ROUNDUP($E$3/$I200,0),ROUNDUP(($E$3+$I200)/$I200,0)),IF($E$6="No",ROUNDUP($E$4/$G200,0),ROUNDUP(($E$4+$G200)/$G200,0)))+$E$5</f>
        <v>1</v>
      </c>
      <c r="CG200" s="400" t="b">
        <f t="shared" ca="1" si="632"/>
        <v>1</v>
      </c>
      <c r="CH200" s="400" t="str">
        <f t="shared" ca="1" si="687"/>
        <v>Accepted</v>
      </c>
      <c r="CI200" s="398" t="str">
        <f t="shared" ca="1" si="659"/>
        <v>No</v>
      </c>
      <c r="CJ200" s="398" t="str">
        <f t="shared" ca="1" si="688"/>
        <v/>
      </c>
      <c r="CK200" s="398" t="str">
        <f t="shared" ca="1" si="652"/>
        <v/>
      </c>
      <c r="CL200" s="398">
        <f t="shared" ca="1" si="653"/>
        <v>6</v>
      </c>
      <c r="CM200" s="398">
        <f t="shared" ca="1" si="689"/>
        <v>2</v>
      </c>
      <c r="CN200" s="398">
        <f t="shared" ca="1" si="690"/>
        <v>704</v>
      </c>
      <c r="CO200" s="398">
        <f t="shared" ca="1" si="691"/>
        <v>584668</v>
      </c>
      <c r="CP200" s="399">
        <f t="shared" si="698"/>
        <v>0</v>
      </c>
      <c r="CQ200" s="399">
        <f t="shared" si="699"/>
        <v>0</v>
      </c>
      <c r="CR200" s="483" t="str">
        <f t="shared" ca="1" si="654"/>
        <v/>
      </c>
      <c r="CS200"/>
    </row>
    <row r="201" spans="1:97">
      <c r="A201" s="398" t="s">
        <v>511</v>
      </c>
      <c r="B201" s="398" t="s">
        <v>987</v>
      </c>
      <c r="C201" s="440" t="s">
        <v>891</v>
      </c>
      <c r="D201" s="398">
        <v>2</v>
      </c>
      <c r="E201" s="398"/>
      <c r="F201" s="440">
        <v>0</v>
      </c>
      <c r="G201" s="398">
        <f>IF(C201="RAID5",(((15-F201)*5586))+(1*(((15-F201)*7448))),(((14-F201)*5586))+(1*(((14-F201)*7448))))</f>
        <v>195510</v>
      </c>
      <c r="H201" s="399">
        <v>224</v>
      </c>
      <c r="I201" s="399">
        <v>1025</v>
      </c>
      <c r="J201" s="399">
        <v>256</v>
      </c>
      <c r="K201" s="399"/>
      <c r="L201" s="399"/>
      <c r="M201" s="400">
        <f ca="1">IF(MAX(IF($B$6="No",ROUNDUP($B$3/$I201,0),ROUNDUP(($B$3+$I201)/$I201,0)),IF($B$6="No",ROUNDUP($B$4/$G201,0),ROUNDUP(($B$4+$G201)/$G201,0)),ROUNDUP('BVMS checklist'!$H$217/$J201,0))&gt;1,'BVMS checklist'!$H$224,'BVMS checklist'!$H$217)</f>
        <v>0</v>
      </c>
      <c r="N201" s="398">
        <f t="shared" ca="1" si="633"/>
        <v>2</v>
      </c>
      <c r="O201" s="400">
        <f t="shared" ca="1" si="660"/>
        <v>2</v>
      </c>
      <c r="P201" s="400">
        <f t="shared" ca="1" si="624"/>
        <v>2050</v>
      </c>
      <c r="Q201" s="400">
        <f t="shared" ca="1" si="625"/>
        <v>0</v>
      </c>
      <c r="R201" s="398">
        <f t="shared" ca="1" si="626"/>
        <v>391020</v>
      </c>
      <c r="S201" s="401" t="str">
        <f t="shared" ca="1" si="634"/>
        <v/>
      </c>
      <c r="T201" s="398">
        <f t="shared" ca="1" si="635"/>
        <v>512</v>
      </c>
      <c r="U201" s="400">
        <f ca="1">IF(MAX(IF($B$6="No",ROUNDUP($B$3/$I201,0),ROUNDUP(($B$3+$I201)/$I201,0)),IF($B$6="No",ROUNDUP($B$4/$G201,0),ROUNDUP(($B$4+$G201)/$G201,0)),ROUNDUP('BVMS checklist'!$H$217/$J201,0))&gt;1,'BVMS checklist'!$H$224,'BVMS checklist'!$H$217)+MAX(IF($B$6="No",ROUNDUP($B$3/$I201,0),ROUNDUP(($B$3+$I201)/$I201,0)),IF($B$6="No",ROUNDUP($B$4/$G201,0),ROUNDUP(($B$4+$G201)/$G201,0)))+$B$5</f>
        <v>1</v>
      </c>
      <c r="V201" s="400" t="b">
        <f t="shared" ca="1" si="627"/>
        <v>1</v>
      </c>
      <c r="W201" s="400" t="str">
        <f t="shared" ca="1" si="661"/>
        <v>Accepted</v>
      </c>
      <c r="X201" s="398" t="str">
        <f t="shared" ca="1" si="636"/>
        <v>No</v>
      </c>
      <c r="Y201" s="398" t="str">
        <f t="shared" ca="1" si="637"/>
        <v/>
      </c>
      <c r="Z201" s="398" t="str">
        <f t="shared" ca="1" si="638"/>
        <v/>
      </c>
      <c r="AA201" s="398">
        <f t="shared" ca="1" si="662"/>
        <v>6</v>
      </c>
      <c r="AB201" s="398">
        <f t="shared" ca="1" si="628"/>
        <v>2</v>
      </c>
      <c r="AC201" s="398">
        <f t="shared" ca="1" si="629"/>
        <v>448</v>
      </c>
      <c r="AD201" s="398">
        <f t="shared" ca="1" si="663"/>
        <v>391020</v>
      </c>
      <c r="AE201" s="399">
        <f t="shared" si="692"/>
        <v>0</v>
      </c>
      <c r="AF201" s="399">
        <f t="shared" si="693"/>
        <v>0</v>
      </c>
      <c r="AG201" s="483" t="str">
        <f t="shared" ca="1" si="639"/>
        <v/>
      </c>
      <c r="AH201" s="400">
        <f ca="1">IF(MAX(IF($C$6="No",ROUNDUP($C$3/$I201,0),ROUNDUP(($C$3+$I201)/$I201,0)),IF($C$6="No",ROUNDUP($C$4/$G201,0),ROUNDUP(($C$4+$G201)/$G201,0)),ROUNDUP('BVMS checklist'!$H$217/$J201,0))&gt;1,'BVMS checklist'!$J$224,'BVMS checklist'!$J$217)</f>
        <v>0</v>
      </c>
      <c r="AI201" s="398">
        <f t="shared" ca="1" si="640"/>
        <v>2</v>
      </c>
      <c r="AJ201" s="400">
        <f t="shared" ca="1" si="664"/>
        <v>2</v>
      </c>
      <c r="AK201" s="400">
        <f t="shared" ca="1" si="665"/>
        <v>2050</v>
      </c>
      <c r="AL201" s="400">
        <f t="shared" ca="1" si="666"/>
        <v>0</v>
      </c>
      <c r="AM201" s="398">
        <f t="shared" ca="1" si="667"/>
        <v>391020</v>
      </c>
      <c r="AN201" s="401" t="str">
        <f t="shared" ca="1" si="641"/>
        <v/>
      </c>
      <c r="AO201" s="398">
        <f t="shared" ca="1" si="668"/>
        <v>512</v>
      </c>
      <c r="AP201" s="400">
        <f ca="1">IF(MAX(IF($C$6="No",ROUNDUP($C$3/$I201,0),ROUNDUP(($C$3+$I201)/$I201,0)),IF($C$6="No",ROUNDUP($C$4/$G201,0),ROUNDUP(($C$4+$G201)/$G201,0)),ROUNDUP('BVMS checklist'!$H$217/$J201,0))&gt;1,'BVMS checklist'!$J$224,'BVMS checklist'!$J$217)+MAX(IF($C$6="No",ROUNDUP($C$3/$I201,0),ROUNDUP(($C$3+$I201)/$I201,0)),IF($C$6="No",ROUNDUP($C$4/$G201,0),ROUNDUP(($C$4+$G201)/$G201,0)))+$C$5</f>
        <v>1</v>
      </c>
      <c r="AQ201" s="400" t="b">
        <f t="shared" ca="1" si="630"/>
        <v>1</v>
      </c>
      <c r="AR201" s="400" t="str">
        <f t="shared" ca="1" si="669"/>
        <v>Accepted</v>
      </c>
      <c r="AS201" s="398" t="str">
        <f t="shared" ca="1" si="655"/>
        <v>No</v>
      </c>
      <c r="AT201" s="398" t="str">
        <f t="shared" ca="1" si="670"/>
        <v/>
      </c>
      <c r="AU201" s="398" t="str">
        <f t="shared" ca="1" si="642"/>
        <v/>
      </c>
      <c r="AV201" s="398">
        <f t="shared" ca="1" si="643"/>
        <v>6</v>
      </c>
      <c r="AW201" s="398">
        <f t="shared" ca="1" si="671"/>
        <v>2</v>
      </c>
      <c r="AX201" s="398">
        <f t="shared" ca="1" si="672"/>
        <v>448</v>
      </c>
      <c r="AY201" s="398">
        <f t="shared" ca="1" si="673"/>
        <v>391020</v>
      </c>
      <c r="AZ201" s="399">
        <f t="shared" si="694"/>
        <v>0</v>
      </c>
      <c r="BA201" s="399">
        <f t="shared" si="695"/>
        <v>0</v>
      </c>
      <c r="BB201" s="483" t="str">
        <f t="shared" ca="1" si="644"/>
        <v/>
      </c>
      <c r="BC201" s="400">
        <f ca="1">IF(MAX(IF($D$6="No",ROUNDUP($D$3/$I201,0),ROUNDUP(($D$3+$I201)/$I201,0)),IF($D$6="No",ROUNDUP($D$4/$G201,0),ROUNDUP(($D$4+$G201)/$G201,0)),ROUNDUP('BVMS checklist'!$H$217/$J201,0))&gt;1,'BVMS checklist'!$L$224,'BVMS checklist'!$L$217)</f>
        <v>0</v>
      </c>
      <c r="BD201" s="398">
        <f t="shared" ca="1" si="645"/>
        <v>2</v>
      </c>
      <c r="BE201" s="400">
        <f t="shared" si="674"/>
        <v>1</v>
      </c>
      <c r="BF201" s="400">
        <f t="shared" si="675"/>
        <v>1025</v>
      </c>
      <c r="BG201" s="400">
        <f t="shared" ca="1" si="656"/>
        <v>0</v>
      </c>
      <c r="BH201" s="398">
        <f t="shared" ca="1" si="676"/>
        <v>391020</v>
      </c>
      <c r="BI201" s="401" t="str">
        <f t="shared" ca="1" si="646"/>
        <v/>
      </c>
      <c r="BJ201" s="398">
        <f t="shared" ca="1" si="677"/>
        <v>512</v>
      </c>
      <c r="BK201" s="400">
        <f ca="1">IF(MAX(IF($D$6="No",ROUNDUP($D$3/$I201,0),ROUNDUP(($D$3+$I201)/$I201,0)),IF($D$6="No",ROUNDUP($D$4/$G201,0),ROUNDUP(($D$4+$G201)/$G201,0)),ROUNDUP('BVMS checklist'!$H$217/$J201,0))&gt;1,'BVMS checklist'!$L$224,'BVMS checklist'!$L$217)+MAX(IF($D$6="No",ROUNDUP($D$3/$I201,0),ROUNDUP(($D$3+$I201)/$I201,0)),IF($D$6="No",ROUNDUP($D$4/$G201,0),ROUNDUP(($D$4+$G201)/$G201,0)))+$D$5</f>
        <v>1</v>
      </c>
      <c r="BL201" s="400" t="b">
        <f t="shared" ca="1" si="631"/>
        <v>1</v>
      </c>
      <c r="BM201" s="400" t="str">
        <f t="shared" ca="1" si="678"/>
        <v>Accepted</v>
      </c>
      <c r="BN201" s="398" t="str">
        <f t="shared" ca="1" si="657"/>
        <v>No</v>
      </c>
      <c r="BO201" s="398" t="str">
        <f t="shared" ca="1" si="679"/>
        <v/>
      </c>
      <c r="BP201" s="398" t="str">
        <f t="shared" ca="1" si="647"/>
        <v/>
      </c>
      <c r="BQ201" s="398">
        <f t="shared" ca="1" si="648"/>
        <v>6</v>
      </c>
      <c r="BR201" s="398">
        <f t="shared" ca="1" si="680"/>
        <v>2</v>
      </c>
      <c r="BS201" s="398">
        <f t="shared" ca="1" si="681"/>
        <v>448</v>
      </c>
      <c r="BT201" s="398">
        <f t="shared" ca="1" si="682"/>
        <v>391020</v>
      </c>
      <c r="BU201" s="399">
        <f t="shared" si="696"/>
        <v>0</v>
      </c>
      <c r="BV201" s="399">
        <f t="shared" si="697"/>
        <v>0</v>
      </c>
      <c r="BW201" s="483" t="str">
        <f t="shared" ca="1" si="649"/>
        <v/>
      </c>
      <c r="BX201" s="400">
        <f ca="1">IF(MAX(IF($E$6="No",ROUNDUP($E$3/$I201,0),ROUNDUP(($E$3+$I201)/$I201,0)),IF($E$6="No",ROUNDUP($E$4/$G201,0),ROUNDUP(($E$4+$G201)/$G201,0)),ROUNDUP('BVMS checklist'!$H$217/$J201,0))&gt;1,'BVMS checklist'!$N$224,'BVMS checklist'!$N$217)</f>
        <v>0</v>
      </c>
      <c r="BY201" s="398">
        <f t="shared" ca="1" si="650"/>
        <v>2</v>
      </c>
      <c r="BZ201" s="400">
        <f t="shared" ca="1" si="683"/>
        <v>2</v>
      </c>
      <c r="CA201" s="400">
        <f t="shared" ca="1" si="684"/>
        <v>2050</v>
      </c>
      <c r="CB201" s="400">
        <f t="shared" ca="1" si="658"/>
        <v>0</v>
      </c>
      <c r="CC201" s="398">
        <f t="shared" ca="1" si="685"/>
        <v>391020</v>
      </c>
      <c r="CD201" s="401" t="str">
        <f t="shared" ca="1" si="651"/>
        <v/>
      </c>
      <c r="CE201" s="398">
        <f t="shared" ca="1" si="686"/>
        <v>512</v>
      </c>
      <c r="CF201" s="400">
        <f ca="1">IF(MAX(IF($E$6="No",ROUNDUP($E$3/$I201,0),ROUNDUP(($E$3+$I201)/$I201,0)),IF($E$6="No",ROUNDUP($E$4/$G201,0),ROUNDUP(($E$4+$G201)/$G201,0)),ROUNDUP('BVMS checklist'!$H$217/$J201,0))&gt;1,'BVMS checklist'!$N$224,'BVMS checklist'!$N$217)+MAX(IF($E$6="No",ROUNDUP($E$3/$I201,0),ROUNDUP(($E$3+$I201)/$I201,0)),IF($E$6="No",ROUNDUP($E$4/$G201,0),ROUNDUP(($E$4+$G201)/$G201,0)))+$E$5</f>
        <v>1</v>
      </c>
      <c r="CG201" s="400" t="b">
        <f t="shared" ca="1" si="632"/>
        <v>1</v>
      </c>
      <c r="CH201" s="400" t="str">
        <f t="shared" ca="1" si="687"/>
        <v>Accepted</v>
      </c>
      <c r="CI201" s="398" t="str">
        <f t="shared" ca="1" si="659"/>
        <v>No</v>
      </c>
      <c r="CJ201" s="398" t="str">
        <f t="shared" ca="1" si="688"/>
        <v/>
      </c>
      <c r="CK201" s="398" t="str">
        <f t="shared" ca="1" si="652"/>
        <v/>
      </c>
      <c r="CL201" s="398">
        <f t="shared" ca="1" si="653"/>
        <v>6</v>
      </c>
      <c r="CM201" s="398">
        <f t="shared" ca="1" si="689"/>
        <v>2</v>
      </c>
      <c r="CN201" s="398">
        <f t="shared" ca="1" si="690"/>
        <v>448</v>
      </c>
      <c r="CO201" s="398">
        <f t="shared" ca="1" si="691"/>
        <v>391020</v>
      </c>
      <c r="CP201" s="399">
        <f t="shared" si="698"/>
        <v>0</v>
      </c>
      <c r="CQ201" s="399">
        <f t="shared" si="699"/>
        <v>0</v>
      </c>
      <c r="CR201" s="483" t="str">
        <f t="shared" ca="1" si="654"/>
        <v/>
      </c>
      <c r="CS201"/>
    </row>
    <row r="202" spans="1:97">
      <c r="A202" s="398" t="s">
        <v>512</v>
      </c>
      <c r="B202" s="398" t="s">
        <v>987</v>
      </c>
      <c r="C202" s="440" t="s">
        <v>891</v>
      </c>
      <c r="D202" s="398">
        <v>3</v>
      </c>
      <c r="E202" s="398"/>
      <c r="F202" s="440">
        <v>0</v>
      </c>
      <c r="G202" s="398">
        <f>IF(C202="RAID5",(((15-F202)*5586))+(2*(((15-F202)*7448))),(((14-F202)*5586))+(2*(((14-F202)*7448))))</f>
        <v>307230</v>
      </c>
      <c r="H202" s="399">
        <v>352</v>
      </c>
      <c r="I202" s="399">
        <v>1575</v>
      </c>
      <c r="J202" s="399">
        <v>384</v>
      </c>
      <c r="K202" s="399"/>
      <c r="L202" s="399"/>
      <c r="M202" s="400">
        <f ca="1">IF(MAX(IF($B$6="No",ROUNDUP($B$3/$I202,0),ROUNDUP(($B$3+$I202)/$I202,0)),IF($B$6="No",ROUNDUP($B$4/$G202,0),ROUNDUP(($B$4+$G202)/$G202,0)),ROUNDUP('BVMS checklist'!$H$217/$J202,0))&gt;1,'BVMS checklist'!$H$224,'BVMS checklist'!$H$217)</f>
        <v>0</v>
      </c>
      <c r="N202" s="398">
        <f t="shared" ca="1" si="633"/>
        <v>2</v>
      </c>
      <c r="O202" s="400">
        <f t="shared" ca="1" si="660"/>
        <v>2</v>
      </c>
      <c r="P202" s="400">
        <f t="shared" ca="1" si="624"/>
        <v>3150</v>
      </c>
      <c r="Q202" s="400">
        <f t="shared" ca="1" si="625"/>
        <v>0</v>
      </c>
      <c r="R202" s="398">
        <f t="shared" ca="1" si="626"/>
        <v>614460</v>
      </c>
      <c r="S202" s="401" t="str">
        <f t="shared" ca="1" si="634"/>
        <v/>
      </c>
      <c r="T202" s="398">
        <f t="shared" ca="1" si="635"/>
        <v>768</v>
      </c>
      <c r="U202" s="400">
        <f ca="1">IF(MAX(IF($B$6="No",ROUNDUP($B$3/$I202,0),ROUNDUP(($B$3+$I202)/$I202,0)),IF($B$6="No",ROUNDUP($B$4/$G202,0),ROUNDUP(($B$4+$G202)/$G202,0)),ROUNDUP('BVMS checklist'!$H$217/$J202,0))&gt;1,'BVMS checklist'!$H$224,'BVMS checklist'!$H$217)+MAX(IF($B$6="No",ROUNDUP($B$3/$I202,0),ROUNDUP(($B$3+$I202)/$I202,0)),IF($B$6="No",ROUNDUP($B$4/$G202,0),ROUNDUP(($B$4+$G202)/$G202,0)))+$B$5</f>
        <v>1</v>
      </c>
      <c r="V202" s="400" t="b">
        <f t="shared" ca="1" si="627"/>
        <v>1</v>
      </c>
      <c r="W202" s="400" t="str">
        <f t="shared" ca="1" si="661"/>
        <v>Accepted</v>
      </c>
      <c r="X202" s="398" t="str">
        <f t="shared" ca="1" si="636"/>
        <v>No</v>
      </c>
      <c r="Y202" s="398" t="str">
        <f t="shared" ca="1" si="637"/>
        <v/>
      </c>
      <c r="Z202" s="398" t="str">
        <f t="shared" ca="1" si="638"/>
        <v/>
      </c>
      <c r="AA202" s="398">
        <f t="shared" ca="1" si="662"/>
        <v>6</v>
      </c>
      <c r="AB202" s="398">
        <f t="shared" ca="1" si="628"/>
        <v>2</v>
      </c>
      <c r="AC202" s="398">
        <f t="shared" ca="1" si="629"/>
        <v>704</v>
      </c>
      <c r="AD202" s="398">
        <f t="shared" ca="1" si="663"/>
        <v>614460</v>
      </c>
      <c r="AE202" s="399">
        <f t="shared" si="692"/>
        <v>0</v>
      </c>
      <c r="AF202" s="399">
        <f t="shared" si="693"/>
        <v>0</v>
      </c>
      <c r="AG202" s="483" t="str">
        <f t="shared" ca="1" si="639"/>
        <v/>
      </c>
      <c r="AH202" s="400">
        <f ca="1">IF(MAX(IF($C$6="No",ROUNDUP($C$3/$I202,0),ROUNDUP(($C$3+$I202)/$I202,0)),IF($C$6="No",ROUNDUP($C$4/$G202,0),ROUNDUP(($C$4+$G202)/$G202,0)),ROUNDUP('BVMS checklist'!$H$217/$J202,0))&gt;1,'BVMS checklist'!$J$224,'BVMS checklist'!$J$217)</f>
        <v>0</v>
      </c>
      <c r="AI202" s="398">
        <f t="shared" ca="1" si="640"/>
        <v>2</v>
      </c>
      <c r="AJ202" s="400">
        <f t="shared" ca="1" si="664"/>
        <v>2</v>
      </c>
      <c r="AK202" s="400">
        <f t="shared" ca="1" si="665"/>
        <v>3150</v>
      </c>
      <c r="AL202" s="400">
        <f t="shared" ca="1" si="666"/>
        <v>0</v>
      </c>
      <c r="AM202" s="398">
        <f t="shared" ca="1" si="667"/>
        <v>614460</v>
      </c>
      <c r="AN202" s="401" t="str">
        <f t="shared" ca="1" si="641"/>
        <v/>
      </c>
      <c r="AO202" s="398">
        <f t="shared" ca="1" si="668"/>
        <v>768</v>
      </c>
      <c r="AP202" s="400">
        <f ca="1">IF(MAX(IF($C$6="No",ROUNDUP($C$3/$I202,0),ROUNDUP(($C$3+$I202)/$I202,0)),IF($C$6="No",ROUNDUP($C$4/$G202,0),ROUNDUP(($C$4+$G202)/$G202,0)),ROUNDUP('BVMS checklist'!$H$217/$J202,0))&gt;1,'BVMS checklist'!$J$224,'BVMS checklist'!$J$217)+MAX(IF($C$6="No",ROUNDUP($C$3/$I202,0),ROUNDUP(($C$3+$I202)/$I202,0)),IF($C$6="No",ROUNDUP($C$4/$G202,0),ROUNDUP(($C$4+$G202)/$G202,0)))+$C$5</f>
        <v>1</v>
      </c>
      <c r="AQ202" s="400" t="b">
        <f t="shared" ca="1" si="630"/>
        <v>1</v>
      </c>
      <c r="AR202" s="400" t="str">
        <f t="shared" ca="1" si="669"/>
        <v>Accepted</v>
      </c>
      <c r="AS202" s="398" t="str">
        <f t="shared" ca="1" si="655"/>
        <v>No</v>
      </c>
      <c r="AT202" s="398" t="str">
        <f t="shared" ca="1" si="670"/>
        <v/>
      </c>
      <c r="AU202" s="398" t="str">
        <f t="shared" ca="1" si="642"/>
        <v/>
      </c>
      <c r="AV202" s="398">
        <f t="shared" ca="1" si="643"/>
        <v>6</v>
      </c>
      <c r="AW202" s="398">
        <f t="shared" ca="1" si="671"/>
        <v>2</v>
      </c>
      <c r="AX202" s="398">
        <f t="shared" ca="1" si="672"/>
        <v>704</v>
      </c>
      <c r="AY202" s="398">
        <f t="shared" ca="1" si="673"/>
        <v>614460</v>
      </c>
      <c r="AZ202" s="399">
        <f t="shared" si="694"/>
        <v>0</v>
      </c>
      <c r="BA202" s="399">
        <f t="shared" si="695"/>
        <v>0</v>
      </c>
      <c r="BB202" s="483" t="str">
        <f t="shared" ca="1" si="644"/>
        <v/>
      </c>
      <c r="BC202" s="400">
        <f ca="1">IF(MAX(IF($D$6="No",ROUNDUP($D$3/$I202,0),ROUNDUP(($D$3+$I202)/$I202,0)),IF($D$6="No",ROUNDUP($D$4/$G202,0),ROUNDUP(($D$4+$G202)/$G202,0)),ROUNDUP('BVMS checklist'!$H$217/$J202,0))&gt;1,'BVMS checklist'!$L$224,'BVMS checklist'!$L$217)</f>
        <v>0</v>
      </c>
      <c r="BD202" s="398">
        <f t="shared" ca="1" si="645"/>
        <v>2</v>
      </c>
      <c r="BE202" s="400">
        <f t="shared" si="674"/>
        <v>1</v>
      </c>
      <c r="BF202" s="400">
        <f t="shared" si="675"/>
        <v>1575</v>
      </c>
      <c r="BG202" s="400">
        <f t="shared" ca="1" si="656"/>
        <v>0</v>
      </c>
      <c r="BH202" s="398">
        <f t="shared" ca="1" si="676"/>
        <v>614460</v>
      </c>
      <c r="BI202" s="401" t="str">
        <f t="shared" ca="1" si="646"/>
        <v/>
      </c>
      <c r="BJ202" s="398">
        <f t="shared" ca="1" si="677"/>
        <v>768</v>
      </c>
      <c r="BK202" s="400">
        <f ca="1">IF(MAX(IF($D$6="No",ROUNDUP($D$3/$I202,0),ROUNDUP(($D$3+$I202)/$I202,0)),IF($D$6="No",ROUNDUP($D$4/$G202,0),ROUNDUP(($D$4+$G202)/$G202,0)),ROUNDUP('BVMS checklist'!$H$217/$J202,0))&gt;1,'BVMS checklist'!$L$224,'BVMS checklist'!$L$217)+MAX(IF($D$6="No",ROUNDUP($D$3/$I202,0),ROUNDUP(($D$3+$I202)/$I202,0)),IF($D$6="No",ROUNDUP($D$4/$G202,0),ROUNDUP(($D$4+$G202)/$G202,0)))+$D$5</f>
        <v>1</v>
      </c>
      <c r="BL202" s="400" t="b">
        <f t="shared" ca="1" si="631"/>
        <v>1</v>
      </c>
      <c r="BM202" s="400" t="str">
        <f t="shared" ca="1" si="678"/>
        <v>Accepted</v>
      </c>
      <c r="BN202" s="398" t="str">
        <f t="shared" ca="1" si="657"/>
        <v>No</v>
      </c>
      <c r="BO202" s="398" t="str">
        <f t="shared" ca="1" si="679"/>
        <v/>
      </c>
      <c r="BP202" s="398" t="str">
        <f t="shared" ca="1" si="647"/>
        <v/>
      </c>
      <c r="BQ202" s="398">
        <f t="shared" ca="1" si="648"/>
        <v>6</v>
      </c>
      <c r="BR202" s="398">
        <f t="shared" ca="1" si="680"/>
        <v>2</v>
      </c>
      <c r="BS202" s="398">
        <f t="shared" ca="1" si="681"/>
        <v>704</v>
      </c>
      <c r="BT202" s="398">
        <f t="shared" ca="1" si="682"/>
        <v>614460</v>
      </c>
      <c r="BU202" s="399">
        <f t="shared" si="696"/>
        <v>0</v>
      </c>
      <c r="BV202" s="399">
        <f t="shared" si="697"/>
        <v>0</v>
      </c>
      <c r="BW202" s="483" t="str">
        <f t="shared" ca="1" si="649"/>
        <v/>
      </c>
      <c r="BX202" s="400">
        <f ca="1">IF(MAX(IF($E$6="No",ROUNDUP($E$3/$I202,0),ROUNDUP(($E$3+$I202)/$I202,0)),IF($E$6="No",ROUNDUP($E$4/$G202,0),ROUNDUP(($E$4+$G202)/$G202,0)),ROUNDUP('BVMS checklist'!$H$217/$J202,0))&gt;1,'BVMS checklist'!$N$224,'BVMS checklist'!$N$217)</f>
        <v>0</v>
      </c>
      <c r="BY202" s="398">
        <f t="shared" ca="1" si="650"/>
        <v>2</v>
      </c>
      <c r="BZ202" s="400">
        <f t="shared" ca="1" si="683"/>
        <v>2</v>
      </c>
      <c r="CA202" s="400">
        <f t="shared" ca="1" si="684"/>
        <v>3150</v>
      </c>
      <c r="CB202" s="400">
        <f t="shared" ca="1" si="658"/>
        <v>0</v>
      </c>
      <c r="CC202" s="398">
        <f t="shared" ca="1" si="685"/>
        <v>614460</v>
      </c>
      <c r="CD202" s="401" t="str">
        <f t="shared" ca="1" si="651"/>
        <v/>
      </c>
      <c r="CE202" s="398">
        <f t="shared" ca="1" si="686"/>
        <v>768</v>
      </c>
      <c r="CF202" s="400">
        <f ca="1">IF(MAX(IF($E$6="No",ROUNDUP($E$3/$I202,0),ROUNDUP(($E$3+$I202)/$I202,0)),IF($E$6="No",ROUNDUP($E$4/$G202,0),ROUNDUP(($E$4+$G202)/$G202,0)),ROUNDUP('BVMS checklist'!$H$217/$J202,0))&gt;1,'BVMS checklist'!$N$224,'BVMS checklist'!$N$217)+MAX(IF($E$6="No",ROUNDUP($E$3/$I202,0),ROUNDUP(($E$3+$I202)/$I202,0)),IF($E$6="No",ROUNDUP($E$4/$G202,0),ROUNDUP(($E$4+$G202)/$G202,0)))+$E$5</f>
        <v>1</v>
      </c>
      <c r="CG202" s="400" t="b">
        <f t="shared" ca="1" si="632"/>
        <v>1</v>
      </c>
      <c r="CH202" s="400" t="str">
        <f t="shared" ca="1" si="687"/>
        <v>Accepted</v>
      </c>
      <c r="CI202" s="398" t="str">
        <f t="shared" ca="1" si="659"/>
        <v>No</v>
      </c>
      <c r="CJ202" s="398" t="str">
        <f t="shared" ca="1" si="688"/>
        <v/>
      </c>
      <c r="CK202" s="398" t="str">
        <f t="shared" ca="1" si="652"/>
        <v/>
      </c>
      <c r="CL202" s="398">
        <f t="shared" ca="1" si="653"/>
        <v>6</v>
      </c>
      <c r="CM202" s="398">
        <f t="shared" ca="1" si="689"/>
        <v>2</v>
      </c>
      <c r="CN202" s="398">
        <f t="shared" ca="1" si="690"/>
        <v>704</v>
      </c>
      <c r="CO202" s="398">
        <f t="shared" ca="1" si="691"/>
        <v>614460</v>
      </c>
      <c r="CP202" s="399">
        <f t="shared" si="698"/>
        <v>0</v>
      </c>
      <c r="CQ202" s="399">
        <f t="shared" si="699"/>
        <v>0</v>
      </c>
      <c r="CR202" s="483" t="str">
        <f t="shared" ca="1" si="654"/>
        <v/>
      </c>
      <c r="CS202"/>
    </row>
    <row r="203" spans="1:97">
      <c r="A203" s="398" t="s">
        <v>513</v>
      </c>
      <c r="B203" s="398" t="s">
        <v>987</v>
      </c>
      <c r="C203" s="440" t="s">
        <v>891</v>
      </c>
      <c r="D203" s="398">
        <v>4</v>
      </c>
      <c r="E203" s="398"/>
      <c r="F203" s="440">
        <v>0</v>
      </c>
      <c r="G203" s="398">
        <f>IF(C203="RAID5",(((15-F203)*5586))+(3*(((15-F203)*7448))),(((14-F203)*5586))+(3*(((14-F203)*7448))))</f>
        <v>418950</v>
      </c>
      <c r="H203" s="399">
        <v>480</v>
      </c>
      <c r="I203" s="399">
        <v>2125</v>
      </c>
      <c r="J203" s="399">
        <v>512</v>
      </c>
      <c r="K203" s="399"/>
      <c r="L203" s="399"/>
      <c r="M203" s="400">
        <f ca="1">IF(MAX(IF($B$6="No",ROUNDUP($B$3/$I203,0),ROUNDUP(($B$3+$I203)/$I203,0)),IF($B$6="No",ROUNDUP($B$4/$G203,0),ROUNDUP(($B$4+$G203)/$G203,0)),ROUNDUP('BVMS checklist'!$H$217/$J203,0))&gt;1,'BVMS checklist'!$H$224,'BVMS checklist'!$H$217)</f>
        <v>0</v>
      </c>
      <c r="N203" s="398">
        <f t="shared" ca="1" si="633"/>
        <v>2</v>
      </c>
      <c r="O203" s="400">
        <f t="shared" ca="1" si="660"/>
        <v>2</v>
      </c>
      <c r="P203" s="400">
        <f t="shared" ca="1" si="624"/>
        <v>4250</v>
      </c>
      <c r="Q203" s="400">
        <f t="shared" ca="1" si="625"/>
        <v>0</v>
      </c>
      <c r="R203" s="398">
        <f t="shared" ca="1" si="626"/>
        <v>837900</v>
      </c>
      <c r="S203" s="401" t="str">
        <f t="shared" ca="1" si="634"/>
        <v/>
      </c>
      <c r="T203" s="398">
        <f t="shared" ca="1" si="635"/>
        <v>1024</v>
      </c>
      <c r="U203" s="400">
        <f ca="1">IF(MAX(IF($B$6="No",ROUNDUP($B$3/$I203,0),ROUNDUP(($B$3+$I203)/$I203,0)),IF($B$6="No",ROUNDUP($B$4/$G203,0),ROUNDUP(($B$4+$G203)/$G203,0)),ROUNDUP('BVMS checklist'!$H$217/$J203,0))&gt;1,'BVMS checklist'!$H$224,'BVMS checklist'!$H$217)+MAX(IF($B$6="No",ROUNDUP($B$3/$I203,0),ROUNDUP(($B$3+$I203)/$I203,0)),IF($B$6="No",ROUNDUP($B$4/$G203,0),ROUNDUP(($B$4+$G203)/$G203,0)))+$B$5</f>
        <v>1</v>
      </c>
      <c r="V203" s="400" t="b">
        <f t="shared" ca="1" si="627"/>
        <v>1</v>
      </c>
      <c r="W203" s="400" t="str">
        <f t="shared" ca="1" si="661"/>
        <v>Accepted</v>
      </c>
      <c r="X203" s="398" t="str">
        <f t="shared" ca="1" si="636"/>
        <v>No</v>
      </c>
      <c r="Y203" s="398" t="str">
        <f t="shared" ca="1" si="637"/>
        <v/>
      </c>
      <c r="Z203" s="398" t="str">
        <f t="shared" ca="1" si="638"/>
        <v/>
      </c>
      <c r="AA203" s="398">
        <f t="shared" ca="1" si="662"/>
        <v>6</v>
      </c>
      <c r="AB203" s="398">
        <f t="shared" ca="1" si="628"/>
        <v>2</v>
      </c>
      <c r="AC203" s="398">
        <f t="shared" ca="1" si="629"/>
        <v>960</v>
      </c>
      <c r="AD203" s="398">
        <f t="shared" ca="1" si="663"/>
        <v>837900</v>
      </c>
      <c r="AE203" s="399">
        <f t="shared" si="692"/>
        <v>0</v>
      </c>
      <c r="AF203" s="399">
        <f t="shared" si="693"/>
        <v>0</v>
      </c>
      <c r="AG203" s="483" t="str">
        <f t="shared" ca="1" si="639"/>
        <v/>
      </c>
      <c r="AH203" s="400">
        <f ca="1">IF(MAX(IF($C$6="No",ROUNDUP($C$3/$I203,0),ROUNDUP(($C$3+$I203)/$I203,0)),IF($C$6="No",ROUNDUP($C$4/$G203,0),ROUNDUP(($C$4+$G203)/$G203,0)),ROUNDUP('BVMS checklist'!$H$217/$J203,0))&gt;1,'BVMS checklist'!$J$224,'BVMS checklist'!$J$217)</f>
        <v>0</v>
      </c>
      <c r="AI203" s="398">
        <f t="shared" ca="1" si="640"/>
        <v>2</v>
      </c>
      <c r="AJ203" s="400">
        <f t="shared" ca="1" si="664"/>
        <v>2</v>
      </c>
      <c r="AK203" s="400">
        <f t="shared" ca="1" si="665"/>
        <v>4250</v>
      </c>
      <c r="AL203" s="400">
        <f t="shared" ca="1" si="666"/>
        <v>0</v>
      </c>
      <c r="AM203" s="398">
        <f t="shared" ca="1" si="667"/>
        <v>837900</v>
      </c>
      <c r="AN203" s="401" t="str">
        <f t="shared" ca="1" si="641"/>
        <v/>
      </c>
      <c r="AO203" s="398">
        <f t="shared" ca="1" si="668"/>
        <v>1024</v>
      </c>
      <c r="AP203" s="400">
        <f ca="1">IF(MAX(IF($C$6="No",ROUNDUP($C$3/$I203,0),ROUNDUP(($C$3+$I203)/$I203,0)),IF($C$6="No",ROUNDUP($C$4/$G203,0),ROUNDUP(($C$4+$G203)/$G203,0)),ROUNDUP('BVMS checklist'!$H$217/$J203,0))&gt;1,'BVMS checklist'!$J$224,'BVMS checklist'!$J$217)+MAX(IF($C$6="No",ROUNDUP($C$3/$I203,0),ROUNDUP(($C$3+$I203)/$I203,0)),IF($C$6="No",ROUNDUP($C$4/$G203,0),ROUNDUP(($C$4+$G203)/$G203,0)))+$C$5</f>
        <v>1</v>
      </c>
      <c r="AQ203" s="400" t="b">
        <f t="shared" ca="1" si="630"/>
        <v>1</v>
      </c>
      <c r="AR203" s="400" t="str">
        <f t="shared" ca="1" si="669"/>
        <v>Accepted</v>
      </c>
      <c r="AS203" s="398" t="str">
        <f t="shared" ca="1" si="655"/>
        <v>No</v>
      </c>
      <c r="AT203" s="398" t="str">
        <f t="shared" ca="1" si="670"/>
        <v/>
      </c>
      <c r="AU203" s="398" t="str">
        <f t="shared" ca="1" si="642"/>
        <v/>
      </c>
      <c r="AV203" s="398">
        <f t="shared" ca="1" si="643"/>
        <v>6</v>
      </c>
      <c r="AW203" s="398">
        <f t="shared" ca="1" si="671"/>
        <v>2</v>
      </c>
      <c r="AX203" s="398">
        <f t="shared" ca="1" si="672"/>
        <v>960</v>
      </c>
      <c r="AY203" s="398">
        <f t="shared" ca="1" si="673"/>
        <v>837900</v>
      </c>
      <c r="AZ203" s="399">
        <f t="shared" si="694"/>
        <v>0</v>
      </c>
      <c r="BA203" s="399">
        <f t="shared" si="695"/>
        <v>0</v>
      </c>
      <c r="BB203" s="483" t="str">
        <f t="shared" ca="1" si="644"/>
        <v/>
      </c>
      <c r="BC203" s="400">
        <f ca="1">IF(MAX(IF($D$6="No",ROUNDUP($D$3/$I203,0),ROUNDUP(($D$3+$I203)/$I203,0)),IF($D$6="No",ROUNDUP($D$4/$G203,0),ROUNDUP(($D$4+$G203)/$G203,0)),ROUNDUP('BVMS checklist'!$H$217/$J203,0))&gt;1,'BVMS checklist'!$L$224,'BVMS checklist'!$L$217)</f>
        <v>0</v>
      </c>
      <c r="BD203" s="398">
        <f t="shared" ca="1" si="645"/>
        <v>2</v>
      </c>
      <c r="BE203" s="400">
        <f t="shared" si="674"/>
        <v>1</v>
      </c>
      <c r="BF203" s="400">
        <f t="shared" si="675"/>
        <v>2125</v>
      </c>
      <c r="BG203" s="400">
        <f t="shared" ca="1" si="656"/>
        <v>0</v>
      </c>
      <c r="BH203" s="398">
        <f t="shared" ca="1" si="676"/>
        <v>837900</v>
      </c>
      <c r="BI203" s="401" t="str">
        <f t="shared" ca="1" si="646"/>
        <v/>
      </c>
      <c r="BJ203" s="398">
        <f t="shared" ca="1" si="677"/>
        <v>1024</v>
      </c>
      <c r="BK203" s="400">
        <f ca="1">IF(MAX(IF($D$6="No",ROUNDUP($D$3/$I203,0),ROUNDUP(($D$3+$I203)/$I203,0)),IF($D$6="No",ROUNDUP($D$4/$G203,0),ROUNDUP(($D$4+$G203)/$G203,0)),ROUNDUP('BVMS checklist'!$H$217/$J203,0))&gt;1,'BVMS checklist'!$L$224,'BVMS checklist'!$L$217)+MAX(IF($D$6="No",ROUNDUP($D$3/$I203,0),ROUNDUP(($D$3+$I203)/$I203,0)),IF($D$6="No",ROUNDUP($D$4/$G203,0),ROUNDUP(($D$4+$G203)/$G203,0)))+$D$5</f>
        <v>1</v>
      </c>
      <c r="BL203" s="400" t="b">
        <f t="shared" ca="1" si="631"/>
        <v>1</v>
      </c>
      <c r="BM203" s="400" t="str">
        <f t="shared" ca="1" si="678"/>
        <v>Accepted</v>
      </c>
      <c r="BN203" s="398" t="str">
        <f t="shared" ca="1" si="657"/>
        <v>No</v>
      </c>
      <c r="BO203" s="398" t="str">
        <f t="shared" ca="1" si="679"/>
        <v/>
      </c>
      <c r="BP203" s="398" t="str">
        <f t="shared" ca="1" si="647"/>
        <v/>
      </c>
      <c r="BQ203" s="398">
        <f t="shared" ca="1" si="648"/>
        <v>6</v>
      </c>
      <c r="BR203" s="398">
        <f t="shared" ca="1" si="680"/>
        <v>2</v>
      </c>
      <c r="BS203" s="398">
        <f t="shared" ca="1" si="681"/>
        <v>960</v>
      </c>
      <c r="BT203" s="398">
        <f t="shared" ca="1" si="682"/>
        <v>837900</v>
      </c>
      <c r="BU203" s="399">
        <f t="shared" si="696"/>
        <v>0</v>
      </c>
      <c r="BV203" s="399">
        <f t="shared" si="697"/>
        <v>0</v>
      </c>
      <c r="BW203" s="483" t="str">
        <f t="shared" ca="1" si="649"/>
        <v/>
      </c>
      <c r="BX203" s="400">
        <f ca="1">IF(MAX(IF($E$6="No",ROUNDUP($E$3/$I203,0),ROUNDUP(($E$3+$I203)/$I203,0)),IF($E$6="No",ROUNDUP($E$4/$G203,0),ROUNDUP(($E$4+$G203)/$G203,0)),ROUNDUP('BVMS checklist'!$H$217/$J203,0))&gt;1,'BVMS checklist'!$N$224,'BVMS checklist'!$N$217)</f>
        <v>0</v>
      </c>
      <c r="BY203" s="398">
        <f t="shared" ca="1" si="650"/>
        <v>2</v>
      </c>
      <c r="BZ203" s="400">
        <f t="shared" ca="1" si="683"/>
        <v>2</v>
      </c>
      <c r="CA203" s="400">
        <f t="shared" ca="1" si="684"/>
        <v>4250</v>
      </c>
      <c r="CB203" s="400">
        <f t="shared" ca="1" si="658"/>
        <v>0</v>
      </c>
      <c r="CC203" s="398">
        <f t="shared" ca="1" si="685"/>
        <v>837900</v>
      </c>
      <c r="CD203" s="401" t="str">
        <f t="shared" ca="1" si="651"/>
        <v/>
      </c>
      <c r="CE203" s="398">
        <f t="shared" ca="1" si="686"/>
        <v>1024</v>
      </c>
      <c r="CF203" s="400">
        <f ca="1">IF(MAX(IF($E$6="No",ROUNDUP($E$3/$I203,0),ROUNDUP(($E$3+$I203)/$I203,0)),IF($E$6="No",ROUNDUP($E$4/$G203,0),ROUNDUP(($E$4+$G203)/$G203,0)),ROUNDUP('BVMS checklist'!$H$217/$J203,0))&gt;1,'BVMS checklist'!$N$224,'BVMS checklist'!$N$217)+MAX(IF($E$6="No",ROUNDUP($E$3/$I203,0),ROUNDUP(($E$3+$I203)/$I203,0)),IF($E$6="No",ROUNDUP($E$4/$G203,0),ROUNDUP(($E$4+$G203)/$G203,0)))+$E$5</f>
        <v>1</v>
      </c>
      <c r="CG203" s="400" t="b">
        <f t="shared" ca="1" si="632"/>
        <v>1</v>
      </c>
      <c r="CH203" s="400" t="str">
        <f t="shared" ca="1" si="687"/>
        <v>Accepted</v>
      </c>
      <c r="CI203" s="398" t="str">
        <f t="shared" ca="1" si="659"/>
        <v>No</v>
      </c>
      <c r="CJ203" s="398" t="str">
        <f t="shared" ca="1" si="688"/>
        <v/>
      </c>
      <c r="CK203" s="398" t="str">
        <f t="shared" ca="1" si="652"/>
        <v/>
      </c>
      <c r="CL203" s="398">
        <f t="shared" ca="1" si="653"/>
        <v>6</v>
      </c>
      <c r="CM203" s="398">
        <f t="shared" ca="1" si="689"/>
        <v>2</v>
      </c>
      <c r="CN203" s="398">
        <f t="shared" ca="1" si="690"/>
        <v>960</v>
      </c>
      <c r="CO203" s="398">
        <f t="shared" ca="1" si="691"/>
        <v>837900</v>
      </c>
      <c r="CP203" s="399">
        <f t="shared" si="698"/>
        <v>0</v>
      </c>
      <c r="CQ203" s="399">
        <f t="shared" si="699"/>
        <v>0</v>
      </c>
      <c r="CR203" s="483" t="str">
        <f t="shared" ca="1" si="654"/>
        <v/>
      </c>
      <c r="CS203"/>
    </row>
    <row r="204" spans="1:97">
      <c r="A204" s="398" t="s">
        <v>514</v>
      </c>
      <c r="B204" s="398" t="s">
        <v>987</v>
      </c>
      <c r="C204" s="440" t="s">
        <v>891</v>
      </c>
      <c r="D204" s="398">
        <v>5</v>
      </c>
      <c r="E204" s="398"/>
      <c r="F204" s="440">
        <v>0</v>
      </c>
      <c r="G204" s="398">
        <f>IF(C204="RAID5",(((15-F204)*5586))+(4*(((15-F204)*7448))),(((14-F204)*5586))+(4*(((14-F204)*7448))))</f>
        <v>530670</v>
      </c>
      <c r="H204" s="399">
        <v>608</v>
      </c>
      <c r="I204" s="399">
        <v>2675</v>
      </c>
      <c r="J204" s="399">
        <v>640</v>
      </c>
      <c r="K204" s="399"/>
      <c r="L204" s="399"/>
      <c r="M204" s="400">
        <f ca="1">IF(MAX(IF($B$6="No",ROUNDUP($B$3/$I204,0),ROUNDUP(($B$3+$I204)/$I204,0)),IF($B$6="No",ROUNDUP($B$4/$G204,0),ROUNDUP(($B$4+$G204)/$G204,0)),ROUNDUP('BVMS checklist'!$H$217/$J204,0))&gt;1,'BVMS checklist'!$H$224,'BVMS checklist'!$H$217)</f>
        <v>0</v>
      </c>
      <c r="N204" s="398">
        <f t="shared" ca="1" si="633"/>
        <v>2</v>
      </c>
      <c r="O204" s="400">
        <f t="shared" ca="1" si="660"/>
        <v>2</v>
      </c>
      <c r="P204" s="400">
        <f t="shared" ca="1" si="624"/>
        <v>5350</v>
      </c>
      <c r="Q204" s="400">
        <f t="shared" ca="1" si="625"/>
        <v>0</v>
      </c>
      <c r="R204" s="398">
        <f t="shared" ca="1" si="626"/>
        <v>1061340</v>
      </c>
      <c r="S204" s="401" t="str">
        <f t="shared" ca="1" si="634"/>
        <v/>
      </c>
      <c r="T204" s="398">
        <f t="shared" ca="1" si="635"/>
        <v>1280</v>
      </c>
      <c r="U204" s="400">
        <f ca="1">IF(MAX(IF($B$6="No",ROUNDUP($B$3/$I204,0),ROUNDUP(($B$3+$I204)/$I204,0)),IF($B$6="No",ROUNDUP($B$4/$G204,0),ROUNDUP(($B$4+$G204)/$G204,0)),ROUNDUP('BVMS checklist'!$H$217/$J204,0))&gt;1,'BVMS checklist'!$H$224,'BVMS checklist'!$H$217)+MAX(IF($B$6="No",ROUNDUP($B$3/$I204,0),ROUNDUP(($B$3+$I204)/$I204,0)),IF($B$6="No",ROUNDUP($B$4/$G204,0),ROUNDUP(($B$4+$G204)/$G204,0)))+$B$5</f>
        <v>1</v>
      </c>
      <c r="V204" s="400" t="b">
        <f t="shared" ca="1" si="627"/>
        <v>1</v>
      </c>
      <c r="W204" s="400" t="str">
        <f t="shared" ca="1" si="661"/>
        <v>Accepted</v>
      </c>
      <c r="X204" s="398" t="str">
        <f t="shared" ca="1" si="636"/>
        <v>No</v>
      </c>
      <c r="Y204" s="398" t="str">
        <f t="shared" ca="1" si="637"/>
        <v/>
      </c>
      <c r="Z204" s="398" t="str">
        <f t="shared" ca="1" si="638"/>
        <v/>
      </c>
      <c r="AA204" s="398">
        <f t="shared" ca="1" si="662"/>
        <v>6</v>
      </c>
      <c r="AB204" s="398">
        <f t="shared" ca="1" si="628"/>
        <v>2</v>
      </c>
      <c r="AC204" s="398">
        <f t="shared" ca="1" si="629"/>
        <v>1216</v>
      </c>
      <c r="AD204" s="398">
        <f t="shared" ca="1" si="663"/>
        <v>1061340</v>
      </c>
      <c r="AE204" s="399">
        <f t="shared" si="692"/>
        <v>0</v>
      </c>
      <c r="AF204" s="399">
        <f t="shared" si="693"/>
        <v>0</v>
      </c>
      <c r="AG204" s="483" t="str">
        <f t="shared" ca="1" si="639"/>
        <v/>
      </c>
      <c r="AH204" s="400">
        <f ca="1">IF(MAX(IF($C$6="No",ROUNDUP($C$3/$I204,0),ROUNDUP(($C$3+$I204)/$I204,0)),IF($C$6="No",ROUNDUP($C$4/$G204,0),ROUNDUP(($C$4+$G204)/$G204,0)),ROUNDUP('BVMS checklist'!$H$217/$J204,0))&gt;1,'BVMS checklist'!$J$224,'BVMS checklist'!$J$217)</f>
        <v>0</v>
      </c>
      <c r="AI204" s="398">
        <f t="shared" ca="1" si="640"/>
        <v>2</v>
      </c>
      <c r="AJ204" s="400">
        <f t="shared" ca="1" si="664"/>
        <v>2</v>
      </c>
      <c r="AK204" s="400">
        <f t="shared" ca="1" si="665"/>
        <v>5350</v>
      </c>
      <c r="AL204" s="400">
        <f t="shared" ca="1" si="666"/>
        <v>0</v>
      </c>
      <c r="AM204" s="398">
        <f t="shared" ca="1" si="667"/>
        <v>1061340</v>
      </c>
      <c r="AN204" s="401" t="str">
        <f t="shared" ca="1" si="641"/>
        <v/>
      </c>
      <c r="AO204" s="398">
        <f t="shared" ca="1" si="668"/>
        <v>1280</v>
      </c>
      <c r="AP204" s="400">
        <f ca="1">IF(MAX(IF($C$6="No",ROUNDUP($C$3/$I204,0),ROUNDUP(($C$3+$I204)/$I204,0)),IF($C$6="No",ROUNDUP($C$4/$G204,0),ROUNDUP(($C$4+$G204)/$G204,0)),ROUNDUP('BVMS checklist'!$H$217/$J204,0))&gt;1,'BVMS checklist'!$J$224,'BVMS checklist'!$J$217)+MAX(IF($C$6="No",ROUNDUP($C$3/$I204,0),ROUNDUP(($C$3+$I204)/$I204,0)),IF($C$6="No",ROUNDUP($C$4/$G204,0),ROUNDUP(($C$4+$G204)/$G204,0)))+$C$5</f>
        <v>1</v>
      </c>
      <c r="AQ204" s="400" t="b">
        <f t="shared" ca="1" si="630"/>
        <v>1</v>
      </c>
      <c r="AR204" s="400" t="str">
        <f t="shared" ca="1" si="669"/>
        <v>Accepted</v>
      </c>
      <c r="AS204" s="398" t="str">
        <f t="shared" ca="1" si="655"/>
        <v>No</v>
      </c>
      <c r="AT204" s="398" t="str">
        <f t="shared" ca="1" si="670"/>
        <v/>
      </c>
      <c r="AU204" s="398" t="str">
        <f t="shared" ca="1" si="642"/>
        <v/>
      </c>
      <c r="AV204" s="398">
        <f t="shared" ca="1" si="643"/>
        <v>6</v>
      </c>
      <c r="AW204" s="398">
        <f t="shared" ca="1" si="671"/>
        <v>2</v>
      </c>
      <c r="AX204" s="398">
        <f t="shared" ca="1" si="672"/>
        <v>1216</v>
      </c>
      <c r="AY204" s="398">
        <f t="shared" ca="1" si="673"/>
        <v>1061340</v>
      </c>
      <c r="AZ204" s="399">
        <f t="shared" si="694"/>
        <v>0</v>
      </c>
      <c r="BA204" s="399">
        <f t="shared" si="695"/>
        <v>0</v>
      </c>
      <c r="BB204" s="483" t="str">
        <f t="shared" ca="1" si="644"/>
        <v/>
      </c>
      <c r="BC204" s="400">
        <f ca="1">IF(MAX(IF($D$6="No",ROUNDUP($D$3/$I204,0),ROUNDUP(($D$3+$I204)/$I204,0)),IF($D$6="No",ROUNDUP($D$4/$G204,0),ROUNDUP(($D$4+$G204)/$G204,0)),ROUNDUP('BVMS checklist'!$H$217/$J204,0))&gt;1,'BVMS checklist'!$L$224,'BVMS checklist'!$L$217)</f>
        <v>0</v>
      </c>
      <c r="BD204" s="398">
        <f t="shared" ca="1" si="645"/>
        <v>2</v>
      </c>
      <c r="BE204" s="400">
        <f t="shared" si="674"/>
        <v>1</v>
      </c>
      <c r="BF204" s="400">
        <f t="shared" si="675"/>
        <v>2675</v>
      </c>
      <c r="BG204" s="400">
        <f t="shared" ca="1" si="656"/>
        <v>0</v>
      </c>
      <c r="BH204" s="398">
        <f t="shared" ca="1" si="676"/>
        <v>1061340</v>
      </c>
      <c r="BI204" s="401" t="str">
        <f t="shared" ca="1" si="646"/>
        <v/>
      </c>
      <c r="BJ204" s="398">
        <f t="shared" ca="1" si="677"/>
        <v>1280</v>
      </c>
      <c r="BK204" s="400">
        <f ca="1">IF(MAX(IF($D$6="No",ROUNDUP($D$3/$I204,0),ROUNDUP(($D$3+$I204)/$I204,0)),IF($D$6="No",ROUNDUP($D$4/$G204,0),ROUNDUP(($D$4+$G204)/$G204,0)),ROUNDUP('BVMS checklist'!$H$217/$J204,0))&gt;1,'BVMS checklist'!$L$224,'BVMS checklist'!$L$217)+MAX(IF($D$6="No",ROUNDUP($D$3/$I204,0),ROUNDUP(($D$3+$I204)/$I204,0)),IF($D$6="No",ROUNDUP($D$4/$G204,0),ROUNDUP(($D$4+$G204)/$G204,0)))+$D$5</f>
        <v>1</v>
      </c>
      <c r="BL204" s="400" t="b">
        <f t="shared" ca="1" si="631"/>
        <v>1</v>
      </c>
      <c r="BM204" s="400" t="str">
        <f t="shared" ca="1" si="678"/>
        <v>Accepted</v>
      </c>
      <c r="BN204" s="398" t="str">
        <f t="shared" ca="1" si="657"/>
        <v>No</v>
      </c>
      <c r="BO204" s="398" t="str">
        <f t="shared" ca="1" si="679"/>
        <v/>
      </c>
      <c r="BP204" s="398" t="str">
        <f t="shared" ca="1" si="647"/>
        <v/>
      </c>
      <c r="BQ204" s="398">
        <f t="shared" ca="1" si="648"/>
        <v>6</v>
      </c>
      <c r="BR204" s="398">
        <f t="shared" ca="1" si="680"/>
        <v>2</v>
      </c>
      <c r="BS204" s="398">
        <f t="shared" ca="1" si="681"/>
        <v>1216</v>
      </c>
      <c r="BT204" s="398">
        <f t="shared" ca="1" si="682"/>
        <v>1061340</v>
      </c>
      <c r="BU204" s="399">
        <f t="shared" si="696"/>
        <v>0</v>
      </c>
      <c r="BV204" s="399">
        <f t="shared" si="697"/>
        <v>0</v>
      </c>
      <c r="BW204" s="483" t="str">
        <f t="shared" ca="1" si="649"/>
        <v/>
      </c>
      <c r="BX204" s="400">
        <f ca="1">IF(MAX(IF($E$6="No",ROUNDUP($E$3/$I204,0),ROUNDUP(($E$3+$I204)/$I204,0)),IF($E$6="No",ROUNDUP($E$4/$G204,0),ROUNDUP(($E$4+$G204)/$G204,0)),ROUNDUP('BVMS checklist'!$H$217/$J204,0))&gt;1,'BVMS checklist'!$N$224,'BVMS checklist'!$N$217)</f>
        <v>0</v>
      </c>
      <c r="BY204" s="398">
        <f t="shared" ca="1" si="650"/>
        <v>2</v>
      </c>
      <c r="BZ204" s="400">
        <f t="shared" ca="1" si="683"/>
        <v>2</v>
      </c>
      <c r="CA204" s="400">
        <f t="shared" ca="1" si="684"/>
        <v>5350</v>
      </c>
      <c r="CB204" s="400">
        <f t="shared" ca="1" si="658"/>
        <v>0</v>
      </c>
      <c r="CC204" s="398">
        <f t="shared" ca="1" si="685"/>
        <v>1061340</v>
      </c>
      <c r="CD204" s="401" t="str">
        <f t="shared" ca="1" si="651"/>
        <v/>
      </c>
      <c r="CE204" s="398">
        <f t="shared" ca="1" si="686"/>
        <v>1280</v>
      </c>
      <c r="CF204" s="400">
        <f ca="1">IF(MAX(IF($E$6="No",ROUNDUP($E$3/$I204,0),ROUNDUP(($E$3+$I204)/$I204,0)),IF($E$6="No",ROUNDUP($E$4/$G204,0),ROUNDUP(($E$4+$G204)/$G204,0)),ROUNDUP('BVMS checklist'!$H$217/$J204,0))&gt;1,'BVMS checklist'!$N$224,'BVMS checklist'!$N$217)+MAX(IF($E$6="No",ROUNDUP($E$3/$I204,0),ROUNDUP(($E$3+$I204)/$I204,0)),IF($E$6="No",ROUNDUP($E$4/$G204,0),ROUNDUP(($E$4+$G204)/$G204,0)))+$E$5</f>
        <v>1</v>
      </c>
      <c r="CG204" s="400" t="b">
        <f t="shared" ca="1" si="632"/>
        <v>1</v>
      </c>
      <c r="CH204" s="400" t="str">
        <f t="shared" ca="1" si="687"/>
        <v>Accepted</v>
      </c>
      <c r="CI204" s="398" t="str">
        <f t="shared" ca="1" si="659"/>
        <v>No</v>
      </c>
      <c r="CJ204" s="398" t="str">
        <f t="shared" ca="1" si="688"/>
        <v/>
      </c>
      <c r="CK204" s="398" t="str">
        <f t="shared" ca="1" si="652"/>
        <v/>
      </c>
      <c r="CL204" s="398">
        <f t="shared" ca="1" si="653"/>
        <v>6</v>
      </c>
      <c r="CM204" s="398">
        <f t="shared" ca="1" si="689"/>
        <v>2</v>
      </c>
      <c r="CN204" s="398">
        <f t="shared" ca="1" si="690"/>
        <v>1216</v>
      </c>
      <c r="CO204" s="398">
        <f t="shared" ca="1" si="691"/>
        <v>1061340</v>
      </c>
      <c r="CP204" s="399">
        <f t="shared" si="698"/>
        <v>0</v>
      </c>
      <c r="CQ204" s="399">
        <f t="shared" si="699"/>
        <v>0</v>
      </c>
      <c r="CR204" s="483" t="str">
        <f t="shared" ca="1" si="654"/>
        <v/>
      </c>
      <c r="CS204"/>
    </row>
    <row r="205" spans="1:97">
      <c r="A205" s="398" t="s">
        <v>439</v>
      </c>
      <c r="B205" s="398" t="s">
        <v>987</v>
      </c>
      <c r="C205" s="440" t="s">
        <v>891</v>
      </c>
      <c r="D205" s="398">
        <v>2</v>
      </c>
      <c r="E205" s="398"/>
      <c r="F205" s="440">
        <v>0</v>
      </c>
      <c r="G205" s="398">
        <f>IF(C205="RAID5",(((15-F205)*7448))+(1*(((7-F205)*2793))),(((14-F205)*7448))+(1*(((6-F205)*2793))))</f>
        <v>131271</v>
      </c>
      <c r="H205" s="399">
        <v>152</v>
      </c>
      <c r="I205" s="399">
        <v>1025</v>
      </c>
      <c r="J205" s="399">
        <v>256</v>
      </c>
      <c r="K205" s="399"/>
      <c r="L205" s="399"/>
      <c r="M205" s="400">
        <f ca="1">IF(MAX(IF($B$6="No",ROUNDUP($B$3/$I205,0),ROUNDUP(($B$3+$I205)/$I205,0)),IF($B$6="No",ROUNDUP($B$4/$G205,0),ROUNDUP(($B$4+$G205)/$G205,0)),ROUNDUP('BVMS checklist'!$H$217/$J205,0))&gt;1,'BVMS checklist'!$H$224,'BVMS checklist'!$H$217)</f>
        <v>0</v>
      </c>
      <c r="N205" s="398">
        <f t="shared" ca="1" si="633"/>
        <v>2</v>
      </c>
      <c r="O205" s="400">
        <f t="shared" ca="1" si="660"/>
        <v>2</v>
      </c>
      <c r="P205" s="400">
        <f t="shared" ca="1" si="624"/>
        <v>2050</v>
      </c>
      <c r="Q205" s="400">
        <f t="shared" ca="1" si="625"/>
        <v>0</v>
      </c>
      <c r="R205" s="398">
        <f t="shared" ca="1" si="626"/>
        <v>262542</v>
      </c>
      <c r="S205" s="401" t="str">
        <f t="shared" ca="1" si="634"/>
        <v/>
      </c>
      <c r="T205" s="398">
        <f t="shared" ca="1" si="635"/>
        <v>512</v>
      </c>
      <c r="U205" s="400">
        <f ca="1">IF(MAX(IF($B$6="No",ROUNDUP($B$3/$I205,0),ROUNDUP(($B$3+$I205)/$I205,0)),IF($B$6="No",ROUNDUP($B$4/$G205,0),ROUNDUP(($B$4+$G205)/$G205,0)),ROUNDUP('BVMS checklist'!$H$217/$J205,0))&gt;1,'BVMS checklist'!$H$224,'BVMS checklist'!$H$217)+MAX(IF($B$6="No",ROUNDUP($B$3/$I205,0),ROUNDUP(($B$3+$I205)/$I205,0)),IF($B$6="No",ROUNDUP($B$4/$G205,0),ROUNDUP(($B$4+$G205)/$G205,0)))+$B$5</f>
        <v>1</v>
      </c>
      <c r="V205" s="400" t="b">
        <f t="shared" ca="1" si="627"/>
        <v>1</v>
      </c>
      <c r="W205" s="400" t="str">
        <f t="shared" ca="1" si="661"/>
        <v>Accepted</v>
      </c>
      <c r="X205" s="398" t="str">
        <f t="shared" ca="1" si="636"/>
        <v>No</v>
      </c>
      <c r="Y205" s="398" t="str">
        <f t="shared" ca="1" si="637"/>
        <v/>
      </c>
      <c r="Z205" s="398" t="str">
        <f t="shared" ca="1" si="638"/>
        <v/>
      </c>
      <c r="AA205" s="398">
        <f t="shared" ca="1" si="662"/>
        <v>6</v>
      </c>
      <c r="AB205" s="398">
        <f t="shared" ca="1" si="628"/>
        <v>2</v>
      </c>
      <c r="AC205" s="398">
        <f t="shared" ca="1" si="629"/>
        <v>304</v>
      </c>
      <c r="AD205" s="398">
        <f t="shared" ca="1" si="663"/>
        <v>262542</v>
      </c>
      <c r="AE205" s="399">
        <f t="shared" si="692"/>
        <v>0</v>
      </c>
      <c r="AF205" s="399">
        <f t="shared" si="693"/>
        <v>0</v>
      </c>
      <c r="AG205" s="483" t="str">
        <f t="shared" ca="1" si="639"/>
        <v/>
      </c>
      <c r="AH205" s="400">
        <f ca="1">IF(MAX(IF($C$6="No",ROUNDUP($C$3/$I205,0),ROUNDUP(($C$3+$I205)/$I205,0)),IF($C$6="No",ROUNDUP($C$4/$G205,0),ROUNDUP(($C$4+$G205)/$G205,0)),ROUNDUP('BVMS checklist'!$H$217/$J205,0))&gt;1,'BVMS checklist'!$J$224,'BVMS checklist'!$J$217)</f>
        <v>0</v>
      </c>
      <c r="AI205" s="398">
        <f t="shared" ca="1" si="640"/>
        <v>2</v>
      </c>
      <c r="AJ205" s="400">
        <f t="shared" ca="1" si="664"/>
        <v>2</v>
      </c>
      <c r="AK205" s="400">
        <f t="shared" ca="1" si="665"/>
        <v>2050</v>
      </c>
      <c r="AL205" s="400">
        <f t="shared" ca="1" si="666"/>
        <v>0</v>
      </c>
      <c r="AM205" s="398">
        <f t="shared" ca="1" si="667"/>
        <v>262542</v>
      </c>
      <c r="AN205" s="401" t="str">
        <f t="shared" ca="1" si="641"/>
        <v/>
      </c>
      <c r="AO205" s="398">
        <f t="shared" ca="1" si="668"/>
        <v>512</v>
      </c>
      <c r="AP205" s="400">
        <f ca="1">IF(MAX(IF($C$6="No",ROUNDUP($C$3/$I205,0),ROUNDUP(($C$3+$I205)/$I205,0)),IF($C$6="No",ROUNDUP($C$4/$G205,0),ROUNDUP(($C$4+$G205)/$G205,0)),ROUNDUP('BVMS checklist'!$H$217/$J205,0))&gt;1,'BVMS checklist'!$J$224,'BVMS checklist'!$J$217)+MAX(IF($C$6="No",ROUNDUP($C$3/$I205,0),ROUNDUP(($C$3+$I205)/$I205,0)),IF($C$6="No",ROUNDUP($C$4/$G205,0),ROUNDUP(($C$4+$G205)/$G205,0)))+$C$5</f>
        <v>1</v>
      </c>
      <c r="AQ205" s="400" t="b">
        <f t="shared" ca="1" si="630"/>
        <v>1</v>
      </c>
      <c r="AR205" s="400" t="str">
        <f t="shared" ca="1" si="669"/>
        <v>Accepted</v>
      </c>
      <c r="AS205" s="398" t="str">
        <f t="shared" ca="1" si="655"/>
        <v>No</v>
      </c>
      <c r="AT205" s="398" t="str">
        <f t="shared" ca="1" si="670"/>
        <v/>
      </c>
      <c r="AU205" s="398" t="str">
        <f t="shared" ca="1" si="642"/>
        <v/>
      </c>
      <c r="AV205" s="398">
        <f t="shared" ca="1" si="643"/>
        <v>6</v>
      </c>
      <c r="AW205" s="398">
        <f t="shared" ca="1" si="671"/>
        <v>2</v>
      </c>
      <c r="AX205" s="398">
        <f t="shared" ca="1" si="672"/>
        <v>304</v>
      </c>
      <c r="AY205" s="398">
        <f t="shared" ca="1" si="673"/>
        <v>262542</v>
      </c>
      <c r="AZ205" s="399">
        <f t="shared" si="694"/>
        <v>0</v>
      </c>
      <c r="BA205" s="399">
        <f t="shared" si="695"/>
        <v>0</v>
      </c>
      <c r="BB205" s="483" t="str">
        <f t="shared" ca="1" si="644"/>
        <v/>
      </c>
      <c r="BC205" s="400">
        <f ca="1">IF(MAX(IF($D$6="No",ROUNDUP($D$3/$I205,0),ROUNDUP(($D$3+$I205)/$I205,0)),IF($D$6="No",ROUNDUP($D$4/$G205,0),ROUNDUP(($D$4+$G205)/$G205,0)),ROUNDUP('BVMS checklist'!$H$217/$J205,0))&gt;1,'BVMS checklist'!$L$224,'BVMS checklist'!$L$217)</f>
        <v>0</v>
      </c>
      <c r="BD205" s="398">
        <f t="shared" ca="1" si="645"/>
        <v>2</v>
      </c>
      <c r="BE205" s="400">
        <f t="shared" si="674"/>
        <v>1</v>
      </c>
      <c r="BF205" s="400">
        <f t="shared" si="675"/>
        <v>1025</v>
      </c>
      <c r="BG205" s="400">
        <f t="shared" ca="1" si="656"/>
        <v>0</v>
      </c>
      <c r="BH205" s="398">
        <f t="shared" ca="1" si="676"/>
        <v>262542</v>
      </c>
      <c r="BI205" s="401" t="str">
        <f t="shared" ca="1" si="646"/>
        <v/>
      </c>
      <c r="BJ205" s="398">
        <f t="shared" ca="1" si="677"/>
        <v>512</v>
      </c>
      <c r="BK205" s="400">
        <f ca="1">IF(MAX(IF($D$6="No",ROUNDUP($D$3/$I205,0),ROUNDUP(($D$3+$I205)/$I205,0)),IF($D$6="No",ROUNDUP($D$4/$G205,0),ROUNDUP(($D$4+$G205)/$G205,0)),ROUNDUP('BVMS checklist'!$H$217/$J205,0))&gt;1,'BVMS checklist'!$L$224,'BVMS checklist'!$L$217)+MAX(IF($D$6="No",ROUNDUP($D$3/$I205,0),ROUNDUP(($D$3+$I205)/$I205,0)),IF($D$6="No",ROUNDUP($D$4/$G205,0),ROUNDUP(($D$4+$G205)/$G205,0)))+$D$5</f>
        <v>1</v>
      </c>
      <c r="BL205" s="400" t="b">
        <f t="shared" ca="1" si="631"/>
        <v>1</v>
      </c>
      <c r="BM205" s="400" t="str">
        <f t="shared" ca="1" si="678"/>
        <v>Accepted</v>
      </c>
      <c r="BN205" s="398" t="str">
        <f t="shared" ca="1" si="657"/>
        <v>No</v>
      </c>
      <c r="BO205" s="398" t="str">
        <f t="shared" ca="1" si="679"/>
        <v/>
      </c>
      <c r="BP205" s="398" t="str">
        <f t="shared" ca="1" si="647"/>
        <v/>
      </c>
      <c r="BQ205" s="398">
        <f t="shared" ca="1" si="648"/>
        <v>6</v>
      </c>
      <c r="BR205" s="398">
        <f t="shared" ca="1" si="680"/>
        <v>2</v>
      </c>
      <c r="BS205" s="398">
        <f t="shared" ca="1" si="681"/>
        <v>304</v>
      </c>
      <c r="BT205" s="398">
        <f t="shared" ca="1" si="682"/>
        <v>262542</v>
      </c>
      <c r="BU205" s="399">
        <f t="shared" si="696"/>
        <v>0</v>
      </c>
      <c r="BV205" s="399">
        <f t="shared" si="697"/>
        <v>0</v>
      </c>
      <c r="BW205" s="483" t="str">
        <f t="shared" ca="1" si="649"/>
        <v/>
      </c>
      <c r="BX205" s="400">
        <f ca="1">IF(MAX(IF($E$6="No",ROUNDUP($E$3/$I205,0),ROUNDUP(($E$3+$I205)/$I205,0)),IF($E$6="No",ROUNDUP($E$4/$G205,0),ROUNDUP(($E$4+$G205)/$G205,0)),ROUNDUP('BVMS checklist'!$H$217/$J205,0))&gt;1,'BVMS checklist'!$N$224,'BVMS checklist'!$N$217)</f>
        <v>0</v>
      </c>
      <c r="BY205" s="398">
        <f t="shared" ca="1" si="650"/>
        <v>2</v>
      </c>
      <c r="BZ205" s="400">
        <f t="shared" ca="1" si="683"/>
        <v>2</v>
      </c>
      <c r="CA205" s="400">
        <f t="shared" ca="1" si="684"/>
        <v>2050</v>
      </c>
      <c r="CB205" s="400">
        <f t="shared" ca="1" si="658"/>
        <v>0</v>
      </c>
      <c r="CC205" s="398">
        <f t="shared" ca="1" si="685"/>
        <v>262542</v>
      </c>
      <c r="CD205" s="401" t="str">
        <f t="shared" ca="1" si="651"/>
        <v/>
      </c>
      <c r="CE205" s="398">
        <f t="shared" ca="1" si="686"/>
        <v>512</v>
      </c>
      <c r="CF205" s="400">
        <f ca="1">IF(MAX(IF($E$6="No",ROUNDUP($E$3/$I205,0),ROUNDUP(($E$3+$I205)/$I205,0)),IF($E$6="No",ROUNDUP($E$4/$G205,0),ROUNDUP(($E$4+$G205)/$G205,0)),ROUNDUP('BVMS checklist'!$H$217/$J205,0))&gt;1,'BVMS checklist'!$N$224,'BVMS checklist'!$N$217)+MAX(IF($E$6="No",ROUNDUP($E$3/$I205,0),ROUNDUP(($E$3+$I205)/$I205,0)),IF($E$6="No",ROUNDUP($E$4/$G205,0),ROUNDUP(($E$4+$G205)/$G205,0)))+$E$5</f>
        <v>1</v>
      </c>
      <c r="CG205" s="400" t="b">
        <f t="shared" ca="1" si="632"/>
        <v>1</v>
      </c>
      <c r="CH205" s="400" t="str">
        <f t="shared" ca="1" si="687"/>
        <v>Accepted</v>
      </c>
      <c r="CI205" s="398" t="str">
        <f t="shared" ca="1" si="659"/>
        <v>No</v>
      </c>
      <c r="CJ205" s="398" t="str">
        <f t="shared" ca="1" si="688"/>
        <v/>
      </c>
      <c r="CK205" s="398" t="str">
        <f t="shared" ca="1" si="652"/>
        <v/>
      </c>
      <c r="CL205" s="398">
        <f t="shared" ca="1" si="653"/>
        <v>6</v>
      </c>
      <c r="CM205" s="398">
        <f t="shared" ca="1" si="689"/>
        <v>2</v>
      </c>
      <c r="CN205" s="398">
        <f t="shared" ca="1" si="690"/>
        <v>304</v>
      </c>
      <c r="CO205" s="398">
        <f t="shared" ca="1" si="691"/>
        <v>262542</v>
      </c>
      <c r="CP205" s="399">
        <f t="shared" si="698"/>
        <v>0</v>
      </c>
      <c r="CQ205" s="399">
        <f t="shared" si="699"/>
        <v>0</v>
      </c>
      <c r="CR205" s="483" t="str">
        <f t="shared" ca="1" si="654"/>
        <v/>
      </c>
      <c r="CS205"/>
    </row>
    <row r="206" spans="1:97">
      <c r="A206" s="398" t="s">
        <v>440</v>
      </c>
      <c r="B206" s="398" t="s">
        <v>987</v>
      </c>
      <c r="C206" s="440" t="s">
        <v>891</v>
      </c>
      <c r="D206" s="398">
        <v>3</v>
      </c>
      <c r="E206" s="398"/>
      <c r="F206" s="440">
        <v>0</v>
      </c>
      <c r="G206" s="398">
        <f>IF(C206="RAID5",(((15-F206)*7448))+(2*(((7-F206)*2793))),(((14-F206)*7448))+(2*(((6-F206)*2793))))</f>
        <v>150822</v>
      </c>
      <c r="H206" s="399">
        <v>176</v>
      </c>
      <c r="I206" s="399">
        <v>1575</v>
      </c>
      <c r="J206" s="399">
        <v>384</v>
      </c>
      <c r="K206" s="399"/>
      <c r="L206" s="399"/>
      <c r="M206" s="400">
        <f ca="1">IF(MAX(IF($B$6="No",ROUNDUP($B$3/$I206,0),ROUNDUP(($B$3+$I206)/$I206,0)),IF($B$6="No",ROUNDUP($B$4/$G206,0),ROUNDUP(($B$4+$G206)/$G206,0)),ROUNDUP('BVMS checklist'!$H$217/$J206,0))&gt;1,'BVMS checklist'!$H$224,'BVMS checklist'!$H$217)</f>
        <v>0</v>
      </c>
      <c r="N206" s="398">
        <f t="shared" ca="1" si="633"/>
        <v>2</v>
      </c>
      <c r="O206" s="400">
        <f t="shared" ca="1" si="660"/>
        <v>2</v>
      </c>
      <c r="P206" s="400">
        <f t="shared" ca="1" si="624"/>
        <v>3150</v>
      </c>
      <c r="Q206" s="400">
        <f t="shared" ca="1" si="625"/>
        <v>0</v>
      </c>
      <c r="R206" s="398">
        <f t="shared" ca="1" si="626"/>
        <v>301644</v>
      </c>
      <c r="S206" s="401" t="str">
        <f t="shared" ca="1" si="634"/>
        <v/>
      </c>
      <c r="T206" s="398">
        <f t="shared" ca="1" si="635"/>
        <v>768</v>
      </c>
      <c r="U206" s="400">
        <f ca="1">IF(MAX(IF($B$6="No",ROUNDUP($B$3/$I206,0),ROUNDUP(($B$3+$I206)/$I206,0)),IF($B$6="No",ROUNDUP($B$4/$G206,0),ROUNDUP(($B$4+$G206)/$G206,0)),ROUNDUP('BVMS checklist'!$H$217/$J206,0))&gt;1,'BVMS checklist'!$H$224,'BVMS checklist'!$H$217)+MAX(IF($B$6="No",ROUNDUP($B$3/$I206,0),ROUNDUP(($B$3+$I206)/$I206,0)),IF($B$6="No",ROUNDUP($B$4/$G206,0),ROUNDUP(($B$4+$G206)/$G206,0)))+$B$5</f>
        <v>1</v>
      </c>
      <c r="V206" s="400" t="b">
        <f t="shared" ca="1" si="627"/>
        <v>1</v>
      </c>
      <c r="W206" s="400" t="str">
        <f t="shared" ca="1" si="661"/>
        <v>Accepted</v>
      </c>
      <c r="X206" s="398" t="str">
        <f t="shared" ca="1" si="636"/>
        <v>No</v>
      </c>
      <c r="Y206" s="398" t="str">
        <f t="shared" ca="1" si="637"/>
        <v/>
      </c>
      <c r="Z206" s="398" t="str">
        <f t="shared" ca="1" si="638"/>
        <v/>
      </c>
      <c r="AA206" s="398">
        <f t="shared" ca="1" si="662"/>
        <v>6</v>
      </c>
      <c r="AB206" s="398">
        <f t="shared" ca="1" si="628"/>
        <v>2</v>
      </c>
      <c r="AC206" s="398">
        <f t="shared" ca="1" si="629"/>
        <v>352</v>
      </c>
      <c r="AD206" s="398">
        <f t="shared" ca="1" si="663"/>
        <v>301644</v>
      </c>
      <c r="AE206" s="399">
        <f t="shared" si="692"/>
        <v>0</v>
      </c>
      <c r="AF206" s="399">
        <f t="shared" si="693"/>
        <v>0</v>
      </c>
      <c r="AG206" s="483" t="str">
        <f t="shared" ca="1" si="639"/>
        <v/>
      </c>
      <c r="AH206" s="400">
        <f ca="1">IF(MAX(IF($C$6="No",ROUNDUP($C$3/$I206,0),ROUNDUP(($C$3+$I206)/$I206,0)),IF($C$6="No",ROUNDUP($C$4/$G206,0),ROUNDUP(($C$4+$G206)/$G206,0)),ROUNDUP('BVMS checklist'!$H$217/$J206,0))&gt;1,'BVMS checklist'!$J$224,'BVMS checklist'!$J$217)</f>
        <v>0</v>
      </c>
      <c r="AI206" s="398">
        <f t="shared" ca="1" si="640"/>
        <v>2</v>
      </c>
      <c r="AJ206" s="400">
        <f t="shared" ca="1" si="664"/>
        <v>2</v>
      </c>
      <c r="AK206" s="400">
        <f t="shared" ca="1" si="665"/>
        <v>3150</v>
      </c>
      <c r="AL206" s="400">
        <f t="shared" ca="1" si="666"/>
        <v>0</v>
      </c>
      <c r="AM206" s="398">
        <f t="shared" ca="1" si="667"/>
        <v>301644</v>
      </c>
      <c r="AN206" s="401" t="str">
        <f t="shared" ca="1" si="641"/>
        <v/>
      </c>
      <c r="AO206" s="398">
        <f t="shared" ca="1" si="668"/>
        <v>768</v>
      </c>
      <c r="AP206" s="400">
        <f ca="1">IF(MAX(IF($C$6="No",ROUNDUP($C$3/$I206,0),ROUNDUP(($C$3+$I206)/$I206,0)),IF($C$6="No",ROUNDUP($C$4/$G206,0),ROUNDUP(($C$4+$G206)/$G206,0)),ROUNDUP('BVMS checklist'!$H$217/$J206,0))&gt;1,'BVMS checklist'!$J$224,'BVMS checklist'!$J$217)+MAX(IF($C$6="No",ROUNDUP($C$3/$I206,0),ROUNDUP(($C$3+$I206)/$I206,0)),IF($C$6="No",ROUNDUP($C$4/$G206,0),ROUNDUP(($C$4+$G206)/$G206,0)))+$C$5</f>
        <v>1</v>
      </c>
      <c r="AQ206" s="400" t="b">
        <f t="shared" ca="1" si="630"/>
        <v>1</v>
      </c>
      <c r="AR206" s="400" t="str">
        <f t="shared" ca="1" si="669"/>
        <v>Accepted</v>
      </c>
      <c r="AS206" s="398" t="str">
        <f t="shared" ca="1" si="655"/>
        <v>No</v>
      </c>
      <c r="AT206" s="398" t="str">
        <f t="shared" ca="1" si="670"/>
        <v/>
      </c>
      <c r="AU206" s="398" t="str">
        <f t="shared" ca="1" si="642"/>
        <v/>
      </c>
      <c r="AV206" s="398">
        <f t="shared" ca="1" si="643"/>
        <v>6</v>
      </c>
      <c r="AW206" s="398">
        <f t="shared" ca="1" si="671"/>
        <v>2</v>
      </c>
      <c r="AX206" s="398">
        <f t="shared" ca="1" si="672"/>
        <v>352</v>
      </c>
      <c r="AY206" s="398">
        <f t="shared" ca="1" si="673"/>
        <v>301644</v>
      </c>
      <c r="AZ206" s="399">
        <f t="shared" si="694"/>
        <v>0</v>
      </c>
      <c r="BA206" s="399">
        <f t="shared" si="695"/>
        <v>0</v>
      </c>
      <c r="BB206" s="483" t="str">
        <f t="shared" ca="1" si="644"/>
        <v/>
      </c>
      <c r="BC206" s="400">
        <f ca="1">IF(MAX(IF($D$6="No",ROUNDUP($D$3/$I206,0),ROUNDUP(($D$3+$I206)/$I206,0)),IF($D$6="No",ROUNDUP($D$4/$G206,0),ROUNDUP(($D$4+$G206)/$G206,0)),ROUNDUP('BVMS checklist'!$H$217/$J206,0))&gt;1,'BVMS checklist'!$L$224,'BVMS checklist'!$L$217)</f>
        <v>0</v>
      </c>
      <c r="BD206" s="398">
        <f t="shared" ca="1" si="645"/>
        <v>2</v>
      </c>
      <c r="BE206" s="400">
        <f t="shared" si="674"/>
        <v>1</v>
      </c>
      <c r="BF206" s="400">
        <f t="shared" si="675"/>
        <v>1575</v>
      </c>
      <c r="BG206" s="400">
        <f t="shared" ca="1" si="656"/>
        <v>0</v>
      </c>
      <c r="BH206" s="398">
        <f t="shared" ca="1" si="676"/>
        <v>301644</v>
      </c>
      <c r="BI206" s="401" t="str">
        <f t="shared" ca="1" si="646"/>
        <v/>
      </c>
      <c r="BJ206" s="398">
        <f t="shared" ca="1" si="677"/>
        <v>768</v>
      </c>
      <c r="BK206" s="400">
        <f ca="1">IF(MAX(IF($D$6="No",ROUNDUP($D$3/$I206,0),ROUNDUP(($D$3+$I206)/$I206,0)),IF($D$6="No",ROUNDUP($D$4/$G206,0),ROUNDUP(($D$4+$G206)/$G206,0)),ROUNDUP('BVMS checklist'!$H$217/$J206,0))&gt;1,'BVMS checklist'!$L$224,'BVMS checklist'!$L$217)+MAX(IF($D$6="No",ROUNDUP($D$3/$I206,0),ROUNDUP(($D$3+$I206)/$I206,0)),IF($D$6="No",ROUNDUP($D$4/$G206,0),ROUNDUP(($D$4+$G206)/$G206,0)))+$D$5</f>
        <v>1</v>
      </c>
      <c r="BL206" s="400" t="b">
        <f t="shared" ca="1" si="631"/>
        <v>1</v>
      </c>
      <c r="BM206" s="400" t="str">
        <f t="shared" ca="1" si="678"/>
        <v>Accepted</v>
      </c>
      <c r="BN206" s="398" t="str">
        <f t="shared" ca="1" si="657"/>
        <v>No</v>
      </c>
      <c r="BO206" s="398" t="str">
        <f t="shared" ca="1" si="679"/>
        <v/>
      </c>
      <c r="BP206" s="398" t="str">
        <f t="shared" ca="1" si="647"/>
        <v/>
      </c>
      <c r="BQ206" s="398">
        <f t="shared" ca="1" si="648"/>
        <v>6</v>
      </c>
      <c r="BR206" s="398">
        <f t="shared" ca="1" si="680"/>
        <v>2</v>
      </c>
      <c r="BS206" s="398">
        <f t="shared" ca="1" si="681"/>
        <v>352</v>
      </c>
      <c r="BT206" s="398">
        <f t="shared" ca="1" si="682"/>
        <v>301644</v>
      </c>
      <c r="BU206" s="399">
        <f t="shared" si="696"/>
        <v>0</v>
      </c>
      <c r="BV206" s="399">
        <f t="shared" si="697"/>
        <v>0</v>
      </c>
      <c r="BW206" s="483" t="str">
        <f t="shared" ca="1" si="649"/>
        <v/>
      </c>
      <c r="BX206" s="400">
        <f ca="1">IF(MAX(IF($E$6="No",ROUNDUP($E$3/$I206,0),ROUNDUP(($E$3+$I206)/$I206,0)),IF($E$6="No",ROUNDUP($E$4/$G206,0),ROUNDUP(($E$4+$G206)/$G206,0)),ROUNDUP('BVMS checklist'!$H$217/$J206,0))&gt;1,'BVMS checklist'!$N$224,'BVMS checklist'!$N$217)</f>
        <v>0</v>
      </c>
      <c r="BY206" s="398">
        <f t="shared" ca="1" si="650"/>
        <v>2</v>
      </c>
      <c r="BZ206" s="400">
        <f t="shared" ca="1" si="683"/>
        <v>2</v>
      </c>
      <c r="CA206" s="400">
        <f t="shared" ca="1" si="684"/>
        <v>3150</v>
      </c>
      <c r="CB206" s="400">
        <f t="shared" ca="1" si="658"/>
        <v>0</v>
      </c>
      <c r="CC206" s="398">
        <f t="shared" ca="1" si="685"/>
        <v>301644</v>
      </c>
      <c r="CD206" s="401" t="str">
        <f t="shared" ca="1" si="651"/>
        <v/>
      </c>
      <c r="CE206" s="398">
        <f t="shared" ca="1" si="686"/>
        <v>768</v>
      </c>
      <c r="CF206" s="400">
        <f ca="1">IF(MAX(IF($E$6="No",ROUNDUP($E$3/$I206,0),ROUNDUP(($E$3+$I206)/$I206,0)),IF($E$6="No",ROUNDUP($E$4/$G206,0),ROUNDUP(($E$4+$G206)/$G206,0)),ROUNDUP('BVMS checklist'!$H$217/$J206,0))&gt;1,'BVMS checklist'!$N$224,'BVMS checklist'!$N$217)+MAX(IF($E$6="No",ROUNDUP($E$3/$I206,0),ROUNDUP(($E$3+$I206)/$I206,0)),IF($E$6="No",ROUNDUP($E$4/$G206,0),ROUNDUP(($E$4+$G206)/$G206,0)))+$E$5</f>
        <v>1</v>
      </c>
      <c r="CG206" s="400" t="b">
        <f t="shared" ca="1" si="632"/>
        <v>1</v>
      </c>
      <c r="CH206" s="400" t="str">
        <f t="shared" ca="1" si="687"/>
        <v>Accepted</v>
      </c>
      <c r="CI206" s="398" t="str">
        <f t="shared" ca="1" si="659"/>
        <v>No</v>
      </c>
      <c r="CJ206" s="398" t="str">
        <f t="shared" ca="1" si="688"/>
        <v/>
      </c>
      <c r="CK206" s="398" t="str">
        <f t="shared" ca="1" si="652"/>
        <v/>
      </c>
      <c r="CL206" s="398">
        <f t="shared" ca="1" si="653"/>
        <v>6</v>
      </c>
      <c r="CM206" s="398">
        <f t="shared" ca="1" si="689"/>
        <v>2</v>
      </c>
      <c r="CN206" s="398">
        <f t="shared" ca="1" si="690"/>
        <v>352</v>
      </c>
      <c r="CO206" s="398">
        <f t="shared" ca="1" si="691"/>
        <v>301644</v>
      </c>
      <c r="CP206" s="399">
        <f t="shared" si="698"/>
        <v>0</v>
      </c>
      <c r="CQ206" s="399">
        <f t="shared" si="699"/>
        <v>0</v>
      </c>
      <c r="CR206" s="483" t="str">
        <f t="shared" ca="1" si="654"/>
        <v/>
      </c>
      <c r="CS206"/>
    </row>
    <row r="207" spans="1:97">
      <c r="A207" s="398" t="s">
        <v>441</v>
      </c>
      <c r="B207" s="398" t="s">
        <v>987</v>
      </c>
      <c r="C207" s="440" t="s">
        <v>891</v>
      </c>
      <c r="D207" s="398">
        <v>4</v>
      </c>
      <c r="E207" s="398"/>
      <c r="F207" s="440">
        <v>0</v>
      </c>
      <c r="G207" s="398">
        <f>IF(C207="RAID5",(((15-F207)*7448))+(3*(((7-F207)*2793))),(((14-F207)*7448))+(3*(((6-F207)*2793))))</f>
        <v>170373</v>
      </c>
      <c r="H207" s="399">
        <v>200</v>
      </c>
      <c r="I207" s="399">
        <v>2125</v>
      </c>
      <c r="J207" s="399">
        <v>512</v>
      </c>
      <c r="K207" s="399"/>
      <c r="L207" s="399"/>
      <c r="M207" s="400">
        <f ca="1">IF(MAX(IF($B$6="No",ROUNDUP($B$3/$I207,0),ROUNDUP(($B$3+$I207)/$I207,0)),IF($B$6="No",ROUNDUP($B$4/$G207,0),ROUNDUP(($B$4+$G207)/$G207,0)),ROUNDUP('BVMS checklist'!$H$217/$J207,0))&gt;1,'BVMS checklist'!$H$224,'BVMS checklist'!$H$217)</f>
        <v>0</v>
      </c>
      <c r="N207" s="398">
        <f t="shared" ca="1" si="633"/>
        <v>2</v>
      </c>
      <c r="O207" s="400">
        <f t="shared" ca="1" si="660"/>
        <v>2</v>
      </c>
      <c r="P207" s="400">
        <f t="shared" ca="1" si="624"/>
        <v>4250</v>
      </c>
      <c r="Q207" s="400">
        <f t="shared" ca="1" si="625"/>
        <v>0</v>
      </c>
      <c r="R207" s="398">
        <f t="shared" ca="1" si="626"/>
        <v>340746</v>
      </c>
      <c r="S207" s="401" t="str">
        <f t="shared" ca="1" si="634"/>
        <v/>
      </c>
      <c r="T207" s="398">
        <f t="shared" ca="1" si="635"/>
        <v>1024</v>
      </c>
      <c r="U207" s="400">
        <f ca="1">IF(MAX(IF($B$6="No",ROUNDUP($B$3/$I207,0),ROUNDUP(($B$3+$I207)/$I207,0)),IF($B$6="No",ROUNDUP($B$4/$G207,0),ROUNDUP(($B$4+$G207)/$G207,0)),ROUNDUP('BVMS checklist'!$H$217/$J207,0))&gt;1,'BVMS checklist'!$H$224,'BVMS checklist'!$H$217)+MAX(IF($B$6="No",ROUNDUP($B$3/$I207,0),ROUNDUP(($B$3+$I207)/$I207,0)),IF($B$6="No",ROUNDUP($B$4/$G207,0),ROUNDUP(($B$4+$G207)/$G207,0)))+$B$5</f>
        <v>1</v>
      </c>
      <c r="V207" s="400" t="b">
        <f t="shared" ca="1" si="627"/>
        <v>1</v>
      </c>
      <c r="W207" s="400" t="str">
        <f t="shared" ca="1" si="661"/>
        <v>Accepted</v>
      </c>
      <c r="X207" s="398" t="str">
        <f t="shared" ca="1" si="636"/>
        <v>No</v>
      </c>
      <c r="Y207" s="398" t="str">
        <f t="shared" ca="1" si="637"/>
        <v/>
      </c>
      <c r="Z207" s="398" t="str">
        <f t="shared" ca="1" si="638"/>
        <v/>
      </c>
      <c r="AA207" s="398">
        <f t="shared" ca="1" si="662"/>
        <v>6</v>
      </c>
      <c r="AB207" s="398">
        <f t="shared" ca="1" si="628"/>
        <v>2</v>
      </c>
      <c r="AC207" s="398">
        <f t="shared" ca="1" si="629"/>
        <v>400</v>
      </c>
      <c r="AD207" s="398">
        <f t="shared" ca="1" si="663"/>
        <v>340746</v>
      </c>
      <c r="AE207" s="399">
        <f t="shared" si="692"/>
        <v>0</v>
      </c>
      <c r="AF207" s="399">
        <f t="shared" si="693"/>
        <v>0</v>
      </c>
      <c r="AG207" s="483" t="str">
        <f t="shared" ca="1" si="639"/>
        <v/>
      </c>
      <c r="AH207" s="400">
        <f ca="1">IF(MAX(IF($C$6="No",ROUNDUP($C$3/$I207,0),ROUNDUP(($C$3+$I207)/$I207,0)),IF($C$6="No",ROUNDUP($C$4/$G207,0),ROUNDUP(($C$4+$G207)/$G207,0)),ROUNDUP('BVMS checklist'!$H$217/$J207,0))&gt;1,'BVMS checklist'!$J$224,'BVMS checklist'!$J$217)</f>
        <v>0</v>
      </c>
      <c r="AI207" s="398">
        <f t="shared" ca="1" si="640"/>
        <v>2</v>
      </c>
      <c r="AJ207" s="400">
        <f t="shared" ca="1" si="664"/>
        <v>2</v>
      </c>
      <c r="AK207" s="400">
        <f t="shared" ca="1" si="665"/>
        <v>4250</v>
      </c>
      <c r="AL207" s="400">
        <f t="shared" ca="1" si="666"/>
        <v>0</v>
      </c>
      <c r="AM207" s="398">
        <f t="shared" ca="1" si="667"/>
        <v>340746</v>
      </c>
      <c r="AN207" s="401" t="str">
        <f t="shared" ca="1" si="641"/>
        <v/>
      </c>
      <c r="AO207" s="398">
        <f t="shared" ca="1" si="668"/>
        <v>1024</v>
      </c>
      <c r="AP207" s="400">
        <f ca="1">IF(MAX(IF($C$6="No",ROUNDUP($C$3/$I207,0),ROUNDUP(($C$3+$I207)/$I207,0)),IF($C$6="No",ROUNDUP($C$4/$G207,0),ROUNDUP(($C$4+$G207)/$G207,0)),ROUNDUP('BVMS checklist'!$H$217/$J207,0))&gt;1,'BVMS checklist'!$J$224,'BVMS checklist'!$J$217)+MAX(IF($C$6="No",ROUNDUP($C$3/$I207,0),ROUNDUP(($C$3+$I207)/$I207,0)),IF($C$6="No",ROUNDUP($C$4/$G207,0),ROUNDUP(($C$4+$G207)/$G207,0)))+$C$5</f>
        <v>1</v>
      </c>
      <c r="AQ207" s="400" t="b">
        <f t="shared" ca="1" si="630"/>
        <v>1</v>
      </c>
      <c r="AR207" s="400" t="str">
        <f t="shared" ca="1" si="669"/>
        <v>Accepted</v>
      </c>
      <c r="AS207" s="398" t="str">
        <f t="shared" ca="1" si="655"/>
        <v>No</v>
      </c>
      <c r="AT207" s="398" t="str">
        <f t="shared" ca="1" si="670"/>
        <v/>
      </c>
      <c r="AU207" s="398" t="str">
        <f t="shared" ca="1" si="642"/>
        <v/>
      </c>
      <c r="AV207" s="398">
        <f t="shared" ca="1" si="643"/>
        <v>6</v>
      </c>
      <c r="AW207" s="398">
        <f t="shared" ca="1" si="671"/>
        <v>2</v>
      </c>
      <c r="AX207" s="398">
        <f t="shared" ca="1" si="672"/>
        <v>400</v>
      </c>
      <c r="AY207" s="398">
        <f t="shared" ca="1" si="673"/>
        <v>340746</v>
      </c>
      <c r="AZ207" s="399">
        <f t="shared" si="694"/>
        <v>0</v>
      </c>
      <c r="BA207" s="399">
        <f t="shared" si="695"/>
        <v>0</v>
      </c>
      <c r="BB207" s="483" t="str">
        <f t="shared" ca="1" si="644"/>
        <v/>
      </c>
      <c r="BC207" s="400">
        <f ca="1">IF(MAX(IF($D$6="No",ROUNDUP($D$3/$I207,0),ROUNDUP(($D$3+$I207)/$I207,0)),IF($D$6="No",ROUNDUP($D$4/$G207,0),ROUNDUP(($D$4+$G207)/$G207,0)),ROUNDUP('BVMS checklist'!$H$217/$J207,0))&gt;1,'BVMS checklist'!$L$224,'BVMS checklist'!$L$217)</f>
        <v>0</v>
      </c>
      <c r="BD207" s="398">
        <f t="shared" ca="1" si="645"/>
        <v>2</v>
      </c>
      <c r="BE207" s="400">
        <f t="shared" si="674"/>
        <v>1</v>
      </c>
      <c r="BF207" s="400">
        <f t="shared" si="675"/>
        <v>2125</v>
      </c>
      <c r="BG207" s="400">
        <f t="shared" ca="1" si="656"/>
        <v>0</v>
      </c>
      <c r="BH207" s="398">
        <f t="shared" ca="1" si="676"/>
        <v>340746</v>
      </c>
      <c r="BI207" s="401" t="str">
        <f t="shared" ca="1" si="646"/>
        <v/>
      </c>
      <c r="BJ207" s="398">
        <f t="shared" ca="1" si="677"/>
        <v>1024</v>
      </c>
      <c r="BK207" s="400">
        <f ca="1">IF(MAX(IF($D$6="No",ROUNDUP($D$3/$I207,0),ROUNDUP(($D$3+$I207)/$I207,0)),IF($D$6="No",ROUNDUP($D$4/$G207,0),ROUNDUP(($D$4+$G207)/$G207,0)),ROUNDUP('BVMS checklist'!$H$217/$J207,0))&gt;1,'BVMS checklist'!$L$224,'BVMS checklist'!$L$217)+MAX(IF($D$6="No",ROUNDUP($D$3/$I207,0),ROUNDUP(($D$3+$I207)/$I207,0)),IF($D$6="No",ROUNDUP($D$4/$G207,0),ROUNDUP(($D$4+$G207)/$G207,0)))+$D$5</f>
        <v>1</v>
      </c>
      <c r="BL207" s="400" t="b">
        <f t="shared" ca="1" si="631"/>
        <v>1</v>
      </c>
      <c r="BM207" s="400" t="str">
        <f t="shared" ca="1" si="678"/>
        <v>Accepted</v>
      </c>
      <c r="BN207" s="398" t="str">
        <f t="shared" ca="1" si="657"/>
        <v>No</v>
      </c>
      <c r="BO207" s="398" t="str">
        <f t="shared" ca="1" si="679"/>
        <v/>
      </c>
      <c r="BP207" s="398" t="str">
        <f t="shared" ca="1" si="647"/>
        <v/>
      </c>
      <c r="BQ207" s="398">
        <f t="shared" ca="1" si="648"/>
        <v>6</v>
      </c>
      <c r="BR207" s="398">
        <f t="shared" ca="1" si="680"/>
        <v>2</v>
      </c>
      <c r="BS207" s="398">
        <f t="shared" ca="1" si="681"/>
        <v>400</v>
      </c>
      <c r="BT207" s="398">
        <f t="shared" ca="1" si="682"/>
        <v>340746</v>
      </c>
      <c r="BU207" s="399">
        <f t="shared" si="696"/>
        <v>0</v>
      </c>
      <c r="BV207" s="399">
        <f t="shared" si="697"/>
        <v>0</v>
      </c>
      <c r="BW207" s="483" t="str">
        <f t="shared" ca="1" si="649"/>
        <v/>
      </c>
      <c r="BX207" s="400">
        <f ca="1">IF(MAX(IF($E$6="No",ROUNDUP($E$3/$I207,0),ROUNDUP(($E$3+$I207)/$I207,0)),IF($E$6="No",ROUNDUP($E$4/$G207,0),ROUNDUP(($E$4+$G207)/$G207,0)),ROUNDUP('BVMS checklist'!$H$217/$J207,0))&gt;1,'BVMS checklist'!$N$224,'BVMS checklist'!$N$217)</f>
        <v>0</v>
      </c>
      <c r="BY207" s="398">
        <f t="shared" ca="1" si="650"/>
        <v>2</v>
      </c>
      <c r="BZ207" s="400">
        <f t="shared" ca="1" si="683"/>
        <v>2</v>
      </c>
      <c r="CA207" s="400">
        <f t="shared" ca="1" si="684"/>
        <v>4250</v>
      </c>
      <c r="CB207" s="400">
        <f t="shared" ca="1" si="658"/>
        <v>0</v>
      </c>
      <c r="CC207" s="398">
        <f t="shared" ca="1" si="685"/>
        <v>340746</v>
      </c>
      <c r="CD207" s="401" t="str">
        <f t="shared" ca="1" si="651"/>
        <v/>
      </c>
      <c r="CE207" s="398">
        <f t="shared" ca="1" si="686"/>
        <v>1024</v>
      </c>
      <c r="CF207" s="400">
        <f ca="1">IF(MAX(IF($E$6="No",ROUNDUP($E$3/$I207,0),ROUNDUP(($E$3+$I207)/$I207,0)),IF($E$6="No",ROUNDUP($E$4/$G207,0),ROUNDUP(($E$4+$G207)/$G207,0)),ROUNDUP('BVMS checklist'!$H$217/$J207,0))&gt;1,'BVMS checklist'!$N$224,'BVMS checklist'!$N$217)+MAX(IF($E$6="No",ROUNDUP($E$3/$I207,0),ROUNDUP(($E$3+$I207)/$I207,0)),IF($E$6="No",ROUNDUP($E$4/$G207,0),ROUNDUP(($E$4+$G207)/$G207,0)))+$E$5</f>
        <v>1</v>
      </c>
      <c r="CG207" s="400" t="b">
        <f t="shared" ca="1" si="632"/>
        <v>1</v>
      </c>
      <c r="CH207" s="400" t="str">
        <f t="shared" ca="1" si="687"/>
        <v>Accepted</v>
      </c>
      <c r="CI207" s="398" t="str">
        <f t="shared" ca="1" si="659"/>
        <v>No</v>
      </c>
      <c r="CJ207" s="398" t="str">
        <f t="shared" ca="1" si="688"/>
        <v/>
      </c>
      <c r="CK207" s="398" t="str">
        <f t="shared" ca="1" si="652"/>
        <v/>
      </c>
      <c r="CL207" s="398">
        <f t="shared" ca="1" si="653"/>
        <v>6</v>
      </c>
      <c r="CM207" s="398">
        <f t="shared" ca="1" si="689"/>
        <v>2</v>
      </c>
      <c r="CN207" s="398">
        <f t="shared" ca="1" si="690"/>
        <v>400</v>
      </c>
      <c r="CO207" s="398">
        <f t="shared" ca="1" si="691"/>
        <v>340746</v>
      </c>
      <c r="CP207" s="399">
        <f t="shared" si="698"/>
        <v>0</v>
      </c>
      <c r="CQ207" s="399">
        <f t="shared" si="699"/>
        <v>0</v>
      </c>
      <c r="CR207" s="483" t="str">
        <f t="shared" ca="1" si="654"/>
        <v/>
      </c>
      <c r="CS207"/>
    </row>
    <row r="208" spans="1:97">
      <c r="A208" s="398" t="s">
        <v>442</v>
      </c>
      <c r="B208" s="398" t="s">
        <v>987</v>
      </c>
      <c r="C208" s="440" t="s">
        <v>891</v>
      </c>
      <c r="D208" s="398">
        <v>5</v>
      </c>
      <c r="E208" s="398"/>
      <c r="F208" s="440">
        <v>0</v>
      </c>
      <c r="G208" s="398">
        <f>IF(C208="RAID5",(((15-F208)*7448))+(4*(((7-F208)*2793))),(((14-F208)*7448))+(4*(((6-F208)*2793))))</f>
        <v>189924</v>
      </c>
      <c r="H208" s="399">
        <v>224</v>
      </c>
      <c r="I208" s="399">
        <v>2675</v>
      </c>
      <c r="J208" s="399">
        <v>640</v>
      </c>
      <c r="K208" s="399"/>
      <c r="L208" s="399"/>
      <c r="M208" s="400">
        <f ca="1">IF(MAX(IF($B$6="No",ROUNDUP($B$3/$I208,0),ROUNDUP(($B$3+$I208)/$I208,0)),IF($B$6="No",ROUNDUP($B$4/$G208,0),ROUNDUP(($B$4+$G208)/$G208,0)),ROUNDUP('BVMS checklist'!$H$217/$J208,0))&gt;1,'BVMS checklist'!$H$224,'BVMS checklist'!$H$217)</f>
        <v>0</v>
      </c>
      <c r="N208" s="398">
        <f t="shared" ca="1" si="633"/>
        <v>2</v>
      </c>
      <c r="O208" s="400">
        <f t="shared" ca="1" si="660"/>
        <v>2</v>
      </c>
      <c r="P208" s="400">
        <f t="shared" ca="1" si="624"/>
        <v>5350</v>
      </c>
      <c r="Q208" s="400">
        <f t="shared" ca="1" si="625"/>
        <v>0</v>
      </c>
      <c r="R208" s="398">
        <f t="shared" ca="1" si="626"/>
        <v>379848</v>
      </c>
      <c r="S208" s="401" t="str">
        <f t="shared" ca="1" si="634"/>
        <v/>
      </c>
      <c r="T208" s="398">
        <f t="shared" ca="1" si="635"/>
        <v>1280</v>
      </c>
      <c r="U208" s="400">
        <f ca="1">IF(MAX(IF($B$6="No",ROUNDUP($B$3/$I208,0),ROUNDUP(($B$3+$I208)/$I208,0)),IF($B$6="No",ROUNDUP($B$4/$G208,0),ROUNDUP(($B$4+$G208)/$G208,0)),ROUNDUP('BVMS checklist'!$H$217/$J208,0))&gt;1,'BVMS checklist'!$H$224,'BVMS checklist'!$H$217)+MAX(IF($B$6="No",ROUNDUP($B$3/$I208,0),ROUNDUP(($B$3+$I208)/$I208,0)),IF($B$6="No",ROUNDUP($B$4/$G208,0),ROUNDUP(($B$4+$G208)/$G208,0)))+$B$5</f>
        <v>1</v>
      </c>
      <c r="V208" s="400" t="b">
        <f t="shared" ca="1" si="627"/>
        <v>1</v>
      </c>
      <c r="W208" s="400" t="str">
        <f t="shared" ca="1" si="661"/>
        <v>Accepted</v>
      </c>
      <c r="X208" s="398" t="str">
        <f t="shared" ca="1" si="636"/>
        <v>No</v>
      </c>
      <c r="Y208" s="398" t="str">
        <f t="shared" ca="1" si="637"/>
        <v/>
      </c>
      <c r="Z208" s="398" t="str">
        <f t="shared" ca="1" si="638"/>
        <v/>
      </c>
      <c r="AA208" s="398">
        <f t="shared" ca="1" si="662"/>
        <v>6</v>
      </c>
      <c r="AB208" s="398">
        <f t="shared" ca="1" si="628"/>
        <v>2</v>
      </c>
      <c r="AC208" s="398">
        <f t="shared" ca="1" si="629"/>
        <v>448</v>
      </c>
      <c r="AD208" s="398">
        <f t="shared" ca="1" si="663"/>
        <v>379848</v>
      </c>
      <c r="AE208" s="399">
        <f t="shared" si="692"/>
        <v>0</v>
      </c>
      <c r="AF208" s="399">
        <f t="shared" si="693"/>
        <v>0</v>
      </c>
      <c r="AG208" s="483" t="str">
        <f t="shared" ca="1" si="639"/>
        <v/>
      </c>
      <c r="AH208" s="400">
        <f ca="1">IF(MAX(IF($C$6="No",ROUNDUP($C$3/$I208,0),ROUNDUP(($C$3+$I208)/$I208,0)),IF($C$6="No",ROUNDUP($C$4/$G208,0),ROUNDUP(($C$4+$G208)/$G208,0)),ROUNDUP('BVMS checklist'!$H$217/$J208,0))&gt;1,'BVMS checklist'!$J$224,'BVMS checklist'!$J$217)</f>
        <v>0</v>
      </c>
      <c r="AI208" s="398">
        <f t="shared" ca="1" si="640"/>
        <v>2</v>
      </c>
      <c r="AJ208" s="400">
        <f t="shared" ca="1" si="664"/>
        <v>2</v>
      </c>
      <c r="AK208" s="400">
        <f t="shared" ca="1" si="665"/>
        <v>5350</v>
      </c>
      <c r="AL208" s="400">
        <f t="shared" ca="1" si="666"/>
        <v>0</v>
      </c>
      <c r="AM208" s="398">
        <f t="shared" ca="1" si="667"/>
        <v>379848</v>
      </c>
      <c r="AN208" s="401" t="str">
        <f t="shared" ca="1" si="641"/>
        <v/>
      </c>
      <c r="AO208" s="398">
        <f t="shared" ca="1" si="668"/>
        <v>1280</v>
      </c>
      <c r="AP208" s="400">
        <f ca="1">IF(MAX(IF($C$6="No",ROUNDUP($C$3/$I208,0),ROUNDUP(($C$3+$I208)/$I208,0)),IF($C$6="No",ROUNDUP($C$4/$G208,0),ROUNDUP(($C$4+$G208)/$G208,0)),ROUNDUP('BVMS checklist'!$H$217/$J208,0))&gt;1,'BVMS checklist'!$J$224,'BVMS checklist'!$J$217)+MAX(IF($C$6="No",ROUNDUP($C$3/$I208,0),ROUNDUP(($C$3+$I208)/$I208,0)),IF($C$6="No",ROUNDUP($C$4/$G208,0),ROUNDUP(($C$4+$G208)/$G208,0)))+$C$5</f>
        <v>1</v>
      </c>
      <c r="AQ208" s="400" t="b">
        <f t="shared" ca="1" si="630"/>
        <v>1</v>
      </c>
      <c r="AR208" s="400" t="str">
        <f t="shared" ca="1" si="669"/>
        <v>Accepted</v>
      </c>
      <c r="AS208" s="398" t="str">
        <f t="shared" ca="1" si="655"/>
        <v>No</v>
      </c>
      <c r="AT208" s="398" t="str">
        <f t="shared" ca="1" si="670"/>
        <v/>
      </c>
      <c r="AU208" s="398" t="str">
        <f t="shared" ca="1" si="642"/>
        <v/>
      </c>
      <c r="AV208" s="398">
        <f t="shared" ca="1" si="643"/>
        <v>6</v>
      </c>
      <c r="AW208" s="398">
        <f t="shared" ca="1" si="671"/>
        <v>2</v>
      </c>
      <c r="AX208" s="398">
        <f t="shared" ca="1" si="672"/>
        <v>448</v>
      </c>
      <c r="AY208" s="398">
        <f t="shared" ca="1" si="673"/>
        <v>379848</v>
      </c>
      <c r="AZ208" s="399">
        <f t="shared" si="694"/>
        <v>0</v>
      </c>
      <c r="BA208" s="399">
        <f t="shared" si="695"/>
        <v>0</v>
      </c>
      <c r="BB208" s="483" t="str">
        <f t="shared" ca="1" si="644"/>
        <v/>
      </c>
      <c r="BC208" s="400">
        <f ca="1">IF(MAX(IF($D$6="No",ROUNDUP($D$3/$I208,0),ROUNDUP(($D$3+$I208)/$I208,0)),IF($D$6="No",ROUNDUP($D$4/$G208,0),ROUNDUP(($D$4+$G208)/$G208,0)),ROUNDUP('BVMS checklist'!$H$217/$J208,0))&gt;1,'BVMS checklist'!$L$224,'BVMS checklist'!$L$217)</f>
        <v>0</v>
      </c>
      <c r="BD208" s="398">
        <f t="shared" ca="1" si="645"/>
        <v>2</v>
      </c>
      <c r="BE208" s="400">
        <f t="shared" si="674"/>
        <v>1</v>
      </c>
      <c r="BF208" s="400">
        <f t="shared" si="675"/>
        <v>2675</v>
      </c>
      <c r="BG208" s="400">
        <f t="shared" ca="1" si="656"/>
        <v>0</v>
      </c>
      <c r="BH208" s="398">
        <f t="shared" ca="1" si="676"/>
        <v>379848</v>
      </c>
      <c r="BI208" s="401" t="str">
        <f t="shared" ca="1" si="646"/>
        <v/>
      </c>
      <c r="BJ208" s="398">
        <f t="shared" ca="1" si="677"/>
        <v>1280</v>
      </c>
      <c r="BK208" s="400">
        <f ca="1">IF(MAX(IF($D$6="No",ROUNDUP($D$3/$I208,0),ROUNDUP(($D$3+$I208)/$I208,0)),IF($D$6="No",ROUNDUP($D$4/$G208,0),ROUNDUP(($D$4+$G208)/$G208,0)),ROUNDUP('BVMS checklist'!$H$217/$J208,0))&gt;1,'BVMS checklist'!$L$224,'BVMS checklist'!$L$217)+MAX(IF($D$6="No",ROUNDUP($D$3/$I208,0),ROUNDUP(($D$3+$I208)/$I208,0)),IF($D$6="No",ROUNDUP($D$4/$G208,0),ROUNDUP(($D$4+$G208)/$G208,0)))+$D$5</f>
        <v>1</v>
      </c>
      <c r="BL208" s="400" t="b">
        <f t="shared" ca="1" si="631"/>
        <v>1</v>
      </c>
      <c r="BM208" s="400" t="str">
        <f t="shared" ca="1" si="678"/>
        <v>Accepted</v>
      </c>
      <c r="BN208" s="398" t="str">
        <f t="shared" ca="1" si="657"/>
        <v>No</v>
      </c>
      <c r="BO208" s="398" t="str">
        <f t="shared" ca="1" si="679"/>
        <v/>
      </c>
      <c r="BP208" s="398" t="str">
        <f t="shared" ca="1" si="647"/>
        <v/>
      </c>
      <c r="BQ208" s="398">
        <f t="shared" ca="1" si="648"/>
        <v>6</v>
      </c>
      <c r="BR208" s="398">
        <f t="shared" ca="1" si="680"/>
        <v>2</v>
      </c>
      <c r="BS208" s="398">
        <f t="shared" ca="1" si="681"/>
        <v>448</v>
      </c>
      <c r="BT208" s="398">
        <f t="shared" ca="1" si="682"/>
        <v>379848</v>
      </c>
      <c r="BU208" s="399">
        <f t="shared" si="696"/>
        <v>0</v>
      </c>
      <c r="BV208" s="399">
        <f t="shared" si="697"/>
        <v>0</v>
      </c>
      <c r="BW208" s="483" t="str">
        <f t="shared" ca="1" si="649"/>
        <v/>
      </c>
      <c r="BX208" s="400">
        <f ca="1">IF(MAX(IF($E$6="No",ROUNDUP($E$3/$I208,0),ROUNDUP(($E$3+$I208)/$I208,0)),IF($E$6="No",ROUNDUP($E$4/$G208,0),ROUNDUP(($E$4+$G208)/$G208,0)),ROUNDUP('BVMS checklist'!$H$217/$J208,0))&gt;1,'BVMS checklist'!$N$224,'BVMS checklist'!$N$217)</f>
        <v>0</v>
      </c>
      <c r="BY208" s="398">
        <f t="shared" ca="1" si="650"/>
        <v>2</v>
      </c>
      <c r="BZ208" s="400">
        <f t="shared" ca="1" si="683"/>
        <v>2</v>
      </c>
      <c r="CA208" s="400">
        <f t="shared" ca="1" si="684"/>
        <v>5350</v>
      </c>
      <c r="CB208" s="400">
        <f t="shared" ca="1" si="658"/>
        <v>0</v>
      </c>
      <c r="CC208" s="398">
        <f t="shared" ca="1" si="685"/>
        <v>379848</v>
      </c>
      <c r="CD208" s="401" t="str">
        <f t="shared" ca="1" si="651"/>
        <v/>
      </c>
      <c r="CE208" s="398">
        <f t="shared" ca="1" si="686"/>
        <v>1280</v>
      </c>
      <c r="CF208" s="400">
        <f ca="1">IF(MAX(IF($E$6="No",ROUNDUP($E$3/$I208,0),ROUNDUP(($E$3+$I208)/$I208,0)),IF($E$6="No",ROUNDUP($E$4/$G208,0),ROUNDUP(($E$4+$G208)/$G208,0)),ROUNDUP('BVMS checklist'!$H$217/$J208,0))&gt;1,'BVMS checklist'!$N$224,'BVMS checklist'!$N$217)+MAX(IF($E$6="No",ROUNDUP($E$3/$I208,0),ROUNDUP(($E$3+$I208)/$I208,0)),IF($E$6="No",ROUNDUP($E$4/$G208,0),ROUNDUP(($E$4+$G208)/$G208,0)))+$E$5</f>
        <v>1</v>
      </c>
      <c r="CG208" s="400" t="b">
        <f t="shared" ca="1" si="632"/>
        <v>1</v>
      </c>
      <c r="CH208" s="400" t="str">
        <f t="shared" ca="1" si="687"/>
        <v>Accepted</v>
      </c>
      <c r="CI208" s="398" t="str">
        <f t="shared" ca="1" si="659"/>
        <v>No</v>
      </c>
      <c r="CJ208" s="398" t="str">
        <f t="shared" ca="1" si="688"/>
        <v/>
      </c>
      <c r="CK208" s="398" t="str">
        <f t="shared" ca="1" si="652"/>
        <v/>
      </c>
      <c r="CL208" s="398">
        <f t="shared" ca="1" si="653"/>
        <v>6</v>
      </c>
      <c r="CM208" s="398">
        <f t="shared" ca="1" si="689"/>
        <v>2</v>
      </c>
      <c r="CN208" s="398">
        <f t="shared" ca="1" si="690"/>
        <v>448</v>
      </c>
      <c r="CO208" s="398">
        <f t="shared" ca="1" si="691"/>
        <v>379848</v>
      </c>
      <c r="CP208" s="399">
        <f t="shared" si="698"/>
        <v>0</v>
      </c>
      <c r="CQ208" s="399">
        <f t="shared" si="699"/>
        <v>0</v>
      </c>
      <c r="CR208" s="483" t="str">
        <f t="shared" ca="1" si="654"/>
        <v/>
      </c>
      <c r="CS208"/>
    </row>
    <row r="209" spans="1:97">
      <c r="A209" s="398" t="s">
        <v>443</v>
      </c>
      <c r="B209" s="398" t="s">
        <v>987</v>
      </c>
      <c r="C209" s="440" t="s">
        <v>891</v>
      </c>
      <c r="D209" s="398">
        <v>2</v>
      </c>
      <c r="E209" s="398"/>
      <c r="F209" s="440">
        <v>0</v>
      </c>
      <c r="G209" s="398">
        <f>IF(C209="RAID5",(((15-F209)*7448))+(1*(((15-F209)*2793))),(((14-F209)*7448))+(1*(((14-F209)*2793))))</f>
        <v>153615</v>
      </c>
      <c r="H209" s="399">
        <v>176</v>
      </c>
      <c r="I209" s="399">
        <v>1025</v>
      </c>
      <c r="J209" s="399">
        <v>256</v>
      </c>
      <c r="K209" s="399"/>
      <c r="L209" s="399"/>
      <c r="M209" s="400">
        <f ca="1">IF(MAX(IF($B$6="No",ROUNDUP($B$3/$I209,0),ROUNDUP(($B$3+$I209)/$I209,0)),IF($B$6="No",ROUNDUP($B$4/$G209,0),ROUNDUP(($B$4+$G209)/$G209,0)),ROUNDUP('BVMS checklist'!$H$217/$J209,0))&gt;1,'BVMS checklist'!$H$224,'BVMS checklist'!$H$217)</f>
        <v>0</v>
      </c>
      <c r="N209" s="398">
        <f t="shared" ca="1" si="633"/>
        <v>2</v>
      </c>
      <c r="O209" s="400">
        <f t="shared" ca="1" si="660"/>
        <v>2</v>
      </c>
      <c r="P209" s="400">
        <f t="shared" ca="1" si="624"/>
        <v>2050</v>
      </c>
      <c r="Q209" s="400">
        <f t="shared" ca="1" si="625"/>
        <v>0</v>
      </c>
      <c r="R209" s="398">
        <f t="shared" ca="1" si="626"/>
        <v>307230</v>
      </c>
      <c r="S209" s="401" t="str">
        <f t="shared" ca="1" si="634"/>
        <v/>
      </c>
      <c r="T209" s="398">
        <f t="shared" ca="1" si="635"/>
        <v>512</v>
      </c>
      <c r="U209" s="400">
        <f ca="1">IF(MAX(IF($B$6="No",ROUNDUP($B$3/$I209,0),ROUNDUP(($B$3+$I209)/$I209,0)),IF($B$6="No",ROUNDUP($B$4/$G209,0),ROUNDUP(($B$4+$G209)/$G209,0)),ROUNDUP('BVMS checklist'!$H$217/$J209,0))&gt;1,'BVMS checklist'!$H$224,'BVMS checklist'!$H$217)+MAX(IF($B$6="No",ROUNDUP($B$3/$I209,0),ROUNDUP(($B$3+$I209)/$I209,0)),IF($B$6="No",ROUNDUP($B$4/$G209,0),ROUNDUP(($B$4+$G209)/$G209,0)))+$B$5</f>
        <v>1</v>
      </c>
      <c r="V209" s="400" t="b">
        <f t="shared" ca="1" si="627"/>
        <v>1</v>
      </c>
      <c r="W209" s="400" t="str">
        <f t="shared" ca="1" si="661"/>
        <v>Accepted</v>
      </c>
      <c r="X209" s="398" t="str">
        <f t="shared" ca="1" si="636"/>
        <v>No</v>
      </c>
      <c r="Y209" s="398" t="str">
        <f t="shared" ca="1" si="637"/>
        <v/>
      </c>
      <c r="Z209" s="398" t="str">
        <f t="shared" ca="1" si="638"/>
        <v/>
      </c>
      <c r="AA209" s="398">
        <f t="shared" ca="1" si="662"/>
        <v>6</v>
      </c>
      <c r="AB209" s="398">
        <f t="shared" ca="1" si="628"/>
        <v>2</v>
      </c>
      <c r="AC209" s="398">
        <f t="shared" ca="1" si="629"/>
        <v>352</v>
      </c>
      <c r="AD209" s="398">
        <f t="shared" ca="1" si="663"/>
        <v>307230</v>
      </c>
      <c r="AE209" s="399">
        <f t="shared" si="692"/>
        <v>0</v>
      </c>
      <c r="AF209" s="399">
        <f t="shared" si="693"/>
        <v>0</v>
      </c>
      <c r="AG209" s="483" t="str">
        <f t="shared" ca="1" si="639"/>
        <v/>
      </c>
      <c r="AH209" s="400">
        <f ca="1">IF(MAX(IF($C$6="No",ROUNDUP($C$3/$I209,0),ROUNDUP(($C$3+$I209)/$I209,0)),IF($C$6="No",ROUNDUP($C$4/$G209,0),ROUNDUP(($C$4+$G209)/$G209,0)),ROUNDUP('BVMS checklist'!$H$217/$J209,0))&gt;1,'BVMS checklist'!$J$224,'BVMS checklist'!$J$217)</f>
        <v>0</v>
      </c>
      <c r="AI209" s="398">
        <f t="shared" ca="1" si="640"/>
        <v>2</v>
      </c>
      <c r="AJ209" s="400">
        <f t="shared" ca="1" si="664"/>
        <v>2</v>
      </c>
      <c r="AK209" s="400">
        <f t="shared" ca="1" si="665"/>
        <v>2050</v>
      </c>
      <c r="AL209" s="400">
        <f t="shared" ca="1" si="666"/>
        <v>0</v>
      </c>
      <c r="AM209" s="398">
        <f t="shared" ca="1" si="667"/>
        <v>307230</v>
      </c>
      <c r="AN209" s="401" t="str">
        <f t="shared" ca="1" si="641"/>
        <v/>
      </c>
      <c r="AO209" s="398">
        <f t="shared" ca="1" si="668"/>
        <v>512</v>
      </c>
      <c r="AP209" s="400">
        <f ca="1">IF(MAX(IF($C$6="No",ROUNDUP($C$3/$I209,0),ROUNDUP(($C$3+$I209)/$I209,0)),IF($C$6="No",ROUNDUP($C$4/$G209,0),ROUNDUP(($C$4+$G209)/$G209,0)),ROUNDUP('BVMS checklist'!$H$217/$J209,0))&gt;1,'BVMS checklist'!$J$224,'BVMS checklist'!$J$217)+MAX(IF($C$6="No",ROUNDUP($C$3/$I209,0),ROUNDUP(($C$3+$I209)/$I209,0)),IF($C$6="No",ROUNDUP($C$4/$G209,0),ROUNDUP(($C$4+$G209)/$G209,0)))+$C$5</f>
        <v>1</v>
      </c>
      <c r="AQ209" s="400" t="b">
        <f t="shared" ca="1" si="630"/>
        <v>1</v>
      </c>
      <c r="AR209" s="400" t="str">
        <f t="shared" ca="1" si="669"/>
        <v>Accepted</v>
      </c>
      <c r="AS209" s="398" t="str">
        <f t="shared" ca="1" si="655"/>
        <v>No</v>
      </c>
      <c r="AT209" s="398" t="str">
        <f t="shared" ca="1" si="670"/>
        <v/>
      </c>
      <c r="AU209" s="398" t="str">
        <f t="shared" ca="1" si="642"/>
        <v/>
      </c>
      <c r="AV209" s="398">
        <f t="shared" ca="1" si="643"/>
        <v>6</v>
      </c>
      <c r="AW209" s="398">
        <f t="shared" ca="1" si="671"/>
        <v>2</v>
      </c>
      <c r="AX209" s="398">
        <f t="shared" ca="1" si="672"/>
        <v>352</v>
      </c>
      <c r="AY209" s="398">
        <f t="shared" ca="1" si="673"/>
        <v>307230</v>
      </c>
      <c r="AZ209" s="399">
        <f t="shared" si="694"/>
        <v>0</v>
      </c>
      <c r="BA209" s="399">
        <f t="shared" si="695"/>
        <v>0</v>
      </c>
      <c r="BB209" s="483" t="str">
        <f t="shared" ca="1" si="644"/>
        <v/>
      </c>
      <c r="BC209" s="400">
        <f ca="1">IF(MAX(IF($D$6="No",ROUNDUP($D$3/$I209,0),ROUNDUP(($D$3+$I209)/$I209,0)),IF($D$6="No",ROUNDUP($D$4/$G209,0),ROUNDUP(($D$4+$G209)/$G209,0)),ROUNDUP('BVMS checklist'!$H$217/$J209,0))&gt;1,'BVMS checklist'!$L$224,'BVMS checklist'!$L$217)</f>
        <v>0</v>
      </c>
      <c r="BD209" s="398">
        <f t="shared" ca="1" si="645"/>
        <v>2</v>
      </c>
      <c r="BE209" s="400">
        <f t="shared" si="674"/>
        <v>1</v>
      </c>
      <c r="BF209" s="400">
        <f t="shared" si="675"/>
        <v>1025</v>
      </c>
      <c r="BG209" s="400">
        <f t="shared" ca="1" si="656"/>
        <v>0</v>
      </c>
      <c r="BH209" s="398">
        <f t="shared" ca="1" si="676"/>
        <v>307230</v>
      </c>
      <c r="BI209" s="401" t="str">
        <f t="shared" ca="1" si="646"/>
        <v/>
      </c>
      <c r="BJ209" s="398">
        <f t="shared" ca="1" si="677"/>
        <v>512</v>
      </c>
      <c r="BK209" s="400">
        <f ca="1">IF(MAX(IF($D$6="No",ROUNDUP($D$3/$I209,0),ROUNDUP(($D$3+$I209)/$I209,0)),IF($D$6="No",ROUNDUP($D$4/$G209,0),ROUNDUP(($D$4+$G209)/$G209,0)),ROUNDUP('BVMS checklist'!$H$217/$J209,0))&gt;1,'BVMS checklist'!$L$224,'BVMS checklist'!$L$217)+MAX(IF($D$6="No",ROUNDUP($D$3/$I209,0),ROUNDUP(($D$3+$I209)/$I209,0)),IF($D$6="No",ROUNDUP($D$4/$G209,0),ROUNDUP(($D$4+$G209)/$G209,0)))+$D$5</f>
        <v>1</v>
      </c>
      <c r="BL209" s="400" t="b">
        <f t="shared" ca="1" si="631"/>
        <v>1</v>
      </c>
      <c r="BM209" s="400" t="str">
        <f t="shared" ca="1" si="678"/>
        <v>Accepted</v>
      </c>
      <c r="BN209" s="398" t="str">
        <f t="shared" ca="1" si="657"/>
        <v>No</v>
      </c>
      <c r="BO209" s="398" t="str">
        <f t="shared" ca="1" si="679"/>
        <v/>
      </c>
      <c r="BP209" s="398" t="str">
        <f t="shared" ca="1" si="647"/>
        <v/>
      </c>
      <c r="BQ209" s="398">
        <f t="shared" ca="1" si="648"/>
        <v>6</v>
      </c>
      <c r="BR209" s="398">
        <f t="shared" ca="1" si="680"/>
        <v>2</v>
      </c>
      <c r="BS209" s="398">
        <f t="shared" ca="1" si="681"/>
        <v>352</v>
      </c>
      <c r="BT209" s="398">
        <f t="shared" ca="1" si="682"/>
        <v>307230</v>
      </c>
      <c r="BU209" s="399">
        <f t="shared" si="696"/>
        <v>0</v>
      </c>
      <c r="BV209" s="399">
        <f t="shared" si="697"/>
        <v>0</v>
      </c>
      <c r="BW209" s="483" t="str">
        <f t="shared" ca="1" si="649"/>
        <v/>
      </c>
      <c r="BX209" s="400">
        <f ca="1">IF(MAX(IF($E$6="No",ROUNDUP($E$3/$I209,0),ROUNDUP(($E$3+$I209)/$I209,0)),IF($E$6="No",ROUNDUP($E$4/$G209,0),ROUNDUP(($E$4+$G209)/$G209,0)),ROUNDUP('BVMS checklist'!$H$217/$J209,0))&gt;1,'BVMS checklist'!$N$224,'BVMS checklist'!$N$217)</f>
        <v>0</v>
      </c>
      <c r="BY209" s="398">
        <f t="shared" ca="1" si="650"/>
        <v>2</v>
      </c>
      <c r="BZ209" s="400">
        <f t="shared" ca="1" si="683"/>
        <v>2</v>
      </c>
      <c r="CA209" s="400">
        <f t="shared" ca="1" si="684"/>
        <v>2050</v>
      </c>
      <c r="CB209" s="400">
        <f t="shared" ca="1" si="658"/>
        <v>0</v>
      </c>
      <c r="CC209" s="398">
        <f t="shared" ca="1" si="685"/>
        <v>307230</v>
      </c>
      <c r="CD209" s="401" t="str">
        <f t="shared" ca="1" si="651"/>
        <v/>
      </c>
      <c r="CE209" s="398">
        <f t="shared" ca="1" si="686"/>
        <v>512</v>
      </c>
      <c r="CF209" s="400">
        <f ca="1">IF(MAX(IF($E$6="No",ROUNDUP($E$3/$I209,0),ROUNDUP(($E$3+$I209)/$I209,0)),IF($E$6="No",ROUNDUP($E$4/$G209,0),ROUNDUP(($E$4+$G209)/$G209,0)),ROUNDUP('BVMS checklist'!$H$217/$J209,0))&gt;1,'BVMS checklist'!$N$224,'BVMS checklist'!$N$217)+MAX(IF($E$6="No",ROUNDUP($E$3/$I209,0),ROUNDUP(($E$3+$I209)/$I209,0)),IF($E$6="No",ROUNDUP($E$4/$G209,0),ROUNDUP(($E$4+$G209)/$G209,0)))+$E$5</f>
        <v>1</v>
      </c>
      <c r="CG209" s="400" t="b">
        <f t="shared" ca="1" si="632"/>
        <v>1</v>
      </c>
      <c r="CH209" s="400" t="str">
        <f t="shared" ca="1" si="687"/>
        <v>Accepted</v>
      </c>
      <c r="CI209" s="398" t="str">
        <f t="shared" ca="1" si="659"/>
        <v>No</v>
      </c>
      <c r="CJ209" s="398" t="str">
        <f t="shared" ca="1" si="688"/>
        <v/>
      </c>
      <c r="CK209" s="398" t="str">
        <f t="shared" ca="1" si="652"/>
        <v/>
      </c>
      <c r="CL209" s="398">
        <f t="shared" ca="1" si="653"/>
        <v>6</v>
      </c>
      <c r="CM209" s="398">
        <f t="shared" ca="1" si="689"/>
        <v>2</v>
      </c>
      <c r="CN209" s="398">
        <f t="shared" ca="1" si="690"/>
        <v>352</v>
      </c>
      <c r="CO209" s="398">
        <f t="shared" ca="1" si="691"/>
        <v>307230</v>
      </c>
      <c r="CP209" s="399">
        <f t="shared" si="698"/>
        <v>0</v>
      </c>
      <c r="CQ209" s="399">
        <f t="shared" si="699"/>
        <v>0</v>
      </c>
      <c r="CR209" s="483" t="str">
        <f t="shared" ca="1" si="654"/>
        <v/>
      </c>
      <c r="CS209"/>
    </row>
    <row r="210" spans="1:97">
      <c r="A210" s="398" t="s">
        <v>444</v>
      </c>
      <c r="B210" s="398" t="s">
        <v>987</v>
      </c>
      <c r="C210" s="440" t="s">
        <v>891</v>
      </c>
      <c r="D210" s="398">
        <v>3</v>
      </c>
      <c r="E210" s="398"/>
      <c r="F210" s="440">
        <v>0</v>
      </c>
      <c r="G210" s="398">
        <f>IF(C210="RAID5",(((15-F210)*7448))+(2*(((15-F210)*2793))),(((14-F210)*7448))+(2*(((14-F210)*2793))))</f>
        <v>195510</v>
      </c>
      <c r="H210" s="399">
        <v>224</v>
      </c>
      <c r="I210" s="399">
        <v>1575</v>
      </c>
      <c r="J210" s="399">
        <v>384</v>
      </c>
      <c r="K210" s="399"/>
      <c r="L210" s="399"/>
      <c r="M210" s="400">
        <f ca="1">IF(MAX(IF($B$6="No",ROUNDUP($B$3/$I210,0),ROUNDUP(($B$3+$I210)/$I210,0)),IF($B$6="No",ROUNDUP($B$4/$G210,0),ROUNDUP(($B$4+$G210)/$G210,0)),ROUNDUP('BVMS checklist'!$H$217/$J210,0))&gt;1,'BVMS checklist'!$H$224,'BVMS checklist'!$H$217)</f>
        <v>0</v>
      </c>
      <c r="N210" s="398">
        <f t="shared" ca="1" si="633"/>
        <v>2</v>
      </c>
      <c r="O210" s="400">
        <f t="shared" ca="1" si="660"/>
        <v>2</v>
      </c>
      <c r="P210" s="400">
        <f t="shared" ca="1" si="624"/>
        <v>3150</v>
      </c>
      <c r="Q210" s="400">
        <f t="shared" ca="1" si="625"/>
        <v>0</v>
      </c>
      <c r="R210" s="398">
        <f t="shared" ca="1" si="626"/>
        <v>391020</v>
      </c>
      <c r="S210" s="401" t="str">
        <f t="shared" ca="1" si="634"/>
        <v/>
      </c>
      <c r="T210" s="398">
        <f t="shared" ca="1" si="635"/>
        <v>768</v>
      </c>
      <c r="U210" s="400">
        <f ca="1">IF(MAX(IF($B$6="No",ROUNDUP($B$3/$I210,0),ROUNDUP(($B$3+$I210)/$I210,0)),IF($B$6="No",ROUNDUP($B$4/$G210,0),ROUNDUP(($B$4+$G210)/$G210,0)),ROUNDUP('BVMS checklist'!$H$217/$J210,0))&gt;1,'BVMS checklist'!$H$224,'BVMS checklist'!$H$217)+MAX(IF($B$6="No",ROUNDUP($B$3/$I210,0),ROUNDUP(($B$3+$I210)/$I210,0)),IF($B$6="No",ROUNDUP($B$4/$G210,0),ROUNDUP(($B$4+$G210)/$G210,0)))+$B$5</f>
        <v>1</v>
      </c>
      <c r="V210" s="400" t="b">
        <f t="shared" ca="1" si="627"/>
        <v>1</v>
      </c>
      <c r="W210" s="400" t="str">
        <f t="shared" ca="1" si="661"/>
        <v>Accepted</v>
      </c>
      <c r="X210" s="398" t="str">
        <f t="shared" ca="1" si="636"/>
        <v>No</v>
      </c>
      <c r="Y210" s="398" t="str">
        <f t="shared" ca="1" si="637"/>
        <v/>
      </c>
      <c r="Z210" s="398" t="str">
        <f t="shared" ca="1" si="638"/>
        <v/>
      </c>
      <c r="AA210" s="398">
        <f t="shared" ca="1" si="662"/>
        <v>6</v>
      </c>
      <c r="AB210" s="398">
        <f t="shared" ca="1" si="628"/>
        <v>2</v>
      </c>
      <c r="AC210" s="398">
        <f t="shared" ca="1" si="629"/>
        <v>448</v>
      </c>
      <c r="AD210" s="398">
        <f t="shared" ca="1" si="663"/>
        <v>391020</v>
      </c>
      <c r="AE210" s="399">
        <f t="shared" si="692"/>
        <v>0</v>
      </c>
      <c r="AF210" s="399">
        <f t="shared" si="693"/>
        <v>0</v>
      </c>
      <c r="AG210" s="483" t="str">
        <f t="shared" ca="1" si="639"/>
        <v/>
      </c>
      <c r="AH210" s="400">
        <f ca="1">IF(MAX(IF($C$6="No",ROUNDUP($C$3/$I210,0),ROUNDUP(($C$3+$I210)/$I210,0)),IF($C$6="No",ROUNDUP($C$4/$G210,0),ROUNDUP(($C$4+$G210)/$G210,0)),ROUNDUP('BVMS checklist'!$H$217/$J210,0))&gt;1,'BVMS checklist'!$J$224,'BVMS checklist'!$J$217)</f>
        <v>0</v>
      </c>
      <c r="AI210" s="398">
        <f t="shared" ca="1" si="640"/>
        <v>2</v>
      </c>
      <c r="AJ210" s="400">
        <f t="shared" ca="1" si="664"/>
        <v>2</v>
      </c>
      <c r="AK210" s="400">
        <f t="shared" ca="1" si="665"/>
        <v>3150</v>
      </c>
      <c r="AL210" s="400">
        <f t="shared" ca="1" si="666"/>
        <v>0</v>
      </c>
      <c r="AM210" s="398">
        <f t="shared" ca="1" si="667"/>
        <v>391020</v>
      </c>
      <c r="AN210" s="401" t="str">
        <f t="shared" ca="1" si="641"/>
        <v/>
      </c>
      <c r="AO210" s="398">
        <f t="shared" ca="1" si="668"/>
        <v>768</v>
      </c>
      <c r="AP210" s="400">
        <f ca="1">IF(MAX(IF($C$6="No",ROUNDUP($C$3/$I210,0),ROUNDUP(($C$3+$I210)/$I210,0)),IF($C$6="No",ROUNDUP($C$4/$G210,0),ROUNDUP(($C$4+$G210)/$G210,0)),ROUNDUP('BVMS checklist'!$H$217/$J210,0))&gt;1,'BVMS checklist'!$J$224,'BVMS checklist'!$J$217)+MAX(IF($C$6="No",ROUNDUP($C$3/$I210,0),ROUNDUP(($C$3+$I210)/$I210,0)),IF($C$6="No",ROUNDUP($C$4/$G210,0),ROUNDUP(($C$4+$G210)/$G210,0)))+$C$5</f>
        <v>1</v>
      </c>
      <c r="AQ210" s="400" t="b">
        <f t="shared" ca="1" si="630"/>
        <v>1</v>
      </c>
      <c r="AR210" s="400" t="str">
        <f t="shared" ca="1" si="669"/>
        <v>Accepted</v>
      </c>
      <c r="AS210" s="398" t="str">
        <f t="shared" ca="1" si="655"/>
        <v>No</v>
      </c>
      <c r="AT210" s="398" t="str">
        <f t="shared" ca="1" si="670"/>
        <v/>
      </c>
      <c r="AU210" s="398" t="str">
        <f t="shared" ca="1" si="642"/>
        <v/>
      </c>
      <c r="AV210" s="398">
        <f t="shared" ca="1" si="643"/>
        <v>6</v>
      </c>
      <c r="AW210" s="398">
        <f t="shared" ca="1" si="671"/>
        <v>2</v>
      </c>
      <c r="AX210" s="398">
        <f t="shared" ca="1" si="672"/>
        <v>448</v>
      </c>
      <c r="AY210" s="398">
        <f t="shared" ca="1" si="673"/>
        <v>391020</v>
      </c>
      <c r="AZ210" s="399">
        <f t="shared" si="694"/>
        <v>0</v>
      </c>
      <c r="BA210" s="399">
        <f t="shared" si="695"/>
        <v>0</v>
      </c>
      <c r="BB210" s="483" t="str">
        <f t="shared" ca="1" si="644"/>
        <v/>
      </c>
      <c r="BC210" s="400">
        <f ca="1">IF(MAX(IF($D$6="No",ROUNDUP($D$3/$I210,0),ROUNDUP(($D$3+$I210)/$I210,0)),IF($D$6="No",ROUNDUP($D$4/$G210,0),ROUNDUP(($D$4+$G210)/$G210,0)),ROUNDUP('BVMS checklist'!$H$217/$J210,0))&gt;1,'BVMS checklist'!$L$224,'BVMS checklist'!$L$217)</f>
        <v>0</v>
      </c>
      <c r="BD210" s="398">
        <f t="shared" ca="1" si="645"/>
        <v>2</v>
      </c>
      <c r="BE210" s="400">
        <f t="shared" si="674"/>
        <v>1</v>
      </c>
      <c r="BF210" s="400">
        <f t="shared" si="675"/>
        <v>1575</v>
      </c>
      <c r="BG210" s="400">
        <f t="shared" ca="1" si="656"/>
        <v>0</v>
      </c>
      <c r="BH210" s="398">
        <f t="shared" ca="1" si="676"/>
        <v>391020</v>
      </c>
      <c r="BI210" s="401" t="str">
        <f t="shared" ca="1" si="646"/>
        <v/>
      </c>
      <c r="BJ210" s="398">
        <f t="shared" ca="1" si="677"/>
        <v>768</v>
      </c>
      <c r="BK210" s="400">
        <f ca="1">IF(MAX(IF($D$6="No",ROUNDUP($D$3/$I210,0),ROUNDUP(($D$3+$I210)/$I210,0)),IF($D$6="No",ROUNDUP($D$4/$G210,0),ROUNDUP(($D$4+$G210)/$G210,0)),ROUNDUP('BVMS checklist'!$H$217/$J210,0))&gt;1,'BVMS checklist'!$L$224,'BVMS checklist'!$L$217)+MAX(IF($D$6="No",ROUNDUP($D$3/$I210,0),ROUNDUP(($D$3+$I210)/$I210,0)),IF($D$6="No",ROUNDUP($D$4/$G210,0),ROUNDUP(($D$4+$G210)/$G210,0)))+$D$5</f>
        <v>1</v>
      </c>
      <c r="BL210" s="400" t="b">
        <f t="shared" ca="1" si="631"/>
        <v>1</v>
      </c>
      <c r="BM210" s="400" t="str">
        <f t="shared" ca="1" si="678"/>
        <v>Accepted</v>
      </c>
      <c r="BN210" s="398" t="str">
        <f t="shared" ca="1" si="657"/>
        <v>No</v>
      </c>
      <c r="BO210" s="398" t="str">
        <f t="shared" ca="1" si="679"/>
        <v/>
      </c>
      <c r="BP210" s="398" t="str">
        <f t="shared" ca="1" si="647"/>
        <v/>
      </c>
      <c r="BQ210" s="398">
        <f t="shared" ca="1" si="648"/>
        <v>6</v>
      </c>
      <c r="BR210" s="398">
        <f t="shared" ca="1" si="680"/>
        <v>2</v>
      </c>
      <c r="BS210" s="398">
        <f t="shared" ca="1" si="681"/>
        <v>448</v>
      </c>
      <c r="BT210" s="398">
        <f t="shared" ca="1" si="682"/>
        <v>391020</v>
      </c>
      <c r="BU210" s="399">
        <f t="shared" si="696"/>
        <v>0</v>
      </c>
      <c r="BV210" s="399">
        <f t="shared" si="697"/>
        <v>0</v>
      </c>
      <c r="BW210" s="483" t="str">
        <f t="shared" ca="1" si="649"/>
        <v/>
      </c>
      <c r="BX210" s="400">
        <f ca="1">IF(MAX(IF($E$6="No",ROUNDUP($E$3/$I210,0),ROUNDUP(($E$3+$I210)/$I210,0)),IF($E$6="No",ROUNDUP($E$4/$G210,0),ROUNDUP(($E$4+$G210)/$G210,0)),ROUNDUP('BVMS checklist'!$H$217/$J210,0))&gt;1,'BVMS checklist'!$N$224,'BVMS checklist'!$N$217)</f>
        <v>0</v>
      </c>
      <c r="BY210" s="398">
        <f t="shared" ca="1" si="650"/>
        <v>2</v>
      </c>
      <c r="BZ210" s="400">
        <f t="shared" ca="1" si="683"/>
        <v>2</v>
      </c>
      <c r="CA210" s="400">
        <f t="shared" ca="1" si="684"/>
        <v>3150</v>
      </c>
      <c r="CB210" s="400">
        <f t="shared" ca="1" si="658"/>
        <v>0</v>
      </c>
      <c r="CC210" s="398">
        <f t="shared" ca="1" si="685"/>
        <v>391020</v>
      </c>
      <c r="CD210" s="401" t="str">
        <f t="shared" ca="1" si="651"/>
        <v/>
      </c>
      <c r="CE210" s="398">
        <f t="shared" ca="1" si="686"/>
        <v>768</v>
      </c>
      <c r="CF210" s="400">
        <f ca="1">IF(MAX(IF($E$6="No",ROUNDUP($E$3/$I210,0),ROUNDUP(($E$3+$I210)/$I210,0)),IF($E$6="No",ROUNDUP($E$4/$G210,0),ROUNDUP(($E$4+$G210)/$G210,0)),ROUNDUP('BVMS checklist'!$H$217/$J210,0))&gt;1,'BVMS checklist'!$N$224,'BVMS checklist'!$N$217)+MAX(IF($E$6="No",ROUNDUP($E$3/$I210,0),ROUNDUP(($E$3+$I210)/$I210,0)),IF($E$6="No",ROUNDUP($E$4/$G210,0),ROUNDUP(($E$4+$G210)/$G210,0)))+$E$5</f>
        <v>1</v>
      </c>
      <c r="CG210" s="400" t="b">
        <f t="shared" ca="1" si="632"/>
        <v>1</v>
      </c>
      <c r="CH210" s="400" t="str">
        <f t="shared" ca="1" si="687"/>
        <v>Accepted</v>
      </c>
      <c r="CI210" s="398" t="str">
        <f t="shared" ca="1" si="659"/>
        <v>No</v>
      </c>
      <c r="CJ210" s="398" t="str">
        <f t="shared" ca="1" si="688"/>
        <v/>
      </c>
      <c r="CK210" s="398" t="str">
        <f t="shared" ca="1" si="652"/>
        <v/>
      </c>
      <c r="CL210" s="398">
        <f t="shared" ca="1" si="653"/>
        <v>6</v>
      </c>
      <c r="CM210" s="398">
        <f t="shared" ca="1" si="689"/>
        <v>2</v>
      </c>
      <c r="CN210" s="398">
        <f t="shared" ca="1" si="690"/>
        <v>448</v>
      </c>
      <c r="CO210" s="398">
        <f t="shared" ca="1" si="691"/>
        <v>391020</v>
      </c>
      <c r="CP210" s="399">
        <f t="shared" si="698"/>
        <v>0</v>
      </c>
      <c r="CQ210" s="399">
        <f t="shared" si="699"/>
        <v>0</v>
      </c>
      <c r="CR210" s="483" t="str">
        <f t="shared" ca="1" si="654"/>
        <v/>
      </c>
      <c r="CS210"/>
    </row>
    <row r="211" spans="1:97">
      <c r="A211" s="398" t="s">
        <v>445</v>
      </c>
      <c r="B211" s="398" t="s">
        <v>987</v>
      </c>
      <c r="C211" s="440" t="s">
        <v>891</v>
      </c>
      <c r="D211" s="398">
        <v>4</v>
      </c>
      <c r="E211" s="398"/>
      <c r="F211" s="440">
        <v>0</v>
      </c>
      <c r="G211" s="398">
        <f>IF(C211="RAID5",(((15-F211)*7448))+(3*(((15-F211)*2793))),(((14-F211)*7448))+(3*(((14-F211)*2793))))</f>
        <v>237405</v>
      </c>
      <c r="H211" s="399">
        <v>272</v>
      </c>
      <c r="I211" s="399">
        <v>2125</v>
      </c>
      <c r="J211" s="399">
        <v>512</v>
      </c>
      <c r="K211" s="399"/>
      <c r="L211" s="399"/>
      <c r="M211" s="400">
        <f ca="1">IF(MAX(IF($B$6="No",ROUNDUP($B$3/$I211,0),ROUNDUP(($B$3+$I211)/$I211,0)),IF($B$6="No",ROUNDUP($B$4/$G211,0),ROUNDUP(($B$4+$G211)/$G211,0)),ROUNDUP('BVMS checklist'!$H$217/$J211,0))&gt;1,'BVMS checklist'!$H$224,'BVMS checklist'!$H$217)</f>
        <v>0</v>
      </c>
      <c r="N211" s="398">
        <f t="shared" ca="1" si="633"/>
        <v>2</v>
      </c>
      <c r="O211" s="400">
        <f t="shared" ca="1" si="660"/>
        <v>2</v>
      </c>
      <c r="P211" s="400">
        <f t="shared" ca="1" si="624"/>
        <v>4250</v>
      </c>
      <c r="Q211" s="400">
        <f t="shared" ca="1" si="625"/>
        <v>0</v>
      </c>
      <c r="R211" s="398">
        <f t="shared" ca="1" si="626"/>
        <v>474810</v>
      </c>
      <c r="S211" s="401" t="str">
        <f t="shared" ca="1" si="634"/>
        <v/>
      </c>
      <c r="T211" s="398">
        <f t="shared" ca="1" si="635"/>
        <v>1024</v>
      </c>
      <c r="U211" s="400">
        <f ca="1">IF(MAX(IF($B$6="No",ROUNDUP($B$3/$I211,0),ROUNDUP(($B$3+$I211)/$I211,0)),IF($B$6="No",ROUNDUP($B$4/$G211,0),ROUNDUP(($B$4+$G211)/$G211,0)),ROUNDUP('BVMS checklist'!$H$217/$J211,0))&gt;1,'BVMS checklist'!$H$224,'BVMS checklist'!$H$217)+MAX(IF($B$6="No",ROUNDUP($B$3/$I211,0),ROUNDUP(($B$3+$I211)/$I211,0)),IF($B$6="No",ROUNDUP($B$4/$G211,0),ROUNDUP(($B$4+$G211)/$G211,0)))+$B$5</f>
        <v>1</v>
      </c>
      <c r="V211" s="400" t="b">
        <f t="shared" ca="1" si="627"/>
        <v>1</v>
      </c>
      <c r="W211" s="400" t="str">
        <f t="shared" ca="1" si="661"/>
        <v>Accepted</v>
      </c>
      <c r="X211" s="398" t="str">
        <f t="shared" ca="1" si="636"/>
        <v>No</v>
      </c>
      <c r="Y211" s="398" t="str">
        <f t="shared" ca="1" si="637"/>
        <v/>
      </c>
      <c r="Z211" s="398" t="str">
        <f t="shared" ca="1" si="638"/>
        <v/>
      </c>
      <c r="AA211" s="398">
        <f t="shared" ca="1" si="662"/>
        <v>6</v>
      </c>
      <c r="AB211" s="398">
        <f t="shared" ca="1" si="628"/>
        <v>2</v>
      </c>
      <c r="AC211" s="398">
        <f t="shared" ca="1" si="629"/>
        <v>544</v>
      </c>
      <c r="AD211" s="398">
        <f t="shared" ca="1" si="663"/>
        <v>474810</v>
      </c>
      <c r="AE211" s="399">
        <f t="shared" si="692"/>
        <v>0</v>
      </c>
      <c r="AF211" s="399">
        <f t="shared" si="693"/>
        <v>0</v>
      </c>
      <c r="AG211" s="483" t="str">
        <f t="shared" ca="1" si="639"/>
        <v/>
      </c>
      <c r="AH211" s="400">
        <f ca="1">IF(MAX(IF($C$6="No",ROUNDUP($C$3/$I211,0),ROUNDUP(($C$3+$I211)/$I211,0)),IF($C$6="No",ROUNDUP($C$4/$G211,0),ROUNDUP(($C$4+$G211)/$G211,0)),ROUNDUP('BVMS checklist'!$H$217/$J211,0))&gt;1,'BVMS checklist'!$J$224,'BVMS checklist'!$J$217)</f>
        <v>0</v>
      </c>
      <c r="AI211" s="398">
        <f t="shared" ca="1" si="640"/>
        <v>2</v>
      </c>
      <c r="AJ211" s="400">
        <f t="shared" ca="1" si="664"/>
        <v>2</v>
      </c>
      <c r="AK211" s="400">
        <f t="shared" ca="1" si="665"/>
        <v>4250</v>
      </c>
      <c r="AL211" s="400">
        <f t="shared" ca="1" si="666"/>
        <v>0</v>
      </c>
      <c r="AM211" s="398">
        <f t="shared" ca="1" si="667"/>
        <v>474810</v>
      </c>
      <c r="AN211" s="401" t="str">
        <f t="shared" ca="1" si="641"/>
        <v/>
      </c>
      <c r="AO211" s="398">
        <f t="shared" ca="1" si="668"/>
        <v>1024</v>
      </c>
      <c r="AP211" s="400">
        <f ca="1">IF(MAX(IF($C$6="No",ROUNDUP($C$3/$I211,0),ROUNDUP(($C$3+$I211)/$I211,0)),IF($C$6="No",ROUNDUP($C$4/$G211,0),ROUNDUP(($C$4+$G211)/$G211,0)),ROUNDUP('BVMS checklist'!$H$217/$J211,0))&gt;1,'BVMS checklist'!$J$224,'BVMS checklist'!$J$217)+MAX(IF($C$6="No",ROUNDUP($C$3/$I211,0),ROUNDUP(($C$3+$I211)/$I211,0)),IF($C$6="No",ROUNDUP($C$4/$G211,0),ROUNDUP(($C$4+$G211)/$G211,0)))+$C$5</f>
        <v>1</v>
      </c>
      <c r="AQ211" s="400" t="b">
        <f t="shared" ca="1" si="630"/>
        <v>1</v>
      </c>
      <c r="AR211" s="400" t="str">
        <f t="shared" ca="1" si="669"/>
        <v>Accepted</v>
      </c>
      <c r="AS211" s="398" t="str">
        <f t="shared" ca="1" si="655"/>
        <v>No</v>
      </c>
      <c r="AT211" s="398" t="str">
        <f t="shared" ca="1" si="670"/>
        <v/>
      </c>
      <c r="AU211" s="398" t="str">
        <f t="shared" ca="1" si="642"/>
        <v/>
      </c>
      <c r="AV211" s="398">
        <f t="shared" ca="1" si="643"/>
        <v>6</v>
      </c>
      <c r="AW211" s="398">
        <f t="shared" ca="1" si="671"/>
        <v>2</v>
      </c>
      <c r="AX211" s="398">
        <f t="shared" ca="1" si="672"/>
        <v>544</v>
      </c>
      <c r="AY211" s="398">
        <f t="shared" ca="1" si="673"/>
        <v>474810</v>
      </c>
      <c r="AZ211" s="399">
        <f t="shared" si="694"/>
        <v>0</v>
      </c>
      <c r="BA211" s="399">
        <f t="shared" si="695"/>
        <v>0</v>
      </c>
      <c r="BB211" s="483" t="str">
        <f t="shared" ca="1" si="644"/>
        <v/>
      </c>
      <c r="BC211" s="400">
        <f ca="1">IF(MAX(IF($D$6="No",ROUNDUP($D$3/$I211,0),ROUNDUP(($D$3+$I211)/$I211,0)),IF($D$6="No",ROUNDUP($D$4/$G211,0),ROUNDUP(($D$4+$G211)/$G211,0)),ROUNDUP('BVMS checklist'!$H$217/$J211,0))&gt;1,'BVMS checklist'!$L$224,'BVMS checklist'!$L$217)</f>
        <v>0</v>
      </c>
      <c r="BD211" s="398">
        <f t="shared" ca="1" si="645"/>
        <v>2</v>
      </c>
      <c r="BE211" s="400">
        <f t="shared" si="674"/>
        <v>1</v>
      </c>
      <c r="BF211" s="400">
        <f t="shared" si="675"/>
        <v>2125</v>
      </c>
      <c r="BG211" s="400">
        <f t="shared" ca="1" si="656"/>
        <v>0</v>
      </c>
      <c r="BH211" s="398">
        <f t="shared" ca="1" si="676"/>
        <v>474810</v>
      </c>
      <c r="BI211" s="401" t="str">
        <f t="shared" ca="1" si="646"/>
        <v/>
      </c>
      <c r="BJ211" s="398">
        <f t="shared" ca="1" si="677"/>
        <v>1024</v>
      </c>
      <c r="BK211" s="400">
        <f ca="1">IF(MAX(IF($D$6="No",ROUNDUP($D$3/$I211,0),ROUNDUP(($D$3+$I211)/$I211,0)),IF($D$6="No",ROUNDUP($D$4/$G211,0),ROUNDUP(($D$4+$G211)/$G211,0)),ROUNDUP('BVMS checklist'!$H$217/$J211,0))&gt;1,'BVMS checklist'!$L$224,'BVMS checklist'!$L$217)+MAX(IF($D$6="No",ROUNDUP($D$3/$I211,0),ROUNDUP(($D$3+$I211)/$I211,0)),IF($D$6="No",ROUNDUP($D$4/$G211,0),ROUNDUP(($D$4+$G211)/$G211,0)))+$D$5</f>
        <v>1</v>
      </c>
      <c r="BL211" s="400" t="b">
        <f t="shared" ca="1" si="631"/>
        <v>1</v>
      </c>
      <c r="BM211" s="400" t="str">
        <f t="shared" ca="1" si="678"/>
        <v>Accepted</v>
      </c>
      <c r="BN211" s="398" t="str">
        <f t="shared" ca="1" si="657"/>
        <v>No</v>
      </c>
      <c r="BO211" s="398" t="str">
        <f t="shared" ca="1" si="679"/>
        <v/>
      </c>
      <c r="BP211" s="398" t="str">
        <f t="shared" ca="1" si="647"/>
        <v/>
      </c>
      <c r="BQ211" s="398">
        <f t="shared" ca="1" si="648"/>
        <v>6</v>
      </c>
      <c r="BR211" s="398">
        <f t="shared" ca="1" si="680"/>
        <v>2</v>
      </c>
      <c r="BS211" s="398">
        <f t="shared" ca="1" si="681"/>
        <v>544</v>
      </c>
      <c r="BT211" s="398">
        <f t="shared" ca="1" si="682"/>
        <v>474810</v>
      </c>
      <c r="BU211" s="399">
        <f t="shared" si="696"/>
        <v>0</v>
      </c>
      <c r="BV211" s="399">
        <f t="shared" si="697"/>
        <v>0</v>
      </c>
      <c r="BW211" s="483" t="str">
        <f t="shared" ca="1" si="649"/>
        <v/>
      </c>
      <c r="BX211" s="400">
        <f ca="1">IF(MAX(IF($E$6="No",ROUNDUP($E$3/$I211,0),ROUNDUP(($E$3+$I211)/$I211,0)),IF($E$6="No",ROUNDUP($E$4/$G211,0),ROUNDUP(($E$4+$G211)/$G211,0)),ROUNDUP('BVMS checklist'!$H$217/$J211,0))&gt;1,'BVMS checklist'!$N$224,'BVMS checklist'!$N$217)</f>
        <v>0</v>
      </c>
      <c r="BY211" s="398">
        <f t="shared" ca="1" si="650"/>
        <v>2</v>
      </c>
      <c r="BZ211" s="400">
        <f t="shared" ca="1" si="683"/>
        <v>2</v>
      </c>
      <c r="CA211" s="400">
        <f t="shared" ca="1" si="684"/>
        <v>4250</v>
      </c>
      <c r="CB211" s="400">
        <f t="shared" ca="1" si="658"/>
        <v>0</v>
      </c>
      <c r="CC211" s="398">
        <f t="shared" ca="1" si="685"/>
        <v>474810</v>
      </c>
      <c r="CD211" s="401" t="str">
        <f t="shared" ca="1" si="651"/>
        <v/>
      </c>
      <c r="CE211" s="398">
        <f t="shared" ca="1" si="686"/>
        <v>1024</v>
      </c>
      <c r="CF211" s="400">
        <f ca="1">IF(MAX(IF($E$6="No",ROUNDUP($E$3/$I211,0),ROUNDUP(($E$3+$I211)/$I211,0)),IF($E$6="No",ROUNDUP($E$4/$G211,0),ROUNDUP(($E$4+$G211)/$G211,0)),ROUNDUP('BVMS checklist'!$H$217/$J211,0))&gt;1,'BVMS checklist'!$N$224,'BVMS checklist'!$N$217)+MAX(IF($E$6="No",ROUNDUP($E$3/$I211,0),ROUNDUP(($E$3+$I211)/$I211,0)),IF($E$6="No",ROUNDUP($E$4/$G211,0),ROUNDUP(($E$4+$G211)/$G211,0)))+$E$5</f>
        <v>1</v>
      </c>
      <c r="CG211" s="400" t="b">
        <f t="shared" ca="1" si="632"/>
        <v>1</v>
      </c>
      <c r="CH211" s="400" t="str">
        <f t="shared" ca="1" si="687"/>
        <v>Accepted</v>
      </c>
      <c r="CI211" s="398" t="str">
        <f t="shared" ca="1" si="659"/>
        <v>No</v>
      </c>
      <c r="CJ211" s="398" t="str">
        <f t="shared" ca="1" si="688"/>
        <v/>
      </c>
      <c r="CK211" s="398" t="str">
        <f t="shared" ca="1" si="652"/>
        <v/>
      </c>
      <c r="CL211" s="398">
        <f t="shared" ca="1" si="653"/>
        <v>6</v>
      </c>
      <c r="CM211" s="398">
        <f t="shared" ca="1" si="689"/>
        <v>2</v>
      </c>
      <c r="CN211" s="398">
        <f t="shared" ca="1" si="690"/>
        <v>544</v>
      </c>
      <c r="CO211" s="398">
        <f t="shared" ca="1" si="691"/>
        <v>474810</v>
      </c>
      <c r="CP211" s="399">
        <f t="shared" si="698"/>
        <v>0</v>
      </c>
      <c r="CQ211" s="399">
        <f t="shared" si="699"/>
        <v>0</v>
      </c>
      <c r="CR211" s="483" t="str">
        <f t="shared" ca="1" si="654"/>
        <v/>
      </c>
      <c r="CS211"/>
    </row>
    <row r="212" spans="1:97">
      <c r="A212" s="398" t="s">
        <v>446</v>
      </c>
      <c r="B212" s="398" t="s">
        <v>987</v>
      </c>
      <c r="C212" s="440" t="s">
        <v>891</v>
      </c>
      <c r="D212" s="398">
        <v>5</v>
      </c>
      <c r="E212" s="398"/>
      <c r="F212" s="440">
        <v>0</v>
      </c>
      <c r="G212" s="398">
        <f>IF(C212="RAID5",(((15-F212)*7448))+(4*(((15-F212)*2793))),(((14-F212)*7448))+(4*(((14-F212)*2793))))</f>
        <v>279300</v>
      </c>
      <c r="H212" s="399">
        <v>320</v>
      </c>
      <c r="I212" s="399">
        <v>2675</v>
      </c>
      <c r="J212" s="399">
        <v>640</v>
      </c>
      <c r="K212" s="399"/>
      <c r="L212" s="399"/>
      <c r="M212" s="400">
        <f ca="1">IF(MAX(IF($B$6="No",ROUNDUP($B$3/$I212,0),ROUNDUP(($B$3+$I212)/$I212,0)),IF($B$6="No",ROUNDUP($B$4/$G212,0),ROUNDUP(($B$4+$G212)/$G212,0)),ROUNDUP('BVMS checklist'!$H$217/$J212,0))&gt;1,'BVMS checklist'!$H$224,'BVMS checklist'!$H$217)</f>
        <v>0</v>
      </c>
      <c r="N212" s="398">
        <f t="shared" ca="1" si="633"/>
        <v>2</v>
      </c>
      <c r="O212" s="400">
        <f t="shared" ca="1" si="660"/>
        <v>2</v>
      </c>
      <c r="P212" s="400">
        <f t="shared" ca="1" si="624"/>
        <v>5350</v>
      </c>
      <c r="Q212" s="400">
        <f t="shared" ca="1" si="625"/>
        <v>0</v>
      </c>
      <c r="R212" s="398">
        <f t="shared" ca="1" si="626"/>
        <v>558600</v>
      </c>
      <c r="S212" s="401" t="str">
        <f t="shared" ca="1" si="634"/>
        <v/>
      </c>
      <c r="T212" s="398">
        <f t="shared" ca="1" si="635"/>
        <v>1280</v>
      </c>
      <c r="U212" s="400">
        <f ca="1">IF(MAX(IF($B$6="No",ROUNDUP($B$3/$I212,0),ROUNDUP(($B$3+$I212)/$I212,0)),IF($B$6="No",ROUNDUP($B$4/$G212,0),ROUNDUP(($B$4+$G212)/$G212,0)),ROUNDUP('BVMS checklist'!$H$217/$J212,0))&gt;1,'BVMS checklist'!$H$224,'BVMS checklist'!$H$217)+MAX(IF($B$6="No",ROUNDUP($B$3/$I212,0),ROUNDUP(($B$3+$I212)/$I212,0)),IF($B$6="No",ROUNDUP($B$4/$G212,0),ROUNDUP(($B$4+$G212)/$G212,0)))+$B$5</f>
        <v>1</v>
      </c>
      <c r="V212" s="400" t="b">
        <f t="shared" ca="1" si="627"/>
        <v>1</v>
      </c>
      <c r="W212" s="400" t="str">
        <f t="shared" ca="1" si="661"/>
        <v>Accepted</v>
      </c>
      <c r="X212" s="398" t="str">
        <f t="shared" ca="1" si="636"/>
        <v>No</v>
      </c>
      <c r="Y212" s="398" t="str">
        <f t="shared" ca="1" si="637"/>
        <v/>
      </c>
      <c r="Z212" s="398" t="str">
        <f t="shared" ca="1" si="638"/>
        <v/>
      </c>
      <c r="AA212" s="398">
        <f t="shared" ca="1" si="662"/>
        <v>6</v>
      </c>
      <c r="AB212" s="398">
        <f t="shared" ca="1" si="628"/>
        <v>2</v>
      </c>
      <c r="AC212" s="398">
        <f t="shared" ca="1" si="629"/>
        <v>640</v>
      </c>
      <c r="AD212" s="398">
        <f t="shared" ca="1" si="663"/>
        <v>558600</v>
      </c>
      <c r="AE212" s="399">
        <f t="shared" si="692"/>
        <v>0</v>
      </c>
      <c r="AF212" s="399">
        <f t="shared" si="693"/>
        <v>0</v>
      </c>
      <c r="AG212" s="483" t="str">
        <f t="shared" ca="1" si="639"/>
        <v/>
      </c>
      <c r="AH212" s="400">
        <f ca="1">IF(MAX(IF($C$6="No",ROUNDUP($C$3/$I212,0),ROUNDUP(($C$3+$I212)/$I212,0)),IF($C$6="No",ROUNDUP($C$4/$G212,0),ROUNDUP(($C$4+$G212)/$G212,0)),ROUNDUP('BVMS checklist'!$H$217/$J212,0))&gt;1,'BVMS checklist'!$J$224,'BVMS checklist'!$J$217)</f>
        <v>0</v>
      </c>
      <c r="AI212" s="398">
        <f t="shared" ca="1" si="640"/>
        <v>2</v>
      </c>
      <c r="AJ212" s="400">
        <f t="shared" ca="1" si="664"/>
        <v>2</v>
      </c>
      <c r="AK212" s="400">
        <f t="shared" ca="1" si="665"/>
        <v>5350</v>
      </c>
      <c r="AL212" s="400">
        <f t="shared" ca="1" si="666"/>
        <v>0</v>
      </c>
      <c r="AM212" s="398">
        <f t="shared" ca="1" si="667"/>
        <v>558600</v>
      </c>
      <c r="AN212" s="401" t="str">
        <f t="shared" ca="1" si="641"/>
        <v/>
      </c>
      <c r="AO212" s="398">
        <f t="shared" ca="1" si="668"/>
        <v>1280</v>
      </c>
      <c r="AP212" s="400">
        <f ca="1">IF(MAX(IF($C$6="No",ROUNDUP($C$3/$I212,0),ROUNDUP(($C$3+$I212)/$I212,0)),IF($C$6="No",ROUNDUP($C$4/$G212,0),ROUNDUP(($C$4+$G212)/$G212,0)),ROUNDUP('BVMS checklist'!$H$217/$J212,0))&gt;1,'BVMS checklist'!$J$224,'BVMS checklist'!$J$217)+MAX(IF($C$6="No",ROUNDUP($C$3/$I212,0),ROUNDUP(($C$3+$I212)/$I212,0)),IF($C$6="No",ROUNDUP($C$4/$G212,0),ROUNDUP(($C$4+$G212)/$G212,0)))+$C$5</f>
        <v>1</v>
      </c>
      <c r="AQ212" s="400" t="b">
        <f t="shared" ca="1" si="630"/>
        <v>1</v>
      </c>
      <c r="AR212" s="400" t="str">
        <f t="shared" ca="1" si="669"/>
        <v>Accepted</v>
      </c>
      <c r="AS212" s="398" t="str">
        <f t="shared" ca="1" si="655"/>
        <v>No</v>
      </c>
      <c r="AT212" s="398" t="str">
        <f t="shared" ca="1" si="670"/>
        <v/>
      </c>
      <c r="AU212" s="398" t="str">
        <f t="shared" ca="1" si="642"/>
        <v/>
      </c>
      <c r="AV212" s="398">
        <f t="shared" ca="1" si="643"/>
        <v>6</v>
      </c>
      <c r="AW212" s="398">
        <f t="shared" ca="1" si="671"/>
        <v>2</v>
      </c>
      <c r="AX212" s="398">
        <f t="shared" ca="1" si="672"/>
        <v>640</v>
      </c>
      <c r="AY212" s="398">
        <f t="shared" ca="1" si="673"/>
        <v>558600</v>
      </c>
      <c r="AZ212" s="399">
        <f t="shared" si="694"/>
        <v>0</v>
      </c>
      <c r="BA212" s="399">
        <f t="shared" si="695"/>
        <v>0</v>
      </c>
      <c r="BB212" s="483" t="str">
        <f t="shared" ca="1" si="644"/>
        <v/>
      </c>
      <c r="BC212" s="400">
        <f ca="1">IF(MAX(IF($D$6="No",ROUNDUP($D$3/$I212,0),ROUNDUP(($D$3+$I212)/$I212,0)),IF($D$6="No",ROUNDUP($D$4/$G212,0),ROUNDUP(($D$4+$G212)/$G212,0)),ROUNDUP('BVMS checklist'!$H$217/$J212,0))&gt;1,'BVMS checklist'!$L$224,'BVMS checklist'!$L$217)</f>
        <v>0</v>
      </c>
      <c r="BD212" s="398">
        <f t="shared" ca="1" si="645"/>
        <v>2</v>
      </c>
      <c r="BE212" s="400">
        <f t="shared" si="674"/>
        <v>1</v>
      </c>
      <c r="BF212" s="400">
        <f t="shared" si="675"/>
        <v>2675</v>
      </c>
      <c r="BG212" s="400">
        <f t="shared" ca="1" si="656"/>
        <v>0</v>
      </c>
      <c r="BH212" s="398">
        <f t="shared" ca="1" si="676"/>
        <v>558600</v>
      </c>
      <c r="BI212" s="401" t="str">
        <f t="shared" ca="1" si="646"/>
        <v/>
      </c>
      <c r="BJ212" s="398">
        <f t="shared" ca="1" si="677"/>
        <v>1280</v>
      </c>
      <c r="BK212" s="400">
        <f ca="1">IF(MAX(IF($D$6="No",ROUNDUP($D$3/$I212,0),ROUNDUP(($D$3+$I212)/$I212,0)),IF($D$6="No",ROUNDUP($D$4/$G212,0),ROUNDUP(($D$4+$G212)/$G212,0)),ROUNDUP('BVMS checklist'!$H$217/$J212,0))&gt;1,'BVMS checklist'!$L$224,'BVMS checklist'!$L$217)+MAX(IF($D$6="No",ROUNDUP($D$3/$I212,0),ROUNDUP(($D$3+$I212)/$I212,0)),IF($D$6="No",ROUNDUP($D$4/$G212,0),ROUNDUP(($D$4+$G212)/$G212,0)))+$D$5</f>
        <v>1</v>
      </c>
      <c r="BL212" s="400" t="b">
        <f t="shared" ca="1" si="631"/>
        <v>1</v>
      </c>
      <c r="BM212" s="400" t="str">
        <f t="shared" ca="1" si="678"/>
        <v>Accepted</v>
      </c>
      <c r="BN212" s="398" t="str">
        <f t="shared" ca="1" si="657"/>
        <v>No</v>
      </c>
      <c r="BO212" s="398" t="str">
        <f t="shared" ca="1" si="679"/>
        <v/>
      </c>
      <c r="BP212" s="398" t="str">
        <f t="shared" ca="1" si="647"/>
        <v/>
      </c>
      <c r="BQ212" s="398">
        <f t="shared" ca="1" si="648"/>
        <v>6</v>
      </c>
      <c r="BR212" s="398">
        <f t="shared" ca="1" si="680"/>
        <v>2</v>
      </c>
      <c r="BS212" s="398">
        <f t="shared" ca="1" si="681"/>
        <v>640</v>
      </c>
      <c r="BT212" s="398">
        <f t="shared" ca="1" si="682"/>
        <v>558600</v>
      </c>
      <c r="BU212" s="399">
        <f t="shared" si="696"/>
        <v>0</v>
      </c>
      <c r="BV212" s="399">
        <f t="shared" si="697"/>
        <v>0</v>
      </c>
      <c r="BW212" s="483" t="str">
        <f t="shared" ca="1" si="649"/>
        <v/>
      </c>
      <c r="BX212" s="400">
        <f ca="1">IF(MAX(IF($E$6="No",ROUNDUP($E$3/$I212,0),ROUNDUP(($E$3+$I212)/$I212,0)),IF($E$6="No",ROUNDUP($E$4/$G212,0),ROUNDUP(($E$4+$G212)/$G212,0)),ROUNDUP('BVMS checklist'!$H$217/$J212,0))&gt;1,'BVMS checklist'!$N$224,'BVMS checklist'!$N$217)</f>
        <v>0</v>
      </c>
      <c r="BY212" s="398">
        <f t="shared" ca="1" si="650"/>
        <v>2</v>
      </c>
      <c r="BZ212" s="400">
        <f t="shared" ca="1" si="683"/>
        <v>2</v>
      </c>
      <c r="CA212" s="400">
        <f t="shared" ca="1" si="684"/>
        <v>5350</v>
      </c>
      <c r="CB212" s="400">
        <f t="shared" ca="1" si="658"/>
        <v>0</v>
      </c>
      <c r="CC212" s="398">
        <f t="shared" ca="1" si="685"/>
        <v>558600</v>
      </c>
      <c r="CD212" s="401" t="str">
        <f t="shared" ca="1" si="651"/>
        <v/>
      </c>
      <c r="CE212" s="398">
        <f t="shared" ca="1" si="686"/>
        <v>1280</v>
      </c>
      <c r="CF212" s="400">
        <f ca="1">IF(MAX(IF($E$6="No",ROUNDUP($E$3/$I212,0),ROUNDUP(($E$3+$I212)/$I212,0)),IF($E$6="No",ROUNDUP($E$4/$G212,0),ROUNDUP(($E$4+$G212)/$G212,0)),ROUNDUP('BVMS checklist'!$H$217/$J212,0))&gt;1,'BVMS checklist'!$N$224,'BVMS checklist'!$N$217)+MAX(IF($E$6="No",ROUNDUP($E$3/$I212,0),ROUNDUP(($E$3+$I212)/$I212,0)),IF($E$6="No",ROUNDUP($E$4/$G212,0),ROUNDUP(($E$4+$G212)/$G212,0)))+$E$5</f>
        <v>1</v>
      </c>
      <c r="CG212" s="400" t="b">
        <f t="shared" ca="1" si="632"/>
        <v>1</v>
      </c>
      <c r="CH212" s="400" t="str">
        <f t="shared" ca="1" si="687"/>
        <v>Accepted</v>
      </c>
      <c r="CI212" s="398" t="str">
        <f t="shared" ca="1" si="659"/>
        <v>No</v>
      </c>
      <c r="CJ212" s="398" t="str">
        <f t="shared" ca="1" si="688"/>
        <v/>
      </c>
      <c r="CK212" s="398" t="str">
        <f t="shared" ca="1" si="652"/>
        <v/>
      </c>
      <c r="CL212" s="398">
        <f t="shared" ca="1" si="653"/>
        <v>6</v>
      </c>
      <c r="CM212" s="398">
        <f t="shared" ca="1" si="689"/>
        <v>2</v>
      </c>
      <c r="CN212" s="398">
        <f t="shared" ca="1" si="690"/>
        <v>640</v>
      </c>
      <c r="CO212" s="398">
        <f t="shared" ca="1" si="691"/>
        <v>558600</v>
      </c>
      <c r="CP212" s="399">
        <f t="shared" si="698"/>
        <v>0</v>
      </c>
      <c r="CQ212" s="399">
        <f t="shared" si="699"/>
        <v>0</v>
      </c>
      <c r="CR212" s="483" t="str">
        <f t="shared" ca="1" si="654"/>
        <v/>
      </c>
      <c r="CS212"/>
    </row>
    <row r="213" spans="1:97">
      <c r="A213" s="398" t="s">
        <v>447</v>
      </c>
      <c r="B213" s="398" t="s">
        <v>987</v>
      </c>
      <c r="C213" s="440" t="s">
        <v>891</v>
      </c>
      <c r="D213" s="398">
        <v>2</v>
      </c>
      <c r="E213" s="398"/>
      <c r="F213" s="440">
        <v>0</v>
      </c>
      <c r="G213" s="398">
        <f>IF(C213="RAID5",(((15-F213)*7448))+(1*(((7-F213)*3723))),(((14-F213)*7448))+(1*(((6-F213)*3723))))</f>
        <v>137781</v>
      </c>
      <c r="H213" s="399">
        <v>160</v>
      </c>
      <c r="I213" s="399">
        <v>1025</v>
      </c>
      <c r="J213" s="399">
        <v>256</v>
      </c>
      <c r="K213" s="399"/>
      <c r="L213" s="399"/>
      <c r="M213" s="400">
        <f ca="1">IF(MAX(IF($B$6="No",ROUNDUP($B$3/$I213,0),ROUNDUP(($B$3+$I213)/$I213,0)),IF($B$6="No",ROUNDUP($B$4/$G213,0),ROUNDUP(($B$4+$G213)/$G213,0)),ROUNDUP('BVMS checklist'!$H$217/$J213,0))&gt;1,'BVMS checklist'!$H$224,'BVMS checklist'!$H$217)</f>
        <v>0</v>
      </c>
      <c r="N213" s="398">
        <f t="shared" ca="1" si="633"/>
        <v>2</v>
      </c>
      <c r="O213" s="400">
        <f t="shared" ca="1" si="660"/>
        <v>2</v>
      </c>
      <c r="P213" s="400">
        <f t="shared" ca="1" si="624"/>
        <v>2050</v>
      </c>
      <c r="Q213" s="400">
        <f t="shared" ca="1" si="625"/>
        <v>0</v>
      </c>
      <c r="R213" s="398">
        <f t="shared" ca="1" si="626"/>
        <v>275562</v>
      </c>
      <c r="S213" s="401" t="str">
        <f t="shared" ca="1" si="634"/>
        <v/>
      </c>
      <c r="T213" s="398">
        <f t="shared" ca="1" si="635"/>
        <v>512</v>
      </c>
      <c r="U213" s="400">
        <f ca="1">IF(MAX(IF($B$6="No",ROUNDUP($B$3/$I213,0),ROUNDUP(($B$3+$I213)/$I213,0)),IF($B$6="No",ROUNDUP($B$4/$G213,0),ROUNDUP(($B$4+$G213)/$G213,0)),ROUNDUP('BVMS checklist'!$H$217/$J213,0))&gt;1,'BVMS checklist'!$H$224,'BVMS checklist'!$H$217)+MAX(IF($B$6="No",ROUNDUP($B$3/$I213,0),ROUNDUP(($B$3+$I213)/$I213,0)),IF($B$6="No",ROUNDUP($B$4/$G213,0),ROUNDUP(($B$4+$G213)/$G213,0)))+$B$5</f>
        <v>1</v>
      </c>
      <c r="V213" s="400" t="b">
        <f t="shared" ca="1" si="627"/>
        <v>1</v>
      </c>
      <c r="W213" s="400" t="str">
        <f t="shared" ca="1" si="661"/>
        <v>Accepted</v>
      </c>
      <c r="X213" s="398" t="str">
        <f t="shared" ca="1" si="636"/>
        <v>No</v>
      </c>
      <c r="Y213" s="398" t="str">
        <f t="shared" ca="1" si="637"/>
        <v/>
      </c>
      <c r="Z213" s="398" t="str">
        <f t="shared" ca="1" si="638"/>
        <v/>
      </c>
      <c r="AA213" s="398">
        <f t="shared" ca="1" si="662"/>
        <v>6</v>
      </c>
      <c r="AB213" s="398">
        <f t="shared" ca="1" si="628"/>
        <v>2</v>
      </c>
      <c r="AC213" s="398">
        <f t="shared" ca="1" si="629"/>
        <v>320</v>
      </c>
      <c r="AD213" s="398">
        <f t="shared" ca="1" si="663"/>
        <v>275562</v>
      </c>
      <c r="AE213" s="399">
        <f t="shared" si="692"/>
        <v>0</v>
      </c>
      <c r="AF213" s="399">
        <f t="shared" si="693"/>
        <v>0</v>
      </c>
      <c r="AG213" s="483" t="str">
        <f t="shared" ca="1" si="639"/>
        <v/>
      </c>
      <c r="AH213" s="400">
        <f ca="1">IF(MAX(IF($C$6="No",ROUNDUP($C$3/$I213,0),ROUNDUP(($C$3+$I213)/$I213,0)),IF($C$6="No",ROUNDUP($C$4/$G213,0),ROUNDUP(($C$4+$G213)/$G213,0)),ROUNDUP('BVMS checklist'!$H$217/$J213,0))&gt;1,'BVMS checklist'!$J$224,'BVMS checklist'!$J$217)</f>
        <v>0</v>
      </c>
      <c r="AI213" s="398">
        <f t="shared" ca="1" si="640"/>
        <v>2</v>
      </c>
      <c r="AJ213" s="400">
        <f t="shared" ca="1" si="664"/>
        <v>2</v>
      </c>
      <c r="AK213" s="400">
        <f t="shared" ca="1" si="665"/>
        <v>2050</v>
      </c>
      <c r="AL213" s="400">
        <f t="shared" ca="1" si="666"/>
        <v>0</v>
      </c>
      <c r="AM213" s="398">
        <f t="shared" ca="1" si="667"/>
        <v>275562</v>
      </c>
      <c r="AN213" s="401" t="str">
        <f t="shared" ca="1" si="641"/>
        <v/>
      </c>
      <c r="AO213" s="398">
        <f t="shared" ca="1" si="668"/>
        <v>512</v>
      </c>
      <c r="AP213" s="400">
        <f ca="1">IF(MAX(IF($C$6="No",ROUNDUP($C$3/$I213,0),ROUNDUP(($C$3+$I213)/$I213,0)),IF($C$6="No",ROUNDUP($C$4/$G213,0),ROUNDUP(($C$4+$G213)/$G213,0)),ROUNDUP('BVMS checklist'!$H$217/$J213,0))&gt;1,'BVMS checklist'!$J$224,'BVMS checklist'!$J$217)+MAX(IF($C$6="No",ROUNDUP($C$3/$I213,0),ROUNDUP(($C$3+$I213)/$I213,0)),IF($C$6="No",ROUNDUP($C$4/$G213,0),ROUNDUP(($C$4+$G213)/$G213,0)))+$C$5</f>
        <v>1</v>
      </c>
      <c r="AQ213" s="400" t="b">
        <f t="shared" ca="1" si="630"/>
        <v>1</v>
      </c>
      <c r="AR213" s="400" t="str">
        <f t="shared" ca="1" si="669"/>
        <v>Accepted</v>
      </c>
      <c r="AS213" s="398" t="str">
        <f t="shared" ca="1" si="655"/>
        <v>No</v>
      </c>
      <c r="AT213" s="398" t="str">
        <f t="shared" ca="1" si="670"/>
        <v/>
      </c>
      <c r="AU213" s="398" t="str">
        <f t="shared" ca="1" si="642"/>
        <v/>
      </c>
      <c r="AV213" s="398">
        <f t="shared" ca="1" si="643"/>
        <v>6</v>
      </c>
      <c r="AW213" s="398">
        <f t="shared" ca="1" si="671"/>
        <v>2</v>
      </c>
      <c r="AX213" s="398">
        <f t="shared" ca="1" si="672"/>
        <v>320</v>
      </c>
      <c r="AY213" s="398">
        <f t="shared" ca="1" si="673"/>
        <v>275562</v>
      </c>
      <c r="AZ213" s="399">
        <f t="shared" si="694"/>
        <v>0</v>
      </c>
      <c r="BA213" s="399">
        <f t="shared" si="695"/>
        <v>0</v>
      </c>
      <c r="BB213" s="483" t="str">
        <f t="shared" ca="1" si="644"/>
        <v/>
      </c>
      <c r="BC213" s="400">
        <f ca="1">IF(MAX(IF($D$6="No",ROUNDUP($D$3/$I213,0),ROUNDUP(($D$3+$I213)/$I213,0)),IF($D$6="No",ROUNDUP($D$4/$G213,0),ROUNDUP(($D$4+$G213)/$G213,0)),ROUNDUP('BVMS checklist'!$H$217/$J213,0))&gt;1,'BVMS checklist'!$L$224,'BVMS checklist'!$L$217)</f>
        <v>0</v>
      </c>
      <c r="BD213" s="398">
        <f t="shared" ca="1" si="645"/>
        <v>2</v>
      </c>
      <c r="BE213" s="400">
        <f t="shared" si="674"/>
        <v>1</v>
      </c>
      <c r="BF213" s="400">
        <f t="shared" si="675"/>
        <v>1025</v>
      </c>
      <c r="BG213" s="400">
        <f t="shared" ca="1" si="656"/>
        <v>0</v>
      </c>
      <c r="BH213" s="398">
        <f t="shared" ca="1" si="676"/>
        <v>275562</v>
      </c>
      <c r="BI213" s="401" t="str">
        <f t="shared" ca="1" si="646"/>
        <v/>
      </c>
      <c r="BJ213" s="398">
        <f t="shared" ca="1" si="677"/>
        <v>512</v>
      </c>
      <c r="BK213" s="400">
        <f ca="1">IF(MAX(IF($D$6="No",ROUNDUP($D$3/$I213,0),ROUNDUP(($D$3+$I213)/$I213,0)),IF($D$6="No",ROUNDUP($D$4/$G213,0),ROUNDUP(($D$4+$G213)/$G213,0)),ROUNDUP('BVMS checklist'!$H$217/$J213,0))&gt;1,'BVMS checklist'!$L$224,'BVMS checklist'!$L$217)+MAX(IF($D$6="No",ROUNDUP($D$3/$I213,0),ROUNDUP(($D$3+$I213)/$I213,0)),IF($D$6="No",ROUNDUP($D$4/$G213,0),ROUNDUP(($D$4+$G213)/$G213,0)))+$D$5</f>
        <v>1</v>
      </c>
      <c r="BL213" s="400" t="b">
        <f t="shared" ca="1" si="631"/>
        <v>1</v>
      </c>
      <c r="BM213" s="400" t="str">
        <f t="shared" ca="1" si="678"/>
        <v>Accepted</v>
      </c>
      <c r="BN213" s="398" t="str">
        <f t="shared" ca="1" si="657"/>
        <v>No</v>
      </c>
      <c r="BO213" s="398" t="str">
        <f t="shared" ca="1" si="679"/>
        <v/>
      </c>
      <c r="BP213" s="398" t="str">
        <f t="shared" ca="1" si="647"/>
        <v/>
      </c>
      <c r="BQ213" s="398">
        <f t="shared" ca="1" si="648"/>
        <v>6</v>
      </c>
      <c r="BR213" s="398">
        <f t="shared" ca="1" si="680"/>
        <v>2</v>
      </c>
      <c r="BS213" s="398">
        <f t="shared" ca="1" si="681"/>
        <v>320</v>
      </c>
      <c r="BT213" s="398">
        <f t="shared" ca="1" si="682"/>
        <v>275562</v>
      </c>
      <c r="BU213" s="399">
        <f t="shared" si="696"/>
        <v>0</v>
      </c>
      <c r="BV213" s="399">
        <f t="shared" si="697"/>
        <v>0</v>
      </c>
      <c r="BW213" s="483" t="str">
        <f t="shared" ca="1" si="649"/>
        <v/>
      </c>
      <c r="BX213" s="400">
        <f ca="1">IF(MAX(IF($E$6="No",ROUNDUP($E$3/$I213,0),ROUNDUP(($E$3+$I213)/$I213,0)),IF($E$6="No",ROUNDUP($E$4/$G213,0),ROUNDUP(($E$4+$G213)/$G213,0)),ROUNDUP('BVMS checklist'!$H$217/$J213,0))&gt;1,'BVMS checklist'!$N$224,'BVMS checklist'!$N$217)</f>
        <v>0</v>
      </c>
      <c r="BY213" s="398">
        <f t="shared" ca="1" si="650"/>
        <v>2</v>
      </c>
      <c r="BZ213" s="400">
        <f t="shared" ca="1" si="683"/>
        <v>2</v>
      </c>
      <c r="CA213" s="400">
        <f t="shared" ca="1" si="684"/>
        <v>2050</v>
      </c>
      <c r="CB213" s="400">
        <f t="shared" ca="1" si="658"/>
        <v>0</v>
      </c>
      <c r="CC213" s="398">
        <f t="shared" ca="1" si="685"/>
        <v>275562</v>
      </c>
      <c r="CD213" s="401" t="str">
        <f t="shared" ca="1" si="651"/>
        <v/>
      </c>
      <c r="CE213" s="398">
        <f t="shared" ca="1" si="686"/>
        <v>512</v>
      </c>
      <c r="CF213" s="400">
        <f ca="1">IF(MAX(IF($E$6="No",ROUNDUP($E$3/$I213,0),ROUNDUP(($E$3+$I213)/$I213,0)),IF($E$6="No",ROUNDUP($E$4/$G213,0),ROUNDUP(($E$4+$G213)/$G213,0)),ROUNDUP('BVMS checklist'!$H$217/$J213,0))&gt;1,'BVMS checklist'!$N$224,'BVMS checklist'!$N$217)+MAX(IF($E$6="No",ROUNDUP($E$3/$I213,0),ROUNDUP(($E$3+$I213)/$I213,0)),IF($E$6="No",ROUNDUP($E$4/$G213,0),ROUNDUP(($E$4+$G213)/$G213,0)))+$E$5</f>
        <v>1</v>
      </c>
      <c r="CG213" s="400" t="b">
        <f t="shared" ca="1" si="632"/>
        <v>1</v>
      </c>
      <c r="CH213" s="400" t="str">
        <f t="shared" ca="1" si="687"/>
        <v>Accepted</v>
      </c>
      <c r="CI213" s="398" t="str">
        <f t="shared" ca="1" si="659"/>
        <v>No</v>
      </c>
      <c r="CJ213" s="398" t="str">
        <f t="shared" ca="1" si="688"/>
        <v/>
      </c>
      <c r="CK213" s="398" t="str">
        <f t="shared" ca="1" si="652"/>
        <v/>
      </c>
      <c r="CL213" s="398">
        <f t="shared" ca="1" si="653"/>
        <v>6</v>
      </c>
      <c r="CM213" s="398">
        <f t="shared" ca="1" si="689"/>
        <v>2</v>
      </c>
      <c r="CN213" s="398">
        <f t="shared" ca="1" si="690"/>
        <v>320</v>
      </c>
      <c r="CO213" s="398">
        <f t="shared" ca="1" si="691"/>
        <v>275562</v>
      </c>
      <c r="CP213" s="399">
        <f t="shared" si="698"/>
        <v>0</v>
      </c>
      <c r="CQ213" s="399">
        <f t="shared" si="699"/>
        <v>0</v>
      </c>
      <c r="CR213" s="483" t="str">
        <f t="shared" ca="1" si="654"/>
        <v/>
      </c>
      <c r="CS213"/>
    </row>
    <row r="214" spans="1:97">
      <c r="A214" s="398" t="s">
        <v>448</v>
      </c>
      <c r="B214" s="398" t="s">
        <v>987</v>
      </c>
      <c r="C214" s="440" t="s">
        <v>891</v>
      </c>
      <c r="D214" s="398">
        <v>3</v>
      </c>
      <c r="E214" s="398"/>
      <c r="F214" s="440">
        <v>0</v>
      </c>
      <c r="G214" s="398">
        <f>IF(C214="RAID5",(((15-F214)*7448))+(2*(((7-F214)*3723))),(((14-F214)*7448))+(2*(((6-F214)*3723))))</f>
        <v>163842</v>
      </c>
      <c r="H214" s="399">
        <v>192</v>
      </c>
      <c r="I214" s="399">
        <v>1575</v>
      </c>
      <c r="J214" s="399">
        <v>384</v>
      </c>
      <c r="K214" s="399"/>
      <c r="L214" s="399"/>
      <c r="M214" s="400">
        <f ca="1">IF(MAX(IF($B$6="No",ROUNDUP($B$3/$I214,0),ROUNDUP(($B$3+$I214)/$I214,0)),IF($B$6="No",ROUNDUP($B$4/$G214,0),ROUNDUP(($B$4+$G214)/$G214,0)),ROUNDUP('BVMS checklist'!$H$217/$J214,0))&gt;1,'BVMS checklist'!$H$224,'BVMS checklist'!$H$217)</f>
        <v>0</v>
      </c>
      <c r="N214" s="398">
        <f t="shared" ca="1" si="633"/>
        <v>2</v>
      </c>
      <c r="O214" s="400">
        <f t="shared" ca="1" si="660"/>
        <v>2</v>
      </c>
      <c r="P214" s="400">
        <f t="shared" ca="1" si="624"/>
        <v>3150</v>
      </c>
      <c r="Q214" s="400">
        <f t="shared" ca="1" si="625"/>
        <v>0</v>
      </c>
      <c r="R214" s="398">
        <f t="shared" ca="1" si="626"/>
        <v>327684</v>
      </c>
      <c r="S214" s="401" t="str">
        <f t="shared" ca="1" si="634"/>
        <v/>
      </c>
      <c r="T214" s="398">
        <f t="shared" ca="1" si="635"/>
        <v>768</v>
      </c>
      <c r="U214" s="400">
        <f ca="1">IF(MAX(IF($B$6="No",ROUNDUP($B$3/$I214,0),ROUNDUP(($B$3+$I214)/$I214,0)),IF($B$6="No",ROUNDUP($B$4/$G214,0),ROUNDUP(($B$4+$G214)/$G214,0)),ROUNDUP('BVMS checklist'!$H$217/$J214,0))&gt;1,'BVMS checklist'!$H$224,'BVMS checklist'!$H$217)+MAX(IF($B$6="No",ROUNDUP($B$3/$I214,0),ROUNDUP(($B$3+$I214)/$I214,0)),IF($B$6="No",ROUNDUP($B$4/$G214,0),ROUNDUP(($B$4+$G214)/$G214,0)))+$B$5</f>
        <v>1</v>
      </c>
      <c r="V214" s="400" t="b">
        <f t="shared" ca="1" si="627"/>
        <v>1</v>
      </c>
      <c r="W214" s="400" t="str">
        <f t="shared" ca="1" si="661"/>
        <v>Accepted</v>
      </c>
      <c r="X214" s="398" t="str">
        <f t="shared" ca="1" si="636"/>
        <v>No</v>
      </c>
      <c r="Y214" s="398" t="str">
        <f t="shared" ca="1" si="637"/>
        <v/>
      </c>
      <c r="Z214" s="398" t="str">
        <f t="shared" ca="1" si="638"/>
        <v/>
      </c>
      <c r="AA214" s="398">
        <f t="shared" ca="1" si="662"/>
        <v>6</v>
      </c>
      <c r="AB214" s="398">
        <f t="shared" ca="1" si="628"/>
        <v>2</v>
      </c>
      <c r="AC214" s="398">
        <f t="shared" ca="1" si="629"/>
        <v>384</v>
      </c>
      <c r="AD214" s="398">
        <f t="shared" ca="1" si="663"/>
        <v>327684</v>
      </c>
      <c r="AE214" s="399">
        <f t="shared" si="692"/>
        <v>0</v>
      </c>
      <c r="AF214" s="399">
        <f t="shared" si="693"/>
        <v>0</v>
      </c>
      <c r="AG214" s="483" t="str">
        <f t="shared" ca="1" si="639"/>
        <v/>
      </c>
      <c r="AH214" s="400">
        <f ca="1">IF(MAX(IF($C$6="No",ROUNDUP($C$3/$I214,0),ROUNDUP(($C$3+$I214)/$I214,0)),IF($C$6="No",ROUNDUP($C$4/$G214,0),ROUNDUP(($C$4+$G214)/$G214,0)),ROUNDUP('BVMS checklist'!$H$217/$J214,0))&gt;1,'BVMS checklist'!$J$224,'BVMS checklist'!$J$217)</f>
        <v>0</v>
      </c>
      <c r="AI214" s="398">
        <f t="shared" ca="1" si="640"/>
        <v>2</v>
      </c>
      <c r="AJ214" s="400">
        <f t="shared" ca="1" si="664"/>
        <v>2</v>
      </c>
      <c r="AK214" s="400">
        <f t="shared" ca="1" si="665"/>
        <v>3150</v>
      </c>
      <c r="AL214" s="400">
        <f t="shared" ca="1" si="666"/>
        <v>0</v>
      </c>
      <c r="AM214" s="398">
        <f t="shared" ca="1" si="667"/>
        <v>327684</v>
      </c>
      <c r="AN214" s="401" t="str">
        <f t="shared" ca="1" si="641"/>
        <v/>
      </c>
      <c r="AO214" s="398">
        <f t="shared" ca="1" si="668"/>
        <v>768</v>
      </c>
      <c r="AP214" s="400">
        <f ca="1">IF(MAX(IF($C$6="No",ROUNDUP($C$3/$I214,0),ROUNDUP(($C$3+$I214)/$I214,0)),IF($C$6="No",ROUNDUP($C$4/$G214,0),ROUNDUP(($C$4+$G214)/$G214,0)),ROUNDUP('BVMS checklist'!$H$217/$J214,0))&gt;1,'BVMS checklist'!$J$224,'BVMS checklist'!$J$217)+MAX(IF($C$6="No",ROUNDUP($C$3/$I214,0),ROUNDUP(($C$3+$I214)/$I214,0)),IF($C$6="No",ROUNDUP($C$4/$G214,0),ROUNDUP(($C$4+$G214)/$G214,0)))+$C$5</f>
        <v>1</v>
      </c>
      <c r="AQ214" s="400" t="b">
        <f t="shared" ca="1" si="630"/>
        <v>1</v>
      </c>
      <c r="AR214" s="400" t="str">
        <f t="shared" ca="1" si="669"/>
        <v>Accepted</v>
      </c>
      <c r="AS214" s="398" t="str">
        <f t="shared" ca="1" si="655"/>
        <v>No</v>
      </c>
      <c r="AT214" s="398" t="str">
        <f t="shared" ca="1" si="670"/>
        <v/>
      </c>
      <c r="AU214" s="398" t="str">
        <f t="shared" ca="1" si="642"/>
        <v/>
      </c>
      <c r="AV214" s="398">
        <f t="shared" ca="1" si="643"/>
        <v>6</v>
      </c>
      <c r="AW214" s="398">
        <f t="shared" ca="1" si="671"/>
        <v>2</v>
      </c>
      <c r="AX214" s="398">
        <f t="shared" ca="1" si="672"/>
        <v>384</v>
      </c>
      <c r="AY214" s="398">
        <f t="shared" ca="1" si="673"/>
        <v>327684</v>
      </c>
      <c r="AZ214" s="399">
        <f t="shared" si="694"/>
        <v>0</v>
      </c>
      <c r="BA214" s="399">
        <f t="shared" si="695"/>
        <v>0</v>
      </c>
      <c r="BB214" s="483" t="str">
        <f t="shared" ca="1" si="644"/>
        <v/>
      </c>
      <c r="BC214" s="400">
        <f ca="1">IF(MAX(IF($D$6="No",ROUNDUP($D$3/$I214,0),ROUNDUP(($D$3+$I214)/$I214,0)),IF($D$6="No",ROUNDUP($D$4/$G214,0),ROUNDUP(($D$4+$G214)/$G214,0)),ROUNDUP('BVMS checklist'!$H$217/$J214,0))&gt;1,'BVMS checklist'!$L$224,'BVMS checklist'!$L$217)</f>
        <v>0</v>
      </c>
      <c r="BD214" s="398">
        <f t="shared" ca="1" si="645"/>
        <v>2</v>
      </c>
      <c r="BE214" s="400">
        <f t="shared" si="674"/>
        <v>1</v>
      </c>
      <c r="BF214" s="400">
        <f t="shared" si="675"/>
        <v>1575</v>
      </c>
      <c r="BG214" s="400">
        <f t="shared" ca="1" si="656"/>
        <v>0</v>
      </c>
      <c r="BH214" s="398">
        <f t="shared" ca="1" si="676"/>
        <v>327684</v>
      </c>
      <c r="BI214" s="401" t="str">
        <f t="shared" ca="1" si="646"/>
        <v/>
      </c>
      <c r="BJ214" s="398">
        <f t="shared" ca="1" si="677"/>
        <v>768</v>
      </c>
      <c r="BK214" s="400">
        <f ca="1">IF(MAX(IF($D$6="No",ROUNDUP($D$3/$I214,0),ROUNDUP(($D$3+$I214)/$I214,0)),IF($D$6="No",ROUNDUP($D$4/$G214,0),ROUNDUP(($D$4+$G214)/$G214,0)),ROUNDUP('BVMS checklist'!$H$217/$J214,0))&gt;1,'BVMS checklist'!$L$224,'BVMS checklist'!$L$217)+MAX(IF($D$6="No",ROUNDUP($D$3/$I214,0),ROUNDUP(($D$3+$I214)/$I214,0)),IF($D$6="No",ROUNDUP($D$4/$G214,0),ROUNDUP(($D$4+$G214)/$G214,0)))+$D$5</f>
        <v>1</v>
      </c>
      <c r="BL214" s="400" t="b">
        <f t="shared" ca="1" si="631"/>
        <v>1</v>
      </c>
      <c r="BM214" s="400" t="str">
        <f t="shared" ca="1" si="678"/>
        <v>Accepted</v>
      </c>
      <c r="BN214" s="398" t="str">
        <f t="shared" ca="1" si="657"/>
        <v>No</v>
      </c>
      <c r="BO214" s="398" t="str">
        <f t="shared" ca="1" si="679"/>
        <v/>
      </c>
      <c r="BP214" s="398" t="str">
        <f t="shared" ca="1" si="647"/>
        <v/>
      </c>
      <c r="BQ214" s="398">
        <f t="shared" ca="1" si="648"/>
        <v>6</v>
      </c>
      <c r="BR214" s="398">
        <f t="shared" ca="1" si="680"/>
        <v>2</v>
      </c>
      <c r="BS214" s="398">
        <f t="shared" ca="1" si="681"/>
        <v>384</v>
      </c>
      <c r="BT214" s="398">
        <f t="shared" ca="1" si="682"/>
        <v>327684</v>
      </c>
      <c r="BU214" s="399">
        <f t="shared" si="696"/>
        <v>0</v>
      </c>
      <c r="BV214" s="399">
        <f t="shared" si="697"/>
        <v>0</v>
      </c>
      <c r="BW214" s="483" t="str">
        <f t="shared" ca="1" si="649"/>
        <v/>
      </c>
      <c r="BX214" s="400">
        <f ca="1">IF(MAX(IF($E$6="No",ROUNDUP($E$3/$I214,0),ROUNDUP(($E$3+$I214)/$I214,0)),IF($E$6="No",ROUNDUP($E$4/$G214,0),ROUNDUP(($E$4+$G214)/$G214,0)),ROUNDUP('BVMS checklist'!$H$217/$J214,0))&gt;1,'BVMS checklist'!$N$224,'BVMS checklist'!$N$217)</f>
        <v>0</v>
      </c>
      <c r="BY214" s="398">
        <f t="shared" ca="1" si="650"/>
        <v>2</v>
      </c>
      <c r="BZ214" s="400">
        <f t="shared" ca="1" si="683"/>
        <v>2</v>
      </c>
      <c r="CA214" s="400">
        <f t="shared" ca="1" si="684"/>
        <v>3150</v>
      </c>
      <c r="CB214" s="400">
        <f t="shared" ca="1" si="658"/>
        <v>0</v>
      </c>
      <c r="CC214" s="398">
        <f t="shared" ca="1" si="685"/>
        <v>327684</v>
      </c>
      <c r="CD214" s="401" t="str">
        <f t="shared" ca="1" si="651"/>
        <v/>
      </c>
      <c r="CE214" s="398">
        <f t="shared" ca="1" si="686"/>
        <v>768</v>
      </c>
      <c r="CF214" s="400">
        <f ca="1">IF(MAX(IF($E$6="No",ROUNDUP($E$3/$I214,0),ROUNDUP(($E$3+$I214)/$I214,0)),IF($E$6="No",ROUNDUP($E$4/$G214,0),ROUNDUP(($E$4+$G214)/$G214,0)),ROUNDUP('BVMS checklist'!$H$217/$J214,0))&gt;1,'BVMS checklist'!$N$224,'BVMS checklist'!$N$217)+MAX(IF($E$6="No",ROUNDUP($E$3/$I214,0),ROUNDUP(($E$3+$I214)/$I214,0)),IF($E$6="No",ROUNDUP($E$4/$G214,0),ROUNDUP(($E$4+$G214)/$G214,0)))+$E$5</f>
        <v>1</v>
      </c>
      <c r="CG214" s="400" t="b">
        <f t="shared" ca="1" si="632"/>
        <v>1</v>
      </c>
      <c r="CH214" s="400" t="str">
        <f t="shared" ca="1" si="687"/>
        <v>Accepted</v>
      </c>
      <c r="CI214" s="398" t="str">
        <f t="shared" ca="1" si="659"/>
        <v>No</v>
      </c>
      <c r="CJ214" s="398" t="str">
        <f t="shared" ca="1" si="688"/>
        <v/>
      </c>
      <c r="CK214" s="398" t="str">
        <f t="shared" ca="1" si="652"/>
        <v/>
      </c>
      <c r="CL214" s="398">
        <f t="shared" ca="1" si="653"/>
        <v>6</v>
      </c>
      <c r="CM214" s="398">
        <f t="shared" ca="1" si="689"/>
        <v>2</v>
      </c>
      <c r="CN214" s="398">
        <f t="shared" ca="1" si="690"/>
        <v>384</v>
      </c>
      <c r="CO214" s="398">
        <f t="shared" ca="1" si="691"/>
        <v>327684</v>
      </c>
      <c r="CP214" s="399">
        <f t="shared" si="698"/>
        <v>0</v>
      </c>
      <c r="CQ214" s="399">
        <f t="shared" si="699"/>
        <v>0</v>
      </c>
      <c r="CR214" s="483" t="str">
        <f t="shared" ca="1" si="654"/>
        <v/>
      </c>
      <c r="CS214"/>
    </row>
    <row r="215" spans="1:97">
      <c r="A215" s="398" t="s">
        <v>449</v>
      </c>
      <c r="B215" s="398" t="s">
        <v>987</v>
      </c>
      <c r="C215" s="440" t="s">
        <v>891</v>
      </c>
      <c r="D215" s="398">
        <v>4</v>
      </c>
      <c r="E215" s="398"/>
      <c r="F215" s="440">
        <v>0</v>
      </c>
      <c r="G215" s="398">
        <f>IF(C215="RAID5",(((15-F215)*7448))+(3*(((7-F215)*3723))),(((14-F215)*7448))+(3*(((6-F215)*3723))))</f>
        <v>189903</v>
      </c>
      <c r="H215" s="399">
        <v>224</v>
      </c>
      <c r="I215" s="399">
        <v>2125</v>
      </c>
      <c r="J215" s="399">
        <v>512</v>
      </c>
      <c r="K215" s="399"/>
      <c r="L215" s="399"/>
      <c r="M215" s="400">
        <f ca="1">IF(MAX(IF($B$6="No",ROUNDUP($B$3/$I215,0),ROUNDUP(($B$3+$I215)/$I215,0)),IF($B$6="No",ROUNDUP($B$4/$G215,0),ROUNDUP(($B$4+$G215)/$G215,0)),ROUNDUP('BVMS checklist'!$H$217/$J215,0))&gt;1,'BVMS checklist'!$H$224,'BVMS checklist'!$H$217)</f>
        <v>0</v>
      </c>
      <c r="N215" s="398">
        <f t="shared" ca="1" si="633"/>
        <v>2</v>
      </c>
      <c r="O215" s="400">
        <f t="shared" ca="1" si="660"/>
        <v>2</v>
      </c>
      <c r="P215" s="400">
        <f t="shared" ca="1" si="624"/>
        <v>4250</v>
      </c>
      <c r="Q215" s="400">
        <f t="shared" ca="1" si="625"/>
        <v>0</v>
      </c>
      <c r="R215" s="398">
        <f t="shared" ca="1" si="626"/>
        <v>379806</v>
      </c>
      <c r="S215" s="401" t="str">
        <f t="shared" ca="1" si="634"/>
        <v/>
      </c>
      <c r="T215" s="398">
        <f t="shared" ca="1" si="635"/>
        <v>1024</v>
      </c>
      <c r="U215" s="400">
        <f ca="1">IF(MAX(IF($B$6="No",ROUNDUP($B$3/$I215,0),ROUNDUP(($B$3+$I215)/$I215,0)),IF($B$6="No",ROUNDUP($B$4/$G215,0),ROUNDUP(($B$4+$G215)/$G215,0)),ROUNDUP('BVMS checklist'!$H$217/$J215,0))&gt;1,'BVMS checklist'!$H$224,'BVMS checklist'!$H$217)+MAX(IF($B$6="No",ROUNDUP($B$3/$I215,0),ROUNDUP(($B$3+$I215)/$I215,0)),IF($B$6="No",ROUNDUP($B$4/$G215,0),ROUNDUP(($B$4+$G215)/$G215,0)))+$B$5</f>
        <v>1</v>
      </c>
      <c r="V215" s="400" t="b">
        <f t="shared" ca="1" si="627"/>
        <v>1</v>
      </c>
      <c r="W215" s="400" t="str">
        <f t="shared" ca="1" si="661"/>
        <v>Accepted</v>
      </c>
      <c r="X215" s="398" t="str">
        <f t="shared" ca="1" si="636"/>
        <v>No</v>
      </c>
      <c r="Y215" s="398" t="str">
        <f t="shared" ca="1" si="637"/>
        <v/>
      </c>
      <c r="Z215" s="398" t="str">
        <f t="shared" ca="1" si="638"/>
        <v/>
      </c>
      <c r="AA215" s="398">
        <f t="shared" ca="1" si="662"/>
        <v>6</v>
      </c>
      <c r="AB215" s="398">
        <f t="shared" ca="1" si="628"/>
        <v>2</v>
      </c>
      <c r="AC215" s="398">
        <f t="shared" ca="1" si="629"/>
        <v>448</v>
      </c>
      <c r="AD215" s="398">
        <f t="shared" ca="1" si="663"/>
        <v>379806</v>
      </c>
      <c r="AE215" s="399">
        <f t="shared" si="692"/>
        <v>0</v>
      </c>
      <c r="AF215" s="399">
        <f t="shared" si="693"/>
        <v>0</v>
      </c>
      <c r="AG215" s="483" t="str">
        <f t="shared" ca="1" si="639"/>
        <v/>
      </c>
      <c r="AH215" s="400">
        <f ca="1">IF(MAX(IF($C$6="No",ROUNDUP($C$3/$I215,0),ROUNDUP(($C$3+$I215)/$I215,0)),IF($C$6="No",ROUNDUP($C$4/$G215,0),ROUNDUP(($C$4+$G215)/$G215,0)),ROUNDUP('BVMS checklist'!$H$217/$J215,0))&gt;1,'BVMS checklist'!$J$224,'BVMS checklist'!$J$217)</f>
        <v>0</v>
      </c>
      <c r="AI215" s="398">
        <f t="shared" ca="1" si="640"/>
        <v>2</v>
      </c>
      <c r="AJ215" s="400">
        <f t="shared" ca="1" si="664"/>
        <v>2</v>
      </c>
      <c r="AK215" s="400">
        <f t="shared" ca="1" si="665"/>
        <v>4250</v>
      </c>
      <c r="AL215" s="400">
        <f t="shared" ca="1" si="666"/>
        <v>0</v>
      </c>
      <c r="AM215" s="398">
        <f t="shared" ca="1" si="667"/>
        <v>379806</v>
      </c>
      <c r="AN215" s="401" t="str">
        <f t="shared" ca="1" si="641"/>
        <v/>
      </c>
      <c r="AO215" s="398">
        <f t="shared" ca="1" si="668"/>
        <v>1024</v>
      </c>
      <c r="AP215" s="400">
        <f ca="1">IF(MAX(IF($C$6="No",ROUNDUP($C$3/$I215,0),ROUNDUP(($C$3+$I215)/$I215,0)),IF($C$6="No",ROUNDUP($C$4/$G215,0),ROUNDUP(($C$4+$G215)/$G215,0)),ROUNDUP('BVMS checklist'!$H$217/$J215,0))&gt;1,'BVMS checklist'!$J$224,'BVMS checklist'!$J$217)+MAX(IF($C$6="No",ROUNDUP($C$3/$I215,0),ROUNDUP(($C$3+$I215)/$I215,0)),IF($C$6="No",ROUNDUP($C$4/$G215,0),ROUNDUP(($C$4+$G215)/$G215,0)))+$C$5</f>
        <v>1</v>
      </c>
      <c r="AQ215" s="400" t="b">
        <f t="shared" ca="1" si="630"/>
        <v>1</v>
      </c>
      <c r="AR215" s="400" t="str">
        <f t="shared" ca="1" si="669"/>
        <v>Accepted</v>
      </c>
      <c r="AS215" s="398" t="str">
        <f t="shared" ca="1" si="655"/>
        <v>No</v>
      </c>
      <c r="AT215" s="398" t="str">
        <f t="shared" ca="1" si="670"/>
        <v/>
      </c>
      <c r="AU215" s="398" t="str">
        <f t="shared" ca="1" si="642"/>
        <v/>
      </c>
      <c r="AV215" s="398">
        <f t="shared" ca="1" si="643"/>
        <v>6</v>
      </c>
      <c r="AW215" s="398">
        <f t="shared" ca="1" si="671"/>
        <v>2</v>
      </c>
      <c r="AX215" s="398">
        <f t="shared" ca="1" si="672"/>
        <v>448</v>
      </c>
      <c r="AY215" s="398">
        <f t="shared" ca="1" si="673"/>
        <v>379806</v>
      </c>
      <c r="AZ215" s="399">
        <f t="shared" si="694"/>
        <v>0</v>
      </c>
      <c r="BA215" s="399">
        <f t="shared" si="695"/>
        <v>0</v>
      </c>
      <c r="BB215" s="483" t="str">
        <f t="shared" ca="1" si="644"/>
        <v/>
      </c>
      <c r="BC215" s="400">
        <f ca="1">IF(MAX(IF($D$6="No",ROUNDUP($D$3/$I215,0),ROUNDUP(($D$3+$I215)/$I215,0)),IF($D$6="No",ROUNDUP($D$4/$G215,0),ROUNDUP(($D$4+$G215)/$G215,0)),ROUNDUP('BVMS checklist'!$H$217/$J215,0))&gt;1,'BVMS checklist'!$L$224,'BVMS checklist'!$L$217)</f>
        <v>0</v>
      </c>
      <c r="BD215" s="398">
        <f t="shared" ca="1" si="645"/>
        <v>2</v>
      </c>
      <c r="BE215" s="400">
        <f t="shared" si="674"/>
        <v>1</v>
      </c>
      <c r="BF215" s="400">
        <f t="shared" si="675"/>
        <v>2125</v>
      </c>
      <c r="BG215" s="400">
        <f t="shared" ca="1" si="656"/>
        <v>0</v>
      </c>
      <c r="BH215" s="398">
        <f t="shared" ca="1" si="676"/>
        <v>379806</v>
      </c>
      <c r="BI215" s="401" t="str">
        <f t="shared" ca="1" si="646"/>
        <v/>
      </c>
      <c r="BJ215" s="398">
        <f t="shared" ca="1" si="677"/>
        <v>1024</v>
      </c>
      <c r="BK215" s="400">
        <f ca="1">IF(MAX(IF($D$6="No",ROUNDUP($D$3/$I215,0),ROUNDUP(($D$3+$I215)/$I215,0)),IF($D$6="No",ROUNDUP($D$4/$G215,0),ROUNDUP(($D$4+$G215)/$G215,0)),ROUNDUP('BVMS checklist'!$H$217/$J215,0))&gt;1,'BVMS checklist'!$L$224,'BVMS checklist'!$L$217)+MAX(IF($D$6="No",ROUNDUP($D$3/$I215,0),ROUNDUP(($D$3+$I215)/$I215,0)),IF($D$6="No",ROUNDUP($D$4/$G215,0),ROUNDUP(($D$4+$G215)/$G215,0)))+$D$5</f>
        <v>1</v>
      </c>
      <c r="BL215" s="400" t="b">
        <f t="shared" ca="1" si="631"/>
        <v>1</v>
      </c>
      <c r="BM215" s="400" t="str">
        <f t="shared" ca="1" si="678"/>
        <v>Accepted</v>
      </c>
      <c r="BN215" s="398" t="str">
        <f t="shared" ca="1" si="657"/>
        <v>No</v>
      </c>
      <c r="BO215" s="398" t="str">
        <f t="shared" ca="1" si="679"/>
        <v/>
      </c>
      <c r="BP215" s="398" t="str">
        <f t="shared" ca="1" si="647"/>
        <v/>
      </c>
      <c r="BQ215" s="398">
        <f t="shared" ca="1" si="648"/>
        <v>6</v>
      </c>
      <c r="BR215" s="398">
        <f t="shared" ca="1" si="680"/>
        <v>2</v>
      </c>
      <c r="BS215" s="398">
        <f t="shared" ca="1" si="681"/>
        <v>448</v>
      </c>
      <c r="BT215" s="398">
        <f t="shared" ca="1" si="682"/>
        <v>379806</v>
      </c>
      <c r="BU215" s="399">
        <f t="shared" si="696"/>
        <v>0</v>
      </c>
      <c r="BV215" s="399">
        <f t="shared" si="697"/>
        <v>0</v>
      </c>
      <c r="BW215" s="483" t="str">
        <f t="shared" ca="1" si="649"/>
        <v/>
      </c>
      <c r="BX215" s="400">
        <f ca="1">IF(MAX(IF($E$6="No",ROUNDUP($E$3/$I215,0),ROUNDUP(($E$3+$I215)/$I215,0)),IF($E$6="No",ROUNDUP($E$4/$G215,0),ROUNDUP(($E$4+$G215)/$G215,0)),ROUNDUP('BVMS checklist'!$H$217/$J215,0))&gt;1,'BVMS checklist'!$N$224,'BVMS checklist'!$N$217)</f>
        <v>0</v>
      </c>
      <c r="BY215" s="398">
        <f t="shared" ca="1" si="650"/>
        <v>2</v>
      </c>
      <c r="BZ215" s="400">
        <f t="shared" ca="1" si="683"/>
        <v>2</v>
      </c>
      <c r="CA215" s="400">
        <f t="shared" ca="1" si="684"/>
        <v>4250</v>
      </c>
      <c r="CB215" s="400">
        <f t="shared" ca="1" si="658"/>
        <v>0</v>
      </c>
      <c r="CC215" s="398">
        <f t="shared" ca="1" si="685"/>
        <v>379806</v>
      </c>
      <c r="CD215" s="401" t="str">
        <f t="shared" ca="1" si="651"/>
        <v/>
      </c>
      <c r="CE215" s="398">
        <f t="shared" ca="1" si="686"/>
        <v>1024</v>
      </c>
      <c r="CF215" s="400">
        <f ca="1">IF(MAX(IF($E$6="No",ROUNDUP($E$3/$I215,0),ROUNDUP(($E$3+$I215)/$I215,0)),IF($E$6="No",ROUNDUP($E$4/$G215,0),ROUNDUP(($E$4+$G215)/$G215,0)),ROUNDUP('BVMS checklist'!$H$217/$J215,0))&gt;1,'BVMS checklist'!$N$224,'BVMS checklist'!$N$217)+MAX(IF($E$6="No",ROUNDUP($E$3/$I215,0),ROUNDUP(($E$3+$I215)/$I215,0)),IF($E$6="No",ROUNDUP($E$4/$G215,0),ROUNDUP(($E$4+$G215)/$G215,0)))+$E$5</f>
        <v>1</v>
      </c>
      <c r="CG215" s="400" t="b">
        <f t="shared" ca="1" si="632"/>
        <v>1</v>
      </c>
      <c r="CH215" s="400" t="str">
        <f t="shared" ca="1" si="687"/>
        <v>Accepted</v>
      </c>
      <c r="CI215" s="398" t="str">
        <f t="shared" ca="1" si="659"/>
        <v>No</v>
      </c>
      <c r="CJ215" s="398" t="str">
        <f t="shared" ca="1" si="688"/>
        <v/>
      </c>
      <c r="CK215" s="398" t="str">
        <f t="shared" ca="1" si="652"/>
        <v/>
      </c>
      <c r="CL215" s="398">
        <f t="shared" ca="1" si="653"/>
        <v>6</v>
      </c>
      <c r="CM215" s="398">
        <f t="shared" ca="1" si="689"/>
        <v>2</v>
      </c>
      <c r="CN215" s="398">
        <f t="shared" ca="1" si="690"/>
        <v>448</v>
      </c>
      <c r="CO215" s="398">
        <f t="shared" ca="1" si="691"/>
        <v>379806</v>
      </c>
      <c r="CP215" s="399">
        <f t="shared" si="698"/>
        <v>0</v>
      </c>
      <c r="CQ215" s="399">
        <f t="shared" si="699"/>
        <v>0</v>
      </c>
      <c r="CR215" s="483" t="str">
        <f t="shared" ca="1" si="654"/>
        <v/>
      </c>
      <c r="CS215"/>
    </row>
    <row r="216" spans="1:97">
      <c r="A216" s="398" t="s">
        <v>450</v>
      </c>
      <c r="B216" s="398" t="s">
        <v>987</v>
      </c>
      <c r="C216" s="440" t="s">
        <v>891</v>
      </c>
      <c r="D216" s="398">
        <v>5</v>
      </c>
      <c r="E216" s="398"/>
      <c r="F216" s="440">
        <v>0</v>
      </c>
      <c r="G216" s="398">
        <f>IF(C216="RAID5",(((15-F216)*7448))+(4*(((7-F216)*3723))),(((14-F216)*7448))+(4*(((6-F216)*3723))))</f>
        <v>215964</v>
      </c>
      <c r="H216" s="399">
        <v>256</v>
      </c>
      <c r="I216" s="399">
        <v>2675</v>
      </c>
      <c r="J216" s="399">
        <v>640</v>
      </c>
      <c r="K216" s="399"/>
      <c r="L216" s="399"/>
      <c r="M216" s="400">
        <f ca="1">IF(MAX(IF($B$6="No",ROUNDUP($B$3/$I216,0),ROUNDUP(($B$3+$I216)/$I216,0)),IF($B$6="No",ROUNDUP($B$4/$G216,0),ROUNDUP(($B$4+$G216)/$G216,0)),ROUNDUP('BVMS checklist'!$H$217/$J216,0))&gt;1,'BVMS checklist'!$H$224,'BVMS checklist'!$H$217)</f>
        <v>0</v>
      </c>
      <c r="N216" s="398">
        <f t="shared" ca="1" si="633"/>
        <v>2</v>
      </c>
      <c r="O216" s="400">
        <f t="shared" ca="1" si="660"/>
        <v>2</v>
      </c>
      <c r="P216" s="400">
        <f t="shared" ca="1" si="624"/>
        <v>5350</v>
      </c>
      <c r="Q216" s="400">
        <f t="shared" ca="1" si="625"/>
        <v>0</v>
      </c>
      <c r="R216" s="398">
        <f t="shared" ca="1" si="626"/>
        <v>431928</v>
      </c>
      <c r="S216" s="401" t="str">
        <f t="shared" ca="1" si="634"/>
        <v/>
      </c>
      <c r="T216" s="398">
        <f t="shared" ca="1" si="635"/>
        <v>1280</v>
      </c>
      <c r="U216" s="400">
        <f ca="1">IF(MAX(IF($B$6="No",ROUNDUP($B$3/$I216,0),ROUNDUP(($B$3+$I216)/$I216,0)),IF($B$6="No",ROUNDUP($B$4/$G216,0),ROUNDUP(($B$4+$G216)/$G216,0)),ROUNDUP('BVMS checklist'!$H$217/$J216,0))&gt;1,'BVMS checklist'!$H$224,'BVMS checklist'!$H$217)+MAX(IF($B$6="No",ROUNDUP($B$3/$I216,0),ROUNDUP(($B$3+$I216)/$I216,0)),IF($B$6="No",ROUNDUP($B$4/$G216,0),ROUNDUP(($B$4+$G216)/$G216,0)))+$B$5</f>
        <v>1</v>
      </c>
      <c r="V216" s="400" t="b">
        <f t="shared" ca="1" si="627"/>
        <v>1</v>
      </c>
      <c r="W216" s="400" t="str">
        <f t="shared" ca="1" si="661"/>
        <v>Accepted</v>
      </c>
      <c r="X216" s="398" t="str">
        <f t="shared" ca="1" si="636"/>
        <v>No</v>
      </c>
      <c r="Y216" s="398" t="str">
        <f t="shared" ca="1" si="637"/>
        <v/>
      </c>
      <c r="Z216" s="398" t="str">
        <f t="shared" ca="1" si="638"/>
        <v/>
      </c>
      <c r="AA216" s="398">
        <f t="shared" ca="1" si="662"/>
        <v>6</v>
      </c>
      <c r="AB216" s="398">
        <f t="shared" ca="1" si="628"/>
        <v>2</v>
      </c>
      <c r="AC216" s="398">
        <f t="shared" ca="1" si="629"/>
        <v>512</v>
      </c>
      <c r="AD216" s="398">
        <f t="shared" ca="1" si="663"/>
        <v>431928</v>
      </c>
      <c r="AE216" s="399">
        <f t="shared" si="692"/>
        <v>0</v>
      </c>
      <c r="AF216" s="399">
        <f t="shared" si="693"/>
        <v>0</v>
      </c>
      <c r="AG216" s="483" t="str">
        <f t="shared" ca="1" si="639"/>
        <v/>
      </c>
      <c r="AH216" s="400">
        <f ca="1">IF(MAX(IF($C$6="No",ROUNDUP($C$3/$I216,0),ROUNDUP(($C$3+$I216)/$I216,0)),IF($C$6="No",ROUNDUP($C$4/$G216,0),ROUNDUP(($C$4+$G216)/$G216,0)),ROUNDUP('BVMS checklist'!$H$217/$J216,0))&gt;1,'BVMS checklist'!$J$224,'BVMS checklist'!$J$217)</f>
        <v>0</v>
      </c>
      <c r="AI216" s="398">
        <f t="shared" ca="1" si="640"/>
        <v>2</v>
      </c>
      <c r="AJ216" s="400">
        <f t="shared" ca="1" si="664"/>
        <v>2</v>
      </c>
      <c r="AK216" s="400">
        <f t="shared" ca="1" si="665"/>
        <v>5350</v>
      </c>
      <c r="AL216" s="400">
        <f t="shared" ca="1" si="666"/>
        <v>0</v>
      </c>
      <c r="AM216" s="398">
        <f t="shared" ca="1" si="667"/>
        <v>431928</v>
      </c>
      <c r="AN216" s="401" t="str">
        <f t="shared" ca="1" si="641"/>
        <v/>
      </c>
      <c r="AO216" s="398">
        <f t="shared" ca="1" si="668"/>
        <v>1280</v>
      </c>
      <c r="AP216" s="400">
        <f ca="1">IF(MAX(IF($C$6="No",ROUNDUP($C$3/$I216,0),ROUNDUP(($C$3+$I216)/$I216,0)),IF($C$6="No",ROUNDUP($C$4/$G216,0),ROUNDUP(($C$4+$G216)/$G216,0)),ROUNDUP('BVMS checklist'!$H$217/$J216,0))&gt;1,'BVMS checklist'!$J$224,'BVMS checklist'!$J$217)+MAX(IF($C$6="No",ROUNDUP($C$3/$I216,0),ROUNDUP(($C$3+$I216)/$I216,0)),IF($C$6="No",ROUNDUP($C$4/$G216,0),ROUNDUP(($C$4+$G216)/$G216,0)))+$C$5</f>
        <v>1</v>
      </c>
      <c r="AQ216" s="400" t="b">
        <f t="shared" ca="1" si="630"/>
        <v>1</v>
      </c>
      <c r="AR216" s="400" t="str">
        <f t="shared" ca="1" si="669"/>
        <v>Accepted</v>
      </c>
      <c r="AS216" s="398" t="str">
        <f t="shared" ca="1" si="655"/>
        <v>No</v>
      </c>
      <c r="AT216" s="398" t="str">
        <f t="shared" ca="1" si="670"/>
        <v/>
      </c>
      <c r="AU216" s="398" t="str">
        <f t="shared" ca="1" si="642"/>
        <v/>
      </c>
      <c r="AV216" s="398">
        <f t="shared" ca="1" si="643"/>
        <v>6</v>
      </c>
      <c r="AW216" s="398">
        <f t="shared" ca="1" si="671"/>
        <v>2</v>
      </c>
      <c r="AX216" s="398">
        <f t="shared" ca="1" si="672"/>
        <v>512</v>
      </c>
      <c r="AY216" s="398">
        <f t="shared" ca="1" si="673"/>
        <v>431928</v>
      </c>
      <c r="AZ216" s="399">
        <f t="shared" si="694"/>
        <v>0</v>
      </c>
      <c r="BA216" s="399">
        <f t="shared" si="695"/>
        <v>0</v>
      </c>
      <c r="BB216" s="483" t="str">
        <f t="shared" ca="1" si="644"/>
        <v/>
      </c>
      <c r="BC216" s="400">
        <f ca="1">IF(MAX(IF($D$6="No",ROUNDUP($D$3/$I216,0),ROUNDUP(($D$3+$I216)/$I216,0)),IF($D$6="No",ROUNDUP($D$4/$G216,0),ROUNDUP(($D$4+$G216)/$G216,0)),ROUNDUP('BVMS checklist'!$H$217/$J216,0))&gt;1,'BVMS checklist'!$L$224,'BVMS checklist'!$L$217)</f>
        <v>0</v>
      </c>
      <c r="BD216" s="398">
        <f t="shared" ca="1" si="645"/>
        <v>2</v>
      </c>
      <c r="BE216" s="400">
        <f t="shared" si="674"/>
        <v>1</v>
      </c>
      <c r="BF216" s="400">
        <f t="shared" si="675"/>
        <v>2675</v>
      </c>
      <c r="BG216" s="400">
        <f t="shared" ca="1" si="656"/>
        <v>0</v>
      </c>
      <c r="BH216" s="398">
        <f t="shared" ca="1" si="676"/>
        <v>431928</v>
      </c>
      <c r="BI216" s="401" t="str">
        <f t="shared" ca="1" si="646"/>
        <v/>
      </c>
      <c r="BJ216" s="398">
        <f t="shared" ca="1" si="677"/>
        <v>1280</v>
      </c>
      <c r="BK216" s="400">
        <f ca="1">IF(MAX(IF($D$6="No",ROUNDUP($D$3/$I216,0),ROUNDUP(($D$3+$I216)/$I216,0)),IF($D$6="No",ROUNDUP($D$4/$G216,0),ROUNDUP(($D$4+$G216)/$G216,0)),ROUNDUP('BVMS checklist'!$H$217/$J216,0))&gt;1,'BVMS checklist'!$L$224,'BVMS checklist'!$L$217)+MAX(IF($D$6="No",ROUNDUP($D$3/$I216,0),ROUNDUP(($D$3+$I216)/$I216,0)),IF($D$6="No",ROUNDUP($D$4/$G216,0),ROUNDUP(($D$4+$G216)/$G216,0)))+$D$5</f>
        <v>1</v>
      </c>
      <c r="BL216" s="400" t="b">
        <f t="shared" ca="1" si="631"/>
        <v>1</v>
      </c>
      <c r="BM216" s="400" t="str">
        <f t="shared" ca="1" si="678"/>
        <v>Accepted</v>
      </c>
      <c r="BN216" s="398" t="str">
        <f t="shared" ca="1" si="657"/>
        <v>No</v>
      </c>
      <c r="BO216" s="398" t="str">
        <f t="shared" ca="1" si="679"/>
        <v/>
      </c>
      <c r="BP216" s="398" t="str">
        <f t="shared" ca="1" si="647"/>
        <v/>
      </c>
      <c r="BQ216" s="398">
        <f t="shared" ca="1" si="648"/>
        <v>6</v>
      </c>
      <c r="BR216" s="398">
        <f t="shared" ca="1" si="680"/>
        <v>2</v>
      </c>
      <c r="BS216" s="398">
        <f t="shared" ca="1" si="681"/>
        <v>512</v>
      </c>
      <c r="BT216" s="398">
        <f t="shared" ca="1" si="682"/>
        <v>431928</v>
      </c>
      <c r="BU216" s="399">
        <f t="shared" si="696"/>
        <v>0</v>
      </c>
      <c r="BV216" s="399">
        <f t="shared" si="697"/>
        <v>0</v>
      </c>
      <c r="BW216" s="483" t="str">
        <f t="shared" ca="1" si="649"/>
        <v/>
      </c>
      <c r="BX216" s="400">
        <f ca="1">IF(MAX(IF($E$6="No",ROUNDUP($E$3/$I216,0),ROUNDUP(($E$3+$I216)/$I216,0)),IF($E$6="No",ROUNDUP($E$4/$G216,0),ROUNDUP(($E$4+$G216)/$G216,0)),ROUNDUP('BVMS checklist'!$H$217/$J216,0))&gt;1,'BVMS checklist'!$N$224,'BVMS checklist'!$N$217)</f>
        <v>0</v>
      </c>
      <c r="BY216" s="398">
        <f t="shared" ca="1" si="650"/>
        <v>2</v>
      </c>
      <c r="BZ216" s="400">
        <f t="shared" ca="1" si="683"/>
        <v>2</v>
      </c>
      <c r="CA216" s="400">
        <f t="shared" ca="1" si="684"/>
        <v>5350</v>
      </c>
      <c r="CB216" s="400">
        <f t="shared" ca="1" si="658"/>
        <v>0</v>
      </c>
      <c r="CC216" s="398">
        <f t="shared" ca="1" si="685"/>
        <v>431928</v>
      </c>
      <c r="CD216" s="401" t="str">
        <f t="shared" ca="1" si="651"/>
        <v/>
      </c>
      <c r="CE216" s="398">
        <f t="shared" ca="1" si="686"/>
        <v>1280</v>
      </c>
      <c r="CF216" s="400">
        <f ca="1">IF(MAX(IF($E$6="No",ROUNDUP($E$3/$I216,0),ROUNDUP(($E$3+$I216)/$I216,0)),IF($E$6="No",ROUNDUP($E$4/$G216,0),ROUNDUP(($E$4+$G216)/$G216,0)),ROUNDUP('BVMS checklist'!$H$217/$J216,0))&gt;1,'BVMS checklist'!$N$224,'BVMS checklist'!$N$217)+MAX(IF($E$6="No",ROUNDUP($E$3/$I216,0),ROUNDUP(($E$3+$I216)/$I216,0)),IF($E$6="No",ROUNDUP($E$4/$G216,0),ROUNDUP(($E$4+$G216)/$G216,0)))+$E$5</f>
        <v>1</v>
      </c>
      <c r="CG216" s="400" t="b">
        <f t="shared" ca="1" si="632"/>
        <v>1</v>
      </c>
      <c r="CH216" s="400" t="str">
        <f t="shared" ca="1" si="687"/>
        <v>Accepted</v>
      </c>
      <c r="CI216" s="398" t="str">
        <f t="shared" ca="1" si="659"/>
        <v>No</v>
      </c>
      <c r="CJ216" s="398" t="str">
        <f t="shared" ca="1" si="688"/>
        <v/>
      </c>
      <c r="CK216" s="398" t="str">
        <f t="shared" ca="1" si="652"/>
        <v/>
      </c>
      <c r="CL216" s="398">
        <f t="shared" ca="1" si="653"/>
        <v>6</v>
      </c>
      <c r="CM216" s="398">
        <f t="shared" ca="1" si="689"/>
        <v>2</v>
      </c>
      <c r="CN216" s="398">
        <f t="shared" ca="1" si="690"/>
        <v>512</v>
      </c>
      <c r="CO216" s="398">
        <f t="shared" ca="1" si="691"/>
        <v>431928</v>
      </c>
      <c r="CP216" s="399">
        <f t="shared" si="698"/>
        <v>0</v>
      </c>
      <c r="CQ216" s="399">
        <f t="shared" si="699"/>
        <v>0</v>
      </c>
      <c r="CR216" s="483" t="str">
        <f t="shared" ca="1" si="654"/>
        <v/>
      </c>
      <c r="CS216"/>
    </row>
    <row r="217" spans="1:97">
      <c r="A217" s="398" t="s">
        <v>451</v>
      </c>
      <c r="B217" s="398" t="s">
        <v>987</v>
      </c>
      <c r="C217" s="440" t="s">
        <v>891</v>
      </c>
      <c r="D217" s="398">
        <v>2</v>
      </c>
      <c r="E217" s="398"/>
      <c r="F217" s="440">
        <v>0</v>
      </c>
      <c r="G217" s="398">
        <f>IF(C217="RAID5",(((15-F217)*7448))+(1*(((15-F217)*3723))),(((14-F217)*7448))+(1*(((14-F217)*3723))))</f>
        <v>167565</v>
      </c>
      <c r="H217" s="399">
        <v>192</v>
      </c>
      <c r="I217" s="399">
        <v>1025</v>
      </c>
      <c r="J217" s="399">
        <v>256</v>
      </c>
      <c r="K217" s="399"/>
      <c r="L217" s="399"/>
      <c r="M217" s="400">
        <f ca="1">IF(MAX(IF($B$6="No",ROUNDUP($B$3/$I217,0),ROUNDUP(($B$3+$I217)/$I217,0)),IF($B$6="No",ROUNDUP($B$4/$G217,0),ROUNDUP(($B$4+$G217)/$G217,0)),ROUNDUP('BVMS checklist'!$H$217/$J217,0))&gt;1,'BVMS checklist'!$H$224,'BVMS checklist'!$H$217)</f>
        <v>0</v>
      </c>
      <c r="N217" s="398">
        <f t="shared" ca="1" si="633"/>
        <v>2</v>
      </c>
      <c r="O217" s="400">
        <f t="shared" ca="1" si="660"/>
        <v>2</v>
      </c>
      <c r="P217" s="400">
        <f t="shared" ca="1" si="624"/>
        <v>2050</v>
      </c>
      <c r="Q217" s="400">
        <f t="shared" ca="1" si="625"/>
        <v>0</v>
      </c>
      <c r="R217" s="398">
        <f t="shared" ca="1" si="626"/>
        <v>335130</v>
      </c>
      <c r="S217" s="401" t="str">
        <f t="shared" ca="1" si="634"/>
        <v/>
      </c>
      <c r="T217" s="398">
        <f t="shared" ca="1" si="635"/>
        <v>512</v>
      </c>
      <c r="U217" s="400">
        <f ca="1">IF(MAX(IF($B$6="No",ROUNDUP($B$3/$I217,0),ROUNDUP(($B$3+$I217)/$I217,0)),IF($B$6="No",ROUNDUP($B$4/$G217,0),ROUNDUP(($B$4+$G217)/$G217,0)),ROUNDUP('BVMS checklist'!$H$217/$J217,0))&gt;1,'BVMS checklist'!$H$224,'BVMS checklist'!$H$217)+MAX(IF($B$6="No",ROUNDUP($B$3/$I217,0),ROUNDUP(($B$3+$I217)/$I217,0)),IF($B$6="No",ROUNDUP($B$4/$G217,0),ROUNDUP(($B$4+$G217)/$G217,0)))+$B$5</f>
        <v>1</v>
      </c>
      <c r="V217" s="400" t="b">
        <f t="shared" ca="1" si="627"/>
        <v>1</v>
      </c>
      <c r="W217" s="400" t="str">
        <f ca="1">IF(OR(AND($B$6="Yes",V217=TRUE),$B$6="No"),"Accepted","Not accepted")</f>
        <v>Accepted</v>
      </c>
      <c r="X217" s="398" t="str">
        <f t="shared" ca="1" si="636"/>
        <v>No</v>
      </c>
      <c r="Y217" s="398" t="str">
        <f t="shared" ca="1" si="637"/>
        <v/>
      </c>
      <c r="Z217" s="398" t="str">
        <f t="shared" ca="1" si="638"/>
        <v/>
      </c>
      <c r="AA217" s="398">
        <f t="shared" ca="1" si="662"/>
        <v>6</v>
      </c>
      <c r="AB217" s="398">
        <f t="shared" ca="1" si="628"/>
        <v>2</v>
      </c>
      <c r="AC217" s="398">
        <f t="shared" ca="1" si="629"/>
        <v>384</v>
      </c>
      <c r="AD217" s="398">
        <f t="shared" ca="1" si="663"/>
        <v>335130</v>
      </c>
      <c r="AE217" s="399">
        <f t="shared" si="692"/>
        <v>0</v>
      </c>
      <c r="AF217" s="399">
        <f t="shared" si="693"/>
        <v>0</v>
      </c>
      <c r="AG217" s="483" t="str">
        <f t="shared" ca="1" si="639"/>
        <v/>
      </c>
      <c r="AH217" s="400">
        <f ca="1">IF(MAX(IF($C$6="No",ROUNDUP($C$3/$I217,0),ROUNDUP(($C$3+$I217)/$I217,0)),IF($C$6="No",ROUNDUP($C$4/$G217,0),ROUNDUP(($C$4+$G217)/$G217,0)),ROUNDUP('BVMS checklist'!$H$217/$J217,0))&gt;1,'BVMS checklist'!$J$224,'BVMS checklist'!$J$217)</f>
        <v>0</v>
      </c>
      <c r="AI217" s="398">
        <f t="shared" ca="1" si="640"/>
        <v>2</v>
      </c>
      <c r="AJ217" s="400">
        <f t="shared" ca="1" si="664"/>
        <v>2</v>
      </c>
      <c r="AK217" s="400">
        <f t="shared" ca="1" si="665"/>
        <v>2050</v>
      </c>
      <c r="AL217" s="400">
        <f t="shared" ca="1" si="666"/>
        <v>0</v>
      </c>
      <c r="AM217" s="398">
        <f t="shared" ca="1" si="667"/>
        <v>335130</v>
      </c>
      <c r="AN217" s="401" t="str">
        <f t="shared" ca="1" si="641"/>
        <v/>
      </c>
      <c r="AO217" s="398">
        <f t="shared" ca="1" si="668"/>
        <v>512</v>
      </c>
      <c r="AP217" s="400">
        <f ca="1">IF(MAX(IF($C$6="No",ROUNDUP($C$3/$I217,0),ROUNDUP(($C$3+$I217)/$I217,0)),IF($C$6="No",ROUNDUP($C$4/$G217,0),ROUNDUP(($C$4+$G217)/$G217,0)),ROUNDUP('BVMS checklist'!$H$217/$J217,0))&gt;1,'BVMS checklist'!$J$224,'BVMS checklist'!$J$217)+MAX(IF($C$6="No",ROUNDUP($C$3/$I217,0),ROUNDUP(($C$3+$I217)/$I217,0)),IF($C$6="No",ROUNDUP($C$4/$G217,0),ROUNDUP(($C$4+$G217)/$G217,0)))+$C$5</f>
        <v>1</v>
      </c>
      <c r="AQ217" s="400" t="b">
        <f t="shared" ca="1" si="630"/>
        <v>1</v>
      </c>
      <c r="AR217" s="400" t="str">
        <f t="shared" ca="1" si="669"/>
        <v>Accepted</v>
      </c>
      <c r="AS217" s="398" t="str">
        <f t="shared" ca="1" si="655"/>
        <v>No</v>
      </c>
      <c r="AT217" s="398" t="str">
        <f t="shared" ca="1" si="670"/>
        <v/>
      </c>
      <c r="AU217" s="398" t="str">
        <f t="shared" ca="1" si="642"/>
        <v/>
      </c>
      <c r="AV217" s="398">
        <f t="shared" ca="1" si="643"/>
        <v>6</v>
      </c>
      <c r="AW217" s="398">
        <f t="shared" ca="1" si="671"/>
        <v>2</v>
      </c>
      <c r="AX217" s="398">
        <f t="shared" ca="1" si="672"/>
        <v>384</v>
      </c>
      <c r="AY217" s="398">
        <f t="shared" ca="1" si="673"/>
        <v>335130</v>
      </c>
      <c r="AZ217" s="399">
        <f t="shared" si="694"/>
        <v>0</v>
      </c>
      <c r="BA217" s="399">
        <f t="shared" si="695"/>
        <v>0</v>
      </c>
      <c r="BB217" s="483" t="str">
        <f t="shared" ca="1" si="644"/>
        <v/>
      </c>
      <c r="BC217" s="400">
        <f ca="1">IF(MAX(IF($D$6="No",ROUNDUP($D$3/$I217,0),ROUNDUP(($D$3+$I217)/$I217,0)),IF($D$6="No",ROUNDUP($D$4/$G217,0),ROUNDUP(($D$4+$G217)/$G217,0)),ROUNDUP('BVMS checklist'!$H$217/$J217,0))&gt;1,'BVMS checklist'!$L$224,'BVMS checklist'!$L$217)</f>
        <v>0</v>
      </c>
      <c r="BD217" s="398">
        <f t="shared" ca="1" si="645"/>
        <v>2</v>
      </c>
      <c r="BE217" s="400">
        <f t="shared" si="674"/>
        <v>1</v>
      </c>
      <c r="BF217" s="400">
        <f t="shared" si="675"/>
        <v>1025</v>
      </c>
      <c r="BG217" s="400">
        <f t="shared" ca="1" si="656"/>
        <v>0</v>
      </c>
      <c r="BH217" s="398">
        <f t="shared" ca="1" si="676"/>
        <v>335130</v>
      </c>
      <c r="BI217" s="401" t="str">
        <f t="shared" ca="1" si="646"/>
        <v/>
      </c>
      <c r="BJ217" s="398">
        <f t="shared" ca="1" si="677"/>
        <v>512</v>
      </c>
      <c r="BK217" s="400">
        <f ca="1">IF(MAX(IF($D$6="No",ROUNDUP($D$3/$I217,0),ROUNDUP(($D$3+$I217)/$I217,0)),IF($D$6="No",ROUNDUP($D$4/$G217,0),ROUNDUP(($D$4+$G217)/$G217,0)),ROUNDUP('BVMS checklist'!$H$217/$J217,0))&gt;1,'BVMS checklist'!$L$224,'BVMS checklist'!$L$217)+MAX(IF($D$6="No",ROUNDUP($D$3/$I217,0),ROUNDUP(($D$3+$I217)/$I217,0)),IF($D$6="No",ROUNDUP($D$4/$G217,0),ROUNDUP(($D$4+$G217)/$G217,0)))+$D$5</f>
        <v>1</v>
      </c>
      <c r="BL217" s="400" t="b">
        <f t="shared" ca="1" si="631"/>
        <v>1</v>
      </c>
      <c r="BM217" s="400" t="str">
        <f t="shared" ca="1" si="678"/>
        <v>Accepted</v>
      </c>
      <c r="BN217" s="398" t="str">
        <f t="shared" ca="1" si="657"/>
        <v>No</v>
      </c>
      <c r="BO217" s="398" t="str">
        <f t="shared" ca="1" si="679"/>
        <v/>
      </c>
      <c r="BP217" s="398" t="str">
        <f t="shared" ca="1" si="647"/>
        <v/>
      </c>
      <c r="BQ217" s="398">
        <f t="shared" ca="1" si="648"/>
        <v>6</v>
      </c>
      <c r="BR217" s="398">
        <f t="shared" ca="1" si="680"/>
        <v>2</v>
      </c>
      <c r="BS217" s="398">
        <f t="shared" ca="1" si="681"/>
        <v>384</v>
      </c>
      <c r="BT217" s="398">
        <f t="shared" ca="1" si="682"/>
        <v>335130</v>
      </c>
      <c r="BU217" s="399">
        <f t="shared" si="696"/>
        <v>0</v>
      </c>
      <c r="BV217" s="399">
        <f t="shared" si="697"/>
        <v>0</v>
      </c>
      <c r="BW217" s="483" t="str">
        <f t="shared" ca="1" si="649"/>
        <v/>
      </c>
      <c r="BX217" s="400">
        <f ca="1">IF(MAX(IF($E$6="No",ROUNDUP($E$3/$I217,0),ROUNDUP(($E$3+$I217)/$I217,0)),IF($E$6="No",ROUNDUP($E$4/$G217,0),ROUNDUP(($E$4+$G217)/$G217,0)),ROUNDUP('BVMS checklist'!$H$217/$J217,0))&gt;1,'BVMS checklist'!$N$224,'BVMS checklist'!$N$217)</f>
        <v>0</v>
      </c>
      <c r="BY217" s="398">
        <f t="shared" ca="1" si="650"/>
        <v>2</v>
      </c>
      <c r="BZ217" s="400">
        <f t="shared" ca="1" si="683"/>
        <v>2</v>
      </c>
      <c r="CA217" s="400">
        <f t="shared" ca="1" si="684"/>
        <v>2050</v>
      </c>
      <c r="CB217" s="400">
        <f t="shared" ca="1" si="658"/>
        <v>0</v>
      </c>
      <c r="CC217" s="398">
        <f t="shared" ca="1" si="685"/>
        <v>335130</v>
      </c>
      <c r="CD217" s="401" t="str">
        <f t="shared" ca="1" si="651"/>
        <v/>
      </c>
      <c r="CE217" s="398">
        <f t="shared" ca="1" si="686"/>
        <v>512</v>
      </c>
      <c r="CF217" s="400">
        <f ca="1">IF(MAX(IF($E$6="No",ROUNDUP($E$3/$I217,0),ROUNDUP(($E$3+$I217)/$I217,0)),IF($E$6="No",ROUNDUP($E$4/$G217,0),ROUNDUP(($E$4+$G217)/$G217,0)),ROUNDUP('BVMS checklist'!$H$217/$J217,0))&gt;1,'BVMS checklist'!$N$224,'BVMS checklist'!$N$217)+MAX(IF($E$6="No",ROUNDUP($E$3/$I217,0),ROUNDUP(($E$3+$I217)/$I217,0)),IF($E$6="No",ROUNDUP($E$4/$G217,0),ROUNDUP(($E$4+$G217)/$G217,0)))+$E$5</f>
        <v>1</v>
      </c>
      <c r="CG217" s="400" t="b">
        <f t="shared" ca="1" si="632"/>
        <v>1</v>
      </c>
      <c r="CH217" s="400" t="str">
        <f t="shared" ca="1" si="687"/>
        <v>Accepted</v>
      </c>
      <c r="CI217" s="398" t="str">
        <f t="shared" ca="1" si="659"/>
        <v>No</v>
      </c>
      <c r="CJ217" s="398" t="str">
        <f t="shared" ca="1" si="688"/>
        <v/>
      </c>
      <c r="CK217" s="398" t="str">
        <f t="shared" ca="1" si="652"/>
        <v/>
      </c>
      <c r="CL217" s="398">
        <f t="shared" ca="1" si="653"/>
        <v>6</v>
      </c>
      <c r="CM217" s="398">
        <f t="shared" ca="1" si="689"/>
        <v>2</v>
      </c>
      <c r="CN217" s="398">
        <f t="shared" ca="1" si="690"/>
        <v>384</v>
      </c>
      <c r="CO217" s="398">
        <f t="shared" ca="1" si="691"/>
        <v>335130</v>
      </c>
      <c r="CP217" s="399">
        <f t="shared" si="698"/>
        <v>0</v>
      </c>
      <c r="CQ217" s="399">
        <f t="shared" si="699"/>
        <v>0</v>
      </c>
      <c r="CR217" s="483" t="str">
        <f t="shared" ca="1" si="654"/>
        <v/>
      </c>
      <c r="CS217"/>
    </row>
    <row r="218" spans="1:97">
      <c r="A218" s="398" t="s">
        <v>452</v>
      </c>
      <c r="B218" s="398" t="s">
        <v>987</v>
      </c>
      <c r="C218" s="440" t="s">
        <v>891</v>
      </c>
      <c r="D218" s="398">
        <v>3</v>
      </c>
      <c r="E218" s="398"/>
      <c r="F218" s="440">
        <v>0</v>
      </c>
      <c r="G218" s="398">
        <f>IF(C218="RAID5",(((15-F218)*7448))+(2*(((15-F218)*3723))),(((14-F218)*7448))+(2*(((14-F218)*3723))))</f>
        <v>223410</v>
      </c>
      <c r="H218" s="399">
        <v>256</v>
      </c>
      <c r="I218" s="399">
        <v>1575</v>
      </c>
      <c r="J218" s="399">
        <v>384</v>
      </c>
      <c r="K218" s="399"/>
      <c r="L218" s="399"/>
      <c r="M218" s="400">
        <f ca="1">IF(MAX(IF($B$6="No",ROUNDUP($B$3/$I218,0),ROUNDUP(($B$3+$I218)/$I218,0)),IF($B$6="No",ROUNDUP($B$4/$G218,0),ROUNDUP(($B$4+$G218)/$G218,0)),ROUNDUP('BVMS checklist'!$H$217/$J218,0))&gt;1,'BVMS checklist'!$H$224,'BVMS checklist'!$H$217)</f>
        <v>0</v>
      </c>
      <c r="N218" s="398">
        <f t="shared" ca="1" si="633"/>
        <v>2</v>
      </c>
      <c r="O218" s="400">
        <f t="shared" ca="1" si="660"/>
        <v>2</v>
      </c>
      <c r="P218" s="400">
        <f t="shared" ref="P218:P281" ca="1" si="700">O218*$I218</f>
        <v>3150</v>
      </c>
      <c r="Q218" s="400">
        <f t="shared" ref="Q218:Q281" ca="1" si="701">IFERROR($B$3/N218,"")</f>
        <v>0</v>
      </c>
      <c r="R218" s="398">
        <f t="shared" ref="R218:R281" ca="1" si="702">$G218*N218</f>
        <v>446820</v>
      </c>
      <c r="S218" s="401" t="str">
        <f t="shared" ca="1" si="634"/>
        <v/>
      </c>
      <c r="T218" s="398">
        <f t="shared" ca="1" si="635"/>
        <v>768</v>
      </c>
      <c r="U218" s="400">
        <f ca="1">IF(MAX(IF($B$6="No",ROUNDUP($B$3/$I218,0),ROUNDUP(($B$3+$I218)/$I218,0)),IF($B$6="No",ROUNDUP($B$4/$G218,0),ROUNDUP(($B$4+$G218)/$G218,0)),ROUNDUP('BVMS checklist'!$H$217/$J218,0))&gt;1,'BVMS checklist'!$H$224,'BVMS checklist'!$H$217)+MAX(IF($B$6="No",ROUNDUP($B$3/$I218,0),ROUNDUP(($B$3+$I218)/$I218,0)),IF($B$6="No",ROUNDUP($B$4/$G218,0),ROUNDUP(($B$4+$G218)/$G218,0)))+$B$5</f>
        <v>1</v>
      </c>
      <c r="V218" s="400" t="b">
        <f t="shared" ref="V218:V281" ca="1" si="703">IF(AND((T218/$D218)-U218&gt;=0,OR(N218&gt;=2,$D218&gt;=2),P218-I218&gt;=$B$3),TRUE,FALSE)</f>
        <v>1</v>
      </c>
      <c r="W218" s="400" t="str">
        <f t="shared" ca="1" si="661"/>
        <v>Accepted</v>
      </c>
      <c r="X218" s="398" t="str">
        <f t="shared" ca="1" si="636"/>
        <v>No</v>
      </c>
      <c r="Y218" s="398" t="str">
        <f t="shared" ca="1" si="637"/>
        <v/>
      </c>
      <c r="Z218" s="398" t="str">
        <f t="shared" ca="1" si="638"/>
        <v/>
      </c>
      <c r="AA218" s="398">
        <f t="shared" ca="1" si="662"/>
        <v>6</v>
      </c>
      <c r="AB218" s="398">
        <f t="shared" ref="AB218:AB281" ca="1" si="704">N218</f>
        <v>2</v>
      </c>
      <c r="AC218" s="398">
        <f t="shared" ref="AC218:AC281" ca="1" si="705">N218*$H218</f>
        <v>512</v>
      </c>
      <c r="AD218" s="398">
        <f t="shared" ca="1" si="663"/>
        <v>446820</v>
      </c>
      <c r="AE218" s="399">
        <f t="shared" si="692"/>
        <v>0</v>
      </c>
      <c r="AF218" s="399">
        <f t="shared" si="693"/>
        <v>0</v>
      </c>
      <c r="AG218" s="483" t="str">
        <f t="shared" ca="1" si="639"/>
        <v/>
      </c>
      <c r="AH218" s="400">
        <f ca="1">IF(MAX(IF($C$6="No",ROUNDUP($C$3/$I218,0),ROUNDUP(($C$3+$I218)/$I218,0)),IF($C$6="No",ROUNDUP($C$4/$G218,0),ROUNDUP(($C$4+$G218)/$G218,0)),ROUNDUP('BVMS checklist'!$H$217/$J218,0))&gt;1,'BVMS checklist'!$J$224,'BVMS checklist'!$J$217)</f>
        <v>0</v>
      </c>
      <c r="AI218" s="398">
        <f t="shared" ca="1" si="640"/>
        <v>2</v>
      </c>
      <c r="AJ218" s="400">
        <f t="shared" ca="1" si="664"/>
        <v>2</v>
      </c>
      <c r="AK218" s="400">
        <f t="shared" ca="1" si="665"/>
        <v>3150</v>
      </c>
      <c r="AL218" s="400">
        <f t="shared" ca="1" si="666"/>
        <v>0</v>
      </c>
      <c r="AM218" s="398">
        <f t="shared" ca="1" si="667"/>
        <v>446820</v>
      </c>
      <c r="AN218" s="401" t="str">
        <f t="shared" ca="1" si="641"/>
        <v/>
      </c>
      <c r="AO218" s="398">
        <f t="shared" ca="1" si="668"/>
        <v>768</v>
      </c>
      <c r="AP218" s="400">
        <f ca="1">IF(MAX(IF($C$6="No",ROUNDUP($C$3/$I218,0),ROUNDUP(($C$3+$I218)/$I218,0)),IF($C$6="No",ROUNDUP($C$4/$G218,0),ROUNDUP(($C$4+$G218)/$G218,0)),ROUNDUP('BVMS checklist'!$H$217/$J218,0))&gt;1,'BVMS checklist'!$J$224,'BVMS checklist'!$J$217)+MAX(IF($C$6="No",ROUNDUP($C$3/$I218,0),ROUNDUP(($C$3+$I218)/$I218,0)),IF($C$6="No",ROUNDUP($C$4/$G218,0),ROUNDUP(($C$4+$G218)/$G218,0)))+$C$5</f>
        <v>1</v>
      </c>
      <c r="AQ218" s="400" t="b">
        <f t="shared" ref="AQ218:AQ281" ca="1" si="706">IF(AND((AO218/$D218)-AP218&gt;=0,OR(AI218&gt;=2,$D218&gt;=2),AK218-I218&gt;=$C$3),TRUE,FALSE)</f>
        <v>1</v>
      </c>
      <c r="AR218" s="400" t="str">
        <f t="shared" ca="1" si="669"/>
        <v>Accepted</v>
      </c>
      <c r="AS218" s="398" t="str">
        <f t="shared" ca="1" si="655"/>
        <v>No</v>
      </c>
      <c r="AT218" s="398" t="str">
        <f t="shared" ca="1" si="670"/>
        <v/>
      </c>
      <c r="AU218" s="398" t="str">
        <f t="shared" ca="1" si="642"/>
        <v/>
      </c>
      <c r="AV218" s="398">
        <f t="shared" ca="1" si="643"/>
        <v>6</v>
      </c>
      <c r="AW218" s="398">
        <f t="shared" ca="1" si="671"/>
        <v>2</v>
      </c>
      <c r="AX218" s="398">
        <f t="shared" ca="1" si="672"/>
        <v>512</v>
      </c>
      <c r="AY218" s="398">
        <f t="shared" ca="1" si="673"/>
        <v>446820</v>
      </c>
      <c r="AZ218" s="399">
        <f t="shared" si="694"/>
        <v>0</v>
      </c>
      <c r="BA218" s="399">
        <f t="shared" si="695"/>
        <v>0</v>
      </c>
      <c r="BB218" s="483" t="str">
        <f t="shared" ca="1" si="644"/>
        <v/>
      </c>
      <c r="BC218" s="400">
        <f ca="1">IF(MAX(IF($D$6="No",ROUNDUP($D$3/$I218,0),ROUNDUP(($D$3+$I218)/$I218,0)),IF($D$6="No",ROUNDUP($D$4/$G218,0),ROUNDUP(($D$4+$G218)/$G218,0)),ROUNDUP('BVMS checklist'!$H$217/$J218,0))&gt;1,'BVMS checklist'!$L$224,'BVMS checklist'!$L$217)</f>
        <v>0</v>
      </c>
      <c r="BD218" s="398">
        <f t="shared" ca="1" si="645"/>
        <v>2</v>
      </c>
      <c r="BE218" s="400">
        <f t="shared" si="674"/>
        <v>1</v>
      </c>
      <c r="BF218" s="400">
        <f t="shared" si="675"/>
        <v>1575</v>
      </c>
      <c r="BG218" s="400">
        <f t="shared" ca="1" si="656"/>
        <v>0</v>
      </c>
      <c r="BH218" s="398">
        <f t="shared" ca="1" si="676"/>
        <v>446820</v>
      </c>
      <c r="BI218" s="401" t="str">
        <f t="shared" ca="1" si="646"/>
        <v/>
      </c>
      <c r="BJ218" s="398">
        <f t="shared" ca="1" si="677"/>
        <v>768</v>
      </c>
      <c r="BK218" s="400">
        <f ca="1">IF(MAX(IF($D$6="No",ROUNDUP($D$3/$I218,0),ROUNDUP(($D$3+$I218)/$I218,0)),IF($D$6="No",ROUNDUP($D$4/$G218,0),ROUNDUP(($D$4+$G218)/$G218,0)),ROUNDUP('BVMS checklist'!$H$217/$J218,0))&gt;1,'BVMS checklist'!$L$224,'BVMS checklist'!$L$217)+MAX(IF($D$6="No",ROUNDUP($D$3/$I218,0),ROUNDUP(($D$3+$I218)/$I218,0)),IF($D$6="No",ROUNDUP($D$4/$G218,0),ROUNDUP(($D$4+$G218)/$G218,0)))+$D$5</f>
        <v>1</v>
      </c>
      <c r="BL218" s="400" t="b">
        <f t="shared" ref="BL218:BL281" ca="1" si="707">IF(AND((BJ218/$D218)-BK218&gt;=0,OR(BD218&gt;=2,$D218&gt;=2),BF218-I218&gt;=$D$3),TRUE,FALSE)</f>
        <v>1</v>
      </c>
      <c r="BM218" s="400" t="str">
        <f t="shared" ca="1" si="678"/>
        <v>Accepted</v>
      </c>
      <c r="BN218" s="398" t="str">
        <f t="shared" ca="1" si="657"/>
        <v>No</v>
      </c>
      <c r="BO218" s="398" t="str">
        <f t="shared" ca="1" si="679"/>
        <v/>
      </c>
      <c r="BP218" s="398" t="str">
        <f t="shared" ca="1" si="647"/>
        <v/>
      </c>
      <c r="BQ218" s="398">
        <f t="shared" ca="1" si="648"/>
        <v>6</v>
      </c>
      <c r="BR218" s="398">
        <f t="shared" ca="1" si="680"/>
        <v>2</v>
      </c>
      <c r="BS218" s="398">
        <f t="shared" ca="1" si="681"/>
        <v>512</v>
      </c>
      <c r="BT218" s="398">
        <f t="shared" ca="1" si="682"/>
        <v>446820</v>
      </c>
      <c r="BU218" s="399">
        <f t="shared" si="696"/>
        <v>0</v>
      </c>
      <c r="BV218" s="399">
        <f t="shared" si="697"/>
        <v>0</v>
      </c>
      <c r="BW218" s="483" t="str">
        <f t="shared" ca="1" si="649"/>
        <v/>
      </c>
      <c r="BX218" s="400">
        <f ca="1">IF(MAX(IF($E$6="No",ROUNDUP($E$3/$I218,0),ROUNDUP(($E$3+$I218)/$I218,0)),IF($E$6="No",ROUNDUP($E$4/$G218,0),ROUNDUP(($E$4+$G218)/$G218,0)),ROUNDUP('BVMS checklist'!$H$217/$J218,0))&gt;1,'BVMS checklist'!$N$224,'BVMS checklist'!$N$217)</f>
        <v>0</v>
      </c>
      <c r="BY218" s="398">
        <f t="shared" ca="1" si="650"/>
        <v>2</v>
      </c>
      <c r="BZ218" s="400">
        <f t="shared" ca="1" si="683"/>
        <v>2</v>
      </c>
      <c r="CA218" s="400">
        <f t="shared" ca="1" si="684"/>
        <v>3150</v>
      </c>
      <c r="CB218" s="400">
        <f t="shared" ca="1" si="658"/>
        <v>0</v>
      </c>
      <c r="CC218" s="398">
        <f t="shared" ca="1" si="685"/>
        <v>446820</v>
      </c>
      <c r="CD218" s="401" t="str">
        <f t="shared" ca="1" si="651"/>
        <v/>
      </c>
      <c r="CE218" s="398">
        <f t="shared" ca="1" si="686"/>
        <v>768</v>
      </c>
      <c r="CF218" s="400">
        <f ca="1">IF(MAX(IF($E$6="No",ROUNDUP($E$3/$I218,0),ROUNDUP(($E$3+$I218)/$I218,0)),IF($E$6="No",ROUNDUP($E$4/$G218,0),ROUNDUP(($E$4+$G218)/$G218,0)),ROUNDUP('BVMS checklist'!$H$217/$J218,0))&gt;1,'BVMS checklist'!$N$224,'BVMS checklist'!$N$217)+MAX(IF($E$6="No",ROUNDUP($E$3/$I218,0),ROUNDUP(($E$3+$I218)/$I218,0)),IF($E$6="No",ROUNDUP($E$4/$G218,0),ROUNDUP(($E$4+$G218)/$G218,0)))+$E$5</f>
        <v>1</v>
      </c>
      <c r="CG218" s="400" t="b">
        <f t="shared" ref="CG218:CG281" ca="1" si="708">IF(AND((CE218/$D218)-CF218&gt;=0,OR(BY218&gt;=2,$D218&gt;=2),CA218-I218&gt;=$E$3),TRUE,FALSE)</f>
        <v>1</v>
      </c>
      <c r="CH218" s="400" t="str">
        <f t="shared" ca="1" si="687"/>
        <v>Accepted</v>
      </c>
      <c r="CI218" s="398" t="str">
        <f t="shared" ca="1" si="659"/>
        <v>No</v>
      </c>
      <c r="CJ218" s="398" t="str">
        <f t="shared" ca="1" si="688"/>
        <v/>
      </c>
      <c r="CK218" s="398" t="str">
        <f t="shared" ca="1" si="652"/>
        <v/>
      </c>
      <c r="CL218" s="398">
        <f t="shared" ca="1" si="653"/>
        <v>6</v>
      </c>
      <c r="CM218" s="398">
        <f t="shared" ca="1" si="689"/>
        <v>2</v>
      </c>
      <c r="CN218" s="398">
        <f t="shared" ca="1" si="690"/>
        <v>512</v>
      </c>
      <c r="CO218" s="398">
        <f t="shared" ca="1" si="691"/>
        <v>446820</v>
      </c>
      <c r="CP218" s="399">
        <f t="shared" si="698"/>
        <v>0</v>
      </c>
      <c r="CQ218" s="399">
        <f t="shared" si="699"/>
        <v>0</v>
      </c>
      <c r="CR218" s="483" t="str">
        <f t="shared" ca="1" si="654"/>
        <v/>
      </c>
      <c r="CS218"/>
    </row>
    <row r="219" spans="1:97">
      <c r="A219" s="398" t="s">
        <v>453</v>
      </c>
      <c r="B219" s="398" t="s">
        <v>987</v>
      </c>
      <c r="C219" s="440" t="s">
        <v>891</v>
      </c>
      <c r="D219" s="398">
        <v>4</v>
      </c>
      <c r="E219" s="398"/>
      <c r="F219" s="440">
        <v>0</v>
      </c>
      <c r="G219" s="398">
        <f>IF(C219="RAID5",(((15-F219)*7448))+(3*(((15-F219)*3723))),(((14-F219)*7448))+(3*(((14-F219)*3723))))</f>
        <v>279255</v>
      </c>
      <c r="H219" s="399">
        <v>320</v>
      </c>
      <c r="I219" s="399">
        <v>2125</v>
      </c>
      <c r="J219" s="399">
        <v>512</v>
      </c>
      <c r="K219" s="399"/>
      <c r="L219" s="399"/>
      <c r="M219" s="400">
        <f ca="1">IF(MAX(IF($B$6="No",ROUNDUP($B$3/$I219,0),ROUNDUP(($B$3+$I219)/$I219,0)),IF($B$6="No",ROUNDUP($B$4/$G219,0),ROUNDUP(($B$4+$G219)/$G219,0)),ROUNDUP('BVMS checklist'!$H$217/$J219,0))&gt;1,'BVMS checklist'!$H$224,'BVMS checklist'!$H$217)</f>
        <v>0</v>
      </c>
      <c r="N219" s="398">
        <f t="shared" ref="N219:N282" ca="1" si="709">MAX(IF($B$6="No",ROUNDUP($B$3/$I219,0),ROUNDUP(($B$3+$I219)/$I219,0)),IF($B$6="No",ROUNDUP($B$4/$G219,0),ROUNDUP($B$4/$G219,0)),IF($B$6="Yes",ROUNDUP((U219+J219)/J219,0),ROUNDUP(U219/J219,0)))</f>
        <v>2</v>
      </c>
      <c r="O219" s="400">
        <f t="shared" ca="1" si="660"/>
        <v>2</v>
      </c>
      <c r="P219" s="400">
        <f t="shared" ca="1" si="700"/>
        <v>4250</v>
      </c>
      <c r="Q219" s="400">
        <f t="shared" ca="1" si="701"/>
        <v>0</v>
      </c>
      <c r="R219" s="398">
        <f t="shared" ca="1" si="702"/>
        <v>558510</v>
      </c>
      <c r="S219" s="401" t="str">
        <f t="shared" ref="S219:S282" ca="1" si="710">IF(X219="yes",(R219)/$B$4,"")</f>
        <v/>
      </c>
      <c r="T219" s="398">
        <f t="shared" ref="T219:T282" ca="1" si="711">N219*J219</f>
        <v>1024</v>
      </c>
      <c r="U219" s="400">
        <f ca="1">IF(MAX(IF($B$6="No",ROUNDUP($B$3/$I219,0),ROUNDUP(($B$3+$I219)/$I219,0)),IF($B$6="No",ROUNDUP($B$4/$G219,0),ROUNDUP(($B$4+$G219)/$G219,0)),ROUNDUP('BVMS checklist'!$H$217/$J219,0))&gt;1,'BVMS checklist'!$H$224,'BVMS checklist'!$H$217)+MAX(IF($B$6="No",ROUNDUP($B$3/$I219,0),ROUNDUP(($B$3+$I219)/$I219,0)),IF($B$6="No",ROUNDUP($B$4/$G219,0),ROUNDUP(($B$4+$G219)/$G219,0)))+$B$5</f>
        <v>1</v>
      </c>
      <c r="V219" s="400" t="b">
        <f t="shared" ca="1" si="703"/>
        <v>1</v>
      </c>
      <c r="W219" s="400" t="str">
        <f t="shared" ca="1" si="661"/>
        <v>Accepted</v>
      </c>
      <c r="X219" s="398" t="str">
        <f t="shared" ref="X219:X282" ca="1" si="712">IF(AND(U219&lt;T219,Q219&lt;I219,B219="Active",W219="Accepted"),"Yes","No")</f>
        <v>No</v>
      </c>
      <c r="Y219" s="398" t="str">
        <f t="shared" ref="Y219:Y282" ca="1" si="713">IF(AA218=AA219,"",AA219)</f>
        <v/>
      </c>
      <c r="Z219" s="398" t="str">
        <f t="shared" ref="Z219:Z282" ca="1" si="714">IF(X219="Yes",$A219&amp;" "&amp;$C219,"")</f>
        <v/>
      </c>
      <c r="AA219" s="398">
        <f t="shared" ca="1" si="662"/>
        <v>6</v>
      </c>
      <c r="AB219" s="398">
        <f t="shared" ca="1" si="704"/>
        <v>2</v>
      </c>
      <c r="AC219" s="398">
        <f t="shared" ca="1" si="705"/>
        <v>640</v>
      </c>
      <c r="AD219" s="398">
        <f t="shared" ca="1" si="663"/>
        <v>558510</v>
      </c>
      <c r="AE219" s="399">
        <f t="shared" si="692"/>
        <v>0</v>
      </c>
      <c r="AF219" s="399">
        <f t="shared" si="693"/>
        <v>0</v>
      </c>
      <c r="AG219" s="483" t="str">
        <f t="shared" ref="AG219:AG282" ca="1" si="715">S219</f>
        <v/>
      </c>
      <c r="AH219" s="400">
        <f ca="1">IF(MAX(IF($C$6="No",ROUNDUP($C$3/$I219,0),ROUNDUP(($C$3+$I219)/$I219,0)),IF($C$6="No",ROUNDUP($C$4/$G219,0),ROUNDUP(($C$4+$G219)/$G219,0)),ROUNDUP('BVMS checklist'!$H$217/$J219,0))&gt;1,'BVMS checklist'!$J$224,'BVMS checklist'!$J$217)</f>
        <v>0</v>
      </c>
      <c r="AI219" s="398">
        <f t="shared" ref="AI219:AI282" ca="1" si="716">MAX(IF($C$6="No",ROUNDUP($C$3/$I219,0),ROUNDUP(($C$3+$I219)/$I219,0)),IF($C$6="No",ROUNDUP($C$4/$G219,0),ROUNDUP(($C$4+$G219)/$G219,0)),IF($C$6="Yes",ROUNDUP(AP219/J219,0)+1,ROUNDUP(AP219/J219,0)))</f>
        <v>2</v>
      </c>
      <c r="AJ219" s="400">
        <f t="shared" ca="1" si="664"/>
        <v>2</v>
      </c>
      <c r="AK219" s="400">
        <f t="shared" ca="1" si="665"/>
        <v>4250</v>
      </c>
      <c r="AL219" s="400">
        <f t="shared" ca="1" si="666"/>
        <v>0</v>
      </c>
      <c r="AM219" s="398">
        <f t="shared" ca="1" si="667"/>
        <v>558510</v>
      </c>
      <c r="AN219" s="401" t="str">
        <f t="shared" ref="AN219:AN282" ca="1" si="717">IF(AS219="yes",(AM219)/$C$4,"")</f>
        <v/>
      </c>
      <c r="AO219" s="398">
        <f t="shared" ca="1" si="668"/>
        <v>1024</v>
      </c>
      <c r="AP219" s="400">
        <f ca="1">IF(MAX(IF($C$6="No",ROUNDUP($C$3/$I219,0),ROUNDUP(($C$3+$I219)/$I219,0)),IF($C$6="No",ROUNDUP($C$4/$G219,0),ROUNDUP(($C$4+$G219)/$G219,0)),ROUNDUP('BVMS checklist'!$H$217/$J219,0))&gt;1,'BVMS checklist'!$J$224,'BVMS checklist'!$J$217)+MAX(IF($C$6="No",ROUNDUP($C$3/$I219,0),ROUNDUP(($C$3+$I219)/$I219,0)),IF($C$6="No",ROUNDUP($C$4/$G219,0),ROUNDUP(($C$4+$G219)/$G219,0)))+$C$5</f>
        <v>1</v>
      </c>
      <c r="AQ219" s="400" t="b">
        <f t="shared" ca="1" si="706"/>
        <v>1</v>
      </c>
      <c r="AR219" s="400" t="str">
        <f t="shared" ca="1" si="669"/>
        <v>Accepted</v>
      </c>
      <c r="AS219" s="398" t="str">
        <f t="shared" ca="1" si="655"/>
        <v>No</v>
      </c>
      <c r="AT219" s="398" t="str">
        <f t="shared" ca="1" si="670"/>
        <v/>
      </c>
      <c r="AU219" s="398" t="str">
        <f t="shared" ref="AU219:AU282" ca="1" si="718">IF(AS219="Yes",$A219&amp;" "&amp;$C219,"")</f>
        <v/>
      </c>
      <c r="AV219" s="398">
        <f t="shared" ref="AV219:AV282" ca="1" si="719">IF(AU219&lt;&gt;"",AV218+1,AV218)</f>
        <v>6</v>
      </c>
      <c r="AW219" s="398">
        <f t="shared" ca="1" si="671"/>
        <v>2</v>
      </c>
      <c r="AX219" s="398">
        <f t="shared" ca="1" si="672"/>
        <v>640</v>
      </c>
      <c r="AY219" s="398">
        <f t="shared" ca="1" si="673"/>
        <v>558510</v>
      </c>
      <c r="AZ219" s="399">
        <f t="shared" si="694"/>
        <v>0</v>
      </c>
      <c r="BA219" s="399">
        <f t="shared" si="695"/>
        <v>0</v>
      </c>
      <c r="BB219" s="483" t="str">
        <f t="shared" ref="BB219:BB282" ca="1" si="720">AN219</f>
        <v/>
      </c>
      <c r="BC219" s="400">
        <f ca="1">IF(MAX(IF($D$6="No",ROUNDUP($D$3/$I219,0),ROUNDUP(($D$3+$I219)/$I219,0)),IF($D$6="No",ROUNDUP($D$4/$G219,0),ROUNDUP(($D$4+$G219)/$G219,0)),ROUNDUP('BVMS checklist'!$H$217/$J219,0))&gt;1,'BVMS checklist'!$L$224,'BVMS checklist'!$L$217)</f>
        <v>0</v>
      </c>
      <c r="BD219" s="398">
        <f t="shared" ref="BD219:BD282" ca="1" si="721">MAX(IF($D$6="No",ROUNDUP($D$3/$I219,0),ROUNDUP(($D$3+$I219)/$I219,0)),IF($D$6="No",ROUNDUP($D$4/$G219,0),ROUNDUP(($D$4+$G219)/$G219,0)),IF($D$6="Yes",ROUNDUP(BK219/J219,0)+1,ROUNDUP(BK219/J219,0)))</f>
        <v>2</v>
      </c>
      <c r="BE219" s="400">
        <f t="shared" si="674"/>
        <v>1</v>
      </c>
      <c r="BF219" s="400">
        <f t="shared" si="675"/>
        <v>2125</v>
      </c>
      <c r="BG219" s="400">
        <f t="shared" ca="1" si="656"/>
        <v>0</v>
      </c>
      <c r="BH219" s="398">
        <f t="shared" ca="1" si="676"/>
        <v>558510</v>
      </c>
      <c r="BI219" s="401" t="str">
        <f t="shared" ref="BI219:BI282" ca="1" si="722">IF(BN219="yes",(BH219)/$D$4,"")</f>
        <v/>
      </c>
      <c r="BJ219" s="398">
        <f t="shared" ca="1" si="677"/>
        <v>1024</v>
      </c>
      <c r="BK219" s="400">
        <f ca="1">IF(MAX(IF($D$6="No",ROUNDUP($D$3/$I219,0),ROUNDUP(($D$3+$I219)/$I219,0)),IF($D$6="No",ROUNDUP($D$4/$G219,0),ROUNDUP(($D$4+$G219)/$G219,0)),ROUNDUP('BVMS checklist'!$H$217/$J219,0))&gt;1,'BVMS checklist'!$L$224,'BVMS checklist'!$L$217)+MAX(IF($D$6="No",ROUNDUP($D$3/$I219,0),ROUNDUP(($D$3+$I219)/$I219,0)),IF($D$6="No",ROUNDUP($D$4/$G219,0),ROUNDUP(($D$4+$G219)/$G219,0)))+$D$5</f>
        <v>1</v>
      </c>
      <c r="BL219" s="400" t="b">
        <f t="shared" ca="1" si="707"/>
        <v>1</v>
      </c>
      <c r="BM219" s="400" t="str">
        <f t="shared" ca="1" si="678"/>
        <v>Accepted</v>
      </c>
      <c r="BN219" s="398" t="str">
        <f t="shared" ca="1" si="657"/>
        <v>No</v>
      </c>
      <c r="BO219" s="398" t="str">
        <f t="shared" ca="1" si="679"/>
        <v/>
      </c>
      <c r="BP219" s="398" t="str">
        <f t="shared" ref="BP219:BP282" ca="1" si="723">IF(BN219="Yes",$A219&amp;" "&amp;$C219,"")</f>
        <v/>
      </c>
      <c r="BQ219" s="398">
        <f t="shared" ref="BQ219:BQ282" ca="1" si="724">IF(BP219&lt;&gt;"",BQ218+1,BQ218)</f>
        <v>6</v>
      </c>
      <c r="BR219" s="398">
        <f t="shared" ca="1" si="680"/>
        <v>2</v>
      </c>
      <c r="BS219" s="398">
        <f t="shared" ca="1" si="681"/>
        <v>640</v>
      </c>
      <c r="BT219" s="398">
        <f t="shared" ca="1" si="682"/>
        <v>558510</v>
      </c>
      <c r="BU219" s="399">
        <f t="shared" si="696"/>
        <v>0</v>
      </c>
      <c r="BV219" s="399">
        <f t="shared" si="697"/>
        <v>0</v>
      </c>
      <c r="BW219" s="483" t="str">
        <f t="shared" ref="BW219:BW282" ca="1" si="725">BI219</f>
        <v/>
      </c>
      <c r="BX219" s="400">
        <f ca="1">IF(MAX(IF($E$6="No",ROUNDUP($E$3/$I219,0),ROUNDUP(($E$3+$I219)/$I219,0)),IF($E$6="No",ROUNDUP($E$4/$G219,0),ROUNDUP(($E$4+$G219)/$G219,0)),ROUNDUP('BVMS checklist'!$H$217/$J219,0))&gt;1,'BVMS checklist'!$N$224,'BVMS checklist'!$N$217)</f>
        <v>0</v>
      </c>
      <c r="BY219" s="398">
        <f t="shared" ref="BY219:BY282" ca="1" si="726">MAX(IF($E$6="No",ROUNDUP($E$3/$I219,0),ROUNDUP(($E$3+$I219)/$I219,0)),IF($E$6="No",ROUNDUP($E$4/$G219,0),ROUNDUP(($E$4+$G219)/$G219,0)),IF($E$6="Yes",ROUNDUP(CF219/J219,0)+1,ROUNDUP(CF219/J219,0)))</f>
        <v>2</v>
      </c>
      <c r="BZ219" s="400">
        <f t="shared" ca="1" si="683"/>
        <v>2</v>
      </c>
      <c r="CA219" s="400">
        <f t="shared" ca="1" si="684"/>
        <v>4250</v>
      </c>
      <c r="CB219" s="400">
        <f t="shared" ca="1" si="658"/>
        <v>0</v>
      </c>
      <c r="CC219" s="398">
        <f t="shared" ca="1" si="685"/>
        <v>558510</v>
      </c>
      <c r="CD219" s="401" t="str">
        <f t="shared" ref="CD219:CD282" ca="1" si="727">IF(CI219="yes",(CC219)/$E$4,"")</f>
        <v/>
      </c>
      <c r="CE219" s="398">
        <f t="shared" ca="1" si="686"/>
        <v>1024</v>
      </c>
      <c r="CF219" s="400">
        <f ca="1">IF(MAX(IF($E$6="No",ROUNDUP($E$3/$I219,0),ROUNDUP(($E$3+$I219)/$I219,0)),IF($E$6="No",ROUNDUP($E$4/$G219,0),ROUNDUP(($E$4+$G219)/$G219,0)),ROUNDUP('BVMS checklist'!$H$217/$J219,0))&gt;1,'BVMS checklist'!$N$224,'BVMS checklist'!$N$217)+MAX(IF($E$6="No",ROUNDUP($E$3/$I219,0),ROUNDUP(($E$3+$I219)/$I219,0)),IF($E$6="No",ROUNDUP($E$4/$G219,0),ROUNDUP(($E$4+$G219)/$G219,0)))+$E$5</f>
        <v>1</v>
      </c>
      <c r="CG219" s="400" t="b">
        <f t="shared" ca="1" si="708"/>
        <v>1</v>
      </c>
      <c r="CH219" s="400" t="str">
        <f t="shared" ca="1" si="687"/>
        <v>Accepted</v>
      </c>
      <c r="CI219" s="398" t="str">
        <f t="shared" ca="1" si="659"/>
        <v>No</v>
      </c>
      <c r="CJ219" s="398" t="str">
        <f t="shared" ca="1" si="688"/>
        <v/>
      </c>
      <c r="CK219" s="398" t="str">
        <f t="shared" ref="CK219:CK282" ca="1" si="728">IF(CI219="Yes",$A219&amp;" "&amp;$C219,"")</f>
        <v/>
      </c>
      <c r="CL219" s="398">
        <f t="shared" ref="CL219:CL282" ca="1" si="729">IF(CK219&lt;&gt;"",CL218+1,CL218)</f>
        <v>6</v>
      </c>
      <c r="CM219" s="398">
        <f t="shared" ca="1" si="689"/>
        <v>2</v>
      </c>
      <c r="CN219" s="398">
        <f t="shared" ca="1" si="690"/>
        <v>640</v>
      </c>
      <c r="CO219" s="398">
        <f t="shared" ca="1" si="691"/>
        <v>558510</v>
      </c>
      <c r="CP219" s="399">
        <f t="shared" si="698"/>
        <v>0</v>
      </c>
      <c r="CQ219" s="399">
        <f t="shared" si="699"/>
        <v>0</v>
      </c>
      <c r="CR219" s="483" t="str">
        <f t="shared" ref="CR219:CR282" ca="1" si="730">CD219</f>
        <v/>
      </c>
      <c r="CS219"/>
    </row>
    <row r="220" spans="1:97">
      <c r="A220" s="398" t="s">
        <v>454</v>
      </c>
      <c r="B220" s="398" t="s">
        <v>987</v>
      </c>
      <c r="C220" s="440" t="s">
        <v>891</v>
      </c>
      <c r="D220" s="398">
        <v>5</v>
      </c>
      <c r="E220" s="398"/>
      <c r="F220" s="440">
        <v>0</v>
      </c>
      <c r="G220" s="398">
        <f>IF(C220="RAID5",(((15-F220)*7448))+(4*(((15-F220)*3723))),(((14-F220)*7448))+(4*(((14-F220)*3723))))</f>
        <v>335100</v>
      </c>
      <c r="H220" s="399">
        <v>384</v>
      </c>
      <c r="I220" s="399">
        <v>2675</v>
      </c>
      <c r="J220" s="399">
        <v>640</v>
      </c>
      <c r="K220" s="399"/>
      <c r="L220" s="399"/>
      <c r="M220" s="400">
        <f ca="1">IF(MAX(IF($B$6="No",ROUNDUP($B$3/$I220,0),ROUNDUP(($B$3+$I220)/$I220,0)),IF($B$6="No",ROUNDUP($B$4/$G220,0),ROUNDUP(($B$4+$G220)/$G220,0)),ROUNDUP('BVMS checklist'!$H$217/$J220,0))&gt;1,'BVMS checklist'!$H$224,'BVMS checklist'!$H$217)</f>
        <v>0</v>
      </c>
      <c r="N220" s="398">
        <f t="shared" ca="1" si="709"/>
        <v>2</v>
      </c>
      <c r="O220" s="400">
        <f t="shared" ca="1" si="660"/>
        <v>2</v>
      </c>
      <c r="P220" s="400">
        <f t="shared" ca="1" si="700"/>
        <v>5350</v>
      </c>
      <c r="Q220" s="400">
        <f t="shared" ca="1" si="701"/>
        <v>0</v>
      </c>
      <c r="R220" s="398">
        <f t="shared" ca="1" si="702"/>
        <v>670200</v>
      </c>
      <c r="S220" s="401" t="str">
        <f t="shared" ca="1" si="710"/>
        <v/>
      </c>
      <c r="T220" s="398">
        <f t="shared" ca="1" si="711"/>
        <v>1280</v>
      </c>
      <c r="U220" s="400">
        <f ca="1">IF(MAX(IF($B$6="No",ROUNDUP($B$3/$I220,0),ROUNDUP(($B$3+$I220)/$I220,0)),IF($B$6="No",ROUNDUP($B$4/$G220,0),ROUNDUP(($B$4+$G220)/$G220,0)),ROUNDUP('BVMS checklist'!$H$217/$J220,0))&gt;1,'BVMS checklist'!$H$224,'BVMS checklist'!$H$217)+MAX(IF($B$6="No",ROUNDUP($B$3/$I220,0),ROUNDUP(($B$3+$I220)/$I220,0)),IF($B$6="No",ROUNDUP($B$4/$G220,0),ROUNDUP(($B$4+$G220)/$G220,0)))+$B$5</f>
        <v>1</v>
      </c>
      <c r="V220" s="400" t="b">
        <f t="shared" ca="1" si="703"/>
        <v>1</v>
      </c>
      <c r="W220" s="400" t="str">
        <f t="shared" ca="1" si="661"/>
        <v>Accepted</v>
      </c>
      <c r="X220" s="398" t="str">
        <f t="shared" ca="1" si="712"/>
        <v>No</v>
      </c>
      <c r="Y220" s="398" t="str">
        <f t="shared" ca="1" si="713"/>
        <v/>
      </c>
      <c r="Z220" s="398" t="str">
        <f t="shared" ca="1" si="714"/>
        <v/>
      </c>
      <c r="AA220" s="398">
        <f t="shared" ca="1" si="662"/>
        <v>6</v>
      </c>
      <c r="AB220" s="398">
        <f t="shared" ca="1" si="704"/>
        <v>2</v>
      </c>
      <c r="AC220" s="398">
        <f t="shared" ca="1" si="705"/>
        <v>768</v>
      </c>
      <c r="AD220" s="398">
        <f t="shared" ca="1" si="663"/>
        <v>670200</v>
      </c>
      <c r="AE220" s="399">
        <f t="shared" si="692"/>
        <v>0</v>
      </c>
      <c r="AF220" s="399">
        <f t="shared" si="693"/>
        <v>0</v>
      </c>
      <c r="AG220" s="483" t="str">
        <f t="shared" ca="1" si="715"/>
        <v/>
      </c>
      <c r="AH220" s="400">
        <f ca="1">IF(MAX(IF($C$6="No",ROUNDUP($C$3/$I220,0),ROUNDUP(($C$3+$I220)/$I220,0)),IF($C$6="No",ROUNDUP($C$4/$G220,0),ROUNDUP(($C$4+$G220)/$G220,0)),ROUNDUP('BVMS checklist'!$H$217/$J220,0))&gt;1,'BVMS checklist'!$J$224,'BVMS checklist'!$J$217)</f>
        <v>0</v>
      </c>
      <c r="AI220" s="398">
        <f t="shared" ca="1" si="716"/>
        <v>2</v>
      </c>
      <c r="AJ220" s="400">
        <f t="shared" ca="1" si="664"/>
        <v>2</v>
      </c>
      <c r="AK220" s="400">
        <f t="shared" ca="1" si="665"/>
        <v>5350</v>
      </c>
      <c r="AL220" s="400">
        <f t="shared" ca="1" si="666"/>
        <v>0</v>
      </c>
      <c r="AM220" s="398">
        <f t="shared" ca="1" si="667"/>
        <v>670200</v>
      </c>
      <c r="AN220" s="401" t="str">
        <f t="shared" ca="1" si="717"/>
        <v/>
      </c>
      <c r="AO220" s="398">
        <f t="shared" ca="1" si="668"/>
        <v>1280</v>
      </c>
      <c r="AP220" s="400">
        <f ca="1">IF(MAX(IF($C$6="No",ROUNDUP($C$3/$I220,0),ROUNDUP(($C$3+$I220)/$I220,0)),IF($C$6="No",ROUNDUP($C$4/$G220,0),ROUNDUP(($C$4+$G220)/$G220,0)),ROUNDUP('BVMS checklist'!$H$217/$J220,0))&gt;1,'BVMS checklist'!$J$224,'BVMS checklist'!$J$217)+MAX(IF($C$6="No",ROUNDUP($C$3/$I220,0),ROUNDUP(($C$3+$I220)/$I220,0)),IF($C$6="No",ROUNDUP($C$4/$G220,0),ROUNDUP(($C$4+$G220)/$G220,0)))+$C$5</f>
        <v>1</v>
      </c>
      <c r="AQ220" s="400" t="b">
        <f t="shared" ca="1" si="706"/>
        <v>1</v>
      </c>
      <c r="AR220" s="400" t="str">
        <f t="shared" ca="1" si="669"/>
        <v>Accepted</v>
      </c>
      <c r="AS220" s="398" t="str">
        <f t="shared" ca="1" si="655"/>
        <v>No</v>
      </c>
      <c r="AT220" s="398" t="str">
        <f t="shared" ca="1" si="670"/>
        <v/>
      </c>
      <c r="AU220" s="398" t="str">
        <f t="shared" ca="1" si="718"/>
        <v/>
      </c>
      <c r="AV220" s="398">
        <f t="shared" ca="1" si="719"/>
        <v>6</v>
      </c>
      <c r="AW220" s="398">
        <f t="shared" ca="1" si="671"/>
        <v>2</v>
      </c>
      <c r="AX220" s="398">
        <f t="shared" ca="1" si="672"/>
        <v>768</v>
      </c>
      <c r="AY220" s="398">
        <f t="shared" ca="1" si="673"/>
        <v>670200</v>
      </c>
      <c r="AZ220" s="399">
        <f t="shared" si="694"/>
        <v>0</v>
      </c>
      <c r="BA220" s="399">
        <f t="shared" si="695"/>
        <v>0</v>
      </c>
      <c r="BB220" s="483" t="str">
        <f t="shared" ca="1" si="720"/>
        <v/>
      </c>
      <c r="BC220" s="400">
        <f ca="1">IF(MAX(IF($D$6="No",ROUNDUP($D$3/$I220,0),ROUNDUP(($D$3+$I220)/$I220,0)),IF($D$6="No",ROUNDUP($D$4/$G220,0),ROUNDUP(($D$4+$G220)/$G220,0)),ROUNDUP('BVMS checklist'!$H$217/$J220,0))&gt;1,'BVMS checklist'!$L$224,'BVMS checklist'!$L$217)</f>
        <v>0</v>
      </c>
      <c r="BD220" s="398">
        <f t="shared" ca="1" si="721"/>
        <v>2</v>
      </c>
      <c r="BE220" s="400">
        <f t="shared" si="674"/>
        <v>1</v>
      </c>
      <c r="BF220" s="400">
        <f t="shared" si="675"/>
        <v>2675</v>
      </c>
      <c r="BG220" s="400">
        <f t="shared" ca="1" si="656"/>
        <v>0</v>
      </c>
      <c r="BH220" s="398">
        <f t="shared" ca="1" si="676"/>
        <v>670200</v>
      </c>
      <c r="BI220" s="401" t="str">
        <f t="shared" ca="1" si="722"/>
        <v/>
      </c>
      <c r="BJ220" s="398">
        <f t="shared" ca="1" si="677"/>
        <v>1280</v>
      </c>
      <c r="BK220" s="400">
        <f ca="1">IF(MAX(IF($D$6="No",ROUNDUP($D$3/$I220,0),ROUNDUP(($D$3+$I220)/$I220,0)),IF($D$6="No",ROUNDUP($D$4/$G220,0),ROUNDUP(($D$4+$G220)/$G220,0)),ROUNDUP('BVMS checklist'!$H$217/$J220,0))&gt;1,'BVMS checklist'!$L$224,'BVMS checklist'!$L$217)+MAX(IF($D$6="No",ROUNDUP($D$3/$I220,0),ROUNDUP(($D$3+$I220)/$I220,0)),IF($D$6="No",ROUNDUP($D$4/$G220,0),ROUNDUP(($D$4+$G220)/$G220,0)))+$D$5</f>
        <v>1</v>
      </c>
      <c r="BL220" s="400" t="b">
        <f t="shared" ca="1" si="707"/>
        <v>1</v>
      </c>
      <c r="BM220" s="400" t="str">
        <f t="shared" ca="1" si="678"/>
        <v>Accepted</v>
      </c>
      <c r="BN220" s="398" t="str">
        <f t="shared" ca="1" si="657"/>
        <v>No</v>
      </c>
      <c r="BO220" s="398" t="str">
        <f t="shared" ca="1" si="679"/>
        <v/>
      </c>
      <c r="BP220" s="398" t="str">
        <f t="shared" ca="1" si="723"/>
        <v/>
      </c>
      <c r="BQ220" s="398">
        <f t="shared" ca="1" si="724"/>
        <v>6</v>
      </c>
      <c r="BR220" s="398">
        <f t="shared" ca="1" si="680"/>
        <v>2</v>
      </c>
      <c r="BS220" s="398">
        <f t="shared" ca="1" si="681"/>
        <v>768</v>
      </c>
      <c r="BT220" s="398">
        <f t="shared" ca="1" si="682"/>
        <v>670200</v>
      </c>
      <c r="BU220" s="399">
        <f t="shared" si="696"/>
        <v>0</v>
      </c>
      <c r="BV220" s="399">
        <f t="shared" si="697"/>
        <v>0</v>
      </c>
      <c r="BW220" s="483" t="str">
        <f t="shared" ca="1" si="725"/>
        <v/>
      </c>
      <c r="BX220" s="400">
        <f ca="1">IF(MAX(IF($E$6="No",ROUNDUP($E$3/$I220,0),ROUNDUP(($E$3+$I220)/$I220,0)),IF($E$6="No",ROUNDUP($E$4/$G220,0),ROUNDUP(($E$4+$G220)/$G220,0)),ROUNDUP('BVMS checklist'!$H$217/$J220,0))&gt;1,'BVMS checklist'!$N$224,'BVMS checklist'!$N$217)</f>
        <v>0</v>
      </c>
      <c r="BY220" s="398">
        <f t="shared" ca="1" si="726"/>
        <v>2</v>
      </c>
      <c r="BZ220" s="400">
        <f t="shared" ca="1" si="683"/>
        <v>2</v>
      </c>
      <c r="CA220" s="400">
        <f t="shared" ca="1" si="684"/>
        <v>5350</v>
      </c>
      <c r="CB220" s="400">
        <f t="shared" ca="1" si="658"/>
        <v>0</v>
      </c>
      <c r="CC220" s="398">
        <f t="shared" ca="1" si="685"/>
        <v>670200</v>
      </c>
      <c r="CD220" s="401" t="str">
        <f t="shared" ca="1" si="727"/>
        <v/>
      </c>
      <c r="CE220" s="398">
        <f t="shared" ca="1" si="686"/>
        <v>1280</v>
      </c>
      <c r="CF220" s="400">
        <f ca="1">IF(MAX(IF($E$6="No",ROUNDUP($E$3/$I220,0),ROUNDUP(($E$3+$I220)/$I220,0)),IF($E$6="No",ROUNDUP($E$4/$G220,0),ROUNDUP(($E$4+$G220)/$G220,0)),ROUNDUP('BVMS checklist'!$H$217/$J220,0))&gt;1,'BVMS checklist'!$N$224,'BVMS checklist'!$N$217)+MAX(IF($E$6="No",ROUNDUP($E$3/$I220,0),ROUNDUP(($E$3+$I220)/$I220,0)),IF($E$6="No",ROUNDUP($E$4/$G220,0),ROUNDUP(($E$4+$G220)/$G220,0)))+$E$5</f>
        <v>1</v>
      </c>
      <c r="CG220" s="400" t="b">
        <f t="shared" ca="1" si="708"/>
        <v>1</v>
      </c>
      <c r="CH220" s="400" t="str">
        <f t="shared" ca="1" si="687"/>
        <v>Accepted</v>
      </c>
      <c r="CI220" s="398" t="str">
        <f t="shared" ca="1" si="659"/>
        <v>No</v>
      </c>
      <c r="CJ220" s="398" t="str">
        <f t="shared" ca="1" si="688"/>
        <v/>
      </c>
      <c r="CK220" s="398" t="str">
        <f t="shared" ca="1" si="728"/>
        <v/>
      </c>
      <c r="CL220" s="398">
        <f t="shared" ca="1" si="729"/>
        <v>6</v>
      </c>
      <c r="CM220" s="398">
        <f t="shared" ca="1" si="689"/>
        <v>2</v>
      </c>
      <c r="CN220" s="398">
        <f t="shared" ca="1" si="690"/>
        <v>768</v>
      </c>
      <c r="CO220" s="398">
        <f t="shared" ca="1" si="691"/>
        <v>670200</v>
      </c>
      <c r="CP220" s="399">
        <f t="shared" si="698"/>
        <v>0</v>
      </c>
      <c r="CQ220" s="399">
        <f t="shared" si="699"/>
        <v>0</v>
      </c>
      <c r="CR220" s="483" t="str">
        <f t="shared" ca="1" si="730"/>
        <v/>
      </c>
      <c r="CS220"/>
    </row>
    <row r="221" spans="1:97">
      <c r="A221" s="398" t="s">
        <v>515</v>
      </c>
      <c r="B221" s="398" t="s">
        <v>987</v>
      </c>
      <c r="C221" s="440" t="s">
        <v>891</v>
      </c>
      <c r="D221" s="398">
        <v>2</v>
      </c>
      <c r="E221" s="398"/>
      <c r="F221" s="440">
        <v>0</v>
      </c>
      <c r="G221" s="398">
        <f>IF(C221="RAID5",(((15-F221)*7448))+(1*(((7-F221)*5586))),(((14-F221)*7448))+(1*(((6-F221)*5586))))</f>
        <v>150822</v>
      </c>
      <c r="H221" s="399">
        <v>176</v>
      </c>
      <c r="I221" s="399">
        <v>1025</v>
      </c>
      <c r="J221" s="399">
        <v>256</v>
      </c>
      <c r="K221" s="399"/>
      <c r="L221" s="399"/>
      <c r="M221" s="400">
        <f ca="1">IF(MAX(IF($B$6="No",ROUNDUP($B$3/$I221,0),ROUNDUP(($B$3+$I221)/$I221,0)),IF($B$6="No",ROUNDUP($B$4/$G221,0),ROUNDUP(($B$4+$G221)/$G221,0)),ROUNDUP('BVMS checklist'!$H$217/$J221,0))&gt;1,'BVMS checklist'!$H$224,'BVMS checklist'!$H$217)</f>
        <v>0</v>
      </c>
      <c r="N221" s="398">
        <f t="shared" ca="1" si="709"/>
        <v>2</v>
      </c>
      <c r="O221" s="400">
        <f t="shared" ca="1" si="660"/>
        <v>2</v>
      </c>
      <c r="P221" s="400">
        <f t="shared" ca="1" si="700"/>
        <v>2050</v>
      </c>
      <c r="Q221" s="400">
        <f t="shared" ca="1" si="701"/>
        <v>0</v>
      </c>
      <c r="R221" s="398">
        <f t="shared" ca="1" si="702"/>
        <v>301644</v>
      </c>
      <c r="S221" s="401" t="str">
        <f t="shared" ca="1" si="710"/>
        <v/>
      </c>
      <c r="T221" s="398">
        <f t="shared" ca="1" si="711"/>
        <v>512</v>
      </c>
      <c r="U221" s="400">
        <f ca="1">IF(MAX(IF($B$6="No",ROUNDUP($B$3/$I221,0),ROUNDUP(($B$3+$I221)/$I221,0)),IF($B$6="No",ROUNDUP($B$4/$G221,0),ROUNDUP(($B$4+$G221)/$G221,0)),ROUNDUP('BVMS checklist'!$H$217/$J221,0))&gt;1,'BVMS checklist'!$H$224,'BVMS checklist'!$H$217)+MAX(IF($B$6="No",ROUNDUP($B$3/$I221,0),ROUNDUP(($B$3+$I221)/$I221,0)),IF($B$6="No",ROUNDUP($B$4/$G221,0),ROUNDUP(($B$4+$G221)/$G221,0)))+$B$5</f>
        <v>1</v>
      </c>
      <c r="V221" s="400" t="b">
        <f t="shared" ca="1" si="703"/>
        <v>1</v>
      </c>
      <c r="W221" s="400" t="str">
        <f t="shared" ca="1" si="661"/>
        <v>Accepted</v>
      </c>
      <c r="X221" s="398" t="str">
        <f t="shared" ca="1" si="712"/>
        <v>No</v>
      </c>
      <c r="Y221" s="398" t="str">
        <f t="shared" ca="1" si="713"/>
        <v/>
      </c>
      <c r="Z221" s="398" t="str">
        <f t="shared" ca="1" si="714"/>
        <v/>
      </c>
      <c r="AA221" s="398">
        <f t="shared" ca="1" si="662"/>
        <v>6</v>
      </c>
      <c r="AB221" s="398">
        <f t="shared" ca="1" si="704"/>
        <v>2</v>
      </c>
      <c r="AC221" s="398">
        <f t="shared" ca="1" si="705"/>
        <v>352</v>
      </c>
      <c r="AD221" s="398">
        <f t="shared" ca="1" si="663"/>
        <v>301644</v>
      </c>
      <c r="AE221" s="399">
        <f t="shared" si="692"/>
        <v>0</v>
      </c>
      <c r="AF221" s="399">
        <f t="shared" si="693"/>
        <v>0</v>
      </c>
      <c r="AG221" s="483" t="str">
        <f t="shared" ca="1" si="715"/>
        <v/>
      </c>
      <c r="AH221" s="400">
        <f ca="1">IF(MAX(IF($C$6="No",ROUNDUP($C$3/$I221,0),ROUNDUP(($C$3+$I221)/$I221,0)),IF($C$6="No",ROUNDUP($C$4/$G221,0),ROUNDUP(($C$4+$G221)/$G221,0)),ROUNDUP('BVMS checklist'!$H$217/$J221,0))&gt;1,'BVMS checklist'!$J$224,'BVMS checklist'!$J$217)</f>
        <v>0</v>
      </c>
      <c r="AI221" s="398">
        <f t="shared" ca="1" si="716"/>
        <v>2</v>
      </c>
      <c r="AJ221" s="400">
        <f t="shared" ca="1" si="664"/>
        <v>2</v>
      </c>
      <c r="AK221" s="400">
        <f t="shared" ca="1" si="665"/>
        <v>2050</v>
      </c>
      <c r="AL221" s="400">
        <f t="shared" ca="1" si="666"/>
        <v>0</v>
      </c>
      <c r="AM221" s="398">
        <f t="shared" ca="1" si="667"/>
        <v>301644</v>
      </c>
      <c r="AN221" s="401" t="str">
        <f t="shared" ca="1" si="717"/>
        <v/>
      </c>
      <c r="AO221" s="398">
        <f t="shared" ca="1" si="668"/>
        <v>512</v>
      </c>
      <c r="AP221" s="400">
        <f ca="1">IF(MAX(IF($C$6="No",ROUNDUP($C$3/$I221,0),ROUNDUP(($C$3+$I221)/$I221,0)),IF($C$6="No",ROUNDUP($C$4/$G221,0),ROUNDUP(($C$4+$G221)/$G221,0)),ROUNDUP('BVMS checklist'!$H$217/$J221,0))&gt;1,'BVMS checklist'!$J$224,'BVMS checklist'!$J$217)+MAX(IF($C$6="No",ROUNDUP($C$3/$I221,0),ROUNDUP(($C$3+$I221)/$I221,0)),IF($C$6="No",ROUNDUP($C$4/$G221,0),ROUNDUP(($C$4+$G221)/$G221,0)))+$C$5</f>
        <v>1</v>
      </c>
      <c r="AQ221" s="400" t="b">
        <f t="shared" ca="1" si="706"/>
        <v>1</v>
      </c>
      <c r="AR221" s="400" t="str">
        <f t="shared" ca="1" si="669"/>
        <v>Accepted</v>
      </c>
      <c r="AS221" s="398" t="str">
        <f t="shared" ca="1" si="655"/>
        <v>No</v>
      </c>
      <c r="AT221" s="398" t="str">
        <f t="shared" ca="1" si="670"/>
        <v/>
      </c>
      <c r="AU221" s="398" t="str">
        <f t="shared" ca="1" si="718"/>
        <v/>
      </c>
      <c r="AV221" s="398">
        <f t="shared" ca="1" si="719"/>
        <v>6</v>
      </c>
      <c r="AW221" s="398">
        <f t="shared" ca="1" si="671"/>
        <v>2</v>
      </c>
      <c r="AX221" s="398">
        <f t="shared" ca="1" si="672"/>
        <v>352</v>
      </c>
      <c r="AY221" s="398">
        <f t="shared" ca="1" si="673"/>
        <v>301644</v>
      </c>
      <c r="AZ221" s="399">
        <f t="shared" si="694"/>
        <v>0</v>
      </c>
      <c r="BA221" s="399">
        <f t="shared" si="695"/>
        <v>0</v>
      </c>
      <c r="BB221" s="483" t="str">
        <f t="shared" ca="1" si="720"/>
        <v/>
      </c>
      <c r="BC221" s="400">
        <f ca="1">IF(MAX(IF($D$6="No",ROUNDUP($D$3/$I221,0),ROUNDUP(($D$3+$I221)/$I221,0)),IF($D$6="No",ROUNDUP($D$4/$G221,0),ROUNDUP(($D$4+$G221)/$G221,0)),ROUNDUP('BVMS checklist'!$H$217/$J221,0))&gt;1,'BVMS checklist'!$L$224,'BVMS checklist'!$L$217)</f>
        <v>0</v>
      </c>
      <c r="BD221" s="398">
        <f t="shared" ca="1" si="721"/>
        <v>2</v>
      </c>
      <c r="BE221" s="400">
        <f t="shared" si="674"/>
        <v>1</v>
      </c>
      <c r="BF221" s="400">
        <f t="shared" si="675"/>
        <v>1025</v>
      </c>
      <c r="BG221" s="400">
        <f t="shared" ca="1" si="656"/>
        <v>0</v>
      </c>
      <c r="BH221" s="398">
        <f t="shared" ca="1" si="676"/>
        <v>301644</v>
      </c>
      <c r="BI221" s="401" t="str">
        <f t="shared" ca="1" si="722"/>
        <v/>
      </c>
      <c r="BJ221" s="398">
        <f t="shared" ca="1" si="677"/>
        <v>512</v>
      </c>
      <c r="BK221" s="400">
        <f ca="1">IF(MAX(IF($D$6="No",ROUNDUP($D$3/$I221,0),ROUNDUP(($D$3+$I221)/$I221,0)),IF($D$6="No",ROUNDUP($D$4/$G221,0),ROUNDUP(($D$4+$G221)/$G221,0)),ROUNDUP('BVMS checklist'!$H$217/$J221,0))&gt;1,'BVMS checklist'!$L$224,'BVMS checklist'!$L$217)+MAX(IF($D$6="No",ROUNDUP($D$3/$I221,0),ROUNDUP(($D$3+$I221)/$I221,0)),IF($D$6="No",ROUNDUP($D$4/$G221,0),ROUNDUP(($D$4+$G221)/$G221,0)))+$D$5</f>
        <v>1</v>
      </c>
      <c r="BL221" s="400" t="b">
        <f t="shared" ca="1" si="707"/>
        <v>1</v>
      </c>
      <c r="BM221" s="400" t="str">
        <f t="shared" ca="1" si="678"/>
        <v>Accepted</v>
      </c>
      <c r="BN221" s="398" t="str">
        <f t="shared" ca="1" si="657"/>
        <v>No</v>
      </c>
      <c r="BO221" s="398" t="str">
        <f t="shared" ca="1" si="679"/>
        <v/>
      </c>
      <c r="BP221" s="398" t="str">
        <f t="shared" ca="1" si="723"/>
        <v/>
      </c>
      <c r="BQ221" s="398">
        <f t="shared" ca="1" si="724"/>
        <v>6</v>
      </c>
      <c r="BR221" s="398">
        <f t="shared" ca="1" si="680"/>
        <v>2</v>
      </c>
      <c r="BS221" s="398">
        <f t="shared" ca="1" si="681"/>
        <v>352</v>
      </c>
      <c r="BT221" s="398">
        <f t="shared" ca="1" si="682"/>
        <v>301644</v>
      </c>
      <c r="BU221" s="399">
        <f t="shared" si="696"/>
        <v>0</v>
      </c>
      <c r="BV221" s="399">
        <f t="shared" si="697"/>
        <v>0</v>
      </c>
      <c r="BW221" s="483" t="str">
        <f t="shared" ca="1" si="725"/>
        <v/>
      </c>
      <c r="BX221" s="400">
        <f ca="1">IF(MAX(IF($E$6="No",ROUNDUP($E$3/$I221,0),ROUNDUP(($E$3+$I221)/$I221,0)),IF($E$6="No",ROUNDUP($E$4/$G221,0),ROUNDUP(($E$4+$G221)/$G221,0)),ROUNDUP('BVMS checklist'!$H$217/$J221,0))&gt;1,'BVMS checklist'!$N$224,'BVMS checklist'!$N$217)</f>
        <v>0</v>
      </c>
      <c r="BY221" s="398">
        <f t="shared" ca="1" si="726"/>
        <v>2</v>
      </c>
      <c r="BZ221" s="400">
        <f t="shared" ca="1" si="683"/>
        <v>2</v>
      </c>
      <c r="CA221" s="400">
        <f t="shared" ca="1" si="684"/>
        <v>2050</v>
      </c>
      <c r="CB221" s="400">
        <f t="shared" ca="1" si="658"/>
        <v>0</v>
      </c>
      <c r="CC221" s="398">
        <f t="shared" ca="1" si="685"/>
        <v>301644</v>
      </c>
      <c r="CD221" s="401" t="str">
        <f t="shared" ca="1" si="727"/>
        <v/>
      </c>
      <c r="CE221" s="398">
        <f t="shared" ca="1" si="686"/>
        <v>512</v>
      </c>
      <c r="CF221" s="400">
        <f ca="1">IF(MAX(IF($E$6="No",ROUNDUP($E$3/$I221,0),ROUNDUP(($E$3+$I221)/$I221,0)),IF($E$6="No",ROUNDUP($E$4/$G221,0),ROUNDUP(($E$4+$G221)/$G221,0)),ROUNDUP('BVMS checklist'!$H$217/$J221,0))&gt;1,'BVMS checklist'!$N$224,'BVMS checklist'!$N$217)+MAX(IF($E$6="No",ROUNDUP($E$3/$I221,0),ROUNDUP(($E$3+$I221)/$I221,0)),IF($E$6="No",ROUNDUP($E$4/$G221,0),ROUNDUP(($E$4+$G221)/$G221,0)))+$E$5</f>
        <v>1</v>
      </c>
      <c r="CG221" s="400" t="b">
        <f t="shared" ca="1" si="708"/>
        <v>1</v>
      </c>
      <c r="CH221" s="400" t="str">
        <f t="shared" ca="1" si="687"/>
        <v>Accepted</v>
      </c>
      <c r="CI221" s="398" t="str">
        <f t="shared" ca="1" si="659"/>
        <v>No</v>
      </c>
      <c r="CJ221" s="398" t="str">
        <f t="shared" ca="1" si="688"/>
        <v/>
      </c>
      <c r="CK221" s="398" t="str">
        <f t="shared" ca="1" si="728"/>
        <v/>
      </c>
      <c r="CL221" s="398">
        <f t="shared" ca="1" si="729"/>
        <v>6</v>
      </c>
      <c r="CM221" s="398">
        <f t="shared" ca="1" si="689"/>
        <v>2</v>
      </c>
      <c r="CN221" s="398">
        <f t="shared" ca="1" si="690"/>
        <v>352</v>
      </c>
      <c r="CO221" s="398">
        <f t="shared" ca="1" si="691"/>
        <v>301644</v>
      </c>
      <c r="CP221" s="399">
        <f t="shared" si="698"/>
        <v>0</v>
      </c>
      <c r="CQ221" s="399">
        <f t="shared" si="699"/>
        <v>0</v>
      </c>
      <c r="CR221" s="483" t="str">
        <f t="shared" ca="1" si="730"/>
        <v/>
      </c>
      <c r="CS221"/>
    </row>
    <row r="222" spans="1:97">
      <c r="A222" s="398" t="s">
        <v>516</v>
      </c>
      <c r="B222" s="398" t="s">
        <v>987</v>
      </c>
      <c r="C222" s="440" t="s">
        <v>891</v>
      </c>
      <c r="D222" s="398">
        <v>3</v>
      </c>
      <c r="E222" s="398"/>
      <c r="F222" s="440">
        <v>0</v>
      </c>
      <c r="G222" s="398">
        <f>IF(C222="RAID5",(((15-F222)*7448))+(2*(((7-F222)*5586))),(((14-F222)*7448))+(2*(((6-F222)*5586))))</f>
        <v>189924</v>
      </c>
      <c r="H222" s="399">
        <v>224</v>
      </c>
      <c r="I222" s="399">
        <v>1575</v>
      </c>
      <c r="J222" s="399">
        <v>384</v>
      </c>
      <c r="K222" s="399"/>
      <c r="L222" s="399"/>
      <c r="M222" s="400">
        <f ca="1">IF(MAX(IF($B$6="No",ROUNDUP($B$3/$I222,0),ROUNDUP(($B$3+$I222)/$I222,0)),IF($B$6="No",ROUNDUP($B$4/$G222,0),ROUNDUP(($B$4+$G222)/$G222,0)),ROUNDUP('BVMS checklist'!$H$217/$J222,0))&gt;1,'BVMS checklist'!$H$224,'BVMS checklist'!$H$217)</f>
        <v>0</v>
      </c>
      <c r="N222" s="398">
        <f t="shared" ca="1" si="709"/>
        <v>2</v>
      </c>
      <c r="O222" s="400">
        <f t="shared" ca="1" si="660"/>
        <v>2</v>
      </c>
      <c r="P222" s="400">
        <f t="shared" ca="1" si="700"/>
        <v>3150</v>
      </c>
      <c r="Q222" s="400">
        <f t="shared" ca="1" si="701"/>
        <v>0</v>
      </c>
      <c r="R222" s="398">
        <f t="shared" ca="1" si="702"/>
        <v>379848</v>
      </c>
      <c r="S222" s="401" t="str">
        <f t="shared" ca="1" si="710"/>
        <v/>
      </c>
      <c r="T222" s="398">
        <f t="shared" ca="1" si="711"/>
        <v>768</v>
      </c>
      <c r="U222" s="400">
        <f ca="1">IF(MAX(IF($B$6="No",ROUNDUP($B$3/$I222,0),ROUNDUP(($B$3+$I222)/$I222,0)),IF($B$6="No",ROUNDUP($B$4/$G222,0),ROUNDUP(($B$4+$G222)/$G222,0)),ROUNDUP('BVMS checklist'!$H$217/$J222,0))&gt;1,'BVMS checklist'!$H$224,'BVMS checklist'!$H$217)+MAX(IF($B$6="No",ROUNDUP($B$3/$I222,0),ROUNDUP(($B$3+$I222)/$I222,0)),IF($B$6="No",ROUNDUP($B$4/$G222,0),ROUNDUP(($B$4+$G222)/$G222,0)))+$B$5</f>
        <v>1</v>
      </c>
      <c r="V222" s="400" t="b">
        <f t="shared" ca="1" si="703"/>
        <v>1</v>
      </c>
      <c r="W222" s="400" t="str">
        <f t="shared" ca="1" si="661"/>
        <v>Accepted</v>
      </c>
      <c r="X222" s="398" t="str">
        <f t="shared" ca="1" si="712"/>
        <v>No</v>
      </c>
      <c r="Y222" s="398" t="str">
        <f t="shared" ca="1" si="713"/>
        <v/>
      </c>
      <c r="Z222" s="398" t="str">
        <f t="shared" ca="1" si="714"/>
        <v/>
      </c>
      <c r="AA222" s="398">
        <f t="shared" ca="1" si="662"/>
        <v>6</v>
      </c>
      <c r="AB222" s="398">
        <f t="shared" ca="1" si="704"/>
        <v>2</v>
      </c>
      <c r="AC222" s="398">
        <f t="shared" ca="1" si="705"/>
        <v>448</v>
      </c>
      <c r="AD222" s="398">
        <f t="shared" ca="1" si="663"/>
        <v>379848</v>
      </c>
      <c r="AE222" s="399">
        <f t="shared" si="692"/>
        <v>0</v>
      </c>
      <c r="AF222" s="399">
        <f t="shared" si="693"/>
        <v>0</v>
      </c>
      <c r="AG222" s="483" t="str">
        <f t="shared" ca="1" si="715"/>
        <v/>
      </c>
      <c r="AH222" s="400">
        <f ca="1">IF(MAX(IF($C$6="No",ROUNDUP($C$3/$I222,0),ROUNDUP(($C$3+$I222)/$I222,0)),IF($C$6="No",ROUNDUP($C$4/$G222,0),ROUNDUP(($C$4+$G222)/$G222,0)),ROUNDUP('BVMS checklist'!$H$217/$J222,0))&gt;1,'BVMS checklist'!$J$224,'BVMS checklist'!$J$217)</f>
        <v>0</v>
      </c>
      <c r="AI222" s="398">
        <f t="shared" ca="1" si="716"/>
        <v>2</v>
      </c>
      <c r="AJ222" s="400">
        <f t="shared" ca="1" si="664"/>
        <v>2</v>
      </c>
      <c r="AK222" s="400">
        <f t="shared" ca="1" si="665"/>
        <v>3150</v>
      </c>
      <c r="AL222" s="400">
        <f t="shared" ca="1" si="666"/>
        <v>0</v>
      </c>
      <c r="AM222" s="398">
        <f t="shared" ca="1" si="667"/>
        <v>379848</v>
      </c>
      <c r="AN222" s="401" t="str">
        <f t="shared" ca="1" si="717"/>
        <v/>
      </c>
      <c r="AO222" s="398">
        <f t="shared" ca="1" si="668"/>
        <v>768</v>
      </c>
      <c r="AP222" s="400">
        <f ca="1">IF(MAX(IF($C$6="No",ROUNDUP($C$3/$I222,0),ROUNDUP(($C$3+$I222)/$I222,0)),IF($C$6="No",ROUNDUP($C$4/$G222,0),ROUNDUP(($C$4+$G222)/$G222,0)),ROUNDUP('BVMS checklist'!$H$217/$J222,0))&gt;1,'BVMS checklist'!$J$224,'BVMS checklist'!$J$217)+MAX(IF($C$6="No",ROUNDUP($C$3/$I222,0),ROUNDUP(($C$3+$I222)/$I222,0)),IF($C$6="No",ROUNDUP($C$4/$G222,0),ROUNDUP(($C$4+$G222)/$G222,0)))+$C$5</f>
        <v>1</v>
      </c>
      <c r="AQ222" s="400" t="b">
        <f t="shared" ca="1" si="706"/>
        <v>1</v>
      </c>
      <c r="AR222" s="400" t="str">
        <f t="shared" ca="1" si="669"/>
        <v>Accepted</v>
      </c>
      <c r="AS222" s="398" t="str">
        <f t="shared" ca="1" si="655"/>
        <v>No</v>
      </c>
      <c r="AT222" s="398" t="str">
        <f t="shared" ca="1" si="670"/>
        <v/>
      </c>
      <c r="AU222" s="398" t="str">
        <f t="shared" ca="1" si="718"/>
        <v/>
      </c>
      <c r="AV222" s="398">
        <f t="shared" ca="1" si="719"/>
        <v>6</v>
      </c>
      <c r="AW222" s="398">
        <f t="shared" ca="1" si="671"/>
        <v>2</v>
      </c>
      <c r="AX222" s="398">
        <f t="shared" ca="1" si="672"/>
        <v>448</v>
      </c>
      <c r="AY222" s="398">
        <f t="shared" ca="1" si="673"/>
        <v>379848</v>
      </c>
      <c r="AZ222" s="399">
        <f t="shared" si="694"/>
        <v>0</v>
      </c>
      <c r="BA222" s="399">
        <f t="shared" si="695"/>
        <v>0</v>
      </c>
      <c r="BB222" s="483" t="str">
        <f t="shared" ca="1" si="720"/>
        <v/>
      </c>
      <c r="BC222" s="400">
        <f ca="1">IF(MAX(IF($D$6="No",ROUNDUP($D$3/$I222,0),ROUNDUP(($D$3+$I222)/$I222,0)),IF($D$6="No",ROUNDUP($D$4/$G222,0),ROUNDUP(($D$4+$G222)/$G222,0)),ROUNDUP('BVMS checklist'!$H$217/$J222,0))&gt;1,'BVMS checklist'!$L$224,'BVMS checklist'!$L$217)</f>
        <v>0</v>
      </c>
      <c r="BD222" s="398">
        <f t="shared" ca="1" si="721"/>
        <v>2</v>
      </c>
      <c r="BE222" s="400">
        <f t="shared" si="674"/>
        <v>1</v>
      </c>
      <c r="BF222" s="400">
        <f t="shared" si="675"/>
        <v>1575</v>
      </c>
      <c r="BG222" s="400">
        <f t="shared" ca="1" si="656"/>
        <v>0</v>
      </c>
      <c r="BH222" s="398">
        <f t="shared" ca="1" si="676"/>
        <v>379848</v>
      </c>
      <c r="BI222" s="401" t="str">
        <f t="shared" ca="1" si="722"/>
        <v/>
      </c>
      <c r="BJ222" s="398">
        <f t="shared" ca="1" si="677"/>
        <v>768</v>
      </c>
      <c r="BK222" s="400">
        <f ca="1">IF(MAX(IF($D$6="No",ROUNDUP($D$3/$I222,0),ROUNDUP(($D$3+$I222)/$I222,0)),IF($D$6="No",ROUNDUP($D$4/$G222,0),ROUNDUP(($D$4+$G222)/$G222,0)),ROUNDUP('BVMS checklist'!$H$217/$J222,0))&gt;1,'BVMS checklist'!$L$224,'BVMS checklist'!$L$217)+MAX(IF($D$6="No",ROUNDUP($D$3/$I222,0),ROUNDUP(($D$3+$I222)/$I222,0)),IF($D$6="No",ROUNDUP($D$4/$G222,0),ROUNDUP(($D$4+$G222)/$G222,0)))+$D$5</f>
        <v>1</v>
      </c>
      <c r="BL222" s="400" t="b">
        <f t="shared" ca="1" si="707"/>
        <v>1</v>
      </c>
      <c r="BM222" s="400" t="str">
        <f t="shared" ca="1" si="678"/>
        <v>Accepted</v>
      </c>
      <c r="BN222" s="398" t="str">
        <f t="shared" ca="1" si="657"/>
        <v>No</v>
      </c>
      <c r="BO222" s="398" t="str">
        <f t="shared" ca="1" si="679"/>
        <v/>
      </c>
      <c r="BP222" s="398" t="str">
        <f t="shared" ca="1" si="723"/>
        <v/>
      </c>
      <c r="BQ222" s="398">
        <f t="shared" ca="1" si="724"/>
        <v>6</v>
      </c>
      <c r="BR222" s="398">
        <f t="shared" ca="1" si="680"/>
        <v>2</v>
      </c>
      <c r="BS222" s="398">
        <f t="shared" ca="1" si="681"/>
        <v>448</v>
      </c>
      <c r="BT222" s="398">
        <f t="shared" ca="1" si="682"/>
        <v>379848</v>
      </c>
      <c r="BU222" s="399">
        <f t="shared" si="696"/>
        <v>0</v>
      </c>
      <c r="BV222" s="399">
        <f t="shared" si="697"/>
        <v>0</v>
      </c>
      <c r="BW222" s="483" t="str">
        <f t="shared" ca="1" si="725"/>
        <v/>
      </c>
      <c r="BX222" s="400">
        <f ca="1">IF(MAX(IF($E$6="No",ROUNDUP($E$3/$I222,0),ROUNDUP(($E$3+$I222)/$I222,0)),IF($E$6="No",ROUNDUP($E$4/$G222,0),ROUNDUP(($E$4+$G222)/$G222,0)),ROUNDUP('BVMS checklist'!$H$217/$J222,0))&gt;1,'BVMS checklist'!$N$224,'BVMS checklist'!$N$217)</f>
        <v>0</v>
      </c>
      <c r="BY222" s="398">
        <f t="shared" ca="1" si="726"/>
        <v>2</v>
      </c>
      <c r="BZ222" s="400">
        <f t="shared" ca="1" si="683"/>
        <v>2</v>
      </c>
      <c r="CA222" s="400">
        <f t="shared" ca="1" si="684"/>
        <v>3150</v>
      </c>
      <c r="CB222" s="400">
        <f t="shared" ca="1" si="658"/>
        <v>0</v>
      </c>
      <c r="CC222" s="398">
        <f t="shared" ca="1" si="685"/>
        <v>379848</v>
      </c>
      <c r="CD222" s="401" t="str">
        <f t="shared" ca="1" si="727"/>
        <v/>
      </c>
      <c r="CE222" s="398">
        <f t="shared" ca="1" si="686"/>
        <v>768</v>
      </c>
      <c r="CF222" s="400">
        <f ca="1">IF(MAX(IF($E$6="No",ROUNDUP($E$3/$I222,0),ROUNDUP(($E$3+$I222)/$I222,0)),IF($E$6="No",ROUNDUP($E$4/$G222,0),ROUNDUP(($E$4+$G222)/$G222,0)),ROUNDUP('BVMS checklist'!$H$217/$J222,0))&gt;1,'BVMS checklist'!$N$224,'BVMS checklist'!$N$217)+MAX(IF($E$6="No",ROUNDUP($E$3/$I222,0),ROUNDUP(($E$3+$I222)/$I222,0)),IF($E$6="No",ROUNDUP($E$4/$G222,0),ROUNDUP(($E$4+$G222)/$G222,0)))+$E$5</f>
        <v>1</v>
      </c>
      <c r="CG222" s="400" t="b">
        <f t="shared" ca="1" si="708"/>
        <v>1</v>
      </c>
      <c r="CH222" s="400" t="str">
        <f t="shared" ca="1" si="687"/>
        <v>Accepted</v>
      </c>
      <c r="CI222" s="398" t="str">
        <f t="shared" ca="1" si="659"/>
        <v>No</v>
      </c>
      <c r="CJ222" s="398" t="str">
        <f t="shared" ca="1" si="688"/>
        <v/>
      </c>
      <c r="CK222" s="398" t="str">
        <f t="shared" ca="1" si="728"/>
        <v/>
      </c>
      <c r="CL222" s="398">
        <f t="shared" ca="1" si="729"/>
        <v>6</v>
      </c>
      <c r="CM222" s="398">
        <f t="shared" ca="1" si="689"/>
        <v>2</v>
      </c>
      <c r="CN222" s="398">
        <f t="shared" ca="1" si="690"/>
        <v>448</v>
      </c>
      <c r="CO222" s="398">
        <f t="shared" ca="1" si="691"/>
        <v>379848</v>
      </c>
      <c r="CP222" s="399">
        <f t="shared" si="698"/>
        <v>0</v>
      </c>
      <c r="CQ222" s="399">
        <f t="shared" si="699"/>
        <v>0</v>
      </c>
      <c r="CR222" s="483" t="str">
        <f t="shared" ca="1" si="730"/>
        <v/>
      </c>
      <c r="CS222"/>
    </row>
    <row r="223" spans="1:97">
      <c r="A223" s="398" t="s">
        <v>517</v>
      </c>
      <c r="B223" s="398" t="s">
        <v>987</v>
      </c>
      <c r="C223" s="440" t="s">
        <v>891</v>
      </c>
      <c r="D223" s="398">
        <v>4</v>
      </c>
      <c r="E223" s="398"/>
      <c r="F223" s="440">
        <v>0</v>
      </c>
      <c r="G223" s="398">
        <f>IF(C223="RAID5",(((15-F223)*7448))+(3*(((7-F223)*5586))),(((14-F223)*7448))+(3*(((6-F223)*5586))))</f>
        <v>229026</v>
      </c>
      <c r="H223" s="399">
        <v>272</v>
      </c>
      <c r="I223" s="399">
        <v>2125</v>
      </c>
      <c r="J223" s="399">
        <v>512</v>
      </c>
      <c r="K223" s="399"/>
      <c r="L223" s="399"/>
      <c r="M223" s="400">
        <f ca="1">IF(MAX(IF($B$6="No",ROUNDUP($B$3/$I223,0),ROUNDUP(($B$3+$I223)/$I223,0)),IF($B$6="No",ROUNDUP($B$4/$G223,0),ROUNDUP(($B$4+$G223)/$G223,0)),ROUNDUP('BVMS checklist'!$H$217/$J223,0))&gt;1,'BVMS checklist'!$H$224,'BVMS checklist'!$H$217)</f>
        <v>0</v>
      </c>
      <c r="N223" s="398">
        <f t="shared" ca="1" si="709"/>
        <v>2</v>
      </c>
      <c r="O223" s="400">
        <f t="shared" ca="1" si="660"/>
        <v>2</v>
      </c>
      <c r="P223" s="400">
        <f t="shared" ca="1" si="700"/>
        <v>4250</v>
      </c>
      <c r="Q223" s="400">
        <f t="shared" ca="1" si="701"/>
        <v>0</v>
      </c>
      <c r="R223" s="398">
        <f t="shared" ca="1" si="702"/>
        <v>458052</v>
      </c>
      <c r="S223" s="401" t="str">
        <f t="shared" ca="1" si="710"/>
        <v/>
      </c>
      <c r="T223" s="398">
        <f t="shared" ca="1" si="711"/>
        <v>1024</v>
      </c>
      <c r="U223" s="400">
        <f ca="1">IF(MAX(IF($B$6="No",ROUNDUP($B$3/$I223,0),ROUNDUP(($B$3+$I223)/$I223,0)),IF($B$6="No",ROUNDUP($B$4/$G223,0),ROUNDUP(($B$4+$G223)/$G223,0)),ROUNDUP('BVMS checklist'!$H$217/$J223,0))&gt;1,'BVMS checklist'!$H$224,'BVMS checklist'!$H$217)+MAX(IF($B$6="No",ROUNDUP($B$3/$I223,0),ROUNDUP(($B$3+$I223)/$I223,0)),IF($B$6="No",ROUNDUP($B$4/$G223,0),ROUNDUP(($B$4+$G223)/$G223,0)))+$B$5</f>
        <v>1</v>
      </c>
      <c r="V223" s="400" t="b">
        <f t="shared" ca="1" si="703"/>
        <v>1</v>
      </c>
      <c r="W223" s="400" t="str">
        <f t="shared" ca="1" si="661"/>
        <v>Accepted</v>
      </c>
      <c r="X223" s="398" t="str">
        <f t="shared" ca="1" si="712"/>
        <v>No</v>
      </c>
      <c r="Y223" s="398" t="str">
        <f t="shared" ca="1" si="713"/>
        <v/>
      </c>
      <c r="Z223" s="398" t="str">
        <f t="shared" ca="1" si="714"/>
        <v/>
      </c>
      <c r="AA223" s="398">
        <f t="shared" ca="1" si="662"/>
        <v>6</v>
      </c>
      <c r="AB223" s="398">
        <f t="shared" ca="1" si="704"/>
        <v>2</v>
      </c>
      <c r="AC223" s="398">
        <f t="shared" ca="1" si="705"/>
        <v>544</v>
      </c>
      <c r="AD223" s="398">
        <f t="shared" ca="1" si="663"/>
        <v>458052</v>
      </c>
      <c r="AE223" s="399">
        <f t="shared" si="692"/>
        <v>0</v>
      </c>
      <c r="AF223" s="399">
        <f t="shared" si="693"/>
        <v>0</v>
      </c>
      <c r="AG223" s="483" t="str">
        <f t="shared" ca="1" si="715"/>
        <v/>
      </c>
      <c r="AH223" s="400">
        <f ca="1">IF(MAX(IF($C$6="No",ROUNDUP($C$3/$I223,0),ROUNDUP(($C$3+$I223)/$I223,0)),IF($C$6="No",ROUNDUP($C$4/$G223,0),ROUNDUP(($C$4+$G223)/$G223,0)),ROUNDUP('BVMS checklist'!$H$217/$J223,0))&gt;1,'BVMS checklist'!$J$224,'BVMS checklist'!$J$217)</f>
        <v>0</v>
      </c>
      <c r="AI223" s="398">
        <f t="shared" ca="1" si="716"/>
        <v>2</v>
      </c>
      <c r="AJ223" s="400">
        <f t="shared" ca="1" si="664"/>
        <v>2</v>
      </c>
      <c r="AK223" s="400">
        <f t="shared" ca="1" si="665"/>
        <v>4250</v>
      </c>
      <c r="AL223" s="400">
        <f t="shared" ca="1" si="666"/>
        <v>0</v>
      </c>
      <c r="AM223" s="398">
        <f t="shared" ca="1" si="667"/>
        <v>458052</v>
      </c>
      <c r="AN223" s="401" t="str">
        <f t="shared" ca="1" si="717"/>
        <v/>
      </c>
      <c r="AO223" s="398">
        <f t="shared" ca="1" si="668"/>
        <v>1024</v>
      </c>
      <c r="AP223" s="400">
        <f ca="1">IF(MAX(IF($C$6="No",ROUNDUP($C$3/$I223,0),ROUNDUP(($C$3+$I223)/$I223,0)),IF($C$6="No",ROUNDUP($C$4/$G223,0),ROUNDUP(($C$4+$G223)/$G223,0)),ROUNDUP('BVMS checklist'!$H$217/$J223,0))&gt;1,'BVMS checklist'!$J$224,'BVMS checklist'!$J$217)+MAX(IF($C$6="No",ROUNDUP($C$3/$I223,0),ROUNDUP(($C$3+$I223)/$I223,0)),IF($C$6="No",ROUNDUP($C$4/$G223,0),ROUNDUP(($C$4+$G223)/$G223,0)))+$C$5</f>
        <v>1</v>
      </c>
      <c r="AQ223" s="400" t="b">
        <f t="shared" ca="1" si="706"/>
        <v>1</v>
      </c>
      <c r="AR223" s="400" t="str">
        <f t="shared" ca="1" si="669"/>
        <v>Accepted</v>
      </c>
      <c r="AS223" s="398" t="str">
        <f t="shared" ref="AS223:AS286" ca="1" si="731">IF(AND(AP223&lt;AO223,AL223&lt;$I223,$B223="Active",AR223="Accepted"),"Yes","No")</f>
        <v>No</v>
      </c>
      <c r="AT223" s="398" t="str">
        <f t="shared" ca="1" si="670"/>
        <v/>
      </c>
      <c r="AU223" s="398" t="str">
        <f t="shared" ca="1" si="718"/>
        <v/>
      </c>
      <c r="AV223" s="398">
        <f t="shared" ca="1" si="719"/>
        <v>6</v>
      </c>
      <c r="AW223" s="398">
        <f t="shared" ca="1" si="671"/>
        <v>2</v>
      </c>
      <c r="AX223" s="398">
        <f t="shared" ca="1" si="672"/>
        <v>544</v>
      </c>
      <c r="AY223" s="398">
        <f t="shared" ca="1" si="673"/>
        <v>458052</v>
      </c>
      <c r="AZ223" s="399">
        <f t="shared" si="694"/>
        <v>0</v>
      </c>
      <c r="BA223" s="399">
        <f t="shared" si="695"/>
        <v>0</v>
      </c>
      <c r="BB223" s="483" t="str">
        <f t="shared" ca="1" si="720"/>
        <v/>
      </c>
      <c r="BC223" s="400">
        <f ca="1">IF(MAX(IF($D$6="No",ROUNDUP($D$3/$I223,0),ROUNDUP(($D$3+$I223)/$I223,0)),IF($D$6="No",ROUNDUP($D$4/$G223,0),ROUNDUP(($D$4+$G223)/$G223,0)),ROUNDUP('BVMS checklist'!$H$217/$J223,0))&gt;1,'BVMS checklist'!$L$224,'BVMS checklist'!$L$217)</f>
        <v>0</v>
      </c>
      <c r="BD223" s="398">
        <f t="shared" ca="1" si="721"/>
        <v>2</v>
      </c>
      <c r="BE223" s="400">
        <f t="shared" si="674"/>
        <v>1</v>
      </c>
      <c r="BF223" s="400">
        <f t="shared" si="675"/>
        <v>2125</v>
      </c>
      <c r="BG223" s="400">
        <f t="shared" ref="BG223:BG286" ca="1" si="732">IFERROR($D$3/BD223,"")</f>
        <v>0</v>
      </c>
      <c r="BH223" s="398">
        <f t="shared" ca="1" si="676"/>
        <v>458052</v>
      </c>
      <c r="BI223" s="401" t="str">
        <f t="shared" ca="1" si="722"/>
        <v/>
      </c>
      <c r="BJ223" s="398">
        <f t="shared" ca="1" si="677"/>
        <v>1024</v>
      </c>
      <c r="BK223" s="400">
        <f ca="1">IF(MAX(IF($D$6="No",ROUNDUP($D$3/$I223,0),ROUNDUP(($D$3+$I223)/$I223,0)),IF($D$6="No",ROUNDUP($D$4/$G223,0),ROUNDUP(($D$4+$G223)/$G223,0)),ROUNDUP('BVMS checklist'!$H$217/$J223,0))&gt;1,'BVMS checklist'!$L$224,'BVMS checklist'!$L$217)+MAX(IF($D$6="No",ROUNDUP($D$3/$I223,0),ROUNDUP(($D$3+$I223)/$I223,0)),IF($D$6="No",ROUNDUP($D$4/$G223,0),ROUNDUP(($D$4+$G223)/$G223,0)))+$D$5</f>
        <v>1</v>
      </c>
      <c r="BL223" s="400" t="b">
        <f t="shared" ca="1" si="707"/>
        <v>1</v>
      </c>
      <c r="BM223" s="400" t="str">
        <f t="shared" ca="1" si="678"/>
        <v>Accepted</v>
      </c>
      <c r="BN223" s="398" t="str">
        <f t="shared" ref="BN223:BN286" ca="1" si="733">IF(AND(BK223&lt;BJ223,BG223&lt;$I223,$B223="Active",BM223="Accepted"),"Yes","No")</f>
        <v>No</v>
      </c>
      <c r="BO223" s="398" t="str">
        <f t="shared" ca="1" si="679"/>
        <v/>
      </c>
      <c r="BP223" s="398" t="str">
        <f t="shared" ca="1" si="723"/>
        <v/>
      </c>
      <c r="BQ223" s="398">
        <f t="shared" ca="1" si="724"/>
        <v>6</v>
      </c>
      <c r="BR223" s="398">
        <f t="shared" ca="1" si="680"/>
        <v>2</v>
      </c>
      <c r="BS223" s="398">
        <f t="shared" ca="1" si="681"/>
        <v>544</v>
      </c>
      <c r="BT223" s="398">
        <f t="shared" ca="1" si="682"/>
        <v>458052</v>
      </c>
      <c r="BU223" s="399">
        <f t="shared" si="696"/>
        <v>0</v>
      </c>
      <c r="BV223" s="399">
        <f t="shared" si="697"/>
        <v>0</v>
      </c>
      <c r="BW223" s="483" t="str">
        <f t="shared" ca="1" si="725"/>
        <v/>
      </c>
      <c r="BX223" s="400">
        <f ca="1">IF(MAX(IF($E$6="No",ROUNDUP($E$3/$I223,0),ROUNDUP(($E$3+$I223)/$I223,0)),IF($E$6="No",ROUNDUP($E$4/$G223,0),ROUNDUP(($E$4+$G223)/$G223,0)),ROUNDUP('BVMS checklist'!$H$217/$J223,0))&gt;1,'BVMS checklist'!$N$224,'BVMS checklist'!$N$217)</f>
        <v>0</v>
      </c>
      <c r="BY223" s="398">
        <f t="shared" ca="1" si="726"/>
        <v>2</v>
      </c>
      <c r="BZ223" s="400">
        <f t="shared" ca="1" si="683"/>
        <v>2</v>
      </c>
      <c r="CA223" s="400">
        <f t="shared" ca="1" si="684"/>
        <v>4250</v>
      </c>
      <c r="CB223" s="400">
        <f t="shared" ref="CB223:CB286" ca="1" si="734">IFERROR($E$3/BY223,"")</f>
        <v>0</v>
      </c>
      <c r="CC223" s="398">
        <f t="shared" ca="1" si="685"/>
        <v>458052</v>
      </c>
      <c r="CD223" s="401" t="str">
        <f t="shared" ca="1" si="727"/>
        <v/>
      </c>
      <c r="CE223" s="398">
        <f t="shared" ca="1" si="686"/>
        <v>1024</v>
      </c>
      <c r="CF223" s="400">
        <f ca="1">IF(MAX(IF($E$6="No",ROUNDUP($E$3/$I223,0),ROUNDUP(($E$3+$I223)/$I223,0)),IF($E$6="No",ROUNDUP($E$4/$G223,0),ROUNDUP(($E$4+$G223)/$G223,0)),ROUNDUP('BVMS checklist'!$H$217/$J223,0))&gt;1,'BVMS checklist'!$N$224,'BVMS checklist'!$N$217)+MAX(IF($E$6="No",ROUNDUP($E$3/$I223,0),ROUNDUP(($E$3+$I223)/$I223,0)),IF($E$6="No",ROUNDUP($E$4/$G223,0),ROUNDUP(($E$4+$G223)/$G223,0)))+$E$5</f>
        <v>1</v>
      </c>
      <c r="CG223" s="400" t="b">
        <f t="shared" ca="1" si="708"/>
        <v>1</v>
      </c>
      <c r="CH223" s="400" t="str">
        <f t="shared" ca="1" si="687"/>
        <v>Accepted</v>
      </c>
      <c r="CI223" s="398" t="str">
        <f t="shared" ref="CI223:CI286" ca="1" si="735">IF(AND(CF223&lt;CE223,CB223&lt;$I223,$B223="Active",CH223="Accepted"),"Yes","No")</f>
        <v>No</v>
      </c>
      <c r="CJ223" s="398" t="str">
        <f t="shared" ca="1" si="688"/>
        <v/>
      </c>
      <c r="CK223" s="398" t="str">
        <f t="shared" ca="1" si="728"/>
        <v/>
      </c>
      <c r="CL223" s="398">
        <f t="shared" ca="1" si="729"/>
        <v>6</v>
      </c>
      <c r="CM223" s="398">
        <f t="shared" ca="1" si="689"/>
        <v>2</v>
      </c>
      <c r="CN223" s="398">
        <f t="shared" ca="1" si="690"/>
        <v>544</v>
      </c>
      <c r="CO223" s="398">
        <f t="shared" ca="1" si="691"/>
        <v>458052</v>
      </c>
      <c r="CP223" s="399">
        <f t="shared" si="698"/>
        <v>0</v>
      </c>
      <c r="CQ223" s="399">
        <f t="shared" si="699"/>
        <v>0</v>
      </c>
      <c r="CR223" s="483" t="str">
        <f t="shared" ca="1" si="730"/>
        <v/>
      </c>
      <c r="CS223"/>
    </row>
    <row r="224" spans="1:97">
      <c r="A224" s="398" t="s">
        <v>518</v>
      </c>
      <c r="B224" s="398" t="s">
        <v>987</v>
      </c>
      <c r="C224" s="440" t="s">
        <v>891</v>
      </c>
      <c r="D224" s="398">
        <v>5</v>
      </c>
      <c r="E224" s="398"/>
      <c r="F224" s="440">
        <v>0</v>
      </c>
      <c r="G224" s="398">
        <f>IF(C224="RAID5",(((15-F224)*7448))+(4*(((7-F224)*5586))),(((14-F224)*7448))+(4*(((6-F224)*5586))))</f>
        <v>268128</v>
      </c>
      <c r="H224" s="399">
        <v>320</v>
      </c>
      <c r="I224" s="399">
        <v>2675</v>
      </c>
      <c r="J224" s="399">
        <v>640</v>
      </c>
      <c r="K224" s="399"/>
      <c r="L224" s="399"/>
      <c r="M224" s="400">
        <f ca="1">IF(MAX(IF($B$6="No",ROUNDUP($B$3/$I224,0),ROUNDUP(($B$3+$I224)/$I224,0)),IF($B$6="No",ROUNDUP($B$4/$G224,0),ROUNDUP(($B$4+$G224)/$G224,0)),ROUNDUP('BVMS checklist'!$H$217/$J224,0))&gt;1,'BVMS checklist'!$H$224,'BVMS checklist'!$H$217)</f>
        <v>0</v>
      </c>
      <c r="N224" s="398">
        <f t="shared" ca="1" si="709"/>
        <v>2</v>
      </c>
      <c r="O224" s="400">
        <f t="shared" ref="O224:O287" ca="1" si="736">N224</f>
        <v>2</v>
      </c>
      <c r="P224" s="400">
        <f t="shared" ca="1" si="700"/>
        <v>5350</v>
      </c>
      <c r="Q224" s="400">
        <f t="shared" ca="1" si="701"/>
        <v>0</v>
      </c>
      <c r="R224" s="398">
        <f t="shared" ca="1" si="702"/>
        <v>536256</v>
      </c>
      <c r="S224" s="401" t="str">
        <f t="shared" ca="1" si="710"/>
        <v/>
      </c>
      <c r="T224" s="398">
        <f t="shared" ca="1" si="711"/>
        <v>1280</v>
      </c>
      <c r="U224" s="400">
        <f ca="1">IF(MAX(IF($B$6="No",ROUNDUP($B$3/$I224,0),ROUNDUP(($B$3+$I224)/$I224,0)),IF($B$6="No",ROUNDUP($B$4/$G224,0),ROUNDUP(($B$4+$G224)/$G224,0)),ROUNDUP('BVMS checklist'!$H$217/$J224,0))&gt;1,'BVMS checklist'!$H$224,'BVMS checklist'!$H$217)+MAX(IF($B$6="No",ROUNDUP($B$3/$I224,0),ROUNDUP(($B$3+$I224)/$I224,0)),IF($B$6="No",ROUNDUP($B$4/$G224,0),ROUNDUP(($B$4+$G224)/$G224,0)))+$B$5</f>
        <v>1</v>
      </c>
      <c r="V224" s="400" t="b">
        <f t="shared" ca="1" si="703"/>
        <v>1</v>
      </c>
      <c r="W224" s="400" t="str">
        <f t="shared" ref="W224:W287" ca="1" si="737">IF(OR(AND($B$6="Yes",V224=TRUE),$B$6="No"),"Accepted","Not accepted")</f>
        <v>Accepted</v>
      </c>
      <c r="X224" s="398" t="str">
        <f t="shared" ca="1" si="712"/>
        <v>No</v>
      </c>
      <c r="Y224" s="398" t="str">
        <f t="shared" ca="1" si="713"/>
        <v/>
      </c>
      <c r="Z224" s="398" t="str">
        <f t="shared" ca="1" si="714"/>
        <v/>
      </c>
      <c r="AA224" s="398">
        <f t="shared" ref="AA224:AA287" ca="1" si="738">IF(Z224&lt;&gt;"",AA223+1,AA223)</f>
        <v>6</v>
      </c>
      <c r="AB224" s="398">
        <f t="shared" ca="1" si="704"/>
        <v>2</v>
      </c>
      <c r="AC224" s="398">
        <f t="shared" ca="1" si="705"/>
        <v>640</v>
      </c>
      <c r="AD224" s="398">
        <f t="shared" ref="AD224:AD287" ca="1" si="739">R224</f>
        <v>536256</v>
      </c>
      <c r="AE224" s="399">
        <f t="shared" si="692"/>
        <v>0</v>
      </c>
      <c r="AF224" s="399">
        <f t="shared" si="693"/>
        <v>0</v>
      </c>
      <c r="AG224" s="483" t="str">
        <f t="shared" ca="1" si="715"/>
        <v/>
      </c>
      <c r="AH224" s="400">
        <f ca="1">IF(MAX(IF($C$6="No",ROUNDUP($C$3/$I224,0),ROUNDUP(($C$3+$I224)/$I224,0)),IF($C$6="No",ROUNDUP($C$4/$G224,0),ROUNDUP(($C$4+$G224)/$G224,0)),ROUNDUP('BVMS checklist'!$H$217/$J224,0))&gt;1,'BVMS checklist'!$J$224,'BVMS checklist'!$J$217)</f>
        <v>0</v>
      </c>
      <c r="AI224" s="398">
        <f t="shared" ca="1" si="716"/>
        <v>2</v>
      </c>
      <c r="AJ224" s="400">
        <f t="shared" ref="AJ224:AJ287" ca="1" si="740">AI224</f>
        <v>2</v>
      </c>
      <c r="AK224" s="400">
        <f t="shared" ref="AK224:AK287" ca="1" si="741">AJ224*$I224</f>
        <v>5350</v>
      </c>
      <c r="AL224" s="400">
        <f t="shared" ref="AL224:AL287" ca="1" si="742">IFERROR($C$3/AI224,"")</f>
        <v>0</v>
      </c>
      <c r="AM224" s="398">
        <f t="shared" ref="AM224:AM287" ca="1" si="743">$G224*AI224</f>
        <v>536256</v>
      </c>
      <c r="AN224" s="401" t="str">
        <f t="shared" ca="1" si="717"/>
        <v/>
      </c>
      <c r="AO224" s="398">
        <f t="shared" ref="AO224:AO287" ca="1" si="744">AI224*$J224</f>
        <v>1280</v>
      </c>
      <c r="AP224" s="400">
        <f ca="1">IF(MAX(IF($C$6="No",ROUNDUP($C$3/$I224,0),ROUNDUP(($C$3+$I224)/$I224,0)),IF($C$6="No",ROUNDUP($C$4/$G224,0),ROUNDUP(($C$4+$G224)/$G224,0)),ROUNDUP('BVMS checklist'!$H$217/$J224,0))&gt;1,'BVMS checklist'!$J$224,'BVMS checklist'!$J$217)+MAX(IF($C$6="No",ROUNDUP($C$3/$I224,0),ROUNDUP(($C$3+$I224)/$I224,0)),IF($C$6="No",ROUNDUP($C$4/$G224,0),ROUNDUP(($C$4+$G224)/$G224,0)))+$C$5</f>
        <v>1</v>
      </c>
      <c r="AQ224" s="400" t="b">
        <f t="shared" ca="1" si="706"/>
        <v>1</v>
      </c>
      <c r="AR224" s="400" t="str">
        <f t="shared" ref="AR224:AR287" ca="1" si="745">IF(OR(AND($C$6="Yes",AQ224=TRUE),$C$6="No"),"Accepted","Not accepted")</f>
        <v>Accepted</v>
      </c>
      <c r="AS224" s="398" t="str">
        <f t="shared" ca="1" si="731"/>
        <v>No</v>
      </c>
      <c r="AT224" s="398" t="str">
        <f t="shared" ref="AT224:AT287" ca="1" si="746">IF(AV223=AV224,"",AV224)</f>
        <v/>
      </c>
      <c r="AU224" s="398" t="str">
        <f t="shared" ca="1" si="718"/>
        <v/>
      </c>
      <c r="AV224" s="398">
        <f t="shared" ca="1" si="719"/>
        <v>6</v>
      </c>
      <c r="AW224" s="398">
        <f t="shared" ref="AW224:AW287" ca="1" si="747">AI224</f>
        <v>2</v>
      </c>
      <c r="AX224" s="398">
        <f t="shared" ref="AX224:AX287" ca="1" si="748">AI224*$H224</f>
        <v>640</v>
      </c>
      <c r="AY224" s="398">
        <f t="shared" ref="AY224:AY287" ca="1" si="749">AM224</f>
        <v>536256</v>
      </c>
      <c r="AZ224" s="399">
        <f t="shared" si="694"/>
        <v>0</v>
      </c>
      <c r="BA224" s="399">
        <f t="shared" si="695"/>
        <v>0</v>
      </c>
      <c r="BB224" s="483" t="str">
        <f t="shared" ca="1" si="720"/>
        <v/>
      </c>
      <c r="BC224" s="400">
        <f ca="1">IF(MAX(IF($D$6="No",ROUNDUP($D$3/$I224,0),ROUNDUP(($D$3+$I224)/$I224,0)),IF($D$6="No",ROUNDUP($D$4/$G224,0),ROUNDUP(($D$4+$G224)/$G224,0)),ROUNDUP('BVMS checklist'!$H$217/$J224,0))&gt;1,'BVMS checklist'!$L$224,'BVMS checklist'!$L$217)</f>
        <v>0</v>
      </c>
      <c r="BD224" s="398">
        <f t="shared" ca="1" si="721"/>
        <v>2</v>
      </c>
      <c r="BE224" s="400">
        <f t="shared" ref="BE224:BE282" si="750">MAX(IF($D$6="No",ROUNDUP($D$3/$I224,0),ROUNDUP(($D$3+$I224)/$I224,0)),IF($D$6="No",ROUNDUP($D$4/$G224,0),ROUNDUP(($D$4+$G224)/$G224,0)))</f>
        <v>1</v>
      </c>
      <c r="BF224" s="400">
        <f t="shared" ref="BF224:BF287" si="751">BE224*$I224</f>
        <v>2675</v>
      </c>
      <c r="BG224" s="400">
        <f t="shared" ca="1" si="732"/>
        <v>0</v>
      </c>
      <c r="BH224" s="398">
        <f t="shared" ref="BH224:BH287" ca="1" si="752">$G224*BD224</f>
        <v>536256</v>
      </c>
      <c r="BI224" s="401" t="str">
        <f t="shared" ca="1" si="722"/>
        <v/>
      </c>
      <c r="BJ224" s="398">
        <f t="shared" ref="BJ224:BJ287" ca="1" si="753">BD224*$J224</f>
        <v>1280</v>
      </c>
      <c r="BK224" s="400">
        <f ca="1">IF(MAX(IF($D$6="No",ROUNDUP($D$3/$I224,0),ROUNDUP(($D$3+$I224)/$I224,0)),IF($D$6="No",ROUNDUP($D$4/$G224,0),ROUNDUP(($D$4+$G224)/$G224,0)),ROUNDUP('BVMS checklist'!$H$217/$J224,0))&gt;1,'BVMS checklist'!$L$224,'BVMS checklist'!$L$217)+MAX(IF($D$6="No",ROUNDUP($D$3/$I224,0),ROUNDUP(($D$3+$I224)/$I224,0)),IF($D$6="No",ROUNDUP($D$4/$G224,0),ROUNDUP(($D$4+$G224)/$G224,0)))+$D$5</f>
        <v>1</v>
      </c>
      <c r="BL224" s="400" t="b">
        <f t="shared" ca="1" si="707"/>
        <v>1</v>
      </c>
      <c r="BM224" s="400" t="str">
        <f t="shared" ref="BM224:BM287" ca="1" si="754">IF(OR(AND($D$6="Yes",BL224=TRUE),$D$6="No"),"Accepted","Not accepted")</f>
        <v>Accepted</v>
      </c>
      <c r="BN224" s="398" t="str">
        <f t="shared" ca="1" si="733"/>
        <v>No</v>
      </c>
      <c r="BO224" s="398" t="str">
        <f t="shared" ref="BO224:BO287" ca="1" si="755">IF(BQ223=BQ224,"",BQ224)</f>
        <v/>
      </c>
      <c r="BP224" s="398" t="str">
        <f t="shared" ca="1" si="723"/>
        <v/>
      </c>
      <c r="BQ224" s="398">
        <f t="shared" ca="1" si="724"/>
        <v>6</v>
      </c>
      <c r="BR224" s="398">
        <f t="shared" ref="BR224:BR287" ca="1" si="756">BD224</f>
        <v>2</v>
      </c>
      <c r="BS224" s="398">
        <f t="shared" ref="BS224:BS287" ca="1" si="757">BD224*$H224</f>
        <v>640</v>
      </c>
      <c r="BT224" s="398">
        <f t="shared" ref="BT224:BT287" ca="1" si="758">BH224</f>
        <v>536256</v>
      </c>
      <c r="BU224" s="399">
        <f t="shared" si="696"/>
        <v>0</v>
      </c>
      <c r="BV224" s="399">
        <f t="shared" si="697"/>
        <v>0</v>
      </c>
      <c r="BW224" s="483" t="str">
        <f t="shared" ca="1" si="725"/>
        <v/>
      </c>
      <c r="BX224" s="400">
        <f ca="1">IF(MAX(IF($E$6="No",ROUNDUP($E$3/$I224,0),ROUNDUP(($E$3+$I224)/$I224,0)),IF($E$6="No",ROUNDUP($E$4/$G224,0),ROUNDUP(($E$4+$G224)/$G224,0)),ROUNDUP('BVMS checklist'!$H$217/$J224,0))&gt;1,'BVMS checklist'!$N$224,'BVMS checklist'!$N$217)</f>
        <v>0</v>
      </c>
      <c r="BY224" s="398">
        <f t="shared" ca="1" si="726"/>
        <v>2</v>
      </c>
      <c r="BZ224" s="400">
        <f t="shared" ref="BZ224:BZ287" ca="1" si="759">BY224</f>
        <v>2</v>
      </c>
      <c r="CA224" s="400">
        <f t="shared" ref="CA224:CA287" ca="1" si="760">BZ224*$I224</f>
        <v>5350</v>
      </c>
      <c r="CB224" s="400">
        <f t="shared" ca="1" si="734"/>
        <v>0</v>
      </c>
      <c r="CC224" s="398">
        <f t="shared" ref="CC224:CC287" ca="1" si="761">$G224*BY224</f>
        <v>536256</v>
      </c>
      <c r="CD224" s="401" t="str">
        <f t="shared" ca="1" si="727"/>
        <v/>
      </c>
      <c r="CE224" s="398">
        <f t="shared" ref="CE224:CE287" ca="1" si="762">BY224*$J224</f>
        <v>1280</v>
      </c>
      <c r="CF224" s="400">
        <f ca="1">IF(MAX(IF($E$6="No",ROUNDUP($E$3/$I224,0),ROUNDUP(($E$3+$I224)/$I224,0)),IF($E$6="No",ROUNDUP($E$4/$G224,0),ROUNDUP(($E$4+$G224)/$G224,0)),ROUNDUP('BVMS checklist'!$H$217/$J224,0))&gt;1,'BVMS checklist'!$N$224,'BVMS checklist'!$N$217)+MAX(IF($E$6="No",ROUNDUP($E$3/$I224,0),ROUNDUP(($E$3+$I224)/$I224,0)),IF($E$6="No",ROUNDUP($E$4/$G224,0),ROUNDUP(($E$4+$G224)/$G224,0)))+$E$5</f>
        <v>1</v>
      </c>
      <c r="CG224" s="400" t="b">
        <f t="shared" ca="1" si="708"/>
        <v>1</v>
      </c>
      <c r="CH224" s="400" t="str">
        <f t="shared" ref="CH224:CH287" ca="1" si="763">IF(OR(AND($E$6="Yes",CG224=TRUE),$E$6="No"),"Accepted","Not accepted")</f>
        <v>Accepted</v>
      </c>
      <c r="CI224" s="398" t="str">
        <f t="shared" ca="1" si="735"/>
        <v>No</v>
      </c>
      <c r="CJ224" s="398" t="str">
        <f t="shared" ref="CJ224:CJ287" ca="1" si="764">IF(CL223=CL224,"",CL224)</f>
        <v/>
      </c>
      <c r="CK224" s="398" t="str">
        <f t="shared" ca="1" si="728"/>
        <v/>
      </c>
      <c r="CL224" s="398">
        <f t="shared" ca="1" si="729"/>
        <v>6</v>
      </c>
      <c r="CM224" s="398">
        <f t="shared" ref="CM224:CM287" ca="1" si="765">BY224</f>
        <v>2</v>
      </c>
      <c r="CN224" s="398">
        <f t="shared" ref="CN224:CN287" ca="1" si="766">BY224*$H224</f>
        <v>640</v>
      </c>
      <c r="CO224" s="398">
        <f t="shared" ref="CO224:CO287" ca="1" si="767">CC224</f>
        <v>536256</v>
      </c>
      <c r="CP224" s="399">
        <f t="shared" si="698"/>
        <v>0</v>
      </c>
      <c r="CQ224" s="399">
        <f t="shared" si="699"/>
        <v>0</v>
      </c>
      <c r="CR224" s="483" t="str">
        <f t="shared" ca="1" si="730"/>
        <v/>
      </c>
      <c r="CS224"/>
    </row>
    <row r="225" spans="1:97">
      <c r="A225" s="398" t="s">
        <v>519</v>
      </c>
      <c r="B225" s="398" t="s">
        <v>987</v>
      </c>
      <c r="C225" s="440" t="s">
        <v>891</v>
      </c>
      <c r="D225" s="398">
        <v>2</v>
      </c>
      <c r="E225" s="398"/>
      <c r="F225" s="440">
        <v>0</v>
      </c>
      <c r="G225" s="398">
        <f>IF(C225="RAID5",(((15-F225)*7448))+(1*(((15-F225)*5586))),(((14-F225)*7448))+(1*(((14-F225)*5586))))</f>
        <v>195510</v>
      </c>
      <c r="H225" s="399">
        <v>224</v>
      </c>
      <c r="I225" s="399">
        <v>1025</v>
      </c>
      <c r="J225" s="399">
        <v>256</v>
      </c>
      <c r="K225" s="399"/>
      <c r="L225" s="399"/>
      <c r="M225" s="400">
        <f ca="1">IF(MAX(IF($B$6="No",ROUNDUP($B$3/$I225,0),ROUNDUP(($B$3+$I225)/$I225,0)),IF($B$6="No",ROUNDUP($B$4/$G225,0),ROUNDUP(($B$4+$G225)/$G225,0)),ROUNDUP('BVMS checklist'!$H$217/$J225,0))&gt;1,'BVMS checklist'!$H$224,'BVMS checklist'!$H$217)</f>
        <v>0</v>
      </c>
      <c r="N225" s="398">
        <f t="shared" ca="1" si="709"/>
        <v>2</v>
      </c>
      <c r="O225" s="400">
        <f t="shared" ca="1" si="736"/>
        <v>2</v>
      </c>
      <c r="P225" s="400">
        <f t="shared" ca="1" si="700"/>
        <v>2050</v>
      </c>
      <c r="Q225" s="400">
        <f t="shared" ca="1" si="701"/>
        <v>0</v>
      </c>
      <c r="R225" s="398">
        <f t="shared" ca="1" si="702"/>
        <v>391020</v>
      </c>
      <c r="S225" s="401" t="str">
        <f t="shared" ca="1" si="710"/>
        <v/>
      </c>
      <c r="T225" s="398">
        <f t="shared" ca="1" si="711"/>
        <v>512</v>
      </c>
      <c r="U225" s="400">
        <f ca="1">IF(MAX(IF($B$6="No",ROUNDUP($B$3/$I225,0),ROUNDUP(($B$3+$I225)/$I225,0)),IF($B$6="No",ROUNDUP($B$4/$G225,0),ROUNDUP(($B$4+$G225)/$G225,0)),ROUNDUP('BVMS checklist'!$H$217/$J225,0))&gt;1,'BVMS checklist'!$H$224,'BVMS checklist'!$H$217)+MAX(IF($B$6="No",ROUNDUP($B$3/$I225,0),ROUNDUP(($B$3+$I225)/$I225,0)),IF($B$6="No",ROUNDUP($B$4/$G225,0),ROUNDUP(($B$4+$G225)/$G225,0)))+$B$5</f>
        <v>1</v>
      </c>
      <c r="V225" s="400" t="b">
        <f t="shared" ca="1" si="703"/>
        <v>1</v>
      </c>
      <c r="W225" s="400" t="str">
        <f t="shared" ca="1" si="737"/>
        <v>Accepted</v>
      </c>
      <c r="X225" s="398" t="str">
        <f t="shared" ca="1" si="712"/>
        <v>No</v>
      </c>
      <c r="Y225" s="398" t="str">
        <f t="shared" ca="1" si="713"/>
        <v/>
      </c>
      <c r="Z225" s="398" t="str">
        <f t="shared" ca="1" si="714"/>
        <v/>
      </c>
      <c r="AA225" s="398">
        <f t="shared" ca="1" si="738"/>
        <v>6</v>
      </c>
      <c r="AB225" s="398">
        <f t="shared" ca="1" si="704"/>
        <v>2</v>
      </c>
      <c r="AC225" s="398">
        <f t="shared" ca="1" si="705"/>
        <v>448</v>
      </c>
      <c r="AD225" s="398">
        <f t="shared" ca="1" si="739"/>
        <v>391020</v>
      </c>
      <c r="AE225" s="399">
        <f t="shared" si="692"/>
        <v>0</v>
      </c>
      <c r="AF225" s="399">
        <f t="shared" si="693"/>
        <v>0</v>
      </c>
      <c r="AG225" s="483" t="str">
        <f t="shared" ca="1" si="715"/>
        <v/>
      </c>
      <c r="AH225" s="400">
        <f ca="1">IF(MAX(IF($C$6="No",ROUNDUP($C$3/$I225,0),ROUNDUP(($C$3+$I225)/$I225,0)),IF($C$6="No",ROUNDUP($C$4/$G225,0),ROUNDUP(($C$4+$G225)/$G225,0)),ROUNDUP('BVMS checklist'!$H$217/$J225,0))&gt;1,'BVMS checklist'!$J$224,'BVMS checklist'!$J$217)</f>
        <v>0</v>
      </c>
      <c r="AI225" s="398">
        <f t="shared" ca="1" si="716"/>
        <v>2</v>
      </c>
      <c r="AJ225" s="400">
        <f t="shared" ca="1" si="740"/>
        <v>2</v>
      </c>
      <c r="AK225" s="400">
        <f t="shared" ca="1" si="741"/>
        <v>2050</v>
      </c>
      <c r="AL225" s="400">
        <f t="shared" ca="1" si="742"/>
        <v>0</v>
      </c>
      <c r="AM225" s="398">
        <f t="shared" ca="1" si="743"/>
        <v>391020</v>
      </c>
      <c r="AN225" s="401" t="str">
        <f t="shared" ca="1" si="717"/>
        <v/>
      </c>
      <c r="AO225" s="398">
        <f t="shared" ca="1" si="744"/>
        <v>512</v>
      </c>
      <c r="AP225" s="400">
        <f ca="1">IF(MAX(IF($C$6="No",ROUNDUP($C$3/$I225,0),ROUNDUP(($C$3+$I225)/$I225,0)),IF($C$6="No",ROUNDUP($C$4/$G225,0),ROUNDUP(($C$4+$G225)/$G225,0)),ROUNDUP('BVMS checklist'!$H$217/$J225,0))&gt;1,'BVMS checklist'!$J$224,'BVMS checklist'!$J$217)+MAX(IF($C$6="No",ROUNDUP($C$3/$I225,0),ROUNDUP(($C$3+$I225)/$I225,0)),IF($C$6="No",ROUNDUP($C$4/$G225,0),ROUNDUP(($C$4+$G225)/$G225,0)))+$C$5</f>
        <v>1</v>
      </c>
      <c r="AQ225" s="400" t="b">
        <f t="shared" ca="1" si="706"/>
        <v>1</v>
      </c>
      <c r="AR225" s="400" t="str">
        <f t="shared" ca="1" si="745"/>
        <v>Accepted</v>
      </c>
      <c r="AS225" s="398" t="str">
        <f t="shared" ca="1" si="731"/>
        <v>No</v>
      </c>
      <c r="AT225" s="398" t="str">
        <f t="shared" ca="1" si="746"/>
        <v/>
      </c>
      <c r="AU225" s="398" t="str">
        <f t="shared" ca="1" si="718"/>
        <v/>
      </c>
      <c r="AV225" s="398">
        <f t="shared" ca="1" si="719"/>
        <v>6</v>
      </c>
      <c r="AW225" s="398">
        <f t="shared" ca="1" si="747"/>
        <v>2</v>
      </c>
      <c r="AX225" s="398">
        <f t="shared" ca="1" si="748"/>
        <v>448</v>
      </c>
      <c r="AY225" s="398">
        <f t="shared" ca="1" si="749"/>
        <v>391020</v>
      </c>
      <c r="AZ225" s="399">
        <f t="shared" si="694"/>
        <v>0</v>
      </c>
      <c r="BA225" s="399">
        <f t="shared" si="695"/>
        <v>0</v>
      </c>
      <c r="BB225" s="483" t="str">
        <f t="shared" ca="1" si="720"/>
        <v/>
      </c>
      <c r="BC225" s="400">
        <f ca="1">IF(MAX(IF($D$6="No",ROUNDUP($D$3/$I225,0),ROUNDUP(($D$3+$I225)/$I225,0)),IF($D$6="No",ROUNDUP($D$4/$G225,0),ROUNDUP(($D$4+$G225)/$G225,0)),ROUNDUP('BVMS checklist'!$H$217/$J225,0))&gt;1,'BVMS checklist'!$L$224,'BVMS checklist'!$L$217)</f>
        <v>0</v>
      </c>
      <c r="BD225" s="398">
        <f t="shared" ca="1" si="721"/>
        <v>2</v>
      </c>
      <c r="BE225" s="400">
        <f t="shared" si="750"/>
        <v>1</v>
      </c>
      <c r="BF225" s="400">
        <f t="shared" si="751"/>
        <v>1025</v>
      </c>
      <c r="BG225" s="400">
        <f t="shared" ca="1" si="732"/>
        <v>0</v>
      </c>
      <c r="BH225" s="398">
        <f t="shared" ca="1" si="752"/>
        <v>391020</v>
      </c>
      <c r="BI225" s="401" t="str">
        <f t="shared" ca="1" si="722"/>
        <v/>
      </c>
      <c r="BJ225" s="398">
        <f t="shared" ca="1" si="753"/>
        <v>512</v>
      </c>
      <c r="BK225" s="400">
        <f ca="1">IF(MAX(IF($D$6="No",ROUNDUP($D$3/$I225,0),ROUNDUP(($D$3+$I225)/$I225,0)),IF($D$6="No",ROUNDUP($D$4/$G225,0),ROUNDUP(($D$4+$G225)/$G225,0)),ROUNDUP('BVMS checklist'!$H$217/$J225,0))&gt;1,'BVMS checklist'!$L$224,'BVMS checklist'!$L$217)+MAX(IF($D$6="No",ROUNDUP($D$3/$I225,0),ROUNDUP(($D$3+$I225)/$I225,0)),IF($D$6="No",ROUNDUP($D$4/$G225,0),ROUNDUP(($D$4+$G225)/$G225,0)))+$D$5</f>
        <v>1</v>
      </c>
      <c r="BL225" s="400" t="b">
        <f t="shared" ca="1" si="707"/>
        <v>1</v>
      </c>
      <c r="BM225" s="400" t="str">
        <f t="shared" ca="1" si="754"/>
        <v>Accepted</v>
      </c>
      <c r="BN225" s="398" t="str">
        <f t="shared" ca="1" si="733"/>
        <v>No</v>
      </c>
      <c r="BO225" s="398" t="str">
        <f t="shared" ca="1" si="755"/>
        <v/>
      </c>
      <c r="BP225" s="398" t="str">
        <f t="shared" ca="1" si="723"/>
        <v/>
      </c>
      <c r="BQ225" s="398">
        <f t="shared" ca="1" si="724"/>
        <v>6</v>
      </c>
      <c r="BR225" s="398">
        <f t="shared" ca="1" si="756"/>
        <v>2</v>
      </c>
      <c r="BS225" s="398">
        <f t="shared" ca="1" si="757"/>
        <v>448</v>
      </c>
      <c r="BT225" s="398">
        <f t="shared" ca="1" si="758"/>
        <v>391020</v>
      </c>
      <c r="BU225" s="399">
        <f t="shared" si="696"/>
        <v>0</v>
      </c>
      <c r="BV225" s="399">
        <f t="shared" si="697"/>
        <v>0</v>
      </c>
      <c r="BW225" s="483" t="str">
        <f t="shared" ca="1" si="725"/>
        <v/>
      </c>
      <c r="BX225" s="400">
        <f ca="1">IF(MAX(IF($E$6="No",ROUNDUP($E$3/$I225,0),ROUNDUP(($E$3+$I225)/$I225,0)),IF($E$6="No",ROUNDUP($E$4/$G225,0),ROUNDUP(($E$4+$G225)/$G225,0)),ROUNDUP('BVMS checklist'!$H$217/$J225,0))&gt;1,'BVMS checklist'!$N$224,'BVMS checklist'!$N$217)</f>
        <v>0</v>
      </c>
      <c r="BY225" s="398">
        <f t="shared" ca="1" si="726"/>
        <v>2</v>
      </c>
      <c r="BZ225" s="400">
        <f t="shared" ca="1" si="759"/>
        <v>2</v>
      </c>
      <c r="CA225" s="400">
        <f t="shared" ca="1" si="760"/>
        <v>2050</v>
      </c>
      <c r="CB225" s="400">
        <f t="shared" ca="1" si="734"/>
        <v>0</v>
      </c>
      <c r="CC225" s="398">
        <f t="shared" ca="1" si="761"/>
        <v>391020</v>
      </c>
      <c r="CD225" s="401" t="str">
        <f t="shared" ca="1" si="727"/>
        <v/>
      </c>
      <c r="CE225" s="398">
        <f t="shared" ca="1" si="762"/>
        <v>512</v>
      </c>
      <c r="CF225" s="400">
        <f ca="1">IF(MAX(IF($E$6="No",ROUNDUP($E$3/$I225,0),ROUNDUP(($E$3+$I225)/$I225,0)),IF($E$6="No",ROUNDUP($E$4/$G225,0),ROUNDUP(($E$4+$G225)/$G225,0)),ROUNDUP('BVMS checklist'!$H$217/$J225,0))&gt;1,'BVMS checklist'!$N$224,'BVMS checklist'!$N$217)+MAX(IF($E$6="No",ROUNDUP($E$3/$I225,0),ROUNDUP(($E$3+$I225)/$I225,0)),IF($E$6="No",ROUNDUP($E$4/$G225,0),ROUNDUP(($E$4+$G225)/$G225,0)))+$E$5</f>
        <v>1</v>
      </c>
      <c r="CG225" s="400" t="b">
        <f t="shared" ca="1" si="708"/>
        <v>1</v>
      </c>
      <c r="CH225" s="400" t="str">
        <f t="shared" ca="1" si="763"/>
        <v>Accepted</v>
      </c>
      <c r="CI225" s="398" t="str">
        <f t="shared" ca="1" si="735"/>
        <v>No</v>
      </c>
      <c r="CJ225" s="398" t="str">
        <f t="shared" ca="1" si="764"/>
        <v/>
      </c>
      <c r="CK225" s="398" t="str">
        <f t="shared" ca="1" si="728"/>
        <v/>
      </c>
      <c r="CL225" s="398">
        <f t="shared" ca="1" si="729"/>
        <v>6</v>
      </c>
      <c r="CM225" s="398">
        <f t="shared" ca="1" si="765"/>
        <v>2</v>
      </c>
      <c r="CN225" s="398">
        <f t="shared" ca="1" si="766"/>
        <v>448</v>
      </c>
      <c r="CO225" s="398">
        <f t="shared" ca="1" si="767"/>
        <v>391020</v>
      </c>
      <c r="CP225" s="399">
        <f t="shared" si="698"/>
        <v>0</v>
      </c>
      <c r="CQ225" s="399">
        <f t="shared" si="699"/>
        <v>0</v>
      </c>
      <c r="CR225" s="483" t="str">
        <f t="shared" ca="1" si="730"/>
        <v/>
      </c>
      <c r="CS225"/>
    </row>
    <row r="226" spans="1:97">
      <c r="A226" s="398" t="s">
        <v>520</v>
      </c>
      <c r="B226" s="398" t="s">
        <v>987</v>
      </c>
      <c r="C226" s="440" t="s">
        <v>891</v>
      </c>
      <c r="D226" s="398">
        <v>3</v>
      </c>
      <c r="E226" s="398"/>
      <c r="F226" s="440">
        <v>0</v>
      </c>
      <c r="G226" s="398">
        <f>IF(C226="RAID5",(((15-F226)*7448))+(2*(((15-F226)*5586))),(((14-F226)*7448))+(2*(((14-F226)*5586))))</f>
        <v>279300</v>
      </c>
      <c r="H226" s="399">
        <v>320</v>
      </c>
      <c r="I226" s="399">
        <v>1575</v>
      </c>
      <c r="J226" s="399">
        <v>384</v>
      </c>
      <c r="K226" s="399"/>
      <c r="L226" s="399"/>
      <c r="M226" s="400">
        <f ca="1">IF(MAX(IF($B$6="No",ROUNDUP($B$3/$I226,0),ROUNDUP(($B$3+$I226)/$I226,0)),IF($B$6="No",ROUNDUP($B$4/$G226,0),ROUNDUP(($B$4+$G226)/$G226,0)),ROUNDUP('BVMS checklist'!$H$217/$J226,0))&gt;1,'BVMS checklist'!$H$224,'BVMS checklist'!$H$217)</f>
        <v>0</v>
      </c>
      <c r="N226" s="398">
        <f t="shared" ca="1" si="709"/>
        <v>2</v>
      </c>
      <c r="O226" s="400">
        <f t="shared" ca="1" si="736"/>
        <v>2</v>
      </c>
      <c r="P226" s="400">
        <f t="shared" ca="1" si="700"/>
        <v>3150</v>
      </c>
      <c r="Q226" s="400">
        <f t="shared" ca="1" si="701"/>
        <v>0</v>
      </c>
      <c r="R226" s="398">
        <f t="shared" ca="1" si="702"/>
        <v>558600</v>
      </c>
      <c r="S226" s="401" t="str">
        <f t="shared" ca="1" si="710"/>
        <v/>
      </c>
      <c r="T226" s="398">
        <f t="shared" ca="1" si="711"/>
        <v>768</v>
      </c>
      <c r="U226" s="400">
        <f ca="1">IF(MAX(IF($B$6="No",ROUNDUP($B$3/$I226,0),ROUNDUP(($B$3+$I226)/$I226,0)),IF($B$6="No",ROUNDUP($B$4/$G226,0),ROUNDUP(($B$4+$G226)/$G226,0)),ROUNDUP('BVMS checklist'!$H$217/$J226,0))&gt;1,'BVMS checklist'!$H$224,'BVMS checklist'!$H$217)+MAX(IF($B$6="No",ROUNDUP($B$3/$I226,0),ROUNDUP(($B$3+$I226)/$I226,0)),IF($B$6="No",ROUNDUP($B$4/$G226,0),ROUNDUP(($B$4+$G226)/$G226,0)))+$B$5</f>
        <v>1</v>
      </c>
      <c r="V226" s="400" t="b">
        <f t="shared" ca="1" si="703"/>
        <v>1</v>
      </c>
      <c r="W226" s="400" t="str">
        <f t="shared" ca="1" si="737"/>
        <v>Accepted</v>
      </c>
      <c r="X226" s="398" t="str">
        <f t="shared" ca="1" si="712"/>
        <v>No</v>
      </c>
      <c r="Y226" s="398" t="str">
        <f t="shared" ca="1" si="713"/>
        <v/>
      </c>
      <c r="Z226" s="398" t="str">
        <f t="shared" ca="1" si="714"/>
        <v/>
      </c>
      <c r="AA226" s="398">
        <f t="shared" ca="1" si="738"/>
        <v>6</v>
      </c>
      <c r="AB226" s="398">
        <f t="shared" ca="1" si="704"/>
        <v>2</v>
      </c>
      <c r="AC226" s="398">
        <f t="shared" ca="1" si="705"/>
        <v>640</v>
      </c>
      <c r="AD226" s="398">
        <f t="shared" ca="1" si="739"/>
        <v>558600</v>
      </c>
      <c r="AE226" s="399">
        <f t="shared" si="692"/>
        <v>0</v>
      </c>
      <c r="AF226" s="399">
        <f t="shared" si="693"/>
        <v>0</v>
      </c>
      <c r="AG226" s="483" t="str">
        <f t="shared" ca="1" si="715"/>
        <v/>
      </c>
      <c r="AH226" s="400">
        <f ca="1">IF(MAX(IF($C$6="No",ROUNDUP($C$3/$I226,0),ROUNDUP(($C$3+$I226)/$I226,0)),IF($C$6="No",ROUNDUP($C$4/$G226,0),ROUNDUP(($C$4+$G226)/$G226,0)),ROUNDUP('BVMS checklist'!$H$217/$J226,0))&gt;1,'BVMS checklist'!$J$224,'BVMS checklist'!$J$217)</f>
        <v>0</v>
      </c>
      <c r="AI226" s="398">
        <f t="shared" ca="1" si="716"/>
        <v>2</v>
      </c>
      <c r="AJ226" s="400">
        <f t="shared" ca="1" si="740"/>
        <v>2</v>
      </c>
      <c r="AK226" s="400">
        <f t="shared" ca="1" si="741"/>
        <v>3150</v>
      </c>
      <c r="AL226" s="400">
        <f t="shared" ca="1" si="742"/>
        <v>0</v>
      </c>
      <c r="AM226" s="398">
        <f t="shared" ca="1" si="743"/>
        <v>558600</v>
      </c>
      <c r="AN226" s="401" t="str">
        <f t="shared" ca="1" si="717"/>
        <v/>
      </c>
      <c r="AO226" s="398">
        <f t="shared" ca="1" si="744"/>
        <v>768</v>
      </c>
      <c r="AP226" s="400">
        <f ca="1">IF(MAX(IF($C$6="No",ROUNDUP($C$3/$I226,0),ROUNDUP(($C$3+$I226)/$I226,0)),IF($C$6="No",ROUNDUP($C$4/$G226,0),ROUNDUP(($C$4+$G226)/$G226,0)),ROUNDUP('BVMS checklist'!$H$217/$J226,0))&gt;1,'BVMS checklist'!$J$224,'BVMS checklist'!$J$217)+MAX(IF($C$6="No",ROUNDUP($C$3/$I226,0),ROUNDUP(($C$3+$I226)/$I226,0)),IF($C$6="No",ROUNDUP($C$4/$G226,0),ROUNDUP(($C$4+$G226)/$G226,0)))+$C$5</f>
        <v>1</v>
      </c>
      <c r="AQ226" s="400" t="b">
        <f t="shared" ca="1" si="706"/>
        <v>1</v>
      </c>
      <c r="AR226" s="400" t="str">
        <f t="shared" ca="1" si="745"/>
        <v>Accepted</v>
      </c>
      <c r="AS226" s="398" t="str">
        <f t="shared" ca="1" si="731"/>
        <v>No</v>
      </c>
      <c r="AT226" s="398" t="str">
        <f t="shared" ca="1" si="746"/>
        <v/>
      </c>
      <c r="AU226" s="398" t="str">
        <f t="shared" ca="1" si="718"/>
        <v/>
      </c>
      <c r="AV226" s="398">
        <f t="shared" ca="1" si="719"/>
        <v>6</v>
      </c>
      <c r="AW226" s="398">
        <f t="shared" ca="1" si="747"/>
        <v>2</v>
      </c>
      <c r="AX226" s="398">
        <f t="shared" ca="1" si="748"/>
        <v>640</v>
      </c>
      <c r="AY226" s="398">
        <f t="shared" ca="1" si="749"/>
        <v>558600</v>
      </c>
      <c r="AZ226" s="399">
        <f t="shared" si="694"/>
        <v>0</v>
      </c>
      <c r="BA226" s="399">
        <f t="shared" si="695"/>
        <v>0</v>
      </c>
      <c r="BB226" s="483" t="str">
        <f t="shared" ca="1" si="720"/>
        <v/>
      </c>
      <c r="BC226" s="400">
        <f ca="1">IF(MAX(IF($D$6="No",ROUNDUP($D$3/$I226,0),ROUNDUP(($D$3+$I226)/$I226,0)),IF($D$6="No",ROUNDUP($D$4/$G226,0),ROUNDUP(($D$4+$G226)/$G226,0)),ROUNDUP('BVMS checklist'!$H$217/$J226,0))&gt;1,'BVMS checklist'!$L$224,'BVMS checklist'!$L$217)</f>
        <v>0</v>
      </c>
      <c r="BD226" s="398">
        <f t="shared" ca="1" si="721"/>
        <v>2</v>
      </c>
      <c r="BE226" s="400">
        <f t="shared" si="750"/>
        <v>1</v>
      </c>
      <c r="BF226" s="400">
        <f t="shared" si="751"/>
        <v>1575</v>
      </c>
      <c r="BG226" s="400">
        <f t="shared" ca="1" si="732"/>
        <v>0</v>
      </c>
      <c r="BH226" s="398">
        <f t="shared" ca="1" si="752"/>
        <v>558600</v>
      </c>
      <c r="BI226" s="401" t="str">
        <f t="shared" ca="1" si="722"/>
        <v/>
      </c>
      <c r="BJ226" s="398">
        <f t="shared" ca="1" si="753"/>
        <v>768</v>
      </c>
      <c r="BK226" s="400">
        <f ca="1">IF(MAX(IF($D$6="No",ROUNDUP($D$3/$I226,0),ROUNDUP(($D$3+$I226)/$I226,0)),IF($D$6="No",ROUNDUP($D$4/$G226,0),ROUNDUP(($D$4+$G226)/$G226,0)),ROUNDUP('BVMS checklist'!$H$217/$J226,0))&gt;1,'BVMS checklist'!$L$224,'BVMS checklist'!$L$217)+MAX(IF($D$6="No",ROUNDUP($D$3/$I226,0),ROUNDUP(($D$3+$I226)/$I226,0)),IF($D$6="No",ROUNDUP($D$4/$G226,0),ROUNDUP(($D$4+$G226)/$G226,0)))+$D$5</f>
        <v>1</v>
      </c>
      <c r="BL226" s="400" t="b">
        <f t="shared" ca="1" si="707"/>
        <v>1</v>
      </c>
      <c r="BM226" s="400" t="str">
        <f t="shared" ca="1" si="754"/>
        <v>Accepted</v>
      </c>
      <c r="BN226" s="398" t="str">
        <f t="shared" ca="1" si="733"/>
        <v>No</v>
      </c>
      <c r="BO226" s="398" t="str">
        <f t="shared" ca="1" si="755"/>
        <v/>
      </c>
      <c r="BP226" s="398" t="str">
        <f t="shared" ca="1" si="723"/>
        <v/>
      </c>
      <c r="BQ226" s="398">
        <f t="shared" ca="1" si="724"/>
        <v>6</v>
      </c>
      <c r="BR226" s="398">
        <f t="shared" ca="1" si="756"/>
        <v>2</v>
      </c>
      <c r="BS226" s="398">
        <f t="shared" ca="1" si="757"/>
        <v>640</v>
      </c>
      <c r="BT226" s="398">
        <f t="shared" ca="1" si="758"/>
        <v>558600</v>
      </c>
      <c r="BU226" s="399">
        <f t="shared" si="696"/>
        <v>0</v>
      </c>
      <c r="BV226" s="399">
        <f t="shared" si="697"/>
        <v>0</v>
      </c>
      <c r="BW226" s="483" t="str">
        <f t="shared" ca="1" si="725"/>
        <v/>
      </c>
      <c r="BX226" s="400">
        <f ca="1">IF(MAX(IF($E$6="No",ROUNDUP($E$3/$I226,0),ROUNDUP(($E$3+$I226)/$I226,0)),IF($E$6="No",ROUNDUP($E$4/$G226,0),ROUNDUP(($E$4+$G226)/$G226,0)),ROUNDUP('BVMS checklist'!$H$217/$J226,0))&gt;1,'BVMS checklist'!$N$224,'BVMS checklist'!$N$217)</f>
        <v>0</v>
      </c>
      <c r="BY226" s="398">
        <f t="shared" ca="1" si="726"/>
        <v>2</v>
      </c>
      <c r="BZ226" s="400">
        <f t="shared" ca="1" si="759"/>
        <v>2</v>
      </c>
      <c r="CA226" s="400">
        <f t="shared" ca="1" si="760"/>
        <v>3150</v>
      </c>
      <c r="CB226" s="400">
        <f t="shared" ca="1" si="734"/>
        <v>0</v>
      </c>
      <c r="CC226" s="398">
        <f t="shared" ca="1" si="761"/>
        <v>558600</v>
      </c>
      <c r="CD226" s="401" t="str">
        <f t="shared" ca="1" si="727"/>
        <v/>
      </c>
      <c r="CE226" s="398">
        <f t="shared" ca="1" si="762"/>
        <v>768</v>
      </c>
      <c r="CF226" s="400">
        <f ca="1">IF(MAX(IF($E$6="No",ROUNDUP($E$3/$I226,0),ROUNDUP(($E$3+$I226)/$I226,0)),IF($E$6="No",ROUNDUP($E$4/$G226,0),ROUNDUP(($E$4+$G226)/$G226,0)),ROUNDUP('BVMS checklist'!$H$217/$J226,0))&gt;1,'BVMS checklist'!$N$224,'BVMS checklist'!$N$217)+MAX(IF($E$6="No",ROUNDUP($E$3/$I226,0),ROUNDUP(($E$3+$I226)/$I226,0)),IF($E$6="No",ROUNDUP($E$4/$G226,0),ROUNDUP(($E$4+$G226)/$G226,0)))+$E$5</f>
        <v>1</v>
      </c>
      <c r="CG226" s="400" t="b">
        <f t="shared" ca="1" si="708"/>
        <v>1</v>
      </c>
      <c r="CH226" s="400" t="str">
        <f t="shared" ca="1" si="763"/>
        <v>Accepted</v>
      </c>
      <c r="CI226" s="398" t="str">
        <f t="shared" ca="1" si="735"/>
        <v>No</v>
      </c>
      <c r="CJ226" s="398" t="str">
        <f t="shared" ca="1" si="764"/>
        <v/>
      </c>
      <c r="CK226" s="398" t="str">
        <f t="shared" ca="1" si="728"/>
        <v/>
      </c>
      <c r="CL226" s="398">
        <f t="shared" ca="1" si="729"/>
        <v>6</v>
      </c>
      <c r="CM226" s="398">
        <f t="shared" ca="1" si="765"/>
        <v>2</v>
      </c>
      <c r="CN226" s="398">
        <f t="shared" ca="1" si="766"/>
        <v>640</v>
      </c>
      <c r="CO226" s="398">
        <f t="shared" ca="1" si="767"/>
        <v>558600</v>
      </c>
      <c r="CP226" s="399">
        <f t="shared" si="698"/>
        <v>0</v>
      </c>
      <c r="CQ226" s="399">
        <f t="shared" si="699"/>
        <v>0</v>
      </c>
      <c r="CR226" s="483" t="str">
        <f t="shared" ca="1" si="730"/>
        <v/>
      </c>
      <c r="CS226"/>
    </row>
    <row r="227" spans="1:97">
      <c r="A227" s="398" t="s">
        <v>521</v>
      </c>
      <c r="B227" s="398" t="s">
        <v>987</v>
      </c>
      <c r="C227" s="440" t="s">
        <v>891</v>
      </c>
      <c r="D227" s="398">
        <v>4</v>
      </c>
      <c r="E227" s="398"/>
      <c r="F227" s="440">
        <v>0</v>
      </c>
      <c r="G227" s="398">
        <f>IF(C227="RAID5",(((15-F227)*7448))+(3*(((15-F227)*5586))),(((14-F227)*7448))+(3*(((14-F227)*5586))))</f>
        <v>363090</v>
      </c>
      <c r="H227" s="399">
        <v>416</v>
      </c>
      <c r="I227" s="399">
        <v>2125</v>
      </c>
      <c r="J227" s="399">
        <v>512</v>
      </c>
      <c r="K227" s="399"/>
      <c r="L227" s="399"/>
      <c r="M227" s="400">
        <f ca="1">IF(MAX(IF($B$6="No",ROUNDUP($B$3/$I227,0),ROUNDUP(($B$3+$I227)/$I227,0)),IF($B$6="No",ROUNDUP($B$4/$G227,0),ROUNDUP(($B$4+$G227)/$G227,0)),ROUNDUP('BVMS checklist'!$H$217/$J227,0))&gt;1,'BVMS checklist'!$H$224,'BVMS checklist'!$H$217)</f>
        <v>0</v>
      </c>
      <c r="N227" s="398">
        <f t="shared" ca="1" si="709"/>
        <v>2</v>
      </c>
      <c r="O227" s="400">
        <f t="shared" ca="1" si="736"/>
        <v>2</v>
      </c>
      <c r="P227" s="400">
        <f t="shared" ca="1" si="700"/>
        <v>4250</v>
      </c>
      <c r="Q227" s="400">
        <f t="shared" ca="1" si="701"/>
        <v>0</v>
      </c>
      <c r="R227" s="398">
        <f t="shared" ca="1" si="702"/>
        <v>726180</v>
      </c>
      <c r="S227" s="401" t="str">
        <f t="shared" ca="1" si="710"/>
        <v/>
      </c>
      <c r="T227" s="398">
        <f t="shared" ca="1" si="711"/>
        <v>1024</v>
      </c>
      <c r="U227" s="400">
        <f ca="1">IF(MAX(IF($B$6="No",ROUNDUP($B$3/$I227,0),ROUNDUP(($B$3+$I227)/$I227,0)),IF($B$6="No",ROUNDUP($B$4/$G227,0),ROUNDUP(($B$4+$G227)/$G227,0)),ROUNDUP('BVMS checklist'!$H$217/$J227,0))&gt;1,'BVMS checklist'!$H$224,'BVMS checklist'!$H$217)+MAX(IF($B$6="No",ROUNDUP($B$3/$I227,0),ROUNDUP(($B$3+$I227)/$I227,0)),IF($B$6="No",ROUNDUP($B$4/$G227,0),ROUNDUP(($B$4+$G227)/$G227,0)))+$B$5</f>
        <v>1</v>
      </c>
      <c r="V227" s="400" t="b">
        <f t="shared" ca="1" si="703"/>
        <v>1</v>
      </c>
      <c r="W227" s="400" t="str">
        <f t="shared" ca="1" si="737"/>
        <v>Accepted</v>
      </c>
      <c r="X227" s="398" t="str">
        <f t="shared" ca="1" si="712"/>
        <v>No</v>
      </c>
      <c r="Y227" s="398" t="str">
        <f t="shared" ca="1" si="713"/>
        <v/>
      </c>
      <c r="Z227" s="398" t="str">
        <f t="shared" ca="1" si="714"/>
        <v/>
      </c>
      <c r="AA227" s="398">
        <f t="shared" ca="1" si="738"/>
        <v>6</v>
      </c>
      <c r="AB227" s="398">
        <f t="shared" ca="1" si="704"/>
        <v>2</v>
      </c>
      <c r="AC227" s="398">
        <f t="shared" ca="1" si="705"/>
        <v>832</v>
      </c>
      <c r="AD227" s="398">
        <f t="shared" ca="1" si="739"/>
        <v>726180</v>
      </c>
      <c r="AE227" s="399">
        <f t="shared" si="692"/>
        <v>0</v>
      </c>
      <c r="AF227" s="399">
        <f t="shared" si="693"/>
        <v>0</v>
      </c>
      <c r="AG227" s="483" t="str">
        <f t="shared" ca="1" si="715"/>
        <v/>
      </c>
      <c r="AH227" s="400">
        <f ca="1">IF(MAX(IF($C$6="No",ROUNDUP($C$3/$I227,0),ROUNDUP(($C$3+$I227)/$I227,0)),IF($C$6="No",ROUNDUP($C$4/$G227,0),ROUNDUP(($C$4+$G227)/$G227,0)),ROUNDUP('BVMS checklist'!$H$217/$J227,0))&gt;1,'BVMS checklist'!$J$224,'BVMS checklist'!$J$217)</f>
        <v>0</v>
      </c>
      <c r="AI227" s="398">
        <f t="shared" ca="1" si="716"/>
        <v>2</v>
      </c>
      <c r="AJ227" s="400">
        <f t="shared" ca="1" si="740"/>
        <v>2</v>
      </c>
      <c r="AK227" s="400">
        <f t="shared" ca="1" si="741"/>
        <v>4250</v>
      </c>
      <c r="AL227" s="400">
        <f t="shared" ca="1" si="742"/>
        <v>0</v>
      </c>
      <c r="AM227" s="398">
        <f t="shared" ca="1" si="743"/>
        <v>726180</v>
      </c>
      <c r="AN227" s="401" t="str">
        <f t="shared" ca="1" si="717"/>
        <v/>
      </c>
      <c r="AO227" s="398">
        <f t="shared" ca="1" si="744"/>
        <v>1024</v>
      </c>
      <c r="AP227" s="400">
        <f ca="1">IF(MAX(IF($C$6="No",ROUNDUP($C$3/$I227,0),ROUNDUP(($C$3+$I227)/$I227,0)),IF($C$6="No",ROUNDUP($C$4/$G227,0),ROUNDUP(($C$4+$G227)/$G227,0)),ROUNDUP('BVMS checklist'!$H$217/$J227,0))&gt;1,'BVMS checklist'!$J$224,'BVMS checklist'!$J$217)+MAX(IF($C$6="No",ROUNDUP($C$3/$I227,0),ROUNDUP(($C$3+$I227)/$I227,0)),IF($C$6="No",ROUNDUP($C$4/$G227,0),ROUNDUP(($C$4+$G227)/$G227,0)))+$C$5</f>
        <v>1</v>
      </c>
      <c r="AQ227" s="400" t="b">
        <f t="shared" ca="1" si="706"/>
        <v>1</v>
      </c>
      <c r="AR227" s="400" t="str">
        <f t="shared" ca="1" si="745"/>
        <v>Accepted</v>
      </c>
      <c r="AS227" s="398" t="str">
        <f t="shared" ca="1" si="731"/>
        <v>No</v>
      </c>
      <c r="AT227" s="398" t="str">
        <f t="shared" ca="1" si="746"/>
        <v/>
      </c>
      <c r="AU227" s="398" t="str">
        <f t="shared" ca="1" si="718"/>
        <v/>
      </c>
      <c r="AV227" s="398">
        <f t="shared" ca="1" si="719"/>
        <v>6</v>
      </c>
      <c r="AW227" s="398">
        <f t="shared" ca="1" si="747"/>
        <v>2</v>
      </c>
      <c r="AX227" s="398">
        <f t="shared" ca="1" si="748"/>
        <v>832</v>
      </c>
      <c r="AY227" s="398">
        <f t="shared" ca="1" si="749"/>
        <v>726180</v>
      </c>
      <c r="AZ227" s="399">
        <f t="shared" si="694"/>
        <v>0</v>
      </c>
      <c r="BA227" s="399">
        <f t="shared" si="695"/>
        <v>0</v>
      </c>
      <c r="BB227" s="483" t="str">
        <f t="shared" ca="1" si="720"/>
        <v/>
      </c>
      <c r="BC227" s="400">
        <f ca="1">IF(MAX(IF($D$6="No",ROUNDUP($D$3/$I227,0),ROUNDUP(($D$3+$I227)/$I227,0)),IF($D$6="No",ROUNDUP($D$4/$G227,0),ROUNDUP(($D$4+$G227)/$G227,0)),ROUNDUP('BVMS checklist'!$H$217/$J227,0))&gt;1,'BVMS checklist'!$L$224,'BVMS checklist'!$L$217)</f>
        <v>0</v>
      </c>
      <c r="BD227" s="398">
        <f t="shared" ca="1" si="721"/>
        <v>2</v>
      </c>
      <c r="BE227" s="400">
        <f t="shared" si="750"/>
        <v>1</v>
      </c>
      <c r="BF227" s="400">
        <f t="shared" si="751"/>
        <v>2125</v>
      </c>
      <c r="BG227" s="400">
        <f t="shared" ca="1" si="732"/>
        <v>0</v>
      </c>
      <c r="BH227" s="398">
        <f t="shared" ca="1" si="752"/>
        <v>726180</v>
      </c>
      <c r="BI227" s="401" t="str">
        <f t="shared" ca="1" si="722"/>
        <v/>
      </c>
      <c r="BJ227" s="398">
        <f t="shared" ca="1" si="753"/>
        <v>1024</v>
      </c>
      <c r="BK227" s="400">
        <f ca="1">IF(MAX(IF($D$6="No",ROUNDUP($D$3/$I227,0),ROUNDUP(($D$3+$I227)/$I227,0)),IF($D$6="No",ROUNDUP($D$4/$G227,0),ROUNDUP(($D$4+$G227)/$G227,0)),ROUNDUP('BVMS checklist'!$H$217/$J227,0))&gt;1,'BVMS checklist'!$L$224,'BVMS checklist'!$L$217)+MAX(IF($D$6="No",ROUNDUP($D$3/$I227,0),ROUNDUP(($D$3+$I227)/$I227,0)),IF($D$6="No",ROUNDUP($D$4/$G227,0),ROUNDUP(($D$4+$G227)/$G227,0)))+$D$5</f>
        <v>1</v>
      </c>
      <c r="BL227" s="400" t="b">
        <f t="shared" ca="1" si="707"/>
        <v>1</v>
      </c>
      <c r="BM227" s="400" t="str">
        <f t="shared" ca="1" si="754"/>
        <v>Accepted</v>
      </c>
      <c r="BN227" s="398" t="str">
        <f t="shared" ca="1" si="733"/>
        <v>No</v>
      </c>
      <c r="BO227" s="398" t="str">
        <f t="shared" ca="1" si="755"/>
        <v/>
      </c>
      <c r="BP227" s="398" t="str">
        <f t="shared" ca="1" si="723"/>
        <v/>
      </c>
      <c r="BQ227" s="398">
        <f t="shared" ca="1" si="724"/>
        <v>6</v>
      </c>
      <c r="BR227" s="398">
        <f t="shared" ca="1" si="756"/>
        <v>2</v>
      </c>
      <c r="BS227" s="398">
        <f t="shared" ca="1" si="757"/>
        <v>832</v>
      </c>
      <c r="BT227" s="398">
        <f t="shared" ca="1" si="758"/>
        <v>726180</v>
      </c>
      <c r="BU227" s="399">
        <f t="shared" si="696"/>
        <v>0</v>
      </c>
      <c r="BV227" s="399">
        <f t="shared" si="697"/>
        <v>0</v>
      </c>
      <c r="BW227" s="483" t="str">
        <f t="shared" ca="1" si="725"/>
        <v/>
      </c>
      <c r="BX227" s="400">
        <f ca="1">IF(MAX(IF($E$6="No",ROUNDUP($E$3/$I227,0),ROUNDUP(($E$3+$I227)/$I227,0)),IF($E$6="No",ROUNDUP($E$4/$G227,0),ROUNDUP(($E$4+$G227)/$G227,0)),ROUNDUP('BVMS checklist'!$H$217/$J227,0))&gt;1,'BVMS checklist'!$N$224,'BVMS checklist'!$N$217)</f>
        <v>0</v>
      </c>
      <c r="BY227" s="398">
        <f t="shared" ca="1" si="726"/>
        <v>2</v>
      </c>
      <c r="BZ227" s="400">
        <f t="shared" ca="1" si="759"/>
        <v>2</v>
      </c>
      <c r="CA227" s="400">
        <f t="shared" ca="1" si="760"/>
        <v>4250</v>
      </c>
      <c r="CB227" s="400">
        <f t="shared" ca="1" si="734"/>
        <v>0</v>
      </c>
      <c r="CC227" s="398">
        <f t="shared" ca="1" si="761"/>
        <v>726180</v>
      </c>
      <c r="CD227" s="401" t="str">
        <f t="shared" ca="1" si="727"/>
        <v/>
      </c>
      <c r="CE227" s="398">
        <f t="shared" ca="1" si="762"/>
        <v>1024</v>
      </c>
      <c r="CF227" s="400">
        <f ca="1">IF(MAX(IF($E$6="No",ROUNDUP($E$3/$I227,0),ROUNDUP(($E$3+$I227)/$I227,0)),IF($E$6="No",ROUNDUP($E$4/$G227,0),ROUNDUP(($E$4+$G227)/$G227,0)),ROUNDUP('BVMS checklist'!$H$217/$J227,0))&gt;1,'BVMS checklist'!$N$224,'BVMS checklist'!$N$217)+MAX(IF($E$6="No",ROUNDUP($E$3/$I227,0),ROUNDUP(($E$3+$I227)/$I227,0)),IF($E$6="No",ROUNDUP($E$4/$G227,0),ROUNDUP(($E$4+$G227)/$G227,0)))+$E$5</f>
        <v>1</v>
      </c>
      <c r="CG227" s="400" t="b">
        <f t="shared" ca="1" si="708"/>
        <v>1</v>
      </c>
      <c r="CH227" s="400" t="str">
        <f t="shared" ca="1" si="763"/>
        <v>Accepted</v>
      </c>
      <c r="CI227" s="398" t="str">
        <f t="shared" ca="1" si="735"/>
        <v>No</v>
      </c>
      <c r="CJ227" s="398" t="str">
        <f t="shared" ca="1" si="764"/>
        <v/>
      </c>
      <c r="CK227" s="398" t="str">
        <f t="shared" ca="1" si="728"/>
        <v/>
      </c>
      <c r="CL227" s="398">
        <f t="shared" ca="1" si="729"/>
        <v>6</v>
      </c>
      <c r="CM227" s="398">
        <f t="shared" ca="1" si="765"/>
        <v>2</v>
      </c>
      <c r="CN227" s="398">
        <f t="shared" ca="1" si="766"/>
        <v>832</v>
      </c>
      <c r="CO227" s="398">
        <f t="shared" ca="1" si="767"/>
        <v>726180</v>
      </c>
      <c r="CP227" s="399">
        <f t="shared" si="698"/>
        <v>0</v>
      </c>
      <c r="CQ227" s="399">
        <f t="shared" si="699"/>
        <v>0</v>
      </c>
      <c r="CR227" s="483" t="str">
        <f t="shared" ca="1" si="730"/>
        <v/>
      </c>
      <c r="CS227"/>
    </row>
    <row r="228" spans="1:97">
      <c r="A228" s="398" t="s">
        <v>522</v>
      </c>
      <c r="B228" s="398" t="s">
        <v>987</v>
      </c>
      <c r="C228" s="440" t="s">
        <v>891</v>
      </c>
      <c r="D228" s="398">
        <v>5</v>
      </c>
      <c r="E228" s="398"/>
      <c r="F228" s="440">
        <v>0</v>
      </c>
      <c r="G228" s="398">
        <f>IF(C228="RAID5",(((15-F228)*7448))+(4*(((15-F228)*5586))),(((14-F228)*7448))+(4*(((14-F228)*5586))))</f>
        <v>446880</v>
      </c>
      <c r="H228" s="399">
        <v>512</v>
      </c>
      <c r="I228" s="399">
        <v>2675</v>
      </c>
      <c r="J228" s="399">
        <v>640</v>
      </c>
      <c r="K228" s="399"/>
      <c r="L228" s="399"/>
      <c r="M228" s="400">
        <f ca="1">IF(MAX(IF($B$6="No",ROUNDUP($B$3/$I228,0),ROUNDUP(($B$3+$I228)/$I228,0)),IF($B$6="No",ROUNDUP($B$4/$G228,0),ROUNDUP(($B$4+$G228)/$G228,0)),ROUNDUP('BVMS checklist'!$H$217/$J228,0))&gt;1,'BVMS checklist'!$H$224,'BVMS checklist'!$H$217)</f>
        <v>0</v>
      </c>
      <c r="N228" s="398">
        <f t="shared" ca="1" si="709"/>
        <v>2</v>
      </c>
      <c r="O228" s="400">
        <f t="shared" ca="1" si="736"/>
        <v>2</v>
      </c>
      <c r="P228" s="400">
        <f t="shared" ca="1" si="700"/>
        <v>5350</v>
      </c>
      <c r="Q228" s="400">
        <f t="shared" ca="1" si="701"/>
        <v>0</v>
      </c>
      <c r="R228" s="398">
        <f t="shared" ca="1" si="702"/>
        <v>893760</v>
      </c>
      <c r="S228" s="401" t="str">
        <f t="shared" ca="1" si="710"/>
        <v/>
      </c>
      <c r="T228" s="398">
        <f t="shared" ca="1" si="711"/>
        <v>1280</v>
      </c>
      <c r="U228" s="400">
        <f ca="1">IF(MAX(IF($B$6="No",ROUNDUP($B$3/$I228,0),ROUNDUP(($B$3+$I228)/$I228,0)),IF($B$6="No",ROUNDUP($B$4/$G228,0),ROUNDUP(($B$4+$G228)/$G228,0)),ROUNDUP('BVMS checklist'!$H$217/$J228,0))&gt;1,'BVMS checklist'!$H$224,'BVMS checklist'!$H$217)+MAX(IF($B$6="No",ROUNDUP($B$3/$I228,0),ROUNDUP(($B$3+$I228)/$I228,0)),IF($B$6="No",ROUNDUP($B$4/$G228,0),ROUNDUP(($B$4+$G228)/$G228,0)))+$B$5</f>
        <v>1</v>
      </c>
      <c r="V228" s="400" t="b">
        <f t="shared" ca="1" si="703"/>
        <v>1</v>
      </c>
      <c r="W228" s="400" t="str">
        <f t="shared" ca="1" si="737"/>
        <v>Accepted</v>
      </c>
      <c r="X228" s="398" t="str">
        <f t="shared" ca="1" si="712"/>
        <v>No</v>
      </c>
      <c r="Y228" s="398" t="str">
        <f t="shared" ca="1" si="713"/>
        <v/>
      </c>
      <c r="Z228" s="398" t="str">
        <f t="shared" ca="1" si="714"/>
        <v/>
      </c>
      <c r="AA228" s="398">
        <f t="shared" ca="1" si="738"/>
        <v>6</v>
      </c>
      <c r="AB228" s="398">
        <f t="shared" ca="1" si="704"/>
        <v>2</v>
      </c>
      <c r="AC228" s="398">
        <f t="shared" ca="1" si="705"/>
        <v>1024</v>
      </c>
      <c r="AD228" s="398">
        <f t="shared" ca="1" si="739"/>
        <v>893760</v>
      </c>
      <c r="AE228" s="399">
        <f t="shared" si="692"/>
        <v>0</v>
      </c>
      <c r="AF228" s="399">
        <f t="shared" si="693"/>
        <v>0</v>
      </c>
      <c r="AG228" s="483" t="str">
        <f t="shared" ca="1" si="715"/>
        <v/>
      </c>
      <c r="AH228" s="400">
        <f ca="1">IF(MAX(IF($C$6="No",ROUNDUP($C$3/$I228,0),ROUNDUP(($C$3+$I228)/$I228,0)),IF($C$6="No",ROUNDUP($C$4/$G228,0),ROUNDUP(($C$4+$G228)/$G228,0)),ROUNDUP('BVMS checklist'!$H$217/$J228,0))&gt;1,'BVMS checklist'!$J$224,'BVMS checklist'!$J$217)</f>
        <v>0</v>
      </c>
      <c r="AI228" s="398">
        <f t="shared" ca="1" si="716"/>
        <v>2</v>
      </c>
      <c r="AJ228" s="400">
        <f t="shared" ca="1" si="740"/>
        <v>2</v>
      </c>
      <c r="AK228" s="400">
        <f t="shared" ca="1" si="741"/>
        <v>5350</v>
      </c>
      <c r="AL228" s="400">
        <f t="shared" ca="1" si="742"/>
        <v>0</v>
      </c>
      <c r="AM228" s="398">
        <f t="shared" ca="1" si="743"/>
        <v>893760</v>
      </c>
      <c r="AN228" s="401" t="str">
        <f t="shared" ca="1" si="717"/>
        <v/>
      </c>
      <c r="AO228" s="398">
        <f t="shared" ca="1" si="744"/>
        <v>1280</v>
      </c>
      <c r="AP228" s="400">
        <f ca="1">IF(MAX(IF($C$6="No",ROUNDUP($C$3/$I228,0),ROUNDUP(($C$3+$I228)/$I228,0)),IF($C$6="No",ROUNDUP($C$4/$G228,0),ROUNDUP(($C$4+$G228)/$G228,0)),ROUNDUP('BVMS checklist'!$H$217/$J228,0))&gt;1,'BVMS checklist'!$J$224,'BVMS checklist'!$J$217)+MAX(IF($C$6="No",ROUNDUP($C$3/$I228,0),ROUNDUP(($C$3+$I228)/$I228,0)),IF($C$6="No",ROUNDUP($C$4/$G228,0),ROUNDUP(($C$4+$G228)/$G228,0)))+$C$5</f>
        <v>1</v>
      </c>
      <c r="AQ228" s="400" t="b">
        <f t="shared" ca="1" si="706"/>
        <v>1</v>
      </c>
      <c r="AR228" s="400" t="str">
        <f t="shared" ca="1" si="745"/>
        <v>Accepted</v>
      </c>
      <c r="AS228" s="398" t="str">
        <f t="shared" ca="1" si="731"/>
        <v>No</v>
      </c>
      <c r="AT228" s="398" t="str">
        <f t="shared" ca="1" si="746"/>
        <v/>
      </c>
      <c r="AU228" s="398" t="str">
        <f t="shared" ca="1" si="718"/>
        <v/>
      </c>
      <c r="AV228" s="398">
        <f t="shared" ca="1" si="719"/>
        <v>6</v>
      </c>
      <c r="AW228" s="398">
        <f t="shared" ca="1" si="747"/>
        <v>2</v>
      </c>
      <c r="AX228" s="398">
        <f t="shared" ca="1" si="748"/>
        <v>1024</v>
      </c>
      <c r="AY228" s="398">
        <f t="shared" ca="1" si="749"/>
        <v>893760</v>
      </c>
      <c r="AZ228" s="399">
        <f t="shared" si="694"/>
        <v>0</v>
      </c>
      <c r="BA228" s="399">
        <f t="shared" si="695"/>
        <v>0</v>
      </c>
      <c r="BB228" s="483" t="str">
        <f t="shared" ca="1" si="720"/>
        <v/>
      </c>
      <c r="BC228" s="400">
        <f ca="1">IF(MAX(IF($D$6="No",ROUNDUP($D$3/$I228,0),ROUNDUP(($D$3+$I228)/$I228,0)),IF($D$6="No",ROUNDUP($D$4/$G228,0),ROUNDUP(($D$4+$G228)/$G228,0)),ROUNDUP('BVMS checklist'!$H$217/$J228,0))&gt;1,'BVMS checklist'!$L$224,'BVMS checklist'!$L$217)</f>
        <v>0</v>
      </c>
      <c r="BD228" s="398">
        <f t="shared" ca="1" si="721"/>
        <v>2</v>
      </c>
      <c r="BE228" s="400">
        <f t="shared" si="750"/>
        <v>1</v>
      </c>
      <c r="BF228" s="400">
        <f t="shared" si="751"/>
        <v>2675</v>
      </c>
      <c r="BG228" s="400">
        <f t="shared" ca="1" si="732"/>
        <v>0</v>
      </c>
      <c r="BH228" s="398">
        <f t="shared" ca="1" si="752"/>
        <v>893760</v>
      </c>
      <c r="BI228" s="401" t="str">
        <f t="shared" ca="1" si="722"/>
        <v/>
      </c>
      <c r="BJ228" s="398">
        <f t="shared" ca="1" si="753"/>
        <v>1280</v>
      </c>
      <c r="BK228" s="400">
        <f ca="1">IF(MAX(IF($D$6="No",ROUNDUP($D$3/$I228,0),ROUNDUP(($D$3+$I228)/$I228,0)),IF($D$6="No",ROUNDUP($D$4/$G228,0),ROUNDUP(($D$4+$G228)/$G228,0)),ROUNDUP('BVMS checklist'!$H$217/$J228,0))&gt;1,'BVMS checklist'!$L$224,'BVMS checklist'!$L$217)+MAX(IF($D$6="No",ROUNDUP($D$3/$I228,0),ROUNDUP(($D$3+$I228)/$I228,0)),IF($D$6="No",ROUNDUP($D$4/$G228,0),ROUNDUP(($D$4+$G228)/$G228,0)))+$D$5</f>
        <v>1</v>
      </c>
      <c r="BL228" s="400" t="b">
        <f t="shared" ca="1" si="707"/>
        <v>1</v>
      </c>
      <c r="BM228" s="400" t="str">
        <f t="shared" ca="1" si="754"/>
        <v>Accepted</v>
      </c>
      <c r="BN228" s="398" t="str">
        <f t="shared" ca="1" si="733"/>
        <v>No</v>
      </c>
      <c r="BO228" s="398" t="str">
        <f t="shared" ca="1" si="755"/>
        <v/>
      </c>
      <c r="BP228" s="398" t="str">
        <f t="shared" ca="1" si="723"/>
        <v/>
      </c>
      <c r="BQ228" s="398">
        <f t="shared" ca="1" si="724"/>
        <v>6</v>
      </c>
      <c r="BR228" s="398">
        <f t="shared" ca="1" si="756"/>
        <v>2</v>
      </c>
      <c r="BS228" s="398">
        <f t="shared" ca="1" si="757"/>
        <v>1024</v>
      </c>
      <c r="BT228" s="398">
        <f t="shared" ca="1" si="758"/>
        <v>893760</v>
      </c>
      <c r="BU228" s="399">
        <f t="shared" si="696"/>
        <v>0</v>
      </c>
      <c r="BV228" s="399">
        <f t="shared" si="697"/>
        <v>0</v>
      </c>
      <c r="BW228" s="483" t="str">
        <f t="shared" ca="1" si="725"/>
        <v/>
      </c>
      <c r="BX228" s="400">
        <f ca="1">IF(MAX(IF($E$6="No",ROUNDUP($E$3/$I228,0),ROUNDUP(($E$3+$I228)/$I228,0)),IF($E$6="No",ROUNDUP($E$4/$G228,0),ROUNDUP(($E$4+$G228)/$G228,0)),ROUNDUP('BVMS checklist'!$H$217/$J228,0))&gt;1,'BVMS checklist'!$N$224,'BVMS checklist'!$N$217)</f>
        <v>0</v>
      </c>
      <c r="BY228" s="398">
        <f t="shared" ca="1" si="726"/>
        <v>2</v>
      </c>
      <c r="BZ228" s="400">
        <f t="shared" ca="1" si="759"/>
        <v>2</v>
      </c>
      <c r="CA228" s="400">
        <f t="shared" ca="1" si="760"/>
        <v>5350</v>
      </c>
      <c r="CB228" s="400">
        <f t="shared" ca="1" si="734"/>
        <v>0</v>
      </c>
      <c r="CC228" s="398">
        <f t="shared" ca="1" si="761"/>
        <v>893760</v>
      </c>
      <c r="CD228" s="401" t="str">
        <f t="shared" ca="1" si="727"/>
        <v/>
      </c>
      <c r="CE228" s="398">
        <f t="shared" ca="1" si="762"/>
        <v>1280</v>
      </c>
      <c r="CF228" s="400">
        <f ca="1">IF(MAX(IF($E$6="No",ROUNDUP($E$3/$I228,0),ROUNDUP(($E$3+$I228)/$I228,0)),IF($E$6="No",ROUNDUP($E$4/$G228,0),ROUNDUP(($E$4+$G228)/$G228,0)),ROUNDUP('BVMS checklist'!$H$217/$J228,0))&gt;1,'BVMS checklist'!$N$224,'BVMS checklist'!$N$217)+MAX(IF($E$6="No",ROUNDUP($E$3/$I228,0),ROUNDUP(($E$3+$I228)/$I228,0)),IF($E$6="No",ROUNDUP($E$4/$G228,0),ROUNDUP(($E$4+$G228)/$G228,0)))+$E$5</f>
        <v>1</v>
      </c>
      <c r="CG228" s="400" t="b">
        <f t="shared" ca="1" si="708"/>
        <v>1</v>
      </c>
      <c r="CH228" s="400" t="str">
        <f t="shared" ca="1" si="763"/>
        <v>Accepted</v>
      </c>
      <c r="CI228" s="398" t="str">
        <f t="shared" ca="1" si="735"/>
        <v>No</v>
      </c>
      <c r="CJ228" s="398" t="str">
        <f t="shared" ca="1" si="764"/>
        <v/>
      </c>
      <c r="CK228" s="398" t="str">
        <f t="shared" ca="1" si="728"/>
        <v/>
      </c>
      <c r="CL228" s="398">
        <f t="shared" ca="1" si="729"/>
        <v>6</v>
      </c>
      <c r="CM228" s="398">
        <f t="shared" ca="1" si="765"/>
        <v>2</v>
      </c>
      <c r="CN228" s="398">
        <f t="shared" ca="1" si="766"/>
        <v>1024</v>
      </c>
      <c r="CO228" s="398">
        <f t="shared" ca="1" si="767"/>
        <v>893760</v>
      </c>
      <c r="CP228" s="399">
        <f t="shared" si="698"/>
        <v>0</v>
      </c>
      <c r="CQ228" s="399">
        <f t="shared" si="699"/>
        <v>0</v>
      </c>
      <c r="CR228" s="483" t="str">
        <f t="shared" ca="1" si="730"/>
        <v/>
      </c>
      <c r="CS228"/>
    </row>
    <row r="229" spans="1:97">
      <c r="A229" s="398" t="s">
        <v>523</v>
      </c>
      <c r="B229" s="398" t="s">
        <v>987</v>
      </c>
      <c r="C229" s="440" t="s">
        <v>891</v>
      </c>
      <c r="D229" s="398">
        <v>2</v>
      </c>
      <c r="E229" s="398"/>
      <c r="F229" s="440">
        <v>0</v>
      </c>
      <c r="G229" s="398">
        <f>IF(C229="RAID5",(((15-F229)*7448))+(1*(((7-F229)*7448))),(((14-F229)*7448))+(1*(((6-F229)*7448))))</f>
        <v>163856</v>
      </c>
      <c r="H229" s="399">
        <v>192</v>
      </c>
      <c r="I229" s="399">
        <v>1025</v>
      </c>
      <c r="J229" s="399">
        <v>256</v>
      </c>
      <c r="K229" s="399"/>
      <c r="L229" s="399"/>
      <c r="M229" s="400">
        <f ca="1">IF(MAX(IF($B$6="No",ROUNDUP($B$3/$I229,0),ROUNDUP(($B$3+$I229)/$I229,0)),IF($B$6="No",ROUNDUP($B$4/$G229,0),ROUNDUP(($B$4+$G229)/$G229,0)),ROUNDUP('BVMS checklist'!$H$217/$J229,0))&gt;1,'BVMS checklist'!$H$224,'BVMS checklist'!$H$217)</f>
        <v>0</v>
      </c>
      <c r="N229" s="398">
        <f t="shared" ca="1" si="709"/>
        <v>2</v>
      </c>
      <c r="O229" s="400">
        <f t="shared" ca="1" si="736"/>
        <v>2</v>
      </c>
      <c r="P229" s="400">
        <f t="shared" ca="1" si="700"/>
        <v>2050</v>
      </c>
      <c r="Q229" s="400">
        <f t="shared" ca="1" si="701"/>
        <v>0</v>
      </c>
      <c r="R229" s="398">
        <f t="shared" ca="1" si="702"/>
        <v>327712</v>
      </c>
      <c r="S229" s="401" t="str">
        <f t="shared" ca="1" si="710"/>
        <v/>
      </c>
      <c r="T229" s="398">
        <f t="shared" ca="1" si="711"/>
        <v>512</v>
      </c>
      <c r="U229" s="400">
        <f ca="1">IF(MAX(IF($B$6="No",ROUNDUP($B$3/$I229,0),ROUNDUP(($B$3+$I229)/$I229,0)),IF($B$6="No",ROUNDUP($B$4/$G229,0),ROUNDUP(($B$4+$G229)/$G229,0)),ROUNDUP('BVMS checklist'!$H$217/$J229,0))&gt;1,'BVMS checklist'!$H$224,'BVMS checklist'!$H$217)+MAX(IF($B$6="No",ROUNDUP($B$3/$I229,0),ROUNDUP(($B$3+$I229)/$I229,0)),IF($B$6="No",ROUNDUP($B$4/$G229,0),ROUNDUP(($B$4+$G229)/$G229,0)))+$B$5</f>
        <v>1</v>
      </c>
      <c r="V229" s="400" t="b">
        <f t="shared" ca="1" si="703"/>
        <v>1</v>
      </c>
      <c r="W229" s="400" t="str">
        <f t="shared" ca="1" si="737"/>
        <v>Accepted</v>
      </c>
      <c r="X229" s="398" t="str">
        <f t="shared" ca="1" si="712"/>
        <v>No</v>
      </c>
      <c r="Y229" s="398" t="str">
        <f t="shared" ca="1" si="713"/>
        <v/>
      </c>
      <c r="Z229" s="398" t="str">
        <f t="shared" ca="1" si="714"/>
        <v/>
      </c>
      <c r="AA229" s="398">
        <f t="shared" ca="1" si="738"/>
        <v>6</v>
      </c>
      <c r="AB229" s="398">
        <f t="shared" ca="1" si="704"/>
        <v>2</v>
      </c>
      <c r="AC229" s="398">
        <f t="shared" ca="1" si="705"/>
        <v>384</v>
      </c>
      <c r="AD229" s="398">
        <f t="shared" ca="1" si="739"/>
        <v>327712</v>
      </c>
      <c r="AE229" s="399">
        <f t="shared" si="692"/>
        <v>0</v>
      </c>
      <c r="AF229" s="399">
        <f t="shared" si="693"/>
        <v>0</v>
      </c>
      <c r="AG229" s="483" t="str">
        <f t="shared" ca="1" si="715"/>
        <v/>
      </c>
      <c r="AH229" s="400">
        <f ca="1">IF(MAX(IF($C$6="No",ROUNDUP($C$3/$I229,0),ROUNDUP(($C$3+$I229)/$I229,0)),IF($C$6="No",ROUNDUP($C$4/$G229,0),ROUNDUP(($C$4+$G229)/$G229,0)),ROUNDUP('BVMS checklist'!$H$217/$J229,0))&gt;1,'BVMS checklist'!$J$224,'BVMS checklist'!$J$217)</f>
        <v>0</v>
      </c>
      <c r="AI229" s="398">
        <f t="shared" ca="1" si="716"/>
        <v>2</v>
      </c>
      <c r="AJ229" s="400">
        <f t="shared" ca="1" si="740"/>
        <v>2</v>
      </c>
      <c r="AK229" s="400">
        <f t="shared" ca="1" si="741"/>
        <v>2050</v>
      </c>
      <c r="AL229" s="400">
        <f t="shared" ca="1" si="742"/>
        <v>0</v>
      </c>
      <c r="AM229" s="398">
        <f t="shared" ca="1" si="743"/>
        <v>327712</v>
      </c>
      <c r="AN229" s="401" t="str">
        <f t="shared" ca="1" si="717"/>
        <v/>
      </c>
      <c r="AO229" s="398">
        <f t="shared" ca="1" si="744"/>
        <v>512</v>
      </c>
      <c r="AP229" s="400">
        <f ca="1">IF(MAX(IF($C$6="No",ROUNDUP($C$3/$I229,0),ROUNDUP(($C$3+$I229)/$I229,0)),IF($C$6="No",ROUNDUP($C$4/$G229,0),ROUNDUP(($C$4+$G229)/$G229,0)),ROUNDUP('BVMS checklist'!$H$217/$J229,0))&gt;1,'BVMS checklist'!$J$224,'BVMS checklist'!$J$217)+MAX(IF($C$6="No",ROUNDUP($C$3/$I229,0),ROUNDUP(($C$3+$I229)/$I229,0)),IF($C$6="No",ROUNDUP($C$4/$G229,0),ROUNDUP(($C$4+$G229)/$G229,0)))+$C$5</f>
        <v>1</v>
      </c>
      <c r="AQ229" s="400" t="b">
        <f t="shared" ca="1" si="706"/>
        <v>1</v>
      </c>
      <c r="AR229" s="400" t="str">
        <f t="shared" ca="1" si="745"/>
        <v>Accepted</v>
      </c>
      <c r="AS229" s="398" t="str">
        <f t="shared" ca="1" si="731"/>
        <v>No</v>
      </c>
      <c r="AT229" s="398" t="str">
        <f t="shared" ca="1" si="746"/>
        <v/>
      </c>
      <c r="AU229" s="398" t="str">
        <f t="shared" ca="1" si="718"/>
        <v/>
      </c>
      <c r="AV229" s="398">
        <f t="shared" ca="1" si="719"/>
        <v>6</v>
      </c>
      <c r="AW229" s="398">
        <f t="shared" ca="1" si="747"/>
        <v>2</v>
      </c>
      <c r="AX229" s="398">
        <f t="shared" ca="1" si="748"/>
        <v>384</v>
      </c>
      <c r="AY229" s="398">
        <f t="shared" ca="1" si="749"/>
        <v>327712</v>
      </c>
      <c r="AZ229" s="399">
        <f t="shared" si="694"/>
        <v>0</v>
      </c>
      <c r="BA229" s="399">
        <f t="shared" si="695"/>
        <v>0</v>
      </c>
      <c r="BB229" s="483" t="str">
        <f t="shared" ca="1" si="720"/>
        <v/>
      </c>
      <c r="BC229" s="400">
        <f ca="1">IF(MAX(IF($D$6="No",ROUNDUP($D$3/$I229,0),ROUNDUP(($D$3+$I229)/$I229,0)),IF($D$6="No",ROUNDUP($D$4/$G229,0),ROUNDUP(($D$4+$G229)/$G229,0)),ROUNDUP('BVMS checklist'!$H$217/$J229,0))&gt;1,'BVMS checklist'!$L$224,'BVMS checklist'!$L$217)</f>
        <v>0</v>
      </c>
      <c r="BD229" s="398">
        <f t="shared" ca="1" si="721"/>
        <v>2</v>
      </c>
      <c r="BE229" s="400">
        <f t="shared" si="750"/>
        <v>1</v>
      </c>
      <c r="BF229" s="400">
        <f t="shared" si="751"/>
        <v>1025</v>
      </c>
      <c r="BG229" s="400">
        <f t="shared" ca="1" si="732"/>
        <v>0</v>
      </c>
      <c r="BH229" s="398">
        <f t="shared" ca="1" si="752"/>
        <v>327712</v>
      </c>
      <c r="BI229" s="401" t="str">
        <f t="shared" ca="1" si="722"/>
        <v/>
      </c>
      <c r="BJ229" s="398">
        <f t="shared" ca="1" si="753"/>
        <v>512</v>
      </c>
      <c r="BK229" s="400">
        <f ca="1">IF(MAX(IF($D$6="No",ROUNDUP($D$3/$I229,0),ROUNDUP(($D$3+$I229)/$I229,0)),IF($D$6="No",ROUNDUP($D$4/$G229,0),ROUNDUP(($D$4+$G229)/$G229,0)),ROUNDUP('BVMS checklist'!$H$217/$J229,0))&gt;1,'BVMS checklist'!$L$224,'BVMS checklist'!$L$217)+MAX(IF($D$6="No",ROUNDUP($D$3/$I229,0),ROUNDUP(($D$3+$I229)/$I229,0)),IF($D$6="No",ROUNDUP($D$4/$G229,0),ROUNDUP(($D$4+$G229)/$G229,0)))+$D$5</f>
        <v>1</v>
      </c>
      <c r="BL229" s="400" t="b">
        <f t="shared" ca="1" si="707"/>
        <v>1</v>
      </c>
      <c r="BM229" s="400" t="str">
        <f t="shared" ca="1" si="754"/>
        <v>Accepted</v>
      </c>
      <c r="BN229" s="398" t="str">
        <f t="shared" ca="1" si="733"/>
        <v>No</v>
      </c>
      <c r="BO229" s="398" t="str">
        <f t="shared" ca="1" si="755"/>
        <v/>
      </c>
      <c r="BP229" s="398" t="str">
        <f t="shared" ca="1" si="723"/>
        <v/>
      </c>
      <c r="BQ229" s="398">
        <f t="shared" ca="1" si="724"/>
        <v>6</v>
      </c>
      <c r="BR229" s="398">
        <f t="shared" ca="1" si="756"/>
        <v>2</v>
      </c>
      <c r="BS229" s="398">
        <f t="shared" ca="1" si="757"/>
        <v>384</v>
      </c>
      <c r="BT229" s="398">
        <f t="shared" ca="1" si="758"/>
        <v>327712</v>
      </c>
      <c r="BU229" s="399">
        <f t="shared" si="696"/>
        <v>0</v>
      </c>
      <c r="BV229" s="399">
        <f t="shared" si="697"/>
        <v>0</v>
      </c>
      <c r="BW229" s="483" t="str">
        <f t="shared" ca="1" si="725"/>
        <v/>
      </c>
      <c r="BX229" s="400">
        <f ca="1">IF(MAX(IF($E$6="No",ROUNDUP($E$3/$I229,0),ROUNDUP(($E$3+$I229)/$I229,0)),IF($E$6="No",ROUNDUP($E$4/$G229,0),ROUNDUP(($E$4+$G229)/$G229,0)),ROUNDUP('BVMS checklist'!$H$217/$J229,0))&gt;1,'BVMS checklist'!$N$224,'BVMS checklist'!$N$217)</f>
        <v>0</v>
      </c>
      <c r="BY229" s="398">
        <f t="shared" ca="1" si="726"/>
        <v>2</v>
      </c>
      <c r="BZ229" s="400">
        <f t="shared" ca="1" si="759"/>
        <v>2</v>
      </c>
      <c r="CA229" s="400">
        <f t="shared" ca="1" si="760"/>
        <v>2050</v>
      </c>
      <c r="CB229" s="400">
        <f t="shared" ca="1" si="734"/>
        <v>0</v>
      </c>
      <c r="CC229" s="398">
        <f t="shared" ca="1" si="761"/>
        <v>327712</v>
      </c>
      <c r="CD229" s="401" t="str">
        <f t="shared" ca="1" si="727"/>
        <v/>
      </c>
      <c r="CE229" s="398">
        <f t="shared" ca="1" si="762"/>
        <v>512</v>
      </c>
      <c r="CF229" s="400">
        <f ca="1">IF(MAX(IF($E$6="No",ROUNDUP($E$3/$I229,0),ROUNDUP(($E$3+$I229)/$I229,0)),IF($E$6="No",ROUNDUP($E$4/$G229,0),ROUNDUP(($E$4+$G229)/$G229,0)),ROUNDUP('BVMS checklist'!$H$217/$J229,0))&gt;1,'BVMS checklist'!$N$224,'BVMS checklist'!$N$217)+MAX(IF($E$6="No",ROUNDUP($E$3/$I229,0),ROUNDUP(($E$3+$I229)/$I229,0)),IF($E$6="No",ROUNDUP($E$4/$G229,0),ROUNDUP(($E$4+$G229)/$G229,0)))+$E$5</f>
        <v>1</v>
      </c>
      <c r="CG229" s="400" t="b">
        <f t="shared" ca="1" si="708"/>
        <v>1</v>
      </c>
      <c r="CH229" s="400" t="str">
        <f t="shared" ca="1" si="763"/>
        <v>Accepted</v>
      </c>
      <c r="CI229" s="398" t="str">
        <f t="shared" ca="1" si="735"/>
        <v>No</v>
      </c>
      <c r="CJ229" s="398" t="str">
        <f t="shared" ca="1" si="764"/>
        <v/>
      </c>
      <c r="CK229" s="398" t="str">
        <f t="shared" ca="1" si="728"/>
        <v/>
      </c>
      <c r="CL229" s="398">
        <f t="shared" ca="1" si="729"/>
        <v>6</v>
      </c>
      <c r="CM229" s="398">
        <f t="shared" ca="1" si="765"/>
        <v>2</v>
      </c>
      <c r="CN229" s="398">
        <f t="shared" ca="1" si="766"/>
        <v>384</v>
      </c>
      <c r="CO229" s="398">
        <f t="shared" ca="1" si="767"/>
        <v>327712</v>
      </c>
      <c r="CP229" s="399">
        <f t="shared" si="698"/>
        <v>0</v>
      </c>
      <c r="CQ229" s="399">
        <f t="shared" si="699"/>
        <v>0</v>
      </c>
      <c r="CR229" s="483" t="str">
        <f t="shared" ca="1" si="730"/>
        <v/>
      </c>
      <c r="CS229"/>
    </row>
    <row r="230" spans="1:97">
      <c r="A230" s="398" t="s">
        <v>524</v>
      </c>
      <c r="B230" s="398" t="s">
        <v>987</v>
      </c>
      <c r="C230" s="440" t="s">
        <v>891</v>
      </c>
      <c r="D230" s="398">
        <v>3</v>
      </c>
      <c r="E230" s="398"/>
      <c r="F230" s="440">
        <v>0</v>
      </c>
      <c r="G230" s="398">
        <f>IF(C230="RAID5",(((15-F230)*7448))+(2*(((7-F230)*7448))),(((14-F230)*7448))+(2*(((6-F230)*7448))))</f>
        <v>215992</v>
      </c>
      <c r="H230" s="399">
        <v>256</v>
      </c>
      <c r="I230" s="399">
        <v>1575</v>
      </c>
      <c r="J230" s="399">
        <v>384</v>
      </c>
      <c r="K230" s="399"/>
      <c r="L230" s="399"/>
      <c r="M230" s="400">
        <f ca="1">IF(MAX(IF($B$6="No",ROUNDUP($B$3/$I230,0),ROUNDUP(($B$3+$I230)/$I230,0)),IF($B$6="No",ROUNDUP($B$4/$G230,0),ROUNDUP(($B$4+$G230)/$G230,0)),ROUNDUP('BVMS checklist'!$H$217/$J230,0))&gt;1,'BVMS checklist'!$H$224,'BVMS checklist'!$H$217)</f>
        <v>0</v>
      </c>
      <c r="N230" s="398">
        <f t="shared" ca="1" si="709"/>
        <v>2</v>
      </c>
      <c r="O230" s="400">
        <f t="shared" ca="1" si="736"/>
        <v>2</v>
      </c>
      <c r="P230" s="400">
        <f t="shared" ca="1" si="700"/>
        <v>3150</v>
      </c>
      <c r="Q230" s="400">
        <f t="shared" ca="1" si="701"/>
        <v>0</v>
      </c>
      <c r="R230" s="398">
        <f t="shared" ca="1" si="702"/>
        <v>431984</v>
      </c>
      <c r="S230" s="401" t="str">
        <f t="shared" ca="1" si="710"/>
        <v/>
      </c>
      <c r="T230" s="398">
        <f t="shared" ca="1" si="711"/>
        <v>768</v>
      </c>
      <c r="U230" s="400">
        <f ca="1">IF(MAX(IF($B$6="No",ROUNDUP($B$3/$I230,0),ROUNDUP(($B$3+$I230)/$I230,0)),IF($B$6="No",ROUNDUP($B$4/$G230,0),ROUNDUP(($B$4+$G230)/$G230,0)),ROUNDUP('BVMS checklist'!$H$217/$J230,0))&gt;1,'BVMS checklist'!$H$224,'BVMS checklist'!$H$217)+MAX(IF($B$6="No",ROUNDUP($B$3/$I230,0),ROUNDUP(($B$3+$I230)/$I230,0)),IF($B$6="No",ROUNDUP($B$4/$G230,0),ROUNDUP(($B$4+$G230)/$G230,0)))+$B$5</f>
        <v>1</v>
      </c>
      <c r="V230" s="400" t="b">
        <f t="shared" ca="1" si="703"/>
        <v>1</v>
      </c>
      <c r="W230" s="400" t="str">
        <f t="shared" ca="1" si="737"/>
        <v>Accepted</v>
      </c>
      <c r="X230" s="398" t="str">
        <f t="shared" ca="1" si="712"/>
        <v>No</v>
      </c>
      <c r="Y230" s="398" t="str">
        <f t="shared" ca="1" si="713"/>
        <v/>
      </c>
      <c r="Z230" s="398" t="str">
        <f t="shared" ca="1" si="714"/>
        <v/>
      </c>
      <c r="AA230" s="398">
        <f t="shared" ca="1" si="738"/>
        <v>6</v>
      </c>
      <c r="AB230" s="398">
        <f t="shared" ca="1" si="704"/>
        <v>2</v>
      </c>
      <c r="AC230" s="398">
        <f t="shared" ca="1" si="705"/>
        <v>512</v>
      </c>
      <c r="AD230" s="398">
        <f t="shared" ca="1" si="739"/>
        <v>431984</v>
      </c>
      <c r="AE230" s="399">
        <f t="shared" si="692"/>
        <v>0</v>
      </c>
      <c r="AF230" s="399">
        <f t="shared" si="693"/>
        <v>0</v>
      </c>
      <c r="AG230" s="483" t="str">
        <f t="shared" ca="1" si="715"/>
        <v/>
      </c>
      <c r="AH230" s="400">
        <f ca="1">IF(MAX(IF($C$6="No",ROUNDUP($C$3/$I230,0),ROUNDUP(($C$3+$I230)/$I230,0)),IF($C$6="No",ROUNDUP($C$4/$G230,0),ROUNDUP(($C$4+$G230)/$G230,0)),ROUNDUP('BVMS checklist'!$H$217/$J230,0))&gt;1,'BVMS checklist'!$J$224,'BVMS checklist'!$J$217)</f>
        <v>0</v>
      </c>
      <c r="AI230" s="398">
        <f t="shared" ca="1" si="716"/>
        <v>2</v>
      </c>
      <c r="AJ230" s="400">
        <f t="shared" ca="1" si="740"/>
        <v>2</v>
      </c>
      <c r="AK230" s="400">
        <f t="shared" ca="1" si="741"/>
        <v>3150</v>
      </c>
      <c r="AL230" s="400">
        <f t="shared" ca="1" si="742"/>
        <v>0</v>
      </c>
      <c r="AM230" s="398">
        <f t="shared" ca="1" si="743"/>
        <v>431984</v>
      </c>
      <c r="AN230" s="401" t="str">
        <f t="shared" ca="1" si="717"/>
        <v/>
      </c>
      <c r="AO230" s="398">
        <f t="shared" ca="1" si="744"/>
        <v>768</v>
      </c>
      <c r="AP230" s="400">
        <f ca="1">IF(MAX(IF($C$6="No",ROUNDUP($C$3/$I230,0),ROUNDUP(($C$3+$I230)/$I230,0)),IF($C$6="No",ROUNDUP($C$4/$G230,0),ROUNDUP(($C$4+$G230)/$G230,0)),ROUNDUP('BVMS checklist'!$H$217/$J230,0))&gt;1,'BVMS checklist'!$J$224,'BVMS checklist'!$J$217)+MAX(IF($C$6="No",ROUNDUP($C$3/$I230,0),ROUNDUP(($C$3+$I230)/$I230,0)),IF($C$6="No",ROUNDUP($C$4/$G230,0),ROUNDUP(($C$4+$G230)/$G230,0)))+$C$5</f>
        <v>1</v>
      </c>
      <c r="AQ230" s="400" t="b">
        <f t="shared" ca="1" si="706"/>
        <v>1</v>
      </c>
      <c r="AR230" s="400" t="str">
        <f t="shared" ca="1" si="745"/>
        <v>Accepted</v>
      </c>
      <c r="AS230" s="398" t="str">
        <f t="shared" ca="1" si="731"/>
        <v>No</v>
      </c>
      <c r="AT230" s="398" t="str">
        <f t="shared" ca="1" si="746"/>
        <v/>
      </c>
      <c r="AU230" s="398" t="str">
        <f t="shared" ca="1" si="718"/>
        <v/>
      </c>
      <c r="AV230" s="398">
        <f t="shared" ca="1" si="719"/>
        <v>6</v>
      </c>
      <c r="AW230" s="398">
        <f t="shared" ca="1" si="747"/>
        <v>2</v>
      </c>
      <c r="AX230" s="398">
        <f t="shared" ca="1" si="748"/>
        <v>512</v>
      </c>
      <c r="AY230" s="398">
        <f t="shared" ca="1" si="749"/>
        <v>431984</v>
      </c>
      <c r="AZ230" s="399">
        <f t="shared" si="694"/>
        <v>0</v>
      </c>
      <c r="BA230" s="399">
        <f t="shared" si="695"/>
        <v>0</v>
      </c>
      <c r="BB230" s="483" t="str">
        <f t="shared" ca="1" si="720"/>
        <v/>
      </c>
      <c r="BC230" s="400">
        <f ca="1">IF(MAX(IF($D$6="No",ROUNDUP($D$3/$I230,0),ROUNDUP(($D$3+$I230)/$I230,0)),IF($D$6="No",ROUNDUP($D$4/$G230,0),ROUNDUP(($D$4+$G230)/$G230,0)),ROUNDUP('BVMS checklist'!$H$217/$J230,0))&gt;1,'BVMS checklist'!$L$224,'BVMS checklist'!$L$217)</f>
        <v>0</v>
      </c>
      <c r="BD230" s="398">
        <f t="shared" ca="1" si="721"/>
        <v>2</v>
      </c>
      <c r="BE230" s="400">
        <f t="shared" si="750"/>
        <v>1</v>
      </c>
      <c r="BF230" s="400">
        <f t="shared" si="751"/>
        <v>1575</v>
      </c>
      <c r="BG230" s="400">
        <f t="shared" ca="1" si="732"/>
        <v>0</v>
      </c>
      <c r="BH230" s="398">
        <f t="shared" ca="1" si="752"/>
        <v>431984</v>
      </c>
      <c r="BI230" s="401" t="str">
        <f t="shared" ca="1" si="722"/>
        <v/>
      </c>
      <c r="BJ230" s="398">
        <f t="shared" ca="1" si="753"/>
        <v>768</v>
      </c>
      <c r="BK230" s="400">
        <f ca="1">IF(MAX(IF($D$6="No",ROUNDUP($D$3/$I230,0),ROUNDUP(($D$3+$I230)/$I230,0)),IF($D$6="No",ROUNDUP($D$4/$G230,0),ROUNDUP(($D$4+$G230)/$G230,0)),ROUNDUP('BVMS checklist'!$H$217/$J230,0))&gt;1,'BVMS checklist'!$L$224,'BVMS checklist'!$L$217)+MAX(IF($D$6="No",ROUNDUP($D$3/$I230,0),ROUNDUP(($D$3+$I230)/$I230,0)),IF($D$6="No",ROUNDUP($D$4/$G230,0),ROUNDUP(($D$4+$G230)/$G230,0)))+$D$5</f>
        <v>1</v>
      </c>
      <c r="BL230" s="400" t="b">
        <f t="shared" ca="1" si="707"/>
        <v>1</v>
      </c>
      <c r="BM230" s="400" t="str">
        <f t="shared" ca="1" si="754"/>
        <v>Accepted</v>
      </c>
      <c r="BN230" s="398" t="str">
        <f t="shared" ca="1" si="733"/>
        <v>No</v>
      </c>
      <c r="BO230" s="398" t="str">
        <f t="shared" ca="1" si="755"/>
        <v/>
      </c>
      <c r="BP230" s="398" t="str">
        <f t="shared" ca="1" si="723"/>
        <v/>
      </c>
      <c r="BQ230" s="398">
        <f t="shared" ca="1" si="724"/>
        <v>6</v>
      </c>
      <c r="BR230" s="398">
        <f t="shared" ca="1" si="756"/>
        <v>2</v>
      </c>
      <c r="BS230" s="398">
        <f t="shared" ca="1" si="757"/>
        <v>512</v>
      </c>
      <c r="BT230" s="398">
        <f t="shared" ca="1" si="758"/>
        <v>431984</v>
      </c>
      <c r="BU230" s="399">
        <f t="shared" si="696"/>
        <v>0</v>
      </c>
      <c r="BV230" s="399">
        <f t="shared" si="697"/>
        <v>0</v>
      </c>
      <c r="BW230" s="483" t="str">
        <f t="shared" ca="1" si="725"/>
        <v/>
      </c>
      <c r="BX230" s="400">
        <f ca="1">IF(MAX(IF($E$6="No",ROUNDUP($E$3/$I230,0),ROUNDUP(($E$3+$I230)/$I230,0)),IF($E$6="No",ROUNDUP($E$4/$G230,0),ROUNDUP(($E$4+$G230)/$G230,0)),ROUNDUP('BVMS checklist'!$H$217/$J230,0))&gt;1,'BVMS checklist'!$N$224,'BVMS checklist'!$N$217)</f>
        <v>0</v>
      </c>
      <c r="BY230" s="398">
        <f t="shared" ca="1" si="726"/>
        <v>2</v>
      </c>
      <c r="BZ230" s="400">
        <f t="shared" ca="1" si="759"/>
        <v>2</v>
      </c>
      <c r="CA230" s="400">
        <f t="shared" ca="1" si="760"/>
        <v>3150</v>
      </c>
      <c r="CB230" s="400">
        <f t="shared" ca="1" si="734"/>
        <v>0</v>
      </c>
      <c r="CC230" s="398">
        <f t="shared" ca="1" si="761"/>
        <v>431984</v>
      </c>
      <c r="CD230" s="401" t="str">
        <f t="shared" ca="1" si="727"/>
        <v/>
      </c>
      <c r="CE230" s="398">
        <f t="shared" ca="1" si="762"/>
        <v>768</v>
      </c>
      <c r="CF230" s="400">
        <f ca="1">IF(MAX(IF($E$6="No",ROUNDUP($E$3/$I230,0),ROUNDUP(($E$3+$I230)/$I230,0)),IF($E$6="No",ROUNDUP($E$4/$G230,0),ROUNDUP(($E$4+$G230)/$G230,0)),ROUNDUP('BVMS checklist'!$H$217/$J230,0))&gt;1,'BVMS checklist'!$N$224,'BVMS checklist'!$N$217)+MAX(IF($E$6="No",ROUNDUP($E$3/$I230,0),ROUNDUP(($E$3+$I230)/$I230,0)),IF($E$6="No",ROUNDUP($E$4/$G230,0),ROUNDUP(($E$4+$G230)/$G230,0)))+$E$5</f>
        <v>1</v>
      </c>
      <c r="CG230" s="400" t="b">
        <f t="shared" ca="1" si="708"/>
        <v>1</v>
      </c>
      <c r="CH230" s="400" t="str">
        <f t="shared" ca="1" si="763"/>
        <v>Accepted</v>
      </c>
      <c r="CI230" s="398" t="str">
        <f t="shared" ca="1" si="735"/>
        <v>No</v>
      </c>
      <c r="CJ230" s="398" t="str">
        <f t="shared" ca="1" si="764"/>
        <v/>
      </c>
      <c r="CK230" s="398" t="str">
        <f t="shared" ca="1" si="728"/>
        <v/>
      </c>
      <c r="CL230" s="398">
        <f t="shared" ca="1" si="729"/>
        <v>6</v>
      </c>
      <c r="CM230" s="398">
        <f t="shared" ca="1" si="765"/>
        <v>2</v>
      </c>
      <c r="CN230" s="398">
        <f t="shared" ca="1" si="766"/>
        <v>512</v>
      </c>
      <c r="CO230" s="398">
        <f t="shared" ca="1" si="767"/>
        <v>431984</v>
      </c>
      <c r="CP230" s="399">
        <f t="shared" si="698"/>
        <v>0</v>
      </c>
      <c r="CQ230" s="399">
        <f t="shared" si="699"/>
        <v>0</v>
      </c>
      <c r="CR230" s="483" t="str">
        <f t="shared" ca="1" si="730"/>
        <v/>
      </c>
      <c r="CS230"/>
    </row>
    <row r="231" spans="1:97">
      <c r="A231" s="398" t="s">
        <v>525</v>
      </c>
      <c r="B231" s="398" t="s">
        <v>987</v>
      </c>
      <c r="C231" s="440" t="s">
        <v>891</v>
      </c>
      <c r="D231" s="398">
        <v>4</v>
      </c>
      <c r="E231" s="398"/>
      <c r="F231" s="440">
        <v>0</v>
      </c>
      <c r="G231" s="398">
        <f>IF(C231="RAID5",(((15-F231)*7448))+(3*(((7-F231)*7448))),(((14-F231)*7448))+(3*(((6-F231)*7448))))</f>
        <v>268128</v>
      </c>
      <c r="H231" s="399">
        <v>320</v>
      </c>
      <c r="I231" s="399">
        <v>2125</v>
      </c>
      <c r="J231" s="399">
        <v>512</v>
      </c>
      <c r="K231" s="399"/>
      <c r="L231" s="399"/>
      <c r="M231" s="400">
        <f ca="1">IF(MAX(IF($B$6="No",ROUNDUP($B$3/$I231,0),ROUNDUP(($B$3+$I231)/$I231,0)),IF($B$6="No",ROUNDUP($B$4/$G231,0),ROUNDUP(($B$4+$G231)/$G231,0)),ROUNDUP('BVMS checklist'!$H$217/$J231,0))&gt;1,'BVMS checklist'!$H$224,'BVMS checklist'!$H$217)</f>
        <v>0</v>
      </c>
      <c r="N231" s="398">
        <f t="shared" ca="1" si="709"/>
        <v>2</v>
      </c>
      <c r="O231" s="400">
        <f t="shared" ca="1" si="736"/>
        <v>2</v>
      </c>
      <c r="P231" s="400">
        <f t="shared" ca="1" si="700"/>
        <v>4250</v>
      </c>
      <c r="Q231" s="400">
        <f t="shared" ca="1" si="701"/>
        <v>0</v>
      </c>
      <c r="R231" s="398">
        <f t="shared" ca="1" si="702"/>
        <v>536256</v>
      </c>
      <c r="S231" s="401" t="str">
        <f t="shared" ca="1" si="710"/>
        <v/>
      </c>
      <c r="T231" s="398">
        <f t="shared" ca="1" si="711"/>
        <v>1024</v>
      </c>
      <c r="U231" s="400">
        <f ca="1">IF(MAX(IF($B$6="No",ROUNDUP($B$3/$I231,0),ROUNDUP(($B$3+$I231)/$I231,0)),IF($B$6="No",ROUNDUP($B$4/$G231,0),ROUNDUP(($B$4+$G231)/$G231,0)),ROUNDUP('BVMS checklist'!$H$217/$J231,0))&gt;1,'BVMS checklist'!$H$224,'BVMS checklist'!$H$217)+MAX(IF($B$6="No",ROUNDUP($B$3/$I231,0),ROUNDUP(($B$3+$I231)/$I231,0)),IF($B$6="No",ROUNDUP($B$4/$G231,0),ROUNDUP(($B$4+$G231)/$G231,0)))+$B$5</f>
        <v>1</v>
      </c>
      <c r="V231" s="400" t="b">
        <f t="shared" ca="1" si="703"/>
        <v>1</v>
      </c>
      <c r="W231" s="400" t="str">
        <f t="shared" ca="1" si="737"/>
        <v>Accepted</v>
      </c>
      <c r="X231" s="398" t="str">
        <f t="shared" ca="1" si="712"/>
        <v>No</v>
      </c>
      <c r="Y231" s="398" t="str">
        <f t="shared" ca="1" si="713"/>
        <v/>
      </c>
      <c r="Z231" s="398" t="str">
        <f t="shared" ca="1" si="714"/>
        <v/>
      </c>
      <c r="AA231" s="398">
        <f t="shared" ca="1" si="738"/>
        <v>6</v>
      </c>
      <c r="AB231" s="398">
        <f t="shared" ca="1" si="704"/>
        <v>2</v>
      </c>
      <c r="AC231" s="398">
        <f t="shared" ca="1" si="705"/>
        <v>640</v>
      </c>
      <c r="AD231" s="398">
        <f t="shared" ca="1" si="739"/>
        <v>536256</v>
      </c>
      <c r="AE231" s="399">
        <f t="shared" si="692"/>
        <v>0</v>
      </c>
      <c r="AF231" s="399">
        <f t="shared" si="693"/>
        <v>0</v>
      </c>
      <c r="AG231" s="483" t="str">
        <f t="shared" ca="1" si="715"/>
        <v/>
      </c>
      <c r="AH231" s="400">
        <f ca="1">IF(MAX(IF($C$6="No",ROUNDUP($C$3/$I231,0),ROUNDUP(($C$3+$I231)/$I231,0)),IF($C$6="No",ROUNDUP($C$4/$G231,0),ROUNDUP(($C$4+$G231)/$G231,0)),ROUNDUP('BVMS checklist'!$H$217/$J231,0))&gt;1,'BVMS checklist'!$J$224,'BVMS checklist'!$J$217)</f>
        <v>0</v>
      </c>
      <c r="AI231" s="398">
        <f t="shared" ca="1" si="716"/>
        <v>2</v>
      </c>
      <c r="AJ231" s="400">
        <f t="shared" ca="1" si="740"/>
        <v>2</v>
      </c>
      <c r="AK231" s="400">
        <f t="shared" ca="1" si="741"/>
        <v>4250</v>
      </c>
      <c r="AL231" s="400">
        <f t="shared" ca="1" si="742"/>
        <v>0</v>
      </c>
      <c r="AM231" s="398">
        <f t="shared" ca="1" si="743"/>
        <v>536256</v>
      </c>
      <c r="AN231" s="401" t="str">
        <f t="shared" ca="1" si="717"/>
        <v/>
      </c>
      <c r="AO231" s="398">
        <f t="shared" ca="1" si="744"/>
        <v>1024</v>
      </c>
      <c r="AP231" s="400">
        <f ca="1">IF(MAX(IF($C$6="No",ROUNDUP($C$3/$I231,0),ROUNDUP(($C$3+$I231)/$I231,0)),IF($C$6="No",ROUNDUP($C$4/$G231,0),ROUNDUP(($C$4+$G231)/$G231,0)),ROUNDUP('BVMS checklist'!$H$217/$J231,0))&gt;1,'BVMS checklist'!$J$224,'BVMS checklist'!$J$217)+MAX(IF($C$6="No",ROUNDUP($C$3/$I231,0),ROUNDUP(($C$3+$I231)/$I231,0)),IF($C$6="No",ROUNDUP($C$4/$G231,0),ROUNDUP(($C$4+$G231)/$G231,0)))+$C$5</f>
        <v>1</v>
      </c>
      <c r="AQ231" s="400" t="b">
        <f t="shared" ca="1" si="706"/>
        <v>1</v>
      </c>
      <c r="AR231" s="400" t="str">
        <f t="shared" ca="1" si="745"/>
        <v>Accepted</v>
      </c>
      <c r="AS231" s="398" t="str">
        <f t="shared" ca="1" si="731"/>
        <v>No</v>
      </c>
      <c r="AT231" s="398" t="str">
        <f t="shared" ca="1" si="746"/>
        <v/>
      </c>
      <c r="AU231" s="398" t="str">
        <f t="shared" ca="1" si="718"/>
        <v/>
      </c>
      <c r="AV231" s="398">
        <f t="shared" ca="1" si="719"/>
        <v>6</v>
      </c>
      <c r="AW231" s="398">
        <f t="shared" ca="1" si="747"/>
        <v>2</v>
      </c>
      <c r="AX231" s="398">
        <f t="shared" ca="1" si="748"/>
        <v>640</v>
      </c>
      <c r="AY231" s="398">
        <f t="shared" ca="1" si="749"/>
        <v>536256</v>
      </c>
      <c r="AZ231" s="399">
        <f t="shared" si="694"/>
        <v>0</v>
      </c>
      <c r="BA231" s="399">
        <f t="shared" si="695"/>
        <v>0</v>
      </c>
      <c r="BB231" s="483" t="str">
        <f t="shared" ca="1" si="720"/>
        <v/>
      </c>
      <c r="BC231" s="400">
        <f ca="1">IF(MAX(IF($D$6="No",ROUNDUP($D$3/$I231,0),ROUNDUP(($D$3+$I231)/$I231,0)),IF($D$6="No",ROUNDUP($D$4/$G231,0),ROUNDUP(($D$4+$G231)/$G231,0)),ROUNDUP('BVMS checklist'!$H$217/$J231,0))&gt;1,'BVMS checklist'!$L$224,'BVMS checklist'!$L$217)</f>
        <v>0</v>
      </c>
      <c r="BD231" s="398">
        <f t="shared" ca="1" si="721"/>
        <v>2</v>
      </c>
      <c r="BE231" s="400">
        <f t="shared" si="750"/>
        <v>1</v>
      </c>
      <c r="BF231" s="400">
        <f t="shared" si="751"/>
        <v>2125</v>
      </c>
      <c r="BG231" s="400">
        <f t="shared" ca="1" si="732"/>
        <v>0</v>
      </c>
      <c r="BH231" s="398">
        <f t="shared" ca="1" si="752"/>
        <v>536256</v>
      </c>
      <c r="BI231" s="401" t="str">
        <f t="shared" ca="1" si="722"/>
        <v/>
      </c>
      <c r="BJ231" s="398">
        <f t="shared" ca="1" si="753"/>
        <v>1024</v>
      </c>
      <c r="BK231" s="400">
        <f ca="1">IF(MAX(IF($D$6="No",ROUNDUP($D$3/$I231,0),ROUNDUP(($D$3+$I231)/$I231,0)),IF($D$6="No",ROUNDUP($D$4/$G231,0),ROUNDUP(($D$4+$G231)/$G231,0)),ROUNDUP('BVMS checklist'!$H$217/$J231,0))&gt;1,'BVMS checklist'!$L$224,'BVMS checklist'!$L$217)+MAX(IF($D$6="No",ROUNDUP($D$3/$I231,0),ROUNDUP(($D$3+$I231)/$I231,0)),IF($D$6="No",ROUNDUP($D$4/$G231,0),ROUNDUP(($D$4+$G231)/$G231,0)))+$D$5</f>
        <v>1</v>
      </c>
      <c r="BL231" s="400" t="b">
        <f t="shared" ca="1" si="707"/>
        <v>1</v>
      </c>
      <c r="BM231" s="400" t="str">
        <f t="shared" ca="1" si="754"/>
        <v>Accepted</v>
      </c>
      <c r="BN231" s="398" t="str">
        <f t="shared" ca="1" si="733"/>
        <v>No</v>
      </c>
      <c r="BO231" s="398" t="str">
        <f t="shared" ca="1" si="755"/>
        <v/>
      </c>
      <c r="BP231" s="398" t="str">
        <f t="shared" ca="1" si="723"/>
        <v/>
      </c>
      <c r="BQ231" s="398">
        <f t="shared" ca="1" si="724"/>
        <v>6</v>
      </c>
      <c r="BR231" s="398">
        <f t="shared" ca="1" si="756"/>
        <v>2</v>
      </c>
      <c r="BS231" s="398">
        <f t="shared" ca="1" si="757"/>
        <v>640</v>
      </c>
      <c r="BT231" s="398">
        <f t="shared" ca="1" si="758"/>
        <v>536256</v>
      </c>
      <c r="BU231" s="399">
        <f t="shared" si="696"/>
        <v>0</v>
      </c>
      <c r="BV231" s="399">
        <f t="shared" si="697"/>
        <v>0</v>
      </c>
      <c r="BW231" s="483" t="str">
        <f t="shared" ca="1" si="725"/>
        <v/>
      </c>
      <c r="BX231" s="400">
        <f ca="1">IF(MAX(IF($E$6="No",ROUNDUP($E$3/$I231,0),ROUNDUP(($E$3+$I231)/$I231,0)),IF($E$6="No",ROUNDUP($E$4/$G231,0),ROUNDUP(($E$4+$G231)/$G231,0)),ROUNDUP('BVMS checklist'!$H$217/$J231,0))&gt;1,'BVMS checklist'!$N$224,'BVMS checklist'!$N$217)</f>
        <v>0</v>
      </c>
      <c r="BY231" s="398">
        <f t="shared" ca="1" si="726"/>
        <v>2</v>
      </c>
      <c r="BZ231" s="400">
        <f t="shared" ca="1" si="759"/>
        <v>2</v>
      </c>
      <c r="CA231" s="400">
        <f t="shared" ca="1" si="760"/>
        <v>4250</v>
      </c>
      <c r="CB231" s="400">
        <f t="shared" ca="1" si="734"/>
        <v>0</v>
      </c>
      <c r="CC231" s="398">
        <f t="shared" ca="1" si="761"/>
        <v>536256</v>
      </c>
      <c r="CD231" s="401" t="str">
        <f t="shared" ca="1" si="727"/>
        <v/>
      </c>
      <c r="CE231" s="398">
        <f t="shared" ca="1" si="762"/>
        <v>1024</v>
      </c>
      <c r="CF231" s="400">
        <f ca="1">IF(MAX(IF($E$6="No",ROUNDUP($E$3/$I231,0),ROUNDUP(($E$3+$I231)/$I231,0)),IF($E$6="No",ROUNDUP($E$4/$G231,0),ROUNDUP(($E$4+$G231)/$G231,0)),ROUNDUP('BVMS checklist'!$H$217/$J231,0))&gt;1,'BVMS checklist'!$N$224,'BVMS checklist'!$N$217)+MAX(IF($E$6="No",ROUNDUP($E$3/$I231,0),ROUNDUP(($E$3+$I231)/$I231,0)),IF($E$6="No",ROUNDUP($E$4/$G231,0),ROUNDUP(($E$4+$G231)/$G231,0)))+$E$5</f>
        <v>1</v>
      </c>
      <c r="CG231" s="400" t="b">
        <f t="shared" ca="1" si="708"/>
        <v>1</v>
      </c>
      <c r="CH231" s="400" t="str">
        <f t="shared" ca="1" si="763"/>
        <v>Accepted</v>
      </c>
      <c r="CI231" s="398" t="str">
        <f t="shared" ca="1" si="735"/>
        <v>No</v>
      </c>
      <c r="CJ231" s="398" t="str">
        <f t="shared" ca="1" si="764"/>
        <v/>
      </c>
      <c r="CK231" s="398" t="str">
        <f t="shared" ca="1" si="728"/>
        <v/>
      </c>
      <c r="CL231" s="398">
        <f t="shared" ca="1" si="729"/>
        <v>6</v>
      </c>
      <c r="CM231" s="398">
        <f t="shared" ca="1" si="765"/>
        <v>2</v>
      </c>
      <c r="CN231" s="398">
        <f t="shared" ca="1" si="766"/>
        <v>640</v>
      </c>
      <c r="CO231" s="398">
        <f t="shared" ca="1" si="767"/>
        <v>536256</v>
      </c>
      <c r="CP231" s="399">
        <f t="shared" si="698"/>
        <v>0</v>
      </c>
      <c r="CQ231" s="399">
        <f t="shared" si="699"/>
        <v>0</v>
      </c>
      <c r="CR231" s="483" t="str">
        <f t="shared" ca="1" si="730"/>
        <v/>
      </c>
      <c r="CS231"/>
    </row>
    <row r="232" spans="1:97">
      <c r="A232" s="398" t="s">
        <v>526</v>
      </c>
      <c r="B232" s="398" t="s">
        <v>987</v>
      </c>
      <c r="C232" s="440" t="s">
        <v>891</v>
      </c>
      <c r="D232" s="398">
        <v>5</v>
      </c>
      <c r="E232" s="398"/>
      <c r="F232" s="440">
        <v>0</v>
      </c>
      <c r="G232" s="398">
        <f>IF(C232="RAID5",(((15-F232)*7448))+(4*(((7-F232)*7448))),(((14-F232)*7448))+(4*(((6-F232)*7448))))</f>
        <v>320264</v>
      </c>
      <c r="H232" s="399">
        <v>384</v>
      </c>
      <c r="I232" s="399">
        <v>2675</v>
      </c>
      <c r="J232" s="399">
        <v>640</v>
      </c>
      <c r="K232" s="399"/>
      <c r="L232" s="399"/>
      <c r="M232" s="400">
        <f ca="1">IF(MAX(IF($B$6="No",ROUNDUP($B$3/$I232,0),ROUNDUP(($B$3+$I232)/$I232,0)),IF($B$6="No",ROUNDUP($B$4/$G232,0),ROUNDUP(($B$4+$G232)/$G232,0)),ROUNDUP('BVMS checklist'!$H$217/$J232,0))&gt;1,'BVMS checklist'!$H$224,'BVMS checklist'!$H$217)</f>
        <v>0</v>
      </c>
      <c r="N232" s="398">
        <f t="shared" ca="1" si="709"/>
        <v>2</v>
      </c>
      <c r="O232" s="400">
        <f t="shared" ca="1" si="736"/>
        <v>2</v>
      </c>
      <c r="P232" s="400">
        <f t="shared" ca="1" si="700"/>
        <v>5350</v>
      </c>
      <c r="Q232" s="400">
        <f t="shared" ca="1" si="701"/>
        <v>0</v>
      </c>
      <c r="R232" s="398">
        <f t="shared" ca="1" si="702"/>
        <v>640528</v>
      </c>
      <c r="S232" s="401" t="str">
        <f t="shared" ca="1" si="710"/>
        <v/>
      </c>
      <c r="T232" s="398">
        <f t="shared" ca="1" si="711"/>
        <v>1280</v>
      </c>
      <c r="U232" s="400">
        <f ca="1">IF(MAX(IF($B$6="No",ROUNDUP($B$3/$I232,0),ROUNDUP(($B$3+$I232)/$I232,0)),IF($B$6="No",ROUNDUP($B$4/$G232,0),ROUNDUP(($B$4+$G232)/$G232,0)),ROUNDUP('BVMS checklist'!$H$217/$J232,0))&gt;1,'BVMS checklist'!$H$224,'BVMS checklist'!$H$217)+MAX(IF($B$6="No",ROUNDUP($B$3/$I232,0),ROUNDUP(($B$3+$I232)/$I232,0)),IF($B$6="No",ROUNDUP($B$4/$G232,0),ROUNDUP(($B$4+$G232)/$G232,0)))+$B$5</f>
        <v>1</v>
      </c>
      <c r="V232" s="400" t="b">
        <f t="shared" ca="1" si="703"/>
        <v>1</v>
      </c>
      <c r="W232" s="400" t="str">
        <f t="shared" ca="1" si="737"/>
        <v>Accepted</v>
      </c>
      <c r="X232" s="398" t="str">
        <f t="shared" ca="1" si="712"/>
        <v>No</v>
      </c>
      <c r="Y232" s="398" t="str">
        <f t="shared" ca="1" si="713"/>
        <v/>
      </c>
      <c r="Z232" s="398" t="str">
        <f t="shared" ca="1" si="714"/>
        <v/>
      </c>
      <c r="AA232" s="398">
        <f t="shared" ca="1" si="738"/>
        <v>6</v>
      </c>
      <c r="AB232" s="398">
        <f t="shared" ca="1" si="704"/>
        <v>2</v>
      </c>
      <c r="AC232" s="398">
        <f t="shared" ca="1" si="705"/>
        <v>768</v>
      </c>
      <c r="AD232" s="398">
        <f t="shared" ca="1" si="739"/>
        <v>640528</v>
      </c>
      <c r="AE232" s="399">
        <f t="shared" si="692"/>
        <v>0</v>
      </c>
      <c r="AF232" s="399">
        <f t="shared" si="693"/>
        <v>0</v>
      </c>
      <c r="AG232" s="483" t="str">
        <f t="shared" ca="1" si="715"/>
        <v/>
      </c>
      <c r="AH232" s="400">
        <f ca="1">IF(MAX(IF($C$6="No",ROUNDUP($C$3/$I232,0),ROUNDUP(($C$3+$I232)/$I232,0)),IF($C$6="No",ROUNDUP($C$4/$G232,0),ROUNDUP(($C$4+$G232)/$G232,0)),ROUNDUP('BVMS checklist'!$H$217/$J232,0))&gt;1,'BVMS checklist'!$J$224,'BVMS checklist'!$J$217)</f>
        <v>0</v>
      </c>
      <c r="AI232" s="398">
        <f t="shared" ca="1" si="716"/>
        <v>2</v>
      </c>
      <c r="AJ232" s="400">
        <f t="shared" ca="1" si="740"/>
        <v>2</v>
      </c>
      <c r="AK232" s="400">
        <f t="shared" ca="1" si="741"/>
        <v>5350</v>
      </c>
      <c r="AL232" s="400">
        <f t="shared" ca="1" si="742"/>
        <v>0</v>
      </c>
      <c r="AM232" s="398">
        <f t="shared" ca="1" si="743"/>
        <v>640528</v>
      </c>
      <c r="AN232" s="401" t="str">
        <f t="shared" ca="1" si="717"/>
        <v/>
      </c>
      <c r="AO232" s="398">
        <f t="shared" ca="1" si="744"/>
        <v>1280</v>
      </c>
      <c r="AP232" s="400">
        <f ca="1">IF(MAX(IF($C$6="No",ROUNDUP($C$3/$I232,0),ROUNDUP(($C$3+$I232)/$I232,0)),IF($C$6="No",ROUNDUP($C$4/$G232,0),ROUNDUP(($C$4+$G232)/$G232,0)),ROUNDUP('BVMS checklist'!$H$217/$J232,0))&gt;1,'BVMS checklist'!$J$224,'BVMS checklist'!$J$217)+MAX(IF($C$6="No",ROUNDUP($C$3/$I232,0),ROUNDUP(($C$3+$I232)/$I232,0)),IF($C$6="No",ROUNDUP($C$4/$G232,0),ROUNDUP(($C$4+$G232)/$G232,0)))+$C$5</f>
        <v>1</v>
      </c>
      <c r="AQ232" s="400" t="b">
        <f t="shared" ca="1" si="706"/>
        <v>1</v>
      </c>
      <c r="AR232" s="400" t="str">
        <f t="shared" ca="1" si="745"/>
        <v>Accepted</v>
      </c>
      <c r="AS232" s="398" t="str">
        <f t="shared" ca="1" si="731"/>
        <v>No</v>
      </c>
      <c r="AT232" s="398" t="str">
        <f t="shared" ca="1" si="746"/>
        <v/>
      </c>
      <c r="AU232" s="398" t="str">
        <f t="shared" ca="1" si="718"/>
        <v/>
      </c>
      <c r="AV232" s="398">
        <f t="shared" ca="1" si="719"/>
        <v>6</v>
      </c>
      <c r="AW232" s="398">
        <f t="shared" ca="1" si="747"/>
        <v>2</v>
      </c>
      <c r="AX232" s="398">
        <f t="shared" ca="1" si="748"/>
        <v>768</v>
      </c>
      <c r="AY232" s="398">
        <f t="shared" ca="1" si="749"/>
        <v>640528</v>
      </c>
      <c r="AZ232" s="399">
        <f t="shared" si="694"/>
        <v>0</v>
      </c>
      <c r="BA232" s="399">
        <f t="shared" si="695"/>
        <v>0</v>
      </c>
      <c r="BB232" s="483" t="str">
        <f t="shared" ca="1" si="720"/>
        <v/>
      </c>
      <c r="BC232" s="400">
        <f ca="1">IF(MAX(IF($D$6="No",ROUNDUP($D$3/$I232,0),ROUNDUP(($D$3+$I232)/$I232,0)),IF($D$6="No",ROUNDUP($D$4/$G232,0),ROUNDUP(($D$4+$G232)/$G232,0)),ROUNDUP('BVMS checklist'!$H$217/$J232,0))&gt;1,'BVMS checklist'!$L$224,'BVMS checklist'!$L$217)</f>
        <v>0</v>
      </c>
      <c r="BD232" s="398">
        <f t="shared" ca="1" si="721"/>
        <v>2</v>
      </c>
      <c r="BE232" s="400">
        <f t="shared" si="750"/>
        <v>1</v>
      </c>
      <c r="BF232" s="400">
        <f t="shared" si="751"/>
        <v>2675</v>
      </c>
      <c r="BG232" s="400">
        <f t="shared" ca="1" si="732"/>
        <v>0</v>
      </c>
      <c r="BH232" s="398">
        <f t="shared" ca="1" si="752"/>
        <v>640528</v>
      </c>
      <c r="BI232" s="401" t="str">
        <f t="shared" ca="1" si="722"/>
        <v/>
      </c>
      <c r="BJ232" s="398">
        <f t="shared" ca="1" si="753"/>
        <v>1280</v>
      </c>
      <c r="BK232" s="400">
        <f ca="1">IF(MAX(IF($D$6="No",ROUNDUP($D$3/$I232,0),ROUNDUP(($D$3+$I232)/$I232,0)),IF($D$6="No",ROUNDUP($D$4/$G232,0),ROUNDUP(($D$4+$G232)/$G232,0)),ROUNDUP('BVMS checklist'!$H$217/$J232,0))&gt;1,'BVMS checklist'!$L$224,'BVMS checklist'!$L$217)+MAX(IF($D$6="No",ROUNDUP($D$3/$I232,0),ROUNDUP(($D$3+$I232)/$I232,0)),IF($D$6="No",ROUNDUP($D$4/$G232,0),ROUNDUP(($D$4+$G232)/$G232,0)))+$D$5</f>
        <v>1</v>
      </c>
      <c r="BL232" s="400" t="b">
        <f t="shared" ca="1" si="707"/>
        <v>1</v>
      </c>
      <c r="BM232" s="400" t="str">
        <f t="shared" ca="1" si="754"/>
        <v>Accepted</v>
      </c>
      <c r="BN232" s="398" t="str">
        <f t="shared" ca="1" si="733"/>
        <v>No</v>
      </c>
      <c r="BO232" s="398" t="str">
        <f t="shared" ca="1" si="755"/>
        <v/>
      </c>
      <c r="BP232" s="398" t="str">
        <f t="shared" ca="1" si="723"/>
        <v/>
      </c>
      <c r="BQ232" s="398">
        <f t="shared" ca="1" si="724"/>
        <v>6</v>
      </c>
      <c r="BR232" s="398">
        <f t="shared" ca="1" si="756"/>
        <v>2</v>
      </c>
      <c r="BS232" s="398">
        <f t="shared" ca="1" si="757"/>
        <v>768</v>
      </c>
      <c r="BT232" s="398">
        <f t="shared" ca="1" si="758"/>
        <v>640528</v>
      </c>
      <c r="BU232" s="399">
        <f t="shared" si="696"/>
        <v>0</v>
      </c>
      <c r="BV232" s="399">
        <f t="shared" si="697"/>
        <v>0</v>
      </c>
      <c r="BW232" s="483" t="str">
        <f t="shared" ca="1" si="725"/>
        <v/>
      </c>
      <c r="BX232" s="400">
        <f ca="1">IF(MAX(IF($E$6="No",ROUNDUP($E$3/$I232,0),ROUNDUP(($E$3+$I232)/$I232,0)),IF($E$6="No",ROUNDUP($E$4/$G232,0),ROUNDUP(($E$4+$G232)/$G232,0)),ROUNDUP('BVMS checklist'!$H$217/$J232,0))&gt;1,'BVMS checklist'!$N$224,'BVMS checklist'!$N$217)</f>
        <v>0</v>
      </c>
      <c r="BY232" s="398">
        <f t="shared" ca="1" si="726"/>
        <v>2</v>
      </c>
      <c r="BZ232" s="400">
        <f t="shared" ca="1" si="759"/>
        <v>2</v>
      </c>
      <c r="CA232" s="400">
        <f t="shared" ca="1" si="760"/>
        <v>5350</v>
      </c>
      <c r="CB232" s="400">
        <f t="shared" ca="1" si="734"/>
        <v>0</v>
      </c>
      <c r="CC232" s="398">
        <f t="shared" ca="1" si="761"/>
        <v>640528</v>
      </c>
      <c r="CD232" s="401" t="str">
        <f t="shared" ca="1" si="727"/>
        <v/>
      </c>
      <c r="CE232" s="398">
        <f t="shared" ca="1" si="762"/>
        <v>1280</v>
      </c>
      <c r="CF232" s="400">
        <f ca="1">IF(MAX(IF($E$6="No",ROUNDUP($E$3/$I232,0),ROUNDUP(($E$3+$I232)/$I232,0)),IF($E$6="No",ROUNDUP($E$4/$G232,0),ROUNDUP(($E$4+$G232)/$G232,0)),ROUNDUP('BVMS checklist'!$H$217/$J232,0))&gt;1,'BVMS checklist'!$N$224,'BVMS checklist'!$N$217)+MAX(IF($E$6="No",ROUNDUP($E$3/$I232,0),ROUNDUP(($E$3+$I232)/$I232,0)),IF($E$6="No",ROUNDUP($E$4/$G232,0),ROUNDUP(($E$4+$G232)/$G232,0)))+$E$5</f>
        <v>1</v>
      </c>
      <c r="CG232" s="400" t="b">
        <f t="shared" ca="1" si="708"/>
        <v>1</v>
      </c>
      <c r="CH232" s="400" t="str">
        <f t="shared" ca="1" si="763"/>
        <v>Accepted</v>
      </c>
      <c r="CI232" s="398" t="str">
        <f t="shared" ca="1" si="735"/>
        <v>No</v>
      </c>
      <c r="CJ232" s="398" t="str">
        <f t="shared" ca="1" si="764"/>
        <v/>
      </c>
      <c r="CK232" s="398" t="str">
        <f t="shared" ca="1" si="728"/>
        <v/>
      </c>
      <c r="CL232" s="398">
        <f t="shared" ca="1" si="729"/>
        <v>6</v>
      </c>
      <c r="CM232" s="398">
        <f t="shared" ca="1" si="765"/>
        <v>2</v>
      </c>
      <c r="CN232" s="398">
        <f t="shared" ca="1" si="766"/>
        <v>768</v>
      </c>
      <c r="CO232" s="398">
        <f t="shared" ca="1" si="767"/>
        <v>640528</v>
      </c>
      <c r="CP232" s="399">
        <f t="shared" si="698"/>
        <v>0</v>
      </c>
      <c r="CQ232" s="399">
        <f t="shared" si="699"/>
        <v>0</v>
      </c>
      <c r="CR232" s="483" t="str">
        <f t="shared" ca="1" si="730"/>
        <v/>
      </c>
      <c r="CS232"/>
    </row>
    <row r="233" spans="1:97">
      <c r="A233" s="398" t="s">
        <v>527</v>
      </c>
      <c r="B233" s="398" t="s">
        <v>987</v>
      </c>
      <c r="C233" s="440" t="s">
        <v>891</v>
      </c>
      <c r="D233" s="398">
        <v>2</v>
      </c>
      <c r="E233" s="398"/>
      <c r="F233" s="440">
        <v>0</v>
      </c>
      <c r="G233" s="398">
        <f>IF(C233="RAID5",(((15-F233)*7448))+(1*(((15-F233)*7448))),(((14-F233)*7448))+(1*(((14-F233)*7448))))</f>
        <v>223440</v>
      </c>
      <c r="H233" s="399">
        <v>256</v>
      </c>
      <c r="I233" s="399">
        <v>1025</v>
      </c>
      <c r="J233" s="399">
        <v>256</v>
      </c>
      <c r="K233" s="399"/>
      <c r="L233" s="399"/>
      <c r="M233" s="400">
        <f ca="1">IF(MAX(IF($B$6="No",ROUNDUP($B$3/$I233,0),ROUNDUP(($B$3+$I233)/$I233,0)),IF($B$6="No",ROUNDUP($B$4/$G233,0),ROUNDUP(($B$4+$G233)/$G233,0)),ROUNDUP('BVMS checklist'!$H$217/$J233,0))&gt;1,'BVMS checklist'!$H$224,'BVMS checklist'!$H$217)</f>
        <v>0</v>
      </c>
      <c r="N233" s="398">
        <f t="shared" ca="1" si="709"/>
        <v>2</v>
      </c>
      <c r="O233" s="400">
        <f t="shared" ca="1" si="736"/>
        <v>2</v>
      </c>
      <c r="P233" s="400">
        <f t="shared" ca="1" si="700"/>
        <v>2050</v>
      </c>
      <c r="Q233" s="400">
        <f t="shared" ca="1" si="701"/>
        <v>0</v>
      </c>
      <c r="R233" s="398">
        <f t="shared" ca="1" si="702"/>
        <v>446880</v>
      </c>
      <c r="S233" s="401" t="str">
        <f t="shared" ca="1" si="710"/>
        <v/>
      </c>
      <c r="T233" s="398">
        <f t="shared" ca="1" si="711"/>
        <v>512</v>
      </c>
      <c r="U233" s="400">
        <f ca="1">IF(MAX(IF($B$6="No",ROUNDUP($B$3/$I233,0),ROUNDUP(($B$3+$I233)/$I233,0)),IF($B$6="No",ROUNDUP($B$4/$G233,0),ROUNDUP(($B$4+$G233)/$G233,0)),ROUNDUP('BVMS checklist'!$H$217/$J233,0))&gt;1,'BVMS checklist'!$H$224,'BVMS checklist'!$H$217)+MAX(IF($B$6="No",ROUNDUP($B$3/$I233,0),ROUNDUP(($B$3+$I233)/$I233,0)),IF($B$6="No",ROUNDUP($B$4/$G233,0),ROUNDUP(($B$4+$G233)/$G233,0)))+$B$5</f>
        <v>1</v>
      </c>
      <c r="V233" s="400" t="b">
        <f t="shared" ca="1" si="703"/>
        <v>1</v>
      </c>
      <c r="W233" s="400" t="str">
        <f t="shared" ca="1" si="737"/>
        <v>Accepted</v>
      </c>
      <c r="X233" s="398" t="str">
        <f t="shared" ca="1" si="712"/>
        <v>No</v>
      </c>
      <c r="Y233" s="398" t="str">
        <f t="shared" ca="1" si="713"/>
        <v/>
      </c>
      <c r="Z233" s="398" t="str">
        <f t="shared" ca="1" si="714"/>
        <v/>
      </c>
      <c r="AA233" s="398">
        <f t="shared" ca="1" si="738"/>
        <v>6</v>
      </c>
      <c r="AB233" s="398">
        <f t="shared" ca="1" si="704"/>
        <v>2</v>
      </c>
      <c r="AC233" s="398">
        <f t="shared" ca="1" si="705"/>
        <v>512</v>
      </c>
      <c r="AD233" s="398">
        <f t="shared" ca="1" si="739"/>
        <v>446880</v>
      </c>
      <c r="AE233" s="399">
        <f t="shared" si="692"/>
        <v>0</v>
      </c>
      <c r="AF233" s="399">
        <f t="shared" si="693"/>
        <v>0</v>
      </c>
      <c r="AG233" s="483" t="str">
        <f t="shared" ca="1" si="715"/>
        <v/>
      </c>
      <c r="AH233" s="400">
        <f ca="1">IF(MAX(IF($C$6="No",ROUNDUP($C$3/$I233,0),ROUNDUP(($C$3+$I233)/$I233,0)),IF($C$6="No",ROUNDUP($C$4/$G233,0),ROUNDUP(($C$4+$G233)/$G233,0)),ROUNDUP('BVMS checklist'!$H$217/$J233,0))&gt;1,'BVMS checklist'!$J$224,'BVMS checklist'!$J$217)</f>
        <v>0</v>
      </c>
      <c r="AI233" s="398">
        <f t="shared" ca="1" si="716"/>
        <v>2</v>
      </c>
      <c r="AJ233" s="400">
        <f t="shared" ca="1" si="740"/>
        <v>2</v>
      </c>
      <c r="AK233" s="400">
        <f t="shared" ca="1" si="741"/>
        <v>2050</v>
      </c>
      <c r="AL233" s="400">
        <f t="shared" ca="1" si="742"/>
        <v>0</v>
      </c>
      <c r="AM233" s="398">
        <f t="shared" ca="1" si="743"/>
        <v>446880</v>
      </c>
      <c r="AN233" s="401" t="str">
        <f t="shared" ca="1" si="717"/>
        <v/>
      </c>
      <c r="AO233" s="398">
        <f t="shared" ca="1" si="744"/>
        <v>512</v>
      </c>
      <c r="AP233" s="400">
        <f ca="1">IF(MAX(IF($C$6="No",ROUNDUP($C$3/$I233,0),ROUNDUP(($C$3+$I233)/$I233,0)),IF($C$6="No",ROUNDUP($C$4/$G233,0),ROUNDUP(($C$4+$G233)/$G233,0)),ROUNDUP('BVMS checklist'!$H$217/$J233,0))&gt;1,'BVMS checklist'!$J$224,'BVMS checklist'!$J$217)+MAX(IF($C$6="No",ROUNDUP($C$3/$I233,0),ROUNDUP(($C$3+$I233)/$I233,0)),IF($C$6="No",ROUNDUP($C$4/$G233,0),ROUNDUP(($C$4+$G233)/$G233,0)))+$C$5</f>
        <v>1</v>
      </c>
      <c r="AQ233" s="400" t="b">
        <f t="shared" ca="1" si="706"/>
        <v>1</v>
      </c>
      <c r="AR233" s="400" t="str">
        <f t="shared" ca="1" si="745"/>
        <v>Accepted</v>
      </c>
      <c r="AS233" s="398" t="str">
        <f t="shared" ca="1" si="731"/>
        <v>No</v>
      </c>
      <c r="AT233" s="398" t="str">
        <f t="shared" ca="1" si="746"/>
        <v/>
      </c>
      <c r="AU233" s="398" t="str">
        <f t="shared" ca="1" si="718"/>
        <v/>
      </c>
      <c r="AV233" s="398">
        <f t="shared" ca="1" si="719"/>
        <v>6</v>
      </c>
      <c r="AW233" s="398">
        <f t="shared" ca="1" si="747"/>
        <v>2</v>
      </c>
      <c r="AX233" s="398">
        <f t="shared" ca="1" si="748"/>
        <v>512</v>
      </c>
      <c r="AY233" s="398">
        <f t="shared" ca="1" si="749"/>
        <v>446880</v>
      </c>
      <c r="AZ233" s="399">
        <f t="shared" si="694"/>
        <v>0</v>
      </c>
      <c r="BA233" s="399">
        <f t="shared" si="695"/>
        <v>0</v>
      </c>
      <c r="BB233" s="483" t="str">
        <f t="shared" ca="1" si="720"/>
        <v/>
      </c>
      <c r="BC233" s="400">
        <f ca="1">IF(MAX(IF($D$6="No",ROUNDUP($D$3/$I233,0),ROUNDUP(($D$3+$I233)/$I233,0)),IF($D$6="No",ROUNDUP($D$4/$G233,0),ROUNDUP(($D$4+$G233)/$G233,0)),ROUNDUP('BVMS checklist'!$H$217/$J233,0))&gt;1,'BVMS checklist'!$L$224,'BVMS checklist'!$L$217)</f>
        <v>0</v>
      </c>
      <c r="BD233" s="398">
        <f t="shared" ca="1" si="721"/>
        <v>2</v>
      </c>
      <c r="BE233" s="400">
        <f t="shared" si="750"/>
        <v>1</v>
      </c>
      <c r="BF233" s="400">
        <f t="shared" si="751"/>
        <v>1025</v>
      </c>
      <c r="BG233" s="400">
        <f t="shared" ca="1" si="732"/>
        <v>0</v>
      </c>
      <c r="BH233" s="398">
        <f t="shared" ca="1" si="752"/>
        <v>446880</v>
      </c>
      <c r="BI233" s="401" t="str">
        <f t="shared" ca="1" si="722"/>
        <v/>
      </c>
      <c r="BJ233" s="398">
        <f t="shared" ca="1" si="753"/>
        <v>512</v>
      </c>
      <c r="BK233" s="400">
        <f ca="1">IF(MAX(IF($D$6="No",ROUNDUP($D$3/$I233,0),ROUNDUP(($D$3+$I233)/$I233,0)),IF($D$6="No",ROUNDUP($D$4/$G233,0),ROUNDUP(($D$4+$G233)/$G233,0)),ROUNDUP('BVMS checklist'!$H$217/$J233,0))&gt;1,'BVMS checklist'!$L$224,'BVMS checklist'!$L$217)+MAX(IF($D$6="No",ROUNDUP($D$3/$I233,0),ROUNDUP(($D$3+$I233)/$I233,0)),IF($D$6="No",ROUNDUP($D$4/$G233,0),ROUNDUP(($D$4+$G233)/$G233,0)))+$D$5</f>
        <v>1</v>
      </c>
      <c r="BL233" s="400" t="b">
        <f t="shared" ca="1" si="707"/>
        <v>1</v>
      </c>
      <c r="BM233" s="400" t="str">
        <f t="shared" ca="1" si="754"/>
        <v>Accepted</v>
      </c>
      <c r="BN233" s="398" t="str">
        <f t="shared" ca="1" si="733"/>
        <v>No</v>
      </c>
      <c r="BO233" s="398" t="str">
        <f t="shared" ca="1" si="755"/>
        <v/>
      </c>
      <c r="BP233" s="398" t="str">
        <f t="shared" ca="1" si="723"/>
        <v/>
      </c>
      <c r="BQ233" s="398">
        <f t="shared" ca="1" si="724"/>
        <v>6</v>
      </c>
      <c r="BR233" s="398">
        <f t="shared" ca="1" si="756"/>
        <v>2</v>
      </c>
      <c r="BS233" s="398">
        <f t="shared" ca="1" si="757"/>
        <v>512</v>
      </c>
      <c r="BT233" s="398">
        <f t="shared" ca="1" si="758"/>
        <v>446880</v>
      </c>
      <c r="BU233" s="399">
        <f t="shared" si="696"/>
        <v>0</v>
      </c>
      <c r="BV233" s="399">
        <f t="shared" si="697"/>
        <v>0</v>
      </c>
      <c r="BW233" s="483" t="str">
        <f t="shared" ca="1" si="725"/>
        <v/>
      </c>
      <c r="BX233" s="400">
        <f ca="1">IF(MAX(IF($E$6="No",ROUNDUP($E$3/$I233,0),ROUNDUP(($E$3+$I233)/$I233,0)),IF($E$6="No",ROUNDUP($E$4/$G233,0),ROUNDUP(($E$4+$G233)/$G233,0)),ROUNDUP('BVMS checklist'!$H$217/$J233,0))&gt;1,'BVMS checklist'!$N$224,'BVMS checklist'!$N$217)</f>
        <v>0</v>
      </c>
      <c r="BY233" s="398">
        <f t="shared" ca="1" si="726"/>
        <v>2</v>
      </c>
      <c r="BZ233" s="400">
        <f t="shared" ca="1" si="759"/>
        <v>2</v>
      </c>
      <c r="CA233" s="400">
        <f t="shared" ca="1" si="760"/>
        <v>2050</v>
      </c>
      <c r="CB233" s="400">
        <f t="shared" ca="1" si="734"/>
        <v>0</v>
      </c>
      <c r="CC233" s="398">
        <f t="shared" ca="1" si="761"/>
        <v>446880</v>
      </c>
      <c r="CD233" s="401" t="str">
        <f t="shared" ca="1" si="727"/>
        <v/>
      </c>
      <c r="CE233" s="398">
        <f t="shared" ca="1" si="762"/>
        <v>512</v>
      </c>
      <c r="CF233" s="400">
        <f ca="1">IF(MAX(IF($E$6="No",ROUNDUP($E$3/$I233,0),ROUNDUP(($E$3+$I233)/$I233,0)),IF($E$6="No",ROUNDUP($E$4/$G233,0),ROUNDUP(($E$4+$G233)/$G233,0)),ROUNDUP('BVMS checklist'!$H$217/$J233,0))&gt;1,'BVMS checklist'!$N$224,'BVMS checklist'!$N$217)+MAX(IF($E$6="No",ROUNDUP($E$3/$I233,0),ROUNDUP(($E$3+$I233)/$I233,0)),IF($E$6="No",ROUNDUP($E$4/$G233,0),ROUNDUP(($E$4+$G233)/$G233,0)))+$E$5</f>
        <v>1</v>
      </c>
      <c r="CG233" s="400" t="b">
        <f t="shared" ca="1" si="708"/>
        <v>1</v>
      </c>
      <c r="CH233" s="400" t="str">
        <f t="shared" ca="1" si="763"/>
        <v>Accepted</v>
      </c>
      <c r="CI233" s="398" t="str">
        <f t="shared" ca="1" si="735"/>
        <v>No</v>
      </c>
      <c r="CJ233" s="398" t="str">
        <f t="shared" ca="1" si="764"/>
        <v/>
      </c>
      <c r="CK233" s="398" t="str">
        <f t="shared" ca="1" si="728"/>
        <v/>
      </c>
      <c r="CL233" s="398">
        <f t="shared" ca="1" si="729"/>
        <v>6</v>
      </c>
      <c r="CM233" s="398">
        <f t="shared" ca="1" si="765"/>
        <v>2</v>
      </c>
      <c r="CN233" s="398">
        <f t="shared" ca="1" si="766"/>
        <v>512</v>
      </c>
      <c r="CO233" s="398">
        <f t="shared" ca="1" si="767"/>
        <v>446880</v>
      </c>
      <c r="CP233" s="399">
        <f t="shared" si="698"/>
        <v>0</v>
      </c>
      <c r="CQ233" s="399">
        <f t="shared" si="699"/>
        <v>0</v>
      </c>
      <c r="CR233" s="483" t="str">
        <f t="shared" ca="1" si="730"/>
        <v/>
      </c>
      <c r="CS233"/>
    </row>
    <row r="234" spans="1:97">
      <c r="A234" s="398" t="s">
        <v>528</v>
      </c>
      <c r="B234" s="398" t="s">
        <v>987</v>
      </c>
      <c r="C234" s="440" t="s">
        <v>891</v>
      </c>
      <c r="D234" s="398">
        <v>3</v>
      </c>
      <c r="E234" s="398"/>
      <c r="F234" s="440">
        <v>0</v>
      </c>
      <c r="G234" s="398">
        <f>IF(C234="RAID5",(((15-F234)*7448))+(2*(((15-F234)*7448))),(((14-F234)*7448))+(2*(((14-F234)*7448))))</f>
        <v>335160</v>
      </c>
      <c r="H234" s="399">
        <v>384</v>
      </c>
      <c r="I234" s="399">
        <v>1575</v>
      </c>
      <c r="J234" s="399">
        <v>384</v>
      </c>
      <c r="K234" s="399"/>
      <c r="L234" s="399"/>
      <c r="M234" s="400">
        <f ca="1">IF(MAX(IF($B$6="No",ROUNDUP($B$3/$I234,0),ROUNDUP(($B$3+$I234)/$I234,0)),IF($B$6="No",ROUNDUP($B$4/$G234,0),ROUNDUP(($B$4+$G234)/$G234,0)),ROUNDUP('BVMS checklist'!$H$217/$J234,0))&gt;1,'BVMS checklist'!$H$224,'BVMS checklist'!$H$217)</f>
        <v>0</v>
      </c>
      <c r="N234" s="398">
        <f t="shared" ca="1" si="709"/>
        <v>2</v>
      </c>
      <c r="O234" s="400">
        <f t="shared" ca="1" si="736"/>
        <v>2</v>
      </c>
      <c r="P234" s="400">
        <f t="shared" ca="1" si="700"/>
        <v>3150</v>
      </c>
      <c r="Q234" s="400">
        <f t="shared" ca="1" si="701"/>
        <v>0</v>
      </c>
      <c r="R234" s="398">
        <f t="shared" ca="1" si="702"/>
        <v>670320</v>
      </c>
      <c r="S234" s="401" t="str">
        <f t="shared" ca="1" si="710"/>
        <v/>
      </c>
      <c r="T234" s="398">
        <f t="shared" ca="1" si="711"/>
        <v>768</v>
      </c>
      <c r="U234" s="400">
        <f ca="1">IF(MAX(IF($B$6="No",ROUNDUP($B$3/$I234,0),ROUNDUP(($B$3+$I234)/$I234,0)),IF($B$6="No",ROUNDUP($B$4/$G234,0),ROUNDUP(($B$4+$G234)/$G234,0)),ROUNDUP('BVMS checklist'!$H$217/$J234,0))&gt;1,'BVMS checklist'!$H$224,'BVMS checklist'!$H$217)+MAX(IF($B$6="No",ROUNDUP($B$3/$I234,0),ROUNDUP(($B$3+$I234)/$I234,0)),IF($B$6="No",ROUNDUP($B$4/$G234,0),ROUNDUP(($B$4+$G234)/$G234,0)))+$B$5</f>
        <v>1</v>
      </c>
      <c r="V234" s="400" t="b">
        <f t="shared" ca="1" si="703"/>
        <v>1</v>
      </c>
      <c r="W234" s="400" t="str">
        <f t="shared" ca="1" si="737"/>
        <v>Accepted</v>
      </c>
      <c r="X234" s="398" t="str">
        <f t="shared" ca="1" si="712"/>
        <v>No</v>
      </c>
      <c r="Y234" s="398" t="str">
        <f t="shared" ca="1" si="713"/>
        <v/>
      </c>
      <c r="Z234" s="398" t="str">
        <f t="shared" ca="1" si="714"/>
        <v/>
      </c>
      <c r="AA234" s="398">
        <f t="shared" ca="1" si="738"/>
        <v>6</v>
      </c>
      <c r="AB234" s="398">
        <f t="shared" ca="1" si="704"/>
        <v>2</v>
      </c>
      <c r="AC234" s="398">
        <f t="shared" ca="1" si="705"/>
        <v>768</v>
      </c>
      <c r="AD234" s="398">
        <f t="shared" ca="1" si="739"/>
        <v>670320</v>
      </c>
      <c r="AE234" s="399">
        <f t="shared" si="692"/>
        <v>0</v>
      </c>
      <c r="AF234" s="399">
        <f t="shared" si="693"/>
        <v>0</v>
      </c>
      <c r="AG234" s="483" t="str">
        <f t="shared" ca="1" si="715"/>
        <v/>
      </c>
      <c r="AH234" s="400">
        <f ca="1">IF(MAX(IF($C$6="No",ROUNDUP($C$3/$I234,0),ROUNDUP(($C$3+$I234)/$I234,0)),IF($C$6="No",ROUNDUP($C$4/$G234,0),ROUNDUP(($C$4+$G234)/$G234,0)),ROUNDUP('BVMS checklist'!$H$217/$J234,0))&gt;1,'BVMS checklist'!$J$224,'BVMS checklist'!$J$217)</f>
        <v>0</v>
      </c>
      <c r="AI234" s="398">
        <f t="shared" ca="1" si="716"/>
        <v>2</v>
      </c>
      <c r="AJ234" s="400">
        <f t="shared" ca="1" si="740"/>
        <v>2</v>
      </c>
      <c r="AK234" s="400">
        <f t="shared" ca="1" si="741"/>
        <v>3150</v>
      </c>
      <c r="AL234" s="400">
        <f t="shared" ca="1" si="742"/>
        <v>0</v>
      </c>
      <c r="AM234" s="398">
        <f t="shared" ca="1" si="743"/>
        <v>670320</v>
      </c>
      <c r="AN234" s="401" t="str">
        <f t="shared" ca="1" si="717"/>
        <v/>
      </c>
      <c r="AO234" s="398">
        <f t="shared" ca="1" si="744"/>
        <v>768</v>
      </c>
      <c r="AP234" s="400">
        <f ca="1">IF(MAX(IF($C$6="No",ROUNDUP($C$3/$I234,0),ROUNDUP(($C$3+$I234)/$I234,0)),IF($C$6="No",ROUNDUP($C$4/$G234,0),ROUNDUP(($C$4+$G234)/$G234,0)),ROUNDUP('BVMS checklist'!$H$217/$J234,0))&gt;1,'BVMS checklist'!$J$224,'BVMS checklist'!$J$217)+MAX(IF($C$6="No",ROUNDUP($C$3/$I234,0),ROUNDUP(($C$3+$I234)/$I234,0)),IF($C$6="No",ROUNDUP($C$4/$G234,0),ROUNDUP(($C$4+$G234)/$G234,0)))+$C$5</f>
        <v>1</v>
      </c>
      <c r="AQ234" s="400" t="b">
        <f t="shared" ca="1" si="706"/>
        <v>1</v>
      </c>
      <c r="AR234" s="400" t="str">
        <f t="shared" ca="1" si="745"/>
        <v>Accepted</v>
      </c>
      <c r="AS234" s="398" t="str">
        <f t="shared" ca="1" si="731"/>
        <v>No</v>
      </c>
      <c r="AT234" s="398" t="str">
        <f t="shared" ca="1" si="746"/>
        <v/>
      </c>
      <c r="AU234" s="398" t="str">
        <f t="shared" ca="1" si="718"/>
        <v/>
      </c>
      <c r="AV234" s="398">
        <f t="shared" ca="1" si="719"/>
        <v>6</v>
      </c>
      <c r="AW234" s="398">
        <f t="shared" ca="1" si="747"/>
        <v>2</v>
      </c>
      <c r="AX234" s="398">
        <f t="shared" ca="1" si="748"/>
        <v>768</v>
      </c>
      <c r="AY234" s="398">
        <f t="shared" ca="1" si="749"/>
        <v>670320</v>
      </c>
      <c r="AZ234" s="399">
        <f t="shared" si="694"/>
        <v>0</v>
      </c>
      <c r="BA234" s="399">
        <f t="shared" si="695"/>
        <v>0</v>
      </c>
      <c r="BB234" s="483" t="str">
        <f t="shared" ca="1" si="720"/>
        <v/>
      </c>
      <c r="BC234" s="400">
        <f ca="1">IF(MAX(IF($D$6="No",ROUNDUP($D$3/$I234,0),ROUNDUP(($D$3+$I234)/$I234,0)),IF($D$6="No",ROUNDUP($D$4/$G234,0),ROUNDUP(($D$4+$G234)/$G234,0)),ROUNDUP('BVMS checklist'!$H$217/$J234,0))&gt;1,'BVMS checklist'!$L$224,'BVMS checklist'!$L$217)</f>
        <v>0</v>
      </c>
      <c r="BD234" s="398">
        <f t="shared" ca="1" si="721"/>
        <v>2</v>
      </c>
      <c r="BE234" s="400">
        <f t="shared" si="750"/>
        <v>1</v>
      </c>
      <c r="BF234" s="400">
        <f t="shared" si="751"/>
        <v>1575</v>
      </c>
      <c r="BG234" s="400">
        <f t="shared" ca="1" si="732"/>
        <v>0</v>
      </c>
      <c r="BH234" s="398">
        <f t="shared" ca="1" si="752"/>
        <v>670320</v>
      </c>
      <c r="BI234" s="401" t="str">
        <f t="shared" ca="1" si="722"/>
        <v/>
      </c>
      <c r="BJ234" s="398">
        <f t="shared" ca="1" si="753"/>
        <v>768</v>
      </c>
      <c r="BK234" s="400">
        <f ca="1">IF(MAX(IF($D$6="No",ROUNDUP($D$3/$I234,0),ROUNDUP(($D$3+$I234)/$I234,0)),IF($D$6="No",ROUNDUP($D$4/$G234,0),ROUNDUP(($D$4+$G234)/$G234,0)),ROUNDUP('BVMS checklist'!$H$217/$J234,0))&gt;1,'BVMS checklist'!$L$224,'BVMS checklist'!$L$217)+MAX(IF($D$6="No",ROUNDUP($D$3/$I234,0),ROUNDUP(($D$3+$I234)/$I234,0)),IF($D$6="No",ROUNDUP($D$4/$G234,0),ROUNDUP(($D$4+$G234)/$G234,0)))+$D$5</f>
        <v>1</v>
      </c>
      <c r="BL234" s="400" t="b">
        <f t="shared" ca="1" si="707"/>
        <v>1</v>
      </c>
      <c r="BM234" s="400" t="str">
        <f t="shared" ca="1" si="754"/>
        <v>Accepted</v>
      </c>
      <c r="BN234" s="398" t="str">
        <f t="shared" ca="1" si="733"/>
        <v>No</v>
      </c>
      <c r="BO234" s="398" t="str">
        <f t="shared" ca="1" si="755"/>
        <v/>
      </c>
      <c r="BP234" s="398" t="str">
        <f t="shared" ca="1" si="723"/>
        <v/>
      </c>
      <c r="BQ234" s="398">
        <f t="shared" ca="1" si="724"/>
        <v>6</v>
      </c>
      <c r="BR234" s="398">
        <f t="shared" ca="1" si="756"/>
        <v>2</v>
      </c>
      <c r="BS234" s="398">
        <f t="shared" ca="1" si="757"/>
        <v>768</v>
      </c>
      <c r="BT234" s="398">
        <f t="shared" ca="1" si="758"/>
        <v>670320</v>
      </c>
      <c r="BU234" s="399">
        <f t="shared" si="696"/>
        <v>0</v>
      </c>
      <c r="BV234" s="399">
        <f t="shared" si="697"/>
        <v>0</v>
      </c>
      <c r="BW234" s="483" t="str">
        <f t="shared" ca="1" si="725"/>
        <v/>
      </c>
      <c r="BX234" s="400">
        <f ca="1">IF(MAX(IF($E$6="No",ROUNDUP($E$3/$I234,0),ROUNDUP(($E$3+$I234)/$I234,0)),IF($E$6="No",ROUNDUP($E$4/$G234,0),ROUNDUP(($E$4+$G234)/$G234,0)),ROUNDUP('BVMS checklist'!$H$217/$J234,0))&gt;1,'BVMS checklist'!$N$224,'BVMS checklist'!$N$217)</f>
        <v>0</v>
      </c>
      <c r="BY234" s="398">
        <f t="shared" ca="1" si="726"/>
        <v>2</v>
      </c>
      <c r="BZ234" s="400">
        <f t="shared" ca="1" si="759"/>
        <v>2</v>
      </c>
      <c r="CA234" s="400">
        <f t="shared" ca="1" si="760"/>
        <v>3150</v>
      </c>
      <c r="CB234" s="400">
        <f t="shared" ca="1" si="734"/>
        <v>0</v>
      </c>
      <c r="CC234" s="398">
        <f t="shared" ca="1" si="761"/>
        <v>670320</v>
      </c>
      <c r="CD234" s="401" t="str">
        <f t="shared" ca="1" si="727"/>
        <v/>
      </c>
      <c r="CE234" s="398">
        <f t="shared" ca="1" si="762"/>
        <v>768</v>
      </c>
      <c r="CF234" s="400">
        <f ca="1">IF(MAX(IF($E$6="No",ROUNDUP($E$3/$I234,0),ROUNDUP(($E$3+$I234)/$I234,0)),IF($E$6="No",ROUNDUP($E$4/$G234,0),ROUNDUP(($E$4+$G234)/$G234,0)),ROUNDUP('BVMS checklist'!$H$217/$J234,0))&gt;1,'BVMS checklist'!$N$224,'BVMS checklist'!$N$217)+MAX(IF($E$6="No",ROUNDUP($E$3/$I234,0),ROUNDUP(($E$3+$I234)/$I234,0)),IF($E$6="No",ROUNDUP($E$4/$G234,0),ROUNDUP(($E$4+$G234)/$G234,0)))+$E$5</f>
        <v>1</v>
      </c>
      <c r="CG234" s="400" t="b">
        <f t="shared" ca="1" si="708"/>
        <v>1</v>
      </c>
      <c r="CH234" s="400" t="str">
        <f t="shared" ca="1" si="763"/>
        <v>Accepted</v>
      </c>
      <c r="CI234" s="398" t="str">
        <f t="shared" ca="1" si="735"/>
        <v>No</v>
      </c>
      <c r="CJ234" s="398" t="str">
        <f t="shared" ca="1" si="764"/>
        <v/>
      </c>
      <c r="CK234" s="398" t="str">
        <f t="shared" ca="1" si="728"/>
        <v/>
      </c>
      <c r="CL234" s="398">
        <f t="shared" ca="1" si="729"/>
        <v>6</v>
      </c>
      <c r="CM234" s="398">
        <f t="shared" ca="1" si="765"/>
        <v>2</v>
      </c>
      <c r="CN234" s="398">
        <f t="shared" ca="1" si="766"/>
        <v>768</v>
      </c>
      <c r="CO234" s="398">
        <f t="shared" ca="1" si="767"/>
        <v>670320</v>
      </c>
      <c r="CP234" s="399">
        <f t="shared" si="698"/>
        <v>0</v>
      </c>
      <c r="CQ234" s="399">
        <f t="shared" si="699"/>
        <v>0</v>
      </c>
      <c r="CR234" s="483" t="str">
        <f t="shared" ca="1" si="730"/>
        <v/>
      </c>
      <c r="CS234"/>
    </row>
    <row r="235" spans="1:97">
      <c r="A235" s="398" t="s">
        <v>529</v>
      </c>
      <c r="B235" s="398" t="s">
        <v>987</v>
      </c>
      <c r="C235" s="440" t="s">
        <v>891</v>
      </c>
      <c r="D235" s="398">
        <v>4</v>
      </c>
      <c r="E235" s="398"/>
      <c r="F235" s="440">
        <v>0</v>
      </c>
      <c r="G235" s="398">
        <f>IF(C235="RAID5",(((15-F235)*7448))+(3*(((15-F235)*7448))),(((14-F235)*7448))+(3*(((14-F235)*7448))))</f>
        <v>446880</v>
      </c>
      <c r="H235" s="399">
        <v>512</v>
      </c>
      <c r="I235" s="399">
        <v>2125</v>
      </c>
      <c r="J235" s="399">
        <v>512</v>
      </c>
      <c r="K235" s="399"/>
      <c r="L235" s="399"/>
      <c r="M235" s="400">
        <f ca="1">IF(MAX(IF($B$6="No",ROUNDUP($B$3/$I235,0),ROUNDUP(($B$3+$I235)/$I235,0)),IF($B$6="No",ROUNDUP($B$4/$G235,0),ROUNDUP(($B$4+$G235)/$G235,0)),ROUNDUP('BVMS checklist'!$H$217/$J235,0))&gt;1,'BVMS checklist'!$H$224,'BVMS checklist'!$H$217)</f>
        <v>0</v>
      </c>
      <c r="N235" s="398">
        <f t="shared" ca="1" si="709"/>
        <v>2</v>
      </c>
      <c r="O235" s="400">
        <f t="shared" ca="1" si="736"/>
        <v>2</v>
      </c>
      <c r="P235" s="400">
        <f t="shared" ca="1" si="700"/>
        <v>4250</v>
      </c>
      <c r="Q235" s="400">
        <f t="shared" ca="1" si="701"/>
        <v>0</v>
      </c>
      <c r="R235" s="398">
        <f t="shared" ca="1" si="702"/>
        <v>893760</v>
      </c>
      <c r="S235" s="401" t="str">
        <f t="shared" ca="1" si="710"/>
        <v/>
      </c>
      <c r="T235" s="398">
        <f t="shared" ca="1" si="711"/>
        <v>1024</v>
      </c>
      <c r="U235" s="400">
        <f ca="1">IF(MAX(IF($B$6="No",ROUNDUP($B$3/$I235,0),ROUNDUP(($B$3+$I235)/$I235,0)),IF($B$6="No",ROUNDUP($B$4/$G235,0),ROUNDUP(($B$4+$G235)/$G235,0)),ROUNDUP('BVMS checklist'!$H$217/$J235,0))&gt;1,'BVMS checklist'!$H$224,'BVMS checklist'!$H$217)+MAX(IF($B$6="No",ROUNDUP($B$3/$I235,0),ROUNDUP(($B$3+$I235)/$I235,0)),IF($B$6="No",ROUNDUP($B$4/$G235,0),ROUNDUP(($B$4+$G235)/$G235,0)))+$B$5</f>
        <v>1</v>
      </c>
      <c r="V235" s="400" t="b">
        <f t="shared" ca="1" si="703"/>
        <v>1</v>
      </c>
      <c r="W235" s="400" t="str">
        <f t="shared" ca="1" si="737"/>
        <v>Accepted</v>
      </c>
      <c r="X235" s="398" t="str">
        <f t="shared" ca="1" si="712"/>
        <v>No</v>
      </c>
      <c r="Y235" s="398" t="str">
        <f t="shared" ca="1" si="713"/>
        <v/>
      </c>
      <c r="Z235" s="398" t="str">
        <f t="shared" ca="1" si="714"/>
        <v/>
      </c>
      <c r="AA235" s="398">
        <f t="shared" ca="1" si="738"/>
        <v>6</v>
      </c>
      <c r="AB235" s="398">
        <f t="shared" ca="1" si="704"/>
        <v>2</v>
      </c>
      <c r="AC235" s="398">
        <f t="shared" ca="1" si="705"/>
        <v>1024</v>
      </c>
      <c r="AD235" s="398">
        <f t="shared" ca="1" si="739"/>
        <v>893760</v>
      </c>
      <c r="AE235" s="399">
        <f t="shared" si="692"/>
        <v>0</v>
      </c>
      <c r="AF235" s="399">
        <f t="shared" si="693"/>
        <v>0</v>
      </c>
      <c r="AG235" s="483" t="str">
        <f t="shared" ca="1" si="715"/>
        <v/>
      </c>
      <c r="AH235" s="400">
        <f ca="1">IF(MAX(IF($C$6="No",ROUNDUP($C$3/$I235,0),ROUNDUP(($C$3+$I235)/$I235,0)),IF($C$6="No",ROUNDUP($C$4/$G235,0),ROUNDUP(($C$4+$G235)/$G235,0)),ROUNDUP('BVMS checklist'!$H$217/$J235,0))&gt;1,'BVMS checklist'!$J$224,'BVMS checklist'!$J$217)</f>
        <v>0</v>
      </c>
      <c r="AI235" s="398">
        <f t="shared" ca="1" si="716"/>
        <v>2</v>
      </c>
      <c r="AJ235" s="400">
        <f t="shared" ca="1" si="740"/>
        <v>2</v>
      </c>
      <c r="AK235" s="400">
        <f t="shared" ca="1" si="741"/>
        <v>4250</v>
      </c>
      <c r="AL235" s="400">
        <f t="shared" ca="1" si="742"/>
        <v>0</v>
      </c>
      <c r="AM235" s="398">
        <f t="shared" ca="1" si="743"/>
        <v>893760</v>
      </c>
      <c r="AN235" s="401" t="str">
        <f t="shared" ca="1" si="717"/>
        <v/>
      </c>
      <c r="AO235" s="398">
        <f t="shared" ca="1" si="744"/>
        <v>1024</v>
      </c>
      <c r="AP235" s="400">
        <f ca="1">IF(MAX(IF($C$6="No",ROUNDUP($C$3/$I235,0),ROUNDUP(($C$3+$I235)/$I235,0)),IF($C$6="No",ROUNDUP($C$4/$G235,0),ROUNDUP(($C$4+$G235)/$G235,0)),ROUNDUP('BVMS checklist'!$H$217/$J235,0))&gt;1,'BVMS checklist'!$J$224,'BVMS checklist'!$J$217)+MAX(IF($C$6="No",ROUNDUP($C$3/$I235,0),ROUNDUP(($C$3+$I235)/$I235,0)),IF($C$6="No",ROUNDUP($C$4/$G235,0),ROUNDUP(($C$4+$G235)/$G235,0)))+$C$5</f>
        <v>1</v>
      </c>
      <c r="AQ235" s="400" t="b">
        <f t="shared" ca="1" si="706"/>
        <v>1</v>
      </c>
      <c r="AR235" s="400" t="str">
        <f t="shared" ca="1" si="745"/>
        <v>Accepted</v>
      </c>
      <c r="AS235" s="398" t="str">
        <f t="shared" ca="1" si="731"/>
        <v>No</v>
      </c>
      <c r="AT235" s="398" t="str">
        <f t="shared" ca="1" si="746"/>
        <v/>
      </c>
      <c r="AU235" s="398" t="str">
        <f t="shared" ca="1" si="718"/>
        <v/>
      </c>
      <c r="AV235" s="398">
        <f t="shared" ca="1" si="719"/>
        <v>6</v>
      </c>
      <c r="AW235" s="398">
        <f t="shared" ca="1" si="747"/>
        <v>2</v>
      </c>
      <c r="AX235" s="398">
        <f t="shared" ca="1" si="748"/>
        <v>1024</v>
      </c>
      <c r="AY235" s="398">
        <f t="shared" ca="1" si="749"/>
        <v>893760</v>
      </c>
      <c r="AZ235" s="399">
        <f t="shared" si="694"/>
        <v>0</v>
      </c>
      <c r="BA235" s="399">
        <f t="shared" si="695"/>
        <v>0</v>
      </c>
      <c r="BB235" s="483" t="str">
        <f t="shared" ca="1" si="720"/>
        <v/>
      </c>
      <c r="BC235" s="400">
        <f ca="1">IF(MAX(IF($D$6="No",ROUNDUP($D$3/$I235,0),ROUNDUP(($D$3+$I235)/$I235,0)),IF($D$6="No",ROUNDUP($D$4/$G235,0),ROUNDUP(($D$4+$G235)/$G235,0)),ROUNDUP('BVMS checklist'!$H$217/$J235,0))&gt;1,'BVMS checklist'!$L$224,'BVMS checklist'!$L$217)</f>
        <v>0</v>
      </c>
      <c r="BD235" s="398">
        <f t="shared" ca="1" si="721"/>
        <v>2</v>
      </c>
      <c r="BE235" s="400">
        <f t="shared" si="750"/>
        <v>1</v>
      </c>
      <c r="BF235" s="400">
        <f t="shared" si="751"/>
        <v>2125</v>
      </c>
      <c r="BG235" s="400">
        <f t="shared" ca="1" si="732"/>
        <v>0</v>
      </c>
      <c r="BH235" s="398">
        <f t="shared" ca="1" si="752"/>
        <v>893760</v>
      </c>
      <c r="BI235" s="401" t="str">
        <f t="shared" ca="1" si="722"/>
        <v/>
      </c>
      <c r="BJ235" s="398">
        <f t="shared" ca="1" si="753"/>
        <v>1024</v>
      </c>
      <c r="BK235" s="400">
        <f ca="1">IF(MAX(IF($D$6="No",ROUNDUP($D$3/$I235,0),ROUNDUP(($D$3+$I235)/$I235,0)),IF($D$6="No",ROUNDUP($D$4/$G235,0),ROUNDUP(($D$4+$G235)/$G235,0)),ROUNDUP('BVMS checklist'!$H$217/$J235,0))&gt;1,'BVMS checklist'!$L$224,'BVMS checklist'!$L$217)+MAX(IF($D$6="No",ROUNDUP($D$3/$I235,0),ROUNDUP(($D$3+$I235)/$I235,0)),IF($D$6="No",ROUNDUP($D$4/$G235,0),ROUNDUP(($D$4+$G235)/$G235,0)))+$D$5</f>
        <v>1</v>
      </c>
      <c r="BL235" s="400" t="b">
        <f t="shared" ca="1" si="707"/>
        <v>1</v>
      </c>
      <c r="BM235" s="400" t="str">
        <f t="shared" ca="1" si="754"/>
        <v>Accepted</v>
      </c>
      <c r="BN235" s="398" t="str">
        <f t="shared" ca="1" si="733"/>
        <v>No</v>
      </c>
      <c r="BO235" s="398" t="str">
        <f t="shared" ca="1" si="755"/>
        <v/>
      </c>
      <c r="BP235" s="398" t="str">
        <f t="shared" ca="1" si="723"/>
        <v/>
      </c>
      <c r="BQ235" s="398">
        <f t="shared" ca="1" si="724"/>
        <v>6</v>
      </c>
      <c r="BR235" s="398">
        <f t="shared" ca="1" si="756"/>
        <v>2</v>
      </c>
      <c r="BS235" s="398">
        <f t="shared" ca="1" si="757"/>
        <v>1024</v>
      </c>
      <c r="BT235" s="398">
        <f t="shared" ca="1" si="758"/>
        <v>893760</v>
      </c>
      <c r="BU235" s="399">
        <f t="shared" si="696"/>
        <v>0</v>
      </c>
      <c r="BV235" s="399">
        <f t="shared" si="697"/>
        <v>0</v>
      </c>
      <c r="BW235" s="483" t="str">
        <f t="shared" ca="1" si="725"/>
        <v/>
      </c>
      <c r="BX235" s="400">
        <f ca="1">IF(MAX(IF($E$6="No",ROUNDUP($E$3/$I235,0),ROUNDUP(($E$3+$I235)/$I235,0)),IF($E$6="No",ROUNDUP($E$4/$G235,0),ROUNDUP(($E$4+$G235)/$G235,0)),ROUNDUP('BVMS checklist'!$H$217/$J235,0))&gt;1,'BVMS checklist'!$N$224,'BVMS checklist'!$N$217)</f>
        <v>0</v>
      </c>
      <c r="BY235" s="398">
        <f t="shared" ca="1" si="726"/>
        <v>2</v>
      </c>
      <c r="BZ235" s="400">
        <f t="shared" ca="1" si="759"/>
        <v>2</v>
      </c>
      <c r="CA235" s="400">
        <f t="shared" ca="1" si="760"/>
        <v>4250</v>
      </c>
      <c r="CB235" s="400">
        <f t="shared" ca="1" si="734"/>
        <v>0</v>
      </c>
      <c r="CC235" s="398">
        <f t="shared" ca="1" si="761"/>
        <v>893760</v>
      </c>
      <c r="CD235" s="401" t="str">
        <f t="shared" ca="1" si="727"/>
        <v/>
      </c>
      <c r="CE235" s="398">
        <f t="shared" ca="1" si="762"/>
        <v>1024</v>
      </c>
      <c r="CF235" s="400">
        <f ca="1">IF(MAX(IF($E$6="No",ROUNDUP($E$3/$I235,0),ROUNDUP(($E$3+$I235)/$I235,0)),IF($E$6="No",ROUNDUP($E$4/$G235,0),ROUNDUP(($E$4+$G235)/$G235,0)),ROUNDUP('BVMS checklist'!$H$217/$J235,0))&gt;1,'BVMS checklist'!$N$224,'BVMS checklist'!$N$217)+MAX(IF($E$6="No",ROUNDUP($E$3/$I235,0),ROUNDUP(($E$3+$I235)/$I235,0)),IF($E$6="No",ROUNDUP($E$4/$G235,0),ROUNDUP(($E$4+$G235)/$G235,0)))+$E$5</f>
        <v>1</v>
      </c>
      <c r="CG235" s="400" t="b">
        <f t="shared" ca="1" si="708"/>
        <v>1</v>
      </c>
      <c r="CH235" s="400" t="str">
        <f t="shared" ca="1" si="763"/>
        <v>Accepted</v>
      </c>
      <c r="CI235" s="398" t="str">
        <f t="shared" ca="1" si="735"/>
        <v>No</v>
      </c>
      <c r="CJ235" s="398" t="str">
        <f t="shared" ca="1" si="764"/>
        <v/>
      </c>
      <c r="CK235" s="398" t="str">
        <f t="shared" ca="1" si="728"/>
        <v/>
      </c>
      <c r="CL235" s="398">
        <f t="shared" ca="1" si="729"/>
        <v>6</v>
      </c>
      <c r="CM235" s="398">
        <f t="shared" ca="1" si="765"/>
        <v>2</v>
      </c>
      <c r="CN235" s="398">
        <f t="shared" ca="1" si="766"/>
        <v>1024</v>
      </c>
      <c r="CO235" s="398">
        <f t="shared" ca="1" si="767"/>
        <v>893760</v>
      </c>
      <c r="CP235" s="399">
        <f t="shared" si="698"/>
        <v>0</v>
      </c>
      <c r="CQ235" s="399">
        <f t="shared" si="699"/>
        <v>0</v>
      </c>
      <c r="CR235" s="483" t="str">
        <f t="shared" ca="1" si="730"/>
        <v/>
      </c>
      <c r="CS235"/>
    </row>
    <row r="236" spans="1:97">
      <c r="A236" s="398" t="s">
        <v>530</v>
      </c>
      <c r="B236" s="398" t="s">
        <v>987</v>
      </c>
      <c r="C236" s="440" t="s">
        <v>891</v>
      </c>
      <c r="D236" s="398">
        <v>5</v>
      </c>
      <c r="E236" s="398"/>
      <c r="F236" s="440">
        <v>0</v>
      </c>
      <c r="G236" s="398">
        <f>IF(C236="RAID5",(((15-F236)*7448))+(4*(((15-F236)*7448))),(((14-F236)*7448))+(4*(((14-F236)*7448))))</f>
        <v>558600</v>
      </c>
      <c r="H236" s="399">
        <v>640</v>
      </c>
      <c r="I236" s="399">
        <v>2675</v>
      </c>
      <c r="J236" s="399">
        <v>640</v>
      </c>
      <c r="K236" s="399"/>
      <c r="L236" s="399"/>
      <c r="M236" s="400">
        <f ca="1">IF(MAX(IF($B$6="No",ROUNDUP($B$3/$I236,0),ROUNDUP(($B$3+$I236)/$I236,0)),IF($B$6="No",ROUNDUP($B$4/$G236,0),ROUNDUP(($B$4+$G236)/$G236,0)),ROUNDUP('BVMS checklist'!$H$217/$J236,0))&gt;1,'BVMS checklist'!$H$224,'BVMS checklist'!$H$217)</f>
        <v>0</v>
      </c>
      <c r="N236" s="398">
        <f t="shared" ca="1" si="709"/>
        <v>2</v>
      </c>
      <c r="O236" s="400">
        <f t="shared" ca="1" si="736"/>
        <v>2</v>
      </c>
      <c r="P236" s="400">
        <f t="shared" ca="1" si="700"/>
        <v>5350</v>
      </c>
      <c r="Q236" s="400">
        <f t="shared" ca="1" si="701"/>
        <v>0</v>
      </c>
      <c r="R236" s="398">
        <f t="shared" ca="1" si="702"/>
        <v>1117200</v>
      </c>
      <c r="S236" s="401" t="str">
        <f t="shared" ca="1" si="710"/>
        <v/>
      </c>
      <c r="T236" s="398">
        <f t="shared" ca="1" si="711"/>
        <v>1280</v>
      </c>
      <c r="U236" s="400">
        <f ca="1">IF(MAX(IF($B$6="No",ROUNDUP($B$3/$I236,0),ROUNDUP(($B$3+$I236)/$I236,0)),IF($B$6="No",ROUNDUP($B$4/$G236,0),ROUNDUP(($B$4+$G236)/$G236,0)),ROUNDUP('BVMS checklist'!$H$217/$J236,0))&gt;1,'BVMS checklist'!$H$224,'BVMS checklist'!$H$217)+MAX(IF($B$6="No",ROUNDUP($B$3/$I236,0),ROUNDUP(($B$3+$I236)/$I236,0)),IF($B$6="No",ROUNDUP($B$4/$G236,0),ROUNDUP(($B$4+$G236)/$G236,0)))+$B$5</f>
        <v>1</v>
      </c>
      <c r="V236" s="400" t="b">
        <f t="shared" ca="1" si="703"/>
        <v>1</v>
      </c>
      <c r="W236" s="400" t="str">
        <f t="shared" ca="1" si="737"/>
        <v>Accepted</v>
      </c>
      <c r="X236" s="398" t="str">
        <f t="shared" ca="1" si="712"/>
        <v>No</v>
      </c>
      <c r="Y236" s="398" t="str">
        <f t="shared" ca="1" si="713"/>
        <v/>
      </c>
      <c r="Z236" s="398" t="str">
        <f t="shared" ca="1" si="714"/>
        <v/>
      </c>
      <c r="AA236" s="398">
        <f t="shared" ca="1" si="738"/>
        <v>6</v>
      </c>
      <c r="AB236" s="398">
        <f t="shared" ca="1" si="704"/>
        <v>2</v>
      </c>
      <c r="AC236" s="398">
        <f t="shared" ca="1" si="705"/>
        <v>1280</v>
      </c>
      <c r="AD236" s="398">
        <f t="shared" ca="1" si="739"/>
        <v>1117200</v>
      </c>
      <c r="AE236" s="399">
        <f t="shared" si="692"/>
        <v>0</v>
      </c>
      <c r="AF236" s="399">
        <f t="shared" si="693"/>
        <v>0</v>
      </c>
      <c r="AG236" s="483" t="str">
        <f t="shared" ca="1" si="715"/>
        <v/>
      </c>
      <c r="AH236" s="400">
        <f ca="1">IF(MAX(IF($C$6="No",ROUNDUP($C$3/$I236,0),ROUNDUP(($C$3+$I236)/$I236,0)),IF($C$6="No",ROUNDUP($C$4/$G236,0),ROUNDUP(($C$4+$G236)/$G236,0)),ROUNDUP('BVMS checklist'!$H$217/$J236,0))&gt;1,'BVMS checklist'!$J$224,'BVMS checklist'!$J$217)</f>
        <v>0</v>
      </c>
      <c r="AI236" s="398">
        <f t="shared" ca="1" si="716"/>
        <v>2</v>
      </c>
      <c r="AJ236" s="400">
        <f t="shared" ca="1" si="740"/>
        <v>2</v>
      </c>
      <c r="AK236" s="400">
        <f t="shared" ca="1" si="741"/>
        <v>5350</v>
      </c>
      <c r="AL236" s="400">
        <f t="shared" ca="1" si="742"/>
        <v>0</v>
      </c>
      <c r="AM236" s="398">
        <f t="shared" ca="1" si="743"/>
        <v>1117200</v>
      </c>
      <c r="AN236" s="401" t="str">
        <f t="shared" ca="1" si="717"/>
        <v/>
      </c>
      <c r="AO236" s="398">
        <f t="shared" ca="1" si="744"/>
        <v>1280</v>
      </c>
      <c r="AP236" s="400">
        <f ca="1">IF(MAX(IF($C$6="No",ROUNDUP($C$3/$I236,0),ROUNDUP(($C$3+$I236)/$I236,0)),IF($C$6="No",ROUNDUP($C$4/$G236,0),ROUNDUP(($C$4+$G236)/$G236,0)),ROUNDUP('BVMS checklist'!$H$217/$J236,0))&gt;1,'BVMS checklist'!$J$224,'BVMS checklist'!$J$217)+MAX(IF($C$6="No",ROUNDUP($C$3/$I236,0),ROUNDUP(($C$3+$I236)/$I236,0)),IF($C$6="No",ROUNDUP($C$4/$G236,0),ROUNDUP(($C$4+$G236)/$G236,0)))+$C$5</f>
        <v>1</v>
      </c>
      <c r="AQ236" s="400" t="b">
        <f t="shared" ca="1" si="706"/>
        <v>1</v>
      </c>
      <c r="AR236" s="400" t="str">
        <f t="shared" ca="1" si="745"/>
        <v>Accepted</v>
      </c>
      <c r="AS236" s="398" t="str">
        <f t="shared" ca="1" si="731"/>
        <v>No</v>
      </c>
      <c r="AT236" s="398" t="str">
        <f t="shared" ca="1" si="746"/>
        <v/>
      </c>
      <c r="AU236" s="398" t="str">
        <f t="shared" ca="1" si="718"/>
        <v/>
      </c>
      <c r="AV236" s="398">
        <f t="shared" ca="1" si="719"/>
        <v>6</v>
      </c>
      <c r="AW236" s="398">
        <f t="shared" ca="1" si="747"/>
        <v>2</v>
      </c>
      <c r="AX236" s="398">
        <f t="shared" ca="1" si="748"/>
        <v>1280</v>
      </c>
      <c r="AY236" s="398">
        <f t="shared" ca="1" si="749"/>
        <v>1117200</v>
      </c>
      <c r="AZ236" s="399">
        <f t="shared" si="694"/>
        <v>0</v>
      </c>
      <c r="BA236" s="399">
        <f t="shared" si="695"/>
        <v>0</v>
      </c>
      <c r="BB236" s="483" t="str">
        <f t="shared" ca="1" si="720"/>
        <v/>
      </c>
      <c r="BC236" s="400">
        <f ca="1">IF(MAX(IF($D$6="No",ROUNDUP($D$3/$I236,0),ROUNDUP(($D$3+$I236)/$I236,0)),IF($D$6="No",ROUNDUP($D$4/$G236,0),ROUNDUP(($D$4+$G236)/$G236,0)),ROUNDUP('BVMS checklist'!$H$217/$J236,0))&gt;1,'BVMS checklist'!$L$224,'BVMS checklist'!$L$217)</f>
        <v>0</v>
      </c>
      <c r="BD236" s="398">
        <f t="shared" ca="1" si="721"/>
        <v>2</v>
      </c>
      <c r="BE236" s="400">
        <f t="shared" si="750"/>
        <v>1</v>
      </c>
      <c r="BF236" s="400">
        <f t="shared" si="751"/>
        <v>2675</v>
      </c>
      <c r="BG236" s="400">
        <f t="shared" ca="1" si="732"/>
        <v>0</v>
      </c>
      <c r="BH236" s="398">
        <f t="shared" ca="1" si="752"/>
        <v>1117200</v>
      </c>
      <c r="BI236" s="401" t="str">
        <f t="shared" ca="1" si="722"/>
        <v/>
      </c>
      <c r="BJ236" s="398">
        <f t="shared" ca="1" si="753"/>
        <v>1280</v>
      </c>
      <c r="BK236" s="400">
        <f ca="1">IF(MAX(IF($D$6="No",ROUNDUP($D$3/$I236,0),ROUNDUP(($D$3+$I236)/$I236,0)),IF($D$6="No",ROUNDUP($D$4/$G236,0),ROUNDUP(($D$4+$G236)/$G236,0)),ROUNDUP('BVMS checklist'!$H$217/$J236,0))&gt;1,'BVMS checklist'!$L$224,'BVMS checklist'!$L$217)+MAX(IF($D$6="No",ROUNDUP($D$3/$I236,0),ROUNDUP(($D$3+$I236)/$I236,0)),IF($D$6="No",ROUNDUP($D$4/$G236,0),ROUNDUP(($D$4+$G236)/$G236,0)))+$D$5</f>
        <v>1</v>
      </c>
      <c r="BL236" s="400" t="b">
        <f t="shared" ca="1" si="707"/>
        <v>1</v>
      </c>
      <c r="BM236" s="400" t="str">
        <f t="shared" ca="1" si="754"/>
        <v>Accepted</v>
      </c>
      <c r="BN236" s="398" t="str">
        <f t="shared" ca="1" si="733"/>
        <v>No</v>
      </c>
      <c r="BO236" s="398" t="str">
        <f t="shared" ca="1" si="755"/>
        <v/>
      </c>
      <c r="BP236" s="398" t="str">
        <f t="shared" ca="1" si="723"/>
        <v/>
      </c>
      <c r="BQ236" s="398">
        <f t="shared" ca="1" si="724"/>
        <v>6</v>
      </c>
      <c r="BR236" s="398">
        <f t="shared" ca="1" si="756"/>
        <v>2</v>
      </c>
      <c r="BS236" s="398">
        <f t="shared" ca="1" si="757"/>
        <v>1280</v>
      </c>
      <c r="BT236" s="398">
        <f t="shared" ca="1" si="758"/>
        <v>1117200</v>
      </c>
      <c r="BU236" s="399">
        <f t="shared" si="696"/>
        <v>0</v>
      </c>
      <c r="BV236" s="399">
        <f t="shared" si="697"/>
        <v>0</v>
      </c>
      <c r="BW236" s="483" t="str">
        <f t="shared" ca="1" si="725"/>
        <v/>
      </c>
      <c r="BX236" s="400">
        <f ca="1">IF(MAX(IF($E$6="No",ROUNDUP($E$3/$I236,0),ROUNDUP(($E$3+$I236)/$I236,0)),IF($E$6="No",ROUNDUP($E$4/$G236,0),ROUNDUP(($E$4+$G236)/$G236,0)),ROUNDUP('BVMS checklist'!$H$217/$J236,0))&gt;1,'BVMS checklist'!$N$224,'BVMS checklist'!$N$217)</f>
        <v>0</v>
      </c>
      <c r="BY236" s="398">
        <f t="shared" ca="1" si="726"/>
        <v>2</v>
      </c>
      <c r="BZ236" s="400">
        <f t="shared" ca="1" si="759"/>
        <v>2</v>
      </c>
      <c r="CA236" s="400">
        <f t="shared" ca="1" si="760"/>
        <v>5350</v>
      </c>
      <c r="CB236" s="400">
        <f t="shared" ca="1" si="734"/>
        <v>0</v>
      </c>
      <c r="CC236" s="398">
        <f t="shared" ca="1" si="761"/>
        <v>1117200</v>
      </c>
      <c r="CD236" s="401" t="str">
        <f t="shared" ca="1" si="727"/>
        <v/>
      </c>
      <c r="CE236" s="398">
        <f t="shared" ca="1" si="762"/>
        <v>1280</v>
      </c>
      <c r="CF236" s="400">
        <f ca="1">IF(MAX(IF($E$6="No",ROUNDUP($E$3/$I236,0),ROUNDUP(($E$3+$I236)/$I236,0)),IF($E$6="No",ROUNDUP($E$4/$G236,0),ROUNDUP(($E$4+$G236)/$G236,0)),ROUNDUP('BVMS checklist'!$H$217/$J236,0))&gt;1,'BVMS checklist'!$N$224,'BVMS checklist'!$N$217)+MAX(IF($E$6="No",ROUNDUP($E$3/$I236,0),ROUNDUP(($E$3+$I236)/$I236,0)),IF($E$6="No",ROUNDUP($E$4/$G236,0),ROUNDUP(($E$4+$G236)/$G236,0)))+$E$5</f>
        <v>1</v>
      </c>
      <c r="CG236" s="400" t="b">
        <f t="shared" ca="1" si="708"/>
        <v>1</v>
      </c>
      <c r="CH236" s="400" t="str">
        <f t="shared" ca="1" si="763"/>
        <v>Accepted</v>
      </c>
      <c r="CI236" s="398" t="str">
        <f t="shared" ca="1" si="735"/>
        <v>No</v>
      </c>
      <c r="CJ236" s="398" t="str">
        <f t="shared" ca="1" si="764"/>
        <v/>
      </c>
      <c r="CK236" s="398" t="str">
        <f t="shared" ca="1" si="728"/>
        <v/>
      </c>
      <c r="CL236" s="398">
        <f t="shared" ca="1" si="729"/>
        <v>6</v>
      </c>
      <c r="CM236" s="398">
        <f t="shared" ca="1" si="765"/>
        <v>2</v>
      </c>
      <c r="CN236" s="398">
        <f t="shared" ca="1" si="766"/>
        <v>1280</v>
      </c>
      <c r="CO236" s="398">
        <f t="shared" ca="1" si="767"/>
        <v>1117200</v>
      </c>
      <c r="CP236" s="399">
        <f t="shared" si="698"/>
        <v>0</v>
      </c>
      <c r="CQ236" s="399">
        <f t="shared" si="699"/>
        <v>0</v>
      </c>
      <c r="CR236" s="483" t="str">
        <f t="shared" ca="1" si="730"/>
        <v/>
      </c>
      <c r="CS236"/>
    </row>
    <row r="237" spans="1:97">
      <c r="A237" s="398" t="s">
        <v>296</v>
      </c>
      <c r="B237" s="398" t="s">
        <v>987</v>
      </c>
      <c r="C237" s="440" t="s">
        <v>891</v>
      </c>
      <c r="D237" s="398">
        <v>1</v>
      </c>
      <c r="E237" s="398"/>
      <c r="F237" s="440">
        <v>0</v>
      </c>
      <c r="G237" s="398">
        <v>8375</v>
      </c>
      <c r="H237" s="399">
        <v>12</v>
      </c>
      <c r="I237" s="399">
        <v>550</v>
      </c>
      <c r="J237" s="399">
        <v>256</v>
      </c>
      <c r="K237" s="399"/>
      <c r="L237" s="399"/>
      <c r="M237" s="400">
        <f ca="1">IF(MAX(IF($B$6="No",ROUNDUP($B$3/$I237,0),ROUNDUP(($B$3+$I237)/$I237,0)),IF($B$6="No",ROUNDUP($B$4/$G237,0),ROUNDUP(($B$4+$G237)/$G237,0)),ROUNDUP('BVMS checklist'!$H$217/$J237,0))&gt;1,'BVMS checklist'!$H$224,'BVMS checklist'!$H$217)</f>
        <v>0</v>
      </c>
      <c r="N237" s="398">
        <f t="shared" ca="1" si="709"/>
        <v>2</v>
      </c>
      <c r="O237" s="400">
        <f t="shared" ca="1" si="736"/>
        <v>2</v>
      </c>
      <c r="P237" s="400">
        <f t="shared" ca="1" si="700"/>
        <v>1100</v>
      </c>
      <c r="Q237" s="400">
        <f t="shared" ca="1" si="701"/>
        <v>0</v>
      </c>
      <c r="R237" s="398">
        <f t="shared" ca="1" si="702"/>
        <v>16750</v>
      </c>
      <c r="S237" s="401" t="str">
        <f t="shared" ca="1" si="710"/>
        <v/>
      </c>
      <c r="T237" s="398">
        <f t="shared" ca="1" si="711"/>
        <v>512</v>
      </c>
      <c r="U237" s="400">
        <f ca="1">IF(MAX(IF($B$6="No",ROUNDUP($B$3/$I237,0),ROUNDUP(($B$3+$I237)/$I237,0)),IF($B$6="No",ROUNDUP($B$4/$G237,0),ROUNDUP(($B$4+$G237)/$G237,0)),ROUNDUP('BVMS checklist'!$H$217/$J237,0))&gt;1,'BVMS checklist'!$H$224,'BVMS checklist'!$H$217)+MAX(IF($B$6="No",ROUNDUP($B$3/$I237,0),ROUNDUP(($B$3+$I237)/$I237,0)),IF($B$6="No",ROUNDUP($B$4/$G237,0),ROUNDUP(($B$4+$G237)/$G237,0)))+$B$5</f>
        <v>1</v>
      </c>
      <c r="V237" s="400" t="b">
        <f t="shared" ca="1" si="703"/>
        <v>1</v>
      </c>
      <c r="W237" s="400" t="str">
        <f t="shared" ca="1" si="737"/>
        <v>Accepted</v>
      </c>
      <c r="X237" s="398" t="str">
        <f t="shared" ca="1" si="712"/>
        <v>No</v>
      </c>
      <c r="Y237" s="398" t="str">
        <f t="shared" ca="1" si="713"/>
        <v/>
      </c>
      <c r="Z237" s="398" t="str">
        <f t="shared" ca="1" si="714"/>
        <v/>
      </c>
      <c r="AA237" s="398">
        <f t="shared" ca="1" si="738"/>
        <v>6</v>
      </c>
      <c r="AB237" s="398">
        <f t="shared" ca="1" si="704"/>
        <v>2</v>
      </c>
      <c r="AC237" s="398">
        <f t="shared" ca="1" si="705"/>
        <v>24</v>
      </c>
      <c r="AD237" s="398">
        <f t="shared" ca="1" si="739"/>
        <v>16750</v>
      </c>
      <c r="AE237" s="399">
        <f t="shared" si="692"/>
        <v>0</v>
      </c>
      <c r="AF237" s="399">
        <f t="shared" si="693"/>
        <v>0</v>
      </c>
      <c r="AG237" s="483" t="str">
        <f t="shared" ca="1" si="715"/>
        <v/>
      </c>
      <c r="AH237" s="400">
        <f ca="1">IF(MAX(IF($C$6="No",ROUNDUP($C$3/$I237,0),ROUNDUP(($C$3+$I237)/$I237,0)),IF($C$6="No",ROUNDUP($C$4/$G237,0),ROUNDUP(($C$4+$G237)/$G237,0)),ROUNDUP('BVMS checklist'!$H$217/$J237,0))&gt;1,'BVMS checklist'!$J$224,'BVMS checklist'!$J$217)</f>
        <v>0</v>
      </c>
      <c r="AI237" s="398">
        <f t="shared" ca="1" si="716"/>
        <v>2</v>
      </c>
      <c r="AJ237" s="400">
        <f t="shared" ca="1" si="740"/>
        <v>2</v>
      </c>
      <c r="AK237" s="400">
        <f t="shared" ca="1" si="741"/>
        <v>1100</v>
      </c>
      <c r="AL237" s="400">
        <f t="shared" ca="1" si="742"/>
        <v>0</v>
      </c>
      <c r="AM237" s="398">
        <f t="shared" ca="1" si="743"/>
        <v>16750</v>
      </c>
      <c r="AN237" s="401" t="str">
        <f t="shared" ca="1" si="717"/>
        <v/>
      </c>
      <c r="AO237" s="398">
        <f t="shared" ca="1" si="744"/>
        <v>512</v>
      </c>
      <c r="AP237" s="400">
        <f ca="1">IF(MAX(IF($C$6="No",ROUNDUP($C$3/$I237,0),ROUNDUP(($C$3+$I237)/$I237,0)),IF($C$6="No",ROUNDUP($C$4/$G237,0),ROUNDUP(($C$4+$G237)/$G237,0)),ROUNDUP('BVMS checklist'!$H$217/$J237,0))&gt;1,'BVMS checklist'!$J$224,'BVMS checklist'!$J$217)+MAX(IF($C$6="No",ROUNDUP($C$3/$I237,0),ROUNDUP(($C$3+$I237)/$I237,0)),IF($C$6="No",ROUNDUP($C$4/$G237,0),ROUNDUP(($C$4+$G237)/$G237,0)))+$C$5</f>
        <v>1</v>
      </c>
      <c r="AQ237" s="400" t="b">
        <f t="shared" ca="1" si="706"/>
        <v>1</v>
      </c>
      <c r="AR237" s="400" t="str">
        <f t="shared" ca="1" si="745"/>
        <v>Accepted</v>
      </c>
      <c r="AS237" s="398" t="str">
        <f t="shared" ca="1" si="731"/>
        <v>No</v>
      </c>
      <c r="AT237" s="398" t="str">
        <f t="shared" ca="1" si="746"/>
        <v/>
      </c>
      <c r="AU237" s="398" t="str">
        <f t="shared" ca="1" si="718"/>
        <v/>
      </c>
      <c r="AV237" s="398">
        <f t="shared" ca="1" si="719"/>
        <v>6</v>
      </c>
      <c r="AW237" s="398">
        <f t="shared" ca="1" si="747"/>
        <v>2</v>
      </c>
      <c r="AX237" s="398">
        <f t="shared" ca="1" si="748"/>
        <v>24</v>
      </c>
      <c r="AY237" s="398">
        <f t="shared" ca="1" si="749"/>
        <v>16750</v>
      </c>
      <c r="AZ237" s="399">
        <f t="shared" si="694"/>
        <v>0</v>
      </c>
      <c r="BA237" s="399">
        <f t="shared" si="695"/>
        <v>0</v>
      </c>
      <c r="BB237" s="483" t="str">
        <f t="shared" ca="1" si="720"/>
        <v/>
      </c>
      <c r="BC237" s="400">
        <f ca="1">IF(MAX(IF($D$6="No",ROUNDUP($D$3/$I237,0),ROUNDUP(($D$3+$I237)/$I237,0)),IF($D$6="No",ROUNDUP($D$4/$G237,0),ROUNDUP(($D$4+$G237)/$G237,0)),ROUNDUP('BVMS checklist'!$H$217/$J237,0))&gt;1,'BVMS checklist'!$L$224,'BVMS checklist'!$L$217)</f>
        <v>0</v>
      </c>
      <c r="BD237" s="398">
        <f t="shared" ca="1" si="721"/>
        <v>2</v>
      </c>
      <c r="BE237" s="400">
        <f t="shared" si="750"/>
        <v>1</v>
      </c>
      <c r="BF237" s="400">
        <f t="shared" si="751"/>
        <v>550</v>
      </c>
      <c r="BG237" s="400">
        <f t="shared" ca="1" si="732"/>
        <v>0</v>
      </c>
      <c r="BH237" s="398">
        <f t="shared" ca="1" si="752"/>
        <v>16750</v>
      </c>
      <c r="BI237" s="401" t="str">
        <f t="shared" ca="1" si="722"/>
        <v/>
      </c>
      <c r="BJ237" s="398">
        <f t="shared" ca="1" si="753"/>
        <v>512</v>
      </c>
      <c r="BK237" s="400">
        <f ca="1">IF(MAX(IF($D$6="No",ROUNDUP($D$3/$I237,0),ROUNDUP(($D$3+$I237)/$I237,0)),IF($D$6="No",ROUNDUP($D$4/$G237,0),ROUNDUP(($D$4+$G237)/$G237,0)),ROUNDUP('BVMS checklist'!$H$217/$J237,0))&gt;1,'BVMS checklist'!$L$224,'BVMS checklist'!$L$217)+MAX(IF($D$6="No",ROUNDUP($D$3/$I237,0),ROUNDUP(($D$3+$I237)/$I237,0)),IF($D$6="No",ROUNDUP($D$4/$G237,0),ROUNDUP(($D$4+$G237)/$G237,0)))+$D$5</f>
        <v>1</v>
      </c>
      <c r="BL237" s="400" t="b">
        <f t="shared" ca="1" si="707"/>
        <v>1</v>
      </c>
      <c r="BM237" s="400" t="str">
        <f t="shared" ca="1" si="754"/>
        <v>Accepted</v>
      </c>
      <c r="BN237" s="398" t="str">
        <f t="shared" ca="1" si="733"/>
        <v>No</v>
      </c>
      <c r="BO237" s="398" t="str">
        <f t="shared" ca="1" si="755"/>
        <v/>
      </c>
      <c r="BP237" s="398" t="str">
        <f t="shared" ca="1" si="723"/>
        <v/>
      </c>
      <c r="BQ237" s="398">
        <f t="shared" ca="1" si="724"/>
        <v>6</v>
      </c>
      <c r="BR237" s="398">
        <f t="shared" ca="1" si="756"/>
        <v>2</v>
      </c>
      <c r="BS237" s="398">
        <f t="shared" ca="1" si="757"/>
        <v>24</v>
      </c>
      <c r="BT237" s="398">
        <f t="shared" ca="1" si="758"/>
        <v>16750</v>
      </c>
      <c r="BU237" s="399">
        <f t="shared" si="696"/>
        <v>0</v>
      </c>
      <c r="BV237" s="399">
        <f t="shared" si="697"/>
        <v>0</v>
      </c>
      <c r="BW237" s="483" t="str">
        <f t="shared" ca="1" si="725"/>
        <v/>
      </c>
      <c r="BX237" s="400">
        <f ca="1">IF(MAX(IF($E$6="No",ROUNDUP($E$3/$I237,0),ROUNDUP(($E$3+$I237)/$I237,0)),IF($E$6="No",ROUNDUP($E$4/$G237,0),ROUNDUP(($E$4+$G237)/$G237,0)),ROUNDUP('BVMS checklist'!$H$217/$J237,0))&gt;1,'BVMS checklist'!$N$224,'BVMS checklist'!$N$217)</f>
        <v>0</v>
      </c>
      <c r="BY237" s="398">
        <f t="shared" ca="1" si="726"/>
        <v>2</v>
      </c>
      <c r="BZ237" s="400">
        <f t="shared" ca="1" si="759"/>
        <v>2</v>
      </c>
      <c r="CA237" s="400">
        <f t="shared" ca="1" si="760"/>
        <v>1100</v>
      </c>
      <c r="CB237" s="400">
        <f t="shared" ca="1" si="734"/>
        <v>0</v>
      </c>
      <c r="CC237" s="398">
        <f t="shared" ca="1" si="761"/>
        <v>16750</v>
      </c>
      <c r="CD237" s="401" t="str">
        <f t="shared" ca="1" si="727"/>
        <v/>
      </c>
      <c r="CE237" s="398">
        <f t="shared" ca="1" si="762"/>
        <v>512</v>
      </c>
      <c r="CF237" s="400">
        <f ca="1">IF(MAX(IF($E$6="No",ROUNDUP($E$3/$I237,0),ROUNDUP(($E$3+$I237)/$I237,0)),IF($E$6="No",ROUNDUP($E$4/$G237,0),ROUNDUP(($E$4+$G237)/$G237,0)),ROUNDUP('BVMS checklist'!$H$217/$J237,0))&gt;1,'BVMS checklist'!$N$224,'BVMS checklist'!$N$217)+MAX(IF($E$6="No",ROUNDUP($E$3/$I237,0),ROUNDUP(($E$3+$I237)/$I237,0)),IF($E$6="No",ROUNDUP($E$4/$G237,0),ROUNDUP(($E$4+$G237)/$G237,0)))+$E$5</f>
        <v>1</v>
      </c>
      <c r="CG237" s="400" t="b">
        <f t="shared" ca="1" si="708"/>
        <v>1</v>
      </c>
      <c r="CH237" s="400" t="str">
        <f t="shared" ca="1" si="763"/>
        <v>Accepted</v>
      </c>
      <c r="CI237" s="398" t="str">
        <f t="shared" ca="1" si="735"/>
        <v>No</v>
      </c>
      <c r="CJ237" s="398" t="str">
        <f t="shared" ca="1" si="764"/>
        <v/>
      </c>
      <c r="CK237" s="398" t="str">
        <f t="shared" ca="1" si="728"/>
        <v/>
      </c>
      <c r="CL237" s="398">
        <f t="shared" ca="1" si="729"/>
        <v>6</v>
      </c>
      <c r="CM237" s="398">
        <f t="shared" ca="1" si="765"/>
        <v>2</v>
      </c>
      <c r="CN237" s="398">
        <f t="shared" ca="1" si="766"/>
        <v>24</v>
      </c>
      <c r="CO237" s="398">
        <f t="shared" ca="1" si="767"/>
        <v>16750</v>
      </c>
      <c r="CP237" s="399">
        <f t="shared" si="698"/>
        <v>0</v>
      </c>
      <c r="CQ237" s="399">
        <f t="shared" si="699"/>
        <v>0</v>
      </c>
      <c r="CR237" s="483" t="str">
        <f t="shared" ca="1" si="730"/>
        <v/>
      </c>
      <c r="CS237"/>
    </row>
    <row r="238" spans="1:97">
      <c r="A238" s="398" t="s">
        <v>339</v>
      </c>
      <c r="B238" s="398" t="s">
        <v>987</v>
      </c>
      <c r="C238" s="440" t="s">
        <v>891</v>
      </c>
      <c r="D238" s="398">
        <v>1</v>
      </c>
      <c r="E238" s="398"/>
      <c r="F238" s="440">
        <v>0</v>
      </c>
      <c r="G238" s="398">
        <f>IF(C238="RAID5",(7-F238)*2793,(6-F238)*2793)</f>
        <v>19551</v>
      </c>
      <c r="H238" s="399">
        <v>24</v>
      </c>
      <c r="I238" s="399">
        <v>550</v>
      </c>
      <c r="J238" s="399">
        <v>256</v>
      </c>
      <c r="K238" s="399"/>
      <c r="L238" s="399"/>
      <c r="M238" s="400">
        <f ca="1">IF(MAX(IF($B$6="No",ROUNDUP($B$3/$I238,0),ROUNDUP(($B$3+$I238)/$I238,0)),IF($B$6="No",ROUNDUP($B$4/$G238,0),ROUNDUP(($B$4+$G238)/$G238,0)),ROUNDUP('BVMS checklist'!$H$217/$J238,0))&gt;1,'BVMS checklist'!$H$224,'BVMS checklist'!$H$217)</f>
        <v>0</v>
      </c>
      <c r="N238" s="398">
        <f t="shared" ca="1" si="709"/>
        <v>2</v>
      </c>
      <c r="O238" s="400">
        <f t="shared" ca="1" si="736"/>
        <v>2</v>
      </c>
      <c r="P238" s="400">
        <f t="shared" ca="1" si="700"/>
        <v>1100</v>
      </c>
      <c r="Q238" s="400">
        <f t="shared" ca="1" si="701"/>
        <v>0</v>
      </c>
      <c r="R238" s="398">
        <f t="shared" ca="1" si="702"/>
        <v>39102</v>
      </c>
      <c r="S238" s="401" t="str">
        <f t="shared" ca="1" si="710"/>
        <v/>
      </c>
      <c r="T238" s="398">
        <f t="shared" ca="1" si="711"/>
        <v>512</v>
      </c>
      <c r="U238" s="400">
        <f ca="1">IF(MAX(IF($B$6="No",ROUNDUP($B$3/$I238,0),ROUNDUP(($B$3+$I238)/$I238,0)),IF($B$6="No",ROUNDUP($B$4/$G238,0),ROUNDUP(($B$4+$G238)/$G238,0)),ROUNDUP('BVMS checklist'!$H$217/$J238,0))&gt;1,'BVMS checklist'!$H$224,'BVMS checklist'!$H$217)+MAX(IF($B$6="No",ROUNDUP($B$3/$I238,0),ROUNDUP(($B$3+$I238)/$I238,0)),IF($B$6="No",ROUNDUP($B$4/$G238,0),ROUNDUP(($B$4+$G238)/$G238,0)))+$B$5</f>
        <v>1</v>
      </c>
      <c r="V238" s="400" t="b">
        <f t="shared" ca="1" si="703"/>
        <v>1</v>
      </c>
      <c r="W238" s="400" t="str">
        <f t="shared" ca="1" si="737"/>
        <v>Accepted</v>
      </c>
      <c r="X238" s="398" t="str">
        <f t="shared" ca="1" si="712"/>
        <v>No</v>
      </c>
      <c r="Y238" s="398" t="str">
        <f t="shared" ca="1" si="713"/>
        <v/>
      </c>
      <c r="Z238" s="398" t="str">
        <f t="shared" ca="1" si="714"/>
        <v/>
      </c>
      <c r="AA238" s="398">
        <f t="shared" ca="1" si="738"/>
        <v>6</v>
      </c>
      <c r="AB238" s="398">
        <f t="shared" ca="1" si="704"/>
        <v>2</v>
      </c>
      <c r="AC238" s="398">
        <f t="shared" ca="1" si="705"/>
        <v>48</v>
      </c>
      <c r="AD238" s="398">
        <f t="shared" ca="1" si="739"/>
        <v>39102</v>
      </c>
      <c r="AE238" s="399">
        <f t="shared" si="692"/>
        <v>0</v>
      </c>
      <c r="AF238" s="399">
        <f t="shared" si="693"/>
        <v>0</v>
      </c>
      <c r="AG238" s="483" t="str">
        <f t="shared" ca="1" si="715"/>
        <v/>
      </c>
      <c r="AH238" s="400">
        <f ca="1">IF(MAX(IF($C$6="No",ROUNDUP($C$3/$I238,0),ROUNDUP(($C$3+$I238)/$I238,0)),IF($C$6="No",ROUNDUP($C$4/$G238,0),ROUNDUP(($C$4+$G238)/$G238,0)),ROUNDUP('BVMS checklist'!$H$217/$J238,0))&gt;1,'BVMS checklist'!$J$224,'BVMS checklist'!$J$217)</f>
        <v>0</v>
      </c>
      <c r="AI238" s="398">
        <f t="shared" ca="1" si="716"/>
        <v>2</v>
      </c>
      <c r="AJ238" s="400">
        <f t="shared" ca="1" si="740"/>
        <v>2</v>
      </c>
      <c r="AK238" s="400">
        <f t="shared" ca="1" si="741"/>
        <v>1100</v>
      </c>
      <c r="AL238" s="400">
        <f t="shared" ca="1" si="742"/>
        <v>0</v>
      </c>
      <c r="AM238" s="398">
        <f t="shared" ca="1" si="743"/>
        <v>39102</v>
      </c>
      <c r="AN238" s="401" t="str">
        <f t="shared" ca="1" si="717"/>
        <v/>
      </c>
      <c r="AO238" s="398">
        <f t="shared" ca="1" si="744"/>
        <v>512</v>
      </c>
      <c r="AP238" s="400">
        <f ca="1">IF(MAX(IF($C$6="No",ROUNDUP($C$3/$I238,0),ROUNDUP(($C$3+$I238)/$I238,0)),IF($C$6="No",ROUNDUP($C$4/$G238,0),ROUNDUP(($C$4+$G238)/$G238,0)),ROUNDUP('BVMS checklist'!$H$217/$J238,0))&gt;1,'BVMS checklist'!$J$224,'BVMS checklist'!$J$217)+MAX(IF($C$6="No",ROUNDUP($C$3/$I238,0),ROUNDUP(($C$3+$I238)/$I238,0)),IF($C$6="No",ROUNDUP($C$4/$G238,0),ROUNDUP(($C$4+$G238)/$G238,0)))+$C$5</f>
        <v>1</v>
      </c>
      <c r="AQ238" s="400" t="b">
        <f t="shared" ca="1" si="706"/>
        <v>1</v>
      </c>
      <c r="AR238" s="400" t="str">
        <f t="shared" ca="1" si="745"/>
        <v>Accepted</v>
      </c>
      <c r="AS238" s="398" t="str">
        <f t="shared" ca="1" si="731"/>
        <v>No</v>
      </c>
      <c r="AT238" s="398" t="str">
        <f t="shared" ca="1" si="746"/>
        <v/>
      </c>
      <c r="AU238" s="398" t="str">
        <f t="shared" ca="1" si="718"/>
        <v/>
      </c>
      <c r="AV238" s="398">
        <f t="shared" ca="1" si="719"/>
        <v>6</v>
      </c>
      <c r="AW238" s="398">
        <f t="shared" ca="1" si="747"/>
        <v>2</v>
      </c>
      <c r="AX238" s="398">
        <f t="shared" ca="1" si="748"/>
        <v>48</v>
      </c>
      <c r="AY238" s="398">
        <f t="shared" ca="1" si="749"/>
        <v>39102</v>
      </c>
      <c r="AZ238" s="399">
        <f t="shared" si="694"/>
        <v>0</v>
      </c>
      <c r="BA238" s="399">
        <f t="shared" si="695"/>
        <v>0</v>
      </c>
      <c r="BB238" s="483" t="str">
        <f t="shared" ca="1" si="720"/>
        <v/>
      </c>
      <c r="BC238" s="400">
        <f ca="1">IF(MAX(IF($D$6="No",ROUNDUP($D$3/$I238,0),ROUNDUP(($D$3+$I238)/$I238,0)),IF($D$6="No",ROUNDUP($D$4/$G238,0),ROUNDUP(($D$4+$G238)/$G238,0)),ROUNDUP('BVMS checklist'!$H$217/$J238,0))&gt;1,'BVMS checklist'!$L$224,'BVMS checklist'!$L$217)</f>
        <v>0</v>
      </c>
      <c r="BD238" s="398">
        <f t="shared" ca="1" si="721"/>
        <v>2</v>
      </c>
      <c r="BE238" s="400">
        <f t="shared" si="750"/>
        <v>1</v>
      </c>
      <c r="BF238" s="400">
        <f t="shared" si="751"/>
        <v>550</v>
      </c>
      <c r="BG238" s="400">
        <f t="shared" ca="1" si="732"/>
        <v>0</v>
      </c>
      <c r="BH238" s="398">
        <f t="shared" ca="1" si="752"/>
        <v>39102</v>
      </c>
      <c r="BI238" s="401" t="str">
        <f t="shared" ca="1" si="722"/>
        <v/>
      </c>
      <c r="BJ238" s="398">
        <f t="shared" ca="1" si="753"/>
        <v>512</v>
      </c>
      <c r="BK238" s="400">
        <f ca="1">IF(MAX(IF($D$6="No",ROUNDUP($D$3/$I238,0),ROUNDUP(($D$3+$I238)/$I238,0)),IF($D$6="No",ROUNDUP($D$4/$G238,0),ROUNDUP(($D$4+$G238)/$G238,0)),ROUNDUP('BVMS checklist'!$H$217/$J238,0))&gt;1,'BVMS checklist'!$L$224,'BVMS checklist'!$L$217)+MAX(IF($D$6="No",ROUNDUP($D$3/$I238,0),ROUNDUP(($D$3+$I238)/$I238,0)),IF($D$6="No",ROUNDUP($D$4/$G238,0),ROUNDUP(($D$4+$G238)/$G238,0)))+$D$5</f>
        <v>1</v>
      </c>
      <c r="BL238" s="400" t="b">
        <f t="shared" ca="1" si="707"/>
        <v>1</v>
      </c>
      <c r="BM238" s="400" t="str">
        <f t="shared" ca="1" si="754"/>
        <v>Accepted</v>
      </c>
      <c r="BN238" s="398" t="str">
        <f t="shared" ca="1" si="733"/>
        <v>No</v>
      </c>
      <c r="BO238" s="398" t="str">
        <f t="shared" ca="1" si="755"/>
        <v/>
      </c>
      <c r="BP238" s="398" t="str">
        <f t="shared" ca="1" si="723"/>
        <v/>
      </c>
      <c r="BQ238" s="398">
        <f t="shared" ca="1" si="724"/>
        <v>6</v>
      </c>
      <c r="BR238" s="398">
        <f t="shared" ca="1" si="756"/>
        <v>2</v>
      </c>
      <c r="BS238" s="398">
        <f t="shared" ca="1" si="757"/>
        <v>48</v>
      </c>
      <c r="BT238" s="398">
        <f t="shared" ca="1" si="758"/>
        <v>39102</v>
      </c>
      <c r="BU238" s="399">
        <f t="shared" si="696"/>
        <v>0</v>
      </c>
      <c r="BV238" s="399">
        <f t="shared" si="697"/>
        <v>0</v>
      </c>
      <c r="BW238" s="483" t="str">
        <f t="shared" ca="1" si="725"/>
        <v/>
      </c>
      <c r="BX238" s="400">
        <f ca="1">IF(MAX(IF($E$6="No",ROUNDUP($E$3/$I238,0),ROUNDUP(($E$3+$I238)/$I238,0)),IF($E$6="No",ROUNDUP($E$4/$G238,0),ROUNDUP(($E$4+$G238)/$G238,0)),ROUNDUP('BVMS checklist'!$H$217/$J238,0))&gt;1,'BVMS checklist'!$N$224,'BVMS checklist'!$N$217)</f>
        <v>0</v>
      </c>
      <c r="BY238" s="398">
        <f t="shared" ca="1" si="726"/>
        <v>2</v>
      </c>
      <c r="BZ238" s="400">
        <f t="shared" ca="1" si="759"/>
        <v>2</v>
      </c>
      <c r="CA238" s="400">
        <f t="shared" ca="1" si="760"/>
        <v>1100</v>
      </c>
      <c r="CB238" s="400">
        <f t="shared" ca="1" si="734"/>
        <v>0</v>
      </c>
      <c r="CC238" s="398">
        <f t="shared" ca="1" si="761"/>
        <v>39102</v>
      </c>
      <c r="CD238" s="401" t="str">
        <f t="shared" ca="1" si="727"/>
        <v/>
      </c>
      <c r="CE238" s="398">
        <f t="shared" ca="1" si="762"/>
        <v>512</v>
      </c>
      <c r="CF238" s="400">
        <f ca="1">IF(MAX(IF($E$6="No",ROUNDUP($E$3/$I238,0),ROUNDUP(($E$3+$I238)/$I238,0)),IF($E$6="No",ROUNDUP($E$4/$G238,0),ROUNDUP(($E$4+$G238)/$G238,0)),ROUNDUP('BVMS checklist'!$H$217/$J238,0))&gt;1,'BVMS checklist'!$N$224,'BVMS checklist'!$N$217)+MAX(IF($E$6="No",ROUNDUP($E$3/$I238,0),ROUNDUP(($E$3+$I238)/$I238,0)),IF($E$6="No",ROUNDUP($E$4/$G238,0),ROUNDUP(($E$4+$G238)/$G238,0)))+$E$5</f>
        <v>1</v>
      </c>
      <c r="CG238" s="400" t="b">
        <f t="shared" ca="1" si="708"/>
        <v>1</v>
      </c>
      <c r="CH238" s="400" t="str">
        <f t="shared" ca="1" si="763"/>
        <v>Accepted</v>
      </c>
      <c r="CI238" s="398" t="str">
        <f t="shared" ca="1" si="735"/>
        <v>No</v>
      </c>
      <c r="CJ238" s="398" t="str">
        <f t="shared" ca="1" si="764"/>
        <v/>
      </c>
      <c r="CK238" s="398" t="str">
        <f t="shared" ca="1" si="728"/>
        <v/>
      </c>
      <c r="CL238" s="398">
        <f t="shared" ca="1" si="729"/>
        <v>6</v>
      </c>
      <c r="CM238" s="398">
        <f t="shared" ca="1" si="765"/>
        <v>2</v>
      </c>
      <c r="CN238" s="398">
        <f t="shared" ca="1" si="766"/>
        <v>48</v>
      </c>
      <c r="CO238" s="398">
        <f t="shared" ca="1" si="767"/>
        <v>39102</v>
      </c>
      <c r="CP238" s="399">
        <f t="shared" si="698"/>
        <v>0</v>
      </c>
      <c r="CQ238" s="399">
        <f t="shared" si="699"/>
        <v>0</v>
      </c>
      <c r="CR238" s="483" t="str">
        <f t="shared" ca="1" si="730"/>
        <v/>
      </c>
      <c r="CS238"/>
    </row>
    <row r="239" spans="1:97">
      <c r="A239" s="398" t="s">
        <v>297</v>
      </c>
      <c r="B239" s="398" t="s">
        <v>987</v>
      </c>
      <c r="C239" s="440" t="s">
        <v>891</v>
      </c>
      <c r="D239" s="398">
        <v>1</v>
      </c>
      <c r="E239" s="398"/>
      <c r="F239" s="440">
        <v>0</v>
      </c>
      <c r="G239" s="398">
        <f>IF(C239="RAID5",(15-F239)*2792,(14-F239)*2792)</f>
        <v>41880</v>
      </c>
      <c r="H239" s="399">
        <v>48</v>
      </c>
      <c r="I239" s="399">
        <v>550</v>
      </c>
      <c r="J239" s="399">
        <v>256</v>
      </c>
      <c r="K239" s="399"/>
      <c r="L239" s="399"/>
      <c r="M239" s="400">
        <f ca="1">IF(MAX(IF($B$6="No",ROUNDUP($B$3/$I239,0),ROUNDUP(($B$3+$I239)/$I239,0)),IF($B$6="No",ROUNDUP($B$4/$G239,0),ROUNDUP(($B$4+$G239)/$G239,0)),ROUNDUP('BVMS checklist'!$H$217/$J239,0))&gt;1,'BVMS checklist'!$H$224,'BVMS checklist'!$H$217)</f>
        <v>0</v>
      </c>
      <c r="N239" s="398">
        <f t="shared" ca="1" si="709"/>
        <v>2</v>
      </c>
      <c r="O239" s="400">
        <f t="shared" ca="1" si="736"/>
        <v>2</v>
      </c>
      <c r="P239" s="400">
        <f t="shared" ca="1" si="700"/>
        <v>1100</v>
      </c>
      <c r="Q239" s="400">
        <f t="shared" ca="1" si="701"/>
        <v>0</v>
      </c>
      <c r="R239" s="398">
        <f t="shared" ca="1" si="702"/>
        <v>83760</v>
      </c>
      <c r="S239" s="401" t="str">
        <f t="shared" ca="1" si="710"/>
        <v/>
      </c>
      <c r="T239" s="398">
        <f t="shared" ca="1" si="711"/>
        <v>512</v>
      </c>
      <c r="U239" s="400">
        <f ca="1">IF(MAX(IF($B$6="No",ROUNDUP($B$3/$I239,0),ROUNDUP(($B$3+$I239)/$I239,0)),IF($B$6="No",ROUNDUP($B$4/$G239,0),ROUNDUP(($B$4+$G239)/$G239,0)),ROUNDUP('BVMS checklist'!$H$217/$J239,0))&gt;1,'BVMS checklist'!$H$224,'BVMS checklist'!$H$217)+MAX(IF($B$6="No",ROUNDUP($B$3/$I239,0),ROUNDUP(($B$3+$I239)/$I239,0)),IF($B$6="No",ROUNDUP($B$4/$G239,0),ROUNDUP(($B$4+$G239)/$G239,0)))+$B$5</f>
        <v>1</v>
      </c>
      <c r="V239" s="400" t="b">
        <f t="shared" ca="1" si="703"/>
        <v>1</v>
      </c>
      <c r="W239" s="400" t="str">
        <f t="shared" ca="1" si="737"/>
        <v>Accepted</v>
      </c>
      <c r="X239" s="398" t="str">
        <f t="shared" ca="1" si="712"/>
        <v>No</v>
      </c>
      <c r="Y239" s="398" t="str">
        <f t="shared" ca="1" si="713"/>
        <v/>
      </c>
      <c r="Z239" s="398" t="str">
        <f t="shared" ca="1" si="714"/>
        <v/>
      </c>
      <c r="AA239" s="398">
        <f t="shared" ca="1" si="738"/>
        <v>6</v>
      </c>
      <c r="AB239" s="398">
        <f t="shared" ca="1" si="704"/>
        <v>2</v>
      </c>
      <c r="AC239" s="398">
        <f t="shared" ca="1" si="705"/>
        <v>96</v>
      </c>
      <c r="AD239" s="398">
        <f t="shared" ca="1" si="739"/>
        <v>83760</v>
      </c>
      <c r="AE239" s="399">
        <f t="shared" si="692"/>
        <v>0</v>
      </c>
      <c r="AF239" s="399">
        <f t="shared" si="693"/>
        <v>0</v>
      </c>
      <c r="AG239" s="483" t="str">
        <f t="shared" ca="1" si="715"/>
        <v/>
      </c>
      <c r="AH239" s="400">
        <f ca="1">IF(MAX(IF($C$6="No",ROUNDUP($C$3/$I239,0),ROUNDUP(($C$3+$I239)/$I239,0)),IF($C$6="No",ROUNDUP($C$4/$G239,0),ROUNDUP(($C$4+$G239)/$G239,0)),ROUNDUP('BVMS checklist'!$H$217/$J239,0))&gt;1,'BVMS checklist'!$J$224,'BVMS checklist'!$J$217)</f>
        <v>0</v>
      </c>
      <c r="AI239" s="398">
        <f t="shared" ca="1" si="716"/>
        <v>2</v>
      </c>
      <c r="AJ239" s="400">
        <f t="shared" ca="1" si="740"/>
        <v>2</v>
      </c>
      <c r="AK239" s="400">
        <f t="shared" ca="1" si="741"/>
        <v>1100</v>
      </c>
      <c r="AL239" s="400">
        <f t="shared" ca="1" si="742"/>
        <v>0</v>
      </c>
      <c r="AM239" s="398">
        <f t="shared" ca="1" si="743"/>
        <v>83760</v>
      </c>
      <c r="AN239" s="401" t="str">
        <f t="shared" ca="1" si="717"/>
        <v/>
      </c>
      <c r="AO239" s="398">
        <f t="shared" ca="1" si="744"/>
        <v>512</v>
      </c>
      <c r="AP239" s="400">
        <f ca="1">IF(MAX(IF($C$6="No",ROUNDUP($C$3/$I239,0),ROUNDUP(($C$3+$I239)/$I239,0)),IF($C$6="No",ROUNDUP($C$4/$G239,0),ROUNDUP(($C$4+$G239)/$G239,0)),ROUNDUP('BVMS checklist'!$H$217/$J239,0))&gt;1,'BVMS checklist'!$J$224,'BVMS checklist'!$J$217)+MAX(IF($C$6="No",ROUNDUP($C$3/$I239,0),ROUNDUP(($C$3+$I239)/$I239,0)),IF($C$6="No",ROUNDUP($C$4/$G239,0),ROUNDUP(($C$4+$G239)/$G239,0)))+$C$5</f>
        <v>1</v>
      </c>
      <c r="AQ239" s="400" t="b">
        <f t="shared" ca="1" si="706"/>
        <v>1</v>
      </c>
      <c r="AR239" s="400" t="str">
        <f t="shared" ca="1" si="745"/>
        <v>Accepted</v>
      </c>
      <c r="AS239" s="398" t="str">
        <f t="shared" ca="1" si="731"/>
        <v>No</v>
      </c>
      <c r="AT239" s="398" t="str">
        <f t="shared" ca="1" si="746"/>
        <v/>
      </c>
      <c r="AU239" s="398" t="str">
        <f t="shared" ca="1" si="718"/>
        <v/>
      </c>
      <c r="AV239" s="398">
        <f t="shared" ca="1" si="719"/>
        <v>6</v>
      </c>
      <c r="AW239" s="398">
        <f t="shared" ca="1" si="747"/>
        <v>2</v>
      </c>
      <c r="AX239" s="398">
        <f t="shared" ca="1" si="748"/>
        <v>96</v>
      </c>
      <c r="AY239" s="398">
        <f t="shared" ca="1" si="749"/>
        <v>83760</v>
      </c>
      <c r="AZ239" s="399">
        <f t="shared" si="694"/>
        <v>0</v>
      </c>
      <c r="BA239" s="399">
        <f t="shared" si="695"/>
        <v>0</v>
      </c>
      <c r="BB239" s="483" t="str">
        <f t="shared" ca="1" si="720"/>
        <v/>
      </c>
      <c r="BC239" s="400">
        <f ca="1">IF(MAX(IF($D$6="No",ROUNDUP($D$3/$I239,0),ROUNDUP(($D$3+$I239)/$I239,0)),IF($D$6="No",ROUNDUP($D$4/$G239,0),ROUNDUP(($D$4+$G239)/$G239,0)),ROUNDUP('BVMS checklist'!$H$217/$J239,0))&gt;1,'BVMS checklist'!$L$224,'BVMS checklist'!$L$217)</f>
        <v>0</v>
      </c>
      <c r="BD239" s="398">
        <f t="shared" ca="1" si="721"/>
        <v>2</v>
      </c>
      <c r="BE239" s="400">
        <f t="shared" si="750"/>
        <v>1</v>
      </c>
      <c r="BF239" s="400">
        <f t="shared" si="751"/>
        <v>550</v>
      </c>
      <c r="BG239" s="400">
        <f t="shared" ca="1" si="732"/>
        <v>0</v>
      </c>
      <c r="BH239" s="398">
        <f t="shared" ca="1" si="752"/>
        <v>83760</v>
      </c>
      <c r="BI239" s="401" t="str">
        <f t="shared" ca="1" si="722"/>
        <v/>
      </c>
      <c r="BJ239" s="398">
        <f t="shared" ca="1" si="753"/>
        <v>512</v>
      </c>
      <c r="BK239" s="400">
        <f ca="1">IF(MAX(IF($D$6="No",ROUNDUP($D$3/$I239,0),ROUNDUP(($D$3+$I239)/$I239,0)),IF($D$6="No",ROUNDUP($D$4/$G239,0),ROUNDUP(($D$4+$G239)/$G239,0)),ROUNDUP('BVMS checklist'!$H$217/$J239,0))&gt;1,'BVMS checklist'!$L$224,'BVMS checklist'!$L$217)+MAX(IF($D$6="No",ROUNDUP($D$3/$I239,0),ROUNDUP(($D$3+$I239)/$I239,0)),IF($D$6="No",ROUNDUP($D$4/$G239,0),ROUNDUP(($D$4+$G239)/$G239,0)))+$D$5</f>
        <v>1</v>
      </c>
      <c r="BL239" s="400" t="b">
        <f t="shared" ca="1" si="707"/>
        <v>1</v>
      </c>
      <c r="BM239" s="400" t="str">
        <f t="shared" ca="1" si="754"/>
        <v>Accepted</v>
      </c>
      <c r="BN239" s="398" t="str">
        <f t="shared" ca="1" si="733"/>
        <v>No</v>
      </c>
      <c r="BO239" s="398" t="str">
        <f t="shared" ca="1" si="755"/>
        <v/>
      </c>
      <c r="BP239" s="398" t="str">
        <f t="shared" ca="1" si="723"/>
        <v/>
      </c>
      <c r="BQ239" s="398">
        <f t="shared" ca="1" si="724"/>
        <v>6</v>
      </c>
      <c r="BR239" s="398">
        <f t="shared" ca="1" si="756"/>
        <v>2</v>
      </c>
      <c r="BS239" s="398">
        <f t="shared" ca="1" si="757"/>
        <v>96</v>
      </c>
      <c r="BT239" s="398">
        <f t="shared" ca="1" si="758"/>
        <v>83760</v>
      </c>
      <c r="BU239" s="399">
        <f t="shared" si="696"/>
        <v>0</v>
      </c>
      <c r="BV239" s="399">
        <f t="shared" si="697"/>
        <v>0</v>
      </c>
      <c r="BW239" s="483" t="str">
        <f t="shared" ca="1" si="725"/>
        <v/>
      </c>
      <c r="BX239" s="400">
        <f ca="1">IF(MAX(IF($E$6="No",ROUNDUP($E$3/$I239,0),ROUNDUP(($E$3+$I239)/$I239,0)),IF($E$6="No",ROUNDUP($E$4/$G239,0),ROUNDUP(($E$4+$G239)/$G239,0)),ROUNDUP('BVMS checklist'!$H$217/$J239,0))&gt;1,'BVMS checklist'!$N$224,'BVMS checklist'!$N$217)</f>
        <v>0</v>
      </c>
      <c r="BY239" s="398">
        <f t="shared" ca="1" si="726"/>
        <v>2</v>
      </c>
      <c r="BZ239" s="400">
        <f t="shared" ca="1" si="759"/>
        <v>2</v>
      </c>
      <c r="CA239" s="400">
        <f t="shared" ca="1" si="760"/>
        <v>1100</v>
      </c>
      <c r="CB239" s="400">
        <f t="shared" ca="1" si="734"/>
        <v>0</v>
      </c>
      <c r="CC239" s="398">
        <f t="shared" ca="1" si="761"/>
        <v>83760</v>
      </c>
      <c r="CD239" s="401" t="str">
        <f t="shared" ca="1" si="727"/>
        <v/>
      </c>
      <c r="CE239" s="398">
        <f t="shared" ca="1" si="762"/>
        <v>512</v>
      </c>
      <c r="CF239" s="400">
        <f ca="1">IF(MAX(IF($E$6="No",ROUNDUP($E$3/$I239,0),ROUNDUP(($E$3+$I239)/$I239,0)),IF($E$6="No",ROUNDUP($E$4/$G239,0),ROUNDUP(($E$4+$G239)/$G239,0)),ROUNDUP('BVMS checklist'!$H$217/$J239,0))&gt;1,'BVMS checklist'!$N$224,'BVMS checklist'!$N$217)+MAX(IF($E$6="No",ROUNDUP($E$3/$I239,0),ROUNDUP(($E$3+$I239)/$I239,0)),IF($E$6="No",ROUNDUP($E$4/$G239,0),ROUNDUP(($E$4+$G239)/$G239,0)))+$E$5</f>
        <v>1</v>
      </c>
      <c r="CG239" s="400" t="b">
        <f t="shared" ca="1" si="708"/>
        <v>1</v>
      </c>
      <c r="CH239" s="400" t="str">
        <f t="shared" ca="1" si="763"/>
        <v>Accepted</v>
      </c>
      <c r="CI239" s="398" t="str">
        <f t="shared" ca="1" si="735"/>
        <v>No</v>
      </c>
      <c r="CJ239" s="398" t="str">
        <f t="shared" ca="1" si="764"/>
        <v/>
      </c>
      <c r="CK239" s="398" t="str">
        <f t="shared" ca="1" si="728"/>
        <v/>
      </c>
      <c r="CL239" s="398">
        <f t="shared" ca="1" si="729"/>
        <v>6</v>
      </c>
      <c r="CM239" s="398">
        <f t="shared" ca="1" si="765"/>
        <v>2</v>
      </c>
      <c r="CN239" s="398">
        <f t="shared" ca="1" si="766"/>
        <v>96</v>
      </c>
      <c r="CO239" s="398">
        <f t="shared" ca="1" si="767"/>
        <v>83760</v>
      </c>
      <c r="CP239" s="399">
        <f t="shared" si="698"/>
        <v>0</v>
      </c>
      <c r="CQ239" s="399">
        <f t="shared" si="699"/>
        <v>0</v>
      </c>
      <c r="CR239" s="483" t="str">
        <f t="shared" ca="1" si="730"/>
        <v/>
      </c>
      <c r="CS239"/>
    </row>
    <row r="240" spans="1:97">
      <c r="A240" s="398" t="s">
        <v>298</v>
      </c>
      <c r="B240" s="398" t="s">
        <v>987</v>
      </c>
      <c r="C240" s="440" t="s">
        <v>891</v>
      </c>
      <c r="D240" s="398">
        <v>1</v>
      </c>
      <c r="E240" s="398"/>
      <c r="F240" s="440">
        <v>0</v>
      </c>
      <c r="G240" s="398">
        <v>11170</v>
      </c>
      <c r="H240" s="399">
        <v>16</v>
      </c>
      <c r="I240" s="399">
        <v>550</v>
      </c>
      <c r="J240" s="399">
        <v>256</v>
      </c>
      <c r="K240" s="399"/>
      <c r="L240" s="399"/>
      <c r="M240" s="400">
        <f ca="1">IF(MAX(IF($B$6="No",ROUNDUP($B$3/$I240,0),ROUNDUP(($B$3+$I240)/$I240,0)),IF($B$6="No",ROUNDUP($B$4/$G240,0),ROUNDUP(($B$4+$G240)/$G240,0)),ROUNDUP('BVMS checklist'!$H$217/$J240,0))&gt;1,'BVMS checklist'!$H$224,'BVMS checklist'!$H$217)</f>
        <v>0</v>
      </c>
      <c r="N240" s="398">
        <f t="shared" ca="1" si="709"/>
        <v>2</v>
      </c>
      <c r="O240" s="400">
        <f t="shared" ca="1" si="736"/>
        <v>2</v>
      </c>
      <c r="P240" s="400">
        <f t="shared" ca="1" si="700"/>
        <v>1100</v>
      </c>
      <c r="Q240" s="400">
        <f t="shared" ca="1" si="701"/>
        <v>0</v>
      </c>
      <c r="R240" s="398">
        <f t="shared" ca="1" si="702"/>
        <v>22340</v>
      </c>
      <c r="S240" s="401" t="str">
        <f t="shared" ca="1" si="710"/>
        <v/>
      </c>
      <c r="T240" s="398">
        <f t="shared" ca="1" si="711"/>
        <v>512</v>
      </c>
      <c r="U240" s="400">
        <f ca="1">IF(MAX(IF($B$6="No",ROUNDUP($B$3/$I240,0),ROUNDUP(($B$3+$I240)/$I240,0)),IF($B$6="No",ROUNDUP($B$4/$G240,0),ROUNDUP(($B$4+$G240)/$G240,0)),ROUNDUP('BVMS checklist'!$H$217/$J240,0))&gt;1,'BVMS checklist'!$H$224,'BVMS checklist'!$H$217)+MAX(IF($B$6="No",ROUNDUP($B$3/$I240,0),ROUNDUP(($B$3+$I240)/$I240,0)),IF($B$6="No",ROUNDUP($B$4/$G240,0),ROUNDUP(($B$4+$G240)/$G240,0)))+$B$5</f>
        <v>1</v>
      </c>
      <c r="V240" s="400" t="b">
        <f t="shared" ca="1" si="703"/>
        <v>1</v>
      </c>
      <c r="W240" s="400" t="str">
        <f t="shared" ca="1" si="737"/>
        <v>Accepted</v>
      </c>
      <c r="X240" s="398" t="str">
        <f t="shared" ca="1" si="712"/>
        <v>No</v>
      </c>
      <c r="Y240" s="398" t="str">
        <f t="shared" ca="1" si="713"/>
        <v/>
      </c>
      <c r="Z240" s="398" t="str">
        <f t="shared" ca="1" si="714"/>
        <v/>
      </c>
      <c r="AA240" s="398">
        <f t="shared" ca="1" si="738"/>
        <v>6</v>
      </c>
      <c r="AB240" s="398">
        <f t="shared" ca="1" si="704"/>
        <v>2</v>
      </c>
      <c r="AC240" s="398">
        <f t="shared" ca="1" si="705"/>
        <v>32</v>
      </c>
      <c r="AD240" s="398">
        <f t="shared" ca="1" si="739"/>
        <v>22340</v>
      </c>
      <c r="AE240" s="399">
        <f t="shared" si="692"/>
        <v>0</v>
      </c>
      <c r="AF240" s="399">
        <f t="shared" si="693"/>
        <v>0</v>
      </c>
      <c r="AG240" s="483" t="str">
        <f t="shared" ca="1" si="715"/>
        <v/>
      </c>
      <c r="AH240" s="400">
        <f ca="1">IF(MAX(IF($C$6="No",ROUNDUP($C$3/$I240,0),ROUNDUP(($C$3+$I240)/$I240,0)),IF($C$6="No",ROUNDUP($C$4/$G240,0),ROUNDUP(($C$4+$G240)/$G240,0)),ROUNDUP('BVMS checklist'!$H$217/$J240,0))&gt;1,'BVMS checklist'!$J$224,'BVMS checklist'!$J$217)</f>
        <v>0</v>
      </c>
      <c r="AI240" s="398">
        <f t="shared" ca="1" si="716"/>
        <v>2</v>
      </c>
      <c r="AJ240" s="400">
        <f t="shared" ca="1" si="740"/>
        <v>2</v>
      </c>
      <c r="AK240" s="400">
        <f t="shared" ca="1" si="741"/>
        <v>1100</v>
      </c>
      <c r="AL240" s="400">
        <f t="shared" ca="1" si="742"/>
        <v>0</v>
      </c>
      <c r="AM240" s="398">
        <f t="shared" ca="1" si="743"/>
        <v>22340</v>
      </c>
      <c r="AN240" s="401" t="str">
        <f t="shared" ca="1" si="717"/>
        <v/>
      </c>
      <c r="AO240" s="398">
        <f t="shared" ca="1" si="744"/>
        <v>512</v>
      </c>
      <c r="AP240" s="400">
        <f ca="1">IF(MAX(IF($C$6="No",ROUNDUP($C$3/$I240,0),ROUNDUP(($C$3+$I240)/$I240,0)),IF($C$6="No",ROUNDUP($C$4/$G240,0),ROUNDUP(($C$4+$G240)/$G240,0)),ROUNDUP('BVMS checklist'!$H$217/$J240,0))&gt;1,'BVMS checklist'!$J$224,'BVMS checklist'!$J$217)+MAX(IF($C$6="No",ROUNDUP($C$3/$I240,0),ROUNDUP(($C$3+$I240)/$I240,0)),IF($C$6="No",ROUNDUP($C$4/$G240,0),ROUNDUP(($C$4+$G240)/$G240,0)))+$C$5</f>
        <v>1</v>
      </c>
      <c r="AQ240" s="400" t="b">
        <f t="shared" ca="1" si="706"/>
        <v>1</v>
      </c>
      <c r="AR240" s="400" t="str">
        <f t="shared" ca="1" si="745"/>
        <v>Accepted</v>
      </c>
      <c r="AS240" s="398" t="str">
        <f t="shared" ca="1" si="731"/>
        <v>No</v>
      </c>
      <c r="AT240" s="398" t="str">
        <f t="shared" ca="1" si="746"/>
        <v/>
      </c>
      <c r="AU240" s="398" t="str">
        <f t="shared" ca="1" si="718"/>
        <v/>
      </c>
      <c r="AV240" s="398">
        <f t="shared" ca="1" si="719"/>
        <v>6</v>
      </c>
      <c r="AW240" s="398">
        <f t="shared" ca="1" si="747"/>
        <v>2</v>
      </c>
      <c r="AX240" s="398">
        <f t="shared" ca="1" si="748"/>
        <v>32</v>
      </c>
      <c r="AY240" s="398">
        <f t="shared" ca="1" si="749"/>
        <v>22340</v>
      </c>
      <c r="AZ240" s="399">
        <f t="shared" si="694"/>
        <v>0</v>
      </c>
      <c r="BA240" s="399">
        <f t="shared" si="695"/>
        <v>0</v>
      </c>
      <c r="BB240" s="483" t="str">
        <f t="shared" ca="1" si="720"/>
        <v/>
      </c>
      <c r="BC240" s="400">
        <f ca="1">IF(MAX(IF($D$6="No",ROUNDUP($D$3/$I240,0),ROUNDUP(($D$3+$I240)/$I240,0)),IF($D$6="No",ROUNDUP($D$4/$G240,0),ROUNDUP(($D$4+$G240)/$G240,0)),ROUNDUP('BVMS checklist'!$H$217/$J240,0))&gt;1,'BVMS checklist'!$L$224,'BVMS checklist'!$L$217)</f>
        <v>0</v>
      </c>
      <c r="BD240" s="398">
        <f t="shared" ca="1" si="721"/>
        <v>2</v>
      </c>
      <c r="BE240" s="400">
        <f t="shared" si="750"/>
        <v>1</v>
      </c>
      <c r="BF240" s="400">
        <f t="shared" si="751"/>
        <v>550</v>
      </c>
      <c r="BG240" s="400">
        <f t="shared" ca="1" si="732"/>
        <v>0</v>
      </c>
      <c r="BH240" s="398">
        <f t="shared" ca="1" si="752"/>
        <v>22340</v>
      </c>
      <c r="BI240" s="401" t="str">
        <f t="shared" ca="1" si="722"/>
        <v/>
      </c>
      <c r="BJ240" s="398">
        <f t="shared" ca="1" si="753"/>
        <v>512</v>
      </c>
      <c r="BK240" s="400">
        <f ca="1">IF(MAX(IF($D$6="No",ROUNDUP($D$3/$I240,0),ROUNDUP(($D$3+$I240)/$I240,0)),IF($D$6="No",ROUNDUP($D$4/$G240,0),ROUNDUP(($D$4+$G240)/$G240,0)),ROUNDUP('BVMS checklist'!$H$217/$J240,0))&gt;1,'BVMS checklist'!$L$224,'BVMS checklist'!$L$217)+MAX(IF($D$6="No",ROUNDUP($D$3/$I240,0),ROUNDUP(($D$3+$I240)/$I240,0)),IF($D$6="No",ROUNDUP($D$4/$G240,0),ROUNDUP(($D$4+$G240)/$G240,0)))+$D$5</f>
        <v>1</v>
      </c>
      <c r="BL240" s="400" t="b">
        <f t="shared" ca="1" si="707"/>
        <v>1</v>
      </c>
      <c r="BM240" s="400" t="str">
        <f t="shared" ca="1" si="754"/>
        <v>Accepted</v>
      </c>
      <c r="BN240" s="398" t="str">
        <f t="shared" ca="1" si="733"/>
        <v>No</v>
      </c>
      <c r="BO240" s="398" t="str">
        <f t="shared" ca="1" si="755"/>
        <v/>
      </c>
      <c r="BP240" s="398" t="str">
        <f t="shared" ca="1" si="723"/>
        <v/>
      </c>
      <c r="BQ240" s="398">
        <f t="shared" ca="1" si="724"/>
        <v>6</v>
      </c>
      <c r="BR240" s="398">
        <f t="shared" ca="1" si="756"/>
        <v>2</v>
      </c>
      <c r="BS240" s="398">
        <f t="shared" ca="1" si="757"/>
        <v>32</v>
      </c>
      <c r="BT240" s="398">
        <f t="shared" ca="1" si="758"/>
        <v>22340</v>
      </c>
      <c r="BU240" s="399">
        <f t="shared" si="696"/>
        <v>0</v>
      </c>
      <c r="BV240" s="399">
        <f t="shared" si="697"/>
        <v>0</v>
      </c>
      <c r="BW240" s="483" t="str">
        <f t="shared" ca="1" si="725"/>
        <v/>
      </c>
      <c r="BX240" s="400">
        <f ca="1">IF(MAX(IF($E$6="No",ROUNDUP($E$3/$I240,0),ROUNDUP(($E$3+$I240)/$I240,0)),IF($E$6="No",ROUNDUP($E$4/$G240,0),ROUNDUP(($E$4+$G240)/$G240,0)),ROUNDUP('BVMS checklist'!$H$217/$J240,0))&gt;1,'BVMS checklist'!$N$224,'BVMS checklist'!$N$217)</f>
        <v>0</v>
      </c>
      <c r="BY240" s="398">
        <f t="shared" ca="1" si="726"/>
        <v>2</v>
      </c>
      <c r="BZ240" s="400">
        <f t="shared" ca="1" si="759"/>
        <v>2</v>
      </c>
      <c r="CA240" s="400">
        <f t="shared" ca="1" si="760"/>
        <v>1100</v>
      </c>
      <c r="CB240" s="400">
        <f t="shared" ca="1" si="734"/>
        <v>0</v>
      </c>
      <c r="CC240" s="398">
        <f t="shared" ca="1" si="761"/>
        <v>22340</v>
      </c>
      <c r="CD240" s="401" t="str">
        <f t="shared" ca="1" si="727"/>
        <v/>
      </c>
      <c r="CE240" s="398">
        <f t="shared" ca="1" si="762"/>
        <v>512</v>
      </c>
      <c r="CF240" s="400">
        <f ca="1">IF(MAX(IF($E$6="No",ROUNDUP($E$3/$I240,0),ROUNDUP(($E$3+$I240)/$I240,0)),IF($E$6="No",ROUNDUP($E$4/$G240,0),ROUNDUP(($E$4+$G240)/$G240,0)),ROUNDUP('BVMS checklist'!$H$217/$J240,0))&gt;1,'BVMS checklist'!$N$224,'BVMS checklist'!$N$217)+MAX(IF($E$6="No",ROUNDUP($E$3/$I240,0),ROUNDUP(($E$3+$I240)/$I240,0)),IF($E$6="No",ROUNDUP($E$4/$G240,0),ROUNDUP(($E$4+$G240)/$G240,0)))+$E$5</f>
        <v>1</v>
      </c>
      <c r="CG240" s="400" t="b">
        <f t="shared" ca="1" si="708"/>
        <v>1</v>
      </c>
      <c r="CH240" s="400" t="str">
        <f t="shared" ca="1" si="763"/>
        <v>Accepted</v>
      </c>
      <c r="CI240" s="398" t="str">
        <f t="shared" ca="1" si="735"/>
        <v>No</v>
      </c>
      <c r="CJ240" s="398" t="str">
        <f t="shared" ca="1" si="764"/>
        <v/>
      </c>
      <c r="CK240" s="398" t="str">
        <f t="shared" ca="1" si="728"/>
        <v/>
      </c>
      <c r="CL240" s="398">
        <f t="shared" ca="1" si="729"/>
        <v>6</v>
      </c>
      <c r="CM240" s="398">
        <f t="shared" ca="1" si="765"/>
        <v>2</v>
      </c>
      <c r="CN240" s="398">
        <f t="shared" ca="1" si="766"/>
        <v>32</v>
      </c>
      <c r="CO240" s="398">
        <f t="shared" ca="1" si="767"/>
        <v>22340</v>
      </c>
      <c r="CP240" s="399">
        <f t="shared" si="698"/>
        <v>0</v>
      </c>
      <c r="CQ240" s="399">
        <f t="shared" si="699"/>
        <v>0</v>
      </c>
      <c r="CR240" s="483" t="str">
        <f t="shared" ca="1" si="730"/>
        <v/>
      </c>
      <c r="CS240"/>
    </row>
    <row r="241" spans="1:97">
      <c r="A241" s="398" t="s">
        <v>299</v>
      </c>
      <c r="B241" s="398" t="s">
        <v>987</v>
      </c>
      <c r="C241" s="440" t="s">
        <v>891</v>
      </c>
      <c r="D241" s="398">
        <v>1</v>
      </c>
      <c r="E241" s="398"/>
      <c r="F241" s="440">
        <v>0</v>
      </c>
      <c r="G241" s="398">
        <f>IF(C241="RAID5",(7-F241)*3723,(6-F241)*3723)</f>
        <v>26061</v>
      </c>
      <c r="H241" s="399">
        <v>32</v>
      </c>
      <c r="I241" s="399">
        <v>550</v>
      </c>
      <c r="J241" s="399">
        <v>256</v>
      </c>
      <c r="K241" s="399"/>
      <c r="L241" s="399"/>
      <c r="M241" s="400">
        <f ca="1">IF(MAX(IF($B$6="No",ROUNDUP($B$3/$I241,0),ROUNDUP(($B$3+$I241)/$I241,0)),IF($B$6="No",ROUNDUP($B$4/$G241,0),ROUNDUP(($B$4+$G241)/$G241,0)),ROUNDUP('BVMS checklist'!$H$217/$J241,0))&gt;1,'BVMS checklist'!$H$224,'BVMS checklist'!$H$217)</f>
        <v>0</v>
      </c>
      <c r="N241" s="398">
        <f t="shared" ca="1" si="709"/>
        <v>2</v>
      </c>
      <c r="O241" s="400">
        <f t="shared" ca="1" si="736"/>
        <v>2</v>
      </c>
      <c r="P241" s="400">
        <f t="shared" ca="1" si="700"/>
        <v>1100</v>
      </c>
      <c r="Q241" s="400">
        <f t="shared" ca="1" si="701"/>
        <v>0</v>
      </c>
      <c r="R241" s="398">
        <f t="shared" ca="1" si="702"/>
        <v>52122</v>
      </c>
      <c r="S241" s="401" t="str">
        <f t="shared" ca="1" si="710"/>
        <v/>
      </c>
      <c r="T241" s="398">
        <f t="shared" ca="1" si="711"/>
        <v>512</v>
      </c>
      <c r="U241" s="400">
        <f ca="1">IF(MAX(IF($B$6="No",ROUNDUP($B$3/$I241,0),ROUNDUP(($B$3+$I241)/$I241,0)),IF($B$6="No",ROUNDUP($B$4/$G241,0),ROUNDUP(($B$4+$G241)/$G241,0)),ROUNDUP('BVMS checklist'!$H$217/$J241,0))&gt;1,'BVMS checklist'!$H$224,'BVMS checklist'!$H$217)+MAX(IF($B$6="No",ROUNDUP($B$3/$I241,0),ROUNDUP(($B$3+$I241)/$I241,0)),IF($B$6="No",ROUNDUP($B$4/$G241,0),ROUNDUP(($B$4+$G241)/$G241,0)))+$B$5</f>
        <v>1</v>
      </c>
      <c r="V241" s="400" t="b">
        <f t="shared" ca="1" si="703"/>
        <v>1</v>
      </c>
      <c r="W241" s="400" t="str">
        <f t="shared" ca="1" si="737"/>
        <v>Accepted</v>
      </c>
      <c r="X241" s="398" t="str">
        <f t="shared" ca="1" si="712"/>
        <v>No</v>
      </c>
      <c r="Y241" s="398" t="str">
        <f t="shared" ca="1" si="713"/>
        <v/>
      </c>
      <c r="Z241" s="398" t="str">
        <f t="shared" ca="1" si="714"/>
        <v/>
      </c>
      <c r="AA241" s="398">
        <f t="shared" ca="1" si="738"/>
        <v>6</v>
      </c>
      <c r="AB241" s="398">
        <f t="shared" ca="1" si="704"/>
        <v>2</v>
      </c>
      <c r="AC241" s="398">
        <f t="shared" ca="1" si="705"/>
        <v>64</v>
      </c>
      <c r="AD241" s="398">
        <f t="shared" ca="1" si="739"/>
        <v>52122</v>
      </c>
      <c r="AE241" s="399">
        <f t="shared" si="692"/>
        <v>0</v>
      </c>
      <c r="AF241" s="399">
        <f t="shared" si="693"/>
        <v>0</v>
      </c>
      <c r="AG241" s="483" t="str">
        <f t="shared" ca="1" si="715"/>
        <v/>
      </c>
      <c r="AH241" s="400">
        <f ca="1">IF(MAX(IF($C$6="No",ROUNDUP($C$3/$I241,0),ROUNDUP(($C$3+$I241)/$I241,0)),IF($C$6="No",ROUNDUP($C$4/$G241,0),ROUNDUP(($C$4+$G241)/$G241,0)),ROUNDUP('BVMS checklist'!$H$217/$J241,0))&gt;1,'BVMS checklist'!$J$224,'BVMS checklist'!$J$217)</f>
        <v>0</v>
      </c>
      <c r="AI241" s="398">
        <f t="shared" ca="1" si="716"/>
        <v>2</v>
      </c>
      <c r="AJ241" s="400">
        <f t="shared" ca="1" si="740"/>
        <v>2</v>
      </c>
      <c r="AK241" s="400">
        <f t="shared" ca="1" si="741"/>
        <v>1100</v>
      </c>
      <c r="AL241" s="400">
        <f t="shared" ca="1" si="742"/>
        <v>0</v>
      </c>
      <c r="AM241" s="398">
        <f t="shared" ca="1" si="743"/>
        <v>52122</v>
      </c>
      <c r="AN241" s="401" t="str">
        <f t="shared" ca="1" si="717"/>
        <v/>
      </c>
      <c r="AO241" s="398">
        <f t="shared" ca="1" si="744"/>
        <v>512</v>
      </c>
      <c r="AP241" s="400">
        <f ca="1">IF(MAX(IF($C$6="No",ROUNDUP($C$3/$I241,0),ROUNDUP(($C$3+$I241)/$I241,0)),IF($C$6="No",ROUNDUP($C$4/$G241,0),ROUNDUP(($C$4+$G241)/$G241,0)),ROUNDUP('BVMS checklist'!$H$217/$J241,0))&gt;1,'BVMS checklist'!$J$224,'BVMS checklist'!$J$217)+MAX(IF($C$6="No",ROUNDUP($C$3/$I241,0),ROUNDUP(($C$3+$I241)/$I241,0)),IF($C$6="No",ROUNDUP($C$4/$G241,0),ROUNDUP(($C$4+$G241)/$G241,0)))+$C$5</f>
        <v>1</v>
      </c>
      <c r="AQ241" s="400" t="b">
        <f t="shared" ca="1" si="706"/>
        <v>1</v>
      </c>
      <c r="AR241" s="400" t="str">
        <f t="shared" ca="1" si="745"/>
        <v>Accepted</v>
      </c>
      <c r="AS241" s="398" t="str">
        <f t="shared" ca="1" si="731"/>
        <v>No</v>
      </c>
      <c r="AT241" s="398" t="str">
        <f t="shared" ca="1" si="746"/>
        <v/>
      </c>
      <c r="AU241" s="398" t="str">
        <f t="shared" ca="1" si="718"/>
        <v/>
      </c>
      <c r="AV241" s="398">
        <f t="shared" ca="1" si="719"/>
        <v>6</v>
      </c>
      <c r="AW241" s="398">
        <f t="shared" ca="1" si="747"/>
        <v>2</v>
      </c>
      <c r="AX241" s="398">
        <f t="shared" ca="1" si="748"/>
        <v>64</v>
      </c>
      <c r="AY241" s="398">
        <f t="shared" ca="1" si="749"/>
        <v>52122</v>
      </c>
      <c r="AZ241" s="399">
        <f t="shared" si="694"/>
        <v>0</v>
      </c>
      <c r="BA241" s="399">
        <f t="shared" si="695"/>
        <v>0</v>
      </c>
      <c r="BB241" s="483" t="str">
        <f t="shared" ca="1" si="720"/>
        <v/>
      </c>
      <c r="BC241" s="400">
        <f ca="1">IF(MAX(IF($D$6="No",ROUNDUP($D$3/$I241,0),ROUNDUP(($D$3+$I241)/$I241,0)),IF($D$6="No",ROUNDUP($D$4/$G241,0),ROUNDUP(($D$4+$G241)/$G241,0)),ROUNDUP('BVMS checklist'!$H$217/$J241,0))&gt;1,'BVMS checklist'!$L$224,'BVMS checklist'!$L$217)</f>
        <v>0</v>
      </c>
      <c r="BD241" s="398">
        <f t="shared" ca="1" si="721"/>
        <v>2</v>
      </c>
      <c r="BE241" s="400">
        <f t="shared" si="750"/>
        <v>1</v>
      </c>
      <c r="BF241" s="400">
        <f t="shared" si="751"/>
        <v>550</v>
      </c>
      <c r="BG241" s="400">
        <f t="shared" ca="1" si="732"/>
        <v>0</v>
      </c>
      <c r="BH241" s="398">
        <f t="shared" ca="1" si="752"/>
        <v>52122</v>
      </c>
      <c r="BI241" s="401" t="str">
        <f t="shared" ca="1" si="722"/>
        <v/>
      </c>
      <c r="BJ241" s="398">
        <f t="shared" ca="1" si="753"/>
        <v>512</v>
      </c>
      <c r="BK241" s="400">
        <f ca="1">IF(MAX(IF($D$6="No",ROUNDUP($D$3/$I241,0),ROUNDUP(($D$3+$I241)/$I241,0)),IF($D$6="No",ROUNDUP($D$4/$G241,0),ROUNDUP(($D$4+$G241)/$G241,0)),ROUNDUP('BVMS checklist'!$H$217/$J241,0))&gt;1,'BVMS checklist'!$L$224,'BVMS checklist'!$L$217)+MAX(IF($D$6="No",ROUNDUP($D$3/$I241,0),ROUNDUP(($D$3+$I241)/$I241,0)),IF($D$6="No",ROUNDUP($D$4/$G241,0),ROUNDUP(($D$4+$G241)/$G241,0)))+$D$5</f>
        <v>1</v>
      </c>
      <c r="BL241" s="400" t="b">
        <f t="shared" ca="1" si="707"/>
        <v>1</v>
      </c>
      <c r="BM241" s="400" t="str">
        <f t="shared" ca="1" si="754"/>
        <v>Accepted</v>
      </c>
      <c r="BN241" s="398" t="str">
        <f t="shared" ca="1" si="733"/>
        <v>No</v>
      </c>
      <c r="BO241" s="398" t="str">
        <f t="shared" ca="1" si="755"/>
        <v/>
      </c>
      <c r="BP241" s="398" t="str">
        <f t="shared" ca="1" si="723"/>
        <v/>
      </c>
      <c r="BQ241" s="398">
        <f t="shared" ca="1" si="724"/>
        <v>6</v>
      </c>
      <c r="BR241" s="398">
        <f t="shared" ca="1" si="756"/>
        <v>2</v>
      </c>
      <c r="BS241" s="398">
        <f t="shared" ca="1" si="757"/>
        <v>64</v>
      </c>
      <c r="BT241" s="398">
        <f t="shared" ca="1" si="758"/>
        <v>52122</v>
      </c>
      <c r="BU241" s="399">
        <f t="shared" si="696"/>
        <v>0</v>
      </c>
      <c r="BV241" s="399">
        <f t="shared" si="697"/>
        <v>0</v>
      </c>
      <c r="BW241" s="483" t="str">
        <f t="shared" ca="1" si="725"/>
        <v/>
      </c>
      <c r="BX241" s="400">
        <f ca="1">IF(MAX(IF($E$6="No",ROUNDUP($E$3/$I241,0),ROUNDUP(($E$3+$I241)/$I241,0)),IF($E$6="No",ROUNDUP($E$4/$G241,0),ROUNDUP(($E$4+$G241)/$G241,0)),ROUNDUP('BVMS checklist'!$H$217/$J241,0))&gt;1,'BVMS checklist'!$N$224,'BVMS checklist'!$N$217)</f>
        <v>0</v>
      </c>
      <c r="BY241" s="398">
        <f t="shared" ca="1" si="726"/>
        <v>2</v>
      </c>
      <c r="BZ241" s="400">
        <f t="shared" ca="1" si="759"/>
        <v>2</v>
      </c>
      <c r="CA241" s="400">
        <f t="shared" ca="1" si="760"/>
        <v>1100</v>
      </c>
      <c r="CB241" s="400">
        <f t="shared" ca="1" si="734"/>
        <v>0</v>
      </c>
      <c r="CC241" s="398">
        <f t="shared" ca="1" si="761"/>
        <v>52122</v>
      </c>
      <c r="CD241" s="401" t="str">
        <f t="shared" ca="1" si="727"/>
        <v/>
      </c>
      <c r="CE241" s="398">
        <f t="shared" ca="1" si="762"/>
        <v>512</v>
      </c>
      <c r="CF241" s="400">
        <f ca="1">IF(MAX(IF($E$6="No",ROUNDUP($E$3/$I241,0),ROUNDUP(($E$3+$I241)/$I241,0)),IF($E$6="No",ROUNDUP($E$4/$G241,0),ROUNDUP(($E$4+$G241)/$G241,0)),ROUNDUP('BVMS checklist'!$H$217/$J241,0))&gt;1,'BVMS checklist'!$N$224,'BVMS checklist'!$N$217)+MAX(IF($E$6="No",ROUNDUP($E$3/$I241,0),ROUNDUP(($E$3+$I241)/$I241,0)),IF($E$6="No",ROUNDUP($E$4/$G241,0),ROUNDUP(($E$4+$G241)/$G241,0)))+$E$5</f>
        <v>1</v>
      </c>
      <c r="CG241" s="400" t="b">
        <f t="shared" ca="1" si="708"/>
        <v>1</v>
      </c>
      <c r="CH241" s="400" t="str">
        <f t="shared" ca="1" si="763"/>
        <v>Accepted</v>
      </c>
      <c r="CI241" s="398" t="str">
        <f t="shared" ca="1" si="735"/>
        <v>No</v>
      </c>
      <c r="CJ241" s="398" t="str">
        <f t="shared" ca="1" si="764"/>
        <v/>
      </c>
      <c r="CK241" s="398" t="str">
        <f t="shared" ca="1" si="728"/>
        <v/>
      </c>
      <c r="CL241" s="398">
        <f t="shared" ca="1" si="729"/>
        <v>6</v>
      </c>
      <c r="CM241" s="398">
        <f t="shared" ca="1" si="765"/>
        <v>2</v>
      </c>
      <c r="CN241" s="398">
        <f t="shared" ca="1" si="766"/>
        <v>64</v>
      </c>
      <c r="CO241" s="398">
        <f t="shared" ca="1" si="767"/>
        <v>52122</v>
      </c>
      <c r="CP241" s="399">
        <f t="shared" si="698"/>
        <v>0</v>
      </c>
      <c r="CQ241" s="399">
        <f t="shared" si="699"/>
        <v>0</v>
      </c>
      <c r="CR241" s="483" t="str">
        <f t="shared" ca="1" si="730"/>
        <v/>
      </c>
      <c r="CS241"/>
    </row>
    <row r="242" spans="1:97">
      <c r="A242" s="398" t="s">
        <v>300</v>
      </c>
      <c r="B242" s="398" t="s">
        <v>987</v>
      </c>
      <c r="C242" s="440" t="s">
        <v>891</v>
      </c>
      <c r="D242" s="398">
        <v>1</v>
      </c>
      <c r="E242" s="398"/>
      <c r="F242" s="440">
        <v>0</v>
      </c>
      <c r="G242" s="398">
        <f>IF(C242="RAID5",(15-F242)*3723,(14-F242)*3723)</f>
        <v>55845</v>
      </c>
      <c r="H242" s="399">
        <v>64</v>
      </c>
      <c r="I242" s="399">
        <v>550</v>
      </c>
      <c r="J242" s="399">
        <v>256</v>
      </c>
      <c r="K242" s="399"/>
      <c r="L242" s="399"/>
      <c r="M242" s="400">
        <f ca="1">IF(MAX(IF($B$6="No",ROUNDUP($B$3/$I242,0),ROUNDUP(($B$3+$I242)/$I242,0)),IF($B$6="No",ROUNDUP($B$4/$G242,0),ROUNDUP(($B$4+$G242)/$G242,0)),ROUNDUP('BVMS checklist'!$H$217/$J242,0))&gt;1,'BVMS checklist'!$H$224,'BVMS checklist'!$H$217)</f>
        <v>0</v>
      </c>
      <c r="N242" s="398">
        <f t="shared" ca="1" si="709"/>
        <v>2</v>
      </c>
      <c r="O242" s="400">
        <f t="shared" ca="1" si="736"/>
        <v>2</v>
      </c>
      <c r="P242" s="400">
        <f t="shared" ca="1" si="700"/>
        <v>1100</v>
      </c>
      <c r="Q242" s="400">
        <f t="shared" ca="1" si="701"/>
        <v>0</v>
      </c>
      <c r="R242" s="398">
        <f t="shared" ca="1" si="702"/>
        <v>111690</v>
      </c>
      <c r="S242" s="401" t="str">
        <f t="shared" ca="1" si="710"/>
        <v/>
      </c>
      <c r="T242" s="398">
        <f t="shared" ca="1" si="711"/>
        <v>512</v>
      </c>
      <c r="U242" s="400">
        <f ca="1">IF(MAX(IF($B$6="No",ROUNDUP($B$3/$I242,0),ROUNDUP(($B$3+$I242)/$I242,0)),IF($B$6="No",ROUNDUP($B$4/$G242,0),ROUNDUP(($B$4+$G242)/$G242,0)),ROUNDUP('BVMS checklist'!$H$217/$J242,0))&gt;1,'BVMS checklist'!$H$224,'BVMS checklist'!$H$217)+MAX(IF($B$6="No",ROUNDUP($B$3/$I242,0),ROUNDUP(($B$3+$I242)/$I242,0)),IF($B$6="No",ROUNDUP($B$4/$G242,0),ROUNDUP(($B$4+$G242)/$G242,0)))+$B$5</f>
        <v>1</v>
      </c>
      <c r="V242" s="400" t="b">
        <f t="shared" ca="1" si="703"/>
        <v>1</v>
      </c>
      <c r="W242" s="400" t="str">
        <f t="shared" ca="1" si="737"/>
        <v>Accepted</v>
      </c>
      <c r="X242" s="398" t="str">
        <f t="shared" ca="1" si="712"/>
        <v>No</v>
      </c>
      <c r="Y242" s="398" t="str">
        <f t="shared" ca="1" si="713"/>
        <v/>
      </c>
      <c r="Z242" s="398" t="str">
        <f t="shared" ca="1" si="714"/>
        <v/>
      </c>
      <c r="AA242" s="398">
        <f t="shared" ca="1" si="738"/>
        <v>6</v>
      </c>
      <c r="AB242" s="398">
        <f t="shared" ca="1" si="704"/>
        <v>2</v>
      </c>
      <c r="AC242" s="398">
        <f t="shared" ca="1" si="705"/>
        <v>128</v>
      </c>
      <c r="AD242" s="398">
        <f t="shared" ca="1" si="739"/>
        <v>111690</v>
      </c>
      <c r="AE242" s="399">
        <f t="shared" si="692"/>
        <v>0</v>
      </c>
      <c r="AF242" s="399">
        <f t="shared" si="693"/>
        <v>0</v>
      </c>
      <c r="AG242" s="483" t="str">
        <f t="shared" ca="1" si="715"/>
        <v/>
      </c>
      <c r="AH242" s="400">
        <f ca="1">IF(MAX(IF($C$6="No",ROUNDUP($C$3/$I242,0),ROUNDUP(($C$3+$I242)/$I242,0)),IF($C$6="No",ROUNDUP($C$4/$G242,0),ROUNDUP(($C$4+$G242)/$G242,0)),ROUNDUP('BVMS checklist'!$H$217/$J242,0))&gt;1,'BVMS checklist'!$J$224,'BVMS checklist'!$J$217)</f>
        <v>0</v>
      </c>
      <c r="AI242" s="398">
        <f t="shared" ca="1" si="716"/>
        <v>2</v>
      </c>
      <c r="AJ242" s="400">
        <f t="shared" ca="1" si="740"/>
        <v>2</v>
      </c>
      <c r="AK242" s="400">
        <f t="shared" ca="1" si="741"/>
        <v>1100</v>
      </c>
      <c r="AL242" s="400">
        <f t="shared" ca="1" si="742"/>
        <v>0</v>
      </c>
      <c r="AM242" s="398">
        <f t="shared" ca="1" si="743"/>
        <v>111690</v>
      </c>
      <c r="AN242" s="401" t="str">
        <f t="shared" ca="1" si="717"/>
        <v/>
      </c>
      <c r="AO242" s="398">
        <f t="shared" ca="1" si="744"/>
        <v>512</v>
      </c>
      <c r="AP242" s="400">
        <f ca="1">IF(MAX(IF($C$6="No",ROUNDUP($C$3/$I242,0),ROUNDUP(($C$3+$I242)/$I242,0)),IF($C$6="No",ROUNDUP($C$4/$G242,0),ROUNDUP(($C$4+$G242)/$G242,0)),ROUNDUP('BVMS checklist'!$H$217/$J242,0))&gt;1,'BVMS checklist'!$J$224,'BVMS checklist'!$J$217)+MAX(IF($C$6="No",ROUNDUP($C$3/$I242,0),ROUNDUP(($C$3+$I242)/$I242,0)),IF($C$6="No",ROUNDUP($C$4/$G242,0),ROUNDUP(($C$4+$G242)/$G242,0)))+$C$5</f>
        <v>1</v>
      </c>
      <c r="AQ242" s="400" t="b">
        <f t="shared" ca="1" si="706"/>
        <v>1</v>
      </c>
      <c r="AR242" s="400" t="str">
        <f t="shared" ca="1" si="745"/>
        <v>Accepted</v>
      </c>
      <c r="AS242" s="398" t="str">
        <f t="shared" ca="1" si="731"/>
        <v>No</v>
      </c>
      <c r="AT242" s="398" t="str">
        <f t="shared" ca="1" si="746"/>
        <v/>
      </c>
      <c r="AU242" s="398" t="str">
        <f t="shared" ca="1" si="718"/>
        <v/>
      </c>
      <c r="AV242" s="398">
        <f t="shared" ca="1" si="719"/>
        <v>6</v>
      </c>
      <c r="AW242" s="398">
        <f t="shared" ca="1" si="747"/>
        <v>2</v>
      </c>
      <c r="AX242" s="398">
        <f t="shared" ca="1" si="748"/>
        <v>128</v>
      </c>
      <c r="AY242" s="398">
        <f t="shared" ca="1" si="749"/>
        <v>111690</v>
      </c>
      <c r="AZ242" s="399">
        <f t="shared" si="694"/>
        <v>0</v>
      </c>
      <c r="BA242" s="399">
        <f t="shared" si="695"/>
        <v>0</v>
      </c>
      <c r="BB242" s="483" t="str">
        <f t="shared" ca="1" si="720"/>
        <v/>
      </c>
      <c r="BC242" s="400">
        <f ca="1">IF(MAX(IF($D$6="No",ROUNDUP($D$3/$I242,0),ROUNDUP(($D$3+$I242)/$I242,0)),IF($D$6="No",ROUNDUP($D$4/$G242,0),ROUNDUP(($D$4+$G242)/$G242,0)),ROUNDUP('BVMS checklist'!$H$217/$J242,0))&gt;1,'BVMS checklist'!$L$224,'BVMS checklist'!$L$217)</f>
        <v>0</v>
      </c>
      <c r="BD242" s="398">
        <f t="shared" ca="1" si="721"/>
        <v>2</v>
      </c>
      <c r="BE242" s="400">
        <f t="shared" si="750"/>
        <v>1</v>
      </c>
      <c r="BF242" s="400">
        <f t="shared" si="751"/>
        <v>550</v>
      </c>
      <c r="BG242" s="400">
        <f t="shared" ca="1" si="732"/>
        <v>0</v>
      </c>
      <c r="BH242" s="398">
        <f t="shared" ca="1" si="752"/>
        <v>111690</v>
      </c>
      <c r="BI242" s="401" t="str">
        <f t="shared" ca="1" si="722"/>
        <v/>
      </c>
      <c r="BJ242" s="398">
        <f t="shared" ca="1" si="753"/>
        <v>512</v>
      </c>
      <c r="BK242" s="400">
        <f ca="1">IF(MAX(IF($D$6="No",ROUNDUP($D$3/$I242,0),ROUNDUP(($D$3+$I242)/$I242,0)),IF($D$6="No",ROUNDUP($D$4/$G242,0),ROUNDUP(($D$4+$G242)/$G242,0)),ROUNDUP('BVMS checklist'!$H$217/$J242,0))&gt;1,'BVMS checklist'!$L$224,'BVMS checklist'!$L$217)+MAX(IF($D$6="No",ROUNDUP($D$3/$I242,0),ROUNDUP(($D$3+$I242)/$I242,0)),IF($D$6="No",ROUNDUP($D$4/$G242,0),ROUNDUP(($D$4+$G242)/$G242,0)))+$D$5</f>
        <v>1</v>
      </c>
      <c r="BL242" s="400" t="b">
        <f t="shared" ca="1" si="707"/>
        <v>1</v>
      </c>
      <c r="BM242" s="400" t="str">
        <f t="shared" ca="1" si="754"/>
        <v>Accepted</v>
      </c>
      <c r="BN242" s="398" t="str">
        <f t="shared" ca="1" si="733"/>
        <v>No</v>
      </c>
      <c r="BO242" s="398" t="str">
        <f t="shared" ca="1" si="755"/>
        <v/>
      </c>
      <c r="BP242" s="398" t="str">
        <f t="shared" ca="1" si="723"/>
        <v/>
      </c>
      <c r="BQ242" s="398">
        <f t="shared" ca="1" si="724"/>
        <v>6</v>
      </c>
      <c r="BR242" s="398">
        <f t="shared" ca="1" si="756"/>
        <v>2</v>
      </c>
      <c r="BS242" s="398">
        <f t="shared" ca="1" si="757"/>
        <v>128</v>
      </c>
      <c r="BT242" s="398">
        <f t="shared" ca="1" si="758"/>
        <v>111690</v>
      </c>
      <c r="BU242" s="399">
        <f t="shared" si="696"/>
        <v>0</v>
      </c>
      <c r="BV242" s="399">
        <f t="shared" si="697"/>
        <v>0</v>
      </c>
      <c r="BW242" s="483" t="str">
        <f t="shared" ca="1" si="725"/>
        <v/>
      </c>
      <c r="BX242" s="400">
        <f ca="1">IF(MAX(IF($E$6="No",ROUNDUP($E$3/$I242,0),ROUNDUP(($E$3+$I242)/$I242,0)),IF($E$6="No",ROUNDUP($E$4/$G242,0),ROUNDUP(($E$4+$G242)/$G242,0)),ROUNDUP('BVMS checklist'!$H$217/$J242,0))&gt;1,'BVMS checklist'!$N$224,'BVMS checklist'!$N$217)</f>
        <v>0</v>
      </c>
      <c r="BY242" s="398">
        <f t="shared" ca="1" si="726"/>
        <v>2</v>
      </c>
      <c r="BZ242" s="400">
        <f t="shared" ca="1" si="759"/>
        <v>2</v>
      </c>
      <c r="CA242" s="400">
        <f t="shared" ca="1" si="760"/>
        <v>1100</v>
      </c>
      <c r="CB242" s="400">
        <f t="shared" ca="1" si="734"/>
        <v>0</v>
      </c>
      <c r="CC242" s="398">
        <f t="shared" ca="1" si="761"/>
        <v>111690</v>
      </c>
      <c r="CD242" s="401" t="str">
        <f t="shared" ca="1" si="727"/>
        <v/>
      </c>
      <c r="CE242" s="398">
        <f t="shared" ca="1" si="762"/>
        <v>512</v>
      </c>
      <c r="CF242" s="400">
        <f ca="1">IF(MAX(IF($E$6="No",ROUNDUP($E$3/$I242,0),ROUNDUP(($E$3+$I242)/$I242,0)),IF($E$6="No",ROUNDUP($E$4/$G242,0),ROUNDUP(($E$4+$G242)/$G242,0)),ROUNDUP('BVMS checklist'!$H$217/$J242,0))&gt;1,'BVMS checklist'!$N$224,'BVMS checklist'!$N$217)+MAX(IF($E$6="No",ROUNDUP($E$3/$I242,0),ROUNDUP(($E$3+$I242)/$I242,0)),IF($E$6="No",ROUNDUP($E$4/$G242,0),ROUNDUP(($E$4+$G242)/$G242,0)))+$E$5</f>
        <v>1</v>
      </c>
      <c r="CG242" s="400" t="b">
        <f t="shared" ca="1" si="708"/>
        <v>1</v>
      </c>
      <c r="CH242" s="400" t="str">
        <f t="shared" ca="1" si="763"/>
        <v>Accepted</v>
      </c>
      <c r="CI242" s="398" t="str">
        <f t="shared" ca="1" si="735"/>
        <v>No</v>
      </c>
      <c r="CJ242" s="398" t="str">
        <f t="shared" ca="1" si="764"/>
        <v/>
      </c>
      <c r="CK242" s="398" t="str">
        <f t="shared" ca="1" si="728"/>
        <v/>
      </c>
      <c r="CL242" s="398">
        <f t="shared" ca="1" si="729"/>
        <v>6</v>
      </c>
      <c r="CM242" s="398">
        <f t="shared" ca="1" si="765"/>
        <v>2</v>
      </c>
      <c r="CN242" s="398">
        <f t="shared" ca="1" si="766"/>
        <v>128</v>
      </c>
      <c r="CO242" s="398">
        <f t="shared" ca="1" si="767"/>
        <v>111690</v>
      </c>
      <c r="CP242" s="399">
        <f t="shared" si="698"/>
        <v>0</v>
      </c>
      <c r="CQ242" s="399">
        <f t="shared" si="699"/>
        <v>0</v>
      </c>
      <c r="CR242" s="483" t="str">
        <f t="shared" ca="1" si="730"/>
        <v/>
      </c>
      <c r="CS242"/>
    </row>
    <row r="243" spans="1:97">
      <c r="A243" s="398" t="s">
        <v>531</v>
      </c>
      <c r="B243" s="398" t="s">
        <v>987</v>
      </c>
      <c r="C243" s="440" t="s">
        <v>891</v>
      </c>
      <c r="D243" s="398">
        <v>1</v>
      </c>
      <c r="E243" s="398"/>
      <c r="F243" s="440">
        <v>0</v>
      </c>
      <c r="G243" s="398">
        <f>IF(C243="RAID5",(7-F243)*5586,(6-F243)*5586)</f>
        <v>39102</v>
      </c>
      <c r="H243" s="399">
        <v>48</v>
      </c>
      <c r="I243" s="399">
        <v>550</v>
      </c>
      <c r="J243" s="399">
        <v>256</v>
      </c>
      <c r="K243" s="399"/>
      <c r="L243" s="399"/>
      <c r="M243" s="400">
        <f ca="1">IF(MAX(IF($B$6="No",ROUNDUP($B$3/$I243,0),ROUNDUP(($B$3+$I243)/$I243,0)),IF($B$6="No",ROUNDUP($B$4/$G243,0),ROUNDUP(($B$4+$G243)/$G243,0)),ROUNDUP('BVMS checklist'!$H$217/$J243,0))&gt;1,'BVMS checklist'!$H$224,'BVMS checklist'!$H$217)</f>
        <v>0</v>
      </c>
      <c r="N243" s="398">
        <f t="shared" ca="1" si="709"/>
        <v>2</v>
      </c>
      <c r="O243" s="400">
        <f t="shared" ca="1" si="736"/>
        <v>2</v>
      </c>
      <c r="P243" s="400">
        <f t="shared" ca="1" si="700"/>
        <v>1100</v>
      </c>
      <c r="Q243" s="400">
        <f t="shared" ca="1" si="701"/>
        <v>0</v>
      </c>
      <c r="R243" s="398">
        <f t="shared" ca="1" si="702"/>
        <v>78204</v>
      </c>
      <c r="S243" s="401" t="str">
        <f t="shared" ca="1" si="710"/>
        <v/>
      </c>
      <c r="T243" s="398">
        <f t="shared" ca="1" si="711"/>
        <v>512</v>
      </c>
      <c r="U243" s="400">
        <f ca="1">IF(MAX(IF($B$6="No",ROUNDUP($B$3/$I243,0),ROUNDUP(($B$3+$I243)/$I243,0)),IF($B$6="No",ROUNDUP($B$4/$G243,0),ROUNDUP(($B$4+$G243)/$G243,0)),ROUNDUP('BVMS checklist'!$H$217/$J243,0))&gt;1,'BVMS checklist'!$H$224,'BVMS checklist'!$H$217)+MAX(IF($B$6="No",ROUNDUP($B$3/$I243,0),ROUNDUP(($B$3+$I243)/$I243,0)),IF($B$6="No",ROUNDUP($B$4/$G243,0),ROUNDUP(($B$4+$G243)/$G243,0)))+$B$5</f>
        <v>1</v>
      </c>
      <c r="V243" s="400" t="b">
        <f t="shared" ca="1" si="703"/>
        <v>1</v>
      </c>
      <c r="W243" s="400" t="str">
        <f t="shared" ca="1" si="737"/>
        <v>Accepted</v>
      </c>
      <c r="X243" s="398" t="str">
        <f t="shared" ca="1" si="712"/>
        <v>No</v>
      </c>
      <c r="Y243" s="398" t="str">
        <f t="shared" ca="1" si="713"/>
        <v/>
      </c>
      <c r="Z243" s="398" t="str">
        <f t="shared" ca="1" si="714"/>
        <v/>
      </c>
      <c r="AA243" s="398">
        <f t="shared" ca="1" si="738"/>
        <v>6</v>
      </c>
      <c r="AB243" s="398">
        <f t="shared" ca="1" si="704"/>
        <v>2</v>
      </c>
      <c r="AC243" s="398">
        <f t="shared" ca="1" si="705"/>
        <v>96</v>
      </c>
      <c r="AD243" s="398">
        <f t="shared" ca="1" si="739"/>
        <v>78204</v>
      </c>
      <c r="AE243" s="399">
        <f t="shared" ref="AE243:AE306" si="768">K243</f>
        <v>0</v>
      </c>
      <c r="AF243" s="399">
        <f t="shared" ref="AF243:AF306" si="769">L243</f>
        <v>0</v>
      </c>
      <c r="AG243" s="483" t="str">
        <f t="shared" ca="1" si="715"/>
        <v/>
      </c>
      <c r="AH243" s="400">
        <f ca="1">IF(MAX(IF($C$6="No",ROUNDUP($C$3/$I243,0),ROUNDUP(($C$3+$I243)/$I243,0)),IF($C$6="No",ROUNDUP($C$4/$G243,0),ROUNDUP(($C$4+$G243)/$G243,0)),ROUNDUP('BVMS checklist'!$H$217/$J243,0))&gt;1,'BVMS checklist'!$J$224,'BVMS checklist'!$J$217)</f>
        <v>0</v>
      </c>
      <c r="AI243" s="398">
        <f t="shared" ca="1" si="716"/>
        <v>2</v>
      </c>
      <c r="AJ243" s="400">
        <f t="shared" ca="1" si="740"/>
        <v>2</v>
      </c>
      <c r="AK243" s="400">
        <f t="shared" ca="1" si="741"/>
        <v>1100</v>
      </c>
      <c r="AL243" s="400">
        <f t="shared" ca="1" si="742"/>
        <v>0</v>
      </c>
      <c r="AM243" s="398">
        <f t="shared" ca="1" si="743"/>
        <v>78204</v>
      </c>
      <c r="AN243" s="401" t="str">
        <f t="shared" ca="1" si="717"/>
        <v/>
      </c>
      <c r="AO243" s="398">
        <f t="shared" ca="1" si="744"/>
        <v>512</v>
      </c>
      <c r="AP243" s="400">
        <f ca="1">IF(MAX(IF($C$6="No",ROUNDUP($C$3/$I243,0),ROUNDUP(($C$3+$I243)/$I243,0)),IF($C$6="No",ROUNDUP($C$4/$G243,0),ROUNDUP(($C$4+$G243)/$G243,0)),ROUNDUP('BVMS checklist'!$H$217/$J243,0))&gt;1,'BVMS checklist'!$J$224,'BVMS checklist'!$J$217)+MAX(IF($C$6="No",ROUNDUP($C$3/$I243,0),ROUNDUP(($C$3+$I243)/$I243,0)),IF($C$6="No",ROUNDUP($C$4/$G243,0),ROUNDUP(($C$4+$G243)/$G243,0)))+$C$5</f>
        <v>1</v>
      </c>
      <c r="AQ243" s="400" t="b">
        <f t="shared" ca="1" si="706"/>
        <v>1</v>
      </c>
      <c r="AR243" s="400" t="str">
        <f t="shared" ca="1" si="745"/>
        <v>Accepted</v>
      </c>
      <c r="AS243" s="398" t="str">
        <f t="shared" ca="1" si="731"/>
        <v>No</v>
      </c>
      <c r="AT243" s="398" t="str">
        <f t="shared" ca="1" si="746"/>
        <v/>
      </c>
      <c r="AU243" s="398" t="str">
        <f t="shared" ca="1" si="718"/>
        <v/>
      </c>
      <c r="AV243" s="398">
        <f t="shared" ca="1" si="719"/>
        <v>6</v>
      </c>
      <c r="AW243" s="398">
        <f t="shared" ca="1" si="747"/>
        <v>2</v>
      </c>
      <c r="AX243" s="398">
        <f t="shared" ca="1" si="748"/>
        <v>96</v>
      </c>
      <c r="AY243" s="398">
        <f t="shared" ca="1" si="749"/>
        <v>78204</v>
      </c>
      <c r="AZ243" s="399">
        <f t="shared" ref="AZ243:AZ306" si="770">K243</f>
        <v>0</v>
      </c>
      <c r="BA243" s="399">
        <f t="shared" ref="BA243:BA306" si="771">L243</f>
        <v>0</v>
      </c>
      <c r="BB243" s="483" t="str">
        <f t="shared" ca="1" si="720"/>
        <v/>
      </c>
      <c r="BC243" s="400">
        <f ca="1">IF(MAX(IF($D$6="No",ROUNDUP($D$3/$I243,0),ROUNDUP(($D$3+$I243)/$I243,0)),IF($D$6="No",ROUNDUP($D$4/$G243,0),ROUNDUP(($D$4+$G243)/$G243,0)),ROUNDUP('BVMS checklist'!$H$217/$J243,0))&gt;1,'BVMS checklist'!$L$224,'BVMS checklist'!$L$217)</f>
        <v>0</v>
      </c>
      <c r="BD243" s="398">
        <f t="shared" ca="1" si="721"/>
        <v>2</v>
      </c>
      <c r="BE243" s="400">
        <f t="shared" si="750"/>
        <v>1</v>
      </c>
      <c r="BF243" s="400">
        <f t="shared" si="751"/>
        <v>550</v>
      </c>
      <c r="BG243" s="400">
        <f t="shared" ca="1" si="732"/>
        <v>0</v>
      </c>
      <c r="BH243" s="398">
        <f t="shared" ca="1" si="752"/>
        <v>78204</v>
      </c>
      <c r="BI243" s="401" t="str">
        <f t="shared" ca="1" si="722"/>
        <v/>
      </c>
      <c r="BJ243" s="398">
        <f t="shared" ca="1" si="753"/>
        <v>512</v>
      </c>
      <c r="BK243" s="400">
        <f ca="1">IF(MAX(IF($D$6="No",ROUNDUP($D$3/$I243,0),ROUNDUP(($D$3+$I243)/$I243,0)),IF($D$6="No",ROUNDUP($D$4/$G243,0),ROUNDUP(($D$4+$G243)/$G243,0)),ROUNDUP('BVMS checklist'!$H$217/$J243,0))&gt;1,'BVMS checklist'!$L$224,'BVMS checklist'!$L$217)+MAX(IF($D$6="No",ROUNDUP($D$3/$I243,0),ROUNDUP(($D$3+$I243)/$I243,0)),IF($D$6="No",ROUNDUP($D$4/$G243,0),ROUNDUP(($D$4+$G243)/$G243,0)))+$D$5</f>
        <v>1</v>
      </c>
      <c r="BL243" s="400" t="b">
        <f t="shared" ca="1" si="707"/>
        <v>1</v>
      </c>
      <c r="BM243" s="400" t="str">
        <f t="shared" ca="1" si="754"/>
        <v>Accepted</v>
      </c>
      <c r="BN243" s="398" t="str">
        <f t="shared" ca="1" si="733"/>
        <v>No</v>
      </c>
      <c r="BO243" s="398" t="str">
        <f t="shared" ca="1" si="755"/>
        <v/>
      </c>
      <c r="BP243" s="398" t="str">
        <f t="shared" ca="1" si="723"/>
        <v/>
      </c>
      <c r="BQ243" s="398">
        <f t="shared" ca="1" si="724"/>
        <v>6</v>
      </c>
      <c r="BR243" s="398">
        <f t="shared" ca="1" si="756"/>
        <v>2</v>
      </c>
      <c r="BS243" s="398">
        <f t="shared" ca="1" si="757"/>
        <v>96</v>
      </c>
      <c r="BT243" s="398">
        <f t="shared" ca="1" si="758"/>
        <v>78204</v>
      </c>
      <c r="BU243" s="399">
        <f t="shared" ref="BU243:BU306" si="772">K243</f>
        <v>0</v>
      </c>
      <c r="BV243" s="399">
        <f t="shared" ref="BV243:BV306" si="773">L243</f>
        <v>0</v>
      </c>
      <c r="BW243" s="483" t="str">
        <f t="shared" ca="1" si="725"/>
        <v/>
      </c>
      <c r="BX243" s="400">
        <f ca="1">IF(MAX(IF($E$6="No",ROUNDUP($E$3/$I243,0),ROUNDUP(($E$3+$I243)/$I243,0)),IF($E$6="No",ROUNDUP($E$4/$G243,0),ROUNDUP(($E$4+$G243)/$G243,0)),ROUNDUP('BVMS checklist'!$H$217/$J243,0))&gt;1,'BVMS checklist'!$N$224,'BVMS checklist'!$N$217)</f>
        <v>0</v>
      </c>
      <c r="BY243" s="398">
        <f t="shared" ca="1" si="726"/>
        <v>2</v>
      </c>
      <c r="BZ243" s="400">
        <f t="shared" ca="1" si="759"/>
        <v>2</v>
      </c>
      <c r="CA243" s="400">
        <f t="shared" ca="1" si="760"/>
        <v>1100</v>
      </c>
      <c r="CB243" s="400">
        <f t="shared" ca="1" si="734"/>
        <v>0</v>
      </c>
      <c r="CC243" s="398">
        <f t="shared" ca="1" si="761"/>
        <v>78204</v>
      </c>
      <c r="CD243" s="401" t="str">
        <f t="shared" ca="1" si="727"/>
        <v/>
      </c>
      <c r="CE243" s="398">
        <f t="shared" ca="1" si="762"/>
        <v>512</v>
      </c>
      <c r="CF243" s="400">
        <f ca="1">IF(MAX(IF($E$6="No",ROUNDUP($E$3/$I243,0),ROUNDUP(($E$3+$I243)/$I243,0)),IF($E$6="No",ROUNDUP($E$4/$G243,0),ROUNDUP(($E$4+$G243)/$G243,0)),ROUNDUP('BVMS checklist'!$H$217/$J243,0))&gt;1,'BVMS checklist'!$N$224,'BVMS checklist'!$N$217)+MAX(IF($E$6="No",ROUNDUP($E$3/$I243,0),ROUNDUP(($E$3+$I243)/$I243,0)),IF($E$6="No",ROUNDUP($E$4/$G243,0),ROUNDUP(($E$4+$G243)/$G243,0)))+$E$5</f>
        <v>1</v>
      </c>
      <c r="CG243" s="400" t="b">
        <f t="shared" ca="1" si="708"/>
        <v>1</v>
      </c>
      <c r="CH243" s="400" t="str">
        <f t="shared" ca="1" si="763"/>
        <v>Accepted</v>
      </c>
      <c r="CI243" s="398" t="str">
        <f t="shared" ca="1" si="735"/>
        <v>No</v>
      </c>
      <c r="CJ243" s="398" t="str">
        <f t="shared" ca="1" si="764"/>
        <v/>
      </c>
      <c r="CK243" s="398" t="str">
        <f t="shared" ca="1" si="728"/>
        <v/>
      </c>
      <c r="CL243" s="398">
        <f t="shared" ca="1" si="729"/>
        <v>6</v>
      </c>
      <c r="CM243" s="398">
        <f t="shared" ca="1" si="765"/>
        <v>2</v>
      </c>
      <c r="CN243" s="398">
        <f t="shared" ca="1" si="766"/>
        <v>96</v>
      </c>
      <c r="CO243" s="398">
        <f t="shared" ca="1" si="767"/>
        <v>78204</v>
      </c>
      <c r="CP243" s="399">
        <f t="shared" ref="CP243:CP306" si="774">K243</f>
        <v>0</v>
      </c>
      <c r="CQ243" s="399">
        <f t="shared" ref="CQ243:CQ306" si="775">L243</f>
        <v>0</v>
      </c>
      <c r="CR243" s="483" t="str">
        <f t="shared" ca="1" si="730"/>
        <v/>
      </c>
      <c r="CS243"/>
    </row>
    <row r="244" spans="1:97">
      <c r="A244" s="398" t="s">
        <v>532</v>
      </c>
      <c r="B244" s="398" t="s">
        <v>987</v>
      </c>
      <c r="C244" s="440" t="s">
        <v>891</v>
      </c>
      <c r="D244" s="398">
        <v>1</v>
      </c>
      <c r="E244" s="398"/>
      <c r="F244" s="440">
        <v>0</v>
      </c>
      <c r="G244" s="398">
        <f>IF(C244="RAID5",(15-F244)*5586,(14-F244)*5586)</f>
        <v>83790</v>
      </c>
      <c r="H244" s="399">
        <v>96</v>
      </c>
      <c r="I244" s="399">
        <v>550</v>
      </c>
      <c r="J244" s="399">
        <v>256</v>
      </c>
      <c r="K244" s="399"/>
      <c r="L244" s="399"/>
      <c r="M244" s="400">
        <f ca="1">IF(MAX(IF($B$6="No",ROUNDUP($B$3/$I244,0),ROUNDUP(($B$3+$I244)/$I244,0)),IF($B$6="No",ROUNDUP($B$4/$G244,0),ROUNDUP(($B$4+$G244)/$G244,0)),ROUNDUP('BVMS checklist'!$H$217/$J244,0))&gt;1,'BVMS checklist'!$H$224,'BVMS checklist'!$H$217)</f>
        <v>0</v>
      </c>
      <c r="N244" s="398">
        <f t="shared" ca="1" si="709"/>
        <v>2</v>
      </c>
      <c r="O244" s="400">
        <f t="shared" ca="1" si="736"/>
        <v>2</v>
      </c>
      <c r="P244" s="400">
        <f t="shared" ca="1" si="700"/>
        <v>1100</v>
      </c>
      <c r="Q244" s="400">
        <f t="shared" ca="1" si="701"/>
        <v>0</v>
      </c>
      <c r="R244" s="398">
        <f t="shared" ca="1" si="702"/>
        <v>167580</v>
      </c>
      <c r="S244" s="401" t="str">
        <f t="shared" ca="1" si="710"/>
        <v/>
      </c>
      <c r="T244" s="398">
        <f t="shared" ca="1" si="711"/>
        <v>512</v>
      </c>
      <c r="U244" s="400">
        <f ca="1">IF(MAX(IF($B$6="No",ROUNDUP($B$3/$I244,0),ROUNDUP(($B$3+$I244)/$I244,0)),IF($B$6="No",ROUNDUP($B$4/$G244,0),ROUNDUP(($B$4+$G244)/$G244,0)),ROUNDUP('BVMS checklist'!$H$217/$J244,0))&gt;1,'BVMS checklist'!$H$224,'BVMS checklist'!$H$217)+MAX(IF($B$6="No",ROUNDUP($B$3/$I244,0),ROUNDUP(($B$3+$I244)/$I244,0)),IF($B$6="No",ROUNDUP($B$4/$G244,0),ROUNDUP(($B$4+$G244)/$G244,0)))+$B$5</f>
        <v>1</v>
      </c>
      <c r="V244" s="400" t="b">
        <f t="shared" ca="1" si="703"/>
        <v>1</v>
      </c>
      <c r="W244" s="400" t="str">
        <f t="shared" ca="1" si="737"/>
        <v>Accepted</v>
      </c>
      <c r="X244" s="398" t="str">
        <f t="shared" ca="1" si="712"/>
        <v>No</v>
      </c>
      <c r="Y244" s="398" t="str">
        <f t="shared" ca="1" si="713"/>
        <v/>
      </c>
      <c r="Z244" s="398" t="str">
        <f t="shared" ca="1" si="714"/>
        <v/>
      </c>
      <c r="AA244" s="398">
        <f t="shared" ca="1" si="738"/>
        <v>6</v>
      </c>
      <c r="AB244" s="398">
        <f t="shared" ca="1" si="704"/>
        <v>2</v>
      </c>
      <c r="AC244" s="398">
        <f t="shared" ca="1" si="705"/>
        <v>192</v>
      </c>
      <c r="AD244" s="398">
        <f t="shared" ca="1" si="739"/>
        <v>167580</v>
      </c>
      <c r="AE244" s="399">
        <f t="shared" si="768"/>
        <v>0</v>
      </c>
      <c r="AF244" s="399">
        <f t="shared" si="769"/>
        <v>0</v>
      </c>
      <c r="AG244" s="483" t="str">
        <f t="shared" ca="1" si="715"/>
        <v/>
      </c>
      <c r="AH244" s="400">
        <f ca="1">IF(MAX(IF($C$6="No",ROUNDUP($C$3/$I244,0),ROUNDUP(($C$3+$I244)/$I244,0)),IF($C$6="No",ROUNDUP($C$4/$G244,0),ROUNDUP(($C$4+$G244)/$G244,0)),ROUNDUP('BVMS checklist'!$H$217/$J244,0))&gt;1,'BVMS checklist'!$J$224,'BVMS checklist'!$J$217)</f>
        <v>0</v>
      </c>
      <c r="AI244" s="398">
        <f t="shared" ca="1" si="716"/>
        <v>2</v>
      </c>
      <c r="AJ244" s="400">
        <f t="shared" ca="1" si="740"/>
        <v>2</v>
      </c>
      <c r="AK244" s="400">
        <f t="shared" ca="1" si="741"/>
        <v>1100</v>
      </c>
      <c r="AL244" s="400">
        <f t="shared" ca="1" si="742"/>
        <v>0</v>
      </c>
      <c r="AM244" s="398">
        <f t="shared" ca="1" si="743"/>
        <v>167580</v>
      </c>
      <c r="AN244" s="401" t="str">
        <f t="shared" ca="1" si="717"/>
        <v/>
      </c>
      <c r="AO244" s="398">
        <f t="shared" ca="1" si="744"/>
        <v>512</v>
      </c>
      <c r="AP244" s="400">
        <f ca="1">IF(MAX(IF($C$6="No",ROUNDUP($C$3/$I244,0),ROUNDUP(($C$3+$I244)/$I244,0)),IF($C$6="No",ROUNDUP($C$4/$G244,0),ROUNDUP(($C$4+$G244)/$G244,0)),ROUNDUP('BVMS checklist'!$H$217/$J244,0))&gt;1,'BVMS checklist'!$J$224,'BVMS checklist'!$J$217)+MAX(IF($C$6="No",ROUNDUP($C$3/$I244,0),ROUNDUP(($C$3+$I244)/$I244,0)),IF($C$6="No",ROUNDUP($C$4/$G244,0),ROUNDUP(($C$4+$G244)/$G244,0)))+$C$5</f>
        <v>1</v>
      </c>
      <c r="AQ244" s="400" t="b">
        <f t="shared" ca="1" si="706"/>
        <v>1</v>
      </c>
      <c r="AR244" s="400" t="str">
        <f t="shared" ca="1" si="745"/>
        <v>Accepted</v>
      </c>
      <c r="AS244" s="398" t="str">
        <f t="shared" ca="1" si="731"/>
        <v>No</v>
      </c>
      <c r="AT244" s="398" t="str">
        <f t="shared" ca="1" si="746"/>
        <v/>
      </c>
      <c r="AU244" s="398" t="str">
        <f t="shared" ca="1" si="718"/>
        <v/>
      </c>
      <c r="AV244" s="398">
        <f t="shared" ca="1" si="719"/>
        <v>6</v>
      </c>
      <c r="AW244" s="398">
        <f t="shared" ca="1" si="747"/>
        <v>2</v>
      </c>
      <c r="AX244" s="398">
        <f t="shared" ca="1" si="748"/>
        <v>192</v>
      </c>
      <c r="AY244" s="398">
        <f t="shared" ca="1" si="749"/>
        <v>167580</v>
      </c>
      <c r="AZ244" s="399">
        <f t="shared" si="770"/>
        <v>0</v>
      </c>
      <c r="BA244" s="399">
        <f t="shared" si="771"/>
        <v>0</v>
      </c>
      <c r="BB244" s="483" t="str">
        <f t="shared" ca="1" si="720"/>
        <v/>
      </c>
      <c r="BC244" s="400">
        <f ca="1">IF(MAX(IF($D$6="No",ROUNDUP($D$3/$I244,0),ROUNDUP(($D$3+$I244)/$I244,0)),IF($D$6="No",ROUNDUP($D$4/$G244,0),ROUNDUP(($D$4+$G244)/$G244,0)),ROUNDUP('BVMS checklist'!$H$217/$J244,0))&gt;1,'BVMS checklist'!$L$224,'BVMS checklist'!$L$217)</f>
        <v>0</v>
      </c>
      <c r="BD244" s="398">
        <f t="shared" ca="1" si="721"/>
        <v>2</v>
      </c>
      <c r="BE244" s="400">
        <f t="shared" si="750"/>
        <v>1</v>
      </c>
      <c r="BF244" s="400">
        <f t="shared" si="751"/>
        <v>550</v>
      </c>
      <c r="BG244" s="400">
        <f t="shared" ca="1" si="732"/>
        <v>0</v>
      </c>
      <c r="BH244" s="398">
        <f t="shared" ca="1" si="752"/>
        <v>167580</v>
      </c>
      <c r="BI244" s="401" t="str">
        <f t="shared" ca="1" si="722"/>
        <v/>
      </c>
      <c r="BJ244" s="398">
        <f t="shared" ca="1" si="753"/>
        <v>512</v>
      </c>
      <c r="BK244" s="400">
        <f ca="1">IF(MAX(IF($D$6="No",ROUNDUP($D$3/$I244,0),ROUNDUP(($D$3+$I244)/$I244,0)),IF($D$6="No",ROUNDUP($D$4/$G244,0),ROUNDUP(($D$4+$G244)/$G244,0)),ROUNDUP('BVMS checklist'!$H$217/$J244,0))&gt;1,'BVMS checklist'!$L$224,'BVMS checklist'!$L$217)+MAX(IF($D$6="No",ROUNDUP($D$3/$I244,0),ROUNDUP(($D$3+$I244)/$I244,0)),IF($D$6="No",ROUNDUP($D$4/$G244,0),ROUNDUP(($D$4+$G244)/$G244,0)))+$D$5</f>
        <v>1</v>
      </c>
      <c r="BL244" s="400" t="b">
        <f t="shared" ca="1" si="707"/>
        <v>1</v>
      </c>
      <c r="BM244" s="400" t="str">
        <f t="shared" ca="1" si="754"/>
        <v>Accepted</v>
      </c>
      <c r="BN244" s="398" t="str">
        <f t="shared" ca="1" si="733"/>
        <v>No</v>
      </c>
      <c r="BO244" s="398" t="str">
        <f t="shared" ca="1" si="755"/>
        <v/>
      </c>
      <c r="BP244" s="398" t="str">
        <f t="shared" ca="1" si="723"/>
        <v/>
      </c>
      <c r="BQ244" s="398">
        <f t="shared" ca="1" si="724"/>
        <v>6</v>
      </c>
      <c r="BR244" s="398">
        <f t="shared" ca="1" si="756"/>
        <v>2</v>
      </c>
      <c r="BS244" s="398">
        <f t="shared" ca="1" si="757"/>
        <v>192</v>
      </c>
      <c r="BT244" s="398">
        <f t="shared" ca="1" si="758"/>
        <v>167580</v>
      </c>
      <c r="BU244" s="399">
        <f t="shared" si="772"/>
        <v>0</v>
      </c>
      <c r="BV244" s="399">
        <f t="shared" si="773"/>
        <v>0</v>
      </c>
      <c r="BW244" s="483" t="str">
        <f t="shared" ca="1" si="725"/>
        <v/>
      </c>
      <c r="BX244" s="400">
        <f ca="1">IF(MAX(IF($E$6="No",ROUNDUP($E$3/$I244,0),ROUNDUP(($E$3+$I244)/$I244,0)),IF($E$6="No",ROUNDUP($E$4/$G244,0),ROUNDUP(($E$4+$G244)/$G244,0)),ROUNDUP('BVMS checklist'!$H$217/$J244,0))&gt;1,'BVMS checklist'!$N$224,'BVMS checklist'!$N$217)</f>
        <v>0</v>
      </c>
      <c r="BY244" s="398">
        <f t="shared" ca="1" si="726"/>
        <v>2</v>
      </c>
      <c r="BZ244" s="400">
        <f t="shared" ca="1" si="759"/>
        <v>2</v>
      </c>
      <c r="CA244" s="400">
        <f t="shared" ca="1" si="760"/>
        <v>1100</v>
      </c>
      <c r="CB244" s="400">
        <f t="shared" ca="1" si="734"/>
        <v>0</v>
      </c>
      <c r="CC244" s="398">
        <f t="shared" ca="1" si="761"/>
        <v>167580</v>
      </c>
      <c r="CD244" s="401" t="str">
        <f t="shared" ca="1" si="727"/>
        <v/>
      </c>
      <c r="CE244" s="398">
        <f t="shared" ca="1" si="762"/>
        <v>512</v>
      </c>
      <c r="CF244" s="400">
        <f ca="1">IF(MAX(IF($E$6="No",ROUNDUP($E$3/$I244,0),ROUNDUP(($E$3+$I244)/$I244,0)),IF($E$6="No",ROUNDUP($E$4/$G244,0),ROUNDUP(($E$4+$G244)/$G244,0)),ROUNDUP('BVMS checklist'!$H$217/$J244,0))&gt;1,'BVMS checklist'!$N$224,'BVMS checklist'!$N$217)+MAX(IF($E$6="No",ROUNDUP($E$3/$I244,0),ROUNDUP(($E$3+$I244)/$I244,0)),IF($E$6="No",ROUNDUP($E$4/$G244,0),ROUNDUP(($E$4+$G244)/$G244,0)))+$E$5</f>
        <v>1</v>
      </c>
      <c r="CG244" s="400" t="b">
        <f t="shared" ca="1" si="708"/>
        <v>1</v>
      </c>
      <c r="CH244" s="400" t="str">
        <f t="shared" ca="1" si="763"/>
        <v>Accepted</v>
      </c>
      <c r="CI244" s="398" t="str">
        <f t="shared" ca="1" si="735"/>
        <v>No</v>
      </c>
      <c r="CJ244" s="398" t="str">
        <f t="shared" ca="1" si="764"/>
        <v/>
      </c>
      <c r="CK244" s="398" t="str">
        <f t="shared" ca="1" si="728"/>
        <v/>
      </c>
      <c r="CL244" s="398">
        <f t="shared" ca="1" si="729"/>
        <v>6</v>
      </c>
      <c r="CM244" s="398">
        <f t="shared" ca="1" si="765"/>
        <v>2</v>
      </c>
      <c r="CN244" s="398">
        <f t="shared" ca="1" si="766"/>
        <v>192</v>
      </c>
      <c r="CO244" s="398">
        <f t="shared" ca="1" si="767"/>
        <v>167580</v>
      </c>
      <c r="CP244" s="399">
        <f t="shared" si="774"/>
        <v>0</v>
      </c>
      <c r="CQ244" s="399">
        <f t="shared" si="775"/>
        <v>0</v>
      </c>
      <c r="CR244" s="483" t="str">
        <f t="shared" ca="1" si="730"/>
        <v/>
      </c>
      <c r="CS244"/>
    </row>
    <row r="245" spans="1:97">
      <c r="A245" s="398" t="s">
        <v>533</v>
      </c>
      <c r="B245" s="398" t="s">
        <v>987</v>
      </c>
      <c r="C245" s="440" t="s">
        <v>891</v>
      </c>
      <c r="D245" s="398">
        <v>1</v>
      </c>
      <c r="E245" s="398"/>
      <c r="F245" s="440">
        <v>0</v>
      </c>
      <c r="G245" s="398">
        <f>IF(C245="RAID5",(7-F245)*7448,(6-F245)*7448)</f>
        <v>52136</v>
      </c>
      <c r="H245" s="399">
        <v>64</v>
      </c>
      <c r="I245" s="399">
        <v>550</v>
      </c>
      <c r="J245" s="399">
        <v>256</v>
      </c>
      <c r="K245" s="399"/>
      <c r="L245" s="399"/>
      <c r="M245" s="400">
        <f ca="1">IF(MAX(IF($B$6="No",ROUNDUP($B$3/$I245,0),ROUNDUP(($B$3+$I245)/$I245,0)),IF($B$6="No",ROUNDUP($B$4/$G245,0),ROUNDUP(($B$4+$G245)/$G245,0)),ROUNDUP('BVMS checklist'!$H$217/$J245,0))&gt;1,'BVMS checklist'!$H$224,'BVMS checklist'!$H$217)</f>
        <v>0</v>
      </c>
      <c r="N245" s="398">
        <f t="shared" ca="1" si="709"/>
        <v>2</v>
      </c>
      <c r="O245" s="400">
        <f t="shared" ca="1" si="736"/>
        <v>2</v>
      </c>
      <c r="P245" s="400">
        <f t="shared" ca="1" si="700"/>
        <v>1100</v>
      </c>
      <c r="Q245" s="400">
        <f t="shared" ca="1" si="701"/>
        <v>0</v>
      </c>
      <c r="R245" s="398">
        <f t="shared" ca="1" si="702"/>
        <v>104272</v>
      </c>
      <c r="S245" s="401" t="str">
        <f t="shared" ca="1" si="710"/>
        <v/>
      </c>
      <c r="T245" s="398">
        <f t="shared" ca="1" si="711"/>
        <v>512</v>
      </c>
      <c r="U245" s="400">
        <f ca="1">IF(MAX(IF($B$6="No",ROUNDUP($B$3/$I245,0),ROUNDUP(($B$3+$I245)/$I245,0)),IF($B$6="No",ROUNDUP($B$4/$G245,0),ROUNDUP(($B$4+$G245)/$G245,0)),ROUNDUP('BVMS checklist'!$H$217/$J245,0))&gt;1,'BVMS checklist'!$H$224,'BVMS checklist'!$H$217)+MAX(IF($B$6="No",ROUNDUP($B$3/$I245,0),ROUNDUP(($B$3+$I245)/$I245,0)),IF($B$6="No",ROUNDUP($B$4/$G245,0),ROUNDUP(($B$4+$G245)/$G245,0)))+$B$5</f>
        <v>1</v>
      </c>
      <c r="V245" s="400" t="b">
        <f t="shared" ca="1" si="703"/>
        <v>1</v>
      </c>
      <c r="W245" s="400" t="str">
        <f t="shared" ca="1" si="737"/>
        <v>Accepted</v>
      </c>
      <c r="X245" s="398" t="str">
        <f t="shared" ca="1" si="712"/>
        <v>No</v>
      </c>
      <c r="Y245" s="398" t="str">
        <f t="shared" ca="1" si="713"/>
        <v/>
      </c>
      <c r="Z245" s="398" t="str">
        <f t="shared" ca="1" si="714"/>
        <v/>
      </c>
      <c r="AA245" s="398">
        <f t="shared" ca="1" si="738"/>
        <v>6</v>
      </c>
      <c r="AB245" s="398">
        <f t="shared" ca="1" si="704"/>
        <v>2</v>
      </c>
      <c r="AC245" s="398">
        <f t="shared" ca="1" si="705"/>
        <v>128</v>
      </c>
      <c r="AD245" s="398">
        <f t="shared" ca="1" si="739"/>
        <v>104272</v>
      </c>
      <c r="AE245" s="399">
        <f t="shared" si="768"/>
        <v>0</v>
      </c>
      <c r="AF245" s="399">
        <f t="shared" si="769"/>
        <v>0</v>
      </c>
      <c r="AG245" s="483" t="str">
        <f t="shared" ca="1" si="715"/>
        <v/>
      </c>
      <c r="AH245" s="400">
        <f ca="1">IF(MAX(IF($C$6="No",ROUNDUP($C$3/$I245,0),ROUNDUP(($C$3+$I245)/$I245,0)),IF($C$6="No",ROUNDUP($C$4/$G245,0),ROUNDUP(($C$4+$G245)/$G245,0)),ROUNDUP('BVMS checklist'!$H$217/$J245,0))&gt;1,'BVMS checklist'!$J$224,'BVMS checklist'!$J$217)</f>
        <v>0</v>
      </c>
      <c r="AI245" s="398">
        <f t="shared" ca="1" si="716"/>
        <v>2</v>
      </c>
      <c r="AJ245" s="400">
        <f t="shared" ca="1" si="740"/>
        <v>2</v>
      </c>
      <c r="AK245" s="400">
        <f t="shared" ca="1" si="741"/>
        <v>1100</v>
      </c>
      <c r="AL245" s="400">
        <f t="shared" ca="1" si="742"/>
        <v>0</v>
      </c>
      <c r="AM245" s="398">
        <f t="shared" ca="1" si="743"/>
        <v>104272</v>
      </c>
      <c r="AN245" s="401" t="str">
        <f t="shared" ca="1" si="717"/>
        <v/>
      </c>
      <c r="AO245" s="398">
        <f t="shared" ca="1" si="744"/>
        <v>512</v>
      </c>
      <c r="AP245" s="400">
        <f ca="1">IF(MAX(IF($C$6="No",ROUNDUP($C$3/$I245,0),ROUNDUP(($C$3+$I245)/$I245,0)),IF($C$6="No",ROUNDUP($C$4/$G245,0),ROUNDUP(($C$4+$G245)/$G245,0)),ROUNDUP('BVMS checklist'!$H$217/$J245,0))&gt;1,'BVMS checklist'!$J$224,'BVMS checklist'!$J$217)+MAX(IF($C$6="No",ROUNDUP($C$3/$I245,0),ROUNDUP(($C$3+$I245)/$I245,0)),IF($C$6="No",ROUNDUP($C$4/$G245,0),ROUNDUP(($C$4+$G245)/$G245,0)))+$C$5</f>
        <v>1</v>
      </c>
      <c r="AQ245" s="400" t="b">
        <f t="shared" ca="1" si="706"/>
        <v>1</v>
      </c>
      <c r="AR245" s="400" t="str">
        <f t="shared" ca="1" si="745"/>
        <v>Accepted</v>
      </c>
      <c r="AS245" s="398" t="str">
        <f t="shared" ca="1" si="731"/>
        <v>No</v>
      </c>
      <c r="AT245" s="398" t="str">
        <f t="shared" ca="1" si="746"/>
        <v/>
      </c>
      <c r="AU245" s="398" t="str">
        <f t="shared" ca="1" si="718"/>
        <v/>
      </c>
      <c r="AV245" s="398">
        <f t="shared" ca="1" si="719"/>
        <v>6</v>
      </c>
      <c r="AW245" s="398">
        <f t="shared" ca="1" si="747"/>
        <v>2</v>
      </c>
      <c r="AX245" s="398">
        <f t="shared" ca="1" si="748"/>
        <v>128</v>
      </c>
      <c r="AY245" s="398">
        <f t="shared" ca="1" si="749"/>
        <v>104272</v>
      </c>
      <c r="AZ245" s="399">
        <f t="shared" si="770"/>
        <v>0</v>
      </c>
      <c r="BA245" s="399">
        <f t="shared" si="771"/>
        <v>0</v>
      </c>
      <c r="BB245" s="483" t="str">
        <f t="shared" ca="1" si="720"/>
        <v/>
      </c>
      <c r="BC245" s="400">
        <f ca="1">IF(MAX(IF($D$6="No",ROUNDUP($D$3/$I245,0),ROUNDUP(($D$3+$I245)/$I245,0)),IF($D$6="No",ROUNDUP($D$4/$G245,0),ROUNDUP(($D$4+$G245)/$G245,0)),ROUNDUP('BVMS checklist'!$H$217/$J245,0))&gt;1,'BVMS checklist'!$L$224,'BVMS checklist'!$L$217)</f>
        <v>0</v>
      </c>
      <c r="BD245" s="398">
        <f t="shared" ca="1" si="721"/>
        <v>2</v>
      </c>
      <c r="BE245" s="400">
        <f t="shared" si="750"/>
        <v>1</v>
      </c>
      <c r="BF245" s="400">
        <f t="shared" si="751"/>
        <v>550</v>
      </c>
      <c r="BG245" s="400">
        <f t="shared" ca="1" si="732"/>
        <v>0</v>
      </c>
      <c r="BH245" s="398">
        <f t="shared" ca="1" si="752"/>
        <v>104272</v>
      </c>
      <c r="BI245" s="401" t="str">
        <f t="shared" ca="1" si="722"/>
        <v/>
      </c>
      <c r="BJ245" s="398">
        <f t="shared" ca="1" si="753"/>
        <v>512</v>
      </c>
      <c r="BK245" s="400">
        <f ca="1">IF(MAX(IF($D$6="No",ROUNDUP($D$3/$I245,0),ROUNDUP(($D$3+$I245)/$I245,0)),IF($D$6="No",ROUNDUP($D$4/$G245,0),ROUNDUP(($D$4+$G245)/$G245,0)),ROUNDUP('BVMS checklist'!$H$217/$J245,0))&gt;1,'BVMS checklist'!$L$224,'BVMS checklist'!$L$217)+MAX(IF($D$6="No",ROUNDUP($D$3/$I245,0),ROUNDUP(($D$3+$I245)/$I245,0)),IF($D$6="No",ROUNDUP($D$4/$G245,0),ROUNDUP(($D$4+$G245)/$G245,0)))+$D$5</f>
        <v>1</v>
      </c>
      <c r="BL245" s="400" t="b">
        <f t="shared" ca="1" si="707"/>
        <v>1</v>
      </c>
      <c r="BM245" s="400" t="str">
        <f t="shared" ca="1" si="754"/>
        <v>Accepted</v>
      </c>
      <c r="BN245" s="398" t="str">
        <f t="shared" ca="1" si="733"/>
        <v>No</v>
      </c>
      <c r="BO245" s="398" t="str">
        <f t="shared" ca="1" si="755"/>
        <v/>
      </c>
      <c r="BP245" s="398" t="str">
        <f t="shared" ca="1" si="723"/>
        <v/>
      </c>
      <c r="BQ245" s="398">
        <f t="shared" ca="1" si="724"/>
        <v>6</v>
      </c>
      <c r="BR245" s="398">
        <f t="shared" ca="1" si="756"/>
        <v>2</v>
      </c>
      <c r="BS245" s="398">
        <f t="shared" ca="1" si="757"/>
        <v>128</v>
      </c>
      <c r="BT245" s="398">
        <f t="shared" ca="1" si="758"/>
        <v>104272</v>
      </c>
      <c r="BU245" s="399">
        <f t="shared" si="772"/>
        <v>0</v>
      </c>
      <c r="BV245" s="399">
        <f t="shared" si="773"/>
        <v>0</v>
      </c>
      <c r="BW245" s="483" t="str">
        <f t="shared" ca="1" si="725"/>
        <v/>
      </c>
      <c r="BX245" s="400">
        <f ca="1">IF(MAX(IF($E$6="No",ROUNDUP($E$3/$I245,0),ROUNDUP(($E$3+$I245)/$I245,0)),IF($E$6="No",ROUNDUP($E$4/$G245,0),ROUNDUP(($E$4+$G245)/$G245,0)),ROUNDUP('BVMS checklist'!$H$217/$J245,0))&gt;1,'BVMS checklist'!$N$224,'BVMS checklist'!$N$217)</f>
        <v>0</v>
      </c>
      <c r="BY245" s="398">
        <f t="shared" ca="1" si="726"/>
        <v>2</v>
      </c>
      <c r="BZ245" s="400">
        <f t="shared" ca="1" si="759"/>
        <v>2</v>
      </c>
      <c r="CA245" s="400">
        <f t="shared" ca="1" si="760"/>
        <v>1100</v>
      </c>
      <c r="CB245" s="400">
        <f t="shared" ca="1" si="734"/>
        <v>0</v>
      </c>
      <c r="CC245" s="398">
        <f t="shared" ca="1" si="761"/>
        <v>104272</v>
      </c>
      <c r="CD245" s="401" t="str">
        <f t="shared" ca="1" si="727"/>
        <v/>
      </c>
      <c r="CE245" s="398">
        <f t="shared" ca="1" si="762"/>
        <v>512</v>
      </c>
      <c r="CF245" s="400">
        <f ca="1">IF(MAX(IF($E$6="No",ROUNDUP($E$3/$I245,0),ROUNDUP(($E$3+$I245)/$I245,0)),IF($E$6="No",ROUNDUP($E$4/$G245,0),ROUNDUP(($E$4+$G245)/$G245,0)),ROUNDUP('BVMS checklist'!$H$217/$J245,0))&gt;1,'BVMS checklist'!$N$224,'BVMS checklist'!$N$217)+MAX(IF($E$6="No",ROUNDUP($E$3/$I245,0),ROUNDUP(($E$3+$I245)/$I245,0)),IF($E$6="No",ROUNDUP($E$4/$G245,0),ROUNDUP(($E$4+$G245)/$G245,0)))+$E$5</f>
        <v>1</v>
      </c>
      <c r="CG245" s="400" t="b">
        <f t="shared" ca="1" si="708"/>
        <v>1</v>
      </c>
      <c r="CH245" s="400" t="str">
        <f t="shared" ca="1" si="763"/>
        <v>Accepted</v>
      </c>
      <c r="CI245" s="398" t="str">
        <f t="shared" ca="1" si="735"/>
        <v>No</v>
      </c>
      <c r="CJ245" s="398" t="str">
        <f t="shared" ca="1" si="764"/>
        <v/>
      </c>
      <c r="CK245" s="398" t="str">
        <f t="shared" ca="1" si="728"/>
        <v/>
      </c>
      <c r="CL245" s="398">
        <f t="shared" ca="1" si="729"/>
        <v>6</v>
      </c>
      <c r="CM245" s="398">
        <f t="shared" ca="1" si="765"/>
        <v>2</v>
      </c>
      <c r="CN245" s="398">
        <f t="shared" ca="1" si="766"/>
        <v>128</v>
      </c>
      <c r="CO245" s="398">
        <f t="shared" ca="1" si="767"/>
        <v>104272</v>
      </c>
      <c r="CP245" s="399">
        <f t="shared" si="774"/>
        <v>0</v>
      </c>
      <c r="CQ245" s="399">
        <f t="shared" si="775"/>
        <v>0</v>
      </c>
      <c r="CR245" s="483" t="str">
        <f t="shared" ca="1" si="730"/>
        <v/>
      </c>
      <c r="CS245"/>
    </row>
    <row r="246" spans="1:97">
      <c r="A246" s="398" t="s">
        <v>534</v>
      </c>
      <c r="B246" s="398" t="s">
        <v>987</v>
      </c>
      <c r="C246" s="440" t="s">
        <v>891</v>
      </c>
      <c r="D246" s="398">
        <v>1</v>
      </c>
      <c r="E246" s="398"/>
      <c r="F246" s="440">
        <v>0</v>
      </c>
      <c r="G246" s="398">
        <f>IF(C246="RAID5",(15-F246)*7448,(14-F246)*7448)</f>
        <v>111720</v>
      </c>
      <c r="H246" s="399">
        <v>128</v>
      </c>
      <c r="I246" s="399">
        <v>550</v>
      </c>
      <c r="J246" s="399">
        <v>256</v>
      </c>
      <c r="K246" s="399"/>
      <c r="L246" s="399"/>
      <c r="M246" s="400">
        <f ca="1">IF(MAX(IF($B$6="No",ROUNDUP($B$3/$I246,0),ROUNDUP(($B$3+$I246)/$I246,0)),IF($B$6="No",ROUNDUP($B$4/$G246,0),ROUNDUP(($B$4+$G246)/$G246,0)),ROUNDUP('BVMS checklist'!$H$217/$J246,0))&gt;1,'BVMS checklist'!$H$224,'BVMS checklist'!$H$217)</f>
        <v>0</v>
      </c>
      <c r="N246" s="398">
        <f t="shared" ca="1" si="709"/>
        <v>2</v>
      </c>
      <c r="O246" s="400">
        <f t="shared" ca="1" si="736"/>
        <v>2</v>
      </c>
      <c r="P246" s="400">
        <f t="shared" ca="1" si="700"/>
        <v>1100</v>
      </c>
      <c r="Q246" s="400">
        <f t="shared" ca="1" si="701"/>
        <v>0</v>
      </c>
      <c r="R246" s="398">
        <f t="shared" ca="1" si="702"/>
        <v>223440</v>
      </c>
      <c r="S246" s="401" t="str">
        <f t="shared" ca="1" si="710"/>
        <v/>
      </c>
      <c r="T246" s="398">
        <f t="shared" ca="1" si="711"/>
        <v>512</v>
      </c>
      <c r="U246" s="400">
        <f ca="1">IF(MAX(IF($B$6="No",ROUNDUP($B$3/$I246,0),ROUNDUP(($B$3+$I246)/$I246,0)),IF($B$6="No",ROUNDUP($B$4/$G246,0),ROUNDUP(($B$4+$G246)/$G246,0)),ROUNDUP('BVMS checklist'!$H$217/$J246,0))&gt;1,'BVMS checklist'!$H$224,'BVMS checklist'!$H$217)+MAX(IF($B$6="No",ROUNDUP($B$3/$I246,0),ROUNDUP(($B$3+$I246)/$I246,0)),IF($B$6="No",ROUNDUP($B$4/$G246,0),ROUNDUP(($B$4+$G246)/$G246,0)))+$B$5</f>
        <v>1</v>
      </c>
      <c r="V246" s="400" t="b">
        <f t="shared" ca="1" si="703"/>
        <v>1</v>
      </c>
      <c r="W246" s="400" t="str">
        <f t="shared" ca="1" si="737"/>
        <v>Accepted</v>
      </c>
      <c r="X246" s="398" t="str">
        <f t="shared" ca="1" si="712"/>
        <v>No</v>
      </c>
      <c r="Y246" s="398" t="str">
        <f t="shared" ca="1" si="713"/>
        <v/>
      </c>
      <c r="Z246" s="398" t="str">
        <f t="shared" ca="1" si="714"/>
        <v/>
      </c>
      <c r="AA246" s="398">
        <f t="shared" ca="1" si="738"/>
        <v>6</v>
      </c>
      <c r="AB246" s="398">
        <f t="shared" ca="1" si="704"/>
        <v>2</v>
      </c>
      <c r="AC246" s="398">
        <f t="shared" ca="1" si="705"/>
        <v>256</v>
      </c>
      <c r="AD246" s="398">
        <f t="shared" ca="1" si="739"/>
        <v>223440</v>
      </c>
      <c r="AE246" s="399">
        <f t="shared" si="768"/>
        <v>0</v>
      </c>
      <c r="AF246" s="399">
        <f t="shared" si="769"/>
        <v>0</v>
      </c>
      <c r="AG246" s="483" t="str">
        <f t="shared" ca="1" si="715"/>
        <v/>
      </c>
      <c r="AH246" s="400">
        <f ca="1">IF(MAX(IF($C$6="No",ROUNDUP($C$3/$I246,0),ROUNDUP(($C$3+$I246)/$I246,0)),IF($C$6="No",ROUNDUP($C$4/$G246,0),ROUNDUP(($C$4+$G246)/$G246,0)),ROUNDUP('BVMS checklist'!$H$217/$J246,0))&gt;1,'BVMS checklist'!$J$224,'BVMS checklist'!$J$217)</f>
        <v>0</v>
      </c>
      <c r="AI246" s="398">
        <f t="shared" ca="1" si="716"/>
        <v>2</v>
      </c>
      <c r="AJ246" s="400">
        <f t="shared" ca="1" si="740"/>
        <v>2</v>
      </c>
      <c r="AK246" s="400">
        <f t="shared" ca="1" si="741"/>
        <v>1100</v>
      </c>
      <c r="AL246" s="400">
        <f t="shared" ca="1" si="742"/>
        <v>0</v>
      </c>
      <c r="AM246" s="398">
        <f t="shared" ca="1" si="743"/>
        <v>223440</v>
      </c>
      <c r="AN246" s="401" t="str">
        <f t="shared" ca="1" si="717"/>
        <v/>
      </c>
      <c r="AO246" s="398">
        <f t="shared" ca="1" si="744"/>
        <v>512</v>
      </c>
      <c r="AP246" s="400">
        <f ca="1">IF(MAX(IF($C$6="No",ROUNDUP($C$3/$I246,0),ROUNDUP(($C$3+$I246)/$I246,0)),IF($C$6="No",ROUNDUP($C$4/$G246,0),ROUNDUP(($C$4+$G246)/$G246,0)),ROUNDUP('BVMS checklist'!$H$217/$J246,0))&gt;1,'BVMS checklist'!$J$224,'BVMS checklist'!$J$217)+MAX(IF($C$6="No",ROUNDUP($C$3/$I246,0),ROUNDUP(($C$3+$I246)/$I246,0)),IF($C$6="No",ROUNDUP($C$4/$G246,0),ROUNDUP(($C$4+$G246)/$G246,0)))+$C$5</f>
        <v>1</v>
      </c>
      <c r="AQ246" s="400" t="b">
        <f t="shared" ca="1" si="706"/>
        <v>1</v>
      </c>
      <c r="AR246" s="400" t="str">
        <f t="shared" ca="1" si="745"/>
        <v>Accepted</v>
      </c>
      <c r="AS246" s="398" t="str">
        <f t="shared" ca="1" si="731"/>
        <v>No</v>
      </c>
      <c r="AT246" s="398" t="str">
        <f t="shared" ca="1" si="746"/>
        <v/>
      </c>
      <c r="AU246" s="398" t="str">
        <f t="shared" ca="1" si="718"/>
        <v/>
      </c>
      <c r="AV246" s="398">
        <f t="shared" ca="1" si="719"/>
        <v>6</v>
      </c>
      <c r="AW246" s="398">
        <f t="shared" ca="1" si="747"/>
        <v>2</v>
      </c>
      <c r="AX246" s="398">
        <f t="shared" ca="1" si="748"/>
        <v>256</v>
      </c>
      <c r="AY246" s="398">
        <f t="shared" ca="1" si="749"/>
        <v>223440</v>
      </c>
      <c r="AZ246" s="399">
        <f t="shared" si="770"/>
        <v>0</v>
      </c>
      <c r="BA246" s="399">
        <f t="shared" si="771"/>
        <v>0</v>
      </c>
      <c r="BB246" s="483" t="str">
        <f t="shared" ca="1" si="720"/>
        <v/>
      </c>
      <c r="BC246" s="400">
        <f ca="1">IF(MAX(IF($D$6="No",ROUNDUP($D$3/$I246,0),ROUNDUP(($D$3+$I246)/$I246,0)),IF($D$6="No",ROUNDUP($D$4/$G246,0),ROUNDUP(($D$4+$G246)/$G246,0)),ROUNDUP('BVMS checklist'!$H$217/$J246,0))&gt;1,'BVMS checklist'!$L$224,'BVMS checklist'!$L$217)</f>
        <v>0</v>
      </c>
      <c r="BD246" s="398">
        <f t="shared" ca="1" si="721"/>
        <v>2</v>
      </c>
      <c r="BE246" s="400">
        <f t="shared" si="750"/>
        <v>1</v>
      </c>
      <c r="BF246" s="400">
        <f t="shared" si="751"/>
        <v>550</v>
      </c>
      <c r="BG246" s="400">
        <f t="shared" ca="1" si="732"/>
        <v>0</v>
      </c>
      <c r="BH246" s="398">
        <f t="shared" ca="1" si="752"/>
        <v>223440</v>
      </c>
      <c r="BI246" s="401" t="str">
        <f t="shared" ca="1" si="722"/>
        <v/>
      </c>
      <c r="BJ246" s="398">
        <f t="shared" ca="1" si="753"/>
        <v>512</v>
      </c>
      <c r="BK246" s="400">
        <f ca="1">IF(MAX(IF($D$6="No",ROUNDUP($D$3/$I246,0),ROUNDUP(($D$3+$I246)/$I246,0)),IF($D$6="No",ROUNDUP($D$4/$G246,0),ROUNDUP(($D$4+$G246)/$G246,0)),ROUNDUP('BVMS checklist'!$H$217/$J246,0))&gt;1,'BVMS checklist'!$L$224,'BVMS checklist'!$L$217)+MAX(IF($D$6="No",ROUNDUP($D$3/$I246,0),ROUNDUP(($D$3+$I246)/$I246,0)),IF($D$6="No",ROUNDUP($D$4/$G246,0),ROUNDUP(($D$4+$G246)/$G246,0)))+$D$5</f>
        <v>1</v>
      </c>
      <c r="BL246" s="400" t="b">
        <f t="shared" ca="1" si="707"/>
        <v>1</v>
      </c>
      <c r="BM246" s="400" t="str">
        <f t="shared" ca="1" si="754"/>
        <v>Accepted</v>
      </c>
      <c r="BN246" s="398" t="str">
        <f t="shared" ca="1" si="733"/>
        <v>No</v>
      </c>
      <c r="BO246" s="398" t="str">
        <f t="shared" ca="1" si="755"/>
        <v/>
      </c>
      <c r="BP246" s="398" t="str">
        <f t="shared" ca="1" si="723"/>
        <v/>
      </c>
      <c r="BQ246" s="398">
        <f t="shared" ca="1" si="724"/>
        <v>6</v>
      </c>
      <c r="BR246" s="398">
        <f t="shared" ca="1" si="756"/>
        <v>2</v>
      </c>
      <c r="BS246" s="398">
        <f t="shared" ca="1" si="757"/>
        <v>256</v>
      </c>
      <c r="BT246" s="398">
        <f t="shared" ca="1" si="758"/>
        <v>223440</v>
      </c>
      <c r="BU246" s="399">
        <f t="shared" si="772"/>
        <v>0</v>
      </c>
      <c r="BV246" s="399">
        <f t="shared" si="773"/>
        <v>0</v>
      </c>
      <c r="BW246" s="483" t="str">
        <f t="shared" ca="1" si="725"/>
        <v/>
      </c>
      <c r="BX246" s="400">
        <f ca="1">IF(MAX(IF($E$6="No",ROUNDUP($E$3/$I246,0),ROUNDUP(($E$3+$I246)/$I246,0)),IF($E$6="No",ROUNDUP($E$4/$G246,0),ROUNDUP(($E$4+$G246)/$G246,0)),ROUNDUP('BVMS checklist'!$H$217/$J246,0))&gt;1,'BVMS checklist'!$N$224,'BVMS checklist'!$N$217)</f>
        <v>0</v>
      </c>
      <c r="BY246" s="398">
        <f t="shared" ca="1" si="726"/>
        <v>2</v>
      </c>
      <c r="BZ246" s="400">
        <f t="shared" ca="1" si="759"/>
        <v>2</v>
      </c>
      <c r="CA246" s="400">
        <f t="shared" ca="1" si="760"/>
        <v>1100</v>
      </c>
      <c r="CB246" s="400">
        <f t="shared" ca="1" si="734"/>
        <v>0</v>
      </c>
      <c r="CC246" s="398">
        <f t="shared" ca="1" si="761"/>
        <v>223440</v>
      </c>
      <c r="CD246" s="401" t="str">
        <f t="shared" ca="1" si="727"/>
        <v/>
      </c>
      <c r="CE246" s="398">
        <f t="shared" ca="1" si="762"/>
        <v>512</v>
      </c>
      <c r="CF246" s="400">
        <f ca="1">IF(MAX(IF($E$6="No",ROUNDUP($E$3/$I246,0),ROUNDUP(($E$3+$I246)/$I246,0)),IF($E$6="No",ROUNDUP($E$4/$G246,0),ROUNDUP(($E$4+$G246)/$G246,0)),ROUNDUP('BVMS checklist'!$H$217/$J246,0))&gt;1,'BVMS checklist'!$N$224,'BVMS checklist'!$N$217)+MAX(IF($E$6="No",ROUNDUP($E$3/$I246,0),ROUNDUP(($E$3+$I246)/$I246,0)),IF($E$6="No",ROUNDUP($E$4/$G246,0),ROUNDUP(($E$4+$G246)/$G246,0)))+$E$5</f>
        <v>1</v>
      </c>
      <c r="CG246" s="400" t="b">
        <f t="shared" ca="1" si="708"/>
        <v>1</v>
      </c>
      <c r="CH246" s="400" t="str">
        <f t="shared" ca="1" si="763"/>
        <v>Accepted</v>
      </c>
      <c r="CI246" s="398" t="str">
        <f t="shared" ca="1" si="735"/>
        <v>No</v>
      </c>
      <c r="CJ246" s="398" t="str">
        <f t="shared" ca="1" si="764"/>
        <v/>
      </c>
      <c r="CK246" s="398" t="str">
        <f t="shared" ca="1" si="728"/>
        <v/>
      </c>
      <c r="CL246" s="398">
        <f t="shared" ca="1" si="729"/>
        <v>6</v>
      </c>
      <c r="CM246" s="398">
        <f t="shared" ca="1" si="765"/>
        <v>2</v>
      </c>
      <c r="CN246" s="398">
        <f t="shared" ca="1" si="766"/>
        <v>256</v>
      </c>
      <c r="CO246" s="398">
        <f t="shared" ca="1" si="767"/>
        <v>223440</v>
      </c>
      <c r="CP246" s="399">
        <f t="shared" si="774"/>
        <v>0</v>
      </c>
      <c r="CQ246" s="399">
        <f t="shared" si="775"/>
        <v>0</v>
      </c>
      <c r="CR246" s="483" t="str">
        <f t="shared" ca="1" si="730"/>
        <v/>
      </c>
      <c r="CS246"/>
    </row>
    <row r="247" spans="1:97">
      <c r="A247" s="398" t="s">
        <v>1009</v>
      </c>
      <c r="B247" s="398" t="s">
        <v>987</v>
      </c>
      <c r="C247" s="440" t="s">
        <v>891</v>
      </c>
      <c r="D247" s="398">
        <v>1</v>
      </c>
      <c r="E247" s="398">
        <v>0</v>
      </c>
      <c r="F247" s="440">
        <v>0</v>
      </c>
      <c r="G247" s="398">
        <f>IF(C247="RAID5",(11-F247)*1862,(10-F247)*1862)</f>
        <v>20482</v>
      </c>
      <c r="H247" s="399">
        <v>24</v>
      </c>
      <c r="I247" s="399">
        <v>1050</v>
      </c>
      <c r="J247" s="399">
        <v>800</v>
      </c>
      <c r="K247" s="399"/>
      <c r="L247" s="399"/>
      <c r="M247" s="400">
        <f ca="1">IF(MAX(IF($B$6="No",ROUNDUP($B$3/$I247,0),ROUNDUP(($B$3+$I247)/$I247,0)),IF($B$6="No",ROUNDUP($B$4/$G247,0),ROUNDUP(($B$4+$G247)/$G247,0)),ROUNDUP('BVMS checklist'!$H$217/$J247,0))&gt;1,'BVMS checklist'!$H$224,'BVMS checklist'!$H$217)</f>
        <v>0</v>
      </c>
      <c r="N247" s="398">
        <f t="shared" ca="1" si="709"/>
        <v>2</v>
      </c>
      <c r="O247" s="400">
        <f t="shared" ref="O247" ca="1" si="776">N247</f>
        <v>2</v>
      </c>
      <c r="P247" s="400">
        <f t="shared" ca="1" si="700"/>
        <v>2100</v>
      </c>
      <c r="Q247" s="400">
        <f t="shared" ca="1" si="701"/>
        <v>0</v>
      </c>
      <c r="R247" s="398">
        <f t="shared" ca="1" si="702"/>
        <v>40964</v>
      </c>
      <c r="S247" s="401" t="str">
        <f t="shared" ca="1" si="710"/>
        <v/>
      </c>
      <c r="T247" s="398">
        <f t="shared" ca="1" si="711"/>
        <v>1600</v>
      </c>
      <c r="U247" s="400">
        <f ca="1">IF(MAX(IF($B$6="No",ROUNDUP($B$3/$I247,0),ROUNDUP(($B$3+$I247)/$I247,0)),IF($B$6="No",ROUNDUP($B$4/$G247,0),ROUNDUP(($B$4+$G247)/$G247,0)),ROUNDUP('BVMS checklist'!$H$217/$J247,0))&gt;1,'BVMS checklist'!$H$224,'BVMS checklist'!$H$217)+MAX(IF($B$6="No",ROUNDUP($B$3/$I247,0),ROUNDUP(($B$3+$I247)/$I247,0)),IF($B$6="No",ROUNDUP($B$4/$G247,0),ROUNDUP(($B$4+$G247)/$G247,0)))+$B$5</f>
        <v>1</v>
      </c>
      <c r="V247" s="400" t="b">
        <f t="shared" ca="1" si="703"/>
        <v>1</v>
      </c>
      <c r="W247" s="400" t="str">
        <f t="shared" ref="W247" ca="1" si="777">IF(OR(AND($B$6="Yes",V247=TRUE),$B$6="No"),"Accepted","Not accepted")</f>
        <v>Accepted</v>
      </c>
      <c r="X247" s="398" t="str">
        <f t="shared" ca="1" si="712"/>
        <v>No</v>
      </c>
      <c r="Y247" s="398" t="str">
        <f t="shared" ca="1" si="713"/>
        <v/>
      </c>
      <c r="Z247" s="398" t="str">
        <f t="shared" ca="1" si="714"/>
        <v/>
      </c>
      <c r="AA247" s="398">
        <f t="shared" ca="1" si="738"/>
        <v>6</v>
      </c>
      <c r="AB247" s="398">
        <f t="shared" ca="1" si="704"/>
        <v>2</v>
      </c>
      <c r="AC247" s="398">
        <f t="shared" ca="1" si="705"/>
        <v>48</v>
      </c>
      <c r="AD247" s="398">
        <f t="shared" ref="AD247" ca="1" si="778">R247</f>
        <v>40964</v>
      </c>
      <c r="AE247" s="399">
        <f t="shared" si="768"/>
        <v>0</v>
      </c>
      <c r="AF247" s="399">
        <f t="shared" si="769"/>
        <v>0</v>
      </c>
      <c r="AG247" s="483" t="str">
        <f t="shared" ca="1" si="715"/>
        <v/>
      </c>
      <c r="AH247" s="400">
        <f ca="1">IF(MAX(IF($C$6="No",ROUNDUP($C$3/$I247,0),ROUNDUP(($C$3+$I247)/$I247,0)),IF($C$6="No",ROUNDUP($C$4/$G247,0),ROUNDUP(($C$4+$G247)/$G247,0)),ROUNDUP('BVMS checklist'!$H$217/$J247,0))&gt;1,'BVMS checklist'!$J$224,'BVMS checklist'!$J$217)</f>
        <v>0</v>
      </c>
      <c r="AI247" s="398">
        <f t="shared" ca="1" si="716"/>
        <v>2</v>
      </c>
      <c r="AJ247" s="400">
        <f t="shared" ref="AJ247" ca="1" si="779">AI247</f>
        <v>2</v>
      </c>
      <c r="AK247" s="400">
        <f t="shared" ref="AK247" ca="1" si="780">AJ247*$I247</f>
        <v>2100</v>
      </c>
      <c r="AL247" s="400">
        <f t="shared" ref="AL247" ca="1" si="781">IFERROR($C$3/AI247,"")</f>
        <v>0</v>
      </c>
      <c r="AM247" s="398">
        <f t="shared" ref="AM247" ca="1" si="782">$G247*AI247</f>
        <v>40964</v>
      </c>
      <c r="AN247" s="401" t="str">
        <f t="shared" ca="1" si="717"/>
        <v/>
      </c>
      <c r="AO247" s="398">
        <f t="shared" ref="AO247" ca="1" si="783">AI247*$J247</f>
        <v>1600</v>
      </c>
      <c r="AP247" s="400">
        <f ca="1">IF(MAX(IF($C$6="No",ROUNDUP($C$3/$I247,0),ROUNDUP(($C$3+$I247)/$I247,0)),IF($C$6="No",ROUNDUP($C$4/$G247,0),ROUNDUP(($C$4+$G247)/$G247,0)),ROUNDUP('BVMS checklist'!$H$217/$J247,0))&gt;1,'BVMS checklist'!$J$224,'BVMS checklist'!$J$217)+MAX(IF($C$6="No",ROUNDUP($C$3/$I247,0),ROUNDUP(($C$3+$I247)/$I247,0)),IF($C$6="No",ROUNDUP($C$4/$G247,0),ROUNDUP(($C$4+$G247)/$G247,0)))+$C$5</f>
        <v>1</v>
      </c>
      <c r="AQ247" s="400" t="b">
        <f t="shared" ca="1" si="706"/>
        <v>1</v>
      </c>
      <c r="AR247" s="400" t="str">
        <f t="shared" ref="AR247" ca="1" si="784">IF(OR(AND($C$6="Yes",AQ247=TRUE),$C$6="No"),"Accepted","Not accepted")</f>
        <v>Accepted</v>
      </c>
      <c r="AS247" s="398" t="str">
        <f t="shared" ref="AS247" ca="1" si="785">IF(AND(AP247&lt;AO247,AL247&lt;$I247,$B247="Active",AR247="Accepted"),"Yes","No")</f>
        <v>No</v>
      </c>
      <c r="AT247" s="398" t="str">
        <f t="shared" ca="1" si="746"/>
        <v/>
      </c>
      <c r="AU247" s="398" t="str">
        <f t="shared" ca="1" si="718"/>
        <v/>
      </c>
      <c r="AV247" s="398">
        <f t="shared" ca="1" si="719"/>
        <v>6</v>
      </c>
      <c r="AW247" s="398">
        <f t="shared" ref="AW247" ca="1" si="786">AI247</f>
        <v>2</v>
      </c>
      <c r="AX247" s="398">
        <f t="shared" ref="AX247" ca="1" si="787">AI247*$H247</f>
        <v>48</v>
      </c>
      <c r="AY247" s="398">
        <f t="shared" ref="AY247" ca="1" si="788">AM247</f>
        <v>40964</v>
      </c>
      <c r="AZ247" s="399">
        <f t="shared" si="770"/>
        <v>0</v>
      </c>
      <c r="BA247" s="399">
        <f t="shared" si="771"/>
        <v>0</v>
      </c>
      <c r="BB247" s="483" t="str">
        <f t="shared" ca="1" si="720"/>
        <v/>
      </c>
      <c r="BC247" s="400">
        <f ca="1">IF(MAX(IF($D$6="No",ROUNDUP($D$3/$I247,0),ROUNDUP(($D$3+$I247)/$I247,0)),IF($D$6="No",ROUNDUP($D$4/$G247,0),ROUNDUP(($D$4+$G247)/$G247,0)),ROUNDUP('BVMS checklist'!$H$217/$J247,0))&gt;1,'BVMS checklist'!$L$224,'BVMS checklist'!$L$217)</f>
        <v>0</v>
      </c>
      <c r="BD247" s="398">
        <f t="shared" ca="1" si="721"/>
        <v>2</v>
      </c>
      <c r="BE247" s="400">
        <f t="shared" si="750"/>
        <v>1</v>
      </c>
      <c r="BF247" s="400">
        <f t="shared" ref="BF247" si="789">BE247*$I247</f>
        <v>1050</v>
      </c>
      <c r="BG247" s="400">
        <f t="shared" ref="BG247" ca="1" si="790">IFERROR($D$3/BD247,"")</f>
        <v>0</v>
      </c>
      <c r="BH247" s="398">
        <f t="shared" ref="BH247" ca="1" si="791">$G247*BD247</f>
        <v>40964</v>
      </c>
      <c r="BI247" s="401" t="str">
        <f t="shared" ca="1" si="722"/>
        <v/>
      </c>
      <c r="BJ247" s="398">
        <f t="shared" ref="BJ247" ca="1" si="792">BD247*$J247</f>
        <v>1600</v>
      </c>
      <c r="BK247" s="400">
        <f ca="1">IF(MAX(IF($D$6="No",ROUNDUP($D$3/$I247,0),ROUNDUP(($D$3+$I247)/$I247,0)),IF($D$6="No",ROUNDUP($D$4/$G247,0),ROUNDUP(($D$4+$G247)/$G247,0)),ROUNDUP('BVMS checklist'!$H$217/$J247,0))&gt;1,'BVMS checklist'!$L$224,'BVMS checklist'!$L$217)+MAX(IF($D$6="No",ROUNDUP($D$3/$I247,0),ROUNDUP(($D$3+$I247)/$I247,0)),IF($D$6="No",ROUNDUP($D$4/$G247,0),ROUNDUP(($D$4+$G247)/$G247,0)))+$D$5</f>
        <v>1</v>
      </c>
      <c r="BL247" s="400" t="b">
        <f t="shared" ca="1" si="707"/>
        <v>1</v>
      </c>
      <c r="BM247" s="400" t="str">
        <f t="shared" ref="BM247" ca="1" si="793">IF(OR(AND($D$6="Yes",BL247=TRUE),$D$6="No"),"Accepted","Not accepted")</f>
        <v>Accepted</v>
      </c>
      <c r="BN247" s="398" t="str">
        <f t="shared" ref="BN247" ca="1" si="794">IF(AND(BK247&lt;BJ247,BG247&lt;$I247,$B247="Active",BM247="Accepted"),"Yes","No")</f>
        <v>No</v>
      </c>
      <c r="BO247" s="398" t="str">
        <f t="shared" ca="1" si="755"/>
        <v/>
      </c>
      <c r="BP247" s="398" t="str">
        <f t="shared" ca="1" si="723"/>
        <v/>
      </c>
      <c r="BQ247" s="398">
        <f t="shared" ca="1" si="724"/>
        <v>6</v>
      </c>
      <c r="BR247" s="398">
        <f t="shared" ref="BR247" ca="1" si="795">BD247</f>
        <v>2</v>
      </c>
      <c r="BS247" s="398">
        <f t="shared" ref="BS247" ca="1" si="796">BD247*$H247</f>
        <v>48</v>
      </c>
      <c r="BT247" s="398">
        <f t="shared" ref="BT247" ca="1" si="797">BH247</f>
        <v>40964</v>
      </c>
      <c r="BU247" s="399">
        <f t="shared" si="772"/>
        <v>0</v>
      </c>
      <c r="BV247" s="399">
        <f t="shared" si="773"/>
        <v>0</v>
      </c>
      <c r="BW247" s="483" t="str">
        <f t="shared" ca="1" si="725"/>
        <v/>
      </c>
      <c r="BX247" s="400">
        <f ca="1">IF(MAX(IF($E$6="No",ROUNDUP($E$3/$I247,0),ROUNDUP(($E$3+$I247)/$I247,0)),IF($E$6="No",ROUNDUP($E$4/$G247,0),ROUNDUP(($E$4+$G247)/$G247,0)),ROUNDUP('BVMS checklist'!$H$217/$J247,0))&gt;1,'BVMS checklist'!$N$224,'BVMS checklist'!$N$217)</f>
        <v>0</v>
      </c>
      <c r="BY247" s="398">
        <f t="shared" ca="1" si="726"/>
        <v>2</v>
      </c>
      <c r="BZ247" s="400">
        <f t="shared" ref="BZ247" ca="1" si="798">BY247</f>
        <v>2</v>
      </c>
      <c r="CA247" s="400">
        <f t="shared" ref="CA247" ca="1" si="799">BZ247*$I247</f>
        <v>2100</v>
      </c>
      <c r="CB247" s="400">
        <f t="shared" ref="CB247" ca="1" si="800">IFERROR($E$3/BY247,"")</f>
        <v>0</v>
      </c>
      <c r="CC247" s="398">
        <f t="shared" ref="CC247" ca="1" si="801">$G247*BY247</f>
        <v>40964</v>
      </c>
      <c r="CD247" s="401" t="str">
        <f t="shared" ca="1" si="727"/>
        <v/>
      </c>
      <c r="CE247" s="398">
        <f t="shared" ref="CE247" ca="1" si="802">BY247*$J247</f>
        <v>1600</v>
      </c>
      <c r="CF247" s="400">
        <f ca="1">IF(MAX(IF($E$6="No",ROUNDUP($E$3/$I247,0),ROUNDUP(($E$3+$I247)/$I247,0)),IF($E$6="No",ROUNDUP($E$4/$G247,0),ROUNDUP(($E$4+$G247)/$G247,0)),ROUNDUP('BVMS checklist'!$H$217/$J247,0))&gt;1,'BVMS checklist'!$N$224,'BVMS checklist'!$N$217)+MAX(IF($E$6="No",ROUNDUP($E$3/$I247,0),ROUNDUP(($E$3+$I247)/$I247,0)),IF($E$6="No",ROUNDUP($E$4/$G247,0),ROUNDUP(($E$4+$G247)/$G247,0)))+$E$5</f>
        <v>1</v>
      </c>
      <c r="CG247" s="400" t="b">
        <f t="shared" ca="1" si="708"/>
        <v>1</v>
      </c>
      <c r="CH247" s="400" t="str">
        <f t="shared" ref="CH247" ca="1" si="803">IF(OR(AND($E$6="Yes",CG247=TRUE),$E$6="No"),"Accepted","Not accepted")</f>
        <v>Accepted</v>
      </c>
      <c r="CI247" s="398" t="str">
        <f t="shared" ref="CI247" ca="1" si="804">IF(AND(CF247&lt;CE247,CB247&lt;$I247,$B247="Active",CH247="Accepted"),"Yes","No")</f>
        <v>No</v>
      </c>
      <c r="CJ247" s="398" t="str">
        <f t="shared" ca="1" si="764"/>
        <v/>
      </c>
      <c r="CK247" s="398" t="str">
        <f t="shared" ca="1" si="728"/>
        <v/>
      </c>
      <c r="CL247" s="398">
        <f t="shared" ca="1" si="729"/>
        <v>6</v>
      </c>
      <c r="CM247" s="398">
        <f t="shared" ref="CM247" ca="1" si="805">BY247</f>
        <v>2</v>
      </c>
      <c r="CN247" s="398">
        <f t="shared" ref="CN247" ca="1" si="806">BY247*$H247</f>
        <v>48</v>
      </c>
      <c r="CO247" s="398">
        <f t="shared" ref="CO247" ca="1" si="807">CC247</f>
        <v>40964</v>
      </c>
      <c r="CP247" s="399">
        <f t="shared" si="774"/>
        <v>0</v>
      </c>
      <c r="CQ247" s="399">
        <f t="shared" si="775"/>
        <v>0</v>
      </c>
      <c r="CR247" s="483" t="str">
        <f t="shared" ca="1" si="730"/>
        <v/>
      </c>
      <c r="CS247"/>
    </row>
    <row r="248" spans="1:97">
      <c r="A248" s="398" t="s">
        <v>1010</v>
      </c>
      <c r="B248" s="398" t="s">
        <v>987</v>
      </c>
      <c r="C248" s="440" t="s">
        <v>891</v>
      </c>
      <c r="D248" s="398">
        <v>1</v>
      </c>
      <c r="E248" s="398">
        <v>1</v>
      </c>
      <c r="F248" s="440">
        <v>0</v>
      </c>
      <c r="G248" s="398">
        <f>IF(C248="RAID5",(11-F248)*1862,(10-F248)*1862)+IF(C248="RAID5",(11-F248)*1862,(10-F248)*1862)*E248</f>
        <v>40964</v>
      </c>
      <c r="H248" s="399">
        <v>48</v>
      </c>
      <c r="I248" s="399">
        <v>1050</v>
      </c>
      <c r="J248" s="399">
        <v>800</v>
      </c>
      <c r="K248" s="399"/>
      <c r="L248" s="399"/>
      <c r="M248" s="400">
        <f ca="1">IF(MAX(IF($B$6="No",ROUNDUP($B$3/$I248,0),ROUNDUP(($B$3+$I248)/$I248,0)),IF($B$6="No",ROUNDUP($B$4/$G248,0),ROUNDUP(($B$4+$G248)/$G248,0)),ROUNDUP('BVMS checklist'!$H$217/$J248,0))&gt;1,'BVMS checklist'!$H$224,'BVMS checklist'!$H$217)</f>
        <v>0</v>
      </c>
      <c r="N248" s="398">
        <f t="shared" ca="1" si="709"/>
        <v>2</v>
      </c>
      <c r="O248" s="400">
        <f t="shared" ca="1" si="736"/>
        <v>2</v>
      </c>
      <c r="P248" s="400">
        <f t="shared" ca="1" si="700"/>
        <v>2100</v>
      </c>
      <c r="Q248" s="400">
        <f t="shared" ca="1" si="701"/>
        <v>0</v>
      </c>
      <c r="R248" s="398">
        <f t="shared" ca="1" si="702"/>
        <v>81928</v>
      </c>
      <c r="S248" s="401" t="str">
        <f t="shared" ca="1" si="710"/>
        <v/>
      </c>
      <c r="T248" s="398">
        <f t="shared" ca="1" si="711"/>
        <v>1600</v>
      </c>
      <c r="U248" s="400">
        <f ca="1">IF(MAX(IF($B$6="No",ROUNDUP($B$3/$I248,0),ROUNDUP(($B$3+$I248)/$I248,0)),IF($B$6="No",ROUNDUP($B$4/$G248,0),ROUNDUP(($B$4+$G248)/$G248,0)),ROUNDUP('BVMS checklist'!$H$217/$J248,0))&gt;1,'BVMS checklist'!$H$224,'BVMS checklist'!$H$217)+MAX(IF($B$6="No",ROUNDUP($B$3/$I248,0),ROUNDUP(($B$3+$I248)/$I248,0)),IF($B$6="No",ROUNDUP($B$4/$G248,0),ROUNDUP(($B$4+$G248)/$G248,0)))+$B$5</f>
        <v>1</v>
      </c>
      <c r="V248" s="400" t="b">
        <f t="shared" ca="1" si="703"/>
        <v>1</v>
      </c>
      <c r="W248" s="400" t="str">
        <f t="shared" ca="1" si="737"/>
        <v>Accepted</v>
      </c>
      <c r="X248" s="398" t="str">
        <f t="shared" ca="1" si="712"/>
        <v>No</v>
      </c>
      <c r="Y248" s="398" t="str">
        <f t="shared" ca="1" si="713"/>
        <v/>
      </c>
      <c r="Z248" s="398" t="str">
        <f t="shared" ca="1" si="714"/>
        <v/>
      </c>
      <c r="AA248" s="398">
        <f t="shared" ca="1" si="738"/>
        <v>6</v>
      </c>
      <c r="AB248" s="398">
        <f t="shared" ca="1" si="704"/>
        <v>2</v>
      </c>
      <c r="AC248" s="398">
        <f t="shared" ca="1" si="705"/>
        <v>96</v>
      </c>
      <c r="AD248" s="398">
        <f t="shared" ca="1" si="739"/>
        <v>81928</v>
      </c>
      <c r="AE248" s="399">
        <f t="shared" si="768"/>
        <v>0</v>
      </c>
      <c r="AF248" s="399">
        <f t="shared" si="769"/>
        <v>0</v>
      </c>
      <c r="AG248" s="483" t="str">
        <f t="shared" ca="1" si="715"/>
        <v/>
      </c>
      <c r="AH248" s="400">
        <f ca="1">IF(MAX(IF($C$6="No",ROUNDUP($C$3/$I248,0),ROUNDUP(($C$3+$I248)/$I248,0)),IF($C$6="No",ROUNDUP($C$4/$G248,0),ROUNDUP(($C$4+$G248)/$G248,0)),ROUNDUP('BVMS checklist'!$H$217/$J248,0))&gt;1,'BVMS checklist'!$J$224,'BVMS checklist'!$J$217)</f>
        <v>0</v>
      </c>
      <c r="AI248" s="398">
        <f t="shared" ca="1" si="716"/>
        <v>2</v>
      </c>
      <c r="AJ248" s="400">
        <f t="shared" ca="1" si="740"/>
        <v>2</v>
      </c>
      <c r="AK248" s="400">
        <f t="shared" ca="1" si="741"/>
        <v>2100</v>
      </c>
      <c r="AL248" s="400">
        <f t="shared" ca="1" si="742"/>
        <v>0</v>
      </c>
      <c r="AM248" s="398">
        <f t="shared" ca="1" si="743"/>
        <v>81928</v>
      </c>
      <c r="AN248" s="401" t="str">
        <f t="shared" ca="1" si="717"/>
        <v/>
      </c>
      <c r="AO248" s="398">
        <f t="shared" ca="1" si="744"/>
        <v>1600</v>
      </c>
      <c r="AP248" s="400">
        <f ca="1">IF(MAX(IF($C$6="No",ROUNDUP($C$3/$I248,0),ROUNDUP(($C$3+$I248)/$I248,0)),IF($C$6="No",ROUNDUP($C$4/$G248,0),ROUNDUP(($C$4+$G248)/$G248,0)),ROUNDUP('BVMS checklist'!$H$217/$J248,0))&gt;1,'BVMS checklist'!$J$224,'BVMS checklist'!$J$217)+MAX(IF($C$6="No",ROUNDUP($C$3/$I248,0),ROUNDUP(($C$3+$I248)/$I248,0)),IF($C$6="No",ROUNDUP($C$4/$G248,0),ROUNDUP(($C$4+$G248)/$G248,0)))+$C$5</f>
        <v>1</v>
      </c>
      <c r="AQ248" s="400" t="b">
        <f t="shared" ca="1" si="706"/>
        <v>1</v>
      </c>
      <c r="AR248" s="400" t="str">
        <f t="shared" ca="1" si="745"/>
        <v>Accepted</v>
      </c>
      <c r="AS248" s="398" t="str">
        <f t="shared" ca="1" si="731"/>
        <v>No</v>
      </c>
      <c r="AT248" s="398" t="str">
        <f t="shared" ca="1" si="746"/>
        <v/>
      </c>
      <c r="AU248" s="398" t="str">
        <f t="shared" ca="1" si="718"/>
        <v/>
      </c>
      <c r="AV248" s="398">
        <f t="shared" ca="1" si="719"/>
        <v>6</v>
      </c>
      <c r="AW248" s="398">
        <f t="shared" ca="1" si="747"/>
        <v>2</v>
      </c>
      <c r="AX248" s="398">
        <f t="shared" ca="1" si="748"/>
        <v>96</v>
      </c>
      <c r="AY248" s="398">
        <f t="shared" ca="1" si="749"/>
        <v>81928</v>
      </c>
      <c r="AZ248" s="399">
        <f t="shared" si="770"/>
        <v>0</v>
      </c>
      <c r="BA248" s="399">
        <f t="shared" si="771"/>
        <v>0</v>
      </c>
      <c r="BB248" s="483" t="str">
        <f t="shared" ca="1" si="720"/>
        <v/>
      </c>
      <c r="BC248" s="400">
        <f ca="1">IF(MAX(IF($D$6="No",ROUNDUP($D$3/$I248,0),ROUNDUP(($D$3+$I248)/$I248,0)),IF($D$6="No",ROUNDUP($D$4/$G248,0),ROUNDUP(($D$4+$G248)/$G248,0)),ROUNDUP('BVMS checklist'!$H$217/$J248,0))&gt;1,'BVMS checklist'!$L$224,'BVMS checklist'!$L$217)</f>
        <v>0</v>
      </c>
      <c r="BD248" s="398">
        <f t="shared" ca="1" si="721"/>
        <v>2</v>
      </c>
      <c r="BE248" s="400">
        <f t="shared" si="750"/>
        <v>1</v>
      </c>
      <c r="BF248" s="400">
        <f t="shared" si="751"/>
        <v>1050</v>
      </c>
      <c r="BG248" s="400">
        <f t="shared" ca="1" si="732"/>
        <v>0</v>
      </c>
      <c r="BH248" s="398">
        <f t="shared" ca="1" si="752"/>
        <v>81928</v>
      </c>
      <c r="BI248" s="401" t="str">
        <f t="shared" ca="1" si="722"/>
        <v/>
      </c>
      <c r="BJ248" s="398">
        <f t="shared" ca="1" si="753"/>
        <v>1600</v>
      </c>
      <c r="BK248" s="400">
        <f ca="1">IF(MAX(IF($D$6="No",ROUNDUP($D$3/$I248,0),ROUNDUP(($D$3+$I248)/$I248,0)),IF($D$6="No",ROUNDUP($D$4/$G248,0),ROUNDUP(($D$4+$G248)/$G248,0)),ROUNDUP('BVMS checklist'!$H$217/$J248,0))&gt;1,'BVMS checklist'!$L$224,'BVMS checklist'!$L$217)+MAX(IF($D$6="No",ROUNDUP($D$3/$I248,0),ROUNDUP(($D$3+$I248)/$I248,0)),IF($D$6="No",ROUNDUP($D$4/$G248,0),ROUNDUP(($D$4+$G248)/$G248,0)))+$D$5</f>
        <v>1</v>
      </c>
      <c r="BL248" s="400" t="b">
        <f t="shared" ca="1" si="707"/>
        <v>1</v>
      </c>
      <c r="BM248" s="400" t="str">
        <f t="shared" ca="1" si="754"/>
        <v>Accepted</v>
      </c>
      <c r="BN248" s="398" t="str">
        <f t="shared" ca="1" si="733"/>
        <v>No</v>
      </c>
      <c r="BO248" s="398" t="str">
        <f t="shared" ca="1" si="755"/>
        <v/>
      </c>
      <c r="BP248" s="398" t="str">
        <f t="shared" ca="1" si="723"/>
        <v/>
      </c>
      <c r="BQ248" s="398">
        <f t="shared" ca="1" si="724"/>
        <v>6</v>
      </c>
      <c r="BR248" s="398">
        <f t="shared" ca="1" si="756"/>
        <v>2</v>
      </c>
      <c r="BS248" s="398">
        <f t="shared" ca="1" si="757"/>
        <v>96</v>
      </c>
      <c r="BT248" s="398">
        <f t="shared" ca="1" si="758"/>
        <v>81928</v>
      </c>
      <c r="BU248" s="399">
        <f t="shared" si="772"/>
        <v>0</v>
      </c>
      <c r="BV248" s="399">
        <f t="shared" si="773"/>
        <v>0</v>
      </c>
      <c r="BW248" s="483" t="str">
        <f t="shared" ca="1" si="725"/>
        <v/>
      </c>
      <c r="BX248" s="400">
        <f ca="1">IF(MAX(IF($E$6="No",ROUNDUP($E$3/$I248,0),ROUNDUP(($E$3+$I248)/$I248,0)),IF($E$6="No",ROUNDUP($E$4/$G248,0),ROUNDUP(($E$4+$G248)/$G248,0)),ROUNDUP('BVMS checklist'!$H$217/$J248,0))&gt;1,'BVMS checklist'!$N$224,'BVMS checklist'!$N$217)</f>
        <v>0</v>
      </c>
      <c r="BY248" s="398">
        <f t="shared" ca="1" si="726"/>
        <v>2</v>
      </c>
      <c r="BZ248" s="400">
        <f t="shared" ca="1" si="759"/>
        <v>2</v>
      </c>
      <c r="CA248" s="400">
        <f t="shared" ca="1" si="760"/>
        <v>2100</v>
      </c>
      <c r="CB248" s="400">
        <f t="shared" ca="1" si="734"/>
        <v>0</v>
      </c>
      <c r="CC248" s="398">
        <f t="shared" ca="1" si="761"/>
        <v>81928</v>
      </c>
      <c r="CD248" s="401" t="str">
        <f t="shared" ca="1" si="727"/>
        <v/>
      </c>
      <c r="CE248" s="398">
        <f t="shared" ca="1" si="762"/>
        <v>1600</v>
      </c>
      <c r="CF248" s="400">
        <f ca="1">IF(MAX(IF($E$6="No",ROUNDUP($E$3/$I248,0),ROUNDUP(($E$3+$I248)/$I248,0)),IF($E$6="No",ROUNDUP($E$4/$G248,0),ROUNDUP(($E$4+$G248)/$G248,0)),ROUNDUP('BVMS checklist'!$H$217/$J248,0))&gt;1,'BVMS checklist'!$N$224,'BVMS checklist'!$N$217)+MAX(IF($E$6="No",ROUNDUP($E$3/$I248,0),ROUNDUP(($E$3+$I248)/$I248,0)),IF($E$6="No",ROUNDUP($E$4/$G248,0),ROUNDUP(($E$4+$G248)/$G248,0)))+$E$5</f>
        <v>1</v>
      </c>
      <c r="CG248" s="400" t="b">
        <f t="shared" ca="1" si="708"/>
        <v>1</v>
      </c>
      <c r="CH248" s="400" t="str">
        <f t="shared" ca="1" si="763"/>
        <v>Accepted</v>
      </c>
      <c r="CI248" s="398" t="str">
        <f t="shared" ca="1" si="735"/>
        <v>No</v>
      </c>
      <c r="CJ248" s="398" t="str">
        <f t="shared" ca="1" si="764"/>
        <v/>
      </c>
      <c r="CK248" s="398" t="str">
        <f t="shared" ca="1" si="728"/>
        <v/>
      </c>
      <c r="CL248" s="398">
        <f t="shared" ca="1" si="729"/>
        <v>6</v>
      </c>
      <c r="CM248" s="398">
        <f t="shared" ca="1" si="765"/>
        <v>2</v>
      </c>
      <c r="CN248" s="398">
        <f t="shared" ca="1" si="766"/>
        <v>96</v>
      </c>
      <c r="CO248" s="398">
        <f t="shared" ca="1" si="767"/>
        <v>81928</v>
      </c>
      <c r="CP248" s="399">
        <f t="shared" si="774"/>
        <v>0</v>
      </c>
      <c r="CQ248" s="399">
        <f t="shared" si="775"/>
        <v>0</v>
      </c>
      <c r="CR248" s="483" t="str">
        <f t="shared" ca="1" si="730"/>
        <v/>
      </c>
      <c r="CS248"/>
    </row>
    <row r="249" spans="1:97">
      <c r="A249" s="398" t="s">
        <v>1011</v>
      </c>
      <c r="B249" s="398" t="s">
        <v>987</v>
      </c>
      <c r="C249" s="440" t="s">
        <v>891</v>
      </c>
      <c r="D249" s="398">
        <v>1</v>
      </c>
      <c r="E249" s="398">
        <v>2</v>
      </c>
      <c r="F249" s="440">
        <v>0</v>
      </c>
      <c r="G249" s="398">
        <f t="shared" ref="G249:G254" si="808">IF(C249="RAID5",(11-F249)*1862,(10-F249)*1862)+IF(C249="RAID5",(11-F249)*1862,(10-F249)*1862)*E249</f>
        <v>61446</v>
      </c>
      <c r="H249" s="399">
        <v>72</v>
      </c>
      <c r="I249" s="399">
        <v>1050</v>
      </c>
      <c r="J249" s="399">
        <v>800</v>
      </c>
      <c r="K249" s="399"/>
      <c r="L249" s="399"/>
      <c r="M249" s="400">
        <f ca="1">IF(MAX(IF($B$6="No",ROUNDUP($B$3/$I249,0),ROUNDUP(($B$3+$I249)/$I249,0)),IF($B$6="No",ROUNDUP($B$4/$G249,0),ROUNDUP(($B$4+$G249)/$G249,0)),ROUNDUP('BVMS checklist'!$H$217/$J249,0))&gt;1,'BVMS checklist'!$H$224,'BVMS checklist'!$H$217)</f>
        <v>0</v>
      </c>
      <c r="N249" s="398">
        <f t="shared" ca="1" si="709"/>
        <v>2</v>
      </c>
      <c r="O249" s="400">
        <f t="shared" ca="1" si="736"/>
        <v>2</v>
      </c>
      <c r="P249" s="400">
        <f t="shared" ca="1" si="700"/>
        <v>2100</v>
      </c>
      <c r="Q249" s="400">
        <f t="shared" ca="1" si="701"/>
        <v>0</v>
      </c>
      <c r="R249" s="398">
        <f t="shared" ca="1" si="702"/>
        <v>122892</v>
      </c>
      <c r="S249" s="401" t="str">
        <f t="shared" ca="1" si="710"/>
        <v/>
      </c>
      <c r="T249" s="398">
        <f t="shared" ca="1" si="711"/>
        <v>1600</v>
      </c>
      <c r="U249" s="400">
        <f ca="1">IF(MAX(IF($B$6="No",ROUNDUP($B$3/$I249,0),ROUNDUP(($B$3+$I249)/$I249,0)),IF($B$6="No",ROUNDUP($B$4/$G249,0),ROUNDUP(($B$4+$G249)/$G249,0)),ROUNDUP('BVMS checklist'!$H$217/$J249,0))&gt;1,'BVMS checklist'!$H$224,'BVMS checklist'!$H$217)+MAX(IF($B$6="No",ROUNDUP($B$3/$I249,0),ROUNDUP(($B$3+$I249)/$I249,0)),IF($B$6="No",ROUNDUP($B$4/$G249,0),ROUNDUP(($B$4+$G249)/$G249,0)))+$B$5</f>
        <v>1</v>
      </c>
      <c r="V249" s="400" t="b">
        <f t="shared" ca="1" si="703"/>
        <v>1</v>
      </c>
      <c r="W249" s="400" t="str">
        <f t="shared" ca="1" si="737"/>
        <v>Accepted</v>
      </c>
      <c r="X249" s="398" t="str">
        <f t="shared" ca="1" si="712"/>
        <v>No</v>
      </c>
      <c r="Y249" s="398" t="str">
        <f t="shared" ca="1" si="713"/>
        <v/>
      </c>
      <c r="Z249" s="398" t="str">
        <f t="shared" ca="1" si="714"/>
        <v/>
      </c>
      <c r="AA249" s="398">
        <f t="shared" ca="1" si="738"/>
        <v>6</v>
      </c>
      <c r="AB249" s="398">
        <f t="shared" ca="1" si="704"/>
        <v>2</v>
      </c>
      <c r="AC249" s="398">
        <f t="shared" ca="1" si="705"/>
        <v>144</v>
      </c>
      <c r="AD249" s="398">
        <f t="shared" ca="1" si="739"/>
        <v>122892</v>
      </c>
      <c r="AE249" s="399">
        <f t="shared" si="768"/>
        <v>0</v>
      </c>
      <c r="AF249" s="399">
        <f t="shared" si="769"/>
        <v>0</v>
      </c>
      <c r="AG249" s="483" t="str">
        <f t="shared" ca="1" si="715"/>
        <v/>
      </c>
      <c r="AH249" s="400">
        <f ca="1">IF(MAX(IF($C$6="No",ROUNDUP($C$3/$I249,0),ROUNDUP(($C$3+$I249)/$I249,0)),IF($C$6="No",ROUNDUP($C$4/$G249,0),ROUNDUP(($C$4+$G249)/$G249,0)),ROUNDUP('BVMS checklist'!$H$217/$J249,0))&gt;1,'BVMS checklist'!$J$224,'BVMS checklist'!$J$217)</f>
        <v>0</v>
      </c>
      <c r="AI249" s="398">
        <f t="shared" ca="1" si="716"/>
        <v>2</v>
      </c>
      <c r="AJ249" s="400">
        <f t="shared" ca="1" si="740"/>
        <v>2</v>
      </c>
      <c r="AK249" s="400">
        <f t="shared" ca="1" si="741"/>
        <v>2100</v>
      </c>
      <c r="AL249" s="400">
        <f t="shared" ca="1" si="742"/>
        <v>0</v>
      </c>
      <c r="AM249" s="398">
        <f t="shared" ca="1" si="743"/>
        <v>122892</v>
      </c>
      <c r="AN249" s="401" t="str">
        <f t="shared" ca="1" si="717"/>
        <v/>
      </c>
      <c r="AO249" s="398">
        <f t="shared" ca="1" si="744"/>
        <v>1600</v>
      </c>
      <c r="AP249" s="400">
        <f ca="1">IF(MAX(IF($C$6="No",ROUNDUP($C$3/$I249,0),ROUNDUP(($C$3+$I249)/$I249,0)),IF($C$6="No",ROUNDUP($C$4/$G249,0),ROUNDUP(($C$4+$G249)/$G249,0)),ROUNDUP('BVMS checklist'!$H$217/$J249,0))&gt;1,'BVMS checklist'!$J$224,'BVMS checklist'!$J$217)+MAX(IF($C$6="No",ROUNDUP($C$3/$I249,0),ROUNDUP(($C$3+$I249)/$I249,0)),IF($C$6="No",ROUNDUP($C$4/$G249,0),ROUNDUP(($C$4+$G249)/$G249,0)))+$C$5</f>
        <v>1</v>
      </c>
      <c r="AQ249" s="400" t="b">
        <f t="shared" ca="1" si="706"/>
        <v>1</v>
      </c>
      <c r="AR249" s="400" t="str">
        <f t="shared" ca="1" si="745"/>
        <v>Accepted</v>
      </c>
      <c r="AS249" s="398" t="str">
        <f t="shared" ca="1" si="731"/>
        <v>No</v>
      </c>
      <c r="AT249" s="398" t="str">
        <f t="shared" ca="1" si="746"/>
        <v/>
      </c>
      <c r="AU249" s="398" t="str">
        <f t="shared" ca="1" si="718"/>
        <v/>
      </c>
      <c r="AV249" s="398">
        <f t="shared" ca="1" si="719"/>
        <v>6</v>
      </c>
      <c r="AW249" s="398">
        <f t="shared" ca="1" si="747"/>
        <v>2</v>
      </c>
      <c r="AX249" s="398">
        <f t="shared" ca="1" si="748"/>
        <v>144</v>
      </c>
      <c r="AY249" s="398">
        <f t="shared" ca="1" si="749"/>
        <v>122892</v>
      </c>
      <c r="AZ249" s="399">
        <f t="shared" si="770"/>
        <v>0</v>
      </c>
      <c r="BA249" s="399">
        <f t="shared" si="771"/>
        <v>0</v>
      </c>
      <c r="BB249" s="483" t="str">
        <f t="shared" ca="1" si="720"/>
        <v/>
      </c>
      <c r="BC249" s="400">
        <f ca="1">IF(MAX(IF($D$6="No",ROUNDUP($D$3/$I249,0),ROUNDUP(($D$3+$I249)/$I249,0)),IF($D$6="No",ROUNDUP($D$4/$G249,0),ROUNDUP(($D$4+$G249)/$G249,0)),ROUNDUP('BVMS checklist'!$H$217/$J249,0))&gt;1,'BVMS checklist'!$L$224,'BVMS checklist'!$L$217)</f>
        <v>0</v>
      </c>
      <c r="BD249" s="398">
        <f t="shared" ca="1" si="721"/>
        <v>2</v>
      </c>
      <c r="BE249" s="400">
        <f t="shared" si="750"/>
        <v>1</v>
      </c>
      <c r="BF249" s="400">
        <f t="shared" si="751"/>
        <v>1050</v>
      </c>
      <c r="BG249" s="400">
        <f t="shared" ca="1" si="732"/>
        <v>0</v>
      </c>
      <c r="BH249" s="398">
        <f t="shared" ca="1" si="752"/>
        <v>122892</v>
      </c>
      <c r="BI249" s="401" t="str">
        <f t="shared" ca="1" si="722"/>
        <v/>
      </c>
      <c r="BJ249" s="398">
        <f t="shared" ca="1" si="753"/>
        <v>1600</v>
      </c>
      <c r="BK249" s="400">
        <f ca="1">IF(MAX(IF($D$6="No",ROUNDUP($D$3/$I249,0),ROUNDUP(($D$3+$I249)/$I249,0)),IF($D$6="No",ROUNDUP($D$4/$G249,0),ROUNDUP(($D$4+$G249)/$G249,0)),ROUNDUP('BVMS checklist'!$H$217/$J249,0))&gt;1,'BVMS checklist'!$L$224,'BVMS checklist'!$L$217)+MAX(IF($D$6="No",ROUNDUP($D$3/$I249,0),ROUNDUP(($D$3+$I249)/$I249,0)),IF($D$6="No",ROUNDUP($D$4/$G249,0),ROUNDUP(($D$4+$G249)/$G249,0)))+$D$5</f>
        <v>1</v>
      </c>
      <c r="BL249" s="400" t="b">
        <f t="shared" ca="1" si="707"/>
        <v>1</v>
      </c>
      <c r="BM249" s="400" t="str">
        <f t="shared" ca="1" si="754"/>
        <v>Accepted</v>
      </c>
      <c r="BN249" s="398" t="str">
        <f t="shared" ca="1" si="733"/>
        <v>No</v>
      </c>
      <c r="BO249" s="398" t="str">
        <f t="shared" ca="1" si="755"/>
        <v/>
      </c>
      <c r="BP249" s="398" t="str">
        <f t="shared" ca="1" si="723"/>
        <v/>
      </c>
      <c r="BQ249" s="398">
        <f t="shared" ca="1" si="724"/>
        <v>6</v>
      </c>
      <c r="BR249" s="398">
        <f t="shared" ca="1" si="756"/>
        <v>2</v>
      </c>
      <c r="BS249" s="398">
        <f t="shared" ca="1" si="757"/>
        <v>144</v>
      </c>
      <c r="BT249" s="398">
        <f t="shared" ca="1" si="758"/>
        <v>122892</v>
      </c>
      <c r="BU249" s="399">
        <f t="shared" si="772"/>
        <v>0</v>
      </c>
      <c r="BV249" s="399">
        <f t="shared" si="773"/>
        <v>0</v>
      </c>
      <c r="BW249" s="483" t="str">
        <f t="shared" ca="1" si="725"/>
        <v/>
      </c>
      <c r="BX249" s="400">
        <f ca="1">IF(MAX(IF($E$6="No",ROUNDUP($E$3/$I249,0),ROUNDUP(($E$3+$I249)/$I249,0)),IF($E$6="No",ROUNDUP($E$4/$G249,0),ROUNDUP(($E$4+$G249)/$G249,0)),ROUNDUP('BVMS checklist'!$H$217/$J249,0))&gt;1,'BVMS checklist'!$N$224,'BVMS checklist'!$N$217)</f>
        <v>0</v>
      </c>
      <c r="BY249" s="398">
        <f t="shared" ca="1" si="726"/>
        <v>2</v>
      </c>
      <c r="BZ249" s="400">
        <f t="shared" ca="1" si="759"/>
        <v>2</v>
      </c>
      <c r="CA249" s="400">
        <f t="shared" ca="1" si="760"/>
        <v>2100</v>
      </c>
      <c r="CB249" s="400">
        <f t="shared" ca="1" si="734"/>
        <v>0</v>
      </c>
      <c r="CC249" s="398">
        <f t="shared" ca="1" si="761"/>
        <v>122892</v>
      </c>
      <c r="CD249" s="401" t="str">
        <f t="shared" ca="1" si="727"/>
        <v/>
      </c>
      <c r="CE249" s="398">
        <f t="shared" ca="1" si="762"/>
        <v>1600</v>
      </c>
      <c r="CF249" s="400">
        <f ca="1">IF(MAX(IF($E$6="No",ROUNDUP($E$3/$I249,0),ROUNDUP(($E$3+$I249)/$I249,0)),IF($E$6="No",ROUNDUP($E$4/$G249,0),ROUNDUP(($E$4+$G249)/$G249,0)),ROUNDUP('BVMS checklist'!$H$217/$J249,0))&gt;1,'BVMS checklist'!$N$224,'BVMS checklist'!$N$217)+MAX(IF($E$6="No",ROUNDUP($E$3/$I249,0),ROUNDUP(($E$3+$I249)/$I249,0)),IF($E$6="No",ROUNDUP($E$4/$G249,0),ROUNDUP(($E$4+$G249)/$G249,0)))+$E$5</f>
        <v>1</v>
      </c>
      <c r="CG249" s="400" t="b">
        <f t="shared" ca="1" si="708"/>
        <v>1</v>
      </c>
      <c r="CH249" s="400" t="str">
        <f t="shared" ca="1" si="763"/>
        <v>Accepted</v>
      </c>
      <c r="CI249" s="398" t="str">
        <f t="shared" ca="1" si="735"/>
        <v>No</v>
      </c>
      <c r="CJ249" s="398" t="str">
        <f t="shared" ca="1" si="764"/>
        <v/>
      </c>
      <c r="CK249" s="398" t="str">
        <f t="shared" ca="1" si="728"/>
        <v/>
      </c>
      <c r="CL249" s="398">
        <f t="shared" ca="1" si="729"/>
        <v>6</v>
      </c>
      <c r="CM249" s="398">
        <f t="shared" ca="1" si="765"/>
        <v>2</v>
      </c>
      <c r="CN249" s="398">
        <f t="shared" ca="1" si="766"/>
        <v>144</v>
      </c>
      <c r="CO249" s="398">
        <f t="shared" ca="1" si="767"/>
        <v>122892</v>
      </c>
      <c r="CP249" s="399">
        <f t="shared" si="774"/>
        <v>0</v>
      </c>
      <c r="CQ249" s="399">
        <f t="shared" si="775"/>
        <v>0</v>
      </c>
      <c r="CR249" s="483" t="str">
        <f t="shared" ca="1" si="730"/>
        <v/>
      </c>
      <c r="CS249"/>
    </row>
    <row r="250" spans="1:97">
      <c r="A250" s="398" t="s">
        <v>1012</v>
      </c>
      <c r="B250" s="398" t="s">
        <v>987</v>
      </c>
      <c r="C250" s="440" t="s">
        <v>891</v>
      </c>
      <c r="D250" s="398">
        <v>1</v>
      </c>
      <c r="E250" s="398">
        <v>3</v>
      </c>
      <c r="F250" s="440">
        <v>0</v>
      </c>
      <c r="G250" s="398">
        <f t="shared" si="808"/>
        <v>81928</v>
      </c>
      <c r="H250" s="399">
        <v>92</v>
      </c>
      <c r="I250" s="399">
        <v>1050</v>
      </c>
      <c r="J250" s="399">
        <v>800</v>
      </c>
      <c r="K250" s="399"/>
      <c r="L250" s="399"/>
      <c r="M250" s="400">
        <f ca="1">IF(MAX(IF($B$6="No",ROUNDUP($B$3/$I250,0),ROUNDUP(($B$3+$I250)/$I250,0)),IF($B$6="No",ROUNDUP($B$4/$G250,0),ROUNDUP(($B$4+$G250)/$G250,0)),ROUNDUP('BVMS checklist'!$H$217/$J250,0))&gt;1,'BVMS checklist'!$H$224,'BVMS checklist'!$H$217)</f>
        <v>0</v>
      </c>
      <c r="N250" s="398">
        <f t="shared" ca="1" si="709"/>
        <v>2</v>
      </c>
      <c r="O250" s="400">
        <f t="shared" ca="1" si="736"/>
        <v>2</v>
      </c>
      <c r="P250" s="400">
        <f t="shared" ca="1" si="700"/>
        <v>2100</v>
      </c>
      <c r="Q250" s="400">
        <f t="shared" ca="1" si="701"/>
        <v>0</v>
      </c>
      <c r="R250" s="398">
        <f t="shared" ca="1" si="702"/>
        <v>163856</v>
      </c>
      <c r="S250" s="401" t="str">
        <f t="shared" ca="1" si="710"/>
        <v/>
      </c>
      <c r="T250" s="398">
        <f t="shared" ca="1" si="711"/>
        <v>1600</v>
      </c>
      <c r="U250" s="400">
        <f ca="1">IF(MAX(IF($B$6="No",ROUNDUP($B$3/$I250,0),ROUNDUP(($B$3+$I250)/$I250,0)),IF($B$6="No",ROUNDUP($B$4/$G250,0),ROUNDUP(($B$4+$G250)/$G250,0)),ROUNDUP('BVMS checklist'!$H$217/$J250,0))&gt;1,'BVMS checklist'!$H$224,'BVMS checklist'!$H$217)+MAX(IF($B$6="No",ROUNDUP($B$3/$I250,0),ROUNDUP(($B$3+$I250)/$I250,0)),IF($B$6="No",ROUNDUP($B$4/$G250,0),ROUNDUP(($B$4+$G250)/$G250,0)))+$B$5</f>
        <v>1</v>
      </c>
      <c r="V250" s="400" t="b">
        <f t="shared" ca="1" si="703"/>
        <v>1</v>
      </c>
      <c r="W250" s="400" t="str">
        <f t="shared" ca="1" si="737"/>
        <v>Accepted</v>
      </c>
      <c r="X250" s="398" t="str">
        <f t="shared" ca="1" si="712"/>
        <v>No</v>
      </c>
      <c r="Y250" s="398" t="str">
        <f t="shared" ca="1" si="713"/>
        <v/>
      </c>
      <c r="Z250" s="398" t="str">
        <f t="shared" ca="1" si="714"/>
        <v/>
      </c>
      <c r="AA250" s="398">
        <f t="shared" ca="1" si="738"/>
        <v>6</v>
      </c>
      <c r="AB250" s="398">
        <f t="shared" ca="1" si="704"/>
        <v>2</v>
      </c>
      <c r="AC250" s="398">
        <f t="shared" ca="1" si="705"/>
        <v>184</v>
      </c>
      <c r="AD250" s="398">
        <f t="shared" ca="1" si="739"/>
        <v>163856</v>
      </c>
      <c r="AE250" s="399">
        <f t="shared" si="768"/>
        <v>0</v>
      </c>
      <c r="AF250" s="399">
        <f t="shared" si="769"/>
        <v>0</v>
      </c>
      <c r="AG250" s="483" t="str">
        <f t="shared" ca="1" si="715"/>
        <v/>
      </c>
      <c r="AH250" s="400">
        <f ca="1">IF(MAX(IF($C$6="No",ROUNDUP($C$3/$I250,0),ROUNDUP(($C$3+$I250)/$I250,0)),IF($C$6="No",ROUNDUP($C$4/$G250,0),ROUNDUP(($C$4+$G250)/$G250,0)),ROUNDUP('BVMS checklist'!$H$217/$J250,0))&gt;1,'BVMS checklist'!$J$224,'BVMS checklist'!$J$217)</f>
        <v>0</v>
      </c>
      <c r="AI250" s="398">
        <f t="shared" ca="1" si="716"/>
        <v>2</v>
      </c>
      <c r="AJ250" s="400">
        <f t="shared" ca="1" si="740"/>
        <v>2</v>
      </c>
      <c r="AK250" s="400">
        <f t="shared" ca="1" si="741"/>
        <v>2100</v>
      </c>
      <c r="AL250" s="400">
        <f t="shared" ca="1" si="742"/>
        <v>0</v>
      </c>
      <c r="AM250" s="398">
        <f t="shared" ca="1" si="743"/>
        <v>163856</v>
      </c>
      <c r="AN250" s="401" t="str">
        <f t="shared" ca="1" si="717"/>
        <v/>
      </c>
      <c r="AO250" s="398">
        <f t="shared" ca="1" si="744"/>
        <v>1600</v>
      </c>
      <c r="AP250" s="400">
        <f ca="1">IF(MAX(IF($C$6="No",ROUNDUP($C$3/$I250,0),ROUNDUP(($C$3+$I250)/$I250,0)),IF($C$6="No",ROUNDUP($C$4/$G250,0),ROUNDUP(($C$4+$G250)/$G250,0)),ROUNDUP('BVMS checklist'!$H$217/$J250,0))&gt;1,'BVMS checklist'!$J$224,'BVMS checklist'!$J$217)+MAX(IF($C$6="No",ROUNDUP($C$3/$I250,0),ROUNDUP(($C$3+$I250)/$I250,0)),IF($C$6="No",ROUNDUP($C$4/$G250,0),ROUNDUP(($C$4+$G250)/$G250,0)))+$C$5</f>
        <v>1</v>
      </c>
      <c r="AQ250" s="400" t="b">
        <f t="shared" ca="1" si="706"/>
        <v>1</v>
      </c>
      <c r="AR250" s="400" t="str">
        <f t="shared" ca="1" si="745"/>
        <v>Accepted</v>
      </c>
      <c r="AS250" s="398" t="str">
        <f t="shared" ca="1" si="731"/>
        <v>No</v>
      </c>
      <c r="AT250" s="398" t="str">
        <f t="shared" ca="1" si="746"/>
        <v/>
      </c>
      <c r="AU250" s="398" t="str">
        <f t="shared" ca="1" si="718"/>
        <v/>
      </c>
      <c r="AV250" s="398">
        <f t="shared" ca="1" si="719"/>
        <v>6</v>
      </c>
      <c r="AW250" s="398">
        <f t="shared" ca="1" si="747"/>
        <v>2</v>
      </c>
      <c r="AX250" s="398">
        <f t="shared" ca="1" si="748"/>
        <v>184</v>
      </c>
      <c r="AY250" s="398">
        <f t="shared" ca="1" si="749"/>
        <v>163856</v>
      </c>
      <c r="AZ250" s="399">
        <f t="shared" si="770"/>
        <v>0</v>
      </c>
      <c r="BA250" s="399">
        <f t="shared" si="771"/>
        <v>0</v>
      </c>
      <c r="BB250" s="483" t="str">
        <f t="shared" ca="1" si="720"/>
        <v/>
      </c>
      <c r="BC250" s="400">
        <f ca="1">IF(MAX(IF($D$6="No",ROUNDUP($D$3/$I250,0),ROUNDUP(($D$3+$I250)/$I250,0)),IF($D$6="No",ROUNDUP($D$4/$G250,0),ROUNDUP(($D$4+$G250)/$G250,0)),ROUNDUP('BVMS checklist'!$H$217/$J250,0))&gt;1,'BVMS checklist'!$L$224,'BVMS checklist'!$L$217)</f>
        <v>0</v>
      </c>
      <c r="BD250" s="398">
        <f t="shared" ca="1" si="721"/>
        <v>2</v>
      </c>
      <c r="BE250" s="400">
        <f t="shared" si="750"/>
        <v>1</v>
      </c>
      <c r="BF250" s="400">
        <f t="shared" si="751"/>
        <v>1050</v>
      </c>
      <c r="BG250" s="400">
        <f t="shared" ca="1" si="732"/>
        <v>0</v>
      </c>
      <c r="BH250" s="398">
        <f t="shared" ca="1" si="752"/>
        <v>163856</v>
      </c>
      <c r="BI250" s="401" t="str">
        <f t="shared" ca="1" si="722"/>
        <v/>
      </c>
      <c r="BJ250" s="398">
        <f t="shared" ca="1" si="753"/>
        <v>1600</v>
      </c>
      <c r="BK250" s="400">
        <f ca="1">IF(MAX(IF($D$6="No",ROUNDUP($D$3/$I250,0),ROUNDUP(($D$3+$I250)/$I250,0)),IF($D$6="No",ROUNDUP($D$4/$G250,0),ROUNDUP(($D$4+$G250)/$G250,0)),ROUNDUP('BVMS checklist'!$H$217/$J250,0))&gt;1,'BVMS checklist'!$L$224,'BVMS checklist'!$L$217)+MAX(IF($D$6="No",ROUNDUP($D$3/$I250,0),ROUNDUP(($D$3+$I250)/$I250,0)),IF($D$6="No",ROUNDUP($D$4/$G250,0),ROUNDUP(($D$4+$G250)/$G250,0)))+$D$5</f>
        <v>1</v>
      </c>
      <c r="BL250" s="400" t="b">
        <f t="shared" ca="1" si="707"/>
        <v>1</v>
      </c>
      <c r="BM250" s="400" t="str">
        <f t="shared" ca="1" si="754"/>
        <v>Accepted</v>
      </c>
      <c r="BN250" s="398" t="str">
        <f t="shared" ca="1" si="733"/>
        <v>No</v>
      </c>
      <c r="BO250" s="398" t="str">
        <f t="shared" ca="1" si="755"/>
        <v/>
      </c>
      <c r="BP250" s="398" t="str">
        <f t="shared" ca="1" si="723"/>
        <v/>
      </c>
      <c r="BQ250" s="398">
        <f t="shared" ca="1" si="724"/>
        <v>6</v>
      </c>
      <c r="BR250" s="398">
        <f t="shared" ca="1" si="756"/>
        <v>2</v>
      </c>
      <c r="BS250" s="398">
        <f t="shared" ca="1" si="757"/>
        <v>184</v>
      </c>
      <c r="BT250" s="398">
        <f t="shared" ca="1" si="758"/>
        <v>163856</v>
      </c>
      <c r="BU250" s="399">
        <f t="shared" si="772"/>
        <v>0</v>
      </c>
      <c r="BV250" s="399">
        <f t="shared" si="773"/>
        <v>0</v>
      </c>
      <c r="BW250" s="483" t="str">
        <f t="shared" ca="1" si="725"/>
        <v/>
      </c>
      <c r="BX250" s="400">
        <f ca="1">IF(MAX(IF($E$6="No",ROUNDUP($E$3/$I250,0),ROUNDUP(($E$3+$I250)/$I250,0)),IF($E$6="No",ROUNDUP($E$4/$G250,0),ROUNDUP(($E$4+$G250)/$G250,0)),ROUNDUP('BVMS checklist'!$H$217/$J250,0))&gt;1,'BVMS checklist'!$N$224,'BVMS checklist'!$N$217)</f>
        <v>0</v>
      </c>
      <c r="BY250" s="398">
        <f t="shared" ca="1" si="726"/>
        <v>2</v>
      </c>
      <c r="BZ250" s="400">
        <f t="shared" ca="1" si="759"/>
        <v>2</v>
      </c>
      <c r="CA250" s="400">
        <f t="shared" ca="1" si="760"/>
        <v>2100</v>
      </c>
      <c r="CB250" s="400">
        <f t="shared" ca="1" si="734"/>
        <v>0</v>
      </c>
      <c r="CC250" s="398">
        <f t="shared" ca="1" si="761"/>
        <v>163856</v>
      </c>
      <c r="CD250" s="401" t="str">
        <f t="shared" ca="1" si="727"/>
        <v/>
      </c>
      <c r="CE250" s="398">
        <f t="shared" ca="1" si="762"/>
        <v>1600</v>
      </c>
      <c r="CF250" s="400">
        <f ca="1">IF(MAX(IF($E$6="No",ROUNDUP($E$3/$I250,0),ROUNDUP(($E$3+$I250)/$I250,0)),IF($E$6="No",ROUNDUP($E$4/$G250,0),ROUNDUP(($E$4+$G250)/$G250,0)),ROUNDUP('BVMS checklist'!$H$217/$J250,0))&gt;1,'BVMS checklist'!$N$224,'BVMS checklist'!$N$217)+MAX(IF($E$6="No",ROUNDUP($E$3/$I250,0),ROUNDUP(($E$3+$I250)/$I250,0)),IF($E$6="No",ROUNDUP($E$4/$G250,0),ROUNDUP(($E$4+$G250)/$G250,0)))+$E$5</f>
        <v>1</v>
      </c>
      <c r="CG250" s="400" t="b">
        <f t="shared" ca="1" si="708"/>
        <v>1</v>
      </c>
      <c r="CH250" s="400" t="str">
        <f t="shared" ca="1" si="763"/>
        <v>Accepted</v>
      </c>
      <c r="CI250" s="398" t="str">
        <f t="shared" ca="1" si="735"/>
        <v>No</v>
      </c>
      <c r="CJ250" s="398" t="str">
        <f t="shared" ca="1" si="764"/>
        <v/>
      </c>
      <c r="CK250" s="398" t="str">
        <f t="shared" ca="1" si="728"/>
        <v/>
      </c>
      <c r="CL250" s="398">
        <f t="shared" ca="1" si="729"/>
        <v>6</v>
      </c>
      <c r="CM250" s="398">
        <f t="shared" ca="1" si="765"/>
        <v>2</v>
      </c>
      <c r="CN250" s="398">
        <f t="shared" ca="1" si="766"/>
        <v>184</v>
      </c>
      <c r="CO250" s="398">
        <f t="shared" ca="1" si="767"/>
        <v>163856</v>
      </c>
      <c r="CP250" s="399">
        <f t="shared" si="774"/>
        <v>0</v>
      </c>
      <c r="CQ250" s="399">
        <f t="shared" si="775"/>
        <v>0</v>
      </c>
      <c r="CR250" s="483" t="str">
        <f t="shared" ca="1" si="730"/>
        <v/>
      </c>
      <c r="CS250"/>
    </row>
    <row r="251" spans="1:97">
      <c r="A251" s="398" t="s">
        <v>1013</v>
      </c>
      <c r="B251" s="398" t="s">
        <v>987</v>
      </c>
      <c r="C251" s="440" t="s">
        <v>891</v>
      </c>
      <c r="D251" s="398">
        <v>1</v>
      </c>
      <c r="E251" s="398">
        <v>4</v>
      </c>
      <c r="F251" s="440">
        <v>0</v>
      </c>
      <c r="G251" s="398">
        <f t="shared" si="808"/>
        <v>102410</v>
      </c>
      <c r="H251" s="399">
        <v>120</v>
      </c>
      <c r="I251" s="399">
        <v>1050</v>
      </c>
      <c r="J251" s="399">
        <v>800</v>
      </c>
      <c r="K251" s="399"/>
      <c r="L251" s="399"/>
      <c r="M251" s="400">
        <f ca="1">IF(MAX(IF($B$6="No",ROUNDUP($B$3/$I251,0),ROUNDUP(($B$3+$I251)/$I251,0)),IF($B$6="No",ROUNDUP($B$4/$G251,0),ROUNDUP(($B$4+$G251)/$G251,0)),ROUNDUP('BVMS checklist'!$H$217/$J251,0))&gt;1,'BVMS checklist'!$H$224,'BVMS checklist'!$H$217)</f>
        <v>0</v>
      </c>
      <c r="N251" s="398">
        <f t="shared" ca="1" si="709"/>
        <v>2</v>
      </c>
      <c r="O251" s="400">
        <f t="shared" ca="1" si="736"/>
        <v>2</v>
      </c>
      <c r="P251" s="400">
        <f t="shared" ca="1" si="700"/>
        <v>2100</v>
      </c>
      <c r="Q251" s="400">
        <f t="shared" ca="1" si="701"/>
        <v>0</v>
      </c>
      <c r="R251" s="398">
        <f t="shared" ca="1" si="702"/>
        <v>204820</v>
      </c>
      <c r="S251" s="401" t="str">
        <f t="shared" ca="1" si="710"/>
        <v/>
      </c>
      <c r="T251" s="398">
        <f t="shared" ca="1" si="711"/>
        <v>1600</v>
      </c>
      <c r="U251" s="400">
        <f ca="1">IF(MAX(IF($B$6="No",ROUNDUP($B$3/$I251,0),ROUNDUP(($B$3+$I251)/$I251,0)),IF($B$6="No",ROUNDUP($B$4/$G251,0),ROUNDUP(($B$4+$G251)/$G251,0)),ROUNDUP('BVMS checklist'!$H$217/$J251,0))&gt;1,'BVMS checklist'!$H$224,'BVMS checklist'!$H$217)+MAX(IF($B$6="No",ROUNDUP($B$3/$I251,0),ROUNDUP(($B$3+$I251)/$I251,0)),IF($B$6="No",ROUNDUP($B$4/$G251,0),ROUNDUP(($B$4+$G251)/$G251,0)))+$B$5</f>
        <v>1</v>
      </c>
      <c r="V251" s="400" t="b">
        <f t="shared" ca="1" si="703"/>
        <v>1</v>
      </c>
      <c r="W251" s="400" t="str">
        <f t="shared" ca="1" si="737"/>
        <v>Accepted</v>
      </c>
      <c r="X251" s="398" t="str">
        <f t="shared" ca="1" si="712"/>
        <v>No</v>
      </c>
      <c r="Y251" s="398" t="str">
        <f t="shared" ca="1" si="713"/>
        <v/>
      </c>
      <c r="Z251" s="398" t="str">
        <f t="shared" ca="1" si="714"/>
        <v/>
      </c>
      <c r="AA251" s="398">
        <f t="shared" ca="1" si="738"/>
        <v>6</v>
      </c>
      <c r="AB251" s="398">
        <f t="shared" ca="1" si="704"/>
        <v>2</v>
      </c>
      <c r="AC251" s="398">
        <f t="shared" ca="1" si="705"/>
        <v>240</v>
      </c>
      <c r="AD251" s="398">
        <f t="shared" ca="1" si="739"/>
        <v>204820</v>
      </c>
      <c r="AE251" s="399">
        <f t="shared" si="768"/>
        <v>0</v>
      </c>
      <c r="AF251" s="399">
        <f t="shared" si="769"/>
        <v>0</v>
      </c>
      <c r="AG251" s="483" t="str">
        <f t="shared" ca="1" si="715"/>
        <v/>
      </c>
      <c r="AH251" s="400">
        <f ca="1">IF(MAX(IF($C$6="No",ROUNDUP($C$3/$I251,0),ROUNDUP(($C$3+$I251)/$I251,0)),IF($C$6="No",ROUNDUP($C$4/$G251,0),ROUNDUP(($C$4+$G251)/$G251,0)),ROUNDUP('BVMS checklist'!$H$217/$J251,0))&gt;1,'BVMS checklist'!$J$224,'BVMS checklist'!$J$217)</f>
        <v>0</v>
      </c>
      <c r="AI251" s="398">
        <f t="shared" ca="1" si="716"/>
        <v>2</v>
      </c>
      <c r="AJ251" s="400">
        <f t="shared" ca="1" si="740"/>
        <v>2</v>
      </c>
      <c r="AK251" s="400">
        <f t="shared" ca="1" si="741"/>
        <v>2100</v>
      </c>
      <c r="AL251" s="400">
        <f t="shared" ca="1" si="742"/>
        <v>0</v>
      </c>
      <c r="AM251" s="398">
        <f t="shared" ca="1" si="743"/>
        <v>204820</v>
      </c>
      <c r="AN251" s="401" t="str">
        <f t="shared" ca="1" si="717"/>
        <v/>
      </c>
      <c r="AO251" s="398">
        <f t="shared" ca="1" si="744"/>
        <v>1600</v>
      </c>
      <c r="AP251" s="400">
        <f ca="1">IF(MAX(IF($C$6="No",ROUNDUP($C$3/$I251,0),ROUNDUP(($C$3+$I251)/$I251,0)),IF($C$6="No",ROUNDUP($C$4/$G251,0),ROUNDUP(($C$4+$G251)/$G251,0)),ROUNDUP('BVMS checklist'!$H$217/$J251,0))&gt;1,'BVMS checklist'!$J$224,'BVMS checklist'!$J$217)+MAX(IF($C$6="No",ROUNDUP($C$3/$I251,0),ROUNDUP(($C$3+$I251)/$I251,0)),IF($C$6="No",ROUNDUP($C$4/$G251,0),ROUNDUP(($C$4+$G251)/$G251,0)))+$C$5</f>
        <v>1</v>
      </c>
      <c r="AQ251" s="400" t="b">
        <f t="shared" ca="1" si="706"/>
        <v>1</v>
      </c>
      <c r="AR251" s="400" t="str">
        <f t="shared" ca="1" si="745"/>
        <v>Accepted</v>
      </c>
      <c r="AS251" s="398" t="str">
        <f t="shared" ca="1" si="731"/>
        <v>No</v>
      </c>
      <c r="AT251" s="398" t="str">
        <f t="shared" ca="1" si="746"/>
        <v/>
      </c>
      <c r="AU251" s="398" t="str">
        <f t="shared" ca="1" si="718"/>
        <v/>
      </c>
      <c r="AV251" s="398">
        <f t="shared" ca="1" si="719"/>
        <v>6</v>
      </c>
      <c r="AW251" s="398">
        <f t="shared" ca="1" si="747"/>
        <v>2</v>
      </c>
      <c r="AX251" s="398">
        <f t="shared" ca="1" si="748"/>
        <v>240</v>
      </c>
      <c r="AY251" s="398">
        <f t="shared" ca="1" si="749"/>
        <v>204820</v>
      </c>
      <c r="AZ251" s="399">
        <f t="shared" si="770"/>
        <v>0</v>
      </c>
      <c r="BA251" s="399">
        <f t="shared" si="771"/>
        <v>0</v>
      </c>
      <c r="BB251" s="483" t="str">
        <f t="shared" ca="1" si="720"/>
        <v/>
      </c>
      <c r="BC251" s="400">
        <f ca="1">IF(MAX(IF($D$6="No",ROUNDUP($D$3/$I251,0),ROUNDUP(($D$3+$I251)/$I251,0)),IF($D$6="No",ROUNDUP($D$4/$G251,0),ROUNDUP(($D$4+$G251)/$G251,0)),ROUNDUP('BVMS checklist'!$H$217/$J251,0))&gt;1,'BVMS checklist'!$L$224,'BVMS checklist'!$L$217)</f>
        <v>0</v>
      </c>
      <c r="BD251" s="398">
        <f t="shared" ca="1" si="721"/>
        <v>2</v>
      </c>
      <c r="BE251" s="400">
        <f t="shared" si="750"/>
        <v>1</v>
      </c>
      <c r="BF251" s="400">
        <f t="shared" si="751"/>
        <v>1050</v>
      </c>
      <c r="BG251" s="400">
        <f t="shared" ca="1" si="732"/>
        <v>0</v>
      </c>
      <c r="BH251" s="398">
        <f t="shared" ca="1" si="752"/>
        <v>204820</v>
      </c>
      <c r="BI251" s="401" t="str">
        <f t="shared" ca="1" si="722"/>
        <v/>
      </c>
      <c r="BJ251" s="398">
        <f t="shared" ca="1" si="753"/>
        <v>1600</v>
      </c>
      <c r="BK251" s="400">
        <f ca="1">IF(MAX(IF($D$6="No",ROUNDUP($D$3/$I251,0),ROUNDUP(($D$3+$I251)/$I251,0)),IF($D$6="No",ROUNDUP($D$4/$G251,0),ROUNDUP(($D$4+$G251)/$G251,0)),ROUNDUP('BVMS checklist'!$H$217/$J251,0))&gt;1,'BVMS checklist'!$L$224,'BVMS checklist'!$L$217)+MAX(IF($D$6="No",ROUNDUP($D$3/$I251,0),ROUNDUP(($D$3+$I251)/$I251,0)),IF($D$6="No",ROUNDUP($D$4/$G251,0),ROUNDUP(($D$4+$G251)/$G251,0)))+$D$5</f>
        <v>1</v>
      </c>
      <c r="BL251" s="400" t="b">
        <f t="shared" ca="1" si="707"/>
        <v>1</v>
      </c>
      <c r="BM251" s="400" t="str">
        <f t="shared" ca="1" si="754"/>
        <v>Accepted</v>
      </c>
      <c r="BN251" s="398" t="str">
        <f t="shared" ca="1" si="733"/>
        <v>No</v>
      </c>
      <c r="BO251" s="398" t="str">
        <f t="shared" ca="1" si="755"/>
        <v/>
      </c>
      <c r="BP251" s="398" t="str">
        <f t="shared" ca="1" si="723"/>
        <v/>
      </c>
      <c r="BQ251" s="398">
        <f t="shared" ca="1" si="724"/>
        <v>6</v>
      </c>
      <c r="BR251" s="398">
        <f t="shared" ca="1" si="756"/>
        <v>2</v>
      </c>
      <c r="BS251" s="398">
        <f t="shared" ca="1" si="757"/>
        <v>240</v>
      </c>
      <c r="BT251" s="398">
        <f t="shared" ca="1" si="758"/>
        <v>204820</v>
      </c>
      <c r="BU251" s="399">
        <f t="shared" si="772"/>
        <v>0</v>
      </c>
      <c r="BV251" s="399">
        <f t="shared" si="773"/>
        <v>0</v>
      </c>
      <c r="BW251" s="483" t="str">
        <f t="shared" ca="1" si="725"/>
        <v/>
      </c>
      <c r="BX251" s="400">
        <f ca="1">IF(MAX(IF($E$6="No",ROUNDUP($E$3/$I251,0),ROUNDUP(($E$3+$I251)/$I251,0)),IF($E$6="No",ROUNDUP($E$4/$G251,0),ROUNDUP(($E$4+$G251)/$G251,0)),ROUNDUP('BVMS checklist'!$H$217/$J251,0))&gt;1,'BVMS checklist'!$N$224,'BVMS checklist'!$N$217)</f>
        <v>0</v>
      </c>
      <c r="BY251" s="398">
        <f t="shared" ca="1" si="726"/>
        <v>2</v>
      </c>
      <c r="BZ251" s="400">
        <f t="shared" ca="1" si="759"/>
        <v>2</v>
      </c>
      <c r="CA251" s="400">
        <f t="shared" ca="1" si="760"/>
        <v>2100</v>
      </c>
      <c r="CB251" s="400">
        <f t="shared" ca="1" si="734"/>
        <v>0</v>
      </c>
      <c r="CC251" s="398">
        <f t="shared" ca="1" si="761"/>
        <v>204820</v>
      </c>
      <c r="CD251" s="401" t="str">
        <f t="shared" ca="1" si="727"/>
        <v/>
      </c>
      <c r="CE251" s="398">
        <f t="shared" ca="1" si="762"/>
        <v>1600</v>
      </c>
      <c r="CF251" s="400">
        <f ca="1">IF(MAX(IF($E$6="No",ROUNDUP($E$3/$I251,0),ROUNDUP(($E$3+$I251)/$I251,0)),IF($E$6="No",ROUNDUP($E$4/$G251,0),ROUNDUP(($E$4+$G251)/$G251,0)),ROUNDUP('BVMS checklist'!$H$217/$J251,0))&gt;1,'BVMS checklist'!$N$224,'BVMS checklist'!$N$217)+MAX(IF($E$6="No",ROUNDUP($E$3/$I251,0),ROUNDUP(($E$3+$I251)/$I251,0)),IF($E$6="No",ROUNDUP($E$4/$G251,0),ROUNDUP(($E$4+$G251)/$G251,0)))+$E$5</f>
        <v>1</v>
      </c>
      <c r="CG251" s="400" t="b">
        <f t="shared" ca="1" si="708"/>
        <v>1</v>
      </c>
      <c r="CH251" s="400" t="str">
        <f t="shared" ca="1" si="763"/>
        <v>Accepted</v>
      </c>
      <c r="CI251" s="398" t="str">
        <f t="shared" ca="1" si="735"/>
        <v>No</v>
      </c>
      <c r="CJ251" s="398" t="str">
        <f t="shared" ca="1" si="764"/>
        <v/>
      </c>
      <c r="CK251" s="398" t="str">
        <f t="shared" ca="1" si="728"/>
        <v/>
      </c>
      <c r="CL251" s="398">
        <f t="shared" ca="1" si="729"/>
        <v>6</v>
      </c>
      <c r="CM251" s="398">
        <f t="shared" ca="1" si="765"/>
        <v>2</v>
      </c>
      <c r="CN251" s="398">
        <f t="shared" ca="1" si="766"/>
        <v>240</v>
      </c>
      <c r="CO251" s="398">
        <f t="shared" ca="1" si="767"/>
        <v>204820</v>
      </c>
      <c r="CP251" s="399">
        <f t="shared" si="774"/>
        <v>0</v>
      </c>
      <c r="CQ251" s="399">
        <f t="shared" si="775"/>
        <v>0</v>
      </c>
      <c r="CR251" s="483" t="str">
        <f t="shared" ca="1" si="730"/>
        <v/>
      </c>
      <c r="CS251"/>
    </row>
    <row r="252" spans="1:97">
      <c r="A252" s="398" t="s">
        <v>1014</v>
      </c>
      <c r="B252" s="398" t="s">
        <v>987</v>
      </c>
      <c r="C252" s="440" t="s">
        <v>891</v>
      </c>
      <c r="D252" s="398">
        <v>1</v>
      </c>
      <c r="E252" s="398">
        <v>5</v>
      </c>
      <c r="F252" s="440">
        <v>0</v>
      </c>
      <c r="G252" s="398">
        <f t="shared" si="808"/>
        <v>122892</v>
      </c>
      <c r="H252" s="399">
        <v>144</v>
      </c>
      <c r="I252" s="399">
        <v>1050</v>
      </c>
      <c r="J252" s="399">
        <v>800</v>
      </c>
      <c r="K252" s="399"/>
      <c r="L252" s="399"/>
      <c r="M252" s="400">
        <f ca="1">IF(MAX(IF($B$6="No",ROUNDUP($B$3/$I252,0),ROUNDUP(($B$3+$I252)/$I252,0)),IF($B$6="No",ROUNDUP($B$4/$G252,0),ROUNDUP(($B$4+$G252)/$G252,0)),ROUNDUP('BVMS checklist'!$H$217/$J252,0))&gt;1,'BVMS checklist'!$H$224,'BVMS checklist'!$H$217)</f>
        <v>0</v>
      </c>
      <c r="N252" s="398">
        <f t="shared" ca="1" si="709"/>
        <v>2</v>
      </c>
      <c r="O252" s="400">
        <f t="shared" ca="1" si="736"/>
        <v>2</v>
      </c>
      <c r="P252" s="400">
        <f t="shared" ca="1" si="700"/>
        <v>2100</v>
      </c>
      <c r="Q252" s="400">
        <f t="shared" ca="1" si="701"/>
        <v>0</v>
      </c>
      <c r="R252" s="398">
        <f t="shared" ca="1" si="702"/>
        <v>245784</v>
      </c>
      <c r="S252" s="401" t="str">
        <f t="shared" ca="1" si="710"/>
        <v/>
      </c>
      <c r="T252" s="398">
        <f t="shared" ca="1" si="711"/>
        <v>1600</v>
      </c>
      <c r="U252" s="400">
        <f ca="1">IF(MAX(IF($B$6="No",ROUNDUP($B$3/$I252,0),ROUNDUP(($B$3+$I252)/$I252,0)),IF($B$6="No",ROUNDUP($B$4/$G252,0),ROUNDUP(($B$4+$G252)/$G252,0)),ROUNDUP('BVMS checklist'!$H$217/$J252,0))&gt;1,'BVMS checklist'!$H$224,'BVMS checklist'!$H$217)+MAX(IF($B$6="No",ROUNDUP($B$3/$I252,0),ROUNDUP(($B$3+$I252)/$I252,0)),IF($B$6="No",ROUNDUP($B$4/$G252,0),ROUNDUP(($B$4+$G252)/$G252,0)))+$B$5</f>
        <v>1</v>
      </c>
      <c r="V252" s="400" t="b">
        <f t="shared" ca="1" si="703"/>
        <v>1</v>
      </c>
      <c r="W252" s="400" t="str">
        <f t="shared" ca="1" si="737"/>
        <v>Accepted</v>
      </c>
      <c r="X252" s="398" t="str">
        <f t="shared" ca="1" si="712"/>
        <v>No</v>
      </c>
      <c r="Y252" s="398" t="str">
        <f t="shared" ca="1" si="713"/>
        <v/>
      </c>
      <c r="Z252" s="398" t="str">
        <f t="shared" ca="1" si="714"/>
        <v/>
      </c>
      <c r="AA252" s="398">
        <f t="shared" ca="1" si="738"/>
        <v>6</v>
      </c>
      <c r="AB252" s="398">
        <f t="shared" ca="1" si="704"/>
        <v>2</v>
      </c>
      <c r="AC252" s="398">
        <f t="shared" ca="1" si="705"/>
        <v>288</v>
      </c>
      <c r="AD252" s="398">
        <f t="shared" ca="1" si="739"/>
        <v>245784</v>
      </c>
      <c r="AE252" s="399">
        <f t="shared" si="768"/>
        <v>0</v>
      </c>
      <c r="AF252" s="399">
        <f t="shared" si="769"/>
        <v>0</v>
      </c>
      <c r="AG252" s="483" t="str">
        <f t="shared" ca="1" si="715"/>
        <v/>
      </c>
      <c r="AH252" s="400">
        <f ca="1">IF(MAX(IF($C$6="No",ROUNDUP($C$3/$I252,0),ROUNDUP(($C$3+$I252)/$I252,0)),IF($C$6="No",ROUNDUP($C$4/$G252,0),ROUNDUP(($C$4+$G252)/$G252,0)),ROUNDUP('BVMS checklist'!$H$217/$J252,0))&gt;1,'BVMS checklist'!$J$224,'BVMS checklist'!$J$217)</f>
        <v>0</v>
      </c>
      <c r="AI252" s="398">
        <f t="shared" ca="1" si="716"/>
        <v>2</v>
      </c>
      <c r="AJ252" s="400">
        <f t="shared" ca="1" si="740"/>
        <v>2</v>
      </c>
      <c r="AK252" s="400">
        <f t="shared" ca="1" si="741"/>
        <v>2100</v>
      </c>
      <c r="AL252" s="400">
        <f t="shared" ca="1" si="742"/>
        <v>0</v>
      </c>
      <c r="AM252" s="398">
        <f t="shared" ca="1" si="743"/>
        <v>245784</v>
      </c>
      <c r="AN252" s="401" t="str">
        <f t="shared" ca="1" si="717"/>
        <v/>
      </c>
      <c r="AO252" s="398">
        <f t="shared" ca="1" si="744"/>
        <v>1600</v>
      </c>
      <c r="AP252" s="400">
        <f ca="1">IF(MAX(IF($C$6="No",ROUNDUP($C$3/$I252,0),ROUNDUP(($C$3+$I252)/$I252,0)),IF($C$6="No",ROUNDUP($C$4/$G252,0),ROUNDUP(($C$4+$G252)/$G252,0)),ROUNDUP('BVMS checklist'!$H$217/$J252,0))&gt;1,'BVMS checklist'!$J$224,'BVMS checklist'!$J$217)+MAX(IF($C$6="No",ROUNDUP($C$3/$I252,0),ROUNDUP(($C$3+$I252)/$I252,0)),IF($C$6="No",ROUNDUP($C$4/$G252,0),ROUNDUP(($C$4+$G252)/$G252,0)))+$C$5</f>
        <v>1</v>
      </c>
      <c r="AQ252" s="400" t="b">
        <f t="shared" ca="1" si="706"/>
        <v>1</v>
      </c>
      <c r="AR252" s="400" t="str">
        <f t="shared" ca="1" si="745"/>
        <v>Accepted</v>
      </c>
      <c r="AS252" s="398" t="str">
        <f t="shared" ca="1" si="731"/>
        <v>No</v>
      </c>
      <c r="AT252" s="398" t="str">
        <f t="shared" ca="1" si="746"/>
        <v/>
      </c>
      <c r="AU252" s="398" t="str">
        <f t="shared" ca="1" si="718"/>
        <v/>
      </c>
      <c r="AV252" s="398">
        <f t="shared" ca="1" si="719"/>
        <v>6</v>
      </c>
      <c r="AW252" s="398">
        <f t="shared" ca="1" si="747"/>
        <v>2</v>
      </c>
      <c r="AX252" s="398">
        <f t="shared" ca="1" si="748"/>
        <v>288</v>
      </c>
      <c r="AY252" s="398">
        <f t="shared" ca="1" si="749"/>
        <v>245784</v>
      </c>
      <c r="AZ252" s="399">
        <f t="shared" si="770"/>
        <v>0</v>
      </c>
      <c r="BA252" s="399">
        <f t="shared" si="771"/>
        <v>0</v>
      </c>
      <c r="BB252" s="483" t="str">
        <f t="shared" ca="1" si="720"/>
        <v/>
      </c>
      <c r="BC252" s="400">
        <f ca="1">IF(MAX(IF($D$6="No",ROUNDUP($D$3/$I252,0),ROUNDUP(($D$3+$I252)/$I252,0)),IF($D$6="No",ROUNDUP($D$4/$G252,0),ROUNDUP(($D$4+$G252)/$G252,0)),ROUNDUP('BVMS checklist'!$H$217/$J252,0))&gt;1,'BVMS checklist'!$L$224,'BVMS checklist'!$L$217)</f>
        <v>0</v>
      </c>
      <c r="BD252" s="398">
        <f t="shared" ca="1" si="721"/>
        <v>2</v>
      </c>
      <c r="BE252" s="400">
        <f t="shared" si="750"/>
        <v>1</v>
      </c>
      <c r="BF252" s="400">
        <f t="shared" si="751"/>
        <v>1050</v>
      </c>
      <c r="BG252" s="400">
        <f t="shared" ca="1" si="732"/>
        <v>0</v>
      </c>
      <c r="BH252" s="398">
        <f t="shared" ca="1" si="752"/>
        <v>245784</v>
      </c>
      <c r="BI252" s="401" t="str">
        <f t="shared" ca="1" si="722"/>
        <v/>
      </c>
      <c r="BJ252" s="398">
        <f t="shared" ca="1" si="753"/>
        <v>1600</v>
      </c>
      <c r="BK252" s="400">
        <f ca="1">IF(MAX(IF($D$6="No",ROUNDUP($D$3/$I252,0),ROUNDUP(($D$3+$I252)/$I252,0)),IF($D$6="No",ROUNDUP($D$4/$G252,0),ROUNDUP(($D$4+$G252)/$G252,0)),ROUNDUP('BVMS checklist'!$H$217/$J252,0))&gt;1,'BVMS checklist'!$L$224,'BVMS checklist'!$L$217)+MAX(IF($D$6="No",ROUNDUP($D$3/$I252,0),ROUNDUP(($D$3+$I252)/$I252,0)),IF($D$6="No",ROUNDUP($D$4/$G252,0),ROUNDUP(($D$4+$G252)/$G252,0)))+$D$5</f>
        <v>1</v>
      </c>
      <c r="BL252" s="400" t="b">
        <f t="shared" ca="1" si="707"/>
        <v>1</v>
      </c>
      <c r="BM252" s="400" t="str">
        <f t="shared" ca="1" si="754"/>
        <v>Accepted</v>
      </c>
      <c r="BN252" s="398" t="str">
        <f t="shared" ca="1" si="733"/>
        <v>No</v>
      </c>
      <c r="BO252" s="398" t="str">
        <f t="shared" ca="1" si="755"/>
        <v/>
      </c>
      <c r="BP252" s="398" t="str">
        <f t="shared" ca="1" si="723"/>
        <v/>
      </c>
      <c r="BQ252" s="398">
        <f t="shared" ca="1" si="724"/>
        <v>6</v>
      </c>
      <c r="BR252" s="398">
        <f t="shared" ca="1" si="756"/>
        <v>2</v>
      </c>
      <c r="BS252" s="398">
        <f t="shared" ca="1" si="757"/>
        <v>288</v>
      </c>
      <c r="BT252" s="398">
        <f t="shared" ca="1" si="758"/>
        <v>245784</v>
      </c>
      <c r="BU252" s="399">
        <f t="shared" si="772"/>
        <v>0</v>
      </c>
      <c r="BV252" s="399">
        <f t="shared" si="773"/>
        <v>0</v>
      </c>
      <c r="BW252" s="483" t="str">
        <f t="shared" ca="1" si="725"/>
        <v/>
      </c>
      <c r="BX252" s="400">
        <f ca="1">IF(MAX(IF($E$6="No",ROUNDUP($E$3/$I252,0),ROUNDUP(($E$3+$I252)/$I252,0)),IF($E$6="No",ROUNDUP($E$4/$G252,0),ROUNDUP(($E$4+$G252)/$G252,0)),ROUNDUP('BVMS checklist'!$H$217/$J252,0))&gt;1,'BVMS checklist'!$N$224,'BVMS checklist'!$N$217)</f>
        <v>0</v>
      </c>
      <c r="BY252" s="398">
        <f t="shared" ca="1" si="726"/>
        <v>2</v>
      </c>
      <c r="BZ252" s="400">
        <f t="shared" ca="1" si="759"/>
        <v>2</v>
      </c>
      <c r="CA252" s="400">
        <f t="shared" ca="1" si="760"/>
        <v>2100</v>
      </c>
      <c r="CB252" s="400">
        <f t="shared" ca="1" si="734"/>
        <v>0</v>
      </c>
      <c r="CC252" s="398">
        <f t="shared" ca="1" si="761"/>
        <v>245784</v>
      </c>
      <c r="CD252" s="401" t="str">
        <f t="shared" ca="1" si="727"/>
        <v/>
      </c>
      <c r="CE252" s="398">
        <f t="shared" ca="1" si="762"/>
        <v>1600</v>
      </c>
      <c r="CF252" s="400">
        <f ca="1">IF(MAX(IF($E$6="No",ROUNDUP($E$3/$I252,0),ROUNDUP(($E$3+$I252)/$I252,0)),IF($E$6="No",ROUNDUP($E$4/$G252,0),ROUNDUP(($E$4+$G252)/$G252,0)),ROUNDUP('BVMS checklist'!$H$217/$J252,0))&gt;1,'BVMS checklist'!$N$224,'BVMS checklist'!$N$217)+MAX(IF($E$6="No",ROUNDUP($E$3/$I252,0),ROUNDUP(($E$3+$I252)/$I252,0)),IF($E$6="No",ROUNDUP($E$4/$G252,0),ROUNDUP(($E$4+$G252)/$G252,0)))+$E$5</f>
        <v>1</v>
      </c>
      <c r="CG252" s="400" t="b">
        <f t="shared" ca="1" si="708"/>
        <v>1</v>
      </c>
      <c r="CH252" s="400" t="str">
        <f t="shared" ca="1" si="763"/>
        <v>Accepted</v>
      </c>
      <c r="CI252" s="398" t="str">
        <f t="shared" ca="1" si="735"/>
        <v>No</v>
      </c>
      <c r="CJ252" s="398" t="str">
        <f t="shared" ca="1" si="764"/>
        <v/>
      </c>
      <c r="CK252" s="398" t="str">
        <f t="shared" ca="1" si="728"/>
        <v/>
      </c>
      <c r="CL252" s="398">
        <f t="shared" ca="1" si="729"/>
        <v>6</v>
      </c>
      <c r="CM252" s="398">
        <f t="shared" ca="1" si="765"/>
        <v>2</v>
      </c>
      <c r="CN252" s="398">
        <f t="shared" ca="1" si="766"/>
        <v>288</v>
      </c>
      <c r="CO252" s="398">
        <f t="shared" ca="1" si="767"/>
        <v>245784</v>
      </c>
      <c r="CP252" s="399">
        <f t="shared" si="774"/>
        <v>0</v>
      </c>
      <c r="CQ252" s="399">
        <f t="shared" si="775"/>
        <v>0</v>
      </c>
      <c r="CR252" s="483" t="str">
        <f t="shared" ca="1" si="730"/>
        <v/>
      </c>
      <c r="CS252"/>
    </row>
    <row r="253" spans="1:97">
      <c r="A253" s="398" t="s">
        <v>1015</v>
      </c>
      <c r="B253" s="398" t="s">
        <v>987</v>
      </c>
      <c r="C253" s="440" t="s">
        <v>891</v>
      </c>
      <c r="D253" s="398">
        <v>1</v>
      </c>
      <c r="E253" s="398">
        <v>6</v>
      </c>
      <c r="F253" s="440">
        <v>0</v>
      </c>
      <c r="G253" s="398">
        <f t="shared" si="808"/>
        <v>143374</v>
      </c>
      <c r="H253" s="399">
        <v>168</v>
      </c>
      <c r="I253" s="399">
        <v>1050</v>
      </c>
      <c r="J253" s="399">
        <v>800</v>
      </c>
      <c r="K253" s="399"/>
      <c r="L253" s="399"/>
      <c r="M253" s="400">
        <f ca="1">IF(MAX(IF($B$6="No",ROUNDUP($B$3/$I253,0),ROUNDUP(($B$3+$I253)/$I253,0)),IF($B$6="No",ROUNDUP($B$4/$G253,0),ROUNDUP(($B$4+$G253)/$G253,0)),ROUNDUP('BVMS checklist'!$H$217/$J253,0))&gt;1,'BVMS checklist'!$H$224,'BVMS checklist'!$H$217)</f>
        <v>0</v>
      </c>
      <c r="N253" s="398">
        <f t="shared" ca="1" si="709"/>
        <v>2</v>
      </c>
      <c r="O253" s="400">
        <f t="shared" ca="1" si="736"/>
        <v>2</v>
      </c>
      <c r="P253" s="400">
        <f t="shared" ca="1" si="700"/>
        <v>2100</v>
      </c>
      <c r="Q253" s="400">
        <f t="shared" ca="1" si="701"/>
        <v>0</v>
      </c>
      <c r="R253" s="398">
        <f t="shared" ca="1" si="702"/>
        <v>286748</v>
      </c>
      <c r="S253" s="401" t="str">
        <f t="shared" ca="1" si="710"/>
        <v/>
      </c>
      <c r="T253" s="398">
        <f t="shared" ca="1" si="711"/>
        <v>1600</v>
      </c>
      <c r="U253" s="400">
        <f ca="1">IF(MAX(IF($B$6="No",ROUNDUP($B$3/$I253,0),ROUNDUP(($B$3+$I253)/$I253,0)),IF($B$6="No",ROUNDUP($B$4/$G253,0),ROUNDUP(($B$4+$G253)/$G253,0)),ROUNDUP('BVMS checklist'!$H$217/$J253,0))&gt;1,'BVMS checklist'!$H$224,'BVMS checklist'!$H$217)+MAX(IF($B$6="No",ROUNDUP($B$3/$I253,0),ROUNDUP(($B$3+$I253)/$I253,0)),IF($B$6="No",ROUNDUP($B$4/$G253,0),ROUNDUP(($B$4+$G253)/$G253,0)))+$B$5</f>
        <v>1</v>
      </c>
      <c r="V253" s="400" t="b">
        <f t="shared" ca="1" si="703"/>
        <v>1</v>
      </c>
      <c r="W253" s="400" t="str">
        <f t="shared" ca="1" si="737"/>
        <v>Accepted</v>
      </c>
      <c r="X253" s="398" t="str">
        <f t="shared" ca="1" si="712"/>
        <v>No</v>
      </c>
      <c r="Y253" s="398" t="str">
        <f t="shared" ca="1" si="713"/>
        <v/>
      </c>
      <c r="Z253" s="398" t="str">
        <f t="shared" ca="1" si="714"/>
        <v/>
      </c>
      <c r="AA253" s="398">
        <f t="shared" ca="1" si="738"/>
        <v>6</v>
      </c>
      <c r="AB253" s="398">
        <f t="shared" ca="1" si="704"/>
        <v>2</v>
      </c>
      <c r="AC253" s="398">
        <f t="shared" ca="1" si="705"/>
        <v>336</v>
      </c>
      <c r="AD253" s="398">
        <f t="shared" ca="1" si="739"/>
        <v>286748</v>
      </c>
      <c r="AE253" s="399">
        <f t="shared" si="768"/>
        <v>0</v>
      </c>
      <c r="AF253" s="399">
        <f t="shared" si="769"/>
        <v>0</v>
      </c>
      <c r="AG253" s="483" t="str">
        <f t="shared" ca="1" si="715"/>
        <v/>
      </c>
      <c r="AH253" s="400">
        <f ca="1">IF(MAX(IF($C$6="No",ROUNDUP($C$3/$I253,0),ROUNDUP(($C$3+$I253)/$I253,0)),IF($C$6="No",ROUNDUP($C$4/$G253,0),ROUNDUP(($C$4+$G253)/$G253,0)),ROUNDUP('BVMS checklist'!$H$217/$J253,0))&gt;1,'BVMS checklist'!$J$224,'BVMS checklist'!$J$217)</f>
        <v>0</v>
      </c>
      <c r="AI253" s="398">
        <f t="shared" ca="1" si="716"/>
        <v>2</v>
      </c>
      <c r="AJ253" s="400">
        <f t="shared" ca="1" si="740"/>
        <v>2</v>
      </c>
      <c r="AK253" s="400">
        <f t="shared" ca="1" si="741"/>
        <v>2100</v>
      </c>
      <c r="AL253" s="400">
        <f t="shared" ca="1" si="742"/>
        <v>0</v>
      </c>
      <c r="AM253" s="398">
        <f t="shared" ca="1" si="743"/>
        <v>286748</v>
      </c>
      <c r="AN253" s="401" t="str">
        <f t="shared" ca="1" si="717"/>
        <v/>
      </c>
      <c r="AO253" s="398">
        <f t="shared" ca="1" si="744"/>
        <v>1600</v>
      </c>
      <c r="AP253" s="400">
        <f ca="1">IF(MAX(IF($C$6="No",ROUNDUP($C$3/$I253,0),ROUNDUP(($C$3+$I253)/$I253,0)),IF($C$6="No",ROUNDUP($C$4/$G253,0),ROUNDUP(($C$4+$G253)/$G253,0)),ROUNDUP('BVMS checklist'!$H$217/$J253,0))&gt;1,'BVMS checklist'!$J$224,'BVMS checklist'!$J$217)+MAX(IF($C$6="No",ROUNDUP($C$3/$I253,0),ROUNDUP(($C$3+$I253)/$I253,0)),IF($C$6="No",ROUNDUP($C$4/$G253,0),ROUNDUP(($C$4+$G253)/$G253,0)))+$C$5</f>
        <v>1</v>
      </c>
      <c r="AQ253" s="400" t="b">
        <f t="shared" ca="1" si="706"/>
        <v>1</v>
      </c>
      <c r="AR253" s="400" t="str">
        <f t="shared" ca="1" si="745"/>
        <v>Accepted</v>
      </c>
      <c r="AS253" s="398" t="str">
        <f t="shared" ca="1" si="731"/>
        <v>No</v>
      </c>
      <c r="AT253" s="398" t="str">
        <f t="shared" ca="1" si="746"/>
        <v/>
      </c>
      <c r="AU253" s="398" t="str">
        <f t="shared" ca="1" si="718"/>
        <v/>
      </c>
      <c r="AV253" s="398">
        <f t="shared" ca="1" si="719"/>
        <v>6</v>
      </c>
      <c r="AW253" s="398">
        <f t="shared" ca="1" si="747"/>
        <v>2</v>
      </c>
      <c r="AX253" s="398">
        <f t="shared" ca="1" si="748"/>
        <v>336</v>
      </c>
      <c r="AY253" s="398">
        <f t="shared" ca="1" si="749"/>
        <v>286748</v>
      </c>
      <c r="AZ253" s="399">
        <f t="shared" si="770"/>
        <v>0</v>
      </c>
      <c r="BA253" s="399">
        <f t="shared" si="771"/>
        <v>0</v>
      </c>
      <c r="BB253" s="483" t="str">
        <f t="shared" ca="1" si="720"/>
        <v/>
      </c>
      <c r="BC253" s="400">
        <f ca="1">IF(MAX(IF($D$6="No",ROUNDUP($D$3/$I253,0),ROUNDUP(($D$3+$I253)/$I253,0)),IF($D$6="No",ROUNDUP($D$4/$G253,0),ROUNDUP(($D$4+$G253)/$G253,0)),ROUNDUP('BVMS checklist'!$H$217/$J253,0))&gt;1,'BVMS checklist'!$L$224,'BVMS checklist'!$L$217)</f>
        <v>0</v>
      </c>
      <c r="BD253" s="398">
        <f t="shared" ca="1" si="721"/>
        <v>2</v>
      </c>
      <c r="BE253" s="400">
        <f t="shared" si="750"/>
        <v>1</v>
      </c>
      <c r="BF253" s="400">
        <f t="shared" si="751"/>
        <v>1050</v>
      </c>
      <c r="BG253" s="400">
        <f t="shared" ca="1" si="732"/>
        <v>0</v>
      </c>
      <c r="BH253" s="398">
        <f t="shared" ca="1" si="752"/>
        <v>286748</v>
      </c>
      <c r="BI253" s="401" t="str">
        <f t="shared" ca="1" si="722"/>
        <v/>
      </c>
      <c r="BJ253" s="398">
        <f t="shared" ca="1" si="753"/>
        <v>1600</v>
      </c>
      <c r="BK253" s="400">
        <f ca="1">IF(MAX(IF($D$6="No",ROUNDUP($D$3/$I253,0),ROUNDUP(($D$3+$I253)/$I253,0)),IF($D$6="No",ROUNDUP($D$4/$G253,0),ROUNDUP(($D$4+$G253)/$G253,0)),ROUNDUP('BVMS checklist'!$H$217/$J253,0))&gt;1,'BVMS checklist'!$L$224,'BVMS checklist'!$L$217)+MAX(IF($D$6="No",ROUNDUP($D$3/$I253,0),ROUNDUP(($D$3+$I253)/$I253,0)),IF($D$6="No",ROUNDUP($D$4/$G253,0),ROUNDUP(($D$4+$G253)/$G253,0)))+$D$5</f>
        <v>1</v>
      </c>
      <c r="BL253" s="400" t="b">
        <f t="shared" ca="1" si="707"/>
        <v>1</v>
      </c>
      <c r="BM253" s="400" t="str">
        <f t="shared" ca="1" si="754"/>
        <v>Accepted</v>
      </c>
      <c r="BN253" s="398" t="str">
        <f t="shared" ca="1" si="733"/>
        <v>No</v>
      </c>
      <c r="BO253" s="398" t="str">
        <f t="shared" ca="1" si="755"/>
        <v/>
      </c>
      <c r="BP253" s="398" t="str">
        <f t="shared" ca="1" si="723"/>
        <v/>
      </c>
      <c r="BQ253" s="398">
        <f t="shared" ca="1" si="724"/>
        <v>6</v>
      </c>
      <c r="BR253" s="398">
        <f t="shared" ca="1" si="756"/>
        <v>2</v>
      </c>
      <c r="BS253" s="398">
        <f t="shared" ca="1" si="757"/>
        <v>336</v>
      </c>
      <c r="BT253" s="398">
        <f t="shared" ca="1" si="758"/>
        <v>286748</v>
      </c>
      <c r="BU253" s="399">
        <f t="shared" si="772"/>
        <v>0</v>
      </c>
      <c r="BV253" s="399">
        <f t="shared" si="773"/>
        <v>0</v>
      </c>
      <c r="BW253" s="483" t="str">
        <f t="shared" ca="1" si="725"/>
        <v/>
      </c>
      <c r="BX253" s="400">
        <f ca="1">IF(MAX(IF($E$6="No",ROUNDUP($E$3/$I253,0),ROUNDUP(($E$3+$I253)/$I253,0)),IF($E$6="No",ROUNDUP($E$4/$G253,0),ROUNDUP(($E$4+$G253)/$G253,0)),ROUNDUP('BVMS checklist'!$H$217/$J253,0))&gt;1,'BVMS checklist'!$N$224,'BVMS checklist'!$N$217)</f>
        <v>0</v>
      </c>
      <c r="BY253" s="398">
        <f t="shared" ca="1" si="726"/>
        <v>2</v>
      </c>
      <c r="BZ253" s="400">
        <f t="shared" ca="1" si="759"/>
        <v>2</v>
      </c>
      <c r="CA253" s="400">
        <f t="shared" ca="1" si="760"/>
        <v>2100</v>
      </c>
      <c r="CB253" s="400">
        <f t="shared" ca="1" si="734"/>
        <v>0</v>
      </c>
      <c r="CC253" s="398">
        <f t="shared" ca="1" si="761"/>
        <v>286748</v>
      </c>
      <c r="CD253" s="401" t="str">
        <f t="shared" ca="1" si="727"/>
        <v/>
      </c>
      <c r="CE253" s="398">
        <f t="shared" ca="1" si="762"/>
        <v>1600</v>
      </c>
      <c r="CF253" s="400">
        <f ca="1">IF(MAX(IF($E$6="No",ROUNDUP($E$3/$I253,0),ROUNDUP(($E$3+$I253)/$I253,0)),IF($E$6="No",ROUNDUP($E$4/$G253,0),ROUNDUP(($E$4+$G253)/$G253,0)),ROUNDUP('BVMS checklist'!$H$217/$J253,0))&gt;1,'BVMS checklist'!$N$224,'BVMS checklist'!$N$217)+MAX(IF($E$6="No",ROUNDUP($E$3/$I253,0),ROUNDUP(($E$3+$I253)/$I253,0)),IF($E$6="No",ROUNDUP($E$4/$G253,0),ROUNDUP(($E$4+$G253)/$G253,0)))+$E$5</f>
        <v>1</v>
      </c>
      <c r="CG253" s="400" t="b">
        <f t="shared" ca="1" si="708"/>
        <v>1</v>
      </c>
      <c r="CH253" s="400" t="str">
        <f t="shared" ca="1" si="763"/>
        <v>Accepted</v>
      </c>
      <c r="CI253" s="398" t="str">
        <f t="shared" ca="1" si="735"/>
        <v>No</v>
      </c>
      <c r="CJ253" s="398" t="str">
        <f t="shared" ca="1" si="764"/>
        <v/>
      </c>
      <c r="CK253" s="398" t="str">
        <f t="shared" ca="1" si="728"/>
        <v/>
      </c>
      <c r="CL253" s="398">
        <f t="shared" ca="1" si="729"/>
        <v>6</v>
      </c>
      <c r="CM253" s="398">
        <f t="shared" ca="1" si="765"/>
        <v>2</v>
      </c>
      <c r="CN253" s="398">
        <f t="shared" ca="1" si="766"/>
        <v>336</v>
      </c>
      <c r="CO253" s="398">
        <f t="shared" ca="1" si="767"/>
        <v>286748</v>
      </c>
      <c r="CP253" s="399">
        <f t="shared" si="774"/>
        <v>0</v>
      </c>
      <c r="CQ253" s="399">
        <f t="shared" si="775"/>
        <v>0</v>
      </c>
      <c r="CR253" s="483" t="str">
        <f t="shared" ca="1" si="730"/>
        <v/>
      </c>
      <c r="CS253"/>
    </row>
    <row r="254" spans="1:97">
      <c r="A254" s="398" t="s">
        <v>1016</v>
      </c>
      <c r="B254" s="398" t="s">
        <v>987</v>
      </c>
      <c r="C254" s="440" t="s">
        <v>891</v>
      </c>
      <c r="D254" s="398">
        <v>1</v>
      </c>
      <c r="E254" s="398">
        <v>7</v>
      </c>
      <c r="F254" s="440">
        <v>0</v>
      </c>
      <c r="G254" s="398">
        <f t="shared" si="808"/>
        <v>163856</v>
      </c>
      <c r="H254" s="399">
        <v>192</v>
      </c>
      <c r="I254" s="399">
        <v>1050</v>
      </c>
      <c r="J254" s="399">
        <v>800</v>
      </c>
      <c r="K254" s="399"/>
      <c r="L254" s="399"/>
      <c r="M254" s="400">
        <f ca="1">IF(MAX(IF($B$6="No",ROUNDUP($B$3/$I254,0),ROUNDUP(($B$3+$I254)/$I254,0)),IF($B$6="No",ROUNDUP($B$4/$G254,0),ROUNDUP(($B$4+$G254)/$G254,0)),ROUNDUP('BVMS checklist'!$H$217/$J254,0))&gt;1,'BVMS checklist'!$H$224,'BVMS checklist'!$H$217)</f>
        <v>0</v>
      </c>
      <c r="N254" s="398">
        <f t="shared" ca="1" si="709"/>
        <v>2</v>
      </c>
      <c r="O254" s="400">
        <f t="shared" ca="1" si="736"/>
        <v>2</v>
      </c>
      <c r="P254" s="400">
        <f t="shared" ca="1" si="700"/>
        <v>2100</v>
      </c>
      <c r="Q254" s="400">
        <f t="shared" ca="1" si="701"/>
        <v>0</v>
      </c>
      <c r="R254" s="398">
        <f t="shared" ca="1" si="702"/>
        <v>327712</v>
      </c>
      <c r="S254" s="401" t="str">
        <f t="shared" ca="1" si="710"/>
        <v/>
      </c>
      <c r="T254" s="398">
        <f t="shared" ca="1" si="711"/>
        <v>1600</v>
      </c>
      <c r="U254" s="400">
        <f ca="1">IF(MAX(IF($B$6="No",ROUNDUP($B$3/$I254,0),ROUNDUP(($B$3+$I254)/$I254,0)),IF($B$6="No",ROUNDUP($B$4/$G254,0),ROUNDUP(($B$4+$G254)/$G254,0)),ROUNDUP('BVMS checklist'!$H$217/$J254,0))&gt;1,'BVMS checklist'!$H$224,'BVMS checklist'!$H$217)+MAX(IF($B$6="No",ROUNDUP($B$3/$I254,0),ROUNDUP(($B$3+$I254)/$I254,0)),IF($B$6="No",ROUNDUP($B$4/$G254,0),ROUNDUP(($B$4+$G254)/$G254,0)))+$B$5</f>
        <v>1</v>
      </c>
      <c r="V254" s="400" t="b">
        <f t="shared" ca="1" si="703"/>
        <v>1</v>
      </c>
      <c r="W254" s="400" t="str">
        <f t="shared" ca="1" si="737"/>
        <v>Accepted</v>
      </c>
      <c r="X254" s="398" t="str">
        <f t="shared" ca="1" si="712"/>
        <v>No</v>
      </c>
      <c r="Y254" s="398" t="str">
        <f t="shared" ca="1" si="713"/>
        <v/>
      </c>
      <c r="Z254" s="398" t="str">
        <f t="shared" ca="1" si="714"/>
        <v/>
      </c>
      <c r="AA254" s="398">
        <f t="shared" ca="1" si="738"/>
        <v>6</v>
      </c>
      <c r="AB254" s="398">
        <f t="shared" ca="1" si="704"/>
        <v>2</v>
      </c>
      <c r="AC254" s="398">
        <f t="shared" ca="1" si="705"/>
        <v>384</v>
      </c>
      <c r="AD254" s="398">
        <f t="shared" ca="1" si="739"/>
        <v>327712</v>
      </c>
      <c r="AE254" s="399">
        <f t="shared" si="768"/>
        <v>0</v>
      </c>
      <c r="AF254" s="399">
        <f t="shared" si="769"/>
        <v>0</v>
      </c>
      <c r="AG254" s="483" t="str">
        <f t="shared" ca="1" si="715"/>
        <v/>
      </c>
      <c r="AH254" s="400">
        <f ca="1">IF(MAX(IF($C$6="No",ROUNDUP($C$3/$I254,0),ROUNDUP(($C$3+$I254)/$I254,0)),IF($C$6="No",ROUNDUP($C$4/$G254,0),ROUNDUP(($C$4+$G254)/$G254,0)),ROUNDUP('BVMS checklist'!$H$217/$J254,0))&gt;1,'BVMS checklist'!$J$224,'BVMS checklist'!$J$217)</f>
        <v>0</v>
      </c>
      <c r="AI254" s="398">
        <f t="shared" ca="1" si="716"/>
        <v>2</v>
      </c>
      <c r="AJ254" s="400">
        <f t="shared" ca="1" si="740"/>
        <v>2</v>
      </c>
      <c r="AK254" s="400">
        <f t="shared" ca="1" si="741"/>
        <v>2100</v>
      </c>
      <c r="AL254" s="400">
        <f t="shared" ca="1" si="742"/>
        <v>0</v>
      </c>
      <c r="AM254" s="398">
        <f t="shared" ca="1" si="743"/>
        <v>327712</v>
      </c>
      <c r="AN254" s="401" t="str">
        <f t="shared" ca="1" si="717"/>
        <v/>
      </c>
      <c r="AO254" s="398">
        <f t="shared" ca="1" si="744"/>
        <v>1600</v>
      </c>
      <c r="AP254" s="400">
        <f ca="1">IF(MAX(IF($C$6="No",ROUNDUP($C$3/$I254,0),ROUNDUP(($C$3+$I254)/$I254,0)),IF($C$6="No",ROUNDUP($C$4/$G254,0),ROUNDUP(($C$4+$G254)/$G254,0)),ROUNDUP('BVMS checklist'!$H$217/$J254,0))&gt;1,'BVMS checklist'!$J$224,'BVMS checklist'!$J$217)+MAX(IF($C$6="No",ROUNDUP($C$3/$I254,0),ROUNDUP(($C$3+$I254)/$I254,0)),IF($C$6="No",ROUNDUP($C$4/$G254,0),ROUNDUP(($C$4+$G254)/$G254,0)))+$C$5</f>
        <v>1</v>
      </c>
      <c r="AQ254" s="400" t="b">
        <f t="shared" ca="1" si="706"/>
        <v>1</v>
      </c>
      <c r="AR254" s="400" t="str">
        <f t="shared" ca="1" si="745"/>
        <v>Accepted</v>
      </c>
      <c r="AS254" s="398" t="str">
        <f t="shared" ca="1" si="731"/>
        <v>No</v>
      </c>
      <c r="AT254" s="398" t="str">
        <f t="shared" ca="1" si="746"/>
        <v/>
      </c>
      <c r="AU254" s="398" t="str">
        <f t="shared" ca="1" si="718"/>
        <v/>
      </c>
      <c r="AV254" s="398">
        <f t="shared" ca="1" si="719"/>
        <v>6</v>
      </c>
      <c r="AW254" s="398">
        <f t="shared" ca="1" si="747"/>
        <v>2</v>
      </c>
      <c r="AX254" s="398">
        <f t="shared" ca="1" si="748"/>
        <v>384</v>
      </c>
      <c r="AY254" s="398">
        <f t="shared" ca="1" si="749"/>
        <v>327712</v>
      </c>
      <c r="AZ254" s="399">
        <f t="shared" si="770"/>
        <v>0</v>
      </c>
      <c r="BA254" s="399">
        <f t="shared" si="771"/>
        <v>0</v>
      </c>
      <c r="BB254" s="483" t="str">
        <f t="shared" ca="1" si="720"/>
        <v/>
      </c>
      <c r="BC254" s="400">
        <f ca="1">IF(MAX(IF($D$6="No",ROUNDUP($D$3/$I254,0),ROUNDUP(($D$3+$I254)/$I254,0)),IF($D$6="No",ROUNDUP($D$4/$G254,0),ROUNDUP(($D$4+$G254)/$G254,0)),ROUNDUP('BVMS checklist'!$H$217/$J254,0))&gt;1,'BVMS checklist'!$L$224,'BVMS checklist'!$L$217)</f>
        <v>0</v>
      </c>
      <c r="BD254" s="398">
        <f t="shared" ca="1" si="721"/>
        <v>2</v>
      </c>
      <c r="BE254" s="400">
        <f t="shared" si="750"/>
        <v>1</v>
      </c>
      <c r="BF254" s="400">
        <f t="shared" si="751"/>
        <v>1050</v>
      </c>
      <c r="BG254" s="400">
        <f t="shared" ca="1" si="732"/>
        <v>0</v>
      </c>
      <c r="BH254" s="398">
        <f t="shared" ca="1" si="752"/>
        <v>327712</v>
      </c>
      <c r="BI254" s="401" t="str">
        <f t="shared" ca="1" si="722"/>
        <v/>
      </c>
      <c r="BJ254" s="398">
        <f t="shared" ca="1" si="753"/>
        <v>1600</v>
      </c>
      <c r="BK254" s="400">
        <f ca="1">IF(MAX(IF($D$6="No",ROUNDUP($D$3/$I254,0),ROUNDUP(($D$3+$I254)/$I254,0)),IF($D$6="No",ROUNDUP($D$4/$G254,0),ROUNDUP(($D$4+$G254)/$G254,0)),ROUNDUP('BVMS checklist'!$H$217/$J254,0))&gt;1,'BVMS checklist'!$L$224,'BVMS checklist'!$L$217)+MAX(IF($D$6="No",ROUNDUP($D$3/$I254,0),ROUNDUP(($D$3+$I254)/$I254,0)),IF($D$6="No",ROUNDUP($D$4/$G254,0),ROUNDUP(($D$4+$G254)/$G254,0)))+$D$5</f>
        <v>1</v>
      </c>
      <c r="BL254" s="400" t="b">
        <f t="shared" ca="1" si="707"/>
        <v>1</v>
      </c>
      <c r="BM254" s="400" t="str">
        <f t="shared" ca="1" si="754"/>
        <v>Accepted</v>
      </c>
      <c r="BN254" s="398" t="str">
        <f t="shared" ca="1" si="733"/>
        <v>No</v>
      </c>
      <c r="BO254" s="398" t="str">
        <f t="shared" ca="1" si="755"/>
        <v/>
      </c>
      <c r="BP254" s="398" t="str">
        <f t="shared" ca="1" si="723"/>
        <v/>
      </c>
      <c r="BQ254" s="398">
        <f t="shared" ca="1" si="724"/>
        <v>6</v>
      </c>
      <c r="BR254" s="398">
        <f t="shared" ca="1" si="756"/>
        <v>2</v>
      </c>
      <c r="BS254" s="398">
        <f t="shared" ca="1" si="757"/>
        <v>384</v>
      </c>
      <c r="BT254" s="398">
        <f t="shared" ca="1" si="758"/>
        <v>327712</v>
      </c>
      <c r="BU254" s="399">
        <f t="shared" si="772"/>
        <v>0</v>
      </c>
      <c r="BV254" s="399">
        <f t="shared" si="773"/>
        <v>0</v>
      </c>
      <c r="BW254" s="483" t="str">
        <f t="shared" ca="1" si="725"/>
        <v/>
      </c>
      <c r="BX254" s="400">
        <f ca="1">IF(MAX(IF($E$6="No",ROUNDUP($E$3/$I254,0),ROUNDUP(($E$3+$I254)/$I254,0)),IF($E$6="No",ROUNDUP($E$4/$G254,0),ROUNDUP(($E$4+$G254)/$G254,0)),ROUNDUP('BVMS checklist'!$H$217/$J254,0))&gt;1,'BVMS checklist'!$N$224,'BVMS checklist'!$N$217)</f>
        <v>0</v>
      </c>
      <c r="BY254" s="398">
        <f t="shared" ca="1" si="726"/>
        <v>2</v>
      </c>
      <c r="BZ254" s="400">
        <f t="shared" ca="1" si="759"/>
        <v>2</v>
      </c>
      <c r="CA254" s="400">
        <f t="shared" ca="1" si="760"/>
        <v>2100</v>
      </c>
      <c r="CB254" s="400">
        <f t="shared" ca="1" si="734"/>
        <v>0</v>
      </c>
      <c r="CC254" s="398">
        <f t="shared" ca="1" si="761"/>
        <v>327712</v>
      </c>
      <c r="CD254" s="401" t="str">
        <f t="shared" ca="1" si="727"/>
        <v/>
      </c>
      <c r="CE254" s="398">
        <f t="shared" ca="1" si="762"/>
        <v>1600</v>
      </c>
      <c r="CF254" s="400">
        <f ca="1">IF(MAX(IF($E$6="No",ROUNDUP($E$3/$I254,0),ROUNDUP(($E$3+$I254)/$I254,0)),IF($E$6="No",ROUNDUP($E$4/$G254,0),ROUNDUP(($E$4+$G254)/$G254,0)),ROUNDUP('BVMS checklist'!$H$217/$J254,0))&gt;1,'BVMS checklist'!$N$224,'BVMS checklist'!$N$217)+MAX(IF($E$6="No",ROUNDUP($E$3/$I254,0),ROUNDUP(($E$3+$I254)/$I254,0)),IF($E$6="No",ROUNDUP($E$4/$G254,0),ROUNDUP(($E$4+$G254)/$G254,0)))+$E$5</f>
        <v>1</v>
      </c>
      <c r="CG254" s="400" t="b">
        <f t="shared" ca="1" si="708"/>
        <v>1</v>
      </c>
      <c r="CH254" s="400" t="str">
        <f t="shared" ca="1" si="763"/>
        <v>Accepted</v>
      </c>
      <c r="CI254" s="398" t="str">
        <f t="shared" ca="1" si="735"/>
        <v>No</v>
      </c>
      <c r="CJ254" s="398" t="str">
        <f t="shared" ca="1" si="764"/>
        <v/>
      </c>
      <c r="CK254" s="398" t="str">
        <f t="shared" ca="1" si="728"/>
        <v/>
      </c>
      <c r="CL254" s="398">
        <f t="shared" ca="1" si="729"/>
        <v>6</v>
      </c>
      <c r="CM254" s="398">
        <f t="shared" ca="1" si="765"/>
        <v>2</v>
      </c>
      <c r="CN254" s="398">
        <f t="shared" ca="1" si="766"/>
        <v>384</v>
      </c>
      <c r="CO254" s="398">
        <f t="shared" ca="1" si="767"/>
        <v>327712</v>
      </c>
      <c r="CP254" s="399">
        <f t="shared" si="774"/>
        <v>0</v>
      </c>
      <c r="CQ254" s="399">
        <f t="shared" si="775"/>
        <v>0</v>
      </c>
      <c r="CR254" s="483" t="str">
        <f t="shared" ca="1" si="730"/>
        <v/>
      </c>
      <c r="CS254"/>
    </row>
    <row r="255" spans="1:97">
      <c r="A255" s="398" t="s">
        <v>1017</v>
      </c>
      <c r="B255" s="398" t="s">
        <v>987</v>
      </c>
      <c r="C255" s="440" t="s">
        <v>891</v>
      </c>
      <c r="D255" s="398">
        <v>1</v>
      </c>
      <c r="E255" s="398">
        <v>0</v>
      </c>
      <c r="F255" s="440">
        <v>0</v>
      </c>
      <c r="G255" s="398">
        <f>IF(C255="RAID5",(11-F255)*2794,(10-F255)*2794)</f>
        <v>30734</v>
      </c>
      <c r="H255" s="399">
        <v>36</v>
      </c>
      <c r="I255" s="399">
        <v>650</v>
      </c>
      <c r="J255" s="399">
        <v>800</v>
      </c>
      <c r="K255" s="399"/>
      <c r="L255" s="399"/>
      <c r="M255" s="400">
        <f ca="1">IF(MAX(IF($B$6="No",ROUNDUP($B$3/$I255,0),ROUNDUP(($B$3+$I255)/$I255,0)),IF($B$6="No",ROUNDUP($B$4/$G255,0),ROUNDUP(($B$4+$G255)/$G255,0)),ROUNDUP('BVMS checklist'!$H$217/$J255,0))&gt;1,'BVMS checklist'!$H$224,'BVMS checklist'!$H$217)</f>
        <v>0</v>
      </c>
      <c r="N255" s="398">
        <f t="shared" ca="1" si="709"/>
        <v>2</v>
      </c>
      <c r="O255" s="400">
        <f t="shared" ca="1" si="736"/>
        <v>2</v>
      </c>
      <c r="P255" s="400">
        <f t="shared" ca="1" si="700"/>
        <v>1300</v>
      </c>
      <c r="Q255" s="400">
        <f t="shared" ca="1" si="701"/>
        <v>0</v>
      </c>
      <c r="R255" s="398">
        <f t="shared" ca="1" si="702"/>
        <v>61468</v>
      </c>
      <c r="S255" s="401" t="str">
        <f t="shared" ca="1" si="710"/>
        <v/>
      </c>
      <c r="T255" s="398">
        <f t="shared" ca="1" si="711"/>
        <v>1600</v>
      </c>
      <c r="U255" s="400">
        <f ca="1">IF(MAX(IF($B$6="No",ROUNDUP($B$3/$I255,0),ROUNDUP(($B$3+$I255)/$I255,0)),IF($B$6="No",ROUNDUP($B$4/$G255,0),ROUNDUP(($B$4+$G255)/$G255,0)),ROUNDUP('BVMS checklist'!$H$217/$J255,0))&gt;1,'BVMS checklist'!$H$224,'BVMS checklist'!$H$217)+MAX(IF($B$6="No",ROUNDUP($B$3/$I255,0),ROUNDUP(($B$3+$I255)/$I255,0)),IF($B$6="No",ROUNDUP($B$4/$G255,0),ROUNDUP(($B$4+$G255)/$G255,0)))+$B$5</f>
        <v>1</v>
      </c>
      <c r="V255" s="400" t="b">
        <f t="shared" ca="1" si="703"/>
        <v>1</v>
      </c>
      <c r="W255" s="400" t="str">
        <f t="shared" ca="1" si="737"/>
        <v>Accepted</v>
      </c>
      <c r="X255" s="398" t="str">
        <f t="shared" ca="1" si="712"/>
        <v>No</v>
      </c>
      <c r="Y255" s="398" t="str">
        <f t="shared" ca="1" si="713"/>
        <v/>
      </c>
      <c r="Z255" s="398" t="str">
        <f t="shared" ca="1" si="714"/>
        <v/>
      </c>
      <c r="AA255" s="398">
        <f t="shared" ca="1" si="738"/>
        <v>6</v>
      </c>
      <c r="AB255" s="398">
        <f t="shared" ca="1" si="704"/>
        <v>2</v>
      </c>
      <c r="AC255" s="398">
        <f t="shared" ca="1" si="705"/>
        <v>72</v>
      </c>
      <c r="AD255" s="398">
        <f t="shared" ca="1" si="739"/>
        <v>61468</v>
      </c>
      <c r="AE255" s="399">
        <f t="shared" si="768"/>
        <v>0</v>
      </c>
      <c r="AF255" s="399">
        <f t="shared" si="769"/>
        <v>0</v>
      </c>
      <c r="AG255" s="483" t="str">
        <f t="shared" ca="1" si="715"/>
        <v/>
      </c>
      <c r="AH255" s="400">
        <f ca="1">IF(MAX(IF($C$6="No",ROUNDUP($C$3/$I255,0),ROUNDUP(($C$3+$I255)/$I255,0)),IF($C$6="No",ROUNDUP($C$4/$G255,0),ROUNDUP(($C$4+$G255)/$G255,0)),ROUNDUP('BVMS checklist'!$H$217/$J255,0))&gt;1,'BVMS checklist'!$J$224,'BVMS checklist'!$J$217)</f>
        <v>0</v>
      </c>
      <c r="AI255" s="398">
        <f t="shared" ca="1" si="716"/>
        <v>2</v>
      </c>
      <c r="AJ255" s="400">
        <f t="shared" ca="1" si="740"/>
        <v>2</v>
      </c>
      <c r="AK255" s="400">
        <f t="shared" ca="1" si="741"/>
        <v>1300</v>
      </c>
      <c r="AL255" s="400">
        <f t="shared" ca="1" si="742"/>
        <v>0</v>
      </c>
      <c r="AM255" s="398">
        <f t="shared" ca="1" si="743"/>
        <v>61468</v>
      </c>
      <c r="AN255" s="401" t="str">
        <f t="shared" ca="1" si="717"/>
        <v/>
      </c>
      <c r="AO255" s="398">
        <f t="shared" ca="1" si="744"/>
        <v>1600</v>
      </c>
      <c r="AP255" s="400">
        <f ca="1">IF(MAX(IF($C$6="No",ROUNDUP($C$3/$I255,0),ROUNDUP(($C$3+$I255)/$I255,0)),IF($C$6="No",ROUNDUP($C$4/$G255,0),ROUNDUP(($C$4+$G255)/$G255,0)),ROUNDUP('BVMS checklist'!$H$217/$J255,0))&gt;1,'BVMS checklist'!$J$224,'BVMS checklist'!$J$217)+MAX(IF($C$6="No",ROUNDUP($C$3/$I255,0),ROUNDUP(($C$3+$I255)/$I255,0)),IF($C$6="No",ROUNDUP($C$4/$G255,0),ROUNDUP(($C$4+$G255)/$G255,0)))+$C$5</f>
        <v>1</v>
      </c>
      <c r="AQ255" s="400" t="b">
        <f t="shared" ca="1" si="706"/>
        <v>1</v>
      </c>
      <c r="AR255" s="400" t="str">
        <f t="shared" ca="1" si="745"/>
        <v>Accepted</v>
      </c>
      <c r="AS255" s="398" t="str">
        <f t="shared" ca="1" si="731"/>
        <v>No</v>
      </c>
      <c r="AT255" s="398" t="str">
        <f t="shared" ca="1" si="746"/>
        <v/>
      </c>
      <c r="AU255" s="398" t="str">
        <f t="shared" ca="1" si="718"/>
        <v/>
      </c>
      <c r="AV255" s="398">
        <f t="shared" ca="1" si="719"/>
        <v>6</v>
      </c>
      <c r="AW255" s="398">
        <f t="shared" ca="1" si="747"/>
        <v>2</v>
      </c>
      <c r="AX255" s="398">
        <f t="shared" ca="1" si="748"/>
        <v>72</v>
      </c>
      <c r="AY255" s="398">
        <f t="shared" ca="1" si="749"/>
        <v>61468</v>
      </c>
      <c r="AZ255" s="399">
        <f t="shared" si="770"/>
        <v>0</v>
      </c>
      <c r="BA255" s="399">
        <f t="shared" si="771"/>
        <v>0</v>
      </c>
      <c r="BB255" s="483" t="str">
        <f t="shared" ca="1" si="720"/>
        <v/>
      </c>
      <c r="BC255" s="400">
        <f ca="1">IF(MAX(IF($D$6="No",ROUNDUP($D$3/$I255,0),ROUNDUP(($D$3+$I255)/$I255,0)),IF($D$6="No",ROUNDUP($D$4/$G255,0),ROUNDUP(($D$4+$G255)/$G255,0)),ROUNDUP('BVMS checklist'!$H$217/$J255,0))&gt;1,'BVMS checklist'!$L$224,'BVMS checklist'!$L$217)</f>
        <v>0</v>
      </c>
      <c r="BD255" s="398">
        <f t="shared" ca="1" si="721"/>
        <v>2</v>
      </c>
      <c r="BE255" s="400">
        <f t="shared" si="750"/>
        <v>1</v>
      </c>
      <c r="BF255" s="400">
        <f t="shared" si="751"/>
        <v>650</v>
      </c>
      <c r="BG255" s="400">
        <f t="shared" ca="1" si="732"/>
        <v>0</v>
      </c>
      <c r="BH255" s="398">
        <f t="shared" ca="1" si="752"/>
        <v>61468</v>
      </c>
      <c r="BI255" s="401" t="str">
        <f t="shared" ca="1" si="722"/>
        <v/>
      </c>
      <c r="BJ255" s="398">
        <f t="shared" ca="1" si="753"/>
        <v>1600</v>
      </c>
      <c r="BK255" s="400">
        <f ca="1">IF(MAX(IF($D$6="No",ROUNDUP($D$3/$I255,0),ROUNDUP(($D$3+$I255)/$I255,0)),IF($D$6="No",ROUNDUP($D$4/$G255,0),ROUNDUP(($D$4+$G255)/$G255,0)),ROUNDUP('BVMS checklist'!$H$217/$J255,0))&gt;1,'BVMS checklist'!$L$224,'BVMS checklist'!$L$217)+MAX(IF($D$6="No",ROUNDUP($D$3/$I255,0),ROUNDUP(($D$3+$I255)/$I255,0)),IF($D$6="No",ROUNDUP($D$4/$G255,0),ROUNDUP(($D$4+$G255)/$G255,0)))+$D$5</f>
        <v>1</v>
      </c>
      <c r="BL255" s="400" t="b">
        <f t="shared" ca="1" si="707"/>
        <v>1</v>
      </c>
      <c r="BM255" s="400" t="str">
        <f t="shared" ca="1" si="754"/>
        <v>Accepted</v>
      </c>
      <c r="BN255" s="398" t="str">
        <f t="shared" ca="1" si="733"/>
        <v>No</v>
      </c>
      <c r="BO255" s="398" t="str">
        <f t="shared" ca="1" si="755"/>
        <v/>
      </c>
      <c r="BP255" s="398" t="str">
        <f t="shared" ca="1" si="723"/>
        <v/>
      </c>
      <c r="BQ255" s="398">
        <f t="shared" ca="1" si="724"/>
        <v>6</v>
      </c>
      <c r="BR255" s="398">
        <f t="shared" ca="1" si="756"/>
        <v>2</v>
      </c>
      <c r="BS255" s="398">
        <f t="shared" ca="1" si="757"/>
        <v>72</v>
      </c>
      <c r="BT255" s="398">
        <f t="shared" ca="1" si="758"/>
        <v>61468</v>
      </c>
      <c r="BU255" s="399">
        <f t="shared" si="772"/>
        <v>0</v>
      </c>
      <c r="BV255" s="399">
        <f t="shared" si="773"/>
        <v>0</v>
      </c>
      <c r="BW255" s="483" t="str">
        <f t="shared" ca="1" si="725"/>
        <v/>
      </c>
      <c r="BX255" s="400">
        <f ca="1">IF(MAX(IF($E$6="No",ROUNDUP($E$3/$I255,0),ROUNDUP(($E$3+$I255)/$I255,0)),IF($E$6="No",ROUNDUP($E$4/$G255,0),ROUNDUP(($E$4+$G255)/$G255,0)),ROUNDUP('BVMS checklist'!$H$217/$J255,0))&gt;1,'BVMS checklist'!$N$224,'BVMS checklist'!$N$217)</f>
        <v>0</v>
      </c>
      <c r="BY255" s="398">
        <f t="shared" ca="1" si="726"/>
        <v>2</v>
      </c>
      <c r="BZ255" s="400">
        <f t="shared" ca="1" si="759"/>
        <v>2</v>
      </c>
      <c r="CA255" s="400">
        <f t="shared" ca="1" si="760"/>
        <v>1300</v>
      </c>
      <c r="CB255" s="400">
        <f t="shared" ca="1" si="734"/>
        <v>0</v>
      </c>
      <c r="CC255" s="398">
        <f t="shared" ca="1" si="761"/>
        <v>61468</v>
      </c>
      <c r="CD255" s="401" t="str">
        <f t="shared" ca="1" si="727"/>
        <v/>
      </c>
      <c r="CE255" s="398">
        <f t="shared" ca="1" si="762"/>
        <v>1600</v>
      </c>
      <c r="CF255" s="400">
        <f ca="1">IF(MAX(IF($E$6="No",ROUNDUP($E$3/$I255,0),ROUNDUP(($E$3+$I255)/$I255,0)),IF($E$6="No",ROUNDUP($E$4/$G255,0),ROUNDUP(($E$4+$G255)/$G255,0)),ROUNDUP('BVMS checklist'!$H$217/$J255,0))&gt;1,'BVMS checklist'!$N$224,'BVMS checklist'!$N$217)+MAX(IF($E$6="No",ROUNDUP($E$3/$I255,0),ROUNDUP(($E$3+$I255)/$I255,0)),IF($E$6="No",ROUNDUP($E$4/$G255,0),ROUNDUP(($E$4+$G255)/$G255,0)))+$E$5</f>
        <v>1</v>
      </c>
      <c r="CG255" s="400" t="b">
        <f t="shared" ca="1" si="708"/>
        <v>1</v>
      </c>
      <c r="CH255" s="400" t="str">
        <f t="shared" ca="1" si="763"/>
        <v>Accepted</v>
      </c>
      <c r="CI255" s="398" t="str">
        <f t="shared" ca="1" si="735"/>
        <v>No</v>
      </c>
      <c r="CJ255" s="398" t="str">
        <f t="shared" ca="1" si="764"/>
        <v/>
      </c>
      <c r="CK255" s="398" t="str">
        <f t="shared" ca="1" si="728"/>
        <v/>
      </c>
      <c r="CL255" s="398">
        <f t="shared" ca="1" si="729"/>
        <v>6</v>
      </c>
      <c r="CM255" s="398">
        <f t="shared" ca="1" si="765"/>
        <v>2</v>
      </c>
      <c r="CN255" s="398">
        <f t="shared" ca="1" si="766"/>
        <v>72</v>
      </c>
      <c r="CO255" s="398">
        <f t="shared" ca="1" si="767"/>
        <v>61468</v>
      </c>
      <c r="CP255" s="399">
        <f t="shared" si="774"/>
        <v>0</v>
      </c>
      <c r="CQ255" s="399">
        <f t="shared" si="775"/>
        <v>0</v>
      </c>
      <c r="CR255" s="483" t="str">
        <f t="shared" ca="1" si="730"/>
        <v/>
      </c>
      <c r="CS255"/>
    </row>
    <row r="256" spans="1:97">
      <c r="A256" s="398" t="s">
        <v>1018</v>
      </c>
      <c r="B256" s="398" t="s">
        <v>987</v>
      </c>
      <c r="C256" s="440" t="s">
        <v>891</v>
      </c>
      <c r="D256" s="398">
        <v>1</v>
      </c>
      <c r="E256" s="398">
        <v>1</v>
      </c>
      <c r="F256" s="440">
        <v>0</v>
      </c>
      <c r="G256" s="398">
        <f>IF(C256="RAID5",(11-F256)*2794,(10-F256)*2794)+IF(C256="RAID5",(11-F256)*2794,(10-F256)*2794)*E256</f>
        <v>61468</v>
      </c>
      <c r="H256" s="399">
        <v>72</v>
      </c>
      <c r="I256" s="399">
        <v>1050</v>
      </c>
      <c r="J256" s="399">
        <v>800</v>
      </c>
      <c r="K256" s="399"/>
      <c r="L256" s="399"/>
      <c r="M256" s="400">
        <f ca="1">IF(MAX(IF($B$6="No",ROUNDUP($B$3/$I256,0),ROUNDUP(($B$3+$I256)/$I256,0)),IF($B$6="No",ROUNDUP($B$4/$G256,0),ROUNDUP(($B$4+$G256)/$G256,0)),ROUNDUP('BVMS checklist'!$H$217/$J256,0))&gt;1,'BVMS checklist'!$H$224,'BVMS checklist'!$H$217)</f>
        <v>0</v>
      </c>
      <c r="N256" s="398">
        <f t="shared" ca="1" si="709"/>
        <v>2</v>
      </c>
      <c r="O256" s="400">
        <f t="shared" ca="1" si="736"/>
        <v>2</v>
      </c>
      <c r="P256" s="400">
        <f t="shared" ca="1" si="700"/>
        <v>2100</v>
      </c>
      <c r="Q256" s="400">
        <f t="shared" ca="1" si="701"/>
        <v>0</v>
      </c>
      <c r="R256" s="398">
        <f t="shared" ca="1" si="702"/>
        <v>122936</v>
      </c>
      <c r="S256" s="401" t="str">
        <f t="shared" ca="1" si="710"/>
        <v/>
      </c>
      <c r="T256" s="398">
        <f t="shared" ca="1" si="711"/>
        <v>1600</v>
      </c>
      <c r="U256" s="400">
        <f ca="1">IF(MAX(IF($B$6="No",ROUNDUP($B$3/$I256,0),ROUNDUP(($B$3+$I256)/$I256,0)),IF($B$6="No",ROUNDUP($B$4/$G256,0),ROUNDUP(($B$4+$G256)/$G256,0)),ROUNDUP('BVMS checklist'!$H$217/$J256,0))&gt;1,'BVMS checklist'!$H$224,'BVMS checklist'!$H$217)+MAX(IF($B$6="No",ROUNDUP($B$3/$I256,0),ROUNDUP(($B$3+$I256)/$I256,0)),IF($B$6="No",ROUNDUP($B$4/$G256,0),ROUNDUP(($B$4+$G256)/$G256,0)))+$B$5</f>
        <v>1</v>
      </c>
      <c r="V256" s="400" t="b">
        <f t="shared" ca="1" si="703"/>
        <v>1</v>
      </c>
      <c r="W256" s="400" t="str">
        <f t="shared" ca="1" si="737"/>
        <v>Accepted</v>
      </c>
      <c r="X256" s="398" t="str">
        <f t="shared" ca="1" si="712"/>
        <v>No</v>
      </c>
      <c r="Y256" s="398" t="str">
        <f t="shared" ca="1" si="713"/>
        <v/>
      </c>
      <c r="Z256" s="398" t="str">
        <f t="shared" ca="1" si="714"/>
        <v/>
      </c>
      <c r="AA256" s="398">
        <f t="shared" ca="1" si="738"/>
        <v>6</v>
      </c>
      <c r="AB256" s="398">
        <f t="shared" ca="1" si="704"/>
        <v>2</v>
      </c>
      <c r="AC256" s="398">
        <f t="shared" ca="1" si="705"/>
        <v>144</v>
      </c>
      <c r="AD256" s="398">
        <f t="shared" ca="1" si="739"/>
        <v>122936</v>
      </c>
      <c r="AE256" s="399">
        <f t="shared" si="768"/>
        <v>0</v>
      </c>
      <c r="AF256" s="399">
        <f t="shared" si="769"/>
        <v>0</v>
      </c>
      <c r="AG256" s="483" t="str">
        <f t="shared" ca="1" si="715"/>
        <v/>
      </c>
      <c r="AH256" s="400">
        <f ca="1">IF(MAX(IF($C$6="No",ROUNDUP($C$3/$I256,0),ROUNDUP(($C$3+$I256)/$I256,0)),IF($C$6="No",ROUNDUP($C$4/$G256,0),ROUNDUP(($C$4+$G256)/$G256,0)),ROUNDUP('BVMS checklist'!$H$217/$J256,0))&gt;1,'BVMS checklist'!$J$224,'BVMS checklist'!$J$217)</f>
        <v>0</v>
      </c>
      <c r="AI256" s="398">
        <f t="shared" ca="1" si="716"/>
        <v>2</v>
      </c>
      <c r="AJ256" s="400">
        <f t="shared" ca="1" si="740"/>
        <v>2</v>
      </c>
      <c r="AK256" s="400">
        <f t="shared" ca="1" si="741"/>
        <v>2100</v>
      </c>
      <c r="AL256" s="400">
        <f t="shared" ca="1" si="742"/>
        <v>0</v>
      </c>
      <c r="AM256" s="398">
        <f t="shared" ca="1" si="743"/>
        <v>122936</v>
      </c>
      <c r="AN256" s="401" t="str">
        <f t="shared" ca="1" si="717"/>
        <v/>
      </c>
      <c r="AO256" s="398">
        <f t="shared" ca="1" si="744"/>
        <v>1600</v>
      </c>
      <c r="AP256" s="400">
        <f ca="1">IF(MAX(IF($C$6="No",ROUNDUP($C$3/$I256,0),ROUNDUP(($C$3+$I256)/$I256,0)),IF($C$6="No",ROUNDUP($C$4/$G256,0),ROUNDUP(($C$4+$G256)/$G256,0)),ROUNDUP('BVMS checklist'!$H$217/$J256,0))&gt;1,'BVMS checklist'!$J$224,'BVMS checklist'!$J$217)+MAX(IF($C$6="No",ROUNDUP($C$3/$I256,0),ROUNDUP(($C$3+$I256)/$I256,0)),IF($C$6="No",ROUNDUP($C$4/$G256,0),ROUNDUP(($C$4+$G256)/$G256,0)))+$C$5</f>
        <v>1</v>
      </c>
      <c r="AQ256" s="400" t="b">
        <f t="shared" ca="1" si="706"/>
        <v>1</v>
      </c>
      <c r="AR256" s="400" t="str">
        <f t="shared" ca="1" si="745"/>
        <v>Accepted</v>
      </c>
      <c r="AS256" s="398" t="str">
        <f t="shared" ca="1" si="731"/>
        <v>No</v>
      </c>
      <c r="AT256" s="398" t="str">
        <f t="shared" ca="1" si="746"/>
        <v/>
      </c>
      <c r="AU256" s="398" t="str">
        <f t="shared" ca="1" si="718"/>
        <v/>
      </c>
      <c r="AV256" s="398">
        <f t="shared" ca="1" si="719"/>
        <v>6</v>
      </c>
      <c r="AW256" s="398">
        <f t="shared" ca="1" si="747"/>
        <v>2</v>
      </c>
      <c r="AX256" s="398">
        <f t="shared" ca="1" si="748"/>
        <v>144</v>
      </c>
      <c r="AY256" s="398">
        <f t="shared" ca="1" si="749"/>
        <v>122936</v>
      </c>
      <c r="AZ256" s="399">
        <f t="shared" si="770"/>
        <v>0</v>
      </c>
      <c r="BA256" s="399">
        <f t="shared" si="771"/>
        <v>0</v>
      </c>
      <c r="BB256" s="483" t="str">
        <f t="shared" ca="1" si="720"/>
        <v/>
      </c>
      <c r="BC256" s="400">
        <f ca="1">IF(MAX(IF($D$6="No",ROUNDUP($D$3/$I256,0),ROUNDUP(($D$3+$I256)/$I256,0)),IF($D$6="No",ROUNDUP($D$4/$G256,0),ROUNDUP(($D$4+$G256)/$G256,0)),ROUNDUP('BVMS checklist'!$H$217/$J256,0))&gt;1,'BVMS checklist'!$L$224,'BVMS checklist'!$L$217)</f>
        <v>0</v>
      </c>
      <c r="BD256" s="398">
        <f t="shared" ca="1" si="721"/>
        <v>2</v>
      </c>
      <c r="BE256" s="400">
        <f t="shared" si="750"/>
        <v>1</v>
      </c>
      <c r="BF256" s="400">
        <f t="shared" si="751"/>
        <v>1050</v>
      </c>
      <c r="BG256" s="400">
        <f t="shared" ca="1" si="732"/>
        <v>0</v>
      </c>
      <c r="BH256" s="398">
        <f t="shared" ca="1" si="752"/>
        <v>122936</v>
      </c>
      <c r="BI256" s="401" t="str">
        <f t="shared" ca="1" si="722"/>
        <v/>
      </c>
      <c r="BJ256" s="398">
        <f t="shared" ca="1" si="753"/>
        <v>1600</v>
      </c>
      <c r="BK256" s="400">
        <f ca="1">IF(MAX(IF($D$6="No",ROUNDUP($D$3/$I256,0),ROUNDUP(($D$3+$I256)/$I256,0)),IF($D$6="No",ROUNDUP($D$4/$G256,0),ROUNDUP(($D$4+$G256)/$G256,0)),ROUNDUP('BVMS checklist'!$H$217/$J256,0))&gt;1,'BVMS checklist'!$L$224,'BVMS checklist'!$L$217)+MAX(IF($D$6="No",ROUNDUP($D$3/$I256,0),ROUNDUP(($D$3+$I256)/$I256,0)),IF($D$6="No",ROUNDUP($D$4/$G256,0),ROUNDUP(($D$4+$G256)/$G256,0)))+$D$5</f>
        <v>1</v>
      </c>
      <c r="BL256" s="400" t="b">
        <f t="shared" ca="1" si="707"/>
        <v>1</v>
      </c>
      <c r="BM256" s="400" t="str">
        <f t="shared" ca="1" si="754"/>
        <v>Accepted</v>
      </c>
      <c r="BN256" s="398" t="str">
        <f t="shared" ca="1" si="733"/>
        <v>No</v>
      </c>
      <c r="BO256" s="398" t="str">
        <f t="shared" ca="1" si="755"/>
        <v/>
      </c>
      <c r="BP256" s="398" t="str">
        <f t="shared" ca="1" si="723"/>
        <v/>
      </c>
      <c r="BQ256" s="398">
        <f t="shared" ca="1" si="724"/>
        <v>6</v>
      </c>
      <c r="BR256" s="398">
        <f t="shared" ca="1" si="756"/>
        <v>2</v>
      </c>
      <c r="BS256" s="398">
        <f t="shared" ca="1" si="757"/>
        <v>144</v>
      </c>
      <c r="BT256" s="398">
        <f t="shared" ca="1" si="758"/>
        <v>122936</v>
      </c>
      <c r="BU256" s="399">
        <f t="shared" si="772"/>
        <v>0</v>
      </c>
      <c r="BV256" s="399">
        <f t="shared" si="773"/>
        <v>0</v>
      </c>
      <c r="BW256" s="483" t="str">
        <f t="shared" ca="1" si="725"/>
        <v/>
      </c>
      <c r="BX256" s="400">
        <f ca="1">IF(MAX(IF($E$6="No",ROUNDUP($E$3/$I256,0),ROUNDUP(($E$3+$I256)/$I256,0)),IF($E$6="No",ROUNDUP($E$4/$G256,0),ROUNDUP(($E$4+$G256)/$G256,0)),ROUNDUP('BVMS checklist'!$H$217/$J256,0))&gt;1,'BVMS checklist'!$N$224,'BVMS checklist'!$N$217)</f>
        <v>0</v>
      </c>
      <c r="BY256" s="398">
        <f t="shared" ca="1" si="726"/>
        <v>2</v>
      </c>
      <c r="BZ256" s="400">
        <f t="shared" ca="1" si="759"/>
        <v>2</v>
      </c>
      <c r="CA256" s="400">
        <f t="shared" ca="1" si="760"/>
        <v>2100</v>
      </c>
      <c r="CB256" s="400">
        <f t="shared" ca="1" si="734"/>
        <v>0</v>
      </c>
      <c r="CC256" s="398">
        <f t="shared" ca="1" si="761"/>
        <v>122936</v>
      </c>
      <c r="CD256" s="401" t="str">
        <f t="shared" ca="1" si="727"/>
        <v/>
      </c>
      <c r="CE256" s="398">
        <f t="shared" ca="1" si="762"/>
        <v>1600</v>
      </c>
      <c r="CF256" s="400">
        <f ca="1">IF(MAX(IF($E$6="No",ROUNDUP($E$3/$I256,0),ROUNDUP(($E$3+$I256)/$I256,0)),IF($E$6="No",ROUNDUP($E$4/$G256,0),ROUNDUP(($E$4+$G256)/$G256,0)),ROUNDUP('BVMS checklist'!$H$217/$J256,0))&gt;1,'BVMS checklist'!$N$224,'BVMS checklist'!$N$217)+MAX(IF($E$6="No",ROUNDUP($E$3/$I256,0),ROUNDUP(($E$3+$I256)/$I256,0)),IF($E$6="No",ROUNDUP($E$4/$G256,0),ROUNDUP(($E$4+$G256)/$G256,0)))+$E$5</f>
        <v>1</v>
      </c>
      <c r="CG256" s="400" t="b">
        <f t="shared" ca="1" si="708"/>
        <v>1</v>
      </c>
      <c r="CH256" s="400" t="str">
        <f t="shared" ca="1" si="763"/>
        <v>Accepted</v>
      </c>
      <c r="CI256" s="398" t="str">
        <f t="shared" ca="1" si="735"/>
        <v>No</v>
      </c>
      <c r="CJ256" s="398" t="str">
        <f t="shared" ca="1" si="764"/>
        <v/>
      </c>
      <c r="CK256" s="398" t="str">
        <f t="shared" ca="1" si="728"/>
        <v/>
      </c>
      <c r="CL256" s="398">
        <f t="shared" ca="1" si="729"/>
        <v>6</v>
      </c>
      <c r="CM256" s="398">
        <f t="shared" ca="1" si="765"/>
        <v>2</v>
      </c>
      <c r="CN256" s="398">
        <f t="shared" ca="1" si="766"/>
        <v>144</v>
      </c>
      <c r="CO256" s="398">
        <f t="shared" ca="1" si="767"/>
        <v>122936</v>
      </c>
      <c r="CP256" s="399">
        <f t="shared" si="774"/>
        <v>0</v>
      </c>
      <c r="CQ256" s="399">
        <f t="shared" si="775"/>
        <v>0</v>
      </c>
      <c r="CR256" s="483" t="str">
        <f t="shared" ca="1" si="730"/>
        <v/>
      </c>
      <c r="CS256"/>
    </row>
    <row r="257" spans="1:97">
      <c r="A257" s="398" t="s">
        <v>1019</v>
      </c>
      <c r="B257" s="398" t="s">
        <v>987</v>
      </c>
      <c r="C257" s="440" t="s">
        <v>891</v>
      </c>
      <c r="D257" s="398">
        <v>1</v>
      </c>
      <c r="E257" s="398">
        <v>2</v>
      </c>
      <c r="F257" s="440">
        <v>0</v>
      </c>
      <c r="G257" s="398">
        <f t="shared" ref="G257:G262" si="809">IF(C257="RAID5",(11-F257)*2794,(10-F257)*2794)+IF(C257="RAID5",(11-F257)*2794,(10-F257)*2794)*E257</f>
        <v>92202</v>
      </c>
      <c r="H257" s="399">
        <v>108</v>
      </c>
      <c r="I257" s="399">
        <v>1050</v>
      </c>
      <c r="J257" s="399">
        <v>800</v>
      </c>
      <c r="K257" s="399"/>
      <c r="L257" s="399"/>
      <c r="M257" s="400">
        <f ca="1">IF(MAX(IF($B$6="No",ROUNDUP($B$3/$I257,0),ROUNDUP(($B$3+$I257)/$I257,0)),IF($B$6="No",ROUNDUP($B$4/$G257,0),ROUNDUP(($B$4+$G257)/$G257,0)),ROUNDUP('BVMS checklist'!$H$217/$J257,0))&gt;1,'BVMS checklist'!$H$224,'BVMS checklist'!$H$217)</f>
        <v>0</v>
      </c>
      <c r="N257" s="398">
        <f t="shared" ca="1" si="709"/>
        <v>2</v>
      </c>
      <c r="O257" s="400">
        <f t="shared" ca="1" si="736"/>
        <v>2</v>
      </c>
      <c r="P257" s="400">
        <f t="shared" ca="1" si="700"/>
        <v>2100</v>
      </c>
      <c r="Q257" s="400">
        <f t="shared" ca="1" si="701"/>
        <v>0</v>
      </c>
      <c r="R257" s="398">
        <f t="shared" ca="1" si="702"/>
        <v>184404</v>
      </c>
      <c r="S257" s="401" t="str">
        <f t="shared" ca="1" si="710"/>
        <v/>
      </c>
      <c r="T257" s="398">
        <f t="shared" ca="1" si="711"/>
        <v>1600</v>
      </c>
      <c r="U257" s="400">
        <f ca="1">IF(MAX(IF($B$6="No",ROUNDUP($B$3/$I257,0),ROUNDUP(($B$3+$I257)/$I257,0)),IF($B$6="No",ROUNDUP($B$4/$G257,0),ROUNDUP(($B$4+$G257)/$G257,0)),ROUNDUP('BVMS checklist'!$H$217/$J257,0))&gt;1,'BVMS checklist'!$H$224,'BVMS checklist'!$H$217)+MAX(IF($B$6="No",ROUNDUP($B$3/$I257,0),ROUNDUP(($B$3+$I257)/$I257,0)),IF($B$6="No",ROUNDUP($B$4/$G257,0),ROUNDUP(($B$4+$G257)/$G257,0)))+$B$5</f>
        <v>1</v>
      </c>
      <c r="V257" s="400" t="b">
        <f t="shared" ca="1" si="703"/>
        <v>1</v>
      </c>
      <c r="W257" s="400" t="str">
        <f t="shared" ca="1" si="737"/>
        <v>Accepted</v>
      </c>
      <c r="X257" s="398" t="str">
        <f t="shared" ca="1" si="712"/>
        <v>No</v>
      </c>
      <c r="Y257" s="398" t="str">
        <f t="shared" ca="1" si="713"/>
        <v/>
      </c>
      <c r="Z257" s="398" t="str">
        <f t="shared" ca="1" si="714"/>
        <v/>
      </c>
      <c r="AA257" s="398">
        <f t="shared" ca="1" si="738"/>
        <v>6</v>
      </c>
      <c r="AB257" s="398">
        <f t="shared" ca="1" si="704"/>
        <v>2</v>
      </c>
      <c r="AC257" s="398">
        <f t="shared" ca="1" si="705"/>
        <v>216</v>
      </c>
      <c r="AD257" s="398">
        <f t="shared" ca="1" si="739"/>
        <v>184404</v>
      </c>
      <c r="AE257" s="399">
        <f t="shared" si="768"/>
        <v>0</v>
      </c>
      <c r="AF257" s="399">
        <f t="shared" si="769"/>
        <v>0</v>
      </c>
      <c r="AG257" s="483" t="str">
        <f t="shared" ca="1" si="715"/>
        <v/>
      </c>
      <c r="AH257" s="400">
        <f ca="1">IF(MAX(IF($C$6="No",ROUNDUP($C$3/$I257,0),ROUNDUP(($C$3+$I257)/$I257,0)),IF($C$6="No",ROUNDUP($C$4/$G257,0),ROUNDUP(($C$4+$G257)/$G257,0)),ROUNDUP('BVMS checklist'!$H$217/$J257,0))&gt;1,'BVMS checklist'!$J$224,'BVMS checklist'!$J$217)</f>
        <v>0</v>
      </c>
      <c r="AI257" s="398">
        <f t="shared" ca="1" si="716"/>
        <v>2</v>
      </c>
      <c r="AJ257" s="400">
        <f t="shared" ca="1" si="740"/>
        <v>2</v>
      </c>
      <c r="AK257" s="400">
        <f t="shared" ca="1" si="741"/>
        <v>2100</v>
      </c>
      <c r="AL257" s="400">
        <f t="shared" ca="1" si="742"/>
        <v>0</v>
      </c>
      <c r="AM257" s="398">
        <f t="shared" ca="1" si="743"/>
        <v>184404</v>
      </c>
      <c r="AN257" s="401" t="str">
        <f t="shared" ca="1" si="717"/>
        <v/>
      </c>
      <c r="AO257" s="398">
        <f t="shared" ca="1" si="744"/>
        <v>1600</v>
      </c>
      <c r="AP257" s="400">
        <f ca="1">IF(MAX(IF($C$6="No",ROUNDUP($C$3/$I257,0),ROUNDUP(($C$3+$I257)/$I257,0)),IF($C$6="No",ROUNDUP($C$4/$G257,0),ROUNDUP(($C$4+$G257)/$G257,0)),ROUNDUP('BVMS checklist'!$H$217/$J257,0))&gt;1,'BVMS checklist'!$J$224,'BVMS checklist'!$J$217)+MAX(IF($C$6="No",ROUNDUP($C$3/$I257,0),ROUNDUP(($C$3+$I257)/$I257,0)),IF($C$6="No",ROUNDUP($C$4/$G257,0),ROUNDUP(($C$4+$G257)/$G257,0)))+$C$5</f>
        <v>1</v>
      </c>
      <c r="AQ257" s="400" t="b">
        <f t="shared" ca="1" si="706"/>
        <v>1</v>
      </c>
      <c r="AR257" s="400" t="str">
        <f t="shared" ca="1" si="745"/>
        <v>Accepted</v>
      </c>
      <c r="AS257" s="398" t="str">
        <f t="shared" ca="1" si="731"/>
        <v>No</v>
      </c>
      <c r="AT257" s="398" t="str">
        <f t="shared" ca="1" si="746"/>
        <v/>
      </c>
      <c r="AU257" s="398" t="str">
        <f t="shared" ca="1" si="718"/>
        <v/>
      </c>
      <c r="AV257" s="398">
        <f t="shared" ca="1" si="719"/>
        <v>6</v>
      </c>
      <c r="AW257" s="398">
        <f t="shared" ca="1" si="747"/>
        <v>2</v>
      </c>
      <c r="AX257" s="398">
        <f t="shared" ca="1" si="748"/>
        <v>216</v>
      </c>
      <c r="AY257" s="398">
        <f t="shared" ca="1" si="749"/>
        <v>184404</v>
      </c>
      <c r="AZ257" s="399">
        <f t="shared" si="770"/>
        <v>0</v>
      </c>
      <c r="BA257" s="399">
        <f t="shared" si="771"/>
        <v>0</v>
      </c>
      <c r="BB257" s="483" t="str">
        <f t="shared" ca="1" si="720"/>
        <v/>
      </c>
      <c r="BC257" s="400">
        <f ca="1">IF(MAX(IF($D$6="No",ROUNDUP($D$3/$I257,0),ROUNDUP(($D$3+$I257)/$I257,0)),IF($D$6="No",ROUNDUP($D$4/$G257,0),ROUNDUP(($D$4+$G257)/$G257,0)),ROUNDUP('BVMS checklist'!$H$217/$J257,0))&gt;1,'BVMS checklist'!$L$224,'BVMS checklist'!$L$217)</f>
        <v>0</v>
      </c>
      <c r="BD257" s="398">
        <f t="shared" ca="1" si="721"/>
        <v>2</v>
      </c>
      <c r="BE257" s="400">
        <f t="shared" si="750"/>
        <v>1</v>
      </c>
      <c r="BF257" s="400">
        <f t="shared" si="751"/>
        <v>1050</v>
      </c>
      <c r="BG257" s="400">
        <f t="shared" ca="1" si="732"/>
        <v>0</v>
      </c>
      <c r="BH257" s="398">
        <f t="shared" ca="1" si="752"/>
        <v>184404</v>
      </c>
      <c r="BI257" s="401" t="str">
        <f t="shared" ca="1" si="722"/>
        <v/>
      </c>
      <c r="BJ257" s="398">
        <f t="shared" ca="1" si="753"/>
        <v>1600</v>
      </c>
      <c r="BK257" s="400">
        <f ca="1">IF(MAX(IF($D$6="No",ROUNDUP($D$3/$I257,0),ROUNDUP(($D$3+$I257)/$I257,0)),IF($D$6="No",ROUNDUP($D$4/$G257,0),ROUNDUP(($D$4+$G257)/$G257,0)),ROUNDUP('BVMS checklist'!$H$217/$J257,0))&gt;1,'BVMS checklist'!$L$224,'BVMS checklist'!$L$217)+MAX(IF($D$6="No",ROUNDUP($D$3/$I257,0),ROUNDUP(($D$3+$I257)/$I257,0)),IF($D$6="No",ROUNDUP($D$4/$G257,0),ROUNDUP(($D$4+$G257)/$G257,0)))+$D$5</f>
        <v>1</v>
      </c>
      <c r="BL257" s="400" t="b">
        <f t="shared" ca="1" si="707"/>
        <v>1</v>
      </c>
      <c r="BM257" s="400" t="str">
        <f t="shared" ca="1" si="754"/>
        <v>Accepted</v>
      </c>
      <c r="BN257" s="398" t="str">
        <f t="shared" ca="1" si="733"/>
        <v>No</v>
      </c>
      <c r="BO257" s="398" t="str">
        <f t="shared" ca="1" si="755"/>
        <v/>
      </c>
      <c r="BP257" s="398" t="str">
        <f t="shared" ca="1" si="723"/>
        <v/>
      </c>
      <c r="BQ257" s="398">
        <f t="shared" ca="1" si="724"/>
        <v>6</v>
      </c>
      <c r="BR257" s="398">
        <f t="shared" ca="1" si="756"/>
        <v>2</v>
      </c>
      <c r="BS257" s="398">
        <f t="shared" ca="1" si="757"/>
        <v>216</v>
      </c>
      <c r="BT257" s="398">
        <f t="shared" ca="1" si="758"/>
        <v>184404</v>
      </c>
      <c r="BU257" s="399">
        <f t="shared" si="772"/>
        <v>0</v>
      </c>
      <c r="BV257" s="399">
        <f t="shared" si="773"/>
        <v>0</v>
      </c>
      <c r="BW257" s="483" t="str">
        <f t="shared" ca="1" si="725"/>
        <v/>
      </c>
      <c r="BX257" s="400">
        <f ca="1">IF(MAX(IF($E$6="No",ROUNDUP($E$3/$I257,0),ROUNDUP(($E$3+$I257)/$I257,0)),IF($E$6="No",ROUNDUP($E$4/$G257,0),ROUNDUP(($E$4+$G257)/$G257,0)),ROUNDUP('BVMS checklist'!$H$217/$J257,0))&gt;1,'BVMS checklist'!$N$224,'BVMS checklist'!$N$217)</f>
        <v>0</v>
      </c>
      <c r="BY257" s="398">
        <f t="shared" ca="1" si="726"/>
        <v>2</v>
      </c>
      <c r="BZ257" s="400">
        <f t="shared" ca="1" si="759"/>
        <v>2</v>
      </c>
      <c r="CA257" s="400">
        <f t="shared" ca="1" si="760"/>
        <v>2100</v>
      </c>
      <c r="CB257" s="400">
        <f t="shared" ca="1" si="734"/>
        <v>0</v>
      </c>
      <c r="CC257" s="398">
        <f t="shared" ca="1" si="761"/>
        <v>184404</v>
      </c>
      <c r="CD257" s="401" t="str">
        <f t="shared" ca="1" si="727"/>
        <v/>
      </c>
      <c r="CE257" s="398">
        <f t="shared" ca="1" si="762"/>
        <v>1600</v>
      </c>
      <c r="CF257" s="400">
        <f ca="1">IF(MAX(IF($E$6="No",ROUNDUP($E$3/$I257,0),ROUNDUP(($E$3+$I257)/$I257,0)),IF($E$6="No",ROUNDUP($E$4/$G257,0),ROUNDUP(($E$4+$G257)/$G257,0)),ROUNDUP('BVMS checklist'!$H$217/$J257,0))&gt;1,'BVMS checklist'!$N$224,'BVMS checklist'!$N$217)+MAX(IF($E$6="No",ROUNDUP($E$3/$I257,0),ROUNDUP(($E$3+$I257)/$I257,0)),IF($E$6="No",ROUNDUP($E$4/$G257,0),ROUNDUP(($E$4+$G257)/$G257,0)))+$E$5</f>
        <v>1</v>
      </c>
      <c r="CG257" s="400" t="b">
        <f t="shared" ca="1" si="708"/>
        <v>1</v>
      </c>
      <c r="CH257" s="400" t="str">
        <f t="shared" ca="1" si="763"/>
        <v>Accepted</v>
      </c>
      <c r="CI257" s="398" t="str">
        <f t="shared" ca="1" si="735"/>
        <v>No</v>
      </c>
      <c r="CJ257" s="398" t="str">
        <f t="shared" ca="1" si="764"/>
        <v/>
      </c>
      <c r="CK257" s="398" t="str">
        <f t="shared" ca="1" si="728"/>
        <v/>
      </c>
      <c r="CL257" s="398">
        <f t="shared" ca="1" si="729"/>
        <v>6</v>
      </c>
      <c r="CM257" s="398">
        <f t="shared" ca="1" si="765"/>
        <v>2</v>
      </c>
      <c r="CN257" s="398">
        <f t="shared" ca="1" si="766"/>
        <v>216</v>
      </c>
      <c r="CO257" s="398">
        <f t="shared" ca="1" si="767"/>
        <v>184404</v>
      </c>
      <c r="CP257" s="399">
        <f t="shared" si="774"/>
        <v>0</v>
      </c>
      <c r="CQ257" s="399">
        <f t="shared" si="775"/>
        <v>0</v>
      </c>
      <c r="CR257" s="483" t="str">
        <f t="shared" ca="1" si="730"/>
        <v/>
      </c>
      <c r="CS257"/>
    </row>
    <row r="258" spans="1:97">
      <c r="A258" s="398" t="s">
        <v>1020</v>
      </c>
      <c r="B258" s="398" t="s">
        <v>987</v>
      </c>
      <c r="C258" s="440" t="s">
        <v>891</v>
      </c>
      <c r="D258" s="398">
        <v>1</v>
      </c>
      <c r="E258" s="398">
        <v>3</v>
      </c>
      <c r="F258" s="440">
        <v>0</v>
      </c>
      <c r="G258" s="398">
        <f t="shared" si="809"/>
        <v>122936</v>
      </c>
      <c r="H258" s="399">
        <v>144</v>
      </c>
      <c r="I258" s="399">
        <v>1050</v>
      </c>
      <c r="J258" s="399">
        <v>800</v>
      </c>
      <c r="K258" s="399"/>
      <c r="L258" s="399"/>
      <c r="M258" s="400">
        <f ca="1">IF(MAX(IF($B$6="No",ROUNDUP($B$3/$I258,0),ROUNDUP(($B$3+$I258)/$I258,0)),IF($B$6="No",ROUNDUP($B$4/$G258,0),ROUNDUP(($B$4+$G258)/$G258,0)),ROUNDUP('BVMS checklist'!$H$217/$J258,0))&gt;1,'BVMS checklist'!$H$224,'BVMS checklist'!$H$217)</f>
        <v>0</v>
      </c>
      <c r="N258" s="398">
        <f t="shared" ca="1" si="709"/>
        <v>2</v>
      </c>
      <c r="O258" s="400">
        <f t="shared" ca="1" si="736"/>
        <v>2</v>
      </c>
      <c r="P258" s="400">
        <f t="shared" ca="1" si="700"/>
        <v>2100</v>
      </c>
      <c r="Q258" s="400">
        <f t="shared" ca="1" si="701"/>
        <v>0</v>
      </c>
      <c r="R258" s="398">
        <f t="shared" ca="1" si="702"/>
        <v>245872</v>
      </c>
      <c r="S258" s="401" t="str">
        <f t="shared" ca="1" si="710"/>
        <v/>
      </c>
      <c r="T258" s="398">
        <f t="shared" ca="1" si="711"/>
        <v>1600</v>
      </c>
      <c r="U258" s="400">
        <f ca="1">IF(MAX(IF($B$6="No",ROUNDUP($B$3/$I258,0),ROUNDUP(($B$3+$I258)/$I258,0)),IF($B$6="No",ROUNDUP($B$4/$G258,0),ROUNDUP(($B$4+$G258)/$G258,0)),ROUNDUP('BVMS checklist'!$H$217/$J258,0))&gt;1,'BVMS checklist'!$H$224,'BVMS checklist'!$H$217)+MAX(IF($B$6="No",ROUNDUP($B$3/$I258,0),ROUNDUP(($B$3+$I258)/$I258,0)),IF($B$6="No",ROUNDUP($B$4/$G258,0),ROUNDUP(($B$4+$G258)/$G258,0)))+$B$5</f>
        <v>1</v>
      </c>
      <c r="V258" s="400" t="b">
        <f t="shared" ca="1" si="703"/>
        <v>1</v>
      </c>
      <c r="W258" s="400" t="str">
        <f t="shared" ca="1" si="737"/>
        <v>Accepted</v>
      </c>
      <c r="X258" s="398" t="str">
        <f t="shared" ca="1" si="712"/>
        <v>No</v>
      </c>
      <c r="Y258" s="398" t="str">
        <f t="shared" ca="1" si="713"/>
        <v/>
      </c>
      <c r="Z258" s="398" t="str">
        <f t="shared" ca="1" si="714"/>
        <v/>
      </c>
      <c r="AA258" s="398">
        <f t="shared" ca="1" si="738"/>
        <v>6</v>
      </c>
      <c r="AB258" s="398">
        <f t="shared" ca="1" si="704"/>
        <v>2</v>
      </c>
      <c r="AC258" s="398">
        <f t="shared" ca="1" si="705"/>
        <v>288</v>
      </c>
      <c r="AD258" s="398">
        <f t="shared" ca="1" si="739"/>
        <v>245872</v>
      </c>
      <c r="AE258" s="399">
        <f t="shared" si="768"/>
        <v>0</v>
      </c>
      <c r="AF258" s="399">
        <f t="shared" si="769"/>
        <v>0</v>
      </c>
      <c r="AG258" s="483" t="str">
        <f t="shared" ca="1" si="715"/>
        <v/>
      </c>
      <c r="AH258" s="400">
        <f ca="1">IF(MAX(IF($C$6="No",ROUNDUP($C$3/$I258,0),ROUNDUP(($C$3+$I258)/$I258,0)),IF($C$6="No",ROUNDUP($C$4/$G258,0),ROUNDUP(($C$4+$G258)/$G258,0)),ROUNDUP('BVMS checklist'!$H$217/$J258,0))&gt;1,'BVMS checklist'!$J$224,'BVMS checklist'!$J$217)</f>
        <v>0</v>
      </c>
      <c r="AI258" s="398">
        <f t="shared" ca="1" si="716"/>
        <v>2</v>
      </c>
      <c r="AJ258" s="400">
        <f t="shared" ca="1" si="740"/>
        <v>2</v>
      </c>
      <c r="AK258" s="400">
        <f t="shared" ca="1" si="741"/>
        <v>2100</v>
      </c>
      <c r="AL258" s="400">
        <f t="shared" ca="1" si="742"/>
        <v>0</v>
      </c>
      <c r="AM258" s="398">
        <f t="shared" ca="1" si="743"/>
        <v>245872</v>
      </c>
      <c r="AN258" s="401" t="str">
        <f t="shared" ca="1" si="717"/>
        <v/>
      </c>
      <c r="AO258" s="398">
        <f t="shared" ca="1" si="744"/>
        <v>1600</v>
      </c>
      <c r="AP258" s="400">
        <f ca="1">IF(MAX(IF($C$6="No",ROUNDUP($C$3/$I258,0),ROUNDUP(($C$3+$I258)/$I258,0)),IF($C$6="No",ROUNDUP($C$4/$G258,0),ROUNDUP(($C$4+$G258)/$G258,0)),ROUNDUP('BVMS checklist'!$H$217/$J258,0))&gt;1,'BVMS checklist'!$J$224,'BVMS checklist'!$J$217)+MAX(IF($C$6="No",ROUNDUP($C$3/$I258,0),ROUNDUP(($C$3+$I258)/$I258,0)),IF($C$6="No",ROUNDUP($C$4/$G258,0),ROUNDUP(($C$4+$G258)/$G258,0)))+$C$5</f>
        <v>1</v>
      </c>
      <c r="AQ258" s="400" t="b">
        <f t="shared" ca="1" si="706"/>
        <v>1</v>
      </c>
      <c r="AR258" s="400" t="str">
        <f t="shared" ca="1" si="745"/>
        <v>Accepted</v>
      </c>
      <c r="AS258" s="398" t="str">
        <f t="shared" ca="1" si="731"/>
        <v>No</v>
      </c>
      <c r="AT258" s="398" t="str">
        <f t="shared" ca="1" si="746"/>
        <v/>
      </c>
      <c r="AU258" s="398" t="str">
        <f t="shared" ca="1" si="718"/>
        <v/>
      </c>
      <c r="AV258" s="398">
        <f t="shared" ca="1" si="719"/>
        <v>6</v>
      </c>
      <c r="AW258" s="398">
        <f t="shared" ca="1" si="747"/>
        <v>2</v>
      </c>
      <c r="AX258" s="398">
        <f t="shared" ca="1" si="748"/>
        <v>288</v>
      </c>
      <c r="AY258" s="398">
        <f t="shared" ca="1" si="749"/>
        <v>245872</v>
      </c>
      <c r="AZ258" s="399">
        <f t="shared" si="770"/>
        <v>0</v>
      </c>
      <c r="BA258" s="399">
        <f t="shared" si="771"/>
        <v>0</v>
      </c>
      <c r="BB258" s="483" t="str">
        <f t="shared" ca="1" si="720"/>
        <v/>
      </c>
      <c r="BC258" s="400">
        <f ca="1">IF(MAX(IF($D$6="No",ROUNDUP($D$3/$I258,0),ROUNDUP(($D$3+$I258)/$I258,0)),IF($D$6="No",ROUNDUP($D$4/$G258,0),ROUNDUP(($D$4+$G258)/$G258,0)),ROUNDUP('BVMS checklist'!$H$217/$J258,0))&gt;1,'BVMS checklist'!$L$224,'BVMS checklist'!$L$217)</f>
        <v>0</v>
      </c>
      <c r="BD258" s="398">
        <f t="shared" ca="1" si="721"/>
        <v>2</v>
      </c>
      <c r="BE258" s="400">
        <f t="shared" si="750"/>
        <v>1</v>
      </c>
      <c r="BF258" s="400">
        <f t="shared" si="751"/>
        <v>1050</v>
      </c>
      <c r="BG258" s="400">
        <f t="shared" ca="1" si="732"/>
        <v>0</v>
      </c>
      <c r="BH258" s="398">
        <f t="shared" ca="1" si="752"/>
        <v>245872</v>
      </c>
      <c r="BI258" s="401" t="str">
        <f t="shared" ca="1" si="722"/>
        <v/>
      </c>
      <c r="BJ258" s="398">
        <f t="shared" ca="1" si="753"/>
        <v>1600</v>
      </c>
      <c r="BK258" s="400">
        <f ca="1">IF(MAX(IF($D$6="No",ROUNDUP($D$3/$I258,0),ROUNDUP(($D$3+$I258)/$I258,0)),IF($D$6="No",ROUNDUP($D$4/$G258,0),ROUNDUP(($D$4+$G258)/$G258,0)),ROUNDUP('BVMS checklist'!$H$217/$J258,0))&gt;1,'BVMS checklist'!$L$224,'BVMS checklist'!$L$217)+MAX(IF($D$6="No",ROUNDUP($D$3/$I258,0),ROUNDUP(($D$3+$I258)/$I258,0)),IF($D$6="No",ROUNDUP($D$4/$G258,0),ROUNDUP(($D$4+$G258)/$G258,0)))+$D$5</f>
        <v>1</v>
      </c>
      <c r="BL258" s="400" t="b">
        <f t="shared" ca="1" si="707"/>
        <v>1</v>
      </c>
      <c r="BM258" s="400" t="str">
        <f t="shared" ca="1" si="754"/>
        <v>Accepted</v>
      </c>
      <c r="BN258" s="398" t="str">
        <f t="shared" ca="1" si="733"/>
        <v>No</v>
      </c>
      <c r="BO258" s="398" t="str">
        <f t="shared" ca="1" si="755"/>
        <v/>
      </c>
      <c r="BP258" s="398" t="str">
        <f t="shared" ca="1" si="723"/>
        <v/>
      </c>
      <c r="BQ258" s="398">
        <f t="shared" ca="1" si="724"/>
        <v>6</v>
      </c>
      <c r="BR258" s="398">
        <f t="shared" ca="1" si="756"/>
        <v>2</v>
      </c>
      <c r="BS258" s="398">
        <f t="shared" ca="1" si="757"/>
        <v>288</v>
      </c>
      <c r="BT258" s="398">
        <f t="shared" ca="1" si="758"/>
        <v>245872</v>
      </c>
      <c r="BU258" s="399">
        <f t="shared" si="772"/>
        <v>0</v>
      </c>
      <c r="BV258" s="399">
        <f t="shared" si="773"/>
        <v>0</v>
      </c>
      <c r="BW258" s="483" t="str">
        <f t="shared" ca="1" si="725"/>
        <v/>
      </c>
      <c r="BX258" s="400">
        <f ca="1">IF(MAX(IF($E$6="No",ROUNDUP($E$3/$I258,0),ROUNDUP(($E$3+$I258)/$I258,0)),IF($E$6="No",ROUNDUP($E$4/$G258,0),ROUNDUP(($E$4+$G258)/$G258,0)),ROUNDUP('BVMS checklist'!$H$217/$J258,0))&gt;1,'BVMS checklist'!$N$224,'BVMS checklist'!$N$217)</f>
        <v>0</v>
      </c>
      <c r="BY258" s="398">
        <f t="shared" ca="1" si="726"/>
        <v>2</v>
      </c>
      <c r="BZ258" s="400">
        <f t="shared" ca="1" si="759"/>
        <v>2</v>
      </c>
      <c r="CA258" s="400">
        <f t="shared" ca="1" si="760"/>
        <v>2100</v>
      </c>
      <c r="CB258" s="400">
        <f t="shared" ca="1" si="734"/>
        <v>0</v>
      </c>
      <c r="CC258" s="398">
        <f t="shared" ca="1" si="761"/>
        <v>245872</v>
      </c>
      <c r="CD258" s="401" t="str">
        <f t="shared" ca="1" si="727"/>
        <v/>
      </c>
      <c r="CE258" s="398">
        <f t="shared" ca="1" si="762"/>
        <v>1600</v>
      </c>
      <c r="CF258" s="400">
        <f ca="1">IF(MAX(IF($E$6="No",ROUNDUP($E$3/$I258,0),ROUNDUP(($E$3+$I258)/$I258,0)),IF($E$6="No",ROUNDUP($E$4/$G258,0),ROUNDUP(($E$4+$G258)/$G258,0)),ROUNDUP('BVMS checklist'!$H$217/$J258,0))&gt;1,'BVMS checklist'!$N$224,'BVMS checklist'!$N$217)+MAX(IF($E$6="No",ROUNDUP($E$3/$I258,0),ROUNDUP(($E$3+$I258)/$I258,0)),IF($E$6="No",ROUNDUP($E$4/$G258,0),ROUNDUP(($E$4+$G258)/$G258,0)))+$E$5</f>
        <v>1</v>
      </c>
      <c r="CG258" s="400" t="b">
        <f t="shared" ca="1" si="708"/>
        <v>1</v>
      </c>
      <c r="CH258" s="400" t="str">
        <f t="shared" ca="1" si="763"/>
        <v>Accepted</v>
      </c>
      <c r="CI258" s="398" t="str">
        <f t="shared" ca="1" si="735"/>
        <v>No</v>
      </c>
      <c r="CJ258" s="398" t="str">
        <f t="shared" ca="1" si="764"/>
        <v/>
      </c>
      <c r="CK258" s="398" t="str">
        <f t="shared" ca="1" si="728"/>
        <v/>
      </c>
      <c r="CL258" s="398">
        <f t="shared" ca="1" si="729"/>
        <v>6</v>
      </c>
      <c r="CM258" s="398">
        <f t="shared" ca="1" si="765"/>
        <v>2</v>
      </c>
      <c r="CN258" s="398">
        <f t="shared" ca="1" si="766"/>
        <v>288</v>
      </c>
      <c r="CO258" s="398">
        <f t="shared" ca="1" si="767"/>
        <v>245872</v>
      </c>
      <c r="CP258" s="399">
        <f t="shared" si="774"/>
        <v>0</v>
      </c>
      <c r="CQ258" s="399">
        <f t="shared" si="775"/>
        <v>0</v>
      </c>
      <c r="CR258" s="483" t="str">
        <f t="shared" ca="1" si="730"/>
        <v/>
      </c>
      <c r="CS258"/>
    </row>
    <row r="259" spans="1:97">
      <c r="A259" s="398" t="s">
        <v>1021</v>
      </c>
      <c r="B259" s="398" t="s">
        <v>987</v>
      </c>
      <c r="C259" s="440" t="s">
        <v>891</v>
      </c>
      <c r="D259" s="398">
        <v>1</v>
      </c>
      <c r="E259" s="398">
        <v>4</v>
      </c>
      <c r="F259" s="440">
        <v>0</v>
      </c>
      <c r="G259" s="398">
        <f t="shared" si="809"/>
        <v>153670</v>
      </c>
      <c r="H259" s="399">
        <v>180</v>
      </c>
      <c r="I259" s="399">
        <v>1050</v>
      </c>
      <c r="J259" s="399">
        <v>800</v>
      </c>
      <c r="K259" s="399"/>
      <c r="L259" s="399"/>
      <c r="M259" s="400">
        <f ca="1">IF(MAX(IF($B$6="No",ROUNDUP($B$3/$I259,0),ROUNDUP(($B$3+$I259)/$I259,0)),IF($B$6="No",ROUNDUP($B$4/$G259,0),ROUNDUP(($B$4+$G259)/$G259,0)),ROUNDUP('BVMS checklist'!$H$217/$J259,0))&gt;1,'BVMS checklist'!$H$224,'BVMS checklist'!$H$217)</f>
        <v>0</v>
      </c>
      <c r="N259" s="398">
        <f t="shared" ca="1" si="709"/>
        <v>2</v>
      </c>
      <c r="O259" s="400">
        <f t="shared" ca="1" si="736"/>
        <v>2</v>
      </c>
      <c r="P259" s="400">
        <f t="shared" ca="1" si="700"/>
        <v>2100</v>
      </c>
      <c r="Q259" s="400">
        <f t="shared" ca="1" si="701"/>
        <v>0</v>
      </c>
      <c r="R259" s="398">
        <f t="shared" ca="1" si="702"/>
        <v>307340</v>
      </c>
      <c r="S259" s="401" t="str">
        <f t="shared" ca="1" si="710"/>
        <v/>
      </c>
      <c r="T259" s="398">
        <f t="shared" ca="1" si="711"/>
        <v>1600</v>
      </c>
      <c r="U259" s="400">
        <f ca="1">IF(MAX(IF($B$6="No",ROUNDUP($B$3/$I259,0),ROUNDUP(($B$3+$I259)/$I259,0)),IF($B$6="No",ROUNDUP($B$4/$G259,0),ROUNDUP(($B$4+$G259)/$G259,0)),ROUNDUP('BVMS checklist'!$H$217/$J259,0))&gt;1,'BVMS checklist'!$H$224,'BVMS checklist'!$H$217)+MAX(IF($B$6="No",ROUNDUP($B$3/$I259,0),ROUNDUP(($B$3+$I259)/$I259,0)),IF($B$6="No",ROUNDUP($B$4/$G259,0),ROUNDUP(($B$4+$G259)/$G259,0)))+$B$5</f>
        <v>1</v>
      </c>
      <c r="V259" s="400" t="b">
        <f t="shared" ca="1" si="703"/>
        <v>1</v>
      </c>
      <c r="W259" s="400" t="str">
        <f t="shared" ca="1" si="737"/>
        <v>Accepted</v>
      </c>
      <c r="X259" s="398" t="str">
        <f t="shared" ca="1" si="712"/>
        <v>No</v>
      </c>
      <c r="Y259" s="398" t="str">
        <f t="shared" ca="1" si="713"/>
        <v/>
      </c>
      <c r="Z259" s="398" t="str">
        <f t="shared" ca="1" si="714"/>
        <v/>
      </c>
      <c r="AA259" s="398">
        <f t="shared" ca="1" si="738"/>
        <v>6</v>
      </c>
      <c r="AB259" s="398">
        <f t="shared" ca="1" si="704"/>
        <v>2</v>
      </c>
      <c r="AC259" s="398">
        <f t="shared" ca="1" si="705"/>
        <v>360</v>
      </c>
      <c r="AD259" s="398">
        <f t="shared" ca="1" si="739"/>
        <v>307340</v>
      </c>
      <c r="AE259" s="399">
        <f t="shared" si="768"/>
        <v>0</v>
      </c>
      <c r="AF259" s="399">
        <f t="shared" si="769"/>
        <v>0</v>
      </c>
      <c r="AG259" s="483" t="str">
        <f t="shared" ca="1" si="715"/>
        <v/>
      </c>
      <c r="AH259" s="400">
        <f ca="1">IF(MAX(IF($C$6="No",ROUNDUP($C$3/$I259,0),ROUNDUP(($C$3+$I259)/$I259,0)),IF($C$6="No",ROUNDUP($C$4/$G259,0),ROUNDUP(($C$4+$G259)/$G259,0)),ROUNDUP('BVMS checklist'!$H$217/$J259,0))&gt;1,'BVMS checklist'!$J$224,'BVMS checklist'!$J$217)</f>
        <v>0</v>
      </c>
      <c r="AI259" s="398">
        <f t="shared" ca="1" si="716"/>
        <v>2</v>
      </c>
      <c r="AJ259" s="400">
        <f t="shared" ca="1" si="740"/>
        <v>2</v>
      </c>
      <c r="AK259" s="400">
        <f t="shared" ca="1" si="741"/>
        <v>2100</v>
      </c>
      <c r="AL259" s="400">
        <f t="shared" ca="1" si="742"/>
        <v>0</v>
      </c>
      <c r="AM259" s="398">
        <f t="shared" ca="1" si="743"/>
        <v>307340</v>
      </c>
      <c r="AN259" s="401" t="str">
        <f t="shared" ca="1" si="717"/>
        <v/>
      </c>
      <c r="AO259" s="398">
        <f t="shared" ca="1" si="744"/>
        <v>1600</v>
      </c>
      <c r="AP259" s="400">
        <f ca="1">IF(MAX(IF($C$6="No",ROUNDUP($C$3/$I259,0),ROUNDUP(($C$3+$I259)/$I259,0)),IF($C$6="No",ROUNDUP($C$4/$G259,0),ROUNDUP(($C$4+$G259)/$G259,0)),ROUNDUP('BVMS checklist'!$H$217/$J259,0))&gt;1,'BVMS checklist'!$J$224,'BVMS checklist'!$J$217)+MAX(IF($C$6="No",ROUNDUP($C$3/$I259,0),ROUNDUP(($C$3+$I259)/$I259,0)),IF($C$6="No",ROUNDUP($C$4/$G259,0),ROUNDUP(($C$4+$G259)/$G259,0)))+$C$5</f>
        <v>1</v>
      </c>
      <c r="AQ259" s="400" t="b">
        <f t="shared" ca="1" si="706"/>
        <v>1</v>
      </c>
      <c r="AR259" s="400" t="str">
        <f t="shared" ca="1" si="745"/>
        <v>Accepted</v>
      </c>
      <c r="AS259" s="398" t="str">
        <f t="shared" ca="1" si="731"/>
        <v>No</v>
      </c>
      <c r="AT259" s="398" t="str">
        <f t="shared" ca="1" si="746"/>
        <v/>
      </c>
      <c r="AU259" s="398" t="str">
        <f t="shared" ca="1" si="718"/>
        <v/>
      </c>
      <c r="AV259" s="398">
        <f t="shared" ca="1" si="719"/>
        <v>6</v>
      </c>
      <c r="AW259" s="398">
        <f t="shared" ca="1" si="747"/>
        <v>2</v>
      </c>
      <c r="AX259" s="398">
        <f t="shared" ca="1" si="748"/>
        <v>360</v>
      </c>
      <c r="AY259" s="398">
        <f t="shared" ca="1" si="749"/>
        <v>307340</v>
      </c>
      <c r="AZ259" s="399">
        <f t="shared" si="770"/>
        <v>0</v>
      </c>
      <c r="BA259" s="399">
        <f t="shared" si="771"/>
        <v>0</v>
      </c>
      <c r="BB259" s="483" t="str">
        <f t="shared" ca="1" si="720"/>
        <v/>
      </c>
      <c r="BC259" s="400">
        <f ca="1">IF(MAX(IF($D$6="No",ROUNDUP($D$3/$I259,0),ROUNDUP(($D$3+$I259)/$I259,0)),IF($D$6="No",ROUNDUP($D$4/$G259,0),ROUNDUP(($D$4+$G259)/$G259,0)),ROUNDUP('BVMS checklist'!$H$217/$J259,0))&gt;1,'BVMS checklist'!$L$224,'BVMS checklist'!$L$217)</f>
        <v>0</v>
      </c>
      <c r="BD259" s="398">
        <f t="shared" ca="1" si="721"/>
        <v>2</v>
      </c>
      <c r="BE259" s="400">
        <f t="shared" si="750"/>
        <v>1</v>
      </c>
      <c r="BF259" s="400">
        <f t="shared" si="751"/>
        <v>1050</v>
      </c>
      <c r="BG259" s="400">
        <f t="shared" ca="1" si="732"/>
        <v>0</v>
      </c>
      <c r="BH259" s="398">
        <f t="shared" ca="1" si="752"/>
        <v>307340</v>
      </c>
      <c r="BI259" s="401" t="str">
        <f t="shared" ca="1" si="722"/>
        <v/>
      </c>
      <c r="BJ259" s="398">
        <f t="shared" ca="1" si="753"/>
        <v>1600</v>
      </c>
      <c r="BK259" s="400">
        <f ca="1">IF(MAX(IF($D$6="No",ROUNDUP($D$3/$I259,0),ROUNDUP(($D$3+$I259)/$I259,0)),IF($D$6="No",ROUNDUP($D$4/$G259,0),ROUNDUP(($D$4+$G259)/$G259,0)),ROUNDUP('BVMS checklist'!$H$217/$J259,0))&gt;1,'BVMS checklist'!$L$224,'BVMS checklist'!$L$217)+MAX(IF($D$6="No",ROUNDUP($D$3/$I259,0),ROUNDUP(($D$3+$I259)/$I259,0)),IF($D$6="No",ROUNDUP($D$4/$G259,0),ROUNDUP(($D$4+$G259)/$G259,0)))+$D$5</f>
        <v>1</v>
      </c>
      <c r="BL259" s="400" t="b">
        <f t="shared" ca="1" si="707"/>
        <v>1</v>
      </c>
      <c r="BM259" s="400" t="str">
        <f t="shared" ca="1" si="754"/>
        <v>Accepted</v>
      </c>
      <c r="BN259" s="398" t="str">
        <f t="shared" ca="1" si="733"/>
        <v>No</v>
      </c>
      <c r="BO259" s="398" t="str">
        <f t="shared" ca="1" si="755"/>
        <v/>
      </c>
      <c r="BP259" s="398" t="str">
        <f t="shared" ca="1" si="723"/>
        <v/>
      </c>
      <c r="BQ259" s="398">
        <f t="shared" ca="1" si="724"/>
        <v>6</v>
      </c>
      <c r="BR259" s="398">
        <f t="shared" ca="1" si="756"/>
        <v>2</v>
      </c>
      <c r="BS259" s="398">
        <f t="shared" ca="1" si="757"/>
        <v>360</v>
      </c>
      <c r="BT259" s="398">
        <f t="shared" ca="1" si="758"/>
        <v>307340</v>
      </c>
      <c r="BU259" s="399">
        <f t="shared" si="772"/>
        <v>0</v>
      </c>
      <c r="BV259" s="399">
        <f t="shared" si="773"/>
        <v>0</v>
      </c>
      <c r="BW259" s="483" t="str">
        <f t="shared" ca="1" si="725"/>
        <v/>
      </c>
      <c r="BX259" s="400">
        <f ca="1">IF(MAX(IF($E$6="No",ROUNDUP($E$3/$I259,0),ROUNDUP(($E$3+$I259)/$I259,0)),IF($E$6="No",ROUNDUP($E$4/$G259,0),ROUNDUP(($E$4+$G259)/$G259,0)),ROUNDUP('BVMS checklist'!$H$217/$J259,0))&gt;1,'BVMS checklist'!$N$224,'BVMS checklist'!$N$217)</f>
        <v>0</v>
      </c>
      <c r="BY259" s="398">
        <f t="shared" ca="1" si="726"/>
        <v>2</v>
      </c>
      <c r="BZ259" s="400">
        <f t="shared" ca="1" si="759"/>
        <v>2</v>
      </c>
      <c r="CA259" s="400">
        <f t="shared" ca="1" si="760"/>
        <v>2100</v>
      </c>
      <c r="CB259" s="400">
        <f t="shared" ca="1" si="734"/>
        <v>0</v>
      </c>
      <c r="CC259" s="398">
        <f t="shared" ca="1" si="761"/>
        <v>307340</v>
      </c>
      <c r="CD259" s="401" t="str">
        <f t="shared" ca="1" si="727"/>
        <v/>
      </c>
      <c r="CE259" s="398">
        <f t="shared" ca="1" si="762"/>
        <v>1600</v>
      </c>
      <c r="CF259" s="400">
        <f ca="1">IF(MAX(IF($E$6="No",ROUNDUP($E$3/$I259,0),ROUNDUP(($E$3+$I259)/$I259,0)),IF($E$6="No",ROUNDUP($E$4/$G259,0),ROUNDUP(($E$4+$G259)/$G259,0)),ROUNDUP('BVMS checklist'!$H$217/$J259,0))&gt;1,'BVMS checklist'!$N$224,'BVMS checklist'!$N$217)+MAX(IF($E$6="No",ROUNDUP($E$3/$I259,0),ROUNDUP(($E$3+$I259)/$I259,0)),IF($E$6="No",ROUNDUP($E$4/$G259,0),ROUNDUP(($E$4+$G259)/$G259,0)))+$E$5</f>
        <v>1</v>
      </c>
      <c r="CG259" s="400" t="b">
        <f t="shared" ca="1" si="708"/>
        <v>1</v>
      </c>
      <c r="CH259" s="400" t="str">
        <f t="shared" ca="1" si="763"/>
        <v>Accepted</v>
      </c>
      <c r="CI259" s="398" t="str">
        <f t="shared" ca="1" si="735"/>
        <v>No</v>
      </c>
      <c r="CJ259" s="398" t="str">
        <f t="shared" ca="1" si="764"/>
        <v/>
      </c>
      <c r="CK259" s="398" t="str">
        <f t="shared" ca="1" si="728"/>
        <v/>
      </c>
      <c r="CL259" s="398">
        <f t="shared" ca="1" si="729"/>
        <v>6</v>
      </c>
      <c r="CM259" s="398">
        <f t="shared" ca="1" si="765"/>
        <v>2</v>
      </c>
      <c r="CN259" s="398">
        <f t="shared" ca="1" si="766"/>
        <v>360</v>
      </c>
      <c r="CO259" s="398">
        <f t="shared" ca="1" si="767"/>
        <v>307340</v>
      </c>
      <c r="CP259" s="399">
        <f t="shared" si="774"/>
        <v>0</v>
      </c>
      <c r="CQ259" s="399">
        <f t="shared" si="775"/>
        <v>0</v>
      </c>
      <c r="CR259" s="483" t="str">
        <f t="shared" ca="1" si="730"/>
        <v/>
      </c>
      <c r="CS259"/>
    </row>
    <row r="260" spans="1:97">
      <c r="A260" s="398" t="s">
        <v>1022</v>
      </c>
      <c r="B260" s="398" t="s">
        <v>987</v>
      </c>
      <c r="C260" s="440" t="s">
        <v>891</v>
      </c>
      <c r="D260" s="398">
        <v>1</v>
      </c>
      <c r="E260" s="398">
        <v>5</v>
      </c>
      <c r="F260" s="440">
        <v>0</v>
      </c>
      <c r="G260" s="398">
        <f t="shared" si="809"/>
        <v>184404</v>
      </c>
      <c r="H260" s="399">
        <v>216</v>
      </c>
      <c r="I260" s="399">
        <v>1050</v>
      </c>
      <c r="J260" s="399">
        <v>800</v>
      </c>
      <c r="K260" s="399"/>
      <c r="L260" s="399"/>
      <c r="M260" s="400">
        <f ca="1">IF(MAX(IF($B$6="No",ROUNDUP($B$3/$I260,0),ROUNDUP(($B$3+$I260)/$I260,0)),IF($B$6="No",ROUNDUP($B$4/$G260,0),ROUNDUP(($B$4+$G260)/$G260,0)),ROUNDUP('BVMS checklist'!$H$217/$J260,0))&gt;1,'BVMS checklist'!$H$224,'BVMS checklist'!$H$217)</f>
        <v>0</v>
      </c>
      <c r="N260" s="398">
        <f t="shared" ca="1" si="709"/>
        <v>2</v>
      </c>
      <c r="O260" s="400">
        <f t="shared" ca="1" si="736"/>
        <v>2</v>
      </c>
      <c r="P260" s="400">
        <f t="shared" ca="1" si="700"/>
        <v>2100</v>
      </c>
      <c r="Q260" s="400">
        <f t="shared" ca="1" si="701"/>
        <v>0</v>
      </c>
      <c r="R260" s="398">
        <f t="shared" ca="1" si="702"/>
        <v>368808</v>
      </c>
      <c r="S260" s="401" t="str">
        <f t="shared" ca="1" si="710"/>
        <v/>
      </c>
      <c r="T260" s="398">
        <f t="shared" ca="1" si="711"/>
        <v>1600</v>
      </c>
      <c r="U260" s="400">
        <f ca="1">IF(MAX(IF($B$6="No",ROUNDUP($B$3/$I260,0),ROUNDUP(($B$3+$I260)/$I260,0)),IF($B$6="No",ROUNDUP($B$4/$G260,0),ROUNDUP(($B$4+$G260)/$G260,0)),ROUNDUP('BVMS checklist'!$H$217/$J260,0))&gt;1,'BVMS checklist'!$H$224,'BVMS checklist'!$H$217)+MAX(IF($B$6="No",ROUNDUP($B$3/$I260,0),ROUNDUP(($B$3+$I260)/$I260,0)),IF($B$6="No",ROUNDUP($B$4/$G260,0),ROUNDUP(($B$4+$G260)/$G260,0)))+$B$5</f>
        <v>1</v>
      </c>
      <c r="V260" s="400" t="b">
        <f t="shared" ca="1" si="703"/>
        <v>1</v>
      </c>
      <c r="W260" s="400" t="str">
        <f t="shared" ca="1" si="737"/>
        <v>Accepted</v>
      </c>
      <c r="X260" s="398" t="str">
        <f t="shared" ca="1" si="712"/>
        <v>No</v>
      </c>
      <c r="Y260" s="398" t="str">
        <f t="shared" ca="1" si="713"/>
        <v/>
      </c>
      <c r="Z260" s="398" t="str">
        <f t="shared" ca="1" si="714"/>
        <v/>
      </c>
      <c r="AA260" s="398">
        <f t="shared" ca="1" si="738"/>
        <v>6</v>
      </c>
      <c r="AB260" s="398">
        <f t="shared" ca="1" si="704"/>
        <v>2</v>
      </c>
      <c r="AC260" s="398">
        <f t="shared" ca="1" si="705"/>
        <v>432</v>
      </c>
      <c r="AD260" s="398">
        <f t="shared" ca="1" si="739"/>
        <v>368808</v>
      </c>
      <c r="AE260" s="399">
        <f t="shared" si="768"/>
        <v>0</v>
      </c>
      <c r="AF260" s="399">
        <f t="shared" si="769"/>
        <v>0</v>
      </c>
      <c r="AG260" s="483" t="str">
        <f t="shared" ca="1" si="715"/>
        <v/>
      </c>
      <c r="AH260" s="400">
        <f ca="1">IF(MAX(IF($C$6="No",ROUNDUP($C$3/$I260,0),ROUNDUP(($C$3+$I260)/$I260,0)),IF($C$6="No",ROUNDUP($C$4/$G260,0),ROUNDUP(($C$4+$G260)/$G260,0)),ROUNDUP('BVMS checklist'!$H$217/$J260,0))&gt;1,'BVMS checklist'!$J$224,'BVMS checklist'!$J$217)</f>
        <v>0</v>
      </c>
      <c r="AI260" s="398">
        <f t="shared" ca="1" si="716"/>
        <v>2</v>
      </c>
      <c r="AJ260" s="400">
        <f t="shared" ca="1" si="740"/>
        <v>2</v>
      </c>
      <c r="AK260" s="400">
        <f t="shared" ca="1" si="741"/>
        <v>2100</v>
      </c>
      <c r="AL260" s="400">
        <f t="shared" ca="1" si="742"/>
        <v>0</v>
      </c>
      <c r="AM260" s="398">
        <f t="shared" ca="1" si="743"/>
        <v>368808</v>
      </c>
      <c r="AN260" s="401" t="str">
        <f t="shared" ca="1" si="717"/>
        <v/>
      </c>
      <c r="AO260" s="398">
        <f t="shared" ca="1" si="744"/>
        <v>1600</v>
      </c>
      <c r="AP260" s="400">
        <f ca="1">IF(MAX(IF($C$6="No",ROUNDUP($C$3/$I260,0),ROUNDUP(($C$3+$I260)/$I260,0)),IF($C$6="No",ROUNDUP($C$4/$G260,0),ROUNDUP(($C$4+$G260)/$G260,0)),ROUNDUP('BVMS checklist'!$H$217/$J260,0))&gt;1,'BVMS checklist'!$J$224,'BVMS checklist'!$J$217)+MAX(IF($C$6="No",ROUNDUP($C$3/$I260,0),ROUNDUP(($C$3+$I260)/$I260,0)),IF($C$6="No",ROUNDUP($C$4/$G260,0),ROUNDUP(($C$4+$G260)/$G260,0)))+$C$5</f>
        <v>1</v>
      </c>
      <c r="AQ260" s="400" t="b">
        <f t="shared" ca="1" si="706"/>
        <v>1</v>
      </c>
      <c r="AR260" s="400" t="str">
        <f t="shared" ca="1" si="745"/>
        <v>Accepted</v>
      </c>
      <c r="AS260" s="398" t="str">
        <f t="shared" ca="1" si="731"/>
        <v>No</v>
      </c>
      <c r="AT260" s="398" t="str">
        <f t="shared" ca="1" si="746"/>
        <v/>
      </c>
      <c r="AU260" s="398" t="str">
        <f t="shared" ca="1" si="718"/>
        <v/>
      </c>
      <c r="AV260" s="398">
        <f t="shared" ca="1" si="719"/>
        <v>6</v>
      </c>
      <c r="AW260" s="398">
        <f t="shared" ca="1" si="747"/>
        <v>2</v>
      </c>
      <c r="AX260" s="398">
        <f t="shared" ca="1" si="748"/>
        <v>432</v>
      </c>
      <c r="AY260" s="398">
        <f t="shared" ca="1" si="749"/>
        <v>368808</v>
      </c>
      <c r="AZ260" s="399">
        <f t="shared" si="770"/>
        <v>0</v>
      </c>
      <c r="BA260" s="399">
        <f t="shared" si="771"/>
        <v>0</v>
      </c>
      <c r="BB260" s="483" t="str">
        <f t="shared" ca="1" si="720"/>
        <v/>
      </c>
      <c r="BC260" s="400">
        <f ca="1">IF(MAX(IF($D$6="No",ROUNDUP($D$3/$I260,0),ROUNDUP(($D$3+$I260)/$I260,0)),IF($D$6="No",ROUNDUP($D$4/$G260,0),ROUNDUP(($D$4+$G260)/$G260,0)),ROUNDUP('BVMS checklist'!$H$217/$J260,0))&gt;1,'BVMS checklist'!$L$224,'BVMS checklist'!$L$217)</f>
        <v>0</v>
      </c>
      <c r="BD260" s="398">
        <f t="shared" ca="1" si="721"/>
        <v>2</v>
      </c>
      <c r="BE260" s="400">
        <f t="shared" si="750"/>
        <v>1</v>
      </c>
      <c r="BF260" s="400">
        <f t="shared" si="751"/>
        <v>1050</v>
      </c>
      <c r="BG260" s="400">
        <f t="shared" ca="1" si="732"/>
        <v>0</v>
      </c>
      <c r="BH260" s="398">
        <f t="shared" ca="1" si="752"/>
        <v>368808</v>
      </c>
      <c r="BI260" s="401" t="str">
        <f t="shared" ca="1" si="722"/>
        <v/>
      </c>
      <c r="BJ260" s="398">
        <f t="shared" ca="1" si="753"/>
        <v>1600</v>
      </c>
      <c r="BK260" s="400">
        <f ca="1">IF(MAX(IF($D$6="No",ROUNDUP($D$3/$I260,0),ROUNDUP(($D$3+$I260)/$I260,0)),IF($D$6="No",ROUNDUP($D$4/$G260,0),ROUNDUP(($D$4+$G260)/$G260,0)),ROUNDUP('BVMS checklist'!$H$217/$J260,0))&gt;1,'BVMS checklist'!$L$224,'BVMS checklist'!$L$217)+MAX(IF($D$6="No",ROUNDUP($D$3/$I260,0),ROUNDUP(($D$3+$I260)/$I260,0)),IF($D$6="No",ROUNDUP($D$4/$G260,0),ROUNDUP(($D$4+$G260)/$G260,0)))+$D$5</f>
        <v>1</v>
      </c>
      <c r="BL260" s="400" t="b">
        <f t="shared" ca="1" si="707"/>
        <v>1</v>
      </c>
      <c r="BM260" s="400" t="str">
        <f t="shared" ca="1" si="754"/>
        <v>Accepted</v>
      </c>
      <c r="BN260" s="398" t="str">
        <f t="shared" ca="1" si="733"/>
        <v>No</v>
      </c>
      <c r="BO260" s="398" t="str">
        <f t="shared" ca="1" si="755"/>
        <v/>
      </c>
      <c r="BP260" s="398" t="str">
        <f t="shared" ca="1" si="723"/>
        <v/>
      </c>
      <c r="BQ260" s="398">
        <f t="shared" ca="1" si="724"/>
        <v>6</v>
      </c>
      <c r="BR260" s="398">
        <f t="shared" ca="1" si="756"/>
        <v>2</v>
      </c>
      <c r="BS260" s="398">
        <f t="shared" ca="1" si="757"/>
        <v>432</v>
      </c>
      <c r="BT260" s="398">
        <f t="shared" ca="1" si="758"/>
        <v>368808</v>
      </c>
      <c r="BU260" s="399">
        <f t="shared" si="772"/>
        <v>0</v>
      </c>
      <c r="BV260" s="399">
        <f t="shared" si="773"/>
        <v>0</v>
      </c>
      <c r="BW260" s="483" t="str">
        <f t="shared" ca="1" si="725"/>
        <v/>
      </c>
      <c r="BX260" s="400">
        <f ca="1">IF(MAX(IF($E$6="No",ROUNDUP($E$3/$I260,0),ROUNDUP(($E$3+$I260)/$I260,0)),IF($E$6="No",ROUNDUP($E$4/$G260,0),ROUNDUP(($E$4+$G260)/$G260,0)),ROUNDUP('BVMS checklist'!$H$217/$J260,0))&gt;1,'BVMS checklist'!$N$224,'BVMS checklist'!$N$217)</f>
        <v>0</v>
      </c>
      <c r="BY260" s="398">
        <f t="shared" ca="1" si="726"/>
        <v>2</v>
      </c>
      <c r="BZ260" s="400">
        <f t="shared" ca="1" si="759"/>
        <v>2</v>
      </c>
      <c r="CA260" s="400">
        <f t="shared" ca="1" si="760"/>
        <v>2100</v>
      </c>
      <c r="CB260" s="400">
        <f t="shared" ca="1" si="734"/>
        <v>0</v>
      </c>
      <c r="CC260" s="398">
        <f t="shared" ca="1" si="761"/>
        <v>368808</v>
      </c>
      <c r="CD260" s="401" t="str">
        <f t="shared" ca="1" si="727"/>
        <v/>
      </c>
      <c r="CE260" s="398">
        <f t="shared" ca="1" si="762"/>
        <v>1600</v>
      </c>
      <c r="CF260" s="400">
        <f ca="1">IF(MAX(IF($E$6="No",ROUNDUP($E$3/$I260,0),ROUNDUP(($E$3+$I260)/$I260,0)),IF($E$6="No",ROUNDUP($E$4/$G260,0),ROUNDUP(($E$4+$G260)/$G260,0)),ROUNDUP('BVMS checklist'!$H$217/$J260,0))&gt;1,'BVMS checklist'!$N$224,'BVMS checklist'!$N$217)+MAX(IF($E$6="No",ROUNDUP($E$3/$I260,0),ROUNDUP(($E$3+$I260)/$I260,0)),IF($E$6="No",ROUNDUP($E$4/$G260,0),ROUNDUP(($E$4+$G260)/$G260,0)))+$E$5</f>
        <v>1</v>
      </c>
      <c r="CG260" s="400" t="b">
        <f t="shared" ca="1" si="708"/>
        <v>1</v>
      </c>
      <c r="CH260" s="400" t="str">
        <f t="shared" ca="1" si="763"/>
        <v>Accepted</v>
      </c>
      <c r="CI260" s="398" t="str">
        <f t="shared" ca="1" si="735"/>
        <v>No</v>
      </c>
      <c r="CJ260" s="398" t="str">
        <f t="shared" ca="1" si="764"/>
        <v/>
      </c>
      <c r="CK260" s="398" t="str">
        <f t="shared" ca="1" si="728"/>
        <v/>
      </c>
      <c r="CL260" s="398">
        <f t="shared" ca="1" si="729"/>
        <v>6</v>
      </c>
      <c r="CM260" s="398">
        <f t="shared" ca="1" si="765"/>
        <v>2</v>
      </c>
      <c r="CN260" s="398">
        <f t="shared" ca="1" si="766"/>
        <v>432</v>
      </c>
      <c r="CO260" s="398">
        <f t="shared" ca="1" si="767"/>
        <v>368808</v>
      </c>
      <c r="CP260" s="399">
        <f t="shared" si="774"/>
        <v>0</v>
      </c>
      <c r="CQ260" s="399">
        <f t="shared" si="775"/>
        <v>0</v>
      </c>
      <c r="CR260" s="483" t="str">
        <f t="shared" ca="1" si="730"/>
        <v/>
      </c>
      <c r="CS260"/>
    </row>
    <row r="261" spans="1:97">
      <c r="A261" s="398" t="s">
        <v>1023</v>
      </c>
      <c r="B261" s="398" t="s">
        <v>987</v>
      </c>
      <c r="C261" s="440" t="s">
        <v>891</v>
      </c>
      <c r="D261" s="398">
        <v>1</v>
      </c>
      <c r="E261" s="398">
        <v>6</v>
      </c>
      <c r="F261" s="440">
        <v>0</v>
      </c>
      <c r="G261" s="398">
        <f t="shared" si="809"/>
        <v>215138</v>
      </c>
      <c r="H261" s="399">
        <v>252</v>
      </c>
      <c r="I261" s="399">
        <v>1050</v>
      </c>
      <c r="J261" s="399">
        <v>800</v>
      </c>
      <c r="K261" s="399"/>
      <c r="L261" s="399"/>
      <c r="M261" s="400">
        <f ca="1">IF(MAX(IF($B$6="No",ROUNDUP($B$3/$I261,0),ROUNDUP(($B$3+$I261)/$I261,0)),IF($B$6="No",ROUNDUP($B$4/$G261,0),ROUNDUP(($B$4+$G261)/$G261,0)),ROUNDUP('BVMS checklist'!$H$217/$J261,0))&gt;1,'BVMS checklist'!$H$224,'BVMS checklist'!$H$217)</f>
        <v>0</v>
      </c>
      <c r="N261" s="398">
        <f t="shared" ca="1" si="709"/>
        <v>2</v>
      </c>
      <c r="O261" s="400">
        <f t="shared" ca="1" si="736"/>
        <v>2</v>
      </c>
      <c r="P261" s="400">
        <f t="shared" ca="1" si="700"/>
        <v>2100</v>
      </c>
      <c r="Q261" s="400">
        <f t="shared" ca="1" si="701"/>
        <v>0</v>
      </c>
      <c r="R261" s="398">
        <f t="shared" ca="1" si="702"/>
        <v>430276</v>
      </c>
      <c r="S261" s="401" t="str">
        <f t="shared" ca="1" si="710"/>
        <v/>
      </c>
      <c r="T261" s="398">
        <f t="shared" ca="1" si="711"/>
        <v>1600</v>
      </c>
      <c r="U261" s="400">
        <f ca="1">IF(MAX(IF($B$6="No",ROUNDUP($B$3/$I261,0),ROUNDUP(($B$3+$I261)/$I261,0)),IF($B$6="No",ROUNDUP($B$4/$G261,0),ROUNDUP(($B$4+$G261)/$G261,0)),ROUNDUP('BVMS checklist'!$H$217/$J261,0))&gt;1,'BVMS checklist'!$H$224,'BVMS checklist'!$H$217)+MAX(IF($B$6="No",ROUNDUP($B$3/$I261,0),ROUNDUP(($B$3+$I261)/$I261,0)),IF($B$6="No",ROUNDUP($B$4/$G261,0),ROUNDUP(($B$4+$G261)/$G261,0)))+$B$5</f>
        <v>1</v>
      </c>
      <c r="V261" s="400" t="b">
        <f t="shared" ca="1" si="703"/>
        <v>1</v>
      </c>
      <c r="W261" s="400" t="str">
        <f t="shared" ca="1" si="737"/>
        <v>Accepted</v>
      </c>
      <c r="X261" s="398" t="str">
        <f t="shared" ca="1" si="712"/>
        <v>No</v>
      </c>
      <c r="Y261" s="398" t="str">
        <f t="shared" ca="1" si="713"/>
        <v/>
      </c>
      <c r="Z261" s="398" t="str">
        <f t="shared" ca="1" si="714"/>
        <v/>
      </c>
      <c r="AA261" s="398">
        <f t="shared" ca="1" si="738"/>
        <v>6</v>
      </c>
      <c r="AB261" s="398">
        <f t="shared" ca="1" si="704"/>
        <v>2</v>
      </c>
      <c r="AC261" s="398">
        <f t="shared" ca="1" si="705"/>
        <v>504</v>
      </c>
      <c r="AD261" s="398">
        <f t="shared" ca="1" si="739"/>
        <v>430276</v>
      </c>
      <c r="AE261" s="399">
        <f t="shared" si="768"/>
        <v>0</v>
      </c>
      <c r="AF261" s="399">
        <f t="shared" si="769"/>
        <v>0</v>
      </c>
      <c r="AG261" s="483" t="str">
        <f t="shared" ca="1" si="715"/>
        <v/>
      </c>
      <c r="AH261" s="400">
        <f ca="1">IF(MAX(IF($C$6="No",ROUNDUP($C$3/$I261,0),ROUNDUP(($C$3+$I261)/$I261,0)),IF($C$6="No",ROUNDUP($C$4/$G261,0),ROUNDUP(($C$4+$G261)/$G261,0)),ROUNDUP('BVMS checklist'!$H$217/$J261,0))&gt;1,'BVMS checklist'!$J$224,'BVMS checklist'!$J$217)</f>
        <v>0</v>
      </c>
      <c r="AI261" s="398">
        <f t="shared" ca="1" si="716"/>
        <v>2</v>
      </c>
      <c r="AJ261" s="400">
        <f t="shared" ca="1" si="740"/>
        <v>2</v>
      </c>
      <c r="AK261" s="400">
        <f t="shared" ca="1" si="741"/>
        <v>2100</v>
      </c>
      <c r="AL261" s="400">
        <f t="shared" ca="1" si="742"/>
        <v>0</v>
      </c>
      <c r="AM261" s="398">
        <f t="shared" ca="1" si="743"/>
        <v>430276</v>
      </c>
      <c r="AN261" s="401" t="str">
        <f t="shared" ca="1" si="717"/>
        <v/>
      </c>
      <c r="AO261" s="398">
        <f t="shared" ca="1" si="744"/>
        <v>1600</v>
      </c>
      <c r="AP261" s="400">
        <f ca="1">IF(MAX(IF($C$6="No",ROUNDUP($C$3/$I261,0),ROUNDUP(($C$3+$I261)/$I261,0)),IF($C$6="No",ROUNDUP($C$4/$G261,0),ROUNDUP(($C$4+$G261)/$G261,0)),ROUNDUP('BVMS checklist'!$H$217/$J261,0))&gt;1,'BVMS checklist'!$J$224,'BVMS checklist'!$J$217)+MAX(IF($C$6="No",ROUNDUP($C$3/$I261,0),ROUNDUP(($C$3+$I261)/$I261,0)),IF($C$6="No",ROUNDUP($C$4/$G261,0),ROUNDUP(($C$4+$G261)/$G261,0)))+$C$5</f>
        <v>1</v>
      </c>
      <c r="AQ261" s="400" t="b">
        <f t="shared" ca="1" si="706"/>
        <v>1</v>
      </c>
      <c r="AR261" s="400" t="str">
        <f t="shared" ca="1" si="745"/>
        <v>Accepted</v>
      </c>
      <c r="AS261" s="398" t="str">
        <f t="shared" ca="1" si="731"/>
        <v>No</v>
      </c>
      <c r="AT261" s="398" t="str">
        <f t="shared" ca="1" si="746"/>
        <v/>
      </c>
      <c r="AU261" s="398" t="str">
        <f t="shared" ca="1" si="718"/>
        <v/>
      </c>
      <c r="AV261" s="398">
        <f t="shared" ca="1" si="719"/>
        <v>6</v>
      </c>
      <c r="AW261" s="398">
        <f t="shared" ca="1" si="747"/>
        <v>2</v>
      </c>
      <c r="AX261" s="398">
        <f t="shared" ca="1" si="748"/>
        <v>504</v>
      </c>
      <c r="AY261" s="398">
        <f t="shared" ca="1" si="749"/>
        <v>430276</v>
      </c>
      <c r="AZ261" s="399">
        <f t="shared" si="770"/>
        <v>0</v>
      </c>
      <c r="BA261" s="399">
        <f t="shared" si="771"/>
        <v>0</v>
      </c>
      <c r="BB261" s="483" t="str">
        <f t="shared" ca="1" si="720"/>
        <v/>
      </c>
      <c r="BC261" s="400">
        <f ca="1">IF(MAX(IF($D$6="No",ROUNDUP($D$3/$I261,0),ROUNDUP(($D$3+$I261)/$I261,0)),IF($D$6="No",ROUNDUP($D$4/$G261,0),ROUNDUP(($D$4+$G261)/$G261,0)),ROUNDUP('BVMS checklist'!$H$217/$J261,0))&gt;1,'BVMS checklist'!$L$224,'BVMS checklist'!$L$217)</f>
        <v>0</v>
      </c>
      <c r="BD261" s="398">
        <f t="shared" ca="1" si="721"/>
        <v>2</v>
      </c>
      <c r="BE261" s="400">
        <f t="shared" si="750"/>
        <v>1</v>
      </c>
      <c r="BF261" s="400">
        <f t="shared" si="751"/>
        <v>1050</v>
      </c>
      <c r="BG261" s="400">
        <f t="shared" ca="1" si="732"/>
        <v>0</v>
      </c>
      <c r="BH261" s="398">
        <f t="shared" ca="1" si="752"/>
        <v>430276</v>
      </c>
      <c r="BI261" s="401" t="str">
        <f t="shared" ca="1" si="722"/>
        <v/>
      </c>
      <c r="BJ261" s="398">
        <f t="shared" ca="1" si="753"/>
        <v>1600</v>
      </c>
      <c r="BK261" s="400">
        <f ca="1">IF(MAX(IF($D$6="No",ROUNDUP($D$3/$I261,0),ROUNDUP(($D$3+$I261)/$I261,0)),IF($D$6="No",ROUNDUP($D$4/$G261,0),ROUNDUP(($D$4+$G261)/$G261,0)),ROUNDUP('BVMS checklist'!$H$217/$J261,0))&gt;1,'BVMS checklist'!$L$224,'BVMS checklist'!$L$217)+MAX(IF($D$6="No",ROUNDUP($D$3/$I261,0),ROUNDUP(($D$3+$I261)/$I261,0)),IF($D$6="No",ROUNDUP($D$4/$G261,0),ROUNDUP(($D$4+$G261)/$G261,0)))+$D$5</f>
        <v>1</v>
      </c>
      <c r="BL261" s="400" t="b">
        <f t="shared" ca="1" si="707"/>
        <v>1</v>
      </c>
      <c r="BM261" s="400" t="str">
        <f t="shared" ca="1" si="754"/>
        <v>Accepted</v>
      </c>
      <c r="BN261" s="398" t="str">
        <f t="shared" ca="1" si="733"/>
        <v>No</v>
      </c>
      <c r="BO261" s="398" t="str">
        <f t="shared" ca="1" si="755"/>
        <v/>
      </c>
      <c r="BP261" s="398" t="str">
        <f t="shared" ca="1" si="723"/>
        <v/>
      </c>
      <c r="BQ261" s="398">
        <f t="shared" ca="1" si="724"/>
        <v>6</v>
      </c>
      <c r="BR261" s="398">
        <f t="shared" ca="1" si="756"/>
        <v>2</v>
      </c>
      <c r="BS261" s="398">
        <f t="shared" ca="1" si="757"/>
        <v>504</v>
      </c>
      <c r="BT261" s="398">
        <f t="shared" ca="1" si="758"/>
        <v>430276</v>
      </c>
      <c r="BU261" s="399">
        <f t="shared" si="772"/>
        <v>0</v>
      </c>
      <c r="BV261" s="399">
        <f t="shared" si="773"/>
        <v>0</v>
      </c>
      <c r="BW261" s="483" t="str">
        <f t="shared" ca="1" si="725"/>
        <v/>
      </c>
      <c r="BX261" s="400">
        <f ca="1">IF(MAX(IF($E$6="No",ROUNDUP($E$3/$I261,0),ROUNDUP(($E$3+$I261)/$I261,0)),IF($E$6="No",ROUNDUP($E$4/$G261,0),ROUNDUP(($E$4+$G261)/$G261,0)),ROUNDUP('BVMS checklist'!$H$217/$J261,0))&gt;1,'BVMS checklist'!$N$224,'BVMS checklist'!$N$217)</f>
        <v>0</v>
      </c>
      <c r="BY261" s="398">
        <f t="shared" ca="1" si="726"/>
        <v>2</v>
      </c>
      <c r="BZ261" s="400">
        <f t="shared" ca="1" si="759"/>
        <v>2</v>
      </c>
      <c r="CA261" s="400">
        <f t="shared" ca="1" si="760"/>
        <v>2100</v>
      </c>
      <c r="CB261" s="400">
        <f t="shared" ca="1" si="734"/>
        <v>0</v>
      </c>
      <c r="CC261" s="398">
        <f t="shared" ca="1" si="761"/>
        <v>430276</v>
      </c>
      <c r="CD261" s="401" t="str">
        <f t="shared" ca="1" si="727"/>
        <v/>
      </c>
      <c r="CE261" s="398">
        <f t="shared" ca="1" si="762"/>
        <v>1600</v>
      </c>
      <c r="CF261" s="400">
        <f ca="1">IF(MAX(IF($E$6="No",ROUNDUP($E$3/$I261,0),ROUNDUP(($E$3+$I261)/$I261,0)),IF($E$6="No",ROUNDUP($E$4/$G261,0),ROUNDUP(($E$4+$G261)/$G261,0)),ROUNDUP('BVMS checklist'!$H$217/$J261,0))&gt;1,'BVMS checklist'!$N$224,'BVMS checklist'!$N$217)+MAX(IF($E$6="No",ROUNDUP($E$3/$I261,0),ROUNDUP(($E$3+$I261)/$I261,0)),IF($E$6="No",ROUNDUP($E$4/$G261,0),ROUNDUP(($E$4+$G261)/$G261,0)))+$E$5</f>
        <v>1</v>
      </c>
      <c r="CG261" s="400" t="b">
        <f t="shared" ca="1" si="708"/>
        <v>1</v>
      </c>
      <c r="CH261" s="400" t="str">
        <f t="shared" ca="1" si="763"/>
        <v>Accepted</v>
      </c>
      <c r="CI261" s="398" t="str">
        <f t="shared" ca="1" si="735"/>
        <v>No</v>
      </c>
      <c r="CJ261" s="398" t="str">
        <f t="shared" ca="1" si="764"/>
        <v/>
      </c>
      <c r="CK261" s="398" t="str">
        <f t="shared" ca="1" si="728"/>
        <v/>
      </c>
      <c r="CL261" s="398">
        <f t="shared" ca="1" si="729"/>
        <v>6</v>
      </c>
      <c r="CM261" s="398">
        <f t="shared" ca="1" si="765"/>
        <v>2</v>
      </c>
      <c r="CN261" s="398">
        <f t="shared" ca="1" si="766"/>
        <v>504</v>
      </c>
      <c r="CO261" s="398">
        <f t="shared" ca="1" si="767"/>
        <v>430276</v>
      </c>
      <c r="CP261" s="399">
        <f t="shared" si="774"/>
        <v>0</v>
      </c>
      <c r="CQ261" s="399">
        <f t="shared" si="775"/>
        <v>0</v>
      </c>
      <c r="CR261" s="483" t="str">
        <f t="shared" ca="1" si="730"/>
        <v/>
      </c>
      <c r="CS261"/>
    </row>
    <row r="262" spans="1:97">
      <c r="A262" s="398" t="s">
        <v>1024</v>
      </c>
      <c r="B262" s="398" t="s">
        <v>987</v>
      </c>
      <c r="C262" s="440" t="s">
        <v>891</v>
      </c>
      <c r="D262" s="398">
        <v>1</v>
      </c>
      <c r="E262" s="398">
        <v>7</v>
      </c>
      <c r="F262" s="440">
        <v>0</v>
      </c>
      <c r="G262" s="398">
        <f t="shared" si="809"/>
        <v>245872</v>
      </c>
      <c r="H262" s="399">
        <v>288</v>
      </c>
      <c r="I262" s="399">
        <v>1050</v>
      </c>
      <c r="J262" s="399">
        <v>800</v>
      </c>
      <c r="K262" s="399"/>
      <c r="L262" s="399"/>
      <c r="M262" s="400">
        <f ca="1">IF(MAX(IF($B$6="No",ROUNDUP($B$3/$I262,0),ROUNDUP(($B$3+$I262)/$I262,0)),IF($B$6="No",ROUNDUP($B$4/$G262,0),ROUNDUP(($B$4+$G262)/$G262,0)),ROUNDUP('BVMS checklist'!$H$217/$J262,0))&gt;1,'BVMS checklist'!$H$224,'BVMS checklist'!$H$217)</f>
        <v>0</v>
      </c>
      <c r="N262" s="398">
        <f t="shared" ca="1" si="709"/>
        <v>2</v>
      </c>
      <c r="O262" s="400">
        <f t="shared" ca="1" si="736"/>
        <v>2</v>
      </c>
      <c r="P262" s="400">
        <f t="shared" ca="1" si="700"/>
        <v>2100</v>
      </c>
      <c r="Q262" s="400">
        <f t="shared" ca="1" si="701"/>
        <v>0</v>
      </c>
      <c r="R262" s="398">
        <f t="shared" ca="1" si="702"/>
        <v>491744</v>
      </c>
      <c r="S262" s="401" t="str">
        <f t="shared" ca="1" si="710"/>
        <v/>
      </c>
      <c r="T262" s="398">
        <f t="shared" ca="1" si="711"/>
        <v>1600</v>
      </c>
      <c r="U262" s="400">
        <f ca="1">IF(MAX(IF($B$6="No",ROUNDUP($B$3/$I262,0),ROUNDUP(($B$3+$I262)/$I262,0)),IF($B$6="No",ROUNDUP($B$4/$G262,0),ROUNDUP(($B$4+$G262)/$G262,0)),ROUNDUP('BVMS checklist'!$H$217/$J262,0))&gt;1,'BVMS checklist'!$H$224,'BVMS checklist'!$H$217)+MAX(IF($B$6="No",ROUNDUP($B$3/$I262,0),ROUNDUP(($B$3+$I262)/$I262,0)),IF($B$6="No",ROUNDUP($B$4/$G262,0),ROUNDUP(($B$4+$G262)/$G262,0)))+$B$5</f>
        <v>1</v>
      </c>
      <c r="V262" s="400" t="b">
        <f t="shared" ca="1" si="703"/>
        <v>1</v>
      </c>
      <c r="W262" s="400" t="str">
        <f t="shared" ca="1" si="737"/>
        <v>Accepted</v>
      </c>
      <c r="X262" s="398" t="str">
        <f t="shared" ca="1" si="712"/>
        <v>No</v>
      </c>
      <c r="Y262" s="398" t="str">
        <f t="shared" ca="1" si="713"/>
        <v/>
      </c>
      <c r="Z262" s="398" t="str">
        <f t="shared" ca="1" si="714"/>
        <v/>
      </c>
      <c r="AA262" s="398">
        <f t="shared" ca="1" si="738"/>
        <v>6</v>
      </c>
      <c r="AB262" s="398">
        <f t="shared" ca="1" si="704"/>
        <v>2</v>
      </c>
      <c r="AC262" s="398">
        <f t="shared" ca="1" si="705"/>
        <v>576</v>
      </c>
      <c r="AD262" s="398">
        <f t="shared" ca="1" si="739"/>
        <v>491744</v>
      </c>
      <c r="AE262" s="399">
        <f t="shared" si="768"/>
        <v>0</v>
      </c>
      <c r="AF262" s="399">
        <f t="shared" si="769"/>
        <v>0</v>
      </c>
      <c r="AG262" s="483" t="str">
        <f t="shared" ca="1" si="715"/>
        <v/>
      </c>
      <c r="AH262" s="400">
        <f ca="1">IF(MAX(IF($C$6="No",ROUNDUP($C$3/$I262,0),ROUNDUP(($C$3+$I262)/$I262,0)),IF($C$6="No",ROUNDUP($C$4/$G262,0),ROUNDUP(($C$4+$G262)/$G262,0)),ROUNDUP('BVMS checklist'!$H$217/$J262,0))&gt;1,'BVMS checklist'!$J$224,'BVMS checklist'!$J$217)</f>
        <v>0</v>
      </c>
      <c r="AI262" s="398">
        <f t="shared" ca="1" si="716"/>
        <v>2</v>
      </c>
      <c r="AJ262" s="400">
        <f t="shared" ca="1" si="740"/>
        <v>2</v>
      </c>
      <c r="AK262" s="400">
        <f t="shared" ca="1" si="741"/>
        <v>2100</v>
      </c>
      <c r="AL262" s="400">
        <f t="shared" ca="1" si="742"/>
        <v>0</v>
      </c>
      <c r="AM262" s="398">
        <f t="shared" ca="1" si="743"/>
        <v>491744</v>
      </c>
      <c r="AN262" s="401" t="str">
        <f t="shared" ca="1" si="717"/>
        <v/>
      </c>
      <c r="AO262" s="398">
        <f t="shared" ca="1" si="744"/>
        <v>1600</v>
      </c>
      <c r="AP262" s="400">
        <f ca="1">IF(MAX(IF($C$6="No",ROUNDUP($C$3/$I262,0),ROUNDUP(($C$3+$I262)/$I262,0)),IF($C$6="No",ROUNDUP($C$4/$G262,0),ROUNDUP(($C$4+$G262)/$G262,0)),ROUNDUP('BVMS checklist'!$H$217/$J262,0))&gt;1,'BVMS checklist'!$J$224,'BVMS checklist'!$J$217)+MAX(IF($C$6="No",ROUNDUP($C$3/$I262,0),ROUNDUP(($C$3+$I262)/$I262,0)),IF($C$6="No",ROUNDUP($C$4/$G262,0),ROUNDUP(($C$4+$G262)/$G262,0)))+$C$5</f>
        <v>1</v>
      </c>
      <c r="AQ262" s="400" t="b">
        <f t="shared" ca="1" si="706"/>
        <v>1</v>
      </c>
      <c r="AR262" s="400" t="str">
        <f t="shared" ca="1" si="745"/>
        <v>Accepted</v>
      </c>
      <c r="AS262" s="398" t="str">
        <f t="shared" ca="1" si="731"/>
        <v>No</v>
      </c>
      <c r="AT262" s="398" t="str">
        <f t="shared" ca="1" si="746"/>
        <v/>
      </c>
      <c r="AU262" s="398" t="str">
        <f t="shared" ca="1" si="718"/>
        <v/>
      </c>
      <c r="AV262" s="398">
        <f t="shared" ca="1" si="719"/>
        <v>6</v>
      </c>
      <c r="AW262" s="398">
        <f t="shared" ca="1" si="747"/>
        <v>2</v>
      </c>
      <c r="AX262" s="398">
        <f t="shared" ca="1" si="748"/>
        <v>576</v>
      </c>
      <c r="AY262" s="398">
        <f t="shared" ca="1" si="749"/>
        <v>491744</v>
      </c>
      <c r="AZ262" s="399">
        <f t="shared" si="770"/>
        <v>0</v>
      </c>
      <c r="BA262" s="399">
        <f t="shared" si="771"/>
        <v>0</v>
      </c>
      <c r="BB262" s="483" t="str">
        <f t="shared" ca="1" si="720"/>
        <v/>
      </c>
      <c r="BC262" s="400">
        <f ca="1">IF(MAX(IF($D$6="No",ROUNDUP($D$3/$I262,0),ROUNDUP(($D$3+$I262)/$I262,0)),IF($D$6="No",ROUNDUP($D$4/$G262,0),ROUNDUP(($D$4+$G262)/$G262,0)),ROUNDUP('BVMS checklist'!$H$217/$J262,0))&gt;1,'BVMS checklist'!$L$224,'BVMS checklist'!$L$217)</f>
        <v>0</v>
      </c>
      <c r="BD262" s="398">
        <f t="shared" ca="1" si="721"/>
        <v>2</v>
      </c>
      <c r="BE262" s="400">
        <f t="shared" si="750"/>
        <v>1</v>
      </c>
      <c r="BF262" s="400">
        <f t="shared" si="751"/>
        <v>1050</v>
      </c>
      <c r="BG262" s="400">
        <f t="shared" ca="1" si="732"/>
        <v>0</v>
      </c>
      <c r="BH262" s="398">
        <f t="shared" ca="1" si="752"/>
        <v>491744</v>
      </c>
      <c r="BI262" s="401" t="str">
        <f t="shared" ca="1" si="722"/>
        <v/>
      </c>
      <c r="BJ262" s="398">
        <f t="shared" ca="1" si="753"/>
        <v>1600</v>
      </c>
      <c r="BK262" s="400">
        <f ca="1">IF(MAX(IF($D$6="No",ROUNDUP($D$3/$I262,0),ROUNDUP(($D$3+$I262)/$I262,0)),IF($D$6="No",ROUNDUP($D$4/$G262,0),ROUNDUP(($D$4+$G262)/$G262,0)),ROUNDUP('BVMS checklist'!$H$217/$J262,0))&gt;1,'BVMS checklist'!$L$224,'BVMS checklist'!$L$217)+MAX(IF($D$6="No",ROUNDUP($D$3/$I262,0),ROUNDUP(($D$3+$I262)/$I262,0)),IF($D$6="No",ROUNDUP($D$4/$G262,0),ROUNDUP(($D$4+$G262)/$G262,0)))+$D$5</f>
        <v>1</v>
      </c>
      <c r="BL262" s="400" t="b">
        <f t="shared" ca="1" si="707"/>
        <v>1</v>
      </c>
      <c r="BM262" s="400" t="str">
        <f t="shared" ca="1" si="754"/>
        <v>Accepted</v>
      </c>
      <c r="BN262" s="398" t="str">
        <f t="shared" ca="1" si="733"/>
        <v>No</v>
      </c>
      <c r="BO262" s="398" t="str">
        <f t="shared" ca="1" si="755"/>
        <v/>
      </c>
      <c r="BP262" s="398" t="str">
        <f t="shared" ca="1" si="723"/>
        <v/>
      </c>
      <c r="BQ262" s="398">
        <f t="shared" ca="1" si="724"/>
        <v>6</v>
      </c>
      <c r="BR262" s="398">
        <f t="shared" ca="1" si="756"/>
        <v>2</v>
      </c>
      <c r="BS262" s="398">
        <f t="shared" ca="1" si="757"/>
        <v>576</v>
      </c>
      <c r="BT262" s="398">
        <f t="shared" ca="1" si="758"/>
        <v>491744</v>
      </c>
      <c r="BU262" s="399">
        <f t="shared" si="772"/>
        <v>0</v>
      </c>
      <c r="BV262" s="399">
        <f t="shared" si="773"/>
        <v>0</v>
      </c>
      <c r="BW262" s="483" t="str">
        <f t="shared" ca="1" si="725"/>
        <v/>
      </c>
      <c r="BX262" s="400">
        <f ca="1">IF(MAX(IF($E$6="No",ROUNDUP($E$3/$I262,0),ROUNDUP(($E$3+$I262)/$I262,0)),IF($E$6="No",ROUNDUP($E$4/$G262,0),ROUNDUP(($E$4+$G262)/$G262,0)),ROUNDUP('BVMS checklist'!$H$217/$J262,0))&gt;1,'BVMS checklist'!$N$224,'BVMS checklist'!$N$217)</f>
        <v>0</v>
      </c>
      <c r="BY262" s="398">
        <f t="shared" ca="1" si="726"/>
        <v>2</v>
      </c>
      <c r="BZ262" s="400">
        <f t="shared" ca="1" si="759"/>
        <v>2</v>
      </c>
      <c r="CA262" s="400">
        <f t="shared" ca="1" si="760"/>
        <v>2100</v>
      </c>
      <c r="CB262" s="400">
        <f t="shared" ca="1" si="734"/>
        <v>0</v>
      </c>
      <c r="CC262" s="398">
        <f t="shared" ca="1" si="761"/>
        <v>491744</v>
      </c>
      <c r="CD262" s="401" t="str">
        <f t="shared" ca="1" si="727"/>
        <v/>
      </c>
      <c r="CE262" s="398">
        <f t="shared" ca="1" si="762"/>
        <v>1600</v>
      </c>
      <c r="CF262" s="400">
        <f ca="1">IF(MAX(IF($E$6="No",ROUNDUP($E$3/$I262,0),ROUNDUP(($E$3+$I262)/$I262,0)),IF($E$6="No",ROUNDUP($E$4/$G262,0),ROUNDUP(($E$4+$G262)/$G262,0)),ROUNDUP('BVMS checklist'!$H$217/$J262,0))&gt;1,'BVMS checklist'!$N$224,'BVMS checklist'!$N$217)+MAX(IF($E$6="No",ROUNDUP($E$3/$I262,0),ROUNDUP(($E$3+$I262)/$I262,0)),IF($E$6="No",ROUNDUP($E$4/$G262,0),ROUNDUP(($E$4+$G262)/$G262,0)))+$E$5</f>
        <v>1</v>
      </c>
      <c r="CG262" s="400" t="b">
        <f t="shared" ca="1" si="708"/>
        <v>1</v>
      </c>
      <c r="CH262" s="400" t="str">
        <f t="shared" ca="1" si="763"/>
        <v>Accepted</v>
      </c>
      <c r="CI262" s="398" t="str">
        <f t="shared" ca="1" si="735"/>
        <v>No</v>
      </c>
      <c r="CJ262" s="398" t="str">
        <f t="shared" ca="1" si="764"/>
        <v/>
      </c>
      <c r="CK262" s="398" t="str">
        <f t="shared" ca="1" si="728"/>
        <v/>
      </c>
      <c r="CL262" s="398">
        <f t="shared" ca="1" si="729"/>
        <v>6</v>
      </c>
      <c r="CM262" s="398">
        <f t="shared" ca="1" si="765"/>
        <v>2</v>
      </c>
      <c r="CN262" s="398">
        <f t="shared" ca="1" si="766"/>
        <v>576</v>
      </c>
      <c r="CO262" s="398">
        <f t="shared" ca="1" si="767"/>
        <v>491744</v>
      </c>
      <c r="CP262" s="399">
        <f t="shared" si="774"/>
        <v>0</v>
      </c>
      <c r="CQ262" s="399">
        <f t="shared" si="775"/>
        <v>0</v>
      </c>
      <c r="CR262" s="483" t="str">
        <f t="shared" ca="1" si="730"/>
        <v/>
      </c>
      <c r="CS262"/>
    </row>
    <row r="263" spans="1:97">
      <c r="A263" s="398" t="s">
        <v>197</v>
      </c>
      <c r="B263" s="398" t="s">
        <v>987</v>
      </c>
      <c r="C263" s="440" t="s">
        <v>891</v>
      </c>
      <c r="D263" s="398">
        <v>1</v>
      </c>
      <c r="E263" s="398">
        <v>0</v>
      </c>
      <c r="F263" s="440">
        <v>0</v>
      </c>
      <c r="G263" s="398">
        <f>IF(C263="RAID5",(11-F263)*3725,(10-F263)*3725)</f>
        <v>40975</v>
      </c>
      <c r="H263" s="399">
        <v>48</v>
      </c>
      <c r="I263" s="399">
        <v>650</v>
      </c>
      <c r="J263" s="399">
        <v>800</v>
      </c>
      <c r="K263" s="399"/>
      <c r="L263" s="399"/>
      <c r="M263" s="400">
        <f ca="1">IF(MAX(IF($B$6="No",ROUNDUP($B$3/$I263,0),ROUNDUP(($B$3+$I263)/$I263,0)),IF($B$6="No",ROUNDUP($B$4/$G263,0),ROUNDUP(($B$4+$G263)/$G263,0)),ROUNDUP('BVMS checklist'!$H$217/$J263,0))&gt;1,'BVMS checklist'!$H$224,'BVMS checklist'!$H$217)</f>
        <v>0</v>
      </c>
      <c r="N263" s="398">
        <f t="shared" ca="1" si="709"/>
        <v>2</v>
      </c>
      <c r="O263" s="400">
        <f t="shared" ca="1" si="736"/>
        <v>2</v>
      </c>
      <c r="P263" s="400">
        <f t="shared" ca="1" si="700"/>
        <v>1300</v>
      </c>
      <c r="Q263" s="400">
        <f t="shared" ca="1" si="701"/>
        <v>0</v>
      </c>
      <c r="R263" s="398">
        <f t="shared" ca="1" si="702"/>
        <v>81950</v>
      </c>
      <c r="S263" s="401" t="str">
        <f t="shared" ca="1" si="710"/>
        <v/>
      </c>
      <c r="T263" s="398">
        <f t="shared" ca="1" si="711"/>
        <v>1600</v>
      </c>
      <c r="U263" s="400">
        <f ca="1">IF(MAX(IF($B$6="No",ROUNDUP($B$3/$I263,0),ROUNDUP(($B$3+$I263)/$I263,0)),IF($B$6="No",ROUNDUP($B$4/$G263,0),ROUNDUP(($B$4+$G263)/$G263,0)),ROUNDUP('BVMS checklist'!$H$217/$J263,0))&gt;1,'BVMS checklist'!$H$224,'BVMS checklist'!$H$217)+MAX(IF($B$6="No",ROUNDUP($B$3/$I263,0),ROUNDUP(($B$3+$I263)/$I263,0)),IF($B$6="No",ROUNDUP($B$4/$G263,0),ROUNDUP(($B$4+$G263)/$G263,0)))+$B$5</f>
        <v>1</v>
      </c>
      <c r="V263" s="400" t="b">
        <f t="shared" ca="1" si="703"/>
        <v>1</v>
      </c>
      <c r="W263" s="400" t="str">
        <f t="shared" ca="1" si="737"/>
        <v>Accepted</v>
      </c>
      <c r="X263" s="398" t="str">
        <f t="shared" ca="1" si="712"/>
        <v>No</v>
      </c>
      <c r="Y263" s="398" t="str">
        <f t="shared" ca="1" si="713"/>
        <v/>
      </c>
      <c r="Z263" s="398" t="str">
        <f t="shared" ca="1" si="714"/>
        <v/>
      </c>
      <c r="AA263" s="398">
        <f t="shared" ca="1" si="738"/>
        <v>6</v>
      </c>
      <c r="AB263" s="398">
        <f t="shared" ca="1" si="704"/>
        <v>2</v>
      </c>
      <c r="AC263" s="398">
        <f t="shared" ca="1" si="705"/>
        <v>96</v>
      </c>
      <c r="AD263" s="398">
        <f t="shared" ca="1" si="739"/>
        <v>81950</v>
      </c>
      <c r="AE263" s="399">
        <f t="shared" si="768"/>
        <v>0</v>
      </c>
      <c r="AF263" s="399">
        <f t="shared" si="769"/>
        <v>0</v>
      </c>
      <c r="AG263" s="483" t="str">
        <f t="shared" ca="1" si="715"/>
        <v/>
      </c>
      <c r="AH263" s="400">
        <f ca="1">IF(MAX(IF($C$6="No",ROUNDUP($C$3/$I263,0),ROUNDUP(($C$3+$I263)/$I263,0)),IF($C$6="No",ROUNDUP($C$4/$G263,0),ROUNDUP(($C$4+$G263)/$G263,0)),ROUNDUP('BVMS checklist'!$H$217/$J263,0))&gt;1,'BVMS checklist'!$J$224,'BVMS checklist'!$J$217)</f>
        <v>0</v>
      </c>
      <c r="AI263" s="398">
        <f t="shared" ca="1" si="716"/>
        <v>2</v>
      </c>
      <c r="AJ263" s="400">
        <f t="shared" ca="1" si="740"/>
        <v>2</v>
      </c>
      <c r="AK263" s="400">
        <f t="shared" ca="1" si="741"/>
        <v>1300</v>
      </c>
      <c r="AL263" s="400">
        <f t="shared" ca="1" si="742"/>
        <v>0</v>
      </c>
      <c r="AM263" s="398">
        <f t="shared" ca="1" si="743"/>
        <v>81950</v>
      </c>
      <c r="AN263" s="401" t="str">
        <f t="shared" ca="1" si="717"/>
        <v/>
      </c>
      <c r="AO263" s="398">
        <f t="shared" ca="1" si="744"/>
        <v>1600</v>
      </c>
      <c r="AP263" s="400">
        <f ca="1">IF(MAX(IF($C$6="No",ROUNDUP($C$3/$I263,0),ROUNDUP(($C$3+$I263)/$I263,0)),IF($C$6="No",ROUNDUP($C$4/$G263,0),ROUNDUP(($C$4+$G263)/$G263,0)),ROUNDUP('BVMS checklist'!$H$217/$J263,0))&gt;1,'BVMS checklist'!$J$224,'BVMS checklist'!$J$217)+MAX(IF($C$6="No",ROUNDUP($C$3/$I263,0),ROUNDUP(($C$3+$I263)/$I263,0)),IF($C$6="No",ROUNDUP($C$4/$G263,0),ROUNDUP(($C$4+$G263)/$G263,0)))+$C$5</f>
        <v>1</v>
      </c>
      <c r="AQ263" s="400" t="b">
        <f t="shared" ca="1" si="706"/>
        <v>1</v>
      </c>
      <c r="AR263" s="400" t="str">
        <f t="shared" ca="1" si="745"/>
        <v>Accepted</v>
      </c>
      <c r="AS263" s="398" t="str">
        <f t="shared" ca="1" si="731"/>
        <v>No</v>
      </c>
      <c r="AT263" s="398" t="str">
        <f t="shared" ca="1" si="746"/>
        <v/>
      </c>
      <c r="AU263" s="398" t="str">
        <f t="shared" ca="1" si="718"/>
        <v/>
      </c>
      <c r="AV263" s="398">
        <f t="shared" ca="1" si="719"/>
        <v>6</v>
      </c>
      <c r="AW263" s="398">
        <f t="shared" ca="1" si="747"/>
        <v>2</v>
      </c>
      <c r="AX263" s="398">
        <f t="shared" ca="1" si="748"/>
        <v>96</v>
      </c>
      <c r="AY263" s="398">
        <f t="shared" ca="1" si="749"/>
        <v>81950</v>
      </c>
      <c r="AZ263" s="399">
        <f t="shared" si="770"/>
        <v>0</v>
      </c>
      <c r="BA263" s="399">
        <f t="shared" si="771"/>
        <v>0</v>
      </c>
      <c r="BB263" s="483" t="str">
        <f t="shared" ca="1" si="720"/>
        <v/>
      </c>
      <c r="BC263" s="400">
        <f ca="1">IF(MAX(IF($D$6="No",ROUNDUP($D$3/$I263,0),ROUNDUP(($D$3+$I263)/$I263,0)),IF($D$6="No",ROUNDUP($D$4/$G263,0),ROUNDUP(($D$4+$G263)/$G263,0)),ROUNDUP('BVMS checklist'!$H$217/$J263,0))&gt;1,'BVMS checklist'!$L$224,'BVMS checklist'!$L$217)</f>
        <v>0</v>
      </c>
      <c r="BD263" s="398">
        <f t="shared" ca="1" si="721"/>
        <v>2</v>
      </c>
      <c r="BE263" s="400">
        <f t="shared" si="750"/>
        <v>1</v>
      </c>
      <c r="BF263" s="400">
        <f t="shared" si="751"/>
        <v>650</v>
      </c>
      <c r="BG263" s="400">
        <f t="shared" ca="1" si="732"/>
        <v>0</v>
      </c>
      <c r="BH263" s="398">
        <f t="shared" ca="1" si="752"/>
        <v>81950</v>
      </c>
      <c r="BI263" s="401" t="str">
        <f t="shared" ca="1" si="722"/>
        <v/>
      </c>
      <c r="BJ263" s="398">
        <f t="shared" ca="1" si="753"/>
        <v>1600</v>
      </c>
      <c r="BK263" s="400">
        <f ca="1">IF(MAX(IF($D$6="No",ROUNDUP($D$3/$I263,0),ROUNDUP(($D$3+$I263)/$I263,0)),IF($D$6="No",ROUNDUP($D$4/$G263,0),ROUNDUP(($D$4+$G263)/$G263,0)),ROUNDUP('BVMS checklist'!$H$217/$J263,0))&gt;1,'BVMS checklist'!$L$224,'BVMS checklist'!$L$217)+MAX(IF($D$6="No",ROUNDUP($D$3/$I263,0),ROUNDUP(($D$3+$I263)/$I263,0)),IF($D$6="No",ROUNDUP($D$4/$G263,0),ROUNDUP(($D$4+$G263)/$G263,0)))+$D$5</f>
        <v>1</v>
      </c>
      <c r="BL263" s="400" t="b">
        <f t="shared" ca="1" si="707"/>
        <v>1</v>
      </c>
      <c r="BM263" s="400" t="str">
        <f t="shared" ca="1" si="754"/>
        <v>Accepted</v>
      </c>
      <c r="BN263" s="398" t="str">
        <f t="shared" ca="1" si="733"/>
        <v>No</v>
      </c>
      <c r="BO263" s="398" t="str">
        <f t="shared" ca="1" si="755"/>
        <v/>
      </c>
      <c r="BP263" s="398" t="str">
        <f t="shared" ca="1" si="723"/>
        <v/>
      </c>
      <c r="BQ263" s="398">
        <f t="shared" ca="1" si="724"/>
        <v>6</v>
      </c>
      <c r="BR263" s="398">
        <f t="shared" ca="1" si="756"/>
        <v>2</v>
      </c>
      <c r="BS263" s="398">
        <f t="shared" ca="1" si="757"/>
        <v>96</v>
      </c>
      <c r="BT263" s="398">
        <f t="shared" ca="1" si="758"/>
        <v>81950</v>
      </c>
      <c r="BU263" s="399">
        <f t="shared" si="772"/>
        <v>0</v>
      </c>
      <c r="BV263" s="399">
        <f t="shared" si="773"/>
        <v>0</v>
      </c>
      <c r="BW263" s="483" t="str">
        <f t="shared" ca="1" si="725"/>
        <v/>
      </c>
      <c r="BX263" s="400">
        <f ca="1">IF(MAX(IF($E$6="No",ROUNDUP($E$3/$I263,0),ROUNDUP(($E$3+$I263)/$I263,0)),IF($E$6="No",ROUNDUP($E$4/$G263,0),ROUNDUP(($E$4+$G263)/$G263,0)),ROUNDUP('BVMS checklist'!$H$217/$J263,0))&gt;1,'BVMS checklist'!$N$224,'BVMS checklist'!$N$217)</f>
        <v>0</v>
      </c>
      <c r="BY263" s="398">
        <f t="shared" ca="1" si="726"/>
        <v>2</v>
      </c>
      <c r="BZ263" s="400">
        <f t="shared" ca="1" si="759"/>
        <v>2</v>
      </c>
      <c r="CA263" s="400">
        <f t="shared" ca="1" si="760"/>
        <v>1300</v>
      </c>
      <c r="CB263" s="400">
        <f t="shared" ca="1" si="734"/>
        <v>0</v>
      </c>
      <c r="CC263" s="398">
        <f t="shared" ca="1" si="761"/>
        <v>81950</v>
      </c>
      <c r="CD263" s="401" t="str">
        <f t="shared" ca="1" si="727"/>
        <v/>
      </c>
      <c r="CE263" s="398">
        <f t="shared" ca="1" si="762"/>
        <v>1600</v>
      </c>
      <c r="CF263" s="400">
        <f ca="1">IF(MAX(IF($E$6="No",ROUNDUP($E$3/$I263,0),ROUNDUP(($E$3+$I263)/$I263,0)),IF($E$6="No",ROUNDUP($E$4/$G263,0),ROUNDUP(($E$4+$G263)/$G263,0)),ROUNDUP('BVMS checklist'!$H$217/$J263,0))&gt;1,'BVMS checklist'!$N$224,'BVMS checklist'!$N$217)+MAX(IF($E$6="No",ROUNDUP($E$3/$I263,0),ROUNDUP(($E$3+$I263)/$I263,0)),IF($E$6="No",ROUNDUP($E$4/$G263,0),ROUNDUP(($E$4+$G263)/$G263,0)))+$E$5</f>
        <v>1</v>
      </c>
      <c r="CG263" s="400" t="b">
        <f t="shared" ca="1" si="708"/>
        <v>1</v>
      </c>
      <c r="CH263" s="400" t="str">
        <f t="shared" ca="1" si="763"/>
        <v>Accepted</v>
      </c>
      <c r="CI263" s="398" t="str">
        <f t="shared" ca="1" si="735"/>
        <v>No</v>
      </c>
      <c r="CJ263" s="398" t="str">
        <f t="shared" ca="1" si="764"/>
        <v/>
      </c>
      <c r="CK263" s="398" t="str">
        <f t="shared" ca="1" si="728"/>
        <v/>
      </c>
      <c r="CL263" s="398">
        <f t="shared" ca="1" si="729"/>
        <v>6</v>
      </c>
      <c r="CM263" s="398">
        <f t="shared" ca="1" si="765"/>
        <v>2</v>
      </c>
      <c r="CN263" s="398">
        <f t="shared" ca="1" si="766"/>
        <v>96</v>
      </c>
      <c r="CO263" s="398">
        <f t="shared" ca="1" si="767"/>
        <v>81950</v>
      </c>
      <c r="CP263" s="399">
        <f t="shared" si="774"/>
        <v>0</v>
      </c>
      <c r="CQ263" s="399">
        <f t="shared" si="775"/>
        <v>0</v>
      </c>
      <c r="CR263" s="483" t="str">
        <f t="shared" ca="1" si="730"/>
        <v/>
      </c>
      <c r="CS263"/>
    </row>
    <row r="264" spans="1:97">
      <c r="A264" s="398" t="s">
        <v>198</v>
      </c>
      <c r="B264" s="398" t="s">
        <v>987</v>
      </c>
      <c r="C264" s="440" t="s">
        <v>891</v>
      </c>
      <c r="D264" s="398">
        <v>1</v>
      </c>
      <c r="E264" s="398">
        <v>1</v>
      </c>
      <c r="F264" s="440">
        <v>0</v>
      </c>
      <c r="G264" s="398">
        <f>IF(C264="RAID5",(11-F264)*3725,(10-F264)*3725)+IF(C264="RAID5",(11-F264)*3725,(10-F264)*3725)*E264</f>
        <v>81950</v>
      </c>
      <c r="H264" s="399">
        <v>96</v>
      </c>
      <c r="I264" s="399">
        <v>1050</v>
      </c>
      <c r="J264" s="399">
        <v>800</v>
      </c>
      <c r="K264" s="399"/>
      <c r="L264" s="399"/>
      <c r="M264" s="400">
        <f ca="1">IF(MAX(IF($B$6="No",ROUNDUP($B$3/$I264,0),ROUNDUP(($B$3+$I264)/$I264,0)),IF($B$6="No",ROUNDUP($B$4/$G264,0),ROUNDUP(($B$4+$G264)/$G264,0)),ROUNDUP('BVMS checklist'!$H$217/$J264,0))&gt;1,'BVMS checklist'!$H$224,'BVMS checklist'!$H$217)</f>
        <v>0</v>
      </c>
      <c r="N264" s="398">
        <f t="shared" ca="1" si="709"/>
        <v>2</v>
      </c>
      <c r="O264" s="400">
        <f t="shared" ca="1" si="736"/>
        <v>2</v>
      </c>
      <c r="P264" s="400">
        <f t="shared" ca="1" si="700"/>
        <v>2100</v>
      </c>
      <c r="Q264" s="400">
        <f t="shared" ca="1" si="701"/>
        <v>0</v>
      </c>
      <c r="R264" s="398">
        <f t="shared" ca="1" si="702"/>
        <v>163900</v>
      </c>
      <c r="S264" s="401" t="str">
        <f t="shared" ca="1" si="710"/>
        <v/>
      </c>
      <c r="T264" s="398">
        <f t="shared" ca="1" si="711"/>
        <v>1600</v>
      </c>
      <c r="U264" s="400">
        <f ca="1">IF(MAX(IF($B$6="No",ROUNDUP($B$3/$I264,0),ROUNDUP(($B$3+$I264)/$I264,0)),IF($B$6="No",ROUNDUP($B$4/$G264,0),ROUNDUP(($B$4+$G264)/$G264,0)),ROUNDUP('BVMS checklist'!$H$217/$J264,0))&gt;1,'BVMS checklist'!$H$224,'BVMS checklist'!$H$217)+MAX(IF($B$6="No",ROUNDUP($B$3/$I264,0),ROUNDUP(($B$3+$I264)/$I264,0)),IF($B$6="No",ROUNDUP($B$4/$G264,0),ROUNDUP(($B$4+$G264)/$G264,0)))+$B$5</f>
        <v>1</v>
      </c>
      <c r="V264" s="400" t="b">
        <f t="shared" ca="1" si="703"/>
        <v>1</v>
      </c>
      <c r="W264" s="400" t="str">
        <f t="shared" ca="1" si="737"/>
        <v>Accepted</v>
      </c>
      <c r="X264" s="398" t="str">
        <f t="shared" ca="1" si="712"/>
        <v>No</v>
      </c>
      <c r="Y264" s="398" t="str">
        <f t="shared" ca="1" si="713"/>
        <v/>
      </c>
      <c r="Z264" s="398" t="str">
        <f t="shared" ca="1" si="714"/>
        <v/>
      </c>
      <c r="AA264" s="398">
        <f t="shared" ca="1" si="738"/>
        <v>6</v>
      </c>
      <c r="AB264" s="398">
        <f t="shared" ca="1" si="704"/>
        <v>2</v>
      </c>
      <c r="AC264" s="398">
        <f t="shared" ca="1" si="705"/>
        <v>192</v>
      </c>
      <c r="AD264" s="398">
        <f t="shared" ca="1" si="739"/>
        <v>163900</v>
      </c>
      <c r="AE264" s="399">
        <f t="shared" si="768"/>
        <v>0</v>
      </c>
      <c r="AF264" s="399">
        <f t="shared" si="769"/>
        <v>0</v>
      </c>
      <c r="AG264" s="483" t="str">
        <f t="shared" ca="1" si="715"/>
        <v/>
      </c>
      <c r="AH264" s="400">
        <f ca="1">IF(MAX(IF($C$6="No",ROUNDUP($C$3/$I264,0),ROUNDUP(($C$3+$I264)/$I264,0)),IF($C$6="No",ROUNDUP($C$4/$G264,0),ROUNDUP(($C$4+$G264)/$G264,0)),ROUNDUP('BVMS checklist'!$H$217/$J264,0))&gt;1,'BVMS checklist'!$J$224,'BVMS checklist'!$J$217)</f>
        <v>0</v>
      </c>
      <c r="AI264" s="398">
        <f t="shared" ca="1" si="716"/>
        <v>2</v>
      </c>
      <c r="AJ264" s="400">
        <f t="shared" ca="1" si="740"/>
        <v>2</v>
      </c>
      <c r="AK264" s="400">
        <f t="shared" ca="1" si="741"/>
        <v>2100</v>
      </c>
      <c r="AL264" s="400">
        <f t="shared" ca="1" si="742"/>
        <v>0</v>
      </c>
      <c r="AM264" s="398">
        <f t="shared" ca="1" si="743"/>
        <v>163900</v>
      </c>
      <c r="AN264" s="401" t="str">
        <f t="shared" ca="1" si="717"/>
        <v/>
      </c>
      <c r="AO264" s="398">
        <f t="shared" ca="1" si="744"/>
        <v>1600</v>
      </c>
      <c r="AP264" s="400">
        <f ca="1">IF(MAX(IF($C$6="No",ROUNDUP($C$3/$I264,0),ROUNDUP(($C$3+$I264)/$I264,0)),IF($C$6="No",ROUNDUP($C$4/$G264,0),ROUNDUP(($C$4+$G264)/$G264,0)),ROUNDUP('BVMS checklist'!$H$217/$J264,0))&gt;1,'BVMS checklist'!$J$224,'BVMS checklist'!$J$217)+MAX(IF($C$6="No",ROUNDUP($C$3/$I264,0),ROUNDUP(($C$3+$I264)/$I264,0)),IF($C$6="No",ROUNDUP($C$4/$G264,0),ROUNDUP(($C$4+$G264)/$G264,0)))+$C$5</f>
        <v>1</v>
      </c>
      <c r="AQ264" s="400" t="b">
        <f t="shared" ca="1" si="706"/>
        <v>1</v>
      </c>
      <c r="AR264" s="400" t="str">
        <f t="shared" ca="1" si="745"/>
        <v>Accepted</v>
      </c>
      <c r="AS264" s="398" t="str">
        <f t="shared" ca="1" si="731"/>
        <v>No</v>
      </c>
      <c r="AT264" s="398" t="str">
        <f t="shared" ca="1" si="746"/>
        <v/>
      </c>
      <c r="AU264" s="398" t="str">
        <f t="shared" ca="1" si="718"/>
        <v/>
      </c>
      <c r="AV264" s="398">
        <f t="shared" ca="1" si="719"/>
        <v>6</v>
      </c>
      <c r="AW264" s="398">
        <f t="shared" ca="1" si="747"/>
        <v>2</v>
      </c>
      <c r="AX264" s="398">
        <f t="shared" ca="1" si="748"/>
        <v>192</v>
      </c>
      <c r="AY264" s="398">
        <f t="shared" ca="1" si="749"/>
        <v>163900</v>
      </c>
      <c r="AZ264" s="399">
        <f t="shared" si="770"/>
        <v>0</v>
      </c>
      <c r="BA264" s="399">
        <f t="shared" si="771"/>
        <v>0</v>
      </c>
      <c r="BB264" s="483" t="str">
        <f t="shared" ca="1" si="720"/>
        <v/>
      </c>
      <c r="BC264" s="400">
        <f ca="1">IF(MAX(IF($D$6="No",ROUNDUP($D$3/$I264,0),ROUNDUP(($D$3+$I264)/$I264,0)),IF($D$6="No",ROUNDUP($D$4/$G264,0),ROUNDUP(($D$4+$G264)/$G264,0)),ROUNDUP('BVMS checklist'!$H$217/$J264,0))&gt;1,'BVMS checklist'!$L$224,'BVMS checklist'!$L$217)</f>
        <v>0</v>
      </c>
      <c r="BD264" s="398">
        <f t="shared" ca="1" si="721"/>
        <v>2</v>
      </c>
      <c r="BE264" s="400">
        <f t="shared" si="750"/>
        <v>1</v>
      </c>
      <c r="BF264" s="400">
        <f t="shared" si="751"/>
        <v>1050</v>
      </c>
      <c r="BG264" s="400">
        <f t="shared" ca="1" si="732"/>
        <v>0</v>
      </c>
      <c r="BH264" s="398">
        <f t="shared" ca="1" si="752"/>
        <v>163900</v>
      </c>
      <c r="BI264" s="401" t="str">
        <f t="shared" ca="1" si="722"/>
        <v/>
      </c>
      <c r="BJ264" s="398">
        <f t="shared" ca="1" si="753"/>
        <v>1600</v>
      </c>
      <c r="BK264" s="400">
        <f ca="1">IF(MAX(IF($D$6="No",ROUNDUP($D$3/$I264,0),ROUNDUP(($D$3+$I264)/$I264,0)),IF($D$6="No",ROUNDUP($D$4/$G264,0),ROUNDUP(($D$4+$G264)/$G264,0)),ROUNDUP('BVMS checklist'!$H$217/$J264,0))&gt;1,'BVMS checklist'!$L$224,'BVMS checklist'!$L$217)+MAX(IF($D$6="No",ROUNDUP($D$3/$I264,0),ROUNDUP(($D$3+$I264)/$I264,0)),IF($D$6="No",ROUNDUP($D$4/$G264,0),ROUNDUP(($D$4+$G264)/$G264,0)))+$D$5</f>
        <v>1</v>
      </c>
      <c r="BL264" s="400" t="b">
        <f t="shared" ca="1" si="707"/>
        <v>1</v>
      </c>
      <c r="BM264" s="400" t="str">
        <f t="shared" ca="1" si="754"/>
        <v>Accepted</v>
      </c>
      <c r="BN264" s="398" t="str">
        <f t="shared" ca="1" si="733"/>
        <v>No</v>
      </c>
      <c r="BO264" s="398" t="str">
        <f t="shared" ca="1" si="755"/>
        <v/>
      </c>
      <c r="BP264" s="398" t="str">
        <f t="shared" ca="1" si="723"/>
        <v/>
      </c>
      <c r="BQ264" s="398">
        <f t="shared" ca="1" si="724"/>
        <v>6</v>
      </c>
      <c r="BR264" s="398">
        <f t="shared" ca="1" si="756"/>
        <v>2</v>
      </c>
      <c r="BS264" s="398">
        <f t="shared" ca="1" si="757"/>
        <v>192</v>
      </c>
      <c r="BT264" s="398">
        <f t="shared" ca="1" si="758"/>
        <v>163900</v>
      </c>
      <c r="BU264" s="399">
        <f t="shared" si="772"/>
        <v>0</v>
      </c>
      <c r="BV264" s="399">
        <f t="shared" si="773"/>
        <v>0</v>
      </c>
      <c r="BW264" s="483" t="str">
        <f t="shared" ca="1" si="725"/>
        <v/>
      </c>
      <c r="BX264" s="400">
        <f ca="1">IF(MAX(IF($E$6="No",ROUNDUP($E$3/$I264,0),ROUNDUP(($E$3+$I264)/$I264,0)),IF($E$6="No",ROUNDUP($E$4/$G264,0),ROUNDUP(($E$4+$G264)/$G264,0)),ROUNDUP('BVMS checklist'!$H$217/$J264,0))&gt;1,'BVMS checklist'!$N$224,'BVMS checklist'!$N$217)</f>
        <v>0</v>
      </c>
      <c r="BY264" s="398">
        <f t="shared" ca="1" si="726"/>
        <v>2</v>
      </c>
      <c r="BZ264" s="400">
        <f t="shared" ca="1" si="759"/>
        <v>2</v>
      </c>
      <c r="CA264" s="400">
        <f t="shared" ca="1" si="760"/>
        <v>2100</v>
      </c>
      <c r="CB264" s="400">
        <f t="shared" ca="1" si="734"/>
        <v>0</v>
      </c>
      <c r="CC264" s="398">
        <f t="shared" ca="1" si="761"/>
        <v>163900</v>
      </c>
      <c r="CD264" s="401" t="str">
        <f t="shared" ca="1" si="727"/>
        <v/>
      </c>
      <c r="CE264" s="398">
        <f t="shared" ca="1" si="762"/>
        <v>1600</v>
      </c>
      <c r="CF264" s="400">
        <f ca="1">IF(MAX(IF($E$6="No",ROUNDUP($E$3/$I264,0),ROUNDUP(($E$3+$I264)/$I264,0)),IF($E$6="No",ROUNDUP($E$4/$G264,0),ROUNDUP(($E$4+$G264)/$G264,0)),ROUNDUP('BVMS checklist'!$H$217/$J264,0))&gt;1,'BVMS checklist'!$N$224,'BVMS checklist'!$N$217)+MAX(IF($E$6="No",ROUNDUP($E$3/$I264,0),ROUNDUP(($E$3+$I264)/$I264,0)),IF($E$6="No",ROUNDUP($E$4/$G264,0),ROUNDUP(($E$4+$G264)/$G264,0)))+$E$5</f>
        <v>1</v>
      </c>
      <c r="CG264" s="400" t="b">
        <f t="shared" ca="1" si="708"/>
        <v>1</v>
      </c>
      <c r="CH264" s="400" t="str">
        <f t="shared" ca="1" si="763"/>
        <v>Accepted</v>
      </c>
      <c r="CI264" s="398" t="str">
        <f t="shared" ca="1" si="735"/>
        <v>No</v>
      </c>
      <c r="CJ264" s="398" t="str">
        <f t="shared" ca="1" si="764"/>
        <v/>
      </c>
      <c r="CK264" s="398" t="str">
        <f t="shared" ca="1" si="728"/>
        <v/>
      </c>
      <c r="CL264" s="398">
        <f t="shared" ca="1" si="729"/>
        <v>6</v>
      </c>
      <c r="CM264" s="398">
        <f t="shared" ca="1" si="765"/>
        <v>2</v>
      </c>
      <c r="CN264" s="398">
        <f t="shared" ca="1" si="766"/>
        <v>192</v>
      </c>
      <c r="CO264" s="398">
        <f t="shared" ca="1" si="767"/>
        <v>163900</v>
      </c>
      <c r="CP264" s="399">
        <f t="shared" si="774"/>
        <v>0</v>
      </c>
      <c r="CQ264" s="399">
        <f t="shared" si="775"/>
        <v>0</v>
      </c>
      <c r="CR264" s="483" t="str">
        <f t="shared" ca="1" si="730"/>
        <v/>
      </c>
      <c r="CS264"/>
    </row>
    <row r="265" spans="1:97">
      <c r="A265" s="398" t="s">
        <v>199</v>
      </c>
      <c r="B265" s="398" t="s">
        <v>987</v>
      </c>
      <c r="C265" s="440" t="s">
        <v>891</v>
      </c>
      <c r="D265" s="398">
        <v>1</v>
      </c>
      <c r="E265" s="398">
        <v>2</v>
      </c>
      <c r="F265" s="440">
        <v>0</v>
      </c>
      <c r="G265" s="398">
        <f t="shared" ref="G265:G270" si="810">IF(C265="RAID5",(11-F265)*3725,(10-F265)*3725)+IF(C265="RAID5",(11-F265)*3725,(10-F265)*3725)*E265</f>
        <v>122925</v>
      </c>
      <c r="H265" s="399">
        <v>144</v>
      </c>
      <c r="I265" s="399">
        <v>1050</v>
      </c>
      <c r="J265" s="399">
        <v>800</v>
      </c>
      <c r="K265" s="399"/>
      <c r="L265" s="399"/>
      <c r="M265" s="400">
        <f ca="1">IF(MAX(IF($B$6="No",ROUNDUP($B$3/$I265,0),ROUNDUP(($B$3+$I265)/$I265,0)),IF($B$6="No",ROUNDUP($B$4/$G265,0),ROUNDUP(($B$4+$G265)/$G265,0)),ROUNDUP('BVMS checklist'!$H$217/$J265,0))&gt;1,'BVMS checklist'!$H$224,'BVMS checklist'!$H$217)</f>
        <v>0</v>
      </c>
      <c r="N265" s="398">
        <f t="shared" ca="1" si="709"/>
        <v>2</v>
      </c>
      <c r="O265" s="400">
        <f t="shared" ca="1" si="736"/>
        <v>2</v>
      </c>
      <c r="P265" s="400">
        <f t="shared" ca="1" si="700"/>
        <v>2100</v>
      </c>
      <c r="Q265" s="400">
        <f t="shared" ca="1" si="701"/>
        <v>0</v>
      </c>
      <c r="R265" s="398">
        <f t="shared" ca="1" si="702"/>
        <v>245850</v>
      </c>
      <c r="S265" s="401" t="str">
        <f t="shared" ca="1" si="710"/>
        <v/>
      </c>
      <c r="T265" s="398">
        <f t="shared" ca="1" si="711"/>
        <v>1600</v>
      </c>
      <c r="U265" s="400">
        <f ca="1">IF(MAX(IF($B$6="No",ROUNDUP($B$3/$I265,0),ROUNDUP(($B$3+$I265)/$I265,0)),IF($B$6="No",ROUNDUP($B$4/$G265,0),ROUNDUP(($B$4+$G265)/$G265,0)),ROUNDUP('BVMS checklist'!$H$217/$J265,0))&gt;1,'BVMS checklist'!$H$224,'BVMS checklist'!$H$217)+MAX(IF($B$6="No",ROUNDUP($B$3/$I265,0),ROUNDUP(($B$3+$I265)/$I265,0)),IF($B$6="No",ROUNDUP($B$4/$G265,0),ROUNDUP(($B$4+$G265)/$G265,0)))+$B$5</f>
        <v>1</v>
      </c>
      <c r="V265" s="400" t="b">
        <f t="shared" ca="1" si="703"/>
        <v>1</v>
      </c>
      <c r="W265" s="400" t="str">
        <f t="shared" ca="1" si="737"/>
        <v>Accepted</v>
      </c>
      <c r="X265" s="398" t="str">
        <f t="shared" ca="1" si="712"/>
        <v>No</v>
      </c>
      <c r="Y265" s="398" t="str">
        <f t="shared" ca="1" si="713"/>
        <v/>
      </c>
      <c r="Z265" s="398" t="str">
        <f t="shared" ca="1" si="714"/>
        <v/>
      </c>
      <c r="AA265" s="398">
        <f t="shared" ca="1" si="738"/>
        <v>6</v>
      </c>
      <c r="AB265" s="398">
        <f t="shared" ca="1" si="704"/>
        <v>2</v>
      </c>
      <c r="AC265" s="398">
        <f t="shared" ca="1" si="705"/>
        <v>288</v>
      </c>
      <c r="AD265" s="398">
        <f t="shared" ca="1" si="739"/>
        <v>245850</v>
      </c>
      <c r="AE265" s="399">
        <f t="shared" si="768"/>
        <v>0</v>
      </c>
      <c r="AF265" s="399">
        <f t="shared" si="769"/>
        <v>0</v>
      </c>
      <c r="AG265" s="483" t="str">
        <f t="shared" ca="1" si="715"/>
        <v/>
      </c>
      <c r="AH265" s="400">
        <f ca="1">IF(MAX(IF($C$6="No",ROUNDUP($C$3/$I265,0),ROUNDUP(($C$3+$I265)/$I265,0)),IF($C$6="No",ROUNDUP($C$4/$G265,0),ROUNDUP(($C$4+$G265)/$G265,0)),ROUNDUP('BVMS checklist'!$H$217/$J265,0))&gt;1,'BVMS checklist'!$J$224,'BVMS checklist'!$J$217)</f>
        <v>0</v>
      </c>
      <c r="AI265" s="398">
        <f t="shared" ca="1" si="716"/>
        <v>2</v>
      </c>
      <c r="AJ265" s="400">
        <f t="shared" ca="1" si="740"/>
        <v>2</v>
      </c>
      <c r="AK265" s="400">
        <f t="shared" ca="1" si="741"/>
        <v>2100</v>
      </c>
      <c r="AL265" s="400">
        <f t="shared" ca="1" si="742"/>
        <v>0</v>
      </c>
      <c r="AM265" s="398">
        <f t="shared" ca="1" si="743"/>
        <v>245850</v>
      </c>
      <c r="AN265" s="401" t="str">
        <f t="shared" ca="1" si="717"/>
        <v/>
      </c>
      <c r="AO265" s="398">
        <f t="shared" ca="1" si="744"/>
        <v>1600</v>
      </c>
      <c r="AP265" s="400">
        <f ca="1">IF(MAX(IF($C$6="No",ROUNDUP($C$3/$I265,0),ROUNDUP(($C$3+$I265)/$I265,0)),IF($C$6="No",ROUNDUP($C$4/$G265,0),ROUNDUP(($C$4+$G265)/$G265,0)),ROUNDUP('BVMS checklist'!$H$217/$J265,0))&gt;1,'BVMS checklist'!$J$224,'BVMS checklist'!$J$217)+MAX(IF($C$6="No",ROUNDUP($C$3/$I265,0),ROUNDUP(($C$3+$I265)/$I265,0)),IF($C$6="No",ROUNDUP($C$4/$G265,0),ROUNDUP(($C$4+$G265)/$G265,0)))+$C$5</f>
        <v>1</v>
      </c>
      <c r="AQ265" s="400" t="b">
        <f t="shared" ca="1" si="706"/>
        <v>1</v>
      </c>
      <c r="AR265" s="400" t="str">
        <f t="shared" ca="1" si="745"/>
        <v>Accepted</v>
      </c>
      <c r="AS265" s="398" t="str">
        <f t="shared" ca="1" si="731"/>
        <v>No</v>
      </c>
      <c r="AT265" s="398" t="str">
        <f t="shared" ca="1" si="746"/>
        <v/>
      </c>
      <c r="AU265" s="398" t="str">
        <f t="shared" ca="1" si="718"/>
        <v/>
      </c>
      <c r="AV265" s="398">
        <f t="shared" ca="1" si="719"/>
        <v>6</v>
      </c>
      <c r="AW265" s="398">
        <f t="shared" ca="1" si="747"/>
        <v>2</v>
      </c>
      <c r="AX265" s="398">
        <f t="shared" ca="1" si="748"/>
        <v>288</v>
      </c>
      <c r="AY265" s="398">
        <f t="shared" ca="1" si="749"/>
        <v>245850</v>
      </c>
      <c r="AZ265" s="399">
        <f t="shared" si="770"/>
        <v>0</v>
      </c>
      <c r="BA265" s="399">
        <f t="shared" si="771"/>
        <v>0</v>
      </c>
      <c r="BB265" s="483" t="str">
        <f t="shared" ca="1" si="720"/>
        <v/>
      </c>
      <c r="BC265" s="400">
        <f ca="1">IF(MAX(IF($D$6="No",ROUNDUP($D$3/$I265,0),ROUNDUP(($D$3+$I265)/$I265,0)),IF($D$6="No",ROUNDUP($D$4/$G265,0),ROUNDUP(($D$4+$G265)/$G265,0)),ROUNDUP('BVMS checklist'!$H$217/$J265,0))&gt;1,'BVMS checklist'!$L$224,'BVMS checklist'!$L$217)</f>
        <v>0</v>
      </c>
      <c r="BD265" s="398">
        <f t="shared" ca="1" si="721"/>
        <v>2</v>
      </c>
      <c r="BE265" s="400">
        <f t="shared" si="750"/>
        <v>1</v>
      </c>
      <c r="BF265" s="400">
        <f t="shared" si="751"/>
        <v>1050</v>
      </c>
      <c r="BG265" s="400">
        <f t="shared" ca="1" si="732"/>
        <v>0</v>
      </c>
      <c r="BH265" s="398">
        <f t="shared" ca="1" si="752"/>
        <v>245850</v>
      </c>
      <c r="BI265" s="401" t="str">
        <f t="shared" ca="1" si="722"/>
        <v/>
      </c>
      <c r="BJ265" s="398">
        <f t="shared" ca="1" si="753"/>
        <v>1600</v>
      </c>
      <c r="BK265" s="400">
        <f ca="1">IF(MAX(IF($D$6="No",ROUNDUP($D$3/$I265,0),ROUNDUP(($D$3+$I265)/$I265,0)),IF($D$6="No",ROUNDUP($D$4/$G265,0),ROUNDUP(($D$4+$G265)/$G265,0)),ROUNDUP('BVMS checklist'!$H$217/$J265,0))&gt;1,'BVMS checklist'!$L$224,'BVMS checklist'!$L$217)+MAX(IF($D$6="No",ROUNDUP($D$3/$I265,0),ROUNDUP(($D$3+$I265)/$I265,0)),IF($D$6="No",ROUNDUP($D$4/$G265,0),ROUNDUP(($D$4+$G265)/$G265,0)))+$D$5</f>
        <v>1</v>
      </c>
      <c r="BL265" s="400" t="b">
        <f t="shared" ca="1" si="707"/>
        <v>1</v>
      </c>
      <c r="BM265" s="400" t="str">
        <f t="shared" ca="1" si="754"/>
        <v>Accepted</v>
      </c>
      <c r="BN265" s="398" t="str">
        <f t="shared" ca="1" si="733"/>
        <v>No</v>
      </c>
      <c r="BO265" s="398" t="str">
        <f t="shared" ca="1" si="755"/>
        <v/>
      </c>
      <c r="BP265" s="398" t="str">
        <f t="shared" ca="1" si="723"/>
        <v/>
      </c>
      <c r="BQ265" s="398">
        <f t="shared" ca="1" si="724"/>
        <v>6</v>
      </c>
      <c r="BR265" s="398">
        <f t="shared" ca="1" si="756"/>
        <v>2</v>
      </c>
      <c r="BS265" s="398">
        <f t="shared" ca="1" si="757"/>
        <v>288</v>
      </c>
      <c r="BT265" s="398">
        <f t="shared" ca="1" si="758"/>
        <v>245850</v>
      </c>
      <c r="BU265" s="399">
        <f t="shared" si="772"/>
        <v>0</v>
      </c>
      <c r="BV265" s="399">
        <f t="shared" si="773"/>
        <v>0</v>
      </c>
      <c r="BW265" s="483" t="str">
        <f t="shared" ca="1" si="725"/>
        <v/>
      </c>
      <c r="BX265" s="400">
        <f ca="1">IF(MAX(IF($E$6="No",ROUNDUP($E$3/$I265,0),ROUNDUP(($E$3+$I265)/$I265,0)),IF($E$6="No",ROUNDUP($E$4/$G265,0),ROUNDUP(($E$4+$G265)/$G265,0)),ROUNDUP('BVMS checklist'!$H$217/$J265,0))&gt;1,'BVMS checklist'!$N$224,'BVMS checklist'!$N$217)</f>
        <v>0</v>
      </c>
      <c r="BY265" s="398">
        <f t="shared" ca="1" si="726"/>
        <v>2</v>
      </c>
      <c r="BZ265" s="400">
        <f t="shared" ca="1" si="759"/>
        <v>2</v>
      </c>
      <c r="CA265" s="400">
        <f t="shared" ca="1" si="760"/>
        <v>2100</v>
      </c>
      <c r="CB265" s="400">
        <f t="shared" ca="1" si="734"/>
        <v>0</v>
      </c>
      <c r="CC265" s="398">
        <f t="shared" ca="1" si="761"/>
        <v>245850</v>
      </c>
      <c r="CD265" s="401" t="str">
        <f t="shared" ca="1" si="727"/>
        <v/>
      </c>
      <c r="CE265" s="398">
        <f t="shared" ca="1" si="762"/>
        <v>1600</v>
      </c>
      <c r="CF265" s="400">
        <f ca="1">IF(MAX(IF($E$6="No",ROUNDUP($E$3/$I265,0),ROUNDUP(($E$3+$I265)/$I265,0)),IF($E$6="No",ROUNDUP($E$4/$G265,0),ROUNDUP(($E$4+$G265)/$G265,0)),ROUNDUP('BVMS checklist'!$H$217/$J265,0))&gt;1,'BVMS checklist'!$N$224,'BVMS checklist'!$N$217)+MAX(IF($E$6="No",ROUNDUP($E$3/$I265,0),ROUNDUP(($E$3+$I265)/$I265,0)),IF($E$6="No",ROUNDUP($E$4/$G265,0),ROUNDUP(($E$4+$G265)/$G265,0)))+$E$5</f>
        <v>1</v>
      </c>
      <c r="CG265" s="400" t="b">
        <f t="shared" ca="1" si="708"/>
        <v>1</v>
      </c>
      <c r="CH265" s="400" t="str">
        <f t="shared" ca="1" si="763"/>
        <v>Accepted</v>
      </c>
      <c r="CI265" s="398" t="str">
        <f t="shared" ca="1" si="735"/>
        <v>No</v>
      </c>
      <c r="CJ265" s="398" t="str">
        <f t="shared" ca="1" si="764"/>
        <v/>
      </c>
      <c r="CK265" s="398" t="str">
        <f t="shared" ca="1" si="728"/>
        <v/>
      </c>
      <c r="CL265" s="398">
        <f t="shared" ca="1" si="729"/>
        <v>6</v>
      </c>
      <c r="CM265" s="398">
        <f t="shared" ca="1" si="765"/>
        <v>2</v>
      </c>
      <c r="CN265" s="398">
        <f t="shared" ca="1" si="766"/>
        <v>288</v>
      </c>
      <c r="CO265" s="398">
        <f t="shared" ca="1" si="767"/>
        <v>245850</v>
      </c>
      <c r="CP265" s="399">
        <f t="shared" si="774"/>
        <v>0</v>
      </c>
      <c r="CQ265" s="399">
        <f t="shared" si="775"/>
        <v>0</v>
      </c>
      <c r="CR265" s="483" t="str">
        <f t="shared" ca="1" si="730"/>
        <v/>
      </c>
      <c r="CS265"/>
    </row>
    <row r="266" spans="1:97">
      <c r="A266" s="398" t="s">
        <v>200</v>
      </c>
      <c r="B266" s="398" t="s">
        <v>987</v>
      </c>
      <c r="C266" s="440" t="s">
        <v>891</v>
      </c>
      <c r="D266" s="398">
        <v>1</v>
      </c>
      <c r="E266" s="398">
        <v>3</v>
      </c>
      <c r="F266" s="440">
        <v>0</v>
      </c>
      <c r="G266" s="398">
        <f t="shared" si="810"/>
        <v>163900</v>
      </c>
      <c r="H266" s="399">
        <v>192</v>
      </c>
      <c r="I266" s="399">
        <v>1050</v>
      </c>
      <c r="J266" s="399">
        <v>800</v>
      </c>
      <c r="K266" s="399"/>
      <c r="L266" s="399"/>
      <c r="M266" s="400">
        <f ca="1">IF(MAX(IF($B$6="No",ROUNDUP($B$3/$I266,0),ROUNDUP(($B$3+$I266)/$I266,0)),IF($B$6="No",ROUNDUP($B$4/$G266,0),ROUNDUP(($B$4+$G266)/$G266,0)),ROUNDUP('BVMS checklist'!$H$217/$J266,0))&gt;1,'BVMS checklist'!$H$224,'BVMS checklist'!$H$217)</f>
        <v>0</v>
      </c>
      <c r="N266" s="398">
        <f t="shared" ca="1" si="709"/>
        <v>2</v>
      </c>
      <c r="O266" s="400">
        <f t="shared" ca="1" si="736"/>
        <v>2</v>
      </c>
      <c r="P266" s="400">
        <f t="shared" ca="1" si="700"/>
        <v>2100</v>
      </c>
      <c r="Q266" s="400">
        <f t="shared" ca="1" si="701"/>
        <v>0</v>
      </c>
      <c r="R266" s="398">
        <f t="shared" ca="1" si="702"/>
        <v>327800</v>
      </c>
      <c r="S266" s="401" t="str">
        <f t="shared" ca="1" si="710"/>
        <v/>
      </c>
      <c r="T266" s="398">
        <f t="shared" ca="1" si="711"/>
        <v>1600</v>
      </c>
      <c r="U266" s="400">
        <f ca="1">IF(MAX(IF($B$6="No",ROUNDUP($B$3/$I266,0),ROUNDUP(($B$3+$I266)/$I266,0)),IF($B$6="No",ROUNDUP($B$4/$G266,0),ROUNDUP(($B$4+$G266)/$G266,0)),ROUNDUP('BVMS checklist'!$H$217/$J266,0))&gt;1,'BVMS checklist'!$H$224,'BVMS checklist'!$H$217)+MAX(IF($B$6="No",ROUNDUP($B$3/$I266,0),ROUNDUP(($B$3+$I266)/$I266,0)),IF($B$6="No",ROUNDUP($B$4/$G266,0),ROUNDUP(($B$4+$G266)/$G266,0)))+$B$5</f>
        <v>1</v>
      </c>
      <c r="V266" s="400" t="b">
        <f t="shared" ca="1" si="703"/>
        <v>1</v>
      </c>
      <c r="W266" s="400" t="str">
        <f t="shared" ca="1" si="737"/>
        <v>Accepted</v>
      </c>
      <c r="X266" s="398" t="str">
        <f t="shared" ca="1" si="712"/>
        <v>No</v>
      </c>
      <c r="Y266" s="398" t="str">
        <f t="shared" ca="1" si="713"/>
        <v/>
      </c>
      <c r="Z266" s="398" t="str">
        <f t="shared" ca="1" si="714"/>
        <v/>
      </c>
      <c r="AA266" s="398">
        <f t="shared" ca="1" si="738"/>
        <v>6</v>
      </c>
      <c r="AB266" s="398">
        <f t="shared" ca="1" si="704"/>
        <v>2</v>
      </c>
      <c r="AC266" s="398">
        <f t="shared" ca="1" si="705"/>
        <v>384</v>
      </c>
      <c r="AD266" s="398">
        <f t="shared" ca="1" si="739"/>
        <v>327800</v>
      </c>
      <c r="AE266" s="399">
        <f t="shared" si="768"/>
        <v>0</v>
      </c>
      <c r="AF266" s="399">
        <f t="shared" si="769"/>
        <v>0</v>
      </c>
      <c r="AG266" s="483" t="str">
        <f t="shared" ca="1" si="715"/>
        <v/>
      </c>
      <c r="AH266" s="400">
        <f ca="1">IF(MAX(IF($C$6="No",ROUNDUP($C$3/$I266,0),ROUNDUP(($C$3+$I266)/$I266,0)),IF($C$6="No",ROUNDUP($C$4/$G266,0),ROUNDUP(($C$4+$G266)/$G266,0)),ROUNDUP('BVMS checklist'!$H$217/$J266,0))&gt;1,'BVMS checklist'!$J$224,'BVMS checklist'!$J$217)</f>
        <v>0</v>
      </c>
      <c r="AI266" s="398">
        <f t="shared" ca="1" si="716"/>
        <v>2</v>
      </c>
      <c r="AJ266" s="400">
        <f t="shared" ca="1" si="740"/>
        <v>2</v>
      </c>
      <c r="AK266" s="400">
        <f t="shared" ca="1" si="741"/>
        <v>2100</v>
      </c>
      <c r="AL266" s="400">
        <f t="shared" ca="1" si="742"/>
        <v>0</v>
      </c>
      <c r="AM266" s="398">
        <f t="shared" ca="1" si="743"/>
        <v>327800</v>
      </c>
      <c r="AN266" s="401" t="str">
        <f t="shared" ca="1" si="717"/>
        <v/>
      </c>
      <c r="AO266" s="398">
        <f t="shared" ca="1" si="744"/>
        <v>1600</v>
      </c>
      <c r="AP266" s="400">
        <f ca="1">IF(MAX(IF($C$6="No",ROUNDUP($C$3/$I266,0),ROUNDUP(($C$3+$I266)/$I266,0)),IF($C$6="No",ROUNDUP($C$4/$G266,0),ROUNDUP(($C$4+$G266)/$G266,0)),ROUNDUP('BVMS checklist'!$H$217/$J266,0))&gt;1,'BVMS checklist'!$J$224,'BVMS checklist'!$J$217)+MAX(IF($C$6="No",ROUNDUP($C$3/$I266,0),ROUNDUP(($C$3+$I266)/$I266,0)),IF($C$6="No",ROUNDUP($C$4/$G266,0),ROUNDUP(($C$4+$G266)/$G266,0)))+$C$5</f>
        <v>1</v>
      </c>
      <c r="AQ266" s="400" t="b">
        <f t="shared" ca="1" si="706"/>
        <v>1</v>
      </c>
      <c r="AR266" s="400" t="str">
        <f t="shared" ca="1" si="745"/>
        <v>Accepted</v>
      </c>
      <c r="AS266" s="398" t="str">
        <f t="shared" ca="1" si="731"/>
        <v>No</v>
      </c>
      <c r="AT266" s="398" t="str">
        <f t="shared" ca="1" si="746"/>
        <v/>
      </c>
      <c r="AU266" s="398" t="str">
        <f t="shared" ca="1" si="718"/>
        <v/>
      </c>
      <c r="AV266" s="398">
        <f t="shared" ca="1" si="719"/>
        <v>6</v>
      </c>
      <c r="AW266" s="398">
        <f t="shared" ca="1" si="747"/>
        <v>2</v>
      </c>
      <c r="AX266" s="398">
        <f t="shared" ca="1" si="748"/>
        <v>384</v>
      </c>
      <c r="AY266" s="398">
        <f t="shared" ca="1" si="749"/>
        <v>327800</v>
      </c>
      <c r="AZ266" s="399">
        <f t="shared" si="770"/>
        <v>0</v>
      </c>
      <c r="BA266" s="399">
        <f t="shared" si="771"/>
        <v>0</v>
      </c>
      <c r="BB266" s="483" t="str">
        <f t="shared" ca="1" si="720"/>
        <v/>
      </c>
      <c r="BC266" s="400">
        <f ca="1">IF(MAX(IF($D$6="No",ROUNDUP($D$3/$I266,0),ROUNDUP(($D$3+$I266)/$I266,0)),IF($D$6="No",ROUNDUP($D$4/$G266,0),ROUNDUP(($D$4+$G266)/$G266,0)),ROUNDUP('BVMS checklist'!$H$217/$J266,0))&gt;1,'BVMS checklist'!$L$224,'BVMS checklist'!$L$217)</f>
        <v>0</v>
      </c>
      <c r="BD266" s="398">
        <f t="shared" ca="1" si="721"/>
        <v>2</v>
      </c>
      <c r="BE266" s="400">
        <f t="shared" si="750"/>
        <v>1</v>
      </c>
      <c r="BF266" s="400">
        <f t="shared" si="751"/>
        <v>1050</v>
      </c>
      <c r="BG266" s="400">
        <f t="shared" ca="1" si="732"/>
        <v>0</v>
      </c>
      <c r="BH266" s="398">
        <f t="shared" ca="1" si="752"/>
        <v>327800</v>
      </c>
      <c r="BI266" s="401" t="str">
        <f t="shared" ca="1" si="722"/>
        <v/>
      </c>
      <c r="BJ266" s="398">
        <f t="shared" ca="1" si="753"/>
        <v>1600</v>
      </c>
      <c r="BK266" s="400">
        <f ca="1">IF(MAX(IF($D$6="No",ROUNDUP($D$3/$I266,0),ROUNDUP(($D$3+$I266)/$I266,0)),IF($D$6="No",ROUNDUP($D$4/$G266,0),ROUNDUP(($D$4+$G266)/$G266,0)),ROUNDUP('BVMS checklist'!$H$217/$J266,0))&gt;1,'BVMS checklist'!$L$224,'BVMS checklist'!$L$217)+MAX(IF($D$6="No",ROUNDUP($D$3/$I266,0),ROUNDUP(($D$3+$I266)/$I266,0)),IF($D$6="No",ROUNDUP($D$4/$G266,0),ROUNDUP(($D$4+$G266)/$G266,0)))+$D$5</f>
        <v>1</v>
      </c>
      <c r="BL266" s="400" t="b">
        <f t="shared" ca="1" si="707"/>
        <v>1</v>
      </c>
      <c r="BM266" s="400" t="str">
        <f t="shared" ca="1" si="754"/>
        <v>Accepted</v>
      </c>
      <c r="BN266" s="398" t="str">
        <f t="shared" ca="1" si="733"/>
        <v>No</v>
      </c>
      <c r="BO266" s="398" t="str">
        <f t="shared" ca="1" si="755"/>
        <v/>
      </c>
      <c r="BP266" s="398" t="str">
        <f t="shared" ca="1" si="723"/>
        <v/>
      </c>
      <c r="BQ266" s="398">
        <f t="shared" ca="1" si="724"/>
        <v>6</v>
      </c>
      <c r="BR266" s="398">
        <f t="shared" ca="1" si="756"/>
        <v>2</v>
      </c>
      <c r="BS266" s="398">
        <f t="shared" ca="1" si="757"/>
        <v>384</v>
      </c>
      <c r="BT266" s="398">
        <f t="shared" ca="1" si="758"/>
        <v>327800</v>
      </c>
      <c r="BU266" s="399">
        <f t="shared" si="772"/>
        <v>0</v>
      </c>
      <c r="BV266" s="399">
        <f t="shared" si="773"/>
        <v>0</v>
      </c>
      <c r="BW266" s="483" t="str">
        <f t="shared" ca="1" si="725"/>
        <v/>
      </c>
      <c r="BX266" s="400">
        <f ca="1">IF(MAX(IF($E$6="No",ROUNDUP($E$3/$I266,0),ROUNDUP(($E$3+$I266)/$I266,0)),IF($E$6="No",ROUNDUP($E$4/$G266,0),ROUNDUP(($E$4+$G266)/$G266,0)),ROUNDUP('BVMS checklist'!$H$217/$J266,0))&gt;1,'BVMS checklist'!$N$224,'BVMS checklist'!$N$217)</f>
        <v>0</v>
      </c>
      <c r="BY266" s="398">
        <f t="shared" ca="1" si="726"/>
        <v>2</v>
      </c>
      <c r="BZ266" s="400">
        <f t="shared" ca="1" si="759"/>
        <v>2</v>
      </c>
      <c r="CA266" s="400">
        <f t="shared" ca="1" si="760"/>
        <v>2100</v>
      </c>
      <c r="CB266" s="400">
        <f t="shared" ca="1" si="734"/>
        <v>0</v>
      </c>
      <c r="CC266" s="398">
        <f t="shared" ca="1" si="761"/>
        <v>327800</v>
      </c>
      <c r="CD266" s="401" t="str">
        <f t="shared" ca="1" si="727"/>
        <v/>
      </c>
      <c r="CE266" s="398">
        <f t="shared" ca="1" si="762"/>
        <v>1600</v>
      </c>
      <c r="CF266" s="400">
        <f ca="1">IF(MAX(IF($E$6="No",ROUNDUP($E$3/$I266,0),ROUNDUP(($E$3+$I266)/$I266,0)),IF($E$6="No",ROUNDUP($E$4/$G266,0),ROUNDUP(($E$4+$G266)/$G266,0)),ROUNDUP('BVMS checklist'!$H$217/$J266,0))&gt;1,'BVMS checklist'!$N$224,'BVMS checklist'!$N$217)+MAX(IF($E$6="No",ROUNDUP($E$3/$I266,0),ROUNDUP(($E$3+$I266)/$I266,0)),IF($E$6="No",ROUNDUP($E$4/$G266,0),ROUNDUP(($E$4+$G266)/$G266,0)))+$E$5</f>
        <v>1</v>
      </c>
      <c r="CG266" s="400" t="b">
        <f t="shared" ca="1" si="708"/>
        <v>1</v>
      </c>
      <c r="CH266" s="400" t="str">
        <f t="shared" ca="1" si="763"/>
        <v>Accepted</v>
      </c>
      <c r="CI266" s="398" t="str">
        <f t="shared" ca="1" si="735"/>
        <v>No</v>
      </c>
      <c r="CJ266" s="398" t="str">
        <f t="shared" ca="1" si="764"/>
        <v/>
      </c>
      <c r="CK266" s="398" t="str">
        <f t="shared" ca="1" si="728"/>
        <v/>
      </c>
      <c r="CL266" s="398">
        <f t="shared" ca="1" si="729"/>
        <v>6</v>
      </c>
      <c r="CM266" s="398">
        <f t="shared" ca="1" si="765"/>
        <v>2</v>
      </c>
      <c r="CN266" s="398">
        <f t="shared" ca="1" si="766"/>
        <v>384</v>
      </c>
      <c r="CO266" s="398">
        <f t="shared" ca="1" si="767"/>
        <v>327800</v>
      </c>
      <c r="CP266" s="399">
        <f t="shared" si="774"/>
        <v>0</v>
      </c>
      <c r="CQ266" s="399">
        <f t="shared" si="775"/>
        <v>0</v>
      </c>
      <c r="CR266" s="483" t="str">
        <f t="shared" ca="1" si="730"/>
        <v/>
      </c>
      <c r="CS266"/>
    </row>
    <row r="267" spans="1:97">
      <c r="A267" s="398" t="s">
        <v>201</v>
      </c>
      <c r="B267" s="398" t="s">
        <v>987</v>
      </c>
      <c r="C267" s="440" t="s">
        <v>891</v>
      </c>
      <c r="D267" s="398">
        <v>1</v>
      </c>
      <c r="E267" s="398">
        <v>4</v>
      </c>
      <c r="F267" s="440">
        <v>0</v>
      </c>
      <c r="G267" s="398">
        <f t="shared" si="810"/>
        <v>204875</v>
      </c>
      <c r="H267" s="399">
        <v>240</v>
      </c>
      <c r="I267" s="399">
        <v>1050</v>
      </c>
      <c r="J267" s="399">
        <v>800</v>
      </c>
      <c r="K267" s="399"/>
      <c r="L267" s="399"/>
      <c r="M267" s="400">
        <f ca="1">IF(MAX(IF($B$6="No",ROUNDUP($B$3/$I267,0),ROUNDUP(($B$3+$I267)/$I267,0)),IF($B$6="No",ROUNDUP($B$4/$G267,0),ROUNDUP(($B$4+$G267)/$G267,0)),ROUNDUP('BVMS checklist'!$H$217/$J267,0))&gt;1,'BVMS checklist'!$H$224,'BVMS checklist'!$H$217)</f>
        <v>0</v>
      </c>
      <c r="N267" s="398">
        <f t="shared" ca="1" si="709"/>
        <v>2</v>
      </c>
      <c r="O267" s="400">
        <f t="shared" ca="1" si="736"/>
        <v>2</v>
      </c>
      <c r="P267" s="400">
        <f t="shared" ca="1" si="700"/>
        <v>2100</v>
      </c>
      <c r="Q267" s="400">
        <f t="shared" ca="1" si="701"/>
        <v>0</v>
      </c>
      <c r="R267" s="398">
        <f t="shared" ca="1" si="702"/>
        <v>409750</v>
      </c>
      <c r="S267" s="401" t="str">
        <f t="shared" ca="1" si="710"/>
        <v/>
      </c>
      <c r="T267" s="398">
        <f t="shared" ca="1" si="711"/>
        <v>1600</v>
      </c>
      <c r="U267" s="400">
        <f ca="1">IF(MAX(IF($B$6="No",ROUNDUP($B$3/$I267,0),ROUNDUP(($B$3+$I267)/$I267,0)),IF($B$6="No",ROUNDUP($B$4/$G267,0),ROUNDUP(($B$4+$G267)/$G267,0)),ROUNDUP('BVMS checklist'!$H$217/$J267,0))&gt;1,'BVMS checklist'!$H$224,'BVMS checklist'!$H$217)+MAX(IF($B$6="No",ROUNDUP($B$3/$I267,0),ROUNDUP(($B$3+$I267)/$I267,0)),IF($B$6="No",ROUNDUP($B$4/$G267,0),ROUNDUP(($B$4+$G267)/$G267,0)))+$B$5</f>
        <v>1</v>
      </c>
      <c r="V267" s="400" t="b">
        <f t="shared" ca="1" si="703"/>
        <v>1</v>
      </c>
      <c r="W267" s="400" t="str">
        <f t="shared" ca="1" si="737"/>
        <v>Accepted</v>
      </c>
      <c r="X267" s="398" t="str">
        <f t="shared" ca="1" si="712"/>
        <v>No</v>
      </c>
      <c r="Y267" s="398" t="str">
        <f t="shared" ca="1" si="713"/>
        <v/>
      </c>
      <c r="Z267" s="398" t="str">
        <f t="shared" ca="1" si="714"/>
        <v/>
      </c>
      <c r="AA267" s="398">
        <f t="shared" ca="1" si="738"/>
        <v>6</v>
      </c>
      <c r="AB267" s="398">
        <f t="shared" ca="1" si="704"/>
        <v>2</v>
      </c>
      <c r="AC267" s="398">
        <f t="shared" ca="1" si="705"/>
        <v>480</v>
      </c>
      <c r="AD267" s="398">
        <f t="shared" ca="1" si="739"/>
        <v>409750</v>
      </c>
      <c r="AE267" s="399">
        <f t="shared" si="768"/>
        <v>0</v>
      </c>
      <c r="AF267" s="399">
        <f t="shared" si="769"/>
        <v>0</v>
      </c>
      <c r="AG267" s="483" t="str">
        <f t="shared" ca="1" si="715"/>
        <v/>
      </c>
      <c r="AH267" s="400">
        <f ca="1">IF(MAX(IF($C$6="No",ROUNDUP($C$3/$I267,0),ROUNDUP(($C$3+$I267)/$I267,0)),IF($C$6="No",ROUNDUP($C$4/$G267,0),ROUNDUP(($C$4+$G267)/$G267,0)),ROUNDUP('BVMS checklist'!$H$217/$J267,0))&gt;1,'BVMS checklist'!$J$224,'BVMS checklist'!$J$217)</f>
        <v>0</v>
      </c>
      <c r="AI267" s="398">
        <f t="shared" ca="1" si="716"/>
        <v>2</v>
      </c>
      <c r="AJ267" s="400">
        <f t="shared" ca="1" si="740"/>
        <v>2</v>
      </c>
      <c r="AK267" s="400">
        <f t="shared" ca="1" si="741"/>
        <v>2100</v>
      </c>
      <c r="AL267" s="400">
        <f t="shared" ca="1" si="742"/>
        <v>0</v>
      </c>
      <c r="AM267" s="398">
        <f t="shared" ca="1" si="743"/>
        <v>409750</v>
      </c>
      <c r="AN267" s="401" t="str">
        <f t="shared" ca="1" si="717"/>
        <v/>
      </c>
      <c r="AO267" s="398">
        <f t="shared" ca="1" si="744"/>
        <v>1600</v>
      </c>
      <c r="AP267" s="400">
        <f ca="1">IF(MAX(IF($C$6="No",ROUNDUP($C$3/$I267,0),ROUNDUP(($C$3+$I267)/$I267,0)),IF($C$6="No",ROUNDUP($C$4/$G267,0),ROUNDUP(($C$4+$G267)/$G267,0)),ROUNDUP('BVMS checklist'!$H$217/$J267,0))&gt;1,'BVMS checklist'!$J$224,'BVMS checklist'!$J$217)+MAX(IF($C$6="No",ROUNDUP($C$3/$I267,0),ROUNDUP(($C$3+$I267)/$I267,0)),IF($C$6="No",ROUNDUP($C$4/$G267,0),ROUNDUP(($C$4+$G267)/$G267,0)))+$C$5</f>
        <v>1</v>
      </c>
      <c r="AQ267" s="400" t="b">
        <f t="shared" ca="1" si="706"/>
        <v>1</v>
      </c>
      <c r="AR267" s="400" t="str">
        <f t="shared" ca="1" si="745"/>
        <v>Accepted</v>
      </c>
      <c r="AS267" s="398" t="str">
        <f t="shared" ca="1" si="731"/>
        <v>No</v>
      </c>
      <c r="AT267" s="398" t="str">
        <f t="shared" ca="1" si="746"/>
        <v/>
      </c>
      <c r="AU267" s="398" t="str">
        <f t="shared" ca="1" si="718"/>
        <v/>
      </c>
      <c r="AV267" s="398">
        <f t="shared" ca="1" si="719"/>
        <v>6</v>
      </c>
      <c r="AW267" s="398">
        <f t="shared" ca="1" si="747"/>
        <v>2</v>
      </c>
      <c r="AX267" s="398">
        <f t="shared" ca="1" si="748"/>
        <v>480</v>
      </c>
      <c r="AY267" s="398">
        <f t="shared" ca="1" si="749"/>
        <v>409750</v>
      </c>
      <c r="AZ267" s="399">
        <f t="shared" si="770"/>
        <v>0</v>
      </c>
      <c r="BA267" s="399">
        <f t="shared" si="771"/>
        <v>0</v>
      </c>
      <c r="BB267" s="483" t="str">
        <f t="shared" ca="1" si="720"/>
        <v/>
      </c>
      <c r="BC267" s="400">
        <f ca="1">IF(MAX(IF($D$6="No",ROUNDUP($D$3/$I267,0),ROUNDUP(($D$3+$I267)/$I267,0)),IF($D$6="No",ROUNDUP($D$4/$G267,0),ROUNDUP(($D$4+$G267)/$G267,0)),ROUNDUP('BVMS checklist'!$H$217/$J267,0))&gt;1,'BVMS checklist'!$L$224,'BVMS checklist'!$L$217)</f>
        <v>0</v>
      </c>
      <c r="BD267" s="398">
        <f t="shared" ca="1" si="721"/>
        <v>2</v>
      </c>
      <c r="BE267" s="400">
        <f t="shared" si="750"/>
        <v>1</v>
      </c>
      <c r="BF267" s="400">
        <f t="shared" si="751"/>
        <v>1050</v>
      </c>
      <c r="BG267" s="400">
        <f t="shared" ca="1" si="732"/>
        <v>0</v>
      </c>
      <c r="BH267" s="398">
        <f t="shared" ca="1" si="752"/>
        <v>409750</v>
      </c>
      <c r="BI267" s="401" t="str">
        <f t="shared" ca="1" si="722"/>
        <v/>
      </c>
      <c r="BJ267" s="398">
        <f t="shared" ca="1" si="753"/>
        <v>1600</v>
      </c>
      <c r="BK267" s="400">
        <f ca="1">IF(MAX(IF($D$6="No",ROUNDUP($D$3/$I267,0),ROUNDUP(($D$3+$I267)/$I267,0)),IF($D$6="No",ROUNDUP($D$4/$G267,0),ROUNDUP(($D$4+$G267)/$G267,0)),ROUNDUP('BVMS checklist'!$H$217/$J267,0))&gt;1,'BVMS checklist'!$L$224,'BVMS checklist'!$L$217)+MAX(IF($D$6="No",ROUNDUP($D$3/$I267,0),ROUNDUP(($D$3+$I267)/$I267,0)),IF($D$6="No",ROUNDUP($D$4/$G267,0),ROUNDUP(($D$4+$G267)/$G267,0)))+$D$5</f>
        <v>1</v>
      </c>
      <c r="BL267" s="400" t="b">
        <f t="shared" ca="1" si="707"/>
        <v>1</v>
      </c>
      <c r="BM267" s="400" t="str">
        <f t="shared" ca="1" si="754"/>
        <v>Accepted</v>
      </c>
      <c r="BN267" s="398" t="str">
        <f t="shared" ca="1" si="733"/>
        <v>No</v>
      </c>
      <c r="BO267" s="398" t="str">
        <f t="shared" ca="1" si="755"/>
        <v/>
      </c>
      <c r="BP267" s="398" t="str">
        <f t="shared" ca="1" si="723"/>
        <v/>
      </c>
      <c r="BQ267" s="398">
        <f t="shared" ca="1" si="724"/>
        <v>6</v>
      </c>
      <c r="BR267" s="398">
        <f t="shared" ca="1" si="756"/>
        <v>2</v>
      </c>
      <c r="BS267" s="398">
        <f t="shared" ca="1" si="757"/>
        <v>480</v>
      </c>
      <c r="BT267" s="398">
        <f t="shared" ca="1" si="758"/>
        <v>409750</v>
      </c>
      <c r="BU267" s="399">
        <f t="shared" si="772"/>
        <v>0</v>
      </c>
      <c r="BV267" s="399">
        <f t="shared" si="773"/>
        <v>0</v>
      </c>
      <c r="BW267" s="483" t="str">
        <f t="shared" ca="1" si="725"/>
        <v/>
      </c>
      <c r="BX267" s="400">
        <f ca="1">IF(MAX(IF($E$6="No",ROUNDUP($E$3/$I267,0),ROUNDUP(($E$3+$I267)/$I267,0)),IF($E$6="No",ROUNDUP($E$4/$G267,0),ROUNDUP(($E$4+$G267)/$G267,0)),ROUNDUP('BVMS checklist'!$H$217/$J267,0))&gt;1,'BVMS checklist'!$N$224,'BVMS checklist'!$N$217)</f>
        <v>0</v>
      </c>
      <c r="BY267" s="398">
        <f t="shared" ca="1" si="726"/>
        <v>2</v>
      </c>
      <c r="BZ267" s="400">
        <f t="shared" ca="1" si="759"/>
        <v>2</v>
      </c>
      <c r="CA267" s="400">
        <f t="shared" ca="1" si="760"/>
        <v>2100</v>
      </c>
      <c r="CB267" s="400">
        <f t="shared" ca="1" si="734"/>
        <v>0</v>
      </c>
      <c r="CC267" s="398">
        <f t="shared" ca="1" si="761"/>
        <v>409750</v>
      </c>
      <c r="CD267" s="401" t="str">
        <f t="shared" ca="1" si="727"/>
        <v/>
      </c>
      <c r="CE267" s="398">
        <f t="shared" ca="1" si="762"/>
        <v>1600</v>
      </c>
      <c r="CF267" s="400">
        <f ca="1">IF(MAX(IF($E$6="No",ROUNDUP($E$3/$I267,0),ROUNDUP(($E$3+$I267)/$I267,0)),IF($E$6="No",ROUNDUP($E$4/$G267,0),ROUNDUP(($E$4+$G267)/$G267,0)),ROUNDUP('BVMS checklist'!$H$217/$J267,0))&gt;1,'BVMS checklist'!$N$224,'BVMS checklist'!$N$217)+MAX(IF($E$6="No",ROUNDUP($E$3/$I267,0),ROUNDUP(($E$3+$I267)/$I267,0)),IF($E$6="No",ROUNDUP($E$4/$G267,0),ROUNDUP(($E$4+$G267)/$G267,0)))+$E$5</f>
        <v>1</v>
      </c>
      <c r="CG267" s="400" t="b">
        <f t="shared" ca="1" si="708"/>
        <v>1</v>
      </c>
      <c r="CH267" s="400" t="str">
        <f t="shared" ca="1" si="763"/>
        <v>Accepted</v>
      </c>
      <c r="CI267" s="398" t="str">
        <f t="shared" ca="1" si="735"/>
        <v>No</v>
      </c>
      <c r="CJ267" s="398" t="str">
        <f t="shared" ca="1" si="764"/>
        <v/>
      </c>
      <c r="CK267" s="398" t="str">
        <f t="shared" ca="1" si="728"/>
        <v/>
      </c>
      <c r="CL267" s="398">
        <f t="shared" ca="1" si="729"/>
        <v>6</v>
      </c>
      <c r="CM267" s="398">
        <f t="shared" ca="1" si="765"/>
        <v>2</v>
      </c>
      <c r="CN267" s="398">
        <f t="shared" ca="1" si="766"/>
        <v>480</v>
      </c>
      <c r="CO267" s="398">
        <f t="shared" ca="1" si="767"/>
        <v>409750</v>
      </c>
      <c r="CP267" s="399">
        <f t="shared" si="774"/>
        <v>0</v>
      </c>
      <c r="CQ267" s="399">
        <f t="shared" si="775"/>
        <v>0</v>
      </c>
      <c r="CR267" s="483" t="str">
        <f t="shared" ca="1" si="730"/>
        <v/>
      </c>
      <c r="CS267"/>
    </row>
    <row r="268" spans="1:97">
      <c r="A268" s="398" t="s">
        <v>202</v>
      </c>
      <c r="B268" s="398" t="s">
        <v>987</v>
      </c>
      <c r="C268" s="440" t="s">
        <v>891</v>
      </c>
      <c r="D268" s="398">
        <v>1</v>
      </c>
      <c r="E268" s="398">
        <v>5</v>
      </c>
      <c r="F268" s="440">
        <v>0</v>
      </c>
      <c r="G268" s="398">
        <f t="shared" si="810"/>
        <v>245850</v>
      </c>
      <c r="H268" s="399">
        <v>288</v>
      </c>
      <c r="I268" s="399">
        <v>1050</v>
      </c>
      <c r="J268" s="399">
        <v>800</v>
      </c>
      <c r="K268" s="399"/>
      <c r="L268" s="399"/>
      <c r="M268" s="400">
        <f ca="1">IF(MAX(IF($B$6="No",ROUNDUP($B$3/$I268,0),ROUNDUP(($B$3+$I268)/$I268,0)),IF($B$6="No",ROUNDUP($B$4/$G268,0),ROUNDUP(($B$4+$G268)/$G268,0)),ROUNDUP('BVMS checklist'!$H$217/$J268,0))&gt;1,'BVMS checklist'!$H$224,'BVMS checklist'!$H$217)</f>
        <v>0</v>
      </c>
      <c r="N268" s="398">
        <f t="shared" ca="1" si="709"/>
        <v>2</v>
      </c>
      <c r="O268" s="400">
        <f t="shared" ca="1" si="736"/>
        <v>2</v>
      </c>
      <c r="P268" s="400">
        <f t="shared" ca="1" si="700"/>
        <v>2100</v>
      </c>
      <c r="Q268" s="400">
        <f t="shared" ca="1" si="701"/>
        <v>0</v>
      </c>
      <c r="R268" s="398">
        <f t="shared" ca="1" si="702"/>
        <v>491700</v>
      </c>
      <c r="S268" s="401" t="str">
        <f t="shared" ca="1" si="710"/>
        <v/>
      </c>
      <c r="T268" s="398">
        <f t="shared" ca="1" si="711"/>
        <v>1600</v>
      </c>
      <c r="U268" s="400">
        <f ca="1">IF(MAX(IF($B$6="No",ROUNDUP($B$3/$I268,0),ROUNDUP(($B$3+$I268)/$I268,0)),IF($B$6="No",ROUNDUP($B$4/$G268,0),ROUNDUP(($B$4+$G268)/$G268,0)),ROUNDUP('BVMS checklist'!$H$217/$J268,0))&gt;1,'BVMS checklist'!$H$224,'BVMS checklist'!$H$217)+MAX(IF($B$6="No",ROUNDUP($B$3/$I268,0),ROUNDUP(($B$3+$I268)/$I268,0)),IF($B$6="No",ROUNDUP($B$4/$G268,0),ROUNDUP(($B$4+$G268)/$G268,0)))+$B$5</f>
        <v>1</v>
      </c>
      <c r="V268" s="400" t="b">
        <f t="shared" ca="1" si="703"/>
        <v>1</v>
      </c>
      <c r="W268" s="400" t="str">
        <f t="shared" ca="1" si="737"/>
        <v>Accepted</v>
      </c>
      <c r="X268" s="398" t="str">
        <f t="shared" ca="1" si="712"/>
        <v>No</v>
      </c>
      <c r="Y268" s="398" t="str">
        <f t="shared" ca="1" si="713"/>
        <v/>
      </c>
      <c r="Z268" s="398" t="str">
        <f t="shared" ca="1" si="714"/>
        <v/>
      </c>
      <c r="AA268" s="398">
        <f t="shared" ca="1" si="738"/>
        <v>6</v>
      </c>
      <c r="AB268" s="398">
        <f t="shared" ca="1" si="704"/>
        <v>2</v>
      </c>
      <c r="AC268" s="398">
        <f t="shared" ca="1" si="705"/>
        <v>576</v>
      </c>
      <c r="AD268" s="398">
        <f t="shared" ca="1" si="739"/>
        <v>491700</v>
      </c>
      <c r="AE268" s="399">
        <f t="shared" si="768"/>
        <v>0</v>
      </c>
      <c r="AF268" s="399">
        <f t="shared" si="769"/>
        <v>0</v>
      </c>
      <c r="AG268" s="483" t="str">
        <f t="shared" ca="1" si="715"/>
        <v/>
      </c>
      <c r="AH268" s="400">
        <f ca="1">IF(MAX(IF($C$6="No",ROUNDUP($C$3/$I268,0),ROUNDUP(($C$3+$I268)/$I268,0)),IF($C$6="No",ROUNDUP($C$4/$G268,0),ROUNDUP(($C$4+$G268)/$G268,0)),ROUNDUP('BVMS checklist'!$H$217/$J268,0))&gt;1,'BVMS checklist'!$J$224,'BVMS checklist'!$J$217)</f>
        <v>0</v>
      </c>
      <c r="AI268" s="398">
        <f t="shared" ca="1" si="716"/>
        <v>2</v>
      </c>
      <c r="AJ268" s="400">
        <f t="shared" ca="1" si="740"/>
        <v>2</v>
      </c>
      <c r="AK268" s="400">
        <f t="shared" ca="1" si="741"/>
        <v>2100</v>
      </c>
      <c r="AL268" s="400">
        <f t="shared" ca="1" si="742"/>
        <v>0</v>
      </c>
      <c r="AM268" s="398">
        <f t="shared" ca="1" si="743"/>
        <v>491700</v>
      </c>
      <c r="AN268" s="401" t="str">
        <f t="shared" ca="1" si="717"/>
        <v/>
      </c>
      <c r="AO268" s="398">
        <f t="shared" ca="1" si="744"/>
        <v>1600</v>
      </c>
      <c r="AP268" s="400">
        <f ca="1">IF(MAX(IF($C$6="No",ROUNDUP($C$3/$I268,0),ROUNDUP(($C$3+$I268)/$I268,0)),IF($C$6="No",ROUNDUP($C$4/$G268,0),ROUNDUP(($C$4+$G268)/$G268,0)),ROUNDUP('BVMS checklist'!$H$217/$J268,0))&gt;1,'BVMS checklist'!$J$224,'BVMS checklist'!$J$217)+MAX(IF($C$6="No",ROUNDUP($C$3/$I268,0),ROUNDUP(($C$3+$I268)/$I268,0)),IF($C$6="No",ROUNDUP($C$4/$G268,0),ROUNDUP(($C$4+$G268)/$G268,0)))+$C$5</f>
        <v>1</v>
      </c>
      <c r="AQ268" s="400" t="b">
        <f t="shared" ca="1" si="706"/>
        <v>1</v>
      </c>
      <c r="AR268" s="400" t="str">
        <f t="shared" ca="1" si="745"/>
        <v>Accepted</v>
      </c>
      <c r="AS268" s="398" t="str">
        <f t="shared" ca="1" si="731"/>
        <v>No</v>
      </c>
      <c r="AT268" s="398" t="str">
        <f t="shared" ca="1" si="746"/>
        <v/>
      </c>
      <c r="AU268" s="398" t="str">
        <f t="shared" ca="1" si="718"/>
        <v/>
      </c>
      <c r="AV268" s="398">
        <f t="shared" ca="1" si="719"/>
        <v>6</v>
      </c>
      <c r="AW268" s="398">
        <f t="shared" ca="1" si="747"/>
        <v>2</v>
      </c>
      <c r="AX268" s="398">
        <f t="shared" ca="1" si="748"/>
        <v>576</v>
      </c>
      <c r="AY268" s="398">
        <f t="shared" ca="1" si="749"/>
        <v>491700</v>
      </c>
      <c r="AZ268" s="399">
        <f t="shared" si="770"/>
        <v>0</v>
      </c>
      <c r="BA268" s="399">
        <f t="shared" si="771"/>
        <v>0</v>
      </c>
      <c r="BB268" s="483" t="str">
        <f t="shared" ca="1" si="720"/>
        <v/>
      </c>
      <c r="BC268" s="400">
        <f ca="1">IF(MAX(IF($D$6="No",ROUNDUP($D$3/$I268,0),ROUNDUP(($D$3+$I268)/$I268,0)),IF($D$6="No",ROUNDUP($D$4/$G268,0),ROUNDUP(($D$4+$G268)/$G268,0)),ROUNDUP('BVMS checklist'!$H$217/$J268,0))&gt;1,'BVMS checklist'!$L$224,'BVMS checklist'!$L$217)</f>
        <v>0</v>
      </c>
      <c r="BD268" s="398">
        <f t="shared" ca="1" si="721"/>
        <v>2</v>
      </c>
      <c r="BE268" s="400">
        <f t="shared" si="750"/>
        <v>1</v>
      </c>
      <c r="BF268" s="400">
        <f t="shared" si="751"/>
        <v>1050</v>
      </c>
      <c r="BG268" s="400">
        <f t="shared" ca="1" si="732"/>
        <v>0</v>
      </c>
      <c r="BH268" s="398">
        <f t="shared" ca="1" si="752"/>
        <v>491700</v>
      </c>
      <c r="BI268" s="401" t="str">
        <f t="shared" ca="1" si="722"/>
        <v/>
      </c>
      <c r="BJ268" s="398">
        <f t="shared" ca="1" si="753"/>
        <v>1600</v>
      </c>
      <c r="BK268" s="400">
        <f ca="1">IF(MAX(IF($D$6="No",ROUNDUP($D$3/$I268,0),ROUNDUP(($D$3+$I268)/$I268,0)),IF($D$6="No",ROUNDUP($D$4/$G268,0),ROUNDUP(($D$4+$G268)/$G268,0)),ROUNDUP('BVMS checklist'!$H$217/$J268,0))&gt;1,'BVMS checklist'!$L$224,'BVMS checklist'!$L$217)+MAX(IF($D$6="No",ROUNDUP($D$3/$I268,0),ROUNDUP(($D$3+$I268)/$I268,0)),IF($D$6="No",ROUNDUP($D$4/$G268,0),ROUNDUP(($D$4+$G268)/$G268,0)))+$D$5</f>
        <v>1</v>
      </c>
      <c r="BL268" s="400" t="b">
        <f t="shared" ca="1" si="707"/>
        <v>1</v>
      </c>
      <c r="BM268" s="400" t="str">
        <f t="shared" ca="1" si="754"/>
        <v>Accepted</v>
      </c>
      <c r="BN268" s="398" t="str">
        <f t="shared" ca="1" si="733"/>
        <v>No</v>
      </c>
      <c r="BO268" s="398" t="str">
        <f t="shared" ca="1" si="755"/>
        <v/>
      </c>
      <c r="BP268" s="398" t="str">
        <f t="shared" ca="1" si="723"/>
        <v/>
      </c>
      <c r="BQ268" s="398">
        <f t="shared" ca="1" si="724"/>
        <v>6</v>
      </c>
      <c r="BR268" s="398">
        <f t="shared" ca="1" si="756"/>
        <v>2</v>
      </c>
      <c r="BS268" s="398">
        <f t="shared" ca="1" si="757"/>
        <v>576</v>
      </c>
      <c r="BT268" s="398">
        <f t="shared" ca="1" si="758"/>
        <v>491700</v>
      </c>
      <c r="BU268" s="399">
        <f t="shared" si="772"/>
        <v>0</v>
      </c>
      <c r="BV268" s="399">
        <f t="shared" si="773"/>
        <v>0</v>
      </c>
      <c r="BW268" s="483" t="str">
        <f t="shared" ca="1" si="725"/>
        <v/>
      </c>
      <c r="BX268" s="400">
        <f ca="1">IF(MAX(IF($E$6="No",ROUNDUP($E$3/$I268,0),ROUNDUP(($E$3+$I268)/$I268,0)),IF($E$6="No",ROUNDUP($E$4/$G268,0),ROUNDUP(($E$4+$G268)/$G268,0)),ROUNDUP('BVMS checklist'!$H$217/$J268,0))&gt;1,'BVMS checklist'!$N$224,'BVMS checklist'!$N$217)</f>
        <v>0</v>
      </c>
      <c r="BY268" s="398">
        <f t="shared" ca="1" si="726"/>
        <v>2</v>
      </c>
      <c r="BZ268" s="400">
        <f t="shared" ca="1" si="759"/>
        <v>2</v>
      </c>
      <c r="CA268" s="400">
        <f t="shared" ca="1" si="760"/>
        <v>2100</v>
      </c>
      <c r="CB268" s="400">
        <f t="shared" ca="1" si="734"/>
        <v>0</v>
      </c>
      <c r="CC268" s="398">
        <f t="shared" ca="1" si="761"/>
        <v>491700</v>
      </c>
      <c r="CD268" s="401" t="str">
        <f t="shared" ca="1" si="727"/>
        <v/>
      </c>
      <c r="CE268" s="398">
        <f t="shared" ca="1" si="762"/>
        <v>1600</v>
      </c>
      <c r="CF268" s="400">
        <f ca="1">IF(MAX(IF($E$6="No",ROUNDUP($E$3/$I268,0),ROUNDUP(($E$3+$I268)/$I268,0)),IF($E$6="No",ROUNDUP($E$4/$G268,0),ROUNDUP(($E$4+$G268)/$G268,0)),ROUNDUP('BVMS checklist'!$H$217/$J268,0))&gt;1,'BVMS checklist'!$N$224,'BVMS checklist'!$N$217)+MAX(IF($E$6="No",ROUNDUP($E$3/$I268,0),ROUNDUP(($E$3+$I268)/$I268,0)),IF($E$6="No",ROUNDUP($E$4/$G268,0),ROUNDUP(($E$4+$G268)/$G268,0)))+$E$5</f>
        <v>1</v>
      </c>
      <c r="CG268" s="400" t="b">
        <f t="shared" ca="1" si="708"/>
        <v>1</v>
      </c>
      <c r="CH268" s="400" t="str">
        <f t="shared" ca="1" si="763"/>
        <v>Accepted</v>
      </c>
      <c r="CI268" s="398" t="str">
        <f t="shared" ca="1" si="735"/>
        <v>No</v>
      </c>
      <c r="CJ268" s="398" t="str">
        <f t="shared" ca="1" si="764"/>
        <v/>
      </c>
      <c r="CK268" s="398" t="str">
        <f t="shared" ca="1" si="728"/>
        <v/>
      </c>
      <c r="CL268" s="398">
        <f t="shared" ca="1" si="729"/>
        <v>6</v>
      </c>
      <c r="CM268" s="398">
        <f t="shared" ca="1" si="765"/>
        <v>2</v>
      </c>
      <c r="CN268" s="398">
        <f t="shared" ca="1" si="766"/>
        <v>576</v>
      </c>
      <c r="CO268" s="398">
        <f t="shared" ca="1" si="767"/>
        <v>491700</v>
      </c>
      <c r="CP268" s="399">
        <f t="shared" si="774"/>
        <v>0</v>
      </c>
      <c r="CQ268" s="399">
        <f t="shared" si="775"/>
        <v>0</v>
      </c>
      <c r="CR268" s="483" t="str">
        <f t="shared" ca="1" si="730"/>
        <v/>
      </c>
      <c r="CS268"/>
    </row>
    <row r="269" spans="1:97">
      <c r="A269" s="398" t="s">
        <v>203</v>
      </c>
      <c r="B269" s="398" t="s">
        <v>987</v>
      </c>
      <c r="C269" s="440" t="s">
        <v>891</v>
      </c>
      <c r="D269" s="398">
        <v>1</v>
      </c>
      <c r="E269" s="398">
        <v>6</v>
      </c>
      <c r="F269" s="440">
        <v>0</v>
      </c>
      <c r="G269" s="398">
        <f t="shared" si="810"/>
        <v>286825</v>
      </c>
      <c r="H269" s="399">
        <v>336</v>
      </c>
      <c r="I269" s="399">
        <v>1050</v>
      </c>
      <c r="J269" s="399">
        <v>800</v>
      </c>
      <c r="K269" s="399"/>
      <c r="L269" s="399"/>
      <c r="M269" s="400">
        <f ca="1">IF(MAX(IF($B$6="No",ROUNDUP($B$3/$I269,0),ROUNDUP(($B$3+$I269)/$I269,0)),IF($B$6="No",ROUNDUP($B$4/$G269,0),ROUNDUP(($B$4+$G269)/$G269,0)),ROUNDUP('BVMS checklist'!$H$217/$J269,0))&gt;1,'BVMS checklist'!$H$224,'BVMS checklist'!$H$217)</f>
        <v>0</v>
      </c>
      <c r="N269" s="398">
        <f t="shared" ca="1" si="709"/>
        <v>2</v>
      </c>
      <c r="O269" s="400">
        <f t="shared" ca="1" si="736"/>
        <v>2</v>
      </c>
      <c r="P269" s="400">
        <f t="shared" ca="1" si="700"/>
        <v>2100</v>
      </c>
      <c r="Q269" s="400">
        <f t="shared" ca="1" si="701"/>
        <v>0</v>
      </c>
      <c r="R269" s="398">
        <f t="shared" ca="1" si="702"/>
        <v>573650</v>
      </c>
      <c r="S269" s="401" t="str">
        <f t="shared" ca="1" si="710"/>
        <v/>
      </c>
      <c r="T269" s="398">
        <f t="shared" ca="1" si="711"/>
        <v>1600</v>
      </c>
      <c r="U269" s="400">
        <f ca="1">IF(MAX(IF($B$6="No",ROUNDUP($B$3/$I269,0),ROUNDUP(($B$3+$I269)/$I269,0)),IF($B$6="No",ROUNDUP($B$4/$G269,0),ROUNDUP(($B$4+$G269)/$G269,0)),ROUNDUP('BVMS checklist'!$H$217/$J269,0))&gt;1,'BVMS checklist'!$H$224,'BVMS checklist'!$H$217)+MAX(IF($B$6="No",ROUNDUP($B$3/$I269,0),ROUNDUP(($B$3+$I269)/$I269,0)),IF($B$6="No",ROUNDUP($B$4/$G269,0),ROUNDUP(($B$4+$G269)/$G269,0)))+$B$5</f>
        <v>1</v>
      </c>
      <c r="V269" s="400" t="b">
        <f t="shared" ca="1" si="703"/>
        <v>1</v>
      </c>
      <c r="W269" s="400" t="str">
        <f t="shared" ca="1" si="737"/>
        <v>Accepted</v>
      </c>
      <c r="X269" s="398" t="str">
        <f t="shared" ca="1" si="712"/>
        <v>No</v>
      </c>
      <c r="Y269" s="398" t="str">
        <f t="shared" ca="1" si="713"/>
        <v/>
      </c>
      <c r="Z269" s="398" t="str">
        <f t="shared" ca="1" si="714"/>
        <v/>
      </c>
      <c r="AA269" s="398">
        <f t="shared" ca="1" si="738"/>
        <v>6</v>
      </c>
      <c r="AB269" s="398">
        <f t="shared" ca="1" si="704"/>
        <v>2</v>
      </c>
      <c r="AC269" s="398">
        <f t="shared" ca="1" si="705"/>
        <v>672</v>
      </c>
      <c r="AD269" s="398">
        <f t="shared" ca="1" si="739"/>
        <v>573650</v>
      </c>
      <c r="AE269" s="399">
        <f t="shared" si="768"/>
        <v>0</v>
      </c>
      <c r="AF269" s="399">
        <f t="shared" si="769"/>
        <v>0</v>
      </c>
      <c r="AG269" s="483" t="str">
        <f t="shared" ca="1" si="715"/>
        <v/>
      </c>
      <c r="AH269" s="400">
        <f ca="1">IF(MAX(IF($C$6="No",ROUNDUP($C$3/$I269,0),ROUNDUP(($C$3+$I269)/$I269,0)),IF($C$6="No",ROUNDUP($C$4/$G269,0),ROUNDUP(($C$4+$G269)/$G269,0)),ROUNDUP('BVMS checklist'!$H$217/$J269,0))&gt;1,'BVMS checklist'!$J$224,'BVMS checklist'!$J$217)</f>
        <v>0</v>
      </c>
      <c r="AI269" s="398">
        <f t="shared" ca="1" si="716"/>
        <v>2</v>
      </c>
      <c r="AJ269" s="400">
        <f t="shared" ca="1" si="740"/>
        <v>2</v>
      </c>
      <c r="AK269" s="400">
        <f t="shared" ca="1" si="741"/>
        <v>2100</v>
      </c>
      <c r="AL269" s="400">
        <f t="shared" ca="1" si="742"/>
        <v>0</v>
      </c>
      <c r="AM269" s="398">
        <f t="shared" ca="1" si="743"/>
        <v>573650</v>
      </c>
      <c r="AN269" s="401" t="str">
        <f t="shared" ca="1" si="717"/>
        <v/>
      </c>
      <c r="AO269" s="398">
        <f t="shared" ca="1" si="744"/>
        <v>1600</v>
      </c>
      <c r="AP269" s="400">
        <f ca="1">IF(MAX(IF($C$6="No",ROUNDUP($C$3/$I269,0),ROUNDUP(($C$3+$I269)/$I269,0)),IF($C$6="No",ROUNDUP($C$4/$G269,0),ROUNDUP(($C$4+$G269)/$G269,0)),ROUNDUP('BVMS checklist'!$H$217/$J269,0))&gt;1,'BVMS checklist'!$J$224,'BVMS checklist'!$J$217)+MAX(IF($C$6="No",ROUNDUP($C$3/$I269,0),ROUNDUP(($C$3+$I269)/$I269,0)),IF($C$6="No",ROUNDUP($C$4/$G269,0),ROUNDUP(($C$4+$G269)/$G269,0)))+$C$5</f>
        <v>1</v>
      </c>
      <c r="AQ269" s="400" t="b">
        <f t="shared" ca="1" si="706"/>
        <v>1</v>
      </c>
      <c r="AR269" s="400" t="str">
        <f t="shared" ca="1" si="745"/>
        <v>Accepted</v>
      </c>
      <c r="AS269" s="398" t="str">
        <f t="shared" ca="1" si="731"/>
        <v>No</v>
      </c>
      <c r="AT269" s="398" t="str">
        <f t="shared" ca="1" si="746"/>
        <v/>
      </c>
      <c r="AU269" s="398" t="str">
        <f t="shared" ca="1" si="718"/>
        <v/>
      </c>
      <c r="AV269" s="398">
        <f t="shared" ca="1" si="719"/>
        <v>6</v>
      </c>
      <c r="AW269" s="398">
        <f t="shared" ca="1" si="747"/>
        <v>2</v>
      </c>
      <c r="AX269" s="398">
        <f t="shared" ca="1" si="748"/>
        <v>672</v>
      </c>
      <c r="AY269" s="398">
        <f t="shared" ca="1" si="749"/>
        <v>573650</v>
      </c>
      <c r="AZ269" s="399">
        <f t="shared" si="770"/>
        <v>0</v>
      </c>
      <c r="BA269" s="399">
        <f t="shared" si="771"/>
        <v>0</v>
      </c>
      <c r="BB269" s="483" t="str">
        <f t="shared" ca="1" si="720"/>
        <v/>
      </c>
      <c r="BC269" s="400">
        <f ca="1">IF(MAX(IF($D$6="No",ROUNDUP($D$3/$I269,0),ROUNDUP(($D$3+$I269)/$I269,0)),IF($D$6="No",ROUNDUP($D$4/$G269,0),ROUNDUP(($D$4+$G269)/$G269,0)),ROUNDUP('BVMS checklist'!$H$217/$J269,0))&gt;1,'BVMS checklist'!$L$224,'BVMS checklist'!$L$217)</f>
        <v>0</v>
      </c>
      <c r="BD269" s="398">
        <f t="shared" ca="1" si="721"/>
        <v>2</v>
      </c>
      <c r="BE269" s="400">
        <f t="shared" si="750"/>
        <v>1</v>
      </c>
      <c r="BF269" s="400">
        <f t="shared" si="751"/>
        <v>1050</v>
      </c>
      <c r="BG269" s="400">
        <f t="shared" ca="1" si="732"/>
        <v>0</v>
      </c>
      <c r="BH269" s="398">
        <f t="shared" ca="1" si="752"/>
        <v>573650</v>
      </c>
      <c r="BI269" s="401" t="str">
        <f t="shared" ca="1" si="722"/>
        <v/>
      </c>
      <c r="BJ269" s="398">
        <f t="shared" ca="1" si="753"/>
        <v>1600</v>
      </c>
      <c r="BK269" s="400">
        <f ca="1">IF(MAX(IF($D$6="No",ROUNDUP($D$3/$I269,0),ROUNDUP(($D$3+$I269)/$I269,0)),IF($D$6="No",ROUNDUP($D$4/$G269,0),ROUNDUP(($D$4+$G269)/$G269,0)),ROUNDUP('BVMS checklist'!$H$217/$J269,0))&gt;1,'BVMS checklist'!$L$224,'BVMS checklist'!$L$217)+MAX(IF($D$6="No",ROUNDUP($D$3/$I269,0),ROUNDUP(($D$3+$I269)/$I269,0)),IF($D$6="No",ROUNDUP($D$4/$G269,0),ROUNDUP(($D$4+$G269)/$G269,0)))+$D$5</f>
        <v>1</v>
      </c>
      <c r="BL269" s="400" t="b">
        <f t="shared" ca="1" si="707"/>
        <v>1</v>
      </c>
      <c r="BM269" s="400" t="str">
        <f t="shared" ca="1" si="754"/>
        <v>Accepted</v>
      </c>
      <c r="BN269" s="398" t="str">
        <f t="shared" ca="1" si="733"/>
        <v>No</v>
      </c>
      <c r="BO269" s="398" t="str">
        <f t="shared" ca="1" si="755"/>
        <v/>
      </c>
      <c r="BP269" s="398" t="str">
        <f t="shared" ca="1" si="723"/>
        <v/>
      </c>
      <c r="BQ269" s="398">
        <f t="shared" ca="1" si="724"/>
        <v>6</v>
      </c>
      <c r="BR269" s="398">
        <f t="shared" ca="1" si="756"/>
        <v>2</v>
      </c>
      <c r="BS269" s="398">
        <f t="shared" ca="1" si="757"/>
        <v>672</v>
      </c>
      <c r="BT269" s="398">
        <f t="shared" ca="1" si="758"/>
        <v>573650</v>
      </c>
      <c r="BU269" s="399">
        <f t="shared" si="772"/>
        <v>0</v>
      </c>
      <c r="BV269" s="399">
        <f t="shared" si="773"/>
        <v>0</v>
      </c>
      <c r="BW269" s="483" t="str">
        <f t="shared" ca="1" si="725"/>
        <v/>
      </c>
      <c r="BX269" s="400">
        <f ca="1">IF(MAX(IF($E$6="No",ROUNDUP($E$3/$I269,0),ROUNDUP(($E$3+$I269)/$I269,0)),IF($E$6="No",ROUNDUP($E$4/$G269,0),ROUNDUP(($E$4+$G269)/$G269,0)),ROUNDUP('BVMS checklist'!$H$217/$J269,0))&gt;1,'BVMS checklist'!$N$224,'BVMS checklist'!$N$217)</f>
        <v>0</v>
      </c>
      <c r="BY269" s="398">
        <f t="shared" ca="1" si="726"/>
        <v>2</v>
      </c>
      <c r="BZ269" s="400">
        <f t="shared" ca="1" si="759"/>
        <v>2</v>
      </c>
      <c r="CA269" s="400">
        <f t="shared" ca="1" si="760"/>
        <v>2100</v>
      </c>
      <c r="CB269" s="400">
        <f t="shared" ca="1" si="734"/>
        <v>0</v>
      </c>
      <c r="CC269" s="398">
        <f t="shared" ca="1" si="761"/>
        <v>573650</v>
      </c>
      <c r="CD269" s="401" t="str">
        <f t="shared" ca="1" si="727"/>
        <v/>
      </c>
      <c r="CE269" s="398">
        <f t="shared" ca="1" si="762"/>
        <v>1600</v>
      </c>
      <c r="CF269" s="400">
        <f ca="1">IF(MAX(IF($E$6="No",ROUNDUP($E$3/$I269,0),ROUNDUP(($E$3+$I269)/$I269,0)),IF($E$6="No",ROUNDUP($E$4/$G269,0),ROUNDUP(($E$4+$G269)/$G269,0)),ROUNDUP('BVMS checklist'!$H$217/$J269,0))&gt;1,'BVMS checklist'!$N$224,'BVMS checklist'!$N$217)+MAX(IF($E$6="No",ROUNDUP($E$3/$I269,0),ROUNDUP(($E$3+$I269)/$I269,0)),IF($E$6="No",ROUNDUP($E$4/$G269,0),ROUNDUP(($E$4+$G269)/$G269,0)))+$E$5</f>
        <v>1</v>
      </c>
      <c r="CG269" s="400" t="b">
        <f t="shared" ca="1" si="708"/>
        <v>1</v>
      </c>
      <c r="CH269" s="400" t="str">
        <f t="shared" ca="1" si="763"/>
        <v>Accepted</v>
      </c>
      <c r="CI269" s="398" t="str">
        <f t="shared" ca="1" si="735"/>
        <v>No</v>
      </c>
      <c r="CJ269" s="398" t="str">
        <f t="shared" ca="1" si="764"/>
        <v/>
      </c>
      <c r="CK269" s="398" t="str">
        <f t="shared" ca="1" si="728"/>
        <v/>
      </c>
      <c r="CL269" s="398">
        <f t="shared" ca="1" si="729"/>
        <v>6</v>
      </c>
      <c r="CM269" s="398">
        <f t="shared" ca="1" si="765"/>
        <v>2</v>
      </c>
      <c r="CN269" s="398">
        <f t="shared" ca="1" si="766"/>
        <v>672</v>
      </c>
      <c r="CO269" s="398">
        <f t="shared" ca="1" si="767"/>
        <v>573650</v>
      </c>
      <c r="CP269" s="399">
        <f t="shared" si="774"/>
        <v>0</v>
      </c>
      <c r="CQ269" s="399">
        <f t="shared" si="775"/>
        <v>0</v>
      </c>
      <c r="CR269" s="483" t="str">
        <f t="shared" ca="1" si="730"/>
        <v/>
      </c>
      <c r="CS269"/>
    </row>
    <row r="270" spans="1:97">
      <c r="A270" s="398" t="s">
        <v>204</v>
      </c>
      <c r="B270" s="398" t="s">
        <v>987</v>
      </c>
      <c r="C270" s="440" t="s">
        <v>891</v>
      </c>
      <c r="D270" s="398">
        <v>1</v>
      </c>
      <c r="E270" s="398">
        <v>7</v>
      </c>
      <c r="F270" s="440">
        <v>0</v>
      </c>
      <c r="G270" s="398">
        <f t="shared" si="810"/>
        <v>327800</v>
      </c>
      <c r="H270" s="399">
        <v>384</v>
      </c>
      <c r="I270" s="399">
        <v>1050</v>
      </c>
      <c r="J270" s="399">
        <v>800</v>
      </c>
      <c r="K270" s="399"/>
      <c r="L270" s="399"/>
      <c r="M270" s="400">
        <f ca="1">IF(MAX(IF($B$6="No",ROUNDUP($B$3/$I270,0),ROUNDUP(($B$3+$I270)/$I270,0)),IF($B$6="No",ROUNDUP($B$4/$G270,0),ROUNDUP(($B$4+$G270)/$G270,0)),ROUNDUP('BVMS checklist'!$H$217/$J270,0))&gt;1,'BVMS checklist'!$H$224,'BVMS checklist'!$H$217)</f>
        <v>0</v>
      </c>
      <c r="N270" s="398">
        <f t="shared" ca="1" si="709"/>
        <v>2</v>
      </c>
      <c r="O270" s="400">
        <f t="shared" ca="1" si="736"/>
        <v>2</v>
      </c>
      <c r="P270" s="400">
        <f t="shared" ca="1" si="700"/>
        <v>2100</v>
      </c>
      <c r="Q270" s="400">
        <f t="shared" ca="1" si="701"/>
        <v>0</v>
      </c>
      <c r="R270" s="398">
        <f t="shared" ca="1" si="702"/>
        <v>655600</v>
      </c>
      <c r="S270" s="401" t="str">
        <f t="shared" ca="1" si="710"/>
        <v/>
      </c>
      <c r="T270" s="398">
        <f t="shared" ca="1" si="711"/>
        <v>1600</v>
      </c>
      <c r="U270" s="400">
        <f ca="1">IF(MAX(IF($B$6="No",ROUNDUP($B$3/$I270,0),ROUNDUP(($B$3+$I270)/$I270,0)),IF($B$6="No",ROUNDUP($B$4/$G270,0),ROUNDUP(($B$4+$G270)/$G270,0)),ROUNDUP('BVMS checklist'!$H$217/$J270,0))&gt;1,'BVMS checklist'!$H$224,'BVMS checklist'!$H$217)+MAX(IF($B$6="No",ROUNDUP($B$3/$I270,0),ROUNDUP(($B$3+$I270)/$I270,0)),IF($B$6="No",ROUNDUP($B$4/$G270,0),ROUNDUP(($B$4+$G270)/$G270,0)))+$B$5</f>
        <v>1</v>
      </c>
      <c r="V270" s="400" t="b">
        <f t="shared" ca="1" si="703"/>
        <v>1</v>
      </c>
      <c r="W270" s="400" t="str">
        <f t="shared" ca="1" si="737"/>
        <v>Accepted</v>
      </c>
      <c r="X270" s="398" t="str">
        <f t="shared" ca="1" si="712"/>
        <v>No</v>
      </c>
      <c r="Y270" s="398" t="str">
        <f t="shared" ca="1" si="713"/>
        <v/>
      </c>
      <c r="Z270" s="398" t="str">
        <f t="shared" ca="1" si="714"/>
        <v/>
      </c>
      <c r="AA270" s="398">
        <f t="shared" ca="1" si="738"/>
        <v>6</v>
      </c>
      <c r="AB270" s="398">
        <f t="shared" ca="1" si="704"/>
        <v>2</v>
      </c>
      <c r="AC270" s="398">
        <f t="shared" ca="1" si="705"/>
        <v>768</v>
      </c>
      <c r="AD270" s="398">
        <f t="shared" ca="1" si="739"/>
        <v>655600</v>
      </c>
      <c r="AE270" s="399">
        <f t="shared" si="768"/>
        <v>0</v>
      </c>
      <c r="AF270" s="399">
        <f t="shared" si="769"/>
        <v>0</v>
      </c>
      <c r="AG270" s="483" t="str">
        <f t="shared" ca="1" si="715"/>
        <v/>
      </c>
      <c r="AH270" s="400">
        <f ca="1">IF(MAX(IF($C$6="No",ROUNDUP($C$3/$I270,0),ROUNDUP(($C$3+$I270)/$I270,0)),IF($C$6="No",ROUNDUP($C$4/$G270,0),ROUNDUP(($C$4+$G270)/$G270,0)),ROUNDUP('BVMS checklist'!$H$217/$J270,0))&gt;1,'BVMS checklist'!$J$224,'BVMS checklist'!$J$217)</f>
        <v>0</v>
      </c>
      <c r="AI270" s="398">
        <f t="shared" ca="1" si="716"/>
        <v>2</v>
      </c>
      <c r="AJ270" s="400">
        <f t="shared" ca="1" si="740"/>
        <v>2</v>
      </c>
      <c r="AK270" s="400">
        <f t="shared" ca="1" si="741"/>
        <v>2100</v>
      </c>
      <c r="AL270" s="400">
        <f t="shared" ca="1" si="742"/>
        <v>0</v>
      </c>
      <c r="AM270" s="398">
        <f t="shared" ca="1" si="743"/>
        <v>655600</v>
      </c>
      <c r="AN270" s="401" t="str">
        <f t="shared" ca="1" si="717"/>
        <v/>
      </c>
      <c r="AO270" s="398">
        <f t="shared" ca="1" si="744"/>
        <v>1600</v>
      </c>
      <c r="AP270" s="400">
        <f ca="1">IF(MAX(IF($C$6="No",ROUNDUP($C$3/$I270,0),ROUNDUP(($C$3+$I270)/$I270,0)),IF($C$6="No",ROUNDUP($C$4/$G270,0),ROUNDUP(($C$4+$G270)/$G270,0)),ROUNDUP('BVMS checklist'!$H$217/$J270,0))&gt;1,'BVMS checklist'!$J$224,'BVMS checklist'!$J$217)+MAX(IF($C$6="No",ROUNDUP($C$3/$I270,0),ROUNDUP(($C$3+$I270)/$I270,0)),IF($C$6="No",ROUNDUP($C$4/$G270,0),ROUNDUP(($C$4+$G270)/$G270,0)))+$C$5</f>
        <v>1</v>
      </c>
      <c r="AQ270" s="400" t="b">
        <f t="shared" ca="1" si="706"/>
        <v>1</v>
      </c>
      <c r="AR270" s="400" t="str">
        <f t="shared" ca="1" si="745"/>
        <v>Accepted</v>
      </c>
      <c r="AS270" s="398" t="str">
        <f t="shared" ca="1" si="731"/>
        <v>No</v>
      </c>
      <c r="AT270" s="398" t="str">
        <f t="shared" ca="1" si="746"/>
        <v/>
      </c>
      <c r="AU270" s="398" t="str">
        <f t="shared" ca="1" si="718"/>
        <v/>
      </c>
      <c r="AV270" s="398">
        <f t="shared" ca="1" si="719"/>
        <v>6</v>
      </c>
      <c r="AW270" s="398">
        <f t="shared" ca="1" si="747"/>
        <v>2</v>
      </c>
      <c r="AX270" s="398">
        <f t="shared" ca="1" si="748"/>
        <v>768</v>
      </c>
      <c r="AY270" s="398">
        <f t="shared" ca="1" si="749"/>
        <v>655600</v>
      </c>
      <c r="AZ270" s="399">
        <f t="shared" si="770"/>
        <v>0</v>
      </c>
      <c r="BA270" s="399">
        <f t="shared" si="771"/>
        <v>0</v>
      </c>
      <c r="BB270" s="483" t="str">
        <f t="shared" ca="1" si="720"/>
        <v/>
      </c>
      <c r="BC270" s="400">
        <f ca="1">IF(MAX(IF($D$6="No",ROUNDUP($D$3/$I270,0),ROUNDUP(($D$3+$I270)/$I270,0)),IF($D$6="No",ROUNDUP($D$4/$G270,0),ROUNDUP(($D$4+$G270)/$G270,0)),ROUNDUP('BVMS checklist'!$H$217/$J270,0))&gt;1,'BVMS checklist'!$L$224,'BVMS checklist'!$L$217)</f>
        <v>0</v>
      </c>
      <c r="BD270" s="398">
        <f t="shared" ca="1" si="721"/>
        <v>2</v>
      </c>
      <c r="BE270" s="400">
        <f t="shared" si="750"/>
        <v>1</v>
      </c>
      <c r="BF270" s="400">
        <f t="shared" si="751"/>
        <v>1050</v>
      </c>
      <c r="BG270" s="400">
        <f t="shared" ca="1" si="732"/>
        <v>0</v>
      </c>
      <c r="BH270" s="398">
        <f t="shared" ca="1" si="752"/>
        <v>655600</v>
      </c>
      <c r="BI270" s="401" t="str">
        <f t="shared" ca="1" si="722"/>
        <v/>
      </c>
      <c r="BJ270" s="398">
        <f t="shared" ca="1" si="753"/>
        <v>1600</v>
      </c>
      <c r="BK270" s="400">
        <f ca="1">IF(MAX(IF($D$6="No",ROUNDUP($D$3/$I270,0),ROUNDUP(($D$3+$I270)/$I270,0)),IF($D$6="No",ROUNDUP($D$4/$G270,0),ROUNDUP(($D$4+$G270)/$G270,0)),ROUNDUP('BVMS checklist'!$H$217/$J270,0))&gt;1,'BVMS checklist'!$L$224,'BVMS checklist'!$L$217)+MAX(IF($D$6="No",ROUNDUP($D$3/$I270,0),ROUNDUP(($D$3+$I270)/$I270,0)),IF($D$6="No",ROUNDUP($D$4/$G270,0),ROUNDUP(($D$4+$G270)/$G270,0)))+$D$5</f>
        <v>1</v>
      </c>
      <c r="BL270" s="400" t="b">
        <f t="shared" ca="1" si="707"/>
        <v>1</v>
      </c>
      <c r="BM270" s="400" t="str">
        <f t="shared" ca="1" si="754"/>
        <v>Accepted</v>
      </c>
      <c r="BN270" s="398" t="str">
        <f t="shared" ca="1" si="733"/>
        <v>No</v>
      </c>
      <c r="BO270" s="398" t="str">
        <f t="shared" ca="1" si="755"/>
        <v/>
      </c>
      <c r="BP270" s="398" t="str">
        <f t="shared" ca="1" si="723"/>
        <v/>
      </c>
      <c r="BQ270" s="398">
        <f t="shared" ca="1" si="724"/>
        <v>6</v>
      </c>
      <c r="BR270" s="398">
        <f t="shared" ca="1" si="756"/>
        <v>2</v>
      </c>
      <c r="BS270" s="398">
        <f t="shared" ca="1" si="757"/>
        <v>768</v>
      </c>
      <c r="BT270" s="398">
        <f t="shared" ca="1" si="758"/>
        <v>655600</v>
      </c>
      <c r="BU270" s="399">
        <f t="shared" si="772"/>
        <v>0</v>
      </c>
      <c r="BV270" s="399">
        <f t="shared" si="773"/>
        <v>0</v>
      </c>
      <c r="BW270" s="483" t="str">
        <f t="shared" ca="1" si="725"/>
        <v/>
      </c>
      <c r="BX270" s="400">
        <f ca="1">IF(MAX(IF($E$6="No",ROUNDUP($E$3/$I270,0),ROUNDUP(($E$3+$I270)/$I270,0)),IF($E$6="No",ROUNDUP($E$4/$G270,0),ROUNDUP(($E$4+$G270)/$G270,0)),ROUNDUP('BVMS checklist'!$H$217/$J270,0))&gt;1,'BVMS checklist'!$N$224,'BVMS checklist'!$N$217)</f>
        <v>0</v>
      </c>
      <c r="BY270" s="398">
        <f t="shared" ca="1" si="726"/>
        <v>2</v>
      </c>
      <c r="BZ270" s="400">
        <f t="shared" ca="1" si="759"/>
        <v>2</v>
      </c>
      <c r="CA270" s="400">
        <f t="shared" ca="1" si="760"/>
        <v>2100</v>
      </c>
      <c r="CB270" s="400">
        <f t="shared" ca="1" si="734"/>
        <v>0</v>
      </c>
      <c r="CC270" s="398">
        <f t="shared" ca="1" si="761"/>
        <v>655600</v>
      </c>
      <c r="CD270" s="401" t="str">
        <f t="shared" ca="1" si="727"/>
        <v/>
      </c>
      <c r="CE270" s="398">
        <f t="shared" ca="1" si="762"/>
        <v>1600</v>
      </c>
      <c r="CF270" s="400">
        <f ca="1">IF(MAX(IF($E$6="No",ROUNDUP($E$3/$I270,0),ROUNDUP(($E$3+$I270)/$I270,0)),IF($E$6="No",ROUNDUP($E$4/$G270,0),ROUNDUP(($E$4+$G270)/$G270,0)),ROUNDUP('BVMS checklist'!$H$217/$J270,0))&gt;1,'BVMS checklist'!$N$224,'BVMS checklist'!$N$217)+MAX(IF($E$6="No",ROUNDUP($E$3/$I270,0),ROUNDUP(($E$3+$I270)/$I270,0)),IF($E$6="No",ROUNDUP($E$4/$G270,0),ROUNDUP(($E$4+$G270)/$G270,0)))+$E$5</f>
        <v>1</v>
      </c>
      <c r="CG270" s="400" t="b">
        <f t="shared" ca="1" si="708"/>
        <v>1</v>
      </c>
      <c r="CH270" s="400" t="str">
        <f t="shared" ca="1" si="763"/>
        <v>Accepted</v>
      </c>
      <c r="CI270" s="398" t="str">
        <f t="shared" ca="1" si="735"/>
        <v>No</v>
      </c>
      <c r="CJ270" s="398" t="str">
        <f t="shared" ca="1" si="764"/>
        <v/>
      </c>
      <c r="CK270" s="398" t="str">
        <f t="shared" ca="1" si="728"/>
        <v/>
      </c>
      <c r="CL270" s="398">
        <f t="shared" ca="1" si="729"/>
        <v>6</v>
      </c>
      <c r="CM270" s="398">
        <f t="shared" ca="1" si="765"/>
        <v>2</v>
      </c>
      <c r="CN270" s="398">
        <f t="shared" ca="1" si="766"/>
        <v>768</v>
      </c>
      <c r="CO270" s="398">
        <f t="shared" ca="1" si="767"/>
        <v>655600</v>
      </c>
      <c r="CP270" s="399">
        <f t="shared" si="774"/>
        <v>0</v>
      </c>
      <c r="CQ270" s="399">
        <f t="shared" si="775"/>
        <v>0</v>
      </c>
      <c r="CR270" s="483" t="str">
        <f t="shared" ca="1" si="730"/>
        <v/>
      </c>
      <c r="CS270"/>
    </row>
    <row r="271" spans="1:97">
      <c r="A271" s="398" t="s">
        <v>1025</v>
      </c>
      <c r="B271" s="398" t="s">
        <v>987</v>
      </c>
      <c r="C271" s="440" t="s">
        <v>891</v>
      </c>
      <c r="D271" s="398">
        <v>1</v>
      </c>
      <c r="E271" s="398">
        <v>0</v>
      </c>
      <c r="F271" s="440">
        <v>0</v>
      </c>
      <c r="G271" s="398">
        <f>IF(C271="RAID5",(11-F271)*5586,(10-F271)*5586)</f>
        <v>61446</v>
      </c>
      <c r="H271" s="399">
        <v>72</v>
      </c>
      <c r="I271" s="399">
        <v>650</v>
      </c>
      <c r="J271" s="399">
        <v>800</v>
      </c>
      <c r="K271" s="399"/>
      <c r="L271" s="399"/>
      <c r="M271" s="400">
        <f ca="1">IF(MAX(IF($B$6="No",ROUNDUP($B$3/$I271,0),ROUNDUP(($B$3+$I271)/$I271,0)),IF($B$6="No",ROUNDUP($B$4/$G271,0),ROUNDUP(($B$4+$G271)/$G271,0)),ROUNDUP('BVMS checklist'!$H$217/$J271,0))&gt;1,'BVMS checklist'!$H$224,'BVMS checklist'!$H$217)</f>
        <v>0</v>
      </c>
      <c r="N271" s="398">
        <f t="shared" ca="1" si="709"/>
        <v>2</v>
      </c>
      <c r="O271" s="400">
        <f t="shared" ca="1" si="736"/>
        <v>2</v>
      </c>
      <c r="P271" s="400">
        <f t="shared" ca="1" si="700"/>
        <v>1300</v>
      </c>
      <c r="Q271" s="400">
        <f t="shared" ca="1" si="701"/>
        <v>0</v>
      </c>
      <c r="R271" s="398">
        <f t="shared" ca="1" si="702"/>
        <v>122892</v>
      </c>
      <c r="S271" s="401" t="str">
        <f t="shared" ca="1" si="710"/>
        <v/>
      </c>
      <c r="T271" s="398">
        <f t="shared" ca="1" si="711"/>
        <v>1600</v>
      </c>
      <c r="U271" s="400">
        <f ca="1">IF(MAX(IF($B$6="No",ROUNDUP($B$3/$I271,0),ROUNDUP(($B$3+$I271)/$I271,0)),IF($B$6="No",ROUNDUP($B$4/$G271,0),ROUNDUP(($B$4+$G271)/$G271,0)),ROUNDUP('BVMS checklist'!$H$217/$J271,0))&gt;1,'BVMS checklist'!$H$224,'BVMS checklist'!$H$217)+MAX(IF($B$6="No",ROUNDUP($B$3/$I271,0),ROUNDUP(($B$3+$I271)/$I271,0)),IF($B$6="No",ROUNDUP($B$4/$G271,0),ROUNDUP(($B$4+$G271)/$G271,0)))+$B$5</f>
        <v>1</v>
      </c>
      <c r="V271" s="400" t="b">
        <f t="shared" ca="1" si="703"/>
        <v>1</v>
      </c>
      <c r="W271" s="400" t="str">
        <f t="shared" ca="1" si="737"/>
        <v>Accepted</v>
      </c>
      <c r="X271" s="398" t="str">
        <f t="shared" ca="1" si="712"/>
        <v>No</v>
      </c>
      <c r="Y271" s="398" t="str">
        <f t="shared" ca="1" si="713"/>
        <v/>
      </c>
      <c r="Z271" s="398" t="str">
        <f t="shared" ca="1" si="714"/>
        <v/>
      </c>
      <c r="AA271" s="398">
        <f t="shared" ca="1" si="738"/>
        <v>6</v>
      </c>
      <c r="AB271" s="398">
        <f t="shared" ca="1" si="704"/>
        <v>2</v>
      </c>
      <c r="AC271" s="398">
        <f t="shared" ca="1" si="705"/>
        <v>144</v>
      </c>
      <c r="AD271" s="398">
        <f t="shared" ca="1" si="739"/>
        <v>122892</v>
      </c>
      <c r="AE271" s="399">
        <f t="shared" si="768"/>
        <v>0</v>
      </c>
      <c r="AF271" s="399">
        <f t="shared" si="769"/>
        <v>0</v>
      </c>
      <c r="AG271" s="483" t="str">
        <f t="shared" ca="1" si="715"/>
        <v/>
      </c>
      <c r="AH271" s="400">
        <f ca="1">IF(MAX(IF($C$6="No",ROUNDUP($C$3/$I271,0),ROUNDUP(($C$3+$I271)/$I271,0)),IF($C$6="No",ROUNDUP($C$4/$G271,0),ROUNDUP(($C$4+$G271)/$G271,0)),ROUNDUP('BVMS checklist'!$H$217/$J271,0))&gt;1,'BVMS checklist'!$J$224,'BVMS checklist'!$J$217)</f>
        <v>0</v>
      </c>
      <c r="AI271" s="398">
        <f t="shared" ca="1" si="716"/>
        <v>2</v>
      </c>
      <c r="AJ271" s="400">
        <f t="shared" ca="1" si="740"/>
        <v>2</v>
      </c>
      <c r="AK271" s="400">
        <f t="shared" ca="1" si="741"/>
        <v>1300</v>
      </c>
      <c r="AL271" s="400">
        <f t="shared" ca="1" si="742"/>
        <v>0</v>
      </c>
      <c r="AM271" s="398">
        <f t="shared" ca="1" si="743"/>
        <v>122892</v>
      </c>
      <c r="AN271" s="401" t="str">
        <f t="shared" ca="1" si="717"/>
        <v/>
      </c>
      <c r="AO271" s="398">
        <f t="shared" ca="1" si="744"/>
        <v>1600</v>
      </c>
      <c r="AP271" s="400">
        <f ca="1">IF(MAX(IF($C$6="No",ROUNDUP($C$3/$I271,0),ROUNDUP(($C$3+$I271)/$I271,0)),IF($C$6="No",ROUNDUP($C$4/$G271,0),ROUNDUP(($C$4+$G271)/$G271,0)),ROUNDUP('BVMS checklist'!$H$217/$J271,0))&gt;1,'BVMS checklist'!$J$224,'BVMS checklist'!$J$217)+MAX(IF($C$6="No",ROUNDUP($C$3/$I271,0),ROUNDUP(($C$3+$I271)/$I271,0)),IF($C$6="No",ROUNDUP($C$4/$G271,0),ROUNDUP(($C$4+$G271)/$G271,0)))+$C$5</f>
        <v>1</v>
      </c>
      <c r="AQ271" s="400" t="b">
        <f t="shared" ca="1" si="706"/>
        <v>1</v>
      </c>
      <c r="AR271" s="400" t="str">
        <f t="shared" ca="1" si="745"/>
        <v>Accepted</v>
      </c>
      <c r="AS271" s="398" t="str">
        <f t="shared" ca="1" si="731"/>
        <v>No</v>
      </c>
      <c r="AT271" s="398" t="str">
        <f t="shared" ca="1" si="746"/>
        <v/>
      </c>
      <c r="AU271" s="398" t="str">
        <f t="shared" ca="1" si="718"/>
        <v/>
      </c>
      <c r="AV271" s="398">
        <f t="shared" ca="1" si="719"/>
        <v>6</v>
      </c>
      <c r="AW271" s="398">
        <f t="shared" ca="1" si="747"/>
        <v>2</v>
      </c>
      <c r="AX271" s="398">
        <f t="shared" ca="1" si="748"/>
        <v>144</v>
      </c>
      <c r="AY271" s="398">
        <f t="shared" ca="1" si="749"/>
        <v>122892</v>
      </c>
      <c r="AZ271" s="399">
        <f t="shared" si="770"/>
        <v>0</v>
      </c>
      <c r="BA271" s="399">
        <f t="shared" si="771"/>
        <v>0</v>
      </c>
      <c r="BB271" s="483" t="str">
        <f t="shared" ca="1" si="720"/>
        <v/>
      </c>
      <c r="BC271" s="400">
        <f ca="1">IF(MAX(IF($D$6="No",ROUNDUP($D$3/$I271,0),ROUNDUP(($D$3+$I271)/$I271,0)),IF($D$6="No",ROUNDUP($D$4/$G271,0),ROUNDUP(($D$4+$G271)/$G271,0)),ROUNDUP('BVMS checklist'!$H$217/$J271,0))&gt;1,'BVMS checklist'!$L$224,'BVMS checklist'!$L$217)</f>
        <v>0</v>
      </c>
      <c r="BD271" s="398">
        <f t="shared" ca="1" si="721"/>
        <v>2</v>
      </c>
      <c r="BE271" s="400">
        <f t="shared" si="750"/>
        <v>1</v>
      </c>
      <c r="BF271" s="400">
        <f t="shared" si="751"/>
        <v>650</v>
      </c>
      <c r="BG271" s="400">
        <f t="shared" ca="1" si="732"/>
        <v>0</v>
      </c>
      <c r="BH271" s="398">
        <f t="shared" ca="1" si="752"/>
        <v>122892</v>
      </c>
      <c r="BI271" s="401" t="str">
        <f t="shared" ca="1" si="722"/>
        <v/>
      </c>
      <c r="BJ271" s="398">
        <f t="shared" ca="1" si="753"/>
        <v>1600</v>
      </c>
      <c r="BK271" s="400">
        <f ca="1">IF(MAX(IF($D$6="No",ROUNDUP($D$3/$I271,0),ROUNDUP(($D$3+$I271)/$I271,0)),IF($D$6="No",ROUNDUP($D$4/$G271,0),ROUNDUP(($D$4+$G271)/$G271,0)),ROUNDUP('BVMS checklist'!$H$217/$J271,0))&gt;1,'BVMS checklist'!$L$224,'BVMS checklist'!$L$217)+MAX(IF($D$6="No",ROUNDUP($D$3/$I271,0),ROUNDUP(($D$3+$I271)/$I271,0)),IF($D$6="No",ROUNDUP($D$4/$G271,0),ROUNDUP(($D$4+$G271)/$G271,0)))+$D$5</f>
        <v>1</v>
      </c>
      <c r="BL271" s="400" t="b">
        <f t="shared" ca="1" si="707"/>
        <v>1</v>
      </c>
      <c r="BM271" s="400" t="str">
        <f t="shared" ca="1" si="754"/>
        <v>Accepted</v>
      </c>
      <c r="BN271" s="398" t="str">
        <f t="shared" ca="1" si="733"/>
        <v>No</v>
      </c>
      <c r="BO271" s="398" t="str">
        <f t="shared" ca="1" si="755"/>
        <v/>
      </c>
      <c r="BP271" s="398" t="str">
        <f t="shared" ca="1" si="723"/>
        <v/>
      </c>
      <c r="BQ271" s="398">
        <f t="shared" ca="1" si="724"/>
        <v>6</v>
      </c>
      <c r="BR271" s="398">
        <f t="shared" ca="1" si="756"/>
        <v>2</v>
      </c>
      <c r="BS271" s="398">
        <f t="shared" ca="1" si="757"/>
        <v>144</v>
      </c>
      <c r="BT271" s="398">
        <f t="shared" ca="1" si="758"/>
        <v>122892</v>
      </c>
      <c r="BU271" s="399">
        <f t="shared" si="772"/>
        <v>0</v>
      </c>
      <c r="BV271" s="399">
        <f t="shared" si="773"/>
        <v>0</v>
      </c>
      <c r="BW271" s="483" t="str">
        <f t="shared" ca="1" si="725"/>
        <v/>
      </c>
      <c r="BX271" s="400">
        <f ca="1">IF(MAX(IF($E$6="No",ROUNDUP($E$3/$I271,0),ROUNDUP(($E$3+$I271)/$I271,0)),IF($E$6="No",ROUNDUP($E$4/$G271,0),ROUNDUP(($E$4+$G271)/$G271,0)),ROUNDUP('BVMS checklist'!$H$217/$J271,0))&gt;1,'BVMS checklist'!$N$224,'BVMS checklist'!$N$217)</f>
        <v>0</v>
      </c>
      <c r="BY271" s="398">
        <f t="shared" ca="1" si="726"/>
        <v>2</v>
      </c>
      <c r="BZ271" s="400">
        <f t="shared" ca="1" si="759"/>
        <v>2</v>
      </c>
      <c r="CA271" s="400">
        <f t="shared" ca="1" si="760"/>
        <v>1300</v>
      </c>
      <c r="CB271" s="400">
        <f t="shared" ca="1" si="734"/>
        <v>0</v>
      </c>
      <c r="CC271" s="398">
        <f t="shared" ca="1" si="761"/>
        <v>122892</v>
      </c>
      <c r="CD271" s="401" t="str">
        <f t="shared" ca="1" si="727"/>
        <v/>
      </c>
      <c r="CE271" s="398">
        <f t="shared" ca="1" si="762"/>
        <v>1600</v>
      </c>
      <c r="CF271" s="400">
        <f ca="1">IF(MAX(IF($E$6="No",ROUNDUP($E$3/$I271,0),ROUNDUP(($E$3+$I271)/$I271,0)),IF($E$6="No",ROUNDUP($E$4/$G271,0),ROUNDUP(($E$4+$G271)/$G271,0)),ROUNDUP('BVMS checklist'!$H$217/$J271,0))&gt;1,'BVMS checklist'!$N$224,'BVMS checklist'!$N$217)+MAX(IF($E$6="No",ROUNDUP($E$3/$I271,0),ROUNDUP(($E$3+$I271)/$I271,0)),IF($E$6="No",ROUNDUP($E$4/$G271,0),ROUNDUP(($E$4+$G271)/$G271,0)))+$E$5</f>
        <v>1</v>
      </c>
      <c r="CG271" s="400" t="b">
        <f t="shared" ca="1" si="708"/>
        <v>1</v>
      </c>
      <c r="CH271" s="400" t="str">
        <f t="shared" ca="1" si="763"/>
        <v>Accepted</v>
      </c>
      <c r="CI271" s="398" t="str">
        <f t="shared" ca="1" si="735"/>
        <v>No</v>
      </c>
      <c r="CJ271" s="398" t="str">
        <f t="shared" ca="1" si="764"/>
        <v/>
      </c>
      <c r="CK271" s="398" t="str">
        <f t="shared" ca="1" si="728"/>
        <v/>
      </c>
      <c r="CL271" s="398">
        <f t="shared" ca="1" si="729"/>
        <v>6</v>
      </c>
      <c r="CM271" s="398">
        <f t="shared" ca="1" si="765"/>
        <v>2</v>
      </c>
      <c r="CN271" s="398">
        <f t="shared" ca="1" si="766"/>
        <v>144</v>
      </c>
      <c r="CO271" s="398">
        <f t="shared" ca="1" si="767"/>
        <v>122892</v>
      </c>
      <c r="CP271" s="399">
        <f t="shared" si="774"/>
        <v>0</v>
      </c>
      <c r="CQ271" s="399">
        <f t="shared" si="775"/>
        <v>0</v>
      </c>
      <c r="CR271" s="483" t="str">
        <f t="shared" ca="1" si="730"/>
        <v/>
      </c>
      <c r="CS271"/>
    </row>
    <row r="272" spans="1:97">
      <c r="A272" s="398" t="s">
        <v>1026</v>
      </c>
      <c r="B272" s="398" t="s">
        <v>987</v>
      </c>
      <c r="C272" s="440" t="s">
        <v>891</v>
      </c>
      <c r="D272" s="398">
        <v>1</v>
      </c>
      <c r="E272" s="398">
        <v>1</v>
      </c>
      <c r="F272" s="440">
        <v>0</v>
      </c>
      <c r="G272" s="398">
        <f>IF(C272="RAID5",(11-F272)*5586,(10-F272)*5586)+IF(C272="RAID5",(11-F272)*5586,(10-F272)*5586)*E272</f>
        <v>122892</v>
      </c>
      <c r="H272" s="399">
        <v>144</v>
      </c>
      <c r="I272" s="399">
        <v>1050</v>
      </c>
      <c r="J272" s="399">
        <v>800</v>
      </c>
      <c r="K272" s="399"/>
      <c r="L272" s="399"/>
      <c r="M272" s="400">
        <f ca="1">IF(MAX(IF($B$6="No",ROUNDUP($B$3/$I272,0),ROUNDUP(($B$3+$I272)/$I272,0)),IF($B$6="No",ROUNDUP($B$4/$G272,0),ROUNDUP(($B$4+$G272)/$G272,0)),ROUNDUP('BVMS checklist'!$H$217/$J272,0))&gt;1,'BVMS checklist'!$H$224,'BVMS checklist'!$H$217)</f>
        <v>0</v>
      </c>
      <c r="N272" s="398">
        <f t="shared" ca="1" si="709"/>
        <v>2</v>
      </c>
      <c r="O272" s="400">
        <f t="shared" ca="1" si="736"/>
        <v>2</v>
      </c>
      <c r="P272" s="400">
        <f t="shared" ca="1" si="700"/>
        <v>2100</v>
      </c>
      <c r="Q272" s="400">
        <f t="shared" ca="1" si="701"/>
        <v>0</v>
      </c>
      <c r="R272" s="398">
        <f t="shared" ca="1" si="702"/>
        <v>245784</v>
      </c>
      <c r="S272" s="401" t="str">
        <f t="shared" ca="1" si="710"/>
        <v/>
      </c>
      <c r="T272" s="398">
        <f t="shared" ca="1" si="711"/>
        <v>1600</v>
      </c>
      <c r="U272" s="400">
        <f ca="1">IF(MAX(IF($B$6="No",ROUNDUP($B$3/$I272,0),ROUNDUP(($B$3+$I272)/$I272,0)),IF($B$6="No",ROUNDUP($B$4/$G272,0),ROUNDUP(($B$4+$G272)/$G272,0)),ROUNDUP('BVMS checklist'!$H$217/$J272,0))&gt;1,'BVMS checklist'!$H$224,'BVMS checklist'!$H$217)+MAX(IF($B$6="No",ROUNDUP($B$3/$I272,0),ROUNDUP(($B$3+$I272)/$I272,0)),IF($B$6="No",ROUNDUP($B$4/$G272,0),ROUNDUP(($B$4+$G272)/$G272,0)))+$B$5</f>
        <v>1</v>
      </c>
      <c r="V272" s="400" t="b">
        <f t="shared" ca="1" si="703"/>
        <v>1</v>
      </c>
      <c r="W272" s="400" t="str">
        <f t="shared" ca="1" si="737"/>
        <v>Accepted</v>
      </c>
      <c r="X272" s="398" t="str">
        <f t="shared" ca="1" si="712"/>
        <v>No</v>
      </c>
      <c r="Y272" s="398" t="str">
        <f t="shared" ca="1" si="713"/>
        <v/>
      </c>
      <c r="Z272" s="398" t="str">
        <f t="shared" ca="1" si="714"/>
        <v/>
      </c>
      <c r="AA272" s="398">
        <f t="shared" ca="1" si="738"/>
        <v>6</v>
      </c>
      <c r="AB272" s="398">
        <f t="shared" ca="1" si="704"/>
        <v>2</v>
      </c>
      <c r="AC272" s="398">
        <f t="shared" ca="1" si="705"/>
        <v>288</v>
      </c>
      <c r="AD272" s="398">
        <f t="shared" ca="1" si="739"/>
        <v>245784</v>
      </c>
      <c r="AE272" s="399">
        <f t="shared" si="768"/>
        <v>0</v>
      </c>
      <c r="AF272" s="399">
        <f t="shared" si="769"/>
        <v>0</v>
      </c>
      <c r="AG272" s="483" t="str">
        <f t="shared" ca="1" si="715"/>
        <v/>
      </c>
      <c r="AH272" s="400">
        <f ca="1">IF(MAX(IF($C$6="No",ROUNDUP($C$3/$I272,0),ROUNDUP(($C$3+$I272)/$I272,0)),IF($C$6="No",ROUNDUP($C$4/$G272,0),ROUNDUP(($C$4+$G272)/$G272,0)),ROUNDUP('BVMS checklist'!$H$217/$J272,0))&gt;1,'BVMS checklist'!$J$224,'BVMS checklist'!$J$217)</f>
        <v>0</v>
      </c>
      <c r="AI272" s="398">
        <f t="shared" ca="1" si="716"/>
        <v>2</v>
      </c>
      <c r="AJ272" s="400">
        <f t="shared" ca="1" si="740"/>
        <v>2</v>
      </c>
      <c r="AK272" s="400">
        <f t="shared" ca="1" si="741"/>
        <v>2100</v>
      </c>
      <c r="AL272" s="400">
        <f t="shared" ca="1" si="742"/>
        <v>0</v>
      </c>
      <c r="AM272" s="398">
        <f t="shared" ca="1" si="743"/>
        <v>245784</v>
      </c>
      <c r="AN272" s="401" t="str">
        <f t="shared" ca="1" si="717"/>
        <v/>
      </c>
      <c r="AO272" s="398">
        <f t="shared" ca="1" si="744"/>
        <v>1600</v>
      </c>
      <c r="AP272" s="400">
        <f ca="1">IF(MAX(IF($C$6="No",ROUNDUP($C$3/$I272,0),ROUNDUP(($C$3+$I272)/$I272,0)),IF($C$6="No",ROUNDUP($C$4/$G272,0),ROUNDUP(($C$4+$G272)/$G272,0)),ROUNDUP('BVMS checklist'!$H$217/$J272,0))&gt;1,'BVMS checklist'!$J$224,'BVMS checklist'!$J$217)+MAX(IF($C$6="No",ROUNDUP($C$3/$I272,0),ROUNDUP(($C$3+$I272)/$I272,0)),IF($C$6="No",ROUNDUP($C$4/$G272,0),ROUNDUP(($C$4+$G272)/$G272,0)))+$C$5</f>
        <v>1</v>
      </c>
      <c r="AQ272" s="400" t="b">
        <f t="shared" ca="1" si="706"/>
        <v>1</v>
      </c>
      <c r="AR272" s="400" t="str">
        <f t="shared" ca="1" si="745"/>
        <v>Accepted</v>
      </c>
      <c r="AS272" s="398" t="str">
        <f t="shared" ca="1" si="731"/>
        <v>No</v>
      </c>
      <c r="AT272" s="398" t="str">
        <f t="shared" ca="1" si="746"/>
        <v/>
      </c>
      <c r="AU272" s="398" t="str">
        <f t="shared" ca="1" si="718"/>
        <v/>
      </c>
      <c r="AV272" s="398">
        <f t="shared" ca="1" si="719"/>
        <v>6</v>
      </c>
      <c r="AW272" s="398">
        <f t="shared" ca="1" si="747"/>
        <v>2</v>
      </c>
      <c r="AX272" s="398">
        <f t="shared" ca="1" si="748"/>
        <v>288</v>
      </c>
      <c r="AY272" s="398">
        <f t="shared" ca="1" si="749"/>
        <v>245784</v>
      </c>
      <c r="AZ272" s="399">
        <f t="shared" si="770"/>
        <v>0</v>
      </c>
      <c r="BA272" s="399">
        <f t="shared" si="771"/>
        <v>0</v>
      </c>
      <c r="BB272" s="483" t="str">
        <f t="shared" ca="1" si="720"/>
        <v/>
      </c>
      <c r="BC272" s="400">
        <f ca="1">IF(MAX(IF($D$6="No",ROUNDUP($D$3/$I272,0),ROUNDUP(($D$3+$I272)/$I272,0)),IF($D$6="No",ROUNDUP($D$4/$G272,0),ROUNDUP(($D$4+$G272)/$G272,0)),ROUNDUP('BVMS checklist'!$H$217/$J272,0))&gt;1,'BVMS checklist'!$L$224,'BVMS checklist'!$L$217)</f>
        <v>0</v>
      </c>
      <c r="BD272" s="398">
        <f t="shared" ca="1" si="721"/>
        <v>2</v>
      </c>
      <c r="BE272" s="400">
        <f t="shared" si="750"/>
        <v>1</v>
      </c>
      <c r="BF272" s="400">
        <f t="shared" si="751"/>
        <v>1050</v>
      </c>
      <c r="BG272" s="400">
        <f t="shared" ca="1" si="732"/>
        <v>0</v>
      </c>
      <c r="BH272" s="398">
        <f t="shared" ca="1" si="752"/>
        <v>245784</v>
      </c>
      <c r="BI272" s="401" t="str">
        <f t="shared" ca="1" si="722"/>
        <v/>
      </c>
      <c r="BJ272" s="398">
        <f t="shared" ca="1" si="753"/>
        <v>1600</v>
      </c>
      <c r="BK272" s="400">
        <f ca="1">IF(MAX(IF($D$6="No",ROUNDUP($D$3/$I272,0),ROUNDUP(($D$3+$I272)/$I272,0)),IF($D$6="No",ROUNDUP($D$4/$G272,0),ROUNDUP(($D$4+$G272)/$G272,0)),ROUNDUP('BVMS checklist'!$H$217/$J272,0))&gt;1,'BVMS checklist'!$L$224,'BVMS checklist'!$L$217)+MAX(IF($D$6="No",ROUNDUP($D$3/$I272,0),ROUNDUP(($D$3+$I272)/$I272,0)),IF($D$6="No",ROUNDUP($D$4/$G272,0),ROUNDUP(($D$4+$G272)/$G272,0)))+$D$5</f>
        <v>1</v>
      </c>
      <c r="BL272" s="400" t="b">
        <f t="shared" ca="1" si="707"/>
        <v>1</v>
      </c>
      <c r="BM272" s="400" t="str">
        <f t="shared" ca="1" si="754"/>
        <v>Accepted</v>
      </c>
      <c r="BN272" s="398" t="str">
        <f t="shared" ca="1" si="733"/>
        <v>No</v>
      </c>
      <c r="BO272" s="398" t="str">
        <f t="shared" ca="1" si="755"/>
        <v/>
      </c>
      <c r="BP272" s="398" t="str">
        <f t="shared" ca="1" si="723"/>
        <v/>
      </c>
      <c r="BQ272" s="398">
        <f t="shared" ca="1" si="724"/>
        <v>6</v>
      </c>
      <c r="BR272" s="398">
        <f t="shared" ca="1" si="756"/>
        <v>2</v>
      </c>
      <c r="BS272" s="398">
        <f t="shared" ca="1" si="757"/>
        <v>288</v>
      </c>
      <c r="BT272" s="398">
        <f t="shared" ca="1" si="758"/>
        <v>245784</v>
      </c>
      <c r="BU272" s="399">
        <f t="shared" si="772"/>
        <v>0</v>
      </c>
      <c r="BV272" s="399">
        <f t="shared" si="773"/>
        <v>0</v>
      </c>
      <c r="BW272" s="483" t="str">
        <f t="shared" ca="1" si="725"/>
        <v/>
      </c>
      <c r="BX272" s="400">
        <f ca="1">IF(MAX(IF($E$6="No",ROUNDUP($E$3/$I272,0),ROUNDUP(($E$3+$I272)/$I272,0)),IF($E$6="No",ROUNDUP($E$4/$G272,0),ROUNDUP(($E$4+$G272)/$G272,0)),ROUNDUP('BVMS checklist'!$H$217/$J272,0))&gt;1,'BVMS checklist'!$N$224,'BVMS checklist'!$N$217)</f>
        <v>0</v>
      </c>
      <c r="BY272" s="398">
        <f t="shared" ca="1" si="726"/>
        <v>2</v>
      </c>
      <c r="BZ272" s="400">
        <f t="shared" ca="1" si="759"/>
        <v>2</v>
      </c>
      <c r="CA272" s="400">
        <f t="shared" ca="1" si="760"/>
        <v>2100</v>
      </c>
      <c r="CB272" s="400">
        <f t="shared" ca="1" si="734"/>
        <v>0</v>
      </c>
      <c r="CC272" s="398">
        <f t="shared" ca="1" si="761"/>
        <v>245784</v>
      </c>
      <c r="CD272" s="401" t="str">
        <f t="shared" ca="1" si="727"/>
        <v/>
      </c>
      <c r="CE272" s="398">
        <f t="shared" ca="1" si="762"/>
        <v>1600</v>
      </c>
      <c r="CF272" s="400">
        <f ca="1">IF(MAX(IF($E$6="No",ROUNDUP($E$3/$I272,0),ROUNDUP(($E$3+$I272)/$I272,0)),IF($E$6="No",ROUNDUP($E$4/$G272,0),ROUNDUP(($E$4+$G272)/$G272,0)),ROUNDUP('BVMS checklist'!$H$217/$J272,0))&gt;1,'BVMS checklist'!$N$224,'BVMS checklist'!$N$217)+MAX(IF($E$6="No",ROUNDUP($E$3/$I272,0),ROUNDUP(($E$3+$I272)/$I272,0)),IF($E$6="No",ROUNDUP($E$4/$G272,0),ROUNDUP(($E$4+$G272)/$G272,0)))+$E$5</f>
        <v>1</v>
      </c>
      <c r="CG272" s="400" t="b">
        <f t="shared" ca="1" si="708"/>
        <v>1</v>
      </c>
      <c r="CH272" s="400" t="str">
        <f t="shared" ca="1" si="763"/>
        <v>Accepted</v>
      </c>
      <c r="CI272" s="398" t="str">
        <f t="shared" ca="1" si="735"/>
        <v>No</v>
      </c>
      <c r="CJ272" s="398" t="str">
        <f t="shared" ca="1" si="764"/>
        <v/>
      </c>
      <c r="CK272" s="398" t="str">
        <f t="shared" ca="1" si="728"/>
        <v/>
      </c>
      <c r="CL272" s="398">
        <f t="shared" ca="1" si="729"/>
        <v>6</v>
      </c>
      <c r="CM272" s="398">
        <f t="shared" ca="1" si="765"/>
        <v>2</v>
      </c>
      <c r="CN272" s="398">
        <f t="shared" ca="1" si="766"/>
        <v>288</v>
      </c>
      <c r="CO272" s="398">
        <f t="shared" ca="1" si="767"/>
        <v>245784</v>
      </c>
      <c r="CP272" s="399">
        <f t="shared" si="774"/>
        <v>0</v>
      </c>
      <c r="CQ272" s="399">
        <f t="shared" si="775"/>
        <v>0</v>
      </c>
      <c r="CR272" s="483" t="str">
        <f t="shared" ca="1" si="730"/>
        <v/>
      </c>
      <c r="CS272"/>
    </row>
    <row r="273" spans="1:97">
      <c r="A273" s="398" t="s">
        <v>1027</v>
      </c>
      <c r="B273" s="398" t="s">
        <v>987</v>
      </c>
      <c r="C273" s="440" t="s">
        <v>891</v>
      </c>
      <c r="D273" s="398">
        <v>1</v>
      </c>
      <c r="E273" s="398">
        <v>2</v>
      </c>
      <c r="F273" s="440">
        <v>0</v>
      </c>
      <c r="G273" s="398">
        <f t="shared" ref="G273:G278" si="811">IF(C273="RAID5",(11-F273)*5586,(10-F273)*5586)+IF(C273="RAID5",(11-F273)*5586,(10-F273)*5586)*E273</f>
        <v>184338</v>
      </c>
      <c r="H273" s="399">
        <v>216</v>
      </c>
      <c r="I273" s="399">
        <v>1050</v>
      </c>
      <c r="J273" s="399">
        <v>800</v>
      </c>
      <c r="K273" s="399"/>
      <c r="L273" s="399"/>
      <c r="M273" s="400">
        <f ca="1">IF(MAX(IF($B$6="No",ROUNDUP($B$3/$I273,0),ROUNDUP(($B$3+$I273)/$I273,0)),IF($B$6="No",ROUNDUP($B$4/$G273,0),ROUNDUP(($B$4+$G273)/$G273,0)),ROUNDUP('BVMS checklist'!$H$217/$J273,0))&gt;1,'BVMS checklist'!$H$224,'BVMS checklist'!$H$217)</f>
        <v>0</v>
      </c>
      <c r="N273" s="398">
        <f t="shared" ca="1" si="709"/>
        <v>2</v>
      </c>
      <c r="O273" s="400">
        <f t="shared" ca="1" si="736"/>
        <v>2</v>
      </c>
      <c r="P273" s="400">
        <f t="shared" ca="1" si="700"/>
        <v>2100</v>
      </c>
      <c r="Q273" s="400">
        <f t="shared" ca="1" si="701"/>
        <v>0</v>
      </c>
      <c r="R273" s="398">
        <f t="shared" ca="1" si="702"/>
        <v>368676</v>
      </c>
      <c r="S273" s="401" t="str">
        <f t="shared" ca="1" si="710"/>
        <v/>
      </c>
      <c r="T273" s="398">
        <f t="shared" ca="1" si="711"/>
        <v>1600</v>
      </c>
      <c r="U273" s="400">
        <f ca="1">IF(MAX(IF($B$6="No",ROUNDUP($B$3/$I273,0),ROUNDUP(($B$3+$I273)/$I273,0)),IF($B$6="No",ROUNDUP($B$4/$G273,0),ROUNDUP(($B$4+$G273)/$G273,0)),ROUNDUP('BVMS checklist'!$H$217/$J273,0))&gt;1,'BVMS checklist'!$H$224,'BVMS checklist'!$H$217)+MAX(IF($B$6="No",ROUNDUP($B$3/$I273,0),ROUNDUP(($B$3+$I273)/$I273,0)),IF($B$6="No",ROUNDUP($B$4/$G273,0),ROUNDUP(($B$4+$G273)/$G273,0)))+$B$5</f>
        <v>1</v>
      </c>
      <c r="V273" s="400" t="b">
        <f t="shared" ca="1" si="703"/>
        <v>1</v>
      </c>
      <c r="W273" s="400" t="str">
        <f t="shared" ca="1" si="737"/>
        <v>Accepted</v>
      </c>
      <c r="X273" s="398" t="str">
        <f t="shared" ca="1" si="712"/>
        <v>No</v>
      </c>
      <c r="Y273" s="398" t="str">
        <f t="shared" ca="1" si="713"/>
        <v/>
      </c>
      <c r="Z273" s="398" t="str">
        <f t="shared" ca="1" si="714"/>
        <v/>
      </c>
      <c r="AA273" s="398">
        <f t="shared" ca="1" si="738"/>
        <v>6</v>
      </c>
      <c r="AB273" s="398">
        <f t="shared" ca="1" si="704"/>
        <v>2</v>
      </c>
      <c r="AC273" s="398">
        <f t="shared" ca="1" si="705"/>
        <v>432</v>
      </c>
      <c r="AD273" s="398">
        <f t="shared" ca="1" si="739"/>
        <v>368676</v>
      </c>
      <c r="AE273" s="399">
        <f t="shared" si="768"/>
        <v>0</v>
      </c>
      <c r="AF273" s="399">
        <f t="shared" si="769"/>
        <v>0</v>
      </c>
      <c r="AG273" s="483" t="str">
        <f t="shared" ca="1" si="715"/>
        <v/>
      </c>
      <c r="AH273" s="400">
        <f ca="1">IF(MAX(IF($C$6="No",ROUNDUP($C$3/$I273,0),ROUNDUP(($C$3+$I273)/$I273,0)),IF($C$6="No",ROUNDUP($C$4/$G273,0),ROUNDUP(($C$4+$G273)/$G273,0)),ROUNDUP('BVMS checklist'!$H$217/$J273,0))&gt;1,'BVMS checklist'!$J$224,'BVMS checklist'!$J$217)</f>
        <v>0</v>
      </c>
      <c r="AI273" s="398">
        <f t="shared" ca="1" si="716"/>
        <v>2</v>
      </c>
      <c r="AJ273" s="400">
        <f t="shared" ca="1" si="740"/>
        <v>2</v>
      </c>
      <c r="AK273" s="400">
        <f t="shared" ca="1" si="741"/>
        <v>2100</v>
      </c>
      <c r="AL273" s="400">
        <f t="shared" ca="1" si="742"/>
        <v>0</v>
      </c>
      <c r="AM273" s="398">
        <f t="shared" ca="1" si="743"/>
        <v>368676</v>
      </c>
      <c r="AN273" s="401" t="str">
        <f t="shared" ca="1" si="717"/>
        <v/>
      </c>
      <c r="AO273" s="398">
        <f t="shared" ca="1" si="744"/>
        <v>1600</v>
      </c>
      <c r="AP273" s="400">
        <f ca="1">IF(MAX(IF($C$6="No",ROUNDUP($C$3/$I273,0),ROUNDUP(($C$3+$I273)/$I273,0)),IF($C$6="No",ROUNDUP($C$4/$G273,0),ROUNDUP(($C$4+$G273)/$G273,0)),ROUNDUP('BVMS checklist'!$H$217/$J273,0))&gt;1,'BVMS checklist'!$J$224,'BVMS checklist'!$J$217)+MAX(IF($C$6="No",ROUNDUP($C$3/$I273,0),ROUNDUP(($C$3+$I273)/$I273,0)),IF($C$6="No",ROUNDUP($C$4/$G273,0),ROUNDUP(($C$4+$G273)/$G273,0)))+$C$5</f>
        <v>1</v>
      </c>
      <c r="AQ273" s="400" t="b">
        <f t="shared" ca="1" si="706"/>
        <v>1</v>
      </c>
      <c r="AR273" s="400" t="str">
        <f t="shared" ca="1" si="745"/>
        <v>Accepted</v>
      </c>
      <c r="AS273" s="398" t="str">
        <f t="shared" ca="1" si="731"/>
        <v>No</v>
      </c>
      <c r="AT273" s="398" t="str">
        <f t="shared" ca="1" si="746"/>
        <v/>
      </c>
      <c r="AU273" s="398" t="str">
        <f t="shared" ca="1" si="718"/>
        <v/>
      </c>
      <c r="AV273" s="398">
        <f t="shared" ca="1" si="719"/>
        <v>6</v>
      </c>
      <c r="AW273" s="398">
        <f t="shared" ca="1" si="747"/>
        <v>2</v>
      </c>
      <c r="AX273" s="398">
        <f t="shared" ca="1" si="748"/>
        <v>432</v>
      </c>
      <c r="AY273" s="398">
        <f t="shared" ca="1" si="749"/>
        <v>368676</v>
      </c>
      <c r="AZ273" s="399">
        <f t="shared" si="770"/>
        <v>0</v>
      </c>
      <c r="BA273" s="399">
        <f t="shared" si="771"/>
        <v>0</v>
      </c>
      <c r="BB273" s="483" t="str">
        <f t="shared" ca="1" si="720"/>
        <v/>
      </c>
      <c r="BC273" s="400">
        <f ca="1">IF(MAX(IF($D$6="No",ROUNDUP($D$3/$I273,0),ROUNDUP(($D$3+$I273)/$I273,0)),IF($D$6="No",ROUNDUP($D$4/$G273,0),ROUNDUP(($D$4+$G273)/$G273,0)),ROUNDUP('BVMS checklist'!$H$217/$J273,0))&gt;1,'BVMS checklist'!$L$224,'BVMS checklist'!$L$217)</f>
        <v>0</v>
      </c>
      <c r="BD273" s="398">
        <f t="shared" ca="1" si="721"/>
        <v>2</v>
      </c>
      <c r="BE273" s="400">
        <f t="shared" si="750"/>
        <v>1</v>
      </c>
      <c r="BF273" s="400">
        <f t="shared" si="751"/>
        <v>1050</v>
      </c>
      <c r="BG273" s="400">
        <f t="shared" ca="1" si="732"/>
        <v>0</v>
      </c>
      <c r="BH273" s="398">
        <f t="shared" ca="1" si="752"/>
        <v>368676</v>
      </c>
      <c r="BI273" s="401" t="str">
        <f t="shared" ca="1" si="722"/>
        <v/>
      </c>
      <c r="BJ273" s="398">
        <f t="shared" ca="1" si="753"/>
        <v>1600</v>
      </c>
      <c r="BK273" s="400">
        <f ca="1">IF(MAX(IF($D$6="No",ROUNDUP($D$3/$I273,0),ROUNDUP(($D$3+$I273)/$I273,0)),IF($D$6="No",ROUNDUP($D$4/$G273,0),ROUNDUP(($D$4+$G273)/$G273,0)),ROUNDUP('BVMS checklist'!$H$217/$J273,0))&gt;1,'BVMS checklist'!$L$224,'BVMS checklist'!$L$217)+MAX(IF($D$6="No",ROUNDUP($D$3/$I273,0),ROUNDUP(($D$3+$I273)/$I273,0)),IF($D$6="No",ROUNDUP($D$4/$G273,0),ROUNDUP(($D$4+$G273)/$G273,0)))+$D$5</f>
        <v>1</v>
      </c>
      <c r="BL273" s="400" t="b">
        <f t="shared" ca="1" si="707"/>
        <v>1</v>
      </c>
      <c r="BM273" s="400" t="str">
        <f t="shared" ca="1" si="754"/>
        <v>Accepted</v>
      </c>
      <c r="BN273" s="398" t="str">
        <f t="shared" ca="1" si="733"/>
        <v>No</v>
      </c>
      <c r="BO273" s="398" t="str">
        <f t="shared" ca="1" si="755"/>
        <v/>
      </c>
      <c r="BP273" s="398" t="str">
        <f t="shared" ca="1" si="723"/>
        <v/>
      </c>
      <c r="BQ273" s="398">
        <f t="shared" ca="1" si="724"/>
        <v>6</v>
      </c>
      <c r="BR273" s="398">
        <f t="shared" ca="1" si="756"/>
        <v>2</v>
      </c>
      <c r="BS273" s="398">
        <f t="shared" ca="1" si="757"/>
        <v>432</v>
      </c>
      <c r="BT273" s="398">
        <f t="shared" ca="1" si="758"/>
        <v>368676</v>
      </c>
      <c r="BU273" s="399">
        <f t="shared" si="772"/>
        <v>0</v>
      </c>
      <c r="BV273" s="399">
        <f t="shared" si="773"/>
        <v>0</v>
      </c>
      <c r="BW273" s="483" t="str">
        <f t="shared" ca="1" si="725"/>
        <v/>
      </c>
      <c r="BX273" s="400">
        <f ca="1">IF(MAX(IF($E$6="No",ROUNDUP($E$3/$I273,0),ROUNDUP(($E$3+$I273)/$I273,0)),IF($E$6="No",ROUNDUP($E$4/$G273,0),ROUNDUP(($E$4+$G273)/$G273,0)),ROUNDUP('BVMS checklist'!$H$217/$J273,0))&gt;1,'BVMS checklist'!$N$224,'BVMS checklist'!$N$217)</f>
        <v>0</v>
      </c>
      <c r="BY273" s="398">
        <f t="shared" ca="1" si="726"/>
        <v>2</v>
      </c>
      <c r="BZ273" s="400">
        <f t="shared" ca="1" si="759"/>
        <v>2</v>
      </c>
      <c r="CA273" s="400">
        <f t="shared" ca="1" si="760"/>
        <v>2100</v>
      </c>
      <c r="CB273" s="400">
        <f t="shared" ca="1" si="734"/>
        <v>0</v>
      </c>
      <c r="CC273" s="398">
        <f t="shared" ca="1" si="761"/>
        <v>368676</v>
      </c>
      <c r="CD273" s="401" t="str">
        <f t="shared" ca="1" si="727"/>
        <v/>
      </c>
      <c r="CE273" s="398">
        <f t="shared" ca="1" si="762"/>
        <v>1600</v>
      </c>
      <c r="CF273" s="400">
        <f ca="1">IF(MAX(IF($E$6="No",ROUNDUP($E$3/$I273,0),ROUNDUP(($E$3+$I273)/$I273,0)),IF($E$6="No",ROUNDUP($E$4/$G273,0),ROUNDUP(($E$4+$G273)/$G273,0)),ROUNDUP('BVMS checklist'!$H$217/$J273,0))&gt;1,'BVMS checklist'!$N$224,'BVMS checklist'!$N$217)+MAX(IF($E$6="No",ROUNDUP($E$3/$I273,0),ROUNDUP(($E$3+$I273)/$I273,0)),IF($E$6="No",ROUNDUP($E$4/$G273,0),ROUNDUP(($E$4+$G273)/$G273,0)))+$E$5</f>
        <v>1</v>
      </c>
      <c r="CG273" s="400" t="b">
        <f t="shared" ca="1" si="708"/>
        <v>1</v>
      </c>
      <c r="CH273" s="400" t="str">
        <f t="shared" ca="1" si="763"/>
        <v>Accepted</v>
      </c>
      <c r="CI273" s="398" t="str">
        <f t="shared" ca="1" si="735"/>
        <v>No</v>
      </c>
      <c r="CJ273" s="398" t="str">
        <f t="shared" ca="1" si="764"/>
        <v/>
      </c>
      <c r="CK273" s="398" t="str">
        <f t="shared" ca="1" si="728"/>
        <v/>
      </c>
      <c r="CL273" s="398">
        <f t="shared" ca="1" si="729"/>
        <v>6</v>
      </c>
      <c r="CM273" s="398">
        <f t="shared" ca="1" si="765"/>
        <v>2</v>
      </c>
      <c r="CN273" s="398">
        <f t="shared" ca="1" si="766"/>
        <v>432</v>
      </c>
      <c r="CO273" s="398">
        <f t="shared" ca="1" si="767"/>
        <v>368676</v>
      </c>
      <c r="CP273" s="399">
        <f t="shared" si="774"/>
        <v>0</v>
      </c>
      <c r="CQ273" s="399">
        <f t="shared" si="775"/>
        <v>0</v>
      </c>
      <c r="CR273" s="483" t="str">
        <f t="shared" ca="1" si="730"/>
        <v/>
      </c>
      <c r="CS273"/>
    </row>
    <row r="274" spans="1:97">
      <c r="A274" s="398" t="s">
        <v>1028</v>
      </c>
      <c r="B274" s="398" t="s">
        <v>987</v>
      </c>
      <c r="C274" s="440" t="s">
        <v>891</v>
      </c>
      <c r="D274" s="398">
        <v>1</v>
      </c>
      <c r="E274" s="398">
        <v>3</v>
      </c>
      <c r="F274" s="440">
        <v>0</v>
      </c>
      <c r="G274" s="398">
        <f t="shared" si="811"/>
        <v>245784</v>
      </c>
      <c r="H274" s="399">
        <v>288</v>
      </c>
      <c r="I274" s="399">
        <v>1050</v>
      </c>
      <c r="J274" s="399">
        <v>800</v>
      </c>
      <c r="K274" s="399"/>
      <c r="L274" s="399"/>
      <c r="M274" s="400">
        <f ca="1">IF(MAX(IF($B$6="No",ROUNDUP($B$3/$I274,0),ROUNDUP(($B$3+$I274)/$I274,0)),IF($B$6="No",ROUNDUP($B$4/$G274,0),ROUNDUP(($B$4+$G274)/$G274,0)),ROUNDUP('BVMS checklist'!$H$217/$J274,0))&gt;1,'BVMS checklist'!$H$224,'BVMS checklist'!$H$217)</f>
        <v>0</v>
      </c>
      <c r="N274" s="398">
        <f t="shared" ca="1" si="709"/>
        <v>2</v>
      </c>
      <c r="O274" s="400">
        <f t="shared" ca="1" si="736"/>
        <v>2</v>
      </c>
      <c r="P274" s="400">
        <f t="shared" ca="1" si="700"/>
        <v>2100</v>
      </c>
      <c r="Q274" s="400">
        <f t="shared" ca="1" si="701"/>
        <v>0</v>
      </c>
      <c r="R274" s="398">
        <f t="shared" ca="1" si="702"/>
        <v>491568</v>
      </c>
      <c r="S274" s="401" t="str">
        <f t="shared" ca="1" si="710"/>
        <v/>
      </c>
      <c r="T274" s="398">
        <f t="shared" ca="1" si="711"/>
        <v>1600</v>
      </c>
      <c r="U274" s="400">
        <f ca="1">IF(MAX(IF($B$6="No",ROUNDUP($B$3/$I274,0),ROUNDUP(($B$3+$I274)/$I274,0)),IF($B$6="No",ROUNDUP($B$4/$G274,0),ROUNDUP(($B$4+$G274)/$G274,0)),ROUNDUP('BVMS checklist'!$H$217/$J274,0))&gt;1,'BVMS checklist'!$H$224,'BVMS checklist'!$H$217)+MAX(IF($B$6="No",ROUNDUP($B$3/$I274,0),ROUNDUP(($B$3+$I274)/$I274,0)),IF($B$6="No",ROUNDUP($B$4/$G274,0),ROUNDUP(($B$4+$G274)/$G274,0)))+$B$5</f>
        <v>1</v>
      </c>
      <c r="V274" s="400" t="b">
        <f t="shared" ca="1" si="703"/>
        <v>1</v>
      </c>
      <c r="W274" s="400" t="str">
        <f t="shared" ca="1" si="737"/>
        <v>Accepted</v>
      </c>
      <c r="X274" s="398" t="str">
        <f t="shared" ca="1" si="712"/>
        <v>No</v>
      </c>
      <c r="Y274" s="398" t="str">
        <f t="shared" ca="1" si="713"/>
        <v/>
      </c>
      <c r="Z274" s="398" t="str">
        <f t="shared" ca="1" si="714"/>
        <v/>
      </c>
      <c r="AA274" s="398">
        <f t="shared" ca="1" si="738"/>
        <v>6</v>
      </c>
      <c r="AB274" s="398">
        <f t="shared" ca="1" si="704"/>
        <v>2</v>
      </c>
      <c r="AC274" s="398">
        <f t="shared" ca="1" si="705"/>
        <v>576</v>
      </c>
      <c r="AD274" s="398">
        <f t="shared" ca="1" si="739"/>
        <v>491568</v>
      </c>
      <c r="AE274" s="399">
        <f t="shared" si="768"/>
        <v>0</v>
      </c>
      <c r="AF274" s="399">
        <f t="shared" si="769"/>
        <v>0</v>
      </c>
      <c r="AG274" s="483" t="str">
        <f t="shared" ca="1" si="715"/>
        <v/>
      </c>
      <c r="AH274" s="400">
        <f ca="1">IF(MAX(IF($C$6="No",ROUNDUP($C$3/$I274,0),ROUNDUP(($C$3+$I274)/$I274,0)),IF($C$6="No",ROUNDUP($C$4/$G274,0),ROUNDUP(($C$4+$G274)/$G274,0)),ROUNDUP('BVMS checklist'!$H$217/$J274,0))&gt;1,'BVMS checklist'!$J$224,'BVMS checklist'!$J$217)</f>
        <v>0</v>
      </c>
      <c r="AI274" s="398">
        <f t="shared" ca="1" si="716"/>
        <v>2</v>
      </c>
      <c r="AJ274" s="400">
        <f t="shared" ca="1" si="740"/>
        <v>2</v>
      </c>
      <c r="AK274" s="400">
        <f t="shared" ca="1" si="741"/>
        <v>2100</v>
      </c>
      <c r="AL274" s="400">
        <f t="shared" ca="1" si="742"/>
        <v>0</v>
      </c>
      <c r="AM274" s="398">
        <f t="shared" ca="1" si="743"/>
        <v>491568</v>
      </c>
      <c r="AN274" s="401" t="str">
        <f t="shared" ca="1" si="717"/>
        <v/>
      </c>
      <c r="AO274" s="398">
        <f t="shared" ca="1" si="744"/>
        <v>1600</v>
      </c>
      <c r="AP274" s="400">
        <f ca="1">IF(MAX(IF($C$6="No",ROUNDUP($C$3/$I274,0),ROUNDUP(($C$3+$I274)/$I274,0)),IF($C$6="No",ROUNDUP($C$4/$G274,0),ROUNDUP(($C$4+$G274)/$G274,0)),ROUNDUP('BVMS checklist'!$H$217/$J274,0))&gt;1,'BVMS checklist'!$J$224,'BVMS checklist'!$J$217)+MAX(IF($C$6="No",ROUNDUP($C$3/$I274,0),ROUNDUP(($C$3+$I274)/$I274,0)),IF($C$6="No",ROUNDUP($C$4/$G274,0),ROUNDUP(($C$4+$G274)/$G274,0)))+$C$5</f>
        <v>1</v>
      </c>
      <c r="AQ274" s="400" t="b">
        <f t="shared" ca="1" si="706"/>
        <v>1</v>
      </c>
      <c r="AR274" s="400" t="str">
        <f t="shared" ca="1" si="745"/>
        <v>Accepted</v>
      </c>
      <c r="AS274" s="398" t="str">
        <f t="shared" ca="1" si="731"/>
        <v>No</v>
      </c>
      <c r="AT274" s="398" t="str">
        <f t="shared" ca="1" si="746"/>
        <v/>
      </c>
      <c r="AU274" s="398" t="str">
        <f t="shared" ca="1" si="718"/>
        <v/>
      </c>
      <c r="AV274" s="398">
        <f t="shared" ca="1" si="719"/>
        <v>6</v>
      </c>
      <c r="AW274" s="398">
        <f t="shared" ca="1" si="747"/>
        <v>2</v>
      </c>
      <c r="AX274" s="398">
        <f t="shared" ca="1" si="748"/>
        <v>576</v>
      </c>
      <c r="AY274" s="398">
        <f t="shared" ca="1" si="749"/>
        <v>491568</v>
      </c>
      <c r="AZ274" s="399">
        <f t="shared" si="770"/>
        <v>0</v>
      </c>
      <c r="BA274" s="399">
        <f t="shared" si="771"/>
        <v>0</v>
      </c>
      <c r="BB274" s="483" t="str">
        <f t="shared" ca="1" si="720"/>
        <v/>
      </c>
      <c r="BC274" s="400">
        <f ca="1">IF(MAX(IF($D$6="No",ROUNDUP($D$3/$I274,0),ROUNDUP(($D$3+$I274)/$I274,0)),IF($D$6="No",ROUNDUP($D$4/$G274,0),ROUNDUP(($D$4+$G274)/$G274,0)),ROUNDUP('BVMS checklist'!$H$217/$J274,0))&gt;1,'BVMS checklist'!$L$224,'BVMS checklist'!$L$217)</f>
        <v>0</v>
      </c>
      <c r="BD274" s="398">
        <f t="shared" ca="1" si="721"/>
        <v>2</v>
      </c>
      <c r="BE274" s="400">
        <f t="shared" si="750"/>
        <v>1</v>
      </c>
      <c r="BF274" s="400">
        <f t="shared" si="751"/>
        <v>1050</v>
      </c>
      <c r="BG274" s="400">
        <f t="shared" ca="1" si="732"/>
        <v>0</v>
      </c>
      <c r="BH274" s="398">
        <f t="shared" ca="1" si="752"/>
        <v>491568</v>
      </c>
      <c r="BI274" s="401" t="str">
        <f t="shared" ca="1" si="722"/>
        <v/>
      </c>
      <c r="BJ274" s="398">
        <f t="shared" ca="1" si="753"/>
        <v>1600</v>
      </c>
      <c r="BK274" s="400">
        <f ca="1">IF(MAX(IF($D$6="No",ROUNDUP($D$3/$I274,0),ROUNDUP(($D$3+$I274)/$I274,0)),IF($D$6="No",ROUNDUP($D$4/$G274,0),ROUNDUP(($D$4+$G274)/$G274,0)),ROUNDUP('BVMS checklist'!$H$217/$J274,0))&gt;1,'BVMS checklist'!$L$224,'BVMS checklist'!$L$217)+MAX(IF($D$6="No",ROUNDUP($D$3/$I274,0),ROUNDUP(($D$3+$I274)/$I274,0)),IF($D$6="No",ROUNDUP($D$4/$G274,0),ROUNDUP(($D$4+$G274)/$G274,0)))+$D$5</f>
        <v>1</v>
      </c>
      <c r="BL274" s="400" t="b">
        <f t="shared" ca="1" si="707"/>
        <v>1</v>
      </c>
      <c r="BM274" s="400" t="str">
        <f t="shared" ca="1" si="754"/>
        <v>Accepted</v>
      </c>
      <c r="BN274" s="398" t="str">
        <f t="shared" ca="1" si="733"/>
        <v>No</v>
      </c>
      <c r="BO274" s="398" t="str">
        <f t="shared" ca="1" si="755"/>
        <v/>
      </c>
      <c r="BP274" s="398" t="str">
        <f t="shared" ca="1" si="723"/>
        <v/>
      </c>
      <c r="BQ274" s="398">
        <f t="shared" ca="1" si="724"/>
        <v>6</v>
      </c>
      <c r="BR274" s="398">
        <f t="shared" ca="1" si="756"/>
        <v>2</v>
      </c>
      <c r="BS274" s="398">
        <f t="shared" ca="1" si="757"/>
        <v>576</v>
      </c>
      <c r="BT274" s="398">
        <f t="shared" ca="1" si="758"/>
        <v>491568</v>
      </c>
      <c r="BU274" s="399">
        <f t="shared" si="772"/>
        <v>0</v>
      </c>
      <c r="BV274" s="399">
        <f t="shared" si="773"/>
        <v>0</v>
      </c>
      <c r="BW274" s="483" t="str">
        <f t="shared" ca="1" si="725"/>
        <v/>
      </c>
      <c r="BX274" s="400">
        <f ca="1">IF(MAX(IF($E$6="No",ROUNDUP($E$3/$I274,0),ROUNDUP(($E$3+$I274)/$I274,0)),IF($E$6="No",ROUNDUP($E$4/$G274,0),ROUNDUP(($E$4+$G274)/$G274,0)),ROUNDUP('BVMS checklist'!$H$217/$J274,0))&gt;1,'BVMS checklist'!$N$224,'BVMS checklist'!$N$217)</f>
        <v>0</v>
      </c>
      <c r="BY274" s="398">
        <f t="shared" ca="1" si="726"/>
        <v>2</v>
      </c>
      <c r="BZ274" s="400">
        <f t="shared" ca="1" si="759"/>
        <v>2</v>
      </c>
      <c r="CA274" s="400">
        <f t="shared" ca="1" si="760"/>
        <v>2100</v>
      </c>
      <c r="CB274" s="400">
        <f t="shared" ca="1" si="734"/>
        <v>0</v>
      </c>
      <c r="CC274" s="398">
        <f t="shared" ca="1" si="761"/>
        <v>491568</v>
      </c>
      <c r="CD274" s="401" t="str">
        <f t="shared" ca="1" si="727"/>
        <v/>
      </c>
      <c r="CE274" s="398">
        <f t="shared" ca="1" si="762"/>
        <v>1600</v>
      </c>
      <c r="CF274" s="400">
        <f ca="1">IF(MAX(IF($E$6="No",ROUNDUP($E$3/$I274,0),ROUNDUP(($E$3+$I274)/$I274,0)),IF($E$6="No",ROUNDUP($E$4/$G274,0),ROUNDUP(($E$4+$G274)/$G274,0)),ROUNDUP('BVMS checklist'!$H$217/$J274,0))&gt;1,'BVMS checklist'!$N$224,'BVMS checklist'!$N$217)+MAX(IF($E$6="No",ROUNDUP($E$3/$I274,0),ROUNDUP(($E$3+$I274)/$I274,0)),IF($E$6="No",ROUNDUP($E$4/$G274,0),ROUNDUP(($E$4+$G274)/$G274,0)))+$E$5</f>
        <v>1</v>
      </c>
      <c r="CG274" s="400" t="b">
        <f t="shared" ca="1" si="708"/>
        <v>1</v>
      </c>
      <c r="CH274" s="400" t="str">
        <f t="shared" ca="1" si="763"/>
        <v>Accepted</v>
      </c>
      <c r="CI274" s="398" t="str">
        <f t="shared" ca="1" si="735"/>
        <v>No</v>
      </c>
      <c r="CJ274" s="398" t="str">
        <f t="shared" ca="1" si="764"/>
        <v/>
      </c>
      <c r="CK274" s="398" t="str">
        <f t="shared" ca="1" si="728"/>
        <v/>
      </c>
      <c r="CL274" s="398">
        <f t="shared" ca="1" si="729"/>
        <v>6</v>
      </c>
      <c r="CM274" s="398">
        <f t="shared" ca="1" si="765"/>
        <v>2</v>
      </c>
      <c r="CN274" s="398">
        <f t="shared" ca="1" si="766"/>
        <v>576</v>
      </c>
      <c r="CO274" s="398">
        <f t="shared" ca="1" si="767"/>
        <v>491568</v>
      </c>
      <c r="CP274" s="399">
        <f t="shared" si="774"/>
        <v>0</v>
      </c>
      <c r="CQ274" s="399">
        <f t="shared" si="775"/>
        <v>0</v>
      </c>
      <c r="CR274" s="483" t="str">
        <f t="shared" ca="1" si="730"/>
        <v/>
      </c>
      <c r="CS274"/>
    </row>
    <row r="275" spans="1:97">
      <c r="A275" s="398" t="s">
        <v>1029</v>
      </c>
      <c r="B275" s="398" t="s">
        <v>987</v>
      </c>
      <c r="C275" s="440" t="s">
        <v>891</v>
      </c>
      <c r="D275" s="398">
        <v>1</v>
      </c>
      <c r="E275" s="398">
        <v>4</v>
      </c>
      <c r="F275" s="440">
        <v>0</v>
      </c>
      <c r="G275" s="398">
        <f t="shared" si="811"/>
        <v>307230</v>
      </c>
      <c r="H275" s="399">
        <v>360</v>
      </c>
      <c r="I275" s="399">
        <v>1050</v>
      </c>
      <c r="J275" s="399">
        <v>800</v>
      </c>
      <c r="K275" s="399"/>
      <c r="L275" s="399"/>
      <c r="M275" s="400">
        <f ca="1">IF(MAX(IF($B$6="No",ROUNDUP($B$3/$I275,0),ROUNDUP(($B$3+$I275)/$I275,0)),IF($B$6="No",ROUNDUP($B$4/$G275,0),ROUNDUP(($B$4+$G275)/$G275,0)),ROUNDUP('BVMS checklist'!$H$217/$J275,0))&gt;1,'BVMS checklist'!$H$224,'BVMS checklist'!$H$217)</f>
        <v>0</v>
      </c>
      <c r="N275" s="398">
        <f t="shared" ca="1" si="709"/>
        <v>2</v>
      </c>
      <c r="O275" s="400">
        <f t="shared" ca="1" si="736"/>
        <v>2</v>
      </c>
      <c r="P275" s="400">
        <f t="shared" ca="1" si="700"/>
        <v>2100</v>
      </c>
      <c r="Q275" s="400">
        <f t="shared" ca="1" si="701"/>
        <v>0</v>
      </c>
      <c r="R275" s="398">
        <f t="shared" ca="1" si="702"/>
        <v>614460</v>
      </c>
      <c r="S275" s="401" t="str">
        <f t="shared" ca="1" si="710"/>
        <v/>
      </c>
      <c r="T275" s="398">
        <f t="shared" ca="1" si="711"/>
        <v>1600</v>
      </c>
      <c r="U275" s="400">
        <f ca="1">IF(MAX(IF($B$6="No",ROUNDUP($B$3/$I275,0),ROUNDUP(($B$3+$I275)/$I275,0)),IF($B$6="No",ROUNDUP($B$4/$G275,0),ROUNDUP(($B$4+$G275)/$G275,0)),ROUNDUP('BVMS checklist'!$H$217/$J275,0))&gt;1,'BVMS checklist'!$H$224,'BVMS checklist'!$H$217)+MAX(IF($B$6="No",ROUNDUP($B$3/$I275,0),ROUNDUP(($B$3+$I275)/$I275,0)),IF($B$6="No",ROUNDUP($B$4/$G275,0),ROUNDUP(($B$4+$G275)/$G275,0)))+$B$5</f>
        <v>1</v>
      </c>
      <c r="V275" s="400" t="b">
        <f t="shared" ca="1" si="703"/>
        <v>1</v>
      </c>
      <c r="W275" s="400" t="str">
        <f t="shared" ca="1" si="737"/>
        <v>Accepted</v>
      </c>
      <c r="X275" s="398" t="str">
        <f t="shared" ca="1" si="712"/>
        <v>No</v>
      </c>
      <c r="Y275" s="398" t="str">
        <f t="shared" ca="1" si="713"/>
        <v/>
      </c>
      <c r="Z275" s="398" t="str">
        <f t="shared" ca="1" si="714"/>
        <v/>
      </c>
      <c r="AA275" s="398">
        <f t="shared" ca="1" si="738"/>
        <v>6</v>
      </c>
      <c r="AB275" s="398">
        <f t="shared" ca="1" si="704"/>
        <v>2</v>
      </c>
      <c r="AC275" s="398">
        <f t="shared" ca="1" si="705"/>
        <v>720</v>
      </c>
      <c r="AD275" s="398">
        <f t="shared" ca="1" si="739"/>
        <v>614460</v>
      </c>
      <c r="AE275" s="399">
        <f t="shared" si="768"/>
        <v>0</v>
      </c>
      <c r="AF275" s="399">
        <f t="shared" si="769"/>
        <v>0</v>
      </c>
      <c r="AG275" s="483" t="str">
        <f t="shared" ca="1" si="715"/>
        <v/>
      </c>
      <c r="AH275" s="400">
        <f ca="1">IF(MAX(IF($C$6="No",ROUNDUP($C$3/$I275,0),ROUNDUP(($C$3+$I275)/$I275,0)),IF($C$6="No",ROUNDUP($C$4/$G275,0),ROUNDUP(($C$4+$G275)/$G275,0)),ROUNDUP('BVMS checklist'!$H$217/$J275,0))&gt;1,'BVMS checklist'!$J$224,'BVMS checklist'!$J$217)</f>
        <v>0</v>
      </c>
      <c r="AI275" s="398">
        <f t="shared" ca="1" si="716"/>
        <v>2</v>
      </c>
      <c r="AJ275" s="400">
        <f t="shared" ca="1" si="740"/>
        <v>2</v>
      </c>
      <c r="AK275" s="400">
        <f t="shared" ca="1" si="741"/>
        <v>2100</v>
      </c>
      <c r="AL275" s="400">
        <f t="shared" ca="1" si="742"/>
        <v>0</v>
      </c>
      <c r="AM275" s="398">
        <f t="shared" ca="1" si="743"/>
        <v>614460</v>
      </c>
      <c r="AN275" s="401" t="str">
        <f t="shared" ca="1" si="717"/>
        <v/>
      </c>
      <c r="AO275" s="398">
        <f t="shared" ca="1" si="744"/>
        <v>1600</v>
      </c>
      <c r="AP275" s="400">
        <f ca="1">IF(MAX(IF($C$6="No",ROUNDUP($C$3/$I275,0),ROUNDUP(($C$3+$I275)/$I275,0)),IF($C$6="No",ROUNDUP($C$4/$G275,0),ROUNDUP(($C$4+$G275)/$G275,0)),ROUNDUP('BVMS checklist'!$H$217/$J275,0))&gt;1,'BVMS checklist'!$J$224,'BVMS checklist'!$J$217)+MAX(IF($C$6="No",ROUNDUP($C$3/$I275,0),ROUNDUP(($C$3+$I275)/$I275,0)),IF($C$6="No",ROUNDUP($C$4/$G275,0),ROUNDUP(($C$4+$G275)/$G275,0)))+$C$5</f>
        <v>1</v>
      </c>
      <c r="AQ275" s="400" t="b">
        <f t="shared" ca="1" si="706"/>
        <v>1</v>
      </c>
      <c r="AR275" s="400" t="str">
        <f t="shared" ca="1" si="745"/>
        <v>Accepted</v>
      </c>
      <c r="AS275" s="398" t="str">
        <f t="shared" ca="1" si="731"/>
        <v>No</v>
      </c>
      <c r="AT275" s="398" t="str">
        <f t="shared" ca="1" si="746"/>
        <v/>
      </c>
      <c r="AU275" s="398" t="str">
        <f t="shared" ca="1" si="718"/>
        <v/>
      </c>
      <c r="AV275" s="398">
        <f t="shared" ca="1" si="719"/>
        <v>6</v>
      </c>
      <c r="AW275" s="398">
        <f t="shared" ca="1" si="747"/>
        <v>2</v>
      </c>
      <c r="AX275" s="398">
        <f t="shared" ca="1" si="748"/>
        <v>720</v>
      </c>
      <c r="AY275" s="398">
        <f t="shared" ca="1" si="749"/>
        <v>614460</v>
      </c>
      <c r="AZ275" s="399">
        <f t="shared" si="770"/>
        <v>0</v>
      </c>
      <c r="BA275" s="399">
        <f t="shared" si="771"/>
        <v>0</v>
      </c>
      <c r="BB275" s="483" t="str">
        <f t="shared" ca="1" si="720"/>
        <v/>
      </c>
      <c r="BC275" s="400">
        <f ca="1">IF(MAX(IF($D$6="No",ROUNDUP($D$3/$I275,0),ROUNDUP(($D$3+$I275)/$I275,0)),IF($D$6="No",ROUNDUP($D$4/$G275,0),ROUNDUP(($D$4+$G275)/$G275,0)),ROUNDUP('BVMS checklist'!$H$217/$J275,0))&gt;1,'BVMS checklist'!$L$224,'BVMS checklist'!$L$217)</f>
        <v>0</v>
      </c>
      <c r="BD275" s="398">
        <f t="shared" ca="1" si="721"/>
        <v>2</v>
      </c>
      <c r="BE275" s="400">
        <f t="shared" si="750"/>
        <v>1</v>
      </c>
      <c r="BF275" s="400">
        <f t="shared" si="751"/>
        <v>1050</v>
      </c>
      <c r="BG275" s="400">
        <f t="shared" ca="1" si="732"/>
        <v>0</v>
      </c>
      <c r="BH275" s="398">
        <f t="shared" ca="1" si="752"/>
        <v>614460</v>
      </c>
      <c r="BI275" s="401" t="str">
        <f t="shared" ca="1" si="722"/>
        <v/>
      </c>
      <c r="BJ275" s="398">
        <f t="shared" ca="1" si="753"/>
        <v>1600</v>
      </c>
      <c r="BK275" s="400">
        <f ca="1">IF(MAX(IF($D$6="No",ROUNDUP($D$3/$I275,0),ROUNDUP(($D$3+$I275)/$I275,0)),IF($D$6="No",ROUNDUP($D$4/$G275,0),ROUNDUP(($D$4+$G275)/$G275,0)),ROUNDUP('BVMS checklist'!$H$217/$J275,0))&gt;1,'BVMS checklist'!$L$224,'BVMS checklist'!$L$217)+MAX(IF($D$6="No",ROUNDUP($D$3/$I275,0),ROUNDUP(($D$3+$I275)/$I275,0)),IF($D$6="No",ROUNDUP($D$4/$G275,0),ROUNDUP(($D$4+$G275)/$G275,0)))+$D$5</f>
        <v>1</v>
      </c>
      <c r="BL275" s="400" t="b">
        <f t="shared" ca="1" si="707"/>
        <v>1</v>
      </c>
      <c r="BM275" s="400" t="str">
        <f t="shared" ca="1" si="754"/>
        <v>Accepted</v>
      </c>
      <c r="BN275" s="398" t="str">
        <f t="shared" ca="1" si="733"/>
        <v>No</v>
      </c>
      <c r="BO275" s="398" t="str">
        <f t="shared" ca="1" si="755"/>
        <v/>
      </c>
      <c r="BP275" s="398" t="str">
        <f t="shared" ca="1" si="723"/>
        <v/>
      </c>
      <c r="BQ275" s="398">
        <f t="shared" ca="1" si="724"/>
        <v>6</v>
      </c>
      <c r="BR275" s="398">
        <f t="shared" ca="1" si="756"/>
        <v>2</v>
      </c>
      <c r="BS275" s="398">
        <f t="shared" ca="1" si="757"/>
        <v>720</v>
      </c>
      <c r="BT275" s="398">
        <f t="shared" ca="1" si="758"/>
        <v>614460</v>
      </c>
      <c r="BU275" s="399">
        <f t="shared" si="772"/>
        <v>0</v>
      </c>
      <c r="BV275" s="399">
        <f t="shared" si="773"/>
        <v>0</v>
      </c>
      <c r="BW275" s="483" t="str">
        <f t="shared" ca="1" si="725"/>
        <v/>
      </c>
      <c r="BX275" s="400">
        <f ca="1">IF(MAX(IF($E$6="No",ROUNDUP($E$3/$I275,0),ROUNDUP(($E$3+$I275)/$I275,0)),IF($E$6="No",ROUNDUP($E$4/$G275,0),ROUNDUP(($E$4+$G275)/$G275,0)),ROUNDUP('BVMS checklist'!$H$217/$J275,0))&gt;1,'BVMS checklist'!$N$224,'BVMS checklist'!$N$217)</f>
        <v>0</v>
      </c>
      <c r="BY275" s="398">
        <f t="shared" ca="1" si="726"/>
        <v>2</v>
      </c>
      <c r="BZ275" s="400">
        <f t="shared" ca="1" si="759"/>
        <v>2</v>
      </c>
      <c r="CA275" s="400">
        <f t="shared" ca="1" si="760"/>
        <v>2100</v>
      </c>
      <c r="CB275" s="400">
        <f t="shared" ca="1" si="734"/>
        <v>0</v>
      </c>
      <c r="CC275" s="398">
        <f t="shared" ca="1" si="761"/>
        <v>614460</v>
      </c>
      <c r="CD275" s="401" t="str">
        <f t="shared" ca="1" si="727"/>
        <v/>
      </c>
      <c r="CE275" s="398">
        <f t="shared" ca="1" si="762"/>
        <v>1600</v>
      </c>
      <c r="CF275" s="400">
        <f ca="1">IF(MAX(IF($E$6="No",ROUNDUP($E$3/$I275,0),ROUNDUP(($E$3+$I275)/$I275,0)),IF($E$6="No",ROUNDUP($E$4/$G275,0),ROUNDUP(($E$4+$G275)/$G275,0)),ROUNDUP('BVMS checklist'!$H$217/$J275,0))&gt;1,'BVMS checklist'!$N$224,'BVMS checklist'!$N$217)+MAX(IF($E$6="No",ROUNDUP($E$3/$I275,0),ROUNDUP(($E$3+$I275)/$I275,0)),IF($E$6="No",ROUNDUP($E$4/$G275,0),ROUNDUP(($E$4+$G275)/$G275,0)))+$E$5</f>
        <v>1</v>
      </c>
      <c r="CG275" s="400" t="b">
        <f t="shared" ca="1" si="708"/>
        <v>1</v>
      </c>
      <c r="CH275" s="400" t="str">
        <f t="shared" ca="1" si="763"/>
        <v>Accepted</v>
      </c>
      <c r="CI275" s="398" t="str">
        <f t="shared" ca="1" si="735"/>
        <v>No</v>
      </c>
      <c r="CJ275" s="398" t="str">
        <f t="shared" ca="1" si="764"/>
        <v/>
      </c>
      <c r="CK275" s="398" t="str">
        <f t="shared" ca="1" si="728"/>
        <v/>
      </c>
      <c r="CL275" s="398">
        <f t="shared" ca="1" si="729"/>
        <v>6</v>
      </c>
      <c r="CM275" s="398">
        <f t="shared" ca="1" si="765"/>
        <v>2</v>
      </c>
      <c r="CN275" s="398">
        <f t="shared" ca="1" si="766"/>
        <v>720</v>
      </c>
      <c r="CO275" s="398">
        <f t="shared" ca="1" si="767"/>
        <v>614460</v>
      </c>
      <c r="CP275" s="399">
        <f t="shared" si="774"/>
        <v>0</v>
      </c>
      <c r="CQ275" s="399">
        <f t="shared" si="775"/>
        <v>0</v>
      </c>
      <c r="CR275" s="483" t="str">
        <f t="shared" ca="1" si="730"/>
        <v/>
      </c>
      <c r="CS275"/>
    </row>
    <row r="276" spans="1:97">
      <c r="A276" s="398" t="s">
        <v>1030</v>
      </c>
      <c r="B276" s="398" t="s">
        <v>987</v>
      </c>
      <c r="C276" s="440" t="s">
        <v>891</v>
      </c>
      <c r="D276" s="398">
        <v>1</v>
      </c>
      <c r="E276" s="398">
        <v>5</v>
      </c>
      <c r="F276" s="440">
        <v>0</v>
      </c>
      <c r="G276" s="398">
        <f t="shared" si="811"/>
        <v>368676</v>
      </c>
      <c r="H276" s="399">
        <v>432</v>
      </c>
      <c r="I276" s="399">
        <v>1050</v>
      </c>
      <c r="J276" s="399">
        <v>800</v>
      </c>
      <c r="K276" s="399"/>
      <c r="L276" s="399"/>
      <c r="M276" s="400">
        <f ca="1">IF(MAX(IF($B$6="No",ROUNDUP($B$3/$I276,0),ROUNDUP(($B$3+$I276)/$I276,0)),IF($B$6="No",ROUNDUP($B$4/$G276,0),ROUNDUP(($B$4+$G276)/$G276,0)),ROUNDUP('BVMS checklist'!$H$217/$J276,0))&gt;1,'BVMS checklist'!$H$224,'BVMS checklist'!$H$217)</f>
        <v>0</v>
      </c>
      <c r="N276" s="398">
        <f t="shared" ca="1" si="709"/>
        <v>2</v>
      </c>
      <c r="O276" s="400">
        <f t="shared" ca="1" si="736"/>
        <v>2</v>
      </c>
      <c r="P276" s="400">
        <f t="shared" ca="1" si="700"/>
        <v>2100</v>
      </c>
      <c r="Q276" s="400">
        <f t="shared" ca="1" si="701"/>
        <v>0</v>
      </c>
      <c r="R276" s="398">
        <f t="shared" ca="1" si="702"/>
        <v>737352</v>
      </c>
      <c r="S276" s="401" t="str">
        <f t="shared" ca="1" si="710"/>
        <v/>
      </c>
      <c r="T276" s="398">
        <f t="shared" ca="1" si="711"/>
        <v>1600</v>
      </c>
      <c r="U276" s="400">
        <f ca="1">IF(MAX(IF($B$6="No",ROUNDUP($B$3/$I276,0),ROUNDUP(($B$3+$I276)/$I276,0)),IF($B$6="No",ROUNDUP($B$4/$G276,0),ROUNDUP(($B$4+$G276)/$G276,0)),ROUNDUP('BVMS checklist'!$H$217/$J276,0))&gt;1,'BVMS checklist'!$H$224,'BVMS checklist'!$H$217)+MAX(IF($B$6="No",ROUNDUP($B$3/$I276,0),ROUNDUP(($B$3+$I276)/$I276,0)),IF($B$6="No",ROUNDUP($B$4/$G276,0),ROUNDUP(($B$4+$G276)/$G276,0)))+$B$5</f>
        <v>1</v>
      </c>
      <c r="V276" s="400" t="b">
        <f t="shared" ca="1" si="703"/>
        <v>1</v>
      </c>
      <c r="W276" s="400" t="str">
        <f t="shared" ca="1" si="737"/>
        <v>Accepted</v>
      </c>
      <c r="X276" s="398" t="str">
        <f t="shared" ca="1" si="712"/>
        <v>No</v>
      </c>
      <c r="Y276" s="398" t="str">
        <f t="shared" ca="1" si="713"/>
        <v/>
      </c>
      <c r="Z276" s="398" t="str">
        <f t="shared" ca="1" si="714"/>
        <v/>
      </c>
      <c r="AA276" s="398">
        <f t="shared" ca="1" si="738"/>
        <v>6</v>
      </c>
      <c r="AB276" s="398">
        <f t="shared" ca="1" si="704"/>
        <v>2</v>
      </c>
      <c r="AC276" s="398">
        <f t="shared" ca="1" si="705"/>
        <v>864</v>
      </c>
      <c r="AD276" s="398">
        <f t="shared" ca="1" si="739"/>
        <v>737352</v>
      </c>
      <c r="AE276" s="399">
        <f t="shared" si="768"/>
        <v>0</v>
      </c>
      <c r="AF276" s="399">
        <f t="shared" si="769"/>
        <v>0</v>
      </c>
      <c r="AG276" s="483" t="str">
        <f t="shared" ca="1" si="715"/>
        <v/>
      </c>
      <c r="AH276" s="400">
        <f ca="1">IF(MAX(IF($C$6="No",ROUNDUP($C$3/$I276,0),ROUNDUP(($C$3+$I276)/$I276,0)),IF($C$6="No",ROUNDUP($C$4/$G276,0),ROUNDUP(($C$4+$G276)/$G276,0)),ROUNDUP('BVMS checklist'!$H$217/$J276,0))&gt;1,'BVMS checklist'!$J$224,'BVMS checklist'!$J$217)</f>
        <v>0</v>
      </c>
      <c r="AI276" s="398">
        <f t="shared" ca="1" si="716"/>
        <v>2</v>
      </c>
      <c r="AJ276" s="400">
        <f t="shared" ca="1" si="740"/>
        <v>2</v>
      </c>
      <c r="AK276" s="400">
        <f t="shared" ca="1" si="741"/>
        <v>2100</v>
      </c>
      <c r="AL276" s="400">
        <f t="shared" ca="1" si="742"/>
        <v>0</v>
      </c>
      <c r="AM276" s="398">
        <f t="shared" ca="1" si="743"/>
        <v>737352</v>
      </c>
      <c r="AN276" s="401" t="str">
        <f t="shared" ca="1" si="717"/>
        <v/>
      </c>
      <c r="AO276" s="398">
        <f t="shared" ca="1" si="744"/>
        <v>1600</v>
      </c>
      <c r="AP276" s="400">
        <f ca="1">IF(MAX(IF($C$6="No",ROUNDUP($C$3/$I276,0),ROUNDUP(($C$3+$I276)/$I276,0)),IF($C$6="No",ROUNDUP($C$4/$G276,0),ROUNDUP(($C$4+$G276)/$G276,0)),ROUNDUP('BVMS checklist'!$H$217/$J276,0))&gt;1,'BVMS checklist'!$J$224,'BVMS checklist'!$J$217)+MAX(IF($C$6="No",ROUNDUP($C$3/$I276,0),ROUNDUP(($C$3+$I276)/$I276,0)),IF($C$6="No",ROUNDUP($C$4/$G276,0),ROUNDUP(($C$4+$G276)/$G276,0)))+$C$5</f>
        <v>1</v>
      </c>
      <c r="AQ276" s="400" t="b">
        <f t="shared" ca="1" si="706"/>
        <v>1</v>
      </c>
      <c r="AR276" s="400" t="str">
        <f t="shared" ca="1" si="745"/>
        <v>Accepted</v>
      </c>
      <c r="AS276" s="398" t="str">
        <f t="shared" ca="1" si="731"/>
        <v>No</v>
      </c>
      <c r="AT276" s="398" t="str">
        <f t="shared" ca="1" si="746"/>
        <v/>
      </c>
      <c r="AU276" s="398" t="str">
        <f t="shared" ca="1" si="718"/>
        <v/>
      </c>
      <c r="AV276" s="398">
        <f t="shared" ca="1" si="719"/>
        <v>6</v>
      </c>
      <c r="AW276" s="398">
        <f t="shared" ca="1" si="747"/>
        <v>2</v>
      </c>
      <c r="AX276" s="398">
        <f t="shared" ca="1" si="748"/>
        <v>864</v>
      </c>
      <c r="AY276" s="398">
        <f t="shared" ca="1" si="749"/>
        <v>737352</v>
      </c>
      <c r="AZ276" s="399">
        <f t="shared" si="770"/>
        <v>0</v>
      </c>
      <c r="BA276" s="399">
        <f t="shared" si="771"/>
        <v>0</v>
      </c>
      <c r="BB276" s="483" t="str">
        <f t="shared" ca="1" si="720"/>
        <v/>
      </c>
      <c r="BC276" s="400">
        <f ca="1">IF(MAX(IF($D$6="No",ROUNDUP($D$3/$I276,0),ROUNDUP(($D$3+$I276)/$I276,0)),IF($D$6="No",ROUNDUP($D$4/$G276,0),ROUNDUP(($D$4+$G276)/$G276,0)),ROUNDUP('BVMS checklist'!$H$217/$J276,0))&gt;1,'BVMS checklist'!$L$224,'BVMS checklist'!$L$217)</f>
        <v>0</v>
      </c>
      <c r="BD276" s="398">
        <f t="shared" ca="1" si="721"/>
        <v>2</v>
      </c>
      <c r="BE276" s="400">
        <f t="shared" si="750"/>
        <v>1</v>
      </c>
      <c r="BF276" s="400">
        <f t="shared" si="751"/>
        <v>1050</v>
      </c>
      <c r="BG276" s="400">
        <f t="shared" ca="1" si="732"/>
        <v>0</v>
      </c>
      <c r="BH276" s="398">
        <f t="shared" ca="1" si="752"/>
        <v>737352</v>
      </c>
      <c r="BI276" s="401" t="str">
        <f t="shared" ca="1" si="722"/>
        <v/>
      </c>
      <c r="BJ276" s="398">
        <f t="shared" ca="1" si="753"/>
        <v>1600</v>
      </c>
      <c r="BK276" s="400">
        <f ca="1">IF(MAX(IF($D$6="No",ROUNDUP($D$3/$I276,0),ROUNDUP(($D$3+$I276)/$I276,0)),IF($D$6="No",ROUNDUP($D$4/$G276,0),ROUNDUP(($D$4+$G276)/$G276,0)),ROUNDUP('BVMS checklist'!$H$217/$J276,0))&gt;1,'BVMS checklist'!$L$224,'BVMS checklist'!$L$217)+MAX(IF($D$6="No",ROUNDUP($D$3/$I276,0),ROUNDUP(($D$3+$I276)/$I276,0)),IF($D$6="No",ROUNDUP($D$4/$G276,0),ROUNDUP(($D$4+$G276)/$G276,0)))+$D$5</f>
        <v>1</v>
      </c>
      <c r="BL276" s="400" t="b">
        <f t="shared" ca="1" si="707"/>
        <v>1</v>
      </c>
      <c r="BM276" s="400" t="str">
        <f t="shared" ca="1" si="754"/>
        <v>Accepted</v>
      </c>
      <c r="BN276" s="398" t="str">
        <f t="shared" ca="1" si="733"/>
        <v>No</v>
      </c>
      <c r="BO276" s="398" t="str">
        <f t="shared" ca="1" si="755"/>
        <v/>
      </c>
      <c r="BP276" s="398" t="str">
        <f t="shared" ca="1" si="723"/>
        <v/>
      </c>
      <c r="BQ276" s="398">
        <f t="shared" ca="1" si="724"/>
        <v>6</v>
      </c>
      <c r="BR276" s="398">
        <f t="shared" ca="1" si="756"/>
        <v>2</v>
      </c>
      <c r="BS276" s="398">
        <f t="shared" ca="1" si="757"/>
        <v>864</v>
      </c>
      <c r="BT276" s="398">
        <f t="shared" ca="1" si="758"/>
        <v>737352</v>
      </c>
      <c r="BU276" s="399">
        <f t="shared" si="772"/>
        <v>0</v>
      </c>
      <c r="BV276" s="399">
        <f t="shared" si="773"/>
        <v>0</v>
      </c>
      <c r="BW276" s="483" t="str">
        <f t="shared" ca="1" si="725"/>
        <v/>
      </c>
      <c r="BX276" s="400">
        <f ca="1">IF(MAX(IF($E$6="No",ROUNDUP($E$3/$I276,0),ROUNDUP(($E$3+$I276)/$I276,0)),IF($E$6="No",ROUNDUP($E$4/$G276,0),ROUNDUP(($E$4+$G276)/$G276,0)),ROUNDUP('BVMS checklist'!$H$217/$J276,0))&gt;1,'BVMS checklist'!$N$224,'BVMS checklist'!$N$217)</f>
        <v>0</v>
      </c>
      <c r="BY276" s="398">
        <f t="shared" ca="1" si="726"/>
        <v>2</v>
      </c>
      <c r="BZ276" s="400">
        <f t="shared" ca="1" si="759"/>
        <v>2</v>
      </c>
      <c r="CA276" s="400">
        <f t="shared" ca="1" si="760"/>
        <v>2100</v>
      </c>
      <c r="CB276" s="400">
        <f t="shared" ca="1" si="734"/>
        <v>0</v>
      </c>
      <c r="CC276" s="398">
        <f t="shared" ca="1" si="761"/>
        <v>737352</v>
      </c>
      <c r="CD276" s="401" t="str">
        <f t="shared" ca="1" si="727"/>
        <v/>
      </c>
      <c r="CE276" s="398">
        <f t="shared" ca="1" si="762"/>
        <v>1600</v>
      </c>
      <c r="CF276" s="400">
        <f ca="1">IF(MAX(IF($E$6="No",ROUNDUP($E$3/$I276,0),ROUNDUP(($E$3+$I276)/$I276,0)),IF($E$6="No",ROUNDUP($E$4/$G276,0),ROUNDUP(($E$4+$G276)/$G276,0)),ROUNDUP('BVMS checklist'!$H$217/$J276,0))&gt;1,'BVMS checklist'!$N$224,'BVMS checklist'!$N$217)+MAX(IF($E$6="No",ROUNDUP($E$3/$I276,0),ROUNDUP(($E$3+$I276)/$I276,0)),IF($E$6="No",ROUNDUP($E$4/$G276,0),ROUNDUP(($E$4+$G276)/$G276,0)))+$E$5</f>
        <v>1</v>
      </c>
      <c r="CG276" s="400" t="b">
        <f t="shared" ca="1" si="708"/>
        <v>1</v>
      </c>
      <c r="CH276" s="400" t="str">
        <f t="shared" ca="1" si="763"/>
        <v>Accepted</v>
      </c>
      <c r="CI276" s="398" t="str">
        <f t="shared" ca="1" si="735"/>
        <v>No</v>
      </c>
      <c r="CJ276" s="398" t="str">
        <f t="shared" ca="1" si="764"/>
        <v/>
      </c>
      <c r="CK276" s="398" t="str">
        <f t="shared" ca="1" si="728"/>
        <v/>
      </c>
      <c r="CL276" s="398">
        <f t="shared" ca="1" si="729"/>
        <v>6</v>
      </c>
      <c r="CM276" s="398">
        <f t="shared" ca="1" si="765"/>
        <v>2</v>
      </c>
      <c r="CN276" s="398">
        <f t="shared" ca="1" si="766"/>
        <v>864</v>
      </c>
      <c r="CO276" s="398">
        <f t="shared" ca="1" si="767"/>
        <v>737352</v>
      </c>
      <c r="CP276" s="399">
        <f t="shared" si="774"/>
        <v>0</v>
      </c>
      <c r="CQ276" s="399">
        <f t="shared" si="775"/>
        <v>0</v>
      </c>
      <c r="CR276" s="483" t="str">
        <f t="shared" ca="1" si="730"/>
        <v/>
      </c>
      <c r="CS276"/>
    </row>
    <row r="277" spans="1:97">
      <c r="A277" s="398" t="s">
        <v>1031</v>
      </c>
      <c r="B277" s="398" t="s">
        <v>987</v>
      </c>
      <c r="C277" s="440" t="s">
        <v>891</v>
      </c>
      <c r="D277" s="398">
        <v>1</v>
      </c>
      <c r="E277" s="398">
        <v>6</v>
      </c>
      <c r="F277" s="440">
        <v>0</v>
      </c>
      <c r="G277" s="398">
        <f t="shared" si="811"/>
        <v>430122</v>
      </c>
      <c r="H277" s="399">
        <v>504</v>
      </c>
      <c r="I277" s="399">
        <v>1050</v>
      </c>
      <c r="J277" s="399">
        <v>800</v>
      </c>
      <c r="K277" s="399"/>
      <c r="L277" s="399"/>
      <c r="M277" s="400">
        <f ca="1">IF(MAX(IF($B$6="No",ROUNDUP($B$3/$I277,0),ROUNDUP(($B$3+$I277)/$I277,0)),IF($B$6="No",ROUNDUP($B$4/$G277,0),ROUNDUP(($B$4+$G277)/$G277,0)),ROUNDUP('BVMS checklist'!$H$217/$J277,0))&gt;1,'BVMS checklist'!$H$224,'BVMS checklist'!$H$217)</f>
        <v>0</v>
      </c>
      <c r="N277" s="398">
        <f t="shared" ca="1" si="709"/>
        <v>2</v>
      </c>
      <c r="O277" s="400">
        <f t="shared" ca="1" si="736"/>
        <v>2</v>
      </c>
      <c r="P277" s="400">
        <f t="shared" ca="1" si="700"/>
        <v>2100</v>
      </c>
      <c r="Q277" s="400">
        <f t="shared" ca="1" si="701"/>
        <v>0</v>
      </c>
      <c r="R277" s="398">
        <f t="shared" ca="1" si="702"/>
        <v>860244</v>
      </c>
      <c r="S277" s="401" t="str">
        <f t="shared" ca="1" si="710"/>
        <v/>
      </c>
      <c r="T277" s="398">
        <f t="shared" ca="1" si="711"/>
        <v>1600</v>
      </c>
      <c r="U277" s="400">
        <f ca="1">IF(MAX(IF($B$6="No",ROUNDUP($B$3/$I277,0),ROUNDUP(($B$3+$I277)/$I277,0)),IF($B$6="No",ROUNDUP($B$4/$G277,0),ROUNDUP(($B$4+$G277)/$G277,0)),ROUNDUP('BVMS checklist'!$H$217/$J277,0))&gt;1,'BVMS checklist'!$H$224,'BVMS checklist'!$H$217)+MAX(IF($B$6="No",ROUNDUP($B$3/$I277,0),ROUNDUP(($B$3+$I277)/$I277,0)),IF($B$6="No",ROUNDUP($B$4/$G277,0),ROUNDUP(($B$4+$G277)/$G277,0)))+$B$5</f>
        <v>1</v>
      </c>
      <c r="V277" s="400" t="b">
        <f t="shared" ca="1" si="703"/>
        <v>1</v>
      </c>
      <c r="W277" s="400" t="str">
        <f t="shared" ca="1" si="737"/>
        <v>Accepted</v>
      </c>
      <c r="X277" s="398" t="str">
        <f t="shared" ca="1" si="712"/>
        <v>No</v>
      </c>
      <c r="Y277" s="398" t="str">
        <f t="shared" ca="1" si="713"/>
        <v/>
      </c>
      <c r="Z277" s="398" t="str">
        <f t="shared" ca="1" si="714"/>
        <v/>
      </c>
      <c r="AA277" s="398">
        <f t="shared" ca="1" si="738"/>
        <v>6</v>
      </c>
      <c r="AB277" s="398">
        <f t="shared" ca="1" si="704"/>
        <v>2</v>
      </c>
      <c r="AC277" s="398">
        <f t="shared" ca="1" si="705"/>
        <v>1008</v>
      </c>
      <c r="AD277" s="398">
        <f t="shared" ca="1" si="739"/>
        <v>860244</v>
      </c>
      <c r="AE277" s="399">
        <f t="shared" si="768"/>
        <v>0</v>
      </c>
      <c r="AF277" s="399">
        <f t="shared" si="769"/>
        <v>0</v>
      </c>
      <c r="AG277" s="483" t="str">
        <f t="shared" ca="1" si="715"/>
        <v/>
      </c>
      <c r="AH277" s="400">
        <f ca="1">IF(MAX(IF($C$6="No",ROUNDUP($C$3/$I277,0),ROUNDUP(($C$3+$I277)/$I277,0)),IF($C$6="No",ROUNDUP($C$4/$G277,0),ROUNDUP(($C$4+$G277)/$G277,0)),ROUNDUP('BVMS checklist'!$H$217/$J277,0))&gt;1,'BVMS checklist'!$J$224,'BVMS checklist'!$J$217)</f>
        <v>0</v>
      </c>
      <c r="AI277" s="398">
        <f t="shared" ca="1" si="716"/>
        <v>2</v>
      </c>
      <c r="AJ277" s="400">
        <f t="shared" ca="1" si="740"/>
        <v>2</v>
      </c>
      <c r="AK277" s="400">
        <f t="shared" ca="1" si="741"/>
        <v>2100</v>
      </c>
      <c r="AL277" s="400">
        <f t="shared" ca="1" si="742"/>
        <v>0</v>
      </c>
      <c r="AM277" s="398">
        <f t="shared" ca="1" si="743"/>
        <v>860244</v>
      </c>
      <c r="AN277" s="401" t="str">
        <f t="shared" ca="1" si="717"/>
        <v/>
      </c>
      <c r="AO277" s="398">
        <f t="shared" ca="1" si="744"/>
        <v>1600</v>
      </c>
      <c r="AP277" s="400">
        <f ca="1">IF(MAX(IF($C$6="No",ROUNDUP($C$3/$I277,0),ROUNDUP(($C$3+$I277)/$I277,0)),IF($C$6="No",ROUNDUP($C$4/$G277,0),ROUNDUP(($C$4+$G277)/$G277,0)),ROUNDUP('BVMS checklist'!$H$217/$J277,0))&gt;1,'BVMS checklist'!$J$224,'BVMS checklist'!$J$217)+MAX(IF($C$6="No",ROUNDUP($C$3/$I277,0),ROUNDUP(($C$3+$I277)/$I277,0)),IF($C$6="No",ROUNDUP($C$4/$G277,0),ROUNDUP(($C$4+$G277)/$G277,0)))+$C$5</f>
        <v>1</v>
      </c>
      <c r="AQ277" s="400" t="b">
        <f t="shared" ca="1" si="706"/>
        <v>1</v>
      </c>
      <c r="AR277" s="400" t="str">
        <f t="shared" ca="1" si="745"/>
        <v>Accepted</v>
      </c>
      <c r="AS277" s="398" t="str">
        <f t="shared" ca="1" si="731"/>
        <v>No</v>
      </c>
      <c r="AT277" s="398" t="str">
        <f t="shared" ca="1" si="746"/>
        <v/>
      </c>
      <c r="AU277" s="398" t="str">
        <f t="shared" ca="1" si="718"/>
        <v/>
      </c>
      <c r="AV277" s="398">
        <f t="shared" ca="1" si="719"/>
        <v>6</v>
      </c>
      <c r="AW277" s="398">
        <f t="shared" ca="1" si="747"/>
        <v>2</v>
      </c>
      <c r="AX277" s="398">
        <f t="shared" ca="1" si="748"/>
        <v>1008</v>
      </c>
      <c r="AY277" s="398">
        <f t="shared" ca="1" si="749"/>
        <v>860244</v>
      </c>
      <c r="AZ277" s="399">
        <f t="shared" si="770"/>
        <v>0</v>
      </c>
      <c r="BA277" s="399">
        <f t="shared" si="771"/>
        <v>0</v>
      </c>
      <c r="BB277" s="483" t="str">
        <f t="shared" ca="1" si="720"/>
        <v/>
      </c>
      <c r="BC277" s="400">
        <f ca="1">IF(MAX(IF($D$6="No",ROUNDUP($D$3/$I277,0),ROUNDUP(($D$3+$I277)/$I277,0)),IF($D$6="No",ROUNDUP($D$4/$G277,0),ROUNDUP(($D$4+$G277)/$G277,0)),ROUNDUP('BVMS checklist'!$H$217/$J277,0))&gt;1,'BVMS checklist'!$L$224,'BVMS checklist'!$L$217)</f>
        <v>0</v>
      </c>
      <c r="BD277" s="398">
        <f t="shared" ca="1" si="721"/>
        <v>2</v>
      </c>
      <c r="BE277" s="400">
        <f t="shared" si="750"/>
        <v>1</v>
      </c>
      <c r="BF277" s="400">
        <f t="shared" si="751"/>
        <v>1050</v>
      </c>
      <c r="BG277" s="400">
        <f t="shared" ca="1" si="732"/>
        <v>0</v>
      </c>
      <c r="BH277" s="398">
        <f t="shared" ca="1" si="752"/>
        <v>860244</v>
      </c>
      <c r="BI277" s="401" t="str">
        <f t="shared" ca="1" si="722"/>
        <v/>
      </c>
      <c r="BJ277" s="398">
        <f t="shared" ca="1" si="753"/>
        <v>1600</v>
      </c>
      <c r="BK277" s="400">
        <f ca="1">IF(MAX(IF($D$6="No",ROUNDUP($D$3/$I277,0),ROUNDUP(($D$3+$I277)/$I277,0)),IF($D$6="No",ROUNDUP($D$4/$G277,0),ROUNDUP(($D$4+$G277)/$G277,0)),ROUNDUP('BVMS checklist'!$H$217/$J277,0))&gt;1,'BVMS checklist'!$L$224,'BVMS checklist'!$L$217)+MAX(IF($D$6="No",ROUNDUP($D$3/$I277,0),ROUNDUP(($D$3+$I277)/$I277,0)),IF($D$6="No",ROUNDUP($D$4/$G277,0),ROUNDUP(($D$4+$G277)/$G277,0)))+$D$5</f>
        <v>1</v>
      </c>
      <c r="BL277" s="400" t="b">
        <f t="shared" ca="1" si="707"/>
        <v>1</v>
      </c>
      <c r="BM277" s="400" t="str">
        <f t="shared" ca="1" si="754"/>
        <v>Accepted</v>
      </c>
      <c r="BN277" s="398" t="str">
        <f t="shared" ca="1" si="733"/>
        <v>No</v>
      </c>
      <c r="BO277" s="398" t="str">
        <f t="shared" ca="1" si="755"/>
        <v/>
      </c>
      <c r="BP277" s="398" t="str">
        <f t="shared" ca="1" si="723"/>
        <v/>
      </c>
      <c r="BQ277" s="398">
        <f t="shared" ca="1" si="724"/>
        <v>6</v>
      </c>
      <c r="BR277" s="398">
        <f t="shared" ca="1" si="756"/>
        <v>2</v>
      </c>
      <c r="BS277" s="398">
        <f t="shared" ca="1" si="757"/>
        <v>1008</v>
      </c>
      <c r="BT277" s="398">
        <f t="shared" ca="1" si="758"/>
        <v>860244</v>
      </c>
      <c r="BU277" s="399">
        <f t="shared" si="772"/>
        <v>0</v>
      </c>
      <c r="BV277" s="399">
        <f t="shared" si="773"/>
        <v>0</v>
      </c>
      <c r="BW277" s="483" t="str">
        <f t="shared" ca="1" si="725"/>
        <v/>
      </c>
      <c r="BX277" s="400">
        <f ca="1">IF(MAX(IF($E$6="No",ROUNDUP($E$3/$I277,0),ROUNDUP(($E$3+$I277)/$I277,0)),IF($E$6="No",ROUNDUP($E$4/$G277,0),ROUNDUP(($E$4+$G277)/$G277,0)),ROUNDUP('BVMS checklist'!$H$217/$J277,0))&gt;1,'BVMS checklist'!$N$224,'BVMS checklist'!$N$217)</f>
        <v>0</v>
      </c>
      <c r="BY277" s="398">
        <f t="shared" ca="1" si="726"/>
        <v>2</v>
      </c>
      <c r="BZ277" s="400">
        <f t="shared" ca="1" si="759"/>
        <v>2</v>
      </c>
      <c r="CA277" s="400">
        <f t="shared" ca="1" si="760"/>
        <v>2100</v>
      </c>
      <c r="CB277" s="400">
        <f t="shared" ca="1" si="734"/>
        <v>0</v>
      </c>
      <c r="CC277" s="398">
        <f t="shared" ca="1" si="761"/>
        <v>860244</v>
      </c>
      <c r="CD277" s="401" t="str">
        <f t="shared" ca="1" si="727"/>
        <v/>
      </c>
      <c r="CE277" s="398">
        <f t="shared" ca="1" si="762"/>
        <v>1600</v>
      </c>
      <c r="CF277" s="400">
        <f ca="1">IF(MAX(IF($E$6="No",ROUNDUP($E$3/$I277,0),ROUNDUP(($E$3+$I277)/$I277,0)),IF($E$6="No",ROUNDUP($E$4/$G277,0),ROUNDUP(($E$4+$G277)/$G277,0)),ROUNDUP('BVMS checklist'!$H$217/$J277,0))&gt;1,'BVMS checklist'!$N$224,'BVMS checklist'!$N$217)+MAX(IF($E$6="No",ROUNDUP($E$3/$I277,0),ROUNDUP(($E$3+$I277)/$I277,0)),IF($E$6="No",ROUNDUP($E$4/$G277,0),ROUNDUP(($E$4+$G277)/$G277,0)))+$E$5</f>
        <v>1</v>
      </c>
      <c r="CG277" s="400" t="b">
        <f t="shared" ca="1" si="708"/>
        <v>1</v>
      </c>
      <c r="CH277" s="400" t="str">
        <f t="shared" ca="1" si="763"/>
        <v>Accepted</v>
      </c>
      <c r="CI277" s="398" t="str">
        <f t="shared" ca="1" si="735"/>
        <v>No</v>
      </c>
      <c r="CJ277" s="398" t="str">
        <f t="shared" ca="1" si="764"/>
        <v/>
      </c>
      <c r="CK277" s="398" t="str">
        <f t="shared" ca="1" si="728"/>
        <v/>
      </c>
      <c r="CL277" s="398">
        <f t="shared" ca="1" si="729"/>
        <v>6</v>
      </c>
      <c r="CM277" s="398">
        <f t="shared" ca="1" si="765"/>
        <v>2</v>
      </c>
      <c r="CN277" s="398">
        <f t="shared" ca="1" si="766"/>
        <v>1008</v>
      </c>
      <c r="CO277" s="398">
        <f t="shared" ca="1" si="767"/>
        <v>860244</v>
      </c>
      <c r="CP277" s="399">
        <f t="shared" si="774"/>
        <v>0</v>
      </c>
      <c r="CQ277" s="399">
        <f t="shared" si="775"/>
        <v>0</v>
      </c>
      <c r="CR277" s="483" t="str">
        <f t="shared" ca="1" si="730"/>
        <v/>
      </c>
      <c r="CS277"/>
    </row>
    <row r="278" spans="1:97">
      <c r="A278" s="398" t="s">
        <v>1032</v>
      </c>
      <c r="B278" s="398" t="s">
        <v>987</v>
      </c>
      <c r="C278" s="440" t="s">
        <v>891</v>
      </c>
      <c r="D278" s="398">
        <v>1</v>
      </c>
      <c r="E278" s="398">
        <v>7</v>
      </c>
      <c r="F278" s="440">
        <v>0</v>
      </c>
      <c r="G278" s="398">
        <f t="shared" si="811"/>
        <v>491568</v>
      </c>
      <c r="H278" s="399">
        <v>576</v>
      </c>
      <c r="I278" s="399">
        <v>1050</v>
      </c>
      <c r="J278" s="399">
        <v>800</v>
      </c>
      <c r="K278" s="399"/>
      <c r="L278" s="399"/>
      <c r="M278" s="400">
        <f ca="1">IF(MAX(IF($B$6="No",ROUNDUP($B$3/$I278,0),ROUNDUP(($B$3+$I278)/$I278,0)),IF($B$6="No",ROUNDUP($B$4/$G278,0),ROUNDUP(($B$4+$G278)/$G278,0)),ROUNDUP('BVMS checklist'!$H$217/$J278,0))&gt;1,'BVMS checklist'!$H$224,'BVMS checklist'!$H$217)</f>
        <v>0</v>
      </c>
      <c r="N278" s="398">
        <f t="shared" ca="1" si="709"/>
        <v>2</v>
      </c>
      <c r="O278" s="400">
        <f t="shared" ca="1" si="736"/>
        <v>2</v>
      </c>
      <c r="P278" s="400">
        <f t="shared" ca="1" si="700"/>
        <v>2100</v>
      </c>
      <c r="Q278" s="400">
        <f t="shared" ca="1" si="701"/>
        <v>0</v>
      </c>
      <c r="R278" s="398">
        <f t="shared" ca="1" si="702"/>
        <v>983136</v>
      </c>
      <c r="S278" s="401" t="str">
        <f t="shared" ca="1" si="710"/>
        <v/>
      </c>
      <c r="T278" s="398">
        <f t="shared" ca="1" si="711"/>
        <v>1600</v>
      </c>
      <c r="U278" s="400">
        <f ca="1">IF(MAX(IF($B$6="No",ROUNDUP($B$3/$I278,0),ROUNDUP(($B$3+$I278)/$I278,0)),IF($B$6="No",ROUNDUP($B$4/$G278,0),ROUNDUP(($B$4+$G278)/$G278,0)),ROUNDUP('BVMS checklist'!$H$217/$J278,0))&gt;1,'BVMS checklist'!$H$224,'BVMS checklist'!$H$217)+MAX(IF($B$6="No",ROUNDUP($B$3/$I278,0),ROUNDUP(($B$3+$I278)/$I278,0)),IF($B$6="No",ROUNDUP($B$4/$G278,0),ROUNDUP(($B$4+$G278)/$G278,0)))+$B$5</f>
        <v>1</v>
      </c>
      <c r="V278" s="400" t="b">
        <f t="shared" ca="1" si="703"/>
        <v>1</v>
      </c>
      <c r="W278" s="400" t="str">
        <f t="shared" ca="1" si="737"/>
        <v>Accepted</v>
      </c>
      <c r="X278" s="398" t="str">
        <f t="shared" ca="1" si="712"/>
        <v>No</v>
      </c>
      <c r="Y278" s="398" t="str">
        <f t="shared" ca="1" si="713"/>
        <v/>
      </c>
      <c r="Z278" s="398" t="str">
        <f t="shared" ca="1" si="714"/>
        <v/>
      </c>
      <c r="AA278" s="398">
        <f t="shared" ca="1" si="738"/>
        <v>6</v>
      </c>
      <c r="AB278" s="398">
        <f t="shared" ca="1" si="704"/>
        <v>2</v>
      </c>
      <c r="AC278" s="398">
        <f t="shared" ca="1" si="705"/>
        <v>1152</v>
      </c>
      <c r="AD278" s="398">
        <f t="shared" ca="1" si="739"/>
        <v>983136</v>
      </c>
      <c r="AE278" s="399">
        <f t="shared" si="768"/>
        <v>0</v>
      </c>
      <c r="AF278" s="399">
        <f t="shared" si="769"/>
        <v>0</v>
      </c>
      <c r="AG278" s="483" t="str">
        <f t="shared" ca="1" si="715"/>
        <v/>
      </c>
      <c r="AH278" s="400">
        <f ca="1">IF(MAX(IF($C$6="No",ROUNDUP($C$3/$I278,0),ROUNDUP(($C$3+$I278)/$I278,0)),IF($C$6="No",ROUNDUP($C$4/$G278,0),ROUNDUP(($C$4+$G278)/$G278,0)),ROUNDUP('BVMS checklist'!$H$217/$J278,0))&gt;1,'BVMS checklist'!$J$224,'BVMS checklist'!$J$217)</f>
        <v>0</v>
      </c>
      <c r="AI278" s="398">
        <f t="shared" ca="1" si="716"/>
        <v>2</v>
      </c>
      <c r="AJ278" s="400">
        <f t="shared" ca="1" si="740"/>
        <v>2</v>
      </c>
      <c r="AK278" s="400">
        <f t="shared" ca="1" si="741"/>
        <v>2100</v>
      </c>
      <c r="AL278" s="400">
        <f t="shared" ca="1" si="742"/>
        <v>0</v>
      </c>
      <c r="AM278" s="398">
        <f t="shared" ca="1" si="743"/>
        <v>983136</v>
      </c>
      <c r="AN278" s="401" t="str">
        <f t="shared" ca="1" si="717"/>
        <v/>
      </c>
      <c r="AO278" s="398">
        <f t="shared" ca="1" si="744"/>
        <v>1600</v>
      </c>
      <c r="AP278" s="400">
        <f ca="1">IF(MAX(IF($C$6="No",ROUNDUP($C$3/$I278,0),ROUNDUP(($C$3+$I278)/$I278,0)),IF($C$6="No",ROUNDUP($C$4/$G278,0),ROUNDUP(($C$4+$G278)/$G278,0)),ROUNDUP('BVMS checklist'!$H$217/$J278,0))&gt;1,'BVMS checklist'!$J$224,'BVMS checklist'!$J$217)+MAX(IF($C$6="No",ROUNDUP($C$3/$I278,0),ROUNDUP(($C$3+$I278)/$I278,0)),IF($C$6="No",ROUNDUP($C$4/$G278,0),ROUNDUP(($C$4+$G278)/$G278,0)))+$C$5</f>
        <v>1</v>
      </c>
      <c r="AQ278" s="400" t="b">
        <f t="shared" ca="1" si="706"/>
        <v>1</v>
      </c>
      <c r="AR278" s="400" t="str">
        <f t="shared" ca="1" si="745"/>
        <v>Accepted</v>
      </c>
      <c r="AS278" s="398" t="str">
        <f t="shared" ca="1" si="731"/>
        <v>No</v>
      </c>
      <c r="AT278" s="398" t="str">
        <f t="shared" ca="1" si="746"/>
        <v/>
      </c>
      <c r="AU278" s="398" t="str">
        <f t="shared" ca="1" si="718"/>
        <v/>
      </c>
      <c r="AV278" s="398">
        <f t="shared" ca="1" si="719"/>
        <v>6</v>
      </c>
      <c r="AW278" s="398">
        <f t="shared" ca="1" si="747"/>
        <v>2</v>
      </c>
      <c r="AX278" s="398">
        <f t="shared" ca="1" si="748"/>
        <v>1152</v>
      </c>
      <c r="AY278" s="398">
        <f t="shared" ca="1" si="749"/>
        <v>983136</v>
      </c>
      <c r="AZ278" s="399">
        <f t="shared" si="770"/>
        <v>0</v>
      </c>
      <c r="BA278" s="399">
        <f t="shared" si="771"/>
        <v>0</v>
      </c>
      <c r="BB278" s="483" t="str">
        <f t="shared" ca="1" si="720"/>
        <v/>
      </c>
      <c r="BC278" s="400">
        <f ca="1">IF(MAX(IF($D$6="No",ROUNDUP($D$3/$I278,0),ROUNDUP(($D$3+$I278)/$I278,0)),IF($D$6="No",ROUNDUP($D$4/$G278,0),ROUNDUP(($D$4+$G278)/$G278,0)),ROUNDUP('BVMS checklist'!$H$217/$J278,0))&gt;1,'BVMS checklist'!$L$224,'BVMS checklist'!$L$217)</f>
        <v>0</v>
      </c>
      <c r="BD278" s="398">
        <f t="shared" ca="1" si="721"/>
        <v>2</v>
      </c>
      <c r="BE278" s="400">
        <f t="shared" si="750"/>
        <v>1</v>
      </c>
      <c r="BF278" s="400">
        <f t="shared" si="751"/>
        <v>1050</v>
      </c>
      <c r="BG278" s="400">
        <f t="shared" ca="1" si="732"/>
        <v>0</v>
      </c>
      <c r="BH278" s="398">
        <f t="shared" ca="1" si="752"/>
        <v>983136</v>
      </c>
      <c r="BI278" s="401" t="str">
        <f t="shared" ca="1" si="722"/>
        <v/>
      </c>
      <c r="BJ278" s="398">
        <f t="shared" ca="1" si="753"/>
        <v>1600</v>
      </c>
      <c r="BK278" s="400">
        <f ca="1">IF(MAX(IF($D$6="No",ROUNDUP($D$3/$I278,0),ROUNDUP(($D$3+$I278)/$I278,0)),IF($D$6="No",ROUNDUP($D$4/$G278,0),ROUNDUP(($D$4+$G278)/$G278,0)),ROUNDUP('BVMS checklist'!$H$217/$J278,0))&gt;1,'BVMS checklist'!$L$224,'BVMS checklist'!$L$217)+MAX(IF($D$6="No",ROUNDUP($D$3/$I278,0),ROUNDUP(($D$3+$I278)/$I278,0)),IF($D$6="No",ROUNDUP($D$4/$G278,0),ROUNDUP(($D$4+$G278)/$G278,0)))+$D$5</f>
        <v>1</v>
      </c>
      <c r="BL278" s="400" t="b">
        <f t="shared" ca="1" si="707"/>
        <v>1</v>
      </c>
      <c r="BM278" s="400" t="str">
        <f t="shared" ca="1" si="754"/>
        <v>Accepted</v>
      </c>
      <c r="BN278" s="398" t="str">
        <f t="shared" ca="1" si="733"/>
        <v>No</v>
      </c>
      <c r="BO278" s="398" t="str">
        <f t="shared" ca="1" si="755"/>
        <v/>
      </c>
      <c r="BP278" s="398" t="str">
        <f t="shared" ca="1" si="723"/>
        <v/>
      </c>
      <c r="BQ278" s="398">
        <f t="shared" ca="1" si="724"/>
        <v>6</v>
      </c>
      <c r="BR278" s="398">
        <f t="shared" ca="1" si="756"/>
        <v>2</v>
      </c>
      <c r="BS278" s="398">
        <f t="shared" ca="1" si="757"/>
        <v>1152</v>
      </c>
      <c r="BT278" s="398">
        <f t="shared" ca="1" si="758"/>
        <v>983136</v>
      </c>
      <c r="BU278" s="399">
        <f t="shared" si="772"/>
        <v>0</v>
      </c>
      <c r="BV278" s="399">
        <f t="shared" si="773"/>
        <v>0</v>
      </c>
      <c r="BW278" s="483" t="str">
        <f t="shared" ca="1" si="725"/>
        <v/>
      </c>
      <c r="BX278" s="400">
        <f ca="1">IF(MAX(IF($E$6="No",ROUNDUP($E$3/$I278,0),ROUNDUP(($E$3+$I278)/$I278,0)),IF($E$6="No",ROUNDUP($E$4/$G278,0),ROUNDUP(($E$4+$G278)/$G278,0)),ROUNDUP('BVMS checklist'!$H$217/$J278,0))&gt;1,'BVMS checklist'!$N$224,'BVMS checklist'!$N$217)</f>
        <v>0</v>
      </c>
      <c r="BY278" s="398">
        <f t="shared" ca="1" si="726"/>
        <v>2</v>
      </c>
      <c r="BZ278" s="400">
        <f t="shared" ca="1" si="759"/>
        <v>2</v>
      </c>
      <c r="CA278" s="400">
        <f t="shared" ca="1" si="760"/>
        <v>2100</v>
      </c>
      <c r="CB278" s="400">
        <f t="shared" ca="1" si="734"/>
        <v>0</v>
      </c>
      <c r="CC278" s="398">
        <f t="shared" ca="1" si="761"/>
        <v>983136</v>
      </c>
      <c r="CD278" s="401" t="str">
        <f t="shared" ca="1" si="727"/>
        <v/>
      </c>
      <c r="CE278" s="398">
        <f t="shared" ca="1" si="762"/>
        <v>1600</v>
      </c>
      <c r="CF278" s="400">
        <f ca="1">IF(MAX(IF($E$6="No",ROUNDUP($E$3/$I278,0),ROUNDUP(($E$3+$I278)/$I278,0)),IF($E$6="No",ROUNDUP($E$4/$G278,0),ROUNDUP(($E$4+$G278)/$G278,0)),ROUNDUP('BVMS checklist'!$H$217/$J278,0))&gt;1,'BVMS checklist'!$N$224,'BVMS checklist'!$N$217)+MAX(IF($E$6="No",ROUNDUP($E$3/$I278,0),ROUNDUP(($E$3+$I278)/$I278,0)),IF($E$6="No",ROUNDUP($E$4/$G278,0),ROUNDUP(($E$4+$G278)/$G278,0)))+$E$5</f>
        <v>1</v>
      </c>
      <c r="CG278" s="400" t="b">
        <f t="shared" ca="1" si="708"/>
        <v>1</v>
      </c>
      <c r="CH278" s="400" t="str">
        <f t="shared" ca="1" si="763"/>
        <v>Accepted</v>
      </c>
      <c r="CI278" s="398" t="str">
        <f t="shared" ca="1" si="735"/>
        <v>No</v>
      </c>
      <c r="CJ278" s="398" t="str">
        <f t="shared" ca="1" si="764"/>
        <v/>
      </c>
      <c r="CK278" s="398" t="str">
        <f t="shared" ca="1" si="728"/>
        <v/>
      </c>
      <c r="CL278" s="398">
        <f t="shared" ca="1" si="729"/>
        <v>6</v>
      </c>
      <c r="CM278" s="398">
        <f t="shared" ca="1" si="765"/>
        <v>2</v>
      </c>
      <c r="CN278" s="398">
        <f t="shared" ca="1" si="766"/>
        <v>1152</v>
      </c>
      <c r="CO278" s="398">
        <f t="shared" ca="1" si="767"/>
        <v>983136</v>
      </c>
      <c r="CP278" s="399">
        <f t="shared" si="774"/>
        <v>0</v>
      </c>
      <c r="CQ278" s="399">
        <f t="shared" si="775"/>
        <v>0</v>
      </c>
      <c r="CR278" s="483" t="str">
        <f t="shared" ca="1" si="730"/>
        <v/>
      </c>
      <c r="CS278"/>
    </row>
    <row r="279" spans="1:97">
      <c r="A279" s="398" t="s">
        <v>456</v>
      </c>
      <c r="B279" s="398" t="s">
        <v>987</v>
      </c>
      <c r="C279" s="440" t="s">
        <v>891</v>
      </c>
      <c r="D279" s="398">
        <v>1</v>
      </c>
      <c r="E279" s="398">
        <v>0</v>
      </c>
      <c r="F279" s="440">
        <v>0</v>
      </c>
      <c r="G279" s="398">
        <f>IF(C279="RAID5",(11-F279)*7448,(10-F279)*7448)</f>
        <v>81928</v>
      </c>
      <c r="H279" s="399">
        <v>96</v>
      </c>
      <c r="I279" s="399">
        <v>1050</v>
      </c>
      <c r="J279" s="399">
        <v>800</v>
      </c>
      <c r="K279" s="399"/>
      <c r="L279" s="399"/>
      <c r="M279" s="400">
        <f ca="1">IF(MAX(IF($B$6="No",ROUNDUP($B$3/$I279,0),ROUNDUP(($B$3+$I279)/$I279,0)),IF($B$6="No",ROUNDUP($B$4/$G279,0),ROUNDUP(($B$4+$G279)/$G279,0)),ROUNDUP('BVMS checklist'!$H$217/$J279,0))&gt;1,'BVMS checklist'!$H$224,'BVMS checklist'!$H$217)</f>
        <v>0</v>
      </c>
      <c r="N279" s="398">
        <f t="shared" ca="1" si="709"/>
        <v>2</v>
      </c>
      <c r="O279" s="400">
        <f t="shared" ca="1" si="736"/>
        <v>2</v>
      </c>
      <c r="P279" s="400">
        <f t="shared" ca="1" si="700"/>
        <v>2100</v>
      </c>
      <c r="Q279" s="400">
        <f t="shared" ca="1" si="701"/>
        <v>0</v>
      </c>
      <c r="R279" s="398">
        <f t="shared" ca="1" si="702"/>
        <v>163856</v>
      </c>
      <c r="S279" s="401" t="str">
        <f t="shared" ca="1" si="710"/>
        <v/>
      </c>
      <c r="T279" s="398">
        <f t="shared" ca="1" si="711"/>
        <v>1600</v>
      </c>
      <c r="U279" s="400">
        <f ca="1">IF(MAX(IF($B$6="No",ROUNDUP($B$3/$I279,0),ROUNDUP(($B$3+$I279)/$I279,0)),IF($B$6="No",ROUNDUP($B$4/$G279,0),ROUNDUP(($B$4+$G279)/$G279,0)),ROUNDUP('BVMS checklist'!$H$217/$J279,0))&gt;1,'BVMS checklist'!$H$224,'BVMS checklist'!$H$217)+MAX(IF($B$6="No",ROUNDUP($B$3/$I279,0),ROUNDUP(($B$3+$I279)/$I279,0)),IF($B$6="No",ROUNDUP($B$4/$G279,0),ROUNDUP(($B$4+$G279)/$G279,0)))+$B$5</f>
        <v>1</v>
      </c>
      <c r="V279" s="400" t="b">
        <f t="shared" ca="1" si="703"/>
        <v>1</v>
      </c>
      <c r="W279" s="400" t="str">
        <f t="shared" ca="1" si="737"/>
        <v>Accepted</v>
      </c>
      <c r="X279" s="398" t="str">
        <f t="shared" ca="1" si="712"/>
        <v>No</v>
      </c>
      <c r="Y279" s="398" t="str">
        <f t="shared" ca="1" si="713"/>
        <v/>
      </c>
      <c r="Z279" s="398" t="str">
        <f t="shared" ca="1" si="714"/>
        <v/>
      </c>
      <c r="AA279" s="398">
        <f t="shared" ca="1" si="738"/>
        <v>6</v>
      </c>
      <c r="AB279" s="398">
        <f t="shared" ca="1" si="704"/>
        <v>2</v>
      </c>
      <c r="AC279" s="398">
        <f t="shared" ca="1" si="705"/>
        <v>192</v>
      </c>
      <c r="AD279" s="398">
        <f t="shared" ca="1" si="739"/>
        <v>163856</v>
      </c>
      <c r="AE279" s="399">
        <f t="shared" si="768"/>
        <v>0</v>
      </c>
      <c r="AF279" s="399">
        <f t="shared" si="769"/>
        <v>0</v>
      </c>
      <c r="AG279" s="483" t="str">
        <f t="shared" ca="1" si="715"/>
        <v/>
      </c>
      <c r="AH279" s="400">
        <f ca="1">IF(MAX(IF($C$6="No",ROUNDUP($C$3/$I279,0),ROUNDUP(($C$3+$I279)/$I279,0)),IF($C$6="No",ROUNDUP($C$4/$G279,0),ROUNDUP(($C$4+$G279)/$G279,0)),ROUNDUP('BVMS checklist'!$H$217/$J279,0))&gt;1,'BVMS checklist'!$J$224,'BVMS checklist'!$J$217)</f>
        <v>0</v>
      </c>
      <c r="AI279" s="398">
        <f t="shared" ca="1" si="716"/>
        <v>2</v>
      </c>
      <c r="AJ279" s="400">
        <f t="shared" ca="1" si="740"/>
        <v>2</v>
      </c>
      <c r="AK279" s="400">
        <f t="shared" ca="1" si="741"/>
        <v>2100</v>
      </c>
      <c r="AL279" s="400">
        <f t="shared" ca="1" si="742"/>
        <v>0</v>
      </c>
      <c r="AM279" s="398">
        <f t="shared" ca="1" si="743"/>
        <v>163856</v>
      </c>
      <c r="AN279" s="401" t="str">
        <f t="shared" ca="1" si="717"/>
        <v/>
      </c>
      <c r="AO279" s="398">
        <f t="shared" ca="1" si="744"/>
        <v>1600</v>
      </c>
      <c r="AP279" s="400">
        <f ca="1">IF(MAX(IF($C$6="No",ROUNDUP($C$3/$I279,0),ROUNDUP(($C$3+$I279)/$I279,0)),IF($C$6="No",ROUNDUP($C$4/$G279,0),ROUNDUP(($C$4+$G279)/$G279,0)),ROUNDUP('BVMS checklist'!$H$217/$J279,0))&gt;1,'BVMS checklist'!$J$224,'BVMS checklist'!$J$217)+MAX(IF($C$6="No",ROUNDUP($C$3/$I279,0),ROUNDUP(($C$3+$I279)/$I279,0)),IF($C$6="No",ROUNDUP($C$4/$G279,0),ROUNDUP(($C$4+$G279)/$G279,0)))+$C$5</f>
        <v>1</v>
      </c>
      <c r="AQ279" s="400" t="b">
        <f t="shared" ca="1" si="706"/>
        <v>1</v>
      </c>
      <c r="AR279" s="400" t="str">
        <f t="shared" ca="1" si="745"/>
        <v>Accepted</v>
      </c>
      <c r="AS279" s="398" t="str">
        <f t="shared" ca="1" si="731"/>
        <v>No</v>
      </c>
      <c r="AT279" s="398" t="str">
        <f t="shared" ca="1" si="746"/>
        <v/>
      </c>
      <c r="AU279" s="398" t="str">
        <f t="shared" ca="1" si="718"/>
        <v/>
      </c>
      <c r="AV279" s="398">
        <f t="shared" ca="1" si="719"/>
        <v>6</v>
      </c>
      <c r="AW279" s="398">
        <f t="shared" ca="1" si="747"/>
        <v>2</v>
      </c>
      <c r="AX279" s="398">
        <f t="shared" ca="1" si="748"/>
        <v>192</v>
      </c>
      <c r="AY279" s="398">
        <f t="shared" ca="1" si="749"/>
        <v>163856</v>
      </c>
      <c r="AZ279" s="399">
        <f t="shared" si="770"/>
        <v>0</v>
      </c>
      <c r="BA279" s="399">
        <f t="shared" si="771"/>
        <v>0</v>
      </c>
      <c r="BB279" s="483" t="str">
        <f t="shared" ca="1" si="720"/>
        <v/>
      </c>
      <c r="BC279" s="400">
        <f ca="1">IF(MAX(IF($D$6="No",ROUNDUP($D$3/$I279,0),ROUNDUP(($D$3+$I279)/$I279,0)),IF($D$6="No",ROUNDUP($D$4/$G279,0),ROUNDUP(($D$4+$G279)/$G279,0)),ROUNDUP('BVMS checklist'!$H$217/$J279,0))&gt;1,'BVMS checklist'!$L$224,'BVMS checklist'!$L$217)</f>
        <v>0</v>
      </c>
      <c r="BD279" s="398">
        <f t="shared" ca="1" si="721"/>
        <v>2</v>
      </c>
      <c r="BE279" s="400">
        <f t="shared" si="750"/>
        <v>1</v>
      </c>
      <c r="BF279" s="400">
        <f t="shared" si="751"/>
        <v>1050</v>
      </c>
      <c r="BG279" s="400">
        <f t="shared" ca="1" si="732"/>
        <v>0</v>
      </c>
      <c r="BH279" s="398">
        <f t="shared" ca="1" si="752"/>
        <v>163856</v>
      </c>
      <c r="BI279" s="401" t="str">
        <f t="shared" ca="1" si="722"/>
        <v/>
      </c>
      <c r="BJ279" s="398">
        <f t="shared" ca="1" si="753"/>
        <v>1600</v>
      </c>
      <c r="BK279" s="400">
        <f ca="1">IF(MAX(IF($D$6="No",ROUNDUP($D$3/$I279,0),ROUNDUP(($D$3+$I279)/$I279,0)),IF($D$6="No",ROUNDUP($D$4/$G279,0),ROUNDUP(($D$4+$G279)/$G279,0)),ROUNDUP('BVMS checklist'!$H$217/$J279,0))&gt;1,'BVMS checklist'!$L$224,'BVMS checklist'!$L$217)+MAX(IF($D$6="No",ROUNDUP($D$3/$I279,0),ROUNDUP(($D$3+$I279)/$I279,0)),IF($D$6="No",ROUNDUP($D$4/$G279,0),ROUNDUP(($D$4+$G279)/$G279,0)))+$D$5</f>
        <v>1</v>
      </c>
      <c r="BL279" s="400" t="b">
        <f t="shared" ca="1" si="707"/>
        <v>1</v>
      </c>
      <c r="BM279" s="400" t="str">
        <f t="shared" ca="1" si="754"/>
        <v>Accepted</v>
      </c>
      <c r="BN279" s="398" t="str">
        <f t="shared" ca="1" si="733"/>
        <v>No</v>
      </c>
      <c r="BO279" s="398" t="str">
        <f t="shared" ca="1" si="755"/>
        <v/>
      </c>
      <c r="BP279" s="398" t="str">
        <f t="shared" ca="1" si="723"/>
        <v/>
      </c>
      <c r="BQ279" s="398">
        <f t="shared" ca="1" si="724"/>
        <v>6</v>
      </c>
      <c r="BR279" s="398">
        <f t="shared" ca="1" si="756"/>
        <v>2</v>
      </c>
      <c r="BS279" s="398">
        <f t="shared" ca="1" si="757"/>
        <v>192</v>
      </c>
      <c r="BT279" s="398">
        <f t="shared" ca="1" si="758"/>
        <v>163856</v>
      </c>
      <c r="BU279" s="399">
        <f t="shared" si="772"/>
        <v>0</v>
      </c>
      <c r="BV279" s="399">
        <f t="shared" si="773"/>
        <v>0</v>
      </c>
      <c r="BW279" s="483" t="str">
        <f t="shared" ca="1" si="725"/>
        <v/>
      </c>
      <c r="BX279" s="400">
        <f ca="1">IF(MAX(IF($E$6="No",ROUNDUP($E$3/$I279,0),ROUNDUP(($E$3+$I279)/$I279,0)),IF($E$6="No",ROUNDUP($E$4/$G279,0),ROUNDUP(($E$4+$G279)/$G279,0)),ROUNDUP('BVMS checklist'!$H$217/$J279,0))&gt;1,'BVMS checklist'!$N$224,'BVMS checklist'!$N$217)</f>
        <v>0</v>
      </c>
      <c r="BY279" s="398">
        <f t="shared" ca="1" si="726"/>
        <v>2</v>
      </c>
      <c r="BZ279" s="400">
        <f t="shared" ca="1" si="759"/>
        <v>2</v>
      </c>
      <c r="CA279" s="400">
        <f t="shared" ca="1" si="760"/>
        <v>2100</v>
      </c>
      <c r="CB279" s="400">
        <f t="shared" ca="1" si="734"/>
        <v>0</v>
      </c>
      <c r="CC279" s="398">
        <f t="shared" ca="1" si="761"/>
        <v>163856</v>
      </c>
      <c r="CD279" s="401" t="str">
        <f t="shared" ca="1" si="727"/>
        <v/>
      </c>
      <c r="CE279" s="398">
        <f t="shared" ca="1" si="762"/>
        <v>1600</v>
      </c>
      <c r="CF279" s="400">
        <f ca="1">IF(MAX(IF($E$6="No",ROUNDUP($E$3/$I279,0),ROUNDUP(($E$3+$I279)/$I279,0)),IF($E$6="No",ROUNDUP($E$4/$G279,0),ROUNDUP(($E$4+$G279)/$G279,0)),ROUNDUP('BVMS checklist'!$H$217/$J279,0))&gt;1,'BVMS checklist'!$N$224,'BVMS checklist'!$N$217)+MAX(IF($E$6="No",ROUNDUP($E$3/$I279,0),ROUNDUP(($E$3+$I279)/$I279,0)),IF($E$6="No",ROUNDUP($E$4/$G279,0),ROUNDUP(($E$4+$G279)/$G279,0)))+$E$5</f>
        <v>1</v>
      </c>
      <c r="CG279" s="400" t="b">
        <f t="shared" ca="1" si="708"/>
        <v>1</v>
      </c>
      <c r="CH279" s="400" t="str">
        <f t="shared" ca="1" si="763"/>
        <v>Accepted</v>
      </c>
      <c r="CI279" s="398" t="str">
        <f t="shared" ca="1" si="735"/>
        <v>No</v>
      </c>
      <c r="CJ279" s="398" t="str">
        <f t="shared" ca="1" si="764"/>
        <v/>
      </c>
      <c r="CK279" s="398" t="str">
        <f t="shared" ca="1" si="728"/>
        <v/>
      </c>
      <c r="CL279" s="398">
        <f t="shared" ca="1" si="729"/>
        <v>6</v>
      </c>
      <c r="CM279" s="398">
        <f t="shared" ca="1" si="765"/>
        <v>2</v>
      </c>
      <c r="CN279" s="398">
        <f t="shared" ca="1" si="766"/>
        <v>192</v>
      </c>
      <c r="CO279" s="398">
        <f t="shared" ca="1" si="767"/>
        <v>163856</v>
      </c>
      <c r="CP279" s="399">
        <f t="shared" si="774"/>
        <v>0</v>
      </c>
      <c r="CQ279" s="399">
        <f t="shared" si="775"/>
        <v>0</v>
      </c>
      <c r="CR279" s="483" t="str">
        <f t="shared" ca="1" si="730"/>
        <v/>
      </c>
      <c r="CS279"/>
    </row>
    <row r="280" spans="1:97">
      <c r="A280" s="398" t="s">
        <v>457</v>
      </c>
      <c r="B280" s="398" t="s">
        <v>987</v>
      </c>
      <c r="C280" s="440" t="s">
        <v>891</v>
      </c>
      <c r="D280" s="398">
        <v>1</v>
      </c>
      <c r="E280" s="398">
        <v>1</v>
      </c>
      <c r="F280" s="440">
        <v>0</v>
      </c>
      <c r="G280" s="398">
        <f>IF(C280="RAID5",(11-F280)*7448,(10-F280)*7448)+IF(C280="RAID5",(11-F280)*7448,(10-F280)*7448)*E280</f>
        <v>163856</v>
      </c>
      <c r="H280" s="399">
        <v>192</v>
      </c>
      <c r="I280" s="399">
        <v>1050</v>
      </c>
      <c r="J280" s="399">
        <v>800</v>
      </c>
      <c r="K280" s="399"/>
      <c r="L280" s="399"/>
      <c r="M280" s="400">
        <f ca="1">IF(MAX(IF($B$6="No",ROUNDUP($B$3/$I280,0),ROUNDUP(($B$3+$I280)/$I280,0)),IF($B$6="No",ROUNDUP($B$4/$G280,0),ROUNDUP(($B$4+$G280)/$G280,0)),ROUNDUP('BVMS checklist'!$H$217/$J280,0))&gt;1,'BVMS checklist'!$H$224,'BVMS checklist'!$H$217)</f>
        <v>0</v>
      </c>
      <c r="N280" s="398">
        <f t="shared" ca="1" si="709"/>
        <v>2</v>
      </c>
      <c r="O280" s="400">
        <f t="shared" ca="1" si="736"/>
        <v>2</v>
      </c>
      <c r="P280" s="400">
        <f t="shared" ca="1" si="700"/>
        <v>2100</v>
      </c>
      <c r="Q280" s="400">
        <f t="shared" ca="1" si="701"/>
        <v>0</v>
      </c>
      <c r="R280" s="398">
        <f t="shared" ca="1" si="702"/>
        <v>327712</v>
      </c>
      <c r="S280" s="401" t="str">
        <f t="shared" ca="1" si="710"/>
        <v/>
      </c>
      <c r="T280" s="398">
        <f t="shared" ca="1" si="711"/>
        <v>1600</v>
      </c>
      <c r="U280" s="400">
        <f ca="1">IF(MAX(IF($B$6="No",ROUNDUP($B$3/$I280,0),ROUNDUP(($B$3+$I280)/$I280,0)),IF($B$6="No",ROUNDUP($B$4/$G280,0),ROUNDUP(($B$4+$G280)/$G280,0)),ROUNDUP('BVMS checklist'!$H$217/$J280,0))&gt;1,'BVMS checklist'!$H$224,'BVMS checklist'!$H$217)+MAX(IF($B$6="No",ROUNDUP($B$3/$I280,0),ROUNDUP(($B$3+$I280)/$I280,0)),IF($B$6="No",ROUNDUP($B$4/$G280,0),ROUNDUP(($B$4+$G280)/$G280,0)))+$B$5</f>
        <v>1</v>
      </c>
      <c r="V280" s="400" t="b">
        <f t="shared" ca="1" si="703"/>
        <v>1</v>
      </c>
      <c r="W280" s="400" t="str">
        <f t="shared" ca="1" si="737"/>
        <v>Accepted</v>
      </c>
      <c r="X280" s="398" t="str">
        <f t="shared" ca="1" si="712"/>
        <v>No</v>
      </c>
      <c r="Y280" s="398" t="str">
        <f t="shared" ca="1" si="713"/>
        <v/>
      </c>
      <c r="Z280" s="398" t="str">
        <f t="shared" ca="1" si="714"/>
        <v/>
      </c>
      <c r="AA280" s="398">
        <f t="shared" ca="1" si="738"/>
        <v>6</v>
      </c>
      <c r="AB280" s="398">
        <f t="shared" ca="1" si="704"/>
        <v>2</v>
      </c>
      <c r="AC280" s="398">
        <f t="shared" ca="1" si="705"/>
        <v>384</v>
      </c>
      <c r="AD280" s="398">
        <f t="shared" ca="1" si="739"/>
        <v>327712</v>
      </c>
      <c r="AE280" s="399">
        <f t="shared" si="768"/>
        <v>0</v>
      </c>
      <c r="AF280" s="399">
        <f t="shared" si="769"/>
        <v>0</v>
      </c>
      <c r="AG280" s="483" t="str">
        <f t="shared" ca="1" si="715"/>
        <v/>
      </c>
      <c r="AH280" s="400">
        <f ca="1">IF(MAX(IF($C$6="No",ROUNDUP($C$3/$I280,0),ROUNDUP(($C$3+$I280)/$I280,0)),IF($C$6="No",ROUNDUP($C$4/$G280,0),ROUNDUP(($C$4+$G280)/$G280,0)),ROUNDUP('BVMS checklist'!$H$217/$J280,0))&gt;1,'BVMS checklist'!$J$224,'BVMS checklist'!$J$217)</f>
        <v>0</v>
      </c>
      <c r="AI280" s="398">
        <f t="shared" ca="1" si="716"/>
        <v>2</v>
      </c>
      <c r="AJ280" s="400">
        <f t="shared" ca="1" si="740"/>
        <v>2</v>
      </c>
      <c r="AK280" s="400">
        <f t="shared" ca="1" si="741"/>
        <v>2100</v>
      </c>
      <c r="AL280" s="400">
        <f t="shared" ca="1" si="742"/>
        <v>0</v>
      </c>
      <c r="AM280" s="398">
        <f t="shared" ca="1" si="743"/>
        <v>327712</v>
      </c>
      <c r="AN280" s="401" t="str">
        <f t="shared" ca="1" si="717"/>
        <v/>
      </c>
      <c r="AO280" s="398">
        <f t="shared" ca="1" si="744"/>
        <v>1600</v>
      </c>
      <c r="AP280" s="400">
        <f ca="1">IF(MAX(IF($C$6="No",ROUNDUP($C$3/$I280,0),ROUNDUP(($C$3+$I280)/$I280,0)),IF($C$6="No",ROUNDUP($C$4/$G280,0),ROUNDUP(($C$4+$G280)/$G280,0)),ROUNDUP('BVMS checklist'!$H$217/$J280,0))&gt;1,'BVMS checklist'!$J$224,'BVMS checklist'!$J$217)+MAX(IF($C$6="No",ROUNDUP($C$3/$I280,0),ROUNDUP(($C$3+$I280)/$I280,0)),IF($C$6="No",ROUNDUP($C$4/$G280,0),ROUNDUP(($C$4+$G280)/$G280,0)))+$C$5</f>
        <v>1</v>
      </c>
      <c r="AQ280" s="400" t="b">
        <f t="shared" ca="1" si="706"/>
        <v>1</v>
      </c>
      <c r="AR280" s="400" t="str">
        <f t="shared" ca="1" si="745"/>
        <v>Accepted</v>
      </c>
      <c r="AS280" s="398" t="str">
        <f t="shared" ca="1" si="731"/>
        <v>No</v>
      </c>
      <c r="AT280" s="398" t="str">
        <f t="shared" ca="1" si="746"/>
        <v/>
      </c>
      <c r="AU280" s="398" t="str">
        <f t="shared" ca="1" si="718"/>
        <v/>
      </c>
      <c r="AV280" s="398">
        <f t="shared" ca="1" si="719"/>
        <v>6</v>
      </c>
      <c r="AW280" s="398">
        <f t="shared" ca="1" si="747"/>
        <v>2</v>
      </c>
      <c r="AX280" s="398">
        <f t="shared" ca="1" si="748"/>
        <v>384</v>
      </c>
      <c r="AY280" s="398">
        <f t="shared" ca="1" si="749"/>
        <v>327712</v>
      </c>
      <c r="AZ280" s="399">
        <f t="shared" si="770"/>
        <v>0</v>
      </c>
      <c r="BA280" s="399">
        <f t="shared" si="771"/>
        <v>0</v>
      </c>
      <c r="BB280" s="483" t="str">
        <f t="shared" ca="1" si="720"/>
        <v/>
      </c>
      <c r="BC280" s="400">
        <f ca="1">IF(MAX(IF($D$6="No",ROUNDUP($D$3/$I280,0),ROUNDUP(($D$3+$I280)/$I280,0)),IF($D$6="No",ROUNDUP($D$4/$G280,0),ROUNDUP(($D$4+$G280)/$G280,0)),ROUNDUP('BVMS checklist'!$H$217/$J280,0))&gt;1,'BVMS checklist'!$L$224,'BVMS checklist'!$L$217)</f>
        <v>0</v>
      </c>
      <c r="BD280" s="398">
        <f t="shared" ca="1" si="721"/>
        <v>2</v>
      </c>
      <c r="BE280" s="400">
        <f t="shared" si="750"/>
        <v>1</v>
      </c>
      <c r="BF280" s="400">
        <f t="shared" si="751"/>
        <v>1050</v>
      </c>
      <c r="BG280" s="400">
        <f t="shared" ca="1" si="732"/>
        <v>0</v>
      </c>
      <c r="BH280" s="398">
        <f t="shared" ca="1" si="752"/>
        <v>327712</v>
      </c>
      <c r="BI280" s="401" t="str">
        <f t="shared" ca="1" si="722"/>
        <v/>
      </c>
      <c r="BJ280" s="398">
        <f t="shared" ca="1" si="753"/>
        <v>1600</v>
      </c>
      <c r="BK280" s="400">
        <f ca="1">IF(MAX(IF($D$6="No",ROUNDUP($D$3/$I280,0),ROUNDUP(($D$3+$I280)/$I280,0)),IF($D$6="No",ROUNDUP($D$4/$G280,0),ROUNDUP(($D$4+$G280)/$G280,0)),ROUNDUP('BVMS checklist'!$H$217/$J280,0))&gt;1,'BVMS checklist'!$L$224,'BVMS checklist'!$L$217)+MAX(IF($D$6="No",ROUNDUP($D$3/$I280,0),ROUNDUP(($D$3+$I280)/$I280,0)),IF($D$6="No",ROUNDUP($D$4/$G280,0),ROUNDUP(($D$4+$G280)/$G280,0)))+$D$5</f>
        <v>1</v>
      </c>
      <c r="BL280" s="400" t="b">
        <f t="shared" ca="1" si="707"/>
        <v>1</v>
      </c>
      <c r="BM280" s="400" t="str">
        <f t="shared" ca="1" si="754"/>
        <v>Accepted</v>
      </c>
      <c r="BN280" s="398" t="str">
        <f t="shared" ca="1" si="733"/>
        <v>No</v>
      </c>
      <c r="BO280" s="398" t="str">
        <f t="shared" ca="1" si="755"/>
        <v/>
      </c>
      <c r="BP280" s="398" t="str">
        <f t="shared" ca="1" si="723"/>
        <v/>
      </c>
      <c r="BQ280" s="398">
        <f t="shared" ca="1" si="724"/>
        <v>6</v>
      </c>
      <c r="BR280" s="398">
        <f t="shared" ca="1" si="756"/>
        <v>2</v>
      </c>
      <c r="BS280" s="398">
        <f t="shared" ca="1" si="757"/>
        <v>384</v>
      </c>
      <c r="BT280" s="398">
        <f t="shared" ca="1" si="758"/>
        <v>327712</v>
      </c>
      <c r="BU280" s="399">
        <f t="shared" si="772"/>
        <v>0</v>
      </c>
      <c r="BV280" s="399">
        <f t="shared" si="773"/>
        <v>0</v>
      </c>
      <c r="BW280" s="483" t="str">
        <f t="shared" ca="1" si="725"/>
        <v/>
      </c>
      <c r="BX280" s="400">
        <f ca="1">IF(MAX(IF($E$6="No",ROUNDUP($E$3/$I280,0),ROUNDUP(($E$3+$I280)/$I280,0)),IF($E$6="No",ROUNDUP($E$4/$G280,0),ROUNDUP(($E$4+$G280)/$G280,0)),ROUNDUP('BVMS checklist'!$H$217/$J280,0))&gt;1,'BVMS checklist'!$N$224,'BVMS checklist'!$N$217)</f>
        <v>0</v>
      </c>
      <c r="BY280" s="398">
        <f t="shared" ca="1" si="726"/>
        <v>2</v>
      </c>
      <c r="BZ280" s="400">
        <f t="shared" ca="1" si="759"/>
        <v>2</v>
      </c>
      <c r="CA280" s="400">
        <f t="shared" ca="1" si="760"/>
        <v>2100</v>
      </c>
      <c r="CB280" s="400">
        <f t="shared" ca="1" si="734"/>
        <v>0</v>
      </c>
      <c r="CC280" s="398">
        <f t="shared" ca="1" si="761"/>
        <v>327712</v>
      </c>
      <c r="CD280" s="401" t="str">
        <f t="shared" ca="1" si="727"/>
        <v/>
      </c>
      <c r="CE280" s="398">
        <f t="shared" ca="1" si="762"/>
        <v>1600</v>
      </c>
      <c r="CF280" s="400">
        <f ca="1">IF(MAX(IF($E$6="No",ROUNDUP($E$3/$I280,0),ROUNDUP(($E$3+$I280)/$I280,0)),IF($E$6="No",ROUNDUP($E$4/$G280,0),ROUNDUP(($E$4+$G280)/$G280,0)),ROUNDUP('BVMS checklist'!$H$217/$J280,0))&gt;1,'BVMS checklist'!$N$224,'BVMS checklist'!$N$217)+MAX(IF($E$6="No",ROUNDUP($E$3/$I280,0),ROUNDUP(($E$3+$I280)/$I280,0)),IF($E$6="No",ROUNDUP($E$4/$G280,0),ROUNDUP(($E$4+$G280)/$G280,0)))+$E$5</f>
        <v>1</v>
      </c>
      <c r="CG280" s="400" t="b">
        <f t="shared" ca="1" si="708"/>
        <v>1</v>
      </c>
      <c r="CH280" s="400" t="str">
        <f t="shared" ca="1" si="763"/>
        <v>Accepted</v>
      </c>
      <c r="CI280" s="398" t="str">
        <f t="shared" ca="1" si="735"/>
        <v>No</v>
      </c>
      <c r="CJ280" s="398" t="str">
        <f t="shared" ca="1" si="764"/>
        <v/>
      </c>
      <c r="CK280" s="398" t="str">
        <f t="shared" ca="1" si="728"/>
        <v/>
      </c>
      <c r="CL280" s="398">
        <f t="shared" ca="1" si="729"/>
        <v>6</v>
      </c>
      <c r="CM280" s="398">
        <f t="shared" ca="1" si="765"/>
        <v>2</v>
      </c>
      <c r="CN280" s="398">
        <f t="shared" ca="1" si="766"/>
        <v>384</v>
      </c>
      <c r="CO280" s="398">
        <f t="shared" ca="1" si="767"/>
        <v>327712</v>
      </c>
      <c r="CP280" s="399">
        <f t="shared" si="774"/>
        <v>0</v>
      </c>
      <c r="CQ280" s="399">
        <f t="shared" si="775"/>
        <v>0</v>
      </c>
      <c r="CR280" s="483" t="str">
        <f t="shared" ca="1" si="730"/>
        <v/>
      </c>
      <c r="CS280"/>
    </row>
    <row r="281" spans="1:97">
      <c r="A281" s="398" t="s">
        <v>458</v>
      </c>
      <c r="B281" s="398" t="s">
        <v>987</v>
      </c>
      <c r="C281" s="440" t="s">
        <v>891</v>
      </c>
      <c r="D281" s="398">
        <v>1</v>
      </c>
      <c r="E281" s="398">
        <v>2</v>
      </c>
      <c r="F281" s="440">
        <v>0</v>
      </c>
      <c r="G281" s="398">
        <f t="shared" ref="G281:G286" si="812">IF(C281="RAID5",(11-F281)*7448,(10-F281)*7448)+IF(C281="RAID5",(11-F281)*7448,(10-F281)*7448)*E281</f>
        <v>245784</v>
      </c>
      <c r="H281" s="399">
        <v>288</v>
      </c>
      <c r="I281" s="399">
        <v>1050</v>
      </c>
      <c r="J281" s="399">
        <v>800</v>
      </c>
      <c r="K281" s="399"/>
      <c r="L281" s="399"/>
      <c r="M281" s="400">
        <f ca="1">IF(MAX(IF($B$6="No",ROUNDUP($B$3/$I281,0),ROUNDUP(($B$3+$I281)/$I281,0)),IF($B$6="No",ROUNDUP($B$4/$G281,0),ROUNDUP(($B$4+$G281)/$G281,0)),ROUNDUP('BVMS checklist'!$H$217/$J281,0))&gt;1,'BVMS checklist'!$H$224,'BVMS checklist'!$H$217)</f>
        <v>0</v>
      </c>
      <c r="N281" s="398">
        <f t="shared" ca="1" si="709"/>
        <v>2</v>
      </c>
      <c r="O281" s="400">
        <f t="shared" ca="1" si="736"/>
        <v>2</v>
      </c>
      <c r="P281" s="400">
        <f t="shared" ca="1" si="700"/>
        <v>2100</v>
      </c>
      <c r="Q281" s="400">
        <f t="shared" ca="1" si="701"/>
        <v>0</v>
      </c>
      <c r="R281" s="398">
        <f t="shared" ca="1" si="702"/>
        <v>491568</v>
      </c>
      <c r="S281" s="401" t="str">
        <f t="shared" ca="1" si="710"/>
        <v/>
      </c>
      <c r="T281" s="398">
        <f t="shared" ca="1" si="711"/>
        <v>1600</v>
      </c>
      <c r="U281" s="400">
        <f ca="1">IF(MAX(IF($B$6="No",ROUNDUP($B$3/$I281,0),ROUNDUP(($B$3+$I281)/$I281,0)),IF($B$6="No",ROUNDUP($B$4/$G281,0),ROUNDUP(($B$4+$G281)/$G281,0)),ROUNDUP('BVMS checklist'!$H$217/$J281,0))&gt;1,'BVMS checklist'!$H$224,'BVMS checklist'!$H$217)+MAX(IF($B$6="No",ROUNDUP($B$3/$I281,0),ROUNDUP(($B$3+$I281)/$I281,0)),IF($B$6="No",ROUNDUP($B$4/$G281,0),ROUNDUP(($B$4+$G281)/$G281,0)))+$B$5</f>
        <v>1</v>
      </c>
      <c r="V281" s="400" t="b">
        <f t="shared" ca="1" si="703"/>
        <v>1</v>
      </c>
      <c r="W281" s="400" t="str">
        <f t="shared" ca="1" si="737"/>
        <v>Accepted</v>
      </c>
      <c r="X281" s="398" t="str">
        <f t="shared" ca="1" si="712"/>
        <v>No</v>
      </c>
      <c r="Y281" s="398" t="str">
        <f t="shared" ca="1" si="713"/>
        <v/>
      </c>
      <c r="Z281" s="398" t="str">
        <f t="shared" ca="1" si="714"/>
        <v/>
      </c>
      <c r="AA281" s="398">
        <f t="shared" ca="1" si="738"/>
        <v>6</v>
      </c>
      <c r="AB281" s="398">
        <f t="shared" ca="1" si="704"/>
        <v>2</v>
      </c>
      <c r="AC281" s="398">
        <f t="shared" ca="1" si="705"/>
        <v>576</v>
      </c>
      <c r="AD281" s="398">
        <f t="shared" ca="1" si="739"/>
        <v>491568</v>
      </c>
      <c r="AE281" s="399">
        <f t="shared" si="768"/>
        <v>0</v>
      </c>
      <c r="AF281" s="399">
        <f t="shared" si="769"/>
        <v>0</v>
      </c>
      <c r="AG281" s="483" t="str">
        <f t="shared" ca="1" si="715"/>
        <v/>
      </c>
      <c r="AH281" s="400">
        <f ca="1">IF(MAX(IF($C$6="No",ROUNDUP($C$3/$I281,0),ROUNDUP(($C$3+$I281)/$I281,0)),IF($C$6="No",ROUNDUP($C$4/$G281,0),ROUNDUP(($C$4+$G281)/$G281,0)),ROUNDUP('BVMS checklist'!$H$217/$J281,0))&gt;1,'BVMS checklist'!$J$224,'BVMS checklist'!$J$217)</f>
        <v>0</v>
      </c>
      <c r="AI281" s="398">
        <f t="shared" ca="1" si="716"/>
        <v>2</v>
      </c>
      <c r="AJ281" s="400">
        <f t="shared" ca="1" si="740"/>
        <v>2</v>
      </c>
      <c r="AK281" s="400">
        <f t="shared" ca="1" si="741"/>
        <v>2100</v>
      </c>
      <c r="AL281" s="400">
        <f t="shared" ca="1" si="742"/>
        <v>0</v>
      </c>
      <c r="AM281" s="398">
        <f t="shared" ca="1" si="743"/>
        <v>491568</v>
      </c>
      <c r="AN281" s="401" t="str">
        <f t="shared" ca="1" si="717"/>
        <v/>
      </c>
      <c r="AO281" s="398">
        <f t="shared" ca="1" si="744"/>
        <v>1600</v>
      </c>
      <c r="AP281" s="400">
        <f ca="1">IF(MAX(IF($C$6="No",ROUNDUP($C$3/$I281,0),ROUNDUP(($C$3+$I281)/$I281,0)),IF($C$6="No",ROUNDUP($C$4/$G281,0),ROUNDUP(($C$4+$G281)/$G281,0)),ROUNDUP('BVMS checklist'!$H$217/$J281,0))&gt;1,'BVMS checklist'!$J$224,'BVMS checklist'!$J$217)+MAX(IF($C$6="No",ROUNDUP($C$3/$I281,0),ROUNDUP(($C$3+$I281)/$I281,0)),IF($C$6="No",ROUNDUP($C$4/$G281,0),ROUNDUP(($C$4+$G281)/$G281,0)))+$C$5</f>
        <v>1</v>
      </c>
      <c r="AQ281" s="400" t="b">
        <f t="shared" ca="1" si="706"/>
        <v>1</v>
      </c>
      <c r="AR281" s="400" t="str">
        <f t="shared" ca="1" si="745"/>
        <v>Accepted</v>
      </c>
      <c r="AS281" s="398" t="str">
        <f t="shared" ca="1" si="731"/>
        <v>No</v>
      </c>
      <c r="AT281" s="398" t="str">
        <f t="shared" ca="1" si="746"/>
        <v/>
      </c>
      <c r="AU281" s="398" t="str">
        <f t="shared" ca="1" si="718"/>
        <v/>
      </c>
      <c r="AV281" s="398">
        <f t="shared" ca="1" si="719"/>
        <v>6</v>
      </c>
      <c r="AW281" s="398">
        <f t="shared" ca="1" si="747"/>
        <v>2</v>
      </c>
      <c r="AX281" s="398">
        <f t="shared" ca="1" si="748"/>
        <v>576</v>
      </c>
      <c r="AY281" s="398">
        <f t="shared" ca="1" si="749"/>
        <v>491568</v>
      </c>
      <c r="AZ281" s="399">
        <f t="shared" si="770"/>
        <v>0</v>
      </c>
      <c r="BA281" s="399">
        <f t="shared" si="771"/>
        <v>0</v>
      </c>
      <c r="BB281" s="483" t="str">
        <f t="shared" ca="1" si="720"/>
        <v/>
      </c>
      <c r="BC281" s="400">
        <f ca="1">IF(MAX(IF($D$6="No",ROUNDUP($D$3/$I281,0),ROUNDUP(($D$3+$I281)/$I281,0)),IF($D$6="No",ROUNDUP($D$4/$G281,0),ROUNDUP(($D$4+$G281)/$G281,0)),ROUNDUP('BVMS checklist'!$H$217/$J281,0))&gt;1,'BVMS checklist'!$L$224,'BVMS checklist'!$L$217)</f>
        <v>0</v>
      </c>
      <c r="BD281" s="398">
        <f t="shared" ca="1" si="721"/>
        <v>2</v>
      </c>
      <c r="BE281" s="400">
        <f t="shared" si="750"/>
        <v>1</v>
      </c>
      <c r="BF281" s="400">
        <f t="shared" si="751"/>
        <v>1050</v>
      </c>
      <c r="BG281" s="400">
        <f t="shared" ca="1" si="732"/>
        <v>0</v>
      </c>
      <c r="BH281" s="398">
        <f t="shared" ca="1" si="752"/>
        <v>491568</v>
      </c>
      <c r="BI281" s="401" t="str">
        <f t="shared" ca="1" si="722"/>
        <v/>
      </c>
      <c r="BJ281" s="398">
        <f t="shared" ca="1" si="753"/>
        <v>1600</v>
      </c>
      <c r="BK281" s="400">
        <f ca="1">IF(MAX(IF($D$6="No",ROUNDUP($D$3/$I281,0),ROUNDUP(($D$3+$I281)/$I281,0)),IF($D$6="No",ROUNDUP($D$4/$G281,0),ROUNDUP(($D$4+$G281)/$G281,0)),ROUNDUP('BVMS checklist'!$H$217/$J281,0))&gt;1,'BVMS checklist'!$L$224,'BVMS checklist'!$L$217)+MAX(IF($D$6="No",ROUNDUP($D$3/$I281,0),ROUNDUP(($D$3+$I281)/$I281,0)),IF($D$6="No",ROUNDUP($D$4/$G281,0),ROUNDUP(($D$4+$G281)/$G281,0)))+$D$5</f>
        <v>1</v>
      </c>
      <c r="BL281" s="400" t="b">
        <f t="shared" ca="1" si="707"/>
        <v>1</v>
      </c>
      <c r="BM281" s="400" t="str">
        <f t="shared" ca="1" si="754"/>
        <v>Accepted</v>
      </c>
      <c r="BN281" s="398" t="str">
        <f t="shared" ca="1" si="733"/>
        <v>No</v>
      </c>
      <c r="BO281" s="398" t="str">
        <f t="shared" ca="1" si="755"/>
        <v/>
      </c>
      <c r="BP281" s="398" t="str">
        <f t="shared" ca="1" si="723"/>
        <v/>
      </c>
      <c r="BQ281" s="398">
        <f t="shared" ca="1" si="724"/>
        <v>6</v>
      </c>
      <c r="BR281" s="398">
        <f t="shared" ca="1" si="756"/>
        <v>2</v>
      </c>
      <c r="BS281" s="398">
        <f t="shared" ca="1" si="757"/>
        <v>576</v>
      </c>
      <c r="BT281" s="398">
        <f t="shared" ca="1" si="758"/>
        <v>491568</v>
      </c>
      <c r="BU281" s="399">
        <f t="shared" si="772"/>
        <v>0</v>
      </c>
      <c r="BV281" s="399">
        <f t="shared" si="773"/>
        <v>0</v>
      </c>
      <c r="BW281" s="483" t="str">
        <f t="shared" ca="1" si="725"/>
        <v/>
      </c>
      <c r="BX281" s="400">
        <f ca="1">IF(MAX(IF($E$6="No",ROUNDUP($E$3/$I281,0),ROUNDUP(($E$3+$I281)/$I281,0)),IF($E$6="No",ROUNDUP($E$4/$G281,0),ROUNDUP(($E$4+$G281)/$G281,0)),ROUNDUP('BVMS checklist'!$H$217/$J281,0))&gt;1,'BVMS checklist'!$N$224,'BVMS checklist'!$N$217)</f>
        <v>0</v>
      </c>
      <c r="BY281" s="398">
        <f t="shared" ca="1" si="726"/>
        <v>2</v>
      </c>
      <c r="BZ281" s="400">
        <f t="shared" ca="1" si="759"/>
        <v>2</v>
      </c>
      <c r="CA281" s="400">
        <f t="shared" ca="1" si="760"/>
        <v>2100</v>
      </c>
      <c r="CB281" s="400">
        <f t="shared" ca="1" si="734"/>
        <v>0</v>
      </c>
      <c r="CC281" s="398">
        <f t="shared" ca="1" si="761"/>
        <v>491568</v>
      </c>
      <c r="CD281" s="401" t="str">
        <f t="shared" ca="1" si="727"/>
        <v/>
      </c>
      <c r="CE281" s="398">
        <f t="shared" ca="1" si="762"/>
        <v>1600</v>
      </c>
      <c r="CF281" s="400">
        <f ca="1">IF(MAX(IF($E$6="No",ROUNDUP($E$3/$I281,0),ROUNDUP(($E$3+$I281)/$I281,0)),IF($E$6="No",ROUNDUP($E$4/$G281,0),ROUNDUP(($E$4+$G281)/$G281,0)),ROUNDUP('BVMS checklist'!$H$217/$J281,0))&gt;1,'BVMS checklist'!$N$224,'BVMS checklist'!$N$217)+MAX(IF($E$6="No",ROUNDUP($E$3/$I281,0),ROUNDUP(($E$3+$I281)/$I281,0)),IF($E$6="No",ROUNDUP($E$4/$G281,0),ROUNDUP(($E$4+$G281)/$G281,0)))+$E$5</f>
        <v>1</v>
      </c>
      <c r="CG281" s="400" t="b">
        <f t="shared" ca="1" si="708"/>
        <v>1</v>
      </c>
      <c r="CH281" s="400" t="str">
        <f t="shared" ca="1" si="763"/>
        <v>Accepted</v>
      </c>
      <c r="CI281" s="398" t="str">
        <f t="shared" ca="1" si="735"/>
        <v>No</v>
      </c>
      <c r="CJ281" s="398" t="str">
        <f t="shared" ca="1" si="764"/>
        <v/>
      </c>
      <c r="CK281" s="398" t="str">
        <f t="shared" ca="1" si="728"/>
        <v/>
      </c>
      <c r="CL281" s="398">
        <f t="shared" ca="1" si="729"/>
        <v>6</v>
      </c>
      <c r="CM281" s="398">
        <f t="shared" ca="1" si="765"/>
        <v>2</v>
      </c>
      <c r="CN281" s="398">
        <f t="shared" ca="1" si="766"/>
        <v>576</v>
      </c>
      <c r="CO281" s="398">
        <f t="shared" ca="1" si="767"/>
        <v>491568</v>
      </c>
      <c r="CP281" s="399">
        <f t="shared" si="774"/>
        <v>0</v>
      </c>
      <c r="CQ281" s="399">
        <f t="shared" si="775"/>
        <v>0</v>
      </c>
      <c r="CR281" s="483" t="str">
        <f t="shared" ca="1" si="730"/>
        <v/>
      </c>
      <c r="CS281"/>
    </row>
    <row r="282" spans="1:97">
      <c r="A282" s="398" t="s">
        <v>459</v>
      </c>
      <c r="B282" s="398" t="s">
        <v>987</v>
      </c>
      <c r="C282" s="440" t="s">
        <v>891</v>
      </c>
      <c r="D282" s="398">
        <v>1</v>
      </c>
      <c r="E282" s="398">
        <v>3</v>
      </c>
      <c r="F282" s="440">
        <v>0</v>
      </c>
      <c r="G282" s="398">
        <f t="shared" si="812"/>
        <v>327712</v>
      </c>
      <c r="H282" s="399">
        <v>384</v>
      </c>
      <c r="I282" s="399">
        <v>1050</v>
      </c>
      <c r="J282" s="399">
        <v>800</v>
      </c>
      <c r="K282" s="399"/>
      <c r="L282" s="399"/>
      <c r="M282" s="400">
        <f ca="1">IF(MAX(IF($B$6="No",ROUNDUP($B$3/$I282,0),ROUNDUP(($B$3+$I282)/$I282,0)),IF($B$6="No",ROUNDUP($B$4/$G282,0),ROUNDUP(($B$4+$G282)/$G282,0)),ROUNDUP('BVMS checklist'!$H$217/$J282,0))&gt;1,'BVMS checklist'!$H$224,'BVMS checklist'!$H$217)</f>
        <v>0</v>
      </c>
      <c r="N282" s="398">
        <f t="shared" ca="1" si="709"/>
        <v>2</v>
      </c>
      <c r="O282" s="400">
        <f t="shared" ca="1" si="736"/>
        <v>2</v>
      </c>
      <c r="P282" s="400">
        <f t="shared" ref="P282:P345" ca="1" si="813">O282*$I282</f>
        <v>2100</v>
      </c>
      <c r="Q282" s="400">
        <f t="shared" ref="Q282:Q347" ca="1" si="814">IFERROR($B$3/N282,"")</f>
        <v>0</v>
      </c>
      <c r="R282" s="398">
        <f t="shared" ref="R282:R347" ca="1" si="815">$G282*N282</f>
        <v>655424</v>
      </c>
      <c r="S282" s="401" t="str">
        <f t="shared" ca="1" si="710"/>
        <v/>
      </c>
      <c r="T282" s="398">
        <f t="shared" ca="1" si="711"/>
        <v>1600</v>
      </c>
      <c r="U282" s="400">
        <f ca="1">IF(MAX(IF($B$6="No",ROUNDUP($B$3/$I282,0),ROUNDUP(($B$3+$I282)/$I282,0)),IF($B$6="No",ROUNDUP($B$4/$G282,0),ROUNDUP(($B$4+$G282)/$G282,0)),ROUNDUP('BVMS checklist'!$H$217/$J282,0))&gt;1,'BVMS checklist'!$H$224,'BVMS checklist'!$H$217)+MAX(IF($B$6="No",ROUNDUP($B$3/$I282,0),ROUNDUP(($B$3+$I282)/$I282,0)),IF($B$6="No",ROUNDUP($B$4/$G282,0),ROUNDUP(($B$4+$G282)/$G282,0)))+$B$5</f>
        <v>1</v>
      </c>
      <c r="V282" s="400" t="b">
        <f t="shared" ref="V282:V345" ca="1" si="816">IF(AND((T282/$D282)-U282&gt;=0,OR(N282&gt;=2,$D282&gt;=2),P282-I282&gt;=$B$3),TRUE,FALSE)</f>
        <v>1</v>
      </c>
      <c r="W282" s="400" t="str">
        <f t="shared" ca="1" si="737"/>
        <v>Accepted</v>
      </c>
      <c r="X282" s="398" t="str">
        <f t="shared" ca="1" si="712"/>
        <v>No</v>
      </c>
      <c r="Y282" s="398" t="str">
        <f t="shared" ca="1" si="713"/>
        <v/>
      </c>
      <c r="Z282" s="398" t="str">
        <f t="shared" ca="1" si="714"/>
        <v/>
      </c>
      <c r="AA282" s="398">
        <f t="shared" ca="1" si="738"/>
        <v>6</v>
      </c>
      <c r="AB282" s="398">
        <f t="shared" ref="AB282:AB347" ca="1" si="817">N282</f>
        <v>2</v>
      </c>
      <c r="AC282" s="398">
        <f t="shared" ref="AC282:AC347" ca="1" si="818">N282*$H282</f>
        <v>768</v>
      </c>
      <c r="AD282" s="398">
        <f t="shared" ca="1" si="739"/>
        <v>655424</v>
      </c>
      <c r="AE282" s="399">
        <f t="shared" si="768"/>
        <v>0</v>
      </c>
      <c r="AF282" s="399">
        <f t="shared" si="769"/>
        <v>0</v>
      </c>
      <c r="AG282" s="483" t="str">
        <f t="shared" ca="1" si="715"/>
        <v/>
      </c>
      <c r="AH282" s="400">
        <f ca="1">IF(MAX(IF($C$6="No",ROUNDUP($C$3/$I282,0),ROUNDUP(($C$3+$I282)/$I282,0)),IF($C$6="No",ROUNDUP($C$4/$G282,0),ROUNDUP(($C$4+$G282)/$G282,0)),ROUNDUP('BVMS checklist'!$H$217/$J282,0))&gt;1,'BVMS checklist'!$J$224,'BVMS checklist'!$J$217)</f>
        <v>0</v>
      </c>
      <c r="AI282" s="398">
        <f t="shared" ca="1" si="716"/>
        <v>2</v>
      </c>
      <c r="AJ282" s="400">
        <f t="shared" ca="1" si="740"/>
        <v>2</v>
      </c>
      <c r="AK282" s="400">
        <f t="shared" ca="1" si="741"/>
        <v>2100</v>
      </c>
      <c r="AL282" s="400">
        <f t="shared" ca="1" si="742"/>
        <v>0</v>
      </c>
      <c r="AM282" s="398">
        <f t="shared" ca="1" si="743"/>
        <v>655424</v>
      </c>
      <c r="AN282" s="401" t="str">
        <f t="shared" ca="1" si="717"/>
        <v/>
      </c>
      <c r="AO282" s="398">
        <f t="shared" ca="1" si="744"/>
        <v>1600</v>
      </c>
      <c r="AP282" s="400">
        <f ca="1">IF(MAX(IF($C$6="No",ROUNDUP($C$3/$I282,0),ROUNDUP(($C$3+$I282)/$I282,0)),IF($C$6="No",ROUNDUP($C$4/$G282,0),ROUNDUP(($C$4+$G282)/$G282,0)),ROUNDUP('BVMS checklist'!$H$217/$J282,0))&gt;1,'BVMS checklist'!$J$224,'BVMS checklist'!$J$217)+MAX(IF($C$6="No",ROUNDUP($C$3/$I282,0),ROUNDUP(($C$3+$I282)/$I282,0)),IF($C$6="No",ROUNDUP($C$4/$G282,0),ROUNDUP(($C$4+$G282)/$G282,0)))+$C$5</f>
        <v>1</v>
      </c>
      <c r="AQ282" s="400" t="b">
        <f t="shared" ref="AQ282:AQ345" ca="1" si="819">IF(AND((AO282/$D282)-AP282&gt;=0,OR(AI282&gt;=2,$D282&gt;=2),AK282-I282&gt;=$C$3),TRUE,FALSE)</f>
        <v>1</v>
      </c>
      <c r="AR282" s="400" t="str">
        <f t="shared" ca="1" si="745"/>
        <v>Accepted</v>
      </c>
      <c r="AS282" s="398" t="str">
        <f t="shared" ca="1" si="731"/>
        <v>No</v>
      </c>
      <c r="AT282" s="398" t="str">
        <f t="shared" ca="1" si="746"/>
        <v/>
      </c>
      <c r="AU282" s="398" t="str">
        <f t="shared" ca="1" si="718"/>
        <v/>
      </c>
      <c r="AV282" s="398">
        <f t="shared" ca="1" si="719"/>
        <v>6</v>
      </c>
      <c r="AW282" s="398">
        <f t="shared" ca="1" si="747"/>
        <v>2</v>
      </c>
      <c r="AX282" s="398">
        <f t="shared" ca="1" si="748"/>
        <v>768</v>
      </c>
      <c r="AY282" s="398">
        <f t="shared" ca="1" si="749"/>
        <v>655424</v>
      </c>
      <c r="AZ282" s="399">
        <f t="shared" si="770"/>
        <v>0</v>
      </c>
      <c r="BA282" s="399">
        <f t="shared" si="771"/>
        <v>0</v>
      </c>
      <c r="BB282" s="483" t="str">
        <f t="shared" ca="1" si="720"/>
        <v/>
      </c>
      <c r="BC282" s="400">
        <f ca="1">IF(MAX(IF($D$6="No",ROUNDUP($D$3/$I282,0),ROUNDUP(($D$3+$I282)/$I282,0)),IF($D$6="No",ROUNDUP($D$4/$G282,0),ROUNDUP(($D$4+$G282)/$G282,0)),ROUNDUP('BVMS checklist'!$H$217/$J282,0))&gt;1,'BVMS checklist'!$L$224,'BVMS checklist'!$L$217)</f>
        <v>0</v>
      </c>
      <c r="BD282" s="398">
        <f t="shared" ca="1" si="721"/>
        <v>2</v>
      </c>
      <c r="BE282" s="400">
        <f t="shared" si="750"/>
        <v>1</v>
      </c>
      <c r="BF282" s="400">
        <f t="shared" si="751"/>
        <v>1050</v>
      </c>
      <c r="BG282" s="400">
        <f t="shared" ca="1" si="732"/>
        <v>0</v>
      </c>
      <c r="BH282" s="398">
        <f t="shared" ca="1" si="752"/>
        <v>655424</v>
      </c>
      <c r="BI282" s="401" t="str">
        <f t="shared" ca="1" si="722"/>
        <v/>
      </c>
      <c r="BJ282" s="398">
        <f t="shared" ca="1" si="753"/>
        <v>1600</v>
      </c>
      <c r="BK282" s="400">
        <f ca="1">IF(MAX(IF($D$6="No",ROUNDUP($D$3/$I282,0),ROUNDUP(($D$3+$I282)/$I282,0)),IF($D$6="No",ROUNDUP($D$4/$G282,0),ROUNDUP(($D$4+$G282)/$G282,0)),ROUNDUP('BVMS checklist'!$H$217/$J282,0))&gt;1,'BVMS checklist'!$L$224,'BVMS checklist'!$L$217)+MAX(IF($D$6="No",ROUNDUP($D$3/$I282,0),ROUNDUP(($D$3+$I282)/$I282,0)),IF($D$6="No",ROUNDUP($D$4/$G282,0),ROUNDUP(($D$4+$G282)/$G282,0)))+$D$5</f>
        <v>1</v>
      </c>
      <c r="BL282" s="400" t="b">
        <f t="shared" ref="BL282:BL345" ca="1" si="820">IF(AND((BJ282/$D282)-BK282&gt;=0,OR(BD282&gt;=2,$D282&gt;=2),BF282-I282&gt;=$D$3),TRUE,FALSE)</f>
        <v>1</v>
      </c>
      <c r="BM282" s="400" t="str">
        <f t="shared" ca="1" si="754"/>
        <v>Accepted</v>
      </c>
      <c r="BN282" s="398" t="str">
        <f t="shared" ca="1" si="733"/>
        <v>No</v>
      </c>
      <c r="BO282" s="398" t="str">
        <f t="shared" ca="1" si="755"/>
        <v/>
      </c>
      <c r="BP282" s="398" t="str">
        <f t="shared" ca="1" si="723"/>
        <v/>
      </c>
      <c r="BQ282" s="398">
        <f t="shared" ca="1" si="724"/>
        <v>6</v>
      </c>
      <c r="BR282" s="398">
        <f t="shared" ca="1" si="756"/>
        <v>2</v>
      </c>
      <c r="BS282" s="398">
        <f t="shared" ca="1" si="757"/>
        <v>768</v>
      </c>
      <c r="BT282" s="398">
        <f t="shared" ca="1" si="758"/>
        <v>655424</v>
      </c>
      <c r="BU282" s="399">
        <f t="shared" si="772"/>
        <v>0</v>
      </c>
      <c r="BV282" s="399">
        <f t="shared" si="773"/>
        <v>0</v>
      </c>
      <c r="BW282" s="483" t="str">
        <f t="shared" ca="1" si="725"/>
        <v/>
      </c>
      <c r="BX282" s="400">
        <f ca="1">IF(MAX(IF($E$6="No",ROUNDUP($E$3/$I282,0),ROUNDUP(($E$3+$I282)/$I282,0)),IF($E$6="No",ROUNDUP($E$4/$G282,0),ROUNDUP(($E$4+$G282)/$G282,0)),ROUNDUP('BVMS checklist'!$H$217/$J282,0))&gt;1,'BVMS checklist'!$N$224,'BVMS checklist'!$N$217)</f>
        <v>0</v>
      </c>
      <c r="BY282" s="398">
        <f t="shared" ca="1" si="726"/>
        <v>2</v>
      </c>
      <c r="BZ282" s="400">
        <f t="shared" ca="1" si="759"/>
        <v>2</v>
      </c>
      <c r="CA282" s="400">
        <f t="shared" ca="1" si="760"/>
        <v>2100</v>
      </c>
      <c r="CB282" s="400">
        <f t="shared" ca="1" si="734"/>
        <v>0</v>
      </c>
      <c r="CC282" s="398">
        <f t="shared" ca="1" si="761"/>
        <v>655424</v>
      </c>
      <c r="CD282" s="401" t="str">
        <f t="shared" ca="1" si="727"/>
        <v/>
      </c>
      <c r="CE282" s="398">
        <f t="shared" ca="1" si="762"/>
        <v>1600</v>
      </c>
      <c r="CF282" s="400">
        <f ca="1">IF(MAX(IF($E$6="No",ROUNDUP($E$3/$I282,0),ROUNDUP(($E$3+$I282)/$I282,0)),IF($E$6="No",ROUNDUP($E$4/$G282,0),ROUNDUP(($E$4+$G282)/$G282,0)),ROUNDUP('BVMS checklist'!$H$217/$J282,0))&gt;1,'BVMS checklist'!$N$224,'BVMS checklist'!$N$217)+MAX(IF($E$6="No",ROUNDUP($E$3/$I282,0),ROUNDUP(($E$3+$I282)/$I282,0)),IF($E$6="No",ROUNDUP($E$4/$G282,0),ROUNDUP(($E$4+$G282)/$G282,0)))+$E$5</f>
        <v>1</v>
      </c>
      <c r="CG282" s="400" t="b">
        <f t="shared" ref="CG282:CG345" ca="1" si="821">IF(AND((CE282/$D282)-CF282&gt;=0,OR(BY282&gt;=2,$D282&gt;=2),CA282-I282&gt;=$E$3),TRUE,FALSE)</f>
        <v>1</v>
      </c>
      <c r="CH282" s="400" t="str">
        <f t="shared" ca="1" si="763"/>
        <v>Accepted</v>
      </c>
      <c r="CI282" s="398" t="str">
        <f t="shared" ca="1" si="735"/>
        <v>No</v>
      </c>
      <c r="CJ282" s="398" t="str">
        <f t="shared" ca="1" si="764"/>
        <v/>
      </c>
      <c r="CK282" s="398" t="str">
        <f t="shared" ca="1" si="728"/>
        <v/>
      </c>
      <c r="CL282" s="398">
        <f t="shared" ca="1" si="729"/>
        <v>6</v>
      </c>
      <c r="CM282" s="398">
        <f t="shared" ca="1" si="765"/>
        <v>2</v>
      </c>
      <c r="CN282" s="398">
        <f t="shared" ca="1" si="766"/>
        <v>768</v>
      </c>
      <c r="CO282" s="398">
        <f t="shared" ca="1" si="767"/>
        <v>655424</v>
      </c>
      <c r="CP282" s="399">
        <f t="shared" si="774"/>
        <v>0</v>
      </c>
      <c r="CQ282" s="399">
        <f t="shared" si="775"/>
        <v>0</v>
      </c>
      <c r="CR282" s="483" t="str">
        <f t="shared" ca="1" si="730"/>
        <v/>
      </c>
      <c r="CS282"/>
    </row>
    <row r="283" spans="1:97">
      <c r="A283" s="398" t="s">
        <v>460</v>
      </c>
      <c r="B283" s="398" t="s">
        <v>987</v>
      </c>
      <c r="C283" s="440" t="s">
        <v>891</v>
      </c>
      <c r="D283" s="398">
        <v>1</v>
      </c>
      <c r="E283" s="398">
        <v>4</v>
      </c>
      <c r="F283" s="440">
        <v>0</v>
      </c>
      <c r="G283" s="398">
        <f t="shared" si="812"/>
        <v>409640</v>
      </c>
      <c r="H283" s="399">
        <v>480</v>
      </c>
      <c r="I283" s="399">
        <v>1050</v>
      </c>
      <c r="J283" s="399">
        <v>800</v>
      </c>
      <c r="K283" s="399"/>
      <c r="L283" s="399"/>
      <c r="M283" s="400">
        <f ca="1">IF(MAX(IF($B$6="No",ROUNDUP($B$3/$I283,0),ROUNDUP(($B$3+$I283)/$I283,0)),IF($B$6="No",ROUNDUP($B$4/$G283,0),ROUNDUP(($B$4+$G283)/$G283,0)),ROUNDUP('BVMS checklist'!$H$217/$J283,0))&gt;1,'BVMS checklist'!$H$224,'BVMS checklist'!$H$217)</f>
        <v>0</v>
      </c>
      <c r="N283" s="398">
        <f t="shared" ref="N283:N346" ca="1" si="822">MAX(IF($B$6="No",ROUNDUP($B$3/$I283,0),ROUNDUP(($B$3+$I283)/$I283,0)),IF($B$6="No",ROUNDUP($B$4/$G283,0),ROUNDUP($B$4/$G283,0)),IF($B$6="Yes",ROUNDUP((U283+J283)/J283,0),ROUNDUP(U283/J283,0)))</f>
        <v>2</v>
      </c>
      <c r="O283" s="400">
        <f t="shared" ca="1" si="736"/>
        <v>2</v>
      </c>
      <c r="P283" s="400">
        <f t="shared" ca="1" si="813"/>
        <v>2100</v>
      </c>
      <c r="Q283" s="400">
        <f t="shared" ca="1" si="814"/>
        <v>0</v>
      </c>
      <c r="R283" s="398">
        <f t="shared" ca="1" si="815"/>
        <v>819280</v>
      </c>
      <c r="S283" s="401" t="str">
        <f t="shared" ref="S283:S346" ca="1" si="823">IF(X283="yes",(R283)/$B$4,"")</f>
        <v/>
      </c>
      <c r="T283" s="398">
        <f t="shared" ref="T283:T347" ca="1" si="824">N283*J283</f>
        <v>1600</v>
      </c>
      <c r="U283" s="400">
        <f ca="1">IF(MAX(IF($B$6="No",ROUNDUP($B$3/$I283,0),ROUNDUP(($B$3+$I283)/$I283,0)),IF($B$6="No",ROUNDUP($B$4/$G283,0),ROUNDUP(($B$4+$G283)/$G283,0)),ROUNDUP('BVMS checklist'!$H$217/$J283,0))&gt;1,'BVMS checklist'!$H$224,'BVMS checklist'!$H$217)+MAX(IF($B$6="No",ROUNDUP($B$3/$I283,0),ROUNDUP(($B$3+$I283)/$I283,0)),IF($B$6="No",ROUNDUP($B$4/$G283,0),ROUNDUP(($B$4+$G283)/$G283,0)))+$B$5</f>
        <v>1</v>
      </c>
      <c r="V283" s="400" t="b">
        <f t="shared" ca="1" si="816"/>
        <v>1</v>
      </c>
      <c r="W283" s="400" t="str">
        <f t="shared" ca="1" si="737"/>
        <v>Accepted</v>
      </c>
      <c r="X283" s="398" t="str">
        <f t="shared" ref="X283:X346" ca="1" si="825">IF(AND(U283&lt;T283,Q283&lt;I283,B283="Active",W283="Accepted"),"Yes","No")</f>
        <v>No</v>
      </c>
      <c r="Y283" s="398" t="str">
        <f t="shared" ref="Y283:Y346" ca="1" si="826">IF(AA282=AA283,"",AA283)</f>
        <v/>
      </c>
      <c r="Z283" s="398" t="str">
        <f t="shared" ref="Z283:Z346" ca="1" si="827">IF(X283="Yes",$A283&amp;" "&amp;$C283,"")</f>
        <v/>
      </c>
      <c r="AA283" s="398">
        <f t="shared" ca="1" si="738"/>
        <v>6</v>
      </c>
      <c r="AB283" s="398">
        <f t="shared" ca="1" si="817"/>
        <v>2</v>
      </c>
      <c r="AC283" s="398">
        <f t="shared" ca="1" si="818"/>
        <v>960</v>
      </c>
      <c r="AD283" s="398">
        <f t="shared" ca="1" si="739"/>
        <v>819280</v>
      </c>
      <c r="AE283" s="399">
        <f t="shared" si="768"/>
        <v>0</v>
      </c>
      <c r="AF283" s="399">
        <f t="shared" si="769"/>
        <v>0</v>
      </c>
      <c r="AG283" s="483" t="str">
        <f t="shared" ref="AG283:AG346" ca="1" si="828">S283</f>
        <v/>
      </c>
      <c r="AH283" s="400">
        <f ca="1">IF(MAX(IF($C$6="No",ROUNDUP($C$3/$I283,0),ROUNDUP(($C$3+$I283)/$I283,0)),IF($C$6="No",ROUNDUP($C$4/$G283,0),ROUNDUP(($C$4+$G283)/$G283,0)),ROUNDUP('BVMS checklist'!$H$217/$J283,0))&gt;1,'BVMS checklist'!$J$224,'BVMS checklist'!$J$217)</f>
        <v>0</v>
      </c>
      <c r="AI283" s="398">
        <f t="shared" ref="AI283:AI346" ca="1" si="829">MAX(IF($C$6="No",ROUNDUP($C$3/$I283,0),ROUNDUP(($C$3+$I283)/$I283,0)),IF($C$6="No",ROUNDUP($C$4/$G283,0),ROUNDUP(($C$4+$G283)/$G283,0)),IF($C$6="Yes",ROUNDUP(AP283/J283,0)+1,ROUNDUP(AP283/J283,0)))</f>
        <v>2</v>
      </c>
      <c r="AJ283" s="400">
        <f t="shared" ca="1" si="740"/>
        <v>2</v>
      </c>
      <c r="AK283" s="400">
        <f t="shared" ca="1" si="741"/>
        <v>2100</v>
      </c>
      <c r="AL283" s="400">
        <f t="shared" ca="1" si="742"/>
        <v>0</v>
      </c>
      <c r="AM283" s="398">
        <f t="shared" ca="1" si="743"/>
        <v>819280</v>
      </c>
      <c r="AN283" s="401" t="str">
        <f t="shared" ref="AN283:AN346" ca="1" si="830">IF(AS283="yes",(AM283)/$C$4,"")</f>
        <v/>
      </c>
      <c r="AO283" s="398">
        <f t="shared" ca="1" si="744"/>
        <v>1600</v>
      </c>
      <c r="AP283" s="400">
        <f ca="1">IF(MAX(IF($C$6="No",ROUNDUP($C$3/$I283,0),ROUNDUP(($C$3+$I283)/$I283,0)),IF($C$6="No",ROUNDUP($C$4/$G283,0),ROUNDUP(($C$4+$G283)/$G283,0)),ROUNDUP('BVMS checklist'!$H$217/$J283,0))&gt;1,'BVMS checklist'!$J$224,'BVMS checklist'!$J$217)+MAX(IF($C$6="No",ROUNDUP($C$3/$I283,0),ROUNDUP(($C$3+$I283)/$I283,0)),IF($C$6="No",ROUNDUP($C$4/$G283,0),ROUNDUP(($C$4+$G283)/$G283,0)))+$C$5</f>
        <v>1</v>
      </c>
      <c r="AQ283" s="400" t="b">
        <f t="shared" ca="1" si="819"/>
        <v>1</v>
      </c>
      <c r="AR283" s="400" t="str">
        <f t="shared" ca="1" si="745"/>
        <v>Accepted</v>
      </c>
      <c r="AS283" s="398" t="str">
        <f t="shared" ca="1" si="731"/>
        <v>No</v>
      </c>
      <c r="AT283" s="398" t="str">
        <f t="shared" ca="1" si="746"/>
        <v/>
      </c>
      <c r="AU283" s="398" t="str">
        <f t="shared" ref="AU283:AU346" ca="1" si="831">IF(AS283="Yes",$A283&amp;" "&amp;$C283,"")</f>
        <v/>
      </c>
      <c r="AV283" s="398">
        <f t="shared" ref="AV283:AV346" ca="1" si="832">IF(AU283&lt;&gt;"",AV282+1,AV282)</f>
        <v>6</v>
      </c>
      <c r="AW283" s="398">
        <f t="shared" ca="1" si="747"/>
        <v>2</v>
      </c>
      <c r="AX283" s="398">
        <f t="shared" ca="1" si="748"/>
        <v>960</v>
      </c>
      <c r="AY283" s="398">
        <f t="shared" ca="1" si="749"/>
        <v>819280</v>
      </c>
      <c r="AZ283" s="399">
        <f t="shared" si="770"/>
        <v>0</v>
      </c>
      <c r="BA283" s="399">
        <f t="shared" si="771"/>
        <v>0</v>
      </c>
      <c r="BB283" s="483" t="str">
        <f t="shared" ref="BB283:BB346" ca="1" si="833">AN283</f>
        <v/>
      </c>
      <c r="BC283" s="400">
        <f ca="1">IF(MAX(IF($D$6="No",ROUNDUP($D$3/$I283,0),ROUNDUP(($D$3+$I283)/$I283,0)),IF($D$6="No",ROUNDUP($D$4/$G283,0),ROUNDUP(($D$4+$G283)/$G283,0)),ROUNDUP('BVMS checklist'!$H$217/$J283,0))&gt;1,'BVMS checklist'!$L$224,'BVMS checklist'!$L$217)</f>
        <v>0</v>
      </c>
      <c r="BD283" s="398">
        <f t="shared" ref="BD283:BD346" ca="1" si="834">MAX(IF($D$6="No",ROUNDUP($D$3/$I283,0),ROUNDUP(($D$3+$I283)/$I283,0)),IF($D$6="No",ROUNDUP($D$4/$G283,0),ROUNDUP(($D$4+$G283)/$G283,0)),IF($D$6="Yes",ROUNDUP(BK283/J283,0)+1,ROUNDUP(BK283/J283,0)))</f>
        <v>2</v>
      </c>
      <c r="BE283" s="400">
        <f t="shared" ref="BE283:BE346" si="835">MAX(IF($D$6="No",ROUNDUP($D$3/$I283,0),ROUNDUP(($D$3+$I283)/$I283,0)),IF($D$6="No",ROUNDUP($D$4/$G283,0),ROUNDUP(($D$4+$G283)/$G283,0)))</f>
        <v>1</v>
      </c>
      <c r="BF283" s="400">
        <f t="shared" si="751"/>
        <v>1050</v>
      </c>
      <c r="BG283" s="400">
        <f t="shared" ca="1" si="732"/>
        <v>0</v>
      </c>
      <c r="BH283" s="398">
        <f t="shared" ca="1" si="752"/>
        <v>819280</v>
      </c>
      <c r="BI283" s="401" t="str">
        <f t="shared" ref="BI283:BI346" ca="1" si="836">IF(BN283="yes",(BH283)/$D$4,"")</f>
        <v/>
      </c>
      <c r="BJ283" s="398">
        <f t="shared" ca="1" si="753"/>
        <v>1600</v>
      </c>
      <c r="BK283" s="400">
        <f ca="1">IF(MAX(IF($D$6="No",ROUNDUP($D$3/$I283,0),ROUNDUP(($D$3+$I283)/$I283,0)),IF($D$6="No",ROUNDUP($D$4/$G283,0),ROUNDUP(($D$4+$G283)/$G283,0)),ROUNDUP('BVMS checklist'!$H$217/$J283,0))&gt;1,'BVMS checklist'!$L$224,'BVMS checklist'!$L$217)+MAX(IF($D$6="No",ROUNDUP($D$3/$I283,0),ROUNDUP(($D$3+$I283)/$I283,0)),IF($D$6="No",ROUNDUP($D$4/$G283,0),ROUNDUP(($D$4+$G283)/$G283,0)))+$D$5</f>
        <v>1</v>
      </c>
      <c r="BL283" s="400" t="b">
        <f t="shared" ca="1" si="820"/>
        <v>1</v>
      </c>
      <c r="BM283" s="400" t="str">
        <f t="shared" ca="1" si="754"/>
        <v>Accepted</v>
      </c>
      <c r="BN283" s="398" t="str">
        <f t="shared" ca="1" si="733"/>
        <v>No</v>
      </c>
      <c r="BO283" s="398" t="str">
        <f t="shared" ca="1" si="755"/>
        <v/>
      </c>
      <c r="BP283" s="398" t="str">
        <f t="shared" ref="BP283:BP346" ca="1" si="837">IF(BN283="Yes",$A283&amp;" "&amp;$C283,"")</f>
        <v/>
      </c>
      <c r="BQ283" s="398">
        <f t="shared" ref="BQ283:BQ346" ca="1" si="838">IF(BP283&lt;&gt;"",BQ282+1,BQ282)</f>
        <v>6</v>
      </c>
      <c r="BR283" s="398">
        <f t="shared" ca="1" si="756"/>
        <v>2</v>
      </c>
      <c r="BS283" s="398">
        <f t="shared" ca="1" si="757"/>
        <v>960</v>
      </c>
      <c r="BT283" s="398">
        <f t="shared" ca="1" si="758"/>
        <v>819280</v>
      </c>
      <c r="BU283" s="399">
        <f t="shared" si="772"/>
        <v>0</v>
      </c>
      <c r="BV283" s="399">
        <f t="shared" si="773"/>
        <v>0</v>
      </c>
      <c r="BW283" s="483" t="str">
        <f t="shared" ref="BW283:BW346" ca="1" si="839">BI283</f>
        <v/>
      </c>
      <c r="BX283" s="400">
        <f ca="1">IF(MAX(IF($E$6="No",ROUNDUP($E$3/$I283,0),ROUNDUP(($E$3+$I283)/$I283,0)),IF($E$6="No",ROUNDUP($E$4/$G283,0),ROUNDUP(($E$4+$G283)/$G283,0)),ROUNDUP('BVMS checklist'!$H$217/$J283,0))&gt;1,'BVMS checklist'!$N$224,'BVMS checklist'!$N$217)</f>
        <v>0</v>
      </c>
      <c r="BY283" s="398">
        <f t="shared" ref="BY283:BY346" ca="1" si="840">MAX(IF($E$6="No",ROUNDUP($E$3/$I283,0),ROUNDUP(($E$3+$I283)/$I283,0)),IF($E$6="No",ROUNDUP($E$4/$G283,0),ROUNDUP(($E$4+$G283)/$G283,0)),IF($E$6="Yes",ROUNDUP(CF283/J283,0)+1,ROUNDUP(CF283/J283,0)))</f>
        <v>2</v>
      </c>
      <c r="BZ283" s="400">
        <f t="shared" ca="1" si="759"/>
        <v>2</v>
      </c>
      <c r="CA283" s="400">
        <f t="shared" ca="1" si="760"/>
        <v>2100</v>
      </c>
      <c r="CB283" s="400">
        <f t="shared" ca="1" si="734"/>
        <v>0</v>
      </c>
      <c r="CC283" s="398">
        <f t="shared" ca="1" si="761"/>
        <v>819280</v>
      </c>
      <c r="CD283" s="401" t="str">
        <f t="shared" ref="CD283:CD346" ca="1" si="841">IF(CI283="yes",(CC283)/$E$4,"")</f>
        <v/>
      </c>
      <c r="CE283" s="398">
        <f t="shared" ca="1" si="762"/>
        <v>1600</v>
      </c>
      <c r="CF283" s="400">
        <f ca="1">IF(MAX(IF($E$6="No",ROUNDUP($E$3/$I283,0),ROUNDUP(($E$3+$I283)/$I283,0)),IF($E$6="No",ROUNDUP($E$4/$G283,0),ROUNDUP(($E$4+$G283)/$G283,0)),ROUNDUP('BVMS checklist'!$H$217/$J283,0))&gt;1,'BVMS checklist'!$N$224,'BVMS checklist'!$N$217)+MAX(IF($E$6="No",ROUNDUP($E$3/$I283,0),ROUNDUP(($E$3+$I283)/$I283,0)),IF($E$6="No",ROUNDUP($E$4/$G283,0),ROUNDUP(($E$4+$G283)/$G283,0)))+$E$5</f>
        <v>1</v>
      </c>
      <c r="CG283" s="400" t="b">
        <f t="shared" ca="1" si="821"/>
        <v>1</v>
      </c>
      <c r="CH283" s="400" t="str">
        <f t="shared" ca="1" si="763"/>
        <v>Accepted</v>
      </c>
      <c r="CI283" s="398" t="str">
        <f t="shared" ca="1" si="735"/>
        <v>No</v>
      </c>
      <c r="CJ283" s="398" t="str">
        <f t="shared" ca="1" si="764"/>
        <v/>
      </c>
      <c r="CK283" s="398" t="str">
        <f t="shared" ref="CK283:CK346" ca="1" si="842">IF(CI283="Yes",$A283&amp;" "&amp;$C283,"")</f>
        <v/>
      </c>
      <c r="CL283" s="398">
        <f t="shared" ref="CL283:CL346" ca="1" si="843">IF(CK283&lt;&gt;"",CL282+1,CL282)</f>
        <v>6</v>
      </c>
      <c r="CM283" s="398">
        <f t="shared" ca="1" si="765"/>
        <v>2</v>
      </c>
      <c r="CN283" s="398">
        <f t="shared" ca="1" si="766"/>
        <v>960</v>
      </c>
      <c r="CO283" s="398">
        <f t="shared" ca="1" si="767"/>
        <v>819280</v>
      </c>
      <c r="CP283" s="399">
        <f t="shared" si="774"/>
        <v>0</v>
      </c>
      <c r="CQ283" s="399">
        <f t="shared" si="775"/>
        <v>0</v>
      </c>
      <c r="CR283" s="483" t="str">
        <f t="shared" ref="CR283:CR346" ca="1" si="844">CD283</f>
        <v/>
      </c>
      <c r="CS283"/>
    </row>
    <row r="284" spans="1:97">
      <c r="A284" s="398" t="s">
        <v>461</v>
      </c>
      <c r="B284" s="398" t="s">
        <v>987</v>
      </c>
      <c r="C284" s="440" t="s">
        <v>891</v>
      </c>
      <c r="D284" s="398">
        <v>1</v>
      </c>
      <c r="E284" s="398">
        <v>5</v>
      </c>
      <c r="F284" s="440">
        <v>0</v>
      </c>
      <c r="G284" s="398">
        <f t="shared" si="812"/>
        <v>491568</v>
      </c>
      <c r="H284" s="399">
        <v>576</v>
      </c>
      <c r="I284" s="399">
        <v>1050</v>
      </c>
      <c r="J284" s="399">
        <v>800</v>
      </c>
      <c r="K284" s="399"/>
      <c r="L284" s="399"/>
      <c r="M284" s="400">
        <f ca="1">IF(MAX(IF($B$6="No",ROUNDUP($B$3/$I284,0),ROUNDUP(($B$3+$I284)/$I284,0)),IF($B$6="No",ROUNDUP($B$4/$G284,0),ROUNDUP(($B$4+$G284)/$G284,0)),ROUNDUP('BVMS checklist'!$H$217/$J284,0))&gt;1,'BVMS checklist'!$H$224,'BVMS checklist'!$H$217)</f>
        <v>0</v>
      </c>
      <c r="N284" s="398">
        <f t="shared" ca="1" si="822"/>
        <v>2</v>
      </c>
      <c r="O284" s="400">
        <f t="shared" ca="1" si="736"/>
        <v>2</v>
      </c>
      <c r="P284" s="400">
        <f t="shared" ca="1" si="813"/>
        <v>2100</v>
      </c>
      <c r="Q284" s="400">
        <f t="shared" ca="1" si="814"/>
        <v>0</v>
      </c>
      <c r="R284" s="398">
        <f t="shared" ca="1" si="815"/>
        <v>983136</v>
      </c>
      <c r="S284" s="401" t="str">
        <f t="shared" ca="1" si="823"/>
        <v/>
      </c>
      <c r="T284" s="398">
        <f t="shared" ca="1" si="824"/>
        <v>1600</v>
      </c>
      <c r="U284" s="400">
        <f ca="1">IF(MAX(IF($B$6="No",ROUNDUP($B$3/$I284,0),ROUNDUP(($B$3+$I284)/$I284,0)),IF($B$6="No",ROUNDUP($B$4/$G284,0),ROUNDUP(($B$4+$G284)/$G284,0)),ROUNDUP('BVMS checklist'!$H$217/$J284,0))&gt;1,'BVMS checklist'!$H$224,'BVMS checklist'!$H$217)+MAX(IF($B$6="No",ROUNDUP($B$3/$I284,0),ROUNDUP(($B$3+$I284)/$I284,0)),IF($B$6="No",ROUNDUP($B$4/$G284,0),ROUNDUP(($B$4+$G284)/$G284,0)))+$B$5</f>
        <v>1</v>
      </c>
      <c r="V284" s="400" t="b">
        <f t="shared" ca="1" si="816"/>
        <v>1</v>
      </c>
      <c r="W284" s="400" t="str">
        <f t="shared" ca="1" si="737"/>
        <v>Accepted</v>
      </c>
      <c r="X284" s="398" t="str">
        <f t="shared" ca="1" si="825"/>
        <v>No</v>
      </c>
      <c r="Y284" s="398" t="str">
        <f t="shared" ca="1" si="826"/>
        <v/>
      </c>
      <c r="Z284" s="398" t="str">
        <f t="shared" ca="1" si="827"/>
        <v/>
      </c>
      <c r="AA284" s="398">
        <f t="shared" ca="1" si="738"/>
        <v>6</v>
      </c>
      <c r="AB284" s="398">
        <f t="shared" ca="1" si="817"/>
        <v>2</v>
      </c>
      <c r="AC284" s="398">
        <f t="shared" ca="1" si="818"/>
        <v>1152</v>
      </c>
      <c r="AD284" s="398">
        <f t="shared" ca="1" si="739"/>
        <v>983136</v>
      </c>
      <c r="AE284" s="399">
        <f t="shared" si="768"/>
        <v>0</v>
      </c>
      <c r="AF284" s="399">
        <f t="shared" si="769"/>
        <v>0</v>
      </c>
      <c r="AG284" s="483" t="str">
        <f t="shared" ca="1" si="828"/>
        <v/>
      </c>
      <c r="AH284" s="400">
        <f ca="1">IF(MAX(IF($C$6="No",ROUNDUP($C$3/$I284,0),ROUNDUP(($C$3+$I284)/$I284,0)),IF($C$6="No",ROUNDUP($C$4/$G284,0),ROUNDUP(($C$4+$G284)/$G284,0)),ROUNDUP('BVMS checklist'!$H$217/$J284,0))&gt;1,'BVMS checklist'!$J$224,'BVMS checklist'!$J$217)</f>
        <v>0</v>
      </c>
      <c r="AI284" s="398">
        <f t="shared" ca="1" si="829"/>
        <v>2</v>
      </c>
      <c r="AJ284" s="400">
        <f t="shared" ca="1" si="740"/>
        <v>2</v>
      </c>
      <c r="AK284" s="400">
        <f t="shared" ca="1" si="741"/>
        <v>2100</v>
      </c>
      <c r="AL284" s="400">
        <f t="shared" ca="1" si="742"/>
        <v>0</v>
      </c>
      <c r="AM284" s="398">
        <f t="shared" ca="1" si="743"/>
        <v>983136</v>
      </c>
      <c r="AN284" s="401" t="str">
        <f t="shared" ca="1" si="830"/>
        <v/>
      </c>
      <c r="AO284" s="398">
        <f t="shared" ca="1" si="744"/>
        <v>1600</v>
      </c>
      <c r="AP284" s="400">
        <f ca="1">IF(MAX(IF($C$6="No",ROUNDUP($C$3/$I284,0),ROUNDUP(($C$3+$I284)/$I284,0)),IF($C$6="No",ROUNDUP($C$4/$G284,0),ROUNDUP(($C$4+$G284)/$G284,0)),ROUNDUP('BVMS checklist'!$H$217/$J284,0))&gt;1,'BVMS checklist'!$J$224,'BVMS checklist'!$J$217)+MAX(IF($C$6="No",ROUNDUP($C$3/$I284,0),ROUNDUP(($C$3+$I284)/$I284,0)),IF($C$6="No",ROUNDUP($C$4/$G284,0),ROUNDUP(($C$4+$G284)/$G284,0)))+$C$5</f>
        <v>1</v>
      </c>
      <c r="AQ284" s="400" t="b">
        <f t="shared" ca="1" si="819"/>
        <v>1</v>
      </c>
      <c r="AR284" s="400" t="str">
        <f t="shared" ca="1" si="745"/>
        <v>Accepted</v>
      </c>
      <c r="AS284" s="398" t="str">
        <f t="shared" ca="1" si="731"/>
        <v>No</v>
      </c>
      <c r="AT284" s="398" t="str">
        <f t="shared" ca="1" si="746"/>
        <v/>
      </c>
      <c r="AU284" s="398" t="str">
        <f t="shared" ca="1" si="831"/>
        <v/>
      </c>
      <c r="AV284" s="398">
        <f t="shared" ca="1" si="832"/>
        <v>6</v>
      </c>
      <c r="AW284" s="398">
        <f t="shared" ca="1" si="747"/>
        <v>2</v>
      </c>
      <c r="AX284" s="398">
        <f t="shared" ca="1" si="748"/>
        <v>1152</v>
      </c>
      <c r="AY284" s="398">
        <f t="shared" ca="1" si="749"/>
        <v>983136</v>
      </c>
      <c r="AZ284" s="399">
        <f t="shared" si="770"/>
        <v>0</v>
      </c>
      <c r="BA284" s="399">
        <f t="shared" si="771"/>
        <v>0</v>
      </c>
      <c r="BB284" s="483" t="str">
        <f t="shared" ca="1" si="833"/>
        <v/>
      </c>
      <c r="BC284" s="400">
        <f ca="1">IF(MAX(IF($D$6="No",ROUNDUP($D$3/$I284,0),ROUNDUP(($D$3+$I284)/$I284,0)),IF($D$6="No",ROUNDUP($D$4/$G284,0),ROUNDUP(($D$4+$G284)/$G284,0)),ROUNDUP('BVMS checklist'!$H$217/$J284,0))&gt;1,'BVMS checklist'!$L$224,'BVMS checklist'!$L$217)</f>
        <v>0</v>
      </c>
      <c r="BD284" s="398">
        <f t="shared" ca="1" si="834"/>
        <v>2</v>
      </c>
      <c r="BE284" s="400">
        <f t="shared" si="835"/>
        <v>1</v>
      </c>
      <c r="BF284" s="400">
        <f t="shared" si="751"/>
        <v>1050</v>
      </c>
      <c r="BG284" s="400">
        <f t="shared" ca="1" si="732"/>
        <v>0</v>
      </c>
      <c r="BH284" s="398">
        <f t="shared" ca="1" si="752"/>
        <v>983136</v>
      </c>
      <c r="BI284" s="401" t="str">
        <f t="shared" ca="1" si="836"/>
        <v/>
      </c>
      <c r="BJ284" s="398">
        <f t="shared" ca="1" si="753"/>
        <v>1600</v>
      </c>
      <c r="BK284" s="400">
        <f ca="1">IF(MAX(IF($D$6="No",ROUNDUP($D$3/$I284,0),ROUNDUP(($D$3+$I284)/$I284,0)),IF($D$6="No",ROUNDUP($D$4/$G284,0),ROUNDUP(($D$4+$G284)/$G284,0)),ROUNDUP('BVMS checklist'!$H$217/$J284,0))&gt;1,'BVMS checklist'!$L$224,'BVMS checklist'!$L$217)+MAX(IF($D$6="No",ROUNDUP($D$3/$I284,0),ROUNDUP(($D$3+$I284)/$I284,0)),IF($D$6="No",ROUNDUP($D$4/$G284,0),ROUNDUP(($D$4+$G284)/$G284,0)))+$D$5</f>
        <v>1</v>
      </c>
      <c r="BL284" s="400" t="b">
        <f t="shared" ca="1" si="820"/>
        <v>1</v>
      </c>
      <c r="BM284" s="400" t="str">
        <f t="shared" ca="1" si="754"/>
        <v>Accepted</v>
      </c>
      <c r="BN284" s="398" t="str">
        <f t="shared" ca="1" si="733"/>
        <v>No</v>
      </c>
      <c r="BO284" s="398" t="str">
        <f t="shared" ca="1" si="755"/>
        <v/>
      </c>
      <c r="BP284" s="398" t="str">
        <f t="shared" ca="1" si="837"/>
        <v/>
      </c>
      <c r="BQ284" s="398">
        <f t="shared" ca="1" si="838"/>
        <v>6</v>
      </c>
      <c r="BR284" s="398">
        <f t="shared" ca="1" si="756"/>
        <v>2</v>
      </c>
      <c r="BS284" s="398">
        <f t="shared" ca="1" si="757"/>
        <v>1152</v>
      </c>
      <c r="BT284" s="398">
        <f t="shared" ca="1" si="758"/>
        <v>983136</v>
      </c>
      <c r="BU284" s="399">
        <f t="shared" si="772"/>
        <v>0</v>
      </c>
      <c r="BV284" s="399">
        <f t="shared" si="773"/>
        <v>0</v>
      </c>
      <c r="BW284" s="483" t="str">
        <f t="shared" ca="1" si="839"/>
        <v/>
      </c>
      <c r="BX284" s="400">
        <f ca="1">IF(MAX(IF($E$6="No",ROUNDUP($E$3/$I284,0),ROUNDUP(($E$3+$I284)/$I284,0)),IF($E$6="No",ROUNDUP($E$4/$G284,0),ROUNDUP(($E$4+$G284)/$G284,0)),ROUNDUP('BVMS checklist'!$H$217/$J284,0))&gt;1,'BVMS checklist'!$N$224,'BVMS checklist'!$N$217)</f>
        <v>0</v>
      </c>
      <c r="BY284" s="398">
        <f t="shared" ca="1" si="840"/>
        <v>2</v>
      </c>
      <c r="BZ284" s="400">
        <f t="shared" ca="1" si="759"/>
        <v>2</v>
      </c>
      <c r="CA284" s="400">
        <f t="shared" ca="1" si="760"/>
        <v>2100</v>
      </c>
      <c r="CB284" s="400">
        <f t="shared" ca="1" si="734"/>
        <v>0</v>
      </c>
      <c r="CC284" s="398">
        <f t="shared" ca="1" si="761"/>
        <v>983136</v>
      </c>
      <c r="CD284" s="401" t="str">
        <f t="shared" ca="1" si="841"/>
        <v/>
      </c>
      <c r="CE284" s="398">
        <f t="shared" ca="1" si="762"/>
        <v>1600</v>
      </c>
      <c r="CF284" s="400">
        <f ca="1">IF(MAX(IF($E$6="No",ROUNDUP($E$3/$I284,0),ROUNDUP(($E$3+$I284)/$I284,0)),IF($E$6="No",ROUNDUP($E$4/$G284,0),ROUNDUP(($E$4+$G284)/$G284,0)),ROUNDUP('BVMS checklist'!$H$217/$J284,0))&gt;1,'BVMS checklist'!$N$224,'BVMS checklist'!$N$217)+MAX(IF($E$6="No",ROUNDUP($E$3/$I284,0),ROUNDUP(($E$3+$I284)/$I284,0)),IF($E$6="No",ROUNDUP($E$4/$G284,0),ROUNDUP(($E$4+$G284)/$G284,0)))+$E$5</f>
        <v>1</v>
      </c>
      <c r="CG284" s="400" t="b">
        <f t="shared" ca="1" si="821"/>
        <v>1</v>
      </c>
      <c r="CH284" s="400" t="str">
        <f t="shared" ca="1" si="763"/>
        <v>Accepted</v>
      </c>
      <c r="CI284" s="398" t="str">
        <f t="shared" ca="1" si="735"/>
        <v>No</v>
      </c>
      <c r="CJ284" s="398" t="str">
        <f t="shared" ca="1" si="764"/>
        <v/>
      </c>
      <c r="CK284" s="398" t="str">
        <f t="shared" ca="1" si="842"/>
        <v/>
      </c>
      <c r="CL284" s="398">
        <f t="shared" ca="1" si="843"/>
        <v>6</v>
      </c>
      <c r="CM284" s="398">
        <f t="shared" ca="1" si="765"/>
        <v>2</v>
      </c>
      <c r="CN284" s="398">
        <f t="shared" ca="1" si="766"/>
        <v>1152</v>
      </c>
      <c r="CO284" s="398">
        <f t="shared" ca="1" si="767"/>
        <v>983136</v>
      </c>
      <c r="CP284" s="399">
        <f t="shared" si="774"/>
        <v>0</v>
      </c>
      <c r="CQ284" s="399">
        <f t="shared" si="775"/>
        <v>0</v>
      </c>
      <c r="CR284" s="483" t="str">
        <f t="shared" ca="1" si="844"/>
        <v/>
      </c>
      <c r="CS284"/>
    </row>
    <row r="285" spans="1:97">
      <c r="A285" s="398" t="s">
        <v>462</v>
      </c>
      <c r="B285" s="398" t="s">
        <v>987</v>
      </c>
      <c r="C285" s="440" t="s">
        <v>891</v>
      </c>
      <c r="D285" s="398">
        <v>1</v>
      </c>
      <c r="E285" s="398">
        <v>6</v>
      </c>
      <c r="F285" s="440">
        <v>0</v>
      </c>
      <c r="G285" s="398">
        <f t="shared" si="812"/>
        <v>573496</v>
      </c>
      <c r="H285" s="399">
        <v>672</v>
      </c>
      <c r="I285" s="399">
        <v>1050</v>
      </c>
      <c r="J285" s="399">
        <v>800</v>
      </c>
      <c r="K285" s="399"/>
      <c r="L285" s="399"/>
      <c r="M285" s="400">
        <f ca="1">IF(MAX(IF($B$6="No",ROUNDUP($B$3/$I285,0),ROUNDUP(($B$3+$I285)/$I285,0)),IF($B$6="No",ROUNDUP($B$4/$G285,0),ROUNDUP(($B$4+$G285)/$G285,0)),ROUNDUP('BVMS checklist'!$H$217/$J285,0))&gt;1,'BVMS checklist'!$H$224,'BVMS checklist'!$H$217)</f>
        <v>0</v>
      </c>
      <c r="N285" s="398">
        <f t="shared" ca="1" si="822"/>
        <v>2</v>
      </c>
      <c r="O285" s="400">
        <f t="shared" ca="1" si="736"/>
        <v>2</v>
      </c>
      <c r="P285" s="400">
        <f t="shared" ca="1" si="813"/>
        <v>2100</v>
      </c>
      <c r="Q285" s="400">
        <f t="shared" ca="1" si="814"/>
        <v>0</v>
      </c>
      <c r="R285" s="398">
        <f t="shared" ca="1" si="815"/>
        <v>1146992</v>
      </c>
      <c r="S285" s="401" t="str">
        <f t="shared" ca="1" si="823"/>
        <v/>
      </c>
      <c r="T285" s="398">
        <f t="shared" ca="1" si="824"/>
        <v>1600</v>
      </c>
      <c r="U285" s="400">
        <f ca="1">IF(MAX(IF($B$6="No",ROUNDUP($B$3/$I285,0),ROUNDUP(($B$3+$I285)/$I285,0)),IF($B$6="No",ROUNDUP($B$4/$G285,0),ROUNDUP(($B$4+$G285)/$G285,0)),ROUNDUP('BVMS checklist'!$H$217/$J285,0))&gt;1,'BVMS checklist'!$H$224,'BVMS checklist'!$H$217)+MAX(IF($B$6="No",ROUNDUP($B$3/$I285,0),ROUNDUP(($B$3+$I285)/$I285,0)),IF($B$6="No",ROUNDUP($B$4/$G285,0),ROUNDUP(($B$4+$G285)/$G285,0)))+$B$5</f>
        <v>1</v>
      </c>
      <c r="V285" s="400" t="b">
        <f t="shared" ca="1" si="816"/>
        <v>1</v>
      </c>
      <c r="W285" s="400" t="str">
        <f t="shared" ca="1" si="737"/>
        <v>Accepted</v>
      </c>
      <c r="X285" s="398" t="str">
        <f t="shared" ca="1" si="825"/>
        <v>No</v>
      </c>
      <c r="Y285" s="398" t="str">
        <f t="shared" ca="1" si="826"/>
        <v/>
      </c>
      <c r="Z285" s="398" t="str">
        <f t="shared" ca="1" si="827"/>
        <v/>
      </c>
      <c r="AA285" s="398">
        <f t="shared" ca="1" si="738"/>
        <v>6</v>
      </c>
      <c r="AB285" s="398">
        <f t="shared" ca="1" si="817"/>
        <v>2</v>
      </c>
      <c r="AC285" s="398">
        <f t="shared" ca="1" si="818"/>
        <v>1344</v>
      </c>
      <c r="AD285" s="398">
        <f t="shared" ca="1" si="739"/>
        <v>1146992</v>
      </c>
      <c r="AE285" s="399">
        <f t="shared" si="768"/>
        <v>0</v>
      </c>
      <c r="AF285" s="399">
        <f t="shared" si="769"/>
        <v>0</v>
      </c>
      <c r="AG285" s="483" t="str">
        <f t="shared" ca="1" si="828"/>
        <v/>
      </c>
      <c r="AH285" s="400">
        <f ca="1">IF(MAX(IF($C$6="No",ROUNDUP($C$3/$I285,0),ROUNDUP(($C$3+$I285)/$I285,0)),IF($C$6="No",ROUNDUP($C$4/$G285,0),ROUNDUP(($C$4+$G285)/$G285,0)),ROUNDUP('BVMS checklist'!$H$217/$J285,0))&gt;1,'BVMS checklist'!$J$224,'BVMS checklist'!$J$217)</f>
        <v>0</v>
      </c>
      <c r="AI285" s="398">
        <f t="shared" ca="1" si="829"/>
        <v>2</v>
      </c>
      <c r="AJ285" s="400">
        <f t="shared" ca="1" si="740"/>
        <v>2</v>
      </c>
      <c r="AK285" s="400">
        <f t="shared" ca="1" si="741"/>
        <v>2100</v>
      </c>
      <c r="AL285" s="400">
        <f t="shared" ca="1" si="742"/>
        <v>0</v>
      </c>
      <c r="AM285" s="398">
        <f t="shared" ca="1" si="743"/>
        <v>1146992</v>
      </c>
      <c r="AN285" s="401" t="str">
        <f t="shared" ca="1" si="830"/>
        <v/>
      </c>
      <c r="AO285" s="398">
        <f t="shared" ca="1" si="744"/>
        <v>1600</v>
      </c>
      <c r="AP285" s="400">
        <f ca="1">IF(MAX(IF($C$6="No",ROUNDUP($C$3/$I285,0),ROUNDUP(($C$3+$I285)/$I285,0)),IF($C$6="No",ROUNDUP($C$4/$G285,0),ROUNDUP(($C$4+$G285)/$G285,0)),ROUNDUP('BVMS checklist'!$H$217/$J285,0))&gt;1,'BVMS checklist'!$J$224,'BVMS checklist'!$J$217)+MAX(IF($C$6="No",ROUNDUP($C$3/$I285,0),ROUNDUP(($C$3+$I285)/$I285,0)),IF($C$6="No",ROUNDUP($C$4/$G285,0),ROUNDUP(($C$4+$G285)/$G285,0)))+$C$5</f>
        <v>1</v>
      </c>
      <c r="AQ285" s="400" t="b">
        <f t="shared" ca="1" si="819"/>
        <v>1</v>
      </c>
      <c r="AR285" s="400" t="str">
        <f t="shared" ca="1" si="745"/>
        <v>Accepted</v>
      </c>
      <c r="AS285" s="398" t="str">
        <f t="shared" ca="1" si="731"/>
        <v>No</v>
      </c>
      <c r="AT285" s="398" t="str">
        <f t="shared" ca="1" si="746"/>
        <v/>
      </c>
      <c r="AU285" s="398" t="str">
        <f t="shared" ca="1" si="831"/>
        <v/>
      </c>
      <c r="AV285" s="398">
        <f t="shared" ca="1" si="832"/>
        <v>6</v>
      </c>
      <c r="AW285" s="398">
        <f t="shared" ca="1" si="747"/>
        <v>2</v>
      </c>
      <c r="AX285" s="398">
        <f t="shared" ca="1" si="748"/>
        <v>1344</v>
      </c>
      <c r="AY285" s="398">
        <f t="shared" ca="1" si="749"/>
        <v>1146992</v>
      </c>
      <c r="AZ285" s="399">
        <f t="shared" si="770"/>
        <v>0</v>
      </c>
      <c r="BA285" s="399">
        <f t="shared" si="771"/>
        <v>0</v>
      </c>
      <c r="BB285" s="483" t="str">
        <f t="shared" ca="1" si="833"/>
        <v/>
      </c>
      <c r="BC285" s="400">
        <f ca="1">IF(MAX(IF($D$6="No",ROUNDUP($D$3/$I285,0),ROUNDUP(($D$3+$I285)/$I285,0)),IF($D$6="No",ROUNDUP($D$4/$G285,0),ROUNDUP(($D$4+$G285)/$G285,0)),ROUNDUP('BVMS checklist'!$H$217/$J285,0))&gt;1,'BVMS checklist'!$L$224,'BVMS checklist'!$L$217)</f>
        <v>0</v>
      </c>
      <c r="BD285" s="398">
        <f t="shared" ca="1" si="834"/>
        <v>2</v>
      </c>
      <c r="BE285" s="400">
        <f t="shared" si="835"/>
        <v>1</v>
      </c>
      <c r="BF285" s="400">
        <f t="shared" si="751"/>
        <v>1050</v>
      </c>
      <c r="BG285" s="400">
        <f t="shared" ca="1" si="732"/>
        <v>0</v>
      </c>
      <c r="BH285" s="398">
        <f t="shared" ca="1" si="752"/>
        <v>1146992</v>
      </c>
      <c r="BI285" s="401" t="str">
        <f t="shared" ca="1" si="836"/>
        <v/>
      </c>
      <c r="BJ285" s="398">
        <f t="shared" ca="1" si="753"/>
        <v>1600</v>
      </c>
      <c r="BK285" s="400">
        <f ca="1">IF(MAX(IF($D$6="No",ROUNDUP($D$3/$I285,0),ROUNDUP(($D$3+$I285)/$I285,0)),IF($D$6="No",ROUNDUP($D$4/$G285,0),ROUNDUP(($D$4+$G285)/$G285,0)),ROUNDUP('BVMS checklist'!$H$217/$J285,0))&gt;1,'BVMS checklist'!$L$224,'BVMS checklist'!$L$217)+MAX(IF($D$6="No",ROUNDUP($D$3/$I285,0),ROUNDUP(($D$3+$I285)/$I285,0)),IF($D$6="No",ROUNDUP($D$4/$G285,0),ROUNDUP(($D$4+$G285)/$G285,0)))+$D$5</f>
        <v>1</v>
      </c>
      <c r="BL285" s="400" t="b">
        <f t="shared" ca="1" si="820"/>
        <v>1</v>
      </c>
      <c r="BM285" s="400" t="str">
        <f t="shared" ca="1" si="754"/>
        <v>Accepted</v>
      </c>
      <c r="BN285" s="398" t="str">
        <f t="shared" ca="1" si="733"/>
        <v>No</v>
      </c>
      <c r="BO285" s="398" t="str">
        <f t="shared" ca="1" si="755"/>
        <v/>
      </c>
      <c r="BP285" s="398" t="str">
        <f t="shared" ca="1" si="837"/>
        <v/>
      </c>
      <c r="BQ285" s="398">
        <f t="shared" ca="1" si="838"/>
        <v>6</v>
      </c>
      <c r="BR285" s="398">
        <f t="shared" ca="1" si="756"/>
        <v>2</v>
      </c>
      <c r="BS285" s="398">
        <f t="shared" ca="1" si="757"/>
        <v>1344</v>
      </c>
      <c r="BT285" s="398">
        <f t="shared" ca="1" si="758"/>
        <v>1146992</v>
      </c>
      <c r="BU285" s="399">
        <f t="shared" si="772"/>
        <v>0</v>
      </c>
      <c r="BV285" s="399">
        <f t="shared" si="773"/>
        <v>0</v>
      </c>
      <c r="BW285" s="483" t="str">
        <f t="shared" ca="1" si="839"/>
        <v/>
      </c>
      <c r="BX285" s="400">
        <f ca="1">IF(MAX(IF($E$6="No",ROUNDUP($E$3/$I285,0),ROUNDUP(($E$3+$I285)/$I285,0)),IF($E$6="No",ROUNDUP($E$4/$G285,0),ROUNDUP(($E$4+$G285)/$G285,0)),ROUNDUP('BVMS checklist'!$H$217/$J285,0))&gt;1,'BVMS checklist'!$N$224,'BVMS checklist'!$N$217)</f>
        <v>0</v>
      </c>
      <c r="BY285" s="398">
        <f t="shared" ca="1" si="840"/>
        <v>2</v>
      </c>
      <c r="BZ285" s="400">
        <f t="shared" ca="1" si="759"/>
        <v>2</v>
      </c>
      <c r="CA285" s="400">
        <f t="shared" ca="1" si="760"/>
        <v>2100</v>
      </c>
      <c r="CB285" s="400">
        <f t="shared" ca="1" si="734"/>
        <v>0</v>
      </c>
      <c r="CC285" s="398">
        <f t="shared" ca="1" si="761"/>
        <v>1146992</v>
      </c>
      <c r="CD285" s="401" t="str">
        <f t="shared" ca="1" si="841"/>
        <v/>
      </c>
      <c r="CE285" s="398">
        <f t="shared" ca="1" si="762"/>
        <v>1600</v>
      </c>
      <c r="CF285" s="400">
        <f ca="1">IF(MAX(IF($E$6="No",ROUNDUP($E$3/$I285,0),ROUNDUP(($E$3+$I285)/$I285,0)),IF($E$6="No",ROUNDUP($E$4/$G285,0),ROUNDUP(($E$4+$G285)/$G285,0)),ROUNDUP('BVMS checklist'!$H$217/$J285,0))&gt;1,'BVMS checklist'!$N$224,'BVMS checklist'!$N$217)+MAX(IF($E$6="No",ROUNDUP($E$3/$I285,0),ROUNDUP(($E$3+$I285)/$I285,0)),IF($E$6="No",ROUNDUP($E$4/$G285,0),ROUNDUP(($E$4+$G285)/$G285,0)))+$E$5</f>
        <v>1</v>
      </c>
      <c r="CG285" s="400" t="b">
        <f t="shared" ca="1" si="821"/>
        <v>1</v>
      </c>
      <c r="CH285" s="400" t="str">
        <f t="shared" ca="1" si="763"/>
        <v>Accepted</v>
      </c>
      <c r="CI285" s="398" t="str">
        <f t="shared" ca="1" si="735"/>
        <v>No</v>
      </c>
      <c r="CJ285" s="398" t="str">
        <f t="shared" ca="1" si="764"/>
        <v/>
      </c>
      <c r="CK285" s="398" t="str">
        <f t="shared" ca="1" si="842"/>
        <v/>
      </c>
      <c r="CL285" s="398">
        <f t="shared" ca="1" si="843"/>
        <v>6</v>
      </c>
      <c r="CM285" s="398">
        <f t="shared" ca="1" si="765"/>
        <v>2</v>
      </c>
      <c r="CN285" s="398">
        <f t="shared" ca="1" si="766"/>
        <v>1344</v>
      </c>
      <c r="CO285" s="398">
        <f t="shared" ca="1" si="767"/>
        <v>1146992</v>
      </c>
      <c r="CP285" s="399">
        <f t="shared" si="774"/>
        <v>0</v>
      </c>
      <c r="CQ285" s="399">
        <f t="shared" si="775"/>
        <v>0</v>
      </c>
      <c r="CR285" s="483" t="str">
        <f t="shared" ca="1" si="844"/>
        <v/>
      </c>
      <c r="CS285"/>
    </row>
    <row r="286" spans="1:97">
      <c r="A286" s="398" t="s">
        <v>463</v>
      </c>
      <c r="B286" s="398" t="s">
        <v>987</v>
      </c>
      <c r="C286" s="440" t="s">
        <v>891</v>
      </c>
      <c r="D286" s="398">
        <v>1</v>
      </c>
      <c r="E286" s="398">
        <v>7</v>
      </c>
      <c r="F286" s="440">
        <v>0</v>
      </c>
      <c r="G286" s="398">
        <f t="shared" si="812"/>
        <v>655424</v>
      </c>
      <c r="H286" s="399">
        <v>768</v>
      </c>
      <c r="I286" s="399">
        <v>1050</v>
      </c>
      <c r="J286" s="399">
        <v>800</v>
      </c>
      <c r="K286" s="399"/>
      <c r="L286" s="399"/>
      <c r="M286" s="400">
        <f ca="1">IF(MAX(IF($B$6="No",ROUNDUP($B$3/$I286,0),ROUNDUP(($B$3+$I286)/$I286,0)),IF($B$6="No",ROUNDUP($B$4/$G286,0),ROUNDUP(($B$4+$G286)/$G286,0)),ROUNDUP('BVMS checklist'!$H$217/$J286,0))&gt;1,'BVMS checklist'!$H$224,'BVMS checklist'!$H$217)</f>
        <v>0</v>
      </c>
      <c r="N286" s="398">
        <f t="shared" ca="1" si="822"/>
        <v>2</v>
      </c>
      <c r="O286" s="400">
        <f t="shared" ca="1" si="736"/>
        <v>2</v>
      </c>
      <c r="P286" s="400">
        <f t="shared" ca="1" si="813"/>
        <v>2100</v>
      </c>
      <c r="Q286" s="400">
        <f t="shared" ca="1" si="814"/>
        <v>0</v>
      </c>
      <c r="R286" s="398">
        <f t="shared" ca="1" si="815"/>
        <v>1310848</v>
      </c>
      <c r="S286" s="401" t="str">
        <f t="shared" ca="1" si="823"/>
        <v/>
      </c>
      <c r="T286" s="398">
        <f t="shared" ca="1" si="824"/>
        <v>1600</v>
      </c>
      <c r="U286" s="400">
        <f ca="1">IF(MAX(IF($B$6="No",ROUNDUP($B$3/$I286,0),ROUNDUP(($B$3+$I286)/$I286,0)),IF($B$6="No",ROUNDUP($B$4/$G286,0),ROUNDUP(($B$4+$G286)/$G286,0)),ROUNDUP('BVMS checklist'!$H$217/$J286,0))&gt;1,'BVMS checklist'!$H$224,'BVMS checklist'!$H$217)+MAX(IF($B$6="No",ROUNDUP($B$3/$I286,0),ROUNDUP(($B$3+$I286)/$I286,0)),IF($B$6="No",ROUNDUP($B$4/$G286,0),ROUNDUP(($B$4+$G286)/$G286,0)))+$B$5</f>
        <v>1</v>
      </c>
      <c r="V286" s="400" t="b">
        <f t="shared" ca="1" si="816"/>
        <v>1</v>
      </c>
      <c r="W286" s="400" t="str">
        <f t="shared" ca="1" si="737"/>
        <v>Accepted</v>
      </c>
      <c r="X286" s="398" t="str">
        <f t="shared" ca="1" si="825"/>
        <v>No</v>
      </c>
      <c r="Y286" s="398" t="str">
        <f t="shared" ca="1" si="826"/>
        <v/>
      </c>
      <c r="Z286" s="398" t="str">
        <f t="shared" ca="1" si="827"/>
        <v/>
      </c>
      <c r="AA286" s="398">
        <f t="shared" ca="1" si="738"/>
        <v>6</v>
      </c>
      <c r="AB286" s="398">
        <f t="shared" ca="1" si="817"/>
        <v>2</v>
      </c>
      <c r="AC286" s="398">
        <f t="shared" ca="1" si="818"/>
        <v>1536</v>
      </c>
      <c r="AD286" s="398">
        <f t="shared" ca="1" si="739"/>
        <v>1310848</v>
      </c>
      <c r="AE286" s="399">
        <f t="shared" si="768"/>
        <v>0</v>
      </c>
      <c r="AF286" s="399">
        <f t="shared" si="769"/>
        <v>0</v>
      </c>
      <c r="AG286" s="483" t="str">
        <f t="shared" ca="1" si="828"/>
        <v/>
      </c>
      <c r="AH286" s="400">
        <f ca="1">IF(MAX(IF($C$6="No",ROUNDUP($C$3/$I286,0),ROUNDUP(($C$3+$I286)/$I286,0)),IF($C$6="No",ROUNDUP($C$4/$G286,0),ROUNDUP(($C$4+$G286)/$G286,0)),ROUNDUP('BVMS checklist'!$H$217/$J286,0))&gt;1,'BVMS checklist'!$J$224,'BVMS checklist'!$J$217)</f>
        <v>0</v>
      </c>
      <c r="AI286" s="398">
        <f t="shared" ca="1" si="829"/>
        <v>2</v>
      </c>
      <c r="AJ286" s="400">
        <f t="shared" ca="1" si="740"/>
        <v>2</v>
      </c>
      <c r="AK286" s="400">
        <f t="shared" ca="1" si="741"/>
        <v>2100</v>
      </c>
      <c r="AL286" s="400">
        <f t="shared" ca="1" si="742"/>
        <v>0</v>
      </c>
      <c r="AM286" s="398">
        <f t="shared" ca="1" si="743"/>
        <v>1310848</v>
      </c>
      <c r="AN286" s="401" t="str">
        <f t="shared" ca="1" si="830"/>
        <v/>
      </c>
      <c r="AO286" s="398">
        <f t="shared" ca="1" si="744"/>
        <v>1600</v>
      </c>
      <c r="AP286" s="400">
        <f ca="1">IF(MAX(IF($C$6="No",ROUNDUP($C$3/$I286,0),ROUNDUP(($C$3+$I286)/$I286,0)),IF($C$6="No",ROUNDUP($C$4/$G286,0),ROUNDUP(($C$4+$G286)/$G286,0)),ROUNDUP('BVMS checklist'!$H$217/$J286,0))&gt;1,'BVMS checklist'!$J$224,'BVMS checklist'!$J$217)+MAX(IF($C$6="No",ROUNDUP($C$3/$I286,0),ROUNDUP(($C$3+$I286)/$I286,0)),IF($C$6="No",ROUNDUP($C$4/$G286,0),ROUNDUP(($C$4+$G286)/$G286,0)))+$C$5</f>
        <v>1</v>
      </c>
      <c r="AQ286" s="400" t="b">
        <f t="shared" ca="1" si="819"/>
        <v>1</v>
      </c>
      <c r="AR286" s="400" t="str">
        <f t="shared" ca="1" si="745"/>
        <v>Accepted</v>
      </c>
      <c r="AS286" s="398" t="str">
        <f t="shared" ca="1" si="731"/>
        <v>No</v>
      </c>
      <c r="AT286" s="398" t="str">
        <f t="shared" ca="1" si="746"/>
        <v/>
      </c>
      <c r="AU286" s="398" t="str">
        <f t="shared" ca="1" si="831"/>
        <v/>
      </c>
      <c r="AV286" s="398">
        <f t="shared" ca="1" si="832"/>
        <v>6</v>
      </c>
      <c r="AW286" s="398">
        <f t="shared" ca="1" si="747"/>
        <v>2</v>
      </c>
      <c r="AX286" s="398">
        <f t="shared" ca="1" si="748"/>
        <v>1536</v>
      </c>
      <c r="AY286" s="398">
        <f t="shared" ca="1" si="749"/>
        <v>1310848</v>
      </c>
      <c r="AZ286" s="399">
        <f t="shared" si="770"/>
        <v>0</v>
      </c>
      <c r="BA286" s="399">
        <f t="shared" si="771"/>
        <v>0</v>
      </c>
      <c r="BB286" s="483" t="str">
        <f t="shared" ca="1" si="833"/>
        <v/>
      </c>
      <c r="BC286" s="400">
        <f ca="1">IF(MAX(IF($D$6="No",ROUNDUP($D$3/$I286,0),ROUNDUP(($D$3+$I286)/$I286,0)),IF($D$6="No",ROUNDUP($D$4/$G286,0),ROUNDUP(($D$4+$G286)/$G286,0)),ROUNDUP('BVMS checklist'!$H$217/$J286,0))&gt;1,'BVMS checklist'!$L$224,'BVMS checklist'!$L$217)</f>
        <v>0</v>
      </c>
      <c r="BD286" s="398">
        <f t="shared" ca="1" si="834"/>
        <v>2</v>
      </c>
      <c r="BE286" s="400">
        <f t="shared" si="835"/>
        <v>1</v>
      </c>
      <c r="BF286" s="400">
        <f t="shared" si="751"/>
        <v>1050</v>
      </c>
      <c r="BG286" s="400">
        <f t="shared" ca="1" si="732"/>
        <v>0</v>
      </c>
      <c r="BH286" s="398">
        <f t="shared" ca="1" si="752"/>
        <v>1310848</v>
      </c>
      <c r="BI286" s="401" t="str">
        <f t="shared" ca="1" si="836"/>
        <v/>
      </c>
      <c r="BJ286" s="398">
        <f t="shared" ca="1" si="753"/>
        <v>1600</v>
      </c>
      <c r="BK286" s="400">
        <f ca="1">IF(MAX(IF($D$6="No",ROUNDUP($D$3/$I286,0),ROUNDUP(($D$3+$I286)/$I286,0)),IF($D$6="No",ROUNDUP($D$4/$G286,0),ROUNDUP(($D$4+$G286)/$G286,0)),ROUNDUP('BVMS checklist'!$H$217/$J286,0))&gt;1,'BVMS checklist'!$L$224,'BVMS checklist'!$L$217)+MAX(IF($D$6="No",ROUNDUP($D$3/$I286,0),ROUNDUP(($D$3+$I286)/$I286,0)),IF($D$6="No",ROUNDUP($D$4/$G286,0),ROUNDUP(($D$4+$G286)/$G286,0)))+$D$5</f>
        <v>1</v>
      </c>
      <c r="BL286" s="400" t="b">
        <f t="shared" ca="1" si="820"/>
        <v>1</v>
      </c>
      <c r="BM286" s="400" t="str">
        <f t="shared" ca="1" si="754"/>
        <v>Accepted</v>
      </c>
      <c r="BN286" s="398" t="str">
        <f t="shared" ca="1" si="733"/>
        <v>No</v>
      </c>
      <c r="BO286" s="398" t="str">
        <f t="shared" ca="1" si="755"/>
        <v/>
      </c>
      <c r="BP286" s="398" t="str">
        <f t="shared" ca="1" si="837"/>
        <v/>
      </c>
      <c r="BQ286" s="398">
        <f t="shared" ca="1" si="838"/>
        <v>6</v>
      </c>
      <c r="BR286" s="398">
        <f t="shared" ca="1" si="756"/>
        <v>2</v>
      </c>
      <c r="BS286" s="398">
        <f t="shared" ca="1" si="757"/>
        <v>1536</v>
      </c>
      <c r="BT286" s="398">
        <f t="shared" ca="1" si="758"/>
        <v>1310848</v>
      </c>
      <c r="BU286" s="399">
        <f t="shared" si="772"/>
        <v>0</v>
      </c>
      <c r="BV286" s="399">
        <f t="shared" si="773"/>
        <v>0</v>
      </c>
      <c r="BW286" s="483" t="str">
        <f t="shared" ca="1" si="839"/>
        <v/>
      </c>
      <c r="BX286" s="400">
        <f ca="1">IF(MAX(IF($E$6="No",ROUNDUP($E$3/$I286,0),ROUNDUP(($E$3+$I286)/$I286,0)),IF($E$6="No",ROUNDUP($E$4/$G286,0),ROUNDUP(($E$4+$G286)/$G286,0)),ROUNDUP('BVMS checklist'!$H$217/$J286,0))&gt;1,'BVMS checklist'!$N$224,'BVMS checklist'!$N$217)</f>
        <v>0</v>
      </c>
      <c r="BY286" s="398">
        <f t="shared" ca="1" si="840"/>
        <v>2</v>
      </c>
      <c r="BZ286" s="400">
        <f t="shared" ca="1" si="759"/>
        <v>2</v>
      </c>
      <c r="CA286" s="400">
        <f t="shared" ca="1" si="760"/>
        <v>2100</v>
      </c>
      <c r="CB286" s="400">
        <f t="shared" ca="1" si="734"/>
        <v>0</v>
      </c>
      <c r="CC286" s="398">
        <f t="shared" ca="1" si="761"/>
        <v>1310848</v>
      </c>
      <c r="CD286" s="401" t="str">
        <f t="shared" ca="1" si="841"/>
        <v/>
      </c>
      <c r="CE286" s="398">
        <f t="shared" ca="1" si="762"/>
        <v>1600</v>
      </c>
      <c r="CF286" s="400">
        <f ca="1">IF(MAX(IF($E$6="No",ROUNDUP($E$3/$I286,0),ROUNDUP(($E$3+$I286)/$I286,0)),IF($E$6="No",ROUNDUP($E$4/$G286,0),ROUNDUP(($E$4+$G286)/$G286,0)),ROUNDUP('BVMS checklist'!$H$217/$J286,0))&gt;1,'BVMS checklist'!$N$224,'BVMS checklist'!$N$217)+MAX(IF($E$6="No",ROUNDUP($E$3/$I286,0),ROUNDUP(($E$3+$I286)/$I286,0)),IF($E$6="No",ROUNDUP($E$4/$G286,0),ROUNDUP(($E$4+$G286)/$G286,0)))+$E$5</f>
        <v>1</v>
      </c>
      <c r="CG286" s="400" t="b">
        <f t="shared" ca="1" si="821"/>
        <v>1</v>
      </c>
      <c r="CH286" s="400" t="str">
        <f t="shared" ca="1" si="763"/>
        <v>Accepted</v>
      </c>
      <c r="CI286" s="398" t="str">
        <f t="shared" ca="1" si="735"/>
        <v>No</v>
      </c>
      <c r="CJ286" s="398" t="str">
        <f t="shared" ca="1" si="764"/>
        <v/>
      </c>
      <c r="CK286" s="398" t="str">
        <f t="shared" ca="1" si="842"/>
        <v/>
      </c>
      <c r="CL286" s="398">
        <f t="shared" ca="1" si="843"/>
        <v>6</v>
      </c>
      <c r="CM286" s="398">
        <f t="shared" ca="1" si="765"/>
        <v>2</v>
      </c>
      <c r="CN286" s="398">
        <f t="shared" ca="1" si="766"/>
        <v>1536</v>
      </c>
      <c r="CO286" s="398">
        <f t="shared" ca="1" si="767"/>
        <v>1310848</v>
      </c>
      <c r="CP286" s="399">
        <f t="shared" si="774"/>
        <v>0</v>
      </c>
      <c r="CQ286" s="399">
        <f t="shared" si="775"/>
        <v>0</v>
      </c>
      <c r="CR286" s="483" t="str">
        <f t="shared" ca="1" si="844"/>
        <v/>
      </c>
      <c r="CS286"/>
    </row>
    <row r="287" spans="1:97">
      <c r="A287" s="398" t="s">
        <v>1033</v>
      </c>
      <c r="B287" s="398" t="s">
        <v>987</v>
      </c>
      <c r="C287" s="440" t="s">
        <v>891</v>
      </c>
      <c r="D287" s="398">
        <v>2</v>
      </c>
      <c r="E287" s="398">
        <v>0</v>
      </c>
      <c r="F287" s="440">
        <v>0</v>
      </c>
      <c r="G287" s="398">
        <f>IF(C287="RAID5",(11-F287)*2794,(10-F287)*2794)+IF(C287="RAID5",(55-F287*5)*2794,(50-F287*5)*2794)*E287</f>
        <v>30734</v>
      </c>
      <c r="H287" s="399">
        <v>36</v>
      </c>
      <c r="I287" s="399">
        <v>1300</v>
      </c>
      <c r="J287" s="399">
        <v>1600</v>
      </c>
      <c r="K287" s="399"/>
      <c r="L287" s="399"/>
      <c r="M287" s="400">
        <f ca="1">IF(MAX(IF($B$6="No",ROUNDUP($B$3/$I287,0),ROUNDUP(($B$3+$I287)/$I287,0)),IF($B$6="No",ROUNDUP($B$4/$G287,0),ROUNDUP(($B$4+$G287)/$G287,0)),ROUNDUP('BVMS checklist'!$H$217/$J287,0))&gt;1,'BVMS checklist'!$H$224,'BVMS checklist'!$H$217)</f>
        <v>0</v>
      </c>
      <c r="N287" s="398">
        <f t="shared" ca="1" si="822"/>
        <v>2</v>
      </c>
      <c r="O287" s="400">
        <f t="shared" ca="1" si="736"/>
        <v>2</v>
      </c>
      <c r="P287" s="400">
        <f t="shared" ca="1" si="813"/>
        <v>2600</v>
      </c>
      <c r="Q287" s="400">
        <f t="shared" ca="1" si="814"/>
        <v>0</v>
      </c>
      <c r="R287" s="398">
        <f t="shared" ca="1" si="815"/>
        <v>61468</v>
      </c>
      <c r="S287" s="401" t="str">
        <f t="shared" ca="1" si="823"/>
        <v/>
      </c>
      <c r="T287" s="398">
        <f t="shared" ca="1" si="824"/>
        <v>3200</v>
      </c>
      <c r="U287" s="400">
        <f ca="1">IF(MAX(IF($B$6="No",ROUNDUP($B$3/$I287,0),ROUNDUP(($B$3+$I287)/$I287,0)),IF($B$6="No",ROUNDUP($B$4/$G287,0),ROUNDUP(($B$4+$G287)/$G287,0)),ROUNDUP('BVMS checklist'!$H$217/$J287,0))&gt;1,'BVMS checklist'!$H$224,'BVMS checklist'!$H$217)+MAX(IF($B$6="No",ROUNDUP($B$3/$I287,0),ROUNDUP(($B$3+$I287)/$I287,0)),IF($B$6="No",ROUNDUP($B$4/$G287,0),ROUNDUP(($B$4+$G287)/$G287,0)))+$B$5</f>
        <v>1</v>
      </c>
      <c r="V287" s="400" t="b">
        <f t="shared" ca="1" si="816"/>
        <v>1</v>
      </c>
      <c r="W287" s="400" t="str">
        <f t="shared" ca="1" si="737"/>
        <v>Accepted</v>
      </c>
      <c r="X287" s="398" t="str">
        <f t="shared" ca="1" si="825"/>
        <v>No</v>
      </c>
      <c r="Y287" s="398" t="str">
        <f t="shared" ca="1" si="826"/>
        <v/>
      </c>
      <c r="Z287" s="398" t="str">
        <f t="shared" ca="1" si="827"/>
        <v/>
      </c>
      <c r="AA287" s="398">
        <f t="shared" ca="1" si="738"/>
        <v>6</v>
      </c>
      <c r="AB287" s="398">
        <f t="shared" ca="1" si="817"/>
        <v>2</v>
      </c>
      <c r="AC287" s="398">
        <f t="shared" ca="1" si="818"/>
        <v>72</v>
      </c>
      <c r="AD287" s="398">
        <f t="shared" ca="1" si="739"/>
        <v>61468</v>
      </c>
      <c r="AE287" s="399">
        <f t="shared" si="768"/>
        <v>0</v>
      </c>
      <c r="AF287" s="399">
        <f t="shared" si="769"/>
        <v>0</v>
      </c>
      <c r="AG287" s="483" t="str">
        <f t="shared" ca="1" si="828"/>
        <v/>
      </c>
      <c r="AH287" s="400">
        <f ca="1">IF(MAX(IF($C$6="No",ROUNDUP($C$3/$I287,0),ROUNDUP(($C$3+$I287)/$I287,0)),IF($C$6="No",ROUNDUP($C$4/$G287,0),ROUNDUP(($C$4+$G287)/$G287,0)),ROUNDUP('BVMS checklist'!$H$217/$J287,0))&gt;1,'BVMS checklist'!$J$224,'BVMS checklist'!$J$217)</f>
        <v>0</v>
      </c>
      <c r="AI287" s="398">
        <f t="shared" ca="1" si="829"/>
        <v>2</v>
      </c>
      <c r="AJ287" s="400">
        <f t="shared" ca="1" si="740"/>
        <v>2</v>
      </c>
      <c r="AK287" s="400">
        <f t="shared" ca="1" si="741"/>
        <v>2600</v>
      </c>
      <c r="AL287" s="400">
        <f t="shared" ca="1" si="742"/>
        <v>0</v>
      </c>
      <c r="AM287" s="398">
        <f t="shared" ca="1" si="743"/>
        <v>61468</v>
      </c>
      <c r="AN287" s="401" t="str">
        <f t="shared" ca="1" si="830"/>
        <v/>
      </c>
      <c r="AO287" s="398">
        <f t="shared" ca="1" si="744"/>
        <v>3200</v>
      </c>
      <c r="AP287" s="400">
        <f ca="1">IF(MAX(IF($C$6="No",ROUNDUP($C$3/$I287,0),ROUNDUP(($C$3+$I287)/$I287,0)),IF($C$6="No",ROUNDUP($C$4/$G287,0),ROUNDUP(($C$4+$G287)/$G287,0)),ROUNDUP('BVMS checklist'!$H$217/$J287,0))&gt;1,'BVMS checklist'!$J$224,'BVMS checklist'!$J$217)+MAX(IF($C$6="No",ROUNDUP($C$3/$I287,0),ROUNDUP(($C$3+$I287)/$I287,0)),IF($C$6="No",ROUNDUP($C$4/$G287,0),ROUNDUP(($C$4+$G287)/$G287,0)))+$C$5</f>
        <v>1</v>
      </c>
      <c r="AQ287" s="400" t="b">
        <f t="shared" ca="1" si="819"/>
        <v>1</v>
      </c>
      <c r="AR287" s="400" t="str">
        <f t="shared" ca="1" si="745"/>
        <v>Accepted</v>
      </c>
      <c r="AS287" s="398" t="str">
        <f t="shared" ref="AS287:AS347" ca="1" si="845">IF(AND(AP287&lt;AO287,AL287&lt;$I287,$B287="Active",AR287="Accepted"),"Yes","No")</f>
        <v>No</v>
      </c>
      <c r="AT287" s="398" t="str">
        <f t="shared" ca="1" si="746"/>
        <v/>
      </c>
      <c r="AU287" s="398" t="str">
        <f t="shared" ca="1" si="831"/>
        <v/>
      </c>
      <c r="AV287" s="398">
        <f t="shared" ca="1" si="832"/>
        <v>6</v>
      </c>
      <c r="AW287" s="398">
        <f t="shared" ca="1" si="747"/>
        <v>2</v>
      </c>
      <c r="AX287" s="398">
        <f t="shared" ca="1" si="748"/>
        <v>72</v>
      </c>
      <c r="AY287" s="398">
        <f t="shared" ca="1" si="749"/>
        <v>61468</v>
      </c>
      <c r="AZ287" s="399">
        <f t="shared" si="770"/>
        <v>0</v>
      </c>
      <c r="BA287" s="399">
        <f t="shared" si="771"/>
        <v>0</v>
      </c>
      <c r="BB287" s="483" t="str">
        <f t="shared" ca="1" si="833"/>
        <v/>
      </c>
      <c r="BC287" s="400">
        <f ca="1">IF(MAX(IF($D$6="No",ROUNDUP($D$3/$I287,0),ROUNDUP(($D$3+$I287)/$I287,0)),IF($D$6="No",ROUNDUP($D$4/$G287,0),ROUNDUP(($D$4+$G287)/$G287,0)),ROUNDUP('BVMS checklist'!$H$217/$J287,0))&gt;1,'BVMS checklist'!$L$224,'BVMS checklist'!$L$217)</f>
        <v>0</v>
      </c>
      <c r="BD287" s="398">
        <f t="shared" ca="1" si="834"/>
        <v>2</v>
      </c>
      <c r="BE287" s="400">
        <f t="shared" si="835"/>
        <v>1</v>
      </c>
      <c r="BF287" s="400">
        <f t="shared" si="751"/>
        <v>1300</v>
      </c>
      <c r="BG287" s="400">
        <f t="shared" ref="BG287:BG347" ca="1" si="846">IFERROR($D$3/BD287,"")</f>
        <v>0</v>
      </c>
      <c r="BH287" s="398">
        <f t="shared" ca="1" si="752"/>
        <v>61468</v>
      </c>
      <c r="BI287" s="401" t="str">
        <f t="shared" ca="1" si="836"/>
        <v/>
      </c>
      <c r="BJ287" s="398">
        <f t="shared" ca="1" si="753"/>
        <v>3200</v>
      </c>
      <c r="BK287" s="400">
        <f ca="1">IF(MAX(IF($D$6="No",ROUNDUP($D$3/$I287,0),ROUNDUP(($D$3+$I287)/$I287,0)),IF($D$6="No",ROUNDUP($D$4/$G287,0),ROUNDUP(($D$4+$G287)/$G287,0)),ROUNDUP('BVMS checklist'!$H$217/$J287,0))&gt;1,'BVMS checklist'!$L$224,'BVMS checklist'!$L$217)+MAX(IF($D$6="No",ROUNDUP($D$3/$I287,0),ROUNDUP(($D$3+$I287)/$I287,0)),IF($D$6="No",ROUNDUP($D$4/$G287,0),ROUNDUP(($D$4+$G287)/$G287,0)))+$D$5</f>
        <v>1</v>
      </c>
      <c r="BL287" s="400" t="b">
        <f t="shared" ca="1" si="820"/>
        <v>1</v>
      </c>
      <c r="BM287" s="400" t="str">
        <f t="shared" ca="1" si="754"/>
        <v>Accepted</v>
      </c>
      <c r="BN287" s="398" t="str">
        <f t="shared" ref="BN287:BN347" ca="1" si="847">IF(AND(BK287&lt;BJ287,BG287&lt;$I287,$B287="Active",BM287="Accepted"),"Yes","No")</f>
        <v>No</v>
      </c>
      <c r="BO287" s="398" t="str">
        <f t="shared" ca="1" si="755"/>
        <v/>
      </c>
      <c r="BP287" s="398" t="str">
        <f t="shared" ca="1" si="837"/>
        <v/>
      </c>
      <c r="BQ287" s="398">
        <f t="shared" ca="1" si="838"/>
        <v>6</v>
      </c>
      <c r="BR287" s="398">
        <f t="shared" ca="1" si="756"/>
        <v>2</v>
      </c>
      <c r="BS287" s="398">
        <f t="shared" ca="1" si="757"/>
        <v>72</v>
      </c>
      <c r="BT287" s="398">
        <f t="shared" ca="1" si="758"/>
        <v>61468</v>
      </c>
      <c r="BU287" s="399">
        <f t="shared" si="772"/>
        <v>0</v>
      </c>
      <c r="BV287" s="399">
        <f t="shared" si="773"/>
        <v>0</v>
      </c>
      <c r="BW287" s="483" t="str">
        <f t="shared" ca="1" si="839"/>
        <v/>
      </c>
      <c r="BX287" s="400">
        <f ca="1">IF(MAX(IF($E$6="No",ROUNDUP($E$3/$I287,0),ROUNDUP(($E$3+$I287)/$I287,0)),IF($E$6="No",ROUNDUP($E$4/$G287,0),ROUNDUP(($E$4+$G287)/$G287,0)),ROUNDUP('BVMS checklist'!$H$217/$J287,0))&gt;1,'BVMS checklist'!$N$224,'BVMS checklist'!$N$217)</f>
        <v>0</v>
      </c>
      <c r="BY287" s="398">
        <f t="shared" ca="1" si="840"/>
        <v>2</v>
      </c>
      <c r="BZ287" s="400">
        <f t="shared" ca="1" si="759"/>
        <v>2</v>
      </c>
      <c r="CA287" s="400">
        <f t="shared" ca="1" si="760"/>
        <v>2600</v>
      </c>
      <c r="CB287" s="400">
        <f t="shared" ref="CB287:CB347" ca="1" si="848">IFERROR($E$3/BY287,"")</f>
        <v>0</v>
      </c>
      <c r="CC287" s="398">
        <f t="shared" ca="1" si="761"/>
        <v>61468</v>
      </c>
      <c r="CD287" s="401" t="str">
        <f t="shared" ca="1" si="841"/>
        <v/>
      </c>
      <c r="CE287" s="398">
        <f t="shared" ca="1" si="762"/>
        <v>3200</v>
      </c>
      <c r="CF287" s="400">
        <f ca="1">IF(MAX(IF($E$6="No",ROUNDUP($E$3/$I287,0),ROUNDUP(($E$3+$I287)/$I287,0)),IF($E$6="No",ROUNDUP($E$4/$G287,0),ROUNDUP(($E$4+$G287)/$G287,0)),ROUNDUP('BVMS checklist'!$H$217/$J287,0))&gt;1,'BVMS checklist'!$N$224,'BVMS checklist'!$N$217)+MAX(IF($E$6="No",ROUNDUP($E$3/$I287,0),ROUNDUP(($E$3+$I287)/$I287,0)),IF($E$6="No",ROUNDUP($E$4/$G287,0),ROUNDUP(($E$4+$G287)/$G287,0)))+$E$5</f>
        <v>1</v>
      </c>
      <c r="CG287" s="400" t="b">
        <f t="shared" ca="1" si="821"/>
        <v>1</v>
      </c>
      <c r="CH287" s="400" t="str">
        <f t="shared" ca="1" si="763"/>
        <v>Accepted</v>
      </c>
      <c r="CI287" s="398" t="str">
        <f t="shared" ref="CI287:CI347" ca="1" si="849">IF(AND(CF287&lt;CE287,CB287&lt;$I287,$B287="Active",CH287="Accepted"),"Yes","No")</f>
        <v>No</v>
      </c>
      <c r="CJ287" s="398" t="str">
        <f t="shared" ca="1" si="764"/>
        <v/>
      </c>
      <c r="CK287" s="398" t="str">
        <f t="shared" ca="1" si="842"/>
        <v/>
      </c>
      <c r="CL287" s="398">
        <f t="shared" ca="1" si="843"/>
        <v>6</v>
      </c>
      <c r="CM287" s="398">
        <f t="shared" ca="1" si="765"/>
        <v>2</v>
      </c>
      <c r="CN287" s="398">
        <f t="shared" ca="1" si="766"/>
        <v>72</v>
      </c>
      <c r="CO287" s="398">
        <f t="shared" ca="1" si="767"/>
        <v>61468</v>
      </c>
      <c r="CP287" s="399">
        <f t="shared" si="774"/>
        <v>0</v>
      </c>
      <c r="CQ287" s="399">
        <f t="shared" si="775"/>
        <v>0</v>
      </c>
      <c r="CR287" s="483" t="str">
        <f t="shared" ca="1" si="844"/>
        <v/>
      </c>
      <c r="CS287"/>
    </row>
    <row r="288" spans="1:97">
      <c r="A288" s="398" t="s">
        <v>1034</v>
      </c>
      <c r="B288" s="398" t="s">
        <v>987</v>
      </c>
      <c r="C288" s="440" t="s">
        <v>891</v>
      </c>
      <c r="D288" s="398">
        <v>2</v>
      </c>
      <c r="E288" s="398">
        <v>1</v>
      </c>
      <c r="F288" s="440">
        <v>0</v>
      </c>
      <c r="G288" s="398">
        <f t="shared" ref="G288:G290" si="850">IF(C288="RAID5",(11-F288)*2794,(10-F288)*2794)+IF(C288="RAID5",(55-F288*5)*2794,(50-F288*5)*2794)*E288</f>
        <v>184404</v>
      </c>
      <c r="H288" s="399">
        <v>216</v>
      </c>
      <c r="I288" s="399">
        <v>2100</v>
      </c>
      <c r="J288" s="399">
        <v>1600</v>
      </c>
      <c r="K288" s="399"/>
      <c r="L288" s="399"/>
      <c r="M288" s="400">
        <f ca="1">IF(MAX(IF($B$6="No",ROUNDUP($B$3/$I288,0),ROUNDUP(($B$3+$I288)/$I288,0)),IF($B$6="No",ROUNDUP($B$4/$G288,0),ROUNDUP(($B$4+$G288)/$G288,0)),ROUNDUP('BVMS checklist'!$H$217/$J288,0))&gt;1,'BVMS checklist'!$H$224,'BVMS checklist'!$H$217)</f>
        <v>0</v>
      </c>
      <c r="N288" s="398">
        <f t="shared" ca="1" si="822"/>
        <v>2</v>
      </c>
      <c r="O288" s="400">
        <f t="shared" ref="O288:O347" ca="1" si="851">N288</f>
        <v>2</v>
      </c>
      <c r="P288" s="400">
        <f t="shared" ca="1" si="813"/>
        <v>4200</v>
      </c>
      <c r="Q288" s="400">
        <f t="shared" ca="1" si="814"/>
        <v>0</v>
      </c>
      <c r="R288" s="398">
        <f t="shared" ca="1" si="815"/>
        <v>368808</v>
      </c>
      <c r="S288" s="401" t="str">
        <f t="shared" ca="1" si="823"/>
        <v/>
      </c>
      <c r="T288" s="398">
        <f t="shared" ca="1" si="824"/>
        <v>3200</v>
      </c>
      <c r="U288" s="400">
        <f ca="1">IF(MAX(IF($B$6="No",ROUNDUP($B$3/$I288,0),ROUNDUP(($B$3+$I288)/$I288,0)),IF($B$6="No",ROUNDUP($B$4/$G288,0),ROUNDUP(($B$4+$G288)/$G288,0)),ROUNDUP('BVMS checklist'!$H$217/$J288,0))&gt;1,'BVMS checklist'!$H$224,'BVMS checklist'!$H$217)+MAX(IF($B$6="No",ROUNDUP($B$3/$I288,0),ROUNDUP(($B$3+$I288)/$I288,0)),IF($B$6="No",ROUNDUP($B$4/$G288,0),ROUNDUP(($B$4+$G288)/$G288,0)))+$B$5</f>
        <v>1</v>
      </c>
      <c r="V288" s="400" t="b">
        <f t="shared" ca="1" si="816"/>
        <v>1</v>
      </c>
      <c r="W288" s="400" t="str">
        <f t="shared" ref="W288:W347" ca="1" si="852">IF(OR(AND($B$6="Yes",V288=TRUE),$B$6="No"),"Accepted","Not accepted")</f>
        <v>Accepted</v>
      </c>
      <c r="X288" s="398" t="str">
        <f t="shared" ca="1" si="825"/>
        <v>No</v>
      </c>
      <c r="Y288" s="398" t="str">
        <f t="shared" ca="1" si="826"/>
        <v/>
      </c>
      <c r="Z288" s="398" t="str">
        <f t="shared" ca="1" si="827"/>
        <v/>
      </c>
      <c r="AA288" s="398">
        <f t="shared" ref="AA288:AA347" ca="1" si="853">IF(Z288&lt;&gt;"",AA287+1,AA287)</f>
        <v>6</v>
      </c>
      <c r="AB288" s="398">
        <f t="shared" ca="1" si="817"/>
        <v>2</v>
      </c>
      <c r="AC288" s="398">
        <f t="shared" ca="1" si="818"/>
        <v>432</v>
      </c>
      <c r="AD288" s="398">
        <f t="shared" ref="AD288:AD347" ca="1" si="854">R288</f>
        <v>368808</v>
      </c>
      <c r="AE288" s="399">
        <f t="shared" si="768"/>
        <v>0</v>
      </c>
      <c r="AF288" s="399">
        <f t="shared" si="769"/>
        <v>0</v>
      </c>
      <c r="AG288" s="483" t="str">
        <f t="shared" ca="1" si="828"/>
        <v/>
      </c>
      <c r="AH288" s="400">
        <f ca="1">IF(MAX(IF($C$6="No",ROUNDUP($C$3/$I288,0),ROUNDUP(($C$3+$I288)/$I288,0)),IF($C$6="No",ROUNDUP($C$4/$G288,0),ROUNDUP(($C$4+$G288)/$G288,0)),ROUNDUP('BVMS checklist'!$H$217/$J288,0))&gt;1,'BVMS checklist'!$J$224,'BVMS checklist'!$J$217)</f>
        <v>0</v>
      </c>
      <c r="AI288" s="398">
        <f t="shared" ca="1" si="829"/>
        <v>2</v>
      </c>
      <c r="AJ288" s="400">
        <f t="shared" ref="AJ288:AJ347" ca="1" si="855">AI288</f>
        <v>2</v>
      </c>
      <c r="AK288" s="400">
        <f t="shared" ref="AK288:AK347" ca="1" si="856">AJ288*$I288</f>
        <v>4200</v>
      </c>
      <c r="AL288" s="400">
        <f t="shared" ref="AL288:AL347" ca="1" si="857">IFERROR($C$3/AI288,"")</f>
        <v>0</v>
      </c>
      <c r="AM288" s="398">
        <f t="shared" ref="AM288:AM347" ca="1" si="858">$G288*AI288</f>
        <v>368808</v>
      </c>
      <c r="AN288" s="401" t="str">
        <f t="shared" ca="1" si="830"/>
        <v/>
      </c>
      <c r="AO288" s="398">
        <f t="shared" ref="AO288:AO347" ca="1" si="859">AI288*$J288</f>
        <v>3200</v>
      </c>
      <c r="AP288" s="400">
        <f ca="1">IF(MAX(IF($C$6="No",ROUNDUP($C$3/$I288,0),ROUNDUP(($C$3+$I288)/$I288,0)),IF($C$6="No",ROUNDUP($C$4/$G288,0),ROUNDUP(($C$4+$G288)/$G288,0)),ROUNDUP('BVMS checklist'!$H$217/$J288,0))&gt;1,'BVMS checklist'!$J$224,'BVMS checklist'!$J$217)+MAX(IF($C$6="No",ROUNDUP($C$3/$I288,0),ROUNDUP(($C$3+$I288)/$I288,0)),IF($C$6="No",ROUNDUP($C$4/$G288,0),ROUNDUP(($C$4+$G288)/$G288,0)))+$C$5</f>
        <v>1</v>
      </c>
      <c r="AQ288" s="400" t="b">
        <f t="shared" ca="1" si="819"/>
        <v>1</v>
      </c>
      <c r="AR288" s="400" t="str">
        <f t="shared" ref="AR288:AR347" ca="1" si="860">IF(OR(AND($C$6="Yes",AQ288=TRUE),$C$6="No"),"Accepted","Not accepted")</f>
        <v>Accepted</v>
      </c>
      <c r="AS288" s="398" t="str">
        <f t="shared" ca="1" si="845"/>
        <v>No</v>
      </c>
      <c r="AT288" s="398" t="str">
        <f t="shared" ref="AT288:AT347" ca="1" si="861">IF(AV287=AV288,"",AV288)</f>
        <v/>
      </c>
      <c r="AU288" s="398" t="str">
        <f t="shared" ca="1" si="831"/>
        <v/>
      </c>
      <c r="AV288" s="398">
        <f t="shared" ca="1" si="832"/>
        <v>6</v>
      </c>
      <c r="AW288" s="398">
        <f t="shared" ref="AW288:AW347" ca="1" si="862">AI288</f>
        <v>2</v>
      </c>
      <c r="AX288" s="398">
        <f t="shared" ref="AX288:AX347" ca="1" si="863">AI288*$H288</f>
        <v>432</v>
      </c>
      <c r="AY288" s="398">
        <f t="shared" ref="AY288:AY347" ca="1" si="864">AM288</f>
        <v>368808</v>
      </c>
      <c r="AZ288" s="399">
        <f t="shared" si="770"/>
        <v>0</v>
      </c>
      <c r="BA288" s="399">
        <f t="shared" si="771"/>
        <v>0</v>
      </c>
      <c r="BB288" s="483" t="str">
        <f t="shared" ca="1" si="833"/>
        <v/>
      </c>
      <c r="BC288" s="400">
        <f ca="1">IF(MAX(IF($D$6="No",ROUNDUP($D$3/$I288,0),ROUNDUP(($D$3+$I288)/$I288,0)),IF($D$6="No",ROUNDUP($D$4/$G288,0),ROUNDUP(($D$4+$G288)/$G288,0)),ROUNDUP('BVMS checklist'!$H$217/$J288,0))&gt;1,'BVMS checklist'!$L$224,'BVMS checklist'!$L$217)</f>
        <v>0</v>
      </c>
      <c r="BD288" s="398">
        <f t="shared" ca="1" si="834"/>
        <v>2</v>
      </c>
      <c r="BE288" s="400">
        <f t="shared" si="835"/>
        <v>1</v>
      </c>
      <c r="BF288" s="400">
        <f t="shared" ref="BF288:BF347" si="865">BE288*$I288</f>
        <v>2100</v>
      </c>
      <c r="BG288" s="400">
        <f t="shared" ca="1" si="846"/>
        <v>0</v>
      </c>
      <c r="BH288" s="398">
        <f t="shared" ref="BH288:BH347" ca="1" si="866">$G288*BD288</f>
        <v>368808</v>
      </c>
      <c r="BI288" s="401" t="str">
        <f t="shared" ca="1" si="836"/>
        <v/>
      </c>
      <c r="BJ288" s="398">
        <f t="shared" ref="BJ288:BJ347" ca="1" si="867">BD288*$J288</f>
        <v>3200</v>
      </c>
      <c r="BK288" s="400">
        <f ca="1">IF(MAX(IF($D$6="No",ROUNDUP($D$3/$I288,0),ROUNDUP(($D$3+$I288)/$I288,0)),IF($D$6="No",ROUNDUP($D$4/$G288,0),ROUNDUP(($D$4+$G288)/$G288,0)),ROUNDUP('BVMS checklist'!$H$217/$J288,0))&gt;1,'BVMS checklist'!$L$224,'BVMS checklist'!$L$217)+MAX(IF($D$6="No",ROUNDUP($D$3/$I288,0),ROUNDUP(($D$3+$I288)/$I288,0)),IF($D$6="No",ROUNDUP($D$4/$G288,0),ROUNDUP(($D$4+$G288)/$G288,0)))+$D$5</f>
        <v>1</v>
      </c>
      <c r="BL288" s="400" t="b">
        <f t="shared" ca="1" si="820"/>
        <v>1</v>
      </c>
      <c r="BM288" s="400" t="str">
        <f t="shared" ref="BM288:BM347" ca="1" si="868">IF(OR(AND($D$6="Yes",BL288=TRUE),$D$6="No"),"Accepted","Not accepted")</f>
        <v>Accepted</v>
      </c>
      <c r="BN288" s="398" t="str">
        <f t="shared" ca="1" si="847"/>
        <v>No</v>
      </c>
      <c r="BO288" s="398" t="str">
        <f t="shared" ref="BO288:BO347" ca="1" si="869">IF(BQ287=BQ288,"",BQ288)</f>
        <v/>
      </c>
      <c r="BP288" s="398" t="str">
        <f t="shared" ca="1" si="837"/>
        <v/>
      </c>
      <c r="BQ288" s="398">
        <f t="shared" ca="1" si="838"/>
        <v>6</v>
      </c>
      <c r="BR288" s="398">
        <f t="shared" ref="BR288:BR347" ca="1" si="870">BD288</f>
        <v>2</v>
      </c>
      <c r="BS288" s="398">
        <f t="shared" ref="BS288:BS347" ca="1" si="871">BD288*$H288</f>
        <v>432</v>
      </c>
      <c r="BT288" s="398">
        <f t="shared" ref="BT288:BT347" ca="1" si="872">BH288</f>
        <v>368808</v>
      </c>
      <c r="BU288" s="399">
        <f t="shared" si="772"/>
        <v>0</v>
      </c>
      <c r="BV288" s="399">
        <f t="shared" si="773"/>
        <v>0</v>
      </c>
      <c r="BW288" s="483" t="str">
        <f t="shared" ca="1" si="839"/>
        <v/>
      </c>
      <c r="BX288" s="400">
        <f ca="1">IF(MAX(IF($E$6="No",ROUNDUP($E$3/$I288,0),ROUNDUP(($E$3+$I288)/$I288,0)),IF($E$6="No",ROUNDUP($E$4/$G288,0),ROUNDUP(($E$4+$G288)/$G288,0)),ROUNDUP('BVMS checklist'!$H$217/$J288,0))&gt;1,'BVMS checklist'!$N$224,'BVMS checklist'!$N$217)</f>
        <v>0</v>
      </c>
      <c r="BY288" s="398">
        <f t="shared" ca="1" si="840"/>
        <v>2</v>
      </c>
      <c r="BZ288" s="400">
        <f t="shared" ref="BZ288:BZ347" ca="1" si="873">BY288</f>
        <v>2</v>
      </c>
      <c r="CA288" s="400">
        <f t="shared" ref="CA288:CA347" ca="1" si="874">BZ288*$I288</f>
        <v>4200</v>
      </c>
      <c r="CB288" s="400">
        <f t="shared" ca="1" si="848"/>
        <v>0</v>
      </c>
      <c r="CC288" s="398">
        <f t="shared" ref="CC288:CC347" ca="1" si="875">$G288*BY288</f>
        <v>368808</v>
      </c>
      <c r="CD288" s="401" t="str">
        <f t="shared" ca="1" si="841"/>
        <v/>
      </c>
      <c r="CE288" s="398">
        <f t="shared" ref="CE288:CE347" ca="1" si="876">BY288*$J288</f>
        <v>3200</v>
      </c>
      <c r="CF288" s="400">
        <f ca="1">IF(MAX(IF($E$6="No",ROUNDUP($E$3/$I288,0),ROUNDUP(($E$3+$I288)/$I288,0)),IF($E$6="No",ROUNDUP($E$4/$G288,0),ROUNDUP(($E$4+$G288)/$G288,0)),ROUNDUP('BVMS checklist'!$H$217/$J288,0))&gt;1,'BVMS checklist'!$N$224,'BVMS checklist'!$N$217)+MAX(IF($E$6="No",ROUNDUP($E$3/$I288,0),ROUNDUP(($E$3+$I288)/$I288,0)),IF($E$6="No",ROUNDUP($E$4/$G288,0),ROUNDUP(($E$4+$G288)/$G288,0)))+$E$5</f>
        <v>1</v>
      </c>
      <c r="CG288" s="400" t="b">
        <f t="shared" ca="1" si="821"/>
        <v>1</v>
      </c>
      <c r="CH288" s="400" t="str">
        <f t="shared" ref="CH288:CH347" ca="1" si="877">IF(OR(AND($E$6="Yes",CG288=TRUE),$E$6="No"),"Accepted","Not accepted")</f>
        <v>Accepted</v>
      </c>
      <c r="CI288" s="398" t="str">
        <f t="shared" ca="1" si="849"/>
        <v>No</v>
      </c>
      <c r="CJ288" s="398" t="str">
        <f t="shared" ref="CJ288:CJ347" ca="1" si="878">IF(CL287=CL288,"",CL288)</f>
        <v/>
      </c>
      <c r="CK288" s="398" t="str">
        <f t="shared" ca="1" si="842"/>
        <v/>
      </c>
      <c r="CL288" s="398">
        <f t="shared" ca="1" si="843"/>
        <v>6</v>
      </c>
      <c r="CM288" s="398">
        <f t="shared" ref="CM288:CM347" ca="1" si="879">BY288</f>
        <v>2</v>
      </c>
      <c r="CN288" s="398">
        <f t="shared" ref="CN288:CN347" ca="1" si="880">BY288*$H288</f>
        <v>432</v>
      </c>
      <c r="CO288" s="398">
        <f t="shared" ref="CO288:CO347" ca="1" si="881">CC288</f>
        <v>368808</v>
      </c>
      <c r="CP288" s="399">
        <f t="shared" si="774"/>
        <v>0</v>
      </c>
      <c r="CQ288" s="399">
        <f t="shared" si="775"/>
        <v>0</v>
      </c>
      <c r="CR288" s="483" t="str">
        <f t="shared" ca="1" si="844"/>
        <v/>
      </c>
      <c r="CS288"/>
    </row>
    <row r="289" spans="1:97">
      <c r="A289" s="398" t="s">
        <v>1035</v>
      </c>
      <c r="B289" s="398" t="s">
        <v>987</v>
      </c>
      <c r="C289" s="440" t="s">
        <v>891</v>
      </c>
      <c r="D289" s="398">
        <v>2</v>
      </c>
      <c r="E289" s="398">
        <v>2</v>
      </c>
      <c r="F289" s="440">
        <v>0</v>
      </c>
      <c r="G289" s="398">
        <f t="shared" si="850"/>
        <v>338074</v>
      </c>
      <c r="H289" s="399">
        <v>396</v>
      </c>
      <c r="I289" s="399">
        <v>2100</v>
      </c>
      <c r="J289" s="399">
        <v>1600</v>
      </c>
      <c r="K289" s="399"/>
      <c r="L289" s="399"/>
      <c r="M289" s="400">
        <f ca="1">IF(MAX(IF($B$6="No",ROUNDUP($B$3/$I289,0),ROUNDUP(($B$3+$I289)/$I289,0)),IF($B$6="No",ROUNDUP($B$4/$G289,0),ROUNDUP(($B$4+$G289)/$G289,0)),ROUNDUP('BVMS checklist'!$H$217/$J289,0))&gt;1,'BVMS checklist'!$H$224,'BVMS checklist'!$H$217)</f>
        <v>0</v>
      </c>
      <c r="N289" s="398">
        <f t="shared" ca="1" si="822"/>
        <v>2</v>
      </c>
      <c r="O289" s="400">
        <f t="shared" ca="1" si="851"/>
        <v>2</v>
      </c>
      <c r="P289" s="400">
        <f t="shared" ca="1" si="813"/>
        <v>4200</v>
      </c>
      <c r="Q289" s="400">
        <f t="shared" ca="1" si="814"/>
        <v>0</v>
      </c>
      <c r="R289" s="398">
        <f t="shared" ca="1" si="815"/>
        <v>676148</v>
      </c>
      <c r="S289" s="401" t="str">
        <f t="shared" ca="1" si="823"/>
        <v/>
      </c>
      <c r="T289" s="398">
        <f t="shared" ca="1" si="824"/>
        <v>3200</v>
      </c>
      <c r="U289" s="400">
        <f ca="1">IF(MAX(IF($B$6="No",ROUNDUP($B$3/$I289,0),ROUNDUP(($B$3+$I289)/$I289,0)),IF($B$6="No",ROUNDUP($B$4/$G289,0),ROUNDUP(($B$4+$G289)/$G289,0)),ROUNDUP('BVMS checklist'!$H$217/$J289,0))&gt;1,'BVMS checklist'!$H$224,'BVMS checklist'!$H$217)+MAX(IF($B$6="No",ROUNDUP($B$3/$I289,0),ROUNDUP(($B$3+$I289)/$I289,0)),IF($B$6="No",ROUNDUP($B$4/$G289,0),ROUNDUP(($B$4+$G289)/$G289,0)))+$B$5</f>
        <v>1</v>
      </c>
      <c r="V289" s="400" t="b">
        <f t="shared" ca="1" si="816"/>
        <v>1</v>
      </c>
      <c r="W289" s="400" t="str">
        <f t="shared" ca="1" si="852"/>
        <v>Accepted</v>
      </c>
      <c r="X289" s="398" t="str">
        <f t="shared" ca="1" si="825"/>
        <v>No</v>
      </c>
      <c r="Y289" s="398" t="str">
        <f t="shared" ca="1" si="826"/>
        <v/>
      </c>
      <c r="Z289" s="398" t="str">
        <f t="shared" ca="1" si="827"/>
        <v/>
      </c>
      <c r="AA289" s="398">
        <f t="shared" ca="1" si="853"/>
        <v>6</v>
      </c>
      <c r="AB289" s="398">
        <f t="shared" ca="1" si="817"/>
        <v>2</v>
      </c>
      <c r="AC289" s="398">
        <f t="shared" ca="1" si="818"/>
        <v>792</v>
      </c>
      <c r="AD289" s="398">
        <f t="shared" ca="1" si="854"/>
        <v>676148</v>
      </c>
      <c r="AE289" s="399">
        <f t="shared" si="768"/>
        <v>0</v>
      </c>
      <c r="AF289" s="399">
        <f t="shared" si="769"/>
        <v>0</v>
      </c>
      <c r="AG289" s="483" t="str">
        <f t="shared" ca="1" si="828"/>
        <v/>
      </c>
      <c r="AH289" s="400">
        <f ca="1">IF(MAX(IF($C$6="No",ROUNDUP($C$3/$I289,0),ROUNDUP(($C$3+$I289)/$I289,0)),IF($C$6="No",ROUNDUP($C$4/$G289,0),ROUNDUP(($C$4+$G289)/$G289,0)),ROUNDUP('BVMS checklist'!$H$217/$J289,0))&gt;1,'BVMS checklist'!$J$224,'BVMS checklist'!$J$217)</f>
        <v>0</v>
      </c>
      <c r="AI289" s="398">
        <f t="shared" ca="1" si="829"/>
        <v>2</v>
      </c>
      <c r="AJ289" s="400">
        <f t="shared" ca="1" si="855"/>
        <v>2</v>
      </c>
      <c r="AK289" s="400">
        <f t="shared" ca="1" si="856"/>
        <v>4200</v>
      </c>
      <c r="AL289" s="400">
        <f t="shared" ca="1" si="857"/>
        <v>0</v>
      </c>
      <c r="AM289" s="398">
        <f t="shared" ca="1" si="858"/>
        <v>676148</v>
      </c>
      <c r="AN289" s="401" t="str">
        <f t="shared" ca="1" si="830"/>
        <v/>
      </c>
      <c r="AO289" s="398">
        <f t="shared" ca="1" si="859"/>
        <v>3200</v>
      </c>
      <c r="AP289" s="400">
        <f ca="1">IF(MAX(IF($C$6="No",ROUNDUP($C$3/$I289,0),ROUNDUP(($C$3+$I289)/$I289,0)),IF($C$6="No",ROUNDUP($C$4/$G289,0),ROUNDUP(($C$4+$G289)/$G289,0)),ROUNDUP('BVMS checklist'!$H$217/$J289,0))&gt;1,'BVMS checklist'!$J$224,'BVMS checklist'!$J$217)+MAX(IF($C$6="No",ROUNDUP($C$3/$I289,0),ROUNDUP(($C$3+$I289)/$I289,0)),IF($C$6="No",ROUNDUP($C$4/$G289,0),ROUNDUP(($C$4+$G289)/$G289,0)))+$C$5</f>
        <v>1</v>
      </c>
      <c r="AQ289" s="400" t="b">
        <f t="shared" ca="1" si="819"/>
        <v>1</v>
      </c>
      <c r="AR289" s="400" t="str">
        <f t="shared" ca="1" si="860"/>
        <v>Accepted</v>
      </c>
      <c r="AS289" s="398" t="str">
        <f t="shared" ca="1" si="845"/>
        <v>No</v>
      </c>
      <c r="AT289" s="398" t="str">
        <f t="shared" ca="1" si="861"/>
        <v/>
      </c>
      <c r="AU289" s="398" t="str">
        <f t="shared" ca="1" si="831"/>
        <v/>
      </c>
      <c r="AV289" s="398">
        <f t="shared" ca="1" si="832"/>
        <v>6</v>
      </c>
      <c r="AW289" s="398">
        <f t="shared" ca="1" si="862"/>
        <v>2</v>
      </c>
      <c r="AX289" s="398">
        <f t="shared" ca="1" si="863"/>
        <v>792</v>
      </c>
      <c r="AY289" s="398">
        <f t="shared" ca="1" si="864"/>
        <v>676148</v>
      </c>
      <c r="AZ289" s="399">
        <f t="shared" si="770"/>
        <v>0</v>
      </c>
      <c r="BA289" s="399">
        <f t="shared" si="771"/>
        <v>0</v>
      </c>
      <c r="BB289" s="483" t="str">
        <f t="shared" ca="1" si="833"/>
        <v/>
      </c>
      <c r="BC289" s="400">
        <f ca="1">IF(MAX(IF($D$6="No",ROUNDUP($D$3/$I289,0),ROUNDUP(($D$3+$I289)/$I289,0)),IF($D$6="No",ROUNDUP($D$4/$G289,0),ROUNDUP(($D$4+$G289)/$G289,0)),ROUNDUP('BVMS checklist'!$H$217/$J289,0))&gt;1,'BVMS checklist'!$L$224,'BVMS checklist'!$L$217)</f>
        <v>0</v>
      </c>
      <c r="BD289" s="398">
        <f t="shared" ca="1" si="834"/>
        <v>2</v>
      </c>
      <c r="BE289" s="400">
        <f t="shared" si="835"/>
        <v>1</v>
      </c>
      <c r="BF289" s="400">
        <f t="shared" si="865"/>
        <v>2100</v>
      </c>
      <c r="BG289" s="400">
        <f t="shared" ca="1" si="846"/>
        <v>0</v>
      </c>
      <c r="BH289" s="398">
        <f t="shared" ca="1" si="866"/>
        <v>676148</v>
      </c>
      <c r="BI289" s="401" t="str">
        <f t="shared" ca="1" si="836"/>
        <v/>
      </c>
      <c r="BJ289" s="398">
        <f t="shared" ca="1" si="867"/>
        <v>3200</v>
      </c>
      <c r="BK289" s="400">
        <f ca="1">IF(MAX(IF($D$6="No",ROUNDUP($D$3/$I289,0),ROUNDUP(($D$3+$I289)/$I289,0)),IF($D$6="No",ROUNDUP($D$4/$G289,0),ROUNDUP(($D$4+$G289)/$G289,0)),ROUNDUP('BVMS checklist'!$H$217/$J289,0))&gt;1,'BVMS checklist'!$L$224,'BVMS checklist'!$L$217)+MAX(IF($D$6="No",ROUNDUP($D$3/$I289,0),ROUNDUP(($D$3+$I289)/$I289,0)),IF($D$6="No",ROUNDUP($D$4/$G289,0),ROUNDUP(($D$4+$G289)/$G289,0)))+$D$5</f>
        <v>1</v>
      </c>
      <c r="BL289" s="400" t="b">
        <f t="shared" ca="1" si="820"/>
        <v>1</v>
      </c>
      <c r="BM289" s="400" t="str">
        <f t="shared" ca="1" si="868"/>
        <v>Accepted</v>
      </c>
      <c r="BN289" s="398" t="str">
        <f t="shared" ca="1" si="847"/>
        <v>No</v>
      </c>
      <c r="BO289" s="398" t="str">
        <f t="shared" ca="1" si="869"/>
        <v/>
      </c>
      <c r="BP289" s="398" t="str">
        <f t="shared" ca="1" si="837"/>
        <v/>
      </c>
      <c r="BQ289" s="398">
        <f t="shared" ca="1" si="838"/>
        <v>6</v>
      </c>
      <c r="BR289" s="398">
        <f t="shared" ca="1" si="870"/>
        <v>2</v>
      </c>
      <c r="BS289" s="398">
        <f t="shared" ca="1" si="871"/>
        <v>792</v>
      </c>
      <c r="BT289" s="398">
        <f t="shared" ca="1" si="872"/>
        <v>676148</v>
      </c>
      <c r="BU289" s="399">
        <f t="shared" si="772"/>
        <v>0</v>
      </c>
      <c r="BV289" s="399">
        <f t="shared" si="773"/>
        <v>0</v>
      </c>
      <c r="BW289" s="483" t="str">
        <f t="shared" ca="1" si="839"/>
        <v/>
      </c>
      <c r="BX289" s="400">
        <f ca="1">IF(MAX(IF($E$6="No",ROUNDUP($E$3/$I289,0),ROUNDUP(($E$3+$I289)/$I289,0)),IF($E$6="No",ROUNDUP($E$4/$G289,0),ROUNDUP(($E$4+$G289)/$G289,0)),ROUNDUP('BVMS checklist'!$H$217/$J289,0))&gt;1,'BVMS checklist'!$N$224,'BVMS checklist'!$N$217)</f>
        <v>0</v>
      </c>
      <c r="BY289" s="398">
        <f t="shared" ca="1" si="840"/>
        <v>2</v>
      </c>
      <c r="BZ289" s="400">
        <f t="shared" ca="1" si="873"/>
        <v>2</v>
      </c>
      <c r="CA289" s="400">
        <f t="shared" ca="1" si="874"/>
        <v>4200</v>
      </c>
      <c r="CB289" s="400">
        <f t="shared" ca="1" si="848"/>
        <v>0</v>
      </c>
      <c r="CC289" s="398">
        <f t="shared" ca="1" si="875"/>
        <v>676148</v>
      </c>
      <c r="CD289" s="401" t="str">
        <f t="shared" ca="1" si="841"/>
        <v/>
      </c>
      <c r="CE289" s="398">
        <f t="shared" ca="1" si="876"/>
        <v>3200</v>
      </c>
      <c r="CF289" s="400">
        <f ca="1">IF(MAX(IF($E$6="No",ROUNDUP($E$3/$I289,0),ROUNDUP(($E$3+$I289)/$I289,0)),IF($E$6="No",ROUNDUP($E$4/$G289,0),ROUNDUP(($E$4+$G289)/$G289,0)),ROUNDUP('BVMS checklist'!$H$217/$J289,0))&gt;1,'BVMS checklist'!$N$224,'BVMS checklist'!$N$217)+MAX(IF($E$6="No",ROUNDUP($E$3/$I289,0),ROUNDUP(($E$3+$I289)/$I289,0)),IF($E$6="No",ROUNDUP($E$4/$G289,0),ROUNDUP(($E$4+$G289)/$G289,0)))+$E$5</f>
        <v>1</v>
      </c>
      <c r="CG289" s="400" t="b">
        <f t="shared" ca="1" si="821"/>
        <v>1</v>
      </c>
      <c r="CH289" s="400" t="str">
        <f t="shared" ca="1" si="877"/>
        <v>Accepted</v>
      </c>
      <c r="CI289" s="398" t="str">
        <f t="shared" ca="1" si="849"/>
        <v>No</v>
      </c>
      <c r="CJ289" s="398" t="str">
        <f t="shared" ca="1" si="878"/>
        <v/>
      </c>
      <c r="CK289" s="398" t="str">
        <f t="shared" ca="1" si="842"/>
        <v/>
      </c>
      <c r="CL289" s="398">
        <f t="shared" ca="1" si="843"/>
        <v>6</v>
      </c>
      <c r="CM289" s="398">
        <f t="shared" ca="1" si="879"/>
        <v>2</v>
      </c>
      <c r="CN289" s="398">
        <f t="shared" ca="1" si="880"/>
        <v>792</v>
      </c>
      <c r="CO289" s="398">
        <f t="shared" ca="1" si="881"/>
        <v>676148</v>
      </c>
      <c r="CP289" s="399">
        <f t="shared" si="774"/>
        <v>0</v>
      </c>
      <c r="CQ289" s="399">
        <f t="shared" si="775"/>
        <v>0</v>
      </c>
      <c r="CR289" s="483" t="str">
        <f t="shared" ca="1" si="844"/>
        <v/>
      </c>
      <c r="CS289"/>
    </row>
    <row r="290" spans="1:97">
      <c r="A290" s="398" t="s">
        <v>1036</v>
      </c>
      <c r="B290" s="398" t="s">
        <v>987</v>
      </c>
      <c r="C290" s="440" t="s">
        <v>891</v>
      </c>
      <c r="D290" s="398">
        <v>2</v>
      </c>
      <c r="E290" s="398">
        <v>3</v>
      </c>
      <c r="F290" s="440">
        <v>0</v>
      </c>
      <c r="G290" s="398">
        <f t="shared" si="850"/>
        <v>491744</v>
      </c>
      <c r="H290" s="399">
        <v>574</v>
      </c>
      <c r="I290" s="399">
        <v>2100</v>
      </c>
      <c r="J290" s="399">
        <v>1600</v>
      </c>
      <c r="K290" s="399"/>
      <c r="L290" s="399"/>
      <c r="M290" s="400">
        <f ca="1">IF(MAX(IF($B$6="No",ROUNDUP($B$3/$I290,0),ROUNDUP(($B$3+$I290)/$I290,0)),IF($B$6="No",ROUNDUP($B$4/$G290,0),ROUNDUP(($B$4+$G290)/$G290,0)),ROUNDUP('BVMS checklist'!$H$217/$J290,0))&gt;1,'BVMS checklist'!$H$224,'BVMS checklist'!$H$217)</f>
        <v>0</v>
      </c>
      <c r="N290" s="398">
        <f t="shared" ca="1" si="822"/>
        <v>2</v>
      </c>
      <c r="O290" s="400">
        <f t="shared" ca="1" si="851"/>
        <v>2</v>
      </c>
      <c r="P290" s="400">
        <f t="shared" ca="1" si="813"/>
        <v>4200</v>
      </c>
      <c r="Q290" s="400">
        <f t="shared" ca="1" si="814"/>
        <v>0</v>
      </c>
      <c r="R290" s="398">
        <f t="shared" ca="1" si="815"/>
        <v>983488</v>
      </c>
      <c r="S290" s="401" t="str">
        <f t="shared" ca="1" si="823"/>
        <v/>
      </c>
      <c r="T290" s="398">
        <f t="shared" ca="1" si="824"/>
        <v>3200</v>
      </c>
      <c r="U290" s="400">
        <f ca="1">IF(MAX(IF($B$6="No",ROUNDUP($B$3/$I290,0),ROUNDUP(($B$3+$I290)/$I290,0)),IF($B$6="No",ROUNDUP($B$4/$G290,0),ROUNDUP(($B$4+$G290)/$G290,0)),ROUNDUP('BVMS checklist'!$H$217/$J290,0))&gt;1,'BVMS checklist'!$H$224,'BVMS checklist'!$H$217)+MAX(IF($B$6="No",ROUNDUP($B$3/$I290,0),ROUNDUP(($B$3+$I290)/$I290,0)),IF($B$6="No",ROUNDUP($B$4/$G290,0),ROUNDUP(($B$4+$G290)/$G290,0)))+$B$5</f>
        <v>1</v>
      </c>
      <c r="V290" s="400" t="b">
        <f t="shared" ca="1" si="816"/>
        <v>1</v>
      </c>
      <c r="W290" s="400" t="str">
        <f t="shared" ca="1" si="852"/>
        <v>Accepted</v>
      </c>
      <c r="X290" s="398" t="str">
        <f t="shared" ca="1" si="825"/>
        <v>No</v>
      </c>
      <c r="Y290" s="398" t="str">
        <f t="shared" ca="1" si="826"/>
        <v/>
      </c>
      <c r="Z290" s="398" t="str">
        <f t="shared" ca="1" si="827"/>
        <v/>
      </c>
      <c r="AA290" s="398">
        <f t="shared" ca="1" si="853"/>
        <v>6</v>
      </c>
      <c r="AB290" s="398">
        <f t="shared" ca="1" si="817"/>
        <v>2</v>
      </c>
      <c r="AC290" s="398">
        <f t="shared" ca="1" si="818"/>
        <v>1148</v>
      </c>
      <c r="AD290" s="398">
        <f t="shared" ca="1" si="854"/>
        <v>983488</v>
      </c>
      <c r="AE290" s="399">
        <f t="shared" si="768"/>
        <v>0</v>
      </c>
      <c r="AF290" s="399">
        <f t="shared" si="769"/>
        <v>0</v>
      </c>
      <c r="AG290" s="483" t="str">
        <f t="shared" ca="1" si="828"/>
        <v/>
      </c>
      <c r="AH290" s="400">
        <f ca="1">IF(MAX(IF($C$6="No",ROUNDUP($C$3/$I290,0),ROUNDUP(($C$3+$I290)/$I290,0)),IF($C$6="No",ROUNDUP($C$4/$G290,0),ROUNDUP(($C$4+$G290)/$G290,0)),ROUNDUP('BVMS checklist'!$H$217/$J290,0))&gt;1,'BVMS checklist'!$J$224,'BVMS checklist'!$J$217)</f>
        <v>0</v>
      </c>
      <c r="AI290" s="398">
        <f t="shared" ca="1" si="829"/>
        <v>2</v>
      </c>
      <c r="AJ290" s="400">
        <f t="shared" ca="1" si="855"/>
        <v>2</v>
      </c>
      <c r="AK290" s="400">
        <f t="shared" ca="1" si="856"/>
        <v>4200</v>
      </c>
      <c r="AL290" s="400">
        <f t="shared" ca="1" si="857"/>
        <v>0</v>
      </c>
      <c r="AM290" s="398">
        <f t="shared" ca="1" si="858"/>
        <v>983488</v>
      </c>
      <c r="AN290" s="401" t="str">
        <f t="shared" ca="1" si="830"/>
        <v/>
      </c>
      <c r="AO290" s="398">
        <f t="shared" ca="1" si="859"/>
        <v>3200</v>
      </c>
      <c r="AP290" s="400">
        <f ca="1">IF(MAX(IF($C$6="No",ROUNDUP($C$3/$I290,0),ROUNDUP(($C$3+$I290)/$I290,0)),IF($C$6="No",ROUNDUP($C$4/$G290,0),ROUNDUP(($C$4+$G290)/$G290,0)),ROUNDUP('BVMS checklist'!$H$217/$J290,0))&gt;1,'BVMS checklist'!$J$224,'BVMS checklist'!$J$217)+MAX(IF($C$6="No",ROUNDUP($C$3/$I290,0),ROUNDUP(($C$3+$I290)/$I290,0)),IF($C$6="No",ROUNDUP($C$4/$G290,0),ROUNDUP(($C$4+$G290)/$G290,0)))+$C$5</f>
        <v>1</v>
      </c>
      <c r="AQ290" s="400" t="b">
        <f t="shared" ca="1" si="819"/>
        <v>1</v>
      </c>
      <c r="AR290" s="400" t="str">
        <f t="shared" ca="1" si="860"/>
        <v>Accepted</v>
      </c>
      <c r="AS290" s="398" t="str">
        <f t="shared" ca="1" si="845"/>
        <v>No</v>
      </c>
      <c r="AT290" s="398" t="str">
        <f t="shared" ca="1" si="861"/>
        <v/>
      </c>
      <c r="AU290" s="398" t="str">
        <f t="shared" ca="1" si="831"/>
        <v/>
      </c>
      <c r="AV290" s="398">
        <f t="shared" ca="1" si="832"/>
        <v>6</v>
      </c>
      <c r="AW290" s="398">
        <f t="shared" ca="1" si="862"/>
        <v>2</v>
      </c>
      <c r="AX290" s="398">
        <f t="shared" ca="1" si="863"/>
        <v>1148</v>
      </c>
      <c r="AY290" s="398">
        <f t="shared" ca="1" si="864"/>
        <v>983488</v>
      </c>
      <c r="AZ290" s="399">
        <f t="shared" si="770"/>
        <v>0</v>
      </c>
      <c r="BA290" s="399">
        <f t="shared" si="771"/>
        <v>0</v>
      </c>
      <c r="BB290" s="483" t="str">
        <f t="shared" ca="1" si="833"/>
        <v/>
      </c>
      <c r="BC290" s="400">
        <f ca="1">IF(MAX(IF($D$6="No",ROUNDUP($D$3/$I290,0),ROUNDUP(($D$3+$I290)/$I290,0)),IF($D$6="No",ROUNDUP($D$4/$G290,0),ROUNDUP(($D$4+$G290)/$G290,0)),ROUNDUP('BVMS checklist'!$H$217/$J290,0))&gt;1,'BVMS checklist'!$L$224,'BVMS checklist'!$L$217)</f>
        <v>0</v>
      </c>
      <c r="BD290" s="398">
        <f t="shared" ca="1" si="834"/>
        <v>2</v>
      </c>
      <c r="BE290" s="400">
        <f t="shared" si="835"/>
        <v>1</v>
      </c>
      <c r="BF290" s="400">
        <f t="shared" si="865"/>
        <v>2100</v>
      </c>
      <c r="BG290" s="400">
        <f t="shared" ca="1" si="846"/>
        <v>0</v>
      </c>
      <c r="BH290" s="398">
        <f t="shared" ca="1" si="866"/>
        <v>983488</v>
      </c>
      <c r="BI290" s="401" t="str">
        <f t="shared" ca="1" si="836"/>
        <v/>
      </c>
      <c r="BJ290" s="398">
        <f t="shared" ca="1" si="867"/>
        <v>3200</v>
      </c>
      <c r="BK290" s="400">
        <f ca="1">IF(MAX(IF($D$6="No",ROUNDUP($D$3/$I290,0),ROUNDUP(($D$3+$I290)/$I290,0)),IF($D$6="No",ROUNDUP($D$4/$G290,0),ROUNDUP(($D$4+$G290)/$G290,0)),ROUNDUP('BVMS checklist'!$H$217/$J290,0))&gt;1,'BVMS checklist'!$L$224,'BVMS checklist'!$L$217)+MAX(IF($D$6="No",ROUNDUP($D$3/$I290,0),ROUNDUP(($D$3+$I290)/$I290,0)),IF($D$6="No",ROUNDUP($D$4/$G290,0),ROUNDUP(($D$4+$G290)/$G290,0)))+$D$5</f>
        <v>1</v>
      </c>
      <c r="BL290" s="400" t="b">
        <f t="shared" ca="1" si="820"/>
        <v>1</v>
      </c>
      <c r="BM290" s="400" t="str">
        <f t="shared" ca="1" si="868"/>
        <v>Accepted</v>
      </c>
      <c r="BN290" s="398" t="str">
        <f t="shared" ca="1" si="847"/>
        <v>No</v>
      </c>
      <c r="BO290" s="398" t="str">
        <f t="shared" ca="1" si="869"/>
        <v/>
      </c>
      <c r="BP290" s="398" t="str">
        <f t="shared" ca="1" si="837"/>
        <v/>
      </c>
      <c r="BQ290" s="398">
        <f t="shared" ca="1" si="838"/>
        <v>6</v>
      </c>
      <c r="BR290" s="398">
        <f t="shared" ca="1" si="870"/>
        <v>2</v>
      </c>
      <c r="BS290" s="398">
        <f t="shared" ca="1" si="871"/>
        <v>1148</v>
      </c>
      <c r="BT290" s="398">
        <f t="shared" ca="1" si="872"/>
        <v>983488</v>
      </c>
      <c r="BU290" s="399">
        <f t="shared" si="772"/>
        <v>0</v>
      </c>
      <c r="BV290" s="399">
        <f t="shared" si="773"/>
        <v>0</v>
      </c>
      <c r="BW290" s="483" t="str">
        <f t="shared" ca="1" si="839"/>
        <v/>
      </c>
      <c r="BX290" s="400">
        <f ca="1">IF(MAX(IF($E$6="No",ROUNDUP($E$3/$I290,0),ROUNDUP(($E$3+$I290)/$I290,0)),IF($E$6="No",ROUNDUP($E$4/$G290,0),ROUNDUP(($E$4+$G290)/$G290,0)),ROUNDUP('BVMS checklist'!$H$217/$J290,0))&gt;1,'BVMS checklist'!$N$224,'BVMS checklist'!$N$217)</f>
        <v>0</v>
      </c>
      <c r="BY290" s="398">
        <f t="shared" ca="1" si="840"/>
        <v>2</v>
      </c>
      <c r="BZ290" s="400">
        <f t="shared" ca="1" si="873"/>
        <v>2</v>
      </c>
      <c r="CA290" s="400">
        <f t="shared" ca="1" si="874"/>
        <v>4200</v>
      </c>
      <c r="CB290" s="400">
        <f t="shared" ca="1" si="848"/>
        <v>0</v>
      </c>
      <c r="CC290" s="398">
        <f t="shared" ca="1" si="875"/>
        <v>983488</v>
      </c>
      <c r="CD290" s="401" t="str">
        <f t="shared" ca="1" si="841"/>
        <v/>
      </c>
      <c r="CE290" s="398">
        <f t="shared" ca="1" si="876"/>
        <v>3200</v>
      </c>
      <c r="CF290" s="400">
        <f ca="1">IF(MAX(IF($E$6="No",ROUNDUP($E$3/$I290,0),ROUNDUP(($E$3+$I290)/$I290,0)),IF($E$6="No",ROUNDUP($E$4/$G290,0),ROUNDUP(($E$4+$G290)/$G290,0)),ROUNDUP('BVMS checklist'!$H$217/$J290,0))&gt;1,'BVMS checklist'!$N$224,'BVMS checklist'!$N$217)+MAX(IF($E$6="No",ROUNDUP($E$3/$I290,0),ROUNDUP(($E$3+$I290)/$I290,0)),IF($E$6="No",ROUNDUP($E$4/$G290,0),ROUNDUP(($E$4+$G290)/$G290,0)))+$E$5</f>
        <v>1</v>
      </c>
      <c r="CG290" s="400" t="b">
        <f t="shared" ca="1" si="821"/>
        <v>1</v>
      </c>
      <c r="CH290" s="400" t="str">
        <f t="shared" ca="1" si="877"/>
        <v>Accepted</v>
      </c>
      <c r="CI290" s="398" t="str">
        <f t="shared" ca="1" si="849"/>
        <v>No</v>
      </c>
      <c r="CJ290" s="398" t="str">
        <f t="shared" ca="1" si="878"/>
        <v/>
      </c>
      <c r="CK290" s="398" t="str">
        <f t="shared" ca="1" si="842"/>
        <v/>
      </c>
      <c r="CL290" s="398">
        <f t="shared" ca="1" si="843"/>
        <v>6</v>
      </c>
      <c r="CM290" s="398">
        <f t="shared" ca="1" si="879"/>
        <v>2</v>
      </c>
      <c r="CN290" s="398">
        <f t="shared" ca="1" si="880"/>
        <v>1148</v>
      </c>
      <c r="CO290" s="398">
        <f t="shared" ca="1" si="881"/>
        <v>983488</v>
      </c>
      <c r="CP290" s="399">
        <f t="shared" si="774"/>
        <v>0</v>
      </c>
      <c r="CQ290" s="399">
        <f t="shared" si="775"/>
        <v>0</v>
      </c>
      <c r="CR290" s="483" t="str">
        <f t="shared" ca="1" si="844"/>
        <v/>
      </c>
      <c r="CS290"/>
    </row>
    <row r="291" spans="1:97">
      <c r="A291" s="398" t="s">
        <v>1037</v>
      </c>
      <c r="B291" s="398" t="s">
        <v>987</v>
      </c>
      <c r="C291" s="440" t="s">
        <v>891</v>
      </c>
      <c r="D291" s="398">
        <v>2</v>
      </c>
      <c r="E291" s="398">
        <v>0</v>
      </c>
      <c r="F291" s="440">
        <v>0</v>
      </c>
      <c r="G291" s="398">
        <f>IF(C291="RAID5",(11-F291)*3725,(10-F291)*3725)+IF(C291="RAID5",(55-F291*5)*3725,(50-F291*5)*3725)*E291</f>
        <v>40975</v>
      </c>
      <c r="H291" s="399">
        <v>48</v>
      </c>
      <c r="I291" s="399">
        <v>1300</v>
      </c>
      <c r="J291" s="399">
        <v>1600</v>
      </c>
      <c r="K291" s="399"/>
      <c r="L291" s="399"/>
      <c r="M291" s="400">
        <f ca="1">IF(MAX(IF($B$6="No",ROUNDUP($B$3/$I291,0),ROUNDUP(($B$3+$I291)/$I291,0)),IF($B$6="No",ROUNDUP($B$4/$G291,0),ROUNDUP(($B$4+$G291)/$G291,0)),ROUNDUP('BVMS checklist'!$H$217/$J291,0))&gt;1,'BVMS checklist'!$H$224,'BVMS checklist'!$H$217)</f>
        <v>0</v>
      </c>
      <c r="N291" s="398">
        <f t="shared" ca="1" si="822"/>
        <v>2</v>
      </c>
      <c r="O291" s="400">
        <f t="shared" ca="1" si="851"/>
        <v>2</v>
      </c>
      <c r="P291" s="400">
        <f t="shared" ca="1" si="813"/>
        <v>2600</v>
      </c>
      <c r="Q291" s="400">
        <f t="shared" ca="1" si="814"/>
        <v>0</v>
      </c>
      <c r="R291" s="398">
        <f t="shared" ca="1" si="815"/>
        <v>81950</v>
      </c>
      <c r="S291" s="401" t="str">
        <f t="shared" ca="1" si="823"/>
        <v/>
      </c>
      <c r="T291" s="398">
        <f t="shared" ca="1" si="824"/>
        <v>3200</v>
      </c>
      <c r="U291" s="400">
        <f ca="1">IF(MAX(IF($B$6="No",ROUNDUP($B$3/$I291,0),ROUNDUP(($B$3+$I291)/$I291,0)),IF($B$6="No",ROUNDUP($B$4/$G291,0),ROUNDUP(($B$4+$G291)/$G291,0)),ROUNDUP('BVMS checklist'!$H$217/$J291,0))&gt;1,'BVMS checklist'!$H$224,'BVMS checklist'!$H$217)+MAX(IF($B$6="No",ROUNDUP($B$3/$I291,0),ROUNDUP(($B$3+$I291)/$I291,0)),IF($B$6="No",ROUNDUP($B$4/$G291,0),ROUNDUP(($B$4+$G291)/$G291,0)))+$B$5</f>
        <v>1</v>
      </c>
      <c r="V291" s="400" t="b">
        <f t="shared" ca="1" si="816"/>
        <v>1</v>
      </c>
      <c r="W291" s="400" t="str">
        <f t="shared" ca="1" si="852"/>
        <v>Accepted</v>
      </c>
      <c r="X291" s="398" t="str">
        <f t="shared" ca="1" si="825"/>
        <v>No</v>
      </c>
      <c r="Y291" s="398" t="str">
        <f t="shared" ca="1" si="826"/>
        <v/>
      </c>
      <c r="Z291" s="398" t="str">
        <f t="shared" ca="1" si="827"/>
        <v/>
      </c>
      <c r="AA291" s="398">
        <f t="shared" ca="1" si="853"/>
        <v>6</v>
      </c>
      <c r="AB291" s="398">
        <f t="shared" ca="1" si="817"/>
        <v>2</v>
      </c>
      <c r="AC291" s="398">
        <f t="shared" ca="1" si="818"/>
        <v>96</v>
      </c>
      <c r="AD291" s="398">
        <f t="shared" ca="1" si="854"/>
        <v>81950</v>
      </c>
      <c r="AE291" s="399">
        <f t="shared" si="768"/>
        <v>0</v>
      </c>
      <c r="AF291" s="399">
        <f t="shared" si="769"/>
        <v>0</v>
      </c>
      <c r="AG291" s="483" t="str">
        <f t="shared" ca="1" si="828"/>
        <v/>
      </c>
      <c r="AH291" s="400">
        <f ca="1">IF(MAX(IF($C$6="No",ROUNDUP($C$3/$I291,0),ROUNDUP(($C$3+$I291)/$I291,0)),IF($C$6="No",ROUNDUP($C$4/$G291,0),ROUNDUP(($C$4+$G291)/$G291,0)),ROUNDUP('BVMS checklist'!$H$217/$J291,0))&gt;1,'BVMS checklist'!$J$224,'BVMS checklist'!$J$217)</f>
        <v>0</v>
      </c>
      <c r="AI291" s="398">
        <f t="shared" ca="1" si="829"/>
        <v>2</v>
      </c>
      <c r="AJ291" s="400">
        <f t="shared" ca="1" si="855"/>
        <v>2</v>
      </c>
      <c r="AK291" s="400">
        <f t="shared" ca="1" si="856"/>
        <v>2600</v>
      </c>
      <c r="AL291" s="400">
        <f t="shared" ca="1" si="857"/>
        <v>0</v>
      </c>
      <c r="AM291" s="398">
        <f t="shared" ca="1" si="858"/>
        <v>81950</v>
      </c>
      <c r="AN291" s="401" t="str">
        <f t="shared" ca="1" si="830"/>
        <v/>
      </c>
      <c r="AO291" s="398">
        <f t="shared" ca="1" si="859"/>
        <v>3200</v>
      </c>
      <c r="AP291" s="400">
        <f ca="1">IF(MAX(IF($C$6="No",ROUNDUP($C$3/$I291,0),ROUNDUP(($C$3+$I291)/$I291,0)),IF($C$6="No",ROUNDUP($C$4/$G291,0),ROUNDUP(($C$4+$G291)/$G291,0)),ROUNDUP('BVMS checklist'!$H$217/$J291,0))&gt;1,'BVMS checklist'!$J$224,'BVMS checklist'!$J$217)+MAX(IF($C$6="No",ROUNDUP($C$3/$I291,0),ROUNDUP(($C$3+$I291)/$I291,0)),IF($C$6="No",ROUNDUP($C$4/$G291,0),ROUNDUP(($C$4+$G291)/$G291,0)))+$C$5</f>
        <v>1</v>
      </c>
      <c r="AQ291" s="400" t="b">
        <f t="shared" ca="1" si="819"/>
        <v>1</v>
      </c>
      <c r="AR291" s="400" t="str">
        <f t="shared" ca="1" si="860"/>
        <v>Accepted</v>
      </c>
      <c r="AS291" s="398" t="str">
        <f t="shared" ca="1" si="845"/>
        <v>No</v>
      </c>
      <c r="AT291" s="398" t="str">
        <f t="shared" ca="1" si="861"/>
        <v/>
      </c>
      <c r="AU291" s="398" t="str">
        <f t="shared" ca="1" si="831"/>
        <v/>
      </c>
      <c r="AV291" s="398">
        <f t="shared" ca="1" si="832"/>
        <v>6</v>
      </c>
      <c r="AW291" s="398">
        <f t="shared" ca="1" si="862"/>
        <v>2</v>
      </c>
      <c r="AX291" s="398">
        <f t="shared" ca="1" si="863"/>
        <v>96</v>
      </c>
      <c r="AY291" s="398">
        <f t="shared" ca="1" si="864"/>
        <v>81950</v>
      </c>
      <c r="AZ291" s="399">
        <f t="shared" si="770"/>
        <v>0</v>
      </c>
      <c r="BA291" s="399">
        <f t="shared" si="771"/>
        <v>0</v>
      </c>
      <c r="BB291" s="483" t="str">
        <f t="shared" ca="1" si="833"/>
        <v/>
      </c>
      <c r="BC291" s="400">
        <f ca="1">IF(MAX(IF($D$6="No",ROUNDUP($D$3/$I291,0),ROUNDUP(($D$3+$I291)/$I291,0)),IF($D$6="No",ROUNDUP($D$4/$G291,0),ROUNDUP(($D$4+$G291)/$G291,0)),ROUNDUP('BVMS checklist'!$H$217/$J291,0))&gt;1,'BVMS checklist'!$L$224,'BVMS checklist'!$L$217)</f>
        <v>0</v>
      </c>
      <c r="BD291" s="398">
        <f t="shared" ca="1" si="834"/>
        <v>2</v>
      </c>
      <c r="BE291" s="400">
        <f t="shared" si="835"/>
        <v>1</v>
      </c>
      <c r="BF291" s="400">
        <f t="shared" si="865"/>
        <v>1300</v>
      </c>
      <c r="BG291" s="400">
        <f t="shared" ca="1" si="846"/>
        <v>0</v>
      </c>
      <c r="BH291" s="398">
        <f t="shared" ca="1" si="866"/>
        <v>81950</v>
      </c>
      <c r="BI291" s="401" t="str">
        <f t="shared" ca="1" si="836"/>
        <v/>
      </c>
      <c r="BJ291" s="398">
        <f t="shared" ca="1" si="867"/>
        <v>3200</v>
      </c>
      <c r="BK291" s="400">
        <f ca="1">IF(MAX(IF($D$6="No",ROUNDUP($D$3/$I291,0),ROUNDUP(($D$3+$I291)/$I291,0)),IF($D$6="No",ROUNDUP($D$4/$G291,0),ROUNDUP(($D$4+$G291)/$G291,0)),ROUNDUP('BVMS checklist'!$H$217/$J291,0))&gt;1,'BVMS checklist'!$L$224,'BVMS checklist'!$L$217)+MAX(IF($D$6="No",ROUNDUP($D$3/$I291,0),ROUNDUP(($D$3+$I291)/$I291,0)),IF($D$6="No",ROUNDUP($D$4/$G291,0),ROUNDUP(($D$4+$G291)/$G291,0)))+$D$5</f>
        <v>1</v>
      </c>
      <c r="BL291" s="400" t="b">
        <f t="shared" ca="1" si="820"/>
        <v>1</v>
      </c>
      <c r="BM291" s="400" t="str">
        <f t="shared" ca="1" si="868"/>
        <v>Accepted</v>
      </c>
      <c r="BN291" s="398" t="str">
        <f t="shared" ca="1" si="847"/>
        <v>No</v>
      </c>
      <c r="BO291" s="398" t="str">
        <f t="shared" ca="1" si="869"/>
        <v/>
      </c>
      <c r="BP291" s="398" t="str">
        <f t="shared" ca="1" si="837"/>
        <v/>
      </c>
      <c r="BQ291" s="398">
        <f t="shared" ca="1" si="838"/>
        <v>6</v>
      </c>
      <c r="BR291" s="398">
        <f t="shared" ca="1" si="870"/>
        <v>2</v>
      </c>
      <c r="BS291" s="398">
        <f t="shared" ca="1" si="871"/>
        <v>96</v>
      </c>
      <c r="BT291" s="398">
        <f t="shared" ca="1" si="872"/>
        <v>81950</v>
      </c>
      <c r="BU291" s="399">
        <f t="shared" si="772"/>
        <v>0</v>
      </c>
      <c r="BV291" s="399">
        <f t="shared" si="773"/>
        <v>0</v>
      </c>
      <c r="BW291" s="483" t="str">
        <f t="shared" ca="1" si="839"/>
        <v/>
      </c>
      <c r="BX291" s="400">
        <f ca="1">IF(MAX(IF($E$6="No",ROUNDUP($E$3/$I291,0),ROUNDUP(($E$3+$I291)/$I291,0)),IF($E$6="No",ROUNDUP($E$4/$G291,0),ROUNDUP(($E$4+$G291)/$G291,0)),ROUNDUP('BVMS checklist'!$H$217/$J291,0))&gt;1,'BVMS checklist'!$N$224,'BVMS checklist'!$N$217)</f>
        <v>0</v>
      </c>
      <c r="BY291" s="398">
        <f t="shared" ca="1" si="840"/>
        <v>2</v>
      </c>
      <c r="BZ291" s="400">
        <f t="shared" ca="1" si="873"/>
        <v>2</v>
      </c>
      <c r="CA291" s="400">
        <f t="shared" ca="1" si="874"/>
        <v>2600</v>
      </c>
      <c r="CB291" s="400">
        <f t="shared" ca="1" si="848"/>
        <v>0</v>
      </c>
      <c r="CC291" s="398">
        <f t="shared" ca="1" si="875"/>
        <v>81950</v>
      </c>
      <c r="CD291" s="401" t="str">
        <f t="shared" ca="1" si="841"/>
        <v/>
      </c>
      <c r="CE291" s="398">
        <f t="shared" ca="1" si="876"/>
        <v>3200</v>
      </c>
      <c r="CF291" s="400">
        <f ca="1">IF(MAX(IF($E$6="No",ROUNDUP($E$3/$I291,0),ROUNDUP(($E$3+$I291)/$I291,0)),IF($E$6="No",ROUNDUP($E$4/$G291,0),ROUNDUP(($E$4+$G291)/$G291,0)),ROUNDUP('BVMS checklist'!$H$217/$J291,0))&gt;1,'BVMS checklist'!$N$224,'BVMS checklist'!$N$217)+MAX(IF($E$6="No",ROUNDUP($E$3/$I291,0),ROUNDUP(($E$3+$I291)/$I291,0)),IF($E$6="No",ROUNDUP($E$4/$G291,0),ROUNDUP(($E$4+$G291)/$G291,0)))+$E$5</f>
        <v>1</v>
      </c>
      <c r="CG291" s="400" t="b">
        <f t="shared" ca="1" si="821"/>
        <v>1</v>
      </c>
      <c r="CH291" s="400" t="str">
        <f t="shared" ca="1" si="877"/>
        <v>Accepted</v>
      </c>
      <c r="CI291" s="398" t="str">
        <f t="shared" ca="1" si="849"/>
        <v>No</v>
      </c>
      <c r="CJ291" s="398" t="str">
        <f t="shared" ca="1" si="878"/>
        <v/>
      </c>
      <c r="CK291" s="398" t="str">
        <f t="shared" ca="1" si="842"/>
        <v/>
      </c>
      <c r="CL291" s="398">
        <f t="shared" ca="1" si="843"/>
        <v>6</v>
      </c>
      <c r="CM291" s="398">
        <f t="shared" ca="1" si="879"/>
        <v>2</v>
      </c>
      <c r="CN291" s="398">
        <f t="shared" ca="1" si="880"/>
        <v>96</v>
      </c>
      <c r="CO291" s="398">
        <f t="shared" ca="1" si="881"/>
        <v>81950</v>
      </c>
      <c r="CP291" s="399">
        <f t="shared" si="774"/>
        <v>0</v>
      </c>
      <c r="CQ291" s="399">
        <f t="shared" si="775"/>
        <v>0</v>
      </c>
      <c r="CR291" s="483" t="str">
        <f t="shared" ca="1" si="844"/>
        <v/>
      </c>
      <c r="CS291"/>
    </row>
    <row r="292" spans="1:97">
      <c r="A292" s="398" t="s">
        <v>1038</v>
      </c>
      <c r="B292" s="398" t="s">
        <v>987</v>
      </c>
      <c r="C292" s="440" t="s">
        <v>891</v>
      </c>
      <c r="D292" s="398">
        <v>2</v>
      </c>
      <c r="E292" s="398">
        <v>1</v>
      </c>
      <c r="F292" s="440">
        <v>0</v>
      </c>
      <c r="G292" s="398">
        <f t="shared" ref="G292:G294" si="882">IF(C292="RAID5",(11-F292)*3725,(10-F292)*3725)+IF(C292="RAID5",(55-F292*5)*3725,(50-F292*5)*3725)*E292</f>
        <v>245850</v>
      </c>
      <c r="H292" s="399">
        <v>288</v>
      </c>
      <c r="I292" s="399">
        <v>2100</v>
      </c>
      <c r="J292" s="399">
        <v>1600</v>
      </c>
      <c r="K292" s="399"/>
      <c r="L292" s="399"/>
      <c r="M292" s="400">
        <f ca="1">IF(MAX(IF($B$6="No",ROUNDUP($B$3/$I292,0),ROUNDUP(($B$3+$I292)/$I292,0)),IF($B$6="No",ROUNDUP($B$4/$G292,0),ROUNDUP(($B$4+$G292)/$G292,0)),ROUNDUP('BVMS checklist'!$H$217/$J292,0))&gt;1,'BVMS checklist'!$H$224,'BVMS checklist'!$H$217)</f>
        <v>0</v>
      </c>
      <c r="N292" s="398">
        <f t="shared" ca="1" si="822"/>
        <v>2</v>
      </c>
      <c r="O292" s="400">
        <f t="shared" ca="1" si="851"/>
        <v>2</v>
      </c>
      <c r="P292" s="400">
        <f t="shared" ca="1" si="813"/>
        <v>4200</v>
      </c>
      <c r="Q292" s="400">
        <f t="shared" ca="1" si="814"/>
        <v>0</v>
      </c>
      <c r="R292" s="398">
        <f t="shared" ca="1" si="815"/>
        <v>491700</v>
      </c>
      <c r="S292" s="401" t="str">
        <f t="shared" ca="1" si="823"/>
        <v/>
      </c>
      <c r="T292" s="398">
        <f t="shared" ca="1" si="824"/>
        <v>3200</v>
      </c>
      <c r="U292" s="400">
        <f ca="1">IF(MAX(IF($B$6="No",ROUNDUP($B$3/$I292,0),ROUNDUP(($B$3+$I292)/$I292,0)),IF($B$6="No",ROUNDUP($B$4/$G292,0),ROUNDUP(($B$4+$G292)/$G292,0)),ROUNDUP('BVMS checklist'!$H$217/$J292,0))&gt;1,'BVMS checklist'!$H$224,'BVMS checklist'!$H$217)+MAX(IF($B$6="No",ROUNDUP($B$3/$I292,0),ROUNDUP(($B$3+$I292)/$I292,0)),IF($B$6="No",ROUNDUP($B$4/$G292,0),ROUNDUP(($B$4+$G292)/$G292,0)))+$B$5</f>
        <v>1</v>
      </c>
      <c r="V292" s="400" t="b">
        <f t="shared" ca="1" si="816"/>
        <v>1</v>
      </c>
      <c r="W292" s="400" t="str">
        <f t="shared" ca="1" si="852"/>
        <v>Accepted</v>
      </c>
      <c r="X292" s="398" t="str">
        <f t="shared" ca="1" si="825"/>
        <v>No</v>
      </c>
      <c r="Y292" s="398" t="str">
        <f t="shared" ca="1" si="826"/>
        <v/>
      </c>
      <c r="Z292" s="398" t="str">
        <f t="shared" ca="1" si="827"/>
        <v/>
      </c>
      <c r="AA292" s="398">
        <f t="shared" ca="1" si="853"/>
        <v>6</v>
      </c>
      <c r="AB292" s="398">
        <f t="shared" ca="1" si="817"/>
        <v>2</v>
      </c>
      <c r="AC292" s="398">
        <f t="shared" ca="1" si="818"/>
        <v>576</v>
      </c>
      <c r="AD292" s="398">
        <f t="shared" ca="1" si="854"/>
        <v>491700</v>
      </c>
      <c r="AE292" s="399">
        <f t="shared" si="768"/>
        <v>0</v>
      </c>
      <c r="AF292" s="399">
        <f t="shared" si="769"/>
        <v>0</v>
      </c>
      <c r="AG292" s="483" t="str">
        <f t="shared" ca="1" si="828"/>
        <v/>
      </c>
      <c r="AH292" s="400">
        <f ca="1">IF(MAX(IF($C$6="No",ROUNDUP($C$3/$I292,0),ROUNDUP(($C$3+$I292)/$I292,0)),IF($C$6="No",ROUNDUP($C$4/$G292,0),ROUNDUP(($C$4+$G292)/$G292,0)),ROUNDUP('BVMS checklist'!$H$217/$J292,0))&gt;1,'BVMS checklist'!$J$224,'BVMS checklist'!$J$217)</f>
        <v>0</v>
      </c>
      <c r="AI292" s="398">
        <f t="shared" ca="1" si="829"/>
        <v>2</v>
      </c>
      <c r="AJ292" s="400">
        <f t="shared" ca="1" si="855"/>
        <v>2</v>
      </c>
      <c r="AK292" s="400">
        <f t="shared" ca="1" si="856"/>
        <v>4200</v>
      </c>
      <c r="AL292" s="400">
        <f t="shared" ca="1" si="857"/>
        <v>0</v>
      </c>
      <c r="AM292" s="398">
        <f t="shared" ca="1" si="858"/>
        <v>491700</v>
      </c>
      <c r="AN292" s="401" t="str">
        <f t="shared" ca="1" si="830"/>
        <v/>
      </c>
      <c r="AO292" s="398">
        <f t="shared" ca="1" si="859"/>
        <v>3200</v>
      </c>
      <c r="AP292" s="400">
        <f ca="1">IF(MAX(IF($C$6="No",ROUNDUP($C$3/$I292,0),ROUNDUP(($C$3+$I292)/$I292,0)),IF($C$6="No",ROUNDUP($C$4/$G292,0),ROUNDUP(($C$4+$G292)/$G292,0)),ROUNDUP('BVMS checklist'!$H$217/$J292,0))&gt;1,'BVMS checklist'!$J$224,'BVMS checklist'!$J$217)+MAX(IF($C$6="No",ROUNDUP($C$3/$I292,0),ROUNDUP(($C$3+$I292)/$I292,0)),IF($C$6="No",ROUNDUP($C$4/$G292,0),ROUNDUP(($C$4+$G292)/$G292,0)))+$C$5</f>
        <v>1</v>
      </c>
      <c r="AQ292" s="400" t="b">
        <f t="shared" ca="1" si="819"/>
        <v>1</v>
      </c>
      <c r="AR292" s="400" t="str">
        <f t="shared" ca="1" si="860"/>
        <v>Accepted</v>
      </c>
      <c r="AS292" s="398" t="str">
        <f t="shared" ca="1" si="845"/>
        <v>No</v>
      </c>
      <c r="AT292" s="398" t="str">
        <f t="shared" ca="1" si="861"/>
        <v/>
      </c>
      <c r="AU292" s="398" t="str">
        <f t="shared" ca="1" si="831"/>
        <v/>
      </c>
      <c r="AV292" s="398">
        <f t="shared" ca="1" si="832"/>
        <v>6</v>
      </c>
      <c r="AW292" s="398">
        <f t="shared" ca="1" si="862"/>
        <v>2</v>
      </c>
      <c r="AX292" s="398">
        <f t="shared" ca="1" si="863"/>
        <v>576</v>
      </c>
      <c r="AY292" s="398">
        <f t="shared" ca="1" si="864"/>
        <v>491700</v>
      </c>
      <c r="AZ292" s="399">
        <f t="shared" si="770"/>
        <v>0</v>
      </c>
      <c r="BA292" s="399">
        <f t="shared" si="771"/>
        <v>0</v>
      </c>
      <c r="BB292" s="483" t="str">
        <f t="shared" ca="1" si="833"/>
        <v/>
      </c>
      <c r="BC292" s="400">
        <f ca="1">IF(MAX(IF($D$6="No",ROUNDUP($D$3/$I292,0),ROUNDUP(($D$3+$I292)/$I292,0)),IF($D$6="No",ROUNDUP($D$4/$G292,0),ROUNDUP(($D$4+$G292)/$G292,0)),ROUNDUP('BVMS checklist'!$H$217/$J292,0))&gt;1,'BVMS checklist'!$L$224,'BVMS checklist'!$L$217)</f>
        <v>0</v>
      </c>
      <c r="BD292" s="398">
        <f t="shared" ca="1" si="834"/>
        <v>2</v>
      </c>
      <c r="BE292" s="400">
        <f t="shared" si="835"/>
        <v>1</v>
      </c>
      <c r="BF292" s="400">
        <f t="shared" si="865"/>
        <v>2100</v>
      </c>
      <c r="BG292" s="400">
        <f t="shared" ca="1" si="846"/>
        <v>0</v>
      </c>
      <c r="BH292" s="398">
        <f t="shared" ca="1" si="866"/>
        <v>491700</v>
      </c>
      <c r="BI292" s="401" t="str">
        <f t="shared" ca="1" si="836"/>
        <v/>
      </c>
      <c r="BJ292" s="398">
        <f t="shared" ca="1" si="867"/>
        <v>3200</v>
      </c>
      <c r="BK292" s="400">
        <f ca="1">IF(MAX(IF($D$6="No",ROUNDUP($D$3/$I292,0),ROUNDUP(($D$3+$I292)/$I292,0)),IF($D$6="No",ROUNDUP($D$4/$G292,0),ROUNDUP(($D$4+$G292)/$G292,0)),ROUNDUP('BVMS checklist'!$H$217/$J292,0))&gt;1,'BVMS checklist'!$L$224,'BVMS checklist'!$L$217)+MAX(IF($D$6="No",ROUNDUP($D$3/$I292,0),ROUNDUP(($D$3+$I292)/$I292,0)),IF($D$6="No",ROUNDUP($D$4/$G292,0),ROUNDUP(($D$4+$G292)/$G292,0)))+$D$5</f>
        <v>1</v>
      </c>
      <c r="BL292" s="400" t="b">
        <f t="shared" ca="1" si="820"/>
        <v>1</v>
      </c>
      <c r="BM292" s="400" t="str">
        <f t="shared" ca="1" si="868"/>
        <v>Accepted</v>
      </c>
      <c r="BN292" s="398" t="str">
        <f t="shared" ca="1" si="847"/>
        <v>No</v>
      </c>
      <c r="BO292" s="398" t="str">
        <f t="shared" ca="1" si="869"/>
        <v/>
      </c>
      <c r="BP292" s="398" t="str">
        <f t="shared" ca="1" si="837"/>
        <v/>
      </c>
      <c r="BQ292" s="398">
        <f t="shared" ca="1" si="838"/>
        <v>6</v>
      </c>
      <c r="BR292" s="398">
        <f t="shared" ca="1" si="870"/>
        <v>2</v>
      </c>
      <c r="BS292" s="398">
        <f t="shared" ca="1" si="871"/>
        <v>576</v>
      </c>
      <c r="BT292" s="398">
        <f t="shared" ca="1" si="872"/>
        <v>491700</v>
      </c>
      <c r="BU292" s="399">
        <f t="shared" si="772"/>
        <v>0</v>
      </c>
      <c r="BV292" s="399">
        <f t="shared" si="773"/>
        <v>0</v>
      </c>
      <c r="BW292" s="483" t="str">
        <f t="shared" ca="1" si="839"/>
        <v/>
      </c>
      <c r="BX292" s="400">
        <f ca="1">IF(MAX(IF($E$6="No",ROUNDUP($E$3/$I292,0),ROUNDUP(($E$3+$I292)/$I292,0)),IF($E$6="No",ROUNDUP($E$4/$G292,0),ROUNDUP(($E$4+$G292)/$G292,0)),ROUNDUP('BVMS checklist'!$H$217/$J292,0))&gt;1,'BVMS checklist'!$N$224,'BVMS checklist'!$N$217)</f>
        <v>0</v>
      </c>
      <c r="BY292" s="398">
        <f t="shared" ca="1" si="840"/>
        <v>2</v>
      </c>
      <c r="BZ292" s="400">
        <f t="shared" ca="1" si="873"/>
        <v>2</v>
      </c>
      <c r="CA292" s="400">
        <f t="shared" ca="1" si="874"/>
        <v>4200</v>
      </c>
      <c r="CB292" s="400">
        <f t="shared" ca="1" si="848"/>
        <v>0</v>
      </c>
      <c r="CC292" s="398">
        <f t="shared" ca="1" si="875"/>
        <v>491700</v>
      </c>
      <c r="CD292" s="401" t="str">
        <f t="shared" ca="1" si="841"/>
        <v/>
      </c>
      <c r="CE292" s="398">
        <f t="shared" ca="1" si="876"/>
        <v>3200</v>
      </c>
      <c r="CF292" s="400">
        <f ca="1">IF(MAX(IF($E$6="No",ROUNDUP($E$3/$I292,0),ROUNDUP(($E$3+$I292)/$I292,0)),IF($E$6="No",ROUNDUP($E$4/$G292,0),ROUNDUP(($E$4+$G292)/$G292,0)),ROUNDUP('BVMS checklist'!$H$217/$J292,0))&gt;1,'BVMS checklist'!$N$224,'BVMS checklist'!$N$217)+MAX(IF($E$6="No",ROUNDUP($E$3/$I292,0),ROUNDUP(($E$3+$I292)/$I292,0)),IF($E$6="No",ROUNDUP($E$4/$G292,0),ROUNDUP(($E$4+$G292)/$G292,0)))+$E$5</f>
        <v>1</v>
      </c>
      <c r="CG292" s="400" t="b">
        <f t="shared" ca="1" si="821"/>
        <v>1</v>
      </c>
      <c r="CH292" s="400" t="str">
        <f t="shared" ca="1" si="877"/>
        <v>Accepted</v>
      </c>
      <c r="CI292" s="398" t="str">
        <f t="shared" ca="1" si="849"/>
        <v>No</v>
      </c>
      <c r="CJ292" s="398" t="str">
        <f t="shared" ca="1" si="878"/>
        <v/>
      </c>
      <c r="CK292" s="398" t="str">
        <f t="shared" ca="1" si="842"/>
        <v/>
      </c>
      <c r="CL292" s="398">
        <f t="shared" ca="1" si="843"/>
        <v>6</v>
      </c>
      <c r="CM292" s="398">
        <f t="shared" ca="1" si="879"/>
        <v>2</v>
      </c>
      <c r="CN292" s="398">
        <f t="shared" ca="1" si="880"/>
        <v>576</v>
      </c>
      <c r="CO292" s="398">
        <f t="shared" ca="1" si="881"/>
        <v>491700</v>
      </c>
      <c r="CP292" s="399">
        <f t="shared" si="774"/>
        <v>0</v>
      </c>
      <c r="CQ292" s="399">
        <f t="shared" si="775"/>
        <v>0</v>
      </c>
      <c r="CR292" s="483" t="str">
        <f t="shared" ca="1" si="844"/>
        <v/>
      </c>
      <c r="CS292"/>
    </row>
    <row r="293" spans="1:97">
      <c r="A293" s="398" t="s">
        <v>1039</v>
      </c>
      <c r="B293" s="398" t="s">
        <v>987</v>
      </c>
      <c r="C293" s="440" t="s">
        <v>891</v>
      </c>
      <c r="D293" s="398">
        <v>2</v>
      </c>
      <c r="E293" s="398">
        <v>2</v>
      </c>
      <c r="F293" s="440">
        <v>0</v>
      </c>
      <c r="G293" s="398">
        <f t="shared" si="882"/>
        <v>450725</v>
      </c>
      <c r="H293" s="399">
        <v>528</v>
      </c>
      <c r="I293" s="399">
        <v>2100</v>
      </c>
      <c r="J293" s="399">
        <v>1600</v>
      </c>
      <c r="K293" s="399"/>
      <c r="L293" s="399"/>
      <c r="M293" s="400">
        <f ca="1">IF(MAX(IF($B$6="No",ROUNDUP($B$3/$I293,0),ROUNDUP(($B$3+$I293)/$I293,0)),IF($B$6="No",ROUNDUP($B$4/$G293,0),ROUNDUP(($B$4+$G293)/$G293,0)),ROUNDUP('BVMS checklist'!$H$217/$J293,0))&gt;1,'BVMS checklist'!$H$224,'BVMS checklist'!$H$217)</f>
        <v>0</v>
      </c>
      <c r="N293" s="398">
        <f t="shared" ca="1" si="822"/>
        <v>2</v>
      </c>
      <c r="O293" s="400">
        <f t="shared" ca="1" si="851"/>
        <v>2</v>
      </c>
      <c r="P293" s="400">
        <f t="shared" ca="1" si="813"/>
        <v>4200</v>
      </c>
      <c r="Q293" s="400">
        <f t="shared" ca="1" si="814"/>
        <v>0</v>
      </c>
      <c r="R293" s="398">
        <f t="shared" ca="1" si="815"/>
        <v>901450</v>
      </c>
      <c r="S293" s="401" t="str">
        <f t="shared" ca="1" si="823"/>
        <v/>
      </c>
      <c r="T293" s="398">
        <f t="shared" ca="1" si="824"/>
        <v>3200</v>
      </c>
      <c r="U293" s="400">
        <f ca="1">IF(MAX(IF($B$6="No",ROUNDUP($B$3/$I293,0),ROUNDUP(($B$3+$I293)/$I293,0)),IF($B$6="No",ROUNDUP($B$4/$G293,0),ROUNDUP(($B$4+$G293)/$G293,0)),ROUNDUP('BVMS checklist'!$H$217/$J293,0))&gt;1,'BVMS checklist'!$H$224,'BVMS checklist'!$H$217)+MAX(IF($B$6="No",ROUNDUP($B$3/$I293,0),ROUNDUP(($B$3+$I293)/$I293,0)),IF($B$6="No",ROUNDUP($B$4/$G293,0),ROUNDUP(($B$4+$G293)/$G293,0)))+$B$5</f>
        <v>1</v>
      </c>
      <c r="V293" s="400" t="b">
        <f t="shared" ca="1" si="816"/>
        <v>1</v>
      </c>
      <c r="W293" s="400" t="str">
        <f t="shared" ca="1" si="852"/>
        <v>Accepted</v>
      </c>
      <c r="X293" s="398" t="str">
        <f t="shared" ca="1" si="825"/>
        <v>No</v>
      </c>
      <c r="Y293" s="398" t="str">
        <f t="shared" ca="1" si="826"/>
        <v/>
      </c>
      <c r="Z293" s="398" t="str">
        <f t="shared" ca="1" si="827"/>
        <v/>
      </c>
      <c r="AA293" s="398">
        <f t="shared" ca="1" si="853"/>
        <v>6</v>
      </c>
      <c r="AB293" s="398">
        <f t="shared" ca="1" si="817"/>
        <v>2</v>
      </c>
      <c r="AC293" s="398">
        <f t="shared" ca="1" si="818"/>
        <v>1056</v>
      </c>
      <c r="AD293" s="398">
        <f t="shared" ca="1" si="854"/>
        <v>901450</v>
      </c>
      <c r="AE293" s="399">
        <f t="shared" si="768"/>
        <v>0</v>
      </c>
      <c r="AF293" s="399">
        <f t="shared" si="769"/>
        <v>0</v>
      </c>
      <c r="AG293" s="483" t="str">
        <f t="shared" ca="1" si="828"/>
        <v/>
      </c>
      <c r="AH293" s="400">
        <f ca="1">IF(MAX(IF($C$6="No",ROUNDUP($C$3/$I293,0),ROUNDUP(($C$3+$I293)/$I293,0)),IF($C$6="No",ROUNDUP($C$4/$G293,0),ROUNDUP(($C$4+$G293)/$G293,0)),ROUNDUP('BVMS checklist'!$H$217/$J293,0))&gt;1,'BVMS checklist'!$J$224,'BVMS checklist'!$J$217)</f>
        <v>0</v>
      </c>
      <c r="AI293" s="398">
        <f t="shared" ca="1" si="829"/>
        <v>2</v>
      </c>
      <c r="AJ293" s="400">
        <f t="shared" ca="1" si="855"/>
        <v>2</v>
      </c>
      <c r="AK293" s="400">
        <f t="shared" ca="1" si="856"/>
        <v>4200</v>
      </c>
      <c r="AL293" s="400">
        <f t="shared" ca="1" si="857"/>
        <v>0</v>
      </c>
      <c r="AM293" s="398">
        <f t="shared" ca="1" si="858"/>
        <v>901450</v>
      </c>
      <c r="AN293" s="401" t="str">
        <f t="shared" ca="1" si="830"/>
        <v/>
      </c>
      <c r="AO293" s="398">
        <f t="shared" ca="1" si="859"/>
        <v>3200</v>
      </c>
      <c r="AP293" s="400">
        <f ca="1">IF(MAX(IF($C$6="No",ROUNDUP($C$3/$I293,0),ROUNDUP(($C$3+$I293)/$I293,0)),IF($C$6="No",ROUNDUP($C$4/$G293,0),ROUNDUP(($C$4+$G293)/$G293,0)),ROUNDUP('BVMS checklist'!$H$217/$J293,0))&gt;1,'BVMS checklist'!$J$224,'BVMS checklist'!$J$217)+MAX(IF($C$6="No",ROUNDUP($C$3/$I293,0),ROUNDUP(($C$3+$I293)/$I293,0)),IF($C$6="No",ROUNDUP($C$4/$G293,0),ROUNDUP(($C$4+$G293)/$G293,0)))+$C$5</f>
        <v>1</v>
      </c>
      <c r="AQ293" s="400" t="b">
        <f t="shared" ca="1" si="819"/>
        <v>1</v>
      </c>
      <c r="AR293" s="400" t="str">
        <f t="shared" ca="1" si="860"/>
        <v>Accepted</v>
      </c>
      <c r="AS293" s="398" t="str">
        <f t="shared" ca="1" si="845"/>
        <v>No</v>
      </c>
      <c r="AT293" s="398" t="str">
        <f t="shared" ca="1" si="861"/>
        <v/>
      </c>
      <c r="AU293" s="398" t="str">
        <f t="shared" ca="1" si="831"/>
        <v/>
      </c>
      <c r="AV293" s="398">
        <f t="shared" ca="1" si="832"/>
        <v>6</v>
      </c>
      <c r="AW293" s="398">
        <f t="shared" ca="1" si="862"/>
        <v>2</v>
      </c>
      <c r="AX293" s="398">
        <f t="shared" ca="1" si="863"/>
        <v>1056</v>
      </c>
      <c r="AY293" s="398">
        <f t="shared" ca="1" si="864"/>
        <v>901450</v>
      </c>
      <c r="AZ293" s="399">
        <f t="shared" si="770"/>
        <v>0</v>
      </c>
      <c r="BA293" s="399">
        <f t="shared" si="771"/>
        <v>0</v>
      </c>
      <c r="BB293" s="483" t="str">
        <f t="shared" ca="1" si="833"/>
        <v/>
      </c>
      <c r="BC293" s="400">
        <f ca="1">IF(MAX(IF($D$6="No",ROUNDUP($D$3/$I293,0),ROUNDUP(($D$3+$I293)/$I293,0)),IF($D$6="No",ROUNDUP($D$4/$G293,0),ROUNDUP(($D$4+$G293)/$G293,0)),ROUNDUP('BVMS checklist'!$H$217/$J293,0))&gt;1,'BVMS checklist'!$L$224,'BVMS checklist'!$L$217)</f>
        <v>0</v>
      </c>
      <c r="BD293" s="398">
        <f t="shared" ca="1" si="834"/>
        <v>2</v>
      </c>
      <c r="BE293" s="400">
        <f t="shared" si="835"/>
        <v>1</v>
      </c>
      <c r="BF293" s="400">
        <f t="shared" si="865"/>
        <v>2100</v>
      </c>
      <c r="BG293" s="400">
        <f t="shared" ca="1" si="846"/>
        <v>0</v>
      </c>
      <c r="BH293" s="398">
        <f t="shared" ca="1" si="866"/>
        <v>901450</v>
      </c>
      <c r="BI293" s="401" t="str">
        <f t="shared" ca="1" si="836"/>
        <v/>
      </c>
      <c r="BJ293" s="398">
        <f t="shared" ca="1" si="867"/>
        <v>3200</v>
      </c>
      <c r="BK293" s="400">
        <f ca="1">IF(MAX(IF($D$6="No",ROUNDUP($D$3/$I293,0),ROUNDUP(($D$3+$I293)/$I293,0)),IF($D$6="No",ROUNDUP($D$4/$G293,0),ROUNDUP(($D$4+$G293)/$G293,0)),ROUNDUP('BVMS checklist'!$H$217/$J293,0))&gt;1,'BVMS checklist'!$L$224,'BVMS checklist'!$L$217)+MAX(IF($D$6="No",ROUNDUP($D$3/$I293,0),ROUNDUP(($D$3+$I293)/$I293,0)),IF($D$6="No",ROUNDUP($D$4/$G293,0),ROUNDUP(($D$4+$G293)/$G293,0)))+$D$5</f>
        <v>1</v>
      </c>
      <c r="BL293" s="400" t="b">
        <f t="shared" ca="1" si="820"/>
        <v>1</v>
      </c>
      <c r="BM293" s="400" t="str">
        <f t="shared" ca="1" si="868"/>
        <v>Accepted</v>
      </c>
      <c r="BN293" s="398" t="str">
        <f t="shared" ca="1" si="847"/>
        <v>No</v>
      </c>
      <c r="BO293" s="398" t="str">
        <f t="shared" ca="1" si="869"/>
        <v/>
      </c>
      <c r="BP293" s="398" t="str">
        <f t="shared" ca="1" si="837"/>
        <v/>
      </c>
      <c r="BQ293" s="398">
        <f t="shared" ca="1" si="838"/>
        <v>6</v>
      </c>
      <c r="BR293" s="398">
        <f t="shared" ca="1" si="870"/>
        <v>2</v>
      </c>
      <c r="BS293" s="398">
        <f t="shared" ca="1" si="871"/>
        <v>1056</v>
      </c>
      <c r="BT293" s="398">
        <f t="shared" ca="1" si="872"/>
        <v>901450</v>
      </c>
      <c r="BU293" s="399">
        <f t="shared" si="772"/>
        <v>0</v>
      </c>
      <c r="BV293" s="399">
        <f t="shared" si="773"/>
        <v>0</v>
      </c>
      <c r="BW293" s="483" t="str">
        <f t="shared" ca="1" si="839"/>
        <v/>
      </c>
      <c r="BX293" s="400">
        <f ca="1">IF(MAX(IF($E$6="No",ROUNDUP($E$3/$I293,0),ROUNDUP(($E$3+$I293)/$I293,0)),IF($E$6="No",ROUNDUP($E$4/$G293,0),ROUNDUP(($E$4+$G293)/$G293,0)),ROUNDUP('BVMS checklist'!$H$217/$J293,0))&gt;1,'BVMS checklist'!$N$224,'BVMS checklist'!$N$217)</f>
        <v>0</v>
      </c>
      <c r="BY293" s="398">
        <f t="shared" ca="1" si="840"/>
        <v>2</v>
      </c>
      <c r="BZ293" s="400">
        <f t="shared" ca="1" si="873"/>
        <v>2</v>
      </c>
      <c r="CA293" s="400">
        <f t="shared" ca="1" si="874"/>
        <v>4200</v>
      </c>
      <c r="CB293" s="400">
        <f t="shared" ca="1" si="848"/>
        <v>0</v>
      </c>
      <c r="CC293" s="398">
        <f t="shared" ca="1" si="875"/>
        <v>901450</v>
      </c>
      <c r="CD293" s="401" t="str">
        <f t="shared" ca="1" si="841"/>
        <v/>
      </c>
      <c r="CE293" s="398">
        <f t="shared" ca="1" si="876"/>
        <v>3200</v>
      </c>
      <c r="CF293" s="400">
        <f ca="1">IF(MAX(IF($E$6="No",ROUNDUP($E$3/$I293,0),ROUNDUP(($E$3+$I293)/$I293,0)),IF($E$6="No",ROUNDUP($E$4/$G293,0),ROUNDUP(($E$4+$G293)/$G293,0)),ROUNDUP('BVMS checklist'!$H$217/$J293,0))&gt;1,'BVMS checklist'!$N$224,'BVMS checklist'!$N$217)+MAX(IF($E$6="No",ROUNDUP($E$3/$I293,0),ROUNDUP(($E$3+$I293)/$I293,0)),IF($E$6="No",ROUNDUP($E$4/$G293,0),ROUNDUP(($E$4+$G293)/$G293,0)))+$E$5</f>
        <v>1</v>
      </c>
      <c r="CG293" s="400" t="b">
        <f t="shared" ca="1" si="821"/>
        <v>1</v>
      </c>
      <c r="CH293" s="400" t="str">
        <f t="shared" ca="1" si="877"/>
        <v>Accepted</v>
      </c>
      <c r="CI293" s="398" t="str">
        <f t="shared" ca="1" si="849"/>
        <v>No</v>
      </c>
      <c r="CJ293" s="398" t="str">
        <f t="shared" ca="1" si="878"/>
        <v/>
      </c>
      <c r="CK293" s="398" t="str">
        <f t="shared" ca="1" si="842"/>
        <v/>
      </c>
      <c r="CL293" s="398">
        <f t="shared" ca="1" si="843"/>
        <v>6</v>
      </c>
      <c r="CM293" s="398">
        <f t="shared" ca="1" si="879"/>
        <v>2</v>
      </c>
      <c r="CN293" s="398">
        <f t="shared" ca="1" si="880"/>
        <v>1056</v>
      </c>
      <c r="CO293" s="398">
        <f t="shared" ca="1" si="881"/>
        <v>901450</v>
      </c>
      <c r="CP293" s="399">
        <f t="shared" si="774"/>
        <v>0</v>
      </c>
      <c r="CQ293" s="399">
        <f t="shared" si="775"/>
        <v>0</v>
      </c>
      <c r="CR293" s="483" t="str">
        <f t="shared" ca="1" si="844"/>
        <v/>
      </c>
      <c r="CS293"/>
    </row>
    <row r="294" spans="1:97">
      <c r="A294" s="398" t="s">
        <v>1040</v>
      </c>
      <c r="B294" s="398" t="s">
        <v>987</v>
      </c>
      <c r="C294" s="440" t="s">
        <v>891</v>
      </c>
      <c r="D294" s="398">
        <v>2</v>
      </c>
      <c r="E294" s="398">
        <v>3</v>
      </c>
      <c r="F294" s="440">
        <v>0</v>
      </c>
      <c r="G294" s="398">
        <f t="shared" si="882"/>
        <v>655600</v>
      </c>
      <c r="H294" s="399">
        <v>768</v>
      </c>
      <c r="I294" s="399">
        <v>2100</v>
      </c>
      <c r="J294" s="399">
        <v>1600</v>
      </c>
      <c r="K294" s="399"/>
      <c r="L294" s="399"/>
      <c r="M294" s="400">
        <f ca="1">IF(MAX(IF($B$6="No",ROUNDUP($B$3/$I294,0),ROUNDUP(($B$3+$I294)/$I294,0)),IF($B$6="No",ROUNDUP($B$4/$G294,0),ROUNDUP(($B$4+$G294)/$G294,0)),ROUNDUP('BVMS checklist'!$H$217/$J294,0))&gt;1,'BVMS checklist'!$H$224,'BVMS checklist'!$H$217)</f>
        <v>0</v>
      </c>
      <c r="N294" s="398">
        <f t="shared" ca="1" si="822"/>
        <v>2</v>
      </c>
      <c r="O294" s="400">
        <f t="shared" ca="1" si="851"/>
        <v>2</v>
      </c>
      <c r="P294" s="400">
        <f t="shared" ca="1" si="813"/>
        <v>4200</v>
      </c>
      <c r="Q294" s="400">
        <f t="shared" ca="1" si="814"/>
        <v>0</v>
      </c>
      <c r="R294" s="398">
        <f t="shared" ca="1" si="815"/>
        <v>1311200</v>
      </c>
      <c r="S294" s="401" t="str">
        <f t="shared" ca="1" si="823"/>
        <v/>
      </c>
      <c r="T294" s="398">
        <f t="shared" ca="1" si="824"/>
        <v>3200</v>
      </c>
      <c r="U294" s="400">
        <f ca="1">IF(MAX(IF($B$6="No",ROUNDUP($B$3/$I294,0),ROUNDUP(($B$3+$I294)/$I294,0)),IF($B$6="No",ROUNDUP($B$4/$G294,0),ROUNDUP(($B$4+$G294)/$G294,0)),ROUNDUP('BVMS checklist'!$H$217/$J294,0))&gt;1,'BVMS checklist'!$H$224,'BVMS checklist'!$H$217)+MAX(IF($B$6="No",ROUNDUP($B$3/$I294,0),ROUNDUP(($B$3+$I294)/$I294,0)),IF($B$6="No",ROUNDUP($B$4/$G294,0),ROUNDUP(($B$4+$G294)/$G294,0)))+$B$5</f>
        <v>1</v>
      </c>
      <c r="V294" s="400" t="b">
        <f t="shared" ca="1" si="816"/>
        <v>1</v>
      </c>
      <c r="W294" s="400" t="str">
        <f t="shared" ca="1" si="852"/>
        <v>Accepted</v>
      </c>
      <c r="X294" s="398" t="str">
        <f t="shared" ca="1" si="825"/>
        <v>No</v>
      </c>
      <c r="Y294" s="398" t="str">
        <f t="shared" ca="1" si="826"/>
        <v/>
      </c>
      <c r="Z294" s="398" t="str">
        <f t="shared" ca="1" si="827"/>
        <v/>
      </c>
      <c r="AA294" s="398">
        <f t="shared" ca="1" si="853"/>
        <v>6</v>
      </c>
      <c r="AB294" s="398">
        <f t="shared" ca="1" si="817"/>
        <v>2</v>
      </c>
      <c r="AC294" s="398">
        <f t="shared" ca="1" si="818"/>
        <v>1536</v>
      </c>
      <c r="AD294" s="398">
        <f t="shared" ca="1" si="854"/>
        <v>1311200</v>
      </c>
      <c r="AE294" s="399">
        <f t="shared" si="768"/>
        <v>0</v>
      </c>
      <c r="AF294" s="399">
        <f t="shared" si="769"/>
        <v>0</v>
      </c>
      <c r="AG294" s="483" t="str">
        <f t="shared" ca="1" si="828"/>
        <v/>
      </c>
      <c r="AH294" s="400">
        <f ca="1">IF(MAX(IF($C$6="No",ROUNDUP($C$3/$I294,0),ROUNDUP(($C$3+$I294)/$I294,0)),IF($C$6="No",ROUNDUP($C$4/$G294,0),ROUNDUP(($C$4+$G294)/$G294,0)),ROUNDUP('BVMS checklist'!$H$217/$J294,0))&gt;1,'BVMS checklist'!$J$224,'BVMS checklist'!$J$217)</f>
        <v>0</v>
      </c>
      <c r="AI294" s="398">
        <f t="shared" ca="1" si="829"/>
        <v>2</v>
      </c>
      <c r="AJ294" s="400">
        <f t="shared" ca="1" si="855"/>
        <v>2</v>
      </c>
      <c r="AK294" s="400">
        <f t="shared" ca="1" si="856"/>
        <v>4200</v>
      </c>
      <c r="AL294" s="400">
        <f t="shared" ca="1" si="857"/>
        <v>0</v>
      </c>
      <c r="AM294" s="398">
        <f t="shared" ca="1" si="858"/>
        <v>1311200</v>
      </c>
      <c r="AN294" s="401" t="str">
        <f t="shared" ca="1" si="830"/>
        <v/>
      </c>
      <c r="AO294" s="398">
        <f t="shared" ca="1" si="859"/>
        <v>3200</v>
      </c>
      <c r="AP294" s="400">
        <f ca="1">IF(MAX(IF($C$6="No",ROUNDUP($C$3/$I294,0),ROUNDUP(($C$3+$I294)/$I294,0)),IF($C$6="No",ROUNDUP($C$4/$G294,0),ROUNDUP(($C$4+$G294)/$G294,0)),ROUNDUP('BVMS checklist'!$H$217/$J294,0))&gt;1,'BVMS checklist'!$J$224,'BVMS checklist'!$J$217)+MAX(IF($C$6="No",ROUNDUP($C$3/$I294,0),ROUNDUP(($C$3+$I294)/$I294,0)),IF($C$6="No",ROUNDUP($C$4/$G294,0),ROUNDUP(($C$4+$G294)/$G294,0)))+$C$5</f>
        <v>1</v>
      </c>
      <c r="AQ294" s="400" t="b">
        <f t="shared" ca="1" si="819"/>
        <v>1</v>
      </c>
      <c r="AR294" s="400" t="str">
        <f t="shared" ca="1" si="860"/>
        <v>Accepted</v>
      </c>
      <c r="AS294" s="398" t="str">
        <f t="shared" ca="1" si="845"/>
        <v>No</v>
      </c>
      <c r="AT294" s="398" t="str">
        <f t="shared" ca="1" si="861"/>
        <v/>
      </c>
      <c r="AU294" s="398" t="str">
        <f t="shared" ca="1" si="831"/>
        <v/>
      </c>
      <c r="AV294" s="398">
        <f t="shared" ca="1" si="832"/>
        <v>6</v>
      </c>
      <c r="AW294" s="398">
        <f t="shared" ca="1" si="862"/>
        <v>2</v>
      </c>
      <c r="AX294" s="398">
        <f t="shared" ca="1" si="863"/>
        <v>1536</v>
      </c>
      <c r="AY294" s="398">
        <f t="shared" ca="1" si="864"/>
        <v>1311200</v>
      </c>
      <c r="AZ294" s="399">
        <f t="shared" si="770"/>
        <v>0</v>
      </c>
      <c r="BA294" s="399">
        <f t="shared" si="771"/>
        <v>0</v>
      </c>
      <c r="BB294" s="483" t="str">
        <f t="shared" ca="1" si="833"/>
        <v/>
      </c>
      <c r="BC294" s="400">
        <f ca="1">IF(MAX(IF($D$6="No",ROUNDUP($D$3/$I294,0),ROUNDUP(($D$3+$I294)/$I294,0)),IF($D$6="No",ROUNDUP($D$4/$G294,0),ROUNDUP(($D$4+$G294)/$G294,0)),ROUNDUP('BVMS checklist'!$H$217/$J294,0))&gt;1,'BVMS checklist'!$L$224,'BVMS checklist'!$L$217)</f>
        <v>0</v>
      </c>
      <c r="BD294" s="398">
        <f t="shared" ca="1" si="834"/>
        <v>2</v>
      </c>
      <c r="BE294" s="400">
        <f t="shared" si="835"/>
        <v>1</v>
      </c>
      <c r="BF294" s="400">
        <f t="shared" si="865"/>
        <v>2100</v>
      </c>
      <c r="BG294" s="400">
        <f t="shared" ca="1" si="846"/>
        <v>0</v>
      </c>
      <c r="BH294" s="398">
        <f t="shared" ca="1" si="866"/>
        <v>1311200</v>
      </c>
      <c r="BI294" s="401" t="str">
        <f t="shared" ca="1" si="836"/>
        <v/>
      </c>
      <c r="BJ294" s="398">
        <f t="shared" ca="1" si="867"/>
        <v>3200</v>
      </c>
      <c r="BK294" s="400">
        <f ca="1">IF(MAX(IF($D$6="No",ROUNDUP($D$3/$I294,0),ROUNDUP(($D$3+$I294)/$I294,0)),IF($D$6="No",ROUNDUP($D$4/$G294,0),ROUNDUP(($D$4+$G294)/$G294,0)),ROUNDUP('BVMS checklist'!$H$217/$J294,0))&gt;1,'BVMS checklist'!$L$224,'BVMS checklist'!$L$217)+MAX(IF($D$6="No",ROUNDUP($D$3/$I294,0),ROUNDUP(($D$3+$I294)/$I294,0)),IF($D$6="No",ROUNDUP($D$4/$G294,0),ROUNDUP(($D$4+$G294)/$G294,0)))+$D$5</f>
        <v>1</v>
      </c>
      <c r="BL294" s="400" t="b">
        <f t="shared" ca="1" si="820"/>
        <v>1</v>
      </c>
      <c r="BM294" s="400" t="str">
        <f t="shared" ca="1" si="868"/>
        <v>Accepted</v>
      </c>
      <c r="BN294" s="398" t="str">
        <f t="shared" ca="1" si="847"/>
        <v>No</v>
      </c>
      <c r="BO294" s="398" t="str">
        <f t="shared" ca="1" si="869"/>
        <v/>
      </c>
      <c r="BP294" s="398" t="str">
        <f t="shared" ca="1" si="837"/>
        <v/>
      </c>
      <c r="BQ294" s="398">
        <f t="shared" ca="1" si="838"/>
        <v>6</v>
      </c>
      <c r="BR294" s="398">
        <f t="shared" ca="1" si="870"/>
        <v>2</v>
      </c>
      <c r="BS294" s="398">
        <f t="shared" ca="1" si="871"/>
        <v>1536</v>
      </c>
      <c r="BT294" s="398">
        <f t="shared" ca="1" si="872"/>
        <v>1311200</v>
      </c>
      <c r="BU294" s="399">
        <f t="shared" si="772"/>
        <v>0</v>
      </c>
      <c r="BV294" s="399">
        <f t="shared" si="773"/>
        <v>0</v>
      </c>
      <c r="BW294" s="483" t="str">
        <f t="shared" ca="1" si="839"/>
        <v/>
      </c>
      <c r="BX294" s="400">
        <f ca="1">IF(MAX(IF($E$6="No",ROUNDUP($E$3/$I294,0),ROUNDUP(($E$3+$I294)/$I294,0)),IF($E$6="No",ROUNDUP($E$4/$G294,0),ROUNDUP(($E$4+$G294)/$G294,0)),ROUNDUP('BVMS checklist'!$H$217/$J294,0))&gt;1,'BVMS checklist'!$N$224,'BVMS checklist'!$N$217)</f>
        <v>0</v>
      </c>
      <c r="BY294" s="398">
        <f t="shared" ca="1" si="840"/>
        <v>2</v>
      </c>
      <c r="BZ294" s="400">
        <f t="shared" ca="1" si="873"/>
        <v>2</v>
      </c>
      <c r="CA294" s="400">
        <f t="shared" ca="1" si="874"/>
        <v>4200</v>
      </c>
      <c r="CB294" s="400">
        <f t="shared" ca="1" si="848"/>
        <v>0</v>
      </c>
      <c r="CC294" s="398">
        <f t="shared" ca="1" si="875"/>
        <v>1311200</v>
      </c>
      <c r="CD294" s="401" t="str">
        <f t="shared" ca="1" si="841"/>
        <v/>
      </c>
      <c r="CE294" s="398">
        <f t="shared" ca="1" si="876"/>
        <v>3200</v>
      </c>
      <c r="CF294" s="400">
        <f ca="1">IF(MAX(IF($E$6="No",ROUNDUP($E$3/$I294,0),ROUNDUP(($E$3+$I294)/$I294,0)),IF($E$6="No",ROUNDUP($E$4/$G294,0),ROUNDUP(($E$4+$G294)/$G294,0)),ROUNDUP('BVMS checklist'!$H$217/$J294,0))&gt;1,'BVMS checklist'!$N$224,'BVMS checklist'!$N$217)+MAX(IF($E$6="No",ROUNDUP($E$3/$I294,0),ROUNDUP(($E$3+$I294)/$I294,0)),IF($E$6="No",ROUNDUP($E$4/$G294,0),ROUNDUP(($E$4+$G294)/$G294,0)))+$E$5</f>
        <v>1</v>
      </c>
      <c r="CG294" s="400" t="b">
        <f t="shared" ca="1" si="821"/>
        <v>1</v>
      </c>
      <c r="CH294" s="400" t="str">
        <f t="shared" ca="1" si="877"/>
        <v>Accepted</v>
      </c>
      <c r="CI294" s="398" t="str">
        <f t="shared" ca="1" si="849"/>
        <v>No</v>
      </c>
      <c r="CJ294" s="398" t="str">
        <f t="shared" ca="1" si="878"/>
        <v/>
      </c>
      <c r="CK294" s="398" t="str">
        <f t="shared" ca="1" si="842"/>
        <v/>
      </c>
      <c r="CL294" s="398">
        <f t="shared" ca="1" si="843"/>
        <v>6</v>
      </c>
      <c r="CM294" s="398">
        <f t="shared" ca="1" si="879"/>
        <v>2</v>
      </c>
      <c r="CN294" s="398">
        <f t="shared" ca="1" si="880"/>
        <v>1536</v>
      </c>
      <c r="CO294" s="398">
        <f t="shared" ca="1" si="881"/>
        <v>1311200</v>
      </c>
      <c r="CP294" s="399">
        <f t="shared" si="774"/>
        <v>0</v>
      </c>
      <c r="CQ294" s="399">
        <f t="shared" si="775"/>
        <v>0</v>
      </c>
      <c r="CR294" s="483" t="str">
        <f t="shared" ca="1" si="844"/>
        <v/>
      </c>
      <c r="CS294"/>
    </row>
    <row r="295" spans="1:97">
      <c r="A295" s="398" t="s">
        <v>1041</v>
      </c>
      <c r="B295" s="398" t="s">
        <v>987</v>
      </c>
      <c r="C295" s="440" t="s">
        <v>891</v>
      </c>
      <c r="D295" s="398">
        <v>2</v>
      </c>
      <c r="E295" s="398">
        <v>0</v>
      </c>
      <c r="F295" s="440">
        <v>0</v>
      </c>
      <c r="G295" s="398">
        <f>IF(C295="RAID5",(11-F295)*5588,(10-F295)*5588)+IF(C295="RAID5",(55-F295*5)*5588,(50-F295*5)*5588)*E295</f>
        <v>61468</v>
      </c>
      <c r="H295" s="399">
        <v>72</v>
      </c>
      <c r="I295" s="399">
        <v>1300</v>
      </c>
      <c r="J295" s="399">
        <v>1600</v>
      </c>
      <c r="K295" s="399"/>
      <c r="L295" s="399"/>
      <c r="M295" s="400">
        <f ca="1">IF(MAX(IF($B$6="No",ROUNDUP($B$3/$I295,0),ROUNDUP(($B$3+$I295)/$I295,0)),IF($B$6="No",ROUNDUP($B$4/$G295,0),ROUNDUP(($B$4+$G295)/$G295,0)),ROUNDUP('BVMS checklist'!$H$217/$J295,0))&gt;1,'BVMS checklist'!$H$224,'BVMS checklist'!$H$217)</f>
        <v>0</v>
      </c>
      <c r="N295" s="398">
        <f t="shared" ca="1" si="822"/>
        <v>2</v>
      </c>
      <c r="O295" s="400">
        <f t="shared" ca="1" si="851"/>
        <v>2</v>
      </c>
      <c r="P295" s="400">
        <f t="shared" ca="1" si="813"/>
        <v>2600</v>
      </c>
      <c r="Q295" s="400">
        <f t="shared" ca="1" si="814"/>
        <v>0</v>
      </c>
      <c r="R295" s="398">
        <f t="shared" ca="1" si="815"/>
        <v>122936</v>
      </c>
      <c r="S295" s="401" t="str">
        <f t="shared" ca="1" si="823"/>
        <v/>
      </c>
      <c r="T295" s="398">
        <f t="shared" ca="1" si="824"/>
        <v>3200</v>
      </c>
      <c r="U295" s="400">
        <f ca="1">IF(MAX(IF($B$6="No",ROUNDUP($B$3/$I295,0),ROUNDUP(($B$3+$I295)/$I295,0)),IF($B$6="No",ROUNDUP($B$4/$G295,0),ROUNDUP(($B$4+$G295)/$G295,0)),ROUNDUP('BVMS checklist'!$H$217/$J295,0))&gt;1,'BVMS checklist'!$H$224,'BVMS checklist'!$H$217)+MAX(IF($B$6="No",ROUNDUP($B$3/$I295,0),ROUNDUP(($B$3+$I295)/$I295,0)),IF($B$6="No",ROUNDUP($B$4/$G295,0),ROUNDUP(($B$4+$G295)/$G295,0)))+$B$5</f>
        <v>1</v>
      </c>
      <c r="V295" s="400" t="b">
        <f t="shared" ca="1" si="816"/>
        <v>1</v>
      </c>
      <c r="W295" s="400" t="str">
        <f t="shared" ca="1" si="852"/>
        <v>Accepted</v>
      </c>
      <c r="X295" s="398" t="str">
        <f t="shared" ca="1" si="825"/>
        <v>No</v>
      </c>
      <c r="Y295" s="398" t="str">
        <f t="shared" ca="1" si="826"/>
        <v/>
      </c>
      <c r="Z295" s="398" t="str">
        <f t="shared" ca="1" si="827"/>
        <v/>
      </c>
      <c r="AA295" s="398">
        <f t="shared" ca="1" si="853"/>
        <v>6</v>
      </c>
      <c r="AB295" s="398">
        <f t="shared" ca="1" si="817"/>
        <v>2</v>
      </c>
      <c r="AC295" s="398">
        <f t="shared" ca="1" si="818"/>
        <v>144</v>
      </c>
      <c r="AD295" s="398">
        <f t="shared" ca="1" si="854"/>
        <v>122936</v>
      </c>
      <c r="AE295" s="399">
        <f t="shared" si="768"/>
        <v>0</v>
      </c>
      <c r="AF295" s="399">
        <f t="shared" si="769"/>
        <v>0</v>
      </c>
      <c r="AG295" s="483" t="str">
        <f t="shared" ca="1" si="828"/>
        <v/>
      </c>
      <c r="AH295" s="400">
        <f ca="1">IF(MAX(IF($C$6="No",ROUNDUP($C$3/$I295,0),ROUNDUP(($C$3+$I295)/$I295,0)),IF($C$6="No",ROUNDUP($C$4/$G295,0),ROUNDUP(($C$4+$G295)/$G295,0)),ROUNDUP('BVMS checklist'!$H$217/$J295,0))&gt;1,'BVMS checklist'!$J$224,'BVMS checklist'!$J$217)</f>
        <v>0</v>
      </c>
      <c r="AI295" s="398">
        <f t="shared" ca="1" si="829"/>
        <v>2</v>
      </c>
      <c r="AJ295" s="400">
        <f t="shared" ca="1" si="855"/>
        <v>2</v>
      </c>
      <c r="AK295" s="400">
        <f t="shared" ca="1" si="856"/>
        <v>2600</v>
      </c>
      <c r="AL295" s="400">
        <f t="shared" ca="1" si="857"/>
        <v>0</v>
      </c>
      <c r="AM295" s="398">
        <f t="shared" ca="1" si="858"/>
        <v>122936</v>
      </c>
      <c r="AN295" s="401" t="str">
        <f t="shared" ca="1" si="830"/>
        <v/>
      </c>
      <c r="AO295" s="398">
        <f t="shared" ca="1" si="859"/>
        <v>3200</v>
      </c>
      <c r="AP295" s="400">
        <f ca="1">IF(MAX(IF($C$6="No",ROUNDUP($C$3/$I295,0),ROUNDUP(($C$3+$I295)/$I295,0)),IF($C$6="No",ROUNDUP($C$4/$G295,0),ROUNDUP(($C$4+$G295)/$G295,0)),ROUNDUP('BVMS checklist'!$H$217/$J295,0))&gt;1,'BVMS checklist'!$J$224,'BVMS checklist'!$J$217)+MAX(IF($C$6="No",ROUNDUP($C$3/$I295,0),ROUNDUP(($C$3+$I295)/$I295,0)),IF($C$6="No",ROUNDUP($C$4/$G295,0),ROUNDUP(($C$4+$G295)/$G295,0)))+$C$5</f>
        <v>1</v>
      </c>
      <c r="AQ295" s="400" t="b">
        <f t="shared" ca="1" si="819"/>
        <v>1</v>
      </c>
      <c r="AR295" s="400" t="str">
        <f t="shared" ca="1" si="860"/>
        <v>Accepted</v>
      </c>
      <c r="AS295" s="398" t="str">
        <f t="shared" ca="1" si="845"/>
        <v>No</v>
      </c>
      <c r="AT295" s="398" t="str">
        <f t="shared" ca="1" si="861"/>
        <v/>
      </c>
      <c r="AU295" s="398" t="str">
        <f t="shared" ca="1" si="831"/>
        <v/>
      </c>
      <c r="AV295" s="398">
        <f t="shared" ca="1" si="832"/>
        <v>6</v>
      </c>
      <c r="AW295" s="398">
        <f t="shared" ca="1" si="862"/>
        <v>2</v>
      </c>
      <c r="AX295" s="398">
        <f t="shared" ca="1" si="863"/>
        <v>144</v>
      </c>
      <c r="AY295" s="398">
        <f t="shared" ca="1" si="864"/>
        <v>122936</v>
      </c>
      <c r="AZ295" s="399">
        <f t="shared" si="770"/>
        <v>0</v>
      </c>
      <c r="BA295" s="399">
        <f t="shared" si="771"/>
        <v>0</v>
      </c>
      <c r="BB295" s="483" t="str">
        <f t="shared" ca="1" si="833"/>
        <v/>
      </c>
      <c r="BC295" s="400">
        <f ca="1">IF(MAX(IF($D$6="No",ROUNDUP($D$3/$I295,0),ROUNDUP(($D$3+$I295)/$I295,0)),IF($D$6="No",ROUNDUP($D$4/$G295,0),ROUNDUP(($D$4+$G295)/$G295,0)),ROUNDUP('BVMS checklist'!$H$217/$J295,0))&gt;1,'BVMS checklist'!$L$224,'BVMS checklist'!$L$217)</f>
        <v>0</v>
      </c>
      <c r="BD295" s="398">
        <f t="shared" ca="1" si="834"/>
        <v>2</v>
      </c>
      <c r="BE295" s="400">
        <f t="shared" si="835"/>
        <v>1</v>
      </c>
      <c r="BF295" s="400">
        <f t="shared" si="865"/>
        <v>1300</v>
      </c>
      <c r="BG295" s="400">
        <f t="shared" ca="1" si="846"/>
        <v>0</v>
      </c>
      <c r="BH295" s="398">
        <f t="shared" ca="1" si="866"/>
        <v>122936</v>
      </c>
      <c r="BI295" s="401" t="str">
        <f t="shared" ca="1" si="836"/>
        <v/>
      </c>
      <c r="BJ295" s="398">
        <f t="shared" ca="1" si="867"/>
        <v>3200</v>
      </c>
      <c r="BK295" s="400">
        <f ca="1">IF(MAX(IF($D$6="No",ROUNDUP($D$3/$I295,0),ROUNDUP(($D$3+$I295)/$I295,0)),IF($D$6="No",ROUNDUP($D$4/$G295,0),ROUNDUP(($D$4+$G295)/$G295,0)),ROUNDUP('BVMS checklist'!$H$217/$J295,0))&gt;1,'BVMS checklist'!$L$224,'BVMS checklist'!$L$217)+MAX(IF($D$6="No",ROUNDUP($D$3/$I295,0),ROUNDUP(($D$3+$I295)/$I295,0)),IF($D$6="No",ROUNDUP($D$4/$G295,0),ROUNDUP(($D$4+$G295)/$G295,0)))+$D$5</f>
        <v>1</v>
      </c>
      <c r="BL295" s="400" t="b">
        <f t="shared" ca="1" si="820"/>
        <v>1</v>
      </c>
      <c r="BM295" s="400" t="str">
        <f t="shared" ca="1" si="868"/>
        <v>Accepted</v>
      </c>
      <c r="BN295" s="398" t="str">
        <f t="shared" ca="1" si="847"/>
        <v>No</v>
      </c>
      <c r="BO295" s="398" t="str">
        <f t="shared" ca="1" si="869"/>
        <v/>
      </c>
      <c r="BP295" s="398" t="str">
        <f t="shared" ca="1" si="837"/>
        <v/>
      </c>
      <c r="BQ295" s="398">
        <f t="shared" ca="1" si="838"/>
        <v>6</v>
      </c>
      <c r="BR295" s="398">
        <f t="shared" ca="1" si="870"/>
        <v>2</v>
      </c>
      <c r="BS295" s="398">
        <f t="shared" ca="1" si="871"/>
        <v>144</v>
      </c>
      <c r="BT295" s="398">
        <f t="shared" ca="1" si="872"/>
        <v>122936</v>
      </c>
      <c r="BU295" s="399">
        <f t="shared" si="772"/>
        <v>0</v>
      </c>
      <c r="BV295" s="399">
        <f t="shared" si="773"/>
        <v>0</v>
      </c>
      <c r="BW295" s="483" t="str">
        <f t="shared" ca="1" si="839"/>
        <v/>
      </c>
      <c r="BX295" s="400">
        <f ca="1">IF(MAX(IF($E$6="No",ROUNDUP($E$3/$I295,0),ROUNDUP(($E$3+$I295)/$I295,0)),IF($E$6="No",ROUNDUP($E$4/$G295,0),ROUNDUP(($E$4+$G295)/$G295,0)),ROUNDUP('BVMS checklist'!$H$217/$J295,0))&gt;1,'BVMS checklist'!$N$224,'BVMS checklist'!$N$217)</f>
        <v>0</v>
      </c>
      <c r="BY295" s="398">
        <f t="shared" ca="1" si="840"/>
        <v>2</v>
      </c>
      <c r="BZ295" s="400">
        <f t="shared" ca="1" si="873"/>
        <v>2</v>
      </c>
      <c r="CA295" s="400">
        <f t="shared" ca="1" si="874"/>
        <v>2600</v>
      </c>
      <c r="CB295" s="400">
        <f t="shared" ca="1" si="848"/>
        <v>0</v>
      </c>
      <c r="CC295" s="398">
        <f t="shared" ca="1" si="875"/>
        <v>122936</v>
      </c>
      <c r="CD295" s="401" t="str">
        <f t="shared" ca="1" si="841"/>
        <v/>
      </c>
      <c r="CE295" s="398">
        <f t="shared" ca="1" si="876"/>
        <v>3200</v>
      </c>
      <c r="CF295" s="400">
        <f ca="1">IF(MAX(IF($E$6="No",ROUNDUP($E$3/$I295,0),ROUNDUP(($E$3+$I295)/$I295,0)),IF($E$6="No",ROUNDUP($E$4/$G295,0),ROUNDUP(($E$4+$G295)/$G295,0)),ROUNDUP('BVMS checklist'!$H$217/$J295,0))&gt;1,'BVMS checklist'!$N$224,'BVMS checklist'!$N$217)+MAX(IF($E$6="No",ROUNDUP($E$3/$I295,0),ROUNDUP(($E$3+$I295)/$I295,0)),IF($E$6="No",ROUNDUP($E$4/$G295,0),ROUNDUP(($E$4+$G295)/$G295,0)))+$E$5</f>
        <v>1</v>
      </c>
      <c r="CG295" s="400" t="b">
        <f t="shared" ca="1" si="821"/>
        <v>1</v>
      </c>
      <c r="CH295" s="400" t="str">
        <f t="shared" ca="1" si="877"/>
        <v>Accepted</v>
      </c>
      <c r="CI295" s="398" t="str">
        <f t="shared" ca="1" si="849"/>
        <v>No</v>
      </c>
      <c r="CJ295" s="398" t="str">
        <f t="shared" ca="1" si="878"/>
        <v/>
      </c>
      <c r="CK295" s="398" t="str">
        <f t="shared" ca="1" si="842"/>
        <v/>
      </c>
      <c r="CL295" s="398">
        <f t="shared" ca="1" si="843"/>
        <v>6</v>
      </c>
      <c r="CM295" s="398">
        <f t="shared" ca="1" si="879"/>
        <v>2</v>
      </c>
      <c r="CN295" s="398">
        <f t="shared" ca="1" si="880"/>
        <v>144</v>
      </c>
      <c r="CO295" s="398">
        <f t="shared" ca="1" si="881"/>
        <v>122936</v>
      </c>
      <c r="CP295" s="399">
        <f t="shared" si="774"/>
        <v>0</v>
      </c>
      <c r="CQ295" s="399">
        <f t="shared" si="775"/>
        <v>0</v>
      </c>
      <c r="CR295" s="483" t="str">
        <f t="shared" ca="1" si="844"/>
        <v/>
      </c>
      <c r="CS295"/>
    </row>
    <row r="296" spans="1:97">
      <c r="A296" s="398" t="s">
        <v>1042</v>
      </c>
      <c r="B296" s="398" t="s">
        <v>987</v>
      </c>
      <c r="C296" s="440" t="s">
        <v>891</v>
      </c>
      <c r="D296" s="398">
        <v>2</v>
      </c>
      <c r="E296" s="398">
        <v>1</v>
      </c>
      <c r="F296" s="440">
        <v>0</v>
      </c>
      <c r="G296" s="398">
        <f t="shared" ref="G296:G298" si="883">IF(C296="RAID5",(11-F296)*5588,(10-F296)*5588)+IF(C296="RAID5",(55-F296*5)*5588,(50-F296*5)*5588)*E296</f>
        <v>368808</v>
      </c>
      <c r="H296" s="399">
        <v>432</v>
      </c>
      <c r="I296" s="399">
        <v>2100</v>
      </c>
      <c r="J296" s="399">
        <v>1600</v>
      </c>
      <c r="K296" s="399"/>
      <c r="L296" s="399"/>
      <c r="M296" s="400">
        <f ca="1">IF(MAX(IF($B$6="No",ROUNDUP($B$3/$I296,0),ROUNDUP(($B$3+$I296)/$I296,0)),IF($B$6="No",ROUNDUP($B$4/$G296,0),ROUNDUP(($B$4+$G296)/$G296,0)),ROUNDUP('BVMS checklist'!$H$217/$J296,0))&gt;1,'BVMS checklist'!$H$224,'BVMS checklist'!$H$217)</f>
        <v>0</v>
      </c>
      <c r="N296" s="398">
        <f t="shared" ca="1" si="822"/>
        <v>2</v>
      </c>
      <c r="O296" s="400">
        <f t="shared" ca="1" si="851"/>
        <v>2</v>
      </c>
      <c r="P296" s="400">
        <f t="shared" ca="1" si="813"/>
        <v>4200</v>
      </c>
      <c r="Q296" s="400">
        <f t="shared" ca="1" si="814"/>
        <v>0</v>
      </c>
      <c r="R296" s="398">
        <f t="shared" ca="1" si="815"/>
        <v>737616</v>
      </c>
      <c r="S296" s="401" t="str">
        <f t="shared" ca="1" si="823"/>
        <v/>
      </c>
      <c r="T296" s="398">
        <f t="shared" ca="1" si="824"/>
        <v>3200</v>
      </c>
      <c r="U296" s="400">
        <f ca="1">IF(MAX(IF($B$6="No",ROUNDUP($B$3/$I296,0),ROUNDUP(($B$3+$I296)/$I296,0)),IF($B$6="No",ROUNDUP($B$4/$G296,0),ROUNDUP(($B$4+$G296)/$G296,0)),ROUNDUP('BVMS checklist'!$H$217/$J296,0))&gt;1,'BVMS checklist'!$H$224,'BVMS checklist'!$H$217)+MAX(IF($B$6="No",ROUNDUP($B$3/$I296,0),ROUNDUP(($B$3+$I296)/$I296,0)),IF($B$6="No",ROUNDUP($B$4/$G296,0),ROUNDUP(($B$4+$G296)/$G296,0)))+$B$5</f>
        <v>1</v>
      </c>
      <c r="V296" s="400" t="b">
        <f t="shared" ca="1" si="816"/>
        <v>1</v>
      </c>
      <c r="W296" s="400" t="str">
        <f t="shared" ca="1" si="852"/>
        <v>Accepted</v>
      </c>
      <c r="X296" s="398" t="str">
        <f t="shared" ca="1" si="825"/>
        <v>No</v>
      </c>
      <c r="Y296" s="398" t="str">
        <f t="shared" ca="1" si="826"/>
        <v/>
      </c>
      <c r="Z296" s="398" t="str">
        <f t="shared" ca="1" si="827"/>
        <v/>
      </c>
      <c r="AA296" s="398">
        <f t="shared" ca="1" si="853"/>
        <v>6</v>
      </c>
      <c r="AB296" s="398">
        <f t="shared" ca="1" si="817"/>
        <v>2</v>
      </c>
      <c r="AC296" s="398">
        <f t="shared" ca="1" si="818"/>
        <v>864</v>
      </c>
      <c r="AD296" s="398">
        <f t="shared" ca="1" si="854"/>
        <v>737616</v>
      </c>
      <c r="AE296" s="399">
        <f t="shared" si="768"/>
        <v>0</v>
      </c>
      <c r="AF296" s="399">
        <f t="shared" si="769"/>
        <v>0</v>
      </c>
      <c r="AG296" s="483" t="str">
        <f t="shared" ca="1" si="828"/>
        <v/>
      </c>
      <c r="AH296" s="400">
        <f ca="1">IF(MAX(IF($C$6="No",ROUNDUP($C$3/$I296,0),ROUNDUP(($C$3+$I296)/$I296,0)),IF($C$6="No",ROUNDUP($C$4/$G296,0),ROUNDUP(($C$4+$G296)/$G296,0)),ROUNDUP('BVMS checklist'!$H$217/$J296,0))&gt;1,'BVMS checklist'!$J$224,'BVMS checklist'!$J$217)</f>
        <v>0</v>
      </c>
      <c r="AI296" s="398">
        <f t="shared" ca="1" si="829"/>
        <v>2</v>
      </c>
      <c r="AJ296" s="400">
        <f t="shared" ca="1" si="855"/>
        <v>2</v>
      </c>
      <c r="AK296" s="400">
        <f t="shared" ca="1" si="856"/>
        <v>4200</v>
      </c>
      <c r="AL296" s="400">
        <f t="shared" ca="1" si="857"/>
        <v>0</v>
      </c>
      <c r="AM296" s="398">
        <f t="shared" ca="1" si="858"/>
        <v>737616</v>
      </c>
      <c r="AN296" s="401" t="str">
        <f t="shared" ca="1" si="830"/>
        <v/>
      </c>
      <c r="AO296" s="398">
        <f t="shared" ca="1" si="859"/>
        <v>3200</v>
      </c>
      <c r="AP296" s="400">
        <f ca="1">IF(MAX(IF($C$6="No",ROUNDUP($C$3/$I296,0),ROUNDUP(($C$3+$I296)/$I296,0)),IF($C$6="No",ROUNDUP($C$4/$G296,0),ROUNDUP(($C$4+$G296)/$G296,0)),ROUNDUP('BVMS checklist'!$H$217/$J296,0))&gt;1,'BVMS checklist'!$J$224,'BVMS checklist'!$J$217)+MAX(IF($C$6="No",ROUNDUP($C$3/$I296,0),ROUNDUP(($C$3+$I296)/$I296,0)),IF($C$6="No",ROUNDUP($C$4/$G296,0),ROUNDUP(($C$4+$G296)/$G296,0)))+$C$5</f>
        <v>1</v>
      </c>
      <c r="AQ296" s="400" t="b">
        <f t="shared" ca="1" si="819"/>
        <v>1</v>
      </c>
      <c r="AR296" s="400" t="str">
        <f t="shared" ca="1" si="860"/>
        <v>Accepted</v>
      </c>
      <c r="AS296" s="398" t="str">
        <f t="shared" ca="1" si="845"/>
        <v>No</v>
      </c>
      <c r="AT296" s="398" t="str">
        <f t="shared" ca="1" si="861"/>
        <v/>
      </c>
      <c r="AU296" s="398" t="str">
        <f t="shared" ca="1" si="831"/>
        <v/>
      </c>
      <c r="AV296" s="398">
        <f t="shared" ca="1" si="832"/>
        <v>6</v>
      </c>
      <c r="AW296" s="398">
        <f t="shared" ca="1" si="862"/>
        <v>2</v>
      </c>
      <c r="AX296" s="398">
        <f t="shared" ca="1" si="863"/>
        <v>864</v>
      </c>
      <c r="AY296" s="398">
        <f t="shared" ca="1" si="864"/>
        <v>737616</v>
      </c>
      <c r="AZ296" s="399">
        <f t="shared" si="770"/>
        <v>0</v>
      </c>
      <c r="BA296" s="399">
        <f t="shared" si="771"/>
        <v>0</v>
      </c>
      <c r="BB296" s="483" t="str">
        <f t="shared" ca="1" si="833"/>
        <v/>
      </c>
      <c r="BC296" s="400">
        <f ca="1">IF(MAX(IF($D$6="No",ROUNDUP($D$3/$I296,0),ROUNDUP(($D$3+$I296)/$I296,0)),IF($D$6="No",ROUNDUP($D$4/$G296,0),ROUNDUP(($D$4+$G296)/$G296,0)),ROUNDUP('BVMS checklist'!$H$217/$J296,0))&gt;1,'BVMS checklist'!$L$224,'BVMS checklist'!$L$217)</f>
        <v>0</v>
      </c>
      <c r="BD296" s="398">
        <f t="shared" ca="1" si="834"/>
        <v>2</v>
      </c>
      <c r="BE296" s="400">
        <f t="shared" si="835"/>
        <v>1</v>
      </c>
      <c r="BF296" s="400">
        <f t="shared" si="865"/>
        <v>2100</v>
      </c>
      <c r="BG296" s="400">
        <f t="shared" ca="1" si="846"/>
        <v>0</v>
      </c>
      <c r="BH296" s="398">
        <f t="shared" ca="1" si="866"/>
        <v>737616</v>
      </c>
      <c r="BI296" s="401" t="str">
        <f t="shared" ca="1" si="836"/>
        <v/>
      </c>
      <c r="BJ296" s="398">
        <f t="shared" ca="1" si="867"/>
        <v>3200</v>
      </c>
      <c r="BK296" s="400">
        <f ca="1">IF(MAX(IF($D$6="No",ROUNDUP($D$3/$I296,0),ROUNDUP(($D$3+$I296)/$I296,0)),IF($D$6="No",ROUNDUP($D$4/$G296,0),ROUNDUP(($D$4+$G296)/$G296,0)),ROUNDUP('BVMS checklist'!$H$217/$J296,0))&gt;1,'BVMS checklist'!$L$224,'BVMS checklist'!$L$217)+MAX(IF($D$6="No",ROUNDUP($D$3/$I296,0),ROUNDUP(($D$3+$I296)/$I296,0)),IF($D$6="No",ROUNDUP($D$4/$G296,0),ROUNDUP(($D$4+$G296)/$G296,0)))+$D$5</f>
        <v>1</v>
      </c>
      <c r="BL296" s="400" t="b">
        <f t="shared" ca="1" si="820"/>
        <v>1</v>
      </c>
      <c r="BM296" s="400" t="str">
        <f t="shared" ca="1" si="868"/>
        <v>Accepted</v>
      </c>
      <c r="BN296" s="398" t="str">
        <f t="shared" ca="1" si="847"/>
        <v>No</v>
      </c>
      <c r="BO296" s="398" t="str">
        <f t="shared" ca="1" si="869"/>
        <v/>
      </c>
      <c r="BP296" s="398" t="str">
        <f t="shared" ca="1" si="837"/>
        <v/>
      </c>
      <c r="BQ296" s="398">
        <f t="shared" ca="1" si="838"/>
        <v>6</v>
      </c>
      <c r="BR296" s="398">
        <f t="shared" ca="1" si="870"/>
        <v>2</v>
      </c>
      <c r="BS296" s="398">
        <f t="shared" ca="1" si="871"/>
        <v>864</v>
      </c>
      <c r="BT296" s="398">
        <f t="shared" ca="1" si="872"/>
        <v>737616</v>
      </c>
      <c r="BU296" s="399">
        <f t="shared" si="772"/>
        <v>0</v>
      </c>
      <c r="BV296" s="399">
        <f t="shared" si="773"/>
        <v>0</v>
      </c>
      <c r="BW296" s="483" t="str">
        <f t="shared" ca="1" si="839"/>
        <v/>
      </c>
      <c r="BX296" s="400">
        <f ca="1">IF(MAX(IF($E$6="No",ROUNDUP($E$3/$I296,0),ROUNDUP(($E$3+$I296)/$I296,0)),IF($E$6="No",ROUNDUP($E$4/$G296,0),ROUNDUP(($E$4+$G296)/$G296,0)),ROUNDUP('BVMS checklist'!$H$217/$J296,0))&gt;1,'BVMS checklist'!$N$224,'BVMS checklist'!$N$217)</f>
        <v>0</v>
      </c>
      <c r="BY296" s="398">
        <f t="shared" ca="1" si="840"/>
        <v>2</v>
      </c>
      <c r="BZ296" s="400">
        <f t="shared" ca="1" si="873"/>
        <v>2</v>
      </c>
      <c r="CA296" s="400">
        <f t="shared" ca="1" si="874"/>
        <v>4200</v>
      </c>
      <c r="CB296" s="400">
        <f t="shared" ca="1" si="848"/>
        <v>0</v>
      </c>
      <c r="CC296" s="398">
        <f t="shared" ca="1" si="875"/>
        <v>737616</v>
      </c>
      <c r="CD296" s="401" t="str">
        <f t="shared" ca="1" si="841"/>
        <v/>
      </c>
      <c r="CE296" s="398">
        <f t="shared" ca="1" si="876"/>
        <v>3200</v>
      </c>
      <c r="CF296" s="400">
        <f ca="1">IF(MAX(IF($E$6="No",ROUNDUP($E$3/$I296,0),ROUNDUP(($E$3+$I296)/$I296,0)),IF($E$6="No",ROUNDUP($E$4/$G296,0),ROUNDUP(($E$4+$G296)/$G296,0)),ROUNDUP('BVMS checklist'!$H$217/$J296,0))&gt;1,'BVMS checklist'!$N$224,'BVMS checklist'!$N$217)+MAX(IF($E$6="No",ROUNDUP($E$3/$I296,0),ROUNDUP(($E$3+$I296)/$I296,0)),IF($E$6="No",ROUNDUP($E$4/$G296,0),ROUNDUP(($E$4+$G296)/$G296,0)))+$E$5</f>
        <v>1</v>
      </c>
      <c r="CG296" s="400" t="b">
        <f t="shared" ca="1" si="821"/>
        <v>1</v>
      </c>
      <c r="CH296" s="400" t="str">
        <f t="shared" ca="1" si="877"/>
        <v>Accepted</v>
      </c>
      <c r="CI296" s="398" t="str">
        <f t="shared" ca="1" si="849"/>
        <v>No</v>
      </c>
      <c r="CJ296" s="398" t="str">
        <f t="shared" ca="1" si="878"/>
        <v/>
      </c>
      <c r="CK296" s="398" t="str">
        <f t="shared" ca="1" si="842"/>
        <v/>
      </c>
      <c r="CL296" s="398">
        <f t="shared" ca="1" si="843"/>
        <v>6</v>
      </c>
      <c r="CM296" s="398">
        <f t="shared" ca="1" si="879"/>
        <v>2</v>
      </c>
      <c r="CN296" s="398">
        <f t="shared" ca="1" si="880"/>
        <v>864</v>
      </c>
      <c r="CO296" s="398">
        <f t="shared" ca="1" si="881"/>
        <v>737616</v>
      </c>
      <c r="CP296" s="399">
        <f t="shared" si="774"/>
        <v>0</v>
      </c>
      <c r="CQ296" s="399">
        <f t="shared" si="775"/>
        <v>0</v>
      </c>
      <c r="CR296" s="483" t="str">
        <f t="shared" ca="1" si="844"/>
        <v/>
      </c>
      <c r="CS296"/>
    </row>
    <row r="297" spans="1:97">
      <c r="A297" s="398" t="s">
        <v>1043</v>
      </c>
      <c r="B297" s="398" t="s">
        <v>987</v>
      </c>
      <c r="C297" s="440" t="s">
        <v>891</v>
      </c>
      <c r="D297" s="398">
        <v>2</v>
      </c>
      <c r="E297" s="398">
        <v>2</v>
      </c>
      <c r="F297" s="440">
        <v>0</v>
      </c>
      <c r="G297" s="398">
        <f t="shared" si="883"/>
        <v>676148</v>
      </c>
      <c r="H297" s="399">
        <v>792</v>
      </c>
      <c r="I297" s="399">
        <v>2100</v>
      </c>
      <c r="J297" s="399">
        <v>1600</v>
      </c>
      <c r="K297" s="399"/>
      <c r="L297" s="399"/>
      <c r="M297" s="400">
        <f ca="1">IF(MAX(IF($B$6="No",ROUNDUP($B$3/$I297,0),ROUNDUP(($B$3+$I297)/$I297,0)),IF($B$6="No",ROUNDUP($B$4/$G297,0),ROUNDUP(($B$4+$G297)/$G297,0)),ROUNDUP('BVMS checklist'!$H$217/$J297,0))&gt;1,'BVMS checklist'!$H$224,'BVMS checklist'!$H$217)</f>
        <v>0</v>
      </c>
      <c r="N297" s="398">
        <f t="shared" ca="1" si="822"/>
        <v>2</v>
      </c>
      <c r="O297" s="400">
        <f t="shared" ca="1" si="851"/>
        <v>2</v>
      </c>
      <c r="P297" s="400">
        <f t="shared" ca="1" si="813"/>
        <v>4200</v>
      </c>
      <c r="Q297" s="400">
        <f t="shared" ca="1" si="814"/>
        <v>0</v>
      </c>
      <c r="R297" s="398">
        <f t="shared" ca="1" si="815"/>
        <v>1352296</v>
      </c>
      <c r="S297" s="401" t="str">
        <f t="shared" ca="1" si="823"/>
        <v/>
      </c>
      <c r="T297" s="398">
        <f t="shared" ca="1" si="824"/>
        <v>3200</v>
      </c>
      <c r="U297" s="400">
        <f ca="1">IF(MAX(IF($B$6="No",ROUNDUP($B$3/$I297,0),ROUNDUP(($B$3+$I297)/$I297,0)),IF($B$6="No",ROUNDUP($B$4/$G297,0),ROUNDUP(($B$4+$G297)/$G297,0)),ROUNDUP('BVMS checklist'!$H$217/$J297,0))&gt;1,'BVMS checklist'!$H$224,'BVMS checklist'!$H$217)+MAX(IF($B$6="No",ROUNDUP($B$3/$I297,0),ROUNDUP(($B$3+$I297)/$I297,0)),IF($B$6="No",ROUNDUP($B$4/$G297,0),ROUNDUP(($B$4+$G297)/$G297,0)))+$B$5</f>
        <v>1</v>
      </c>
      <c r="V297" s="400" t="b">
        <f t="shared" ca="1" si="816"/>
        <v>1</v>
      </c>
      <c r="W297" s="400" t="str">
        <f t="shared" ca="1" si="852"/>
        <v>Accepted</v>
      </c>
      <c r="X297" s="398" t="str">
        <f t="shared" ca="1" si="825"/>
        <v>No</v>
      </c>
      <c r="Y297" s="398" t="str">
        <f t="shared" ca="1" si="826"/>
        <v/>
      </c>
      <c r="Z297" s="398" t="str">
        <f t="shared" ca="1" si="827"/>
        <v/>
      </c>
      <c r="AA297" s="398">
        <f t="shared" ca="1" si="853"/>
        <v>6</v>
      </c>
      <c r="AB297" s="398">
        <f t="shared" ca="1" si="817"/>
        <v>2</v>
      </c>
      <c r="AC297" s="398">
        <f t="shared" ca="1" si="818"/>
        <v>1584</v>
      </c>
      <c r="AD297" s="398">
        <f t="shared" ca="1" si="854"/>
        <v>1352296</v>
      </c>
      <c r="AE297" s="399">
        <f t="shared" si="768"/>
        <v>0</v>
      </c>
      <c r="AF297" s="399">
        <f t="shared" si="769"/>
        <v>0</v>
      </c>
      <c r="AG297" s="483" t="str">
        <f t="shared" ca="1" si="828"/>
        <v/>
      </c>
      <c r="AH297" s="400">
        <f ca="1">IF(MAX(IF($C$6="No",ROUNDUP($C$3/$I297,0),ROUNDUP(($C$3+$I297)/$I297,0)),IF($C$6="No",ROUNDUP($C$4/$G297,0),ROUNDUP(($C$4+$G297)/$G297,0)),ROUNDUP('BVMS checklist'!$H$217/$J297,0))&gt;1,'BVMS checklist'!$J$224,'BVMS checklist'!$J$217)</f>
        <v>0</v>
      </c>
      <c r="AI297" s="398">
        <f t="shared" ca="1" si="829"/>
        <v>2</v>
      </c>
      <c r="AJ297" s="400">
        <f t="shared" ca="1" si="855"/>
        <v>2</v>
      </c>
      <c r="AK297" s="400">
        <f t="shared" ca="1" si="856"/>
        <v>4200</v>
      </c>
      <c r="AL297" s="400">
        <f t="shared" ca="1" si="857"/>
        <v>0</v>
      </c>
      <c r="AM297" s="398">
        <f t="shared" ca="1" si="858"/>
        <v>1352296</v>
      </c>
      <c r="AN297" s="401" t="str">
        <f t="shared" ca="1" si="830"/>
        <v/>
      </c>
      <c r="AO297" s="398">
        <f t="shared" ca="1" si="859"/>
        <v>3200</v>
      </c>
      <c r="AP297" s="400">
        <f ca="1">IF(MAX(IF($C$6="No",ROUNDUP($C$3/$I297,0),ROUNDUP(($C$3+$I297)/$I297,0)),IF($C$6="No",ROUNDUP($C$4/$G297,0),ROUNDUP(($C$4+$G297)/$G297,0)),ROUNDUP('BVMS checklist'!$H$217/$J297,0))&gt;1,'BVMS checklist'!$J$224,'BVMS checklist'!$J$217)+MAX(IF($C$6="No",ROUNDUP($C$3/$I297,0),ROUNDUP(($C$3+$I297)/$I297,0)),IF($C$6="No",ROUNDUP($C$4/$G297,0),ROUNDUP(($C$4+$G297)/$G297,0)))+$C$5</f>
        <v>1</v>
      </c>
      <c r="AQ297" s="400" t="b">
        <f t="shared" ca="1" si="819"/>
        <v>1</v>
      </c>
      <c r="AR297" s="400" t="str">
        <f t="shared" ca="1" si="860"/>
        <v>Accepted</v>
      </c>
      <c r="AS297" s="398" t="str">
        <f t="shared" ca="1" si="845"/>
        <v>No</v>
      </c>
      <c r="AT297" s="398" t="str">
        <f t="shared" ca="1" si="861"/>
        <v/>
      </c>
      <c r="AU297" s="398" t="str">
        <f t="shared" ca="1" si="831"/>
        <v/>
      </c>
      <c r="AV297" s="398">
        <f t="shared" ca="1" si="832"/>
        <v>6</v>
      </c>
      <c r="AW297" s="398">
        <f t="shared" ca="1" si="862"/>
        <v>2</v>
      </c>
      <c r="AX297" s="398">
        <f t="shared" ca="1" si="863"/>
        <v>1584</v>
      </c>
      <c r="AY297" s="398">
        <f t="shared" ca="1" si="864"/>
        <v>1352296</v>
      </c>
      <c r="AZ297" s="399">
        <f t="shared" si="770"/>
        <v>0</v>
      </c>
      <c r="BA297" s="399">
        <f t="shared" si="771"/>
        <v>0</v>
      </c>
      <c r="BB297" s="483" t="str">
        <f t="shared" ca="1" si="833"/>
        <v/>
      </c>
      <c r="BC297" s="400">
        <f ca="1">IF(MAX(IF($D$6="No",ROUNDUP($D$3/$I297,0),ROUNDUP(($D$3+$I297)/$I297,0)),IF($D$6="No",ROUNDUP($D$4/$G297,0),ROUNDUP(($D$4+$G297)/$G297,0)),ROUNDUP('BVMS checklist'!$H$217/$J297,0))&gt;1,'BVMS checklist'!$L$224,'BVMS checklist'!$L$217)</f>
        <v>0</v>
      </c>
      <c r="BD297" s="398">
        <f t="shared" ca="1" si="834"/>
        <v>2</v>
      </c>
      <c r="BE297" s="400">
        <f t="shared" si="835"/>
        <v>1</v>
      </c>
      <c r="BF297" s="400">
        <f t="shared" si="865"/>
        <v>2100</v>
      </c>
      <c r="BG297" s="400">
        <f t="shared" ca="1" si="846"/>
        <v>0</v>
      </c>
      <c r="BH297" s="398">
        <f t="shared" ca="1" si="866"/>
        <v>1352296</v>
      </c>
      <c r="BI297" s="401" t="str">
        <f t="shared" ca="1" si="836"/>
        <v/>
      </c>
      <c r="BJ297" s="398">
        <f t="shared" ca="1" si="867"/>
        <v>3200</v>
      </c>
      <c r="BK297" s="400">
        <f ca="1">IF(MAX(IF($D$6="No",ROUNDUP($D$3/$I297,0),ROUNDUP(($D$3+$I297)/$I297,0)),IF($D$6="No",ROUNDUP($D$4/$G297,0),ROUNDUP(($D$4+$G297)/$G297,0)),ROUNDUP('BVMS checklist'!$H$217/$J297,0))&gt;1,'BVMS checklist'!$L$224,'BVMS checklist'!$L$217)+MAX(IF($D$6="No",ROUNDUP($D$3/$I297,0),ROUNDUP(($D$3+$I297)/$I297,0)),IF($D$6="No",ROUNDUP($D$4/$G297,0),ROUNDUP(($D$4+$G297)/$G297,0)))+$D$5</f>
        <v>1</v>
      </c>
      <c r="BL297" s="400" t="b">
        <f t="shared" ca="1" si="820"/>
        <v>1</v>
      </c>
      <c r="BM297" s="400" t="str">
        <f t="shared" ca="1" si="868"/>
        <v>Accepted</v>
      </c>
      <c r="BN297" s="398" t="str">
        <f t="shared" ca="1" si="847"/>
        <v>No</v>
      </c>
      <c r="BO297" s="398" t="str">
        <f t="shared" ca="1" si="869"/>
        <v/>
      </c>
      <c r="BP297" s="398" t="str">
        <f t="shared" ca="1" si="837"/>
        <v/>
      </c>
      <c r="BQ297" s="398">
        <f t="shared" ca="1" si="838"/>
        <v>6</v>
      </c>
      <c r="BR297" s="398">
        <f t="shared" ca="1" si="870"/>
        <v>2</v>
      </c>
      <c r="BS297" s="398">
        <f t="shared" ca="1" si="871"/>
        <v>1584</v>
      </c>
      <c r="BT297" s="398">
        <f t="shared" ca="1" si="872"/>
        <v>1352296</v>
      </c>
      <c r="BU297" s="399">
        <f t="shared" si="772"/>
        <v>0</v>
      </c>
      <c r="BV297" s="399">
        <f t="shared" si="773"/>
        <v>0</v>
      </c>
      <c r="BW297" s="483" t="str">
        <f t="shared" ca="1" si="839"/>
        <v/>
      </c>
      <c r="BX297" s="400">
        <f ca="1">IF(MAX(IF($E$6="No",ROUNDUP($E$3/$I297,0),ROUNDUP(($E$3+$I297)/$I297,0)),IF($E$6="No",ROUNDUP($E$4/$G297,0),ROUNDUP(($E$4+$G297)/$G297,0)),ROUNDUP('BVMS checklist'!$H$217/$J297,0))&gt;1,'BVMS checklist'!$N$224,'BVMS checklist'!$N$217)</f>
        <v>0</v>
      </c>
      <c r="BY297" s="398">
        <f t="shared" ca="1" si="840"/>
        <v>2</v>
      </c>
      <c r="BZ297" s="400">
        <f t="shared" ca="1" si="873"/>
        <v>2</v>
      </c>
      <c r="CA297" s="400">
        <f t="shared" ca="1" si="874"/>
        <v>4200</v>
      </c>
      <c r="CB297" s="400">
        <f t="shared" ca="1" si="848"/>
        <v>0</v>
      </c>
      <c r="CC297" s="398">
        <f t="shared" ca="1" si="875"/>
        <v>1352296</v>
      </c>
      <c r="CD297" s="401" t="str">
        <f t="shared" ca="1" si="841"/>
        <v/>
      </c>
      <c r="CE297" s="398">
        <f t="shared" ca="1" si="876"/>
        <v>3200</v>
      </c>
      <c r="CF297" s="400">
        <f ca="1">IF(MAX(IF($E$6="No",ROUNDUP($E$3/$I297,0),ROUNDUP(($E$3+$I297)/$I297,0)),IF($E$6="No",ROUNDUP($E$4/$G297,0),ROUNDUP(($E$4+$G297)/$G297,0)),ROUNDUP('BVMS checklist'!$H$217/$J297,0))&gt;1,'BVMS checklist'!$N$224,'BVMS checklist'!$N$217)+MAX(IF($E$6="No",ROUNDUP($E$3/$I297,0),ROUNDUP(($E$3+$I297)/$I297,0)),IF($E$6="No",ROUNDUP($E$4/$G297,0),ROUNDUP(($E$4+$G297)/$G297,0)))+$E$5</f>
        <v>1</v>
      </c>
      <c r="CG297" s="400" t="b">
        <f t="shared" ca="1" si="821"/>
        <v>1</v>
      </c>
      <c r="CH297" s="400" t="str">
        <f t="shared" ca="1" si="877"/>
        <v>Accepted</v>
      </c>
      <c r="CI297" s="398" t="str">
        <f t="shared" ca="1" si="849"/>
        <v>No</v>
      </c>
      <c r="CJ297" s="398" t="str">
        <f t="shared" ca="1" si="878"/>
        <v/>
      </c>
      <c r="CK297" s="398" t="str">
        <f t="shared" ca="1" si="842"/>
        <v/>
      </c>
      <c r="CL297" s="398">
        <f t="shared" ca="1" si="843"/>
        <v>6</v>
      </c>
      <c r="CM297" s="398">
        <f t="shared" ca="1" si="879"/>
        <v>2</v>
      </c>
      <c r="CN297" s="398">
        <f t="shared" ca="1" si="880"/>
        <v>1584</v>
      </c>
      <c r="CO297" s="398">
        <f t="shared" ca="1" si="881"/>
        <v>1352296</v>
      </c>
      <c r="CP297" s="399">
        <f t="shared" si="774"/>
        <v>0</v>
      </c>
      <c r="CQ297" s="399">
        <f t="shared" si="775"/>
        <v>0</v>
      </c>
      <c r="CR297" s="483" t="str">
        <f t="shared" ca="1" si="844"/>
        <v/>
      </c>
      <c r="CS297"/>
    </row>
    <row r="298" spans="1:97">
      <c r="A298" s="398" t="s">
        <v>1044</v>
      </c>
      <c r="B298" s="398" t="s">
        <v>987</v>
      </c>
      <c r="C298" s="440" t="s">
        <v>891</v>
      </c>
      <c r="D298" s="398">
        <v>2</v>
      </c>
      <c r="E298" s="398">
        <v>3</v>
      </c>
      <c r="F298" s="440">
        <v>0</v>
      </c>
      <c r="G298" s="398">
        <f t="shared" si="883"/>
        <v>983488</v>
      </c>
      <c r="H298" s="399">
        <v>1152</v>
      </c>
      <c r="I298" s="399">
        <v>2100</v>
      </c>
      <c r="J298" s="399">
        <v>1600</v>
      </c>
      <c r="K298" s="399"/>
      <c r="L298" s="399"/>
      <c r="M298" s="400">
        <f ca="1">IF(MAX(IF($B$6="No",ROUNDUP($B$3/$I298,0),ROUNDUP(($B$3+$I298)/$I298,0)),IF($B$6="No",ROUNDUP($B$4/$G298,0),ROUNDUP(($B$4+$G298)/$G298,0)),ROUNDUP('BVMS checklist'!$H$217/$J298,0))&gt;1,'BVMS checklist'!$H$224,'BVMS checklist'!$H$217)</f>
        <v>0</v>
      </c>
      <c r="N298" s="398">
        <f t="shared" ca="1" si="822"/>
        <v>2</v>
      </c>
      <c r="O298" s="400">
        <f t="shared" ca="1" si="851"/>
        <v>2</v>
      </c>
      <c r="P298" s="400">
        <f t="shared" ca="1" si="813"/>
        <v>4200</v>
      </c>
      <c r="Q298" s="400">
        <f t="shared" ca="1" si="814"/>
        <v>0</v>
      </c>
      <c r="R298" s="398">
        <f t="shared" ca="1" si="815"/>
        <v>1966976</v>
      </c>
      <c r="S298" s="401" t="str">
        <f t="shared" ca="1" si="823"/>
        <v/>
      </c>
      <c r="T298" s="398">
        <f t="shared" ca="1" si="824"/>
        <v>3200</v>
      </c>
      <c r="U298" s="400">
        <f ca="1">IF(MAX(IF($B$6="No",ROUNDUP($B$3/$I298,0),ROUNDUP(($B$3+$I298)/$I298,0)),IF($B$6="No",ROUNDUP($B$4/$G298,0),ROUNDUP(($B$4+$G298)/$G298,0)),ROUNDUP('BVMS checklist'!$H$217/$J298,0))&gt;1,'BVMS checklist'!$H$224,'BVMS checklist'!$H$217)+MAX(IF($B$6="No",ROUNDUP($B$3/$I298,0),ROUNDUP(($B$3+$I298)/$I298,0)),IF($B$6="No",ROUNDUP($B$4/$G298,0),ROUNDUP(($B$4+$G298)/$G298,0)))+$B$5</f>
        <v>1</v>
      </c>
      <c r="V298" s="400" t="b">
        <f t="shared" ca="1" si="816"/>
        <v>1</v>
      </c>
      <c r="W298" s="400" t="str">
        <f t="shared" ca="1" si="852"/>
        <v>Accepted</v>
      </c>
      <c r="X298" s="398" t="str">
        <f t="shared" ca="1" si="825"/>
        <v>No</v>
      </c>
      <c r="Y298" s="398" t="str">
        <f t="shared" ca="1" si="826"/>
        <v/>
      </c>
      <c r="Z298" s="398" t="str">
        <f t="shared" ca="1" si="827"/>
        <v/>
      </c>
      <c r="AA298" s="398">
        <f t="shared" ca="1" si="853"/>
        <v>6</v>
      </c>
      <c r="AB298" s="398">
        <f t="shared" ca="1" si="817"/>
        <v>2</v>
      </c>
      <c r="AC298" s="398">
        <f t="shared" ca="1" si="818"/>
        <v>2304</v>
      </c>
      <c r="AD298" s="398">
        <f t="shared" ca="1" si="854"/>
        <v>1966976</v>
      </c>
      <c r="AE298" s="399">
        <f t="shared" si="768"/>
        <v>0</v>
      </c>
      <c r="AF298" s="399">
        <f t="shared" si="769"/>
        <v>0</v>
      </c>
      <c r="AG298" s="483" t="str">
        <f t="shared" ca="1" si="828"/>
        <v/>
      </c>
      <c r="AH298" s="400">
        <f ca="1">IF(MAX(IF($C$6="No",ROUNDUP($C$3/$I298,0),ROUNDUP(($C$3+$I298)/$I298,0)),IF($C$6="No",ROUNDUP($C$4/$G298,0),ROUNDUP(($C$4+$G298)/$G298,0)),ROUNDUP('BVMS checklist'!$H$217/$J298,0))&gt;1,'BVMS checklist'!$J$224,'BVMS checklist'!$J$217)</f>
        <v>0</v>
      </c>
      <c r="AI298" s="398">
        <f t="shared" ca="1" si="829"/>
        <v>2</v>
      </c>
      <c r="AJ298" s="400">
        <f t="shared" ca="1" si="855"/>
        <v>2</v>
      </c>
      <c r="AK298" s="400">
        <f t="shared" ca="1" si="856"/>
        <v>4200</v>
      </c>
      <c r="AL298" s="400">
        <f t="shared" ca="1" si="857"/>
        <v>0</v>
      </c>
      <c r="AM298" s="398">
        <f t="shared" ca="1" si="858"/>
        <v>1966976</v>
      </c>
      <c r="AN298" s="401" t="str">
        <f t="shared" ca="1" si="830"/>
        <v/>
      </c>
      <c r="AO298" s="398">
        <f t="shared" ca="1" si="859"/>
        <v>3200</v>
      </c>
      <c r="AP298" s="400">
        <f ca="1">IF(MAX(IF($C$6="No",ROUNDUP($C$3/$I298,0),ROUNDUP(($C$3+$I298)/$I298,0)),IF($C$6="No",ROUNDUP($C$4/$G298,0),ROUNDUP(($C$4+$G298)/$G298,0)),ROUNDUP('BVMS checklist'!$H$217/$J298,0))&gt;1,'BVMS checklist'!$J$224,'BVMS checklist'!$J$217)+MAX(IF($C$6="No",ROUNDUP($C$3/$I298,0),ROUNDUP(($C$3+$I298)/$I298,0)),IF($C$6="No",ROUNDUP($C$4/$G298,0),ROUNDUP(($C$4+$G298)/$G298,0)))+$C$5</f>
        <v>1</v>
      </c>
      <c r="AQ298" s="400" t="b">
        <f t="shared" ca="1" si="819"/>
        <v>1</v>
      </c>
      <c r="AR298" s="400" t="str">
        <f t="shared" ca="1" si="860"/>
        <v>Accepted</v>
      </c>
      <c r="AS298" s="398" t="str">
        <f t="shared" ca="1" si="845"/>
        <v>No</v>
      </c>
      <c r="AT298" s="398" t="str">
        <f t="shared" ca="1" si="861"/>
        <v/>
      </c>
      <c r="AU298" s="398" t="str">
        <f t="shared" ca="1" si="831"/>
        <v/>
      </c>
      <c r="AV298" s="398">
        <f t="shared" ca="1" si="832"/>
        <v>6</v>
      </c>
      <c r="AW298" s="398">
        <f t="shared" ca="1" si="862"/>
        <v>2</v>
      </c>
      <c r="AX298" s="398">
        <f t="shared" ca="1" si="863"/>
        <v>2304</v>
      </c>
      <c r="AY298" s="398">
        <f t="shared" ca="1" si="864"/>
        <v>1966976</v>
      </c>
      <c r="AZ298" s="399">
        <f t="shared" si="770"/>
        <v>0</v>
      </c>
      <c r="BA298" s="399">
        <f t="shared" si="771"/>
        <v>0</v>
      </c>
      <c r="BB298" s="483" t="str">
        <f t="shared" ca="1" si="833"/>
        <v/>
      </c>
      <c r="BC298" s="400">
        <f ca="1">IF(MAX(IF($D$6="No",ROUNDUP($D$3/$I298,0),ROUNDUP(($D$3+$I298)/$I298,0)),IF($D$6="No",ROUNDUP($D$4/$G298,0),ROUNDUP(($D$4+$G298)/$G298,0)),ROUNDUP('BVMS checklist'!$H$217/$J298,0))&gt;1,'BVMS checklist'!$L$224,'BVMS checklist'!$L$217)</f>
        <v>0</v>
      </c>
      <c r="BD298" s="398">
        <f t="shared" ca="1" si="834"/>
        <v>2</v>
      </c>
      <c r="BE298" s="400">
        <f t="shared" si="835"/>
        <v>1</v>
      </c>
      <c r="BF298" s="400">
        <f t="shared" si="865"/>
        <v>2100</v>
      </c>
      <c r="BG298" s="400">
        <f t="shared" ca="1" si="846"/>
        <v>0</v>
      </c>
      <c r="BH298" s="398">
        <f t="shared" ca="1" si="866"/>
        <v>1966976</v>
      </c>
      <c r="BI298" s="401" t="str">
        <f t="shared" ca="1" si="836"/>
        <v/>
      </c>
      <c r="BJ298" s="398">
        <f t="shared" ca="1" si="867"/>
        <v>3200</v>
      </c>
      <c r="BK298" s="400">
        <f ca="1">IF(MAX(IF($D$6="No",ROUNDUP($D$3/$I298,0),ROUNDUP(($D$3+$I298)/$I298,0)),IF($D$6="No",ROUNDUP($D$4/$G298,0),ROUNDUP(($D$4+$G298)/$G298,0)),ROUNDUP('BVMS checklist'!$H$217/$J298,0))&gt;1,'BVMS checklist'!$L$224,'BVMS checklist'!$L$217)+MAX(IF($D$6="No",ROUNDUP($D$3/$I298,0),ROUNDUP(($D$3+$I298)/$I298,0)),IF($D$6="No",ROUNDUP($D$4/$G298,0),ROUNDUP(($D$4+$G298)/$G298,0)))+$D$5</f>
        <v>1</v>
      </c>
      <c r="BL298" s="400" t="b">
        <f t="shared" ca="1" si="820"/>
        <v>1</v>
      </c>
      <c r="BM298" s="400" t="str">
        <f t="shared" ca="1" si="868"/>
        <v>Accepted</v>
      </c>
      <c r="BN298" s="398" t="str">
        <f t="shared" ca="1" si="847"/>
        <v>No</v>
      </c>
      <c r="BO298" s="398" t="str">
        <f t="shared" ca="1" si="869"/>
        <v/>
      </c>
      <c r="BP298" s="398" t="str">
        <f t="shared" ca="1" si="837"/>
        <v/>
      </c>
      <c r="BQ298" s="398">
        <f t="shared" ca="1" si="838"/>
        <v>6</v>
      </c>
      <c r="BR298" s="398">
        <f t="shared" ca="1" si="870"/>
        <v>2</v>
      </c>
      <c r="BS298" s="398">
        <f t="shared" ca="1" si="871"/>
        <v>2304</v>
      </c>
      <c r="BT298" s="398">
        <f t="shared" ca="1" si="872"/>
        <v>1966976</v>
      </c>
      <c r="BU298" s="399">
        <f t="shared" si="772"/>
        <v>0</v>
      </c>
      <c r="BV298" s="399">
        <f t="shared" si="773"/>
        <v>0</v>
      </c>
      <c r="BW298" s="483" t="str">
        <f t="shared" ca="1" si="839"/>
        <v/>
      </c>
      <c r="BX298" s="400">
        <f ca="1">IF(MAX(IF($E$6="No",ROUNDUP($E$3/$I298,0),ROUNDUP(($E$3+$I298)/$I298,0)),IF($E$6="No",ROUNDUP($E$4/$G298,0),ROUNDUP(($E$4+$G298)/$G298,0)),ROUNDUP('BVMS checklist'!$H$217/$J298,0))&gt;1,'BVMS checklist'!$N$224,'BVMS checklist'!$N$217)</f>
        <v>0</v>
      </c>
      <c r="BY298" s="398">
        <f t="shared" ca="1" si="840"/>
        <v>2</v>
      </c>
      <c r="BZ298" s="400">
        <f t="shared" ca="1" si="873"/>
        <v>2</v>
      </c>
      <c r="CA298" s="400">
        <f t="shared" ca="1" si="874"/>
        <v>4200</v>
      </c>
      <c r="CB298" s="400">
        <f t="shared" ca="1" si="848"/>
        <v>0</v>
      </c>
      <c r="CC298" s="398">
        <f t="shared" ca="1" si="875"/>
        <v>1966976</v>
      </c>
      <c r="CD298" s="401" t="str">
        <f t="shared" ca="1" si="841"/>
        <v/>
      </c>
      <c r="CE298" s="398">
        <f t="shared" ca="1" si="876"/>
        <v>3200</v>
      </c>
      <c r="CF298" s="400">
        <f ca="1">IF(MAX(IF($E$6="No",ROUNDUP($E$3/$I298,0),ROUNDUP(($E$3+$I298)/$I298,0)),IF($E$6="No",ROUNDUP($E$4/$G298,0),ROUNDUP(($E$4+$G298)/$G298,0)),ROUNDUP('BVMS checklist'!$H$217/$J298,0))&gt;1,'BVMS checklist'!$N$224,'BVMS checklist'!$N$217)+MAX(IF($E$6="No",ROUNDUP($E$3/$I298,0),ROUNDUP(($E$3+$I298)/$I298,0)),IF($E$6="No",ROUNDUP($E$4/$G298,0),ROUNDUP(($E$4+$G298)/$G298,0)))+$E$5</f>
        <v>1</v>
      </c>
      <c r="CG298" s="400" t="b">
        <f t="shared" ca="1" si="821"/>
        <v>1</v>
      </c>
      <c r="CH298" s="400" t="str">
        <f t="shared" ca="1" si="877"/>
        <v>Accepted</v>
      </c>
      <c r="CI298" s="398" t="str">
        <f t="shared" ca="1" si="849"/>
        <v>No</v>
      </c>
      <c r="CJ298" s="398" t="str">
        <f t="shared" ca="1" si="878"/>
        <v/>
      </c>
      <c r="CK298" s="398" t="str">
        <f t="shared" ca="1" si="842"/>
        <v/>
      </c>
      <c r="CL298" s="398">
        <f t="shared" ca="1" si="843"/>
        <v>6</v>
      </c>
      <c r="CM298" s="398">
        <f t="shared" ca="1" si="879"/>
        <v>2</v>
      </c>
      <c r="CN298" s="398">
        <f t="shared" ca="1" si="880"/>
        <v>2304</v>
      </c>
      <c r="CO298" s="398">
        <f t="shared" ca="1" si="881"/>
        <v>1966976</v>
      </c>
      <c r="CP298" s="399">
        <f t="shared" si="774"/>
        <v>0</v>
      </c>
      <c r="CQ298" s="399">
        <f t="shared" si="775"/>
        <v>0</v>
      </c>
      <c r="CR298" s="483" t="str">
        <f t="shared" ca="1" si="844"/>
        <v/>
      </c>
      <c r="CS298"/>
    </row>
    <row r="299" spans="1:97">
      <c r="A299" s="398" t="s">
        <v>1045</v>
      </c>
      <c r="B299" s="398" t="s">
        <v>987</v>
      </c>
      <c r="C299" s="440" t="s">
        <v>891</v>
      </c>
      <c r="D299" s="398">
        <v>2</v>
      </c>
      <c r="E299" s="398">
        <v>0</v>
      </c>
      <c r="F299" s="440">
        <v>0</v>
      </c>
      <c r="G299" s="398">
        <f>IF(C299="RAID5",(11-F299)*7448,(10-F299)*7448)+IF(C299="RAID5",(55-F299*5)*7448,(50-F299*5)*7448)*E299</f>
        <v>81928</v>
      </c>
      <c r="H299" s="399">
        <v>96</v>
      </c>
      <c r="I299" s="399">
        <v>1300</v>
      </c>
      <c r="J299" s="399">
        <v>1600</v>
      </c>
      <c r="K299" s="399"/>
      <c r="L299" s="399"/>
      <c r="M299" s="400">
        <f ca="1">IF(MAX(IF($B$6="No",ROUNDUP($B$3/$I299,0),ROUNDUP(($B$3+$I299)/$I299,0)),IF($B$6="No",ROUNDUP($B$4/$G299,0),ROUNDUP(($B$4+$G299)/$G299,0)),ROUNDUP('BVMS checklist'!$H$217/$J299,0))&gt;1,'BVMS checklist'!$H$224,'BVMS checklist'!$H$217)</f>
        <v>0</v>
      </c>
      <c r="N299" s="398">
        <f t="shared" ca="1" si="822"/>
        <v>2</v>
      </c>
      <c r="O299" s="400">
        <f t="shared" ca="1" si="851"/>
        <v>2</v>
      </c>
      <c r="P299" s="400">
        <f t="shared" ca="1" si="813"/>
        <v>2600</v>
      </c>
      <c r="Q299" s="400">
        <f t="shared" ca="1" si="814"/>
        <v>0</v>
      </c>
      <c r="R299" s="398">
        <f t="shared" ca="1" si="815"/>
        <v>163856</v>
      </c>
      <c r="S299" s="401" t="str">
        <f t="shared" ca="1" si="823"/>
        <v/>
      </c>
      <c r="T299" s="398">
        <f t="shared" ca="1" si="824"/>
        <v>3200</v>
      </c>
      <c r="U299" s="400">
        <f ca="1">IF(MAX(IF($B$6="No",ROUNDUP($B$3/$I299,0),ROUNDUP(($B$3+$I299)/$I299,0)),IF($B$6="No",ROUNDUP($B$4/$G299,0),ROUNDUP(($B$4+$G299)/$G299,0)),ROUNDUP('BVMS checklist'!$H$217/$J299,0))&gt;1,'BVMS checklist'!$H$224,'BVMS checklist'!$H$217)+MAX(IF($B$6="No",ROUNDUP($B$3/$I299,0),ROUNDUP(($B$3+$I299)/$I299,0)),IF($B$6="No",ROUNDUP($B$4/$G299,0),ROUNDUP(($B$4+$G299)/$G299,0)))+$B$5</f>
        <v>1</v>
      </c>
      <c r="V299" s="400" t="b">
        <f t="shared" ca="1" si="816"/>
        <v>1</v>
      </c>
      <c r="W299" s="400" t="str">
        <f t="shared" ca="1" si="852"/>
        <v>Accepted</v>
      </c>
      <c r="X299" s="398" t="str">
        <f t="shared" ca="1" si="825"/>
        <v>No</v>
      </c>
      <c r="Y299" s="398" t="str">
        <f t="shared" ca="1" si="826"/>
        <v/>
      </c>
      <c r="Z299" s="398" t="str">
        <f t="shared" ca="1" si="827"/>
        <v/>
      </c>
      <c r="AA299" s="398">
        <f t="shared" ca="1" si="853"/>
        <v>6</v>
      </c>
      <c r="AB299" s="398">
        <f t="shared" ca="1" si="817"/>
        <v>2</v>
      </c>
      <c r="AC299" s="398">
        <f t="shared" ca="1" si="818"/>
        <v>192</v>
      </c>
      <c r="AD299" s="398">
        <f t="shared" ca="1" si="854"/>
        <v>163856</v>
      </c>
      <c r="AE299" s="399">
        <f t="shared" si="768"/>
        <v>0</v>
      </c>
      <c r="AF299" s="399">
        <f t="shared" si="769"/>
        <v>0</v>
      </c>
      <c r="AG299" s="483" t="str">
        <f t="shared" ca="1" si="828"/>
        <v/>
      </c>
      <c r="AH299" s="400">
        <f ca="1">IF(MAX(IF($C$6="No",ROUNDUP($C$3/$I299,0),ROUNDUP(($C$3+$I299)/$I299,0)),IF($C$6="No",ROUNDUP($C$4/$G299,0),ROUNDUP(($C$4+$G299)/$G299,0)),ROUNDUP('BVMS checklist'!$H$217/$J299,0))&gt;1,'BVMS checklist'!$J$224,'BVMS checklist'!$J$217)</f>
        <v>0</v>
      </c>
      <c r="AI299" s="398">
        <f t="shared" ca="1" si="829"/>
        <v>2</v>
      </c>
      <c r="AJ299" s="400">
        <f t="shared" ca="1" si="855"/>
        <v>2</v>
      </c>
      <c r="AK299" s="400">
        <f t="shared" ca="1" si="856"/>
        <v>2600</v>
      </c>
      <c r="AL299" s="400">
        <f t="shared" ca="1" si="857"/>
        <v>0</v>
      </c>
      <c r="AM299" s="398">
        <f t="shared" ca="1" si="858"/>
        <v>163856</v>
      </c>
      <c r="AN299" s="401" t="str">
        <f t="shared" ca="1" si="830"/>
        <v/>
      </c>
      <c r="AO299" s="398">
        <f t="shared" ca="1" si="859"/>
        <v>3200</v>
      </c>
      <c r="AP299" s="400">
        <f ca="1">IF(MAX(IF($C$6="No",ROUNDUP($C$3/$I299,0),ROUNDUP(($C$3+$I299)/$I299,0)),IF($C$6="No",ROUNDUP($C$4/$G299,0),ROUNDUP(($C$4+$G299)/$G299,0)),ROUNDUP('BVMS checklist'!$H$217/$J299,0))&gt;1,'BVMS checklist'!$J$224,'BVMS checklist'!$J$217)+MAX(IF($C$6="No",ROUNDUP($C$3/$I299,0),ROUNDUP(($C$3+$I299)/$I299,0)),IF($C$6="No",ROUNDUP($C$4/$G299,0),ROUNDUP(($C$4+$G299)/$G299,0)))+$C$5</f>
        <v>1</v>
      </c>
      <c r="AQ299" s="400" t="b">
        <f t="shared" ca="1" si="819"/>
        <v>1</v>
      </c>
      <c r="AR299" s="400" t="str">
        <f t="shared" ca="1" si="860"/>
        <v>Accepted</v>
      </c>
      <c r="AS299" s="398" t="str">
        <f t="shared" ca="1" si="845"/>
        <v>No</v>
      </c>
      <c r="AT299" s="398" t="str">
        <f t="shared" ca="1" si="861"/>
        <v/>
      </c>
      <c r="AU299" s="398" t="str">
        <f t="shared" ca="1" si="831"/>
        <v/>
      </c>
      <c r="AV299" s="398">
        <f t="shared" ca="1" si="832"/>
        <v>6</v>
      </c>
      <c r="AW299" s="398">
        <f t="shared" ca="1" si="862"/>
        <v>2</v>
      </c>
      <c r="AX299" s="398">
        <f t="shared" ca="1" si="863"/>
        <v>192</v>
      </c>
      <c r="AY299" s="398">
        <f t="shared" ca="1" si="864"/>
        <v>163856</v>
      </c>
      <c r="AZ299" s="399">
        <f t="shared" si="770"/>
        <v>0</v>
      </c>
      <c r="BA299" s="399">
        <f t="shared" si="771"/>
        <v>0</v>
      </c>
      <c r="BB299" s="483" t="str">
        <f t="shared" ca="1" si="833"/>
        <v/>
      </c>
      <c r="BC299" s="400">
        <f ca="1">IF(MAX(IF($D$6="No",ROUNDUP($D$3/$I299,0),ROUNDUP(($D$3+$I299)/$I299,0)),IF($D$6="No",ROUNDUP($D$4/$G299,0),ROUNDUP(($D$4+$G299)/$G299,0)),ROUNDUP('BVMS checklist'!$H$217/$J299,0))&gt;1,'BVMS checklist'!$L$224,'BVMS checklist'!$L$217)</f>
        <v>0</v>
      </c>
      <c r="BD299" s="398">
        <f t="shared" ca="1" si="834"/>
        <v>2</v>
      </c>
      <c r="BE299" s="400">
        <f t="shared" si="835"/>
        <v>1</v>
      </c>
      <c r="BF299" s="400">
        <f t="shared" si="865"/>
        <v>1300</v>
      </c>
      <c r="BG299" s="400">
        <f t="shared" ca="1" si="846"/>
        <v>0</v>
      </c>
      <c r="BH299" s="398">
        <f t="shared" ca="1" si="866"/>
        <v>163856</v>
      </c>
      <c r="BI299" s="401" t="str">
        <f t="shared" ca="1" si="836"/>
        <v/>
      </c>
      <c r="BJ299" s="398">
        <f t="shared" ca="1" si="867"/>
        <v>3200</v>
      </c>
      <c r="BK299" s="400">
        <f ca="1">IF(MAX(IF($D$6="No",ROUNDUP($D$3/$I299,0),ROUNDUP(($D$3+$I299)/$I299,0)),IF($D$6="No",ROUNDUP($D$4/$G299,0),ROUNDUP(($D$4+$G299)/$G299,0)),ROUNDUP('BVMS checklist'!$H$217/$J299,0))&gt;1,'BVMS checklist'!$L$224,'BVMS checklist'!$L$217)+MAX(IF($D$6="No",ROUNDUP($D$3/$I299,0),ROUNDUP(($D$3+$I299)/$I299,0)),IF($D$6="No",ROUNDUP($D$4/$G299,0),ROUNDUP(($D$4+$G299)/$G299,0)))+$D$5</f>
        <v>1</v>
      </c>
      <c r="BL299" s="400" t="b">
        <f t="shared" ca="1" si="820"/>
        <v>1</v>
      </c>
      <c r="BM299" s="400" t="str">
        <f t="shared" ca="1" si="868"/>
        <v>Accepted</v>
      </c>
      <c r="BN299" s="398" t="str">
        <f t="shared" ca="1" si="847"/>
        <v>No</v>
      </c>
      <c r="BO299" s="398" t="str">
        <f t="shared" ca="1" si="869"/>
        <v/>
      </c>
      <c r="BP299" s="398" t="str">
        <f t="shared" ca="1" si="837"/>
        <v/>
      </c>
      <c r="BQ299" s="398">
        <f t="shared" ca="1" si="838"/>
        <v>6</v>
      </c>
      <c r="BR299" s="398">
        <f t="shared" ca="1" si="870"/>
        <v>2</v>
      </c>
      <c r="BS299" s="398">
        <f t="shared" ca="1" si="871"/>
        <v>192</v>
      </c>
      <c r="BT299" s="398">
        <f t="shared" ca="1" si="872"/>
        <v>163856</v>
      </c>
      <c r="BU299" s="399">
        <f t="shared" si="772"/>
        <v>0</v>
      </c>
      <c r="BV299" s="399">
        <f t="shared" si="773"/>
        <v>0</v>
      </c>
      <c r="BW299" s="483" t="str">
        <f t="shared" ca="1" si="839"/>
        <v/>
      </c>
      <c r="BX299" s="400">
        <f ca="1">IF(MAX(IF($E$6="No",ROUNDUP($E$3/$I299,0),ROUNDUP(($E$3+$I299)/$I299,0)),IF($E$6="No",ROUNDUP($E$4/$G299,0),ROUNDUP(($E$4+$G299)/$G299,0)),ROUNDUP('BVMS checklist'!$H$217/$J299,0))&gt;1,'BVMS checklist'!$N$224,'BVMS checklist'!$N$217)</f>
        <v>0</v>
      </c>
      <c r="BY299" s="398">
        <f t="shared" ca="1" si="840"/>
        <v>2</v>
      </c>
      <c r="BZ299" s="400">
        <f t="shared" ca="1" si="873"/>
        <v>2</v>
      </c>
      <c r="CA299" s="400">
        <f t="shared" ca="1" si="874"/>
        <v>2600</v>
      </c>
      <c r="CB299" s="400">
        <f t="shared" ca="1" si="848"/>
        <v>0</v>
      </c>
      <c r="CC299" s="398">
        <f t="shared" ca="1" si="875"/>
        <v>163856</v>
      </c>
      <c r="CD299" s="401" t="str">
        <f t="shared" ca="1" si="841"/>
        <v/>
      </c>
      <c r="CE299" s="398">
        <f t="shared" ca="1" si="876"/>
        <v>3200</v>
      </c>
      <c r="CF299" s="400">
        <f ca="1">IF(MAX(IF($E$6="No",ROUNDUP($E$3/$I299,0),ROUNDUP(($E$3+$I299)/$I299,0)),IF($E$6="No",ROUNDUP($E$4/$G299,0),ROUNDUP(($E$4+$G299)/$G299,0)),ROUNDUP('BVMS checklist'!$H$217/$J299,0))&gt;1,'BVMS checklist'!$N$224,'BVMS checklist'!$N$217)+MAX(IF($E$6="No",ROUNDUP($E$3/$I299,0),ROUNDUP(($E$3+$I299)/$I299,0)),IF($E$6="No",ROUNDUP($E$4/$G299,0),ROUNDUP(($E$4+$G299)/$G299,0)))+$E$5</f>
        <v>1</v>
      </c>
      <c r="CG299" s="400" t="b">
        <f t="shared" ca="1" si="821"/>
        <v>1</v>
      </c>
      <c r="CH299" s="400" t="str">
        <f t="shared" ca="1" si="877"/>
        <v>Accepted</v>
      </c>
      <c r="CI299" s="398" t="str">
        <f t="shared" ca="1" si="849"/>
        <v>No</v>
      </c>
      <c r="CJ299" s="398" t="str">
        <f t="shared" ca="1" si="878"/>
        <v/>
      </c>
      <c r="CK299" s="398" t="str">
        <f t="shared" ca="1" si="842"/>
        <v/>
      </c>
      <c r="CL299" s="398">
        <f t="shared" ca="1" si="843"/>
        <v>6</v>
      </c>
      <c r="CM299" s="398">
        <f t="shared" ca="1" si="879"/>
        <v>2</v>
      </c>
      <c r="CN299" s="398">
        <f t="shared" ca="1" si="880"/>
        <v>192</v>
      </c>
      <c r="CO299" s="398">
        <f t="shared" ca="1" si="881"/>
        <v>163856</v>
      </c>
      <c r="CP299" s="399">
        <f t="shared" si="774"/>
        <v>0</v>
      </c>
      <c r="CQ299" s="399">
        <f t="shared" si="775"/>
        <v>0</v>
      </c>
      <c r="CR299" s="483" t="str">
        <f t="shared" ca="1" si="844"/>
        <v/>
      </c>
      <c r="CS299"/>
    </row>
    <row r="300" spans="1:97">
      <c r="A300" s="398" t="s">
        <v>1046</v>
      </c>
      <c r="B300" s="398" t="s">
        <v>987</v>
      </c>
      <c r="C300" s="440" t="s">
        <v>891</v>
      </c>
      <c r="D300" s="398">
        <v>2</v>
      </c>
      <c r="E300" s="398">
        <v>1</v>
      </c>
      <c r="F300" s="440">
        <v>0</v>
      </c>
      <c r="G300" s="398">
        <f t="shared" ref="G300:G302" si="884">IF(C300="RAID5",(11-F300)*7448,(10-F300)*7448)+IF(C300="RAID5",(55-F300*5)*7448,(50-F300*5)*7448)*E300</f>
        <v>491568</v>
      </c>
      <c r="H300" s="399">
        <v>576</v>
      </c>
      <c r="I300" s="399">
        <v>2100</v>
      </c>
      <c r="J300" s="399">
        <v>1600</v>
      </c>
      <c r="K300" s="399"/>
      <c r="L300" s="399"/>
      <c r="M300" s="400">
        <f ca="1">IF(MAX(IF($B$6="No",ROUNDUP($B$3/$I300,0),ROUNDUP(($B$3+$I300)/$I300,0)),IF($B$6="No",ROUNDUP($B$4/$G300,0),ROUNDUP(($B$4+$G300)/$G300,0)),ROUNDUP('BVMS checklist'!$H$217/$J300,0))&gt;1,'BVMS checklist'!$H$224,'BVMS checklist'!$H$217)</f>
        <v>0</v>
      </c>
      <c r="N300" s="398">
        <f t="shared" ca="1" si="822"/>
        <v>2</v>
      </c>
      <c r="O300" s="400">
        <f t="shared" ca="1" si="851"/>
        <v>2</v>
      </c>
      <c r="P300" s="400">
        <f t="shared" ca="1" si="813"/>
        <v>4200</v>
      </c>
      <c r="Q300" s="400">
        <f t="shared" ca="1" si="814"/>
        <v>0</v>
      </c>
      <c r="R300" s="398">
        <f t="shared" ca="1" si="815"/>
        <v>983136</v>
      </c>
      <c r="S300" s="401" t="str">
        <f t="shared" ca="1" si="823"/>
        <v/>
      </c>
      <c r="T300" s="398">
        <f t="shared" ca="1" si="824"/>
        <v>3200</v>
      </c>
      <c r="U300" s="400">
        <f ca="1">IF(MAX(IF($B$6="No",ROUNDUP($B$3/$I300,0),ROUNDUP(($B$3+$I300)/$I300,0)),IF($B$6="No",ROUNDUP($B$4/$G300,0),ROUNDUP(($B$4+$G300)/$G300,0)),ROUNDUP('BVMS checklist'!$H$217/$J300,0))&gt;1,'BVMS checklist'!$H$224,'BVMS checklist'!$H$217)+MAX(IF($B$6="No",ROUNDUP($B$3/$I300,0),ROUNDUP(($B$3+$I300)/$I300,0)),IF($B$6="No",ROUNDUP($B$4/$G300,0),ROUNDUP(($B$4+$G300)/$G300,0)))+$B$5</f>
        <v>1</v>
      </c>
      <c r="V300" s="400" t="b">
        <f t="shared" ca="1" si="816"/>
        <v>1</v>
      </c>
      <c r="W300" s="400" t="str">
        <f t="shared" ca="1" si="852"/>
        <v>Accepted</v>
      </c>
      <c r="X300" s="398" t="str">
        <f t="shared" ca="1" si="825"/>
        <v>No</v>
      </c>
      <c r="Y300" s="398" t="str">
        <f t="shared" ca="1" si="826"/>
        <v/>
      </c>
      <c r="Z300" s="398" t="str">
        <f t="shared" ca="1" si="827"/>
        <v/>
      </c>
      <c r="AA300" s="398">
        <f t="shared" ca="1" si="853"/>
        <v>6</v>
      </c>
      <c r="AB300" s="398">
        <f t="shared" ca="1" si="817"/>
        <v>2</v>
      </c>
      <c r="AC300" s="398">
        <f t="shared" ca="1" si="818"/>
        <v>1152</v>
      </c>
      <c r="AD300" s="398">
        <f t="shared" ca="1" si="854"/>
        <v>983136</v>
      </c>
      <c r="AE300" s="399">
        <f t="shared" si="768"/>
        <v>0</v>
      </c>
      <c r="AF300" s="399">
        <f t="shared" si="769"/>
        <v>0</v>
      </c>
      <c r="AG300" s="483" t="str">
        <f t="shared" ca="1" si="828"/>
        <v/>
      </c>
      <c r="AH300" s="400">
        <f ca="1">IF(MAX(IF($C$6="No",ROUNDUP($C$3/$I300,0),ROUNDUP(($C$3+$I300)/$I300,0)),IF($C$6="No",ROUNDUP($C$4/$G300,0),ROUNDUP(($C$4+$G300)/$G300,0)),ROUNDUP('BVMS checklist'!$H$217/$J300,0))&gt;1,'BVMS checklist'!$J$224,'BVMS checklist'!$J$217)</f>
        <v>0</v>
      </c>
      <c r="AI300" s="398">
        <f t="shared" ca="1" si="829"/>
        <v>2</v>
      </c>
      <c r="AJ300" s="400">
        <f t="shared" ca="1" si="855"/>
        <v>2</v>
      </c>
      <c r="AK300" s="400">
        <f t="shared" ca="1" si="856"/>
        <v>4200</v>
      </c>
      <c r="AL300" s="400">
        <f t="shared" ca="1" si="857"/>
        <v>0</v>
      </c>
      <c r="AM300" s="398">
        <f t="shared" ca="1" si="858"/>
        <v>983136</v>
      </c>
      <c r="AN300" s="401" t="str">
        <f t="shared" ca="1" si="830"/>
        <v/>
      </c>
      <c r="AO300" s="398">
        <f t="shared" ca="1" si="859"/>
        <v>3200</v>
      </c>
      <c r="AP300" s="400">
        <f ca="1">IF(MAX(IF($C$6="No",ROUNDUP($C$3/$I300,0),ROUNDUP(($C$3+$I300)/$I300,0)),IF($C$6="No",ROUNDUP($C$4/$G300,0),ROUNDUP(($C$4+$G300)/$G300,0)),ROUNDUP('BVMS checklist'!$H$217/$J300,0))&gt;1,'BVMS checklist'!$J$224,'BVMS checklist'!$J$217)+MAX(IF($C$6="No",ROUNDUP($C$3/$I300,0),ROUNDUP(($C$3+$I300)/$I300,0)),IF($C$6="No",ROUNDUP($C$4/$G300,0),ROUNDUP(($C$4+$G300)/$G300,0)))+$C$5</f>
        <v>1</v>
      </c>
      <c r="AQ300" s="400" t="b">
        <f t="shared" ca="1" si="819"/>
        <v>1</v>
      </c>
      <c r="AR300" s="400" t="str">
        <f t="shared" ca="1" si="860"/>
        <v>Accepted</v>
      </c>
      <c r="AS300" s="398" t="str">
        <f t="shared" ca="1" si="845"/>
        <v>No</v>
      </c>
      <c r="AT300" s="398" t="str">
        <f t="shared" ca="1" si="861"/>
        <v/>
      </c>
      <c r="AU300" s="398" t="str">
        <f t="shared" ca="1" si="831"/>
        <v/>
      </c>
      <c r="AV300" s="398">
        <f t="shared" ca="1" si="832"/>
        <v>6</v>
      </c>
      <c r="AW300" s="398">
        <f t="shared" ca="1" si="862"/>
        <v>2</v>
      </c>
      <c r="AX300" s="398">
        <f t="shared" ca="1" si="863"/>
        <v>1152</v>
      </c>
      <c r="AY300" s="398">
        <f t="shared" ca="1" si="864"/>
        <v>983136</v>
      </c>
      <c r="AZ300" s="399">
        <f t="shared" si="770"/>
        <v>0</v>
      </c>
      <c r="BA300" s="399">
        <f t="shared" si="771"/>
        <v>0</v>
      </c>
      <c r="BB300" s="483" t="str">
        <f t="shared" ca="1" si="833"/>
        <v/>
      </c>
      <c r="BC300" s="400">
        <f ca="1">IF(MAX(IF($D$6="No",ROUNDUP($D$3/$I300,0),ROUNDUP(($D$3+$I300)/$I300,0)),IF($D$6="No",ROUNDUP($D$4/$G300,0),ROUNDUP(($D$4+$G300)/$G300,0)),ROUNDUP('BVMS checklist'!$H$217/$J300,0))&gt;1,'BVMS checklist'!$L$224,'BVMS checklist'!$L$217)</f>
        <v>0</v>
      </c>
      <c r="BD300" s="398">
        <f t="shared" ca="1" si="834"/>
        <v>2</v>
      </c>
      <c r="BE300" s="400">
        <f t="shared" si="835"/>
        <v>1</v>
      </c>
      <c r="BF300" s="400">
        <f t="shared" si="865"/>
        <v>2100</v>
      </c>
      <c r="BG300" s="400">
        <f t="shared" ca="1" si="846"/>
        <v>0</v>
      </c>
      <c r="BH300" s="398">
        <f t="shared" ca="1" si="866"/>
        <v>983136</v>
      </c>
      <c r="BI300" s="401" t="str">
        <f t="shared" ca="1" si="836"/>
        <v/>
      </c>
      <c r="BJ300" s="398">
        <f t="shared" ca="1" si="867"/>
        <v>3200</v>
      </c>
      <c r="BK300" s="400">
        <f ca="1">IF(MAX(IF($D$6="No",ROUNDUP($D$3/$I300,0),ROUNDUP(($D$3+$I300)/$I300,0)),IF($D$6="No",ROUNDUP($D$4/$G300,0),ROUNDUP(($D$4+$G300)/$G300,0)),ROUNDUP('BVMS checklist'!$H$217/$J300,0))&gt;1,'BVMS checklist'!$L$224,'BVMS checklist'!$L$217)+MAX(IF($D$6="No",ROUNDUP($D$3/$I300,0),ROUNDUP(($D$3+$I300)/$I300,0)),IF($D$6="No",ROUNDUP($D$4/$G300,0),ROUNDUP(($D$4+$G300)/$G300,0)))+$D$5</f>
        <v>1</v>
      </c>
      <c r="BL300" s="400" t="b">
        <f t="shared" ca="1" si="820"/>
        <v>1</v>
      </c>
      <c r="BM300" s="400" t="str">
        <f t="shared" ca="1" si="868"/>
        <v>Accepted</v>
      </c>
      <c r="BN300" s="398" t="str">
        <f t="shared" ca="1" si="847"/>
        <v>No</v>
      </c>
      <c r="BO300" s="398" t="str">
        <f t="shared" ca="1" si="869"/>
        <v/>
      </c>
      <c r="BP300" s="398" t="str">
        <f t="shared" ca="1" si="837"/>
        <v/>
      </c>
      <c r="BQ300" s="398">
        <f t="shared" ca="1" si="838"/>
        <v>6</v>
      </c>
      <c r="BR300" s="398">
        <f t="shared" ca="1" si="870"/>
        <v>2</v>
      </c>
      <c r="BS300" s="398">
        <f t="shared" ca="1" si="871"/>
        <v>1152</v>
      </c>
      <c r="BT300" s="398">
        <f t="shared" ca="1" si="872"/>
        <v>983136</v>
      </c>
      <c r="BU300" s="399">
        <f t="shared" si="772"/>
        <v>0</v>
      </c>
      <c r="BV300" s="399">
        <f t="shared" si="773"/>
        <v>0</v>
      </c>
      <c r="BW300" s="483" t="str">
        <f t="shared" ca="1" si="839"/>
        <v/>
      </c>
      <c r="BX300" s="400">
        <f ca="1">IF(MAX(IF($E$6="No",ROUNDUP($E$3/$I300,0),ROUNDUP(($E$3+$I300)/$I300,0)),IF($E$6="No",ROUNDUP($E$4/$G300,0),ROUNDUP(($E$4+$G300)/$G300,0)),ROUNDUP('BVMS checklist'!$H$217/$J300,0))&gt;1,'BVMS checklist'!$N$224,'BVMS checklist'!$N$217)</f>
        <v>0</v>
      </c>
      <c r="BY300" s="398">
        <f t="shared" ca="1" si="840"/>
        <v>2</v>
      </c>
      <c r="BZ300" s="400">
        <f t="shared" ca="1" si="873"/>
        <v>2</v>
      </c>
      <c r="CA300" s="400">
        <f t="shared" ca="1" si="874"/>
        <v>4200</v>
      </c>
      <c r="CB300" s="400">
        <f t="shared" ca="1" si="848"/>
        <v>0</v>
      </c>
      <c r="CC300" s="398">
        <f t="shared" ca="1" si="875"/>
        <v>983136</v>
      </c>
      <c r="CD300" s="401" t="str">
        <f t="shared" ca="1" si="841"/>
        <v/>
      </c>
      <c r="CE300" s="398">
        <f t="shared" ca="1" si="876"/>
        <v>3200</v>
      </c>
      <c r="CF300" s="400">
        <f ca="1">IF(MAX(IF($E$6="No",ROUNDUP($E$3/$I300,0),ROUNDUP(($E$3+$I300)/$I300,0)),IF($E$6="No",ROUNDUP($E$4/$G300,0),ROUNDUP(($E$4+$G300)/$G300,0)),ROUNDUP('BVMS checklist'!$H$217/$J300,0))&gt;1,'BVMS checklist'!$N$224,'BVMS checklist'!$N$217)+MAX(IF($E$6="No",ROUNDUP($E$3/$I300,0),ROUNDUP(($E$3+$I300)/$I300,0)),IF($E$6="No",ROUNDUP($E$4/$G300,0),ROUNDUP(($E$4+$G300)/$G300,0)))+$E$5</f>
        <v>1</v>
      </c>
      <c r="CG300" s="400" t="b">
        <f t="shared" ca="1" si="821"/>
        <v>1</v>
      </c>
      <c r="CH300" s="400" t="str">
        <f t="shared" ca="1" si="877"/>
        <v>Accepted</v>
      </c>
      <c r="CI300" s="398" t="str">
        <f t="shared" ca="1" si="849"/>
        <v>No</v>
      </c>
      <c r="CJ300" s="398" t="str">
        <f t="shared" ca="1" si="878"/>
        <v/>
      </c>
      <c r="CK300" s="398" t="str">
        <f t="shared" ca="1" si="842"/>
        <v/>
      </c>
      <c r="CL300" s="398">
        <f t="shared" ca="1" si="843"/>
        <v>6</v>
      </c>
      <c r="CM300" s="398">
        <f t="shared" ca="1" si="879"/>
        <v>2</v>
      </c>
      <c r="CN300" s="398">
        <f t="shared" ca="1" si="880"/>
        <v>1152</v>
      </c>
      <c r="CO300" s="398">
        <f t="shared" ca="1" si="881"/>
        <v>983136</v>
      </c>
      <c r="CP300" s="399">
        <f t="shared" si="774"/>
        <v>0</v>
      </c>
      <c r="CQ300" s="399">
        <f t="shared" si="775"/>
        <v>0</v>
      </c>
      <c r="CR300" s="483" t="str">
        <f t="shared" ca="1" si="844"/>
        <v/>
      </c>
      <c r="CS300"/>
    </row>
    <row r="301" spans="1:97">
      <c r="A301" s="398" t="s">
        <v>1047</v>
      </c>
      <c r="B301" s="398" t="s">
        <v>987</v>
      </c>
      <c r="C301" s="440" t="s">
        <v>891</v>
      </c>
      <c r="D301" s="398">
        <v>2</v>
      </c>
      <c r="E301" s="398">
        <v>2</v>
      </c>
      <c r="F301" s="440">
        <v>0</v>
      </c>
      <c r="G301" s="398">
        <f t="shared" si="884"/>
        <v>901208</v>
      </c>
      <c r="H301" s="399">
        <v>1056</v>
      </c>
      <c r="I301" s="399">
        <v>2100</v>
      </c>
      <c r="J301" s="399">
        <v>1600</v>
      </c>
      <c r="K301" s="399"/>
      <c r="L301" s="399"/>
      <c r="M301" s="400">
        <f ca="1">IF(MAX(IF($B$6="No",ROUNDUP($B$3/$I301,0),ROUNDUP(($B$3+$I301)/$I301,0)),IF($B$6="No",ROUNDUP($B$4/$G301,0),ROUNDUP(($B$4+$G301)/$G301,0)),ROUNDUP('BVMS checklist'!$H$217/$J301,0))&gt;1,'BVMS checklist'!$H$224,'BVMS checklist'!$H$217)</f>
        <v>0</v>
      </c>
      <c r="N301" s="398">
        <f t="shared" ca="1" si="822"/>
        <v>2</v>
      </c>
      <c r="O301" s="400">
        <f t="shared" ca="1" si="851"/>
        <v>2</v>
      </c>
      <c r="P301" s="400">
        <f t="shared" ca="1" si="813"/>
        <v>4200</v>
      </c>
      <c r="Q301" s="400">
        <f t="shared" ca="1" si="814"/>
        <v>0</v>
      </c>
      <c r="R301" s="398">
        <f t="shared" ca="1" si="815"/>
        <v>1802416</v>
      </c>
      <c r="S301" s="401" t="str">
        <f t="shared" ca="1" si="823"/>
        <v/>
      </c>
      <c r="T301" s="398">
        <f t="shared" ca="1" si="824"/>
        <v>3200</v>
      </c>
      <c r="U301" s="400">
        <f ca="1">IF(MAX(IF($B$6="No",ROUNDUP($B$3/$I301,0),ROUNDUP(($B$3+$I301)/$I301,0)),IF($B$6="No",ROUNDUP($B$4/$G301,0),ROUNDUP(($B$4+$G301)/$G301,0)),ROUNDUP('BVMS checklist'!$H$217/$J301,0))&gt;1,'BVMS checklist'!$H$224,'BVMS checklist'!$H$217)+MAX(IF($B$6="No",ROUNDUP($B$3/$I301,0),ROUNDUP(($B$3+$I301)/$I301,0)),IF($B$6="No",ROUNDUP($B$4/$G301,0),ROUNDUP(($B$4+$G301)/$G301,0)))+$B$5</f>
        <v>1</v>
      </c>
      <c r="V301" s="400" t="b">
        <f t="shared" ca="1" si="816"/>
        <v>1</v>
      </c>
      <c r="W301" s="400" t="str">
        <f t="shared" ca="1" si="852"/>
        <v>Accepted</v>
      </c>
      <c r="X301" s="398" t="str">
        <f t="shared" ca="1" si="825"/>
        <v>No</v>
      </c>
      <c r="Y301" s="398" t="str">
        <f t="shared" ca="1" si="826"/>
        <v/>
      </c>
      <c r="Z301" s="398" t="str">
        <f t="shared" ca="1" si="827"/>
        <v/>
      </c>
      <c r="AA301" s="398">
        <f t="shared" ca="1" si="853"/>
        <v>6</v>
      </c>
      <c r="AB301" s="398">
        <f t="shared" ca="1" si="817"/>
        <v>2</v>
      </c>
      <c r="AC301" s="398">
        <f t="shared" ca="1" si="818"/>
        <v>2112</v>
      </c>
      <c r="AD301" s="398">
        <f t="shared" ca="1" si="854"/>
        <v>1802416</v>
      </c>
      <c r="AE301" s="399">
        <f t="shared" si="768"/>
        <v>0</v>
      </c>
      <c r="AF301" s="399">
        <f t="shared" si="769"/>
        <v>0</v>
      </c>
      <c r="AG301" s="483" t="str">
        <f t="shared" ca="1" si="828"/>
        <v/>
      </c>
      <c r="AH301" s="400">
        <f ca="1">IF(MAX(IF($C$6="No",ROUNDUP($C$3/$I301,0),ROUNDUP(($C$3+$I301)/$I301,0)),IF($C$6="No",ROUNDUP($C$4/$G301,0),ROUNDUP(($C$4+$G301)/$G301,0)),ROUNDUP('BVMS checklist'!$H$217/$J301,0))&gt;1,'BVMS checklist'!$J$224,'BVMS checklist'!$J$217)</f>
        <v>0</v>
      </c>
      <c r="AI301" s="398">
        <f t="shared" ca="1" si="829"/>
        <v>2</v>
      </c>
      <c r="AJ301" s="400">
        <f t="shared" ca="1" si="855"/>
        <v>2</v>
      </c>
      <c r="AK301" s="400">
        <f t="shared" ca="1" si="856"/>
        <v>4200</v>
      </c>
      <c r="AL301" s="400">
        <f t="shared" ca="1" si="857"/>
        <v>0</v>
      </c>
      <c r="AM301" s="398">
        <f t="shared" ca="1" si="858"/>
        <v>1802416</v>
      </c>
      <c r="AN301" s="401" t="str">
        <f t="shared" ca="1" si="830"/>
        <v/>
      </c>
      <c r="AO301" s="398">
        <f t="shared" ca="1" si="859"/>
        <v>3200</v>
      </c>
      <c r="AP301" s="400">
        <f ca="1">IF(MAX(IF($C$6="No",ROUNDUP($C$3/$I301,0),ROUNDUP(($C$3+$I301)/$I301,0)),IF($C$6="No",ROUNDUP($C$4/$G301,0),ROUNDUP(($C$4+$G301)/$G301,0)),ROUNDUP('BVMS checklist'!$H$217/$J301,0))&gt;1,'BVMS checklist'!$J$224,'BVMS checklist'!$J$217)+MAX(IF($C$6="No",ROUNDUP($C$3/$I301,0),ROUNDUP(($C$3+$I301)/$I301,0)),IF($C$6="No",ROUNDUP($C$4/$G301,0),ROUNDUP(($C$4+$G301)/$G301,0)))+$C$5</f>
        <v>1</v>
      </c>
      <c r="AQ301" s="400" t="b">
        <f t="shared" ca="1" si="819"/>
        <v>1</v>
      </c>
      <c r="AR301" s="400" t="str">
        <f t="shared" ca="1" si="860"/>
        <v>Accepted</v>
      </c>
      <c r="AS301" s="398" t="str">
        <f t="shared" ca="1" si="845"/>
        <v>No</v>
      </c>
      <c r="AT301" s="398" t="str">
        <f t="shared" ca="1" si="861"/>
        <v/>
      </c>
      <c r="AU301" s="398" t="str">
        <f t="shared" ca="1" si="831"/>
        <v/>
      </c>
      <c r="AV301" s="398">
        <f t="shared" ca="1" si="832"/>
        <v>6</v>
      </c>
      <c r="AW301" s="398">
        <f t="shared" ca="1" si="862"/>
        <v>2</v>
      </c>
      <c r="AX301" s="398">
        <f t="shared" ca="1" si="863"/>
        <v>2112</v>
      </c>
      <c r="AY301" s="398">
        <f t="shared" ca="1" si="864"/>
        <v>1802416</v>
      </c>
      <c r="AZ301" s="399">
        <f t="shared" si="770"/>
        <v>0</v>
      </c>
      <c r="BA301" s="399">
        <f t="shared" si="771"/>
        <v>0</v>
      </c>
      <c r="BB301" s="483" t="str">
        <f t="shared" ca="1" si="833"/>
        <v/>
      </c>
      <c r="BC301" s="400">
        <f ca="1">IF(MAX(IF($D$6="No",ROUNDUP($D$3/$I301,0),ROUNDUP(($D$3+$I301)/$I301,0)),IF($D$6="No",ROUNDUP($D$4/$G301,0),ROUNDUP(($D$4+$G301)/$G301,0)),ROUNDUP('BVMS checklist'!$H$217/$J301,0))&gt;1,'BVMS checklist'!$L$224,'BVMS checklist'!$L$217)</f>
        <v>0</v>
      </c>
      <c r="BD301" s="398">
        <f t="shared" ca="1" si="834"/>
        <v>2</v>
      </c>
      <c r="BE301" s="400">
        <f t="shared" si="835"/>
        <v>1</v>
      </c>
      <c r="BF301" s="400">
        <f t="shared" si="865"/>
        <v>2100</v>
      </c>
      <c r="BG301" s="400">
        <f t="shared" ca="1" si="846"/>
        <v>0</v>
      </c>
      <c r="BH301" s="398">
        <f t="shared" ca="1" si="866"/>
        <v>1802416</v>
      </c>
      <c r="BI301" s="401" t="str">
        <f t="shared" ca="1" si="836"/>
        <v/>
      </c>
      <c r="BJ301" s="398">
        <f t="shared" ca="1" si="867"/>
        <v>3200</v>
      </c>
      <c r="BK301" s="400">
        <f ca="1">IF(MAX(IF($D$6="No",ROUNDUP($D$3/$I301,0),ROUNDUP(($D$3+$I301)/$I301,0)),IF($D$6="No",ROUNDUP($D$4/$G301,0),ROUNDUP(($D$4+$G301)/$G301,0)),ROUNDUP('BVMS checklist'!$H$217/$J301,0))&gt;1,'BVMS checklist'!$L$224,'BVMS checklist'!$L$217)+MAX(IF($D$6="No",ROUNDUP($D$3/$I301,0),ROUNDUP(($D$3+$I301)/$I301,0)),IF($D$6="No",ROUNDUP($D$4/$G301,0),ROUNDUP(($D$4+$G301)/$G301,0)))+$D$5</f>
        <v>1</v>
      </c>
      <c r="BL301" s="400" t="b">
        <f t="shared" ca="1" si="820"/>
        <v>1</v>
      </c>
      <c r="BM301" s="400" t="str">
        <f t="shared" ca="1" si="868"/>
        <v>Accepted</v>
      </c>
      <c r="BN301" s="398" t="str">
        <f t="shared" ca="1" si="847"/>
        <v>No</v>
      </c>
      <c r="BO301" s="398" t="str">
        <f t="shared" ca="1" si="869"/>
        <v/>
      </c>
      <c r="BP301" s="398" t="str">
        <f t="shared" ca="1" si="837"/>
        <v/>
      </c>
      <c r="BQ301" s="398">
        <f t="shared" ca="1" si="838"/>
        <v>6</v>
      </c>
      <c r="BR301" s="398">
        <f t="shared" ca="1" si="870"/>
        <v>2</v>
      </c>
      <c r="BS301" s="398">
        <f t="shared" ca="1" si="871"/>
        <v>2112</v>
      </c>
      <c r="BT301" s="398">
        <f t="shared" ca="1" si="872"/>
        <v>1802416</v>
      </c>
      <c r="BU301" s="399">
        <f t="shared" si="772"/>
        <v>0</v>
      </c>
      <c r="BV301" s="399">
        <f t="shared" si="773"/>
        <v>0</v>
      </c>
      <c r="BW301" s="483" t="str">
        <f t="shared" ca="1" si="839"/>
        <v/>
      </c>
      <c r="BX301" s="400">
        <f ca="1">IF(MAX(IF($E$6="No",ROUNDUP($E$3/$I301,0),ROUNDUP(($E$3+$I301)/$I301,0)),IF($E$6="No",ROUNDUP($E$4/$G301,0),ROUNDUP(($E$4+$G301)/$G301,0)),ROUNDUP('BVMS checklist'!$H$217/$J301,0))&gt;1,'BVMS checklist'!$N$224,'BVMS checklist'!$N$217)</f>
        <v>0</v>
      </c>
      <c r="BY301" s="398">
        <f t="shared" ca="1" si="840"/>
        <v>2</v>
      </c>
      <c r="BZ301" s="400">
        <f t="shared" ca="1" si="873"/>
        <v>2</v>
      </c>
      <c r="CA301" s="400">
        <f t="shared" ca="1" si="874"/>
        <v>4200</v>
      </c>
      <c r="CB301" s="400">
        <f t="shared" ca="1" si="848"/>
        <v>0</v>
      </c>
      <c r="CC301" s="398">
        <f t="shared" ca="1" si="875"/>
        <v>1802416</v>
      </c>
      <c r="CD301" s="401" t="str">
        <f t="shared" ca="1" si="841"/>
        <v/>
      </c>
      <c r="CE301" s="398">
        <f t="shared" ca="1" si="876"/>
        <v>3200</v>
      </c>
      <c r="CF301" s="400">
        <f ca="1">IF(MAX(IF($E$6="No",ROUNDUP($E$3/$I301,0),ROUNDUP(($E$3+$I301)/$I301,0)),IF($E$6="No",ROUNDUP($E$4/$G301,0),ROUNDUP(($E$4+$G301)/$G301,0)),ROUNDUP('BVMS checklist'!$H$217/$J301,0))&gt;1,'BVMS checklist'!$N$224,'BVMS checklist'!$N$217)+MAX(IF($E$6="No",ROUNDUP($E$3/$I301,0),ROUNDUP(($E$3+$I301)/$I301,0)),IF($E$6="No",ROUNDUP($E$4/$G301,0),ROUNDUP(($E$4+$G301)/$G301,0)))+$E$5</f>
        <v>1</v>
      </c>
      <c r="CG301" s="400" t="b">
        <f t="shared" ca="1" si="821"/>
        <v>1</v>
      </c>
      <c r="CH301" s="400" t="str">
        <f t="shared" ca="1" si="877"/>
        <v>Accepted</v>
      </c>
      <c r="CI301" s="398" t="str">
        <f t="shared" ca="1" si="849"/>
        <v>No</v>
      </c>
      <c r="CJ301" s="398" t="str">
        <f t="shared" ca="1" si="878"/>
        <v/>
      </c>
      <c r="CK301" s="398" t="str">
        <f t="shared" ca="1" si="842"/>
        <v/>
      </c>
      <c r="CL301" s="398">
        <f t="shared" ca="1" si="843"/>
        <v>6</v>
      </c>
      <c r="CM301" s="398">
        <f t="shared" ca="1" si="879"/>
        <v>2</v>
      </c>
      <c r="CN301" s="398">
        <f t="shared" ca="1" si="880"/>
        <v>2112</v>
      </c>
      <c r="CO301" s="398">
        <f t="shared" ca="1" si="881"/>
        <v>1802416</v>
      </c>
      <c r="CP301" s="399">
        <f t="shared" si="774"/>
        <v>0</v>
      </c>
      <c r="CQ301" s="399">
        <f t="shared" si="775"/>
        <v>0</v>
      </c>
      <c r="CR301" s="483" t="str">
        <f t="shared" ca="1" si="844"/>
        <v/>
      </c>
      <c r="CS301"/>
    </row>
    <row r="302" spans="1:97">
      <c r="A302" s="398" t="s">
        <v>1048</v>
      </c>
      <c r="B302" s="398" t="s">
        <v>987</v>
      </c>
      <c r="C302" s="440" t="s">
        <v>891</v>
      </c>
      <c r="D302" s="398">
        <v>2</v>
      </c>
      <c r="E302" s="398">
        <v>3</v>
      </c>
      <c r="F302" s="440">
        <v>0</v>
      </c>
      <c r="G302" s="398">
        <f t="shared" si="884"/>
        <v>1310848</v>
      </c>
      <c r="H302" s="399">
        <v>1536</v>
      </c>
      <c r="I302" s="399">
        <v>2100</v>
      </c>
      <c r="J302" s="399">
        <v>1600</v>
      </c>
      <c r="K302" s="399"/>
      <c r="L302" s="399"/>
      <c r="M302" s="400">
        <f ca="1">IF(MAX(IF($B$6="No",ROUNDUP($B$3/$I302,0),ROUNDUP(($B$3+$I302)/$I302,0)),IF($B$6="No",ROUNDUP($B$4/$G302,0),ROUNDUP(($B$4+$G302)/$G302,0)),ROUNDUP('BVMS checklist'!$H$217/$J302,0))&gt;1,'BVMS checklist'!$H$224,'BVMS checklist'!$H$217)</f>
        <v>0</v>
      </c>
      <c r="N302" s="398">
        <f t="shared" ca="1" si="822"/>
        <v>2</v>
      </c>
      <c r="O302" s="400">
        <f t="shared" ca="1" si="851"/>
        <v>2</v>
      </c>
      <c r="P302" s="400">
        <f t="shared" ca="1" si="813"/>
        <v>4200</v>
      </c>
      <c r="Q302" s="400">
        <f t="shared" ca="1" si="814"/>
        <v>0</v>
      </c>
      <c r="R302" s="398">
        <f t="shared" ca="1" si="815"/>
        <v>2621696</v>
      </c>
      <c r="S302" s="401" t="str">
        <f t="shared" ca="1" si="823"/>
        <v/>
      </c>
      <c r="T302" s="398">
        <f t="shared" ca="1" si="824"/>
        <v>3200</v>
      </c>
      <c r="U302" s="400">
        <f ca="1">IF(MAX(IF($B$6="No",ROUNDUP($B$3/$I302,0),ROUNDUP(($B$3+$I302)/$I302,0)),IF($B$6="No",ROUNDUP($B$4/$G302,0),ROUNDUP(($B$4+$G302)/$G302,0)),ROUNDUP('BVMS checklist'!$H$217/$J302,0))&gt;1,'BVMS checklist'!$H$224,'BVMS checklist'!$H$217)+MAX(IF($B$6="No",ROUNDUP($B$3/$I302,0),ROUNDUP(($B$3+$I302)/$I302,0)),IF($B$6="No",ROUNDUP($B$4/$G302,0),ROUNDUP(($B$4+$G302)/$G302,0)))+$B$5</f>
        <v>1</v>
      </c>
      <c r="V302" s="400" t="b">
        <f t="shared" ca="1" si="816"/>
        <v>1</v>
      </c>
      <c r="W302" s="400" t="str">
        <f t="shared" ca="1" si="852"/>
        <v>Accepted</v>
      </c>
      <c r="X302" s="398" t="str">
        <f t="shared" ca="1" si="825"/>
        <v>No</v>
      </c>
      <c r="Y302" s="398" t="str">
        <f t="shared" ca="1" si="826"/>
        <v/>
      </c>
      <c r="Z302" s="398" t="str">
        <f t="shared" ca="1" si="827"/>
        <v/>
      </c>
      <c r="AA302" s="398">
        <f t="shared" ca="1" si="853"/>
        <v>6</v>
      </c>
      <c r="AB302" s="398">
        <f t="shared" ca="1" si="817"/>
        <v>2</v>
      </c>
      <c r="AC302" s="398">
        <f t="shared" ca="1" si="818"/>
        <v>3072</v>
      </c>
      <c r="AD302" s="398">
        <f t="shared" ca="1" si="854"/>
        <v>2621696</v>
      </c>
      <c r="AE302" s="399">
        <f t="shared" si="768"/>
        <v>0</v>
      </c>
      <c r="AF302" s="399">
        <f t="shared" si="769"/>
        <v>0</v>
      </c>
      <c r="AG302" s="483" t="str">
        <f t="shared" ca="1" si="828"/>
        <v/>
      </c>
      <c r="AH302" s="400">
        <f ca="1">IF(MAX(IF($C$6="No",ROUNDUP($C$3/$I302,0),ROUNDUP(($C$3+$I302)/$I302,0)),IF($C$6="No",ROUNDUP($C$4/$G302,0),ROUNDUP(($C$4+$G302)/$G302,0)),ROUNDUP('BVMS checklist'!$H$217/$J302,0))&gt;1,'BVMS checklist'!$J$224,'BVMS checklist'!$J$217)</f>
        <v>0</v>
      </c>
      <c r="AI302" s="398">
        <f t="shared" ca="1" si="829"/>
        <v>2</v>
      </c>
      <c r="AJ302" s="400">
        <f t="shared" ca="1" si="855"/>
        <v>2</v>
      </c>
      <c r="AK302" s="400">
        <f t="shared" ca="1" si="856"/>
        <v>4200</v>
      </c>
      <c r="AL302" s="400">
        <f t="shared" ca="1" si="857"/>
        <v>0</v>
      </c>
      <c r="AM302" s="398">
        <f t="shared" ca="1" si="858"/>
        <v>2621696</v>
      </c>
      <c r="AN302" s="401" t="str">
        <f t="shared" ca="1" si="830"/>
        <v/>
      </c>
      <c r="AO302" s="398">
        <f t="shared" ca="1" si="859"/>
        <v>3200</v>
      </c>
      <c r="AP302" s="400">
        <f ca="1">IF(MAX(IF($C$6="No",ROUNDUP($C$3/$I302,0),ROUNDUP(($C$3+$I302)/$I302,0)),IF($C$6="No",ROUNDUP($C$4/$G302,0),ROUNDUP(($C$4+$G302)/$G302,0)),ROUNDUP('BVMS checklist'!$H$217/$J302,0))&gt;1,'BVMS checklist'!$J$224,'BVMS checklist'!$J$217)+MAX(IF($C$6="No",ROUNDUP($C$3/$I302,0),ROUNDUP(($C$3+$I302)/$I302,0)),IF($C$6="No",ROUNDUP($C$4/$G302,0),ROUNDUP(($C$4+$G302)/$G302,0)))+$C$5</f>
        <v>1</v>
      </c>
      <c r="AQ302" s="400" t="b">
        <f t="shared" ca="1" si="819"/>
        <v>1</v>
      </c>
      <c r="AR302" s="400" t="str">
        <f t="shared" ca="1" si="860"/>
        <v>Accepted</v>
      </c>
      <c r="AS302" s="398" t="str">
        <f t="shared" ca="1" si="845"/>
        <v>No</v>
      </c>
      <c r="AT302" s="398" t="str">
        <f t="shared" ca="1" si="861"/>
        <v/>
      </c>
      <c r="AU302" s="398" t="str">
        <f t="shared" ca="1" si="831"/>
        <v/>
      </c>
      <c r="AV302" s="398">
        <f t="shared" ca="1" si="832"/>
        <v>6</v>
      </c>
      <c r="AW302" s="398">
        <f t="shared" ca="1" si="862"/>
        <v>2</v>
      </c>
      <c r="AX302" s="398">
        <f t="shared" ca="1" si="863"/>
        <v>3072</v>
      </c>
      <c r="AY302" s="398">
        <f t="shared" ca="1" si="864"/>
        <v>2621696</v>
      </c>
      <c r="AZ302" s="399">
        <f t="shared" si="770"/>
        <v>0</v>
      </c>
      <c r="BA302" s="399">
        <f t="shared" si="771"/>
        <v>0</v>
      </c>
      <c r="BB302" s="483" t="str">
        <f t="shared" ca="1" si="833"/>
        <v/>
      </c>
      <c r="BC302" s="400">
        <f ca="1">IF(MAX(IF($D$6="No",ROUNDUP($D$3/$I302,0),ROUNDUP(($D$3+$I302)/$I302,0)),IF($D$6="No",ROUNDUP($D$4/$G302,0),ROUNDUP(($D$4+$G302)/$G302,0)),ROUNDUP('BVMS checklist'!$H$217/$J302,0))&gt;1,'BVMS checklist'!$L$224,'BVMS checklist'!$L$217)</f>
        <v>0</v>
      </c>
      <c r="BD302" s="398">
        <f t="shared" ca="1" si="834"/>
        <v>2</v>
      </c>
      <c r="BE302" s="400">
        <f t="shared" si="835"/>
        <v>1</v>
      </c>
      <c r="BF302" s="400">
        <f t="shared" si="865"/>
        <v>2100</v>
      </c>
      <c r="BG302" s="400">
        <f t="shared" ca="1" si="846"/>
        <v>0</v>
      </c>
      <c r="BH302" s="398">
        <f t="shared" ca="1" si="866"/>
        <v>2621696</v>
      </c>
      <c r="BI302" s="401" t="str">
        <f t="shared" ca="1" si="836"/>
        <v/>
      </c>
      <c r="BJ302" s="398">
        <f t="shared" ca="1" si="867"/>
        <v>3200</v>
      </c>
      <c r="BK302" s="400">
        <f ca="1">IF(MAX(IF($D$6="No",ROUNDUP($D$3/$I302,0),ROUNDUP(($D$3+$I302)/$I302,0)),IF($D$6="No",ROUNDUP($D$4/$G302,0),ROUNDUP(($D$4+$G302)/$G302,0)),ROUNDUP('BVMS checklist'!$H$217/$J302,0))&gt;1,'BVMS checklist'!$L$224,'BVMS checklist'!$L$217)+MAX(IF($D$6="No",ROUNDUP($D$3/$I302,0),ROUNDUP(($D$3+$I302)/$I302,0)),IF($D$6="No",ROUNDUP($D$4/$G302,0),ROUNDUP(($D$4+$G302)/$G302,0)))+$D$5</f>
        <v>1</v>
      </c>
      <c r="BL302" s="400" t="b">
        <f t="shared" ca="1" si="820"/>
        <v>1</v>
      </c>
      <c r="BM302" s="400" t="str">
        <f t="shared" ca="1" si="868"/>
        <v>Accepted</v>
      </c>
      <c r="BN302" s="398" t="str">
        <f t="shared" ca="1" si="847"/>
        <v>No</v>
      </c>
      <c r="BO302" s="398" t="str">
        <f t="shared" ca="1" si="869"/>
        <v/>
      </c>
      <c r="BP302" s="398" t="str">
        <f t="shared" ca="1" si="837"/>
        <v/>
      </c>
      <c r="BQ302" s="398">
        <f t="shared" ca="1" si="838"/>
        <v>6</v>
      </c>
      <c r="BR302" s="398">
        <f t="shared" ca="1" si="870"/>
        <v>2</v>
      </c>
      <c r="BS302" s="398">
        <f t="shared" ca="1" si="871"/>
        <v>3072</v>
      </c>
      <c r="BT302" s="398">
        <f t="shared" ca="1" si="872"/>
        <v>2621696</v>
      </c>
      <c r="BU302" s="399">
        <f t="shared" si="772"/>
        <v>0</v>
      </c>
      <c r="BV302" s="399">
        <f t="shared" si="773"/>
        <v>0</v>
      </c>
      <c r="BW302" s="483" t="str">
        <f t="shared" ca="1" si="839"/>
        <v/>
      </c>
      <c r="BX302" s="400">
        <f ca="1">IF(MAX(IF($E$6="No",ROUNDUP($E$3/$I302,0),ROUNDUP(($E$3+$I302)/$I302,0)),IF($E$6="No",ROUNDUP($E$4/$G302,0),ROUNDUP(($E$4+$G302)/$G302,0)),ROUNDUP('BVMS checklist'!$H$217/$J302,0))&gt;1,'BVMS checklist'!$N$224,'BVMS checklist'!$N$217)</f>
        <v>0</v>
      </c>
      <c r="BY302" s="398">
        <f t="shared" ca="1" si="840"/>
        <v>2</v>
      </c>
      <c r="BZ302" s="400">
        <f t="shared" ca="1" si="873"/>
        <v>2</v>
      </c>
      <c r="CA302" s="400">
        <f t="shared" ca="1" si="874"/>
        <v>4200</v>
      </c>
      <c r="CB302" s="400">
        <f t="shared" ca="1" si="848"/>
        <v>0</v>
      </c>
      <c r="CC302" s="398">
        <f t="shared" ca="1" si="875"/>
        <v>2621696</v>
      </c>
      <c r="CD302" s="401" t="str">
        <f t="shared" ca="1" si="841"/>
        <v/>
      </c>
      <c r="CE302" s="398">
        <f t="shared" ca="1" si="876"/>
        <v>3200</v>
      </c>
      <c r="CF302" s="400">
        <f ca="1">IF(MAX(IF($E$6="No",ROUNDUP($E$3/$I302,0),ROUNDUP(($E$3+$I302)/$I302,0)),IF($E$6="No",ROUNDUP($E$4/$G302,0),ROUNDUP(($E$4+$G302)/$G302,0)),ROUNDUP('BVMS checklist'!$H$217/$J302,0))&gt;1,'BVMS checklist'!$N$224,'BVMS checklist'!$N$217)+MAX(IF($E$6="No",ROUNDUP($E$3/$I302,0),ROUNDUP(($E$3+$I302)/$I302,0)),IF($E$6="No",ROUNDUP($E$4/$G302,0),ROUNDUP(($E$4+$G302)/$G302,0)))+$E$5</f>
        <v>1</v>
      </c>
      <c r="CG302" s="400" t="b">
        <f t="shared" ca="1" si="821"/>
        <v>1</v>
      </c>
      <c r="CH302" s="400" t="str">
        <f t="shared" ca="1" si="877"/>
        <v>Accepted</v>
      </c>
      <c r="CI302" s="398" t="str">
        <f t="shared" ca="1" si="849"/>
        <v>No</v>
      </c>
      <c r="CJ302" s="398" t="str">
        <f t="shared" ca="1" si="878"/>
        <v/>
      </c>
      <c r="CK302" s="398" t="str">
        <f t="shared" ca="1" si="842"/>
        <v/>
      </c>
      <c r="CL302" s="398">
        <f t="shared" ca="1" si="843"/>
        <v>6</v>
      </c>
      <c r="CM302" s="398">
        <f t="shared" ca="1" si="879"/>
        <v>2</v>
      </c>
      <c r="CN302" s="398">
        <f t="shared" ca="1" si="880"/>
        <v>3072</v>
      </c>
      <c r="CO302" s="398">
        <f t="shared" ca="1" si="881"/>
        <v>2621696</v>
      </c>
      <c r="CP302" s="399">
        <f t="shared" si="774"/>
        <v>0</v>
      </c>
      <c r="CQ302" s="399">
        <f t="shared" si="775"/>
        <v>0</v>
      </c>
      <c r="CR302" s="483" t="str">
        <f t="shared" ca="1" si="844"/>
        <v/>
      </c>
      <c r="CS302"/>
    </row>
    <row r="303" spans="1:97">
      <c r="A303" s="398" t="s">
        <v>197</v>
      </c>
      <c r="B303" s="398" t="s">
        <v>988</v>
      </c>
      <c r="C303" s="440" t="s">
        <v>891</v>
      </c>
      <c r="D303" s="398">
        <v>1</v>
      </c>
      <c r="E303" s="398">
        <v>0</v>
      </c>
      <c r="F303" s="440">
        <v>0</v>
      </c>
      <c r="G303" s="398">
        <f>IF(C303="RAID5",(11-F303)*3724,IF(C303="RAID6",(10-F303)*3724,IF(C303="DDP",(12*3724*0.7),"Error")))+IF(C303="RAID5",(11-F303)*3724,IF(C303="RAID6",(10-F303)*3724,IF(C303="DDP",(12*3724*0.7),"Error")))*E303</f>
        <v>40964</v>
      </c>
      <c r="H303" s="399">
        <v>48</v>
      </c>
      <c r="I303" s="399">
        <v>1250</v>
      </c>
      <c r="J303" s="399">
        <v>800</v>
      </c>
      <c r="K303" s="399">
        <v>451</v>
      </c>
      <c r="L303" s="399">
        <v>4</v>
      </c>
      <c r="M303" s="400">
        <f ca="1">IF(MAX(IF($B$6="No",ROUNDUP($B$3/$I303,0),ROUNDUP(($B$3+$I303)/$I303,0)),IF($B$6="No",ROUNDUP($B$4/$G303,0),ROUNDUP(($B$4+$G303)/$G303,0)),ROUNDUP('BVMS checklist'!$H$217/$J303,0))&gt;1,'BVMS checklist'!$H$224,'BVMS checklist'!$H$217)</f>
        <v>0</v>
      </c>
      <c r="N303" s="398">
        <f t="shared" ca="1" si="822"/>
        <v>2</v>
      </c>
      <c r="O303" s="400">
        <f t="shared" ca="1" si="851"/>
        <v>2</v>
      </c>
      <c r="P303" s="400">
        <f t="shared" ca="1" si="813"/>
        <v>2500</v>
      </c>
      <c r="Q303" s="400">
        <f t="shared" ca="1" si="814"/>
        <v>0</v>
      </c>
      <c r="R303" s="398">
        <f t="shared" ca="1" si="815"/>
        <v>81928</v>
      </c>
      <c r="S303" s="401" t="e">
        <f t="shared" ca="1" si="823"/>
        <v>#DIV/0!</v>
      </c>
      <c r="T303" s="398">
        <f t="shared" ca="1" si="824"/>
        <v>1600</v>
      </c>
      <c r="U303" s="400">
        <f ca="1">IF(MAX(IF($B$6="No",ROUNDUP($B$3/$I303,0),ROUNDUP(($B$3+$I303)/$I303,0)),IF($B$6="No",ROUNDUP($B$4/$G303,0),ROUNDUP(($B$4+$G303)/$G303,0)),ROUNDUP('BVMS checklist'!$H$217/$J303,0))&gt;1,'BVMS checklist'!$H$224,'BVMS checklist'!$H$217)+MAX(IF($B$6="No",ROUNDUP($B$3/$I303,0),ROUNDUP(($B$3+$I303)/$I303,0)),IF($B$6="No",ROUNDUP($B$4/$G303,0),ROUNDUP(($B$4+$G303)/$G303,0)))+$B$5</f>
        <v>1</v>
      </c>
      <c r="V303" s="400" t="b">
        <f t="shared" ca="1" si="816"/>
        <v>1</v>
      </c>
      <c r="W303" s="400" t="str">
        <f ca="1">IF(OR(AND($B$6="Yes",V303=TRUE),$B$6="No"),"Accepted","Not accepted")</f>
        <v>Accepted</v>
      </c>
      <c r="X303" s="398" t="str">
        <f t="shared" ca="1" si="825"/>
        <v>Yes</v>
      </c>
      <c r="Y303" s="398">
        <f t="shared" ca="1" si="826"/>
        <v>7</v>
      </c>
      <c r="Z303" s="398" t="str">
        <f t="shared" ca="1" si="827"/>
        <v>E-Series Base Unit, 12 x 4 TB RAID5</v>
      </c>
      <c r="AA303" s="398">
        <f t="shared" ca="1" si="853"/>
        <v>7</v>
      </c>
      <c r="AB303" s="398">
        <f t="shared" ca="1" si="817"/>
        <v>2</v>
      </c>
      <c r="AC303" s="398">
        <f t="shared" ca="1" si="818"/>
        <v>96</v>
      </c>
      <c r="AD303" s="398">
        <f t="shared" ca="1" si="854"/>
        <v>81928</v>
      </c>
      <c r="AE303" s="399">
        <f t="shared" si="768"/>
        <v>451</v>
      </c>
      <c r="AF303" s="399">
        <f t="shared" si="769"/>
        <v>4</v>
      </c>
      <c r="AG303" s="483" t="e">
        <f t="shared" ca="1" si="828"/>
        <v>#DIV/0!</v>
      </c>
      <c r="AH303" s="400">
        <f ca="1">IF(MAX(IF($C$6="No",ROUNDUP($C$3/$I303,0),ROUNDUP(($C$3+$I303)/$I303,0)),IF($C$6="No",ROUNDUP($C$4/$G303,0),ROUNDUP(($C$4+$G303)/$G303,0)),ROUNDUP('BVMS checklist'!$H$217/$J303,0))&gt;1,'BVMS checklist'!$J$224,'BVMS checklist'!$J$217)</f>
        <v>0</v>
      </c>
      <c r="AI303" s="398">
        <f t="shared" ca="1" si="829"/>
        <v>2</v>
      </c>
      <c r="AJ303" s="400">
        <f t="shared" ca="1" si="855"/>
        <v>2</v>
      </c>
      <c r="AK303" s="400">
        <f t="shared" ca="1" si="856"/>
        <v>2500</v>
      </c>
      <c r="AL303" s="400">
        <f t="shared" ca="1" si="857"/>
        <v>0</v>
      </c>
      <c r="AM303" s="398">
        <f t="shared" ca="1" si="858"/>
        <v>81928</v>
      </c>
      <c r="AN303" s="401" t="e">
        <f t="shared" ca="1" si="830"/>
        <v>#DIV/0!</v>
      </c>
      <c r="AO303" s="398">
        <f t="shared" ca="1" si="859"/>
        <v>1600</v>
      </c>
      <c r="AP303" s="400">
        <f ca="1">IF(MAX(IF($C$6="No",ROUNDUP($C$3/$I303,0),ROUNDUP(($C$3+$I303)/$I303,0)),IF($C$6="No",ROUNDUP($C$4/$G303,0),ROUNDUP(($C$4+$G303)/$G303,0)),ROUNDUP('BVMS checklist'!$H$217/$J303,0))&gt;1,'BVMS checklist'!$J$224,'BVMS checklist'!$J$217)+MAX(IF($C$6="No",ROUNDUP($C$3/$I303,0),ROUNDUP(($C$3+$I303)/$I303,0)),IF($C$6="No",ROUNDUP($C$4/$G303,0),ROUNDUP(($C$4+$G303)/$G303,0)))+$C$5</f>
        <v>1</v>
      </c>
      <c r="AQ303" s="400" t="b">
        <f t="shared" ca="1" si="819"/>
        <v>1</v>
      </c>
      <c r="AR303" s="400" t="str">
        <f t="shared" ca="1" si="860"/>
        <v>Accepted</v>
      </c>
      <c r="AS303" s="398" t="str">
        <f t="shared" ca="1" si="845"/>
        <v>Yes</v>
      </c>
      <c r="AT303" s="398">
        <f t="shared" ca="1" si="861"/>
        <v>7</v>
      </c>
      <c r="AU303" s="398" t="str">
        <f t="shared" ca="1" si="831"/>
        <v>E-Series Base Unit, 12 x 4 TB RAID5</v>
      </c>
      <c r="AV303" s="398">
        <f t="shared" ca="1" si="832"/>
        <v>7</v>
      </c>
      <c r="AW303" s="398">
        <f t="shared" ca="1" si="862"/>
        <v>2</v>
      </c>
      <c r="AX303" s="398">
        <f t="shared" ca="1" si="863"/>
        <v>96</v>
      </c>
      <c r="AY303" s="398">
        <f t="shared" ca="1" si="864"/>
        <v>81928</v>
      </c>
      <c r="AZ303" s="399">
        <f t="shared" si="770"/>
        <v>451</v>
      </c>
      <c r="BA303" s="399">
        <f t="shared" si="771"/>
        <v>4</v>
      </c>
      <c r="BB303" s="483" t="e">
        <f t="shared" ca="1" si="833"/>
        <v>#DIV/0!</v>
      </c>
      <c r="BC303" s="400">
        <f ca="1">IF(MAX(IF($D$6="No",ROUNDUP($D$3/$I303,0),ROUNDUP(($D$3+$I303)/$I303,0)),IF($D$6="No",ROUNDUP($D$4/$G303,0),ROUNDUP(($D$4+$G303)/$G303,0)),ROUNDUP('BVMS checklist'!$H$217/$J303,0))&gt;1,'BVMS checklist'!$L$224,'BVMS checklist'!$L$217)</f>
        <v>0</v>
      </c>
      <c r="BD303" s="398">
        <f t="shared" ca="1" si="834"/>
        <v>2</v>
      </c>
      <c r="BE303" s="400">
        <f t="shared" si="835"/>
        <v>1</v>
      </c>
      <c r="BF303" s="400">
        <f t="shared" si="865"/>
        <v>1250</v>
      </c>
      <c r="BG303" s="400">
        <f t="shared" ca="1" si="846"/>
        <v>0</v>
      </c>
      <c r="BH303" s="398">
        <f t="shared" ca="1" si="866"/>
        <v>81928</v>
      </c>
      <c r="BI303" s="401" t="e">
        <f t="shared" ca="1" si="836"/>
        <v>#DIV/0!</v>
      </c>
      <c r="BJ303" s="398">
        <f t="shared" ca="1" si="867"/>
        <v>1600</v>
      </c>
      <c r="BK303" s="400">
        <f ca="1">IF(MAX(IF($D$6="No",ROUNDUP($D$3/$I303,0),ROUNDUP(($D$3+$I303)/$I303,0)),IF($D$6="No",ROUNDUP($D$4/$G303,0),ROUNDUP(($D$4+$G303)/$G303,0)),ROUNDUP('BVMS checklist'!$H$217/$J303,0))&gt;1,'BVMS checklist'!$L$224,'BVMS checklist'!$L$217)+MAX(IF($D$6="No",ROUNDUP($D$3/$I303,0),ROUNDUP(($D$3+$I303)/$I303,0)),IF($D$6="No",ROUNDUP($D$4/$G303,0),ROUNDUP(($D$4+$G303)/$G303,0)))+$D$5</f>
        <v>1</v>
      </c>
      <c r="BL303" s="400" t="b">
        <f t="shared" ca="1" si="820"/>
        <v>1</v>
      </c>
      <c r="BM303" s="400" t="str">
        <f t="shared" ca="1" si="868"/>
        <v>Accepted</v>
      </c>
      <c r="BN303" s="398" t="str">
        <f t="shared" ca="1" si="847"/>
        <v>Yes</v>
      </c>
      <c r="BO303" s="398">
        <f t="shared" ca="1" si="869"/>
        <v>7</v>
      </c>
      <c r="BP303" s="398" t="str">
        <f t="shared" ca="1" si="837"/>
        <v>E-Series Base Unit, 12 x 4 TB RAID5</v>
      </c>
      <c r="BQ303" s="398">
        <f t="shared" ca="1" si="838"/>
        <v>7</v>
      </c>
      <c r="BR303" s="398">
        <f t="shared" ca="1" si="870"/>
        <v>2</v>
      </c>
      <c r="BS303" s="398">
        <f t="shared" ca="1" si="871"/>
        <v>96</v>
      </c>
      <c r="BT303" s="398">
        <f t="shared" ca="1" si="872"/>
        <v>81928</v>
      </c>
      <c r="BU303" s="399">
        <f t="shared" si="772"/>
        <v>451</v>
      </c>
      <c r="BV303" s="399">
        <f t="shared" si="773"/>
        <v>4</v>
      </c>
      <c r="BW303" s="483" t="e">
        <f t="shared" ca="1" si="839"/>
        <v>#DIV/0!</v>
      </c>
      <c r="BX303" s="400">
        <f ca="1">IF(MAX(IF($E$6="No",ROUNDUP($E$3/$I303,0),ROUNDUP(($E$3+$I303)/$I303,0)),IF($E$6="No",ROUNDUP($E$4/$G303,0),ROUNDUP(($E$4+$G303)/$G303,0)),ROUNDUP('BVMS checklist'!$H$217/$J303,0))&gt;1,'BVMS checklist'!$N$224,'BVMS checklist'!$N$217)</f>
        <v>0</v>
      </c>
      <c r="BY303" s="398">
        <f t="shared" ca="1" si="840"/>
        <v>2</v>
      </c>
      <c r="BZ303" s="400">
        <f t="shared" ca="1" si="873"/>
        <v>2</v>
      </c>
      <c r="CA303" s="400">
        <f t="shared" ca="1" si="874"/>
        <v>2500</v>
      </c>
      <c r="CB303" s="400">
        <f t="shared" ca="1" si="848"/>
        <v>0</v>
      </c>
      <c r="CC303" s="398">
        <f t="shared" ca="1" si="875"/>
        <v>81928</v>
      </c>
      <c r="CD303" s="401" t="e">
        <f t="shared" ca="1" si="841"/>
        <v>#DIV/0!</v>
      </c>
      <c r="CE303" s="398">
        <f t="shared" ca="1" si="876"/>
        <v>1600</v>
      </c>
      <c r="CF303" s="400">
        <f ca="1">IF(MAX(IF($E$6="No",ROUNDUP($E$3/$I303,0),ROUNDUP(($E$3+$I303)/$I303,0)),IF($E$6="No",ROUNDUP($E$4/$G303,0),ROUNDUP(($E$4+$G303)/$G303,0)),ROUNDUP('BVMS checklist'!$H$217/$J303,0))&gt;1,'BVMS checklist'!$N$224,'BVMS checklist'!$N$217)+MAX(IF($E$6="No",ROUNDUP($E$3/$I303,0),ROUNDUP(($E$3+$I303)/$I303,0)),IF($E$6="No",ROUNDUP($E$4/$G303,0),ROUNDUP(($E$4+$G303)/$G303,0)))+$E$5</f>
        <v>1</v>
      </c>
      <c r="CG303" s="400" t="b">
        <f t="shared" ca="1" si="821"/>
        <v>1</v>
      </c>
      <c r="CH303" s="400" t="str">
        <f t="shared" ca="1" si="877"/>
        <v>Accepted</v>
      </c>
      <c r="CI303" s="398" t="str">
        <f t="shared" ca="1" si="849"/>
        <v>Yes</v>
      </c>
      <c r="CJ303" s="398">
        <f t="shared" ca="1" si="878"/>
        <v>7</v>
      </c>
      <c r="CK303" s="398" t="str">
        <f t="shared" ca="1" si="842"/>
        <v>E-Series Base Unit, 12 x 4 TB RAID5</v>
      </c>
      <c r="CL303" s="398">
        <f t="shared" ca="1" si="843"/>
        <v>7</v>
      </c>
      <c r="CM303" s="398">
        <f t="shared" ca="1" si="879"/>
        <v>2</v>
      </c>
      <c r="CN303" s="398">
        <f t="shared" ca="1" si="880"/>
        <v>96</v>
      </c>
      <c r="CO303" s="398">
        <f t="shared" ca="1" si="881"/>
        <v>81928</v>
      </c>
      <c r="CP303" s="399">
        <f t="shared" si="774"/>
        <v>451</v>
      </c>
      <c r="CQ303" s="399">
        <f t="shared" si="775"/>
        <v>4</v>
      </c>
      <c r="CR303" s="483" t="e">
        <f t="shared" ca="1" si="844"/>
        <v>#DIV/0!</v>
      </c>
      <c r="CS303"/>
    </row>
    <row r="304" spans="1:97">
      <c r="A304" s="398" t="s">
        <v>198</v>
      </c>
      <c r="B304" s="398" t="s">
        <v>988</v>
      </c>
      <c r="C304" s="440" t="s">
        <v>891</v>
      </c>
      <c r="D304" s="398">
        <v>1</v>
      </c>
      <c r="E304" s="398">
        <v>1</v>
      </c>
      <c r="F304" s="440">
        <v>0</v>
      </c>
      <c r="G304" s="398">
        <f t="shared" ref="G304:G310" si="885">IF(C304="RAID5",(11-F304)*3724,IF(C304="RAID6",(10-F304)*3724,IF(C304="DDP",(12*3724*0.7),"Error")))+IF(C304="RAID5",(11-F304)*3724,IF(C304="RAID6",(10-F304)*3724,IF(C304="DDP",(12*3724*0.7),"Error")))*E304</f>
        <v>81928</v>
      </c>
      <c r="H304" s="399">
        <v>96</v>
      </c>
      <c r="I304" s="399">
        <v>1250</v>
      </c>
      <c r="J304" s="399">
        <v>800</v>
      </c>
      <c r="K304" s="399">
        <v>699</v>
      </c>
      <c r="L304" s="399">
        <v>4</v>
      </c>
      <c r="M304" s="400">
        <f ca="1">IF(MAX(IF($B$6="No",ROUNDUP($B$3/$I304,0),ROUNDUP(($B$3+$I304)/$I304,0)),IF($B$6="No",ROUNDUP($B$4/$G304,0),ROUNDUP(($B$4+$G304)/$G304,0)),ROUNDUP('BVMS checklist'!$H$217/$J304,0))&gt;1,'BVMS checklist'!$H$224,'BVMS checklist'!$H$217)</f>
        <v>0</v>
      </c>
      <c r="N304" s="398">
        <f t="shared" ca="1" si="822"/>
        <v>2</v>
      </c>
      <c r="O304" s="400">
        <f t="shared" ca="1" si="851"/>
        <v>2</v>
      </c>
      <c r="P304" s="400">
        <f t="shared" ca="1" si="813"/>
        <v>2500</v>
      </c>
      <c r="Q304" s="400">
        <f t="shared" ca="1" si="814"/>
        <v>0</v>
      </c>
      <c r="R304" s="398">
        <f t="shared" ca="1" si="815"/>
        <v>163856</v>
      </c>
      <c r="S304" s="401" t="e">
        <f t="shared" ca="1" si="823"/>
        <v>#DIV/0!</v>
      </c>
      <c r="T304" s="398">
        <f t="shared" ca="1" si="824"/>
        <v>1600</v>
      </c>
      <c r="U304" s="400">
        <f ca="1">IF(MAX(IF($B$6="No",ROUNDUP($B$3/$I304,0),ROUNDUP(($B$3+$I304)/$I304,0)),IF($B$6="No",ROUNDUP($B$4/$G304,0),ROUNDUP(($B$4+$G304)/$G304,0)),ROUNDUP('BVMS checklist'!$H$217/$J304,0))&gt;1,'BVMS checklist'!$H$224,'BVMS checklist'!$H$217)+MAX(IF($B$6="No",ROUNDUP($B$3/$I304,0),ROUNDUP(($B$3+$I304)/$I304,0)),IF($B$6="No",ROUNDUP($B$4/$G304,0),ROUNDUP(($B$4+$G304)/$G304,0)))+$B$5</f>
        <v>1</v>
      </c>
      <c r="V304" s="400" t="b">
        <f t="shared" ca="1" si="816"/>
        <v>1</v>
      </c>
      <c r="W304" s="400" t="str">
        <f t="shared" ca="1" si="852"/>
        <v>Accepted</v>
      </c>
      <c r="X304" s="398" t="str">
        <f t="shared" ca="1" si="825"/>
        <v>Yes</v>
      </c>
      <c r="Y304" s="398">
        <f t="shared" ca="1" si="826"/>
        <v>8</v>
      </c>
      <c r="Z304" s="398" t="str">
        <f t="shared" ca="1" si="827"/>
        <v>E-Series Base + 1x Expansion Unit, 24x4TB RAID5</v>
      </c>
      <c r="AA304" s="398">
        <f t="shared" ca="1" si="853"/>
        <v>8</v>
      </c>
      <c r="AB304" s="398">
        <f t="shared" ca="1" si="817"/>
        <v>2</v>
      </c>
      <c r="AC304" s="398">
        <f t="shared" ca="1" si="818"/>
        <v>192</v>
      </c>
      <c r="AD304" s="398">
        <f t="shared" ca="1" si="854"/>
        <v>163856</v>
      </c>
      <c r="AE304" s="399">
        <f t="shared" si="768"/>
        <v>699</v>
      </c>
      <c r="AF304" s="399">
        <f t="shared" si="769"/>
        <v>4</v>
      </c>
      <c r="AG304" s="483" t="e">
        <f t="shared" ca="1" si="828"/>
        <v>#DIV/0!</v>
      </c>
      <c r="AH304" s="400">
        <f ca="1">IF(MAX(IF($C$6="No",ROUNDUP($C$3/$I304,0),ROUNDUP(($C$3+$I304)/$I304,0)),IF($C$6="No",ROUNDUP($C$4/$G304,0),ROUNDUP(($C$4+$G304)/$G304,0)),ROUNDUP('BVMS checklist'!$H$217/$J304,0))&gt;1,'BVMS checklist'!$J$224,'BVMS checklist'!$J$217)</f>
        <v>0</v>
      </c>
      <c r="AI304" s="398">
        <f t="shared" ca="1" si="829"/>
        <v>2</v>
      </c>
      <c r="AJ304" s="400">
        <f t="shared" ca="1" si="855"/>
        <v>2</v>
      </c>
      <c r="AK304" s="400">
        <f t="shared" ca="1" si="856"/>
        <v>2500</v>
      </c>
      <c r="AL304" s="400">
        <f t="shared" ca="1" si="857"/>
        <v>0</v>
      </c>
      <c r="AM304" s="398">
        <f t="shared" ca="1" si="858"/>
        <v>163856</v>
      </c>
      <c r="AN304" s="401" t="e">
        <f t="shared" ca="1" si="830"/>
        <v>#DIV/0!</v>
      </c>
      <c r="AO304" s="398">
        <f t="shared" ca="1" si="859"/>
        <v>1600</v>
      </c>
      <c r="AP304" s="400">
        <f ca="1">IF(MAX(IF($C$6="No",ROUNDUP($C$3/$I304,0),ROUNDUP(($C$3+$I304)/$I304,0)),IF($C$6="No",ROUNDUP($C$4/$G304,0),ROUNDUP(($C$4+$G304)/$G304,0)),ROUNDUP('BVMS checklist'!$H$217/$J304,0))&gt;1,'BVMS checklist'!$J$224,'BVMS checklist'!$J$217)+MAX(IF($C$6="No",ROUNDUP($C$3/$I304,0),ROUNDUP(($C$3+$I304)/$I304,0)),IF($C$6="No",ROUNDUP($C$4/$G304,0),ROUNDUP(($C$4+$G304)/$G304,0)))+$C$5</f>
        <v>1</v>
      </c>
      <c r="AQ304" s="400" t="b">
        <f t="shared" ca="1" si="819"/>
        <v>1</v>
      </c>
      <c r="AR304" s="400" t="str">
        <f t="shared" ca="1" si="860"/>
        <v>Accepted</v>
      </c>
      <c r="AS304" s="398" t="str">
        <f t="shared" ca="1" si="845"/>
        <v>Yes</v>
      </c>
      <c r="AT304" s="398">
        <f t="shared" ca="1" si="861"/>
        <v>8</v>
      </c>
      <c r="AU304" s="398" t="str">
        <f t="shared" ca="1" si="831"/>
        <v>E-Series Base + 1x Expansion Unit, 24x4TB RAID5</v>
      </c>
      <c r="AV304" s="398">
        <f t="shared" ca="1" si="832"/>
        <v>8</v>
      </c>
      <c r="AW304" s="398">
        <f t="shared" ca="1" si="862"/>
        <v>2</v>
      </c>
      <c r="AX304" s="398">
        <f t="shared" ca="1" si="863"/>
        <v>192</v>
      </c>
      <c r="AY304" s="398">
        <f t="shared" ca="1" si="864"/>
        <v>163856</v>
      </c>
      <c r="AZ304" s="399">
        <f t="shared" si="770"/>
        <v>699</v>
      </c>
      <c r="BA304" s="399">
        <f t="shared" si="771"/>
        <v>4</v>
      </c>
      <c r="BB304" s="483" t="e">
        <f t="shared" ca="1" si="833"/>
        <v>#DIV/0!</v>
      </c>
      <c r="BC304" s="400">
        <f ca="1">IF(MAX(IF($D$6="No",ROUNDUP($D$3/$I304,0),ROUNDUP(($D$3+$I304)/$I304,0)),IF($D$6="No",ROUNDUP($D$4/$G304,0),ROUNDUP(($D$4+$G304)/$G304,0)),ROUNDUP('BVMS checklist'!$H$217/$J304,0))&gt;1,'BVMS checklist'!$L$224,'BVMS checklist'!$L$217)</f>
        <v>0</v>
      </c>
      <c r="BD304" s="398">
        <f t="shared" ca="1" si="834"/>
        <v>2</v>
      </c>
      <c r="BE304" s="400">
        <f t="shared" si="835"/>
        <v>1</v>
      </c>
      <c r="BF304" s="400">
        <f t="shared" si="865"/>
        <v>1250</v>
      </c>
      <c r="BG304" s="400">
        <f t="shared" ca="1" si="846"/>
        <v>0</v>
      </c>
      <c r="BH304" s="398">
        <f t="shared" ca="1" si="866"/>
        <v>163856</v>
      </c>
      <c r="BI304" s="401" t="e">
        <f t="shared" ca="1" si="836"/>
        <v>#DIV/0!</v>
      </c>
      <c r="BJ304" s="398">
        <f t="shared" ca="1" si="867"/>
        <v>1600</v>
      </c>
      <c r="BK304" s="400">
        <f ca="1">IF(MAX(IF($D$6="No",ROUNDUP($D$3/$I304,0),ROUNDUP(($D$3+$I304)/$I304,0)),IF($D$6="No",ROUNDUP($D$4/$G304,0),ROUNDUP(($D$4+$G304)/$G304,0)),ROUNDUP('BVMS checklist'!$H$217/$J304,0))&gt;1,'BVMS checklist'!$L$224,'BVMS checklist'!$L$217)+MAX(IF($D$6="No",ROUNDUP($D$3/$I304,0),ROUNDUP(($D$3+$I304)/$I304,0)),IF($D$6="No",ROUNDUP($D$4/$G304,0),ROUNDUP(($D$4+$G304)/$G304,0)))+$D$5</f>
        <v>1</v>
      </c>
      <c r="BL304" s="400" t="b">
        <f t="shared" ca="1" si="820"/>
        <v>1</v>
      </c>
      <c r="BM304" s="400" t="str">
        <f t="shared" ca="1" si="868"/>
        <v>Accepted</v>
      </c>
      <c r="BN304" s="398" t="str">
        <f t="shared" ca="1" si="847"/>
        <v>Yes</v>
      </c>
      <c r="BO304" s="398">
        <f t="shared" ca="1" si="869"/>
        <v>8</v>
      </c>
      <c r="BP304" s="398" t="str">
        <f t="shared" ca="1" si="837"/>
        <v>E-Series Base + 1x Expansion Unit, 24x4TB RAID5</v>
      </c>
      <c r="BQ304" s="398">
        <f t="shared" ca="1" si="838"/>
        <v>8</v>
      </c>
      <c r="BR304" s="398">
        <f t="shared" ca="1" si="870"/>
        <v>2</v>
      </c>
      <c r="BS304" s="398">
        <f t="shared" ca="1" si="871"/>
        <v>192</v>
      </c>
      <c r="BT304" s="398">
        <f t="shared" ca="1" si="872"/>
        <v>163856</v>
      </c>
      <c r="BU304" s="399">
        <f t="shared" si="772"/>
        <v>699</v>
      </c>
      <c r="BV304" s="399">
        <f t="shared" si="773"/>
        <v>4</v>
      </c>
      <c r="BW304" s="483" t="e">
        <f t="shared" ca="1" si="839"/>
        <v>#DIV/0!</v>
      </c>
      <c r="BX304" s="400">
        <f ca="1">IF(MAX(IF($E$6="No",ROUNDUP($E$3/$I304,0),ROUNDUP(($E$3+$I304)/$I304,0)),IF($E$6="No",ROUNDUP($E$4/$G304,0),ROUNDUP(($E$4+$G304)/$G304,0)),ROUNDUP('BVMS checklist'!$H$217/$J304,0))&gt;1,'BVMS checklist'!$N$224,'BVMS checklist'!$N$217)</f>
        <v>0</v>
      </c>
      <c r="BY304" s="398">
        <f t="shared" ca="1" si="840"/>
        <v>2</v>
      </c>
      <c r="BZ304" s="400">
        <f t="shared" ca="1" si="873"/>
        <v>2</v>
      </c>
      <c r="CA304" s="400">
        <f t="shared" ca="1" si="874"/>
        <v>2500</v>
      </c>
      <c r="CB304" s="400">
        <f t="shared" ca="1" si="848"/>
        <v>0</v>
      </c>
      <c r="CC304" s="398">
        <f t="shared" ca="1" si="875"/>
        <v>163856</v>
      </c>
      <c r="CD304" s="401" t="e">
        <f t="shared" ca="1" si="841"/>
        <v>#DIV/0!</v>
      </c>
      <c r="CE304" s="398">
        <f t="shared" ca="1" si="876"/>
        <v>1600</v>
      </c>
      <c r="CF304" s="400">
        <f ca="1">IF(MAX(IF($E$6="No",ROUNDUP($E$3/$I304,0),ROUNDUP(($E$3+$I304)/$I304,0)),IF($E$6="No",ROUNDUP($E$4/$G304,0),ROUNDUP(($E$4+$G304)/$G304,0)),ROUNDUP('BVMS checklist'!$H$217/$J304,0))&gt;1,'BVMS checklist'!$N$224,'BVMS checklist'!$N$217)+MAX(IF($E$6="No",ROUNDUP($E$3/$I304,0),ROUNDUP(($E$3+$I304)/$I304,0)),IF($E$6="No",ROUNDUP($E$4/$G304,0),ROUNDUP(($E$4+$G304)/$G304,0)))+$E$5</f>
        <v>1</v>
      </c>
      <c r="CG304" s="400" t="b">
        <f t="shared" ca="1" si="821"/>
        <v>1</v>
      </c>
      <c r="CH304" s="400" t="str">
        <f t="shared" ca="1" si="877"/>
        <v>Accepted</v>
      </c>
      <c r="CI304" s="398" t="str">
        <f t="shared" ca="1" si="849"/>
        <v>Yes</v>
      </c>
      <c r="CJ304" s="398">
        <f t="shared" ca="1" si="878"/>
        <v>8</v>
      </c>
      <c r="CK304" s="398" t="str">
        <f t="shared" ca="1" si="842"/>
        <v>E-Series Base + 1x Expansion Unit, 24x4TB RAID5</v>
      </c>
      <c r="CL304" s="398">
        <f t="shared" ca="1" si="843"/>
        <v>8</v>
      </c>
      <c r="CM304" s="398">
        <f t="shared" ca="1" si="879"/>
        <v>2</v>
      </c>
      <c r="CN304" s="398">
        <f t="shared" ca="1" si="880"/>
        <v>192</v>
      </c>
      <c r="CO304" s="398">
        <f t="shared" ca="1" si="881"/>
        <v>163856</v>
      </c>
      <c r="CP304" s="399">
        <f t="shared" si="774"/>
        <v>699</v>
      </c>
      <c r="CQ304" s="399">
        <f t="shared" si="775"/>
        <v>4</v>
      </c>
      <c r="CR304" s="483" t="e">
        <f t="shared" ca="1" si="844"/>
        <v>#DIV/0!</v>
      </c>
      <c r="CS304"/>
    </row>
    <row r="305" spans="1:97">
      <c r="A305" s="398" t="s">
        <v>199</v>
      </c>
      <c r="B305" s="398" t="s">
        <v>988</v>
      </c>
      <c r="C305" s="440" t="s">
        <v>892</v>
      </c>
      <c r="D305" s="398">
        <v>1</v>
      </c>
      <c r="E305" s="398">
        <v>2</v>
      </c>
      <c r="F305" s="440">
        <v>0</v>
      </c>
      <c r="G305" s="398">
        <f t="shared" si="885"/>
        <v>111720</v>
      </c>
      <c r="H305" s="399">
        <v>144</v>
      </c>
      <c r="I305" s="399">
        <v>1250</v>
      </c>
      <c r="J305" s="399">
        <v>800</v>
      </c>
      <c r="K305" s="399">
        <v>947</v>
      </c>
      <c r="L305" s="399">
        <v>4</v>
      </c>
      <c r="M305" s="400">
        <f ca="1">IF(MAX(IF($B$6="No",ROUNDUP($B$3/$I305,0),ROUNDUP(($B$3+$I305)/$I305,0)),IF($B$6="No",ROUNDUP($B$4/$G305,0),ROUNDUP(($B$4+$G305)/$G305,0)),ROUNDUP('BVMS checklist'!$H$217/$J305,0))&gt;1,'BVMS checklist'!$H$224,'BVMS checklist'!$H$217)</f>
        <v>0</v>
      </c>
      <c r="N305" s="398">
        <f t="shared" ca="1" si="822"/>
        <v>2</v>
      </c>
      <c r="O305" s="400">
        <f t="shared" ca="1" si="851"/>
        <v>2</v>
      </c>
      <c r="P305" s="400">
        <f t="shared" ca="1" si="813"/>
        <v>2500</v>
      </c>
      <c r="Q305" s="400">
        <f t="shared" ca="1" si="814"/>
        <v>0</v>
      </c>
      <c r="R305" s="398">
        <f t="shared" ca="1" si="815"/>
        <v>223440</v>
      </c>
      <c r="S305" s="401" t="e">
        <f t="shared" ca="1" si="823"/>
        <v>#DIV/0!</v>
      </c>
      <c r="T305" s="398">
        <f t="shared" ca="1" si="824"/>
        <v>1600</v>
      </c>
      <c r="U305" s="400">
        <f ca="1">IF(MAX(IF($B$6="No",ROUNDUP($B$3/$I305,0),ROUNDUP(($B$3+$I305)/$I305,0)),IF($B$6="No",ROUNDUP($B$4/$G305,0),ROUNDUP(($B$4+$G305)/$G305,0)),ROUNDUP('BVMS checklist'!$H$217/$J305,0))&gt;1,'BVMS checklist'!$H$224,'BVMS checklist'!$H$217)+MAX(IF($B$6="No",ROUNDUP($B$3/$I305,0),ROUNDUP(($B$3+$I305)/$I305,0)),IF($B$6="No",ROUNDUP($B$4/$G305,0),ROUNDUP(($B$4+$G305)/$G305,0)))+$B$5</f>
        <v>1</v>
      </c>
      <c r="V305" s="400" t="b">
        <f t="shared" ca="1" si="816"/>
        <v>1</v>
      </c>
      <c r="W305" s="400" t="str">
        <f t="shared" ca="1" si="852"/>
        <v>Accepted</v>
      </c>
      <c r="X305" s="398" t="str">
        <f t="shared" ca="1" si="825"/>
        <v>Yes</v>
      </c>
      <c r="Y305" s="398">
        <f t="shared" ca="1" si="826"/>
        <v>9</v>
      </c>
      <c r="Z305" s="398" t="str">
        <f t="shared" ca="1" si="827"/>
        <v>E-Series Base + 2x Expansion Unit, 36x4TB RAID6</v>
      </c>
      <c r="AA305" s="398">
        <f t="shared" ca="1" si="853"/>
        <v>9</v>
      </c>
      <c r="AB305" s="398">
        <f t="shared" ca="1" si="817"/>
        <v>2</v>
      </c>
      <c r="AC305" s="398">
        <f t="shared" ca="1" si="818"/>
        <v>288</v>
      </c>
      <c r="AD305" s="398">
        <f t="shared" ca="1" si="854"/>
        <v>223440</v>
      </c>
      <c r="AE305" s="399">
        <f t="shared" si="768"/>
        <v>947</v>
      </c>
      <c r="AF305" s="399">
        <f t="shared" si="769"/>
        <v>4</v>
      </c>
      <c r="AG305" s="483" t="e">
        <f t="shared" ca="1" si="828"/>
        <v>#DIV/0!</v>
      </c>
      <c r="AH305" s="400">
        <f ca="1">IF(MAX(IF($C$6="No",ROUNDUP($C$3/$I305,0),ROUNDUP(($C$3+$I305)/$I305,0)),IF($C$6="No",ROUNDUP($C$4/$G305,0),ROUNDUP(($C$4+$G305)/$G305,0)),ROUNDUP('BVMS checklist'!$H$217/$J305,0))&gt;1,'BVMS checklist'!$J$224,'BVMS checklist'!$J$217)</f>
        <v>0</v>
      </c>
      <c r="AI305" s="398">
        <f t="shared" ca="1" si="829"/>
        <v>2</v>
      </c>
      <c r="AJ305" s="400">
        <f t="shared" ca="1" si="855"/>
        <v>2</v>
      </c>
      <c r="AK305" s="400">
        <f t="shared" ca="1" si="856"/>
        <v>2500</v>
      </c>
      <c r="AL305" s="400">
        <f t="shared" ca="1" si="857"/>
        <v>0</v>
      </c>
      <c r="AM305" s="398">
        <f t="shared" ca="1" si="858"/>
        <v>223440</v>
      </c>
      <c r="AN305" s="401" t="e">
        <f t="shared" ca="1" si="830"/>
        <v>#DIV/0!</v>
      </c>
      <c r="AO305" s="398">
        <f t="shared" ca="1" si="859"/>
        <v>1600</v>
      </c>
      <c r="AP305" s="400">
        <f ca="1">IF(MAX(IF($C$6="No",ROUNDUP($C$3/$I305,0),ROUNDUP(($C$3+$I305)/$I305,0)),IF($C$6="No",ROUNDUP($C$4/$G305,0),ROUNDUP(($C$4+$G305)/$G305,0)),ROUNDUP('BVMS checklist'!$H$217/$J305,0))&gt;1,'BVMS checklist'!$J$224,'BVMS checklist'!$J$217)+MAX(IF($C$6="No",ROUNDUP($C$3/$I305,0),ROUNDUP(($C$3+$I305)/$I305,0)),IF($C$6="No",ROUNDUP($C$4/$G305,0),ROUNDUP(($C$4+$G305)/$G305,0)))+$C$5</f>
        <v>1</v>
      </c>
      <c r="AQ305" s="400" t="b">
        <f t="shared" ca="1" si="819"/>
        <v>1</v>
      </c>
      <c r="AR305" s="400" t="str">
        <f t="shared" ca="1" si="860"/>
        <v>Accepted</v>
      </c>
      <c r="AS305" s="398" t="str">
        <f t="shared" ca="1" si="845"/>
        <v>Yes</v>
      </c>
      <c r="AT305" s="398">
        <f t="shared" ca="1" si="861"/>
        <v>9</v>
      </c>
      <c r="AU305" s="398" t="str">
        <f t="shared" ca="1" si="831"/>
        <v>E-Series Base + 2x Expansion Unit, 36x4TB RAID6</v>
      </c>
      <c r="AV305" s="398">
        <f t="shared" ca="1" si="832"/>
        <v>9</v>
      </c>
      <c r="AW305" s="398">
        <f t="shared" ca="1" si="862"/>
        <v>2</v>
      </c>
      <c r="AX305" s="398">
        <f t="shared" ca="1" si="863"/>
        <v>288</v>
      </c>
      <c r="AY305" s="398">
        <f t="shared" ca="1" si="864"/>
        <v>223440</v>
      </c>
      <c r="AZ305" s="399">
        <f t="shared" si="770"/>
        <v>947</v>
      </c>
      <c r="BA305" s="399">
        <f t="shared" si="771"/>
        <v>4</v>
      </c>
      <c r="BB305" s="483" t="e">
        <f t="shared" ca="1" si="833"/>
        <v>#DIV/0!</v>
      </c>
      <c r="BC305" s="400">
        <f ca="1">IF(MAX(IF($D$6="No",ROUNDUP($D$3/$I305,0),ROUNDUP(($D$3+$I305)/$I305,0)),IF($D$6="No",ROUNDUP($D$4/$G305,0),ROUNDUP(($D$4+$G305)/$G305,0)),ROUNDUP('BVMS checklist'!$H$217/$J305,0))&gt;1,'BVMS checklist'!$L$224,'BVMS checklist'!$L$217)</f>
        <v>0</v>
      </c>
      <c r="BD305" s="398">
        <f t="shared" ca="1" si="834"/>
        <v>2</v>
      </c>
      <c r="BE305" s="400">
        <f t="shared" si="835"/>
        <v>1</v>
      </c>
      <c r="BF305" s="400">
        <f t="shared" si="865"/>
        <v>1250</v>
      </c>
      <c r="BG305" s="400">
        <f t="shared" ca="1" si="846"/>
        <v>0</v>
      </c>
      <c r="BH305" s="398">
        <f t="shared" ca="1" si="866"/>
        <v>223440</v>
      </c>
      <c r="BI305" s="401" t="e">
        <f t="shared" ca="1" si="836"/>
        <v>#DIV/0!</v>
      </c>
      <c r="BJ305" s="398">
        <f t="shared" ca="1" si="867"/>
        <v>1600</v>
      </c>
      <c r="BK305" s="400">
        <f ca="1">IF(MAX(IF($D$6="No",ROUNDUP($D$3/$I305,0),ROUNDUP(($D$3+$I305)/$I305,0)),IF($D$6="No",ROUNDUP($D$4/$G305,0),ROUNDUP(($D$4+$G305)/$G305,0)),ROUNDUP('BVMS checklist'!$H$217/$J305,0))&gt;1,'BVMS checklist'!$L$224,'BVMS checklist'!$L$217)+MAX(IF($D$6="No",ROUNDUP($D$3/$I305,0),ROUNDUP(($D$3+$I305)/$I305,0)),IF($D$6="No",ROUNDUP($D$4/$G305,0),ROUNDUP(($D$4+$G305)/$G305,0)))+$D$5</f>
        <v>1</v>
      </c>
      <c r="BL305" s="400" t="b">
        <f t="shared" ca="1" si="820"/>
        <v>1</v>
      </c>
      <c r="BM305" s="400" t="str">
        <f t="shared" ca="1" si="868"/>
        <v>Accepted</v>
      </c>
      <c r="BN305" s="398" t="str">
        <f t="shared" ca="1" si="847"/>
        <v>Yes</v>
      </c>
      <c r="BO305" s="398">
        <f t="shared" ca="1" si="869"/>
        <v>9</v>
      </c>
      <c r="BP305" s="398" t="str">
        <f t="shared" ca="1" si="837"/>
        <v>E-Series Base + 2x Expansion Unit, 36x4TB RAID6</v>
      </c>
      <c r="BQ305" s="398">
        <f t="shared" ca="1" si="838"/>
        <v>9</v>
      </c>
      <c r="BR305" s="398">
        <f t="shared" ca="1" si="870"/>
        <v>2</v>
      </c>
      <c r="BS305" s="398">
        <f t="shared" ca="1" si="871"/>
        <v>288</v>
      </c>
      <c r="BT305" s="398">
        <f t="shared" ca="1" si="872"/>
        <v>223440</v>
      </c>
      <c r="BU305" s="399">
        <f t="shared" si="772"/>
        <v>947</v>
      </c>
      <c r="BV305" s="399">
        <f t="shared" si="773"/>
        <v>4</v>
      </c>
      <c r="BW305" s="483" t="e">
        <f t="shared" ca="1" si="839"/>
        <v>#DIV/0!</v>
      </c>
      <c r="BX305" s="400">
        <f ca="1">IF(MAX(IF($E$6="No",ROUNDUP($E$3/$I305,0),ROUNDUP(($E$3+$I305)/$I305,0)),IF($E$6="No",ROUNDUP($E$4/$G305,0),ROUNDUP(($E$4+$G305)/$G305,0)),ROUNDUP('BVMS checklist'!$H$217/$J305,0))&gt;1,'BVMS checklist'!$N$224,'BVMS checklist'!$N$217)</f>
        <v>0</v>
      </c>
      <c r="BY305" s="398">
        <f t="shared" ca="1" si="840"/>
        <v>2</v>
      </c>
      <c r="BZ305" s="400">
        <f t="shared" ca="1" si="873"/>
        <v>2</v>
      </c>
      <c r="CA305" s="400">
        <f t="shared" ca="1" si="874"/>
        <v>2500</v>
      </c>
      <c r="CB305" s="400">
        <f t="shared" ca="1" si="848"/>
        <v>0</v>
      </c>
      <c r="CC305" s="398">
        <f t="shared" ca="1" si="875"/>
        <v>223440</v>
      </c>
      <c r="CD305" s="401" t="e">
        <f t="shared" ca="1" si="841"/>
        <v>#DIV/0!</v>
      </c>
      <c r="CE305" s="398">
        <f t="shared" ca="1" si="876"/>
        <v>1600</v>
      </c>
      <c r="CF305" s="400">
        <f ca="1">IF(MAX(IF($E$6="No",ROUNDUP($E$3/$I305,0),ROUNDUP(($E$3+$I305)/$I305,0)),IF($E$6="No",ROUNDUP($E$4/$G305,0),ROUNDUP(($E$4+$G305)/$G305,0)),ROUNDUP('BVMS checklist'!$H$217/$J305,0))&gt;1,'BVMS checklist'!$N$224,'BVMS checklist'!$N$217)+MAX(IF($E$6="No",ROUNDUP($E$3/$I305,0),ROUNDUP(($E$3+$I305)/$I305,0)),IF($E$6="No",ROUNDUP($E$4/$G305,0),ROUNDUP(($E$4+$G305)/$G305,0)))+$E$5</f>
        <v>1</v>
      </c>
      <c r="CG305" s="400" t="b">
        <f t="shared" ca="1" si="821"/>
        <v>1</v>
      </c>
      <c r="CH305" s="400" t="str">
        <f t="shared" ca="1" si="877"/>
        <v>Accepted</v>
      </c>
      <c r="CI305" s="398" t="str">
        <f t="shared" ca="1" si="849"/>
        <v>Yes</v>
      </c>
      <c r="CJ305" s="398">
        <f t="shared" ca="1" si="878"/>
        <v>9</v>
      </c>
      <c r="CK305" s="398" t="str">
        <f t="shared" ca="1" si="842"/>
        <v>E-Series Base + 2x Expansion Unit, 36x4TB RAID6</v>
      </c>
      <c r="CL305" s="398">
        <f t="shared" ca="1" si="843"/>
        <v>9</v>
      </c>
      <c r="CM305" s="398">
        <f t="shared" ca="1" si="879"/>
        <v>2</v>
      </c>
      <c r="CN305" s="398">
        <f t="shared" ca="1" si="880"/>
        <v>288</v>
      </c>
      <c r="CO305" s="398">
        <f t="shared" ca="1" si="881"/>
        <v>223440</v>
      </c>
      <c r="CP305" s="399">
        <f t="shared" si="774"/>
        <v>947</v>
      </c>
      <c r="CQ305" s="399">
        <f t="shared" si="775"/>
        <v>4</v>
      </c>
      <c r="CR305" s="483" t="e">
        <f t="shared" ca="1" si="844"/>
        <v>#DIV/0!</v>
      </c>
      <c r="CS305"/>
    </row>
    <row r="306" spans="1:97">
      <c r="A306" s="398" t="s">
        <v>200</v>
      </c>
      <c r="B306" s="398" t="s">
        <v>988</v>
      </c>
      <c r="C306" s="440" t="s">
        <v>891</v>
      </c>
      <c r="D306" s="398">
        <v>1</v>
      </c>
      <c r="E306" s="398">
        <v>3</v>
      </c>
      <c r="F306" s="440">
        <v>0</v>
      </c>
      <c r="G306" s="398">
        <f t="shared" si="885"/>
        <v>163856</v>
      </c>
      <c r="H306" s="399">
        <v>192</v>
      </c>
      <c r="I306" s="399">
        <v>1250</v>
      </c>
      <c r="J306" s="399">
        <v>800</v>
      </c>
      <c r="K306" s="399">
        <v>1195</v>
      </c>
      <c r="L306" s="399">
        <v>4</v>
      </c>
      <c r="M306" s="400">
        <f ca="1">IF(MAX(IF($B$6="No",ROUNDUP($B$3/$I306,0),ROUNDUP(($B$3+$I306)/$I306,0)),IF($B$6="No",ROUNDUP($B$4/$G306,0),ROUNDUP(($B$4+$G306)/$G306,0)),ROUNDUP('BVMS checklist'!$H$217/$J306,0))&gt;1,'BVMS checklist'!$H$224,'BVMS checklist'!$H$217)</f>
        <v>0</v>
      </c>
      <c r="N306" s="398">
        <f t="shared" ca="1" si="822"/>
        <v>2</v>
      </c>
      <c r="O306" s="400">
        <f t="shared" ca="1" si="851"/>
        <v>2</v>
      </c>
      <c r="P306" s="400">
        <f t="shared" ca="1" si="813"/>
        <v>2500</v>
      </c>
      <c r="Q306" s="400">
        <f t="shared" ca="1" si="814"/>
        <v>0</v>
      </c>
      <c r="R306" s="398">
        <f t="shared" ca="1" si="815"/>
        <v>327712</v>
      </c>
      <c r="S306" s="401" t="e">
        <f t="shared" ca="1" si="823"/>
        <v>#DIV/0!</v>
      </c>
      <c r="T306" s="398">
        <f t="shared" ca="1" si="824"/>
        <v>1600</v>
      </c>
      <c r="U306" s="400">
        <f ca="1">IF(MAX(IF($B$6="No",ROUNDUP($B$3/$I306,0),ROUNDUP(($B$3+$I306)/$I306,0)),IF($B$6="No",ROUNDUP($B$4/$G306,0),ROUNDUP(($B$4+$G306)/$G306,0)),ROUNDUP('BVMS checklist'!$H$217/$J306,0))&gt;1,'BVMS checklist'!$H$224,'BVMS checklist'!$H$217)+MAX(IF($B$6="No",ROUNDUP($B$3/$I306,0),ROUNDUP(($B$3+$I306)/$I306,0)),IF($B$6="No",ROUNDUP($B$4/$G306,0),ROUNDUP(($B$4+$G306)/$G306,0)))+$B$5</f>
        <v>1</v>
      </c>
      <c r="V306" s="400" t="b">
        <f t="shared" ca="1" si="816"/>
        <v>1</v>
      </c>
      <c r="W306" s="400" t="str">
        <f t="shared" ca="1" si="852"/>
        <v>Accepted</v>
      </c>
      <c r="X306" s="398" t="str">
        <f t="shared" ca="1" si="825"/>
        <v>Yes</v>
      </c>
      <c r="Y306" s="398">
        <f t="shared" ca="1" si="826"/>
        <v>10</v>
      </c>
      <c r="Z306" s="398" t="str">
        <f t="shared" ca="1" si="827"/>
        <v>E-Series Base + 3x Expansion Unit, 48x4TB RAID5</v>
      </c>
      <c r="AA306" s="398">
        <f t="shared" ca="1" si="853"/>
        <v>10</v>
      </c>
      <c r="AB306" s="398">
        <f t="shared" ca="1" si="817"/>
        <v>2</v>
      </c>
      <c r="AC306" s="398">
        <f t="shared" ca="1" si="818"/>
        <v>384</v>
      </c>
      <c r="AD306" s="398">
        <f t="shared" ca="1" si="854"/>
        <v>327712</v>
      </c>
      <c r="AE306" s="399">
        <f t="shared" si="768"/>
        <v>1195</v>
      </c>
      <c r="AF306" s="399">
        <f t="shared" si="769"/>
        <v>4</v>
      </c>
      <c r="AG306" s="483" t="e">
        <f t="shared" ca="1" si="828"/>
        <v>#DIV/0!</v>
      </c>
      <c r="AH306" s="400">
        <f ca="1">IF(MAX(IF($C$6="No",ROUNDUP($C$3/$I306,0),ROUNDUP(($C$3+$I306)/$I306,0)),IF($C$6="No",ROUNDUP($C$4/$G306,0),ROUNDUP(($C$4+$G306)/$G306,0)),ROUNDUP('BVMS checklist'!$H$217/$J306,0))&gt;1,'BVMS checklist'!$J$224,'BVMS checklist'!$J$217)</f>
        <v>0</v>
      </c>
      <c r="AI306" s="398">
        <f t="shared" ca="1" si="829"/>
        <v>2</v>
      </c>
      <c r="AJ306" s="400">
        <f t="shared" ca="1" si="855"/>
        <v>2</v>
      </c>
      <c r="AK306" s="400">
        <f t="shared" ca="1" si="856"/>
        <v>2500</v>
      </c>
      <c r="AL306" s="400">
        <f t="shared" ca="1" si="857"/>
        <v>0</v>
      </c>
      <c r="AM306" s="398">
        <f t="shared" ca="1" si="858"/>
        <v>327712</v>
      </c>
      <c r="AN306" s="401" t="e">
        <f t="shared" ca="1" si="830"/>
        <v>#DIV/0!</v>
      </c>
      <c r="AO306" s="398">
        <f t="shared" ca="1" si="859"/>
        <v>1600</v>
      </c>
      <c r="AP306" s="400">
        <f ca="1">IF(MAX(IF($C$6="No",ROUNDUP($C$3/$I306,0),ROUNDUP(($C$3+$I306)/$I306,0)),IF($C$6="No",ROUNDUP($C$4/$G306,0),ROUNDUP(($C$4+$G306)/$G306,0)),ROUNDUP('BVMS checklist'!$H$217/$J306,0))&gt;1,'BVMS checklist'!$J$224,'BVMS checklist'!$J$217)+MAX(IF($C$6="No",ROUNDUP($C$3/$I306,0),ROUNDUP(($C$3+$I306)/$I306,0)),IF($C$6="No",ROUNDUP($C$4/$G306,0),ROUNDUP(($C$4+$G306)/$G306,0)))+$C$5</f>
        <v>1</v>
      </c>
      <c r="AQ306" s="400" t="b">
        <f t="shared" ca="1" si="819"/>
        <v>1</v>
      </c>
      <c r="AR306" s="400" t="str">
        <f t="shared" ca="1" si="860"/>
        <v>Accepted</v>
      </c>
      <c r="AS306" s="398" t="str">
        <f t="shared" ca="1" si="845"/>
        <v>Yes</v>
      </c>
      <c r="AT306" s="398">
        <f t="shared" ca="1" si="861"/>
        <v>10</v>
      </c>
      <c r="AU306" s="398" t="str">
        <f t="shared" ca="1" si="831"/>
        <v>E-Series Base + 3x Expansion Unit, 48x4TB RAID5</v>
      </c>
      <c r="AV306" s="398">
        <f t="shared" ca="1" si="832"/>
        <v>10</v>
      </c>
      <c r="AW306" s="398">
        <f t="shared" ca="1" si="862"/>
        <v>2</v>
      </c>
      <c r="AX306" s="398">
        <f t="shared" ca="1" si="863"/>
        <v>384</v>
      </c>
      <c r="AY306" s="398">
        <f t="shared" ca="1" si="864"/>
        <v>327712</v>
      </c>
      <c r="AZ306" s="399">
        <f t="shared" si="770"/>
        <v>1195</v>
      </c>
      <c r="BA306" s="399">
        <f t="shared" si="771"/>
        <v>4</v>
      </c>
      <c r="BB306" s="483" t="e">
        <f t="shared" ca="1" si="833"/>
        <v>#DIV/0!</v>
      </c>
      <c r="BC306" s="400">
        <f ca="1">IF(MAX(IF($D$6="No",ROUNDUP($D$3/$I306,0),ROUNDUP(($D$3+$I306)/$I306,0)),IF($D$6="No",ROUNDUP($D$4/$G306,0),ROUNDUP(($D$4+$G306)/$G306,0)),ROUNDUP('BVMS checklist'!$H$217/$J306,0))&gt;1,'BVMS checklist'!$L$224,'BVMS checklist'!$L$217)</f>
        <v>0</v>
      </c>
      <c r="BD306" s="398">
        <f t="shared" ca="1" si="834"/>
        <v>2</v>
      </c>
      <c r="BE306" s="400">
        <f t="shared" si="835"/>
        <v>1</v>
      </c>
      <c r="BF306" s="400">
        <f t="shared" si="865"/>
        <v>1250</v>
      </c>
      <c r="BG306" s="400">
        <f t="shared" ca="1" si="846"/>
        <v>0</v>
      </c>
      <c r="BH306" s="398">
        <f t="shared" ca="1" si="866"/>
        <v>327712</v>
      </c>
      <c r="BI306" s="401" t="e">
        <f t="shared" ca="1" si="836"/>
        <v>#DIV/0!</v>
      </c>
      <c r="BJ306" s="398">
        <f t="shared" ca="1" si="867"/>
        <v>1600</v>
      </c>
      <c r="BK306" s="400">
        <f ca="1">IF(MAX(IF($D$6="No",ROUNDUP($D$3/$I306,0),ROUNDUP(($D$3+$I306)/$I306,0)),IF($D$6="No",ROUNDUP($D$4/$G306,0),ROUNDUP(($D$4+$G306)/$G306,0)),ROUNDUP('BVMS checklist'!$H$217/$J306,0))&gt;1,'BVMS checklist'!$L$224,'BVMS checklist'!$L$217)+MAX(IF($D$6="No",ROUNDUP($D$3/$I306,0),ROUNDUP(($D$3+$I306)/$I306,0)),IF($D$6="No",ROUNDUP($D$4/$G306,0),ROUNDUP(($D$4+$G306)/$G306,0)))+$D$5</f>
        <v>1</v>
      </c>
      <c r="BL306" s="400" t="b">
        <f t="shared" ca="1" si="820"/>
        <v>1</v>
      </c>
      <c r="BM306" s="400" t="str">
        <f t="shared" ca="1" si="868"/>
        <v>Accepted</v>
      </c>
      <c r="BN306" s="398" t="str">
        <f t="shared" ca="1" si="847"/>
        <v>Yes</v>
      </c>
      <c r="BO306" s="398">
        <f t="shared" ca="1" si="869"/>
        <v>10</v>
      </c>
      <c r="BP306" s="398" t="str">
        <f t="shared" ca="1" si="837"/>
        <v>E-Series Base + 3x Expansion Unit, 48x4TB RAID5</v>
      </c>
      <c r="BQ306" s="398">
        <f t="shared" ca="1" si="838"/>
        <v>10</v>
      </c>
      <c r="BR306" s="398">
        <f t="shared" ca="1" si="870"/>
        <v>2</v>
      </c>
      <c r="BS306" s="398">
        <f t="shared" ca="1" si="871"/>
        <v>384</v>
      </c>
      <c r="BT306" s="398">
        <f t="shared" ca="1" si="872"/>
        <v>327712</v>
      </c>
      <c r="BU306" s="399">
        <f t="shared" si="772"/>
        <v>1195</v>
      </c>
      <c r="BV306" s="399">
        <f t="shared" si="773"/>
        <v>4</v>
      </c>
      <c r="BW306" s="483" t="e">
        <f t="shared" ca="1" si="839"/>
        <v>#DIV/0!</v>
      </c>
      <c r="BX306" s="400">
        <f ca="1">IF(MAX(IF($E$6="No",ROUNDUP($E$3/$I306,0),ROUNDUP(($E$3+$I306)/$I306,0)),IF($E$6="No",ROUNDUP($E$4/$G306,0),ROUNDUP(($E$4+$G306)/$G306,0)),ROUNDUP('BVMS checklist'!$H$217/$J306,0))&gt;1,'BVMS checklist'!$N$224,'BVMS checklist'!$N$217)</f>
        <v>0</v>
      </c>
      <c r="BY306" s="398">
        <f t="shared" ca="1" si="840"/>
        <v>2</v>
      </c>
      <c r="BZ306" s="400">
        <f t="shared" ca="1" si="873"/>
        <v>2</v>
      </c>
      <c r="CA306" s="400">
        <f t="shared" ca="1" si="874"/>
        <v>2500</v>
      </c>
      <c r="CB306" s="400">
        <f t="shared" ca="1" si="848"/>
        <v>0</v>
      </c>
      <c r="CC306" s="398">
        <f t="shared" ca="1" si="875"/>
        <v>327712</v>
      </c>
      <c r="CD306" s="401" t="e">
        <f t="shared" ca="1" si="841"/>
        <v>#DIV/0!</v>
      </c>
      <c r="CE306" s="398">
        <f t="shared" ca="1" si="876"/>
        <v>1600</v>
      </c>
      <c r="CF306" s="400">
        <f ca="1">IF(MAX(IF($E$6="No",ROUNDUP($E$3/$I306,0),ROUNDUP(($E$3+$I306)/$I306,0)),IF($E$6="No",ROUNDUP($E$4/$G306,0),ROUNDUP(($E$4+$G306)/$G306,0)),ROUNDUP('BVMS checklist'!$H$217/$J306,0))&gt;1,'BVMS checklist'!$N$224,'BVMS checklist'!$N$217)+MAX(IF($E$6="No",ROUNDUP($E$3/$I306,0),ROUNDUP(($E$3+$I306)/$I306,0)),IF($E$6="No",ROUNDUP($E$4/$G306,0),ROUNDUP(($E$4+$G306)/$G306,0)))+$E$5</f>
        <v>1</v>
      </c>
      <c r="CG306" s="400" t="b">
        <f t="shared" ca="1" si="821"/>
        <v>1</v>
      </c>
      <c r="CH306" s="400" t="str">
        <f t="shared" ca="1" si="877"/>
        <v>Accepted</v>
      </c>
      <c r="CI306" s="398" t="str">
        <f t="shared" ca="1" si="849"/>
        <v>Yes</v>
      </c>
      <c r="CJ306" s="398">
        <f t="shared" ca="1" si="878"/>
        <v>10</v>
      </c>
      <c r="CK306" s="398" t="str">
        <f t="shared" ca="1" si="842"/>
        <v>E-Series Base + 3x Expansion Unit, 48x4TB RAID5</v>
      </c>
      <c r="CL306" s="398">
        <f t="shared" ca="1" si="843"/>
        <v>10</v>
      </c>
      <c r="CM306" s="398">
        <f t="shared" ca="1" si="879"/>
        <v>2</v>
      </c>
      <c r="CN306" s="398">
        <f t="shared" ca="1" si="880"/>
        <v>384</v>
      </c>
      <c r="CO306" s="398">
        <f t="shared" ca="1" si="881"/>
        <v>327712</v>
      </c>
      <c r="CP306" s="399">
        <f t="shared" si="774"/>
        <v>1195</v>
      </c>
      <c r="CQ306" s="399">
        <f t="shared" si="775"/>
        <v>4</v>
      </c>
      <c r="CR306" s="483" t="e">
        <f t="shared" ca="1" si="844"/>
        <v>#DIV/0!</v>
      </c>
      <c r="CS306"/>
    </row>
    <row r="307" spans="1:97">
      <c r="A307" s="398" t="s">
        <v>201</v>
      </c>
      <c r="B307" s="398" t="s">
        <v>988</v>
      </c>
      <c r="C307" s="440" t="s">
        <v>891</v>
      </c>
      <c r="D307" s="398">
        <v>1</v>
      </c>
      <c r="E307" s="398">
        <v>4</v>
      </c>
      <c r="F307" s="440">
        <v>0</v>
      </c>
      <c r="G307" s="398">
        <f t="shared" si="885"/>
        <v>204820</v>
      </c>
      <c r="H307" s="399">
        <v>240</v>
      </c>
      <c r="I307" s="399">
        <v>1250</v>
      </c>
      <c r="J307" s="399">
        <v>800</v>
      </c>
      <c r="K307" s="399">
        <v>1443</v>
      </c>
      <c r="L307" s="399">
        <v>4</v>
      </c>
      <c r="M307" s="400">
        <f ca="1">IF(MAX(IF($B$6="No",ROUNDUP($B$3/$I307,0),ROUNDUP(($B$3+$I307)/$I307,0)),IF($B$6="No",ROUNDUP($B$4/$G307,0),ROUNDUP(($B$4+$G307)/$G307,0)),ROUNDUP('BVMS checklist'!$H$217/$J307,0))&gt;1,'BVMS checklist'!$H$224,'BVMS checklist'!$H$217)</f>
        <v>0</v>
      </c>
      <c r="N307" s="398">
        <f t="shared" ca="1" si="822"/>
        <v>2</v>
      </c>
      <c r="O307" s="400">
        <f t="shared" ca="1" si="851"/>
        <v>2</v>
      </c>
      <c r="P307" s="400">
        <f t="shared" ca="1" si="813"/>
        <v>2500</v>
      </c>
      <c r="Q307" s="400">
        <f t="shared" ca="1" si="814"/>
        <v>0</v>
      </c>
      <c r="R307" s="398">
        <f t="shared" ca="1" si="815"/>
        <v>409640</v>
      </c>
      <c r="S307" s="401" t="e">
        <f t="shared" ca="1" si="823"/>
        <v>#DIV/0!</v>
      </c>
      <c r="T307" s="398">
        <f t="shared" ca="1" si="824"/>
        <v>1600</v>
      </c>
      <c r="U307" s="400">
        <f ca="1">IF(MAX(IF($B$6="No",ROUNDUP($B$3/$I307,0),ROUNDUP(($B$3+$I307)/$I307,0)),IF($B$6="No",ROUNDUP($B$4/$G307,0),ROUNDUP(($B$4+$G307)/$G307,0)),ROUNDUP('BVMS checklist'!$H$217/$J307,0))&gt;1,'BVMS checklist'!$H$224,'BVMS checklist'!$H$217)+MAX(IF($B$6="No",ROUNDUP($B$3/$I307,0),ROUNDUP(($B$3+$I307)/$I307,0)),IF($B$6="No",ROUNDUP($B$4/$G307,0),ROUNDUP(($B$4+$G307)/$G307,0)))+$B$5</f>
        <v>1</v>
      </c>
      <c r="V307" s="400" t="b">
        <f t="shared" ca="1" si="816"/>
        <v>1</v>
      </c>
      <c r="W307" s="400" t="str">
        <f t="shared" ca="1" si="852"/>
        <v>Accepted</v>
      </c>
      <c r="X307" s="398" t="str">
        <f t="shared" ca="1" si="825"/>
        <v>Yes</v>
      </c>
      <c r="Y307" s="398">
        <f t="shared" ca="1" si="826"/>
        <v>11</v>
      </c>
      <c r="Z307" s="398" t="str">
        <f t="shared" ca="1" si="827"/>
        <v>E-Series Base + 4x Expansion Unit, 60x4TB RAID5</v>
      </c>
      <c r="AA307" s="398">
        <f t="shared" ca="1" si="853"/>
        <v>11</v>
      </c>
      <c r="AB307" s="398">
        <f t="shared" ca="1" si="817"/>
        <v>2</v>
      </c>
      <c r="AC307" s="398">
        <f t="shared" ca="1" si="818"/>
        <v>480</v>
      </c>
      <c r="AD307" s="398">
        <f t="shared" ca="1" si="854"/>
        <v>409640</v>
      </c>
      <c r="AE307" s="399">
        <f t="shared" ref="AE307:AE347" si="886">K307</f>
        <v>1443</v>
      </c>
      <c r="AF307" s="399">
        <f t="shared" ref="AF307:AF347" si="887">L307</f>
        <v>4</v>
      </c>
      <c r="AG307" s="483" t="e">
        <f t="shared" ca="1" si="828"/>
        <v>#DIV/0!</v>
      </c>
      <c r="AH307" s="400">
        <f ca="1">IF(MAX(IF($C$6="No",ROUNDUP($C$3/$I307,0),ROUNDUP(($C$3+$I307)/$I307,0)),IF($C$6="No",ROUNDUP($C$4/$G307,0),ROUNDUP(($C$4+$G307)/$G307,0)),ROUNDUP('BVMS checklist'!$H$217/$J307,0))&gt;1,'BVMS checklist'!$J$224,'BVMS checklist'!$J$217)</f>
        <v>0</v>
      </c>
      <c r="AI307" s="398">
        <f t="shared" ca="1" si="829"/>
        <v>2</v>
      </c>
      <c r="AJ307" s="400">
        <f t="shared" ca="1" si="855"/>
        <v>2</v>
      </c>
      <c r="AK307" s="400">
        <f t="shared" ca="1" si="856"/>
        <v>2500</v>
      </c>
      <c r="AL307" s="400">
        <f t="shared" ca="1" si="857"/>
        <v>0</v>
      </c>
      <c r="AM307" s="398">
        <f t="shared" ca="1" si="858"/>
        <v>409640</v>
      </c>
      <c r="AN307" s="401" t="e">
        <f t="shared" ca="1" si="830"/>
        <v>#DIV/0!</v>
      </c>
      <c r="AO307" s="398">
        <f t="shared" ca="1" si="859"/>
        <v>1600</v>
      </c>
      <c r="AP307" s="400">
        <f ca="1">IF(MAX(IF($C$6="No",ROUNDUP($C$3/$I307,0),ROUNDUP(($C$3+$I307)/$I307,0)),IF($C$6="No",ROUNDUP($C$4/$G307,0),ROUNDUP(($C$4+$G307)/$G307,0)),ROUNDUP('BVMS checklist'!$H$217/$J307,0))&gt;1,'BVMS checklist'!$J$224,'BVMS checklist'!$J$217)+MAX(IF($C$6="No",ROUNDUP($C$3/$I307,0),ROUNDUP(($C$3+$I307)/$I307,0)),IF($C$6="No",ROUNDUP($C$4/$G307,0),ROUNDUP(($C$4+$G307)/$G307,0)))+$C$5</f>
        <v>1</v>
      </c>
      <c r="AQ307" s="400" t="b">
        <f t="shared" ca="1" si="819"/>
        <v>1</v>
      </c>
      <c r="AR307" s="400" t="str">
        <f t="shared" ca="1" si="860"/>
        <v>Accepted</v>
      </c>
      <c r="AS307" s="398" t="str">
        <f t="shared" ca="1" si="845"/>
        <v>Yes</v>
      </c>
      <c r="AT307" s="398">
        <f t="shared" ca="1" si="861"/>
        <v>11</v>
      </c>
      <c r="AU307" s="398" t="str">
        <f t="shared" ca="1" si="831"/>
        <v>E-Series Base + 4x Expansion Unit, 60x4TB RAID5</v>
      </c>
      <c r="AV307" s="398">
        <f t="shared" ca="1" si="832"/>
        <v>11</v>
      </c>
      <c r="AW307" s="398">
        <f t="shared" ca="1" si="862"/>
        <v>2</v>
      </c>
      <c r="AX307" s="398">
        <f t="shared" ca="1" si="863"/>
        <v>480</v>
      </c>
      <c r="AY307" s="398">
        <f t="shared" ca="1" si="864"/>
        <v>409640</v>
      </c>
      <c r="AZ307" s="399">
        <f t="shared" ref="AZ307:AZ347" si="888">K307</f>
        <v>1443</v>
      </c>
      <c r="BA307" s="399">
        <f t="shared" ref="BA307:BA347" si="889">L307</f>
        <v>4</v>
      </c>
      <c r="BB307" s="483" t="e">
        <f t="shared" ca="1" si="833"/>
        <v>#DIV/0!</v>
      </c>
      <c r="BC307" s="400">
        <f ca="1">IF(MAX(IF($D$6="No",ROUNDUP($D$3/$I307,0),ROUNDUP(($D$3+$I307)/$I307,0)),IF($D$6="No",ROUNDUP($D$4/$G307,0),ROUNDUP(($D$4+$G307)/$G307,0)),ROUNDUP('BVMS checklist'!$H$217/$J307,0))&gt;1,'BVMS checklist'!$L$224,'BVMS checklist'!$L$217)</f>
        <v>0</v>
      </c>
      <c r="BD307" s="398">
        <f t="shared" ca="1" si="834"/>
        <v>2</v>
      </c>
      <c r="BE307" s="400">
        <f t="shared" si="835"/>
        <v>1</v>
      </c>
      <c r="BF307" s="400">
        <f t="shared" si="865"/>
        <v>1250</v>
      </c>
      <c r="BG307" s="400">
        <f t="shared" ca="1" si="846"/>
        <v>0</v>
      </c>
      <c r="BH307" s="398">
        <f t="shared" ca="1" si="866"/>
        <v>409640</v>
      </c>
      <c r="BI307" s="401" t="e">
        <f t="shared" ca="1" si="836"/>
        <v>#DIV/0!</v>
      </c>
      <c r="BJ307" s="398">
        <f t="shared" ca="1" si="867"/>
        <v>1600</v>
      </c>
      <c r="BK307" s="400">
        <f ca="1">IF(MAX(IF($D$6="No",ROUNDUP($D$3/$I307,0),ROUNDUP(($D$3+$I307)/$I307,0)),IF($D$6="No",ROUNDUP($D$4/$G307,0),ROUNDUP(($D$4+$G307)/$G307,0)),ROUNDUP('BVMS checklist'!$H$217/$J307,0))&gt;1,'BVMS checklist'!$L$224,'BVMS checklist'!$L$217)+MAX(IF($D$6="No",ROUNDUP($D$3/$I307,0),ROUNDUP(($D$3+$I307)/$I307,0)),IF($D$6="No",ROUNDUP($D$4/$G307,0),ROUNDUP(($D$4+$G307)/$G307,0)))+$D$5</f>
        <v>1</v>
      </c>
      <c r="BL307" s="400" t="b">
        <f t="shared" ca="1" si="820"/>
        <v>1</v>
      </c>
      <c r="BM307" s="400" t="str">
        <f t="shared" ca="1" si="868"/>
        <v>Accepted</v>
      </c>
      <c r="BN307" s="398" t="str">
        <f t="shared" ca="1" si="847"/>
        <v>Yes</v>
      </c>
      <c r="BO307" s="398">
        <f t="shared" ca="1" si="869"/>
        <v>11</v>
      </c>
      <c r="BP307" s="398" t="str">
        <f t="shared" ca="1" si="837"/>
        <v>E-Series Base + 4x Expansion Unit, 60x4TB RAID5</v>
      </c>
      <c r="BQ307" s="398">
        <f t="shared" ca="1" si="838"/>
        <v>11</v>
      </c>
      <c r="BR307" s="398">
        <f t="shared" ca="1" si="870"/>
        <v>2</v>
      </c>
      <c r="BS307" s="398">
        <f t="shared" ca="1" si="871"/>
        <v>480</v>
      </c>
      <c r="BT307" s="398">
        <f t="shared" ca="1" si="872"/>
        <v>409640</v>
      </c>
      <c r="BU307" s="399">
        <f t="shared" ref="BU307:BU347" si="890">K307</f>
        <v>1443</v>
      </c>
      <c r="BV307" s="399">
        <f t="shared" ref="BV307:BV347" si="891">L307</f>
        <v>4</v>
      </c>
      <c r="BW307" s="483" t="e">
        <f t="shared" ca="1" si="839"/>
        <v>#DIV/0!</v>
      </c>
      <c r="BX307" s="400">
        <f ca="1">IF(MAX(IF($E$6="No",ROUNDUP($E$3/$I307,0),ROUNDUP(($E$3+$I307)/$I307,0)),IF($E$6="No",ROUNDUP($E$4/$G307,0),ROUNDUP(($E$4+$G307)/$G307,0)),ROUNDUP('BVMS checklist'!$H$217/$J307,0))&gt;1,'BVMS checklist'!$N$224,'BVMS checklist'!$N$217)</f>
        <v>0</v>
      </c>
      <c r="BY307" s="398">
        <f t="shared" ca="1" si="840"/>
        <v>2</v>
      </c>
      <c r="BZ307" s="400">
        <f t="shared" ca="1" si="873"/>
        <v>2</v>
      </c>
      <c r="CA307" s="400">
        <f t="shared" ca="1" si="874"/>
        <v>2500</v>
      </c>
      <c r="CB307" s="400">
        <f t="shared" ca="1" si="848"/>
        <v>0</v>
      </c>
      <c r="CC307" s="398">
        <f t="shared" ca="1" si="875"/>
        <v>409640</v>
      </c>
      <c r="CD307" s="401" t="e">
        <f t="shared" ca="1" si="841"/>
        <v>#DIV/0!</v>
      </c>
      <c r="CE307" s="398">
        <f t="shared" ca="1" si="876"/>
        <v>1600</v>
      </c>
      <c r="CF307" s="400">
        <f ca="1">IF(MAX(IF($E$6="No",ROUNDUP($E$3/$I307,0),ROUNDUP(($E$3+$I307)/$I307,0)),IF($E$6="No",ROUNDUP($E$4/$G307,0),ROUNDUP(($E$4+$G307)/$G307,0)),ROUNDUP('BVMS checklist'!$H$217/$J307,0))&gt;1,'BVMS checklist'!$N$224,'BVMS checklist'!$N$217)+MAX(IF($E$6="No",ROUNDUP($E$3/$I307,0),ROUNDUP(($E$3+$I307)/$I307,0)),IF($E$6="No",ROUNDUP($E$4/$G307,0),ROUNDUP(($E$4+$G307)/$G307,0)))+$E$5</f>
        <v>1</v>
      </c>
      <c r="CG307" s="400" t="b">
        <f t="shared" ca="1" si="821"/>
        <v>1</v>
      </c>
      <c r="CH307" s="400" t="str">
        <f t="shared" ca="1" si="877"/>
        <v>Accepted</v>
      </c>
      <c r="CI307" s="398" t="str">
        <f t="shared" ca="1" si="849"/>
        <v>Yes</v>
      </c>
      <c r="CJ307" s="398">
        <f t="shared" ca="1" si="878"/>
        <v>11</v>
      </c>
      <c r="CK307" s="398" t="str">
        <f t="shared" ca="1" si="842"/>
        <v>E-Series Base + 4x Expansion Unit, 60x4TB RAID5</v>
      </c>
      <c r="CL307" s="398">
        <f t="shared" ca="1" si="843"/>
        <v>11</v>
      </c>
      <c r="CM307" s="398">
        <f t="shared" ca="1" si="879"/>
        <v>2</v>
      </c>
      <c r="CN307" s="398">
        <f t="shared" ca="1" si="880"/>
        <v>480</v>
      </c>
      <c r="CO307" s="398">
        <f t="shared" ca="1" si="881"/>
        <v>409640</v>
      </c>
      <c r="CP307" s="399">
        <f t="shared" ref="CP307:CP347" si="892">K307</f>
        <v>1443</v>
      </c>
      <c r="CQ307" s="399">
        <f t="shared" ref="CQ307:CQ347" si="893">L307</f>
        <v>4</v>
      </c>
      <c r="CR307" s="483" t="e">
        <f t="shared" ca="1" si="844"/>
        <v>#DIV/0!</v>
      </c>
      <c r="CS307"/>
    </row>
    <row r="308" spans="1:97">
      <c r="A308" s="398" t="s">
        <v>202</v>
      </c>
      <c r="B308" s="398" t="s">
        <v>988</v>
      </c>
      <c r="C308" s="440" t="s">
        <v>891</v>
      </c>
      <c r="D308" s="398">
        <v>1</v>
      </c>
      <c r="E308" s="398">
        <v>5</v>
      </c>
      <c r="F308" s="440">
        <v>0</v>
      </c>
      <c r="G308" s="398">
        <f t="shared" si="885"/>
        <v>245784</v>
      </c>
      <c r="H308" s="399">
        <v>288</v>
      </c>
      <c r="I308" s="399">
        <v>1250</v>
      </c>
      <c r="J308" s="399">
        <v>800</v>
      </c>
      <c r="K308" s="399">
        <v>1691</v>
      </c>
      <c r="L308" s="399">
        <v>4</v>
      </c>
      <c r="M308" s="400">
        <f ca="1">IF(MAX(IF($B$6="No",ROUNDUP($B$3/$I308,0),ROUNDUP(($B$3+$I308)/$I308,0)),IF($B$6="No",ROUNDUP($B$4/$G308,0),ROUNDUP(($B$4+$G308)/$G308,0)),ROUNDUP('BVMS checklist'!$H$217/$J308,0))&gt;1,'BVMS checklist'!$H$224,'BVMS checklist'!$H$217)</f>
        <v>0</v>
      </c>
      <c r="N308" s="398">
        <f t="shared" ca="1" si="822"/>
        <v>2</v>
      </c>
      <c r="O308" s="400">
        <f t="shared" ca="1" si="851"/>
        <v>2</v>
      </c>
      <c r="P308" s="400">
        <f t="shared" ca="1" si="813"/>
        <v>2500</v>
      </c>
      <c r="Q308" s="400">
        <f t="shared" ca="1" si="814"/>
        <v>0</v>
      </c>
      <c r="R308" s="398">
        <f t="shared" ca="1" si="815"/>
        <v>491568</v>
      </c>
      <c r="S308" s="401" t="e">
        <f t="shared" ca="1" si="823"/>
        <v>#DIV/0!</v>
      </c>
      <c r="T308" s="398">
        <f t="shared" ca="1" si="824"/>
        <v>1600</v>
      </c>
      <c r="U308" s="400">
        <f ca="1">IF(MAX(IF($B$6="No",ROUNDUP($B$3/$I308,0),ROUNDUP(($B$3+$I308)/$I308,0)),IF($B$6="No",ROUNDUP($B$4/$G308,0),ROUNDUP(($B$4+$G308)/$G308,0)),ROUNDUP('BVMS checklist'!$H$217/$J308,0))&gt;1,'BVMS checklist'!$H$224,'BVMS checklist'!$H$217)+MAX(IF($B$6="No",ROUNDUP($B$3/$I308,0),ROUNDUP(($B$3+$I308)/$I308,0)),IF($B$6="No",ROUNDUP($B$4/$G308,0),ROUNDUP(($B$4+$G308)/$G308,0)))+$B$5</f>
        <v>1</v>
      </c>
      <c r="V308" s="400" t="b">
        <f t="shared" ca="1" si="816"/>
        <v>1</v>
      </c>
      <c r="W308" s="400" t="str">
        <f t="shared" ca="1" si="852"/>
        <v>Accepted</v>
      </c>
      <c r="X308" s="398" t="str">
        <f t="shared" ca="1" si="825"/>
        <v>Yes</v>
      </c>
      <c r="Y308" s="398">
        <f t="shared" ca="1" si="826"/>
        <v>12</v>
      </c>
      <c r="Z308" s="398" t="str">
        <f t="shared" ca="1" si="827"/>
        <v>E-Series Base + 5x Expansion Unit, 72x4TB RAID5</v>
      </c>
      <c r="AA308" s="398">
        <f t="shared" ca="1" si="853"/>
        <v>12</v>
      </c>
      <c r="AB308" s="398">
        <f t="shared" ca="1" si="817"/>
        <v>2</v>
      </c>
      <c r="AC308" s="398">
        <f t="shared" ca="1" si="818"/>
        <v>576</v>
      </c>
      <c r="AD308" s="398">
        <f t="shared" ca="1" si="854"/>
        <v>491568</v>
      </c>
      <c r="AE308" s="399">
        <f t="shared" si="886"/>
        <v>1691</v>
      </c>
      <c r="AF308" s="399">
        <f t="shared" si="887"/>
        <v>4</v>
      </c>
      <c r="AG308" s="483" t="e">
        <f t="shared" ca="1" si="828"/>
        <v>#DIV/0!</v>
      </c>
      <c r="AH308" s="400">
        <f ca="1">IF(MAX(IF($C$6="No",ROUNDUP($C$3/$I308,0),ROUNDUP(($C$3+$I308)/$I308,0)),IF($C$6="No",ROUNDUP($C$4/$G308,0),ROUNDUP(($C$4+$G308)/$G308,0)),ROUNDUP('BVMS checklist'!$H$217/$J308,0))&gt;1,'BVMS checklist'!$J$224,'BVMS checklist'!$J$217)</f>
        <v>0</v>
      </c>
      <c r="AI308" s="398">
        <f t="shared" ca="1" si="829"/>
        <v>2</v>
      </c>
      <c r="AJ308" s="400">
        <f t="shared" ca="1" si="855"/>
        <v>2</v>
      </c>
      <c r="AK308" s="400">
        <f t="shared" ca="1" si="856"/>
        <v>2500</v>
      </c>
      <c r="AL308" s="400">
        <f t="shared" ca="1" si="857"/>
        <v>0</v>
      </c>
      <c r="AM308" s="398">
        <f t="shared" ca="1" si="858"/>
        <v>491568</v>
      </c>
      <c r="AN308" s="401" t="e">
        <f t="shared" ca="1" si="830"/>
        <v>#DIV/0!</v>
      </c>
      <c r="AO308" s="398">
        <f t="shared" ca="1" si="859"/>
        <v>1600</v>
      </c>
      <c r="AP308" s="400">
        <f ca="1">IF(MAX(IF($C$6="No",ROUNDUP($C$3/$I308,0),ROUNDUP(($C$3+$I308)/$I308,0)),IF($C$6="No",ROUNDUP($C$4/$G308,0),ROUNDUP(($C$4+$G308)/$G308,0)),ROUNDUP('BVMS checklist'!$H$217/$J308,0))&gt;1,'BVMS checklist'!$J$224,'BVMS checklist'!$J$217)+MAX(IF($C$6="No",ROUNDUP($C$3/$I308,0),ROUNDUP(($C$3+$I308)/$I308,0)),IF($C$6="No",ROUNDUP($C$4/$G308,0),ROUNDUP(($C$4+$G308)/$G308,0)))+$C$5</f>
        <v>1</v>
      </c>
      <c r="AQ308" s="400" t="b">
        <f t="shared" ca="1" si="819"/>
        <v>1</v>
      </c>
      <c r="AR308" s="400" t="str">
        <f t="shared" ca="1" si="860"/>
        <v>Accepted</v>
      </c>
      <c r="AS308" s="398" t="str">
        <f t="shared" ca="1" si="845"/>
        <v>Yes</v>
      </c>
      <c r="AT308" s="398">
        <f t="shared" ca="1" si="861"/>
        <v>12</v>
      </c>
      <c r="AU308" s="398" t="str">
        <f t="shared" ca="1" si="831"/>
        <v>E-Series Base + 5x Expansion Unit, 72x4TB RAID5</v>
      </c>
      <c r="AV308" s="398">
        <f t="shared" ca="1" si="832"/>
        <v>12</v>
      </c>
      <c r="AW308" s="398">
        <f t="shared" ca="1" si="862"/>
        <v>2</v>
      </c>
      <c r="AX308" s="398">
        <f t="shared" ca="1" si="863"/>
        <v>576</v>
      </c>
      <c r="AY308" s="398">
        <f t="shared" ca="1" si="864"/>
        <v>491568</v>
      </c>
      <c r="AZ308" s="399">
        <f t="shared" si="888"/>
        <v>1691</v>
      </c>
      <c r="BA308" s="399">
        <f t="shared" si="889"/>
        <v>4</v>
      </c>
      <c r="BB308" s="483" t="e">
        <f t="shared" ca="1" si="833"/>
        <v>#DIV/0!</v>
      </c>
      <c r="BC308" s="400">
        <f ca="1">IF(MAX(IF($D$6="No",ROUNDUP($D$3/$I308,0),ROUNDUP(($D$3+$I308)/$I308,0)),IF($D$6="No",ROUNDUP($D$4/$G308,0),ROUNDUP(($D$4+$G308)/$G308,0)),ROUNDUP('BVMS checklist'!$H$217/$J308,0))&gt;1,'BVMS checklist'!$L$224,'BVMS checklist'!$L$217)</f>
        <v>0</v>
      </c>
      <c r="BD308" s="398">
        <f t="shared" ca="1" si="834"/>
        <v>2</v>
      </c>
      <c r="BE308" s="400">
        <f t="shared" si="835"/>
        <v>1</v>
      </c>
      <c r="BF308" s="400">
        <f t="shared" si="865"/>
        <v>1250</v>
      </c>
      <c r="BG308" s="400">
        <f t="shared" ca="1" si="846"/>
        <v>0</v>
      </c>
      <c r="BH308" s="398">
        <f t="shared" ca="1" si="866"/>
        <v>491568</v>
      </c>
      <c r="BI308" s="401" t="e">
        <f t="shared" ca="1" si="836"/>
        <v>#DIV/0!</v>
      </c>
      <c r="BJ308" s="398">
        <f t="shared" ca="1" si="867"/>
        <v>1600</v>
      </c>
      <c r="BK308" s="400">
        <f ca="1">IF(MAX(IF($D$6="No",ROUNDUP($D$3/$I308,0),ROUNDUP(($D$3+$I308)/$I308,0)),IF($D$6="No",ROUNDUP($D$4/$G308,0),ROUNDUP(($D$4+$G308)/$G308,0)),ROUNDUP('BVMS checklist'!$H$217/$J308,0))&gt;1,'BVMS checklist'!$L$224,'BVMS checklist'!$L$217)+MAX(IF($D$6="No",ROUNDUP($D$3/$I308,0),ROUNDUP(($D$3+$I308)/$I308,0)),IF($D$6="No",ROUNDUP($D$4/$G308,0),ROUNDUP(($D$4+$G308)/$G308,0)))+$D$5</f>
        <v>1</v>
      </c>
      <c r="BL308" s="400" t="b">
        <f t="shared" ca="1" si="820"/>
        <v>1</v>
      </c>
      <c r="BM308" s="400" t="str">
        <f t="shared" ca="1" si="868"/>
        <v>Accepted</v>
      </c>
      <c r="BN308" s="398" t="str">
        <f t="shared" ca="1" si="847"/>
        <v>Yes</v>
      </c>
      <c r="BO308" s="398">
        <f t="shared" ca="1" si="869"/>
        <v>12</v>
      </c>
      <c r="BP308" s="398" t="str">
        <f t="shared" ca="1" si="837"/>
        <v>E-Series Base + 5x Expansion Unit, 72x4TB RAID5</v>
      </c>
      <c r="BQ308" s="398">
        <f t="shared" ca="1" si="838"/>
        <v>12</v>
      </c>
      <c r="BR308" s="398">
        <f t="shared" ca="1" si="870"/>
        <v>2</v>
      </c>
      <c r="BS308" s="398">
        <f t="shared" ca="1" si="871"/>
        <v>576</v>
      </c>
      <c r="BT308" s="398">
        <f t="shared" ca="1" si="872"/>
        <v>491568</v>
      </c>
      <c r="BU308" s="399">
        <f t="shared" si="890"/>
        <v>1691</v>
      </c>
      <c r="BV308" s="399">
        <f t="shared" si="891"/>
        <v>4</v>
      </c>
      <c r="BW308" s="483" t="e">
        <f t="shared" ca="1" si="839"/>
        <v>#DIV/0!</v>
      </c>
      <c r="BX308" s="400">
        <f ca="1">IF(MAX(IF($E$6="No",ROUNDUP($E$3/$I308,0),ROUNDUP(($E$3+$I308)/$I308,0)),IF($E$6="No",ROUNDUP($E$4/$G308,0),ROUNDUP(($E$4+$G308)/$G308,0)),ROUNDUP('BVMS checklist'!$H$217/$J308,0))&gt;1,'BVMS checklist'!$N$224,'BVMS checklist'!$N$217)</f>
        <v>0</v>
      </c>
      <c r="BY308" s="398">
        <f t="shared" ca="1" si="840"/>
        <v>2</v>
      </c>
      <c r="BZ308" s="400">
        <f t="shared" ca="1" si="873"/>
        <v>2</v>
      </c>
      <c r="CA308" s="400">
        <f t="shared" ca="1" si="874"/>
        <v>2500</v>
      </c>
      <c r="CB308" s="400">
        <f t="shared" ca="1" si="848"/>
        <v>0</v>
      </c>
      <c r="CC308" s="398">
        <f t="shared" ca="1" si="875"/>
        <v>491568</v>
      </c>
      <c r="CD308" s="401" t="e">
        <f t="shared" ca="1" si="841"/>
        <v>#DIV/0!</v>
      </c>
      <c r="CE308" s="398">
        <f t="shared" ca="1" si="876"/>
        <v>1600</v>
      </c>
      <c r="CF308" s="400">
        <f ca="1">IF(MAX(IF($E$6="No",ROUNDUP($E$3/$I308,0),ROUNDUP(($E$3+$I308)/$I308,0)),IF($E$6="No",ROUNDUP($E$4/$G308,0),ROUNDUP(($E$4+$G308)/$G308,0)),ROUNDUP('BVMS checklist'!$H$217/$J308,0))&gt;1,'BVMS checklist'!$N$224,'BVMS checklist'!$N$217)+MAX(IF($E$6="No",ROUNDUP($E$3/$I308,0),ROUNDUP(($E$3+$I308)/$I308,0)),IF($E$6="No",ROUNDUP($E$4/$G308,0),ROUNDUP(($E$4+$G308)/$G308,0)))+$E$5</f>
        <v>1</v>
      </c>
      <c r="CG308" s="400" t="b">
        <f t="shared" ca="1" si="821"/>
        <v>1</v>
      </c>
      <c r="CH308" s="400" t="str">
        <f t="shared" ca="1" si="877"/>
        <v>Accepted</v>
      </c>
      <c r="CI308" s="398" t="str">
        <f t="shared" ca="1" si="849"/>
        <v>Yes</v>
      </c>
      <c r="CJ308" s="398">
        <f t="shared" ca="1" si="878"/>
        <v>12</v>
      </c>
      <c r="CK308" s="398" t="str">
        <f t="shared" ca="1" si="842"/>
        <v>E-Series Base + 5x Expansion Unit, 72x4TB RAID5</v>
      </c>
      <c r="CL308" s="398">
        <f t="shared" ca="1" si="843"/>
        <v>12</v>
      </c>
      <c r="CM308" s="398">
        <f t="shared" ca="1" si="879"/>
        <v>2</v>
      </c>
      <c r="CN308" s="398">
        <f t="shared" ca="1" si="880"/>
        <v>576</v>
      </c>
      <c r="CO308" s="398">
        <f t="shared" ca="1" si="881"/>
        <v>491568</v>
      </c>
      <c r="CP308" s="399">
        <f t="shared" si="892"/>
        <v>1691</v>
      </c>
      <c r="CQ308" s="399">
        <f t="shared" si="893"/>
        <v>4</v>
      </c>
      <c r="CR308" s="483" t="e">
        <f t="shared" ca="1" si="844"/>
        <v>#DIV/0!</v>
      </c>
      <c r="CS308"/>
    </row>
    <row r="309" spans="1:97">
      <c r="A309" s="398" t="s">
        <v>203</v>
      </c>
      <c r="B309" s="398" t="s">
        <v>988</v>
      </c>
      <c r="C309" s="440" t="s">
        <v>891</v>
      </c>
      <c r="D309" s="398">
        <v>1</v>
      </c>
      <c r="E309" s="398">
        <v>6</v>
      </c>
      <c r="F309" s="440">
        <v>0</v>
      </c>
      <c r="G309" s="398">
        <f t="shared" si="885"/>
        <v>286748</v>
      </c>
      <c r="H309" s="399">
        <v>336</v>
      </c>
      <c r="I309" s="399">
        <v>1250</v>
      </c>
      <c r="J309" s="399">
        <v>800</v>
      </c>
      <c r="K309" s="399">
        <v>1939</v>
      </c>
      <c r="L309" s="399">
        <v>4</v>
      </c>
      <c r="M309" s="400">
        <f ca="1">IF(MAX(IF($B$6="No",ROUNDUP($B$3/$I309,0),ROUNDUP(($B$3+$I309)/$I309,0)),IF($B$6="No",ROUNDUP($B$4/$G309,0),ROUNDUP(($B$4+$G309)/$G309,0)),ROUNDUP('BVMS checklist'!$H$217/$J309,0))&gt;1,'BVMS checklist'!$H$224,'BVMS checklist'!$H$217)</f>
        <v>0</v>
      </c>
      <c r="N309" s="398">
        <f t="shared" ca="1" si="822"/>
        <v>2</v>
      </c>
      <c r="O309" s="400">
        <f t="shared" ca="1" si="851"/>
        <v>2</v>
      </c>
      <c r="P309" s="400">
        <f t="shared" ca="1" si="813"/>
        <v>2500</v>
      </c>
      <c r="Q309" s="400">
        <f t="shared" ca="1" si="814"/>
        <v>0</v>
      </c>
      <c r="R309" s="398">
        <f t="shared" ca="1" si="815"/>
        <v>573496</v>
      </c>
      <c r="S309" s="401" t="e">
        <f t="shared" ca="1" si="823"/>
        <v>#DIV/0!</v>
      </c>
      <c r="T309" s="398">
        <f t="shared" ca="1" si="824"/>
        <v>1600</v>
      </c>
      <c r="U309" s="400">
        <f ca="1">IF(MAX(IF($B$6="No",ROUNDUP($B$3/$I309,0),ROUNDUP(($B$3+$I309)/$I309,0)),IF($B$6="No",ROUNDUP($B$4/$G309,0),ROUNDUP(($B$4+$G309)/$G309,0)),ROUNDUP('BVMS checklist'!$H$217/$J309,0))&gt;1,'BVMS checklist'!$H$224,'BVMS checklist'!$H$217)+MAX(IF($B$6="No",ROUNDUP($B$3/$I309,0),ROUNDUP(($B$3+$I309)/$I309,0)),IF($B$6="No",ROUNDUP($B$4/$G309,0),ROUNDUP(($B$4+$G309)/$G309,0)))+$B$5</f>
        <v>1</v>
      </c>
      <c r="V309" s="400" t="b">
        <f t="shared" ca="1" si="816"/>
        <v>1</v>
      </c>
      <c r="W309" s="400" t="str">
        <f t="shared" ca="1" si="852"/>
        <v>Accepted</v>
      </c>
      <c r="X309" s="398" t="str">
        <f t="shared" ca="1" si="825"/>
        <v>Yes</v>
      </c>
      <c r="Y309" s="398">
        <f t="shared" ca="1" si="826"/>
        <v>13</v>
      </c>
      <c r="Z309" s="398" t="str">
        <f t="shared" ca="1" si="827"/>
        <v>E-Series Base + 6x Expansion Unit, 84x4TB RAID5</v>
      </c>
      <c r="AA309" s="398">
        <f t="shared" ca="1" si="853"/>
        <v>13</v>
      </c>
      <c r="AB309" s="398">
        <f t="shared" ca="1" si="817"/>
        <v>2</v>
      </c>
      <c r="AC309" s="398">
        <f t="shared" ca="1" si="818"/>
        <v>672</v>
      </c>
      <c r="AD309" s="398">
        <f t="shared" ca="1" si="854"/>
        <v>573496</v>
      </c>
      <c r="AE309" s="399">
        <f t="shared" si="886"/>
        <v>1939</v>
      </c>
      <c r="AF309" s="399">
        <f t="shared" si="887"/>
        <v>4</v>
      </c>
      <c r="AG309" s="483" t="e">
        <f t="shared" ca="1" si="828"/>
        <v>#DIV/0!</v>
      </c>
      <c r="AH309" s="400">
        <f ca="1">IF(MAX(IF($C$6="No",ROUNDUP($C$3/$I309,0),ROUNDUP(($C$3+$I309)/$I309,0)),IF($C$6="No",ROUNDUP($C$4/$G309,0),ROUNDUP(($C$4+$G309)/$G309,0)),ROUNDUP('BVMS checklist'!$H$217/$J309,0))&gt;1,'BVMS checklist'!$J$224,'BVMS checklist'!$J$217)</f>
        <v>0</v>
      </c>
      <c r="AI309" s="398">
        <f t="shared" ca="1" si="829"/>
        <v>2</v>
      </c>
      <c r="AJ309" s="400">
        <f t="shared" ca="1" si="855"/>
        <v>2</v>
      </c>
      <c r="AK309" s="400">
        <f t="shared" ca="1" si="856"/>
        <v>2500</v>
      </c>
      <c r="AL309" s="400">
        <f t="shared" ca="1" si="857"/>
        <v>0</v>
      </c>
      <c r="AM309" s="398">
        <f t="shared" ca="1" si="858"/>
        <v>573496</v>
      </c>
      <c r="AN309" s="401" t="e">
        <f t="shared" ca="1" si="830"/>
        <v>#DIV/0!</v>
      </c>
      <c r="AO309" s="398">
        <f t="shared" ca="1" si="859"/>
        <v>1600</v>
      </c>
      <c r="AP309" s="400">
        <f ca="1">IF(MAX(IF($C$6="No",ROUNDUP($C$3/$I309,0),ROUNDUP(($C$3+$I309)/$I309,0)),IF($C$6="No",ROUNDUP($C$4/$G309,0),ROUNDUP(($C$4+$G309)/$G309,0)),ROUNDUP('BVMS checklist'!$H$217/$J309,0))&gt;1,'BVMS checklist'!$J$224,'BVMS checklist'!$J$217)+MAX(IF($C$6="No",ROUNDUP($C$3/$I309,0),ROUNDUP(($C$3+$I309)/$I309,0)),IF($C$6="No",ROUNDUP($C$4/$G309,0),ROUNDUP(($C$4+$G309)/$G309,0)))+$C$5</f>
        <v>1</v>
      </c>
      <c r="AQ309" s="400" t="b">
        <f t="shared" ca="1" si="819"/>
        <v>1</v>
      </c>
      <c r="AR309" s="400" t="str">
        <f t="shared" ca="1" si="860"/>
        <v>Accepted</v>
      </c>
      <c r="AS309" s="398" t="str">
        <f t="shared" ca="1" si="845"/>
        <v>Yes</v>
      </c>
      <c r="AT309" s="398">
        <f t="shared" ca="1" si="861"/>
        <v>13</v>
      </c>
      <c r="AU309" s="398" t="str">
        <f t="shared" ca="1" si="831"/>
        <v>E-Series Base + 6x Expansion Unit, 84x4TB RAID5</v>
      </c>
      <c r="AV309" s="398">
        <f t="shared" ca="1" si="832"/>
        <v>13</v>
      </c>
      <c r="AW309" s="398">
        <f t="shared" ca="1" si="862"/>
        <v>2</v>
      </c>
      <c r="AX309" s="398">
        <f t="shared" ca="1" si="863"/>
        <v>672</v>
      </c>
      <c r="AY309" s="398">
        <f t="shared" ca="1" si="864"/>
        <v>573496</v>
      </c>
      <c r="AZ309" s="399">
        <f t="shared" si="888"/>
        <v>1939</v>
      </c>
      <c r="BA309" s="399">
        <f t="shared" si="889"/>
        <v>4</v>
      </c>
      <c r="BB309" s="483" t="e">
        <f t="shared" ca="1" si="833"/>
        <v>#DIV/0!</v>
      </c>
      <c r="BC309" s="400">
        <f ca="1">IF(MAX(IF($D$6="No",ROUNDUP($D$3/$I309,0),ROUNDUP(($D$3+$I309)/$I309,0)),IF($D$6="No",ROUNDUP($D$4/$G309,0),ROUNDUP(($D$4+$G309)/$G309,0)),ROUNDUP('BVMS checklist'!$H$217/$J309,0))&gt;1,'BVMS checklist'!$L$224,'BVMS checklist'!$L$217)</f>
        <v>0</v>
      </c>
      <c r="BD309" s="398">
        <f t="shared" ca="1" si="834"/>
        <v>2</v>
      </c>
      <c r="BE309" s="400">
        <f t="shared" si="835"/>
        <v>1</v>
      </c>
      <c r="BF309" s="400">
        <f t="shared" si="865"/>
        <v>1250</v>
      </c>
      <c r="BG309" s="400">
        <f t="shared" ca="1" si="846"/>
        <v>0</v>
      </c>
      <c r="BH309" s="398">
        <f t="shared" ca="1" si="866"/>
        <v>573496</v>
      </c>
      <c r="BI309" s="401" t="e">
        <f t="shared" ca="1" si="836"/>
        <v>#DIV/0!</v>
      </c>
      <c r="BJ309" s="398">
        <f t="shared" ca="1" si="867"/>
        <v>1600</v>
      </c>
      <c r="BK309" s="400">
        <f ca="1">IF(MAX(IF($D$6="No",ROUNDUP($D$3/$I309,0),ROUNDUP(($D$3+$I309)/$I309,0)),IF($D$6="No",ROUNDUP($D$4/$G309,0),ROUNDUP(($D$4+$G309)/$G309,0)),ROUNDUP('BVMS checklist'!$H$217/$J309,0))&gt;1,'BVMS checklist'!$L$224,'BVMS checklist'!$L$217)+MAX(IF($D$6="No",ROUNDUP($D$3/$I309,0),ROUNDUP(($D$3+$I309)/$I309,0)),IF($D$6="No",ROUNDUP($D$4/$G309,0),ROUNDUP(($D$4+$G309)/$G309,0)))+$D$5</f>
        <v>1</v>
      </c>
      <c r="BL309" s="400" t="b">
        <f t="shared" ca="1" si="820"/>
        <v>1</v>
      </c>
      <c r="BM309" s="400" t="str">
        <f t="shared" ca="1" si="868"/>
        <v>Accepted</v>
      </c>
      <c r="BN309" s="398" t="str">
        <f t="shared" ca="1" si="847"/>
        <v>Yes</v>
      </c>
      <c r="BO309" s="398">
        <f t="shared" ca="1" si="869"/>
        <v>13</v>
      </c>
      <c r="BP309" s="398" t="str">
        <f t="shared" ca="1" si="837"/>
        <v>E-Series Base + 6x Expansion Unit, 84x4TB RAID5</v>
      </c>
      <c r="BQ309" s="398">
        <f t="shared" ca="1" si="838"/>
        <v>13</v>
      </c>
      <c r="BR309" s="398">
        <f t="shared" ca="1" si="870"/>
        <v>2</v>
      </c>
      <c r="BS309" s="398">
        <f t="shared" ca="1" si="871"/>
        <v>672</v>
      </c>
      <c r="BT309" s="398">
        <f t="shared" ca="1" si="872"/>
        <v>573496</v>
      </c>
      <c r="BU309" s="399">
        <f t="shared" si="890"/>
        <v>1939</v>
      </c>
      <c r="BV309" s="399">
        <f t="shared" si="891"/>
        <v>4</v>
      </c>
      <c r="BW309" s="483" t="e">
        <f t="shared" ca="1" si="839"/>
        <v>#DIV/0!</v>
      </c>
      <c r="BX309" s="400">
        <f ca="1">IF(MAX(IF($E$6="No",ROUNDUP($E$3/$I309,0),ROUNDUP(($E$3+$I309)/$I309,0)),IF($E$6="No",ROUNDUP($E$4/$G309,0),ROUNDUP(($E$4+$G309)/$G309,0)),ROUNDUP('BVMS checklist'!$H$217/$J309,0))&gt;1,'BVMS checklist'!$N$224,'BVMS checklist'!$N$217)</f>
        <v>0</v>
      </c>
      <c r="BY309" s="398">
        <f t="shared" ca="1" si="840"/>
        <v>2</v>
      </c>
      <c r="BZ309" s="400">
        <f t="shared" ca="1" si="873"/>
        <v>2</v>
      </c>
      <c r="CA309" s="400">
        <f t="shared" ca="1" si="874"/>
        <v>2500</v>
      </c>
      <c r="CB309" s="400">
        <f t="shared" ca="1" si="848"/>
        <v>0</v>
      </c>
      <c r="CC309" s="398">
        <f t="shared" ca="1" si="875"/>
        <v>573496</v>
      </c>
      <c r="CD309" s="401" t="e">
        <f t="shared" ca="1" si="841"/>
        <v>#DIV/0!</v>
      </c>
      <c r="CE309" s="398">
        <f t="shared" ca="1" si="876"/>
        <v>1600</v>
      </c>
      <c r="CF309" s="400">
        <f ca="1">IF(MAX(IF($E$6="No",ROUNDUP($E$3/$I309,0),ROUNDUP(($E$3+$I309)/$I309,0)),IF($E$6="No",ROUNDUP($E$4/$G309,0),ROUNDUP(($E$4+$G309)/$G309,0)),ROUNDUP('BVMS checklist'!$H$217/$J309,0))&gt;1,'BVMS checklist'!$N$224,'BVMS checklist'!$N$217)+MAX(IF($E$6="No",ROUNDUP($E$3/$I309,0),ROUNDUP(($E$3+$I309)/$I309,0)),IF($E$6="No",ROUNDUP($E$4/$G309,0),ROUNDUP(($E$4+$G309)/$G309,0)))+$E$5</f>
        <v>1</v>
      </c>
      <c r="CG309" s="400" t="b">
        <f t="shared" ca="1" si="821"/>
        <v>1</v>
      </c>
      <c r="CH309" s="400" t="str">
        <f t="shared" ca="1" si="877"/>
        <v>Accepted</v>
      </c>
      <c r="CI309" s="398" t="str">
        <f t="shared" ca="1" si="849"/>
        <v>Yes</v>
      </c>
      <c r="CJ309" s="398">
        <f t="shared" ca="1" si="878"/>
        <v>13</v>
      </c>
      <c r="CK309" s="398" t="str">
        <f t="shared" ca="1" si="842"/>
        <v>E-Series Base + 6x Expansion Unit, 84x4TB RAID5</v>
      </c>
      <c r="CL309" s="398">
        <f t="shared" ca="1" si="843"/>
        <v>13</v>
      </c>
      <c r="CM309" s="398">
        <f t="shared" ca="1" si="879"/>
        <v>2</v>
      </c>
      <c r="CN309" s="398">
        <f t="shared" ca="1" si="880"/>
        <v>672</v>
      </c>
      <c r="CO309" s="398">
        <f t="shared" ca="1" si="881"/>
        <v>573496</v>
      </c>
      <c r="CP309" s="399">
        <f t="shared" si="892"/>
        <v>1939</v>
      </c>
      <c r="CQ309" s="399">
        <f t="shared" si="893"/>
        <v>4</v>
      </c>
      <c r="CR309" s="483" t="e">
        <f t="shared" ca="1" si="844"/>
        <v>#DIV/0!</v>
      </c>
      <c r="CS309"/>
    </row>
    <row r="310" spans="1:97">
      <c r="A310" s="398" t="s">
        <v>204</v>
      </c>
      <c r="B310" s="398" t="s">
        <v>988</v>
      </c>
      <c r="C310" s="440" t="s">
        <v>891</v>
      </c>
      <c r="D310" s="398">
        <v>1</v>
      </c>
      <c r="E310" s="398">
        <v>7</v>
      </c>
      <c r="F310" s="440">
        <v>0</v>
      </c>
      <c r="G310" s="398">
        <f t="shared" si="885"/>
        <v>327712</v>
      </c>
      <c r="H310" s="399">
        <v>384</v>
      </c>
      <c r="I310" s="399">
        <v>1250</v>
      </c>
      <c r="J310" s="399">
        <v>800</v>
      </c>
      <c r="K310" s="399">
        <v>2187</v>
      </c>
      <c r="L310" s="399">
        <v>4</v>
      </c>
      <c r="M310" s="400">
        <f ca="1">IF(MAX(IF($B$6="No",ROUNDUP($B$3/$I310,0),ROUNDUP(($B$3+$I310)/$I310,0)),IF($B$6="No",ROUNDUP($B$4/$G310,0),ROUNDUP(($B$4+$G310)/$G310,0)),ROUNDUP('BVMS checklist'!$H$217/$J310,0))&gt;1,'BVMS checklist'!$H$224,'BVMS checklist'!$H$217)</f>
        <v>0</v>
      </c>
      <c r="N310" s="398">
        <f t="shared" ca="1" si="822"/>
        <v>2</v>
      </c>
      <c r="O310" s="400">
        <f t="shared" ca="1" si="851"/>
        <v>2</v>
      </c>
      <c r="P310" s="400">
        <f t="shared" ca="1" si="813"/>
        <v>2500</v>
      </c>
      <c r="Q310" s="400">
        <f t="shared" ca="1" si="814"/>
        <v>0</v>
      </c>
      <c r="R310" s="398">
        <f t="shared" ca="1" si="815"/>
        <v>655424</v>
      </c>
      <c r="S310" s="401" t="e">
        <f t="shared" ca="1" si="823"/>
        <v>#DIV/0!</v>
      </c>
      <c r="T310" s="398">
        <f t="shared" ca="1" si="824"/>
        <v>1600</v>
      </c>
      <c r="U310" s="400">
        <f ca="1">IF(MAX(IF($B$6="No",ROUNDUP($B$3/$I310,0),ROUNDUP(($B$3+$I310)/$I310,0)),IF($B$6="No",ROUNDUP($B$4/$G310,0),ROUNDUP(($B$4+$G310)/$G310,0)),ROUNDUP('BVMS checklist'!$H$217/$J310,0))&gt;1,'BVMS checklist'!$H$224,'BVMS checklist'!$H$217)+MAX(IF($B$6="No",ROUNDUP($B$3/$I310,0),ROUNDUP(($B$3+$I310)/$I310,0)),IF($B$6="No",ROUNDUP($B$4/$G310,0),ROUNDUP(($B$4+$G310)/$G310,0)))+$B$5</f>
        <v>1</v>
      </c>
      <c r="V310" s="400" t="b">
        <f t="shared" ca="1" si="816"/>
        <v>1</v>
      </c>
      <c r="W310" s="400" t="str">
        <f ca="1">IF(OR(AND($B$6="Yes",V310=TRUE),$B$6="No"),"Accepted","Not accepted")</f>
        <v>Accepted</v>
      </c>
      <c r="X310" s="398" t="str">
        <f t="shared" ca="1" si="825"/>
        <v>Yes</v>
      </c>
      <c r="Y310" s="398">
        <f t="shared" ca="1" si="826"/>
        <v>14</v>
      </c>
      <c r="Z310" s="398" t="str">
        <f t="shared" ca="1" si="827"/>
        <v>E-Series Base + 7x Expansion Unit, 96x4TB RAID5</v>
      </c>
      <c r="AA310" s="398">
        <f t="shared" ca="1" si="853"/>
        <v>14</v>
      </c>
      <c r="AB310" s="398">
        <f t="shared" ca="1" si="817"/>
        <v>2</v>
      </c>
      <c r="AC310" s="398">
        <f t="shared" ca="1" si="818"/>
        <v>768</v>
      </c>
      <c r="AD310" s="398">
        <f t="shared" ca="1" si="854"/>
        <v>655424</v>
      </c>
      <c r="AE310" s="399">
        <f t="shared" si="886"/>
        <v>2187</v>
      </c>
      <c r="AF310" s="399">
        <f t="shared" si="887"/>
        <v>4</v>
      </c>
      <c r="AG310" s="483" t="e">
        <f t="shared" ca="1" si="828"/>
        <v>#DIV/0!</v>
      </c>
      <c r="AH310" s="400">
        <f ca="1">IF(MAX(IF($C$6="No",ROUNDUP($C$3/$I310,0),ROUNDUP(($C$3+$I310)/$I310,0)),IF($C$6="No",ROUNDUP($C$4/$G310,0),ROUNDUP(($C$4+$G310)/$G310,0)),ROUNDUP('BVMS checklist'!$H$217/$J310,0))&gt;1,'BVMS checklist'!$J$224,'BVMS checklist'!$J$217)</f>
        <v>0</v>
      </c>
      <c r="AI310" s="398">
        <f t="shared" ca="1" si="829"/>
        <v>2</v>
      </c>
      <c r="AJ310" s="400">
        <f t="shared" ca="1" si="855"/>
        <v>2</v>
      </c>
      <c r="AK310" s="400">
        <f t="shared" ca="1" si="856"/>
        <v>2500</v>
      </c>
      <c r="AL310" s="400">
        <f t="shared" ca="1" si="857"/>
        <v>0</v>
      </c>
      <c r="AM310" s="398">
        <f t="shared" ca="1" si="858"/>
        <v>655424</v>
      </c>
      <c r="AN310" s="401" t="e">
        <f t="shared" ca="1" si="830"/>
        <v>#DIV/0!</v>
      </c>
      <c r="AO310" s="398">
        <f t="shared" ca="1" si="859"/>
        <v>1600</v>
      </c>
      <c r="AP310" s="400">
        <f ca="1">IF(MAX(IF($C$6="No",ROUNDUP($C$3/$I310,0),ROUNDUP(($C$3+$I310)/$I310,0)),IF($C$6="No",ROUNDUP($C$4/$G310,0),ROUNDUP(($C$4+$G310)/$G310,0)),ROUNDUP('BVMS checklist'!$H$217/$J310,0))&gt;1,'BVMS checklist'!$J$224,'BVMS checklist'!$J$217)+MAX(IF($C$6="No",ROUNDUP($C$3/$I310,0),ROUNDUP(($C$3+$I310)/$I310,0)),IF($C$6="No",ROUNDUP($C$4/$G310,0),ROUNDUP(($C$4+$G310)/$G310,0)))+$C$5</f>
        <v>1</v>
      </c>
      <c r="AQ310" s="400" t="b">
        <f t="shared" ca="1" si="819"/>
        <v>1</v>
      </c>
      <c r="AR310" s="400" t="str">
        <f t="shared" ca="1" si="860"/>
        <v>Accepted</v>
      </c>
      <c r="AS310" s="398" t="str">
        <f t="shared" ca="1" si="845"/>
        <v>Yes</v>
      </c>
      <c r="AT310" s="398">
        <f t="shared" ca="1" si="861"/>
        <v>14</v>
      </c>
      <c r="AU310" s="398" t="str">
        <f t="shared" ca="1" si="831"/>
        <v>E-Series Base + 7x Expansion Unit, 96x4TB RAID5</v>
      </c>
      <c r="AV310" s="398">
        <f t="shared" ca="1" si="832"/>
        <v>14</v>
      </c>
      <c r="AW310" s="398">
        <f t="shared" ca="1" si="862"/>
        <v>2</v>
      </c>
      <c r="AX310" s="398">
        <f t="shared" ca="1" si="863"/>
        <v>768</v>
      </c>
      <c r="AY310" s="398">
        <f t="shared" ca="1" si="864"/>
        <v>655424</v>
      </c>
      <c r="AZ310" s="399">
        <f t="shared" si="888"/>
        <v>2187</v>
      </c>
      <c r="BA310" s="399">
        <f t="shared" si="889"/>
        <v>4</v>
      </c>
      <c r="BB310" s="483" t="e">
        <f t="shared" ca="1" si="833"/>
        <v>#DIV/0!</v>
      </c>
      <c r="BC310" s="400">
        <f ca="1">IF(MAX(IF($D$6="No",ROUNDUP($D$3/$I310,0),ROUNDUP(($D$3+$I310)/$I310,0)),IF($D$6="No",ROUNDUP($D$4/$G310,0),ROUNDUP(($D$4+$G310)/$G310,0)),ROUNDUP('BVMS checklist'!$H$217/$J310,0))&gt;1,'BVMS checklist'!$L$224,'BVMS checklist'!$L$217)</f>
        <v>0</v>
      </c>
      <c r="BD310" s="398">
        <f t="shared" ca="1" si="834"/>
        <v>2</v>
      </c>
      <c r="BE310" s="400">
        <f t="shared" si="835"/>
        <v>1</v>
      </c>
      <c r="BF310" s="400">
        <f t="shared" si="865"/>
        <v>1250</v>
      </c>
      <c r="BG310" s="400">
        <f t="shared" ca="1" si="846"/>
        <v>0</v>
      </c>
      <c r="BH310" s="398">
        <f t="shared" ca="1" si="866"/>
        <v>655424</v>
      </c>
      <c r="BI310" s="401" t="e">
        <f t="shared" ca="1" si="836"/>
        <v>#DIV/0!</v>
      </c>
      <c r="BJ310" s="398">
        <f t="shared" ca="1" si="867"/>
        <v>1600</v>
      </c>
      <c r="BK310" s="400">
        <f ca="1">IF(MAX(IF($D$6="No",ROUNDUP($D$3/$I310,0),ROUNDUP(($D$3+$I310)/$I310,0)),IF($D$6="No",ROUNDUP($D$4/$G310,0),ROUNDUP(($D$4+$G310)/$G310,0)),ROUNDUP('BVMS checklist'!$H$217/$J310,0))&gt;1,'BVMS checklist'!$L$224,'BVMS checklist'!$L$217)+MAX(IF($D$6="No",ROUNDUP($D$3/$I310,0),ROUNDUP(($D$3+$I310)/$I310,0)),IF($D$6="No",ROUNDUP($D$4/$G310,0),ROUNDUP(($D$4+$G310)/$G310,0)))+$D$5</f>
        <v>1</v>
      </c>
      <c r="BL310" s="400" t="b">
        <f t="shared" ca="1" si="820"/>
        <v>1</v>
      </c>
      <c r="BM310" s="400" t="str">
        <f t="shared" ca="1" si="868"/>
        <v>Accepted</v>
      </c>
      <c r="BN310" s="398" t="str">
        <f t="shared" ca="1" si="847"/>
        <v>Yes</v>
      </c>
      <c r="BO310" s="398">
        <f t="shared" ca="1" si="869"/>
        <v>14</v>
      </c>
      <c r="BP310" s="398" t="str">
        <f t="shared" ca="1" si="837"/>
        <v>E-Series Base + 7x Expansion Unit, 96x4TB RAID5</v>
      </c>
      <c r="BQ310" s="398">
        <f t="shared" ca="1" si="838"/>
        <v>14</v>
      </c>
      <c r="BR310" s="398">
        <f t="shared" ca="1" si="870"/>
        <v>2</v>
      </c>
      <c r="BS310" s="398">
        <f t="shared" ca="1" si="871"/>
        <v>768</v>
      </c>
      <c r="BT310" s="398">
        <f t="shared" ca="1" si="872"/>
        <v>655424</v>
      </c>
      <c r="BU310" s="399">
        <f t="shared" si="890"/>
        <v>2187</v>
      </c>
      <c r="BV310" s="399">
        <f t="shared" si="891"/>
        <v>4</v>
      </c>
      <c r="BW310" s="483" t="e">
        <f t="shared" ca="1" si="839"/>
        <v>#DIV/0!</v>
      </c>
      <c r="BX310" s="400">
        <f ca="1">IF(MAX(IF($E$6="No",ROUNDUP($E$3/$I310,0),ROUNDUP(($E$3+$I310)/$I310,0)),IF($E$6="No",ROUNDUP($E$4/$G310,0),ROUNDUP(($E$4+$G310)/$G310,0)),ROUNDUP('BVMS checklist'!$H$217/$J310,0))&gt;1,'BVMS checklist'!$N$224,'BVMS checklist'!$N$217)</f>
        <v>0</v>
      </c>
      <c r="BY310" s="398">
        <f t="shared" ca="1" si="840"/>
        <v>2</v>
      </c>
      <c r="BZ310" s="400">
        <f t="shared" ca="1" si="873"/>
        <v>2</v>
      </c>
      <c r="CA310" s="400">
        <f t="shared" ca="1" si="874"/>
        <v>2500</v>
      </c>
      <c r="CB310" s="400">
        <f t="shared" ca="1" si="848"/>
        <v>0</v>
      </c>
      <c r="CC310" s="398">
        <f t="shared" ca="1" si="875"/>
        <v>655424</v>
      </c>
      <c r="CD310" s="401" t="e">
        <f t="shared" ca="1" si="841"/>
        <v>#DIV/0!</v>
      </c>
      <c r="CE310" s="398">
        <f t="shared" ca="1" si="876"/>
        <v>1600</v>
      </c>
      <c r="CF310" s="400">
        <f ca="1">IF(MAX(IF($E$6="No",ROUNDUP($E$3/$I310,0),ROUNDUP(($E$3+$I310)/$I310,0)),IF($E$6="No",ROUNDUP($E$4/$G310,0),ROUNDUP(($E$4+$G310)/$G310,0)),ROUNDUP('BVMS checklist'!$H$217/$J310,0))&gt;1,'BVMS checklist'!$N$224,'BVMS checklist'!$N$217)+MAX(IF($E$6="No",ROUNDUP($E$3/$I310,0),ROUNDUP(($E$3+$I310)/$I310,0)),IF($E$6="No",ROUNDUP($E$4/$G310,0),ROUNDUP(($E$4+$G310)/$G310,0)))+$E$5</f>
        <v>1</v>
      </c>
      <c r="CG310" s="400" t="b">
        <f t="shared" ca="1" si="821"/>
        <v>1</v>
      </c>
      <c r="CH310" s="400" t="str">
        <f t="shared" ca="1" si="877"/>
        <v>Accepted</v>
      </c>
      <c r="CI310" s="398" t="str">
        <f t="shared" ca="1" si="849"/>
        <v>Yes</v>
      </c>
      <c r="CJ310" s="398">
        <f t="shared" ca="1" si="878"/>
        <v>14</v>
      </c>
      <c r="CK310" s="398" t="str">
        <f t="shared" ca="1" si="842"/>
        <v>E-Series Base + 7x Expansion Unit, 96x4TB RAID5</v>
      </c>
      <c r="CL310" s="398">
        <f t="shared" ca="1" si="843"/>
        <v>14</v>
      </c>
      <c r="CM310" s="398">
        <f t="shared" ca="1" si="879"/>
        <v>2</v>
      </c>
      <c r="CN310" s="398">
        <f t="shared" ca="1" si="880"/>
        <v>768</v>
      </c>
      <c r="CO310" s="398">
        <f t="shared" ca="1" si="881"/>
        <v>655424</v>
      </c>
      <c r="CP310" s="399">
        <f t="shared" si="892"/>
        <v>2187</v>
      </c>
      <c r="CQ310" s="399">
        <f t="shared" si="893"/>
        <v>4</v>
      </c>
      <c r="CR310" s="483" t="e">
        <f t="shared" ca="1" si="844"/>
        <v>#DIV/0!</v>
      </c>
      <c r="CS310"/>
    </row>
    <row r="311" spans="1:97">
      <c r="A311" s="398" t="s">
        <v>456</v>
      </c>
      <c r="B311" s="398" t="s">
        <v>988</v>
      </c>
      <c r="C311" s="440" t="s">
        <v>891</v>
      </c>
      <c r="D311" s="398">
        <v>1</v>
      </c>
      <c r="E311" s="398">
        <v>0</v>
      </c>
      <c r="F311" s="440">
        <v>0</v>
      </c>
      <c r="G311" s="398">
        <f>IF(C311="RAID5",(11-F311)*7448,IF(C311="RAID6",(10-F311)*7448,IF(C311="DDP",(12*7448*0.7),"Error")))+IF(C311="RAID5",(11-F311)*7448,IF(C311="RAID6",(10-F311)*7448,IF(C311="DDP",(12*7448*0.7),"Error")))*E311</f>
        <v>81928</v>
      </c>
      <c r="H311" s="399">
        <v>96</v>
      </c>
      <c r="I311" s="399">
        <v>1250</v>
      </c>
      <c r="J311" s="399">
        <v>800</v>
      </c>
      <c r="K311" s="399">
        <v>451</v>
      </c>
      <c r="L311" s="399">
        <v>4</v>
      </c>
      <c r="M311" s="400">
        <f ca="1">IF(MAX(IF($B$6="No",ROUNDUP($B$3/$I311,0),ROUNDUP(($B$3+$I311)/$I311,0)),IF($B$6="No",ROUNDUP($B$4/$G311,0),ROUNDUP(($B$4+$G311)/$G311,0)),ROUNDUP('BVMS checklist'!$H$217/$J311,0))&gt;1,'BVMS checklist'!$H$224,'BVMS checklist'!$H$217)</f>
        <v>0</v>
      </c>
      <c r="N311" s="398">
        <f t="shared" ca="1" si="822"/>
        <v>2</v>
      </c>
      <c r="O311" s="400">
        <f t="shared" ca="1" si="851"/>
        <v>2</v>
      </c>
      <c r="P311" s="400">
        <f t="shared" ca="1" si="813"/>
        <v>2500</v>
      </c>
      <c r="Q311" s="400">
        <f t="shared" ca="1" si="814"/>
        <v>0</v>
      </c>
      <c r="R311" s="398">
        <f t="shared" ca="1" si="815"/>
        <v>163856</v>
      </c>
      <c r="S311" s="401" t="e">
        <f t="shared" ca="1" si="823"/>
        <v>#DIV/0!</v>
      </c>
      <c r="T311" s="398">
        <f t="shared" ca="1" si="824"/>
        <v>1600</v>
      </c>
      <c r="U311" s="400">
        <f ca="1">IF(MAX(IF($B$6="No",ROUNDUP($B$3/$I311,0),ROUNDUP(($B$3+$I311)/$I311,0)),IF($B$6="No",ROUNDUP($B$4/$G311,0),ROUNDUP(($B$4+$G311)/$G311,0)),ROUNDUP('BVMS checklist'!$H$217/$J311,0))&gt;1,'BVMS checklist'!$H$224,'BVMS checklist'!$H$217)+MAX(IF($B$6="No",ROUNDUP($B$3/$I311,0),ROUNDUP(($B$3+$I311)/$I311,0)),IF($B$6="No",ROUNDUP($B$4/$G311,0),ROUNDUP(($B$4+$G311)/$G311,0)))+$B$5</f>
        <v>1</v>
      </c>
      <c r="V311" s="400" t="b">
        <f t="shared" ca="1" si="816"/>
        <v>1</v>
      </c>
      <c r="W311" s="400" t="str">
        <f t="shared" ca="1" si="852"/>
        <v>Accepted</v>
      </c>
      <c r="X311" s="398" t="str">
        <f t="shared" ca="1" si="825"/>
        <v>Yes</v>
      </c>
      <c r="Y311" s="398">
        <f t="shared" ca="1" si="826"/>
        <v>15</v>
      </c>
      <c r="Z311" s="398" t="str">
        <f t="shared" ca="1" si="827"/>
        <v>E-Series Base Unit, 12 x 8 TB RAID5</v>
      </c>
      <c r="AA311" s="398">
        <f t="shared" ca="1" si="853"/>
        <v>15</v>
      </c>
      <c r="AB311" s="398">
        <f t="shared" ca="1" si="817"/>
        <v>2</v>
      </c>
      <c r="AC311" s="398">
        <f t="shared" ca="1" si="818"/>
        <v>192</v>
      </c>
      <c r="AD311" s="398">
        <f t="shared" ca="1" si="854"/>
        <v>163856</v>
      </c>
      <c r="AE311" s="399">
        <f t="shared" si="886"/>
        <v>451</v>
      </c>
      <c r="AF311" s="399">
        <f t="shared" si="887"/>
        <v>4</v>
      </c>
      <c r="AG311" s="483" t="e">
        <f t="shared" ca="1" si="828"/>
        <v>#DIV/0!</v>
      </c>
      <c r="AH311" s="400">
        <f ca="1">IF(MAX(IF($C$6="No",ROUNDUP($C$3/$I311,0),ROUNDUP(($C$3+$I311)/$I311,0)),IF($C$6="No",ROUNDUP($C$4/$G311,0),ROUNDUP(($C$4+$G311)/$G311,0)),ROUNDUP('BVMS checklist'!$H$217/$J311,0))&gt;1,'BVMS checklist'!$J$224,'BVMS checklist'!$J$217)</f>
        <v>0</v>
      </c>
      <c r="AI311" s="398">
        <f t="shared" ca="1" si="829"/>
        <v>2</v>
      </c>
      <c r="AJ311" s="400">
        <f t="shared" ca="1" si="855"/>
        <v>2</v>
      </c>
      <c r="AK311" s="400">
        <f t="shared" ca="1" si="856"/>
        <v>2500</v>
      </c>
      <c r="AL311" s="400">
        <f t="shared" ca="1" si="857"/>
        <v>0</v>
      </c>
      <c r="AM311" s="398">
        <f t="shared" ca="1" si="858"/>
        <v>163856</v>
      </c>
      <c r="AN311" s="401" t="e">
        <f t="shared" ca="1" si="830"/>
        <v>#DIV/0!</v>
      </c>
      <c r="AO311" s="398">
        <f t="shared" ca="1" si="859"/>
        <v>1600</v>
      </c>
      <c r="AP311" s="400">
        <f ca="1">IF(MAX(IF($C$6="No",ROUNDUP($C$3/$I311,0),ROUNDUP(($C$3+$I311)/$I311,0)),IF($C$6="No",ROUNDUP($C$4/$G311,0),ROUNDUP(($C$4+$G311)/$G311,0)),ROUNDUP('BVMS checklist'!$H$217/$J311,0))&gt;1,'BVMS checklist'!$J$224,'BVMS checklist'!$J$217)+MAX(IF($C$6="No",ROUNDUP($C$3/$I311,0),ROUNDUP(($C$3+$I311)/$I311,0)),IF($C$6="No",ROUNDUP($C$4/$G311,0),ROUNDUP(($C$4+$G311)/$G311,0)))+$C$5</f>
        <v>1</v>
      </c>
      <c r="AQ311" s="400" t="b">
        <f t="shared" ca="1" si="819"/>
        <v>1</v>
      </c>
      <c r="AR311" s="400" t="str">
        <f t="shared" ca="1" si="860"/>
        <v>Accepted</v>
      </c>
      <c r="AS311" s="398" t="str">
        <f t="shared" ca="1" si="845"/>
        <v>Yes</v>
      </c>
      <c r="AT311" s="398">
        <f t="shared" ca="1" si="861"/>
        <v>15</v>
      </c>
      <c r="AU311" s="398" t="str">
        <f t="shared" ca="1" si="831"/>
        <v>E-Series Base Unit, 12 x 8 TB RAID5</v>
      </c>
      <c r="AV311" s="398">
        <f t="shared" ca="1" si="832"/>
        <v>15</v>
      </c>
      <c r="AW311" s="398">
        <f t="shared" ca="1" si="862"/>
        <v>2</v>
      </c>
      <c r="AX311" s="398">
        <f t="shared" ca="1" si="863"/>
        <v>192</v>
      </c>
      <c r="AY311" s="398">
        <f t="shared" ca="1" si="864"/>
        <v>163856</v>
      </c>
      <c r="AZ311" s="399">
        <f t="shared" si="888"/>
        <v>451</v>
      </c>
      <c r="BA311" s="399">
        <f t="shared" si="889"/>
        <v>4</v>
      </c>
      <c r="BB311" s="483" t="e">
        <f t="shared" ca="1" si="833"/>
        <v>#DIV/0!</v>
      </c>
      <c r="BC311" s="400">
        <f ca="1">IF(MAX(IF($D$6="No",ROUNDUP($D$3/$I311,0),ROUNDUP(($D$3+$I311)/$I311,0)),IF($D$6="No",ROUNDUP($D$4/$G311,0),ROUNDUP(($D$4+$G311)/$G311,0)),ROUNDUP('BVMS checklist'!$H$217/$J311,0))&gt;1,'BVMS checklist'!$L$224,'BVMS checklist'!$L$217)</f>
        <v>0</v>
      </c>
      <c r="BD311" s="398">
        <f t="shared" ca="1" si="834"/>
        <v>2</v>
      </c>
      <c r="BE311" s="400">
        <f t="shared" si="835"/>
        <v>1</v>
      </c>
      <c r="BF311" s="400">
        <f t="shared" si="865"/>
        <v>1250</v>
      </c>
      <c r="BG311" s="400">
        <f t="shared" ca="1" si="846"/>
        <v>0</v>
      </c>
      <c r="BH311" s="398">
        <f t="shared" ca="1" si="866"/>
        <v>163856</v>
      </c>
      <c r="BI311" s="401" t="e">
        <f t="shared" ca="1" si="836"/>
        <v>#DIV/0!</v>
      </c>
      <c r="BJ311" s="398">
        <f t="shared" ca="1" si="867"/>
        <v>1600</v>
      </c>
      <c r="BK311" s="400">
        <f ca="1">IF(MAX(IF($D$6="No",ROUNDUP($D$3/$I311,0),ROUNDUP(($D$3+$I311)/$I311,0)),IF($D$6="No",ROUNDUP($D$4/$G311,0),ROUNDUP(($D$4+$G311)/$G311,0)),ROUNDUP('BVMS checklist'!$H$217/$J311,0))&gt;1,'BVMS checklist'!$L$224,'BVMS checklist'!$L$217)+MAX(IF($D$6="No",ROUNDUP($D$3/$I311,0),ROUNDUP(($D$3+$I311)/$I311,0)),IF($D$6="No",ROUNDUP($D$4/$G311,0),ROUNDUP(($D$4+$G311)/$G311,0)))+$D$5</f>
        <v>1</v>
      </c>
      <c r="BL311" s="400" t="b">
        <f t="shared" ca="1" si="820"/>
        <v>1</v>
      </c>
      <c r="BM311" s="400" t="str">
        <f t="shared" ca="1" si="868"/>
        <v>Accepted</v>
      </c>
      <c r="BN311" s="398" t="str">
        <f t="shared" ca="1" si="847"/>
        <v>Yes</v>
      </c>
      <c r="BO311" s="398">
        <f t="shared" ca="1" si="869"/>
        <v>15</v>
      </c>
      <c r="BP311" s="398" t="str">
        <f t="shared" ca="1" si="837"/>
        <v>E-Series Base Unit, 12 x 8 TB RAID5</v>
      </c>
      <c r="BQ311" s="398">
        <f t="shared" ca="1" si="838"/>
        <v>15</v>
      </c>
      <c r="BR311" s="398">
        <f t="shared" ca="1" si="870"/>
        <v>2</v>
      </c>
      <c r="BS311" s="398">
        <f t="shared" ca="1" si="871"/>
        <v>192</v>
      </c>
      <c r="BT311" s="398">
        <f t="shared" ca="1" si="872"/>
        <v>163856</v>
      </c>
      <c r="BU311" s="399">
        <f t="shared" si="890"/>
        <v>451</v>
      </c>
      <c r="BV311" s="399">
        <f t="shared" si="891"/>
        <v>4</v>
      </c>
      <c r="BW311" s="483" t="e">
        <f t="shared" ca="1" si="839"/>
        <v>#DIV/0!</v>
      </c>
      <c r="BX311" s="400">
        <f ca="1">IF(MAX(IF($E$6="No",ROUNDUP($E$3/$I311,0),ROUNDUP(($E$3+$I311)/$I311,0)),IF($E$6="No",ROUNDUP($E$4/$G311,0),ROUNDUP(($E$4+$G311)/$G311,0)),ROUNDUP('BVMS checklist'!$H$217/$J311,0))&gt;1,'BVMS checklist'!$N$224,'BVMS checklist'!$N$217)</f>
        <v>0</v>
      </c>
      <c r="BY311" s="398">
        <f t="shared" ca="1" si="840"/>
        <v>2</v>
      </c>
      <c r="BZ311" s="400">
        <f t="shared" ca="1" si="873"/>
        <v>2</v>
      </c>
      <c r="CA311" s="400">
        <f t="shared" ca="1" si="874"/>
        <v>2500</v>
      </c>
      <c r="CB311" s="400">
        <f t="shared" ca="1" si="848"/>
        <v>0</v>
      </c>
      <c r="CC311" s="398">
        <f t="shared" ca="1" si="875"/>
        <v>163856</v>
      </c>
      <c r="CD311" s="401" t="e">
        <f t="shared" ca="1" si="841"/>
        <v>#DIV/0!</v>
      </c>
      <c r="CE311" s="398">
        <f t="shared" ca="1" si="876"/>
        <v>1600</v>
      </c>
      <c r="CF311" s="400">
        <f ca="1">IF(MAX(IF($E$6="No",ROUNDUP($E$3/$I311,0),ROUNDUP(($E$3+$I311)/$I311,0)),IF($E$6="No",ROUNDUP($E$4/$G311,0),ROUNDUP(($E$4+$G311)/$G311,0)),ROUNDUP('BVMS checklist'!$H$217/$J311,0))&gt;1,'BVMS checklist'!$N$224,'BVMS checklist'!$N$217)+MAX(IF($E$6="No",ROUNDUP($E$3/$I311,0),ROUNDUP(($E$3+$I311)/$I311,0)),IF($E$6="No",ROUNDUP($E$4/$G311,0),ROUNDUP(($E$4+$G311)/$G311,0)))+$E$5</f>
        <v>1</v>
      </c>
      <c r="CG311" s="400" t="b">
        <f t="shared" ca="1" si="821"/>
        <v>1</v>
      </c>
      <c r="CH311" s="400" t="str">
        <f t="shared" ca="1" si="877"/>
        <v>Accepted</v>
      </c>
      <c r="CI311" s="398" t="str">
        <f t="shared" ca="1" si="849"/>
        <v>Yes</v>
      </c>
      <c r="CJ311" s="398">
        <f t="shared" ca="1" si="878"/>
        <v>15</v>
      </c>
      <c r="CK311" s="398" t="str">
        <f t="shared" ca="1" si="842"/>
        <v>E-Series Base Unit, 12 x 8 TB RAID5</v>
      </c>
      <c r="CL311" s="398">
        <f t="shared" ca="1" si="843"/>
        <v>15</v>
      </c>
      <c r="CM311" s="398">
        <f t="shared" ca="1" si="879"/>
        <v>2</v>
      </c>
      <c r="CN311" s="398">
        <f t="shared" ca="1" si="880"/>
        <v>192</v>
      </c>
      <c r="CO311" s="398">
        <f t="shared" ca="1" si="881"/>
        <v>163856</v>
      </c>
      <c r="CP311" s="399">
        <f t="shared" si="892"/>
        <v>451</v>
      </c>
      <c r="CQ311" s="399">
        <f t="shared" si="893"/>
        <v>4</v>
      </c>
      <c r="CR311" s="483" t="e">
        <f t="shared" ca="1" si="844"/>
        <v>#DIV/0!</v>
      </c>
      <c r="CS311"/>
    </row>
    <row r="312" spans="1:97">
      <c r="A312" s="398" t="s">
        <v>457</v>
      </c>
      <c r="B312" s="398" t="s">
        <v>988</v>
      </c>
      <c r="C312" s="440" t="s">
        <v>891</v>
      </c>
      <c r="D312" s="398">
        <v>1</v>
      </c>
      <c r="E312" s="398">
        <v>1</v>
      </c>
      <c r="F312" s="440">
        <v>0</v>
      </c>
      <c r="G312" s="398">
        <f t="shared" ref="G312:G318" si="894">IF(C312="RAID5",(11-F312)*7448,IF(C312="RAID6",(10-F312)*7448,IF(C312="DDP",(12*7448*0.7),"Error")))+IF(C312="RAID5",(11-F312)*7448,IF(C312="RAID6",(10-F312)*7448,IF(C312="DDP",(12*7448*0.7),"Error")))*E312</f>
        <v>163856</v>
      </c>
      <c r="H312" s="399">
        <v>192</v>
      </c>
      <c r="I312" s="399">
        <v>1250</v>
      </c>
      <c r="J312" s="399">
        <v>800</v>
      </c>
      <c r="K312" s="399">
        <v>699</v>
      </c>
      <c r="L312" s="399">
        <v>4</v>
      </c>
      <c r="M312" s="400">
        <f ca="1">IF(MAX(IF($B$6="No",ROUNDUP($B$3/$I312,0),ROUNDUP(($B$3+$I312)/$I312,0)),IF($B$6="No",ROUNDUP($B$4/$G312,0),ROUNDUP(($B$4+$G312)/$G312,0)),ROUNDUP('BVMS checklist'!$H$217/$J312,0))&gt;1,'BVMS checklist'!$H$224,'BVMS checklist'!$H$217)</f>
        <v>0</v>
      </c>
      <c r="N312" s="398">
        <f t="shared" ca="1" si="822"/>
        <v>2</v>
      </c>
      <c r="O312" s="400">
        <f t="shared" ca="1" si="851"/>
        <v>2</v>
      </c>
      <c r="P312" s="400">
        <f t="shared" ca="1" si="813"/>
        <v>2500</v>
      </c>
      <c r="Q312" s="400">
        <f t="shared" ca="1" si="814"/>
        <v>0</v>
      </c>
      <c r="R312" s="398">
        <f t="shared" ca="1" si="815"/>
        <v>327712</v>
      </c>
      <c r="S312" s="401" t="e">
        <f t="shared" ca="1" si="823"/>
        <v>#DIV/0!</v>
      </c>
      <c r="T312" s="398">
        <f t="shared" ca="1" si="824"/>
        <v>1600</v>
      </c>
      <c r="U312" s="400">
        <f ca="1">IF(MAX(IF($B$6="No",ROUNDUP($B$3/$I312,0),ROUNDUP(($B$3+$I312)/$I312,0)),IF($B$6="No",ROUNDUP($B$4/$G312,0),ROUNDUP(($B$4+$G312)/$G312,0)),ROUNDUP('BVMS checklist'!$H$217/$J312,0))&gt;1,'BVMS checklist'!$H$224,'BVMS checklist'!$H$217)+MAX(IF($B$6="No",ROUNDUP($B$3/$I312,0),ROUNDUP(($B$3+$I312)/$I312,0)),IF($B$6="No",ROUNDUP($B$4/$G312,0),ROUNDUP(($B$4+$G312)/$G312,0)))+$B$5</f>
        <v>1</v>
      </c>
      <c r="V312" s="400" t="b">
        <f t="shared" ca="1" si="816"/>
        <v>1</v>
      </c>
      <c r="W312" s="400" t="str">
        <f t="shared" ca="1" si="852"/>
        <v>Accepted</v>
      </c>
      <c r="X312" s="398" t="str">
        <f t="shared" ca="1" si="825"/>
        <v>Yes</v>
      </c>
      <c r="Y312" s="398">
        <f t="shared" ca="1" si="826"/>
        <v>16</v>
      </c>
      <c r="Z312" s="398" t="str">
        <f t="shared" ca="1" si="827"/>
        <v>E-Series Base + 1x Expansion Unit, 24x8TB RAID5</v>
      </c>
      <c r="AA312" s="398">
        <f t="shared" ca="1" si="853"/>
        <v>16</v>
      </c>
      <c r="AB312" s="398">
        <f t="shared" ca="1" si="817"/>
        <v>2</v>
      </c>
      <c r="AC312" s="398">
        <f t="shared" ca="1" si="818"/>
        <v>384</v>
      </c>
      <c r="AD312" s="398">
        <f t="shared" ca="1" si="854"/>
        <v>327712</v>
      </c>
      <c r="AE312" s="399">
        <f t="shared" si="886"/>
        <v>699</v>
      </c>
      <c r="AF312" s="399">
        <f t="shared" si="887"/>
        <v>4</v>
      </c>
      <c r="AG312" s="483" t="e">
        <f t="shared" ca="1" si="828"/>
        <v>#DIV/0!</v>
      </c>
      <c r="AH312" s="400">
        <f ca="1">IF(MAX(IF($C$6="No",ROUNDUP($C$3/$I312,0),ROUNDUP(($C$3+$I312)/$I312,0)),IF($C$6="No",ROUNDUP($C$4/$G312,0),ROUNDUP(($C$4+$G312)/$G312,0)),ROUNDUP('BVMS checklist'!$H$217/$J312,0))&gt;1,'BVMS checklist'!$J$224,'BVMS checklist'!$J$217)</f>
        <v>0</v>
      </c>
      <c r="AI312" s="398">
        <f t="shared" ca="1" si="829"/>
        <v>2</v>
      </c>
      <c r="AJ312" s="400">
        <f t="shared" ca="1" si="855"/>
        <v>2</v>
      </c>
      <c r="AK312" s="400">
        <f t="shared" ca="1" si="856"/>
        <v>2500</v>
      </c>
      <c r="AL312" s="400">
        <f t="shared" ca="1" si="857"/>
        <v>0</v>
      </c>
      <c r="AM312" s="398">
        <f t="shared" ca="1" si="858"/>
        <v>327712</v>
      </c>
      <c r="AN312" s="401" t="e">
        <f t="shared" ca="1" si="830"/>
        <v>#DIV/0!</v>
      </c>
      <c r="AO312" s="398">
        <f t="shared" ca="1" si="859"/>
        <v>1600</v>
      </c>
      <c r="AP312" s="400">
        <f ca="1">IF(MAX(IF($C$6="No",ROUNDUP($C$3/$I312,0),ROUNDUP(($C$3+$I312)/$I312,0)),IF($C$6="No",ROUNDUP($C$4/$G312,0),ROUNDUP(($C$4+$G312)/$G312,0)),ROUNDUP('BVMS checklist'!$H$217/$J312,0))&gt;1,'BVMS checklist'!$J$224,'BVMS checklist'!$J$217)+MAX(IF($C$6="No",ROUNDUP($C$3/$I312,0),ROUNDUP(($C$3+$I312)/$I312,0)),IF($C$6="No",ROUNDUP($C$4/$G312,0),ROUNDUP(($C$4+$G312)/$G312,0)))+$C$5</f>
        <v>1</v>
      </c>
      <c r="AQ312" s="400" t="b">
        <f t="shared" ca="1" si="819"/>
        <v>1</v>
      </c>
      <c r="AR312" s="400" t="str">
        <f t="shared" ca="1" si="860"/>
        <v>Accepted</v>
      </c>
      <c r="AS312" s="398" t="str">
        <f t="shared" ca="1" si="845"/>
        <v>Yes</v>
      </c>
      <c r="AT312" s="398">
        <f t="shared" ca="1" si="861"/>
        <v>16</v>
      </c>
      <c r="AU312" s="398" t="str">
        <f t="shared" ca="1" si="831"/>
        <v>E-Series Base + 1x Expansion Unit, 24x8TB RAID5</v>
      </c>
      <c r="AV312" s="398">
        <f t="shared" ca="1" si="832"/>
        <v>16</v>
      </c>
      <c r="AW312" s="398">
        <f t="shared" ca="1" si="862"/>
        <v>2</v>
      </c>
      <c r="AX312" s="398">
        <f t="shared" ca="1" si="863"/>
        <v>384</v>
      </c>
      <c r="AY312" s="398">
        <f t="shared" ca="1" si="864"/>
        <v>327712</v>
      </c>
      <c r="AZ312" s="399">
        <f t="shared" si="888"/>
        <v>699</v>
      </c>
      <c r="BA312" s="399">
        <f t="shared" si="889"/>
        <v>4</v>
      </c>
      <c r="BB312" s="483" t="e">
        <f t="shared" ca="1" si="833"/>
        <v>#DIV/0!</v>
      </c>
      <c r="BC312" s="400">
        <f ca="1">IF(MAX(IF($D$6="No",ROUNDUP($D$3/$I312,0),ROUNDUP(($D$3+$I312)/$I312,0)),IF($D$6="No",ROUNDUP($D$4/$G312,0),ROUNDUP(($D$4+$G312)/$G312,0)),ROUNDUP('BVMS checklist'!$H$217/$J312,0))&gt;1,'BVMS checklist'!$L$224,'BVMS checklist'!$L$217)</f>
        <v>0</v>
      </c>
      <c r="BD312" s="398">
        <f t="shared" ca="1" si="834"/>
        <v>2</v>
      </c>
      <c r="BE312" s="400">
        <f t="shared" si="835"/>
        <v>1</v>
      </c>
      <c r="BF312" s="400">
        <f t="shared" si="865"/>
        <v>1250</v>
      </c>
      <c r="BG312" s="400">
        <f t="shared" ca="1" si="846"/>
        <v>0</v>
      </c>
      <c r="BH312" s="398">
        <f t="shared" ca="1" si="866"/>
        <v>327712</v>
      </c>
      <c r="BI312" s="401" t="e">
        <f t="shared" ca="1" si="836"/>
        <v>#DIV/0!</v>
      </c>
      <c r="BJ312" s="398">
        <f t="shared" ca="1" si="867"/>
        <v>1600</v>
      </c>
      <c r="BK312" s="400">
        <f ca="1">IF(MAX(IF($D$6="No",ROUNDUP($D$3/$I312,0),ROUNDUP(($D$3+$I312)/$I312,0)),IF($D$6="No",ROUNDUP($D$4/$G312,0),ROUNDUP(($D$4+$G312)/$G312,0)),ROUNDUP('BVMS checklist'!$H$217/$J312,0))&gt;1,'BVMS checklist'!$L$224,'BVMS checklist'!$L$217)+MAX(IF($D$6="No",ROUNDUP($D$3/$I312,0),ROUNDUP(($D$3+$I312)/$I312,0)),IF($D$6="No",ROUNDUP($D$4/$G312,0),ROUNDUP(($D$4+$G312)/$G312,0)))+$D$5</f>
        <v>1</v>
      </c>
      <c r="BL312" s="400" t="b">
        <f t="shared" ca="1" si="820"/>
        <v>1</v>
      </c>
      <c r="BM312" s="400" t="str">
        <f t="shared" ca="1" si="868"/>
        <v>Accepted</v>
      </c>
      <c r="BN312" s="398" t="str">
        <f t="shared" ca="1" si="847"/>
        <v>Yes</v>
      </c>
      <c r="BO312" s="398">
        <f t="shared" ca="1" si="869"/>
        <v>16</v>
      </c>
      <c r="BP312" s="398" t="str">
        <f t="shared" ca="1" si="837"/>
        <v>E-Series Base + 1x Expansion Unit, 24x8TB RAID5</v>
      </c>
      <c r="BQ312" s="398">
        <f t="shared" ca="1" si="838"/>
        <v>16</v>
      </c>
      <c r="BR312" s="398">
        <f t="shared" ca="1" si="870"/>
        <v>2</v>
      </c>
      <c r="BS312" s="398">
        <f t="shared" ca="1" si="871"/>
        <v>384</v>
      </c>
      <c r="BT312" s="398">
        <f t="shared" ca="1" si="872"/>
        <v>327712</v>
      </c>
      <c r="BU312" s="399">
        <f t="shared" si="890"/>
        <v>699</v>
      </c>
      <c r="BV312" s="399">
        <f t="shared" si="891"/>
        <v>4</v>
      </c>
      <c r="BW312" s="483" t="e">
        <f t="shared" ca="1" si="839"/>
        <v>#DIV/0!</v>
      </c>
      <c r="BX312" s="400">
        <f ca="1">IF(MAX(IF($E$6="No",ROUNDUP($E$3/$I312,0),ROUNDUP(($E$3+$I312)/$I312,0)),IF($E$6="No",ROUNDUP($E$4/$G312,0),ROUNDUP(($E$4+$G312)/$G312,0)),ROUNDUP('BVMS checklist'!$H$217/$J312,0))&gt;1,'BVMS checklist'!$N$224,'BVMS checklist'!$N$217)</f>
        <v>0</v>
      </c>
      <c r="BY312" s="398">
        <f t="shared" ca="1" si="840"/>
        <v>2</v>
      </c>
      <c r="BZ312" s="400">
        <f t="shared" ca="1" si="873"/>
        <v>2</v>
      </c>
      <c r="CA312" s="400">
        <f t="shared" ca="1" si="874"/>
        <v>2500</v>
      </c>
      <c r="CB312" s="400">
        <f t="shared" ca="1" si="848"/>
        <v>0</v>
      </c>
      <c r="CC312" s="398">
        <f t="shared" ca="1" si="875"/>
        <v>327712</v>
      </c>
      <c r="CD312" s="401" t="e">
        <f t="shared" ca="1" si="841"/>
        <v>#DIV/0!</v>
      </c>
      <c r="CE312" s="398">
        <f t="shared" ca="1" si="876"/>
        <v>1600</v>
      </c>
      <c r="CF312" s="400">
        <f ca="1">IF(MAX(IF($E$6="No",ROUNDUP($E$3/$I312,0),ROUNDUP(($E$3+$I312)/$I312,0)),IF($E$6="No",ROUNDUP($E$4/$G312,0),ROUNDUP(($E$4+$G312)/$G312,0)),ROUNDUP('BVMS checklist'!$H$217/$J312,0))&gt;1,'BVMS checklist'!$N$224,'BVMS checklist'!$N$217)+MAX(IF($E$6="No",ROUNDUP($E$3/$I312,0),ROUNDUP(($E$3+$I312)/$I312,0)),IF($E$6="No",ROUNDUP($E$4/$G312,0),ROUNDUP(($E$4+$G312)/$G312,0)))+$E$5</f>
        <v>1</v>
      </c>
      <c r="CG312" s="400" t="b">
        <f t="shared" ca="1" si="821"/>
        <v>1</v>
      </c>
      <c r="CH312" s="400" t="str">
        <f t="shared" ca="1" si="877"/>
        <v>Accepted</v>
      </c>
      <c r="CI312" s="398" t="str">
        <f t="shared" ca="1" si="849"/>
        <v>Yes</v>
      </c>
      <c r="CJ312" s="398">
        <f t="shared" ca="1" si="878"/>
        <v>16</v>
      </c>
      <c r="CK312" s="398" t="str">
        <f t="shared" ca="1" si="842"/>
        <v>E-Series Base + 1x Expansion Unit, 24x8TB RAID5</v>
      </c>
      <c r="CL312" s="398">
        <f t="shared" ca="1" si="843"/>
        <v>16</v>
      </c>
      <c r="CM312" s="398">
        <f t="shared" ca="1" si="879"/>
        <v>2</v>
      </c>
      <c r="CN312" s="398">
        <f t="shared" ca="1" si="880"/>
        <v>384</v>
      </c>
      <c r="CO312" s="398">
        <f t="shared" ca="1" si="881"/>
        <v>327712</v>
      </c>
      <c r="CP312" s="399">
        <f t="shared" si="892"/>
        <v>699</v>
      </c>
      <c r="CQ312" s="399">
        <f t="shared" si="893"/>
        <v>4</v>
      </c>
      <c r="CR312" s="483" t="e">
        <f t="shared" ca="1" si="844"/>
        <v>#DIV/0!</v>
      </c>
      <c r="CS312"/>
    </row>
    <row r="313" spans="1:97">
      <c r="A313" s="398" t="s">
        <v>458</v>
      </c>
      <c r="B313" s="398" t="s">
        <v>988</v>
      </c>
      <c r="C313" s="440" t="s">
        <v>891</v>
      </c>
      <c r="D313" s="398">
        <v>1</v>
      </c>
      <c r="E313" s="398">
        <v>2</v>
      </c>
      <c r="F313" s="440">
        <v>0</v>
      </c>
      <c r="G313" s="398">
        <f t="shared" si="894"/>
        <v>245784</v>
      </c>
      <c r="H313" s="399">
        <v>288</v>
      </c>
      <c r="I313" s="399">
        <v>1250</v>
      </c>
      <c r="J313" s="399">
        <v>800</v>
      </c>
      <c r="K313" s="399">
        <v>947</v>
      </c>
      <c r="L313" s="399">
        <v>4</v>
      </c>
      <c r="M313" s="400">
        <f ca="1">IF(MAX(IF($B$6="No",ROUNDUP($B$3/$I313,0),ROUNDUP(($B$3+$I313)/$I313,0)),IF($B$6="No",ROUNDUP($B$4/$G313,0),ROUNDUP(($B$4+$G313)/$G313,0)),ROUNDUP('BVMS checklist'!$H$217/$J313,0))&gt;1,'BVMS checklist'!$H$224,'BVMS checklist'!$H$217)</f>
        <v>0</v>
      </c>
      <c r="N313" s="398">
        <f t="shared" ca="1" si="822"/>
        <v>2</v>
      </c>
      <c r="O313" s="400">
        <f t="shared" ca="1" si="851"/>
        <v>2</v>
      </c>
      <c r="P313" s="400">
        <f t="shared" ca="1" si="813"/>
        <v>2500</v>
      </c>
      <c r="Q313" s="400">
        <f t="shared" ca="1" si="814"/>
        <v>0</v>
      </c>
      <c r="R313" s="398">
        <f t="shared" ca="1" si="815"/>
        <v>491568</v>
      </c>
      <c r="S313" s="401" t="e">
        <f t="shared" ca="1" si="823"/>
        <v>#DIV/0!</v>
      </c>
      <c r="T313" s="398">
        <f t="shared" ca="1" si="824"/>
        <v>1600</v>
      </c>
      <c r="U313" s="400">
        <f ca="1">IF(MAX(IF($B$6="No",ROUNDUP($B$3/$I313,0),ROUNDUP(($B$3+$I313)/$I313,0)),IF($B$6="No",ROUNDUP($B$4/$G313,0),ROUNDUP(($B$4+$G313)/$G313,0)),ROUNDUP('BVMS checklist'!$H$217/$J313,0))&gt;1,'BVMS checklist'!$H$224,'BVMS checklist'!$H$217)+MAX(IF($B$6="No",ROUNDUP($B$3/$I313,0),ROUNDUP(($B$3+$I313)/$I313,0)),IF($B$6="No",ROUNDUP($B$4/$G313,0),ROUNDUP(($B$4+$G313)/$G313,0)))+$B$5</f>
        <v>1</v>
      </c>
      <c r="V313" s="400" t="b">
        <f t="shared" ca="1" si="816"/>
        <v>1</v>
      </c>
      <c r="W313" s="400" t="str">
        <f t="shared" ca="1" si="852"/>
        <v>Accepted</v>
      </c>
      <c r="X313" s="398" t="str">
        <f t="shared" ca="1" si="825"/>
        <v>Yes</v>
      </c>
      <c r="Y313" s="398">
        <f t="shared" ca="1" si="826"/>
        <v>17</v>
      </c>
      <c r="Z313" s="398" t="str">
        <f t="shared" ca="1" si="827"/>
        <v>E-Series Base + 2x Expansion Unit, 36x8TB RAID5</v>
      </c>
      <c r="AA313" s="398">
        <f t="shared" ca="1" si="853"/>
        <v>17</v>
      </c>
      <c r="AB313" s="398">
        <f t="shared" ca="1" si="817"/>
        <v>2</v>
      </c>
      <c r="AC313" s="398">
        <f t="shared" ca="1" si="818"/>
        <v>576</v>
      </c>
      <c r="AD313" s="398">
        <f t="shared" ca="1" si="854"/>
        <v>491568</v>
      </c>
      <c r="AE313" s="399">
        <f t="shared" si="886"/>
        <v>947</v>
      </c>
      <c r="AF313" s="399">
        <f t="shared" si="887"/>
        <v>4</v>
      </c>
      <c r="AG313" s="483" t="e">
        <f t="shared" ca="1" si="828"/>
        <v>#DIV/0!</v>
      </c>
      <c r="AH313" s="400">
        <f ca="1">IF(MAX(IF($C$6="No",ROUNDUP($C$3/$I313,0),ROUNDUP(($C$3+$I313)/$I313,0)),IF($C$6="No",ROUNDUP($C$4/$G313,0),ROUNDUP(($C$4+$G313)/$G313,0)),ROUNDUP('BVMS checklist'!$H$217/$J313,0))&gt;1,'BVMS checklist'!$J$224,'BVMS checklist'!$J$217)</f>
        <v>0</v>
      </c>
      <c r="AI313" s="398">
        <f t="shared" ca="1" si="829"/>
        <v>2</v>
      </c>
      <c r="AJ313" s="400">
        <f t="shared" ca="1" si="855"/>
        <v>2</v>
      </c>
      <c r="AK313" s="400">
        <f t="shared" ca="1" si="856"/>
        <v>2500</v>
      </c>
      <c r="AL313" s="400">
        <f t="shared" ca="1" si="857"/>
        <v>0</v>
      </c>
      <c r="AM313" s="398">
        <f t="shared" ca="1" si="858"/>
        <v>491568</v>
      </c>
      <c r="AN313" s="401" t="e">
        <f t="shared" ca="1" si="830"/>
        <v>#DIV/0!</v>
      </c>
      <c r="AO313" s="398">
        <f t="shared" ca="1" si="859"/>
        <v>1600</v>
      </c>
      <c r="AP313" s="400">
        <f ca="1">IF(MAX(IF($C$6="No",ROUNDUP($C$3/$I313,0),ROUNDUP(($C$3+$I313)/$I313,0)),IF($C$6="No",ROUNDUP($C$4/$G313,0),ROUNDUP(($C$4+$G313)/$G313,0)),ROUNDUP('BVMS checklist'!$H$217/$J313,0))&gt;1,'BVMS checklist'!$J$224,'BVMS checklist'!$J$217)+MAX(IF($C$6="No",ROUNDUP($C$3/$I313,0),ROUNDUP(($C$3+$I313)/$I313,0)),IF($C$6="No",ROUNDUP($C$4/$G313,0),ROUNDUP(($C$4+$G313)/$G313,0)))+$C$5</f>
        <v>1</v>
      </c>
      <c r="AQ313" s="400" t="b">
        <f t="shared" ca="1" si="819"/>
        <v>1</v>
      </c>
      <c r="AR313" s="400" t="str">
        <f t="shared" ca="1" si="860"/>
        <v>Accepted</v>
      </c>
      <c r="AS313" s="398" t="str">
        <f t="shared" ca="1" si="845"/>
        <v>Yes</v>
      </c>
      <c r="AT313" s="398">
        <f t="shared" ca="1" si="861"/>
        <v>17</v>
      </c>
      <c r="AU313" s="398" t="str">
        <f t="shared" ca="1" si="831"/>
        <v>E-Series Base + 2x Expansion Unit, 36x8TB RAID5</v>
      </c>
      <c r="AV313" s="398">
        <f t="shared" ca="1" si="832"/>
        <v>17</v>
      </c>
      <c r="AW313" s="398">
        <f t="shared" ca="1" si="862"/>
        <v>2</v>
      </c>
      <c r="AX313" s="398">
        <f t="shared" ca="1" si="863"/>
        <v>576</v>
      </c>
      <c r="AY313" s="398">
        <f t="shared" ca="1" si="864"/>
        <v>491568</v>
      </c>
      <c r="AZ313" s="399">
        <f t="shared" si="888"/>
        <v>947</v>
      </c>
      <c r="BA313" s="399">
        <f t="shared" si="889"/>
        <v>4</v>
      </c>
      <c r="BB313" s="483" t="e">
        <f t="shared" ca="1" si="833"/>
        <v>#DIV/0!</v>
      </c>
      <c r="BC313" s="400">
        <f ca="1">IF(MAX(IF($D$6="No",ROUNDUP($D$3/$I313,0),ROUNDUP(($D$3+$I313)/$I313,0)),IF($D$6="No",ROUNDUP($D$4/$G313,0),ROUNDUP(($D$4+$G313)/$G313,0)),ROUNDUP('BVMS checklist'!$H$217/$J313,0))&gt;1,'BVMS checklist'!$L$224,'BVMS checklist'!$L$217)</f>
        <v>0</v>
      </c>
      <c r="BD313" s="398">
        <f t="shared" ca="1" si="834"/>
        <v>2</v>
      </c>
      <c r="BE313" s="400">
        <f t="shared" si="835"/>
        <v>1</v>
      </c>
      <c r="BF313" s="400">
        <f t="shared" si="865"/>
        <v>1250</v>
      </c>
      <c r="BG313" s="400">
        <f t="shared" ca="1" si="846"/>
        <v>0</v>
      </c>
      <c r="BH313" s="398">
        <f t="shared" ca="1" si="866"/>
        <v>491568</v>
      </c>
      <c r="BI313" s="401" t="e">
        <f t="shared" ca="1" si="836"/>
        <v>#DIV/0!</v>
      </c>
      <c r="BJ313" s="398">
        <f t="shared" ca="1" si="867"/>
        <v>1600</v>
      </c>
      <c r="BK313" s="400">
        <f ca="1">IF(MAX(IF($D$6="No",ROUNDUP($D$3/$I313,0),ROUNDUP(($D$3+$I313)/$I313,0)),IF($D$6="No",ROUNDUP($D$4/$G313,0),ROUNDUP(($D$4+$G313)/$G313,0)),ROUNDUP('BVMS checklist'!$H$217/$J313,0))&gt;1,'BVMS checklist'!$L$224,'BVMS checklist'!$L$217)+MAX(IF($D$6="No",ROUNDUP($D$3/$I313,0),ROUNDUP(($D$3+$I313)/$I313,0)),IF($D$6="No",ROUNDUP($D$4/$G313,0),ROUNDUP(($D$4+$G313)/$G313,0)))+$D$5</f>
        <v>1</v>
      </c>
      <c r="BL313" s="400" t="b">
        <f t="shared" ca="1" si="820"/>
        <v>1</v>
      </c>
      <c r="BM313" s="400" t="str">
        <f t="shared" ca="1" si="868"/>
        <v>Accepted</v>
      </c>
      <c r="BN313" s="398" t="str">
        <f t="shared" ca="1" si="847"/>
        <v>Yes</v>
      </c>
      <c r="BO313" s="398">
        <f t="shared" ca="1" si="869"/>
        <v>17</v>
      </c>
      <c r="BP313" s="398" t="str">
        <f t="shared" ca="1" si="837"/>
        <v>E-Series Base + 2x Expansion Unit, 36x8TB RAID5</v>
      </c>
      <c r="BQ313" s="398">
        <f t="shared" ca="1" si="838"/>
        <v>17</v>
      </c>
      <c r="BR313" s="398">
        <f t="shared" ca="1" si="870"/>
        <v>2</v>
      </c>
      <c r="BS313" s="398">
        <f t="shared" ca="1" si="871"/>
        <v>576</v>
      </c>
      <c r="BT313" s="398">
        <f t="shared" ca="1" si="872"/>
        <v>491568</v>
      </c>
      <c r="BU313" s="399">
        <f t="shared" si="890"/>
        <v>947</v>
      </c>
      <c r="BV313" s="399">
        <f t="shared" si="891"/>
        <v>4</v>
      </c>
      <c r="BW313" s="483" t="e">
        <f t="shared" ca="1" si="839"/>
        <v>#DIV/0!</v>
      </c>
      <c r="BX313" s="400">
        <f ca="1">IF(MAX(IF($E$6="No",ROUNDUP($E$3/$I313,0),ROUNDUP(($E$3+$I313)/$I313,0)),IF($E$6="No",ROUNDUP($E$4/$G313,0),ROUNDUP(($E$4+$G313)/$G313,0)),ROUNDUP('BVMS checklist'!$H$217/$J313,0))&gt;1,'BVMS checklist'!$N$224,'BVMS checklist'!$N$217)</f>
        <v>0</v>
      </c>
      <c r="BY313" s="398">
        <f t="shared" ca="1" si="840"/>
        <v>2</v>
      </c>
      <c r="BZ313" s="400">
        <f t="shared" ca="1" si="873"/>
        <v>2</v>
      </c>
      <c r="CA313" s="400">
        <f t="shared" ca="1" si="874"/>
        <v>2500</v>
      </c>
      <c r="CB313" s="400">
        <f t="shared" ca="1" si="848"/>
        <v>0</v>
      </c>
      <c r="CC313" s="398">
        <f t="shared" ca="1" si="875"/>
        <v>491568</v>
      </c>
      <c r="CD313" s="401" t="e">
        <f t="shared" ca="1" si="841"/>
        <v>#DIV/0!</v>
      </c>
      <c r="CE313" s="398">
        <f t="shared" ca="1" si="876"/>
        <v>1600</v>
      </c>
      <c r="CF313" s="400">
        <f ca="1">IF(MAX(IF($E$6="No",ROUNDUP($E$3/$I313,0),ROUNDUP(($E$3+$I313)/$I313,0)),IF($E$6="No",ROUNDUP($E$4/$G313,0),ROUNDUP(($E$4+$G313)/$G313,0)),ROUNDUP('BVMS checklist'!$H$217/$J313,0))&gt;1,'BVMS checklist'!$N$224,'BVMS checklist'!$N$217)+MAX(IF($E$6="No",ROUNDUP($E$3/$I313,0),ROUNDUP(($E$3+$I313)/$I313,0)),IF($E$6="No",ROUNDUP($E$4/$G313,0),ROUNDUP(($E$4+$G313)/$G313,0)))+$E$5</f>
        <v>1</v>
      </c>
      <c r="CG313" s="400" t="b">
        <f t="shared" ca="1" si="821"/>
        <v>1</v>
      </c>
      <c r="CH313" s="400" t="str">
        <f t="shared" ca="1" si="877"/>
        <v>Accepted</v>
      </c>
      <c r="CI313" s="398" t="str">
        <f t="shared" ca="1" si="849"/>
        <v>Yes</v>
      </c>
      <c r="CJ313" s="398">
        <f t="shared" ca="1" si="878"/>
        <v>17</v>
      </c>
      <c r="CK313" s="398" t="str">
        <f t="shared" ca="1" si="842"/>
        <v>E-Series Base + 2x Expansion Unit, 36x8TB RAID5</v>
      </c>
      <c r="CL313" s="398">
        <f t="shared" ca="1" si="843"/>
        <v>17</v>
      </c>
      <c r="CM313" s="398">
        <f t="shared" ca="1" si="879"/>
        <v>2</v>
      </c>
      <c r="CN313" s="398">
        <f t="shared" ca="1" si="880"/>
        <v>576</v>
      </c>
      <c r="CO313" s="398">
        <f t="shared" ca="1" si="881"/>
        <v>491568</v>
      </c>
      <c r="CP313" s="399">
        <f t="shared" si="892"/>
        <v>947</v>
      </c>
      <c r="CQ313" s="399">
        <f t="shared" si="893"/>
        <v>4</v>
      </c>
      <c r="CR313" s="483" t="e">
        <f t="shared" ca="1" si="844"/>
        <v>#DIV/0!</v>
      </c>
      <c r="CS313"/>
    </row>
    <row r="314" spans="1:97">
      <c r="A314" s="398" t="s">
        <v>459</v>
      </c>
      <c r="B314" s="398" t="s">
        <v>988</v>
      </c>
      <c r="C314" s="440" t="s">
        <v>891</v>
      </c>
      <c r="D314" s="398">
        <v>1</v>
      </c>
      <c r="E314" s="398">
        <v>3</v>
      </c>
      <c r="F314" s="440">
        <v>0</v>
      </c>
      <c r="G314" s="398">
        <f t="shared" si="894"/>
        <v>327712</v>
      </c>
      <c r="H314" s="399">
        <v>384</v>
      </c>
      <c r="I314" s="399">
        <v>1250</v>
      </c>
      <c r="J314" s="399">
        <v>800</v>
      </c>
      <c r="K314" s="399">
        <v>1195</v>
      </c>
      <c r="L314" s="399">
        <v>4</v>
      </c>
      <c r="M314" s="400">
        <f ca="1">IF(MAX(IF($B$6="No",ROUNDUP($B$3/$I314,0),ROUNDUP(($B$3+$I314)/$I314,0)),IF($B$6="No",ROUNDUP($B$4/$G314,0),ROUNDUP(($B$4+$G314)/$G314,0)),ROUNDUP('BVMS checklist'!$H$217/$J314,0))&gt;1,'BVMS checklist'!$H$224,'BVMS checklist'!$H$217)</f>
        <v>0</v>
      </c>
      <c r="N314" s="398">
        <f t="shared" ca="1" si="822"/>
        <v>2</v>
      </c>
      <c r="O314" s="400">
        <f t="shared" ca="1" si="851"/>
        <v>2</v>
      </c>
      <c r="P314" s="400">
        <f t="shared" ca="1" si="813"/>
        <v>2500</v>
      </c>
      <c r="Q314" s="400">
        <f t="shared" ca="1" si="814"/>
        <v>0</v>
      </c>
      <c r="R314" s="398">
        <f t="shared" ca="1" si="815"/>
        <v>655424</v>
      </c>
      <c r="S314" s="401" t="e">
        <f t="shared" ca="1" si="823"/>
        <v>#DIV/0!</v>
      </c>
      <c r="T314" s="398">
        <f t="shared" ca="1" si="824"/>
        <v>1600</v>
      </c>
      <c r="U314" s="400">
        <f ca="1">IF(MAX(IF($B$6="No",ROUNDUP($B$3/$I314,0),ROUNDUP(($B$3+$I314)/$I314,0)),IF($B$6="No",ROUNDUP($B$4/$G314,0),ROUNDUP(($B$4+$G314)/$G314,0)),ROUNDUP('BVMS checklist'!$H$217/$J314,0))&gt;1,'BVMS checklist'!$H$224,'BVMS checklist'!$H$217)+MAX(IF($B$6="No",ROUNDUP($B$3/$I314,0),ROUNDUP(($B$3+$I314)/$I314,0)),IF($B$6="No",ROUNDUP($B$4/$G314,0),ROUNDUP(($B$4+$G314)/$G314,0)))+$B$5</f>
        <v>1</v>
      </c>
      <c r="V314" s="400" t="b">
        <f t="shared" ca="1" si="816"/>
        <v>1</v>
      </c>
      <c r="W314" s="400" t="str">
        <f t="shared" ca="1" si="852"/>
        <v>Accepted</v>
      </c>
      <c r="X314" s="398" t="str">
        <f t="shared" ca="1" si="825"/>
        <v>Yes</v>
      </c>
      <c r="Y314" s="398">
        <f t="shared" ca="1" si="826"/>
        <v>18</v>
      </c>
      <c r="Z314" s="398" t="str">
        <f t="shared" ca="1" si="827"/>
        <v>E-Series Base + 3x Expansion Unit, 48x8TB RAID5</v>
      </c>
      <c r="AA314" s="398">
        <f t="shared" ca="1" si="853"/>
        <v>18</v>
      </c>
      <c r="AB314" s="398">
        <f t="shared" ca="1" si="817"/>
        <v>2</v>
      </c>
      <c r="AC314" s="398">
        <f t="shared" ca="1" si="818"/>
        <v>768</v>
      </c>
      <c r="AD314" s="398">
        <f t="shared" ca="1" si="854"/>
        <v>655424</v>
      </c>
      <c r="AE314" s="399">
        <f t="shared" si="886"/>
        <v>1195</v>
      </c>
      <c r="AF314" s="399">
        <f t="shared" si="887"/>
        <v>4</v>
      </c>
      <c r="AG314" s="483" t="e">
        <f t="shared" ca="1" si="828"/>
        <v>#DIV/0!</v>
      </c>
      <c r="AH314" s="400">
        <f ca="1">IF(MAX(IF($C$6="No",ROUNDUP($C$3/$I314,0),ROUNDUP(($C$3+$I314)/$I314,0)),IF($C$6="No",ROUNDUP($C$4/$G314,0),ROUNDUP(($C$4+$G314)/$G314,0)),ROUNDUP('BVMS checklist'!$H$217/$J314,0))&gt;1,'BVMS checklist'!$J$224,'BVMS checklist'!$J$217)</f>
        <v>0</v>
      </c>
      <c r="AI314" s="398">
        <f t="shared" ca="1" si="829"/>
        <v>2</v>
      </c>
      <c r="AJ314" s="400">
        <f t="shared" ca="1" si="855"/>
        <v>2</v>
      </c>
      <c r="AK314" s="400">
        <f t="shared" ca="1" si="856"/>
        <v>2500</v>
      </c>
      <c r="AL314" s="400">
        <f t="shared" ca="1" si="857"/>
        <v>0</v>
      </c>
      <c r="AM314" s="398">
        <f t="shared" ca="1" si="858"/>
        <v>655424</v>
      </c>
      <c r="AN314" s="401" t="e">
        <f t="shared" ca="1" si="830"/>
        <v>#DIV/0!</v>
      </c>
      <c r="AO314" s="398">
        <f t="shared" ca="1" si="859"/>
        <v>1600</v>
      </c>
      <c r="AP314" s="400">
        <f ca="1">IF(MAX(IF($C$6="No",ROUNDUP($C$3/$I314,0),ROUNDUP(($C$3+$I314)/$I314,0)),IF($C$6="No",ROUNDUP($C$4/$G314,0),ROUNDUP(($C$4+$G314)/$G314,0)),ROUNDUP('BVMS checklist'!$H$217/$J314,0))&gt;1,'BVMS checklist'!$J$224,'BVMS checklist'!$J$217)+MAX(IF($C$6="No",ROUNDUP($C$3/$I314,0),ROUNDUP(($C$3+$I314)/$I314,0)),IF($C$6="No",ROUNDUP($C$4/$G314,0),ROUNDUP(($C$4+$G314)/$G314,0)))+$C$5</f>
        <v>1</v>
      </c>
      <c r="AQ314" s="400" t="b">
        <f t="shared" ca="1" si="819"/>
        <v>1</v>
      </c>
      <c r="AR314" s="400" t="str">
        <f t="shared" ca="1" si="860"/>
        <v>Accepted</v>
      </c>
      <c r="AS314" s="398" t="str">
        <f t="shared" ca="1" si="845"/>
        <v>Yes</v>
      </c>
      <c r="AT314" s="398">
        <f t="shared" ca="1" si="861"/>
        <v>18</v>
      </c>
      <c r="AU314" s="398" t="str">
        <f t="shared" ca="1" si="831"/>
        <v>E-Series Base + 3x Expansion Unit, 48x8TB RAID5</v>
      </c>
      <c r="AV314" s="398">
        <f t="shared" ca="1" si="832"/>
        <v>18</v>
      </c>
      <c r="AW314" s="398">
        <f t="shared" ca="1" si="862"/>
        <v>2</v>
      </c>
      <c r="AX314" s="398">
        <f t="shared" ca="1" si="863"/>
        <v>768</v>
      </c>
      <c r="AY314" s="398">
        <f t="shared" ca="1" si="864"/>
        <v>655424</v>
      </c>
      <c r="AZ314" s="399">
        <f t="shared" si="888"/>
        <v>1195</v>
      </c>
      <c r="BA314" s="399">
        <f t="shared" si="889"/>
        <v>4</v>
      </c>
      <c r="BB314" s="483" t="e">
        <f t="shared" ca="1" si="833"/>
        <v>#DIV/0!</v>
      </c>
      <c r="BC314" s="400">
        <f ca="1">IF(MAX(IF($D$6="No",ROUNDUP($D$3/$I314,0),ROUNDUP(($D$3+$I314)/$I314,0)),IF($D$6="No",ROUNDUP($D$4/$G314,0),ROUNDUP(($D$4+$G314)/$G314,0)),ROUNDUP('BVMS checklist'!$H$217/$J314,0))&gt;1,'BVMS checklist'!$L$224,'BVMS checklist'!$L$217)</f>
        <v>0</v>
      </c>
      <c r="BD314" s="398">
        <f t="shared" ca="1" si="834"/>
        <v>2</v>
      </c>
      <c r="BE314" s="400">
        <f t="shared" si="835"/>
        <v>1</v>
      </c>
      <c r="BF314" s="400">
        <f t="shared" si="865"/>
        <v>1250</v>
      </c>
      <c r="BG314" s="400">
        <f t="shared" ca="1" si="846"/>
        <v>0</v>
      </c>
      <c r="BH314" s="398">
        <f t="shared" ca="1" si="866"/>
        <v>655424</v>
      </c>
      <c r="BI314" s="401" t="e">
        <f t="shared" ca="1" si="836"/>
        <v>#DIV/0!</v>
      </c>
      <c r="BJ314" s="398">
        <f t="shared" ca="1" si="867"/>
        <v>1600</v>
      </c>
      <c r="BK314" s="400">
        <f ca="1">IF(MAX(IF($D$6="No",ROUNDUP($D$3/$I314,0),ROUNDUP(($D$3+$I314)/$I314,0)),IF($D$6="No",ROUNDUP($D$4/$G314,0),ROUNDUP(($D$4+$G314)/$G314,0)),ROUNDUP('BVMS checklist'!$H$217/$J314,0))&gt;1,'BVMS checklist'!$L$224,'BVMS checklist'!$L$217)+MAX(IF($D$6="No",ROUNDUP($D$3/$I314,0),ROUNDUP(($D$3+$I314)/$I314,0)),IF($D$6="No",ROUNDUP($D$4/$G314,0),ROUNDUP(($D$4+$G314)/$G314,0)))+$D$5</f>
        <v>1</v>
      </c>
      <c r="BL314" s="400" t="b">
        <f t="shared" ca="1" si="820"/>
        <v>1</v>
      </c>
      <c r="BM314" s="400" t="str">
        <f t="shared" ca="1" si="868"/>
        <v>Accepted</v>
      </c>
      <c r="BN314" s="398" t="str">
        <f t="shared" ca="1" si="847"/>
        <v>Yes</v>
      </c>
      <c r="BO314" s="398">
        <f t="shared" ca="1" si="869"/>
        <v>18</v>
      </c>
      <c r="BP314" s="398" t="str">
        <f t="shared" ca="1" si="837"/>
        <v>E-Series Base + 3x Expansion Unit, 48x8TB RAID5</v>
      </c>
      <c r="BQ314" s="398">
        <f t="shared" ca="1" si="838"/>
        <v>18</v>
      </c>
      <c r="BR314" s="398">
        <f t="shared" ca="1" si="870"/>
        <v>2</v>
      </c>
      <c r="BS314" s="398">
        <f t="shared" ca="1" si="871"/>
        <v>768</v>
      </c>
      <c r="BT314" s="398">
        <f t="shared" ca="1" si="872"/>
        <v>655424</v>
      </c>
      <c r="BU314" s="399">
        <f t="shared" si="890"/>
        <v>1195</v>
      </c>
      <c r="BV314" s="399">
        <f t="shared" si="891"/>
        <v>4</v>
      </c>
      <c r="BW314" s="483" t="e">
        <f t="shared" ca="1" si="839"/>
        <v>#DIV/0!</v>
      </c>
      <c r="BX314" s="400">
        <f ca="1">IF(MAX(IF($E$6="No",ROUNDUP($E$3/$I314,0),ROUNDUP(($E$3+$I314)/$I314,0)),IF($E$6="No",ROUNDUP($E$4/$G314,0),ROUNDUP(($E$4+$G314)/$G314,0)),ROUNDUP('BVMS checklist'!$H$217/$J314,0))&gt;1,'BVMS checklist'!$N$224,'BVMS checklist'!$N$217)</f>
        <v>0</v>
      </c>
      <c r="BY314" s="398">
        <f t="shared" ca="1" si="840"/>
        <v>2</v>
      </c>
      <c r="BZ314" s="400">
        <f t="shared" ca="1" si="873"/>
        <v>2</v>
      </c>
      <c r="CA314" s="400">
        <f t="shared" ca="1" si="874"/>
        <v>2500</v>
      </c>
      <c r="CB314" s="400">
        <f t="shared" ca="1" si="848"/>
        <v>0</v>
      </c>
      <c r="CC314" s="398">
        <f t="shared" ca="1" si="875"/>
        <v>655424</v>
      </c>
      <c r="CD314" s="401" t="e">
        <f t="shared" ca="1" si="841"/>
        <v>#DIV/0!</v>
      </c>
      <c r="CE314" s="398">
        <f t="shared" ca="1" si="876"/>
        <v>1600</v>
      </c>
      <c r="CF314" s="400">
        <f ca="1">IF(MAX(IF($E$6="No",ROUNDUP($E$3/$I314,0),ROUNDUP(($E$3+$I314)/$I314,0)),IF($E$6="No",ROUNDUP($E$4/$G314,0),ROUNDUP(($E$4+$G314)/$G314,0)),ROUNDUP('BVMS checklist'!$H$217/$J314,0))&gt;1,'BVMS checklist'!$N$224,'BVMS checklist'!$N$217)+MAX(IF($E$6="No",ROUNDUP($E$3/$I314,0),ROUNDUP(($E$3+$I314)/$I314,0)),IF($E$6="No",ROUNDUP($E$4/$G314,0),ROUNDUP(($E$4+$G314)/$G314,0)))+$E$5</f>
        <v>1</v>
      </c>
      <c r="CG314" s="400" t="b">
        <f t="shared" ca="1" si="821"/>
        <v>1</v>
      </c>
      <c r="CH314" s="400" t="str">
        <f t="shared" ca="1" si="877"/>
        <v>Accepted</v>
      </c>
      <c r="CI314" s="398" t="str">
        <f t="shared" ca="1" si="849"/>
        <v>Yes</v>
      </c>
      <c r="CJ314" s="398">
        <f t="shared" ca="1" si="878"/>
        <v>18</v>
      </c>
      <c r="CK314" s="398" t="str">
        <f t="shared" ca="1" si="842"/>
        <v>E-Series Base + 3x Expansion Unit, 48x8TB RAID5</v>
      </c>
      <c r="CL314" s="398">
        <f t="shared" ca="1" si="843"/>
        <v>18</v>
      </c>
      <c r="CM314" s="398">
        <f t="shared" ca="1" si="879"/>
        <v>2</v>
      </c>
      <c r="CN314" s="398">
        <f t="shared" ca="1" si="880"/>
        <v>768</v>
      </c>
      <c r="CO314" s="398">
        <f t="shared" ca="1" si="881"/>
        <v>655424</v>
      </c>
      <c r="CP314" s="399">
        <f t="shared" si="892"/>
        <v>1195</v>
      </c>
      <c r="CQ314" s="399">
        <f t="shared" si="893"/>
        <v>4</v>
      </c>
      <c r="CR314" s="483" t="e">
        <f t="shared" ca="1" si="844"/>
        <v>#DIV/0!</v>
      </c>
      <c r="CS314"/>
    </row>
    <row r="315" spans="1:97">
      <c r="A315" s="398" t="s">
        <v>460</v>
      </c>
      <c r="B315" s="398" t="s">
        <v>988</v>
      </c>
      <c r="C315" s="440" t="s">
        <v>891</v>
      </c>
      <c r="D315" s="398">
        <v>1</v>
      </c>
      <c r="E315" s="398">
        <v>4</v>
      </c>
      <c r="F315" s="440">
        <v>0</v>
      </c>
      <c r="G315" s="398">
        <f t="shared" si="894"/>
        <v>409640</v>
      </c>
      <c r="H315" s="399">
        <v>480</v>
      </c>
      <c r="I315" s="399">
        <v>1250</v>
      </c>
      <c r="J315" s="399">
        <v>800</v>
      </c>
      <c r="K315" s="399">
        <v>1443</v>
      </c>
      <c r="L315" s="399">
        <v>4</v>
      </c>
      <c r="M315" s="400">
        <f ca="1">IF(MAX(IF($B$6="No",ROUNDUP($B$3/$I315,0),ROUNDUP(($B$3+$I315)/$I315,0)),IF($B$6="No",ROUNDUP($B$4/$G315,0),ROUNDUP(($B$4+$G315)/$G315,0)),ROUNDUP('BVMS checklist'!$H$217/$J315,0))&gt;1,'BVMS checklist'!$H$224,'BVMS checklist'!$H$217)</f>
        <v>0</v>
      </c>
      <c r="N315" s="398">
        <f t="shared" ca="1" si="822"/>
        <v>2</v>
      </c>
      <c r="O315" s="400">
        <f t="shared" ca="1" si="851"/>
        <v>2</v>
      </c>
      <c r="P315" s="400">
        <f t="shared" ca="1" si="813"/>
        <v>2500</v>
      </c>
      <c r="Q315" s="400">
        <f t="shared" ca="1" si="814"/>
        <v>0</v>
      </c>
      <c r="R315" s="398">
        <f t="shared" ca="1" si="815"/>
        <v>819280</v>
      </c>
      <c r="S315" s="401" t="e">
        <f t="shared" ca="1" si="823"/>
        <v>#DIV/0!</v>
      </c>
      <c r="T315" s="398">
        <f t="shared" ca="1" si="824"/>
        <v>1600</v>
      </c>
      <c r="U315" s="400">
        <f ca="1">IF(MAX(IF($B$6="No",ROUNDUP($B$3/$I315,0),ROUNDUP(($B$3+$I315)/$I315,0)),IF($B$6="No",ROUNDUP($B$4/$G315,0),ROUNDUP(($B$4+$G315)/$G315,0)),ROUNDUP('BVMS checklist'!$H$217/$J315,0))&gt;1,'BVMS checklist'!$H$224,'BVMS checklist'!$H$217)+MAX(IF($B$6="No",ROUNDUP($B$3/$I315,0),ROUNDUP(($B$3+$I315)/$I315,0)),IF($B$6="No",ROUNDUP($B$4/$G315,0),ROUNDUP(($B$4+$G315)/$G315,0)))+$B$5</f>
        <v>1</v>
      </c>
      <c r="V315" s="400" t="b">
        <f t="shared" ca="1" si="816"/>
        <v>1</v>
      </c>
      <c r="W315" s="400" t="str">
        <f t="shared" ca="1" si="852"/>
        <v>Accepted</v>
      </c>
      <c r="X315" s="398" t="str">
        <f t="shared" ca="1" si="825"/>
        <v>Yes</v>
      </c>
      <c r="Y315" s="398">
        <f t="shared" ca="1" si="826"/>
        <v>19</v>
      </c>
      <c r="Z315" s="398" t="str">
        <f t="shared" ca="1" si="827"/>
        <v>E-Series Base + 4x Expansion Unit, 60x8TB RAID5</v>
      </c>
      <c r="AA315" s="398">
        <f t="shared" ca="1" si="853"/>
        <v>19</v>
      </c>
      <c r="AB315" s="398">
        <f t="shared" ca="1" si="817"/>
        <v>2</v>
      </c>
      <c r="AC315" s="398">
        <f t="shared" ca="1" si="818"/>
        <v>960</v>
      </c>
      <c r="AD315" s="398">
        <f t="shared" ca="1" si="854"/>
        <v>819280</v>
      </c>
      <c r="AE315" s="399">
        <f t="shared" si="886"/>
        <v>1443</v>
      </c>
      <c r="AF315" s="399">
        <f t="shared" si="887"/>
        <v>4</v>
      </c>
      <c r="AG315" s="483" t="e">
        <f t="shared" ca="1" si="828"/>
        <v>#DIV/0!</v>
      </c>
      <c r="AH315" s="400">
        <f ca="1">IF(MAX(IF($C$6="No",ROUNDUP($C$3/$I315,0),ROUNDUP(($C$3+$I315)/$I315,0)),IF($C$6="No",ROUNDUP($C$4/$G315,0),ROUNDUP(($C$4+$G315)/$G315,0)),ROUNDUP('BVMS checklist'!$H$217/$J315,0))&gt;1,'BVMS checklist'!$J$224,'BVMS checklist'!$J$217)</f>
        <v>0</v>
      </c>
      <c r="AI315" s="398">
        <f t="shared" ca="1" si="829"/>
        <v>2</v>
      </c>
      <c r="AJ315" s="400">
        <f t="shared" ca="1" si="855"/>
        <v>2</v>
      </c>
      <c r="AK315" s="400">
        <f t="shared" ca="1" si="856"/>
        <v>2500</v>
      </c>
      <c r="AL315" s="400">
        <f t="shared" ca="1" si="857"/>
        <v>0</v>
      </c>
      <c r="AM315" s="398">
        <f t="shared" ca="1" si="858"/>
        <v>819280</v>
      </c>
      <c r="AN315" s="401" t="e">
        <f t="shared" ca="1" si="830"/>
        <v>#DIV/0!</v>
      </c>
      <c r="AO315" s="398">
        <f t="shared" ca="1" si="859"/>
        <v>1600</v>
      </c>
      <c r="AP315" s="400">
        <f ca="1">IF(MAX(IF($C$6="No",ROUNDUP($C$3/$I315,0),ROUNDUP(($C$3+$I315)/$I315,0)),IF($C$6="No",ROUNDUP($C$4/$G315,0),ROUNDUP(($C$4+$G315)/$G315,0)),ROUNDUP('BVMS checklist'!$H$217/$J315,0))&gt;1,'BVMS checklist'!$J$224,'BVMS checklist'!$J$217)+MAX(IF($C$6="No",ROUNDUP($C$3/$I315,0),ROUNDUP(($C$3+$I315)/$I315,0)),IF($C$6="No",ROUNDUP($C$4/$G315,0),ROUNDUP(($C$4+$G315)/$G315,0)))+$C$5</f>
        <v>1</v>
      </c>
      <c r="AQ315" s="400" t="b">
        <f t="shared" ca="1" si="819"/>
        <v>1</v>
      </c>
      <c r="AR315" s="400" t="str">
        <f t="shared" ca="1" si="860"/>
        <v>Accepted</v>
      </c>
      <c r="AS315" s="398" t="str">
        <f t="shared" ca="1" si="845"/>
        <v>Yes</v>
      </c>
      <c r="AT315" s="398">
        <f t="shared" ca="1" si="861"/>
        <v>19</v>
      </c>
      <c r="AU315" s="398" t="str">
        <f t="shared" ca="1" si="831"/>
        <v>E-Series Base + 4x Expansion Unit, 60x8TB RAID5</v>
      </c>
      <c r="AV315" s="398">
        <f t="shared" ca="1" si="832"/>
        <v>19</v>
      </c>
      <c r="AW315" s="398">
        <f t="shared" ca="1" si="862"/>
        <v>2</v>
      </c>
      <c r="AX315" s="398">
        <f t="shared" ca="1" si="863"/>
        <v>960</v>
      </c>
      <c r="AY315" s="398">
        <f t="shared" ca="1" si="864"/>
        <v>819280</v>
      </c>
      <c r="AZ315" s="399">
        <f t="shared" si="888"/>
        <v>1443</v>
      </c>
      <c r="BA315" s="399">
        <f t="shared" si="889"/>
        <v>4</v>
      </c>
      <c r="BB315" s="483" t="e">
        <f t="shared" ca="1" si="833"/>
        <v>#DIV/0!</v>
      </c>
      <c r="BC315" s="400">
        <f ca="1">IF(MAX(IF($D$6="No",ROUNDUP($D$3/$I315,0),ROUNDUP(($D$3+$I315)/$I315,0)),IF($D$6="No",ROUNDUP($D$4/$G315,0),ROUNDUP(($D$4+$G315)/$G315,0)),ROUNDUP('BVMS checklist'!$H$217/$J315,0))&gt;1,'BVMS checklist'!$L$224,'BVMS checklist'!$L$217)</f>
        <v>0</v>
      </c>
      <c r="BD315" s="398">
        <f t="shared" ca="1" si="834"/>
        <v>2</v>
      </c>
      <c r="BE315" s="400">
        <f t="shared" si="835"/>
        <v>1</v>
      </c>
      <c r="BF315" s="400">
        <f t="shared" si="865"/>
        <v>1250</v>
      </c>
      <c r="BG315" s="400">
        <f t="shared" ca="1" si="846"/>
        <v>0</v>
      </c>
      <c r="BH315" s="398">
        <f t="shared" ca="1" si="866"/>
        <v>819280</v>
      </c>
      <c r="BI315" s="401" t="e">
        <f t="shared" ca="1" si="836"/>
        <v>#DIV/0!</v>
      </c>
      <c r="BJ315" s="398">
        <f t="shared" ca="1" si="867"/>
        <v>1600</v>
      </c>
      <c r="BK315" s="400">
        <f ca="1">IF(MAX(IF($D$6="No",ROUNDUP($D$3/$I315,0),ROUNDUP(($D$3+$I315)/$I315,0)),IF($D$6="No",ROUNDUP($D$4/$G315,0),ROUNDUP(($D$4+$G315)/$G315,0)),ROUNDUP('BVMS checklist'!$H$217/$J315,0))&gt;1,'BVMS checklist'!$L$224,'BVMS checklist'!$L$217)+MAX(IF($D$6="No",ROUNDUP($D$3/$I315,0),ROUNDUP(($D$3+$I315)/$I315,0)),IF($D$6="No",ROUNDUP($D$4/$G315,0),ROUNDUP(($D$4+$G315)/$G315,0)))+$D$5</f>
        <v>1</v>
      </c>
      <c r="BL315" s="400" t="b">
        <f t="shared" ca="1" si="820"/>
        <v>1</v>
      </c>
      <c r="BM315" s="400" t="str">
        <f t="shared" ca="1" si="868"/>
        <v>Accepted</v>
      </c>
      <c r="BN315" s="398" t="str">
        <f t="shared" ca="1" si="847"/>
        <v>Yes</v>
      </c>
      <c r="BO315" s="398">
        <f t="shared" ca="1" si="869"/>
        <v>19</v>
      </c>
      <c r="BP315" s="398" t="str">
        <f t="shared" ca="1" si="837"/>
        <v>E-Series Base + 4x Expansion Unit, 60x8TB RAID5</v>
      </c>
      <c r="BQ315" s="398">
        <f t="shared" ca="1" si="838"/>
        <v>19</v>
      </c>
      <c r="BR315" s="398">
        <f t="shared" ca="1" si="870"/>
        <v>2</v>
      </c>
      <c r="BS315" s="398">
        <f t="shared" ca="1" si="871"/>
        <v>960</v>
      </c>
      <c r="BT315" s="398">
        <f t="shared" ca="1" si="872"/>
        <v>819280</v>
      </c>
      <c r="BU315" s="399">
        <f t="shared" si="890"/>
        <v>1443</v>
      </c>
      <c r="BV315" s="399">
        <f t="shared" si="891"/>
        <v>4</v>
      </c>
      <c r="BW315" s="483" t="e">
        <f t="shared" ca="1" si="839"/>
        <v>#DIV/0!</v>
      </c>
      <c r="BX315" s="400">
        <f ca="1">IF(MAX(IF($E$6="No",ROUNDUP($E$3/$I315,0),ROUNDUP(($E$3+$I315)/$I315,0)),IF($E$6="No",ROUNDUP($E$4/$G315,0),ROUNDUP(($E$4+$G315)/$G315,0)),ROUNDUP('BVMS checklist'!$H$217/$J315,0))&gt;1,'BVMS checklist'!$N$224,'BVMS checklist'!$N$217)</f>
        <v>0</v>
      </c>
      <c r="BY315" s="398">
        <f t="shared" ca="1" si="840"/>
        <v>2</v>
      </c>
      <c r="BZ315" s="400">
        <f t="shared" ca="1" si="873"/>
        <v>2</v>
      </c>
      <c r="CA315" s="400">
        <f t="shared" ca="1" si="874"/>
        <v>2500</v>
      </c>
      <c r="CB315" s="400">
        <f t="shared" ca="1" si="848"/>
        <v>0</v>
      </c>
      <c r="CC315" s="398">
        <f t="shared" ca="1" si="875"/>
        <v>819280</v>
      </c>
      <c r="CD315" s="401" t="e">
        <f t="shared" ca="1" si="841"/>
        <v>#DIV/0!</v>
      </c>
      <c r="CE315" s="398">
        <f t="shared" ca="1" si="876"/>
        <v>1600</v>
      </c>
      <c r="CF315" s="400">
        <f ca="1">IF(MAX(IF($E$6="No",ROUNDUP($E$3/$I315,0),ROUNDUP(($E$3+$I315)/$I315,0)),IF($E$6="No",ROUNDUP($E$4/$G315,0),ROUNDUP(($E$4+$G315)/$G315,0)),ROUNDUP('BVMS checklist'!$H$217/$J315,0))&gt;1,'BVMS checklist'!$N$224,'BVMS checklist'!$N$217)+MAX(IF($E$6="No",ROUNDUP($E$3/$I315,0),ROUNDUP(($E$3+$I315)/$I315,0)),IF($E$6="No",ROUNDUP($E$4/$G315,0),ROUNDUP(($E$4+$G315)/$G315,0)))+$E$5</f>
        <v>1</v>
      </c>
      <c r="CG315" s="400" t="b">
        <f t="shared" ca="1" si="821"/>
        <v>1</v>
      </c>
      <c r="CH315" s="400" t="str">
        <f t="shared" ca="1" si="877"/>
        <v>Accepted</v>
      </c>
      <c r="CI315" s="398" t="str">
        <f t="shared" ca="1" si="849"/>
        <v>Yes</v>
      </c>
      <c r="CJ315" s="398">
        <f t="shared" ca="1" si="878"/>
        <v>19</v>
      </c>
      <c r="CK315" s="398" t="str">
        <f t="shared" ca="1" si="842"/>
        <v>E-Series Base + 4x Expansion Unit, 60x8TB RAID5</v>
      </c>
      <c r="CL315" s="398">
        <f t="shared" ca="1" si="843"/>
        <v>19</v>
      </c>
      <c r="CM315" s="398">
        <f t="shared" ca="1" si="879"/>
        <v>2</v>
      </c>
      <c r="CN315" s="398">
        <f t="shared" ca="1" si="880"/>
        <v>960</v>
      </c>
      <c r="CO315" s="398">
        <f t="shared" ca="1" si="881"/>
        <v>819280</v>
      </c>
      <c r="CP315" s="399">
        <f t="shared" si="892"/>
        <v>1443</v>
      </c>
      <c r="CQ315" s="399">
        <f t="shared" si="893"/>
        <v>4</v>
      </c>
      <c r="CR315" s="483" t="e">
        <f t="shared" ca="1" si="844"/>
        <v>#DIV/0!</v>
      </c>
      <c r="CS315"/>
    </row>
    <row r="316" spans="1:97">
      <c r="A316" s="398" t="s">
        <v>461</v>
      </c>
      <c r="B316" s="398" t="s">
        <v>988</v>
      </c>
      <c r="C316" s="440" t="s">
        <v>891</v>
      </c>
      <c r="D316" s="398">
        <v>1</v>
      </c>
      <c r="E316" s="398">
        <v>5</v>
      </c>
      <c r="F316" s="440">
        <v>0</v>
      </c>
      <c r="G316" s="398">
        <f t="shared" si="894"/>
        <v>491568</v>
      </c>
      <c r="H316" s="399">
        <v>576</v>
      </c>
      <c r="I316" s="399">
        <v>1250</v>
      </c>
      <c r="J316" s="399">
        <v>800</v>
      </c>
      <c r="K316" s="399">
        <v>1691</v>
      </c>
      <c r="L316" s="399">
        <v>4</v>
      </c>
      <c r="M316" s="400">
        <f ca="1">IF(MAX(IF($B$6="No",ROUNDUP($B$3/$I316,0),ROUNDUP(($B$3+$I316)/$I316,0)),IF($B$6="No",ROUNDUP($B$4/$G316,0),ROUNDUP(($B$4+$G316)/$G316,0)),ROUNDUP('BVMS checklist'!$H$217/$J316,0))&gt;1,'BVMS checklist'!$H$224,'BVMS checklist'!$H$217)</f>
        <v>0</v>
      </c>
      <c r="N316" s="398">
        <f t="shared" ca="1" si="822"/>
        <v>2</v>
      </c>
      <c r="O316" s="400">
        <f t="shared" ca="1" si="851"/>
        <v>2</v>
      </c>
      <c r="P316" s="400">
        <f t="shared" ca="1" si="813"/>
        <v>2500</v>
      </c>
      <c r="Q316" s="400">
        <f t="shared" ca="1" si="814"/>
        <v>0</v>
      </c>
      <c r="R316" s="398">
        <f t="shared" ca="1" si="815"/>
        <v>983136</v>
      </c>
      <c r="S316" s="401" t="e">
        <f t="shared" ca="1" si="823"/>
        <v>#DIV/0!</v>
      </c>
      <c r="T316" s="398">
        <f t="shared" ca="1" si="824"/>
        <v>1600</v>
      </c>
      <c r="U316" s="400">
        <f ca="1">IF(MAX(IF($B$6="No",ROUNDUP($B$3/$I316,0),ROUNDUP(($B$3+$I316)/$I316,0)),IF($B$6="No",ROUNDUP($B$4/$G316,0),ROUNDUP(($B$4+$G316)/$G316,0)),ROUNDUP('BVMS checklist'!$H$217/$J316,0))&gt;1,'BVMS checklist'!$H$224,'BVMS checklist'!$H$217)+MAX(IF($B$6="No",ROUNDUP($B$3/$I316,0),ROUNDUP(($B$3+$I316)/$I316,0)),IF($B$6="No",ROUNDUP($B$4/$G316,0),ROUNDUP(($B$4+$G316)/$G316,0)))+$B$5</f>
        <v>1</v>
      </c>
      <c r="V316" s="400" t="b">
        <f t="shared" ca="1" si="816"/>
        <v>1</v>
      </c>
      <c r="W316" s="400" t="str">
        <f t="shared" ca="1" si="852"/>
        <v>Accepted</v>
      </c>
      <c r="X316" s="398" t="str">
        <f t="shared" ca="1" si="825"/>
        <v>Yes</v>
      </c>
      <c r="Y316" s="398">
        <f t="shared" ca="1" si="826"/>
        <v>20</v>
      </c>
      <c r="Z316" s="398" t="str">
        <f t="shared" ca="1" si="827"/>
        <v>E-Series Base + 5x Expansion Unit, 72x8TB RAID5</v>
      </c>
      <c r="AA316" s="398">
        <f t="shared" ca="1" si="853"/>
        <v>20</v>
      </c>
      <c r="AB316" s="398">
        <f t="shared" ca="1" si="817"/>
        <v>2</v>
      </c>
      <c r="AC316" s="398">
        <f t="shared" ca="1" si="818"/>
        <v>1152</v>
      </c>
      <c r="AD316" s="398">
        <f t="shared" ca="1" si="854"/>
        <v>983136</v>
      </c>
      <c r="AE316" s="399">
        <f t="shared" si="886"/>
        <v>1691</v>
      </c>
      <c r="AF316" s="399">
        <f t="shared" si="887"/>
        <v>4</v>
      </c>
      <c r="AG316" s="483" t="e">
        <f t="shared" ca="1" si="828"/>
        <v>#DIV/0!</v>
      </c>
      <c r="AH316" s="400">
        <f ca="1">IF(MAX(IF($C$6="No",ROUNDUP($C$3/$I316,0),ROUNDUP(($C$3+$I316)/$I316,0)),IF($C$6="No",ROUNDUP($C$4/$G316,0),ROUNDUP(($C$4+$G316)/$G316,0)),ROUNDUP('BVMS checklist'!$H$217/$J316,0))&gt;1,'BVMS checklist'!$J$224,'BVMS checklist'!$J$217)</f>
        <v>0</v>
      </c>
      <c r="AI316" s="398">
        <f t="shared" ca="1" si="829"/>
        <v>2</v>
      </c>
      <c r="AJ316" s="400">
        <f t="shared" ca="1" si="855"/>
        <v>2</v>
      </c>
      <c r="AK316" s="400">
        <f t="shared" ca="1" si="856"/>
        <v>2500</v>
      </c>
      <c r="AL316" s="400">
        <f t="shared" ca="1" si="857"/>
        <v>0</v>
      </c>
      <c r="AM316" s="398">
        <f t="shared" ca="1" si="858"/>
        <v>983136</v>
      </c>
      <c r="AN316" s="401" t="e">
        <f t="shared" ca="1" si="830"/>
        <v>#DIV/0!</v>
      </c>
      <c r="AO316" s="398">
        <f t="shared" ca="1" si="859"/>
        <v>1600</v>
      </c>
      <c r="AP316" s="400">
        <f ca="1">IF(MAX(IF($C$6="No",ROUNDUP($C$3/$I316,0),ROUNDUP(($C$3+$I316)/$I316,0)),IF($C$6="No",ROUNDUP($C$4/$G316,0),ROUNDUP(($C$4+$G316)/$G316,0)),ROUNDUP('BVMS checklist'!$H$217/$J316,0))&gt;1,'BVMS checklist'!$J$224,'BVMS checklist'!$J$217)+MAX(IF($C$6="No",ROUNDUP($C$3/$I316,0),ROUNDUP(($C$3+$I316)/$I316,0)),IF($C$6="No",ROUNDUP($C$4/$G316,0),ROUNDUP(($C$4+$G316)/$G316,0)))+$C$5</f>
        <v>1</v>
      </c>
      <c r="AQ316" s="400" t="b">
        <f t="shared" ca="1" si="819"/>
        <v>1</v>
      </c>
      <c r="AR316" s="400" t="str">
        <f t="shared" ca="1" si="860"/>
        <v>Accepted</v>
      </c>
      <c r="AS316" s="398" t="str">
        <f t="shared" ca="1" si="845"/>
        <v>Yes</v>
      </c>
      <c r="AT316" s="398">
        <f t="shared" ca="1" si="861"/>
        <v>20</v>
      </c>
      <c r="AU316" s="398" t="str">
        <f t="shared" ca="1" si="831"/>
        <v>E-Series Base + 5x Expansion Unit, 72x8TB RAID5</v>
      </c>
      <c r="AV316" s="398">
        <f t="shared" ca="1" si="832"/>
        <v>20</v>
      </c>
      <c r="AW316" s="398">
        <f t="shared" ca="1" si="862"/>
        <v>2</v>
      </c>
      <c r="AX316" s="398">
        <f t="shared" ca="1" si="863"/>
        <v>1152</v>
      </c>
      <c r="AY316" s="398">
        <f t="shared" ca="1" si="864"/>
        <v>983136</v>
      </c>
      <c r="AZ316" s="399">
        <f t="shared" si="888"/>
        <v>1691</v>
      </c>
      <c r="BA316" s="399">
        <f t="shared" si="889"/>
        <v>4</v>
      </c>
      <c r="BB316" s="483" t="e">
        <f t="shared" ca="1" si="833"/>
        <v>#DIV/0!</v>
      </c>
      <c r="BC316" s="400">
        <f ca="1">IF(MAX(IF($D$6="No",ROUNDUP($D$3/$I316,0),ROUNDUP(($D$3+$I316)/$I316,0)),IF($D$6="No",ROUNDUP($D$4/$G316,0),ROUNDUP(($D$4+$G316)/$G316,0)),ROUNDUP('BVMS checklist'!$H$217/$J316,0))&gt;1,'BVMS checklist'!$L$224,'BVMS checklist'!$L$217)</f>
        <v>0</v>
      </c>
      <c r="BD316" s="398">
        <f t="shared" ca="1" si="834"/>
        <v>2</v>
      </c>
      <c r="BE316" s="400">
        <f t="shared" si="835"/>
        <v>1</v>
      </c>
      <c r="BF316" s="400">
        <f t="shared" si="865"/>
        <v>1250</v>
      </c>
      <c r="BG316" s="400">
        <f t="shared" ca="1" si="846"/>
        <v>0</v>
      </c>
      <c r="BH316" s="398">
        <f t="shared" ca="1" si="866"/>
        <v>983136</v>
      </c>
      <c r="BI316" s="401" t="e">
        <f t="shared" ca="1" si="836"/>
        <v>#DIV/0!</v>
      </c>
      <c r="BJ316" s="398">
        <f t="shared" ca="1" si="867"/>
        <v>1600</v>
      </c>
      <c r="BK316" s="400">
        <f ca="1">IF(MAX(IF($D$6="No",ROUNDUP($D$3/$I316,0),ROUNDUP(($D$3+$I316)/$I316,0)),IF($D$6="No",ROUNDUP($D$4/$G316,0),ROUNDUP(($D$4+$G316)/$G316,0)),ROUNDUP('BVMS checklist'!$H$217/$J316,0))&gt;1,'BVMS checklist'!$L$224,'BVMS checklist'!$L$217)+MAX(IF($D$6="No",ROUNDUP($D$3/$I316,0),ROUNDUP(($D$3+$I316)/$I316,0)),IF($D$6="No",ROUNDUP($D$4/$G316,0),ROUNDUP(($D$4+$G316)/$G316,0)))+$D$5</f>
        <v>1</v>
      </c>
      <c r="BL316" s="400" t="b">
        <f t="shared" ca="1" si="820"/>
        <v>1</v>
      </c>
      <c r="BM316" s="400" t="str">
        <f t="shared" ca="1" si="868"/>
        <v>Accepted</v>
      </c>
      <c r="BN316" s="398" t="str">
        <f t="shared" ca="1" si="847"/>
        <v>Yes</v>
      </c>
      <c r="BO316" s="398">
        <f t="shared" ca="1" si="869"/>
        <v>20</v>
      </c>
      <c r="BP316" s="398" t="str">
        <f t="shared" ca="1" si="837"/>
        <v>E-Series Base + 5x Expansion Unit, 72x8TB RAID5</v>
      </c>
      <c r="BQ316" s="398">
        <f t="shared" ca="1" si="838"/>
        <v>20</v>
      </c>
      <c r="BR316" s="398">
        <f t="shared" ca="1" si="870"/>
        <v>2</v>
      </c>
      <c r="BS316" s="398">
        <f t="shared" ca="1" si="871"/>
        <v>1152</v>
      </c>
      <c r="BT316" s="398">
        <f t="shared" ca="1" si="872"/>
        <v>983136</v>
      </c>
      <c r="BU316" s="399">
        <f t="shared" si="890"/>
        <v>1691</v>
      </c>
      <c r="BV316" s="399">
        <f t="shared" si="891"/>
        <v>4</v>
      </c>
      <c r="BW316" s="483" t="e">
        <f t="shared" ca="1" si="839"/>
        <v>#DIV/0!</v>
      </c>
      <c r="BX316" s="400">
        <f ca="1">IF(MAX(IF($E$6="No",ROUNDUP($E$3/$I316,0),ROUNDUP(($E$3+$I316)/$I316,0)),IF($E$6="No",ROUNDUP($E$4/$G316,0),ROUNDUP(($E$4+$G316)/$G316,0)),ROUNDUP('BVMS checklist'!$H$217/$J316,0))&gt;1,'BVMS checklist'!$N$224,'BVMS checklist'!$N$217)</f>
        <v>0</v>
      </c>
      <c r="BY316" s="398">
        <f t="shared" ca="1" si="840"/>
        <v>2</v>
      </c>
      <c r="BZ316" s="400">
        <f t="shared" ca="1" si="873"/>
        <v>2</v>
      </c>
      <c r="CA316" s="400">
        <f t="shared" ca="1" si="874"/>
        <v>2500</v>
      </c>
      <c r="CB316" s="400">
        <f t="shared" ca="1" si="848"/>
        <v>0</v>
      </c>
      <c r="CC316" s="398">
        <f t="shared" ca="1" si="875"/>
        <v>983136</v>
      </c>
      <c r="CD316" s="401" t="e">
        <f t="shared" ca="1" si="841"/>
        <v>#DIV/0!</v>
      </c>
      <c r="CE316" s="398">
        <f t="shared" ca="1" si="876"/>
        <v>1600</v>
      </c>
      <c r="CF316" s="400">
        <f ca="1">IF(MAX(IF($E$6="No",ROUNDUP($E$3/$I316,0),ROUNDUP(($E$3+$I316)/$I316,0)),IF($E$6="No",ROUNDUP($E$4/$G316,0),ROUNDUP(($E$4+$G316)/$G316,0)),ROUNDUP('BVMS checklist'!$H$217/$J316,0))&gt;1,'BVMS checklist'!$N$224,'BVMS checklist'!$N$217)+MAX(IF($E$6="No",ROUNDUP($E$3/$I316,0),ROUNDUP(($E$3+$I316)/$I316,0)),IF($E$6="No",ROUNDUP($E$4/$G316,0),ROUNDUP(($E$4+$G316)/$G316,0)))+$E$5</f>
        <v>1</v>
      </c>
      <c r="CG316" s="400" t="b">
        <f t="shared" ca="1" si="821"/>
        <v>1</v>
      </c>
      <c r="CH316" s="400" t="str">
        <f t="shared" ca="1" si="877"/>
        <v>Accepted</v>
      </c>
      <c r="CI316" s="398" t="str">
        <f t="shared" ca="1" si="849"/>
        <v>Yes</v>
      </c>
      <c r="CJ316" s="398">
        <f t="shared" ca="1" si="878"/>
        <v>20</v>
      </c>
      <c r="CK316" s="398" t="str">
        <f t="shared" ca="1" si="842"/>
        <v>E-Series Base + 5x Expansion Unit, 72x8TB RAID5</v>
      </c>
      <c r="CL316" s="398">
        <f t="shared" ca="1" si="843"/>
        <v>20</v>
      </c>
      <c r="CM316" s="398">
        <f t="shared" ca="1" si="879"/>
        <v>2</v>
      </c>
      <c r="CN316" s="398">
        <f t="shared" ca="1" si="880"/>
        <v>1152</v>
      </c>
      <c r="CO316" s="398">
        <f t="shared" ca="1" si="881"/>
        <v>983136</v>
      </c>
      <c r="CP316" s="399">
        <f t="shared" si="892"/>
        <v>1691</v>
      </c>
      <c r="CQ316" s="399">
        <f t="shared" si="893"/>
        <v>4</v>
      </c>
      <c r="CR316" s="483" t="e">
        <f t="shared" ca="1" si="844"/>
        <v>#DIV/0!</v>
      </c>
      <c r="CS316"/>
    </row>
    <row r="317" spans="1:97">
      <c r="A317" s="398" t="s">
        <v>462</v>
      </c>
      <c r="B317" s="398" t="s">
        <v>988</v>
      </c>
      <c r="C317" s="440" t="s">
        <v>891</v>
      </c>
      <c r="D317" s="398">
        <v>1</v>
      </c>
      <c r="E317" s="398">
        <v>6</v>
      </c>
      <c r="F317" s="440">
        <v>0</v>
      </c>
      <c r="G317" s="398">
        <f t="shared" si="894"/>
        <v>573496</v>
      </c>
      <c r="H317" s="399">
        <v>672</v>
      </c>
      <c r="I317" s="399">
        <v>1250</v>
      </c>
      <c r="J317" s="399">
        <v>800</v>
      </c>
      <c r="K317" s="399">
        <v>1939</v>
      </c>
      <c r="L317" s="399">
        <v>4</v>
      </c>
      <c r="M317" s="400">
        <f ca="1">IF(MAX(IF($B$6="No",ROUNDUP($B$3/$I317,0),ROUNDUP(($B$3+$I317)/$I317,0)),IF($B$6="No",ROUNDUP($B$4/$G317,0),ROUNDUP(($B$4+$G317)/$G317,0)),ROUNDUP('BVMS checklist'!$H$217/$J317,0))&gt;1,'BVMS checklist'!$H$224,'BVMS checklist'!$H$217)</f>
        <v>0</v>
      </c>
      <c r="N317" s="398">
        <f t="shared" ca="1" si="822"/>
        <v>2</v>
      </c>
      <c r="O317" s="400">
        <f t="shared" ca="1" si="851"/>
        <v>2</v>
      </c>
      <c r="P317" s="400">
        <f t="shared" ca="1" si="813"/>
        <v>2500</v>
      </c>
      <c r="Q317" s="400">
        <f t="shared" ca="1" si="814"/>
        <v>0</v>
      </c>
      <c r="R317" s="398">
        <f t="shared" ca="1" si="815"/>
        <v>1146992</v>
      </c>
      <c r="S317" s="401" t="e">
        <f t="shared" ca="1" si="823"/>
        <v>#DIV/0!</v>
      </c>
      <c r="T317" s="398">
        <f t="shared" ca="1" si="824"/>
        <v>1600</v>
      </c>
      <c r="U317" s="400">
        <f ca="1">IF(MAX(IF($B$6="No",ROUNDUP($B$3/$I317,0),ROUNDUP(($B$3+$I317)/$I317,0)),IF($B$6="No",ROUNDUP($B$4/$G317,0),ROUNDUP(($B$4+$G317)/$G317,0)),ROUNDUP('BVMS checklist'!$H$217/$J317,0))&gt;1,'BVMS checklist'!$H$224,'BVMS checklist'!$H$217)+MAX(IF($B$6="No",ROUNDUP($B$3/$I317,0),ROUNDUP(($B$3+$I317)/$I317,0)),IF($B$6="No",ROUNDUP($B$4/$G317,0),ROUNDUP(($B$4+$G317)/$G317,0)))+$B$5</f>
        <v>1</v>
      </c>
      <c r="V317" s="400" t="b">
        <f t="shared" ca="1" si="816"/>
        <v>1</v>
      </c>
      <c r="W317" s="400" t="str">
        <f t="shared" ca="1" si="852"/>
        <v>Accepted</v>
      </c>
      <c r="X317" s="398" t="str">
        <f t="shared" ca="1" si="825"/>
        <v>Yes</v>
      </c>
      <c r="Y317" s="398">
        <f t="shared" ca="1" si="826"/>
        <v>21</v>
      </c>
      <c r="Z317" s="398" t="str">
        <f t="shared" ca="1" si="827"/>
        <v>E-Series Base + 6x Expansion Unit, 84x8TB RAID5</v>
      </c>
      <c r="AA317" s="398">
        <f t="shared" ca="1" si="853"/>
        <v>21</v>
      </c>
      <c r="AB317" s="398">
        <f t="shared" ca="1" si="817"/>
        <v>2</v>
      </c>
      <c r="AC317" s="398">
        <f t="shared" ca="1" si="818"/>
        <v>1344</v>
      </c>
      <c r="AD317" s="398">
        <f t="shared" ca="1" si="854"/>
        <v>1146992</v>
      </c>
      <c r="AE317" s="399">
        <f t="shared" si="886"/>
        <v>1939</v>
      </c>
      <c r="AF317" s="399">
        <f t="shared" si="887"/>
        <v>4</v>
      </c>
      <c r="AG317" s="483" t="e">
        <f t="shared" ca="1" si="828"/>
        <v>#DIV/0!</v>
      </c>
      <c r="AH317" s="400">
        <f ca="1">IF(MAX(IF($C$6="No",ROUNDUP($C$3/$I317,0),ROUNDUP(($C$3+$I317)/$I317,0)),IF($C$6="No",ROUNDUP($C$4/$G317,0),ROUNDUP(($C$4+$G317)/$G317,0)),ROUNDUP('BVMS checklist'!$H$217/$J317,0))&gt;1,'BVMS checklist'!$J$224,'BVMS checklist'!$J$217)</f>
        <v>0</v>
      </c>
      <c r="AI317" s="398">
        <f t="shared" ca="1" si="829"/>
        <v>2</v>
      </c>
      <c r="AJ317" s="400">
        <f t="shared" ca="1" si="855"/>
        <v>2</v>
      </c>
      <c r="AK317" s="400">
        <f t="shared" ca="1" si="856"/>
        <v>2500</v>
      </c>
      <c r="AL317" s="400">
        <f t="shared" ca="1" si="857"/>
        <v>0</v>
      </c>
      <c r="AM317" s="398">
        <f t="shared" ca="1" si="858"/>
        <v>1146992</v>
      </c>
      <c r="AN317" s="401" t="e">
        <f t="shared" ca="1" si="830"/>
        <v>#DIV/0!</v>
      </c>
      <c r="AO317" s="398">
        <f t="shared" ca="1" si="859"/>
        <v>1600</v>
      </c>
      <c r="AP317" s="400">
        <f ca="1">IF(MAX(IF($C$6="No",ROUNDUP($C$3/$I317,0),ROUNDUP(($C$3+$I317)/$I317,0)),IF($C$6="No",ROUNDUP($C$4/$G317,0),ROUNDUP(($C$4+$G317)/$G317,0)),ROUNDUP('BVMS checklist'!$H$217/$J317,0))&gt;1,'BVMS checklist'!$J$224,'BVMS checklist'!$J$217)+MAX(IF($C$6="No",ROUNDUP($C$3/$I317,0),ROUNDUP(($C$3+$I317)/$I317,0)),IF($C$6="No",ROUNDUP($C$4/$G317,0),ROUNDUP(($C$4+$G317)/$G317,0)))+$C$5</f>
        <v>1</v>
      </c>
      <c r="AQ317" s="400" t="b">
        <f t="shared" ca="1" si="819"/>
        <v>1</v>
      </c>
      <c r="AR317" s="400" t="str">
        <f t="shared" ca="1" si="860"/>
        <v>Accepted</v>
      </c>
      <c r="AS317" s="398" t="str">
        <f t="shared" ca="1" si="845"/>
        <v>Yes</v>
      </c>
      <c r="AT317" s="398">
        <f t="shared" ca="1" si="861"/>
        <v>21</v>
      </c>
      <c r="AU317" s="398" t="str">
        <f t="shared" ca="1" si="831"/>
        <v>E-Series Base + 6x Expansion Unit, 84x8TB RAID5</v>
      </c>
      <c r="AV317" s="398">
        <f t="shared" ca="1" si="832"/>
        <v>21</v>
      </c>
      <c r="AW317" s="398">
        <f t="shared" ca="1" si="862"/>
        <v>2</v>
      </c>
      <c r="AX317" s="398">
        <f t="shared" ca="1" si="863"/>
        <v>1344</v>
      </c>
      <c r="AY317" s="398">
        <f t="shared" ca="1" si="864"/>
        <v>1146992</v>
      </c>
      <c r="AZ317" s="399">
        <f t="shared" si="888"/>
        <v>1939</v>
      </c>
      <c r="BA317" s="399">
        <f t="shared" si="889"/>
        <v>4</v>
      </c>
      <c r="BB317" s="483" t="e">
        <f t="shared" ca="1" si="833"/>
        <v>#DIV/0!</v>
      </c>
      <c r="BC317" s="400">
        <f ca="1">IF(MAX(IF($D$6="No",ROUNDUP($D$3/$I317,0),ROUNDUP(($D$3+$I317)/$I317,0)),IF($D$6="No",ROUNDUP($D$4/$G317,0),ROUNDUP(($D$4+$G317)/$G317,0)),ROUNDUP('BVMS checklist'!$H$217/$J317,0))&gt;1,'BVMS checklist'!$L$224,'BVMS checklist'!$L$217)</f>
        <v>0</v>
      </c>
      <c r="BD317" s="398">
        <f t="shared" ca="1" si="834"/>
        <v>2</v>
      </c>
      <c r="BE317" s="400">
        <f t="shared" si="835"/>
        <v>1</v>
      </c>
      <c r="BF317" s="400">
        <f t="shared" si="865"/>
        <v>1250</v>
      </c>
      <c r="BG317" s="400">
        <f t="shared" ca="1" si="846"/>
        <v>0</v>
      </c>
      <c r="BH317" s="398">
        <f t="shared" ca="1" si="866"/>
        <v>1146992</v>
      </c>
      <c r="BI317" s="401" t="e">
        <f t="shared" ca="1" si="836"/>
        <v>#DIV/0!</v>
      </c>
      <c r="BJ317" s="398">
        <f t="shared" ca="1" si="867"/>
        <v>1600</v>
      </c>
      <c r="BK317" s="400">
        <f ca="1">IF(MAX(IF($D$6="No",ROUNDUP($D$3/$I317,0),ROUNDUP(($D$3+$I317)/$I317,0)),IF($D$6="No",ROUNDUP($D$4/$G317,0),ROUNDUP(($D$4+$G317)/$G317,0)),ROUNDUP('BVMS checklist'!$H$217/$J317,0))&gt;1,'BVMS checklist'!$L$224,'BVMS checklist'!$L$217)+MAX(IF($D$6="No",ROUNDUP($D$3/$I317,0),ROUNDUP(($D$3+$I317)/$I317,0)),IF($D$6="No",ROUNDUP($D$4/$G317,0),ROUNDUP(($D$4+$G317)/$G317,0)))+$D$5</f>
        <v>1</v>
      </c>
      <c r="BL317" s="400" t="b">
        <f t="shared" ca="1" si="820"/>
        <v>1</v>
      </c>
      <c r="BM317" s="400" t="str">
        <f t="shared" ca="1" si="868"/>
        <v>Accepted</v>
      </c>
      <c r="BN317" s="398" t="str">
        <f t="shared" ca="1" si="847"/>
        <v>Yes</v>
      </c>
      <c r="BO317" s="398">
        <f t="shared" ca="1" si="869"/>
        <v>21</v>
      </c>
      <c r="BP317" s="398" t="str">
        <f t="shared" ca="1" si="837"/>
        <v>E-Series Base + 6x Expansion Unit, 84x8TB RAID5</v>
      </c>
      <c r="BQ317" s="398">
        <f t="shared" ca="1" si="838"/>
        <v>21</v>
      </c>
      <c r="BR317" s="398">
        <f t="shared" ca="1" si="870"/>
        <v>2</v>
      </c>
      <c r="BS317" s="398">
        <f t="shared" ca="1" si="871"/>
        <v>1344</v>
      </c>
      <c r="BT317" s="398">
        <f t="shared" ca="1" si="872"/>
        <v>1146992</v>
      </c>
      <c r="BU317" s="399">
        <f t="shared" si="890"/>
        <v>1939</v>
      </c>
      <c r="BV317" s="399">
        <f t="shared" si="891"/>
        <v>4</v>
      </c>
      <c r="BW317" s="483" t="e">
        <f t="shared" ca="1" si="839"/>
        <v>#DIV/0!</v>
      </c>
      <c r="BX317" s="400">
        <f ca="1">IF(MAX(IF($E$6="No",ROUNDUP($E$3/$I317,0),ROUNDUP(($E$3+$I317)/$I317,0)),IF($E$6="No",ROUNDUP($E$4/$G317,0),ROUNDUP(($E$4+$G317)/$G317,0)),ROUNDUP('BVMS checklist'!$H$217/$J317,0))&gt;1,'BVMS checklist'!$N$224,'BVMS checklist'!$N$217)</f>
        <v>0</v>
      </c>
      <c r="BY317" s="398">
        <f t="shared" ca="1" si="840"/>
        <v>2</v>
      </c>
      <c r="BZ317" s="400">
        <f t="shared" ca="1" si="873"/>
        <v>2</v>
      </c>
      <c r="CA317" s="400">
        <f t="shared" ca="1" si="874"/>
        <v>2500</v>
      </c>
      <c r="CB317" s="400">
        <f t="shared" ca="1" si="848"/>
        <v>0</v>
      </c>
      <c r="CC317" s="398">
        <f t="shared" ca="1" si="875"/>
        <v>1146992</v>
      </c>
      <c r="CD317" s="401" t="e">
        <f t="shared" ca="1" si="841"/>
        <v>#DIV/0!</v>
      </c>
      <c r="CE317" s="398">
        <f t="shared" ca="1" si="876"/>
        <v>1600</v>
      </c>
      <c r="CF317" s="400">
        <f ca="1">IF(MAX(IF($E$6="No",ROUNDUP($E$3/$I317,0),ROUNDUP(($E$3+$I317)/$I317,0)),IF($E$6="No",ROUNDUP($E$4/$G317,0),ROUNDUP(($E$4+$G317)/$G317,0)),ROUNDUP('BVMS checklist'!$H$217/$J317,0))&gt;1,'BVMS checklist'!$N$224,'BVMS checklist'!$N$217)+MAX(IF($E$6="No",ROUNDUP($E$3/$I317,0),ROUNDUP(($E$3+$I317)/$I317,0)),IF($E$6="No",ROUNDUP($E$4/$G317,0),ROUNDUP(($E$4+$G317)/$G317,0)))+$E$5</f>
        <v>1</v>
      </c>
      <c r="CG317" s="400" t="b">
        <f t="shared" ca="1" si="821"/>
        <v>1</v>
      </c>
      <c r="CH317" s="400" t="str">
        <f t="shared" ca="1" si="877"/>
        <v>Accepted</v>
      </c>
      <c r="CI317" s="398" t="str">
        <f t="shared" ca="1" si="849"/>
        <v>Yes</v>
      </c>
      <c r="CJ317" s="398">
        <f t="shared" ca="1" si="878"/>
        <v>21</v>
      </c>
      <c r="CK317" s="398" t="str">
        <f t="shared" ca="1" si="842"/>
        <v>E-Series Base + 6x Expansion Unit, 84x8TB RAID5</v>
      </c>
      <c r="CL317" s="398">
        <f t="shared" ca="1" si="843"/>
        <v>21</v>
      </c>
      <c r="CM317" s="398">
        <f t="shared" ca="1" si="879"/>
        <v>2</v>
      </c>
      <c r="CN317" s="398">
        <f t="shared" ca="1" si="880"/>
        <v>1344</v>
      </c>
      <c r="CO317" s="398">
        <f t="shared" ca="1" si="881"/>
        <v>1146992</v>
      </c>
      <c r="CP317" s="399">
        <f t="shared" si="892"/>
        <v>1939</v>
      </c>
      <c r="CQ317" s="399">
        <f t="shared" si="893"/>
        <v>4</v>
      </c>
      <c r="CR317" s="483" t="e">
        <f t="shared" ca="1" si="844"/>
        <v>#DIV/0!</v>
      </c>
      <c r="CS317"/>
    </row>
    <row r="318" spans="1:97">
      <c r="A318" s="398" t="s">
        <v>463</v>
      </c>
      <c r="B318" s="398" t="s">
        <v>988</v>
      </c>
      <c r="C318" s="440" t="s">
        <v>891</v>
      </c>
      <c r="D318" s="398">
        <v>1</v>
      </c>
      <c r="E318" s="398">
        <v>7</v>
      </c>
      <c r="F318" s="440">
        <v>0</v>
      </c>
      <c r="G318" s="398">
        <f t="shared" si="894"/>
        <v>655424</v>
      </c>
      <c r="H318" s="399">
        <v>768</v>
      </c>
      <c r="I318" s="399">
        <v>1250</v>
      </c>
      <c r="J318" s="399">
        <v>800</v>
      </c>
      <c r="K318" s="399">
        <v>2187</v>
      </c>
      <c r="L318" s="399">
        <v>4</v>
      </c>
      <c r="M318" s="400">
        <f ca="1">IF(MAX(IF($B$6="No",ROUNDUP($B$3/$I318,0),ROUNDUP(($B$3+$I318)/$I318,0)),IF($B$6="No",ROUNDUP($B$4/$G318,0),ROUNDUP(($B$4+$G318)/$G318,0)),ROUNDUP('BVMS checklist'!$H$217/$J318,0))&gt;1,'BVMS checklist'!$H$224,'BVMS checklist'!$H$217)</f>
        <v>0</v>
      </c>
      <c r="N318" s="398">
        <f t="shared" ca="1" si="822"/>
        <v>2</v>
      </c>
      <c r="O318" s="400">
        <f t="shared" ca="1" si="851"/>
        <v>2</v>
      </c>
      <c r="P318" s="400">
        <f t="shared" ca="1" si="813"/>
        <v>2500</v>
      </c>
      <c r="Q318" s="400">
        <f t="shared" ca="1" si="814"/>
        <v>0</v>
      </c>
      <c r="R318" s="398">
        <f t="shared" ca="1" si="815"/>
        <v>1310848</v>
      </c>
      <c r="S318" s="401" t="e">
        <f t="shared" ca="1" si="823"/>
        <v>#DIV/0!</v>
      </c>
      <c r="T318" s="398">
        <f t="shared" ca="1" si="824"/>
        <v>1600</v>
      </c>
      <c r="U318" s="400">
        <f ca="1">IF(MAX(IF($B$6="No",ROUNDUP($B$3/$I318,0),ROUNDUP(($B$3+$I318)/$I318,0)),IF($B$6="No",ROUNDUP($B$4/$G318,0),ROUNDUP(($B$4+$G318)/$G318,0)),ROUNDUP('BVMS checklist'!$H$217/$J318,0))&gt;1,'BVMS checklist'!$H$224,'BVMS checklist'!$H$217)+MAX(IF($B$6="No",ROUNDUP($B$3/$I318,0),ROUNDUP(($B$3+$I318)/$I318,0)),IF($B$6="No",ROUNDUP($B$4/$G318,0),ROUNDUP(($B$4+$G318)/$G318,0)))+$B$5</f>
        <v>1</v>
      </c>
      <c r="V318" s="400" t="b">
        <f t="shared" ca="1" si="816"/>
        <v>1</v>
      </c>
      <c r="W318" s="400" t="str">
        <f t="shared" ca="1" si="852"/>
        <v>Accepted</v>
      </c>
      <c r="X318" s="398" t="str">
        <f t="shared" ca="1" si="825"/>
        <v>Yes</v>
      </c>
      <c r="Y318" s="398">
        <f t="shared" ca="1" si="826"/>
        <v>22</v>
      </c>
      <c r="Z318" s="398" t="str">
        <f t="shared" ca="1" si="827"/>
        <v>E-Series Base + 7x Expansion Unit, 96x8TB RAID5</v>
      </c>
      <c r="AA318" s="398">
        <f t="shared" ca="1" si="853"/>
        <v>22</v>
      </c>
      <c r="AB318" s="398">
        <f t="shared" ca="1" si="817"/>
        <v>2</v>
      </c>
      <c r="AC318" s="398">
        <f t="shared" ca="1" si="818"/>
        <v>1536</v>
      </c>
      <c r="AD318" s="398">
        <f t="shared" ca="1" si="854"/>
        <v>1310848</v>
      </c>
      <c r="AE318" s="399">
        <f t="shared" si="886"/>
        <v>2187</v>
      </c>
      <c r="AF318" s="399">
        <f t="shared" si="887"/>
        <v>4</v>
      </c>
      <c r="AG318" s="483" t="e">
        <f t="shared" ca="1" si="828"/>
        <v>#DIV/0!</v>
      </c>
      <c r="AH318" s="400">
        <f ca="1">IF(MAX(IF($C$6="No",ROUNDUP($C$3/$I318,0),ROUNDUP(($C$3+$I318)/$I318,0)),IF($C$6="No",ROUNDUP($C$4/$G318,0),ROUNDUP(($C$4+$G318)/$G318,0)),ROUNDUP('BVMS checklist'!$H$217/$J318,0))&gt;1,'BVMS checklist'!$J$224,'BVMS checklist'!$J$217)</f>
        <v>0</v>
      </c>
      <c r="AI318" s="398">
        <f t="shared" ca="1" si="829"/>
        <v>2</v>
      </c>
      <c r="AJ318" s="400">
        <f t="shared" ca="1" si="855"/>
        <v>2</v>
      </c>
      <c r="AK318" s="400">
        <f t="shared" ca="1" si="856"/>
        <v>2500</v>
      </c>
      <c r="AL318" s="400">
        <f t="shared" ca="1" si="857"/>
        <v>0</v>
      </c>
      <c r="AM318" s="398">
        <f t="shared" ca="1" si="858"/>
        <v>1310848</v>
      </c>
      <c r="AN318" s="401" t="e">
        <f t="shared" ca="1" si="830"/>
        <v>#DIV/0!</v>
      </c>
      <c r="AO318" s="398">
        <f t="shared" ca="1" si="859"/>
        <v>1600</v>
      </c>
      <c r="AP318" s="400">
        <f ca="1">IF(MAX(IF($C$6="No",ROUNDUP($C$3/$I318,0),ROUNDUP(($C$3+$I318)/$I318,0)),IF($C$6="No",ROUNDUP($C$4/$G318,0),ROUNDUP(($C$4+$G318)/$G318,0)),ROUNDUP('BVMS checklist'!$H$217/$J318,0))&gt;1,'BVMS checklist'!$J$224,'BVMS checklist'!$J$217)+MAX(IF($C$6="No",ROUNDUP($C$3/$I318,0),ROUNDUP(($C$3+$I318)/$I318,0)),IF($C$6="No",ROUNDUP($C$4/$G318,0),ROUNDUP(($C$4+$G318)/$G318,0)))+$C$5</f>
        <v>1</v>
      </c>
      <c r="AQ318" s="400" t="b">
        <f t="shared" ca="1" si="819"/>
        <v>1</v>
      </c>
      <c r="AR318" s="400" t="str">
        <f t="shared" ca="1" si="860"/>
        <v>Accepted</v>
      </c>
      <c r="AS318" s="398" t="str">
        <f t="shared" ca="1" si="845"/>
        <v>Yes</v>
      </c>
      <c r="AT318" s="398">
        <f t="shared" ca="1" si="861"/>
        <v>22</v>
      </c>
      <c r="AU318" s="398" t="str">
        <f t="shared" ca="1" si="831"/>
        <v>E-Series Base + 7x Expansion Unit, 96x8TB RAID5</v>
      </c>
      <c r="AV318" s="398">
        <f t="shared" ca="1" si="832"/>
        <v>22</v>
      </c>
      <c r="AW318" s="398">
        <f t="shared" ca="1" si="862"/>
        <v>2</v>
      </c>
      <c r="AX318" s="398">
        <f t="shared" ca="1" si="863"/>
        <v>1536</v>
      </c>
      <c r="AY318" s="398">
        <f t="shared" ca="1" si="864"/>
        <v>1310848</v>
      </c>
      <c r="AZ318" s="399">
        <f t="shared" si="888"/>
        <v>2187</v>
      </c>
      <c r="BA318" s="399">
        <f t="shared" si="889"/>
        <v>4</v>
      </c>
      <c r="BB318" s="483" t="e">
        <f t="shared" ca="1" si="833"/>
        <v>#DIV/0!</v>
      </c>
      <c r="BC318" s="400">
        <f ca="1">IF(MAX(IF($D$6="No",ROUNDUP($D$3/$I318,0),ROUNDUP(($D$3+$I318)/$I318,0)),IF($D$6="No",ROUNDUP($D$4/$G318,0),ROUNDUP(($D$4+$G318)/$G318,0)),ROUNDUP('BVMS checklist'!$H$217/$J318,0))&gt;1,'BVMS checklist'!$L$224,'BVMS checklist'!$L$217)</f>
        <v>0</v>
      </c>
      <c r="BD318" s="398">
        <f t="shared" ca="1" si="834"/>
        <v>2</v>
      </c>
      <c r="BE318" s="400">
        <f t="shared" si="835"/>
        <v>1</v>
      </c>
      <c r="BF318" s="400">
        <f t="shared" si="865"/>
        <v>1250</v>
      </c>
      <c r="BG318" s="400">
        <f t="shared" ca="1" si="846"/>
        <v>0</v>
      </c>
      <c r="BH318" s="398">
        <f t="shared" ca="1" si="866"/>
        <v>1310848</v>
      </c>
      <c r="BI318" s="401" t="e">
        <f t="shared" ca="1" si="836"/>
        <v>#DIV/0!</v>
      </c>
      <c r="BJ318" s="398">
        <f t="shared" ca="1" si="867"/>
        <v>1600</v>
      </c>
      <c r="BK318" s="400">
        <f ca="1">IF(MAX(IF($D$6="No",ROUNDUP($D$3/$I318,0),ROUNDUP(($D$3+$I318)/$I318,0)),IF($D$6="No",ROUNDUP($D$4/$G318,0),ROUNDUP(($D$4+$G318)/$G318,0)),ROUNDUP('BVMS checklist'!$H$217/$J318,0))&gt;1,'BVMS checklist'!$L$224,'BVMS checklist'!$L$217)+MAX(IF($D$6="No",ROUNDUP($D$3/$I318,0),ROUNDUP(($D$3+$I318)/$I318,0)),IF($D$6="No",ROUNDUP($D$4/$G318,0),ROUNDUP(($D$4+$G318)/$G318,0)))+$D$5</f>
        <v>1</v>
      </c>
      <c r="BL318" s="400" t="b">
        <f t="shared" ca="1" si="820"/>
        <v>1</v>
      </c>
      <c r="BM318" s="400" t="str">
        <f t="shared" ca="1" si="868"/>
        <v>Accepted</v>
      </c>
      <c r="BN318" s="398" t="str">
        <f t="shared" ca="1" si="847"/>
        <v>Yes</v>
      </c>
      <c r="BO318" s="398">
        <f t="shared" ca="1" si="869"/>
        <v>22</v>
      </c>
      <c r="BP318" s="398" t="str">
        <f t="shared" ca="1" si="837"/>
        <v>E-Series Base + 7x Expansion Unit, 96x8TB RAID5</v>
      </c>
      <c r="BQ318" s="398">
        <f t="shared" ca="1" si="838"/>
        <v>22</v>
      </c>
      <c r="BR318" s="398">
        <f t="shared" ca="1" si="870"/>
        <v>2</v>
      </c>
      <c r="BS318" s="398">
        <f t="shared" ca="1" si="871"/>
        <v>1536</v>
      </c>
      <c r="BT318" s="398">
        <f t="shared" ca="1" si="872"/>
        <v>1310848</v>
      </c>
      <c r="BU318" s="399">
        <f t="shared" si="890"/>
        <v>2187</v>
      </c>
      <c r="BV318" s="399">
        <f t="shared" si="891"/>
        <v>4</v>
      </c>
      <c r="BW318" s="483" t="e">
        <f t="shared" ca="1" si="839"/>
        <v>#DIV/0!</v>
      </c>
      <c r="BX318" s="400">
        <f ca="1">IF(MAX(IF($E$6="No",ROUNDUP($E$3/$I318,0),ROUNDUP(($E$3+$I318)/$I318,0)),IF($E$6="No",ROUNDUP($E$4/$G318,0),ROUNDUP(($E$4+$G318)/$G318,0)),ROUNDUP('BVMS checklist'!$H$217/$J318,0))&gt;1,'BVMS checklist'!$N$224,'BVMS checklist'!$N$217)</f>
        <v>0</v>
      </c>
      <c r="BY318" s="398">
        <f t="shared" ca="1" si="840"/>
        <v>2</v>
      </c>
      <c r="BZ318" s="400">
        <f t="shared" ca="1" si="873"/>
        <v>2</v>
      </c>
      <c r="CA318" s="400">
        <f t="shared" ca="1" si="874"/>
        <v>2500</v>
      </c>
      <c r="CB318" s="400">
        <f t="shared" ca="1" si="848"/>
        <v>0</v>
      </c>
      <c r="CC318" s="398">
        <f t="shared" ca="1" si="875"/>
        <v>1310848</v>
      </c>
      <c r="CD318" s="401" t="e">
        <f t="shared" ca="1" si="841"/>
        <v>#DIV/0!</v>
      </c>
      <c r="CE318" s="398">
        <f t="shared" ca="1" si="876"/>
        <v>1600</v>
      </c>
      <c r="CF318" s="400">
        <f ca="1">IF(MAX(IF($E$6="No",ROUNDUP($E$3/$I318,0),ROUNDUP(($E$3+$I318)/$I318,0)),IF($E$6="No",ROUNDUP($E$4/$G318,0),ROUNDUP(($E$4+$G318)/$G318,0)),ROUNDUP('BVMS checklist'!$H$217/$J318,0))&gt;1,'BVMS checklist'!$N$224,'BVMS checklist'!$N$217)+MAX(IF($E$6="No",ROUNDUP($E$3/$I318,0),ROUNDUP(($E$3+$I318)/$I318,0)),IF($E$6="No",ROUNDUP($E$4/$G318,0),ROUNDUP(($E$4+$G318)/$G318,0)))+$E$5</f>
        <v>1</v>
      </c>
      <c r="CG318" s="400" t="b">
        <f t="shared" ca="1" si="821"/>
        <v>1</v>
      </c>
      <c r="CH318" s="400" t="str">
        <f t="shared" ca="1" si="877"/>
        <v>Accepted</v>
      </c>
      <c r="CI318" s="398" t="str">
        <f t="shared" ca="1" si="849"/>
        <v>Yes</v>
      </c>
      <c r="CJ318" s="398">
        <f t="shared" ca="1" si="878"/>
        <v>22</v>
      </c>
      <c r="CK318" s="398" t="str">
        <f t="shared" ca="1" si="842"/>
        <v>E-Series Base + 7x Expansion Unit, 96x8TB RAID5</v>
      </c>
      <c r="CL318" s="398">
        <f t="shared" ca="1" si="843"/>
        <v>22</v>
      </c>
      <c r="CM318" s="398">
        <f t="shared" ca="1" si="879"/>
        <v>2</v>
      </c>
      <c r="CN318" s="398">
        <f t="shared" ca="1" si="880"/>
        <v>1536</v>
      </c>
      <c r="CO318" s="398">
        <f t="shared" ca="1" si="881"/>
        <v>1310848</v>
      </c>
      <c r="CP318" s="399">
        <f t="shared" si="892"/>
        <v>2187</v>
      </c>
      <c r="CQ318" s="399">
        <f t="shared" si="893"/>
        <v>4</v>
      </c>
      <c r="CR318" s="483" t="e">
        <f t="shared" ca="1" si="844"/>
        <v>#DIV/0!</v>
      </c>
      <c r="CS318"/>
    </row>
    <row r="319" spans="1:97">
      <c r="A319" s="398" t="s">
        <v>1049</v>
      </c>
      <c r="B319" s="398" t="s">
        <v>987</v>
      </c>
      <c r="C319" s="440" t="s">
        <v>891</v>
      </c>
      <c r="D319" s="398">
        <v>1</v>
      </c>
      <c r="E319" s="398">
        <v>0</v>
      </c>
      <c r="F319" s="440">
        <v>0</v>
      </c>
      <c r="G319" s="398">
        <f>IF(C319="RAID5",(11-F319)*9310,IF(C319="RAID6",(10-F319)*9310,IF(C319="DDP",(12*9310*0.7),"Error")))+IF(C319="RAID5",(11-F319)*9310,IF(C319="RAID6",(10-F319)*9310,IF(C319="DDP",(12*9310*0.7),"Error")))*E319</f>
        <v>102410</v>
      </c>
      <c r="H319" s="399">
        <v>120</v>
      </c>
      <c r="I319" s="399">
        <v>1250</v>
      </c>
      <c r="J319" s="399">
        <v>800</v>
      </c>
      <c r="K319" s="399">
        <v>451</v>
      </c>
      <c r="L319" s="399">
        <v>4</v>
      </c>
      <c r="M319" s="400">
        <f ca="1">IF(MAX(IF($B$6="No",ROUNDUP($B$3/$I319,0),ROUNDUP(($B$3+$I319)/$I319,0)),IF($B$6="No",ROUNDUP($B$4/$G319,0),ROUNDUP(($B$4+$G319)/$G319,0)),ROUNDUP('BVMS checklist'!$H$217/$J319,0))&gt;1,'BVMS checklist'!$H$224,'BVMS checklist'!$H$217)</f>
        <v>0</v>
      </c>
      <c r="N319" s="398">
        <f t="shared" ca="1" si="822"/>
        <v>2</v>
      </c>
      <c r="O319" s="400">
        <f t="shared" ca="1" si="851"/>
        <v>2</v>
      </c>
      <c r="P319" s="400">
        <f t="shared" ca="1" si="813"/>
        <v>2500</v>
      </c>
      <c r="Q319" s="400">
        <f t="shared" ca="1" si="814"/>
        <v>0</v>
      </c>
      <c r="R319" s="398">
        <f t="shared" ca="1" si="815"/>
        <v>204820</v>
      </c>
      <c r="S319" s="401" t="str">
        <f t="shared" ca="1" si="823"/>
        <v/>
      </c>
      <c r="T319" s="398">
        <f t="shared" ca="1" si="824"/>
        <v>1600</v>
      </c>
      <c r="U319" s="400">
        <f ca="1">IF(MAX(IF($B$6="No",ROUNDUP($B$3/$I319,0),ROUNDUP(($B$3+$I319)/$I319,0)),IF($B$6="No",ROUNDUP($B$4/$G319,0),ROUNDUP(($B$4+$G319)/$G319,0)),ROUNDUP('BVMS checklist'!$H$217/$J319,0))&gt;1,'BVMS checklist'!$H$224,'BVMS checklist'!$H$217)+MAX(IF($B$6="No",ROUNDUP($B$3/$I319,0),ROUNDUP(($B$3+$I319)/$I319,0)),IF($B$6="No",ROUNDUP($B$4/$G319,0),ROUNDUP(($B$4+$G319)/$G319,0)))+$B$5</f>
        <v>1</v>
      </c>
      <c r="V319" s="400" t="b">
        <f t="shared" ca="1" si="816"/>
        <v>1</v>
      </c>
      <c r="W319" s="400" t="str">
        <f t="shared" ca="1" si="852"/>
        <v>Accepted</v>
      </c>
      <c r="X319" s="398" t="str">
        <f t="shared" ca="1" si="825"/>
        <v>No</v>
      </c>
      <c r="Y319" s="398" t="str">
        <f t="shared" ca="1" si="826"/>
        <v/>
      </c>
      <c r="Z319" s="398" t="str">
        <f t="shared" ca="1" si="827"/>
        <v/>
      </c>
      <c r="AA319" s="398">
        <f t="shared" ca="1" si="853"/>
        <v>22</v>
      </c>
      <c r="AB319" s="398">
        <f t="shared" ca="1" si="817"/>
        <v>2</v>
      </c>
      <c r="AC319" s="398">
        <f t="shared" ca="1" si="818"/>
        <v>240</v>
      </c>
      <c r="AD319" s="398">
        <f t="shared" ca="1" si="854"/>
        <v>204820</v>
      </c>
      <c r="AE319" s="399">
        <f t="shared" si="886"/>
        <v>451</v>
      </c>
      <c r="AF319" s="399">
        <f t="shared" si="887"/>
        <v>4</v>
      </c>
      <c r="AG319" s="483" t="str">
        <f t="shared" ca="1" si="828"/>
        <v/>
      </c>
      <c r="AH319" s="400">
        <f ca="1">IF(MAX(IF($C$6="No",ROUNDUP($C$3/$I319,0),ROUNDUP(($C$3+$I319)/$I319,0)),IF($C$6="No",ROUNDUP($C$4/$G319,0),ROUNDUP(($C$4+$G319)/$G319,0)),ROUNDUP('BVMS checklist'!$H$217/$J319,0))&gt;1,'BVMS checklist'!$J$224,'BVMS checklist'!$J$217)</f>
        <v>0</v>
      </c>
      <c r="AI319" s="398">
        <f t="shared" ca="1" si="829"/>
        <v>2</v>
      </c>
      <c r="AJ319" s="400">
        <f t="shared" ca="1" si="855"/>
        <v>2</v>
      </c>
      <c r="AK319" s="400">
        <f t="shared" ca="1" si="856"/>
        <v>2500</v>
      </c>
      <c r="AL319" s="400">
        <f t="shared" ca="1" si="857"/>
        <v>0</v>
      </c>
      <c r="AM319" s="398">
        <f t="shared" ca="1" si="858"/>
        <v>204820</v>
      </c>
      <c r="AN319" s="401" t="str">
        <f t="shared" ca="1" si="830"/>
        <v/>
      </c>
      <c r="AO319" s="398">
        <f t="shared" ca="1" si="859"/>
        <v>1600</v>
      </c>
      <c r="AP319" s="400">
        <f ca="1">IF(MAX(IF($C$6="No",ROUNDUP($C$3/$I319,0),ROUNDUP(($C$3+$I319)/$I319,0)),IF($C$6="No",ROUNDUP($C$4/$G319,0),ROUNDUP(($C$4+$G319)/$G319,0)),ROUNDUP('BVMS checklist'!$H$217/$J319,0))&gt;1,'BVMS checklist'!$J$224,'BVMS checklist'!$J$217)+MAX(IF($C$6="No",ROUNDUP($C$3/$I319,0),ROUNDUP(($C$3+$I319)/$I319,0)),IF($C$6="No",ROUNDUP($C$4/$G319,0),ROUNDUP(($C$4+$G319)/$G319,0)))+$C$5</f>
        <v>1</v>
      </c>
      <c r="AQ319" s="400" t="b">
        <f t="shared" ca="1" si="819"/>
        <v>1</v>
      </c>
      <c r="AR319" s="400" t="str">
        <f t="shared" ca="1" si="860"/>
        <v>Accepted</v>
      </c>
      <c r="AS319" s="398" t="str">
        <f t="shared" ca="1" si="845"/>
        <v>No</v>
      </c>
      <c r="AT319" s="398" t="str">
        <f t="shared" ca="1" si="861"/>
        <v/>
      </c>
      <c r="AU319" s="398" t="str">
        <f t="shared" ca="1" si="831"/>
        <v/>
      </c>
      <c r="AV319" s="398">
        <f t="shared" ca="1" si="832"/>
        <v>22</v>
      </c>
      <c r="AW319" s="398">
        <f t="shared" ca="1" si="862"/>
        <v>2</v>
      </c>
      <c r="AX319" s="398">
        <f t="shared" ca="1" si="863"/>
        <v>240</v>
      </c>
      <c r="AY319" s="398">
        <f t="shared" ca="1" si="864"/>
        <v>204820</v>
      </c>
      <c r="AZ319" s="399">
        <f t="shared" si="888"/>
        <v>451</v>
      </c>
      <c r="BA319" s="399">
        <f t="shared" si="889"/>
        <v>4</v>
      </c>
      <c r="BB319" s="483" t="str">
        <f t="shared" ca="1" si="833"/>
        <v/>
      </c>
      <c r="BC319" s="400">
        <f ca="1">IF(MAX(IF($D$6="No",ROUNDUP($D$3/$I319,0),ROUNDUP(($D$3+$I319)/$I319,0)),IF($D$6="No",ROUNDUP($D$4/$G319,0),ROUNDUP(($D$4+$G319)/$G319,0)),ROUNDUP('BVMS checklist'!$H$217/$J319,0))&gt;1,'BVMS checklist'!$L$224,'BVMS checklist'!$L$217)</f>
        <v>0</v>
      </c>
      <c r="BD319" s="398">
        <f t="shared" ca="1" si="834"/>
        <v>2</v>
      </c>
      <c r="BE319" s="400">
        <f t="shared" si="835"/>
        <v>1</v>
      </c>
      <c r="BF319" s="400">
        <f t="shared" si="865"/>
        <v>1250</v>
      </c>
      <c r="BG319" s="400">
        <f t="shared" ca="1" si="846"/>
        <v>0</v>
      </c>
      <c r="BH319" s="398">
        <f t="shared" ca="1" si="866"/>
        <v>204820</v>
      </c>
      <c r="BI319" s="401" t="str">
        <f t="shared" ca="1" si="836"/>
        <v/>
      </c>
      <c r="BJ319" s="398">
        <f t="shared" ca="1" si="867"/>
        <v>1600</v>
      </c>
      <c r="BK319" s="400">
        <f ca="1">IF(MAX(IF($D$6="No",ROUNDUP($D$3/$I319,0),ROUNDUP(($D$3+$I319)/$I319,0)),IF($D$6="No",ROUNDUP($D$4/$G319,0),ROUNDUP(($D$4+$G319)/$G319,0)),ROUNDUP('BVMS checklist'!$H$217/$J319,0))&gt;1,'BVMS checklist'!$L$224,'BVMS checklist'!$L$217)+MAX(IF($D$6="No",ROUNDUP($D$3/$I319,0),ROUNDUP(($D$3+$I319)/$I319,0)),IF($D$6="No",ROUNDUP($D$4/$G319,0),ROUNDUP(($D$4+$G319)/$G319,0)))+$D$5</f>
        <v>1</v>
      </c>
      <c r="BL319" s="400" t="b">
        <f t="shared" ca="1" si="820"/>
        <v>1</v>
      </c>
      <c r="BM319" s="400" t="str">
        <f t="shared" ca="1" si="868"/>
        <v>Accepted</v>
      </c>
      <c r="BN319" s="398" t="str">
        <f t="shared" ca="1" si="847"/>
        <v>No</v>
      </c>
      <c r="BO319" s="398" t="str">
        <f t="shared" ca="1" si="869"/>
        <v/>
      </c>
      <c r="BP319" s="398" t="str">
        <f t="shared" ca="1" si="837"/>
        <v/>
      </c>
      <c r="BQ319" s="398">
        <f t="shared" ca="1" si="838"/>
        <v>22</v>
      </c>
      <c r="BR319" s="398">
        <f t="shared" ca="1" si="870"/>
        <v>2</v>
      </c>
      <c r="BS319" s="398">
        <f t="shared" ca="1" si="871"/>
        <v>240</v>
      </c>
      <c r="BT319" s="398">
        <f t="shared" ca="1" si="872"/>
        <v>204820</v>
      </c>
      <c r="BU319" s="399">
        <f t="shared" si="890"/>
        <v>451</v>
      </c>
      <c r="BV319" s="399">
        <f t="shared" si="891"/>
        <v>4</v>
      </c>
      <c r="BW319" s="483" t="str">
        <f t="shared" ca="1" si="839"/>
        <v/>
      </c>
      <c r="BX319" s="400">
        <f ca="1">IF(MAX(IF($E$6="No",ROUNDUP($E$3/$I319,0),ROUNDUP(($E$3+$I319)/$I319,0)),IF($E$6="No",ROUNDUP($E$4/$G319,0),ROUNDUP(($E$4+$G319)/$G319,0)),ROUNDUP('BVMS checklist'!$H$217/$J319,0))&gt;1,'BVMS checklist'!$N$224,'BVMS checklist'!$N$217)</f>
        <v>0</v>
      </c>
      <c r="BY319" s="398">
        <f t="shared" ca="1" si="840"/>
        <v>2</v>
      </c>
      <c r="BZ319" s="400">
        <f t="shared" ca="1" si="873"/>
        <v>2</v>
      </c>
      <c r="CA319" s="400">
        <f t="shared" ca="1" si="874"/>
        <v>2500</v>
      </c>
      <c r="CB319" s="400">
        <f t="shared" ca="1" si="848"/>
        <v>0</v>
      </c>
      <c r="CC319" s="398">
        <f t="shared" ca="1" si="875"/>
        <v>204820</v>
      </c>
      <c r="CD319" s="401" t="str">
        <f t="shared" ca="1" si="841"/>
        <v/>
      </c>
      <c r="CE319" s="398">
        <f t="shared" ca="1" si="876"/>
        <v>1600</v>
      </c>
      <c r="CF319" s="400">
        <f ca="1">IF(MAX(IF($E$6="No",ROUNDUP($E$3/$I319,0),ROUNDUP(($E$3+$I319)/$I319,0)),IF($E$6="No",ROUNDUP($E$4/$G319,0),ROUNDUP(($E$4+$G319)/$G319,0)),ROUNDUP('BVMS checklist'!$H$217/$J319,0))&gt;1,'BVMS checklist'!$N$224,'BVMS checklist'!$N$217)+MAX(IF($E$6="No",ROUNDUP($E$3/$I319,0),ROUNDUP(($E$3+$I319)/$I319,0)),IF($E$6="No",ROUNDUP($E$4/$G319,0),ROUNDUP(($E$4+$G319)/$G319,0)))+$E$5</f>
        <v>1</v>
      </c>
      <c r="CG319" s="400" t="b">
        <f t="shared" ca="1" si="821"/>
        <v>1</v>
      </c>
      <c r="CH319" s="400" t="str">
        <f t="shared" ca="1" si="877"/>
        <v>Accepted</v>
      </c>
      <c r="CI319" s="398" t="str">
        <f t="shared" ca="1" si="849"/>
        <v>No</v>
      </c>
      <c r="CJ319" s="398" t="str">
        <f t="shared" ca="1" si="878"/>
        <v/>
      </c>
      <c r="CK319" s="398" t="str">
        <f t="shared" ca="1" si="842"/>
        <v/>
      </c>
      <c r="CL319" s="398">
        <f t="shared" ca="1" si="843"/>
        <v>22</v>
      </c>
      <c r="CM319" s="398">
        <f t="shared" ca="1" si="879"/>
        <v>2</v>
      </c>
      <c r="CN319" s="398">
        <f t="shared" ca="1" si="880"/>
        <v>240</v>
      </c>
      <c r="CO319" s="398">
        <f t="shared" ca="1" si="881"/>
        <v>204820</v>
      </c>
      <c r="CP319" s="399">
        <f t="shared" si="892"/>
        <v>451</v>
      </c>
      <c r="CQ319" s="399">
        <f t="shared" si="893"/>
        <v>4</v>
      </c>
      <c r="CR319" s="483" t="str">
        <f t="shared" ca="1" si="844"/>
        <v/>
      </c>
      <c r="CS319"/>
    </row>
    <row r="320" spans="1:97">
      <c r="A320" s="398" t="s">
        <v>1050</v>
      </c>
      <c r="B320" s="398" t="s">
        <v>987</v>
      </c>
      <c r="C320" s="440" t="s">
        <v>891</v>
      </c>
      <c r="D320" s="398">
        <v>1</v>
      </c>
      <c r="E320" s="398">
        <v>1</v>
      </c>
      <c r="F320" s="440">
        <v>0</v>
      </c>
      <c r="G320" s="398">
        <f t="shared" ref="G320:G326" si="895">IF(C320="RAID5",(11-F320)*9310,IF(C320="RAID6",(10-F320)*9310,IF(C320="DDP",(12*9310*0.7),"Error")))+IF(C320="RAID5",(11-F320)*9310,IF(C320="RAID6",(10-F320)*9310,IF(C320="DDP",(12*9310*0.7),"Error")))*E320</f>
        <v>204820</v>
      </c>
      <c r="H320" s="399">
        <v>240</v>
      </c>
      <c r="I320" s="399">
        <v>1250</v>
      </c>
      <c r="J320" s="399">
        <v>800</v>
      </c>
      <c r="K320" s="399">
        <v>699</v>
      </c>
      <c r="L320" s="399">
        <v>4</v>
      </c>
      <c r="M320" s="400">
        <f ca="1">IF(MAX(IF($B$6="No",ROUNDUP($B$3/$I320,0),ROUNDUP(($B$3+$I320)/$I320,0)),IF($B$6="No",ROUNDUP($B$4/$G320,0),ROUNDUP(($B$4+$G320)/$G320,0)),ROUNDUP('BVMS checklist'!$H$217/$J320,0))&gt;1,'BVMS checklist'!$H$224,'BVMS checklist'!$H$217)</f>
        <v>0</v>
      </c>
      <c r="N320" s="398">
        <f t="shared" ca="1" si="822"/>
        <v>2</v>
      </c>
      <c r="O320" s="400">
        <f t="shared" ca="1" si="851"/>
        <v>2</v>
      </c>
      <c r="P320" s="400">
        <f t="shared" ca="1" si="813"/>
        <v>2500</v>
      </c>
      <c r="Q320" s="400">
        <f t="shared" ca="1" si="814"/>
        <v>0</v>
      </c>
      <c r="R320" s="398">
        <f t="shared" ca="1" si="815"/>
        <v>409640</v>
      </c>
      <c r="S320" s="401" t="str">
        <f t="shared" ca="1" si="823"/>
        <v/>
      </c>
      <c r="T320" s="398">
        <f t="shared" ca="1" si="824"/>
        <v>1600</v>
      </c>
      <c r="U320" s="400">
        <f ca="1">IF(MAX(IF($B$6="No",ROUNDUP($B$3/$I320,0),ROUNDUP(($B$3+$I320)/$I320,0)),IF($B$6="No",ROUNDUP($B$4/$G320,0),ROUNDUP(($B$4+$G320)/$G320,0)),ROUNDUP('BVMS checklist'!$H$217/$J320,0))&gt;1,'BVMS checklist'!$H$224,'BVMS checklist'!$H$217)+MAX(IF($B$6="No",ROUNDUP($B$3/$I320,0),ROUNDUP(($B$3+$I320)/$I320,0)),IF($B$6="No",ROUNDUP($B$4/$G320,0),ROUNDUP(($B$4+$G320)/$G320,0)))+$B$5</f>
        <v>1</v>
      </c>
      <c r="V320" s="400" t="b">
        <f t="shared" ca="1" si="816"/>
        <v>1</v>
      </c>
      <c r="W320" s="400" t="str">
        <f t="shared" ca="1" si="852"/>
        <v>Accepted</v>
      </c>
      <c r="X320" s="398" t="str">
        <f t="shared" ca="1" si="825"/>
        <v>No</v>
      </c>
      <c r="Y320" s="398" t="str">
        <f t="shared" ca="1" si="826"/>
        <v/>
      </c>
      <c r="Z320" s="398" t="str">
        <f t="shared" ca="1" si="827"/>
        <v/>
      </c>
      <c r="AA320" s="398">
        <f t="shared" ca="1" si="853"/>
        <v>22</v>
      </c>
      <c r="AB320" s="398">
        <f t="shared" ca="1" si="817"/>
        <v>2</v>
      </c>
      <c r="AC320" s="398">
        <f t="shared" ca="1" si="818"/>
        <v>480</v>
      </c>
      <c r="AD320" s="398">
        <f t="shared" ca="1" si="854"/>
        <v>409640</v>
      </c>
      <c r="AE320" s="399">
        <f t="shared" si="886"/>
        <v>699</v>
      </c>
      <c r="AF320" s="399">
        <f t="shared" si="887"/>
        <v>4</v>
      </c>
      <c r="AG320" s="483" t="str">
        <f t="shared" ca="1" si="828"/>
        <v/>
      </c>
      <c r="AH320" s="400">
        <f ca="1">IF(MAX(IF($C$6="No",ROUNDUP($C$3/$I320,0),ROUNDUP(($C$3+$I320)/$I320,0)),IF($C$6="No",ROUNDUP($C$4/$G320,0),ROUNDUP(($C$4+$G320)/$G320,0)),ROUNDUP('BVMS checklist'!$H$217/$J320,0))&gt;1,'BVMS checklist'!$J$224,'BVMS checklist'!$J$217)</f>
        <v>0</v>
      </c>
      <c r="AI320" s="398">
        <f t="shared" ca="1" si="829"/>
        <v>2</v>
      </c>
      <c r="AJ320" s="400">
        <f t="shared" ca="1" si="855"/>
        <v>2</v>
      </c>
      <c r="AK320" s="400">
        <f t="shared" ca="1" si="856"/>
        <v>2500</v>
      </c>
      <c r="AL320" s="400">
        <f t="shared" ca="1" si="857"/>
        <v>0</v>
      </c>
      <c r="AM320" s="398">
        <f t="shared" ca="1" si="858"/>
        <v>409640</v>
      </c>
      <c r="AN320" s="401" t="str">
        <f t="shared" ca="1" si="830"/>
        <v/>
      </c>
      <c r="AO320" s="398">
        <f t="shared" ca="1" si="859"/>
        <v>1600</v>
      </c>
      <c r="AP320" s="400">
        <f ca="1">IF(MAX(IF($C$6="No",ROUNDUP($C$3/$I320,0),ROUNDUP(($C$3+$I320)/$I320,0)),IF($C$6="No",ROUNDUP($C$4/$G320,0),ROUNDUP(($C$4+$G320)/$G320,0)),ROUNDUP('BVMS checklist'!$H$217/$J320,0))&gt;1,'BVMS checklist'!$J$224,'BVMS checklist'!$J$217)+MAX(IF($C$6="No",ROUNDUP($C$3/$I320,0),ROUNDUP(($C$3+$I320)/$I320,0)),IF($C$6="No",ROUNDUP($C$4/$G320,0),ROUNDUP(($C$4+$G320)/$G320,0)))+$C$5</f>
        <v>1</v>
      </c>
      <c r="AQ320" s="400" t="b">
        <f t="shared" ca="1" si="819"/>
        <v>1</v>
      </c>
      <c r="AR320" s="400" t="str">
        <f t="shared" ca="1" si="860"/>
        <v>Accepted</v>
      </c>
      <c r="AS320" s="398" t="str">
        <f t="shared" ca="1" si="845"/>
        <v>No</v>
      </c>
      <c r="AT320" s="398" t="str">
        <f t="shared" ca="1" si="861"/>
        <v/>
      </c>
      <c r="AU320" s="398" t="str">
        <f t="shared" ca="1" si="831"/>
        <v/>
      </c>
      <c r="AV320" s="398">
        <f t="shared" ca="1" si="832"/>
        <v>22</v>
      </c>
      <c r="AW320" s="398">
        <f t="shared" ca="1" si="862"/>
        <v>2</v>
      </c>
      <c r="AX320" s="398">
        <f t="shared" ca="1" si="863"/>
        <v>480</v>
      </c>
      <c r="AY320" s="398">
        <f t="shared" ca="1" si="864"/>
        <v>409640</v>
      </c>
      <c r="AZ320" s="399">
        <f t="shared" si="888"/>
        <v>699</v>
      </c>
      <c r="BA320" s="399">
        <f t="shared" si="889"/>
        <v>4</v>
      </c>
      <c r="BB320" s="483" t="str">
        <f t="shared" ca="1" si="833"/>
        <v/>
      </c>
      <c r="BC320" s="400">
        <f ca="1">IF(MAX(IF($D$6="No",ROUNDUP($D$3/$I320,0),ROUNDUP(($D$3+$I320)/$I320,0)),IF($D$6="No",ROUNDUP($D$4/$G320,0),ROUNDUP(($D$4+$G320)/$G320,0)),ROUNDUP('BVMS checklist'!$H$217/$J320,0))&gt;1,'BVMS checklist'!$L$224,'BVMS checklist'!$L$217)</f>
        <v>0</v>
      </c>
      <c r="BD320" s="398">
        <f t="shared" ca="1" si="834"/>
        <v>2</v>
      </c>
      <c r="BE320" s="400">
        <f t="shared" si="835"/>
        <v>1</v>
      </c>
      <c r="BF320" s="400">
        <f t="shared" si="865"/>
        <v>1250</v>
      </c>
      <c r="BG320" s="400">
        <f t="shared" ca="1" si="846"/>
        <v>0</v>
      </c>
      <c r="BH320" s="398">
        <f t="shared" ca="1" si="866"/>
        <v>409640</v>
      </c>
      <c r="BI320" s="401" t="str">
        <f t="shared" ca="1" si="836"/>
        <v/>
      </c>
      <c r="BJ320" s="398">
        <f t="shared" ca="1" si="867"/>
        <v>1600</v>
      </c>
      <c r="BK320" s="400">
        <f ca="1">IF(MAX(IF($D$6="No",ROUNDUP($D$3/$I320,0),ROUNDUP(($D$3+$I320)/$I320,0)),IF($D$6="No",ROUNDUP($D$4/$G320,0),ROUNDUP(($D$4+$G320)/$G320,0)),ROUNDUP('BVMS checklist'!$H$217/$J320,0))&gt;1,'BVMS checklist'!$L$224,'BVMS checklist'!$L$217)+MAX(IF($D$6="No",ROUNDUP($D$3/$I320,0),ROUNDUP(($D$3+$I320)/$I320,0)),IF($D$6="No",ROUNDUP($D$4/$G320,0),ROUNDUP(($D$4+$G320)/$G320,0)))+$D$5</f>
        <v>1</v>
      </c>
      <c r="BL320" s="400" t="b">
        <f t="shared" ca="1" si="820"/>
        <v>1</v>
      </c>
      <c r="BM320" s="400" t="str">
        <f t="shared" ca="1" si="868"/>
        <v>Accepted</v>
      </c>
      <c r="BN320" s="398" t="str">
        <f t="shared" ca="1" si="847"/>
        <v>No</v>
      </c>
      <c r="BO320" s="398" t="str">
        <f t="shared" ca="1" si="869"/>
        <v/>
      </c>
      <c r="BP320" s="398" t="str">
        <f t="shared" ca="1" si="837"/>
        <v/>
      </c>
      <c r="BQ320" s="398">
        <f t="shared" ca="1" si="838"/>
        <v>22</v>
      </c>
      <c r="BR320" s="398">
        <f t="shared" ca="1" si="870"/>
        <v>2</v>
      </c>
      <c r="BS320" s="398">
        <f t="shared" ca="1" si="871"/>
        <v>480</v>
      </c>
      <c r="BT320" s="398">
        <f t="shared" ca="1" si="872"/>
        <v>409640</v>
      </c>
      <c r="BU320" s="399">
        <f t="shared" si="890"/>
        <v>699</v>
      </c>
      <c r="BV320" s="399">
        <f t="shared" si="891"/>
        <v>4</v>
      </c>
      <c r="BW320" s="483" t="str">
        <f t="shared" ca="1" si="839"/>
        <v/>
      </c>
      <c r="BX320" s="400">
        <f ca="1">IF(MAX(IF($E$6="No",ROUNDUP($E$3/$I320,0),ROUNDUP(($E$3+$I320)/$I320,0)),IF($E$6="No",ROUNDUP($E$4/$G320,0),ROUNDUP(($E$4+$G320)/$G320,0)),ROUNDUP('BVMS checklist'!$H$217/$J320,0))&gt;1,'BVMS checklist'!$N$224,'BVMS checklist'!$N$217)</f>
        <v>0</v>
      </c>
      <c r="BY320" s="398">
        <f t="shared" ca="1" si="840"/>
        <v>2</v>
      </c>
      <c r="BZ320" s="400">
        <f t="shared" ca="1" si="873"/>
        <v>2</v>
      </c>
      <c r="CA320" s="400">
        <f t="shared" ca="1" si="874"/>
        <v>2500</v>
      </c>
      <c r="CB320" s="400">
        <f t="shared" ca="1" si="848"/>
        <v>0</v>
      </c>
      <c r="CC320" s="398">
        <f t="shared" ca="1" si="875"/>
        <v>409640</v>
      </c>
      <c r="CD320" s="401" t="str">
        <f t="shared" ca="1" si="841"/>
        <v/>
      </c>
      <c r="CE320" s="398">
        <f t="shared" ca="1" si="876"/>
        <v>1600</v>
      </c>
      <c r="CF320" s="400">
        <f ca="1">IF(MAX(IF($E$6="No",ROUNDUP($E$3/$I320,0),ROUNDUP(($E$3+$I320)/$I320,0)),IF($E$6="No",ROUNDUP($E$4/$G320,0),ROUNDUP(($E$4+$G320)/$G320,0)),ROUNDUP('BVMS checklist'!$H$217/$J320,0))&gt;1,'BVMS checklist'!$N$224,'BVMS checklist'!$N$217)+MAX(IF($E$6="No",ROUNDUP($E$3/$I320,0),ROUNDUP(($E$3+$I320)/$I320,0)),IF($E$6="No",ROUNDUP($E$4/$G320,0),ROUNDUP(($E$4+$G320)/$G320,0)))+$E$5</f>
        <v>1</v>
      </c>
      <c r="CG320" s="400" t="b">
        <f t="shared" ca="1" si="821"/>
        <v>1</v>
      </c>
      <c r="CH320" s="400" t="str">
        <f t="shared" ca="1" si="877"/>
        <v>Accepted</v>
      </c>
      <c r="CI320" s="398" t="str">
        <f t="shared" ca="1" si="849"/>
        <v>No</v>
      </c>
      <c r="CJ320" s="398" t="str">
        <f t="shared" ca="1" si="878"/>
        <v/>
      </c>
      <c r="CK320" s="398" t="str">
        <f t="shared" ca="1" si="842"/>
        <v/>
      </c>
      <c r="CL320" s="398">
        <f t="shared" ca="1" si="843"/>
        <v>22</v>
      </c>
      <c r="CM320" s="398">
        <f t="shared" ca="1" si="879"/>
        <v>2</v>
      </c>
      <c r="CN320" s="398">
        <f t="shared" ca="1" si="880"/>
        <v>480</v>
      </c>
      <c r="CO320" s="398">
        <f t="shared" ca="1" si="881"/>
        <v>409640</v>
      </c>
      <c r="CP320" s="399">
        <f t="shared" si="892"/>
        <v>699</v>
      </c>
      <c r="CQ320" s="399">
        <f t="shared" si="893"/>
        <v>4</v>
      </c>
      <c r="CR320" s="483" t="str">
        <f t="shared" ca="1" si="844"/>
        <v/>
      </c>
      <c r="CS320"/>
    </row>
    <row r="321" spans="1:97">
      <c r="A321" s="398" t="s">
        <v>1051</v>
      </c>
      <c r="B321" s="398" t="s">
        <v>987</v>
      </c>
      <c r="C321" s="440" t="s">
        <v>891</v>
      </c>
      <c r="D321" s="398">
        <v>1</v>
      </c>
      <c r="E321" s="398">
        <v>2</v>
      </c>
      <c r="F321" s="440">
        <v>0</v>
      </c>
      <c r="G321" s="398">
        <f t="shared" si="895"/>
        <v>307230</v>
      </c>
      <c r="H321" s="399">
        <v>360</v>
      </c>
      <c r="I321" s="399">
        <v>1250</v>
      </c>
      <c r="J321" s="399">
        <v>800</v>
      </c>
      <c r="K321" s="399">
        <v>947</v>
      </c>
      <c r="L321" s="399">
        <v>4</v>
      </c>
      <c r="M321" s="400">
        <f ca="1">IF(MAX(IF($B$6="No",ROUNDUP($B$3/$I321,0),ROUNDUP(($B$3+$I321)/$I321,0)),IF($B$6="No",ROUNDUP($B$4/$G321,0),ROUNDUP(($B$4+$G321)/$G321,0)),ROUNDUP('BVMS checklist'!$H$217/$J321,0))&gt;1,'BVMS checklist'!$H$224,'BVMS checklist'!$H$217)</f>
        <v>0</v>
      </c>
      <c r="N321" s="398">
        <f t="shared" ca="1" si="822"/>
        <v>2</v>
      </c>
      <c r="O321" s="400">
        <f t="shared" ca="1" si="851"/>
        <v>2</v>
      </c>
      <c r="P321" s="400">
        <f t="shared" ca="1" si="813"/>
        <v>2500</v>
      </c>
      <c r="Q321" s="400">
        <f t="shared" ca="1" si="814"/>
        <v>0</v>
      </c>
      <c r="R321" s="398">
        <f t="shared" ca="1" si="815"/>
        <v>614460</v>
      </c>
      <c r="S321" s="401" t="str">
        <f t="shared" ca="1" si="823"/>
        <v/>
      </c>
      <c r="T321" s="398">
        <f t="shared" ca="1" si="824"/>
        <v>1600</v>
      </c>
      <c r="U321" s="400">
        <f ca="1">IF(MAX(IF($B$6="No",ROUNDUP($B$3/$I321,0),ROUNDUP(($B$3+$I321)/$I321,0)),IF($B$6="No",ROUNDUP($B$4/$G321,0),ROUNDUP(($B$4+$G321)/$G321,0)),ROUNDUP('BVMS checklist'!$H$217/$J321,0))&gt;1,'BVMS checklist'!$H$224,'BVMS checklist'!$H$217)+MAX(IF($B$6="No",ROUNDUP($B$3/$I321,0),ROUNDUP(($B$3+$I321)/$I321,0)),IF($B$6="No",ROUNDUP($B$4/$G321,0),ROUNDUP(($B$4+$G321)/$G321,0)))+$B$5</f>
        <v>1</v>
      </c>
      <c r="V321" s="400" t="b">
        <f t="shared" ca="1" si="816"/>
        <v>1</v>
      </c>
      <c r="W321" s="400" t="str">
        <f t="shared" ca="1" si="852"/>
        <v>Accepted</v>
      </c>
      <c r="X321" s="398" t="str">
        <f t="shared" ca="1" si="825"/>
        <v>No</v>
      </c>
      <c r="Y321" s="398" t="str">
        <f t="shared" ca="1" si="826"/>
        <v/>
      </c>
      <c r="Z321" s="398" t="str">
        <f t="shared" ca="1" si="827"/>
        <v/>
      </c>
      <c r="AA321" s="398">
        <f t="shared" ca="1" si="853"/>
        <v>22</v>
      </c>
      <c r="AB321" s="398">
        <f t="shared" ca="1" si="817"/>
        <v>2</v>
      </c>
      <c r="AC321" s="398">
        <f t="shared" ca="1" si="818"/>
        <v>720</v>
      </c>
      <c r="AD321" s="398">
        <f t="shared" ca="1" si="854"/>
        <v>614460</v>
      </c>
      <c r="AE321" s="399">
        <f t="shared" si="886"/>
        <v>947</v>
      </c>
      <c r="AF321" s="399">
        <f t="shared" si="887"/>
        <v>4</v>
      </c>
      <c r="AG321" s="483" t="str">
        <f t="shared" ca="1" si="828"/>
        <v/>
      </c>
      <c r="AH321" s="400">
        <f ca="1">IF(MAX(IF($C$6="No",ROUNDUP($C$3/$I321,0),ROUNDUP(($C$3+$I321)/$I321,0)),IF($C$6="No",ROUNDUP($C$4/$G321,0),ROUNDUP(($C$4+$G321)/$G321,0)),ROUNDUP('BVMS checklist'!$H$217/$J321,0))&gt;1,'BVMS checklist'!$J$224,'BVMS checklist'!$J$217)</f>
        <v>0</v>
      </c>
      <c r="AI321" s="398">
        <f t="shared" ca="1" si="829"/>
        <v>2</v>
      </c>
      <c r="AJ321" s="400">
        <f t="shared" ca="1" si="855"/>
        <v>2</v>
      </c>
      <c r="AK321" s="400">
        <f t="shared" ca="1" si="856"/>
        <v>2500</v>
      </c>
      <c r="AL321" s="400">
        <f t="shared" ca="1" si="857"/>
        <v>0</v>
      </c>
      <c r="AM321" s="398">
        <f t="shared" ca="1" si="858"/>
        <v>614460</v>
      </c>
      <c r="AN321" s="401" t="str">
        <f t="shared" ca="1" si="830"/>
        <v/>
      </c>
      <c r="AO321" s="398">
        <f t="shared" ca="1" si="859"/>
        <v>1600</v>
      </c>
      <c r="AP321" s="400">
        <f ca="1">IF(MAX(IF($C$6="No",ROUNDUP($C$3/$I321,0),ROUNDUP(($C$3+$I321)/$I321,0)),IF($C$6="No",ROUNDUP($C$4/$G321,0),ROUNDUP(($C$4+$G321)/$G321,0)),ROUNDUP('BVMS checklist'!$H$217/$J321,0))&gt;1,'BVMS checklist'!$J$224,'BVMS checklist'!$J$217)+MAX(IF($C$6="No",ROUNDUP($C$3/$I321,0),ROUNDUP(($C$3+$I321)/$I321,0)),IF($C$6="No",ROUNDUP($C$4/$G321,0),ROUNDUP(($C$4+$G321)/$G321,0)))+$C$5</f>
        <v>1</v>
      </c>
      <c r="AQ321" s="400" t="b">
        <f t="shared" ca="1" si="819"/>
        <v>1</v>
      </c>
      <c r="AR321" s="400" t="str">
        <f t="shared" ca="1" si="860"/>
        <v>Accepted</v>
      </c>
      <c r="AS321" s="398" t="str">
        <f t="shared" ca="1" si="845"/>
        <v>No</v>
      </c>
      <c r="AT321" s="398" t="str">
        <f t="shared" ca="1" si="861"/>
        <v/>
      </c>
      <c r="AU321" s="398" t="str">
        <f t="shared" ca="1" si="831"/>
        <v/>
      </c>
      <c r="AV321" s="398">
        <f t="shared" ca="1" si="832"/>
        <v>22</v>
      </c>
      <c r="AW321" s="398">
        <f t="shared" ca="1" si="862"/>
        <v>2</v>
      </c>
      <c r="AX321" s="398">
        <f t="shared" ca="1" si="863"/>
        <v>720</v>
      </c>
      <c r="AY321" s="398">
        <f t="shared" ca="1" si="864"/>
        <v>614460</v>
      </c>
      <c r="AZ321" s="399">
        <f t="shared" si="888"/>
        <v>947</v>
      </c>
      <c r="BA321" s="399">
        <f t="shared" si="889"/>
        <v>4</v>
      </c>
      <c r="BB321" s="483" t="str">
        <f t="shared" ca="1" si="833"/>
        <v/>
      </c>
      <c r="BC321" s="400">
        <f ca="1">IF(MAX(IF($D$6="No",ROUNDUP($D$3/$I321,0),ROUNDUP(($D$3+$I321)/$I321,0)),IF($D$6="No",ROUNDUP($D$4/$G321,0),ROUNDUP(($D$4+$G321)/$G321,0)),ROUNDUP('BVMS checklist'!$H$217/$J321,0))&gt;1,'BVMS checklist'!$L$224,'BVMS checklist'!$L$217)</f>
        <v>0</v>
      </c>
      <c r="BD321" s="398">
        <f t="shared" ca="1" si="834"/>
        <v>2</v>
      </c>
      <c r="BE321" s="400">
        <f t="shared" si="835"/>
        <v>1</v>
      </c>
      <c r="BF321" s="400">
        <f t="shared" si="865"/>
        <v>1250</v>
      </c>
      <c r="BG321" s="400">
        <f t="shared" ca="1" si="846"/>
        <v>0</v>
      </c>
      <c r="BH321" s="398">
        <f t="shared" ca="1" si="866"/>
        <v>614460</v>
      </c>
      <c r="BI321" s="401" t="str">
        <f t="shared" ca="1" si="836"/>
        <v/>
      </c>
      <c r="BJ321" s="398">
        <f t="shared" ca="1" si="867"/>
        <v>1600</v>
      </c>
      <c r="BK321" s="400">
        <f ca="1">IF(MAX(IF($D$6="No",ROUNDUP($D$3/$I321,0),ROUNDUP(($D$3+$I321)/$I321,0)),IF($D$6="No",ROUNDUP($D$4/$G321,0),ROUNDUP(($D$4+$G321)/$G321,0)),ROUNDUP('BVMS checklist'!$H$217/$J321,0))&gt;1,'BVMS checklist'!$L$224,'BVMS checklist'!$L$217)+MAX(IF($D$6="No",ROUNDUP($D$3/$I321,0),ROUNDUP(($D$3+$I321)/$I321,0)),IF($D$6="No",ROUNDUP($D$4/$G321,0),ROUNDUP(($D$4+$G321)/$G321,0)))+$D$5</f>
        <v>1</v>
      </c>
      <c r="BL321" s="400" t="b">
        <f t="shared" ca="1" si="820"/>
        <v>1</v>
      </c>
      <c r="BM321" s="400" t="str">
        <f t="shared" ca="1" si="868"/>
        <v>Accepted</v>
      </c>
      <c r="BN321" s="398" t="str">
        <f t="shared" ca="1" si="847"/>
        <v>No</v>
      </c>
      <c r="BO321" s="398" t="str">
        <f t="shared" ca="1" si="869"/>
        <v/>
      </c>
      <c r="BP321" s="398" t="str">
        <f t="shared" ca="1" si="837"/>
        <v/>
      </c>
      <c r="BQ321" s="398">
        <f t="shared" ca="1" si="838"/>
        <v>22</v>
      </c>
      <c r="BR321" s="398">
        <f t="shared" ca="1" si="870"/>
        <v>2</v>
      </c>
      <c r="BS321" s="398">
        <f t="shared" ca="1" si="871"/>
        <v>720</v>
      </c>
      <c r="BT321" s="398">
        <f t="shared" ca="1" si="872"/>
        <v>614460</v>
      </c>
      <c r="BU321" s="399">
        <f t="shared" si="890"/>
        <v>947</v>
      </c>
      <c r="BV321" s="399">
        <f t="shared" si="891"/>
        <v>4</v>
      </c>
      <c r="BW321" s="483" t="str">
        <f t="shared" ca="1" si="839"/>
        <v/>
      </c>
      <c r="BX321" s="400">
        <f ca="1">IF(MAX(IF($E$6="No",ROUNDUP($E$3/$I321,0),ROUNDUP(($E$3+$I321)/$I321,0)),IF($E$6="No",ROUNDUP($E$4/$G321,0),ROUNDUP(($E$4+$G321)/$G321,0)),ROUNDUP('BVMS checklist'!$H$217/$J321,0))&gt;1,'BVMS checklist'!$N$224,'BVMS checklist'!$N$217)</f>
        <v>0</v>
      </c>
      <c r="BY321" s="398">
        <f t="shared" ca="1" si="840"/>
        <v>2</v>
      </c>
      <c r="BZ321" s="400">
        <f t="shared" ca="1" si="873"/>
        <v>2</v>
      </c>
      <c r="CA321" s="400">
        <f t="shared" ca="1" si="874"/>
        <v>2500</v>
      </c>
      <c r="CB321" s="400">
        <f t="shared" ca="1" si="848"/>
        <v>0</v>
      </c>
      <c r="CC321" s="398">
        <f t="shared" ca="1" si="875"/>
        <v>614460</v>
      </c>
      <c r="CD321" s="401" t="str">
        <f t="shared" ca="1" si="841"/>
        <v/>
      </c>
      <c r="CE321" s="398">
        <f t="shared" ca="1" si="876"/>
        <v>1600</v>
      </c>
      <c r="CF321" s="400">
        <f ca="1">IF(MAX(IF($E$6="No",ROUNDUP($E$3/$I321,0),ROUNDUP(($E$3+$I321)/$I321,0)),IF($E$6="No",ROUNDUP($E$4/$G321,0),ROUNDUP(($E$4+$G321)/$G321,0)),ROUNDUP('BVMS checklist'!$H$217/$J321,0))&gt;1,'BVMS checklist'!$N$224,'BVMS checklist'!$N$217)+MAX(IF($E$6="No",ROUNDUP($E$3/$I321,0),ROUNDUP(($E$3+$I321)/$I321,0)),IF($E$6="No",ROUNDUP($E$4/$G321,0),ROUNDUP(($E$4+$G321)/$G321,0)))+$E$5</f>
        <v>1</v>
      </c>
      <c r="CG321" s="400" t="b">
        <f t="shared" ca="1" si="821"/>
        <v>1</v>
      </c>
      <c r="CH321" s="400" t="str">
        <f t="shared" ca="1" si="877"/>
        <v>Accepted</v>
      </c>
      <c r="CI321" s="398" t="str">
        <f t="shared" ca="1" si="849"/>
        <v>No</v>
      </c>
      <c r="CJ321" s="398" t="str">
        <f t="shared" ca="1" si="878"/>
        <v/>
      </c>
      <c r="CK321" s="398" t="str">
        <f t="shared" ca="1" si="842"/>
        <v/>
      </c>
      <c r="CL321" s="398">
        <f t="shared" ca="1" si="843"/>
        <v>22</v>
      </c>
      <c r="CM321" s="398">
        <f t="shared" ca="1" si="879"/>
        <v>2</v>
      </c>
      <c r="CN321" s="398">
        <f t="shared" ca="1" si="880"/>
        <v>720</v>
      </c>
      <c r="CO321" s="398">
        <f t="shared" ca="1" si="881"/>
        <v>614460</v>
      </c>
      <c r="CP321" s="399">
        <f t="shared" si="892"/>
        <v>947</v>
      </c>
      <c r="CQ321" s="399">
        <f t="shared" si="893"/>
        <v>4</v>
      </c>
      <c r="CR321" s="483" t="str">
        <f t="shared" ca="1" si="844"/>
        <v/>
      </c>
      <c r="CS321"/>
    </row>
    <row r="322" spans="1:97">
      <c r="A322" s="398" t="s">
        <v>1052</v>
      </c>
      <c r="B322" s="398" t="s">
        <v>987</v>
      </c>
      <c r="C322" s="440" t="s">
        <v>891</v>
      </c>
      <c r="D322" s="398">
        <v>1</v>
      </c>
      <c r="E322" s="398">
        <v>3</v>
      </c>
      <c r="F322" s="440">
        <v>0</v>
      </c>
      <c r="G322" s="398">
        <f t="shared" si="895"/>
        <v>409640</v>
      </c>
      <c r="H322" s="399">
        <v>480</v>
      </c>
      <c r="I322" s="399">
        <v>1250</v>
      </c>
      <c r="J322" s="399">
        <v>800</v>
      </c>
      <c r="K322" s="399">
        <v>1195</v>
      </c>
      <c r="L322" s="399">
        <v>4</v>
      </c>
      <c r="M322" s="400">
        <f ca="1">IF(MAX(IF($B$6="No",ROUNDUP($B$3/$I322,0),ROUNDUP(($B$3+$I322)/$I322,0)),IF($B$6="No",ROUNDUP($B$4/$G322,0),ROUNDUP(($B$4+$G322)/$G322,0)),ROUNDUP('BVMS checklist'!$H$217/$J322,0))&gt;1,'BVMS checklist'!$H$224,'BVMS checklist'!$H$217)</f>
        <v>0</v>
      </c>
      <c r="N322" s="398">
        <f t="shared" ca="1" si="822"/>
        <v>2</v>
      </c>
      <c r="O322" s="400">
        <f t="shared" ca="1" si="851"/>
        <v>2</v>
      </c>
      <c r="P322" s="400">
        <f t="shared" ca="1" si="813"/>
        <v>2500</v>
      </c>
      <c r="Q322" s="400">
        <f t="shared" ca="1" si="814"/>
        <v>0</v>
      </c>
      <c r="R322" s="398">
        <f t="shared" ca="1" si="815"/>
        <v>819280</v>
      </c>
      <c r="S322" s="401" t="str">
        <f t="shared" ca="1" si="823"/>
        <v/>
      </c>
      <c r="T322" s="398">
        <f t="shared" ca="1" si="824"/>
        <v>1600</v>
      </c>
      <c r="U322" s="400">
        <f ca="1">IF(MAX(IF($B$6="No",ROUNDUP($B$3/$I322,0),ROUNDUP(($B$3+$I322)/$I322,0)),IF($B$6="No",ROUNDUP($B$4/$G322,0),ROUNDUP(($B$4+$G322)/$G322,0)),ROUNDUP('BVMS checklist'!$H$217/$J322,0))&gt;1,'BVMS checklist'!$H$224,'BVMS checklist'!$H$217)+MAX(IF($B$6="No",ROUNDUP($B$3/$I322,0),ROUNDUP(($B$3+$I322)/$I322,0)),IF($B$6="No",ROUNDUP($B$4/$G322,0),ROUNDUP(($B$4+$G322)/$G322,0)))+$B$5</f>
        <v>1</v>
      </c>
      <c r="V322" s="400" t="b">
        <f t="shared" ca="1" si="816"/>
        <v>1</v>
      </c>
      <c r="W322" s="400" t="str">
        <f t="shared" ca="1" si="852"/>
        <v>Accepted</v>
      </c>
      <c r="X322" s="398" t="str">
        <f t="shared" ca="1" si="825"/>
        <v>No</v>
      </c>
      <c r="Y322" s="398" t="str">
        <f t="shared" ca="1" si="826"/>
        <v/>
      </c>
      <c r="Z322" s="398" t="str">
        <f t="shared" ca="1" si="827"/>
        <v/>
      </c>
      <c r="AA322" s="398">
        <f t="shared" ca="1" si="853"/>
        <v>22</v>
      </c>
      <c r="AB322" s="398">
        <f t="shared" ca="1" si="817"/>
        <v>2</v>
      </c>
      <c r="AC322" s="398">
        <f t="shared" ca="1" si="818"/>
        <v>960</v>
      </c>
      <c r="AD322" s="398">
        <f t="shared" ca="1" si="854"/>
        <v>819280</v>
      </c>
      <c r="AE322" s="399">
        <f t="shared" si="886"/>
        <v>1195</v>
      </c>
      <c r="AF322" s="399">
        <f t="shared" si="887"/>
        <v>4</v>
      </c>
      <c r="AG322" s="483" t="str">
        <f t="shared" ca="1" si="828"/>
        <v/>
      </c>
      <c r="AH322" s="400">
        <f ca="1">IF(MAX(IF($C$6="No",ROUNDUP($C$3/$I322,0),ROUNDUP(($C$3+$I322)/$I322,0)),IF($C$6="No",ROUNDUP($C$4/$G322,0),ROUNDUP(($C$4+$G322)/$G322,0)),ROUNDUP('BVMS checklist'!$H$217/$J322,0))&gt;1,'BVMS checklist'!$J$224,'BVMS checklist'!$J$217)</f>
        <v>0</v>
      </c>
      <c r="AI322" s="398">
        <f t="shared" ca="1" si="829"/>
        <v>2</v>
      </c>
      <c r="AJ322" s="400">
        <f t="shared" ca="1" si="855"/>
        <v>2</v>
      </c>
      <c r="AK322" s="400">
        <f t="shared" ca="1" si="856"/>
        <v>2500</v>
      </c>
      <c r="AL322" s="400">
        <f t="shared" ca="1" si="857"/>
        <v>0</v>
      </c>
      <c r="AM322" s="398">
        <f t="shared" ca="1" si="858"/>
        <v>819280</v>
      </c>
      <c r="AN322" s="401" t="str">
        <f t="shared" ca="1" si="830"/>
        <v/>
      </c>
      <c r="AO322" s="398">
        <f t="shared" ca="1" si="859"/>
        <v>1600</v>
      </c>
      <c r="AP322" s="400">
        <f ca="1">IF(MAX(IF($C$6="No",ROUNDUP($C$3/$I322,0),ROUNDUP(($C$3+$I322)/$I322,0)),IF($C$6="No",ROUNDUP($C$4/$G322,0),ROUNDUP(($C$4+$G322)/$G322,0)),ROUNDUP('BVMS checklist'!$H$217/$J322,0))&gt;1,'BVMS checklist'!$J$224,'BVMS checklist'!$J$217)+MAX(IF($C$6="No",ROUNDUP($C$3/$I322,0),ROUNDUP(($C$3+$I322)/$I322,0)),IF($C$6="No",ROUNDUP($C$4/$G322,0),ROUNDUP(($C$4+$G322)/$G322,0)))+$C$5</f>
        <v>1</v>
      </c>
      <c r="AQ322" s="400" t="b">
        <f t="shared" ca="1" si="819"/>
        <v>1</v>
      </c>
      <c r="AR322" s="400" t="str">
        <f t="shared" ca="1" si="860"/>
        <v>Accepted</v>
      </c>
      <c r="AS322" s="398" t="str">
        <f t="shared" ca="1" si="845"/>
        <v>No</v>
      </c>
      <c r="AT322" s="398" t="str">
        <f t="shared" ca="1" si="861"/>
        <v/>
      </c>
      <c r="AU322" s="398" t="str">
        <f t="shared" ca="1" si="831"/>
        <v/>
      </c>
      <c r="AV322" s="398">
        <f t="shared" ca="1" si="832"/>
        <v>22</v>
      </c>
      <c r="AW322" s="398">
        <f t="shared" ca="1" si="862"/>
        <v>2</v>
      </c>
      <c r="AX322" s="398">
        <f t="shared" ca="1" si="863"/>
        <v>960</v>
      </c>
      <c r="AY322" s="398">
        <f t="shared" ca="1" si="864"/>
        <v>819280</v>
      </c>
      <c r="AZ322" s="399">
        <f t="shared" si="888"/>
        <v>1195</v>
      </c>
      <c r="BA322" s="399">
        <f t="shared" si="889"/>
        <v>4</v>
      </c>
      <c r="BB322" s="483" t="str">
        <f t="shared" ca="1" si="833"/>
        <v/>
      </c>
      <c r="BC322" s="400">
        <f ca="1">IF(MAX(IF($D$6="No",ROUNDUP($D$3/$I322,0),ROUNDUP(($D$3+$I322)/$I322,0)),IF($D$6="No",ROUNDUP($D$4/$G322,0),ROUNDUP(($D$4+$G322)/$G322,0)),ROUNDUP('BVMS checklist'!$H$217/$J322,0))&gt;1,'BVMS checklist'!$L$224,'BVMS checklist'!$L$217)</f>
        <v>0</v>
      </c>
      <c r="BD322" s="398">
        <f t="shared" ca="1" si="834"/>
        <v>2</v>
      </c>
      <c r="BE322" s="400">
        <f t="shared" si="835"/>
        <v>1</v>
      </c>
      <c r="BF322" s="400">
        <f t="shared" si="865"/>
        <v>1250</v>
      </c>
      <c r="BG322" s="400">
        <f t="shared" ca="1" si="846"/>
        <v>0</v>
      </c>
      <c r="BH322" s="398">
        <f t="shared" ca="1" si="866"/>
        <v>819280</v>
      </c>
      <c r="BI322" s="401" t="str">
        <f t="shared" ca="1" si="836"/>
        <v/>
      </c>
      <c r="BJ322" s="398">
        <f t="shared" ca="1" si="867"/>
        <v>1600</v>
      </c>
      <c r="BK322" s="400">
        <f ca="1">IF(MAX(IF($D$6="No",ROUNDUP($D$3/$I322,0),ROUNDUP(($D$3+$I322)/$I322,0)),IF($D$6="No",ROUNDUP($D$4/$G322,0),ROUNDUP(($D$4+$G322)/$G322,0)),ROUNDUP('BVMS checklist'!$H$217/$J322,0))&gt;1,'BVMS checklist'!$L$224,'BVMS checklist'!$L$217)+MAX(IF($D$6="No",ROUNDUP($D$3/$I322,0),ROUNDUP(($D$3+$I322)/$I322,0)),IF($D$6="No",ROUNDUP($D$4/$G322,0),ROUNDUP(($D$4+$G322)/$G322,0)))+$D$5</f>
        <v>1</v>
      </c>
      <c r="BL322" s="400" t="b">
        <f t="shared" ca="1" si="820"/>
        <v>1</v>
      </c>
      <c r="BM322" s="400" t="str">
        <f t="shared" ca="1" si="868"/>
        <v>Accepted</v>
      </c>
      <c r="BN322" s="398" t="str">
        <f t="shared" ca="1" si="847"/>
        <v>No</v>
      </c>
      <c r="BO322" s="398" t="str">
        <f t="shared" ca="1" si="869"/>
        <v/>
      </c>
      <c r="BP322" s="398" t="str">
        <f t="shared" ca="1" si="837"/>
        <v/>
      </c>
      <c r="BQ322" s="398">
        <f t="shared" ca="1" si="838"/>
        <v>22</v>
      </c>
      <c r="BR322" s="398">
        <f t="shared" ca="1" si="870"/>
        <v>2</v>
      </c>
      <c r="BS322" s="398">
        <f t="shared" ca="1" si="871"/>
        <v>960</v>
      </c>
      <c r="BT322" s="398">
        <f t="shared" ca="1" si="872"/>
        <v>819280</v>
      </c>
      <c r="BU322" s="399">
        <f t="shared" si="890"/>
        <v>1195</v>
      </c>
      <c r="BV322" s="399">
        <f t="shared" si="891"/>
        <v>4</v>
      </c>
      <c r="BW322" s="483" t="str">
        <f t="shared" ca="1" si="839"/>
        <v/>
      </c>
      <c r="BX322" s="400">
        <f ca="1">IF(MAX(IF($E$6="No",ROUNDUP($E$3/$I322,0),ROUNDUP(($E$3+$I322)/$I322,0)),IF($E$6="No",ROUNDUP($E$4/$G322,0),ROUNDUP(($E$4+$G322)/$G322,0)),ROUNDUP('BVMS checklist'!$H$217/$J322,0))&gt;1,'BVMS checklist'!$N$224,'BVMS checklist'!$N$217)</f>
        <v>0</v>
      </c>
      <c r="BY322" s="398">
        <f t="shared" ca="1" si="840"/>
        <v>2</v>
      </c>
      <c r="BZ322" s="400">
        <f t="shared" ca="1" si="873"/>
        <v>2</v>
      </c>
      <c r="CA322" s="400">
        <f t="shared" ca="1" si="874"/>
        <v>2500</v>
      </c>
      <c r="CB322" s="400">
        <f t="shared" ca="1" si="848"/>
        <v>0</v>
      </c>
      <c r="CC322" s="398">
        <f t="shared" ca="1" si="875"/>
        <v>819280</v>
      </c>
      <c r="CD322" s="401" t="str">
        <f t="shared" ca="1" si="841"/>
        <v/>
      </c>
      <c r="CE322" s="398">
        <f t="shared" ca="1" si="876"/>
        <v>1600</v>
      </c>
      <c r="CF322" s="400">
        <f ca="1">IF(MAX(IF($E$6="No",ROUNDUP($E$3/$I322,0),ROUNDUP(($E$3+$I322)/$I322,0)),IF($E$6="No",ROUNDUP($E$4/$G322,0),ROUNDUP(($E$4+$G322)/$G322,0)),ROUNDUP('BVMS checklist'!$H$217/$J322,0))&gt;1,'BVMS checklist'!$N$224,'BVMS checklist'!$N$217)+MAX(IF($E$6="No",ROUNDUP($E$3/$I322,0),ROUNDUP(($E$3+$I322)/$I322,0)),IF($E$6="No",ROUNDUP($E$4/$G322,0),ROUNDUP(($E$4+$G322)/$G322,0)))+$E$5</f>
        <v>1</v>
      </c>
      <c r="CG322" s="400" t="b">
        <f t="shared" ca="1" si="821"/>
        <v>1</v>
      </c>
      <c r="CH322" s="400" t="str">
        <f t="shared" ca="1" si="877"/>
        <v>Accepted</v>
      </c>
      <c r="CI322" s="398" t="str">
        <f t="shared" ca="1" si="849"/>
        <v>No</v>
      </c>
      <c r="CJ322" s="398" t="str">
        <f t="shared" ca="1" si="878"/>
        <v/>
      </c>
      <c r="CK322" s="398" t="str">
        <f t="shared" ca="1" si="842"/>
        <v/>
      </c>
      <c r="CL322" s="398">
        <f t="shared" ca="1" si="843"/>
        <v>22</v>
      </c>
      <c r="CM322" s="398">
        <f t="shared" ca="1" si="879"/>
        <v>2</v>
      </c>
      <c r="CN322" s="398">
        <f t="shared" ca="1" si="880"/>
        <v>960</v>
      </c>
      <c r="CO322" s="398">
        <f t="shared" ca="1" si="881"/>
        <v>819280</v>
      </c>
      <c r="CP322" s="399">
        <f t="shared" si="892"/>
        <v>1195</v>
      </c>
      <c r="CQ322" s="399">
        <f t="shared" si="893"/>
        <v>4</v>
      </c>
      <c r="CR322" s="483" t="str">
        <f t="shared" ca="1" si="844"/>
        <v/>
      </c>
      <c r="CS322"/>
    </row>
    <row r="323" spans="1:97">
      <c r="A323" s="398" t="s">
        <v>1053</v>
      </c>
      <c r="B323" s="398" t="s">
        <v>987</v>
      </c>
      <c r="C323" s="440" t="s">
        <v>891</v>
      </c>
      <c r="D323" s="398">
        <v>1</v>
      </c>
      <c r="E323" s="398">
        <v>4</v>
      </c>
      <c r="F323" s="440">
        <v>0</v>
      </c>
      <c r="G323" s="398">
        <f t="shared" si="895"/>
        <v>512050</v>
      </c>
      <c r="H323" s="399">
        <v>600</v>
      </c>
      <c r="I323" s="399">
        <v>1250</v>
      </c>
      <c r="J323" s="399">
        <v>800</v>
      </c>
      <c r="K323" s="399">
        <v>1443</v>
      </c>
      <c r="L323" s="399">
        <v>4</v>
      </c>
      <c r="M323" s="400">
        <f ca="1">IF(MAX(IF($B$6="No",ROUNDUP($B$3/$I323,0),ROUNDUP(($B$3+$I323)/$I323,0)),IF($B$6="No",ROUNDUP($B$4/$G323,0),ROUNDUP(($B$4+$G323)/$G323,0)),ROUNDUP('BVMS checklist'!$H$217/$J323,0))&gt;1,'BVMS checklist'!$H$224,'BVMS checklist'!$H$217)</f>
        <v>0</v>
      </c>
      <c r="N323" s="398">
        <f t="shared" ca="1" si="822"/>
        <v>2</v>
      </c>
      <c r="O323" s="400">
        <f t="shared" ca="1" si="851"/>
        <v>2</v>
      </c>
      <c r="P323" s="400">
        <f t="shared" ca="1" si="813"/>
        <v>2500</v>
      </c>
      <c r="Q323" s="400">
        <f t="shared" ca="1" si="814"/>
        <v>0</v>
      </c>
      <c r="R323" s="398">
        <f t="shared" ca="1" si="815"/>
        <v>1024100</v>
      </c>
      <c r="S323" s="401" t="str">
        <f t="shared" ca="1" si="823"/>
        <v/>
      </c>
      <c r="T323" s="398">
        <f t="shared" ca="1" si="824"/>
        <v>1600</v>
      </c>
      <c r="U323" s="400">
        <f ca="1">IF(MAX(IF($B$6="No",ROUNDUP($B$3/$I323,0),ROUNDUP(($B$3+$I323)/$I323,0)),IF($B$6="No",ROUNDUP($B$4/$G323,0),ROUNDUP(($B$4+$G323)/$G323,0)),ROUNDUP('BVMS checklist'!$H$217/$J323,0))&gt;1,'BVMS checklist'!$H$224,'BVMS checklist'!$H$217)+MAX(IF($B$6="No",ROUNDUP($B$3/$I323,0),ROUNDUP(($B$3+$I323)/$I323,0)),IF($B$6="No",ROUNDUP($B$4/$G323,0),ROUNDUP(($B$4+$G323)/$G323,0)))+$B$5</f>
        <v>1</v>
      </c>
      <c r="V323" s="400" t="b">
        <f t="shared" ca="1" si="816"/>
        <v>1</v>
      </c>
      <c r="W323" s="400" t="str">
        <f t="shared" ca="1" si="852"/>
        <v>Accepted</v>
      </c>
      <c r="X323" s="398" t="str">
        <f t="shared" ca="1" si="825"/>
        <v>No</v>
      </c>
      <c r="Y323" s="398" t="str">
        <f t="shared" ca="1" si="826"/>
        <v/>
      </c>
      <c r="Z323" s="398" t="str">
        <f t="shared" ca="1" si="827"/>
        <v/>
      </c>
      <c r="AA323" s="398">
        <f t="shared" ca="1" si="853"/>
        <v>22</v>
      </c>
      <c r="AB323" s="398">
        <f t="shared" ca="1" si="817"/>
        <v>2</v>
      </c>
      <c r="AC323" s="398">
        <f t="shared" ca="1" si="818"/>
        <v>1200</v>
      </c>
      <c r="AD323" s="398">
        <f t="shared" ca="1" si="854"/>
        <v>1024100</v>
      </c>
      <c r="AE323" s="399">
        <f t="shared" si="886"/>
        <v>1443</v>
      </c>
      <c r="AF323" s="399">
        <f t="shared" si="887"/>
        <v>4</v>
      </c>
      <c r="AG323" s="483" t="str">
        <f t="shared" ca="1" si="828"/>
        <v/>
      </c>
      <c r="AH323" s="400">
        <f ca="1">IF(MAX(IF($C$6="No",ROUNDUP($C$3/$I323,0),ROUNDUP(($C$3+$I323)/$I323,0)),IF($C$6="No",ROUNDUP($C$4/$G323,0),ROUNDUP(($C$4+$G323)/$G323,0)),ROUNDUP('BVMS checklist'!$H$217/$J323,0))&gt;1,'BVMS checklist'!$J$224,'BVMS checklist'!$J$217)</f>
        <v>0</v>
      </c>
      <c r="AI323" s="398">
        <f t="shared" ca="1" si="829"/>
        <v>2</v>
      </c>
      <c r="AJ323" s="400">
        <f t="shared" ca="1" si="855"/>
        <v>2</v>
      </c>
      <c r="AK323" s="400">
        <f t="shared" ca="1" si="856"/>
        <v>2500</v>
      </c>
      <c r="AL323" s="400">
        <f t="shared" ca="1" si="857"/>
        <v>0</v>
      </c>
      <c r="AM323" s="398">
        <f t="shared" ca="1" si="858"/>
        <v>1024100</v>
      </c>
      <c r="AN323" s="401" t="str">
        <f t="shared" ca="1" si="830"/>
        <v/>
      </c>
      <c r="AO323" s="398">
        <f t="shared" ca="1" si="859"/>
        <v>1600</v>
      </c>
      <c r="AP323" s="400">
        <f ca="1">IF(MAX(IF($C$6="No",ROUNDUP($C$3/$I323,0),ROUNDUP(($C$3+$I323)/$I323,0)),IF($C$6="No",ROUNDUP($C$4/$G323,0),ROUNDUP(($C$4+$G323)/$G323,0)),ROUNDUP('BVMS checklist'!$H$217/$J323,0))&gt;1,'BVMS checklist'!$J$224,'BVMS checklist'!$J$217)+MAX(IF($C$6="No",ROUNDUP($C$3/$I323,0),ROUNDUP(($C$3+$I323)/$I323,0)),IF($C$6="No",ROUNDUP($C$4/$G323,0),ROUNDUP(($C$4+$G323)/$G323,0)))+$C$5</f>
        <v>1</v>
      </c>
      <c r="AQ323" s="400" t="b">
        <f t="shared" ca="1" si="819"/>
        <v>1</v>
      </c>
      <c r="AR323" s="400" t="str">
        <f t="shared" ca="1" si="860"/>
        <v>Accepted</v>
      </c>
      <c r="AS323" s="398" t="str">
        <f t="shared" ca="1" si="845"/>
        <v>No</v>
      </c>
      <c r="AT323" s="398" t="str">
        <f t="shared" ca="1" si="861"/>
        <v/>
      </c>
      <c r="AU323" s="398" t="str">
        <f t="shared" ca="1" si="831"/>
        <v/>
      </c>
      <c r="AV323" s="398">
        <f t="shared" ca="1" si="832"/>
        <v>22</v>
      </c>
      <c r="AW323" s="398">
        <f t="shared" ca="1" si="862"/>
        <v>2</v>
      </c>
      <c r="AX323" s="398">
        <f t="shared" ca="1" si="863"/>
        <v>1200</v>
      </c>
      <c r="AY323" s="398">
        <f t="shared" ca="1" si="864"/>
        <v>1024100</v>
      </c>
      <c r="AZ323" s="399">
        <f t="shared" si="888"/>
        <v>1443</v>
      </c>
      <c r="BA323" s="399">
        <f t="shared" si="889"/>
        <v>4</v>
      </c>
      <c r="BB323" s="483" t="str">
        <f t="shared" ca="1" si="833"/>
        <v/>
      </c>
      <c r="BC323" s="400">
        <f ca="1">IF(MAX(IF($D$6="No",ROUNDUP($D$3/$I323,0),ROUNDUP(($D$3+$I323)/$I323,0)),IF($D$6="No",ROUNDUP($D$4/$G323,0),ROUNDUP(($D$4+$G323)/$G323,0)),ROUNDUP('BVMS checklist'!$H$217/$J323,0))&gt;1,'BVMS checklist'!$L$224,'BVMS checklist'!$L$217)</f>
        <v>0</v>
      </c>
      <c r="BD323" s="398">
        <f t="shared" ca="1" si="834"/>
        <v>2</v>
      </c>
      <c r="BE323" s="400">
        <f t="shared" si="835"/>
        <v>1</v>
      </c>
      <c r="BF323" s="400">
        <f t="shared" si="865"/>
        <v>1250</v>
      </c>
      <c r="BG323" s="400">
        <f t="shared" ca="1" si="846"/>
        <v>0</v>
      </c>
      <c r="BH323" s="398">
        <f t="shared" ca="1" si="866"/>
        <v>1024100</v>
      </c>
      <c r="BI323" s="401" t="str">
        <f t="shared" ca="1" si="836"/>
        <v/>
      </c>
      <c r="BJ323" s="398">
        <f t="shared" ca="1" si="867"/>
        <v>1600</v>
      </c>
      <c r="BK323" s="400">
        <f ca="1">IF(MAX(IF($D$6="No",ROUNDUP($D$3/$I323,0),ROUNDUP(($D$3+$I323)/$I323,0)),IF($D$6="No",ROUNDUP($D$4/$G323,0),ROUNDUP(($D$4+$G323)/$G323,0)),ROUNDUP('BVMS checklist'!$H$217/$J323,0))&gt;1,'BVMS checklist'!$L$224,'BVMS checklist'!$L$217)+MAX(IF($D$6="No",ROUNDUP($D$3/$I323,0),ROUNDUP(($D$3+$I323)/$I323,0)),IF($D$6="No",ROUNDUP($D$4/$G323,0),ROUNDUP(($D$4+$G323)/$G323,0)))+$D$5</f>
        <v>1</v>
      </c>
      <c r="BL323" s="400" t="b">
        <f t="shared" ca="1" si="820"/>
        <v>1</v>
      </c>
      <c r="BM323" s="400" t="str">
        <f t="shared" ca="1" si="868"/>
        <v>Accepted</v>
      </c>
      <c r="BN323" s="398" t="str">
        <f t="shared" ca="1" si="847"/>
        <v>No</v>
      </c>
      <c r="BO323" s="398" t="str">
        <f t="shared" ca="1" si="869"/>
        <v/>
      </c>
      <c r="BP323" s="398" t="str">
        <f t="shared" ca="1" si="837"/>
        <v/>
      </c>
      <c r="BQ323" s="398">
        <f t="shared" ca="1" si="838"/>
        <v>22</v>
      </c>
      <c r="BR323" s="398">
        <f t="shared" ca="1" si="870"/>
        <v>2</v>
      </c>
      <c r="BS323" s="398">
        <f t="shared" ca="1" si="871"/>
        <v>1200</v>
      </c>
      <c r="BT323" s="398">
        <f t="shared" ca="1" si="872"/>
        <v>1024100</v>
      </c>
      <c r="BU323" s="399">
        <f t="shared" si="890"/>
        <v>1443</v>
      </c>
      <c r="BV323" s="399">
        <f t="shared" si="891"/>
        <v>4</v>
      </c>
      <c r="BW323" s="483" t="str">
        <f t="shared" ca="1" si="839"/>
        <v/>
      </c>
      <c r="BX323" s="400">
        <f ca="1">IF(MAX(IF($E$6="No",ROUNDUP($E$3/$I323,0),ROUNDUP(($E$3+$I323)/$I323,0)),IF($E$6="No",ROUNDUP($E$4/$G323,0),ROUNDUP(($E$4+$G323)/$G323,0)),ROUNDUP('BVMS checklist'!$H$217/$J323,0))&gt;1,'BVMS checklist'!$N$224,'BVMS checklist'!$N$217)</f>
        <v>0</v>
      </c>
      <c r="BY323" s="398">
        <f t="shared" ca="1" si="840"/>
        <v>2</v>
      </c>
      <c r="BZ323" s="400">
        <f t="shared" ca="1" si="873"/>
        <v>2</v>
      </c>
      <c r="CA323" s="400">
        <f t="shared" ca="1" si="874"/>
        <v>2500</v>
      </c>
      <c r="CB323" s="400">
        <f t="shared" ca="1" si="848"/>
        <v>0</v>
      </c>
      <c r="CC323" s="398">
        <f t="shared" ca="1" si="875"/>
        <v>1024100</v>
      </c>
      <c r="CD323" s="401" t="str">
        <f t="shared" ca="1" si="841"/>
        <v/>
      </c>
      <c r="CE323" s="398">
        <f t="shared" ca="1" si="876"/>
        <v>1600</v>
      </c>
      <c r="CF323" s="400">
        <f ca="1">IF(MAX(IF($E$6="No",ROUNDUP($E$3/$I323,0),ROUNDUP(($E$3+$I323)/$I323,0)),IF($E$6="No",ROUNDUP($E$4/$G323,0),ROUNDUP(($E$4+$G323)/$G323,0)),ROUNDUP('BVMS checklist'!$H$217/$J323,0))&gt;1,'BVMS checklist'!$N$224,'BVMS checklist'!$N$217)+MAX(IF($E$6="No",ROUNDUP($E$3/$I323,0),ROUNDUP(($E$3+$I323)/$I323,0)),IF($E$6="No",ROUNDUP($E$4/$G323,0),ROUNDUP(($E$4+$G323)/$G323,0)))+$E$5</f>
        <v>1</v>
      </c>
      <c r="CG323" s="400" t="b">
        <f t="shared" ca="1" si="821"/>
        <v>1</v>
      </c>
      <c r="CH323" s="400" t="str">
        <f t="shared" ca="1" si="877"/>
        <v>Accepted</v>
      </c>
      <c r="CI323" s="398" t="str">
        <f t="shared" ca="1" si="849"/>
        <v>No</v>
      </c>
      <c r="CJ323" s="398" t="str">
        <f t="shared" ca="1" si="878"/>
        <v/>
      </c>
      <c r="CK323" s="398" t="str">
        <f t="shared" ca="1" si="842"/>
        <v/>
      </c>
      <c r="CL323" s="398">
        <f t="shared" ca="1" si="843"/>
        <v>22</v>
      </c>
      <c r="CM323" s="398">
        <f t="shared" ca="1" si="879"/>
        <v>2</v>
      </c>
      <c r="CN323" s="398">
        <f t="shared" ca="1" si="880"/>
        <v>1200</v>
      </c>
      <c r="CO323" s="398">
        <f t="shared" ca="1" si="881"/>
        <v>1024100</v>
      </c>
      <c r="CP323" s="399">
        <f t="shared" si="892"/>
        <v>1443</v>
      </c>
      <c r="CQ323" s="399">
        <f t="shared" si="893"/>
        <v>4</v>
      </c>
      <c r="CR323" s="483" t="str">
        <f t="shared" ca="1" si="844"/>
        <v/>
      </c>
      <c r="CS323"/>
    </row>
    <row r="324" spans="1:97">
      <c r="A324" s="398" t="s">
        <v>1054</v>
      </c>
      <c r="B324" s="398" t="s">
        <v>987</v>
      </c>
      <c r="C324" s="440" t="s">
        <v>891</v>
      </c>
      <c r="D324" s="398">
        <v>1</v>
      </c>
      <c r="E324" s="398">
        <v>5</v>
      </c>
      <c r="F324" s="440">
        <v>0</v>
      </c>
      <c r="G324" s="398">
        <f t="shared" si="895"/>
        <v>614460</v>
      </c>
      <c r="H324" s="399">
        <v>720</v>
      </c>
      <c r="I324" s="399">
        <v>1250</v>
      </c>
      <c r="J324" s="399">
        <v>800</v>
      </c>
      <c r="K324" s="399">
        <v>1691</v>
      </c>
      <c r="L324" s="399">
        <v>4</v>
      </c>
      <c r="M324" s="400">
        <f ca="1">IF(MAX(IF($B$6="No",ROUNDUP($B$3/$I324,0),ROUNDUP(($B$3+$I324)/$I324,0)),IF($B$6="No",ROUNDUP($B$4/$G324,0),ROUNDUP(($B$4+$G324)/$G324,0)),ROUNDUP('BVMS checklist'!$H$217/$J324,0))&gt;1,'BVMS checklist'!$H$224,'BVMS checklist'!$H$217)</f>
        <v>0</v>
      </c>
      <c r="N324" s="398">
        <f t="shared" ca="1" si="822"/>
        <v>2</v>
      </c>
      <c r="O324" s="400">
        <f t="shared" ca="1" si="851"/>
        <v>2</v>
      </c>
      <c r="P324" s="400">
        <f t="shared" ca="1" si="813"/>
        <v>2500</v>
      </c>
      <c r="Q324" s="400">
        <f t="shared" ca="1" si="814"/>
        <v>0</v>
      </c>
      <c r="R324" s="398">
        <f t="shared" ca="1" si="815"/>
        <v>1228920</v>
      </c>
      <c r="S324" s="401" t="str">
        <f t="shared" ca="1" si="823"/>
        <v/>
      </c>
      <c r="T324" s="398">
        <f t="shared" ca="1" si="824"/>
        <v>1600</v>
      </c>
      <c r="U324" s="400">
        <f ca="1">IF(MAX(IF($B$6="No",ROUNDUP($B$3/$I324,0),ROUNDUP(($B$3+$I324)/$I324,0)),IF($B$6="No",ROUNDUP($B$4/$G324,0),ROUNDUP(($B$4+$G324)/$G324,0)),ROUNDUP('BVMS checklist'!$H$217/$J324,0))&gt;1,'BVMS checklist'!$H$224,'BVMS checklist'!$H$217)+MAX(IF($B$6="No",ROUNDUP($B$3/$I324,0),ROUNDUP(($B$3+$I324)/$I324,0)),IF($B$6="No",ROUNDUP($B$4/$G324,0),ROUNDUP(($B$4+$G324)/$G324,0)))+$B$5</f>
        <v>1</v>
      </c>
      <c r="V324" s="400" t="b">
        <f t="shared" ca="1" si="816"/>
        <v>1</v>
      </c>
      <c r="W324" s="400" t="str">
        <f t="shared" ca="1" si="852"/>
        <v>Accepted</v>
      </c>
      <c r="X324" s="398" t="str">
        <f t="shared" ca="1" si="825"/>
        <v>No</v>
      </c>
      <c r="Y324" s="398" t="str">
        <f t="shared" ca="1" si="826"/>
        <v/>
      </c>
      <c r="Z324" s="398" t="str">
        <f t="shared" ca="1" si="827"/>
        <v/>
      </c>
      <c r="AA324" s="398">
        <f t="shared" ca="1" si="853"/>
        <v>22</v>
      </c>
      <c r="AB324" s="398">
        <f t="shared" ca="1" si="817"/>
        <v>2</v>
      </c>
      <c r="AC324" s="398">
        <f t="shared" ca="1" si="818"/>
        <v>1440</v>
      </c>
      <c r="AD324" s="398">
        <f t="shared" ca="1" si="854"/>
        <v>1228920</v>
      </c>
      <c r="AE324" s="399">
        <f t="shared" si="886"/>
        <v>1691</v>
      </c>
      <c r="AF324" s="399">
        <f t="shared" si="887"/>
        <v>4</v>
      </c>
      <c r="AG324" s="483" t="str">
        <f t="shared" ca="1" si="828"/>
        <v/>
      </c>
      <c r="AH324" s="400">
        <f ca="1">IF(MAX(IF($C$6="No",ROUNDUP($C$3/$I324,0),ROUNDUP(($C$3+$I324)/$I324,0)),IF($C$6="No",ROUNDUP($C$4/$G324,0),ROUNDUP(($C$4+$G324)/$G324,0)),ROUNDUP('BVMS checklist'!$H$217/$J324,0))&gt;1,'BVMS checklist'!$J$224,'BVMS checklist'!$J$217)</f>
        <v>0</v>
      </c>
      <c r="AI324" s="398">
        <f t="shared" ca="1" si="829"/>
        <v>2</v>
      </c>
      <c r="AJ324" s="400">
        <f t="shared" ca="1" si="855"/>
        <v>2</v>
      </c>
      <c r="AK324" s="400">
        <f t="shared" ca="1" si="856"/>
        <v>2500</v>
      </c>
      <c r="AL324" s="400">
        <f t="shared" ca="1" si="857"/>
        <v>0</v>
      </c>
      <c r="AM324" s="398">
        <f t="shared" ca="1" si="858"/>
        <v>1228920</v>
      </c>
      <c r="AN324" s="401" t="str">
        <f t="shared" ca="1" si="830"/>
        <v/>
      </c>
      <c r="AO324" s="398">
        <f t="shared" ca="1" si="859"/>
        <v>1600</v>
      </c>
      <c r="AP324" s="400">
        <f ca="1">IF(MAX(IF($C$6="No",ROUNDUP($C$3/$I324,0),ROUNDUP(($C$3+$I324)/$I324,0)),IF($C$6="No",ROUNDUP($C$4/$G324,0),ROUNDUP(($C$4+$G324)/$G324,0)),ROUNDUP('BVMS checklist'!$H$217/$J324,0))&gt;1,'BVMS checklist'!$J$224,'BVMS checklist'!$J$217)+MAX(IF($C$6="No",ROUNDUP($C$3/$I324,0),ROUNDUP(($C$3+$I324)/$I324,0)),IF($C$6="No",ROUNDUP($C$4/$G324,0),ROUNDUP(($C$4+$G324)/$G324,0)))+$C$5</f>
        <v>1</v>
      </c>
      <c r="AQ324" s="400" t="b">
        <f t="shared" ca="1" si="819"/>
        <v>1</v>
      </c>
      <c r="AR324" s="400" t="str">
        <f t="shared" ca="1" si="860"/>
        <v>Accepted</v>
      </c>
      <c r="AS324" s="398" t="str">
        <f t="shared" ca="1" si="845"/>
        <v>No</v>
      </c>
      <c r="AT324" s="398" t="str">
        <f t="shared" ca="1" si="861"/>
        <v/>
      </c>
      <c r="AU324" s="398" t="str">
        <f t="shared" ca="1" si="831"/>
        <v/>
      </c>
      <c r="AV324" s="398">
        <f t="shared" ca="1" si="832"/>
        <v>22</v>
      </c>
      <c r="AW324" s="398">
        <f t="shared" ca="1" si="862"/>
        <v>2</v>
      </c>
      <c r="AX324" s="398">
        <f t="shared" ca="1" si="863"/>
        <v>1440</v>
      </c>
      <c r="AY324" s="398">
        <f t="shared" ca="1" si="864"/>
        <v>1228920</v>
      </c>
      <c r="AZ324" s="399">
        <f t="shared" si="888"/>
        <v>1691</v>
      </c>
      <c r="BA324" s="399">
        <f t="shared" si="889"/>
        <v>4</v>
      </c>
      <c r="BB324" s="483" t="str">
        <f t="shared" ca="1" si="833"/>
        <v/>
      </c>
      <c r="BC324" s="400">
        <f ca="1">IF(MAX(IF($D$6="No",ROUNDUP($D$3/$I324,0),ROUNDUP(($D$3+$I324)/$I324,0)),IF($D$6="No",ROUNDUP($D$4/$G324,0),ROUNDUP(($D$4+$G324)/$G324,0)),ROUNDUP('BVMS checklist'!$H$217/$J324,0))&gt;1,'BVMS checklist'!$L$224,'BVMS checklist'!$L$217)</f>
        <v>0</v>
      </c>
      <c r="BD324" s="398">
        <f t="shared" ca="1" si="834"/>
        <v>2</v>
      </c>
      <c r="BE324" s="400">
        <f t="shared" si="835"/>
        <v>1</v>
      </c>
      <c r="BF324" s="400">
        <f t="shared" si="865"/>
        <v>1250</v>
      </c>
      <c r="BG324" s="400">
        <f t="shared" ca="1" si="846"/>
        <v>0</v>
      </c>
      <c r="BH324" s="398">
        <f t="shared" ca="1" si="866"/>
        <v>1228920</v>
      </c>
      <c r="BI324" s="401" t="str">
        <f t="shared" ca="1" si="836"/>
        <v/>
      </c>
      <c r="BJ324" s="398">
        <f t="shared" ca="1" si="867"/>
        <v>1600</v>
      </c>
      <c r="BK324" s="400">
        <f ca="1">IF(MAX(IF($D$6="No",ROUNDUP($D$3/$I324,0),ROUNDUP(($D$3+$I324)/$I324,0)),IF($D$6="No",ROUNDUP($D$4/$G324,0),ROUNDUP(($D$4+$G324)/$G324,0)),ROUNDUP('BVMS checklist'!$H$217/$J324,0))&gt;1,'BVMS checklist'!$L$224,'BVMS checklist'!$L$217)+MAX(IF($D$6="No",ROUNDUP($D$3/$I324,0),ROUNDUP(($D$3+$I324)/$I324,0)),IF($D$6="No",ROUNDUP($D$4/$G324,0),ROUNDUP(($D$4+$G324)/$G324,0)))+$D$5</f>
        <v>1</v>
      </c>
      <c r="BL324" s="400" t="b">
        <f t="shared" ca="1" si="820"/>
        <v>1</v>
      </c>
      <c r="BM324" s="400" t="str">
        <f t="shared" ca="1" si="868"/>
        <v>Accepted</v>
      </c>
      <c r="BN324" s="398" t="str">
        <f t="shared" ca="1" si="847"/>
        <v>No</v>
      </c>
      <c r="BO324" s="398" t="str">
        <f t="shared" ca="1" si="869"/>
        <v/>
      </c>
      <c r="BP324" s="398" t="str">
        <f t="shared" ca="1" si="837"/>
        <v/>
      </c>
      <c r="BQ324" s="398">
        <f t="shared" ca="1" si="838"/>
        <v>22</v>
      </c>
      <c r="BR324" s="398">
        <f t="shared" ca="1" si="870"/>
        <v>2</v>
      </c>
      <c r="BS324" s="398">
        <f t="shared" ca="1" si="871"/>
        <v>1440</v>
      </c>
      <c r="BT324" s="398">
        <f t="shared" ca="1" si="872"/>
        <v>1228920</v>
      </c>
      <c r="BU324" s="399">
        <f t="shared" si="890"/>
        <v>1691</v>
      </c>
      <c r="BV324" s="399">
        <f t="shared" si="891"/>
        <v>4</v>
      </c>
      <c r="BW324" s="483" t="str">
        <f t="shared" ca="1" si="839"/>
        <v/>
      </c>
      <c r="BX324" s="400">
        <f ca="1">IF(MAX(IF($E$6="No",ROUNDUP($E$3/$I324,0),ROUNDUP(($E$3+$I324)/$I324,0)),IF($E$6="No",ROUNDUP($E$4/$G324,0),ROUNDUP(($E$4+$G324)/$G324,0)),ROUNDUP('BVMS checklist'!$H$217/$J324,0))&gt;1,'BVMS checklist'!$N$224,'BVMS checklist'!$N$217)</f>
        <v>0</v>
      </c>
      <c r="BY324" s="398">
        <f t="shared" ca="1" si="840"/>
        <v>2</v>
      </c>
      <c r="BZ324" s="400">
        <f t="shared" ca="1" si="873"/>
        <v>2</v>
      </c>
      <c r="CA324" s="400">
        <f t="shared" ca="1" si="874"/>
        <v>2500</v>
      </c>
      <c r="CB324" s="400">
        <f t="shared" ca="1" si="848"/>
        <v>0</v>
      </c>
      <c r="CC324" s="398">
        <f t="shared" ca="1" si="875"/>
        <v>1228920</v>
      </c>
      <c r="CD324" s="401" t="str">
        <f t="shared" ca="1" si="841"/>
        <v/>
      </c>
      <c r="CE324" s="398">
        <f t="shared" ca="1" si="876"/>
        <v>1600</v>
      </c>
      <c r="CF324" s="400">
        <f ca="1">IF(MAX(IF($E$6="No",ROUNDUP($E$3/$I324,0),ROUNDUP(($E$3+$I324)/$I324,0)),IF($E$6="No",ROUNDUP($E$4/$G324,0),ROUNDUP(($E$4+$G324)/$G324,0)),ROUNDUP('BVMS checklist'!$H$217/$J324,0))&gt;1,'BVMS checklist'!$N$224,'BVMS checklist'!$N$217)+MAX(IF($E$6="No",ROUNDUP($E$3/$I324,0),ROUNDUP(($E$3+$I324)/$I324,0)),IF($E$6="No",ROUNDUP($E$4/$G324,0),ROUNDUP(($E$4+$G324)/$G324,0)))+$E$5</f>
        <v>1</v>
      </c>
      <c r="CG324" s="400" t="b">
        <f t="shared" ca="1" si="821"/>
        <v>1</v>
      </c>
      <c r="CH324" s="400" t="str">
        <f t="shared" ca="1" si="877"/>
        <v>Accepted</v>
      </c>
      <c r="CI324" s="398" t="str">
        <f t="shared" ca="1" si="849"/>
        <v>No</v>
      </c>
      <c r="CJ324" s="398" t="str">
        <f t="shared" ca="1" si="878"/>
        <v/>
      </c>
      <c r="CK324" s="398" t="str">
        <f t="shared" ca="1" si="842"/>
        <v/>
      </c>
      <c r="CL324" s="398">
        <f t="shared" ca="1" si="843"/>
        <v>22</v>
      </c>
      <c r="CM324" s="398">
        <f t="shared" ca="1" si="879"/>
        <v>2</v>
      </c>
      <c r="CN324" s="398">
        <f t="shared" ca="1" si="880"/>
        <v>1440</v>
      </c>
      <c r="CO324" s="398">
        <f t="shared" ca="1" si="881"/>
        <v>1228920</v>
      </c>
      <c r="CP324" s="399">
        <f t="shared" si="892"/>
        <v>1691</v>
      </c>
      <c r="CQ324" s="399">
        <f t="shared" si="893"/>
        <v>4</v>
      </c>
      <c r="CR324" s="483" t="str">
        <f t="shared" ca="1" si="844"/>
        <v/>
      </c>
      <c r="CS324"/>
    </row>
    <row r="325" spans="1:97">
      <c r="A325" s="398" t="s">
        <v>1055</v>
      </c>
      <c r="B325" s="398" t="s">
        <v>987</v>
      </c>
      <c r="C325" s="440" t="s">
        <v>891</v>
      </c>
      <c r="D325" s="398">
        <v>1</v>
      </c>
      <c r="E325" s="398">
        <v>6</v>
      </c>
      <c r="F325" s="440">
        <v>0</v>
      </c>
      <c r="G325" s="398">
        <f t="shared" si="895"/>
        <v>716870</v>
      </c>
      <c r="H325" s="399">
        <v>840</v>
      </c>
      <c r="I325" s="399">
        <v>1250</v>
      </c>
      <c r="J325" s="399">
        <v>800</v>
      </c>
      <c r="K325" s="399">
        <v>1939</v>
      </c>
      <c r="L325" s="399">
        <v>4</v>
      </c>
      <c r="M325" s="400">
        <f ca="1">IF(MAX(IF($B$6="No",ROUNDUP($B$3/$I325,0),ROUNDUP(($B$3+$I325)/$I325,0)),IF($B$6="No",ROUNDUP($B$4/$G325,0),ROUNDUP(($B$4+$G325)/$G325,0)),ROUNDUP('BVMS checklist'!$H$217/$J325,0))&gt;1,'BVMS checklist'!$H$224,'BVMS checklist'!$H$217)</f>
        <v>0</v>
      </c>
      <c r="N325" s="398">
        <f t="shared" ca="1" si="822"/>
        <v>2</v>
      </c>
      <c r="O325" s="400">
        <f t="shared" ca="1" si="851"/>
        <v>2</v>
      </c>
      <c r="P325" s="400">
        <f t="shared" ca="1" si="813"/>
        <v>2500</v>
      </c>
      <c r="Q325" s="400">
        <f t="shared" ca="1" si="814"/>
        <v>0</v>
      </c>
      <c r="R325" s="398">
        <f t="shared" ca="1" si="815"/>
        <v>1433740</v>
      </c>
      <c r="S325" s="401" t="str">
        <f t="shared" ca="1" si="823"/>
        <v/>
      </c>
      <c r="T325" s="398">
        <f t="shared" ca="1" si="824"/>
        <v>1600</v>
      </c>
      <c r="U325" s="400">
        <f ca="1">IF(MAX(IF($B$6="No",ROUNDUP($B$3/$I325,0),ROUNDUP(($B$3+$I325)/$I325,0)),IF($B$6="No",ROUNDUP($B$4/$G325,0),ROUNDUP(($B$4+$G325)/$G325,0)),ROUNDUP('BVMS checklist'!$H$217/$J325,0))&gt;1,'BVMS checklist'!$H$224,'BVMS checklist'!$H$217)+MAX(IF($B$6="No",ROUNDUP($B$3/$I325,0),ROUNDUP(($B$3+$I325)/$I325,0)),IF($B$6="No",ROUNDUP($B$4/$G325,0),ROUNDUP(($B$4+$G325)/$G325,0)))+$B$5</f>
        <v>1</v>
      </c>
      <c r="V325" s="400" t="b">
        <f t="shared" ca="1" si="816"/>
        <v>1</v>
      </c>
      <c r="W325" s="400" t="str">
        <f t="shared" ca="1" si="852"/>
        <v>Accepted</v>
      </c>
      <c r="X325" s="398" t="str">
        <f t="shared" ca="1" si="825"/>
        <v>No</v>
      </c>
      <c r="Y325" s="398" t="str">
        <f t="shared" ca="1" si="826"/>
        <v/>
      </c>
      <c r="Z325" s="398" t="str">
        <f t="shared" ca="1" si="827"/>
        <v/>
      </c>
      <c r="AA325" s="398">
        <f t="shared" ca="1" si="853"/>
        <v>22</v>
      </c>
      <c r="AB325" s="398">
        <f t="shared" ca="1" si="817"/>
        <v>2</v>
      </c>
      <c r="AC325" s="398">
        <f t="shared" ca="1" si="818"/>
        <v>1680</v>
      </c>
      <c r="AD325" s="398">
        <f t="shared" ca="1" si="854"/>
        <v>1433740</v>
      </c>
      <c r="AE325" s="399">
        <f t="shared" si="886"/>
        <v>1939</v>
      </c>
      <c r="AF325" s="399">
        <f t="shared" si="887"/>
        <v>4</v>
      </c>
      <c r="AG325" s="483" t="str">
        <f t="shared" ca="1" si="828"/>
        <v/>
      </c>
      <c r="AH325" s="400">
        <f ca="1">IF(MAX(IF($C$6="No",ROUNDUP($C$3/$I325,0),ROUNDUP(($C$3+$I325)/$I325,0)),IF($C$6="No",ROUNDUP($C$4/$G325,0),ROUNDUP(($C$4+$G325)/$G325,0)),ROUNDUP('BVMS checklist'!$H$217/$J325,0))&gt;1,'BVMS checklist'!$J$224,'BVMS checklist'!$J$217)</f>
        <v>0</v>
      </c>
      <c r="AI325" s="398">
        <f t="shared" ca="1" si="829"/>
        <v>2</v>
      </c>
      <c r="AJ325" s="400">
        <f t="shared" ca="1" si="855"/>
        <v>2</v>
      </c>
      <c r="AK325" s="400">
        <f t="shared" ca="1" si="856"/>
        <v>2500</v>
      </c>
      <c r="AL325" s="400">
        <f t="shared" ca="1" si="857"/>
        <v>0</v>
      </c>
      <c r="AM325" s="398">
        <f t="shared" ca="1" si="858"/>
        <v>1433740</v>
      </c>
      <c r="AN325" s="401" t="str">
        <f t="shared" ca="1" si="830"/>
        <v/>
      </c>
      <c r="AO325" s="398">
        <f t="shared" ca="1" si="859"/>
        <v>1600</v>
      </c>
      <c r="AP325" s="400">
        <f ca="1">IF(MAX(IF($C$6="No",ROUNDUP($C$3/$I325,0),ROUNDUP(($C$3+$I325)/$I325,0)),IF($C$6="No",ROUNDUP($C$4/$G325,0),ROUNDUP(($C$4+$G325)/$G325,0)),ROUNDUP('BVMS checklist'!$H$217/$J325,0))&gt;1,'BVMS checklist'!$J$224,'BVMS checklist'!$J$217)+MAX(IF($C$6="No",ROUNDUP($C$3/$I325,0),ROUNDUP(($C$3+$I325)/$I325,0)),IF($C$6="No",ROUNDUP($C$4/$G325,0),ROUNDUP(($C$4+$G325)/$G325,0)))+$C$5</f>
        <v>1</v>
      </c>
      <c r="AQ325" s="400" t="b">
        <f t="shared" ca="1" si="819"/>
        <v>1</v>
      </c>
      <c r="AR325" s="400" t="str">
        <f t="shared" ca="1" si="860"/>
        <v>Accepted</v>
      </c>
      <c r="AS325" s="398" t="str">
        <f t="shared" ca="1" si="845"/>
        <v>No</v>
      </c>
      <c r="AT325" s="398" t="str">
        <f t="shared" ca="1" si="861"/>
        <v/>
      </c>
      <c r="AU325" s="398" t="str">
        <f t="shared" ca="1" si="831"/>
        <v/>
      </c>
      <c r="AV325" s="398">
        <f t="shared" ca="1" si="832"/>
        <v>22</v>
      </c>
      <c r="AW325" s="398">
        <f t="shared" ca="1" si="862"/>
        <v>2</v>
      </c>
      <c r="AX325" s="398">
        <f t="shared" ca="1" si="863"/>
        <v>1680</v>
      </c>
      <c r="AY325" s="398">
        <f t="shared" ca="1" si="864"/>
        <v>1433740</v>
      </c>
      <c r="AZ325" s="399">
        <f t="shared" si="888"/>
        <v>1939</v>
      </c>
      <c r="BA325" s="399">
        <f t="shared" si="889"/>
        <v>4</v>
      </c>
      <c r="BB325" s="483" t="str">
        <f t="shared" ca="1" si="833"/>
        <v/>
      </c>
      <c r="BC325" s="400">
        <f ca="1">IF(MAX(IF($D$6="No",ROUNDUP($D$3/$I325,0),ROUNDUP(($D$3+$I325)/$I325,0)),IF($D$6="No",ROUNDUP($D$4/$G325,0),ROUNDUP(($D$4+$G325)/$G325,0)),ROUNDUP('BVMS checklist'!$H$217/$J325,0))&gt;1,'BVMS checklist'!$L$224,'BVMS checklist'!$L$217)</f>
        <v>0</v>
      </c>
      <c r="BD325" s="398">
        <f t="shared" ca="1" si="834"/>
        <v>2</v>
      </c>
      <c r="BE325" s="400">
        <f t="shared" si="835"/>
        <v>1</v>
      </c>
      <c r="BF325" s="400">
        <f t="shared" si="865"/>
        <v>1250</v>
      </c>
      <c r="BG325" s="400">
        <f t="shared" ca="1" si="846"/>
        <v>0</v>
      </c>
      <c r="BH325" s="398">
        <f t="shared" ca="1" si="866"/>
        <v>1433740</v>
      </c>
      <c r="BI325" s="401" t="str">
        <f t="shared" ca="1" si="836"/>
        <v/>
      </c>
      <c r="BJ325" s="398">
        <f t="shared" ca="1" si="867"/>
        <v>1600</v>
      </c>
      <c r="BK325" s="400">
        <f ca="1">IF(MAX(IF($D$6="No",ROUNDUP($D$3/$I325,0),ROUNDUP(($D$3+$I325)/$I325,0)),IF($D$6="No",ROUNDUP($D$4/$G325,0),ROUNDUP(($D$4+$G325)/$G325,0)),ROUNDUP('BVMS checklist'!$H$217/$J325,0))&gt;1,'BVMS checklist'!$L$224,'BVMS checklist'!$L$217)+MAX(IF($D$6="No",ROUNDUP($D$3/$I325,0),ROUNDUP(($D$3+$I325)/$I325,0)),IF($D$6="No",ROUNDUP($D$4/$G325,0),ROUNDUP(($D$4+$G325)/$G325,0)))+$D$5</f>
        <v>1</v>
      </c>
      <c r="BL325" s="400" t="b">
        <f t="shared" ca="1" si="820"/>
        <v>1</v>
      </c>
      <c r="BM325" s="400" t="str">
        <f t="shared" ca="1" si="868"/>
        <v>Accepted</v>
      </c>
      <c r="BN325" s="398" t="str">
        <f t="shared" ca="1" si="847"/>
        <v>No</v>
      </c>
      <c r="BO325" s="398" t="str">
        <f t="shared" ca="1" si="869"/>
        <v/>
      </c>
      <c r="BP325" s="398" t="str">
        <f t="shared" ca="1" si="837"/>
        <v/>
      </c>
      <c r="BQ325" s="398">
        <f t="shared" ca="1" si="838"/>
        <v>22</v>
      </c>
      <c r="BR325" s="398">
        <f t="shared" ca="1" si="870"/>
        <v>2</v>
      </c>
      <c r="BS325" s="398">
        <f t="shared" ca="1" si="871"/>
        <v>1680</v>
      </c>
      <c r="BT325" s="398">
        <f t="shared" ca="1" si="872"/>
        <v>1433740</v>
      </c>
      <c r="BU325" s="399">
        <f t="shared" si="890"/>
        <v>1939</v>
      </c>
      <c r="BV325" s="399">
        <f t="shared" si="891"/>
        <v>4</v>
      </c>
      <c r="BW325" s="483" t="str">
        <f t="shared" ca="1" si="839"/>
        <v/>
      </c>
      <c r="BX325" s="400">
        <f ca="1">IF(MAX(IF($E$6="No",ROUNDUP($E$3/$I325,0),ROUNDUP(($E$3+$I325)/$I325,0)),IF($E$6="No",ROUNDUP($E$4/$G325,0),ROUNDUP(($E$4+$G325)/$G325,0)),ROUNDUP('BVMS checklist'!$H$217/$J325,0))&gt;1,'BVMS checklist'!$N$224,'BVMS checklist'!$N$217)</f>
        <v>0</v>
      </c>
      <c r="BY325" s="398">
        <f t="shared" ca="1" si="840"/>
        <v>2</v>
      </c>
      <c r="BZ325" s="400">
        <f t="shared" ca="1" si="873"/>
        <v>2</v>
      </c>
      <c r="CA325" s="400">
        <f t="shared" ca="1" si="874"/>
        <v>2500</v>
      </c>
      <c r="CB325" s="400">
        <f t="shared" ca="1" si="848"/>
        <v>0</v>
      </c>
      <c r="CC325" s="398">
        <f t="shared" ca="1" si="875"/>
        <v>1433740</v>
      </c>
      <c r="CD325" s="401" t="str">
        <f t="shared" ca="1" si="841"/>
        <v/>
      </c>
      <c r="CE325" s="398">
        <f t="shared" ca="1" si="876"/>
        <v>1600</v>
      </c>
      <c r="CF325" s="400">
        <f ca="1">IF(MAX(IF($E$6="No",ROUNDUP($E$3/$I325,0),ROUNDUP(($E$3+$I325)/$I325,0)),IF($E$6="No",ROUNDUP($E$4/$G325,0),ROUNDUP(($E$4+$G325)/$G325,0)),ROUNDUP('BVMS checklist'!$H$217/$J325,0))&gt;1,'BVMS checklist'!$N$224,'BVMS checklist'!$N$217)+MAX(IF($E$6="No",ROUNDUP($E$3/$I325,0),ROUNDUP(($E$3+$I325)/$I325,0)),IF($E$6="No",ROUNDUP($E$4/$G325,0),ROUNDUP(($E$4+$G325)/$G325,0)))+$E$5</f>
        <v>1</v>
      </c>
      <c r="CG325" s="400" t="b">
        <f t="shared" ca="1" si="821"/>
        <v>1</v>
      </c>
      <c r="CH325" s="400" t="str">
        <f t="shared" ca="1" si="877"/>
        <v>Accepted</v>
      </c>
      <c r="CI325" s="398" t="str">
        <f t="shared" ca="1" si="849"/>
        <v>No</v>
      </c>
      <c r="CJ325" s="398" t="str">
        <f t="shared" ca="1" si="878"/>
        <v/>
      </c>
      <c r="CK325" s="398" t="str">
        <f t="shared" ca="1" si="842"/>
        <v/>
      </c>
      <c r="CL325" s="398">
        <f t="shared" ca="1" si="843"/>
        <v>22</v>
      </c>
      <c r="CM325" s="398">
        <f t="shared" ca="1" si="879"/>
        <v>2</v>
      </c>
      <c r="CN325" s="398">
        <f t="shared" ca="1" si="880"/>
        <v>1680</v>
      </c>
      <c r="CO325" s="398">
        <f t="shared" ca="1" si="881"/>
        <v>1433740</v>
      </c>
      <c r="CP325" s="399">
        <f t="shared" si="892"/>
        <v>1939</v>
      </c>
      <c r="CQ325" s="399">
        <f t="shared" si="893"/>
        <v>4</v>
      </c>
      <c r="CR325" s="483" t="str">
        <f t="shared" ca="1" si="844"/>
        <v/>
      </c>
      <c r="CS325"/>
    </row>
    <row r="326" spans="1:97">
      <c r="A326" s="398" t="s">
        <v>1056</v>
      </c>
      <c r="B326" s="398" t="s">
        <v>987</v>
      </c>
      <c r="C326" s="440" t="s">
        <v>891</v>
      </c>
      <c r="D326" s="398">
        <v>1</v>
      </c>
      <c r="E326" s="398">
        <v>7</v>
      </c>
      <c r="F326" s="440">
        <v>0</v>
      </c>
      <c r="G326" s="398">
        <f t="shared" si="895"/>
        <v>819280</v>
      </c>
      <c r="H326" s="399">
        <v>960</v>
      </c>
      <c r="I326" s="399">
        <v>1250</v>
      </c>
      <c r="J326" s="399">
        <v>800</v>
      </c>
      <c r="K326" s="399">
        <v>2187</v>
      </c>
      <c r="L326" s="399">
        <v>4</v>
      </c>
      <c r="M326" s="400">
        <f ca="1">IF(MAX(IF($B$6="No",ROUNDUP($B$3/$I326,0),ROUNDUP(($B$3+$I326)/$I326,0)),IF($B$6="No",ROUNDUP($B$4/$G326,0),ROUNDUP(($B$4+$G326)/$G326,0)),ROUNDUP('BVMS checklist'!$H$217/$J326,0))&gt;1,'BVMS checklist'!$H$224,'BVMS checklist'!$H$217)</f>
        <v>0</v>
      </c>
      <c r="N326" s="398">
        <f t="shared" ca="1" si="822"/>
        <v>2</v>
      </c>
      <c r="O326" s="400">
        <f t="shared" ca="1" si="851"/>
        <v>2</v>
      </c>
      <c r="P326" s="400">
        <f t="shared" ca="1" si="813"/>
        <v>2500</v>
      </c>
      <c r="Q326" s="400">
        <f t="shared" ca="1" si="814"/>
        <v>0</v>
      </c>
      <c r="R326" s="398">
        <f t="shared" ca="1" si="815"/>
        <v>1638560</v>
      </c>
      <c r="S326" s="401" t="str">
        <f t="shared" ca="1" si="823"/>
        <v/>
      </c>
      <c r="T326" s="398">
        <f t="shared" ca="1" si="824"/>
        <v>1600</v>
      </c>
      <c r="U326" s="400">
        <f ca="1">IF(MAX(IF($B$6="No",ROUNDUP($B$3/$I326,0),ROUNDUP(($B$3+$I326)/$I326,0)),IF($B$6="No",ROUNDUP($B$4/$G326,0),ROUNDUP(($B$4+$G326)/$G326,0)),ROUNDUP('BVMS checklist'!$H$217/$J326,0))&gt;1,'BVMS checklist'!$H$224,'BVMS checklist'!$H$217)+MAX(IF($B$6="No",ROUNDUP($B$3/$I326,0),ROUNDUP(($B$3+$I326)/$I326,0)),IF($B$6="No",ROUNDUP($B$4/$G326,0),ROUNDUP(($B$4+$G326)/$G326,0)))+$B$5</f>
        <v>1</v>
      </c>
      <c r="V326" s="400" t="b">
        <f t="shared" ca="1" si="816"/>
        <v>1</v>
      </c>
      <c r="W326" s="400" t="str">
        <f t="shared" ca="1" si="852"/>
        <v>Accepted</v>
      </c>
      <c r="X326" s="398" t="str">
        <f t="shared" ca="1" si="825"/>
        <v>No</v>
      </c>
      <c r="Y326" s="398" t="str">
        <f t="shared" ca="1" si="826"/>
        <v/>
      </c>
      <c r="Z326" s="398" t="str">
        <f t="shared" ca="1" si="827"/>
        <v/>
      </c>
      <c r="AA326" s="398">
        <f t="shared" ca="1" si="853"/>
        <v>22</v>
      </c>
      <c r="AB326" s="398">
        <f t="shared" ca="1" si="817"/>
        <v>2</v>
      </c>
      <c r="AC326" s="398">
        <f t="shared" ca="1" si="818"/>
        <v>1920</v>
      </c>
      <c r="AD326" s="398">
        <f t="shared" ca="1" si="854"/>
        <v>1638560</v>
      </c>
      <c r="AE326" s="399">
        <f t="shared" si="886"/>
        <v>2187</v>
      </c>
      <c r="AF326" s="399">
        <f t="shared" si="887"/>
        <v>4</v>
      </c>
      <c r="AG326" s="483" t="str">
        <f t="shared" ca="1" si="828"/>
        <v/>
      </c>
      <c r="AH326" s="400">
        <f ca="1">IF(MAX(IF($C$6="No",ROUNDUP($C$3/$I326,0),ROUNDUP(($C$3+$I326)/$I326,0)),IF($C$6="No",ROUNDUP($C$4/$G326,0),ROUNDUP(($C$4+$G326)/$G326,0)),ROUNDUP('BVMS checklist'!$H$217/$J326,0))&gt;1,'BVMS checklist'!$J$224,'BVMS checklist'!$J$217)</f>
        <v>0</v>
      </c>
      <c r="AI326" s="398">
        <f t="shared" ca="1" si="829"/>
        <v>2</v>
      </c>
      <c r="AJ326" s="400">
        <f t="shared" ca="1" si="855"/>
        <v>2</v>
      </c>
      <c r="AK326" s="400">
        <f t="shared" ca="1" si="856"/>
        <v>2500</v>
      </c>
      <c r="AL326" s="400">
        <f t="shared" ca="1" si="857"/>
        <v>0</v>
      </c>
      <c r="AM326" s="398">
        <f t="shared" ca="1" si="858"/>
        <v>1638560</v>
      </c>
      <c r="AN326" s="401" t="str">
        <f t="shared" ca="1" si="830"/>
        <v/>
      </c>
      <c r="AO326" s="398">
        <f t="shared" ca="1" si="859"/>
        <v>1600</v>
      </c>
      <c r="AP326" s="400">
        <f ca="1">IF(MAX(IF($C$6="No",ROUNDUP($C$3/$I326,0),ROUNDUP(($C$3+$I326)/$I326,0)),IF($C$6="No",ROUNDUP($C$4/$G326,0),ROUNDUP(($C$4+$G326)/$G326,0)),ROUNDUP('BVMS checklist'!$H$217/$J326,0))&gt;1,'BVMS checklist'!$J$224,'BVMS checklist'!$J$217)+MAX(IF($C$6="No",ROUNDUP($C$3/$I326,0),ROUNDUP(($C$3+$I326)/$I326,0)),IF($C$6="No",ROUNDUP($C$4/$G326,0),ROUNDUP(($C$4+$G326)/$G326,0)))+$C$5</f>
        <v>1</v>
      </c>
      <c r="AQ326" s="400" t="b">
        <f t="shared" ca="1" si="819"/>
        <v>1</v>
      </c>
      <c r="AR326" s="400" t="str">
        <f t="shared" ca="1" si="860"/>
        <v>Accepted</v>
      </c>
      <c r="AS326" s="398" t="str">
        <f t="shared" ca="1" si="845"/>
        <v>No</v>
      </c>
      <c r="AT326" s="398" t="str">
        <f t="shared" ca="1" si="861"/>
        <v/>
      </c>
      <c r="AU326" s="398" t="str">
        <f t="shared" ca="1" si="831"/>
        <v/>
      </c>
      <c r="AV326" s="398">
        <f t="shared" ca="1" si="832"/>
        <v>22</v>
      </c>
      <c r="AW326" s="398">
        <f t="shared" ca="1" si="862"/>
        <v>2</v>
      </c>
      <c r="AX326" s="398">
        <f t="shared" ca="1" si="863"/>
        <v>1920</v>
      </c>
      <c r="AY326" s="398">
        <f t="shared" ca="1" si="864"/>
        <v>1638560</v>
      </c>
      <c r="AZ326" s="399">
        <f t="shared" si="888"/>
        <v>2187</v>
      </c>
      <c r="BA326" s="399">
        <f t="shared" si="889"/>
        <v>4</v>
      </c>
      <c r="BB326" s="483" t="str">
        <f t="shared" ca="1" si="833"/>
        <v/>
      </c>
      <c r="BC326" s="400">
        <f ca="1">IF(MAX(IF($D$6="No",ROUNDUP($D$3/$I326,0),ROUNDUP(($D$3+$I326)/$I326,0)),IF($D$6="No",ROUNDUP($D$4/$G326,0),ROUNDUP(($D$4+$G326)/$G326,0)),ROUNDUP('BVMS checklist'!$H$217/$J326,0))&gt;1,'BVMS checklist'!$L$224,'BVMS checklist'!$L$217)</f>
        <v>0</v>
      </c>
      <c r="BD326" s="398">
        <f t="shared" ca="1" si="834"/>
        <v>2</v>
      </c>
      <c r="BE326" s="400">
        <f t="shared" si="835"/>
        <v>1</v>
      </c>
      <c r="BF326" s="400">
        <f t="shared" si="865"/>
        <v>1250</v>
      </c>
      <c r="BG326" s="400">
        <f t="shared" ca="1" si="846"/>
        <v>0</v>
      </c>
      <c r="BH326" s="398">
        <f t="shared" ca="1" si="866"/>
        <v>1638560</v>
      </c>
      <c r="BI326" s="401" t="str">
        <f t="shared" ca="1" si="836"/>
        <v/>
      </c>
      <c r="BJ326" s="398">
        <f t="shared" ca="1" si="867"/>
        <v>1600</v>
      </c>
      <c r="BK326" s="400">
        <f ca="1">IF(MAX(IF($D$6="No",ROUNDUP($D$3/$I326,0),ROUNDUP(($D$3+$I326)/$I326,0)),IF($D$6="No",ROUNDUP($D$4/$G326,0),ROUNDUP(($D$4+$G326)/$G326,0)),ROUNDUP('BVMS checklist'!$H$217/$J326,0))&gt;1,'BVMS checklist'!$L$224,'BVMS checklist'!$L$217)+MAX(IF($D$6="No",ROUNDUP($D$3/$I326,0),ROUNDUP(($D$3+$I326)/$I326,0)),IF($D$6="No",ROUNDUP($D$4/$G326,0),ROUNDUP(($D$4+$G326)/$G326,0)))+$D$5</f>
        <v>1</v>
      </c>
      <c r="BL326" s="400" t="b">
        <f t="shared" ca="1" si="820"/>
        <v>1</v>
      </c>
      <c r="BM326" s="400" t="str">
        <f t="shared" ca="1" si="868"/>
        <v>Accepted</v>
      </c>
      <c r="BN326" s="398" t="str">
        <f t="shared" ca="1" si="847"/>
        <v>No</v>
      </c>
      <c r="BO326" s="398" t="str">
        <f t="shared" ca="1" si="869"/>
        <v/>
      </c>
      <c r="BP326" s="398" t="str">
        <f t="shared" ca="1" si="837"/>
        <v/>
      </c>
      <c r="BQ326" s="398">
        <f t="shared" ca="1" si="838"/>
        <v>22</v>
      </c>
      <c r="BR326" s="398">
        <f t="shared" ca="1" si="870"/>
        <v>2</v>
      </c>
      <c r="BS326" s="398">
        <f t="shared" ca="1" si="871"/>
        <v>1920</v>
      </c>
      <c r="BT326" s="398">
        <f t="shared" ca="1" si="872"/>
        <v>1638560</v>
      </c>
      <c r="BU326" s="399">
        <f t="shared" si="890"/>
        <v>2187</v>
      </c>
      <c r="BV326" s="399">
        <f t="shared" si="891"/>
        <v>4</v>
      </c>
      <c r="BW326" s="483" t="str">
        <f t="shared" ca="1" si="839"/>
        <v/>
      </c>
      <c r="BX326" s="400">
        <f ca="1">IF(MAX(IF($E$6="No",ROUNDUP($E$3/$I326,0),ROUNDUP(($E$3+$I326)/$I326,0)),IF($E$6="No",ROUNDUP($E$4/$G326,0),ROUNDUP(($E$4+$G326)/$G326,0)),ROUNDUP('BVMS checklist'!$H$217/$J326,0))&gt;1,'BVMS checklist'!$N$224,'BVMS checklist'!$N$217)</f>
        <v>0</v>
      </c>
      <c r="BY326" s="398">
        <f t="shared" ca="1" si="840"/>
        <v>2</v>
      </c>
      <c r="BZ326" s="400">
        <f t="shared" ca="1" si="873"/>
        <v>2</v>
      </c>
      <c r="CA326" s="400">
        <f t="shared" ca="1" si="874"/>
        <v>2500</v>
      </c>
      <c r="CB326" s="400">
        <f t="shared" ca="1" si="848"/>
        <v>0</v>
      </c>
      <c r="CC326" s="398">
        <f t="shared" ca="1" si="875"/>
        <v>1638560</v>
      </c>
      <c r="CD326" s="401" t="str">
        <f t="shared" ca="1" si="841"/>
        <v/>
      </c>
      <c r="CE326" s="398">
        <f t="shared" ca="1" si="876"/>
        <v>1600</v>
      </c>
      <c r="CF326" s="400">
        <f ca="1">IF(MAX(IF($E$6="No",ROUNDUP($E$3/$I326,0),ROUNDUP(($E$3+$I326)/$I326,0)),IF($E$6="No",ROUNDUP($E$4/$G326,0),ROUNDUP(($E$4+$G326)/$G326,0)),ROUNDUP('BVMS checklist'!$H$217/$J326,0))&gt;1,'BVMS checklist'!$N$224,'BVMS checklist'!$N$217)+MAX(IF($E$6="No",ROUNDUP($E$3/$I326,0),ROUNDUP(($E$3+$I326)/$I326,0)),IF($E$6="No",ROUNDUP($E$4/$G326,0),ROUNDUP(($E$4+$G326)/$G326,0)))+$E$5</f>
        <v>1</v>
      </c>
      <c r="CG326" s="400" t="b">
        <f t="shared" ca="1" si="821"/>
        <v>1</v>
      </c>
      <c r="CH326" s="400" t="str">
        <f t="shared" ca="1" si="877"/>
        <v>Accepted</v>
      </c>
      <c r="CI326" s="398" t="str">
        <f t="shared" ca="1" si="849"/>
        <v>No</v>
      </c>
      <c r="CJ326" s="398" t="str">
        <f t="shared" ca="1" si="878"/>
        <v/>
      </c>
      <c r="CK326" s="398" t="str">
        <f t="shared" ca="1" si="842"/>
        <v/>
      </c>
      <c r="CL326" s="398">
        <f t="shared" ca="1" si="843"/>
        <v>22</v>
      </c>
      <c r="CM326" s="398">
        <f t="shared" ca="1" si="879"/>
        <v>2</v>
      </c>
      <c r="CN326" s="398">
        <f t="shared" ca="1" si="880"/>
        <v>1920</v>
      </c>
      <c r="CO326" s="398">
        <f t="shared" ca="1" si="881"/>
        <v>1638560</v>
      </c>
      <c r="CP326" s="399">
        <f t="shared" si="892"/>
        <v>2187</v>
      </c>
      <c r="CQ326" s="399">
        <f t="shared" si="893"/>
        <v>4</v>
      </c>
      <c r="CR326" s="483" t="str">
        <f t="shared" ca="1" si="844"/>
        <v/>
      </c>
      <c r="CS326"/>
    </row>
    <row r="327" spans="1:97">
      <c r="A327" s="398" t="s">
        <v>870</v>
      </c>
      <c r="B327" s="398" t="s">
        <v>988</v>
      </c>
      <c r="C327" s="440" t="s">
        <v>891</v>
      </c>
      <c r="D327" s="398">
        <v>1</v>
      </c>
      <c r="E327" s="398">
        <v>0</v>
      </c>
      <c r="F327" s="440">
        <v>0</v>
      </c>
      <c r="G327" s="398">
        <f>IF(C327="RAID5",(11-F327)*11172,IF(C327="RAID6",(10-F327)*11172,IF(C327="DDP",(12*11172*0.7),"Error")))+IF(C327="RAID5",(11-F327)*11172,IF(C327="RAID6",(10-F327)*11172,IF(C327="DDP",(12*11172*0.7),"Error")))*E327</f>
        <v>122892</v>
      </c>
      <c r="H327" s="399">
        <v>144</v>
      </c>
      <c r="I327" s="399">
        <v>1250</v>
      </c>
      <c r="J327" s="399">
        <v>800</v>
      </c>
      <c r="K327" s="399">
        <v>451</v>
      </c>
      <c r="L327" s="399">
        <v>4</v>
      </c>
      <c r="M327" s="400">
        <f ca="1">IF(MAX(IF($B$6="No",ROUNDUP($B$3/$I327,0),ROUNDUP(($B$3+$I327)/$I327,0)),IF($B$6="No",ROUNDUP($B$4/$G327,0),ROUNDUP(($B$4+$G327)/$G327,0)),ROUNDUP('BVMS checklist'!$H$217/$J327,0))&gt;1,'BVMS checklist'!$H$224,'BVMS checklist'!$H$217)</f>
        <v>0</v>
      </c>
      <c r="N327" s="398">
        <f t="shared" ca="1" si="822"/>
        <v>2</v>
      </c>
      <c r="O327" s="400">
        <f t="shared" ca="1" si="851"/>
        <v>2</v>
      </c>
      <c r="P327" s="400">
        <f t="shared" ca="1" si="813"/>
        <v>2500</v>
      </c>
      <c r="Q327" s="400">
        <f t="shared" ca="1" si="814"/>
        <v>0</v>
      </c>
      <c r="R327" s="398">
        <f t="shared" ca="1" si="815"/>
        <v>245784</v>
      </c>
      <c r="S327" s="401" t="e">
        <f t="shared" ca="1" si="823"/>
        <v>#DIV/0!</v>
      </c>
      <c r="T327" s="398">
        <f t="shared" ca="1" si="824"/>
        <v>1600</v>
      </c>
      <c r="U327" s="400">
        <f ca="1">IF(MAX(IF($B$6="No",ROUNDUP($B$3/$I327,0),ROUNDUP(($B$3+$I327)/$I327,0)),IF($B$6="No",ROUNDUP($B$4/$G327,0),ROUNDUP(($B$4+$G327)/$G327,0)),ROUNDUP('BVMS checklist'!$H$217/$J327,0))&gt;1,'BVMS checklist'!$H$224,'BVMS checklist'!$H$217)+MAX(IF($B$6="No",ROUNDUP($B$3/$I327,0),ROUNDUP(($B$3+$I327)/$I327,0)),IF($B$6="No",ROUNDUP($B$4/$G327,0),ROUNDUP(($B$4+$G327)/$G327,0)))+$B$5</f>
        <v>1</v>
      </c>
      <c r="V327" s="400" t="b">
        <f t="shared" ca="1" si="816"/>
        <v>1</v>
      </c>
      <c r="W327" s="400" t="str">
        <f t="shared" ca="1" si="852"/>
        <v>Accepted</v>
      </c>
      <c r="X327" s="398" t="str">
        <f t="shared" ca="1" si="825"/>
        <v>Yes</v>
      </c>
      <c r="Y327" s="398">
        <f t="shared" ca="1" si="826"/>
        <v>23</v>
      </c>
      <c r="Z327" s="398" t="str">
        <f t="shared" ca="1" si="827"/>
        <v>E-Series Base Unit, 12 x 12 TB RAID5</v>
      </c>
      <c r="AA327" s="398">
        <f t="shared" ca="1" si="853"/>
        <v>23</v>
      </c>
      <c r="AB327" s="398">
        <f t="shared" ca="1" si="817"/>
        <v>2</v>
      </c>
      <c r="AC327" s="398">
        <f t="shared" ca="1" si="818"/>
        <v>288</v>
      </c>
      <c r="AD327" s="398">
        <f t="shared" ca="1" si="854"/>
        <v>245784</v>
      </c>
      <c r="AE327" s="399">
        <f t="shared" si="886"/>
        <v>451</v>
      </c>
      <c r="AF327" s="399">
        <f t="shared" si="887"/>
        <v>4</v>
      </c>
      <c r="AG327" s="483" t="e">
        <f t="shared" ca="1" si="828"/>
        <v>#DIV/0!</v>
      </c>
      <c r="AH327" s="400">
        <f ca="1">IF(MAX(IF($C$6="No",ROUNDUP($C$3/$I327,0),ROUNDUP(($C$3+$I327)/$I327,0)),IF($C$6="No",ROUNDUP($C$4/$G327,0),ROUNDUP(($C$4+$G327)/$G327,0)),ROUNDUP('BVMS checklist'!$H$217/$J327,0))&gt;1,'BVMS checklist'!$J$224,'BVMS checklist'!$J$217)</f>
        <v>0</v>
      </c>
      <c r="AI327" s="398">
        <f t="shared" ca="1" si="829"/>
        <v>2</v>
      </c>
      <c r="AJ327" s="400">
        <f t="shared" ca="1" si="855"/>
        <v>2</v>
      </c>
      <c r="AK327" s="400">
        <f t="shared" ca="1" si="856"/>
        <v>2500</v>
      </c>
      <c r="AL327" s="400">
        <f t="shared" ca="1" si="857"/>
        <v>0</v>
      </c>
      <c r="AM327" s="398">
        <f t="shared" ca="1" si="858"/>
        <v>245784</v>
      </c>
      <c r="AN327" s="401" t="e">
        <f t="shared" ca="1" si="830"/>
        <v>#DIV/0!</v>
      </c>
      <c r="AO327" s="398">
        <f t="shared" ca="1" si="859"/>
        <v>1600</v>
      </c>
      <c r="AP327" s="400">
        <f ca="1">IF(MAX(IF($C$6="No",ROUNDUP($C$3/$I327,0),ROUNDUP(($C$3+$I327)/$I327,0)),IF($C$6="No",ROUNDUP($C$4/$G327,0),ROUNDUP(($C$4+$G327)/$G327,0)),ROUNDUP('BVMS checklist'!$H$217/$J327,0))&gt;1,'BVMS checklist'!$J$224,'BVMS checklist'!$J$217)+MAX(IF($C$6="No",ROUNDUP($C$3/$I327,0),ROUNDUP(($C$3+$I327)/$I327,0)),IF($C$6="No",ROUNDUP($C$4/$G327,0),ROUNDUP(($C$4+$G327)/$G327,0)))+$C$5</f>
        <v>1</v>
      </c>
      <c r="AQ327" s="400" t="b">
        <f t="shared" ca="1" si="819"/>
        <v>1</v>
      </c>
      <c r="AR327" s="400" t="str">
        <f t="shared" ca="1" si="860"/>
        <v>Accepted</v>
      </c>
      <c r="AS327" s="398" t="str">
        <f t="shared" ca="1" si="845"/>
        <v>Yes</v>
      </c>
      <c r="AT327" s="398">
        <f t="shared" ca="1" si="861"/>
        <v>23</v>
      </c>
      <c r="AU327" s="398" t="str">
        <f t="shared" ca="1" si="831"/>
        <v>E-Series Base Unit, 12 x 12 TB RAID5</v>
      </c>
      <c r="AV327" s="398">
        <f t="shared" ca="1" si="832"/>
        <v>23</v>
      </c>
      <c r="AW327" s="398">
        <f t="shared" ca="1" si="862"/>
        <v>2</v>
      </c>
      <c r="AX327" s="398">
        <f t="shared" ca="1" si="863"/>
        <v>288</v>
      </c>
      <c r="AY327" s="398">
        <f t="shared" ca="1" si="864"/>
        <v>245784</v>
      </c>
      <c r="AZ327" s="399">
        <f t="shared" si="888"/>
        <v>451</v>
      </c>
      <c r="BA327" s="399">
        <f t="shared" si="889"/>
        <v>4</v>
      </c>
      <c r="BB327" s="483" t="e">
        <f t="shared" ca="1" si="833"/>
        <v>#DIV/0!</v>
      </c>
      <c r="BC327" s="400">
        <f ca="1">IF(MAX(IF($D$6="No",ROUNDUP($D$3/$I327,0),ROUNDUP(($D$3+$I327)/$I327,0)),IF($D$6="No",ROUNDUP($D$4/$G327,0),ROUNDUP(($D$4+$G327)/$G327,0)),ROUNDUP('BVMS checklist'!$H$217/$J327,0))&gt;1,'BVMS checklist'!$L$224,'BVMS checklist'!$L$217)</f>
        <v>0</v>
      </c>
      <c r="BD327" s="398">
        <f t="shared" ca="1" si="834"/>
        <v>2</v>
      </c>
      <c r="BE327" s="400">
        <f t="shared" si="835"/>
        <v>1</v>
      </c>
      <c r="BF327" s="400">
        <f t="shared" si="865"/>
        <v>1250</v>
      </c>
      <c r="BG327" s="400">
        <f t="shared" ca="1" si="846"/>
        <v>0</v>
      </c>
      <c r="BH327" s="398">
        <f t="shared" ca="1" si="866"/>
        <v>245784</v>
      </c>
      <c r="BI327" s="401" t="e">
        <f t="shared" ca="1" si="836"/>
        <v>#DIV/0!</v>
      </c>
      <c r="BJ327" s="398">
        <f t="shared" ca="1" si="867"/>
        <v>1600</v>
      </c>
      <c r="BK327" s="400">
        <f ca="1">IF(MAX(IF($D$6="No",ROUNDUP($D$3/$I327,0),ROUNDUP(($D$3+$I327)/$I327,0)),IF($D$6="No",ROUNDUP($D$4/$G327,0),ROUNDUP(($D$4+$G327)/$G327,0)),ROUNDUP('BVMS checklist'!$H$217/$J327,0))&gt;1,'BVMS checklist'!$L$224,'BVMS checklist'!$L$217)+MAX(IF($D$6="No",ROUNDUP($D$3/$I327,0),ROUNDUP(($D$3+$I327)/$I327,0)),IF($D$6="No",ROUNDUP($D$4/$G327,0),ROUNDUP(($D$4+$G327)/$G327,0)))+$D$5</f>
        <v>1</v>
      </c>
      <c r="BL327" s="400" t="b">
        <f t="shared" ca="1" si="820"/>
        <v>1</v>
      </c>
      <c r="BM327" s="400" t="str">
        <f t="shared" ca="1" si="868"/>
        <v>Accepted</v>
      </c>
      <c r="BN327" s="398" t="str">
        <f t="shared" ca="1" si="847"/>
        <v>Yes</v>
      </c>
      <c r="BO327" s="398">
        <f t="shared" ca="1" si="869"/>
        <v>23</v>
      </c>
      <c r="BP327" s="398" t="str">
        <f t="shared" ca="1" si="837"/>
        <v>E-Series Base Unit, 12 x 12 TB RAID5</v>
      </c>
      <c r="BQ327" s="398">
        <f t="shared" ca="1" si="838"/>
        <v>23</v>
      </c>
      <c r="BR327" s="398">
        <f t="shared" ca="1" si="870"/>
        <v>2</v>
      </c>
      <c r="BS327" s="398">
        <f t="shared" ca="1" si="871"/>
        <v>288</v>
      </c>
      <c r="BT327" s="398">
        <f t="shared" ca="1" si="872"/>
        <v>245784</v>
      </c>
      <c r="BU327" s="399">
        <f t="shared" si="890"/>
        <v>451</v>
      </c>
      <c r="BV327" s="399">
        <f t="shared" si="891"/>
        <v>4</v>
      </c>
      <c r="BW327" s="483" t="e">
        <f t="shared" ca="1" si="839"/>
        <v>#DIV/0!</v>
      </c>
      <c r="BX327" s="400">
        <f ca="1">IF(MAX(IF($E$6="No",ROUNDUP($E$3/$I327,0),ROUNDUP(($E$3+$I327)/$I327,0)),IF($E$6="No",ROUNDUP($E$4/$G327,0),ROUNDUP(($E$4+$G327)/$G327,0)),ROUNDUP('BVMS checklist'!$H$217/$J327,0))&gt;1,'BVMS checklist'!$N$224,'BVMS checklist'!$N$217)</f>
        <v>0</v>
      </c>
      <c r="BY327" s="398">
        <f t="shared" ca="1" si="840"/>
        <v>2</v>
      </c>
      <c r="BZ327" s="400">
        <f t="shared" ca="1" si="873"/>
        <v>2</v>
      </c>
      <c r="CA327" s="400">
        <f t="shared" ca="1" si="874"/>
        <v>2500</v>
      </c>
      <c r="CB327" s="400">
        <f t="shared" ca="1" si="848"/>
        <v>0</v>
      </c>
      <c r="CC327" s="398">
        <f t="shared" ca="1" si="875"/>
        <v>245784</v>
      </c>
      <c r="CD327" s="401" t="e">
        <f t="shared" ca="1" si="841"/>
        <v>#DIV/0!</v>
      </c>
      <c r="CE327" s="398">
        <f t="shared" ca="1" si="876"/>
        <v>1600</v>
      </c>
      <c r="CF327" s="400">
        <f ca="1">IF(MAX(IF($E$6="No",ROUNDUP($E$3/$I327,0),ROUNDUP(($E$3+$I327)/$I327,0)),IF($E$6="No",ROUNDUP($E$4/$G327,0),ROUNDUP(($E$4+$G327)/$G327,0)),ROUNDUP('BVMS checklist'!$H$217/$J327,0))&gt;1,'BVMS checklist'!$N$224,'BVMS checklist'!$N$217)+MAX(IF($E$6="No",ROUNDUP($E$3/$I327,0),ROUNDUP(($E$3+$I327)/$I327,0)),IF($E$6="No",ROUNDUP($E$4/$G327,0),ROUNDUP(($E$4+$G327)/$G327,0)))+$E$5</f>
        <v>1</v>
      </c>
      <c r="CG327" s="400" t="b">
        <f t="shared" ca="1" si="821"/>
        <v>1</v>
      </c>
      <c r="CH327" s="400" t="str">
        <f t="shared" ca="1" si="877"/>
        <v>Accepted</v>
      </c>
      <c r="CI327" s="398" t="str">
        <f t="shared" ca="1" si="849"/>
        <v>Yes</v>
      </c>
      <c r="CJ327" s="398">
        <f t="shared" ca="1" si="878"/>
        <v>23</v>
      </c>
      <c r="CK327" s="398" t="str">
        <f t="shared" ca="1" si="842"/>
        <v>E-Series Base Unit, 12 x 12 TB RAID5</v>
      </c>
      <c r="CL327" s="398">
        <f t="shared" ca="1" si="843"/>
        <v>23</v>
      </c>
      <c r="CM327" s="398">
        <f t="shared" ca="1" si="879"/>
        <v>2</v>
      </c>
      <c r="CN327" s="398">
        <f t="shared" ca="1" si="880"/>
        <v>288</v>
      </c>
      <c r="CO327" s="398">
        <f t="shared" ca="1" si="881"/>
        <v>245784</v>
      </c>
      <c r="CP327" s="399">
        <f t="shared" si="892"/>
        <v>451</v>
      </c>
      <c r="CQ327" s="399">
        <f t="shared" si="893"/>
        <v>4</v>
      </c>
      <c r="CR327" s="483" t="e">
        <f t="shared" ca="1" si="844"/>
        <v>#DIV/0!</v>
      </c>
      <c r="CS327"/>
    </row>
    <row r="328" spans="1:97">
      <c r="A328" s="398" t="s">
        <v>871</v>
      </c>
      <c r="B328" s="398" t="s">
        <v>988</v>
      </c>
      <c r="C328" s="440" t="s">
        <v>891</v>
      </c>
      <c r="D328" s="398">
        <v>1</v>
      </c>
      <c r="E328" s="398">
        <v>1</v>
      </c>
      <c r="F328" s="440">
        <v>0</v>
      </c>
      <c r="G328" s="398">
        <f t="shared" ref="G328:G334" si="896">IF(C328="RAID5",(11-F328)*11172,IF(C328="RAID6",(10-F328)*11172,IF(C328="DDP",(12*11172*0.7),"Error")))+IF(C328="RAID5",(11-F328)*11172,IF(C328="RAID6",(10-F328)*11172,IF(C328="DDP",(12*11172*0.7),"Error")))*E328</f>
        <v>245784</v>
      </c>
      <c r="H328" s="399">
        <f>$H$327+($H$327*E328)</f>
        <v>288</v>
      </c>
      <c r="I328" s="399">
        <v>1250</v>
      </c>
      <c r="J328" s="399">
        <v>800</v>
      </c>
      <c r="K328" s="399">
        <v>699</v>
      </c>
      <c r="L328" s="399">
        <v>4</v>
      </c>
      <c r="M328" s="400">
        <f ca="1">IF(MAX(IF($B$6="No",ROUNDUP($B$3/$I328,0),ROUNDUP(($B$3+$I328)/$I328,0)),IF($B$6="No",ROUNDUP($B$4/$G328,0),ROUNDUP(($B$4+$G328)/$G328,0)),ROUNDUP('BVMS checklist'!$H$217/$J328,0))&gt;1,'BVMS checklist'!$H$224,'BVMS checklist'!$H$217)</f>
        <v>0</v>
      </c>
      <c r="N328" s="398">
        <f t="shared" ca="1" si="822"/>
        <v>2</v>
      </c>
      <c r="O328" s="400">
        <f t="shared" ca="1" si="851"/>
        <v>2</v>
      </c>
      <c r="P328" s="400">
        <f t="shared" ca="1" si="813"/>
        <v>2500</v>
      </c>
      <c r="Q328" s="400">
        <f t="shared" ca="1" si="814"/>
        <v>0</v>
      </c>
      <c r="R328" s="398">
        <f t="shared" ca="1" si="815"/>
        <v>491568</v>
      </c>
      <c r="S328" s="401" t="e">
        <f t="shared" ca="1" si="823"/>
        <v>#DIV/0!</v>
      </c>
      <c r="T328" s="398">
        <f t="shared" ca="1" si="824"/>
        <v>1600</v>
      </c>
      <c r="U328" s="400">
        <f ca="1">IF(MAX(IF($B$6="No",ROUNDUP($B$3/$I328,0),ROUNDUP(($B$3+$I328)/$I328,0)),IF($B$6="No",ROUNDUP($B$4/$G328,0),ROUNDUP(($B$4+$G328)/$G328,0)),ROUNDUP('BVMS checklist'!$H$217/$J328,0))&gt;1,'BVMS checklist'!$H$224,'BVMS checklist'!$H$217)+MAX(IF($B$6="No",ROUNDUP($B$3/$I328,0),ROUNDUP(($B$3+$I328)/$I328,0)),IF($B$6="No",ROUNDUP($B$4/$G328,0),ROUNDUP(($B$4+$G328)/$G328,0)))+$B$5</f>
        <v>1</v>
      </c>
      <c r="V328" s="400" t="b">
        <f t="shared" ca="1" si="816"/>
        <v>1</v>
      </c>
      <c r="W328" s="400" t="str">
        <f t="shared" ca="1" si="852"/>
        <v>Accepted</v>
      </c>
      <c r="X328" s="398" t="str">
        <f t="shared" ca="1" si="825"/>
        <v>Yes</v>
      </c>
      <c r="Y328" s="398">
        <f t="shared" ca="1" si="826"/>
        <v>24</v>
      </c>
      <c r="Z328" s="398" t="str">
        <f t="shared" ca="1" si="827"/>
        <v>E-Series Base + 1x Expansion Unit, 24x12TB RAID5</v>
      </c>
      <c r="AA328" s="398">
        <f t="shared" ca="1" si="853"/>
        <v>24</v>
      </c>
      <c r="AB328" s="398">
        <f t="shared" ca="1" si="817"/>
        <v>2</v>
      </c>
      <c r="AC328" s="398">
        <f t="shared" ca="1" si="818"/>
        <v>576</v>
      </c>
      <c r="AD328" s="398">
        <f t="shared" ca="1" si="854"/>
        <v>491568</v>
      </c>
      <c r="AE328" s="399">
        <f t="shared" si="886"/>
        <v>699</v>
      </c>
      <c r="AF328" s="399">
        <f t="shared" si="887"/>
        <v>4</v>
      </c>
      <c r="AG328" s="483" t="e">
        <f t="shared" ca="1" si="828"/>
        <v>#DIV/0!</v>
      </c>
      <c r="AH328" s="400">
        <f ca="1">IF(MAX(IF($C$6="No",ROUNDUP($C$3/$I328,0),ROUNDUP(($C$3+$I328)/$I328,0)),IF($C$6="No",ROUNDUP($C$4/$G328,0),ROUNDUP(($C$4+$G328)/$G328,0)),ROUNDUP('BVMS checklist'!$H$217/$J328,0))&gt;1,'BVMS checklist'!$J$224,'BVMS checklist'!$J$217)</f>
        <v>0</v>
      </c>
      <c r="AI328" s="398">
        <f t="shared" ca="1" si="829"/>
        <v>2</v>
      </c>
      <c r="AJ328" s="400">
        <f t="shared" ca="1" si="855"/>
        <v>2</v>
      </c>
      <c r="AK328" s="400">
        <f t="shared" ca="1" si="856"/>
        <v>2500</v>
      </c>
      <c r="AL328" s="400">
        <f t="shared" ca="1" si="857"/>
        <v>0</v>
      </c>
      <c r="AM328" s="398">
        <f t="shared" ca="1" si="858"/>
        <v>491568</v>
      </c>
      <c r="AN328" s="401" t="e">
        <f t="shared" ca="1" si="830"/>
        <v>#DIV/0!</v>
      </c>
      <c r="AO328" s="398">
        <f t="shared" ca="1" si="859"/>
        <v>1600</v>
      </c>
      <c r="AP328" s="400">
        <f ca="1">IF(MAX(IF($C$6="No",ROUNDUP($C$3/$I328,0),ROUNDUP(($C$3+$I328)/$I328,0)),IF($C$6="No",ROUNDUP($C$4/$G328,0),ROUNDUP(($C$4+$G328)/$G328,0)),ROUNDUP('BVMS checklist'!$H$217/$J328,0))&gt;1,'BVMS checklist'!$J$224,'BVMS checklist'!$J$217)+MAX(IF($C$6="No",ROUNDUP($C$3/$I328,0),ROUNDUP(($C$3+$I328)/$I328,0)),IF($C$6="No",ROUNDUP($C$4/$G328,0),ROUNDUP(($C$4+$G328)/$G328,0)))+$C$5</f>
        <v>1</v>
      </c>
      <c r="AQ328" s="400" t="b">
        <f t="shared" ca="1" si="819"/>
        <v>1</v>
      </c>
      <c r="AR328" s="400" t="str">
        <f t="shared" ca="1" si="860"/>
        <v>Accepted</v>
      </c>
      <c r="AS328" s="398" t="str">
        <f t="shared" ca="1" si="845"/>
        <v>Yes</v>
      </c>
      <c r="AT328" s="398">
        <f t="shared" ca="1" si="861"/>
        <v>24</v>
      </c>
      <c r="AU328" s="398" t="str">
        <f t="shared" ca="1" si="831"/>
        <v>E-Series Base + 1x Expansion Unit, 24x12TB RAID5</v>
      </c>
      <c r="AV328" s="398">
        <f t="shared" ca="1" si="832"/>
        <v>24</v>
      </c>
      <c r="AW328" s="398">
        <f t="shared" ca="1" si="862"/>
        <v>2</v>
      </c>
      <c r="AX328" s="398">
        <f t="shared" ca="1" si="863"/>
        <v>576</v>
      </c>
      <c r="AY328" s="398">
        <f t="shared" ca="1" si="864"/>
        <v>491568</v>
      </c>
      <c r="AZ328" s="399">
        <f t="shared" si="888"/>
        <v>699</v>
      </c>
      <c r="BA328" s="399">
        <f t="shared" si="889"/>
        <v>4</v>
      </c>
      <c r="BB328" s="483" t="e">
        <f t="shared" ca="1" si="833"/>
        <v>#DIV/0!</v>
      </c>
      <c r="BC328" s="400">
        <f ca="1">IF(MAX(IF($D$6="No",ROUNDUP($D$3/$I328,0),ROUNDUP(($D$3+$I328)/$I328,0)),IF($D$6="No",ROUNDUP($D$4/$G328,0),ROUNDUP(($D$4+$G328)/$G328,0)),ROUNDUP('BVMS checklist'!$H$217/$J328,0))&gt;1,'BVMS checklist'!$L$224,'BVMS checklist'!$L$217)</f>
        <v>0</v>
      </c>
      <c r="BD328" s="398">
        <f t="shared" ca="1" si="834"/>
        <v>2</v>
      </c>
      <c r="BE328" s="400">
        <f t="shared" si="835"/>
        <v>1</v>
      </c>
      <c r="BF328" s="400">
        <f t="shared" si="865"/>
        <v>1250</v>
      </c>
      <c r="BG328" s="400">
        <f t="shared" ca="1" si="846"/>
        <v>0</v>
      </c>
      <c r="BH328" s="398">
        <f t="shared" ca="1" si="866"/>
        <v>491568</v>
      </c>
      <c r="BI328" s="401" t="e">
        <f t="shared" ca="1" si="836"/>
        <v>#DIV/0!</v>
      </c>
      <c r="BJ328" s="398">
        <f t="shared" ca="1" si="867"/>
        <v>1600</v>
      </c>
      <c r="BK328" s="400">
        <f ca="1">IF(MAX(IF($D$6="No",ROUNDUP($D$3/$I328,0),ROUNDUP(($D$3+$I328)/$I328,0)),IF($D$6="No",ROUNDUP($D$4/$G328,0),ROUNDUP(($D$4+$G328)/$G328,0)),ROUNDUP('BVMS checklist'!$H$217/$J328,0))&gt;1,'BVMS checklist'!$L$224,'BVMS checklist'!$L$217)+MAX(IF($D$6="No",ROUNDUP($D$3/$I328,0),ROUNDUP(($D$3+$I328)/$I328,0)),IF($D$6="No",ROUNDUP($D$4/$G328,0),ROUNDUP(($D$4+$G328)/$G328,0)))+$D$5</f>
        <v>1</v>
      </c>
      <c r="BL328" s="400" t="b">
        <f t="shared" ca="1" si="820"/>
        <v>1</v>
      </c>
      <c r="BM328" s="400" t="str">
        <f t="shared" ca="1" si="868"/>
        <v>Accepted</v>
      </c>
      <c r="BN328" s="398" t="str">
        <f t="shared" ca="1" si="847"/>
        <v>Yes</v>
      </c>
      <c r="BO328" s="398">
        <f t="shared" ca="1" si="869"/>
        <v>24</v>
      </c>
      <c r="BP328" s="398" t="str">
        <f t="shared" ca="1" si="837"/>
        <v>E-Series Base + 1x Expansion Unit, 24x12TB RAID5</v>
      </c>
      <c r="BQ328" s="398">
        <f t="shared" ca="1" si="838"/>
        <v>24</v>
      </c>
      <c r="BR328" s="398">
        <f t="shared" ca="1" si="870"/>
        <v>2</v>
      </c>
      <c r="BS328" s="398">
        <f t="shared" ca="1" si="871"/>
        <v>576</v>
      </c>
      <c r="BT328" s="398">
        <f t="shared" ca="1" si="872"/>
        <v>491568</v>
      </c>
      <c r="BU328" s="399">
        <f t="shared" si="890"/>
        <v>699</v>
      </c>
      <c r="BV328" s="399">
        <f t="shared" si="891"/>
        <v>4</v>
      </c>
      <c r="BW328" s="483" t="e">
        <f t="shared" ca="1" si="839"/>
        <v>#DIV/0!</v>
      </c>
      <c r="BX328" s="400">
        <f ca="1">IF(MAX(IF($E$6="No",ROUNDUP($E$3/$I328,0),ROUNDUP(($E$3+$I328)/$I328,0)),IF($E$6="No",ROUNDUP($E$4/$G328,0),ROUNDUP(($E$4+$G328)/$G328,0)),ROUNDUP('BVMS checklist'!$H$217/$J328,0))&gt;1,'BVMS checklist'!$N$224,'BVMS checklist'!$N$217)</f>
        <v>0</v>
      </c>
      <c r="BY328" s="398">
        <f t="shared" ca="1" si="840"/>
        <v>2</v>
      </c>
      <c r="BZ328" s="400">
        <f t="shared" ca="1" si="873"/>
        <v>2</v>
      </c>
      <c r="CA328" s="400">
        <f t="shared" ca="1" si="874"/>
        <v>2500</v>
      </c>
      <c r="CB328" s="400">
        <f t="shared" ca="1" si="848"/>
        <v>0</v>
      </c>
      <c r="CC328" s="398">
        <f t="shared" ca="1" si="875"/>
        <v>491568</v>
      </c>
      <c r="CD328" s="401" t="e">
        <f t="shared" ca="1" si="841"/>
        <v>#DIV/0!</v>
      </c>
      <c r="CE328" s="398">
        <f t="shared" ca="1" si="876"/>
        <v>1600</v>
      </c>
      <c r="CF328" s="400">
        <f ca="1">IF(MAX(IF($E$6="No",ROUNDUP($E$3/$I328,0),ROUNDUP(($E$3+$I328)/$I328,0)),IF($E$6="No",ROUNDUP($E$4/$G328,0),ROUNDUP(($E$4+$G328)/$G328,0)),ROUNDUP('BVMS checklist'!$H$217/$J328,0))&gt;1,'BVMS checklist'!$N$224,'BVMS checklist'!$N$217)+MAX(IF($E$6="No",ROUNDUP($E$3/$I328,0),ROUNDUP(($E$3+$I328)/$I328,0)),IF($E$6="No",ROUNDUP($E$4/$G328,0),ROUNDUP(($E$4+$G328)/$G328,0)))+$E$5</f>
        <v>1</v>
      </c>
      <c r="CG328" s="400" t="b">
        <f t="shared" ca="1" si="821"/>
        <v>1</v>
      </c>
      <c r="CH328" s="400" t="str">
        <f t="shared" ca="1" si="877"/>
        <v>Accepted</v>
      </c>
      <c r="CI328" s="398" t="str">
        <f t="shared" ca="1" si="849"/>
        <v>Yes</v>
      </c>
      <c r="CJ328" s="398">
        <f t="shared" ca="1" si="878"/>
        <v>24</v>
      </c>
      <c r="CK328" s="398" t="str">
        <f t="shared" ca="1" si="842"/>
        <v>E-Series Base + 1x Expansion Unit, 24x12TB RAID5</v>
      </c>
      <c r="CL328" s="398">
        <f t="shared" ca="1" si="843"/>
        <v>24</v>
      </c>
      <c r="CM328" s="398">
        <f t="shared" ca="1" si="879"/>
        <v>2</v>
      </c>
      <c r="CN328" s="398">
        <f t="shared" ca="1" si="880"/>
        <v>576</v>
      </c>
      <c r="CO328" s="398">
        <f t="shared" ca="1" si="881"/>
        <v>491568</v>
      </c>
      <c r="CP328" s="399">
        <f t="shared" si="892"/>
        <v>699</v>
      </c>
      <c r="CQ328" s="399">
        <f t="shared" si="893"/>
        <v>4</v>
      </c>
      <c r="CR328" s="483" t="e">
        <f t="shared" ca="1" si="844"/>
        <v>#DIV/0!</v>
      </c>
      <c r="CS328"/>
    </row>
    <row r="329" spans="1:97">
      <c r="A329" s="398" t="s">
        <v>872</v>
      </c>
      <c r="B329" s="398" t="s">
        <v>988</v>
      </c>
      <c r="C329" s="440" t="s">
        <v>891</v>
      </c>
      <c r="D329" s="398">
        <v>1</v>
      </c>
      <c r="E329" s="398">
        <v>2</v>
      </c>
      <c r="F329" s="440">
        <v>0</v>
      </c>
      <c r="G329" s="398">
        <f t="shared" si="896"/>
        <v>368676</v>
      </c>
      <c r="H329" s="399">
        <f t="shared" ref="H329:H334" si="897">$H$327+($H$327*E329)</f>
        <v>432</v>
      </c>
      <c r="I329" s="399">
        <v>1250</v>
      </c>
      <c r="J329" s="399">
        <v>800</v>
      </c>
      <c r="K329" s="399">
        <v>947</v>
      </c>
      <c r="L329" s="399">
        <v>4</v>
      </c>
      <c r="M329" s="400">
        <f ca="1">IF(MAX(IF($B$6="No",ROUNDUP($B$3/$I329,0),ROUNDUP(($B$3+$I329)/$I329,0)),IF($B$6="No",ROUNDUP($B$4/$G329,0),ROUNDUP(($B$4+$G329)/$G329,0)),ROUNDUP('BVMS checklist'!$H$217/$J329,0))&gt;1,'BVMS checklist'!$H$224,'BVMS checklist'!$H$217)</f>
        <v>0</v>
      </c>
      <c r="N329" s="398">
        <f t="shared" ca="1" si="822"/>
        <v>2</v>
      </c>
      <c r="O329" s="400">
        <f t="shared" ca="1" si="851"/>
        <v>2</v>
      </c>
      <c r="P329" s="400">
        <f t="shared" ca="1" si="813"/>
        <v>2500</v>
      </c>
      <c r="Q329" s="400">
        <f t="shared" ca="1" si="814"/>
        <v>0</v>
      </c>
      <c r="R329" s="398">
        <f t="shared" ca="1" si="815"/>
        <v>737352</v>
      </c>
      <c r="S329" s="401" t="e">
        <f t="shared" ca="1" si="823"/>
        <v>#DIV/0!</v>
      </c>
      <c r="T329" s="398">
        <f t="shared" ca="1" si="824"/>
        <v>1600</v>
      </c>
      <c r="U329" s="400">
        <f ca="1">IF(MAX(IF($B$6="No",ROUNDUP($B$3/$I329,0),ROUNDUP(($B$3+$I329)/$I329,0)),IF($B$6="No",ROUNDUP($B$4/$G329,0),ROUNDUP(($B$4+$G329)/$G329,0)),ROUNDUP('BVMS checklist'!$H$217/$J329,0))&gt;1,'BVMS checklist'!$H$224,'BVMS checklist'!$H$217)+MAX(IF($B$6="No",ROUNDUP($B$3/$I329,0),ROUNDUP(($B$3+$I329)/$I329,0)),IF($B$6="No",ROUNDUP($B$4/$G329,0),ROUNDUP(($B$4+$G329)/$G329,0)))+$B$5</f>
        <v>1</v>
      </c>
      <c r="V329" s="400" t="b">
        <f t="shared" ca="1" si="816"/>
        <v>1</v>
      </c>
      <c r="W329" s="400" t="str">
        <f t="shared" ca="1" si="852"/>
        <v>Accepted</v>
      </c>
      <c r="X329" s="398" t="str">
        <f t="shared" ca="1" si="825"/>
        <v>Yes</v>
      </c>
      <c r="Y329" s="398">
        <f t="shared" ca="1" si="826"/>
        <v>25</v>
      </c>
      <c r="Z329" s="398" t="str">
        <f t="shared" ca="1" si="827"/>
        <v>E-Series Base + 2x Expansion Unit, 36x12TB RAID5</v>
      </c>
      <c r="AA329" s="398">
        <f t="shared" ca="1" si="853"/>
        <v>25</v>
      </c>
      <c r="AB329" s="398">
        <f t="shared" ca="1" si="817"/>
        <v>2</v>
      </c>
      <c r="AC329" s="398">
        <f t="shared" ca="1" si="818"/>
        <v>864</v>
      </c>
      <c r="AD329" s="398">
        <f t="shared" ca="1" si="854"/>
        <v>737352</v>
      </c>
      <c r="AE329" s="399">
        <f t="shared" si="886"/>
        <v>947</v>
      </c>
      <c r="AF329" s="399">
        <f t="shared" si="887"/>
        <v>4</v>
      </c>
      <c r="AG329" s="483" t="e">
        <f t="shared" ca="1" si="828"/>
        <v>#DIV/0!</v>
      </c>
      <c r="AH329" s="400">
        <f ca="1">IF(MAX(IF($C$6="No",ROUNDUP($C$3/$I329,0),ROUNDUP(($C$3+$I329)/$I329,0)),IF($C$6="No",ROUNDUP($C$4/$G329,0),ROUNDUP(($C$4+$G329)/$G329,0)),ROUNDUP('BVMS checklist'!$H$217/$J329,0))&gt;1,'BVMS checklist'!$J$224,'BVMS checklist'!$J$217)</f>
        <v>0</v>
      </c>
      <c r="AI329" s="398">
        <f t="shared" ca="1" si="829"/>
        <v>2</v>
      </c>
      <c r="AJ329" s="400">
        <f t="shared" ca="1" si="855"/>
        <v>2</v>
      </c>
      <c r="AK329" s="400">
        <f t="shared" ca="1" si="856"/>
        <v>2500</v>
      </c>
      <c r="AL329" s="400">
        <f t="shared" ca="1" si="857"/>
        <v>0</v>
      </c>
      <c r="AM329" s="398">
        <f t="shared" ca="1" si="858"/>
        <v>737352</v>
      </c>
      <c r="AN329" s="401" t="e">
        <f t="shared" ca="1" si="830"/>
        <v>#DIV/0!</v>
      </c>
      <c r="AO329" s="398">
        <f t="shared" ca="1" si="859"/>
        <v>1600</v>
      </c>
      <c r="AP329" s="400">
        <f ca="1">IF(MAX(IF($C$6="No",ROUNDUP($C$3/$I329,0),ROUNDUP(($C$3+$I329)/$I329,0)),IF($C$6="No",ROUNDUP($C$4/$G329,0),ROUNDUP(($C$4+$G329)/$G329,0)),ROUNDUP('BVMS checklist'!$H$217/$J329,0))&gt;1,'BVMS checklist'!$J$224,'BVMS checklist'!$J$217)+MAX(IF($C$6="No",ROUNDUP($C$3/$I329,0),ROUNDUP(($C$3+$I329)/$I329,0)),IF($C$6="No",ROUNDUP($C$4/$G329,0),ROUNDUP(($C$4+$G329)/$G329,0)))+$C$5</f>
        <v>1</v>
      </c>
      <c r="AQ329" s="400" t="b">
        <f t="shared" ca="1" si="819"/>
        <v>1</v>
      </c>
      <c r="AR329" s="400" t="str">
        <f t="shared" ca="1" si="860"/>
        <v>Accepted</v>
      </c>
      <c r="AS329" s="398" t="str">
        <f t="shared" ca="1" si="845"/>
        <v>Yes</v>
      </c>
      <c r="AT329" s="398">
        <f t="shared" ca="1" si="861"/>
        <v>25</v>
      </c>
      <c r="AU329" s="398" t="str">
        <f t="shared" ca="1" si="831"/>
        <v>E-Series Base + 2x Expansion Unit, 36x12TB RAID5</v>
      </c>
      <c r="AV329" s="398">
        <f t="shared" ca="1" si="832"/>
        <v>25</v>
      </c>
      <c r="AW329" s="398">
        <f t="shared" ca="1" si="862"/>
        <v>2</v>
      </c>
      <c r="AX329" s="398">
        <f t="shared" ca="1" si="863"/>
        <v>864</v>
      </c>
      <c r="AY329" s="398">
        <f t="shared" ca="1" si="864"/>
        <v>737352</v>
      </c>
      <c r="AZ329" s="399">
        <f t="shared" si="888"/>
        <v>947</v>
      </c>
      <c r="BA329" s="399">
        <f t="shared" si="889"/>
        <v>4</v>
      </c>
      <c r="BB329" s="483" t="e">
        <f t="shared" ca="1" si="833"/>
        <v>#DIV/0!</v>
      </c>
      <c r="BC329" s="400">
        <f ca="1">IF(MAX(IF($D$6="No",ROUNDUP($D$3/$I329,0),ROUNDUP(($D$3+$I329)/$I329,0)),IF($D$6="No",ROUNDUP($D$4/$G329,0),ROUNDUP(($D$4+$G329)/$G329,0)),ROUNDUP('BVMS checklist'!$H$217/$J329,0))&gt;1,'BVMS checklist'!$L$224,'BVMS checklist'!$L$217)</f>
        <v>0</v>
      </c>
      <c r="BD329" s="398">
        <f t="shared" ca="1" si="834"/>
        <v>2</v>
      </c>
      <c r="BE329" s="400">
        <f t="shared" si="835"/>
        <v>1</v>
      </c>
      <c r="BF329" s="400">
        <f t="shared" si="865"/>
        <v>1250</v>
      </c>
      <c r="BG329" s="400">
        <f t="shared" ca="1" si="846"/>
        <v>0</v>
      </c>
      <c r="BH329" s="398">
        <f t="shared" ca="1" si="866"/>
        <v>737352</v>
      </c>
      <c r="BI329" s="401" t="e">
        <f t="shared" ca="1" si="836"/>
        <v>#DIV/0!</v>
      </c>
      <c r="BJ329" s="398">
        <f t="shared" ca="1" si="867"/>
        <v>1600</v>
      </c>
      <c r="BK329" s="400">
        <f ca="1">IF(MAX(IF($D$6="No",ROUNDUP($D$3/$I329,0),ROUNDUP(($D$3+$I329)/$I329,0)),IF($D$6="No",ROUNDUP($D$4/$G329,0),ROUNDUP(($D$4+$G329)/$G329,0)),ROUNDUP('BVMS checklist'!$H$217/$J329,0))&gt;1,'BVMS checklist'!$L$224,'BVMS checklist'!$L$217)+MAX(IF($D$6="No",ROUNDUP($D$3/$I329,0),ROUNDUP(($D$3+$I329)/$I329,0)),IF($D$6="No",ROUNDUP($D$4/$G329,0),ROUNDUP(($D$4+$G329)/$G329,0)))+$D$5</f>
        <v>1</v>
      </c>
      <c r="BL329" s="400" t="b">
        <f t="shared" ca="1" si="820"/>
        <v>1</v>
      </c>
      <c r="BM329" s="400" t="str">
        <f t="shared" ca="1" si="868"/>
        <v>Accepted</v>
      </c>
      <c r="BN329" s="398" t="str">
        <f t="shared" ca="1" si="847"/>
        <v>Yes</v>
      </c>
      <c r="BO329" s="398">
        <f t="shared" ca="1" si="869"/>
        <v>25</v>
      </c>
      <c r="BP329" s="398" t="str">
        <f t="shared" ca="1" si="837"/>
        <v>E-Series Base + 2x Expansion Unit, 36x12TB RAID5</v>
      </c>
      <c r="BQ329" s="398">
        <f t="shared" ca="1" si="838"/>
        <v>25</v>
      </c>
      <c r="BR329" s="398">
        <f t="shared" ca="1" si="870"/>
        <v>2</v>
      </c>
      <c r="BS329" s="398">
        <f t="shared" ca="1" si="871"/>
        <v>864</v>
      </c>
      <c r="BT329" s="398">
        <f t="shared" ca="1" si="872"/>
        <v>737352</v>
      </c>
      <c r="BU329" s="399">
        <f t="shared" si="890"/>
        <v>947</v>
      </c>
      <c r="BV329" s="399">
        <f t="shared" si="891"/>
        <v>4</v>
      </c>
      <c r="BW329" s="483" t="e">
        <f t="shared" ca="1" si="839"/>
        <v>#DIV/0!</v>
      </c>
      <c r="BX329" s="400">
        <f ca="1">IF(MAX(IF($E$6="No",ROUNDUP($E$3/$I329,0),ROUNDUP(($E$3+$I329)/$I329,0)),IF($E$6="No",ROUNDUP($E$4/$G329,0),ROUNDUP(($E$4+$G329)/$G329,0)),ROUNDUP('BVMS checklist'!$H$217/$J329,0))&gt;1,'BVMS checklist'!$N$224,'BVMS checklist'!$N$217)</f>
        <v>0</v>
      </c>
      <c r="BY329" s="398">
        <f t="shared" ca="1" si="840"/>
        <v>2</v>
      </c>
      <c r="BZ329" s="400">
        <f t="shared" ca="1" si="873"/>
        <v>2</v>
      </c>
      <c r="CA329" s="400">
        <f t="shared" ca="1" si="874"/>
        <v>2500</v>
      </c>
      <c r="CB329" s="400">
        <f t="shared" ca="1" si="848"/>
        <v>0</v>
      </c>
      <c r="CC329" s="398">
        <f t="shared" ca="1" si="875"/>
        <v>737352</v>
      </c>
      <c r="CD329" s="401" t="e">
        <f t="shared" ca="1" si="841"/>
        <v>#DIV/0!</v>
      </c>
      <c r="CE329" s="398">
        <f t="shared" ca="1" si="876"/>
        <v>1600</v>
      </c>
      <c r="CF329" s="400">
        <f ca="1">IF(MAX(IF($E$6="No",ROUNDUP($E$3/$I329,0),ROUNDUP(($E$3+$I329)/$I329,0)),IF($E$6="No",ROUNDUP($E$4/$G329,0),ROUNDUP(($E$4+$G329)/$G329,0)),ROUNDUP('BVMS checklist'!$H$217/$J329,0))&gt;1,'BVMS checklist'!$N$224,'BVMS checklist'!$N$217)+MAX(IF($E$6="No",ROUNDUP($E$3/$I329,0),ROUNDUP(($E$3+$I329)/$I329,0)),IF($E$6="No",ROUNDUP($E$4/$G329,0),ROUNDUP(($E$4+$G329)/$G329,0)))+$E$5</f>
        <v>1</v>
      </c>
      <c r="CG329" s="400" t="b">
        <f t="shared" ca="1" si="821"/>
        <v>1</v>
      </c>
      <c r="CH329" s="400" t="str">
        <f t="shared" ca="1" si="877"/>
        <v>Accepted</v>
      </c>
      <c r="CI329" s="398" t="str">
        <f t="shared" ca="1" si="849"/>
        <v>Yes</v>
      </c>
      <c r="CJ329" s="398">
        <f t="shared" ca="1" si="878"/>
        <v>25</v>
      </c>
      <c r="CK329" s="398" t="str">
        <f t="shared" ca="1" si="842"/>
        <v>E-Series Base + 2x Expansion Unit, 36x12TB RAID5</v>
      </c>
      <c r="CL329" s="398">
        <f t="shared" ca="1" si="843"/>
        <v>25</v>
      </c>
      <c r="CM329" s="398">
        <f t="shared" ca="1" si="879"/>
        <v>2</v>
      </c>
      <c r="CN329" s="398">
        <f t="shared" ca="1" si="880"/>
        <v>864</v>
      </c>
      <c r="CO329" s="398">
        <f t="shared" ca="1" si="881"/>
        <v>737352</v>
      </c>
      <c r="CP329" s="399">
        <f t="shared" si="892"/>
        <v>947</v>
      </c>
      <c r="CQ329" s="399">
        <f t="shared" si="893"/>
        <v>4</v>
      </c>
      <c r="CR329" s="483" t="e">
        <f t="shared" ca="1" si="844"/>
        <v>#DIV/0!</v>
      </c>
      <c r="CS329"/>
    </row>
    <row r="330" spans="1:97">
      <c r="A330" s="398" t="s">
        <v>873</v>
      </c>
      <c r="B330" s="398" t="s">
        <v>988</v>
      </c>
      <c r="C330" s="440" t="s">
        <v>891</v>
      </c>
      <c r="D330" s="398">
        <v>1</v>
      </c>
      <c r="E330" s="398">
        <v>3</v>
      </c>
      <c r="F330" s="440">
        <v>0</v>
      </c>
      <c r="G330" s="398">
        <f t="shared" si="896"/>
        <v>491568</v>
      </c>
      <c r="H330" s="399">
        <f t="shared" si="897"/>
        <v>576</v>
      </c>
      <c r="I330" s="399">
        <v>1250</v>
      </c>
      <c r="J330" s="399">
        <v>800</v>
      </c>
      <c r="K330" s="399">
        <v>1195</v>
      </c>
      <c r="L330" s="399">
        <v>4</v>
      </c>
      <c r="M330" s="400">
        <f ca="1">IF(MAX(IF($B$6="No",ROUNDUP($B$3/$I330,0),ROUNDUP(($B$3+$I330)/$I330,0)),IF($B$6="No",ROUNDUP($B$4/$G330,0),ROUNDUP(($B$4+$G330)/$G330,0)),ROUNDUP('BVMS checklist'!$H$217/$J330,0))&gt;1,'BVMS checklist'!$H$224,'BVMS checklist'!$H$217)</f>
        <v>0</v>
      </c>
      <c r="N330" s="398">
        <f t="shared" ca="1" si="822"/>
        <v>2</v>
      </c>
      <c r="O330" s="400">
        <f t="shared" ca="1" si="851"/>
        <v>2</v>
      </c>
      <c r="P330" s="400">
        <f t="shared" ca="1" si="813"/>
        <v>2500</v>
      </c>
      <c r="Q330" s="400">
        <f t="shared" ca="1" si="814"/>
        <v>0</v>
      </c>
      <c r="R330" s="398">
        <f t="shared" ca="1" si="815"/>
        <v>983136</v>
      </c>
      <c r="S330" s="401" t="e">
        <f t="shared" ca="1" si="823"/>
        <v>#DIV/0!</v>
      </c>
      <c r="T330" s="398">
        <f t="shared" ca="1" si="824"/>
        <v>1600</v>
      </c>
      <c r="U330" s="400">
        <f ca="1">IF(MAX(IF($B$6="No",ROUNDUP($B$3/$I330,0),ROUNDUP(($B$3+$I330)/$I330,0)),IF($B$6="No",ROUNDUP($B$4/$G330,0),ROUNDUP(($B$4+$G330)/$G330,0)),ROUNDUP('BVMS checklist'!$H$217/$J330,0))&gt;1,'BVMS checklist'!$H$224,'BVMS checklist'!$H$217)+MAX(IF($B$6="No",ROUNDUP($B$3/$I330,0),ROUNDUP(($B$3+$I330)/$I330,0)),IF($B$6="No",ROUNDUP($B$4/$G330,0),ROUNDUP(($B$4+$G330)/$G330,0)))+$B$5</f>
        <v>1</v>
      </c>
      <c r="V330" s="400" t="b">
        <f t="shared" ca="1" si="816"/>
        <v>1</v>
      </c>
      <c r="W330" s="400" t="str">
        <f t="shared" ca="1" si="852"/>
        <v>Accepted</v>
      </c>
      <c r="X330" s="398" t="str">
        <f t="shared" ca="1" si="825"/>
        <v>Yes</v>
      </c>
      <c r="Y330" s="398">
        <f t="shared" ca="1" si="826"/>
        <v>26</v>
      </c>
      <c r="Z330" s="398" t="str">
        <f t="shared" ca="1" si="827"/>
        <v>E-Series Base + 3x Expansion Unit, 48x12TB RAID5</v>
      </c>
      <c r="AA330" s="398">
        <f t="shared" ca="1" si="853"/>
        <v>26</v>
      </c>
      <c r="AB330" s="398">
        <f t="shared" ca="1" si="817"/>
        <v>2</v>
      </c>
      <c r="AC330" s="398">
        <f t="shared" ca="1" si="818"/>
        <v>1152</v>
      </c>
      <c r="AD330" s="398">
        <f t="shared" ca="1" si="854"/>
        <v>983136</v>
      </c>
      <c r="AE330" s="399">
        <f t="shared" si="886"/>
        <v>1195</v>
      </c>
      <c r="AF330" s="399">
        <f t="shared" si="887"/>
        <v>4</v>
      </c>
      <c r="AG330" s="483" t="e">
        <f t="shared" ca="1" si="828"/>
        <v>#DIV/0!</v>
      </c>
      <c r="AH330" s="400">
        <f ca="1">IF(MAX(IF($C$6="No",ROUNDUP($C$3/$I330,0),ROUNDUP(($C$3+$I330)/$I330,0)),IF($C$6="No",ROUNDUP($C$4/$G330,0),ROUNDUP(($C$4+$G330)/$G330,0)),ROUNDUP('BVMS checklist'!$H$217/$J330,0))&gt;1,'BVMS checklist'!$J$224,'BVMS checklist'!$J$217)</f>
        <v>0</v>
      </c>
      <c r="AI330" s="398">
        <f t="shared" ca="1" si="829"/>
        <v>2</v>
      </c>
      <c r="AJ330" s="400">
        <f t="shared" ca="1" si="855"/>
        <v>2</v>
      </c>
      <c r="AK330" s="400">
        <f t="shared" ca="1" si="856"/>
        <v>2500</v>
      </c>
      <c r="AL330" s="400">
        <f t="shared" ca="1" si="857"/>
        <v>0</v>
      </c>
      <c r="AM330" s="398">
        <f t="shared" ca="1" si="858"/>
        <v>983136</v>
      </c>
      <c r="AN330" s="401" t="e">
        <f t="shared" ca="1" si="830"/>
        <v>#DIV/0!</v>
      </c>
      <c r="AO330" s="398">
        <f t="shared" ca="1" si="859"/>
        <v>1600</v>
      </c>
      <c r="AP330" s="400">
        <f ca="1">IF(MAX(IF($C$6="No",ROUNDUP($C$3/$I330,0),ROUNDUP(($C$3+$I330)/$I330,0)),IF($C$6="No",ROUNDUP($C$4/$G330,0),ROUNDUP(($C$4+$G330)/$G330,0)),ROUNDUP('BVMS checklist'!$H$217/$J330,0))&gt;1,'BVMS checklist'!$J$224,'BVMS checklist'!$J$217)+MAX(IF($C$6="No",ROUNDUP($C$3/$I330,0),ROUNDUP(($C$3+$I330)/$I330,0)),IF($C$6="No",ROUNDUP($C$4/$G330,0),ROUNDUP(($C$4+$G330)/$G330,0)))+$C$5</f>
        <v>1</v>
      </c>
      <c r="AQ330" s="400" t="b">
        <f t="shared" ca="1" si="819"/>
        <v>1</v>
      </c>
      <c r="AR330" s="400" t="str">
        <f t="shared" ca="1" si="860"/>
        <v>Accepted</v>
      </c>
      <c r="AS330" s="398" t="str">
        <f t="shared" ca="1" si="845"/>
        <v>Yes</v>
      </c>
      <c r="AT330" s="398">
        <f t="shared" ca="1" si="861"/>
        <v>26</v>
      </c>
      <c r="AU330" s="398" t="str">
        <f t="shared" ca="1" si="831"/>
        <v>E-Series Base + 3x Expansion Unit, 48x12TB RAID5</v>
      </c>
      <c r="AV330" s="398">
        <f t="shared" ca="1" si="832"/>
        <v>26</v>
      </c>
      <c r="AW330" s="398">
        <f t="shared" ca="1" si="862"/>
        <v>2</v>
      </c>
      <c r="AX330" s="398">
        <f t="shared" ca="1" si="863"/>
        <v>1152</v>
      </c>
      <c r="AY330" s="398">
        <f t="shared" ca="1" si="864"/>
        <v>983136</v>
      </c>
      <c r="AZ330" s="399">
        <f t="shared" si="888"/>
        <v>1195</v>
      </c>
      <c r="BA330" s="399">
        <f t="shared" si="889"/>
        <v>4</v>
      </c>
      <c r="BB330" s="483" t="e">
        <f t="shared" ca="1" si="833"/>
        <v>#DIV/0!</v>
      </c>
      <c r="BC330" s="400">
        <f ca="1">IF(MAX(IF($D$6="No",ROUNDUP($D$3/$I330,0),ROUNDUP(($D$3+$I330)/$I330,0)),IF($D$6="No",ROUNDUP($D$4/$G330,0),ROUNDUP(($D$4+$G330)/$G330,0)),ROUNDUP('BVMS checklist'!$H$217/$J330,0))&gt;1,'BVMS checklist'!$L$224,'BVMS checklist'!$L$217)</f>
        <v>0</v>
      </c>
      <c r="BD330" s="398">
        <f t="shared" ca="1" si="834"/>
        <v>2</v>
      </c>
      <c r="BE330" s="400">
        <f t="shared" si="835"/>
        <v>1</v>
      </c>
      <c r="BF330" s="400">
        <f t="shared" si="865"/>
        <v>1250</v>
      </c>
      <c r="BG330" s="400">
        <f t="shared" ca="1" si="846"/>
        <v>0</v>
      </c>
      <c r="BH330" s="398">
        <f t="shared" ca="1" si="866"/>
        <v>983136</v>
      </c>
      <c r="BI330" s="401" t="e">
        <f t="shared" ca="1" si="836"/>
        <v>#DIV/0!</v>
      </c>
      <c r="BJ330" s="398">
        <f t="shared" ca="1" si="867"/>
        <v>1600</v>
      </c>
      <c r="BK330" s="400">
        <f ca="1">IF(MAX(IF($D$6="No",ROUNDUP($D$3/$I330,0),ROUNDUP(($D$3+$I330)/$I330,0)),IF($D$6="No",ROUNDUP($D$4/$G330,0),ROUNDUP(($D$4+$G330)/$G330,0)),ROUNDUP('BVMS checklist'!$H$217/$J330,0))&gt;1,'BVMS checklist'!$L$224,'BVMS checklist'!$L$217)+MAX(IF($D$6="No",ROUNDUP($D$3/$I330,0),ROUNDUP(($D$3+$I330)/$I330,0)),IF($D$6="No",ROUNDUP($D$4/$G330,0),ROUNDUP(($D$4+$G330)/$G330,0)))+$D$5</f>
        <v>1</v>
      </c>
      <c r="BL330" s="400" t="b">
        <f t="shared" ca="1" si="820"/>
        <v>1</v>
      </c>
      <c r="BM330" s="400" t="str">
        <f t="shared" ca="1" si="868"/>
        <v>Accepted</v>
      </c>
      <c r="BN330" s="398" t="str">
        <f t="shared" ca="1" si="847"/>
        <v>Yes</v>
      </c>
      <c r="BO330" s="398">
        <f t="shared" ca="1" si="869"/>
        <v>26</v>
      </c>
      <c r="BP330" s="398" t="str">
        <f t="shared" ca="1" si="837"/>
        <v>E-Series Base + 3x Expansion Unit, 48x12TB RAID5</v>
      </c>
      <c r="BQ330" s="398">
        <f t="shared" ca="1" si="838"/>
        <v>26</v>
      </c>
      <c r="BR330" s="398">
        <f t="shared" ca="1" si="870"/>
        <v>2</v>
      </c>
      <c r="BS330" s="398">
        <f t="shared" ca="1" si="871"/>
        <v>1152</v>
      </c>
      <c r="BT330" s="398">
        <f t="shared" ca="1" si="872"/>
        <v>983136</v>
      </c>
      <c r="BU330" s="399">
        <f t="shared" si="890"/>
        <v>1195</v>
      </c>
      <c r="BV330" s="399">
        <f t="shared" si="891"/>
        <v>4</v>
      </c>
      <c r="BW330" s="483" t="e">
        <f t="shared" ca="1" si="839"/>
        <v>#DIV/0!</v>
      </c>
      <c r="BX330" s="400">
        <f ca="1">IF(MAX(IF($E$6="No",ROUNDUP($E$3/$I330,0),ROUNDUP(($E$3+$I330)/$I330,0)),IF($E$6="No",ROUNDUP($E$4/$G330,0),ROUNDUP(($E$4+$G330)/$G330,0)),ROUNDUP('BVMS checklist'!$H$217/$J330,0))&gt;1,'BVMS checklist'!$N$224,'BVMS checklist'!$N$217)</f>
        <v>0</v>
      </c>
      <c r="BY330" s="398">
        <f t="shared" ca="1" si="840"/>
        <v>2</v>
      </c>
      <c r="BZ330" s="400">
        <f t="shared" ca="1" si="873"/>
        <v>2</v>
      </c>
      <c r="CA330" s="400">
        <f t="shared" ca="1" si="874"/>
        <v>2500</v>
      </c>
      <c r="CB330" s="400">
        <f t="shared" ca="1" si="848"/>
        <v>0</v>
      </c>
      <c r="CC330" s="398">
        <f t="shared" ca="1" si="875"/>
        <v>983136</v>
      </c>
      <c r="CD330" s="401" t="e">
        <f t="shared" ca="1" si="841"/>
        <v>#DIV/0!</v>
      </c>
      <c r="CE330" s="398">
        <f t="shared" ca="1" si="876"/>
        <v>1600</v>
      </c>
      <c r="CF330" s="400">
        <f ca="1">IF(MAX(IF($E$6="No",ROUNDUP($E$3/$I330,0),ROUNDUP(($E$3+$I330)/$I330,0)),IF($E$6="No",ROUNDUP($E$4/$G330,0),ROUNDUP(($E$4+$G330)/$G330,0)),ROUNDUP('BVMS checklist'!$H$217/$J330,0))&gt;1,'BVMS checklist'!$N$224,'BVMS checklist'!$N$217)+MAX(IF($E$6="No",ROUNDUP($E$3/$I330,0),ROUNDUP(($E$3+$I330)/$I330,0)),IF($E$6="No",ROUNDUP($E$4/$G330,0),ROUNDUP(($E$4+$G330)/$G330,0)))+$E$5</f>
        <v>1</v>
      </c>
      <c r="CG330" s="400" t="b">
        <f t="shared" ca="1" si="821"/>
        <v>1</v>
      </c>
      <c r="CH330" s="400" t="str">
        <f t="shared" ca="1" si="877"/>
        <v>Accepted</v>
      </c>
      <c r="CI330" s="398" t="str">
        <f t="shared" ca="1" si="849"/>
        <v>Yes</v>
      </c>
      <c r="CJ330" s="398">
        <f t="shared" ca="1" si="878"/>
        <v>26</v>
      </c>
      <c r="CK330" s="398" t="str">
        <f t="shared" ca="1" si="842"/>
        <v>E-Series Base + 3x Expansion Unit, 48x12TB RAID5</v>
      </c>
      <c r="CL330" s="398">
        <f t="shared" ca="1" si="843"/>
        <v>26</v>
      </c>
      <c r="CM330" s="398">
        <f t="shared" ca="1" si="879"/>
        <v>2</v>
      </c>
      <c r="CN330" s="398">
        <f t="shared" ca="1" si="880"/>
        <v>1152</v>
      </c>
      <c r="CO330" s="398">
        <f t="shared" ca="1" si="881"/>
        <v>983136</v>
      </c>
      <c r="CP330" s="399">
        <f t="shared" si="892"/>
        <v>1195</v>
      </c>
      <c r="CQ330" s="399">
        <f t="shared" si="893"/>
        <v>4</v>
      </c>
      <c r="CR330" s="483" t="e">
        <f t="shared" ca="1" si="844"/>
        <v>#DIV/0!</v>
      </c>
      <c r="CS330"/>
    </row>
    <row r="331" spans="1:97">
      <c r="A331" s="398" t="s">
        <v>874</v>
      </c>
      <c r="B331" s="398" t="s">
        <v>988</v>
      </c>
      <c r="C331" s="440" t="s">
        <v>891</v>
      </c>
      <c r="D331" s="398">
        <v>1</v>
      </c>
      <c r="E331" s="398">
        <v>4</v>
      </c>
      <c r="F331" s="440">
        <v>0</v>
      </c>
      <c r="G331" s="398">
        <f t="shared" si="896"/>
        <v>614460</v>
      </c>
      <c r="H331" s="399">
        <f t="shared" si="897"/>
        <v>720</v>
      </c>
      <c r="I331" s="399">
        <v>1250</v>
      </c>
      <c r="J331" s="399">
        <v>800</v>
      </c>
      <c r="K331" s="399">
        <v>1443</v>
      </c>
      <c r="L331" s="399">
        <v>4</v>
      </c>
      <c r="M331" s="400">
        <f ca="1">IF(MAX(IF($B$6="No",ROUNDUP($B$3/$I331,0),ROUNDUP(($B$3+$I331)/$I331,0)),IF($B$6="No",ROUNDUP($B$4/$G331,0),ROUNDUP(($B$4+$G331)/$G331,0)),ROUNDUP('BVMS checklist'!$H$217/$J331,0))&gt;1,'BVMS checklist'!$H$224,'BVMS checklist'!$H$217)</f>
        <v>0</v>
      </c>
      <c r="N331" s="398">
        <f t="shared" ca="1" si="822"/>
        <v>2</v>
      </c>
      <c r="O331" s="400">
        <f t="shared" ca="1" si="851"/>
        <v>2</v>
      </c>
      <c r="P331" s="400">
        <f t="shared" ca="1" si="813"/>
        <v>2500</v>
      </c>
      <c r="Q331" s="400">
        <f t="shared" ca="1" si="814"/>
        <v>0</v>
      </c>
      <c r="R331" s="398">
        <f t="shared" ca="1" si="815"/>
        <v>1228920</v>
      </c>
      <c r="S331" s="401" t="e">
        <f t="shared" ca="1" si="823"/>
        <v>#DIV/0!</v>
      </c>
      <c r="T331" s="398">
        <f t="shared" ca="1" si="824"/>
        <v>1600</v>
      </c>
      <c r="U331" s="400">
        <f ca="1">IF(MAX(IF($B$6="No",ROUNDUP($B$3/$I331,0),ROUNDUP(($B$3+$I331)/$I331,0)),IF($B$6="No",ROUNDUP($B$4/$G331,0),ROUNDUP(($B$4+$G331)/$G331,0)),ROUNDUP('BVMS checklist'!$H$217/$J331,0))&gt;1,'BVMS checklist'!$H$224,'BVMS checklist'!$H$217)+MAX(IF($B$6="No",ROUNDUP($B$3/$I331,0),ROUNDUP(($B$3+$I331)/$I331,0)),IF($B$6="No",ROUNDUP($B$4/$G331,0),ROUNDUP(($B$4+$G331)/$G331,0)))+$B$5</f>
        <v>1</v>
      </c>
      <c r="V331" s="400" t="b">
        <f t="shared" ca="1" si="816"/>
        <v>1</v>
      </c>
      <c r="W331" s="400" t="str">
        <f t="shared" ca="1" si="852"/>
        <v>Accepted</v>
      </c>
      <c r="X331" s="398" t="str">
        <f t="shared" ca="1" si="825"/>
        <v>Yes</v>
      </c>
      <c r="Y331" s="398">
        <f t="shared" ca="1" si="826"/>
        <v>27</v>
      </c>
      <c r="Z331" s="398" t="str">
        <f t="shared" ca="1" si="827"/>
        <v>E-Series Base + 4x Expansion Unit, 60x12TB RAID5</v>
      </c>
      <c r="AA331" s="398">
        <f t="shared" ca="1" si="853"/>
        <v>27</v>
      </c>
      <c r="AB331" s="398">
        <f t="shared" ca="1" si="817"/>
        <v>2</v>
      </c>
      <c r="AC331" s="398">
        <f t="shared" ca="1" si="818"/>
        <v>1440</v>
      </c>
      <c r="AD331" s="398">
        <f t="shared" ca="1" si="854"/>
        <v>1228920</v>
      </c>
      <c r="AE331" s="399">
        <f t="shared" si="886"/>
        <v>1443</v>
      </c>
      <c r="AF331" s="399">
        <f t="shared" si="887"/>
        <v>4</v>
      </c>
      <c r="AG331" s="483" t="e">
        <f t="shared" ca="1" si="828"/>
        <v>#DIV/0!</v>
      </c>
      <c r="AH331" s="400">
        <f ca="1">IF(MAX(IF($C$6="No",ROUNDUP($C$3/$I331,0),ROUNDUP(($C$3+$I331)/$I331,0)),IF($C$6="No",ROUNDUP($C$4/$G331,0),ROUNDUP(($C$4+$G331)/$G331,0)),ROUNDUP('BVMS checklist'!$H$217/$J331,0))&gt;1,'BVMS checklist'!$J$224,'BVMS checklist'!$J$217)</f>
        <v>0</v>
      </c>
      <c r="AI331" s="398">
        <f t="shared" ca="1" si="829"/>
        <v>2</v>
      </c>
      <c r="AJ331" s="400">
        <f t="shared" ca="1" si="855"/>
        <v>2</v>
      </c>
      <c r="AK331" s="400">
        <f t="shared" ca="1" si="856"/>
        <v>2500</v>
      </c>
      <c r="AL331" s="400">
        <f t="shared" ca="1" si="857"/>
        <v>0</v>
      </c>
      <c r="AM331" s="398">
        <f t="shared" ca="1" si="858"/>
        <v>1228920</v>
      </c>
      <c r="AN331" s="401" t="e">
        <f t="shared" ca="1" si="830"/>
        <v>#DIV/0!</v>
      </c>
      <c r="AO331" s="398">
        <f t="shared" ca="1" si="859"/>
        <v>1600</v>
      </c>
      <c r="AP331" s="400">
        <f ca="1">IF(MAX(IF($C$6="No",ROUNDUP($C$3/$I331,0),ROUNDUP(($C$3+$I331)/$I331,0)),IF($C$6="No",ROUNDUP($C$4/$G331,0),ROUNDUP(($C$4+$G331)/$G331,0)),ROUNDUP('BVMS checklist'!$H$217/$J331,0))&gt;1,'BVMS checklist'!$J$224,'BVMS checklist'!$J$217)+MAX(IF($C$6="No",ROUNDUP($C$3/$I331,0),ROUNDUP(($C$3+$I331)/$I331,0)),IF($C$6="No",ROUNDUP($C$4/$G331,0),ROUNDUP(($C$4+$G331)/$G331,0)))+$C$5</f>
        <v>1</v>
      </c>
      <c r="AQ331" s="400" t="b">
        <f t="shared" ca="1" si="819"/>
        <v>1</v>
      </c>
      <c r="AR331" s="400" t="str">
        <f t="shared" ca="1" si="860"/>
        <v>Accepted</v>
      </c>
      <c r="AS331" s="398" t="str">
        <f t="shared" ca="1" si="845"/>
        <v>Yes</v>
      </c>
      <c r="AT331" s="398">
        <f t="shared" ca="1" si="861"/>
        <v>27</v>
      </c>
      <c r="AU331" s="398" t="str">
        <f t="shared" ca="1" si="831"/>
        <v>E-Series Base + 4x Expansion Unit, 60x12TB RAID5</v>
      </c>
      <c r="AV331" s="398">
        <f t="shared" ca="1" si="832"/>
        <v>27</v>
      </c>
      <c r="AW331" s="398">
        <f t="shared" ca="1" si="862"/>
        <v>2</v>
      </c>
      <c r="AX331" s="398">
        <f t="shared" ca="1" si="863"/>
        <v>1440</v>
      </c>
      <c r="AY331" s="398">
        <f t="shared" ca="1" si="864"/>
        <v>1228920</v>
      </c>
      <c r="AZ331" s="399">
        <f t="shared" si="888"/>
        <v>1443</v>
      </c>
      <c r="BA331" s="399">
        <f t="shared" si="889"/>
        <v>4</v>
      </c>
      <c r="BB331" s="483" t="e">
        <f t="shared" ca="1" si="833"/>
        <v>#DIV/0!</v>
      </c>
      <c r="BC331" s="400">
        <f ca="1">IF(MAX(IF($D$6="No",ROUNDUP($D$3/$I331,0),ROUNDUP(($D$3+$I331)/$I331,0)),IF($D$6="No",ROUNDUP($D$4/$G331,0),ROUNDUP(($D$4+$G331)/$G331,0)),ROUNDUP('BVMS checklist'!$H$217/$J331,0))&gt;1,'BVMS checklist'!$L$224,'BVMS checklist'!$L$217)</f>
        <v>0</v>
      </c>
      <c r="BD331" s="398">
        <f t="shared" ca="1" si="834"/>
        <v>2</v>
      </c>
      <c r="BE331" s="400">
        <f t="shared" si="835"/>
        <v>1</v>
      </c>
      <c r="BF331" s="400">
        <f t="shared" si="865"/>
        <v>1250</v>
      </c>
      <c r="BG331" s="400">
        <f t="shared" ca="1" si="846"/>
        <v>0</v>
      </c>
      <c r="BH331" s="398">
        <f t="shared" ca="1" si="866"/>
        <v>1228920</v>
      </c>
      <c r="BI331" s="401" t="e">
        <f t="shared" ca="1" si="836"/>
        <v>#DIV/0!</v>
      </c>
      <c r="BJ331" s="398">
        <f t="shared" ca="1" si="867"/>
        <v>1600</v>
      </c>
      <c r="BK331" s="400">
        <f ca="1">IF(MAX(IF($D$6="No",ROUNDUP($D$3/$I331,0),ROUNDUP(($D$3+$I331)/$I331,0)),IF($D$6="No",ROUNDUP($D$4/$G331,0),ROUNDUP(($D$4+$G331)/$G331,0)),ROUNDUP('BVMS checklist'!$H$217/$J331,0))&gt;1,'BVMS checklist'!$L$224,'BVMS checklist'!$L$217)+MAX(IF($D$6="No",ROUNDUP($D$3/$I331,0),ROUNDUP(($D$3+$I331)/$I331,0)),IF($D$6="No",ROUNDUP($D$4/$G331,0),ROUNDUP(($D$4+$G331)/$G331,0)))+$D$5</f>
        <v>1</v>
      </c>
      <c r="BL331" s="400" t="b">
        <f t="shared" ca="1" si="820"/>
        <v>1</v>
      </c>
      <c r="BM331" s="400" t="str">
        <f t="shared" ca="1" si="868"/>
        <v>Accepted</v>
      </c>
      <c r="BN331" s="398" t="str">
        <f t="shared" ca="1" si="847"/>
        <v>Yes</v>
      </c>
      <c r="BO331" s="398">
        <f t="shared" ca="1" si="869"/>
        <v>27</v>
      </c>
      <c r="BP331" s="398" t="str">
        <f t="shared" ca="1" si="837"/>
        <v>E-Series Base + 4x Expansion Unit, 60x12TB RAID5</v>
      </c>
      <c r="BQ331" s="398">
        <f t="shared" ca="1" si="838"/>
        <v>27</v>
      </c>
      <c r="BR331" s="398">
        <f t="shared" ca="1" si="870"/>
        <v>2</v>
      </c>
      <c r="BS331" s="398">
        <f t="shared" ca="1" si="871"/>
        <v>1440</v>
      </c>
      <c r="BT331" s="398">
        <f t="shared" ca="1" si="872"/>
        <v>1228920</v>
      </c>
      <c r="BU331" s="399">
        <f t="shared" si="890"/>
        <v>1443</v>
      </c>
      <c r="BV331" s="399">
        <f t="shared" si="891"/>
        <v>4</v>
      </c>
      <c r="BW331" s="483" t="e">
        <f t="shared" ca="1" si="839"/>
        <v>#DIV/0!</v>
      </c>
      <c r="BX331" s="400">
        <f ca="1">IF(MAX(IF($E$6="No",ROUNDUP($E$3/$I331,0),ROUNDUP(($E$3+$I331)/$I331,0)),IF($E$6="No",ROUNDUP($E$4/$G331,0),ROUNDUP(($E$4+$G331)/$G331,0)),ROUNDUP('BVMS checklist'!$H$217/$J331,0))&gt;1,'BVMS checklist'!$N$224,'BVMS checklist'!$N$217)</f>
        <v>0</v>
      </c>
      <c r="BY331" s="398">
        <f t="shared" ca="1" si="840"/>
        <v>2</v>
      </c>
      <c r="BZ331" s="400">
        <f t="shared" ca="1" si="873"/>
        <v>2</v>
      </c>
      <c r="CA331" s="400">
        <f t="shared" ca="1" si="874"/>
        <v>2500</v>
      </c>
      <c r="CB331" s="400">
        <f t="shared" ca="1" si="848"/>
        <v>0</v>
      </c>
      <c r="CC331" s="398">
        <f t="shared" ca="1" si="875"/>
        <v>1228920</v>
      </c>
      <c r="CD331" s="401" t="e">
        <f t="shared" ca="1" si="841"/>
        <v>#DIV/0!</v>
      </c>
      <c r="CE331" s="398">
        <f t="shared" ca="1" si="876"/>
        <v>1600</v>
      </c>
      <c r="CF331" s="400">
        <f ca="1">IF(MAX(IF($E$6="No",ROUNDUP($E$3/$I331,0),ROUNDUP(($E$3+$I331)/$I331,0)),IF($E$6="No",ROUNDUP($E$4/$G331,0),ROUNDUP(($E$4+$G331)/$G331,0)),ROUNDUP('BVMS checklist'!$H$217/$J331,0))&gt;1,'BVMS checklist'!$N$224,'BVMS checklist'!$N$217)+MAX(IF($E$6="No",ROUNDUP($E$3/$I331,0),ROUNDUP(($E$3+$I331)/$I331,0)),IF($E$6="No",ROUNDUP($E$4/$G331,0),ROUNDUP(($E$4+$G331)/$G331,0)))+$E$5</f>
        <v>1</v>
      </c>
      <c r="CG331" s="400" t="b">
        <f t="shared" ca="1" si="821"/>
        <v>1</v>
      </c>
      <c r="CH331" s="400" t="str">
        <f t="shared" ca="1" si="877"/>
        <v>Accepted</v>
      </c>
      <c r="CI331" s="398" t="str">
        <f t="shared" ca="1" si="849"/>
        <v>Yes</v>
      </c>
      <c r="CJ331" s="398">
        <f t="shared" ca="1" si="878"/>
        <v>27</v>
      </c>
      <c r="CK331" s="398" t="str">
        <f t="shared" ca="1" si="842"/>
        <v>E-Series Base + 4x Expansion Unit, 60x12TB RAID5</v>
      </c>
      <c r="CL331" s="398">
        <f t="shared" ca="1" si="843"/>
        <v>27</v>
      </c>
      <c r="CM331" s="398">
        <f t="shared" ca="1" si="879"/>
        <v>2</v>
      </c>
      <c r="CN331" s="398">
        <f t="shared" ca="1" si="880"/>
        <v>1440</v>
      </c>
      <c r="CO331" s="398">
        <f t="shared" ca="1" si="881"/>
        <v>1228920</v>
      </c>
      <c r="CP331" s="399">
        <f t="shared" si="892"/>
        <v>1443</v>
      </c>
      <c r="CQ331" s="399">
        <f t="shared" si="893"/>
        <v>4</v>
      </c>
      <c r="CR331" s="483" t="e">
        <f t="shared" ca="1" si="844"/>
        <v>#DIV/0!</v>
      </c>
      <c r="CS331"/>
    </row>
    <row r="332" spans="1:97">
      <c r="A332" s="398" t="s">
        <v>875</v>
      </c>
      <c r="B332" s="398" t="s">
        <v>988</v>
      </c>
      <c r="C332" s="440" t="s">
        <v>891</v>
      </c>
      <c r="D332" s="398">
        <v>1</v>
      </c>
      <c r="E332" s="398">
        <v>5</v>
      </c>
      <c r="F332" s="440">
        <v>0</v>
      </c>
      <c r="G332" s="398">
        <f t="shared" si="896"/>
        <v>737352</v>
      </c>
      <c r="H332" s="399">
        <f t="shared" si="897"/>
        <v>864</v>
      </c>
      <c r="I332" s="399">
        <v>1250</v>
      </c>
      <c r="J332" s="399">
        <v>800</v>
      </c>
      <c r="K332" s="399">
        <v>1691</v>
      </c>
      <c r="L332" s="399">
        <v>4</v>
      </c>
      <c r="M332" s="400">
        <f ca="1">IF(MAX(IF($B$6="No",ROUNDUP($B$3/$I332,0),ROUNDUP(($B$3+$I332)/$I332,0)),IF($B$6="No",ROUNDUP($B$4/$G332,0),ROUNDUP(($B$4+$G332)/$G332,0)),ROUNDUP('BVMS checklist'!$H$217/$J332,0))&gt;1,'BVMS checklist'!$H$224,'BVMS checklist'!$H$217)</f>
        <v>0</v>
      </c>
      <c r="N332" s="398">
        <f t="shared" ca="1" si="822"/>
        <v>2</v>
      </c>
      <c r="O332" s="400">
        <f t="shared" ca="1" si="851"/>
        <v>2</v>
      </c>
      <c r="P332" s="400">
        <f t="shared" ca="1" si="813"/>
        <v>2500</v>
      </c>
      <c r="Q332" s="400">
        <f t="shared" ca="1" si="814"/>
        <v>0</v>
      </c>
      <c r="R332" s="398">
        <f t="shared" ca="1" si="815"/>
        <v>1474704</v>
      </c>
      <c r="S332" s="401" t="e">
        <f t="shared" ca="1" si="823"/>
        <v>#DIV/0!</v>
      </c>
      <c r="T332" s="398">
        <f t="shared" ca="1" si="824"/>
        <v>1600</v>
      </c>
      <c r="U332" s="400">
        <f ca="1">IF(MAX(IF($B$6="No",ROUNDUP($B$3/$I332,0),ROUNDUP(($B$3+$I332)/$I332,0)),IF($B$6="No",ROUNDUP($B$4/$G332,0),ROUNDUP(($B$4+$G332)/$G332,0)),ROUNDUP('BVMS checklist'!$H$217/$J332,0))&gt;1,'BVMS checklist'!$H$224,'BVMS checklist'!$H$217)+MAX(IF($B$6="No",ROUNDUP($B$3/$I332,0),ROUNDUP(($B$3+$I332)/$I332,0)),IF($B$6="No",ROUNDUP($B$4/$G332,0),ROUNDUP(($B$4+$G332)/$G332,0)))+$B$5</f>
        <v>1</v>
      </c>
      <c r="V332" s="400" t="b">
        <f t="shared" ca="1" si="816"/>
        <v>1</v>
      </c>
      <c r="W332" s="400" t="str">
        <f t="shared" ca="1" si="852"/>
        <v>Accepted</v>
      </c>
      <c r="X332" s="398" t="str">
        <f t="shared" ca="1" si="825"/>
        <v>Yes</v>
      </c>
      <c r="Y332" s="398">
        <f t="shared" ca="1" si="826"/>
        <v>28</v>
      </c>
      <c r="Z332" s="398" t="str">
        <f t="shared" ca="1" si="827"/>
        <v>E-Series Base + 5x Expansion Unit, 72x12TB RAID5</v>
      </c>
      <c r="AA332" s="398">
        <f t="shared" ca="1" si="853"/>
        <v>28</v>
      </c>
      <c r="AB332" s="398">
        <f t="shared" ca="1" si="817"/>
        <v>2</v>
      </c>
      <c r="AC332" s="398">
        <f t="shared" ca="1" si="818"/>
        <v>1728</v>
      </c>
      <c r="AD332" s="398">
        <f t="shared" ca="1" si="854"/>
        <v>1474704</v>
      </c>
      <c r="AE332" s="399">
        <f t="shared" si="886"/>
        <v>1691</v>
      </c>
      <c r="AF332" s="399">
        <f t="shared" si="887"/>
        <v>4</v>
      </c>
      <c r="AG332" s="483" t="e">
        <f t="shared" ca="1" si="828"/>
        <v>#DIV/0!</v>
      </c>
      <c r="AH332" s="400">
        <f ca="1">IF(MAX(IF($C$6="No",ROUNDUP($C$3/$I332,0),ROUNDUP(($C$3+$I332)/$I332,0)),IF($C$6="No",ROUNDUP($C$4/$G332,0),ROUNDUP(($C$4+$G332)/$G332,0)),ROUNDUP('BVMS checklist'!$H$217/$J332,0))&gt;1,'BVMS checklist'!$J$224,'BVMS checklist'!$J$217)</f>
        <v>0</v>
      </c>
      <c r="AI332" s="398">
        <f t="shared" ca="1" si="829"/>
        <v>2</v>
      </c>
      <c r="AJ332" s="400">
        <f t="shared" ca="1" si="855"/>
        <v>2</v>
      </c>
      <c r="AK332" s="400">
        <f t="shared" ca="1" si="856"/>
        <v>2500</v>
      </c>
      <c r="AL332" s="400">
        <f t="shared" ca="1" si="857"/>
        <v>0</v>
      </c>
      <c r="AM332" s="398">
        <f t="shared" ca="1" si="858"/>
        <v>1474704</v>
      </c>
      <c r="AN332" s="401" t="e">
        <f t="shared" ca="1" si="830"/>
        <v>#DIV/0!</v>
      </c>
      <c r="AO332" s="398">
        <f t="shared" ca="1" si="859"/>
        <v>1600</v>
      </c>
      <c r="AP332" s="400">
        <f ca="1">IF(MAX(IF($C$6="No",ROUNDUP($C$3/$I332,0),ROUNDUP(($C$3+$I332)/$I332,0)),IF($C$6="No",ROUNDUP($C$4/$G332,0),ROUNDUP(($C$4+$G332)/$G332,0)),ROUNDUP('BVMS checklist'!$H$217/$J332,0))&gt;1,'BVMS checklist'!$J$224,'BVMS checklist'!$J$217)+MAX(IF($C$6="No",ROUNDUP($C$3/$I332,0),ROUNDUP(($C$3+$I332)/$I332,0)),IF($C$6="No",ROUNDUP($C$4/$G332,0),ROUNDUP(($C$4+$G332)/$G332,0)))+$C$5</f>
        <v>1</v>
      </c>
      <c r="AQ332" s="400" t="b">
        <f t="shared" ca="1" si="819"/>
        <v>1</v>
      </c>
      <c r="AR332" s="400" t="str">
        <f t="shared" ca="1" si="860"/>
        <v>Accepted</v>
      </c>
      <c r="AS332" s="398" t="str">
        <f t="shared" ca="1" si="845"/>
        <v>Yes</v>
      </c>
      <c r="AT332" s="398">
        <f t="shared" ca="1" si="861"/>
        <v>28</v>
      </c>
      <c r="AU332" s="398" t="str">
        <f t="shared" ca="1" si="831"/>
        <v>E-Series Base + 5x Expansion Unit, 72x12TB RAID5</v>
      </c>
      <c r="AV332" s="398">
        <f t="shared" ca="1" si="832"/>
        <v>28</v>
      </c>
      <c r="AW332" s="398">
        <f t="shared" ca="1" si="862"/>
        <v>2</v>
      </c>
      <c r="AX332" s="398">
        <f t="shared" ca="1" si="863"/>
        <v>1728</v>
      </c>
      <c r="AY332" s="398">
        <f t="shared" ca="1" si="864"/>
        <v>1474704</v>
      </c>
      <c r="AZ332" s="399">
        <f t="shared" si="888"/>
        <v>1691</v>
      </c>
      <c r="BA332" s="399">
        <f t="shared" si="889"/>
        <v>4</v>
      </c>
      <c r="BB332" s="483" t="e">
        <f t="shared" ca="1" si="833"/>
        <v>#DIV/0!</v>
      </c>
      <c r="BC332" s="400">
        <f ca="1">IF(MAX(IF($D$6="No",ROUNDUP($D$3/$I332,0),ROUNDUP(($D$3+$I332)/$I332,0)),IF($D$6="No",ROUNDUP($D$4/$G332,0),ROUNDUP(($D$4+$G332)/$G332,0)),ROUNDUP('BVMS checklist'!$H$217/$J332,0))&gt;1,'BVMS checklist'!$L$224,'BVMS checklist'!$L$217)</f>
        <v>0</v>
      </c>
      <c r="BD332" s="398">
        <f t="shared" ca="1" si="834"/>
        <v>2</v>
      </c>
      <c r="BE332" s="400">
        <f t="shared" si="835"/>
        <v>1</v>
      </c>
      <c r="BF332" s="400">
        <f t="shared" si="865"/>
        <v>1250</v>
      </c>
      <c r="BG332" s="400">
        <f t="shared" ca="1" si="846"/>
        <v>0</v>
      </c>
      <c r="BH332" s="398">
        <f t="shared" ca="1" si="866"/>
        <v>1474704</v>
      </c>
      <c r="BI332" s="401" t="e">
        <f t="shared" ca="1" si="836"/>
        <v>#DIV/0!</v>
      </c>
      <c r="BJ332" s="398">
        <f t="shared" ca="1" si="867"/>
        <v>1600</v>
      </c>
      <c r="BK332" s="400">
        <f ca="1">IF(MAX(IF($D$6="No",ROUNDUP($D$3/$I332,0),ROUNDUP(($D$3+$I332)/$I332,0)),IF($D$6="No",ROUNDUP($D$4/$G332,0),ROUNDUP(($D$4+$G332)/$G332,0)),ROUNDUP('BVMS checklist'!$H$217/$J332,0))&gt;1,'BVMS checklist'!$L$224,'BVMS checklist'!$L$217)+MAX(IF($D$6="No",ROUNDUP($D$3/$I332,0),ROUNDUP(($D$3+$I332)/$I332,0)),IF($D$6="No",ROUNDUP($D$4/$G332,0),ROUNDUP(($D$4+$G332)/$G332,0)))+$D$5</f>
        <v>1</v>
      </c>
      <c r="BL332" s="400" t="b">
        <f t="shared" ca="1" si="820"/>
        <v>1</v>
      </c>
      <c r="BM332" s="400" t="str">
        <f t="shared" ca="1" si="868"/>
        <v>Accepted</v>
      </c>
      <c r="BN332" s="398" t="str">
        <f t="shared" ca="1" si="847"/>
        <v>Yes</v>
      </c>
      <c r="BO332" s="398">
        <f t="shared" ca="1" si="869"/>
        <v>28</v>
      </c>
      <c r="BP332" s="398" t="str">
        <f t="shared" ca="1" si="837"/>
        <v>E-Series Base + 5x Expansion Unit, 72x12TB RAID5</v>
      </c>
      <c r="BQ332" s="398">
        <f t="shared" ca="1" si="838"/>
        <v>28</v>
      </c>
      <c r="BR332" s="398">
        <f t="shared" ca="1" si="870"/>
        <v>2</v>
      </c>
      <c r="BS332" s="398">
        <f t="shared" ca="1" si="871"/>
        <v>1728</v>
      </c>
      <c r="BT332" s="398">
        <f t="shared" ca="1" si="872"/>
        <v>1474704</v>
      </c>
      <c r="BU332" s="399">
        <f t="shared" si="890"/>
        <v>1691</v>
      </c>
      <c r="BV332" s="399">
        <f t="shared" si="891"/>
        <v>4</v>
      </c>
      <c r="BW332" s="483" t="e">
        <f t="shared" ca="1" si="839"/>
        <v>#DIV/0!</v>
      </c>
      <c r="BX332" s="400">
        <f ca="1">IF(MAX(IF($E$6="No",ROUNDUP($E$3/$I332,0),ROUNDUP(($E$3+$I332)/$I332,0)),IF($E$6="No",ROUNDUP($E$4/$G332,0),ROUNDUP(($E$4+$G332)/$G332,0)),ROUNDUP('BVMS checklist'!$H$217/$J332,0))&gt;1,'BVMS checklist'!$N$224,'BVMS checklist'!$N$217)</f>
        <v>0</v>
      </c>
      <c r="BY332" s="398">
        <f t="shared" ca="1" si="840"/>
        <v>2</v>
      </c>
      <c r="BZ332" s="400">
        <f t="shared" ca="1" si="873"/>
        <v>2</v>
      </c>
      <c r="CA332" s="400">
        <f t="shared" ca="1" si="874"/>
        <v>2500</v>
      </c>
      <c r="CB332" s="400">
        <f t="shared" ca="1" si="848"/>
        <v>0</v>
      </c>
      <c r="CC332" s="398">
        <f t="shared" ca="1" si="875"/>
        <v>1474704</v>
      </c>
      <c r="CD332" s="401" t="e">
        <f t="shared" ca="1" si="841"/>
        <v>#DIV/0!</v>
      </c>
      <c r="CE332" s="398">
        <f t="shared" ca="1" si="876"/>
        <v>1600</v>
      </c>
      <c r="CF332" s="400">
        <f ca="1">IF(MAX(IF($E$6="No",ROUNDUP($E$3/$I332,0),ROUNDUP(($E$3+$I332)/$I332,0)),IF($E$6="No",ROUNDUP($E$4/$G332,0),ROUNDUP(($E$4+$G332)/$G332,0)),ROUNDUP('BVMS checklist'!$H$217/$J332,0))&gt;1,'BVMS checklist'!$N$224,'BVMS checklist'!$N$217)+MAX(IF($E$6="No",ROUNDUP($E$3/$I332,0),ROUNDUP(($E$3+$I332)/$I332,0)),IF($E$6="No",ROUNDUP($E$4/$G332,0),ROUNDUP(($E$4+$G332)/$G332,0)))+$E$5</f>
        <v>1</v>
      </c>
      <c r="CG332" s="400" t="b">
        <f t="shared" ca="1" si="821"/>
        <v>1</v>
      </c>
      <c r="CH332" s="400" t="str">
        <f t="shared" ca="1" si="877"/>
        <v>Accepted</v>
      </c>
      <c r="CI332" s="398" t="str">
        <f t="shared" ca="1" si="849"/>
        <v>Yes</v>
      </c>
      <c r="CJ332" s="398">
        <f t="shared" ca="1" si="878"/>
        <v>28</v>
      </c>
      <c r="CK332" s="398" t="str">
        <f t="shared" ca="1" si="842"/>
        <v>E-Series Base + 5x Expansion Unit, 72x12TB RAID5</v>
      </c>
      <c r="CL332" s="398">
        <f t="shared" ca="1" si="843"/>
        <v>28</v>
      </c>
      <c r="CM332" s="398">
        <f t="shared" ca="1" si="879"/>
        <v>2</v>
      </c>
      <c r="CN332" s="398">
        <f t="shared" ca="1" si="880"/>
        <v>1728</v>
      </c>
      <c r="CO332" s="398">
        <f t="shared" ca="1" si="881"/>
        <v>1474704</v>
      </c>
      <c r="CP332" s="399">
        <f t="shared" si="892"/>
        <v>1691</v>
      </c>
      <c r="CQ332" s="399">
        <f t="shared" si="893"/>
        <v>4</v>
      </c>
      <c r="CR332" s="483" t="e">
        <f t="shared" ca="1" si="844"/>
        <v>#DIV/0!</v>
      </c>
      <c r="CS332"/>
    </row>
    <row r="333" spans="1:97">
      <c r="A333" s="398" t="s">
        <v>876</v>
      </c>
      <c r="B333" s="398" t="s">
        <v>988</v>
      </c>
      <c r="C333" s="440" t="s">
        <v>891</v>
      </c>
      <c r="D333" s="398">
        <v>1</v>
      </c>
      <c r="E333" s="398">
        <v>6</v>
      </c>
      <c r="F333" s="440">
        <v>0</v>
      </c>
      <c r="G333" s="398">
        <f t="shared" si="896"/>
        <v>860244</v>
      </c>
      <c r="H333" s="399">
        <f t="shared" si="897"/>
        <v>1008</v>
      </c>
      <c r="I333" s="399">
        <v>1250</v>
      </c>
      <c r="J333" s="399">
        <v>800</v>
      </c>
      <c r="K333" s="399">
        <v>1939</v>
      </c>
      <c r="L333" s="399">
        <v>4</v>
      </c>
      <c r="M333" s="400">
        <f ca="1">IF(MAX(IF($B$6="No",ROUNDUP($B$3/$I333,0),ROUNDUP(($B$3+$I333)/$I333,0)),IF($B$6="No",ROUNDUP($B$4/$G333,0),ROUNDUP(($B$4+$G333)/$G333,0)),ROUNDUP('BVMS checklist'!$H$217/$J333,0))&gt;1,'BVMS checklist'!$H$224,'BVMS checklist'!$H$217)</f>
        <v>0</v>
      </c>
      <c r="N333" s="398">
        <f t="shared" ca="1" si="822"/>
        <v>2</v>
      </c>
      <c r="O333" s="400">
        <f t="shared" ca="1" si="851"/>
        <v>2</v>
      </c>
      <c r="P333" s="400">
        <f t="shared" ca="1" si="813"/>
        <v>2500</v>
      </c>
      <c r="Q333" s="400">
        <f t="shared" ca="1" si="814"/>
        <v>0</v>
      </c>
      <c r="R333" s="398">
        <f t="shared" ca="1" si="815"/>
        <v>1720488</v>
      </c>
      <c r="S333" s="401" t="e">
        <f t="shared" ca="1" si="823"/>
        <v>#DIV/0!</v>
      </c>
      <c r="T333" s="398">
        <f t="shared" ca="1" si="824"/>
        <v>1600</v>
      </c>
      <c r="U333" s="400">
        <f ca="1">IF(MAX(IF($B$6="No",ROUNDUP($B$3/$I333,0),ROUNDUP(($B$3+$I333)/$I333,0)),IF($B$6="No",ROUNDUP($B$4/$G333,0),ROUNDUP(($B$4+$G333)/$G333,0)),ROUNDUP('BVMS checklist'!$H$217/$J333,0))&gt;1,'BVMS checklist'!$H$224,'BVMS checklist'!$H$217)+MAX(IF($B$6="No",ROUNDUP($B$3/$I333,0),ROUNDUP(($B$3+$I333)/$I333,0)),IF($B$6="No",ROUNDUP($B$4/$G333,0),ROUNDUP(($B$4+$G333)/$G333,0)))+$B$5</f>
        <v>1</v>
      </c>
      <c r="V333" s="400" t="b">
        <f t="shared" ca="1" si="816"/>
        <v>1</v>
      </c>
      <c r="W333" s="400" t="str">
        <f t="shared" ca="1" si="852"/>
        <v>Accepted</v>
      </c>
      <c r="X333" s="398" t="str">
        <f t="shared" ca="1" si="825"/>
        <v>Yes</v>
      </c>
      <c r="Y333" s="398">
        <f t="shared" ca="1" si="826"/>
        <v>29</v>
      </c>
      <c r="Z333" s="398" t="str">
        <f t="shared" ca="1" si="827"/>
        <v>E-Series Base + 6x Expansion Unit, 84x12TB RAID5</v>
      </c>
      <c r="AA333" s="398">
        <f t="shared" ca="1" si="853"/>
        <v>29</v>
      </c>
      <c r="AB333" s="398">
        <f t="shared" ca="1" si="817"/>
        <v>2</v>
      </c>
      <c r="AC333" s="398">
        <f t="shared" ca="1" si="818"/>
        <v>2016</v>
      </c>
      <c r="AD333" s="398">
        <f t="shared" ca="1" si="854"/>
        <v>1720488</v>
      </c>
      <c r="AE333" s="399">
        <f t="shared" si="886"/>
        <v>1939</v>
      </c>
      <c r="AF333" s="399">
        <f t="shared" si="887"/>
        <v>4</v>
      </c>
      <c r="AG333" s="483" t="e">
        <f t="shared" ca="1" si="828"/>
        <v>#DIV/0!</v>
      </c>
      <c r="AH333" s="400">
        <f ca="1">IF(MAX(IF($C$6="No",ROUNDUP($C$3/$I333,0),ROUNDUP(($C$3+$I333)/$I333,0)),IF($C$6="No",ROUNDUP($C$4/$G333,0),ROUNDUP(($C$4+$G333)/$G333,0)),ROUNDUP('BVMS checklist'!$H$217/$J333,0))&gt;1,'BVMS checklist'!$J$224,'BVMS checklist'!$J$217)</f>
        <v>0</v>
      </c>
      <c r="AI333" s="398">
        <f t="shared" ca="1" si="829"/>
        <v>2</v>
      </c>
      <c r="AJ333" s="400">
        <f t="shared" ca="1" si="855"/>
        <v>2</v>
      </c>
      <c r="AK333" s="400">
        <f t="shared" ca="1" si="856"/>
        <v>2500</v>
      </c>
      <c r="AL333" s="400">
        <f t="shared" ca="1" si="857"/>
        <v>0</v>
      </c>
      <c r="AM333" s="398">
        <f t="shared" ca="1" si="858"/>
        <v>1720488</v>
      </c>
      <c r="AN333" s="401" t="e">
        <f t="shared" ca="1" si="830"/>
        <v>#DIV/0!</v>
      </c>
      <c r="AO333" s="398">
        <f t="shared" ca="1" si="859"/>
        <v>1600</v>
      </c>
      <c r="AP333" s="400">
        <f ca="1">IF(MAX(IF($C$6="No",ROUNDUP($C$3/$I333,0),ROUNDUP(($C$3+$I333)/$I333,0)),IF($C$6="No",ROUNDUP($C$4/$G333,0),ROUNDUP(($C$4+$G333)/$G333,0)),ROUNDUP('BVMS checklist'!$H$217/$J333,0))&gt;1,'BVMS checklist'!$J$224,'BVMS checklist'!$J$217)+MAX(IF($C$6="No",ROUNDUP($C$3/$I333,0),ROUNDUP(($C$3+$I333)/$I333,0)),IF($C$6="No",ROUNDUP($C$4/$G333,0),ROUNDUP(($C$4+$G333)/$G333,0)))+$C$5</f>
        <v>1</v>
      </c>
      <c r="AQ333" s="400" t="b">
        <f t="shared" ca="1" si="819"/>
        <v>1</v>
      </c>
      <c r="AR333" s="400" t="str">
        <f t="shared" ca="1" si="860"/>
        <v>Accepted</v>
      </c>
      <c r="AS333" s="398" t="str">
        <f t="shared" ca="1" si="845"/>
        <v>Yes</v>
      </c>
      <c r="AT333" s="398">
        <f t="shared" ca="1" si="861"/>
        <v>29</v>
      </c>
      <c r="AU333" s="398" t="str">
        <f t="shared" ca="1" si="831"/>
        <v>E-Series Base + 6x Expansion Unit, 84x12TB RAID5</v>
      </c>
      <c r="AV333" s="398">
        <f t="shared" ca="1" si="832"/>
        <v>29</v>
      </c>
      <c r="AW333" s="398">
        <f t="shared" ca="1" si="862"/>
        <v>2</v>
      </c>
      <c r="AX333" s="398">
        <f t="shared" ca="1" si="863"/>
        <v>2016</v>
      </c>
      <c r="AY333" s="398">
        <f t="shared" ca="1" si="864"/>
        <v>1720488</v>
      </c>
      <c r="AZ333" s="399">
        <f t="shared" si="888"/>
        <v>1939</v>
      </c>
      <c r="BA333" s="399">
        <f t="shared" si="889"/>
        <v>4</v>
      </c>
      <c r="BB333" s="483" t="e">
        <f t="shared" ca="1" si="833"/>
        <v>#DIV/0!</v>
      </c>
      <c r="BC333" s="400">
        <f ca="1">IF(MAX(IF($D$6="No",ROUNDUP($D$3/$I333,0),ROUNDUP(($D$3+$I333)/$I333,0)),IF($D$6="No",ROUNDUP($D$4/$G333,0),ROUNDUP(($D$4+$G333)/$G333,0)),ROUNDUP('BVMS checklist'!$H$217/$J333,0))&gt;1,'BVMS checklist'!$L$224,'BVMS checklist'!$L$217)</f>
        <v>0</v>
      </c>
      <c r="BD333" s="398">
        <f t="shared" ca="1" si="834"/>
        <v>2</v>
      </c>
      <c r="BE333" s="400">
        <f t="shared" si="835"/>
        <v>1</v>
      </c>
      <c r="BF333" s="400">
        <f t="shared" si="865"/>
        <v>1250</v>
      </c>
      <c r="BG333" s="400">
        <f t="shared" ca="1" si="846"/>
        <v>0</v>
      </c>
      <c r="BH333" s="398">
        <f t="shared" ca="1" si="866"/>
        <v>1720488</v>
      </c>
      <c r="BI333" s="401" t="e">
        <f t="shared" ca="1" si="836"/>
        <v>#DIV/0!</v>
      </c>
      <c r="BJ333" s="398">
        <f t="shared" ca="1" si="867"/>
        <v>1600</v>
      </c>
      <c r="BK333" s="400">
        <f ca="1">IF(MAX(IF($D$6="No",ROUNDUP($D$3/$I333,0),ROUNDUP(($D$3+$I333)/$I333,0)),IF($D$6="No",ROUNDUP($D$4/$G333,0),ROUNDUP(($D$4+$G333)/$G333,0)),ROUNDUP('BVMS checklist'!$H$217/$J333,0))&gt;1,'BVMS checklist'!$L$224,'BVMS checklist'!$L$217)+MAX(IF($D$6="No",ROUNDUP($D$3/$I333,0),ROUNDUP(($D$3+$I333)/$I333,0)),IF($D$6="No",ROUNDUP($D$4/$G333,0),ROUNDUP(($D$4+$G333)/$G333,0)))+$D$5</f>
        <v>1</v>
      </c>
      <c r="BL333" s="400" t="b">
        <f t="shared" ca="1" si="820"/>
        <v>1</v>
      </c>
      <c r="BM333" s="400" t="str">
        <f t="shared" ca="1" si="868"/>
        <v>Accepted</v>
      </c>
      <c r="BN333" s="398" t="str">
        <f t="shared" ca="1" si="847"/>
        <v>Yes</v>
      </c>
      <c r="BO333" s="398">
        <f t="shared" ca="1" si="869"/>
        <v>29</v>
      </c>
      <c r="BP333" s="398" t="str">
        <f t="shared" ca="1" si="837"/>
        <v>E-Series Base + 6x Expansion Unit, 84x12TB RAID5</v>
      </c>
      <c r="BQ333" s="398">
        <f t="shared" ca="1" si="838"/>
        <v>29</v>
      </c>
      <c r="BR333" s="398">
        <f t="shared" ca="1" si="870"/>
        <v>2</v>
      </c>
      <c r="BS333" s="398">
        <f t="shared" ca="1" si="871"/>
        <v>2016</v>
      </c>
      <c r="BT333" s="398">
        <f t="shared" ca="1" si="872"/>
        <v>1720488</v>
      </c>
      <c r="BU333" s="399">
        <f t="shared" si="890"/>
        <v>1939</v>
      </c>
      <c r="BV333" s="399">
        <f t="shared" si="891"/>
        <v>4</v>
      </c>
      <c r="BW333" s="483" t="e">
        <f t="shared" ca="1" si="839"/>
        <v>#DIV/0!</v>
      </c>
      <c r="BX333" s="400">
        <f ca="1">IF(MAX(IF($E$6="No",ROUNDUP($E$3/$I333,0),ROUNDUP(($E$3+$I333)/$I333,0)),IF($E$6="No",ROUNDUP($E$4/$G333,0),ROUNDUP(($E$4+$G333)/$G333,0)),ROUNDUP('BVMS checklist'!$H$217/$J333,0))&gt;1,'BVMS checklist'!$N$224,'BVMS checklist'!$N$217)</f>
        <v>0</v>
      </c>
      <c r="BY333" s="398">
        <f t="shared" ca="1" si="840"/>
        <v>2</v>
      </c>
      <c r="BZ333" s="400">
        <f t="shared" ca="1" si="873"/>
        <v>2</v>
      </c>
      <c r="CA333" s="400">
        <f t="shared" ca="1" si="874"/>
        <v>2500</v>
      </c>
      <c r="CB333" s="400">
        <f t="shared" ca="1" si="848"/>
        <v>0</v>
      </c>
      <c r="CC333" s="398">
        <f t="shared" ca="1" si="875"/>
        <v>1720488</v>
      </c>
      <c r="CD333" s="401" t="e">
        <f t="shared" ca="1" si="841"/>
        <v>#DIV/0!</v>
      </c>
      <c r="CE333" s="398">
        <f t="shared" ca="1" si="876"/>
        <v>1600</v>
      </c>
      <c r="CF333" s="400">
        <f ca="1">IF(MAX(IF($E$6="No",ROUNDUP($E$3/$I333,0),ROUNDUP(($E$3+$I333)/$I333,0)),IF($E$6="No",ROUNDUP($E$4/$G333,0),ROUNDUP(($E$4+$G333)/$G333,0)),ROUNDUP('BVMS checklist'!$H$217/$J333,0))&gt;1,'BVMS checklist'!$N$224,'BVMS checklist'!$N$217)+MAX(IF($E$6="No",ROUNDUP($E$3/$I333,0),ROUNDUP(($E$3+$I333)/$I333,0)),IF($E$6="No",ROUNDUP($E$4/$G333,0),ROUNDUP(($E$4+$G333)/$G333,0)))+$E$5</f>
        <v>1</v>
      </c>
      <c r="CG333" s="400" t="b">
        <f t="shared" ca="1" si="821"/>
        <v>1</v>
      </c>
      <c r="CH333" s="400" t="str">
        <f t="shared" ca="1" si="877"/>
        <v>Accepted</v>
      </c>
      <c r="CI333" s="398" t="str">
        <f t="shared" ca="1" si="849"/>
        <v>Yes</v>
      </c>
      <c r="CJ333" s="398">
        <f t="shared" ca="1" si="878"/>
        <v>29</v>
      </c>
      <c r="CK333" s="398" t="str">
        <f t="shared" ca="1" si="842"/>
        <v>E-Series Base + 6x Expansion Unit, 84x12TB RAID5</v>
      </c>
      <c r="CL333" s="398">
        <f t="shared" ca="1" si="843"/>
        <v>29</v>
      </c>
      <c r="CM333" s="398">
        <f t="shared" ca="1" si="879"/>
        <v>2</v>
      </c>
      <c r="CN333" s="398">
        <f t="shared" ca="1" si="880"/>
        <v>2016</v>
      </c>
      <c r="CO333" s="398">
        <f t="shared" ca="1" si="881"/>
        <v>1720488</v>
      </c>
      <c r="CP333" s="399">
        <f t="shared" si="892"/>
        <v>1939</v>
      </c>
      <c r="CQ333" s="399">
        <f t="shared" si="893"/>
        <v>4</v>
      </c>
      <c r="CR333" s="483" t="e">
        <f t="shared" ca="1" si="844"/>
        <v>#DIV/0!</v>
      </c>
      <c r="CS333"/>
    </row>
    <row r="334" spans="1:97">
      <c r="A334" s="398" t="s">
        <v>877</v>
      </c>
      <c r="B334" s="398" t="s">
        <v>988</v>
      </c>
      <c r="C334" s="440" t="s">
        <v>891</v>
      </c>
      <c r="D334" s="398">
        <v>1</v>
      </c>
      <c r="E334" s="398">
        <v>7</v>
      </c>
      <c r="F334" s="440">
        <v>0</v>
      </c>
      <c r="G334" s="398">
        <f t="shared" si="896"/>
        <v>983136</v>
      </c>
      <c r="H334" s="399">
        <f t="shared" si="897"/>
        <v>1152</v>
      </c>
      <c r="I334" s="399">
        <v>1250</v>
      </c>
      <c r="J334" s="399">
        <v>800</v>
      </c>
      <c r="K334" s="399">
        <v>2187</v>
      </c>
      <c r="L334" s="399">
        <v>4</v>
      </c>
      <c r="M334" s="400">
        <f ca="1">IF(MAX(IF($B$6="No",ROUNDUP($B$3/$I334,0),ROUNDUP(($B$3+$I334)/$I334,0)),IF($B$6="No",ROUNDUP($B$4/$G334,0),ROUNDUP(($B$4+$G334)/$G334,0)),ROUNDUP('BVMS checklist'!$H$217/$J334,0))&gt;1,'BVMS checklist'!$H$224,'BVMS checklist'!$H$217)</f>
        <v>0</v>
      </c>
      <c r="N334" s="398">
        <f t="shared" ca="1" si="822"/>
        <v>2</v>
      </c>
      <c r="O334" s="400">
        <f t="shared" ca="1" si="851"/>
        <v>2</v>
      </c>
      <c r="P334" s="400">
        <f t="shared" ca="1" si="813"/>
        <v>2500</v>
      </c>
      <c r="Q334" s="400">
        <f t="shared" ca="1" si="814"/>
        <v>0</v>
      </c>
      <c r="R334" s="398">
        <f t="shared" ca="1" si="815"/>
        <v>1966272</v>
      </c>
      <c r="S334" s="401" t="e">
        <f t="shared" ca="1" si="823"/>
        <v>#DIV/0!</v>
      </c>
      <c r="T334" s="398">
        <f t="shared" ca="1" si="824"/>
        <v>1600</v>
      </c>
      <c r="U334" s="400">
        <f ca="1">IF(MAX(IF($B$6="No",ROUNDUP($B$3/$I334,0),ROUNDUP(($B$3+$I334)/$I334,0)),IF($B$6="No",ROUNDUP($B$4/$G334,0),ROUNDUP(($B$4+$G334)/$G334,0)),ROUNDUP('BVMS checklist'!$H$217/$J334,0))&gt;1,'BVMS checklist'!$H$224,'BVMS checklist'!$H$217)+MAX(IF($B$6="No",ROUNDUP($B$3/$I334,0),ROUNDUP(($B$3+$I334)/$I334,0)),IF($B$6="No",ROUNDUP($B$4/$G334,0),ROUNDUP(($B$4+$G334)/$G334,0)))+$B$5</f>
        <v>1</v>
      </c>
      <c r="V334" s="400" t="b">
        <f t="shared" ca="1" si="816"/>
        <v>1</v>
      </c>
      <c r="W334" s="400" t="str">
        <f t="shared" ca="1" si="852"/>
        <v>Accepted</v>
      </c>
      <c r="X334" s="398" t="str">
        <f t="shared" ca="1" si="825"/>
        <v>Yes</v>
      </c>
      <c r="Y334" s="398">
        <f t="shared" ca="1" si="826"/>
        <v>30</v>
      </c>
      <c r="Z334" s="398" t="str">
        <f t="shared" ca="1" si="827"/>
        <v>E-Series Base + 7x Expansion Unit, 96x12TB RAID5</v>
      </c>
      <c r="AA334" s="398">
        <f t="shared" ca="1" si="853"/>
        <v>30</v>
      </c>
      <c r="AB334" s="398">
        <f t="shared" ca="1" si="817"/>
        <v>2</v>
      </c>
      <c r="AC334" s="398">
        <f t="shared" ca="1" si="818"/>
        <v>2304</v>
      </c>
      <c r="AD334" s="398">
        <f t="shared" ca="1" si="854"/>
        <v>1966272</v>
      </c>
      <c r="AE334" s="399">
        <f t="shared" si="886"/>
        <v>2187</v>
      </c>
      <c r="AF334" s="399">
        <f t="shared" si="887"/>
        <v>4</v>
      </c>
      <c r="AG334" s="483" t="e">
        <f t="shared" ca="1" si="828"/>
        <v>#DIV/0!</v>
      </c>
      <c r="AH334" s="400">
        <f ca="1">IF(MAX(IF($C$6="No",ROUNDUP($C$3/$I334,0),ROUNDUP(($C$3+$I334)/$I334,0)),IF($C$6="No",ROUNDUP($C$4/$G334,0),ROUNDUP(($C$4+$G334)/$G334,0)),ROUNDUP('BVMS checklist'!$H$217/$J334,0))&gt;1,'BVMS checklist'!$J$224,'BVMS checklist'!$J$217)</f>
        <v>0</v>
      </c>
      <c r="AI334" s="398">
        <f t="shared" ca="1" si="829"/>
        <v>2</v>
      </c>
      <c r="AJ334" s="400">
        <f t="shared" ca="1" si="855"/>
        <v>2</v>
      </c>
      <c r="AK334" s="400">
        <f t="shared" ca="1" si="856"/>
        <v>2500</v>
      </c>
      <c r="AL334" s="400">
        <f t="shared" ca="1" si="857"/>
        <v>0</v>
      </c>
      <c r="AM334" s="398">
        <f t="shared" ca="1" si="858"/>
        <v>1966272</v>
      </c>
      <c r="AN334" s="401" t="e">
        <f t="shared" ca="1" si="830"/>
        <v>#DIV/0!</v>
      </c>
      <c r="AO334" s="398">
        <f t="shared" ca="1" si="859"/>
        <v>1600</v>
      </c>
      <c r="AP334" s="400">
        <f ca="1">IF(MAX(IF($C$6="No",ROUNDUP($C$3/$I334,0),ROUNDUP(($C$3+$I334)/$I334,0)),IF($C$6="No",ROUNDUP($C$4/$G334,0),ROUNDUP(($C$4+$G334)/$G334,0)),ROUNDUP('BVMS checklist'!$H$217/$J334,0))&gt;1,'BVMS checklist'!$J$224,'BVMS checklist'!$J$217)+MAX(IF($C$6="No",ROUNDUP($C$3/$I334,0),ROUNDUP(($C$3+$I334)/$I334,0)),IF($C$6="No",ROUNDUP($C$4/$G334,0),ROUNDUP(($C$4+$G334)/$G334,0)))+$C$5</f>
        <v>1</v>
      </c>
      <c r="AQ334" s="400" t="b">
        <f t="shared" ca="1" si="819"/>
        <v>1</v>
      </c>
      <c r="AR334" s="400" t="str">
        <f t="shared" ca="1" si="860"/>
        <v>Accepted</v>
      </c>
      <c r="AS334" s="398" t="str">
        <f t="shared" ca="1" si="845"/>
        <v>Yes</v>
      </c>
      <c r="AT334" s="398">
        <f t="shared" ca="1" si="861"/>
        <v>30</v>
      </c>
      <c r="AU334" s="398" t="str">
        <f t="shared" ca="1" si="831"/>
        <v>E-Series Base + 7x Expansion Unit, 96x12TB RAID5</v>
      </c>
      <c r="AV334" s="398">
        <f t="shared" ca="1" si="832"/>
        <v>30</v>
      </c>
      <c r="AW334" s="398">
        <f t="shared" ca="1" si="862"/>
        <v>2</v>
      </c>
      <c r="AX334" s="398">
        <f t="shared" ca="1" si="863"/>
        <v>2304</v>
      </c>
      <c r="AY334" s="398">
        <f t="shared" ca="1" si="864"/>
        <v>1966272</v>
      </c>
      <c r="AZ334" s="399">
        <f t="shared" si="888"/>
        <v>2187</v>
      </c>
      <c r="BA334" s="399">
        <f t="shared" si="889"/>
        <v>4</v>
      </c>
      <c r="BB334" s="483" t="e">
        <f t="shared" ca="1" si="833"/>
        <v>#DIV/0!</v>
      </c>
      <c r="BC334" s="400">
        <f ca="1">IF(MAX(IF($D$6="No",ROUNDUP($D$3/$I334,0),ROUNDUP(($D$3+$I334)/$I334,0)),IF($D$6="No",ROUNDUP($D$4/$G334,0),ROUNDUP(($D$4+$G334)/$G334,0)),ROUNDUP('BVMS checklist'!$H$217/$J334,0))&gt;1,'BVMS checklist'!$L$224,'BVMS checklist'!$L$217)</f>
        <v>0</v>
      </c>
      <c r="BD334" s="398">
        <f t="shared" ca="1" si="834"/>
        <v>2</v>
      </c>
      <c r="BE334" s="400">
        <f t="shared" si="835"/>
        <v>1</v>
      </c>
      <c r="BF334" s="400">
        <f t="shared" si="865"/>
        <v>1250</v>
      </c>
      <c r="BG334" s="400">
        <f t="shared" ca="1" si="846"/>
        <v>0</v>
      </c>
      <c r="BH334" s="398">
        <f t="shared" ca="1" si="866"/>
        <v>1966272</v>
      </c>
      <c r="BI334" s="401" t="e">
        <f t="shared" ca="1" si="836"/>
        <v>#DIV/0!</v>
      </c>
      <c r="BJ334" s="398">
        <f t="shared" ca="1" si="867"/>
        <v>1600</v>
      </c>
      <c r="BK334" s="400">
        <f ca="1">IF(MAX(IF($D$6="No",ROUNDUP($D$3/$I334,0),ROUNDUP(($D$3+$I334)/$I334,0)),IF($D$6="No",ROUNDUP($D$4/$G334,0),ROUNDUP(($D$4+$G334)/$G334,0)),ROUNDUP('BVMS checklist'!$H$217/$J334,0))&gt;1,'BVMS checklist'!$L$224,'BVMS checklist'!$L$217)+MAX(IF($D$6="No",ROUNDUP($D$3/$I334,0),ROUNDUP(($D$3+$I334)/$I334,0)),IF($D$6="No",ROUNDUP($D$4/$G334,0),ROUNDUP(($D$4+$G334)/$G334,0)))+$D$5</f>
        <v>1</v>
      </c>
      <c r="BL334" s="400" t="b">
        <f t="shared" ca="1" si="820"/>
        <v>1</v>
      </c>
      <c r="BM334" s="400" t="str">
        <f t="shared" ca="1" si="868"/>
        <v>Accepted</v>
      </c>
      <c r="BN334" s="398" t="str">
        <f t="shared" ca="1" si="847"/>
        <v>Yes</v>
      </c>
      <c r="BO334" s="398">
        <f t="shared" ca="1" si="869"/>
        <v>30</v>
      </c>
      <c r="BP334" s="398" t="str">
        <f t="shared" ca="1" si="837"/>
        <v>E-Series Base + 7x Expansion Unit, 96x12TB RAID5</v>
      </c>
      <c r="BQ334" s="398">
        <f t="shared" ca="1" si="838"/>
        <v>30</v>
      </c>
      <c r="BR334" s="398">
        <f t="shared" ca="1" si="870"/>
        <v>2</v>
      </c>
      <c r="BS334" s="398">
        <f t="shared" ca="1" si="871"/>
        <v>2304</v>
      </c>
      <c r="BT334" s="398">
        <f t="shared" ca="1" si="872"/>
        <v>1966272</v>
      </c>
      <c r="BU334" s="399">
        <f t="shared" si="890"/>
        <v>2187</v>
      </c>
      <c r="BV334" s="399">
        <f t="shared" si="891"/>
        <v>4</v>
      </c>
      <c r="BW334" s="483" t="e">
        <f t="shared" ca="1" si="839"/>
        <v>#DIV/0!</v>
      </c>
      <c r="BX334" s="400">
        <f ca="1">IF(MAX(IF($E$6="No",ROUNDUP($E$3/$I334,0),ROUNDUP(($E$3+$I334)/$I334,0)),IF($E$6="No",ROUNDUP($E$4/$G334,0),ROUNDUP(($E$4+$G334)/$G334,0)),ROUNDUP('BVMS checklist'!$H$217/$J334,0))&gt;1,'BVMS checklist'!$N$224,'BVMS checklist'!$N$217)</f>
        <v>0</v>
      </c>
      <c r="BY334" s="398">
        <f t="shared" ca="1" si="840"/>
        <v>2</v>
      </c>
      <c r="BZ334" s="400">
        <f t="shared" ca="1" si="873"/>
        <v>2</v>
      </c>
      <c r="CA334" s="400">
        <f t="shared" ca="1" si="874"/>
        <v>2500</v>
      </c>
      <c r="CB334" s="400">
        <f t="shared" ca="1" si="848"/>
        <v>0</v>
      </c>
      <c r="CC334" s="398">
        <f t="shared" ca="1" si="875"/>
        <v>1966272</v>
      </c>
      <c r="CD334" s="401" t="e">
        <f t="shared" ca="1" si="841"/>
        <v>#DIV/0!</v>
      </c>
      <c r="CE334" s="398">
        <f t="shared" ca="1" si="876"/>
        <v>1600</v>
      </c>
      <c r="CF334" s="400">
        <f ca="1">IF(MAX(IF($E$6="No",ROUNDUP($E$3/$I334,0),ROUNDUP(($E$3+$I334)/$I334,0)),IF($E$6="No",ROUNDUP($E$4/$G334,0),ROUNDUP(($E$4+$G334)/$G334,0)),ROUNDUP('BVMS checklist'!$H$217/$J334,0))&gt;1,'BVMS checklist'!$N$224,'BVMS checklist'!$N$217)+MAX(IF($E$6="No",ROUNDUP($E$3/$I334,0),ROUNDUP(($E$3+$I334)/$I334,0)),IF($E$6="No",ROUNDUP($E$4/$G334,0),ROUNDUP(($E$4+$G334)/$G334,0)))+$E$5</f>
        <v>1</v>
      </c>
      <c r="CG334" s="400" t="b">
        <f t="shared" ca="1" si="821"/>
        <v>1</v>
      </c>
      <c r="CH334" s="400" t="str">
        <f t="shared" ca="1" si="877"/>
        <v>Accepted</v>
      </c>
      <c r="CI334" s="398" t="str">
        <f t="shared" ca="1" si="849"/>
        <v>Yes</v>
      </c>
      <c r="CJ334" s="398">
        <f t="shared" ca="1" si="878"/>
        <v>30</v>
      </c>
      <c r="CK334" s="398" t="str">
        <f t="shared" ca="1" si="842"/>
        <v>E-Series Base + 7x Expansion Unit, 96x12TB RAID5</v>
      </c>
      <c r="CL334" s="398">
        <f t="shared" ca="1" si="843"/>
        <v>30</v>
      </c>
      <c r="CM334" s="398">
        <f t="shared" ca="1" si="879"/>
        <v>2</v>
      </c>
      <c r="CN334" s="398">
        <f t="shared" ca="1" si="880"/>
        <v>2304</v>
      </c>
      <c r="CO334" s="398">
        <f t="shared" ca="1" si="881"/>
        <v>1966272</v>
      </c>
      <c r="CP334" s="399">
        <f t="shared" si="892"/>
        <v>2187</v>
      </c>
      <c r="CQ334" s="399">
        <f t="shared" si="893"/>
        <v>4</v>
      </c>
      <c r="CR334" s="483" t="e">
        <f t="shared" ca="1" si="844"/>
        <v>#DIV/0!</v>
      </c>
      <c r="CS334"/>
    </row>
    <row r="335" spans="1:97">
      <c r="A335" s="398" t="s">
        <v>570</v>
      </c>
      <c r="B335" s="398" t="s">
        <v>988</v>
      </c>
      <c r="C335" s="440" t="s">
        <v>891</v>
      </c>
      <c r="D335" s="398">
        <v>2</v>
      </c>
      <c r="E335" s="398">
        <v>0</v>
      </c>
      <c r="F335" s="440">
        <v>0</v>
      </c>
      <c r="G335" s="398">
        <f>IF(C335="RAID5",(55-F335)*3724,IF(C335="RAID6",(50-F335)*3724,IF(C335="DDP",(60*3724*0.7),"Error")))+IF(C335="RAID5",(55-F335)*3724,IF(C335="RAID6",(50-F335)*3724,IF(C335="DDP",(60*3724*0.7),"Error")))*E335</f>
        <v>204820</v>
      </c>
      <c r="H335" s="399">
        <v>240</v>
      </c>
      <c r="I335" s="399">
        <v>1250</v>
      </c>
      <c r="J335" s="399">
        <v>800</v>
      </c>
      <c r="K335" s="399">
        <v>1022</v>
      </c>
      <c r="L335" s="399">
        <v>4</v>
      </c>
      <c r="M335" s="400">
        <f ca="1">IF(MAX(IF($B$6="No",ROUNDUP($B$3/$I335,0),ROUNDUP(($B$3+$I335)/$I335,0)),IF($B$6="No",ROUNDUP($B$4/$G335,0),ROUNDUP(($B$4+$G335)/$G335,0)),ROUNDUP('BVMS checklist'!$H$217/$J335,0))&gt;1,'BVMS checklist'!$H$224,'BVMS checklist'!$H$217)</f>
        <v>0</v>
      </c>
      <c r="N335" s="398">
        <f t="shared" ca="1" si="822"/>
        <v>2</v>
      </c>
      <c r="O335" s="400">
        <f t="shared" ca="1" si="851"/>
        <v>2</v>
      </c>
      <c r="P335" s="400">
        <f t="shared" ca="1" si="813"/>
        <v>2500</v>
      </c>
      <c r="Q335" s="400">
        <f t="shared" ca="1" si="814"/>
        <v>0</v>
      </c>
      <c r="R335" s="398">
        <f t="shared" ca="1" si="815"/>
        <v>409640</v>
      </c>
      <c r="S335" s="401" t="e">
        <f t="shared" ca="1" si="823"/>
        <v>#DIV/0!</v>
      </c>
      <c r="T335" s="398">
        <f t="shared" ca="1" si="824"/>
        <v>1600</v>
      </c>
      <c r="U335" s="400">
        <f ca="1">IF(MAX(IF($B$6="No",ROUNDUP($B$3/$I335,0),ROUNDUP(($B$3+$I335)/$I335,0)),IF($B$6="No",ROUNDUP($B$4/$G335,0),ROUNDUP(($B$4+$G335)/$G335,0)),ROUNDUP('BVMS checklist'!$H$217/$J335,0))&gt;1,'BVMS checklist'!$H$224,'BVMS checklist'!$H$217)+MAX(IF($B$6="No",ROUNDUP($B$3/$I335,0),ROUNDUP(($B$3+$I335)/$I335,0)),IF($B$6="No",ROUNDUP($B$4/$G335,0),ROUNDUP(($B$4+$G335)/$G335,0)))+$B$5</f>
        <v>1</v>
      </c>
      <c r="V335" s="400" t="b">
        <f t="shared" ca="1" si="816"/>
        <v>1</v>
      </c>
      <c r="W335" s="400" t="str">
        <f t="shared" ca="1" si="852"/>
        <v>Accepted</v>
      </c>
      <c r="X335" s="398" t="str">
        <f t="shared" ca="1" si="825"/>
        <v>Yes</v>
      </c>
      <c r="Y335" s="398">
        <f t="shared" ca="1" si="826"/>
        <v>31</v>
      </c>
      <c r="Z335" s="398" t="str">
        <f t="shared" ca="1" si="827"/>
        <v>E-Series dual ctrl base Unit, 60x4TB RAID5</v>
      </c>
      <c r="AA335" s="398">
        <f t="shared" ca="1" si="853"/>
        <v>31</v>
      </c>
      <c r="AB335" s="398">
        <f t="shared" ca="1" si="817"/>
        <v>2</v>
      </c>
      <c r="AC335" s="398">
        <f t="shared" ca="1" si="818"/>
        <v>480</v>
      </c>
      <c r="AD335" s="398">
        <f t="shared" ca="1" si="854"/>
        <v>409640</v>
      </c>
      <c r="AE335" s="399">
        <f t="shared" si="886"/>
        <v>1022</v>
      </c>
      <c r="AF335" s="399">
        <f t="shared" si="887"/>
        <v>4</v>
      </c>
      <c r="AG335" s="483" t="e">
        <f t="shared" ca="1" si="828"/>
        <v>#DIV/0!</v>
      </c>
      <c r="AH335" s="400">
        <f ca="1">IF(MAX(IF($C$6="No",ROUNDUP($C$3/$I335,0),ROUNDUP(($C$3+$I335)/$I335,0)),IF($C$6="No",ROUNDUP($C$4/$G335,0),ROUNDUP(($C$4+$G335)/$G335,0)),ROUNDUP('BVMS checklist'!$H$217/$J335,0))&gt;1,'BVMS checklist'!$J$224,'BVMS checklist'!$J$217)</f>
        <v>0</v>
      </c>
      <c r="AI335" s="398">
        <f t="shared" ca="1" si="829"/>
        <v>2</v>
      </c>
      <c r="AJ335" s="400">
        <f t="shared" ca="1" si="855"/>
        <v>2</v>
      </c>
      <c r="AK335" s="400">
        <f t="shared" ca="1" si="856"/>
        <v>2500</v>
      </c>
      <c r="AL335" s="400">
        <f t="shared" ca="1" si="857"/>
        <v>0</v>
      </c>
      <c r="AM335" s="398">
        <f t="shared" ca="1" si="858"/>
        <v>409640</v>
      </c>
      <c r="AN335" s="401" t="e">
        <f t="shared" ca="1" si="830"/>
        <v>#DIV/0!</v>
      </c>
      <c r="AO335" s="398">
        <f t="shared" ca="1" si="859"/>
        <v>1600</v>
      </c>
      <c r="AP335" s="400">
        <f ca="1">IF(MAX(IF($C$6="No",ROUNDUP($C$3/$I335,0),ROUNDUP(($C$3+$I335)/$I335,0)),IF($C$6="No",ROUNDUP($C$4/$G335,0),ROUNDUP(($C$4+$G335)/$G335,0)),ROUNDUP('BVMS checklist'!$H$217/$J335,0))&gt;1,'BVMS checklist'!$J$224,'BVMS checklist'!$J$217)+MAX(IF($C$6="No",ROUNDUP($C$3/$I335,0),ROUNDUP(($C$3+$I335)/$I335,0)),IF($C$6="No",ROUNDUP($C$4/$G335,0),ROUNDUP(($C$4+$G335)/$G335,0)))+$C$5</f>
        <v>1</v>
      </c>
      <c r="AQ335" s="400" t="b">
        <f t="shared" ca="1" si="819"/>
        <v>1</v>
      </c>
      <c r="AR335" s="400" t="str">
        <f t="shared" ca="1" si="860"/>
        <v>Accepted</v>
      </c>
      <c r="AS335" s="398" t="str">
        <f t="shared" ca="1" si="845"/>
        <v>Yes</v>
      </c>
      <c r="AT335" s="398">
        <f t="shared" ca="1" si="861"/>
        <v>31</v>
      </c>
      <c r="AU335" s="398" t="str">
        <f t="shared" ca="1" si="831"/>
        <v>E-Series dual ctrl base Unit, 60x4TB RAID5</v>
      </c>
      <c r="AV335" s="398">
        <f t="shared" ca="1" si="832"/>
        <v>31</v>
      </c>
      <c r="AW335" s="398">
        <f t="shared" ca="1" si="862"/>
        <v>2</v>
      </c>
      <c r="AX335" s="398">
        <f t="shared" ca="1" si="863"/>
        <v>480</v>
      </c>
      <c r="AY335" s="398">
        <f t="shared" ca="1" si="864"/>
        <v>409640</v>
      </c>
      <c r="AZ335" s="399">
        <f t="shared" si="888"/>
        <v>1022</v>
      </c>
      <c r="BA335" s="399">
        <f t="shared" si="889"/>
        <v>4</v>
      </c>
      <c r="BB335" s="483" t="e">
        <f t="shared" ca="1" si="833"/>
        <v>#DIV/0!</v>
      </c>
      <c r="BC335" s="400">
        <f ca="1">IF(MAX(IF($D$6="No",ROUNDUP($D$3/$I335,0),ROUNDUP(($D$3+$I335)/$I335,0)),IF($D$6="No",ROUNDUP($D$4/$G335,0),ROUNDUP(($D$4+$G335)/$G335,0)),ROUNDUP('BVMS checklist'!$H$217/$J335,0))&gt;1,'BVMS checklist'!$L$224,'BVMS checklist'!$L$217)</f>
        <v>0</v>
      </c>
      <c r="BD335" s="398">
        <f t="shared" ca="1" si="834"/>
        <v>2</v>
      </c>
      <c r="BE335" s="400">
        <f t="shared" si="835"/>
        <v>1</v>
      </c>
      <c r="BF335" s="400">
        <f t="shared" si="865"/>
        <v>1250</v>
      </c>
      <c r="BG335" s="400">
        <f t="shared" ca="1" si="846"/>
        <v>0</v>
      </c>
      <c r="BH335" s="398">
        <f t="shared" ca="1" si="866"/>
        <v>409640</v>
      </c>
      <c r="BI335" s="401" t="e">
        <f t="shared" ca="1" si="836"/>
        <v>#DIV/0!</v>
      </c>
      <c r="BJ335" s="398">
        <f t="shared" ca="1" si="867"/>
        <v>1600</v>
      </c>
      <c r="BK335" s="400">
        <f ca="1">IF(MAX(IF($D$6="No",ROUNDUP($D$3/$I335,0),ROUNDUP(($D$3+$I335)/$I335,0)),IF($D$6="No",ROUNDUP($D$4/$G335,0),ROUNDUP(($D$4+$G335)/$G335,0)),ROUNDUP('BVMS checklist'!$H$217/$J335,0))&gt;1,'BVMS checklist'!$L$224,'BVMS checklist'!$L$217)+MAX(IF($D$6="No",ROUNDUP($D$3/$I335,0),ROUNDUP(($D$3+$I335)/$I335,0)),IF($D$6="No",ROUNDUP($D$4/$G335,0),ROUNDUP(($D$4+$G335)/$G335,0)))+$D$5</f>
        <v>1</v>
      </c>
      <c r="BL335" s="400" t="b">
        <f t="shared" ca="1" si="820"/>
        <v>1</v>
      </c>
      <c r="BM335" s="400" t="str">
        <f t="shared" ca="1" si="868"/>
        <v>Accepted</v>
      </c>
      <c r="BN335" s="398" t="str">
        <f t="shared" ca="1" si="847"/>
        <v>Yes</v>
      </c>
      <c r="BO335" s="398">
        <f t="shared" ca="1" si="869"/>
        <v>31</v>
      </c>
      <c r="BP335" s="398" t="str">
        <f t="shared" ca="1" si="837"/>
        <v>E-Series dual ctrl base Unit, 60x4TB RAID5</v>
      </c>
      <c r="BQ335" s="398">
        <f t="shared" ca="1" si="838"/>
        <v>31</v>
      </c>
      <c r="BR335" s="398">
        <f t="shared" ca="1" si="870"/>
        <v>2</v>
      </c>
      <c r="BS335" s="398">
        <f t="shared" ca="1" si="871"/>
        <v>480</v>
      </c>
      <c r="BT335" s="398">
        <f t="shared" ca="1" si="872"/>
        <v>409640</v>
      </c>
      <c r="BU335" s="399">
        <f t="shared" si="890"/>
        <v>1022</v>
      </c>
      <c r="BV335" s="399">
        <f t="shared" si="891"/>
        <v>4</v>
      </c>
      <c r="BW335" s="483" t="e">
        <f t="shared" ca="1" si="839"/>
        <v>#DIV/0!</v>
      </c>
      <c r="BX335" s="400">
        <f ca="1">IF(MAX(IF($E$6="No",ROUNDUP($E$3/$I335,0),ROUNDUP(($E$3+$I335)/$I335,0)),IF($E$6="No",ROUNDUP($E$4/$G335,0),ROUNDUP(($E$4+$G335)/$G335,0)),ROUNDUP('BVMS checklist'!$H$217/$J335,0))&gt;1,'BVMS checklist'!$N$224,'BVMS checklist'!$N$217)</f>
        <v>0</v>
      </c>
      <c r="BY335" s="398">
        <f t="shared" ca="1" si="840"/>
        <v>2</v>
      </c>
      <c r="BZ335" s="400">
        <f t="shared" ca="1" si="873"/>
        <v>2</v>
      </c>
      <c r="CA335" s="400">
        <f t="shared" ca="1" si="874"/>
        <v>2500</v>
      </c>
      <c r="CB335" s="400">
        <f t="shared" ca="1" si="848"/>
        <v>0</v>
      </c>
      <c r="CC335" s="398">
        <f t="shared" ca="1" si="875"/>
        <v>409640</v>
      </c>
      <c r="CD335" s="401" t="e">
        <f t="shared" ca="1" si="841"/>
        <v>#DIV/0!</v>
      </c>
      <c r="CE335" s="398">
        <f t="shared" ca="1" si="876"/>
        <v>1600</v>
      </c>
      <c r="CF335" s="400">
        <f ca="1">IF(MAX(IF($E$6="No",ROUNDUP($E$3/$I335,0),ROUNDUP(($E$3+$I335)/$I335,0)),IF($E$6="No",ROUNDUP($E$4/$G335,0),ROUNDUP(($E$4+$G335)/$G335,0)),ROUNDUP('BVMS checklist'!$H$217/$J335,0))&gt;1,'BVMS checklist'!$N$224,'BVMS checklist'!$N$217)+MAX(IF($E$6="No",ROUNDUP($E$3/$I335,0),ROUNDUP(($E$3+$I335)/$I335,0)),IF($E$6="No",ROUNDUP($E$4/$G335,0),ROUNDUP(($E$4+$G335)/$G335,0)))+$E$5</f>
        <v>1</v>
      </c>
      <c r="CG335" s="400" t="b">
        <f t="shared" ca="1" si="821"/>
        <v>1</v>
      </c>
      <c r="CH335" s="400" t="str">
        <f t="shared" ca="1" si="877"/>
        <v>Accepted</v>
      </c>
      <c r="CI335" s="398" t="str">
        <f t="shared" ca="1" si="849"/>
        <v>Yes</v>
      </c>
      <c r="CJ335" s="398">
        <f t="shared" ca="1" si="878"/>
        <v>31</v>
      </c>
      <c r="CK335" s="398" t="str">
        <f t="shared" ca="1" si="842"/>
        <v>E-Series dual ctrl base Unit, 60x4TB RAID5</v>
      </c>
      <c r="CL335" s="398">
        <f t="shared" ca="1" si="843"/>
        <v>31</v>
      </c>
      <c r="CM335" s="398">
        <f t="shared" ca="1" si="879"/>
        <v>2</v>
      </c>
      <c r="CN335" s="398">
        <f t="shared" ca="1" si="880"/>
        <v>480</v>
      </c>
      <c r="CO335" s="398">
        <f t="shared" ca="1" si="881"/>
        <v>409640</v>
      </c>
      <c r="CP335" s="399">
        <f t="shared" si="892"/>
        <v>1022</v>
      </c>
      <c r="CQ335" s="399">
        <f t="shared" si="893"/>
        <v>4</v>
      </c>
      <c r="CR335" s="483" t="e">
        <f t="shared" ca="1" si="844"/>
        <v>#DIV/0!</v>
      </c>
      <c r="CS335"/>
    </row>
    <row r="336" spans="1:97">
      <c r="A336" s="398" t="s">
        <v>572</v>
      </c>
      <c r="B336" s="398" t="s">
        <v>988</v>
      </c>
      <c r="C336" s="440" t="s">
        <v>891</v>
      </c>
      <c r="D336" s="398">
        <v>2</v>
      </c>
      <c r="E336" s="398">
        <v>1</v>
      </c>
      <c r="F336" s="440">
        <v>0</v>
      </c>
      <c r="G336" s="398">
        <f t="shared" ref="G336:G337" si="898">IF(C336="RAID5",(55-F336)*3724,IF(C336="RAID6",(50-F336)*3724,IF(C336="DDP",(60*3724*0.7),"Error")))+IF(C336="RAID5",(55-F336)*3724,IF(C336="RAID6",(50-F336)*3724,IF(C336="DDP",(60*3724*0.7),"Error")))*E336</f>
        <v>409640</v>
      </c>
      <c r="H336" s="399">
        <v>480</v>
      </c>
      <c r="I336" s="399">
        <v>1250</v>
      </c>
      <c r="J336" s="399">
        <v>800</v>
      </c>
      <c r="K336" s="399">
        <v>2044</v>
      </c>
      <c r="L336" s="399">
        <v>4</v>
      </c>
      <c r="M336" s="400">
        <f ca="1">IF(MAX(IF($B$6="No",ROUNDUP($B$3/$I336,0),ROUNDUP(($B$3+$I336)/$I336,0)),IF($B$6="No",ROUNDUP($B$4/$G336,0),ROUNDUP(($B$4+$G336)/$G336,0)),ROUNDUP('BVMS checklist'!$H$217/$J336,0))&gt;1,'BVMS checklist'!$H$224,'BVMS checklist'!$H$217)</f>
        <v>0</v>
      </c>
      <c r="N336" s="398">
        <f t="shared" ca="1" si="822"/>
        <v>2</v>
      </c>
      <c r="O336" s="400">
        <f t="shared" ca="1" si="851"/>
        <v>2</v>
      </c>
      <c r="P336" s="400">
        <f t="shared" ca="1" si="813"/>
        <v>2500</v>
      </c>
      <c r="Q336" s="400">
        <f t="shared" ca="1" si="814"/>
        <v>0</v>
      </c>
      <c r="R336" s="398">
        <f t="shared" ca="1" si="815"/>
        <v>819280</v>
      </c>
      <c r="S336" s="401" t="e">
        <f t="shared" ca="1" si="823"/>
        <v>#DIV/0!</v>
      </c>
      <c r="T336" s="398">
        <f t="shared" ca="1" si="824"/>
        <v>1600</v>
      </c>
      <c r="U336" s="400">
        <f ca="1">IF(MAX(IF($B$6="No",ROUNDUP($B$3/$I336,0),ROUNDUP(($B$3+$I336)/$I336,0)),IF($B$6="No",ROUNDUP($B$4/$G336,0),ROUNDUP(($B$4+$G336)/$G336,0)),ROUNDUP('BVMS checklist'!$H$217/$J336,0))&gt;1,'BVMS checklist'!$H$224,'BVMS checklist'!$H$217)+MAX(IF($B$6="No",ROUNDUP($B$3/$I336,0),ROUNDUP(($B$3+$I336)/$I336,0)),IF($B$6="No",ROUNDUP($B$4/$G336,0),ROUNDUP(($B$4+$G336)/$G336,0)))+$B$5</f>
        <v>1</v>
      </c>
      <c r="V336" s="400" t="b">
        <f t="shared" ca="1" si="816"/>
        <v>1</v>
      </c>
      <c r="W336" s="400" t="str">
        <f t="shared" ca="1" si="852"/>
        <v>Accepted</v>
      </c>
      <c r="X336" s="398" t="str">
        <f t="shared" ca="1" si="825"/>
        <v>Yes</v>
      </c>
      <c r="Y336" s="398">
        <f t="shared" ca="1" si="826"/>
        <v>32</v>
      </c>
      <c r="Z336" s="398" t="str">
        <f t="shared" ca="1" si="827"/>
        <v>E-Series dual ctrl Base + 1x 60 HDD Exp, 60x4TB+60x4TB RAID5</v>
      </c>
      <c r="AA336" s="398">
        <f t="shared" ca="1" si="853"/>
        <v>32</v>
      </c>
      <c r="AB336" s="398">
        <f t="shared" ca="1" si="817"/>
        <v>2</v>
      </c>
      <c r="AC336" s="398">
        <f t="shared" ca="1" si="818"/>
        <v>960</v>
      </c>
      <c r="AD336" s="398">
        <f t="shared" ca="1" si="854"/>
        <v>819280</v>
      </c>
      <c r="AE336" s="399">
        <f t="shared" si="886"/>
        <v>2044</v>
      </c>
      <c r="AF336" s="399">
        <f t="shared" si="887"/>
        <v>4</v>
      </c>
      <c r="AG336" s="483" t="e">
        <f t="shared" ca="1" si="828"/>
        <v>#DIV/0!</v>
      </c>
      <c r="AH336" s="400">
        <f ca="1">IF(MAX(IF($C$6="No",ROUNDUP($C$3/$I336,0),ROUNDUP(($C$3+$I336)/$I336,0)),IF($C$6="No",ROUNDUP($C$4/$G336,0),ROUNDUP(($C$4+$G336)/$G336,0)),ROUNDUP('BVMS checklist'!$H$217/$J336,0))&gt;1,'BVMS checklist'!$J$224,'BVMS checklist'!$J$217)</f>
        <v>0</v>
      </c>
      <c r="AI336" s="398">
        <f t="shared" ca="1" si="829"/>
        <v>2</v>
      </c>
      <c r="AJ336" s="400">
        <f t="shared" ca="1" si="855"/>
        <v>2</v>
      </c>
      <c r="AK336" s="400">
        <f t="shared" ca="1" si="856"/>
        <v>2500</v>
      </c>
      <c r="AL336" s="400">
        <f t="shared" ca="1" si="857"/>
        <v>0</v>
      </c>
      <c r="AM336" s="398">
        <f t="shared" ca="1" si="858"/>
        <v>819280</v>
      </c>
      <c r="AN336" s="401" t="e">
        <f t="shared" ca="1" si="830"/>
        <v>#DIV/0!</v>
      </c>
      <c r="AO336" s="398">
        <f t="shared" ca="1" si="859"/>
        <v>1600</v>
      </c>
      <c r="AP336" s="400">
        <f ca="1">IF(MAX(IF($C$6="No",ROUNDUP($C$3/$I336,0),ROUNDUP(($C$3+$I336)/$I336,0)),IF($C$6="No",ROUNDUP($C$4/$G336,0),ROUNDUP(($C$4+$G336)/$G336,0)),ROUNDUP('BVMS checklist'!$H$217/$J336,0))&gt;1,'BVMS checklist'!$J$224,'BVMS checklist'!$J$217)+MAX(IF($C$6="No",ROUNDUP($C$3/$I336,0),ROUNDUP(($C$3+$I336)/$I336,0)),IF($C$6="No",ROUNDUP($C$4/$G336,0),ROUNDUP(($C$4+$G336)/$G336,0)))+$C$5</f>
        <v>1</v>
      </c>
      <c r="AQ336" s="400" t="b">
        <f t="shared" ca="1" si="819"/>
        <v>1</v>
      </c>
      <c r="AR336" s="400" t="str">
        <f t="shared" ca="1" si="860"/>
        <v>Accepted</v>
      </c>
      <c r="AS336" s="398" t="str">
        <f t="shared" ca="1" si="845"/>
        <v>Yes</v>
      </c>
      <c r="AT336" s="398">
        <f t="shared" ca="1" si="861"/>
        <v>32</v>
      </c>
      <c r="AU336" s="398" t="str">
        <f t="shared" ca="1" si="831"/>
        <v>E-Series dual ctrl Base + 1x 60 HDD Exp, 60x4TB+60x4TB RAID5</v>
      </c>
      <c r="AV336" s="398">
        <f t="shared" ca="1" si="832"/>
        <v>32</v>
      </c>
      <c r="AW336" s="398">
        <f t="shared" ca="1" si="862"/>
        <v>2</v>
      </c>
      <c r="AX336" s="398">
        <f t="shared" ca="1" si="863"/>
        <v>960</v>
      </c>
      <c r="AY336" s="398">
        <f t="shared" ca="1" si="864"/>
        <v>819280</v>
      </c>
      <c r="AZ336" s="399">
        <f t="shared" si="888"/>
        <v>2044</v>
      </c>
      <c r="BA336" s="399">
        <f t="shared" si="889"/>
        <v>4</v>
      </c>
      <c r="BB336" s="483" t="e">
        <f t="shared" ca="1" si="833"/>
        <v>#DIV/0!</v>
      </c>
      <c r="BC336" s="400">
        <f ca="1">IF(MAX(IF($D$6="No",ROUNDUP($D$3/$I336,0),ROUNDUP(($D$3+$I336)/$I336,0)),IF($D$6="No",ROUNDUP($D$4/$G336,0),ROUNDUP(($D$4+$G336)/$G336,0)),ROUNDUP('BVMS checklist'!$H$217/$J336,0))&gt;1,'BVMS checklist'!$L$224,'BVMS checklist'!$L$217)</f>
        <v>0</v>
      </c>
      <c r="BD336" s="398">
        <f t="shared" ca="1" si="834"/>
        <v>2</v>
      </c>
      <c r="BE336" s="400">
        <f t="shared" si="835"/>
        <v>1</v>
      </c>
      <c r="BF336" s="400">
        <f t="shared" si="865"/>
        <v>1250</v>
      </c>
      <c r="BG336" s="400">
        <f t="shared" ca="1" si="846"/>
        <v>0</v>
      </c>
      <c r="BH336" s="398">
        <f t="shared" ca="1" si="866"/>
        <v>819280</v>
      </c>
      <c r="BI336" s="401" t="e">
        <f t="shared" ca="1" si="836"/>
        <v>#DIV/0!</v>
      </c>
      <c r="BJ336" s="398">
        <f t="shared" ca="1" si="867"/>
        <v>1600</v>
      </c>
      <c r="BK336" s="400">
        <f ca="1">IF(MAX(IF($D$6="No",ROUNDUP($D$3/$I336,0),ROUNDUP(($D$3+$I336)/$I336,0)),IF($D$6="No",ROUNDUP($D$4/$G336,0),ROUNDUP(($D$4+$G336)/$G336,0)),ROUNDUP('BVMS checklist'!$H$217/$J336,0))&gt;1,'BVMS checklist'!$L$224,'BVMS checklist'!$L$217)+MAX(IF($D$6="No",ROUNDUP($D$3/$I336,0),ROUNDUP(($D$3+$I336)/$I336,0)),IF($D$6="No",ROUNDUP($D$4/$G336,0),ROUNDUP(($D$4+$G336)/$G336,0)))+$D$5</f>
        <v>1</v>
      </c>
      <c r="BL336" s="400" t="b">
        <f t="shared" ca="1" si="820"/>
        <v>1</v>
      </c>
      <c r="BM336" s="400" t="str">
        <f t="shared" ca="1" si="868"/>
        <v>Accepted</v>
      </c>
      <c r="BN336" s="398" t="str">
        <f t="shared" ca="1" si="847"/>
        <v>Yes</v>
      </c>
      <c r="BO336" s="398">
        <f t="shared" ca="1" si="869"/>
        <v>32</v>
      </c>
      <c r="BP336" s="398" t="str">
        <f t="shared" ca="1" si="837"/>
        <v>E-Series dual ctrl Base + 1x 60 HDD Exp, 60x4TB+60x4TB RAID5</v>
      </c>
      <c r="BQ336" s="398">
        <f t="shared" ca="1" si="838"/>
        <v>32</v>
      </c>
      <c r="BR336" s="398">
        <f t="shared" ca="1" si="870"/>
        <v>2</v>
      </c>
      <c r="BS336" s="398">
        <f t="shared" ca="1" si="871"/>
        <v>960</v>
      </c>
      <c r="BT336" s="398">
        <f t="shared" ca="1" si="872"/>
        <v>819280</v>
      </c>
      <c r="BU336" s="399">
        <f t="shared" si="890"/>
        <v>2044</v>
      </c>
      <c r="BV336" s="399">
        <f t="shared" si="891"/>
        <v>4</v>
      </c>
      <c r="BW336" s="483" t="e">
        <f t="shared" ca="1" si="839"/>
        <v>#DIV/0!</v>
      </c>
      <c r="BX336" s="400">
        <f ca="1">IF(MAX(IF($E$6="No",ROUNDUP($E$3/$I336,0),ROUNDUP(($E$3+$I336)/$I336,0)),IF($E$6="No",ROUNDUP($E$4/$G336,0),ROUNDUP(($E$4+$G336)/$G336,0)),ROUNDUP('BVMS checklist'!$H$217/$J336,0))&gt;1,'BVMS checklist'!$N$224,'BVMS checklist'!$N$217)</f>
        <v>0</v>
      </c>
      <c r="BY336" s="398">
        <f t="shared" ca="1" si="840"/>
        <v>2</v>
      </c>
      <c r="BZ336" s="400">
        <f t="shared" ca="1" si="873"/>
        <v>2</v>
      </c>
      <c r="CA336" s="400">
        <f t="shared" ca="1" si="874"/>
        <v>2500</v>
      </c>
      <c r="CB336" s="400">
        <f t="shared" ca="1" si="848"/>
        <v>0</v>
      </c>
      <c r="CC336" s="398">
        <f t="shared" ca="1" si="875"/>
        <v>819280</v>
      </c>
      <c r="CD336" s="401" t="e">
        <f t="shared" ca="1" si="841"/>
        <v>#DIV/0!</v>
      </c>
      <c r="CE336" s="398">
        <f t="shared" ca="1" si="876"/>
        <v>1600</v>
      </c>
      <c r="CF336" s="400">
        <f ca="1">IF(MAX(IF($E$6="No",ROUNDUP($E$3/$I336,0),ROUNDUP(($E$3+$I336)/$I336,0)),IF($E$6="No",ROUNDUP($E$4/$G336,0),ROUNDUP(($E$4+$G336)/$G336,0)),ROUNDUP('BVMS checklist'!$H$217/$J336,0))&gt;1,'BVMS checklist'!$N$224,'BVMS checklist'!$N$217)+MAX(IF($E$6="No",ROUNDUP($E$3/$I336,0),ROUNDUP(($E$3+$I336)/$I336,0)),IF($E$6="No",ROUNDUP($E$4/$G336,0),ROUNDUP(($E$4+$G336)/$G336,0)))+$E$5</f>
        <v>1</v>
      </c>
      <c r="CG336" s="400" t="b">
        <f t="shared" ca="1" si="821"/>
        <v>1</v>
      </c>
      <c r="CH336" s="400" t="str">
        <f t="shared" ca="1" si="877"/>
        <v>Accepted</v>
      </c>
      <c r="CI336" s="398" t="str">
        <f t="shared" ca="1" si="849"/>
        <v>Yes</v>
      </c>
      <c r="CJ336" s="398">
        <f t="shared" ca="1" si="878"/>
        <v>32</v>
      </c>
      <c r="CK336" s="398" t="str">
        <f t="shared" ca="1" si="842"/>
        <v>E-Series dual ctrl Base + 1x 60 HDD Exp, 60x4TB+60x4TB RAID5</v>
      </c>
      <c r="CL336" s="398">
        <f t="shared" ca="1" si="843"/>
        <v>32</v>
      </c>
      <c r="CM336" s="398">
        <f t="shared" ca="1" si="879"/>
        <v>2</v>
      </c>
      <c r="CN336" s="398">
        <f t="shared" ca="1" si="880"/>
        <v>960</v>
      </c>
      <c r="CO336" s="398">
        <f t="shared" ca="1" si="881"/>
        <v>819280</v>
      </c>
      <c r="CP336" s="399">
        <f t="shared" si="892"/>
        <v>2044</v>
      </c>
      <c r="CQ336" s="399">
        <f t="shared" si="893"/>
        <v>4</v>
      </c>
      <c r="CR336" s="483" t="e">
        <f t="shared" ca="1" si="844"/>
        <v>#DIV/0!</v>
      </c>
      <c r="CS336"/>
    </row>
    <row r="337" spans="1:97">
      <c r="A337" s="398" t="s">
        <v>573</v>
      </c>
      <c r="B337" s="398" t="s">
        <v>988</v>
      </c>
      <c r="C337" s="440" t="s">
        <v>891</v>
      </c>
      <c r="D337" s="398">
        <v>2</v>
      </c>
      <c r="E337" s="398">
        <v>2</v>
      </c>
      <c r="F337" s="440">
        <v>0</v>
      </c>
      <c r="G337" s="398">
        <f t="shared" si="898"/>
        <v>614460</v>
      </c>
      <c r="H337" s="399">
        <v>720</v>
      </c>
      <c r="I337" s="399">
        <v>1250</v>
      </c>
      <c r="J337" s="399">
        <v>800</v>
      </c>
      <c r="K337" s="399">
        <v>3066</v>
      </c>
      <c r="L337" s="399">
        <v>4</v>
      </c>
      <c r="M337" s="400">
        <f ca="1">IF(MAX(IF($B$6="No",ROUNDUP($B$3/$I337,0),ROUNDUP(($B$3+$I337)/$I337,0)),IF($B$6="No",ROUNDUP($B$4/$G337,0),ROUNDUP(($B$4+$G337)/$G337,0)),ROUNDUP('BVMS checklist'!$H$217/$J337,0))&gt;1,'BVMS checklist'!$H$224,'BVMS checklist'!$H$217)</f>
        <v>0</v>
      </c>
      <c r="N337" s="398">
        <f t="shared" ca="1" si="822"/>
        <v>2</v>
      </c>
      <c r="O337" s="400">
        <f t="shared" ca="1" si="851"/>
        <v>2</v>
      </c>
      <c r="P337" s="400">
        <f t="shared" ca="1" si="813"/>
        <v>2500</v>
      </c>
      <c r="Q337" s="400">
        <f t="shared" ca="1" si="814"/>
        <v>0</v>
      </c>
      <c r="R337" s="398">
        <f t="shared" ca="1" si="815"/>
        <v>1228920</v>
      </c>
      <c r="S337" s="401" t="e">
        <f t="shared" ca="1" si="823"/>
        <v>#DIV/0!</v>
      </c>
      <c r="T337" s="398">
        <f t="shared" ca="1" si="824"/>
        <v>1600</v>
      </c>
      <c r="U337" s="400">
        <f ca="1">IF(MAX(IF($B$6="No",ROUNDUP($B$3/$I337,0),ROUNDUP(($B$3+$I337)/$I337,0)),IF($B$6="No",ROUNDUP($B$4/$G337,0),ROUNDUP(($B$4+$G337)/$G337,0)),ROUNDUP('BVMS checklist'!$H$217/$J337,0))&gt;1,'BVMS checklist'!$H$224,'BVMS checklist'!$H$217)+MAX(IF($B$6="No",ROUNDUP($B$3/$I337,0),ROUNDUP(($B$3+$I337)/$I337,0)),IF($B$6="No",ROUNDUP($B$4/$G337,0),ROUNDUP(($B$4+$G337)/$G337,0)))+$B$5</f>
        <v>1</v>
      </c>
      <c r="V337" s="400" t="b">
        <f t="shared" ca="1" si="816"/>
        <v>1</v>
      </c>
      <c r="W337" s="400" t="str">
        <f t="shared" ca="1" si="852"/>
        <v>Accepted</v>
      </c>
      <c r="X337" s="398" t="str">
        <f t="shared" ca="1" si="825"/>
        <v>Yes</v>
      </c>
      <c r="Y337" s="398">
        <f t="shared" ca="1" si="826"/>
        <v>33</v>
      </c>
      <c r="Z337" s="398" t="str">
        <f t="shared" ca="1" si="827"/>
        <v>E-Series dual ctrl Base + 2x 60 HDD Exp, 60x4TB+120x4TB RAID5</v>
      </c>
      <c r="AA337" s="398">
        <f t="shared" ca="1" si="853"/>
        <v>33</v>
      </c>
      <c r="AB337" s="398">
        <f t="shared" ca="1" si="817"/>
        <v>2</v>
      </c>
      <c r="AC337" s="398">
        <f t="shared" ca="1" si="818"/>
        <v>1440</v>
      </c>
      <c r="AD337" s="398">
        <f t="shared" ca="1" si="854"/>
        <v>1228920</v>
      </c>
      <c r="AE337" s="399">
        <f t="shared" si="886"/>
        <v>3066</v>
      </c>
      <c r="AF337" s="399">
        <f t="shared" si="887"/>
        <v>4</v>
      </c>
      <c r="AG337" s="483" t="e">
        <f t="shared" ca="1" si="828"/>
        <v>#DIV/0!</v>
      </c>
      <c r="AH337" s="400">
        <f ca="1">IF(MAX(IF($C$6="No",ROUNDUP($C$3/$I337,0),ROUNDUP(($C$3+$I337)/$I337,0)),IF($C$6="No",ROUNDUP($C$4/$G337,0),ROUNDUP(($C$4+$G337)/$G337,0)),ROUNDUP('BVMS checklist'!$H$217/$J337,0))&gt;1,'BVMS checklist'!$J$224,'BVMS checklist'!$J$217)</f>
        <v>0</v>
      </c>
      <c r="AI337" s="398">
        <f t="shared" ca="1" si="829"/>
        <v>2</v>
      </c>
      <c r="AJ337" s="400">
        <f t="shared" ca="1" si="855"/>
        <v>2</v>
      </c>
      <c r="AK337" s="400">
        <f t="shared" ca="1" si="856"/>
        <v>2500</v>
      </c>
      <c r="AL337" s="400">
        <f t="shared" ca="1" si="857"/>
        <v>0</v>
      </c>
      <c r="AM337" s="398">
        <f t="shared" ca="1" si="858"/>
        <v>1228920</v>
      </c>
      <c r="AN337" s="401" t="e">
        <f t="shared" ca="1" si="830"/>
        <v>#DIV/0!</v>
      </c>
      <c r="AO337" s="398">
        <f t="shared" ca="1" si="859"/>
        <v>1600</v>
      </c>
      <c r="AP337" s="400">
        <f ca="1">IF(MAX(IF($C$6="No",ROUNDUP($C$3/$I337,0),ROUNDUP(($C$3+$I337)/$I337,0)),IF($C$6="No",ROUNDUP($C$4/$G337,0),ROUNDUP(($C$4+$G337)/$G337,0)),ROUNDUP('BVMS checklist'!$H$217/$J337,0))&gt;1,'BVMS checklist'!$J$224,'BVMS checklist'!$J$217)+MAX(IF($C$6="No",ROUNDUP($C$3/$I337,0),ROUNDUP(($C$3+$I337)/$I337,0)),IF($C$6="No",ROUNDUP($C$4/$G337,0),ROUNDUP(($C$4+$G337)/$G337,0)))+$C$5</f>
        <v>1</v>
      </c>
      <c r="AQ337" s="400" t="b">
        <f t="shared" ca="1" si="819"/>
        <v>1</v>
      </c>
      <c r="AR337" s="400" t="str">
        <f t="shared" ca="1" si="860"/>
        <v>Accepted</v>
      </c>
      <c r="AS337" s="398" t="str">
        <f t="shared" ca="1" si="845"/>
        <v>Yes</v>
      </c>
      <c r="AT337" s="398">
        <f t="shared" ca="1" si="861"/>
        <v>33</v>
      </c>
      <c r="AU337" s="398" t="str">
        <f t="shared" ca="1" si="831"/>
        <v>E-Series dual ctrl Base + 2x 60 HDD Exp, 60x4TB+120x4TB RAID5</v>
      </c>
      <c r="AV337" s="398">
        <f t="shared" ca="1" si="832"/>
        <v>33</v>
      </c>
      <c r="AW337" s="398">
        <f t="shared" ca="1" si="862"/>
        <v>2</v>
      </c>
      <c r="AX337" s="398">
        <f t="shared" ca="1" si="863"/>
        <v>1440</v>
      </c>
      <c r="AY337" s="398">
        <f t="shared" ca="1" si="864"/>
        <v>1228920</v>
      </c>
      <c r="AZ337" s="399">
        <f t="shared" si="888"/>
        <v>3066</v>
      </c>
      <c r="BA337" s="399">
        <f t="shared" si="889"/>
        <v>4</v>
      </c>
      <c r="BB337" s="483" t="e">
        <f t="shared" ca="1" si="833"/>
        <v>#DIV/0!</v>
      </c>
      <c r="BC337" s="400">
        <f ca="1">IF(MAX(IF($D$6="No",ROUNDUP($D$3/$I337,0),ROUNDUP(($D$3+$I337)/$I337,0)),IF($D$6="No",ROUNDUP($D$4/$G337,0),ROUNDUP(($D$4+$G337)/$G337,0)),ROUNDUP('BVMS checklist'!$H$217/$J337,0))&gt;1,'BVMS checklist'!$L$224,'BVMS checklist'!$L$217)</f>
        <v>0</v>
      </c>
      <c r="BD337" s="398">
        <f t="shared" ca="1" si="834"/>
        <v>2</v>
      </c>
      <c r="BE337" s="400">
        <f t="shared" si="835"/>
        <v>1</v>
      </c>
      <c r="BF337" s="400">
        <f t="shared" si="865"/>
        <v>1250</v>
      </c>
      <c r="BG337" s="400">
        <f t="shared" ca="1" si="846"/>
        <v>0</v>
      </c>
      <c r="BH337" s="398">
        <f t="shared" ca="1" si="866"/>
        <v>1228920</v>
      </c>
      <c r="BI337" s="401" t="e">
        <f t="shared" ca="1" si="836"/>
        <v>#DIV/0!</v>
      </c>
      <c r="BJ337" s="398">
        <f t="shared" ca="1" si="867"/>
        <v>1600</v>
      </c>
      <c r="BK337" s="400">
        <f ca="1">IF(MAX(IF($D$6="No",ROUNDUP($D$3/$I337,0),ROUNDUP(($D$3+$I337)/$I337,0)),IF($D$6="No",ROUNDUP($D$4/$G337,0),ROUNDUP(($D$4+$G337)/$G337,0)),ROUNDUP('BVMS checklist'!$H$217/$J337,0))&gt;1,'BVMS checklist'!$L$224,'BVMS checklist'!$L$217)+MAX(IF($D$6="No",ROUNDUP($D$3/$I337,0),ROUNDUP(($D$3+$I337)/$I337,0)),IF($D$6="No",ROUNDUP($D$4/$G337,0),ROUNDUP(($D$4+$G337)/$G337,0)))+$D$5</f>
        <v>1</v>
      </c>
      <c r="BL337" s="400" t="b">
        <f t="shared" ca="1" si="820"/>
        <v>1</v>
      </c>
      <c r="BM337" s="400" t="str">
        <f t="shared" ca="1" si="868"/>
        <v>Accepted</v>
      </c>
      <c r="BN337" s="398" t="str">
        <f t="shared" ca="1" si="847"/>
        <v>Yes</v>
      </c>
      <c r="BO337" s="398">
        <f t="shared" ca="1" si="869"/>
        <v>33</v>
      </c>
      <c r="BP337" s="398" t="str">
        <f t="shared" ca="1" si="837"/>
        <v>E-Series dual ctrl Base + 2x 60 HDD Exp, 60x4TB+120x4TB RAID5</v>
      </c>
      <c r="BQ337" s="398">
        <f t="shared" ca="1" si="838"/>
        <v>33</v>
      </c>
      <c r="BR337" s="398">
        <f t="shared" ca="1" si="870"/>
        <v>2</v>
      </c>
      <c r="BS337" s="398">
        <f t="shared" ca="1" si="871"/>
        <v>1440</v>
      </c>
      <c r="BT337" s="398">
        <f t="shared" ca="1" si="872"/>
        <v>1228920</v>
      </c>
      <c r="BU337" s="399">
        <f t="shared" si="890"/>
        <v>3066</v>
      </c>
      <c r="BV337" s="399">
        <f t="shared" si="891"/>
        <v>4</v>
      </c>
      <c r="BW337" s="483" t="e">
        <f t="shared" ca="1" si="839"/>
        <v>#DIV/0!</v>
      </c>
      <c r="BX337" s="400">
        <f ca="1">IF(MAX(IF($E$6="No",ROUNDUP($E$3/$I337,0),ROUNDUP(($E$3+$I337)/$I337,0)),IF($E$6="No",ROUNDUP($E$4/$G337,0),ROUNDUP(($E$4+$G337)/$G337,0)),ROUNDUP('BVMS checklist'!$H$217/$J337,0))&gt;1,'BVMS checklist'!$N$224,'BVMS checklist'!$N$217)</f>
        <v>0</v>
      </c>
      <c r="BY337" s="398">
        <f t="shared" ca="1" si="840"/>
        <v>2</v>
      </c>
      <c r="BZ337" s="400">
        <f t="shared" ca="1" si="873"/>
        <v>2</v>
      </c>
      <c r="CA337" s="400">
        <f t="shared" ca="1" si="874"/>
        <v>2500</v>
      </c>
      <c r="CB337" s="400">
        <f t="shared" ca="1" si="848"/>
        <v>0</v>
      </c>
      <c r="CC337" s="398">
        <f t="shared" ca="1" si="875"/>
        <v>1228920</v>
      </c>
      <c r="CD337" s="401" t="e">
        <f t="shared" ca="1" si="841"/>
        <v>#DIV/0!</v>
      </c>
      <c r="CE337" s="398">
        <f t="shared" ca="1" si="876"/>
        <v>1600</v>
      </c>
      <c r="CF337" s="400">
        <f ca="1">IF(MAX(IF($E$6="No",ROUNDUP($E$3/$I337,0),ROUNDUP(($E$3+$I337)/$I337,0)),IF($E$6="No",ROUNDUP($E$4/$G337,0),ROUNDUP(($E$4+$G337)/$G337,0)),ROUNDUP('BVMS checklist'!$H$217/$J337,0))&gt;1,'BVMS checklist'!$N$224,'BVMS checklist'!$N$217)+MAX(IF($E$6="No",ROUNDUP($E$3/$I337,0),ROUNDUP(($E$3+$I337)/$I337,0)),IF($E$6="No",ROUNDUP($E$4/$G337,0),ROUNDUP(($E$4+$G337)/$G337,0)))+$E$5</f>
        <v>1</v>
      </c>
      <c r="CG337" s="400" t="b">
        <f t="shared" ca="1" si="821"/>
        <v>1</v>
      </c>
      <c r="CH337" s="400" t="str">
        <f t="shared" ca="1" si="877"/>
        <v>Accepted</v>
      </c>
      <c r="CI337" s="398" t="str">
        <f t="shared" ca="1" si="849"/>
        <v>Yes</v>
      </c>
      <c r="CJ337" s="398">
        <f t="shared" ca="1" si="878"/>
        <v>33</v>
      </c>
      <c r="CK337" s="398" t="str">
        <f t="shared" ca="1" si="842"/>
        <v>E-Series dual ctrl Base + 2x 60 HDD Exp, 60x4TB+120x4TB RAID5</v>
      </c>
      <c r="CL337" s="398">
        <f t="shared" ca="1" si="843"/>
        <v>33</v>
      </c>
      <c r="CM337" s="398">
        <f t="shared" ca="1" si="879"/>
        <v>2</v>
      </c>
      <c r="CN337" s="398">
        <f t="shared" ca="1" si="880"/>
        <v>1440</v>
      </c>
      <c r="CO337" s="398">
        <f t="shared" ca="1" si="881"/>
        <v>1228920</v>
      </c>
      <c r="CP337" s="399">
        <f t="shared" si="892"/>
        <v>3066</v>
      </c>
      <c r="CQ337" s="399">
        <f t="shared" si="893"/>
        <v>4</v>
      </c>
      <c r="CR337" s="483" t="e">
        <f t="shared" ca="1" si="844"/>
        <v>#DIV/0!</v>
      </c>
      <c r="CS337"/>
    </row>
    <row r="338" spans="1:97">
      <c r="A338" s="398" t="s">
        <v>571</v>
      </c>
      <c r="B338" s="398" t="s">
        <v>988</v>
      </c>
      <c r="C338" s="440" t="s">
        <v>891</v>
      </c>
      <c r="D338" s="398">
        <v>2</v>
      </c>
      <c r="E338" s="398">
        <v>0</v>
      </c>
      <c r="F338" s="440">
        <v>0</v>
      </c>
      <c r="G338" s="398">
        <f>IF(C338="RAID5",(55-F338)*7448,IF(C338="RAID6",(50-F338)*7448,IF(C338="DDP",(60*7448*0.7),"Error")))+IF(C338="RAID5",(55-F338)*7448,IF(C338="RAID6",(50-F338)*7448,IF(C338="DDP",(60*7448*0.7),"Error")))*E338</f>
        <v>409640</v>
      </c>
      <c r="H338" s="399">
        <v>480</v>
      </c>
      <c r="I338" s="399">
        <v>1250</v>
      </c>
      <c r="J338" s="399">
        <v>800</v>
      </c>
      <c r="K338" s="399">
        <v>1022</v>
      </c>
      <c r="L338" s="399">
        <v>4</v>
      </c>
      <c r="M338" s="400">
        <f ca="1">IF(MAX(IF($B$6="No",ROUNDUP($B$3/$I338,0),ROUNDUP(($B$3+$I338)/$I338,0)),IF($B$6="No",ROUNDUP($B$4/$G338,0),ROUNDUP(($B$4+$G338)/$G338,0)),ROUNDUP('BVMS checklist'!$H$217/$J338,0))&gt;1,'BVMS checklist'!$H$224,'BVMS checklist'!$H$217)</f>
        <v>0</v>
      </c>
      <c r="N338" s="398">
        <f t="shared" ca="1" si="822"/>
        <v>2</v>
      </c>
      <c r="O338" s="400">
        <f t="shared" ca="1" si="851"/>
        <v>2</v>
      </c>
      <c r="P338" s="400">
        <f t="shared" ca="1" si="813"/>
        <v>2500</v>
      </c>
      <c r="Q338" s="400">
        <f t="shared" ca="1" si="814"/>
        <v>0</v>
      </c>
      <c r="R338" s="398">
        <f t="shared" ca="1" si="815"/>
        <v>819280</v>
      </c>
      <c r="S338" s="401" t="e">
        <f t="shared" ca="1" si="823"/>
        <v>#DIV/0!</v>
      </c>
      <c r="T338" s="398">
        <f t="shared" ca="1" si="824"/>
        <v>1600</v>
      </c>
      <c r="U338" s="400">
        <f ca="1">IF(MAX(IF($B$6="No",ROUNDUP($B$3/$I338,0),ROUNDUP(($B$3+$I338)/$I338,0)),IF($B$6="No",ROUNDUP($B$4/$G338,0),ROUNDUP(($B$4+$G338)/$G338,0)),ROUNDUP('BVMS checklist'!$H$217/$J338,0))&gt;1,'BVMS checklist'!$H$224,'BVMS checklist'!$H$217)+MAX(IF($B$6="No",ROUNDUP($B$3/$I338,0),ROUNDUP(($B$3+$I338)/$I338,0)),IF($B$6="No",ROUNDUP($B$4/$G338,0),ROUNDUP(($B$4+$G338)/$G338,0)))+$B$5</f>
        <v>1</v>
      </c>
      <c r="V338" s="400" t="b">
        <f t="shared" ca="1" si="816"/>
        <v>1</v>
      </c>
      <c r="W338" s="400" t="str">
        <f t="shared" ca="1" si="852"/>
        <v>Accepted</v>
      </c>
      <c r="X338" s="398" t="str">
        <f t="shared" ca="1" si="825"/>
        <v>Yes</v>
      </c>
      <c r="Y338" s="398">
        <f t="shared" ca="1" si="826"/>
        <v>34</v>
      </c>
      <c r="Z338" s="398" t="str">
        <f t="shared" ca="1" si="827"/>
        <v>E-Series dual ctrl base Unit, 60x8TB RAID5</v>
      </c>
      <c r="AA338" s="398">
        <f t="shared" ca="1" si="853"/>
        <v>34</v>
      </c>
      <c r="AB338" s="398">
        <f t="shared" ca="1" si="817"/>
        <v>2</v>
      </c>
      <c r="AC338" s="398">
        <f t="shared" ca="1" si="818"/>
        <v>960</v>
      </c>
      <c r="AD338" s="398">
        <f t="shared" ca="1" si="854"/>
        <v>819280</v>
      </c>
      <c r="AE338" s="399">
        <f t="shared" si="886"/>
        <v>1022</v>
      </c>
      <c r="AF338" s="399">
        <f t="shared" si="887"/>
        <v>4</v>
      </c>
      <c r="AG338" s="483" t="e">
        <f t="shared" ca="1" si="828"/>
        <v>#DIV/0!</v>
      </c>
      <c r="AH338" s="400">
        <f ca="1">IF(MAX(IF($C$6="No",ROUNDUP($C$3/$I338,0),ROUNDUP(($C$3+$I338)/$I338,0)),IF($C$6="No",ROUNDUP($C$4/$G338,0),ROUNDUP(($C$4+$G338)/$G338,0)),ROUNDUP('BVMS checklist'!$H$217/$J338,0))&gt;1,'BVMS checklist'!$J$224,'BVMS checklist'!$J$217)</f>
        <v>0</v>
      </c>
      <c r="AI338" s="398">
        <f t="shared" ca="1" si="829"/>
        <v>2</v>
      </c>
      <c r="AJ338" s="400">
        <f t="shared" ca="1" si="855"/>
        <v>2</v>
      </c>
      <c r="AK338" s="400">
        <f t="shared" ca="1" si="856"/>
        <v>2500</v>
      </c>
      <c r="AL338" s="400">
        <f t="shared" ca="1" si="857"/>
        <v>0</v>
      </c>
      <c r="AM338" s="398">
        <f t="shared" ca="1" si="858"/>
        <v>819280</v>
      </c>
      <c r="AN338" s="401" t="e">
        <f t="shared" ca="1" si="830"/>
        <v>#DIV/0!</v>
      </c>
      <c r="AO338" s="398">
        <f t="shared" ca="1" si="859"/>
        <v>1600</v>
      </c>
      <c r="AP338" s="400">
        <f ca="1">IF(MAX(IF($C$6="No",ROUNDUP($C$3/$I338,0),ROUNDUP(($C$3+$I338)/$I338,0)),IF($C$6="No",ROUNDUP($C$4/$G338,0),ROUNDUP(($C$4+$G338)/$G338,0)),ROUNDUP('BVMS checklist'!$H$217/$J338,0))&gt;1,'BVMS checklist'!$J$224,'BVMS checklist'!$J$217)+MAX(IF($C$6="No",ROUNDUP($C$3/$I338,0),ROUNDUP(($C$3+$I338)/$I338,0)),IF($C$6="No",ROUNDUP($C$4/$G338,0),ROUNDUP(($C$4+$G338)/$G338,0)))+$C$5</f>
        <v>1</v>
      </c>
      <c r="AQ338" s="400" t="b">
        <f t="shared" ca="1" si="819"/>
        <v>1</v>
      </c>
      <c r="AR338" s="400" t="str">
        <f t="shared" ca="1" si="860"/>
        <v>Accepted</v>
      </c>
      <c r="AS338" s="398" t="str">
        <f t="shared" ca="1" si="845"/>
        <v>Yes</v>
      </c>
      <c r="AT338" s="398">
        <f t="shared" ca="1" si="861"/>
        <v>34</v>
      </c>
      <c r="AU338" s="398" t="str">
        <f t="shared" ca="1" si="831"/>
        <v>E-Series dual ctrl base Unit, 60x8TB RAID5</v>
      </c>
      <c r="AV338" s="398">
        <f t="shared" ca="1" si="832"/>
        <v>34</v>
      </c>
      <c r="AW338" s="398">
        <f t="shared" ca="1" si="862"/>
        <v>2</v>
      </c>
      <c r="AX338" s="398">
        <f t="shared" ca="1" si="863"/>
        <v>960</v>
      </c>
      <c r="AY338" s="398">
        <f t="shared" ca="1" si="864"/>
        <v>819280</v>
      </c>
      <c r="AZ338" s="399">
        <f t="shared" si="888"/>
        <v>1022</v>
      </c>
      <c r="BA338" s="399">
        <f t="shared" si="889"/>
        <v>4</v>
      </c>
      <c r="BB338" s="483" t="e">
        <f t="shared" ca="1" si="833"/>
        <v>#DIV/0!</v>
      </c>
      <c r="BC338" s="400">
        <f ca="1">IF(MAX(IF($D$6="No",ROUNDUP($D$3/$I338,0),ROUNDUP(($D$3+$I338)/$I338,0)),IF($D$6="No",ROUNDUP($D$4/$G338,0),ROUNDUP(($D$4+$G338)/$G338,0)),ROUNDUP('BVMS checklist'!$H$217/$J338,0))&gt;1,'BVMS checklist'!$L$224,'BVMS checklist'!$L$217)</f>
        <v>0</v>
      </c>
      <c r="BD338" s="398">
        <f t="shared" ca="1" si="834"/>
        <v>2</v>
      </c>
      <c r="BE338" s="400">
        <f t="shared" si="835"/>
        <v>1</v>
      </c>
      <c r="BF338" s="400">
        <f t="shared" si="865"/>
        <v>1250</v>
      </c>
      <c r="BG338" s="400">
        <f t="shared" ca="1" si="846"/>
        <v>0</v>
      </c>
      <c r="BH338" s="398">
        <f t="shared" ca="1" si="866"/>
        <v>819280</v>
      </c>
      <c r="BI338" s="401" t="e">
        <f t="shared" ca="1" si="836"/>
        <v>#DIV/0!</v>
      </c>
      <c r="BJ338" s="398">
        <f t="shared" ca="1" si="867"/>
        <v>1600</v>
      </c>
      <c r="BK338" s="400">
        <f ca="1">IF(MAX(IF($D$6="No",ROUNDUP($D$3/$I338,0),ROUNDUP(($D$3+$I338)/$I338,0)),IF($D$6="No",ROUNDUP($D$4/$G338,0),ROUNDUP(($D$4+$G338)/$G338,0)),ROUNDUP('BVMS checklist'!$H$217/$J338,0))&gt;1,'BVMS checklist'!$L$224,'BVMS checklist'!$L$217)+MAX(IF($D$6="No",ROUNDUP($D$3/$I338,0),ROUNDUP(($D$3+$I338)/$I338,0)),IF($D$6="No",ROUNDUP($D$4/$G338,0),ROUNDUP(($D$4+$G338)/$G338,0)))+$D$5</f>
        <v>1</v>
      </c>
      <c r="BL338" s="400" t="b">
        <f t="shared" ca="1" si="820"/>
        <v>1</v>
      </c>
      <c r="BM338" s="400" t="str">
        <f t="shared" ca="1" si="868"/>
        <v>Accepted</v>
      </c>
      <c r="BN338" s="398" t="str">
        <f t="shared" ca="1" si="847"/>
        <v>Yes</v>
      </c>
      <c r="BO338" s="398">
        <f t="shared" ca="1" si="869"/>
        <v>34</v>
      </c>
      <c r="BP338" s="398" t="str">
        <f t="shared" ca="1" si="837"/>
        <v>E-Series dual ctrl base Unit, 60x8TB RAID5</v>
      </c>
      <c r="BQ338" s="398">
        <f t="shared" ca="1" si="838"/>
        <v>34</v>
      </c>
      <c r="BR338" s="398">
        <f t="shared" ca="1" si="870"/>
        <v>2</v>
      </c>
      <c r="BS338" s="398">
        <f t="shared" ca="1" si="871"/>
        <v>960</v>
      </c>
      <c r="BT338" s="398">
        <f t="shared" ca="1" si="872"/>
        <v>819280</v>
      </c>
      <c r="BU338" s="399">
        <f t="shared" si="890"/>
        <v>1022</v>
      </c>
      <c r="BV338" s="399">
        <f t="shared" si="891"/>
        <v>4</v>
      </c>
      <c r="BW338" s="483" t="e">
        <f t="shared" ca="1" si="839"/>
        <v>#DIV/0!</v>
      </c>
      <c r="BX338" s="400">
        <f ca="1">IF(MAX(IF($E$6="No",ROUNDUP($E$3/$I338,0),ROUNDUP(($E$3+$I338)/$I338,0)),IF($E$6="No",ROUNDUP($E$4/$G338,0),ROUNDUP(($E$4+$G338)/$G338,0)),ROUNDUP('BVMS checklist'!$H$217/$J338,0))&gt;1,'BVMS checklist'!$N$224,'BVMS checklist'!$N$217)</f>
        <v>0</v>
      </c>
      <c r="BY338" s="398">
        <f t="shared" ca="1" si="840"/>
        <v>2</v>
      </c>
      <c r="BZ338" s="400">
        <f t="shared" ca="1" si="873"/>
        <v>2</v>
      </c>
      <c r="CA338" s="400">
        <f t="shared" ca="1" si="874"/>
        <v>2500</v>
      </c>
      <c r="CB338" s="400">
        <f t="shared" ca="1" si="848"/>
        <v>0</v>
      </c>
      <c r="CC338" s="398">
        <f t="shared" ca="1" si="875"/>
        <v>819280</v>
      </c>
      <c r="CD338" s="401" t="e">
        <f t="shared" ca="1" si="841"/>
        <v>#DIV/0!</v>
      </c>
      <c r="CE338" s="398">
        <f t="shared" ca="1" si="876"/>
        <v>1600</v>
      </c>
      <c r="CF338" s="400">
        <f ca="1">IF(MAX(IF($E$6="No",ROUNDUP($E$3/$I338,0),ROUNDUP(($E$3+$I338)/$I338,0)),IF($E$6="No",ROUNDUP($E$4/$G338,0),ROUNDUP(($E$4+$G338)/$G338,0)),ROUNDUP('BVMS checklist'!$H$217/$J338,0))&gt;1,'BVMS checklist'!$N$224,'BVMS checklist'!$N$217)+MAX(IF($E$6="No",ROUNDUP($E$3/$I338,0),ROUNDUP(($E$3+$I338)/$I338,0)),IF($E$6="No",ROUNDUP($E$4/$G338,0),ROUNDUP(($E$4+$G338)/$G338,0)))+$E$5</f>
        <v>1</v>
      </c>
      <c r="CG338" s="400" t="b">
        <f t="shared" ca="1" si="821"/>
        <v>1</v>
      </c>
      <c r="CH338" s="400" t="str">
        <f t="shared" ca="1" si="877"/>
        <v>Accepted</v>
      </c>
      <c r="CI338" s="398" t="str">
        <f t="shared" ca="1" si="849"/>
        <v>Yes</v>
      </c>
      <c r="CJ338" s="398">
        <f t="shared" ca="1" si="878"/>
        <v>34</v>
      </c>
      <c r="CK338" s="398" t="str">
        <f t="shared" ca="1" si="842"/>
        <v>E-Series dual ctrl base Unit, 60x8TB RAID5</v>
      </c>
      <c r="CL338" s="398">
        <f t="shared" ca="1" si="843"/>
        <v>34</v>
      </c>
      <c r="CM338" s="398">
        <f t="shared" ca="1" si="879"/>
        <v>2</v>
      </c>
      <c r="CN338" s="398">
        <f t="shared" ca="1" si="880"/>
        <v>960</v>
      </c>
      <c r="CO338" s="398">
        <f t="shared" ca="1" si="881"/>
        <v>819280</v>
      </c>
      <c r="CP338" s="399">
        <f t="shared" si="892"/>
        <v>1022</v>
      </c>
      <c r="CQ338" s="399">
        <f t="shared" si="893"/>
        <v>4</v>
      </c>
      <c r="CR338" s="483" t="e">
        <f t="shared" ca="1" si="844"/>
        <v>#DIV/0!</v>
      </c>
      <c r="CS338"/>
    </row>
    <row r="339" spans="1:97">
      <c r="A339" s="398" t="s">
        <v>574</v>
      </c>
      <c r="B339" s="398" t="s">
        <v>988</v>
      </c>
      <c r="C339" s="440" t="s">
        <v>891</v>
      </c>
      <c r="D339" s="398">
        <v>2</v>
      </c>
      <c r="E339" s="398">
        <v>1</v>
      </c>
      <c r="F339" s="440">
        <v>0</v>
      </c>
      <c r="G339" s="398">
        <f t="shared" ref="G339:G340" si="899">IF(C339="RAID5",(55-F339)*7448,IF(C339="RAID6",(50-F339)*7448,IF(C339="DDP",(60*7448*0.7),"Error")))+IF(C339="RAID5",(55-F339)*7448,IF(C339="RAID6",(50-F339)*7448,IF(C339="DDP",(60*7448*0.7),"Error")))*E339</f>
        <v>819280</v>
      </c>
      <c r="H339" s="399">
        <v>960</v>
      </c>
      <c r="I339" s="399">
        <v>1250</v>
      </c>
      <c r="J339" s="399">
        <v>800</v>
      </c>
      <c r="K339" s="399">
        <v>2044</v>
      </c>
      <c r="L339" s="399">
        <v>4</v>
      </c>
      <c r="M339" s="400">
        <f ca="1">IF(MAX(IF($B$6="No",ROUNDUP($B$3/$I339,0),ROUNDUP(($B$3+$I339)/$I339,0)),IF($B$6="No",ROUNDUP($B$4/$G339,0),ROUNDUP(($B$4+$G339)/$G339,0)),ROUNDUP('BVMS checklist'!$H$217/$J339,0))&gt;1,'BVMS checklist'!$H$224,'BVMS checklist'!$H$217)</f>
        <v>0</v>
      </c>
      <c r="N339" s="398">
        <f t="shared" ca="1" si="822"/>
        <v>2</v>
      </c>
      <c r="O339" s="400">
        <f t="shared" ca="1" si="851"/>
        <v>2</v>
      </c>
      <c r="P339" s="400">
        <f t="shared" ca="1" si="813"/>
        <v>2500</v>
      </c>
      <c r="Q339" s="400">
        <f t="shared" ca="1" si="814"/>
        <v>0</v>
      </c>
      <c r="R339" s="398">
        <f t="shared" ca="1" si="815"/>
        <v>1638560</v>
      </c>
      <c r="S339" s="401" t="e">
        <f t="shared" ca="1" si="823"/>
        <v>#DIV/0!</v>
      </c>
      <c r="T339" s="398">
        <f t="shared" ca="1" si="824"/>
        <v>1600</v>
      </c>
      <c r="U339" s="400">
        <f ca="1">IF(MAX(IF($B$6="No",ROUNDUP($B$3/$I339,0),ROUNDUP(($B$3+$I339)/$I339,0)),IF($B$6="No",ROUNDUP($B$4/$G339,0),ROUNDUP(($B$4+$G339)/$G339,0)),ROUNDUP('BVMS checklist'!$H$217/$J339,0))&gt;1,'BVMS checklist'!$H$224,'BVMS checklist'!$H$217)+MAX(IF($B$6="No",ROUNDUP($B$3/$I339,0),ROUNDUP(($B$3+$I339)/$I339,0)),IF($B$6="No",ROUNDUP($B$4/$G339,0),ROUNDUP(($B$4+$G339)/$G339,0)))+$B$5</f>
        <v>1</v>
      </c>
      <c r="V339" s="400" t="b">
        <f t="shared" ca="1" si="816"/>
        <v>1</v>
      </c>
      <c r="W339" s="400" t="str">
        <f t="shared" ca="1" si="852"/>
        <v>Accepted</v>
      </c>
      <c r="X339" s="398" t="str">
        <f t="shared" ca="1" si="825"/>
        <v>Yes</v>
      </c>
      <c r="Y339" s="398">
        <f t="shared" ca="1" si="826"/>
        <v>35</v>
      </c>
      <c r="Z339" s="398" t="str">
        <f t="shared" ca="1" si="827"/>
        <v>E-Series dual ctrl Base + 1x 60 HDD Exp, 60x8TB+60x8TB RAID5</v>
      </c>
      <c r="AA339" s="398">
        <f t="shared" ca="1" si="853"/>
        <v>35</v>
      </c>
      <c r="AB339" s="398">
        <f t="shared" ca="1" si="817"/>
        <v>2</v>
      </c>
      <c r="AC339" s="398">
        <f t="shared" ca="1" si="818"/>
        <v>1920</v>
      </c>
      <c r="AD339" s="398">
        <f t="shared" ca="1" si="854"/>
        <v>1638560</v>
      </c>
      <c r="AE339" s="399">
        <f t="shared" si="886"/>
        <v>2044</v>
      </c>
      <c r="AF339" s="399">
        <f t="shared" si="887"/>
        <v>4</v>
      </c>
      <c r="AG339" s="483" t="e">
        <f t="shared" ca="1" si="828"/>
        <v>#DIV/0!</v>
      </c>
      <c r="AH339" s="400">
        <f ca="1">IF(MAX(IF($C$6="No",ROUNDUP($C$3/$I339,0),ROUNDUP(($C$3+$I339)/$I339,0)),IF($C$6="No",ROUNDUP($C$4/$G339,0),ROUNDUP(($C$4+$G339)/$G339,0)),ROUNDUP('BVMS checklist'!$H$217/$J339,0))&gt;1,'BVMS checklist'!$J$224,'BVMS checklist'!$J$217)</f>
        <v>0</v>
      </c>
      <c r="AI339" s="398">
        <f t="shared" ca="1" si="829"/>
        <v>2</v>
      </c>
      <c r="AJ339" s="400">
        <f t="shared" ca="1" si="855"/>
        <v>2</v>
      </c>
      <c r="AK339" s="400">
        <f t="shared" ca="1" si="856"/>
        <v>2500</v>
      </c>
      <c r="AL339" s="400">
        <f t="shared" ca="1" si="857"/>
        <v>0</v>
      </c>
      <c r="AM339" s="398">
        <f t="shared" ca="1" si="858"/>
        <v>1638560</v>
      </c>
      <c r="AN339" s="401" t="e">
        <f t="shared" ca="1" si="830"/>
        <v>#DIV/0!</v>
      </c>
      <c r="AO339" s="398">
        <f t="shared" ca="1" si="859"/>
        <v>1600</v>
      </c>
      <c r="AP339" s="400">
        <f ca="1">IF(MAX(IF($C$6="No",ROUNDUP($C$3/$I339,0),ROUNDUP(($C$3+$I339)/$I339,0)),IF($C$6="No",ROUNDUP($C$4/$G339,0),ROUNDUP(($C$4+$G339)/$G339,0)),ROUNDUP('BVMS checklist'!$H$217/$J339,0))&gt;1,'BVMS checklist'!$J$224,'BVMS checklist'!$J$217)+MAX(IF($C$6="No",ROUNDUP($C$3/$I339,0),ROUNDUP(($C$3+$I339)/$I339,0)),IF($C$6="No",ROUNDUP($C$4/$G339,0),ROUNDUP(($C$4+$G339)/$G339,0)))+$C$5</f>
        <v>1</v>
      </c>
      <c r="AQ339" s="400" t="b">
        <f t="shared" ca="1" si="819"/>
        <v>1</v>
      </c>
      <c r="AR339" s="400" t="str">
        <f t="shared" ca="1" si="860"/>
        <v>Accepted</v>
      </c>
      <c r="AS339" s="398" t="str">
        <f t="shared" ca="1" si="845"/>
        <v>Yes</v>
      </c>
      <c r="AT339" s="398">
        <f t="shared" ca="1" si="861"/>
        <v>35</v>
      </c>
      <c r="AU339" s="398" t="str">
        <f t="shared" ca="1" si="831"/>
        <v>E-Series dual ctrl Base + 1x 60 HDD Exp, 60x8TB+60x8TB RAID5</v>
      </c>
      <c r="AV339" s="398">
        <f t="shared" ca="1" si="832"/>
        <v>35</v>
      </c>
      <c r="AW339" s="398">
        <f t="shared" ca="1" si="862"/>
        <v>2</v>
      </c>
      <c r="AX339" s="398">
        <f t="shared" ca="1" si="863"/>
        <v>1920</v>
      </c>
      <c r="AY339" s="398">
        <f t="shared" ca="1" si="864"/>
        <v>1638560</v>
      </c>
      <c r="AZ339" s="399">
        <f t="shared" si="888"/>
        <v>2044</v>
      </c>
      <c r="BA339" s="399">
        <f t="shared" si="889"/>
        <v>4</v>
      </c>
      <c r="BB339" s="483" t="e">
        <f t="shared" ca="1" si="833"/>
        <v>#DIV/0!</v>
      </c>
      <c r="BC339" s="400">
        <f ca="1">IF(MAX(IF($D$6="No",ROUNDUP($D$3/$I339,0),ROUNDUP(($D$3+$I339)/$I339,0)),IF($D$6="No",ROUNDUP($D$4/$G339,0),ROUNDUP(($D$4+$G339)/$G339,0)),ROUNDUP('BVMS checklist'!$H$217/$J339,0))&gt;1,'BVMS checklist'!$L$224,'BVMS checklist'!$L$217)</f>
        <v>0</v>
      </c>
      <c r="BD339" s="398">
        <f t="shared" ca="1" si="834"/>
        <v>2</v>
      </c>
      <c r="BE339" s="400">
        <f t="shared" si="835"/>
        <v>1</v>
      </c>
      <c r="BF339" s="400">
        <f t="shared" si="865"/>
        <v>1250</v>
      </c>
      <c r="BG339" s="400">
        <f t="shared" ca="1" si="846"/>
        <v>0</v>
      </c>
      <c r="BH339" s="398">
        <f t="shared" ca="1" si="866"/>
        <v>1638560</v>
      </c>
      <c r="BI339" s="401" t="e">
        <f t="shared" ca="1" si="836"/>
        <v>#DIV/0!</v>
      </c>
      <c r="BJ339" s="398">
        <f t="shared" ca="1" si="867"/>
        <v>1600</v>
      </c>
      <c r="BK339" s="400">
        <f ca="1">IF(MAX(IF($D$6="No",ROUNDUP($D$3/$I339,0),ROUNDUP(($D$3+$I339)/$I339,0)),IF($D$6="No",ROUNDUP($D$4/$G339,0),ROUNDUP(($D$4+$G339)/$G339,0)),ROUNDUP('BVMS checklist'!$H$217/$J339,0))&gt;1,'BVMS checklist'!$L$224,'BVMS checklist'!$L$217)+MAX(IF($D$6="No",ROUNDUP($D$3/$I339,0),ROUNDUP(($D$3+$I339)/$I339,0)),IF($D$6="No",ROUNDUP($D$4/$G339,0),ROUNDUP(($D$4+$G339)/$G339,0)))+$D$5</f>
        <v>1</v>
      </c>
      <c r="BL339" s="400" t="b">
        <f t="shared" ca="1" si="820"/>
        <v>1</v>
      </c>
      <c r="BM339" s="400" t="str">
        <f t="shared" ca="1" si="868"/>
        <v>Accepted</v>
      </c>
      <c r="BN339" s="398" t="str">
        <f t="shared" ca="1" si="847"/>
        <v>Yes</v>
      </c>
      <c r="BO339" s="398">
        <f t="shared" ca="1" si="869"/>
        <v>35</v>
      </c>
      <c r="BP339" s="398" t="str">
        <f t="shared" ca="1" si="837"/>
        <v>E-Series dual ctrl Base + 1x 60 HDD Exp, 60x8TB+60x8TB RAID5</v>
      </c>
      <c r="BQ339" s="398">
        <f t="shared" ca="1" si="838"/>
        <v>35</v>
      </c>
      <c r="BR339" s="398">
        <f t="shared" ca="1" si="870"/>
        <v>2</v>
      </c>
      <c r="BS339" s="398">
        <f t="shared" ca="1" si="871"/>
        <v>1920</v>
      </c>
      <c r="BT339" s="398">
        <f t="shared" ca="1" si="872"/>
        <v>1638560</v>
      </c>
      <c r="BU339" s="399">
        <f t="shared" si="890"/>
        <v>2044</v>
      </c>
      <c r="BV339" s="399">
        <f t="shared" si="891"/>
        <v>4</v>
      </c>
      <c r="BW339" s="483" t="e">
        <f t="shared" ca="1" si="839"/>
        <v>#DIV/0!</v>
      </c>
      <c r="BX339" s="400">
        <f ca="1">IF(MAX(IF($E$6="No",ROUNDUP($E$3/$I339,0),ROUNDUP(($E$3+$I339)/$I339,0)),IF($E$6="No",ROUNDUP($E$4/$G339,0),ROUNDUP(($E$4+$G339)/$G339,0)),ROUNDUP('BVMS checklist'!$H$217/$J339,0))&gt;1,'BVMS checklist'!$N$224,'BVMS checklist'!$N$217)</f>
        <v>0</v>
      </c>
      <c r="BY339" s="398">
        <f t="shared" ca="1" si="840"/>
        <v>2</v>
      </c>
      <c r="BZ339" s="400">
        <f t="shared" ca="1" si="873"/>
        <v>2</v>
      </c>
      <c r="CA339" s="400">
        <f t="shared" ca="1" si="874"/>
        <v>2500</v>
      </c>
      <c r="CB339" s="400">
        <f t="shared" ca="1" si="848"/>
        <v>0</v>
      </c>
      <c r="CC339" s="398">
        <f t="shared" ca="1" si="875"/>
        <v>1638560</v>
      </c>
      <c r="CD339" s="401" t="e">
        <f t="shared" ca="1" si="841"/>
        <v>#DIV/0!</v>
      </c>
      <c r="CE339" s="398">
        <f t="shared" ca="1" si="876"/>
        <v>1600</v>
      </c>
      <c r="CF339" s="400">
        <f ca="1">IF(MAX(IF($E$6="No",ROUNDUP($E$3/$I339,0),ROUNDUP(($E$3+$I339)/$I339,0)),IF($E$6="No",ROUNDUP($E$4/$G339,0),ROUNDUP(($E$4+$G339)/$G339,0)),ROUNDUP('BVMS checklist'!$H$217/$J339,0))&gt;1,'BVMS checklist'!$N$224,'BVMS checklist'!$N$217)+MAX(IF($E$6="No",ROUNDUP($E$3/$I339,0),ROUNDUP(($E$3+$I339)/$I339,0)),IF($E$6="No",ROUNDUP($E$4/$G339,0),ROUNDUP(($E$4+$G339)/$G339,0)))+$E$5</f>
        <v>1</v>
      </c>
      <c r="CG339" s="400" t="b">
        <f t="shared" ca="1" si="821"/>
        <v>1</v>
      </c>
      <c r="CH339" s="400" t="str">
        <f t="shared" ca="1" si="877"/>
        <v>Accepted</v>
      </c>
      <c r="CI339" s="398" t="str">
        <f t="shared" ca="1" si="849"/>
        <v>Yes</v>
      </c>
      <c r="CJ339" s="398">
        <f t="shared" ca="1" si="878"/>
        <v>35</v>
      </c>
      <c r="CK339" s="398" t="str">
        <f t="shared" ca="1" si="842"/>
        <v>E-Series dual ctrl Base + 1x 60 HDD Exp, 60x8TB+60x8TB RAID5</v>
      </c>
      <c r="CL339" s="398">
        <f t="shared" ca="1" si="843"/>
        <v>35</v>
      </c>
      <c r="CM339" s="398">
        <f t="shared" ca="1" si="879"/>
        <v>2</v>
      </c>
      <c r="CN339" s="398">
        <f t="shared" ca="1" si="880"/>
        <v>1920</v>
      </c>
      <c r="CO339" s="398">
        <f t="shared" ca="1" si="881"/>
        <v>1638560</v>
      </c>
      <c r="CP339" s="399">
        <f t="shared" si="892"/>
        <v>2044</v>
      </c>
      <c r="CQ339" s="399">
        <f t="shared" si="893"/>
        <v>4</v>
      </c>
      <c r="CR339" s="483" t="e">
        <f t="shared" ca="1" si="844"/>
        <v>#DIV/0!</v>
      </c>
      <c r="CS339"/>
    </row>
    <row r="340" spans="1:97">
      <c r="A340" s="398" t="s">
        <v>575</v>
      </c>
      <c r="B340" s="398" t="s">
        <v>988</v>
      </c>
      <c r="C340" s="440" t="s">
        <v>891</v>
      </c>
      <c r="D340" s="398">
        <v>2</v>
      </c>
      <c r="E340" s="398">
        <v>2</v>
      </c>
      <c r="F340" s="440">
        <v>0</v>
      </c>
      <c r="G340" s="398">
        <f t="shared" si="899"/>
        <v>1228920</v>
      </c>
      <c r="H340" s="399">
        <v>1440</v>
      </c>
      <c r="I340" s="399">
        <v>1250</v>
      </c>
      <c r="J340" s="399">
        <v>800</v>
      </c>
      <c r="K340" s="399">
        <v>3066</v>
      </c>
      <c r="L340" s="399">
        <v>4</v>
      </c>
      <c r="M340" s="400">
        <f ca="1">IF(MAX(IF($B$6="No",ROUNDUP($B$3/$I340,0),ROUNDUP(($B$3+$I340)/$I340,0)),IF($B$6="No",ROUNDUP($B$4/$G340,0),ROUNDUP(($B$4+$G340)/$G340,0)),ROUNDUP('BVMS checklist'!$H$217/$J340,0))&gt;1,'BVMS checklist'!$H$224,'BVMS checklist'!$H$217)</f>
        <v>0</v>
      </c>
      <c r="N340" s="398">
        <f t="shared" ca="1" si="822"/>
        <v>2</v>
      </c>
      <c r="O340" s="400">
        <f t="shared" ca="1" si="851"/>
        <v>2</v>
      </c>
      <c r="P340" s="400">
        <f t="shared" ca="1" si="813"/>
        <v>2500</v>
      </c>
      <c r="Q340" s="400">
        <f t="shared" ca="1" si="814"/>
        <v>0</v>
      </c>
      <c r="R340" s="398">
        <f t="shared" ca="1" si="815"/>
        <v>2457840</v>
      </c>
      <c r="S340" s="401" t="e">
        <f t="shared" ca="1" si="823"/>
        <v>#DIV/0!</v>
      </c>
      <c r="T340" s="398">
        <f t="shared" ca="1" si="824"/>
        <v>1600</v>
      </c>
      <c r="U340" s="400">
        <f ca="1">IF(MAX(IF($B$6="No",ROUNDUP($B$3/$I340,0),ROUNDUP(($B$3+$I340)/$I340,0)),IF($B$6="No",ROUNDUP($B$4/$G340,0),ROUNDUP(($B$4+$G340)/$G340,0)),ROUNDUP('BVMS checklist'!$H$217/$J340,0))&gt;1,'BVMS checklist'!$H$224,'BVMS checklist'!$H$217)+MAX(IF($B$6="No",ROUNDUP($B$3/$I340,0),ROUNDUP(($B$3+$I340)/$I340,0)),IF($B$6="No",ROUNDUP($B$4/$G340,0),ROUNDUP(($B$4+$G340)/$G340,0)))+$B$5</f>
        <v>1</v>
      </c>
      <c r="V340" s="400" t="b">
        <f t="shared" ca="1" si="816"/>
        <v>1</v>
      </c>
      <c r="W340" s="400" t="str">
        <f t="shared" ca="1" si="852"/>
        <v>Accepted</v>
      </c>
      <c r="X340" s="398" t="str">
        <f t="shared" ca="1" si="825"/>
        <v>Yes</v>
      </c>
      <c r="Y340" s="398">
        <f t="shared" ca="1" si="826"/>
        <v>36</v>
      </c>
      <c r="Z340" s="398" t="str">
        <f t="shared" ca="1" si="827"/>
        <v>E-Series dual ctrl Base + 2x 60 HDD Exp, 60x8TB+120x8TB RAID5</v>
      </c>
      <c r="AA340" s="398">
        <f t="shared" ca="1" si="853"/>
        <v>36</v>
      </c>
      <c r="AB340" s="398">
        <f t="shared" ca="1" si="817"/>
        <v>2</v>
      </c>
      <c r="AC340" s="398">
        <f t="shared" ca="1" si="818"/>
        <v>2880</v>
      </c>
      <c r="AD340" s="398">
        <f t="shared" ca="1" si="854"/>
        <v>2457840</v>
      </c>
      <c r="AE340" s="399">
        <f t="shared" si="886"/>
        <v>3066</v>
      </c>
      <c r="AF340" s="399">
        <f t="shared" si="887"/>
        <v>4</v>
      </c>
      <c r="AG340" s="483" t="e">
        <f t="shared" ca="1" si="828"/>
        <v>#DIV/0!</v>
      </c>
      <c r="AH340" s="400">
        <f ca="1">IF(MAX(IF($C$6="No",ROUNDUP($C$3/$I340,0),ROUNDUP(($C$3+$I340)/$I340,0)),IF($C$6="No",ROUNDUP($C$4/$G340,0),ROUNDUP(($C$4+$G340)/$G340,0)),ROUNDUP('BVMS checklist'!$H$217/$J340,0))&gt;1,'BVMS checklist'!$J$224,'BVMS checklist'!$J$217)</f>
        <v>0</v>
      </c>
      <c r="AI340" s="398">
        <f t="shared" ca="1" si="829"/>
        <v>2</v>
      </c>
      <c r="AJ340" s="400">
        <f t="shared" ca="1" si="855"/>
        <v>2</v>
      </c>
      <c r="AK340" s="400">
        <f t="shared" ca="1" si="856"/>
        <v>2500</v>
      </c>
      <c r="AL340" s="400">
        <f t="shared" ca="1" si="857"/>
        <v>0</v>
      </c>
      <c r="AM340" s="398">
        <f t="shared" ca="1" si="858"/>
        <v>2457840</v>
      </c>
      <c r="AN340" s="401" t="e">
        <f t="shared" ca="1" si="830"/>
        <v>#DIV/0!</v>
      </c>
      <c r="AO340" s="398">
        <f t="shared" ca="1" si="859"/>
        <v>1600</v>
      </c>
      <c r="AP340" s="400">
        <f ca="1">IF(MAX(IF($C$6="No",ROUNDUP($C$3/$I340,0),ROUNDUP(($C$3+$I340)/$I340,0)),IF($C$6="No",ROUNDUP($C$4/$G340,0),ROUNDUP(($C$4+$G340)/$G340,0)),ROUNDUP('BVMS checklist'!$H$217/$J340,0))&gt;1,'BVMS checklist'!$J$224,'BVMS checklist'!$J$217)+MAX(IF($C$6="No",ROUNDUP($C$3/$I340,0),ROUNDUP(($C$3+$I340)/$I340,0)),IF($C$6="No",ROUNDUP($C$4/$G340,0),ROUNDUP(($C$4+$G340)/$G340,0)))+$C$5</f>
        <v>1</v>
      </c>
      <c r="AQ340" s="400" t="b">
        <f t="shared" ca="1" si="819"/>
        <v>1</v>
      </c>
      <c r="AR340" s="400" t="str">
        <f t="shared" ca="1" si="860"/>
        <v>Accepted</v>
      </c>
      <c r="AS340" s="398" t="str">
        <f t="shared" ca="1" si="845"/>
        <v>Yes</v>
      </c>
      <c r="AT340" s="398">
        <f t="shared" ca="1" si="861"/>
        <v>36</v>
      </c>
      <c r="AU340" s="398" t="str">
        <f t="shared" ca="1" si="831"/>
        <v>E-Series dual ctrl Base + 2x 60 HDD Exp, 60x8TB+120x8TB RAID5</v>
      </c>
      <c r="AV340" s="398">
        <f t="shared" ca="1" si="832"/>
        <v>36</v>
      </c>
      <c r="AW340" s="398">
        <f t="shared" ca="1" si="862"/>
        <v>2</v>
      </c>
      <c r="AX340" s="398">
        <f t="shared" ca="1" si="863"/>
        <v>2880</v>
      </c>
      <c r="AY340" s="398">
        <f t="shared" ca="1" si="864"/>
        <v>2457840</v>
      </c>
      <c r="AZ340" s="399">
        <f t="shared" si="888"/>
        <v>3066</v>
      </c>
      <c r="BA340" s="399">
        <f t="shared" si="889"/>
        <v>4</v>
      </c>
      <c r="BB340" s="483" t="e">
        <f t="shared" ca="1" si="833"/>
        <v>#DIV/0!</v>
      </c>
      <c r="BC340" s="400">
        <f ca="1">IF(MAX(IF($D$6="No",ROUNDUP($D$3/$I340,0),ROUNDUP(($D$3+$I340)/$I340,0)),IF($D$6="No",ROUNDUP($D$4/$G340,0),ROUNDUP(($D$4+$G340)/$G340,0)),ROUNDUP('BVMS checklist'!$H$217/$J340,0))&gt;1,'BVMS checklist'!$L$224,'BVMS checklist'!$L$217)</f>
        <v>0</v>
      </c>
      <c r="BD340" s="398">
        <f t="shared" ca="1" si="834"/>
        <v>2</v>
      </c>
      <c r="BE340" s="400">
        <f t="shared" si="835"/>
        <v>1</v>
      </c>
      <c r="BF340" s="400">
        <f t="shared" si="865"/>
        <v>1250</v>
      </c>
      <c r="BG340" s="400">
        <f t="shared" ca="1" si="846"/>
        <v>0</v>
      </c>
      <c r="BH340" s="398">
        <f t="shared" ca="1" si="866"/>
        <v>2457840</v>
      </c>
      <c r="BI340" s="401" t="e">
        <f t="shared" ca="1" si="836"/>
        <v>#DIV/0!</v>
      </c>
      <c r="BJ340" s="398">
        <f t="shared" ca="1" si="867"/>
        <v>1600</v>
      </c>
      <c r="BK340" s="400">
        <f ca="1">IF(MAX(IF($D$6="No",ROUNDUP($D$3/$I340,0),ROUNDUP(($D$3+$I340)/$I340,0)),IF($D$6="No",ROUNDUP($D$4/$G340,0),ROUNDUP(($D$4+$G340)/$G340,0)),ROUNDUP('BVMS checklist'!$H$217/$J340,0))&gt;1,'BVMS checklist'!$L$224,'BVMS checklist'!$L$217)+MAX(IF($D$6="No",ROUNDUP($D$3/$I340,0),ROUNDUP(($D$3+$I340)/$I340,0)),IF($D$6="No",ROUNDUP($D$4/$G340,0),ROUNDUP(($D$4+$G340)/$G340,0)))+$D$5</f>
        <v>1</v>
      </c>
      <c r="BL340" s="400" t="b">
        <f t="shared" ca="1" si="820"/>
        <v>1</v>
      </c>
      <c r="BM340" s="400" t="str">
        <f t="shared" ca="1" si="868"/>
        <v>Accepted</v>
      </c>
      <c r="BN340" s="398" t="str">
        <f t="shared" ca="1" si="847"/>
        <v>Yes</v>
      </c>
      <c r="BO340" s="398">
        <f t="shared" ca="1" si="869"/>
        <v>36</v>
      </c>
      <c r="BP340" s="398" t="str">
        <f t="shared" ca="1" si="837"/>
        <v>E-Series dual ctrl Base + 2x 60 HDD Exp, 60x8TB+120x8TB RAID5</v>
      </c>
      <c r="BQ340" s="398">
        <f t="shared" ca="1" si="838"/>
        <v>36</v>
      </c>
      <c r="BR340" s="398">
        <f t="shared" ca="1" si="870"/>
        <v>2</v>
      </c>
      <c r="BS340" s="398">
        <f t="shared" ca="1" si="871"/>
        <v>2880</v>
      </c>
      <c r="BT340" s="398">
        <f t="shared" ca="1" si="872"/>
        <v>2457840</v>
      </c>
      <c r="BU340" s="399">
        <f t="shared" si="890"/>
        <v>3066</v>
      </c>
      <c r="BV340" s="399">
        <f t="shared" si="891"/>
        <v>4</v>
      </c>
      <c r="BW340" s="483" t="e">
        <f t="shared" ca="1" si="839"/>
        <v>#DIV/0!</v>
      </c>
      <c r="BX340" s="400">
        <f ca="1">IF(MAX(IF($E$6="No",ROUNDUP($E$3/$I340,0),ROUNDUP(($E$3+$I340)/$I340,0)),IF($E$6="No",ROUNDUP($E$4/$G340,0),ROUNDUP(($E$4+$G340)/$G340,0)),ROUNDUP('BVMS checklist'!$H$217/$J340,0))&gt;1,'BVMS checklist'!$N$224,'BVMS checklist'!$N$217)</f>
        <v>0</v>
      </c>
      <c r="BY340" s="398">
        <f t="shared" ca="1" si="840"/>
        <v>2</v>
      </c>
      <c r="BZ340" s="400">
        <f t="shared" ca="1" si="873"/>
        <v>2</v>
      </c>
      <c r="CA340" s="400">
        <f t="shared" ca="1" si="874"/>
        <v>2500</v>
      </c>
      <c r="CB340" s="400">
        <f t="shared" ca="1" si="848"/>
        <v>0</v>
      </c>
      <c r="CC340" s="398">
        <f t="shared" ca="1" si="875"/>
        <v>2457840</v>
      </c>
      <c r="CD340" s="401" t="e">
        <f t="shared" ca="1" si="841"/>
        <v>#DIV/0!</v>
      </c>
      <c r="CE340" s="398">
        <f t="shared" ca="1" si="876"/>
        <v>1600</v>
      </c>
      <c r="CF340" s="400">
        <f ca="1">IF(MAX(IF($E$6="No",ROUNDUP($E$3/$I340,0),ROUNDUP(($E$3+$I340)/$I340,0)),IF($E$6="No",ROUNDUP($E$4/$G340,0),ROUNDUP(($E$4+$G340)/$G340,0)),ROUNDUP('BVMS checklist'!$H$217/$J340,0))&gt;1,'BVMS checklist'!$N$224,'BVMS checklist'!$N$217)+MAX(IF($E$6="No",ROUNDUP($E$3/$I340,0),ROUNDUP(($E$3+$I340)/$I340,0)),IF($E$6="No",ROUNDUP($E$4/$G340,0),ROUNDUP(($E$4+$G340)/$G340,0)))+$E$5</f>
        <v>1</v>
      </c>
      <c r="CG340" s="400" t="b">
        <f t="shared" ca="1" si="821"/>
        <v>1</v>
      </c>
      <c r="CH340" s="400" t="str">
        <f t="shared" ca="1" si="877"/>
        <v>Accepted</v>
      </c>
      <c r="CI340" s="398" t="str">
        <f t="shared" ca="1" si="849"/>
        <v>Yes</v>
      </c>
      <c r="CJ340" s="398">
        <f t="shared" ca="1" si="878"/>
        <v>36</v>
      </c>
      <c r="CK340" s="398" t="str">
        <f t="shared" ca="1" si="842"/>
        <v>E-Series dual ctrl Base + 2x 60 HDD Exp, 60x8TB+120x8TB RAID5</v>
      </c>
      <c r="CL340" s="398">
        <f t="shared" ca="1" si="843"/>
        <v>36</v>
      </c>
      <c r="CM340" s="398">
        <f t="shared" ca="1" si="879"/>
        <v>2</v>
      </c>
      <c r="CN340" s="398">
        <f t="shared" ca="1" si="880"/>
        <v>2880</v>
      </c>
      <c r="CO340" s="398">
        <f t="shared" ca="1" si="881"/>
        <v>2457840</v>
      </c>
      <c r="CP340" s="399">
        <f t="shared" si="892"/>
        <v>3066</v>
      </c>
      <c r="CQ340" s="399">
        <f t="shared" si="893"/>
        <v>4</v>
      </c>
      <c r="CR340" s="483" t="e">
        <f t="shared" ca="1" si="844"/>
        <v>#DIV/0!</v>
      </c>
      <c r="CS340"/>
    </row>
    <row r="341" spans="1:97">
      <c r="A341" s="398" t="s">
        <v>1057</v>
      </c>
      <c r="B341" s="398" t="s">
        <v>987</v>
      </c>
      <c r="C341" s="440" t="s">
        <v>891</v>
      </c>
      <c r="D341" s="398">
        <v>2</v>
      </c>
      <c r="E341" s="398">
        <v>0</v>
      </c>
      <c r="F341" s="440">
        <v>0</v>
      </c>
      <c r="G341" s="398">
        <f>IF(C341="RAID5",(55-F341)*9310,IF(C341="RAID6",(50-F341)*9310,IF(C341="DDP",(60*9310*0.7),"Error")))+IF(C341="RAID5",(55-F341)*9310,IF(C341="RAID6",(50-F341)*9310,IF(C341="DDP",(60*9310*0.7),"Error")))*E341</f>
        <v>512050</v>
      </c>
      <c r="H341" s="399">
        <v>600</v>
      </c>
      <c r="I341" s="399">
        <v>1250</v>
      </c>
      <c r="J341" s="399">
        <v>800</v>
      </c>
      <c r="K341" s="399">
        <v>1022</v>
      </c>
      <c r="L341" s="399">
        <v>4</v>
      </c>
      <c r="M341" s="400">
        <f ca="1">IF(MAX(IF($B$6="No",ROUNDUP($B$3/$I341,0),ROUNDUP(($B$3+$I341)/$I341,0)),IF($B$6="No",ROUNDUP($B$4/$G341,0),ROUNDUP(($B$4+$G341)/$G341,0)),ROUNDUP('BVMS checklist'!$H$217/$J341,0))&gt;1,'BVMS checklist'!$H$224,'BVMS checklist'!$H$217)</f>
        <v>0</v>
      </c>
      <c r="N341" s="398">
        <f t="shared" ca="1" si="822"/>
        <v>2</v>
      </c>
      <c r="O341" s="400">
        <f t="shared" ca="1" si="851"/>
        <v>2</v>
      </c>
      <c r="P341" s="400">
        <f t="shared" ca="1" si="813"/>
        <v>2500</v>
      </c>
      <c r="Q341" s="400">
        <f t="shared" ca="1" si="814"/>
        <v>0</v>
      </c>
      <c r="R341" s="398">
        <f t="shared" ca="1" si="815"/>
        <v>1024100</v>
      </c>
      <c r="S341" s="401" t="str">
        <f t="shared" ca="1" si="823"/>
        <v/>
      </c>
      <c r="T341" s="398">
        <f t="shared" ca="1" si="824"/>
        <v>1600</v>
      </c>
      <c r="U341" s="400">
        <f ca="1">IF(MAX(IF($B$6="No",ROUNDUP($B$3/$I341,0),ROUNDUP(($B$3+$I341)/$I341,0)),IF($B$6="No",ROUNDUP($B$4/$G341,0),ROUNDUP(($B$4+$G341)/$G341,0)),ROUNDUP('BVMS checklist'!$H$217/$J341,0))&gt;1,'BVMS checklist'!$H$224,'BVMS checklist'!$H$217)+MAX(IF($B$6="No",ROUNDUP($B$3/$I341,0),ROUNDUP(($B$3+$I341)/$I341,0)),IF($B$6="No",ROUNDUP($B$4/$G341,0),ROUNDUP(($B$4+$G341)/$G341,0)))+$B$5</f>
        <v>1</v>
      </c>
      <c r="V341" s="400" t="b">
        <f t="shared" ca="1" si="816"/>
        <v>1</v>
      </c>
      <c r="W341" s="400" t="str">
        <f t="shared" ca="1" si="852"/>
        <v>Accepted</v>
      </c>
      <c r="X341" s="398" t="str">
        <f t="shared" ca="1" si="825"/>
        <v>No</v>
      </c>
      <c r="Y341" s="398" t="str">
        <f t="shared" ca="1" si="826"/>
        <v/>
      </c>
      <c r="Z341" s="398" t="str">
        <f t="shared" ca="1" si="827"/>
        <v/>
      </c>
      <c r="AA341" s="398">
        <f t="shared" ca="1" si="853"/>
        <v>36</v>
      </c>
      <c r="AB341" s="398">
        <f t="shared" ca="1" si="817"/>
        <v>2</v>
      </c>
      <c r="AC341" s="398">
        <f t="shared" ca="1" si="818"/>
        <v>1200</v>
      </c>
      <c r="AD341" s="398">
        <f t="shared" ca="1" si="854"/>
        <v>1024100</v>
      </c>
      <c r="AE341" s="399">
        <f t="shared" si="886"/>
        <v>1022</v>
      </c>
      <c r="AF341" s="399">
        <f t="shared" si="887"/>
        <v>4</v>
      </c>
      <c r="AG341" s="483" t="str">
        <f t="shared" ca="1" si="828"/>
        <v/>
      </c>
      <c r="AH341" s="400">
        <f ca="1">IF(MAX(IF($C$6="No",ROUNDUP($C$3/$I341,0),ROUNDUP(($C$3+$I341)/$I341,0)),IF($C$6="No",ROUNDUP($C$4/$G341,0),ROUNDUP(($C$4+$G341)/$G341,0)),ROUNDUP('BVMS checklist'!$H$217/$J341,0))&gt;1,'BVMS checklist'!$J$224,'BVMS checklist'!$J$217)</f>
        <v>0</v>
      </c>
      <c r="AI341" s="398">
        <f t="shared" ca="1" si="829"/>
        <v>2</v>
      </c>
      <c r="AJ341" s="400">
        <f t="shared" ca="1" si="855"/>
        <v>2</v>
      </c>
      <c r="AK341" s="400">
        <f t="shared" ca="1" si="856"/>
        <v>2500</v>
      </c>
      <c r="AL341" s="400">
        <f t="shared" ca="1" si="857"/>
        <v>0</v>
      </c>
      <c r="AM341" s="398">
        <f t="shared" ca="1" si="858"/>
        <v>1024100</v>
      </c>
      <c r="AN341" s="401" t="str">
        <f t="shared" ca="1" si="830"/>
        <v/>
      </c>
      <c r="AO341" s="398">
        <f t="shared" ca="1" si="859"/>
        <v>1600</v>
      </c>
      <c r="AP341" s="400">
        <f ca="1">IF(MAX(IF($C$6="No",ROUNDUP($C$3/$I341,0),ROUNDUP(($C$3+$I341)/$I341,0)),IF($C$6="No",ROUNDUP($C$4/$G341,0),ROUNDUP(($C$4+$G341)/$G341,0)),ROUNDUP('BVMS checklist'!$H$217/$J341,0))&gt;1,'BVMS checklist'!$J$224,'BVMS checklist'!$J$217)+MAX(IF($C$6="No",ROUNDUP($C$3/$I341,0),ROUNDUP(($C$3+$I341)/$I341,0)),IF($C$6="No",ROUNDUP($C$4/$G341,0),ROUNDUP(($C$4+$G341)/$G341,0)))+$C$5</f>
        <v>1</v>
      </c>
      <c r="AQ341" s="400" t="b">
        <f t="shared" ca="1" si="819"/>
        <v>1</v>
      </c>
      <c r="AR341" s="400" t="str">
        <f t="shared" ca="1" si="860"/>
        <v>Accepted</v>
      </c>
      <c r="AS341" s="398" t="str">
        <f t="shared" ca="1" si="845"/>
        <v>No</v>
      </c>
      <c r="AT341" s="398" t="str">
        <f t="shared" ca="1" si="861"/>
        <v/>
      </c>
      <c r="AU341" s="398" t="str">
        <f t="shared" ca="1" si="831"/>
        <v/>
      </c>
      <c r="AV341" s="398">
        <f t="shared" ca="1" si="832"/>
        <v>36</v>
      </c>
      <c r="AW341" s="398">
        <f t="shared" ca="1" si="862"/>
        <v>2</v>
      </c>
      <c r="AX341" s="398">
        <f t="shared" ca="1" si="863"/>
        <v>1200</v>
      </c>
      <c r="AY341" s="398">
        <f t="shared" ca="1" si="864"/>
        <v>1024100</v>
      </c>
      <c r="AZ341" s="399">
        <f t="shared" si="888"/>
        <v>1022</v>
      </c>
      <c r="BA341" s="399">
        <f t="shared" si="889"/>
        <v>4</v>
      </c>
      <c r="BB341" s="483" t="str">
        <f t="shared" ca="1" si="833"/>
        <v/>
      </c>
      <c r="BC341" s="400">
        <f ca="1">IF(MAX(IF($D$6="No",ROUNDUP($D$3/$I341,0),ROUNDUP(($D$3+$I341)/$I341,0)),IF($D$6="No",ROUNDUP($D$4/$G341,0),ROUNDUP(($D$4+$G341)/$G341,0)),ROUNDUP('BVMS checklist'!$H$217/$J341,0))&gt;1,'BVMS checklist'!$L$224,'BVMS checklist'!$L$217)</f>
        <v>0</v>
      </c>
      <c r="BD341" s="398">
        <f t="shared" ca="1" si="834"/>
        <v>2</v>
      </c>
      <c r="BE341" s="400">
        <f t="shared" si="835"/>
        <v>1</v>
      </c>
      <c r="BF341" s="400">
        <f t="shared" si="865"/>
        <v>1250</v>
      </c>
      <c r="BG341" s="400">
        <f t="shared" ca="1" si="846"/>
        <v>0</v>
      </c>
      <c r="BH341" s="398">
        <f t="shared" ca="1" si="866"/>
        <v>1024100</v>
      </c>
      <c r="BI341" s="401" t="str">
        <f t="shared" ca="1" si="836"/>
        <v/>
      </c>
      <c r="BJ341" s="398">
        <f t="shared" ca="1" si="867"/>
        <v>1600</v>
      </c>
      <c r="BK341" s="400">
        <f ca="1">IF(MAX(IF($D$6="No",ROUNDUP($D$3/$I341,0),ROUNDUP(($D$3+$I341)/$I341,0)),IF($D$6="No",ROUNDUP($D$4/$G341,0),ROUNDUP(($D$4+$G341)/$G341,0)),ROUNDUP('BVMS checklist'!$H$217/$J341,0))&gt;1,'BVMS checklist'!$L$224,'BVMS checklist'!$L$217)+MAX(IF($D$6="No",ROUNDUP($D$3/$I341,0),ROUNDUP(($D$3+$I341)/$I341,0)),IF($D$6="No",ROUNDUP($D$4/$G341,0),ROUNDUP(($D$4+$G341)/$G341,0)))+$D$5</f>
        <v>1</v>
      </c>
      <c r="BL341" s="400" t="b">
        <f t="shared" ca="1" si="820"/>
        <v>1</v>
      </c>
      <c r="BM341" s="400" t="str">
        <f t="shared" ca="1" si="868"/>
        <v>Accepted</v>
      </c>
      <c r="BN341" s="398" t="str">
        <f t="shared" ca="1" si="847"/>
        <v>No</v>
      </c>
      <c r="BO341" s="398" t="str">
        <f t="shared" ca="1" si="869"/>
        <v/>
      </c>
      <c r="BP341" s="398" t="str">
        <f t="shared" ca="1" si="837"/>
        <v/>
      </c>
      <c r="BQ341" s="398">
        <f t="shared" ca="1" si="838"/>
        <v>36</v>
      </c>
      <c r="BR341" s="398">
        <f t="shared" ca="1" si="870"/>
        <v>2</v>
      </c>
      <c r="BS341" s="398">
        <f t="shared" ca="1" si="871"/>
        <v>1200</v>
      </c>
      <c r="BT341" s="398">
        <f t="shared" ca="1" si="872"/>
        <v>1024100</v>
      </c>
      <c r="BU341" s="399">
        <f t="shared" si="890"/>
        <v>1022</v>
      </c>
      <c r="BV341" s="399">
        <f t="shared" si="891"/>
        <v>4</v>
      </c>
      <c r="BW341" s="483" t="str">
        <f t="shared" ca="1" si="839"/>
        <v/>
      </c>
      <c r="BX341" s="400">
        <f ca="1">IF(MAX(IF($E$6="No",ROUNDUP($E$3/$I341,0),ROUNDUP(($E$3+$I341)/$I341,0)),IF($E$6="No",ROUNDUP($E$4/$G341,0),ROUNDUP(($E$4+$G341)/$G341,0)),ROUNDUP('BVMS checklist'!$H$217/$J341,0))&gt;1,'BVMS checklist'!$N$224,'BVMS checklist'!$N$217)</f>
        <v>0</v>
      </c>
      <c r="BY341" s="398">
        <f t="shared" ca="1" si="840"/>
        <v>2</v>
      </c>
      <c r="BZ341" s="400">
        <f t="shared" ca="1" si="873"/>
        <v>2</v>
      </c>
      <c r="CA341" s="400">
        <f t="shared" ca="1" si="874"/>
        <v>2500</v>
      </c>
      <c r="CB341" s="400">
        <f t="shared" ca="1" si="848"/>
        <v>0</v>
      </c>
      <c r="CC341" s="398">
        <f t="shared" ca="1" si="875"/>
        <v>1024100</v>
      </c>
      <c r="CD341" s="401" t="str">
        <f t="shared" ca="1" si="841"/>
        <v/>
      </c>
      <c r="CE341" s="398">
        <f t="shared" ca="1" si="876"/>
        <v>1600</v>
      </c>
      <c r="CF341" s="400">
        <f ca="1">IF(MAX(IF($E$6="No",ROUNDUP($E$3/$I341,0),ROUNDUP(($E$3+$I341)/$I341,0)),IF($E$6="No",ROUNDUP($E$4/$G341,0),ROUNDUP(($E$4+$G341)/$G341,0)),ROUNDUP('BVMS checklist'!$H$217/$J341,0))&gt;1,'BVMS checklist'!$N$224,'BVMS checklist'!$N$217)+MAX(IF($E$6="No",ROUNDUP($E$3/$I341,0),ROUNDUP(($E$3+$I341)/$I341,0)),IF($E$6="No",ROUNDUP($E$4/$G341,0),ROUNDUP(($E$4+$G341)/$G341,0)))+$E$5</f>
        <v>1</v>
      </c>
      <c r="CG341" s="400" t="b">
        <f t="shared" ca="1" si="821"/>
        <v>1</v>
      </c>
      <c r="CH341" s="400" t="str">
        <f t="shared" ca="1" si="877"/>
        <v>Accepted</v>
      </c>
      <c r="CI341" s="398" t="str">
        <f t="shared" ca="1" si="849"/>
        <v>No</v>
      </c>
      <c r="CJ341" s="398" t="str">
        <f t="shared" ca="1" si="878"/>
        <v/>
      </c>
      <c r="CK341" s="398" t="str">
        <f t="shared" ca="1" si="842"/>
        <v/>
      </c>
      <c r="CL341" s="398">
        <f t="shared" ca="1" si="843"/>
        <v>36</v>
      </c>
      <c r="CM341" s="398">
        <f t="shared" ca="1" si="879"/>
        <v>2</v>
      </c>
      <c r="CN341" s="398">
        <f t="shared" ca="1" si="880"/>
        <v>1200</v>
      </c>
      <c r="CO341" s="398">
        <f t="shared" ca="1" si="881"/>
        <v>1024100</v>
      </c>
      <c r="CP341" s="399">
        <f t="shared" si="892"/>
        <v>1022</v>
      </c>
      <c r="CQ341" s="399">
        <f t="shared" si="893"/>
        <v>4</v>
      </c>
      <c r="CR341" s="483" t="str">
        <f t="shared" ca="1" si="844"/>
        <v/>
      </c>
      <c r="CS341"/>
    </row>
    <row r="342" spans="1:97">
      <c r="A342" s="398" t="s">
        <v>1058</v>
      </c>
      <c r="B342" s="398" t="s">
        <v>987</v>
      </c>
      <c r="C342" s="440" t="s">
        <v>891</v>
      </c>
      <c r="D342" s="398">
        <v>2</v>
      </c>
      <c r="E342" s="398">
        <v>1</v>
      </c>
      <c r="F342" s="440">
        <v>0</v>
      </c>
      <c r="G342" s="398">
        <f t="shared" ref="G342:G343" si="900">IF(C342="RAID5",(55-F342)*9310,IF(C342="RAID6",(50-F342)*9310,IF(C342="DDP",(60*9310*0.7),"Error")))+IF(C342="RAID5",(55-F342)*9310,IF(C342="RAID6",(50-F342)*9310,IF(C342="DDP",(60*9310*0.7),"Error")))*E342</f>
        <v>1024100</v>
      </c>
      <c r="H342" s="399">
        <v>1200</v>
      </c>
      <c r="I342" s="399">
        <v>1250</v>
      </c>
      <c r="J342" s="399">
        <v>800</v>
      </c>
      <c r="K342" s="399">
        <v>2044</v>
      </c>
      <c r="L342" s="399">
        <v>4</v>
      </c>
      <c r="M342" s="400">
        <f ca="1">IF(MAX(IF($B$6="No",ROUNDUP($B$3/$I342,0),ROUNDUP(($B$3+$I342)/$I342,0)),IF($B$6="No",ROUNDUP($B$4/$G342,0),ROUNDUP(($B$4+$G342)/$G342,0)),ROUNDUP('BVMS checklist'!$H$217/$J342,0))&gt;1,'BVMS checklist'!$H$224,'BVMS checklist'!$H$217)</f>
        <v>0</v>
      </c>
      <c r="N342" s="398">
        <f t="shared" ca="1" si="822"/>
        <v>2</v>
      </c>
      <c r="O342" s="400">
        <f t="shared" ca="1" si="851"/>
        <v>2</v>
      </c>
      <c r="P342" s="400">
        <f t="shared" ca="1" si="813"/>
        <v>2500</v>
      </c>
      <c r="Q342" s="400">
        <f t="shared" ca="1" si="814"/>
        <v>0</v>
      </c>
      <c r="R342" s="398">
        <f t="shared" ca="1" si="815"/>
        <v>2048200</v>
      </c>
      <c r="S342" s="401" t="str">
        <f t="shared" ca="1" si="823"/>
        <v/>
      </c>
      <c r="T342" s="398">
        <f t="shared" ca="1" si="824"/>
        <v>1600</v>
      </c>
      <c r="U342" s="400">
        <f ca="1">IF(MAX(IF($B$6="No",ROUNDUP($B$3/$I342,0),ROUNDUP(($B$3+$I342)/$I342,0)),IF($B$6="No",ROUNDUP($B$4/$G342,0),ROUNDUP(($B$4+$G342)/$G342,0)),ROUNDUP('BVMS checklist'!$H$217/$J342,0))&gt;1,'BVMS checklist'!$H$224,'BVMS checklist'!$H$217)+MAX(IF($B$6="No",ROUNDUP($B$3/$I342,0),ROUNDUP(($B$3+$I342)/$I342,0)),IF($B$6="No",ROUNDUP($B$4/$G342,0),ROUNDUP(($B$4+$G342)/$G342,0)))+$B$5</f>
        <v>1</v>
      </c>
      <c r="V342" s="400" t="b">
        <f t="shared" ca="1" si="816"/>
        <v>1</v>
      </c>
      <c r="W342" s="400" t="str">
        <f t="shared" ca="1" si="852"/>
        <v>Accepted</v>
      </c>
      <c r="X342" s="398" t="str">
        <f t="shared" ca="1" si="825"/>
        <v>No</v>
      </c>
      <c r="Y342" s="398" t="str">
        <f t="shared" ca="1" si="826"/>
        <v/>
      </c>
      <c r="Z342" s="398" t="str">
        <f t="shared" ca="1" si="827"/>
        <v/>
      </c>
      <c r="AA342" s="398">
        <f t="shared" ca="1" si="853"/>
        <v>36</v>
      </c>
      <c r="AB342" s="398">
        <f t="shared" ca="1" si="817"/>
        <v>2</v>
      </c>
      <c r="AC342" s="398">
        <f t="shared" ca="1" si="818"/>
        <v>2400</v>
      </c>
      <c r="AD342" s="398">
        <f t="shared" ca="1" si="854"/>
        <v>2048200</v>
      </c>
      <c r="AE342" s="399">
        <f t="shared" si="886"/>
        <v>2044</v>
      </c>
      <c r="AF342" s="399">
        <f t="shared" si="887"/>
        <v>4</v>
      </c>
      <c r="AG342" s="483" t="str">
        <f t="shared" ca="1" si="828"/>
        <v/>
      </c>
      <c r="AH342" s="400">
        <f ca="1">IF(MAX(IF($C$6="No",ROUNDUP($C$3/$I342,0),ROUNDUP(($C$3+$I342)/$I342,0)),IF($C$6="No",ROUNDUP($C$4/$G342,0),ROUNDUP(($C$4+$G342)/$G342,0)),ROUNDUP('BVMS checklist'!$H$217/$J342,0))&gt;1,'BVMS checklist'!$J$224,'BVMS checklist'!$J$217)</f>
        <v>0</v>
      </c>
      <c r="AI342" s="398">
        <f t="shared" ca="1" si="829"/>
        <v>2</v>
      </c>
      <c r="AJ342" s="400">
        <f t="shared" ca="1" si="855"/>
        <v>2</v>
      </c>
      <c r="AK342" s="400">
        <f t="shared" ca="1" si="856"/>
        <v>2500</v>
      </c>
      <c r="AL342" s="400">
        <f t="shared" ca="1" si="857"/>
        <v>0</v>
      </c>
      <c r="AM342" s="398">
        <f t="shared" ca="1" si="858"/>
        <v>2048200</v>
      </c>
      <c r="AN342" s="401" t="str">
        <f t="shared" ca="1" si="830"/>
        <v/>
      </c>
      <c r="AO342" s="398">
        <f t="shared" ca="1" si="859"/>
        <v>1600</v>
      </c>
      <c r="AP342" s="400">
        <f ca="1">IF(MAX(IF($C$6="No",ROUNDUP($C$3/$I342,0),ROUNDUP(($C$3+$I342)/$I342,0)),IF($C$6="No",ROUNDUP($C$4/$G342,0),ROUNDUP(($C$4+$G342)/$G342,0)),ROUNDUP('BVMS checklist'!$H$217/$J342,0))&gt;1,'BVMS checklist'!$J$224,'BVMS checklist'!$J$217)+MAX(IF($C$6="No",ROUNDUP($C$3/$I342,0),ROUNDUP(($C$3+$I342)/$I342,0)),IF($C$6="No",ROUNDUP($C$4/$G342,0),ROUNDUP(($C$4+$G342)/$G342,0)))+$C$5</f>
        <v>1</v>
      </c>
      <c r="AQ342" s="400" t="b">
        <f t="shared" ca="1" si="819"/>
        <v>1</v>
      </c>
      <c r="AR342" s="400" t="str">
        <f t="shared" ca="1" si="860"/>
        <v>Accepted</v>
      </c>
      <c r="AS342" s="398" t="str">
        <f t="shared" ca="1" si="845"/>
        <v>No</v>
      </c>
      <c r="AT342" s="398" t="str">
        <f t="shared" ca="1" si="861"/>
        <v/>
      </c>
      <c r="AU342" s="398" t="str">
        <f t="shared" ca="1" si="831"/>
        <v/>
      </c>
      <c r="AV342" s="398">
        <f t="shared" ca="1" si="832"/>
        <v>36</v>
      </c>
      <c r="AW342" s="398">
        <f t="shared" ca="1" si="862"/>
        <v>2</v>
      </c>
      <c r="AX342" s="398">
        <f t="shared" ca="1" si="863"/>
        <v>2400</v>
      </c>
      <c r="AY342" s="398">
        <f t="shared" ca="1" si="864"/>
        <v>2048200</v>
      </c>
      <c r="AZ342" s="399">
        <f t="shared" si="888"/>
        <v>2044</v>
      </c>
      <c r="BA342" s="399">
        <f t="shared" si="889"/>
        <v>4</v>
      </c>
      <c r="BB342" s="483" t="str">
        <f t="shared" ca="1" si="833"/>
        <v/>
      </c>
      <c r="BC342" s="400">
        <f ca="1">IF(MAX(IF($D$6="No",ROUNDUP($D$3/$I342,0),ROUNDUP(($D$3+$I342)/$I342,0)),IF($D$6="No",ROUNDUP($D$4/$G342,0),ROUNDUP(($D$4+$G342)/$G342,0)),ROUNDUP('BVMS checklist'!$H$217/$J342,0))&gt;1,'BVMS checklist'!$L$224,'BVMS checklist'!$L$217)</f>
        <v>0</v>
      </c>
      <c r="BD342" s="398">
        <f t="shared" ca="1" si="834"/>
        <v>2</v>
      </c>
      <c r="BE342" s="400">
        <f t="shared" si="835"/>
        <v>1</v>
      </c>
      <c r="BF342" s="400">
        <f t="shared" si="865"/>
        <v>1250</v>
      </c>
      <c r="BG342" s="400">
        <f t="shared" ca="1" si="846"/>
        <v>0</v>
      </c>
      <c r="BH342" s="398">
        <f t="shared" ca="1" si="866"/>
        <v>2048200</v>
      </c>
      <c r="BI342" s="401" t="str">
        <f t="shared" ca="1" si="836"/>
        <v/>
      </c>
      <c r="BJ342" s="398">
        <f t="shared" ca="1" si="867"/>
        <v>1600</v>
      </c>
      <c r="BK342" s="400">
        <f ca="1">IF(MAX(IF($D$6="No",ROUNDUP($D$3/$I342,0),ROUNDUP(($D$3+$I342)/$I342,0)),IF($D$6="No",ROUNDUP($D$4/$G342,0),ROUNDUP(($D$4+$G342)/$G342,0)),ROUNDUP('BVMS checklist'!$H$217/$J342,0))&gt;1,'BVMS checklist'!$L$224,'BVMS checklist'!$L$217)+MAX(IF($D$6="No",ROUNDUP($D$3/$I342,0),ROUNDUP(($D$3+$I342)/$I342,0)),IF($D$6="No",ROUNDUP($D$4/$G342,0),ROUNDUP(($D$4+$G342)/$G342,0)))+$D$5</f>
        <v>1</v>
      </c>
      <c r="BL342" s="400" t="b">
        <f t="shared" ca="1" si="820"/>
        <v>1</v>
      </c>
      <c r="BM342" s="400" t="str">
        <f t="shared" ca="1" si="868"/>
        <v>Accepted</v>
      </c>
      <c r="BN342" s="398" t="str">
        <f t="shared" ca="1" si="847"/>
        <v>No</v>
      </c>
      <c r="BO342" s="398" t="str">
        <f t="shared" ca="1" si="869"/>
        <v/>
      </c>
      <c r="BP342" s="398" t="str">
        <f t="shared" ca="1" si="837"/>
        <v/>
      </c>
      <c r="BQ342" s="398">
        <f t="shared" ca="1" si="838"/>
        <v>36</v>
      </c>
      <c r="BR342" s="398">
        <f t="shared" ca="1" si="870"/>
        <v>2</v>
      </c>
      <c r="BS342" s="398">
        <f t="shared" ca="1" si="871"/>
        <v>2400</v>
      </c>
      <c r="BT342" s="398">
        <f t="shared" ca="1" si="872"/>
        <v>2048200</v>
      </c>
      <c r="BU342" s="399">
        <f t="shared" si="890"/>
        <v>2044</v>
      </c>
      <c r="BV342" s="399">
        <f t="shared" si="891"/>
        <v>4</v>
      </c>
      <c r="BW342" s="483" t="str">
        <f t="shared" ca="1" si="839"/>
        <v/>
      </c>
      <c r="BX342" s="400">
        <f ca="1">IF(MAX(IF($E$6="No",ROUNDUP($E$3/$I342,0),ROUNDUP(($E$3+$I342)/$I342,0)),IF($E$6="No",ROUNDUP($E$4/$G342,0),ROUNDUP(($E$4+$G342)/$G342,0)),ROUNDUP('BVMS checklist'!$H$217/$J342,0))&gt;1,'BVMS checklist'!$N$224,'BVMS checklist'!$N$217)</f>
        <v>0</v>
      </c>
      <c r="BY342" s="398">
        <f t="shared" ca="1" si="840"/>
        <v>2</v>
      </c>
      <c r="BZ342" s="400">
        <f t="shared" ca="1" si="873"/>
        <v>2</v>
      </c>
      <c r="CA342" s="400">
        <f t="shared" ca="1" si="874"/>
        <v>2500</v>
      </c>
      <c r="CB342" s="400">
        <f t="shared" ca="1" si="848"/>
        <v>0</v>
      </c>
      <c r="CC342" s="398">
        <f t="shared" ca="1" si="875"/>
        <v>2048200</v>
      </c>
      <c r="CD342" s="401" t="str">
        <f t="shared" ca="1" si="841"/>
        <v/>
      </c>
      <c r="CE342" s="398">
        <f t="shared" ca="1" si="876"/>
        <v>1600</v>
      </c>
      <c r="CF342" s="400">
        <f ca="1">IF(MAX(IF($E$6="No",ROUNDUP($E$3/$I342,0),ROUNDUP(($E$3+$I342)/$I342,0)),IF($E$6="No",ROUNDUP($E$4/$G342,0),ROUNDUP(($E$4+$G342)/$G342,0)),ROUNDUP('BVMS checklist'!$H$217/$J342,0))&gt;1,'BVMS checklist'!$N$224,'BVMS checklist'!$N$217)+MAX(IF($E$6="No",ROUNDUP($E$3/$I342,0),ROUNDUP(($E$3+$I342)/$I342,0)),IF($E$6="No",ROUNDUP($E$4/$G342,0),ROUNDUP(($E$4+$G342)/$G342,0)))+$E$5</f>
        <v>1</v>
      </c>
      <c r="CG342" s="400" t="b">
        <f t="shared" ca="1" si="821"/>
        <v>1</v>
      </c>
      <c r="CH342" s="400" t="str">
        <f t="shared" ca="1" si="877"/>
        <v>Accepted</v>
      </c>
      <c r="CI342" s="398" t="str">
        <f t="shared" ca="1" si="849"/>
        <v>No</v>
      </c>
      <c r="CJ342" s="398" t="str">
        <f t="shared" ca="1" si="878"/>
        <v/>
      </c>
      <c r="CK342" s="398" t="str">
        <f t="shared" ca="1" si="842"/>
        <v/>
      </c>
      <c r="CL342" s="398">
        <f t="shared" ca="1" si="843"/>
        <v>36</v>
      </c>
      <c r="CM342" s="398">
        <f t="shared" ca="1" si="879"/>
        <v>2</v>
      </c>
      <c r="CN342" s="398">
        <f t="shared" ca="1" si="880"/>
        <v>2400</v>
      </c>
      <c r="CO342" s="398">
        <f t="shared" ca="1" si="881"/>
        <v>2048200</v>
      </c>
      <c r="CP342" s="399">
        <f t="shared" si="892"/>
        <v>2044</v>
      </c>
      <c r="CQ342" s="399">
        <f t="shared" si="893"/>
        <v>4</v>
      </c>
      <c r="CR342" s="483" t="str">
        <f t="shared" ca="1" si="844"/>
        <v/>
      </c>
      <c r="CS342"/>
    </row>
    <row r="343" spans="1:97">
      <c r="A343" s="398" t="s">
        <v>1059</v>
      </c>
      <c r="B343" s="398" t="s">
        <v>987</v>
      </c>
      <c r="C343" s="440" t="s">
        <v>891</v>
      </c>
      <c r="D343" s="398">
        <v>2</v>
      </c>
      <c r="E343" s="398">
        <v>2</v>
      </c>
      <c r="F343" s="440">
        <v>0</v>
      </c>
      <c r="G343" s="398">
        <f t="shared" si="900"/>
        <v>1536150</v>
      </c>
      <c r="H343" s="399">
        <v>1800</v>
      </c>
      <c r="I343" s="399">
        <v>1250</v>
      </c>
      <c r="J343" s="399">
        <v>800</v>
      </c>
      <c r="K343" s="399">
        <v>3066</v>
      </c>
      <c r="L343" s="399">
        <v>4</v>
      </c>
      <c r="M343" s="400">
        <f ca="1">IF(MAX(IF($B$6="No",ROUNDUP($B$3/$I343,0),ROUNDUP(($B$3+$I343)/$I343,0)),IF($B$6="No",ROUNDUP($B$4/$G343,0),ROUNDUP(($B$4+$G343)/$G343,0)),ROUNDUP('BVMS checklist'!$H$217/$J343,0))&gt;1,'BVMS checklist'!$H$224,'BVMS checklist'!$H$217)</f>
        <v>0</v>
      </c>
      <c r="N343" s="398">
        <f t="shared" ca="1" si="822"/>
        <v>2</v>
      </c>
      <c r="O343" s="400">
        <f t="shared" ca="1" si="851"/>
        <v>2</v>
      </c>
      <c r="P343" s="400">
        <f t="shared" ca="1" si="813"/>
        <v>2500</v>
      </c>
      <c r="Q343" s="400">
        <f t="shared" ca="1" si="814"/>
        <v>0</v>
      </c>
      <c r="R343" s="398">
        <f t="shared" ca="1" si="815"/>
        <v>3072300</v>
      </c>
      <c r="S343" s="401" t="str">
        <f t="shared" ca="1" si="823"/>
        <v/>
      </c>
      <c r="T343" s="398">
        <f t="shared" ca="1" si="824"/>
        <v>1600</v>
      </c>
      <c r="U343" s="400">
        <f ca="1">IF(MAX(IF($B$6="No",ROUNDUP($B$3/$I343,0),ROUNDUP(($B$3+$I343)/$I343,0)),IF($B$6="No",ROUNDUP($B$4/$G343,0),ROUNDUP(($B$4+$G343)/$G343,0)),ROUNDUP('BVMS checklist'!$H$217/$J343,0))&gt;1,'BVMS checklist'!$H$224,'BVMS checklist'!$H$217)+MAX(IF($B$6="No",ROUNDUP($B$3/$I343,0),ROUNDUP(($B$3+$I343)/$I343,0)),IF($B$6="No",ROUNDUP($B$4/$G343,0),ROUNDUP(($B$4+$G343)/$G343,0)))+$B$5</f>
        <v>1</v>
      </c>
      <c r="V343" s="400" t="b">
        <f t="shared" ca="1" si="816"/>
        <v>1</v>
      </c>
      <c r="W343" s="400" t="str">
        <f t="shared" ca="1" si="852"/>
        <v>Accepted</v>
      </c>
      <c r="X343" s="398" t="str">
        <f t="shared" ca="1" si="825"/>
        <v>No</v>
      </c>
      <c r="Y343" s="398" t="str">
        <f t="shared" ca="1" si="826"/>
        <v/>
      </c>
      <c r="Z343" s="398" t="str">
        <f t="shared" ca="1" si="827"/>
        <v/>
      </c>
      <c r="AA343" s="398">
        <f t="shared" ca="1" si="853"/>
        <v>36</v>
      </c>
      <c r="AB343" s="398">
        <f t="shared" ca="1" si="817"/>
        <v>2</v>
      </c>
      <c r="AC343" s="398">
        <f t="shared" ca="1" si="818"/>
        <v>3600</v>
      </c>
      <c r="AD343" s="398">
        <f t="shared" ca="1" si="854"/>
        <v>3072300</v>
      </c>
      <c r="AE343" s="399">
        <f t="shared" si="886"/>
        <v>3066</v>
      </c>
      <c r="AF343" s="399">
        <f t="shared" si="887"/>
        <v>4</v>
      </c>
      <c r="AG343" s="483" t="str">
        <f t="shared" ca="1" si="828"/>
        <v/>
      </c>
      <c r="AH343" s="400">
        <f ca="1">IF(MAX(IF($C$6="No",ROUNDUP($C$3/$I343,0),ROUNDUP(($C$3+$I343)/$I343,0)),IF($C$6="No",ROUNDUP($C$4/$G343,0),ROUNDUP(($C$4+$G343)/$G343,0)),ROUNDUP('BVMS checklist'!$H$217/$J343,0))&gt;1,'BVMS checklist'!$J$224,'BVMS checklist'!$J$217)</f>
        <v>0</v>
      </c>
      <c r="AI343" s="398">
        <f t="shared" ca="1" si="829"/>
        <v>2</v>
      </c>
      <c r="AJ343" s="400">
        <f t="shared" ca="1" si="855"/>
        <v>2</v>
      </c>
      <c r="AK343" s="400">
        <f t="shared" ca="1" si="856"/>
        <v>2500</v>
      </c>
      <c r="AL343" s="400">
        <f t="shared" ca="1" si="857"/>
        <v>0</v>
      </c>
      <c r="AM343" s="398">
        <f t="shared" ca="1" si="858"/>
        <v>3072300</v>
      </c>
      <c r="AN343" s="401" t="str">
        <f t="shared" ca="1" si="830"/>
        <v/>
      </c>
      <c r="AO343" s="398">
        <f t="shared" ca="1" si="859"/>
        <v>1600</v>
      </c>
      <c r="AP343" s="400">
        <f ca="1">IF(MAX(IF($C$6="No",ROUNDUP($C$3/$I343,0),ROUNDUP(($C$3+$I343)/$I343,0)),IF($C$6="No",ROUNDUP($C$4/$G343,0),ROUNDUP(($C$4+$G343)/$G343,0)),ROUNDUP('BVMS checklist'!$H$217/$J343,0))&gt;1,'BVMS checklist'!$J$224,'BVMS checklist'!$J$217)+MAX(IF($C$6="No",ROUNDUP($C$3/$I343,0),ROUNDUP(($C$3+$I343)/$I343,0)),IF($C$6="No",ROUNDUP($C$4/$G343,0),ROUNDUP(($C$4+$G343)/$G343,0)))+$C$5</f>
        <v>1</v>
      </c>
      <c r="AQ343" s="400" t="b">
        <f t="shared" ca="1" si="819"/>
        <v>1</v>
      </c>
      <c r="AR343" s="400" t="str">
        <f t="shared" ca="1" si="860"/>
        <v>Accepted</v>
      </c>
      <c r="AS343" s="398" t="str">
        <f t="shared" ca="1" si="845"/>
        <v>No</v>
      </c>
      <c r="AT343" s="398" t="str">
        <f t="shared" ca="1" si="861"/>
        <v/>
      </c>
      <c r="AU343" s="398" t="str">
        <f t="shared" ca="1" si="831"/>
        <v/>
      </c>
      <c r="AV343" s="398">
        <f t="shared" ca="1" si="832"/>
        <v>36</v>
      </c>
      <c r="AW343" s="398">
        <f t="shared" ca="1" si="862"/>
        <v>2</v>
      </c>
      <c r="AX343" s="398">
        <f t="shared" ca="1" si="863"/>
        <v>3600</v>
      </c>
      <c r="AY343" s="398">
        <f t="shared" ca="1" si="864"/>
        <v>3072300</v>
      </c>
      <c r="AZ343" s="399">
        <f t="shared" si="888"/>
        <v>3066</v>
      </c>
      <c r="BA343" s="399">
        <f t="shared" si="889"/>
        <v>4</v>
      </c>
      <c r="BB343" s="483" t="str">
        <f t="shared" ca="1" si="833"/>
        <v/>
      </c>
      <c r="BC343" s="400">
        <f ca="1">IF(MAX(IF($D$6="No",ROUNDUP($D$3/$I343,0),ROUNDUP(($D$3+$I343)/$I343,0)),IF($D$6="No",ROUNDUP($D$4/$G343,0),ROUNDUP(($D$4+$G343)/$G343,0)),ROUNDUP('BVMS checklist'!$H$217/$J343,0))&gt;1,'BVMS checklist'!$L$224,'BVMS checklist'!$L$217)</f>
        <v>0</v>
      </c>
      <c r="BD343" s="398">
        <f t="shared" ca="1" si="834"/>
        <v>2</v>
      </c>
      <c r="BE343" s="400">
        <f t="shared" si="835"/>
        <v>1</v>
      </c>
      <c r="BF343" s="400">
        <f t="shared" si="865"/>
        <v>1250</v>
      </c>
      <c r="BG343" s="400">
        <f t="shared" ca="1" si="846"/>
        <v>0</v>
      </c>
      <c r="BH343" s="398">
        <f t="shared" ca="1" si="866"/>
        <v>3072300</v>
      </c>
      <c r="BI343" s="401" t="str">
        <f t="shared" ca="1" si="836"/>
        <v/>
      </c>
      <c r="BJ343" s="398">
        <f t="shared" ca="1" si="867"/>
        <v>1600</v>
      </c>
      <c r="BK343" s="400">
        <f ca="1">IF(MAX(IF($D$6="No",ROUNDUP($D$3/$I343,0),ROUNDUP(($D$3+$I343)/$I343,0)),IF($D$6="No",ROUNDUP($D$4/$G343,0),ROUNDUP(($D$4+$G343)/$G343,0)),ROUNDUP('BVMS checklist'!$H$217/$J343,0))&gt;1,'BVMS checklist'!$L$224,'BVMS checklist'!$L$217)+MAX(IF($D$6="No",ROUNDUP($D$3/$I343,0),ROUNDUP(($D$3+$I343)/$I343,0)),IF($D$6="No",ROUNDUP($D$4/$G343,0),ROUNDUP(($D$4+$G343)/$G343,0)))+$D$5</f>
        <v>1</v>
      </c>
      <c r="BL343" s="400" t="b">
        <f t="shared" ca="1" si="820"/>
        <v>1</v>
      </c>
      <c r="BM343" s="400" t="str">
        <f t="shared" ca="1" si="868"/>
        <v>Accepted</v>
      </c>
      <c r="BN343" s="398" t="str">
        <f t="shared" ca="1" si="847"/>
        <v>No</v>
      </c>
      <c r="BO343" s="398" t="str">
        <f t="shared" ca="1" si="869"/>
        <v/>
      </c>
      <c r="BP343" s="398" t="str">
        <f t="shared" ca="1" si="837"/>
        <v/>
      </c>
      <c r="BQ343" s="398">
        <f t="shared" ca="1" si="838"/>
        <v>36</v>
      </c>
      <c r="BR343" s="398">
        <f t="shared" ca="1" si="870"/>
        <v>2</v>
      </c>
      <c r="BS343" s="398">
        <f t="shared" ca="1" si="871"/>
        <v>3600</v>
      </c>
      <c r="BT343" s="398">
        <f t="shared" ca="1" si="872"/>
        <v>3072300</v>
      </c>
      <c r="BU343" s="399">
        <f t="shared" si="890"/>
        <v>3066</v>
      </c>
      <c r="BV343" s="399">
        <f t="shared" si="891"/>
        <v>4</v>
      </c>
      <c r="BW343" s="483" t="str">
        <f t="shared" ca="1" si="839"/>
        <v/>
      </c>
      <c r="BX343" s="400">
        <f ca="1">IF(MAX(IF($E$6="No",ROUNDUP($E$3/$I343,0),ROUNDUP(($E$3+$I343)/$I343,0)),IF($E$6="No",ROUNDUP($E$4/$G343,0),ROUNDUP(($E$4+$G343)/$G343,0)),ROUNDUP('BVMS checklist'!$H$217/$J343,0))&gt;1,'BVMS checklist'!$N$224,'BVMS checklist'!$N$217)</f>
        <v>0</v>
      </c>
      <c r="BY343" s="398">
        <f t="shared" ca="1" si="840"/>
        <v>2</v>
      </c>
      <c r="BZ343" s="400">
        <f t="shared" ca="1" si="873"/>
        <v>2</v>
      </c>
      <c r="CA343" s="400">
        <f t="shared" ca="1" si="874"/>
        <v>2500</v>
      </c>
      <c r="CB343" s="400">
        <f t="shared" ca="1" si="848"/>
        <v>0</v>
      </c>
      <c r="CC343" s="398">
        <f t="shared" ca="1" si="875"/>
        <v>3072300</v>
      </c>
      <c r="CD343" s="401" t="str">
        <f t="shared" ca="1" si="841"/>
        <v/>
      </c>
      <c r="CE343" s="398">
        <f t="shared" ca="1" si="876"/>
        <v>1600</v>
      </c>
      <c r="CF343" s="400">
        <f ca="1">IF(MAX(IF($E$6="No",ROUNDUP($E$3/$I343,0),ROUNDUP(($E$3+$I343)/$I343,0)),IF($E$6="No",ROUNDUP($E$4/$G343,0),ROUNDUP(($E$4+$G343)/$G343,0)),ROUNDUP('BVMS checklist'!$H$217/$J343,0))&gt;1,'BVMS checklist'!$N$224,'BVMS checklist'!$N$217)+MAX(IF($E$6="No",ROUNDUP($E$3/$I343,0),ROUNDUP(($E$3+$I343)/$I343,0)),IF($E$6="No",ROUNDUP($E$4/$G343,0),ROUNDUP(($E$4+$G343)/$G343,0)))+$E$5</f>
        <v>1</v>
      </c>
      <c r="CG343" s="400" t="b">
        <f t="shared" ca="1" si="821"/>
        <v>1</v>
      </c>
      <c r="CH343" s="400" t="str">
        <f t="shared" ca="1" si="877"/>
        <v>Accepted</v>
      </c>
      <c r="CI343" s="398" t="str">
        <f t="shared" ca="1" si="849"/>
        <v>No</v>
      </c>
      <c r="CJ343" s="398" t="str">
        <f t="shared" ca="1" si="878"/>
        <v/>
      </c>
      <c r="CK343" s="398" t="str">
        <f t="shared" ca="1" si="842"/>
        <v/>
      </c>
      <c r="CL343" s="398">
        <f t="shared" ca="1" si="843"/>
        <v>36</v>
      </c>
      <c r="CM343" s="398">
        <f t="shared" ca="1" si="879"/>
        <v>2</v>
      </c>
      <c r="CN343" s="398">
        <f t="shared" ca="1" si="880"/>
        <v>3600</v>
      </c>
      <c r="CO343" s="398">
        <f t="shared" ca="1" si="881"/>
        <v>3072300</v>
      </c>
      <c r="CP343" s="399">
        <f t="shared" si="892"/>
        <v>3066</v>
      </c>
      <c r="CQ343" s="399">
        <f t="shared" si="893"/>
        <v>4</v>
      </c>
      <c r="CR343" s="483" t="str">
        <f t="shared" ca="1" si="844"/>
        <v/>
      </c>
      <c r="CS343"/>
    </row>
    <row r="344" spans="1:97">
      <c r="A344" s="398" t="s">
        <v>878</v>
      </c>
      <c r="B344" s="398" t="s">
        <v>988</v>
      </c>
      <c r="C344" s="440" t="s">
        <v>891</v>
      </c>
      <c r="D344" s="398">
        <v>2</v>
      </c>
      <c r="E344" s="398">
        <v>0</v>
      </c>
      <c r="F344" s="440">
        <v>0</v>
      </c>
      <c r="G344" s="398">
        <f>IF(C344="RAID5",(55-F344)*11172,IF(C344="RAID6",(50-F344)*11172,IF(C344="DDP",(60*11172*0.7),"Error")))+IF(C344="RAID5",(55-F344)*11172,IF(C344="RAID6",(50-F344)*11172,IF(C344="DDP",(60*11172*0.7),"Error")))*E344</f>
        <v>614460</v>
      </c>
      <c r="H344" s="399">
        <v>600</v>
      </c>
      <c r="I344" s="399">
        <v>1250</v>
      </c>
      <c r="J344" s="399">
        <v>800</v>
      </c>
      <c r="K344" s="399">
        <v>1022</v>
      </c>
      <c r="L344" s="399">
        <v>4</v>
      </c>
      <c r="M344" s="400">
        <f ca="1">IF(MAX(IF($B$6="No",ROUNDUP($B$3/$I344,0),ROUNDUP(($B$3+$I344)/$I344,0)),IF($B$6="No",ROUNDUP($B$4/$G344,0),ROUNDUP(($B$4+$G344)/$G344,0)),ROUNDUP('BVMS checklist'!$H$217/$J344,0))&gt;1,'BVMS checklist'!$H$224,'BVMS checklist'!$H$217)</f>
        <v>0</v>
      </c>
      <c r="N344" s="398">
        <f t="shared" ca="1" si="822"/>
        <v>2</v>
      </c>
      <c r="O344" s="400">
        <f t="shared" ca="1" si="851"/>
        <v>2</v>
      </c>
      <c r="P344" s="400">
        <f t="shared" ca="1" si="813"/>
        <v>2500</v>
      </c>
      <c r="Q344" s="400">
        <f t="shared" ca="1" si="814"/>
        <v>0</v>
      </c>
      <c r="R344" s="398">
        <f t="shared" ca="1" si="815"/>
        <v>1228920</v>
      </c>
      <c r="S344" s="401" t="e">
        <f t="shared" ca="1" si="823"/>
        <v>#DIV/0!</v>
      </c>
      <c r="T344" s="398">
        <f t="shared" ca="1" si="824"/>
        <v>1600</v>
      </c>
      <c r="U344" s="400">
        <f ca="1">IF(MAX(IF($B$6="No",ROUNDUP($B$3/$I344,0),ROUNDUP(($B$3+$I344)/$I344,0)),IF($B$6="No",ROUNDUP($B$4/$G344,0),ROUNDUP(($B$4+$G344)/$G344,0)),ROUNDUP('BVMS checklist'!$H$217/$J344,0))&gt;1,'BVMS checklist'!$H$224,'BVMS checklist'!$H$217)+MAX(IF($B$6="No",ROUNDUP($B$3/$I344,0),ROUNDUP(($B$3+$I344)/$I344,0)),IF($B$6="No",ROUNDUP($B$4/$G344,0),ROUNDUP(($B$4+$G344)/$G344,0)))+$B$5</f>
        <v>1</v>
      </c>
      <c r="V344" s="400" t="b">
        <f t="shared" ca="1" si="816"/>
        <v>1</v>
      </c>
      <c r="W344" s="400" t="str">
        <f t="shared" ca="1" si="852"/>
        <v>Accepted</v>
      </c>
      <c r="X344" s="398" t="str">
        <f t="shared" ca="1" si="825"/>
        <v>Yes</v>
      </c>
      <c r="Y344" s="398">
        <f t="shared" ca="1" si="826"/>
        <v>37</v>
      </c>
      <c r="Z344" s="398" t="str">
        <f t="shared" ca="1" si="827"/>
        <v>E-Series dual ctrl base Unit, 60x12TB RAID5</v>
      </c>
      <c r="AA344" s="398">
        <f t="shared" ca="1" si="853"/>
        <v>37</v>
      </c>
      <c r="AB344" s="398">
        <f t="shared" ca="1" si="817"/>
        <v>2</v>
      </c>
      <c r="AC344" s="398">
        <f t="shared" ca="1" si="818"/>
        <v>1200</v>
      </c>
      <c r="AD344" s="398">
        <f t="shared" ca="1" si="854"/>
        <v>1228920</v>
      </c>
      <c r="AE344" s="399">
        <f t="shared" si="886"/>
        <v>1022</v>
      </c>
      <c r="AF344" s="399">
        <f t="shared" si="887"/>
        <v>4</v>
      </c>
      <c r="AG344" s="483" t="e">
        <f t="shared" ca="1" si="828"/>
        <v>#DIV/0!</v>
      </c>
      <c r="AH344" s="400">
        <f ca="1">IF(MAX(IF($C$6="No",ROUNDUP($C$3/$I344,0),ROUNDUP(($C$3+$I344)/$I344,0)),IF($C$6="No",ROUNDUP($C$4/$G344,0),ROUNDUP(($C$4+$G344)/$G344,0)),ROUNDUP('BVMS checklist'!$H$217/$J344,0))&gt;1,'BVMS checklist'!$J$224,'BVMS checklist'!$J$217)</f>
        <v>0</v>
      </c>
      <c r="AI344" s="398">
        <f t="shared" ca="1" si="829"/>
        <v>2</v>
      </c>
      <c r="AJ344" s="400">
        <f t="shared" ca="1" si="855"/>
        <v>2</v>
      </c>
      <c r="AK344" s="400">
        <f t="shared" ca="1" si="856"/>
        <v>2500</v>
      </c>
      <c r="AL344" s="400">
        <f t="shared" ca="1" si="857"/>
        <v>0</v>
      </c>
      <c r="AM344" s="398">
        <f t="shared" ca="1" si="858"/>
        <v>1228920</v>
      </c>
      <c r="AN344" s="401" t="e">
        <f t="shared" ca="1" si="830"/>
        <v>#DIV/0!</v>
      </c>
      <c r="AO344" s="398">
        <f t="shared" ca="1" si="859"/>
        <v>1600</v>
      </c>
      <c r="AP344" s="400">
        <f ca="1">IF(MAX(IF($C$6="No",ROUNDUP($C$3/$I344,0),ROUNDUP(($C$3+$I344)/$I344,0)),IF($C$6="No",ROUNDUP($C$4/$G344,0),ROUNDUP(($C$4+$G344)/$G344,0)),ROUNDUP('BVMS checklist'!$H$217/$J344,0))&gt;1,'BVMS checklist'!$J$224,'BVMS checklist'!$J$217)+MAX(IF($C$6="No",ROUNDUP($C$3/$I344,0),ROUNDUP(($C$3+$I344)/$I344,0)),IF($C$6="No",ROUNDUP($C$4/$G344,0),ROUNDUP(($C$4+$G344)/$G344,0)))+$C$5</f>
        <v>1</v>
      </c>
      <c r="AQ344" s="400" t="b">
        <f t="shared" ca="1" si="819"/>
        <v>1</v>
      </c>
      <c r="AR344" s="400" t="str">
        <f t="shared" ca="1" si="860"/>
        <v>Accepted</v>
      </c>
      <c r="AS344" s="398" t="str">
        <f t="shared" ca="1" si="845"/>
        <v>Yes</v>
      </c>
      <c r="AT344" s="398">
        <f t="shared" ca="1" si="861"/>
        <v>37</v>
      </c>
      <c r="AU344" s="398" t="str">
        <f t="shared" ca="1" si="831"/>
        <v>E-Series dual ctrl base Unit, 60x12TB RAID5</v>
      </c>
      <c r="AV344" s="398">
        <f t="shared" ca="1" si="832"/>
        <v>37</v>
      </c>
      <c r="AW344" s="398">
        <f t="shared" ca="1" si="862"/>
        <v>2</v>
      </c>
      <c r="AX344" s="398">
        <f t="shared" ca="1" si="863"/>
        <v>1200</v>
      </c>
      <c r="AY344" s="398">
        <f t="shared" ca="1" si="864"/>
        <v>1228920</v>
      </c>
      <c r="AZ344" s="399">
        <f t="shared" si="888"/>
        <v>1022</v>
      </c>
      <c r="BA344" s="399">
        <f t="shared" si="889"/>
        <v>4</v>
      </c>
      <c r="BB344" s="483" t="e">
        <f t="shared" ca="1" si="833"/>
        <v>#DIV/0!</v>
      </c>
      <c r="BC344" s="400">
        <f ca="1">IF(MAX(IF($D$6="No",ROUNDUP($D$3/$I344,0),ROUNDUP(($D$3+$I344)/$I344,0)),IF($D$6="No",ROUNDUP($D$4/$G344,0),ROUNDUP(($D$4+$G344)/$G344,0)),ROUNDUP('BVMS checklist'!$H$217/$J344,0))&gt;1,'BVMS checklist'!$L$224,'BVMS checklist'!$L$217)</f>
        <v>0</v>
      </c>
      <c r="BD344" s="398">
        <f t="shared" ca="1" si="834"/>
        <v>2</v>
      </c>
      <c r="BE344" s="400">
        <f t="shared" si="835"/>
        <v>1</v>
      </c>
      <c r="BF344" s="400">
        <f t="shared" si="865"/>
        <v>1250</v>
      </c>
      <c r="BG344" s="400">
        <f t="shared" ca="1" si="846"/>
        <v>0</v>
      </c>
      <c r="BH344" s="398">
        <f t="shared" ca="1" si="866"/>
        <v>1228920</v>
      </c>
      <c r="BI344" s="401" t="e">
        <f t="shared" ca="1" si="836"/>
        <v>#DIV/0!</v>
      </c>
      <c r="BJ344" s="398">
        <f t="shared" ca="1" si="867"/>
        <v>1600</v>
      </c>
      <c r="BK344" s="400">
        <f ca="1">IF(MAX(IF($D$6="No",ROUNDUP($D$3/$I344,0),ROUNDUP(($D$3+$I344)/$I344,0)),IF($D$6="No",ROUNDUP($D$4/$G344,0),ROUNDUP(($D$4+$G344)/$G344,0)),ROUNDUP('BVMS checklist'!$H$217/$J344,0))&gt;1,'BVMS checklist'!$L$224,'BVMS checklist'!$L$217)+MAX(IF($D$6="No",ROUNDUP($D$3/$I344,0),ROUNDUP(($D$3+$I344)/$I344,0)),IF($D$6="No",ROUNDUP($D$4/$G344,0),ROUNDUP(($D$4+$G344)/$G344,0)))+$D$5</f>
        <v>1</v>
      </c>
      <c r="BL344" s="400" t="b">
        <f t="shared" ca="1" si="820"/>
        <v>1</v>
      </c>
      <c r="BM344" s="400" t="str">
        <f t="shared" ca="1" si="868"/>
        <v>Accepted</v>
      </c>
      <c r="BN344" s="398" t="str">
        <f t="shared" ca="1" si="847"/>
        <v>Yes</v>
      </c>
      <c r="BO344" s="398">
        <f t="shared" ca="1" si="869"/>
        <v>37</v>
      </c>
      <c r="BP344" s="398" t="str">
        <f t="shared" ca="1" si="837"/>
        <v>E-Series dual ctrl base Unit, 60x12TB RAID5</v>
      </c>
      <c r="BQ344" s="398">
        <f t="shared" ca="1" si="838"/>
        <v>37</v>
      </c>
      <c r="BR344" s="398">
        <f t="shared" ca="1" si="870"/>
        <v>2</v>
      </c>
      <c r="BS344" s="398">
        <f t="shared" ca="1" si="871"/>
        <v>1200</v>
      </c>
      <c r="BT344" s="398">
        <f t="shared" ca="1" si="872"/>
        <v>1228920</v>
      </c>
      <c r="BU344" s="399">
        <f t="shared" si="890"/>
        <v>1022</v>
      </c>
      <c r="BV344" s="399">
        <f t="shared" si="891"/>
        <v>4</v>
      </c>
      <c r="BW344" s="483" t="e">
        <f t="shared" ca="1" si="839"/>
        <v>#DIV/0!</v>
      </c>
      <c r="BX344" s="400">
        <f ca="1">IF(MAX(IF($E$6="No",ROUNDUP($E$3/$I344,0),ROUNDUP(($E$3+$I344)/$I344,0)),IF($E$6="No",ROUNDUP($E$4/$G344,0),ROUNDUP(($E$4+$G344)/$G344,0)),ROUNDUP('BVMS checklist'!$H$217/$J344,0))&gt;1,'BVMS checklist'!$N$224,'BVMS checklist'!$N$217)</f>
        <v>0</v>
      </c>
      <c r="BY344" s="398">
        <f t="shared" ca="1" si="840"/>
        <v>2</v>
      </c>
      <c r="BZ344" s="400">
        <f t="shared" ca="1" si="873"/>
        <v>2</v>
      </c>
      <c r="CA344" s="400">
        <f t="shared" ca="1" si="874"/>
        <v>2500</v>
      </c>
      <c r="CB344" s="400">
        <f t="shared" ca="1" si="848"/>
        <v>0</v>
      </c>
      <c r="CC344" s="398">
        <f t="shared" ca="1" si="875"/>
        <v>1228920</v>
      </c>
      <c r="CD344" s="401" t="e">
        <f t="shared" ca="1" si="841"/>
        <v>#DIV/0!</v>
      </c>
      <c r="CE344" s="398">
        <f t="shared" ca="1" si="876"/>
        <v>1600</v>
      </c>
      <c r="CF344" s="400">
        <f ca="1">IF(MAX(IF($E$6="No",ROUNDUP($E$3/$I344,0),ROUNDUP(($E$3+$I344)/$I344,0)),IF($E$6="No",ROUNDUP($E$4/$G344,0),ROUNDUP(($E$4+$G344)/$G344,0)),ROUNDUP('BVMS checklist'!$H$217/$J344,0))&gt;1,'BVMS checklist'!$N$224,'BVMS checklist'!$N$217)+MAX(IF($E$6="No",ROUNDUP($E$3/$I344,0),ROUNDUP(($E$3+$I344)/$I344,0)),IF($E$6="No",ROUNDUP($E$4/$G344,0),ROUNDUP(($E$4+$G344)/$G344,0)))+$E$5</f>
        <v>1</v>
      </c>
      <c r="CG344" s="400" t="b">
        <f t="shared" ca="1" si="821"/>
        <v>1</v>
      </c>
      <c r="CH344" s="400" t="str">
        <f t="shared" ca="1" si="877"/>
        <v>Accepted</v>
      </c>
      <c r="CI344" s="398" t="str">
        <f t="shared" ca="1" si="849"/>
        <v>Yes</v>
      </c>
      <c r="CJ344" s="398">
        <f t="shared" ca="1" si="878"/>
        <v>37</v>
      </c>
      <c r="CK344" s="398" t="str">
        <f t="shared" ca="1" si="842"/>
        <v>E-Series dual ctrl base Unit, 60x12TB RAID5</v>
      </c>
      <c r="CL344" s="398">
        <f t="shared" ca="1" si="843"/>
        <v>37</v>
      </c>
      <c r="CM344" s="398">
        <f t="shared" ca="1" si="879"/>
        <v>2</v>
      </c>
      <c r="CN344" s="398">
        <f t="shared" ca="1" si="880"/>
        <v>1200</v>
      </c>
      <c r="CO344" s="398">
        <f t="shared" ca="1" si="881"/>
        <v>1228920</v>
      </c>
      <c r="CP344" s="399">
        <f t="shared" si="892"/>
        <v>1022</v>
      </c>
      <c r="CQ344" s="399">
        <f t="shared" si="893"/>
        <v>4</v>
      </c>
      <c r="CR344" s="483" t="e">
        <f t="shared" ca="1" si="844"/>
        <v>#DIV/0!</v>
      </c>
      <c r="CS344"/>
    </row>
    <row r="345" spans="1:97">
      <c r="A345" s="398" t="s">
        <v>879</v>
      </c>
      <c r="B345" s="398" t="s">
        <v>988</v>
      </c>
      <c r="C345" s="440" t="s">
        <v>891</v>
      </c>
      <c r="D345" s="398">
        <v>2</v>
      </c>
      <c r="E345" s="398">
        <v>1</v>
      </c>
      <c r="F345" s="440">
        <v>0</v>
      </c>
      <c r="G345" s="398">
        <f t="shared" ref="G345:G346" si="901">IF(C345="RAID5",(55-F345)*11172,IF(C345="RAID6",(50-F345)*11172,IF(C345="DDP",(60*11172*0.7),"Error")))+IF(C345="RAID5",(55-F345)*11172,IF(C345="RAID6",(50-F345)*11172,IF(C345="DDP",(60*11172*0.7),"Error")))*E345</f>
        <v>1228920</v>
      </c>
      <c r="H345" s="399">
        <v>1200</v>
      </c>
      <c r="I345" s="399">
        <v>1250</v>
      </c>
      <c r="J345" s="399">
        <v>800</v>
      </c>
      <c r="K345" s="399">
        <v>2044</v>
      </c>
      <c r="L345" s="399">
        <v>4</v>
      </c>
      <c r="M345" s="400">
        <f ca="1">IF(MAX(IF($B$6="No",ROUNDUP($B$3/$I345,0),ROUNDUP(($B$3+$I345)/$I345,0)),IF($B$6="No",ROUNDUP($B$4/$G345,0),ROUNDUP(($B$4+$G345)/$G345,0)),ROUNDUP('BVMS checklist'!$H$217/$J345,0))&gt;1,'BVMS checklist'!$H$224,'BVMS checklist'!$H$217)</f>
        <v>0</v>
      </c>
      <c r="N345" s="398">
        <f t="shared" ca="1" si="822"/>
        <v>2</v>
      </c>
      <c r="O345" s="400">
        <f t="shared" ca="1" si="851"/>
        <v>2</v>
      </c>
      <c r="P345" s="400">
        <f t="shared" ca="1" si="813"/>
        <v>2500</v>
      </c>
      <c r="Q345" s="400">
        <f t="shared" ca="1" si="814"/>
        <v>0</v>
      </c>
      <c r="R345" s="398">
        <f t="shared" ca="1" si="815"/>
        <v>2457840</v>
      </c>
      <c r="S345" s="401" t="e">
        <f t="shared" ca="1" si="823"/>
        <v>#DIV/0!</v>
      </c>
      <c r="T345" s="398">
        <f t="shared" ca="1" si="824"/>
        <v>1600</v>
      </c>
      <c r="U345" s="400">
        <f ca="1">IF(MAX(IF($B$6="No",ROUNDUP($B$3/$I345,0),ROUNDUP(($B$3+$I345)/$I345,0)),IF($B$6="No",ROUNDUP($B$4/$G345,0),ROUNDUP(($B$4+$G345)/$G345,0)),ROUNDUP('BVMS checklist'!$H$217/$J345,0))&gt;1,'BVMS checklist'!$H$224,'BVMS checklist'!$H$217)+MAX(IF($B$6="No",ROUNDUP($B$3/$I345,0),ROUNDUP(($B$3+$I345)/$I345,0)),IF($B$6="No",ROUNDUP($B$4/$G345,0),ROUNDUP(($B$4+$G345)/$G345,0)))+$B$5</f>
        <v>1</v>
      </c>
      <c r="V345" s="400" t="b">
        <f t="shared" ca="1" si="816"/>
        <v>1</v>
      </c>
      <c r="W345" s="400" t="str">
        <f t="shared" ca="1" si="852"/>
        <v>Accepted</v>
      </c>
      <c r="X345" s="398" t="str">
        <f t="shared" ca="1" si="825"/>
        <v>Yes</v>
      </c>
      <c r="Y345" s="398">
        <f t="shared" ca="1" si="826"/>
        <v>38</v>
      </c>
      <c r="Z345" s="398" t="str">
        <f t="shared" ca="1" si="827"/>
        <v>E-Series dual ctrl Base + 1x 60 HDD Exp, 60x12TB+60x12TB RAID5</v>
      </c>
      <c r="AA345" s="398">
        <f t="shared" ca="1" si="853"/>
        <v>38</v>
      </c>
      <c r="AB345" s="398">
        <f t="shared" ca="1" si="817"/>
        <v>2</v>
      </c>
      <c r="AC345" s="398">
        <f t="shared" ca="1" si="818"/>
        <v>2400</v>
      </c>
      <c r="AD345" s="398">
        <f t="shared" ca="1" si="854"/>
        <v>2457840</v>
      </c>
      <c r="AE345" s="399">
        <f t="shared" si="886"/>
        <v>2044</v>
      </c>
      <c r="AF345" s="399">
        <f t="shared" si="887"/>
        <v>4</v>
      </c>
      <c r="AG345" s="483" t="e">
        <f t="shared" ca="1" si="828"/>
        <v>#DIV/0!</v>
      </c>
      <c r="AH345" s="400">
        <f ca="1">IF(MAX(IF($C$6="No",ROUNDUP($C$3/$I345,0),ROUNDUP(($C$3+$I345)/$I345,0)),IF($C$6="No",ROUNDUP($C$4/$G345,0),ROUNDUP(($C$4+$G345)/$G345,0)),ROUNDUP('BVMS checklist'!$H$217/$J345,0))&gt;1,'BVMS checklist'!$J$224,'BVMS checklist'!$J$217)</f>
        <v>0</v>
      </c>
      <c r="AI345" s="398">
        <f t="shared" ca="1" si="829"/>
        <v>2</v>
      </c>
      <c r="AJ345" s="400">
        <f t="shared" ca="1" si="855"/>
        <v>2</v>
      </c>
      <c r="AK345" s="400">
        <f t="shared" ca="1" si="856"/>
        <v>2500</v>
      </c>
      <c r="AL345" s="400">
        <f t="shared" ca="1" si="857"/>
        <v>0</v>
      </c>
      <c r="AM345" s="398">
        <f t="shared" ca="1" si="858"/>
        <v>2457840</v>
      </c>
      <c r="AN345" s="401" t="e">
        <f t="shared" ca="1" si="830"/>
        <v>#DIV/0!</v>
      </c>
      <c r="AO345" s="398">
        <f t="shared" ca="1" si="859"/>
        <v>1600</v>
      </c>
      <c r="AP345" s="400">
        <f ca="1">IF(MAX(IF($C$6="No",ROUNDUP($C$3/$I345,0),ROUNDUP(($C$3+$I345)/$I345,0)),IF($C$6="No",ROUNDUP($C$4/$G345,0),ROUNDUP(($C$4+$G345)/$G345,0)),ROUNDUP('BVMS checklist'!$H$217/$J345,0))&gt;1,'BVMS checklist'!$J$224,'BVMS checklist'!$J$217)+MAX(IF($C$6="No",ROUNDUP($C$3/$I345,0),ROUNDUP(($C$3+$I345)/$I345,0)),IF($C$6="No",ROUNDUP($C$4/$G345,0),ROUNDUP(($C$4+$G345)/$G345,0)))+$C$5</f>
        <v>1</v>
      </c>
      <c r="AQ345" s="400" t="b">
        <f t="shared" ca="1" si="819"/>
        <v>1</v>
      </c>
      <c r="AR345" s="400" t="str">
        <f t="shared" ca="1" si="860"/>
        <v>Accepted</v>
      </c>
      <c r="AS345" s="398" t="str">
        <f t="shared" ca="1" si="845"/>
        <v>Yes</v>
      </c>
      <c r="AT345" s="398">
        <f t="shared" ca="1" si="861"/>
        <v>38</v>
      </c>
      <c r="AU345" s="398" t="str">
        <f t="shared" ca="1" si="831"/>
        <v>E-Series dual ctrl Base + 1x 60 HDD Exp, 60x12TB+60x12TB RAID5</v>
      </c>
      <c r="AV345" s="398">
        <f t="shared" ca="1" si="832"/>
        <v>38</v>
      </c>
      <c r="AW345" s="398">
        <f t="shared" ca="1" si="862"/>
        <v>2</v>
      </c>
      <c r="AX345" s="398">
        <f t="shared" ca="1" si="863"/>
        <v>2400</v>
      </c>
      <c r="AY345" s="398">
        <f t="shared" ca="1" si="864"/>
        <v>2457840</v>
      </c>
      <c r="AZ345" s="399">
        <f t="shared" si="888"/>
        <v>2044</v>
      </c>
      <c r="BA345" s="399">
        <f t="shared" si="889"/>
        <v>4</v>
      </c>
      <c r="BB345" s="483" t="e">
        <f t="shared" ca="1" si="833"/>
        <v>#DIV/0!</v>
      </c>
      <c r="BC345" s="400">
        <f ca="1">IF(MAX(IF($D$6="No",ROUNDUP($D$3/$I345,0),ROUNDUP(($D$3+$I345)/$I345,0)),IF($D$6="No",ROUNDUP($D$4/$G345,0),ROUNDUP(($D$4+$G345)/$G345,0)),ROUNDUP('BVMS checklist'!$H$217/$J345,0))&gt;1,'BVMS checklist'!$L$224,'BVMS checklist'!$L$217)</f>
        <v>0</v>
      </c>
      <c r="BD345" s="398">
        <f t="shared" ca="1" si="834"/>
        <v>2</v>
      </c>
      <c r="BE345" s="400">
        <f t="shared" si="835"/>
        <v>1</v>
      </c>
      <c r="BF345" s="400">
        <f t="shared" si="865"/>
        <v>1250</v>
      </c>
      <c r="BG345" s="400">
        <f t="shared" ca="1" si="846"/>
        <v>0</v>
      </c>
      <c r="BH345" s="398">
        <f t="shared" ca="1" si="866"/>
        <v>2457840</v>
      </c>
      <c r="BI345" s="401" t="e">
        <f t="shared" ca="1" si="836"/>
        <v>#DIV/0!</v>
      </c>
      <c r="BJ345" s="398">
        <f t="shared" ca="1" si="867"/>
        <v>1600</v>
      </c>
      <c r="BK345" s="400">
        <f ca="1">IF(MAX(IF($D$6="No",ROUNDUP($D$3/$I345,0),ROUNDUP(($D$3+$I345)/$I345,0)),IF($D$6="No",ROUNDUP($D$4/$G345,0),ROUNDUP(($D$4+$G345)/$G345,0)),ROUNDUP('BVMS checklist'!$H$217/$J345,0))&gt;1,'BVMS checklist'!$L$224,'BVMS checklist'!$L$217)+MAX(IF($D$6="No",ROUNDUP($D$3/$I345,0),ROUNDUP(($D$3+$I345)/$I345,0)),IF($D$6="No",ROUNDUP($D$4/$G345,0),ROUNDUP(($D$4+$G345)/$G345,0)))+$D$5</f>
        <v>1</v>
      </c>
      <c r="BL345" s="400" t="b">
        <f t="shared" ca="1" si="820"/>
        <v>1</v>
      </c>
      <c r="BM345" s="400" t="str">
        <f t="shared" ca="1" si="868"/>
        <v>Accepted</v>
      </c>
      <c r="BN345" s="398" t="str">
        <f t="shared" ca="1" si="847"/>
        <v>Yes</v>
      </c>
      <c r="BO345" s="398">
        <f t="shared" ca="1" si="869"/>
        <v>38</v>
      </c>
      <c r="BP345" s="398" t="str">
        <f t="shared" ca="1" si="837"/>
        <v>E-Series dual ctrl Base + 1x 60 HDD Exp, 60x12TB+60x12TB RAID5</v>
      </c>
      <c r="BQ345" s="398">
        <f t="shared" ca="1" si="838"/>
        <v>38</v>
      </c>
      <c r="BR345" s="398">
        <f t="shared" ca="1" si="870"/>
        <v>2</v>
      </c>
      <c r="BS345" s="398">
        <f t="shared" ca="1" si="871"/>
        <v>2400</v>
      </c>
      <c r="BT345" s="398">
        <f t="shared" ca="1" si="872"/>
        <v>2457840</v>
      </c>
      <c r="BU345" s="399">
        <f t="shared" si="890"/>
        <v>2044</v>
      </c>
      <c r="BV345" s="399">
        <f t="shared" si="891"/>
        <v>4</v>
      </c>
      <c r="BW345" s="483" t="e">
        <f t="shared" ca="1" si="839"/>
        <v>#DIV/0!</v>
      </c>
      <c r="BX345" s="400">
        <f ca="1">IF(MAX(IF($E$6="No",ROUNDUP($E$3/$I345,0),ROUNDUP(($E$3+$I345)/$I345,0)),IF($E$6="No",ROUNDUP($E$4/$G345,0),ROUNDUP(($E$4+$G345)/$G345,0)),ROUNDUP('BVMS checklist'!$H$217/$J345,0))&gt;1,'BVMS checklist'!$N$224,'BVMS checklist'!$N$217)</f>
        <v>0</v>
      </c>
      <c r="BY345" s="398">
        <f t="shared" ca="1" si="840"/>
        <v>2</v>
      </c>
      <c r="BZ345" s="400">
        <f t="shared" ca="1" si="873"/>
        <v>2</v>
      </c>
      <c r="CA345" s="400">
        <f t="shared" ca="1" si="874"/>
        <v>2500</v>
      </c>
      <c r="CB345" s="400">
        <f t="shared" ca="1" si="848"/>
        <v>0</v>
      </c>
      <c r="CC345" s="398">
        <f t="shared" ca="1" si="875"/>
        <v>2457840</v>
      </c>
      <c r="CD345" s="401" t="e">
        <f t="shared" ca="1" si="841"/>
        <v>#DIV/0!</v>
      </c>
      <c r="CE345" s="398">
        <f t="shared" ca="1" si="876"/>
        <v>1600</v>
      </c>
      <c r="CF345" s="400">
        <f ca="1">IF(MAX(IF($E$6="No",ROUNDUP($E$3/$I345,0),ROUNDUP(($E$3+$I345)/$I345,0)),IF($E$6="No",ROUNDUP($E$4/$G345,0),ROUNDUP(($E$4+$G345)/$G345,0)),ROUNDUP('BVMS checklist'!$H$217/$J345,0))&gt;1,'BVMS checklist'!$N$224,'BVMS checklist'!$N$217)+MAX(IF($E$6="No",ROUNDUP($E$3/$I345,0),ROUNDUP(($E$3+$I345)/$I345,0)),IF($E$6="No",ROUNDUP($E$4/$G345,0),ROUNDUP(($E$4+$G345)/$G345,0)))+$E$5</f>
        <v>1</v>
      </c>
      <c r="CG345" s="400" t="b">
        <f t="shared" ca="1" si="821"/>
        <v>1</v>
      </c>
      <c r="CH345" s="400" t="str">
        <f t="shared" ca="1" si="877"/>
        <v>Accepted</v>
      </c>
      <c r="CI345" s="398" t="str">
        <f t="shared" ca="1" si="849"/>
        <v>Yes</v>
      </c>
      <c r="CJ345" s="398">
        <f t="shared" ca="1" si="878"/>
        <v>38</v>
      </c>
      <c r="CK345" s="398" t="str">
        <f t="shared" ca="1" si="842"/>
        <v>E-Series dual ctrl Base + 1x 60 HDD Exp, 60x12TB+60x12TB RAID5</v>
      </c>
      <c r="CL345" s="398">
        <f t="shared" ca="1" si="843"/>
        <v>38</v>
      </c>
      <c r="CM345" s="398">
        <f t="shared" ca="1" si="879"/>
        <v>2</v>
      </c>
      <c r="CN345" s="398">
        <f t="shared" ca="1" si="880"/>
        <v>2400</v>
      </c>
      <c r="CO345" s="398">
        <f t="shared" ca="1" si="881"/>
        <v>2457840</v>
      </c>
      <c r="CP345" s="399">
        <f t="shared" si="892"/>
        <v>2044</v>
      </c>
      <c r="CQ345" s="399">
        <f t="shared" si="893"/>
        <v>4</v>
      </c>
      <c r="CR345" s="483" t="e">
        <f t="shared" ca="1" si="844"/>
        <v>#DIV/0!</v>
      </c>
      <c r="CS345"/>
    </row>
    <row r="346" spans="1:97">
      <c r="A346" s="398" t="s">
        <v>880</v>
      </c>
      <c r="B346" s="398" t="s">
        <v>988</v>
      </c>
      <c r="C346" s="440" t="s">
        <v>891</v>
      </c>
      <c r="D346" s="398">
        <v>2</v>
      </c>
      <c r="E346" s="398">
        <v>2</v>
      </c>
      <c r="F346" s="440">
        <v>0</v>
      </c>
      <c r="G346" s="398">
        <f t="shared" si="901"/>
        <v>1843380</v>
      </c>
      <c r="H346" s="399">
        <v>1800</v>
      </c>
      <c r="I346" s="399">
        <v>1250</v>
      </c>
      <c r="J346" s="399">
        <v>800</v>
      </c>
      <c r="K346" s="399">
        <v>3066</v>
      </c>
      <c r="L346" s="399">
        <v>4</v>
      </c>
      <c r="M346" s="400">
        <f ca="1">IF(MAX(IF($B$6="No",ROUNDUP($B$3/$I346,0),ROUNDUP(($B$3+$I346)/$I346,0)),IF($B$6="No",ROUNDUP($B$4/$G346,0),ROUNDUP(($B$4+$G346)/$G346,0)),ROUNDUP('BVMS checklist'!$H$217/$J346,0))&gt;1,'BVMS checklist'!$H$224,'BVMS checklist'!$H$217)</f>
        <v>0</v>
      </c>
      <c r="N346" s="398">
        <f t="shared" ca="1" si="822"/>
        <v>2</v>
      </c>
      <c r="O346" s="400">
        <f t="shared" ca="1" si="851"/>
        <v>2</v>
      </c>
      <c r="P346" s="400">
        <f t="shared" ref="P346:P347" ca="1" si="902">O346*$I346</f>
        <v>2500</v>
      </c>
      <c r="Q346" s="400">
        <f t="shared" ca="1" si="814"/>
        <v>0</v>
      </c>
      <c r="R346" s="398">
        <f t="shared" ca="1" si="815"/>
        <v>3686760</v>
      </c>
      <c r="S346" s="401" t="e">
        <f t="shared" ca="1" si="823"/>
        <v>#DIV/0!</v>
      </c>
      <c r="T346" s="398">
        <f t="shared" ca="1" si="824"/>
        <v>1600</v>
      </c>
      <c r="U346" s="400">
        <f ca="1">IF(MAX(IF($B$6="No",ROUNDUP($B$3/$I346,0),ROUNDUP(($B$3+$I346)/$I346,0)),IF($B$6="No",ROUNDUP($B$4/$G346,0),ROUNDUP(($B$4+$G346)/$G346,0)),ROUNDUP('BVMS checklist'!$H$217/$J346,0))&gt;1,'BVMS checklist'!$H$224,'BVMS checklist'!$H$217)+MAX(IF($B$6="No",ROUNDUP($B$3/$I346,0),ROUNDUP(($B$3+$I346)/$I346,0)),IF($B$6="No",ROUNDUP($B$4/$G346,0),ROUNDUP(($B$4+$G346)/$G346,0)))+$B$5</f>
        <v>1</v>
      </c>
      <c r="V346" s="400" t="b">
        <f t="shared" ref="V346:V347" ca="1" si="903">IF(AND((T346/$D346)-U346&gt;=0,OR(N346&gt;=2,$D346&gt;=2),P346-I346&gt;=$B$3),TRUE,FALSE)</f>
        <v>1</v>
      </c>
      <c r="W346" s="400" t="str">
        <f t="shared" ca="1" si="852"/>
        <v>Accepted</v>
      </c>
      <c r="X346" s="398" t="str">
        <f t="shared" ca="1" si="825"/>
        <v>Yes</v>
      </c>
      <c r="Y346" s="398">
        <f t="shared" ca="1" si="826"/>
        <v>39</v>
      </c>
      <c r="Z346" s="398" t="str">
        <f t="shared" ca="1" si="827"/>
        <v>E-Series dual ctrl Base + 2x 60 HDD Exp, 60x12TB+120x12TB RAID5</v>
      </c>
      <c r="AA346" s="398">
        <f t="shared" ca="1" si="853"/>
        <v>39</v>
      </c>
      <c r="AB346" s="398">
        <f t="shared" ca="1" si="817"/>
        <v>2</v>
      </c>
      <c r="AC346" s="398">
        <f t="shared" ca="1" si="818"/>
        <v>3600</v>
      </c>
      <c r="AD346" s="398">
        <f t="shared" ca="1" si="854"/>
        <v>3686760</v>
      </c>
      <c r="AE346" s="399">
        <f t="shared" si="886"/>
        <v>3066</v>
      </c>
      <c r="AF346" s="399">
        <f t="shared" si="887"/>
        <v>4</v>
      </c>
      <c r="AG346" s="483" t="e">
        <f t="shared" ca="1" si="828"/>
        <v>#DIV/0!</v>
      </c>
      <c r="AH346" s="400">
        <f ca="1">IF(MAX(IF($C$6="No",ROUNDUP($C$3/$I346,0),ROUNDUP(($C$3+$I346)/$I346,0)),IF($C$6="No",ROUNDUP($C$4/$G346,0),ROUNDUP(($C$4+$G346)/$G346,0)),ROUNDUP('BVMS checklist'!$H$217/$J346,0))&gt;1,'BVMS checklist'!$J$224,'BVMS checklist'!$J$217)</f>
        <v>0</v>
      </c>
      <c r="AI346" s="398">
        <f t="shared" ca="1" si="829"/>
        <v>2</v>
      </c>
      <c r="AJ346" s="400">
        <f t="shared" ca="1" si="855"/>
        <v>2</v>
      </c>
      <c r="AK346" s="400">
        <f t="shared" ca="1" si="856"/>
        <v>2500</v>
      </c>
      <c r="AL346" s="400">
        <f t="shared" ca="1" si="857"/>
        <v>0</v>
      </c>
      <c r="AM346" s="398">
        <f t="shared" ca="1" si="858"/>
        <v>3686760</v>
      </c>
      <c r="AN346" s="401" t="e">
        <f t="shared" ca="1" si="830"/>
        <v>#DIV/0!</v>
      </c>
      <c r="AO346" s="398">
        <f t="shared" ca="1" si="859"/>
        <v>1600</v>
      </c>
      <c r="AP346" s="400">
        <f ca="1">IF(MAX(IF($C$6="No",ROUNDUP($C$3/$I346,0),ROUNDUP(($C$3+$I346)/$I346,0)),IF($C$6="No",ROUNDUP($C$4/$G346,0),ROUNDUP(($C$4+$G346)/$G346,0)),ROUNDUP('BVMS checklist'!$H$217/$J346,0))&gt;1,'BVMS checklist'!$J$224,'BVMS checklist'!$J$217)+MAX(IF($C$6="No",ROUNDUP($C$3/$I346,0),ROUNDUP(($C$3+$I346)/$I346,0)),IF($C$6="No",ROUNDUP($C$4/$G346,0),ROUNDUP(($C$4+$G346)/$G346,0)))+$C$5</f>
        <v>1</v>
      </c>
      <c r="AQ346" s="400" t="b">
        <f t="shared" ref="AQ346:AQ347" ca="1" si="904">IF(AND((AO346/$D346)-AP346&gt;=0,OR(AI346&gt;=2,$D346&gt;=2),AK346-I346&gt;=$C$3),TRUE,FALSE)</f>
        <v>1</v>
      </c>
      <c r="AR346" s="400" t="str">
        <f t="shared" ca="1" si="860"/>
        <v>Accepted</v>
      </c>
      <c r="AS346" s="398" t="str">
        <f t="shared" ca="1" si="845"/>
        <v>Yes</v>
      </c>
      <c r="AT346" s="398">
        <f t="shared" ca="1" si="861"/>
        <v>39</v>
      </c>
      <c r="AU346" s="398" t="str">
        <f t="shared" ca="1" si="831"/>
        <v>E-Series dual ctrl Base + 2x 60 HDD Exp, 60x12TB+120x12TB RAID5</v>
      </c>
      <c r="AV346" s="398">
        <f t="shared" ca="1" si="832"/>
        <v>39</v>
      </c>
      <c r="AW346" s="398">
        <f t="shared" ca="1" si="862"/>
        <v>2</v>
      </c>
      <c r="AX346" s="398">
        <f t="shared" ca="1" si="863"/>
        <v>3600</v>
      </c>
      <c r="AY346" s="398">
        <f t="shared" ca="1" si="864"/>
        <v>3686760</v>
      </c>
      <c r="AZ346" s="399">
        <f t="shared" si="888"/>
        <v>3066</v>
      </c>
      <c r="BA346" s="399">
        <f t="shared" si="889"/>
        <v>4</v>
      </c>
      <c r="BB346" s="483" t="e">
        <f t="shared" ca="1" si="833"/>
        <v>#DIV/0!</v>
      </c>
      <c r="BC346" s="400">
        <f ca="1">IF(MAX(IF($D$6="No",ROUNDUP($D$3/$I346,0),ROUNDUP(($D$3+$I346)/$I346,0)),IF($D$6="No",ROUNDUP($D$4/$G346,0),ROUNDUP(($D$4+$G346)/$G346,0)),ROUNDUP('BVMS checklist'!$H$217/$J346,0))&gt;1,'BVMS checklist'!$L$224,'BVMS checklist'!$L$217)</f>
        <v>0</v>
      </c>
      <c r="BD346" s="398">
        <f t="shared" ca="1" si="834"/>
        <v>2</v>
      </c>
      <c r="BE346" s="400">
        <f t="shared" si="835"/>
        <v>1</v>
      </c>
      <c r="BF346" s="400">
        <f t="shared" si="865"/>
        <v>1250</v>
      </c>
      <c r="BG346" s="400">
        <f t="shared" ca="1" si="846"/>
        <v>0</v>
      </c>
      <c r="BH346" s="398">
        <f t="shared" ca="1" si="866"/>
        <v>3686760</v>
      </c>
      <c r="BI346" s="401" t="e">
        <f t="shared" ca="1" si="836"/>
        <v>#DIV/0!</v>
      </c>
      <c r="BJ346" s="398">
        <f t="shared" ca="1" si="867"/>
        <v>1600</v>
      </c>
      <c r="BK346" s="400">
        <f ca="1">IF(MAX(IF($D$6="No",ROUNDUP($D$3/$I346,0),ROUNDUP(($D$3+$I346)/$I346,0)),IF($D$6="No",ROUNDUP($D$4/$G346,0),ROUNDUP(($D$4+$G346)/$G346,0)),ROUNDUP('BVMS checklist'!$H$217/$J346,0))&gt;1,'BVMS checklist'!$L$224,'BVMS checklist'!$L$217)+MAX(IF($D$6="No",ROUNDUP($D$3/$I346,0),ROUNDUP(($D$3+$I346)/$I346,0)),IF($D$6="No",ROUNDUP($D$4/$G346,0),ROUNDUP(($D$4+$G346)/$G346,0)))+$D$5</f>
        <v>1</v>
      </c>
      <c r="BL346" s="400" t="b">
        <f t="shared" ref="BL346:BL347" ca="1" si="905">IF(AND((BJ346/$D346)-BK346&gt;=0,OR(BD346&gt;=2,$D346&gt;=2),BF346-I346&gt;=$D$3),TRUE,FALSE)</f>
        <v>1</v>
      </c>
      <c r="BM346" s="400" t="str">
        <f t="shared" ca="1" si="868"/>
        <v>Accepted</v>
      </c>
      <c r="BN346" s="398" t="str">
        <f t="shared" ca="1" si="847"/>
        <v>Yes</v>
      </c>
      <c r="BO346" s="398">
        <f t="shared" ca="1" si="869"/>
        <v>39</v>
      </c>
      <c r="BP346" s="398" t="str">
        <f t="shared" ca="1" si="837"/>
        <v>E-Series dual ctrl Base + 2x 60 HDD Exp, 60x12TB+120x12TB RAID5</v>
      </c>
      <c r="BQ346" s="398">
        <f t="shared" ca="1" si="838"/>
        <v>39</v>
      </c>
      <c r="BR346" s="398">
        <f t="shared" ca="1" si="870"/>
        <v>2</v>
      </c>
      <c r="BS346" s="398">
        <f t="shared" ca="1" si="871"/>
        <v>3600</v>
      </c>
      <c r="BT346" s="398">
        <f t="shared" ca="1" si="872"/>
        <v>3686760</v>
      </c>
      <c r="BU346" s="399">
        <f t="shared" si="890"/>
        <v>3066</v>
      </c>
      <c r="BV346" s="399">
        <f t="shared" si="891"/>
        <v>4</v>
      </c>
      <c r="BW346" s="483" t="e">
        <f t="shared" ca="1" si="839"/>
        <v>#DIV/0!</v>
      </c>
      <c r="BX346" s="400">
        <f ca="1">IF(MAX(IF($E$6="No",ROUNDUP($E$3/$I346,0),ROUNDUP(($E$3+$I346)/$I346,0)),IF($E$6="No",ROUNDUP($E$4/$G346,0),ROUNDUP(($E$4+$G346)/$G346,0)),ROUNDUP('BVMS checklist'!$H$217/$J346,0))&gt;1,'BVMS checklist'!$N$224,'BVMS checklist'!$N$217)</f>
        <v>0</v>
      </c>
      <c r="BY346" s="398">
        <f t="shared" ca="1" si="840"/>
        <v>2</v>
      </c>
      <c r="BZ346" s="400">
        <f t="shared" ca="1" si="873"/>
        <v>2</v>
      </c>
      <c r="CA346" s="400">
        <f t="shared" ca="1" si="874"/>
        <v>2500</v>
      </c>
      <c r="CB346" s="400">
        <f t="shared" ca="1" si="848"/>
        <v>0</v>
      </c>
      <c r="CC346" s="398">
        <f t="shared" ca="1" si="875"/>
        <v>3686760</v>
      </c>
      <c r="CD346" s="401" t="e">
        <f t="shared" ca="1" si="841"/>
        <v>#DIV/0!</v>
      </c>
      <c r="CE346" s="398">
        <f t="shared" ca="1" si="876"/>
        <v>1600</v>
      </c>
      <c r="CF346" s="400">
        <f ca="1">IF(MAX(IF($E$6="No",ROUNDUP($E$3/$I346,0),ROUNDUP(($E$3+$I346)/$I346,0)),IF($E$6="No",ROUNDUP($E$4/$G346,0),ROUNDUP(($E$4+$G346)/$G346,0)),ROUNDUP('BVMS checklist'!$H$217/$J346,0))&gt;1,'BVMS checklist'!$N$224,'BVMS checklist'!$N$217)+MAX(IF($E$6="No",ROUNDUP($E$3/$I346,0),ROUNDUP(($E$3+$I346)/$I346,0)),IF($E$6="No",ROUNDUP($E$4/$G346,0),ROUNDUP(($E$4+$G346)/$G346,0)))+$E$5</f>
        <v>1</v>
      </c>
      <c r="CG346" s="400" t="b">
        <f t="shared" ref="CG346:CG347" ca="1" si="906">IF(AND((CE346/$D346)-CF346&gt;=0,OR(BY346&gt;=2,$D346&gt;=2),CA346-I346&gt;=$E$3),TRUE,FALSE)</f>
        <v>1</v>
      </c>
      <c r="CH346" s="400" t="str">
        <f t="shared" ca="1" si="877"/>
        <v>Accepted</v>
      </c>
      <c r="CI346" s="398" t="str">
        <f t="shared" ca="1" si="849"/>
        <v>Yes</v>
      </c>
      <c r="CJ346" s="398">
        <f t="shared" ca="1" si="878"/>
        <v>39</v>
      </c>
      <c r="CK346" s="398" t="str">
        <f t="shared" ca="1" si="842"/>
        <v>E-Series dual ctrl Base + 2x 60 HDD Exp, 60x12TB+120x12TB RAID5</v>
      </c>
      <c r="CL346" s="398">
        <f t="shared" ca="1" si="843"/>
        <v>39</v>
      </c>
      <c r="CM346" s="398">
        <f t="shared" ca="1" si="879"/>
        <v>2</v>
      </c>
      <c r="CN346" s="398">
        <f t="shared" ca="1" si="880"/>
        <v>3600</v>
      </c>
      <c r="CO346" s="398">
        <f t="shared" ca="1" si="881"/>
        <v>3686760</v>
      </c>
      <c r="CP346" s="399">
        <f t="shared" si="892"/>
        <v>3066</v>
      </c>
      <c r="CQ346" s="399">
        <f t="shared" si="893"/>
        <v>4</v>
      </c>
      <c r="CR346" s="483" t="e">
        <f t="shared" ca="1" si="844"/>
        <v>#DIV/0!</v>
      </c>
      <c r="CS346"/>
    </row>
    <row r="347" spans="1:97">
      <c r="A347" s="398" t="s">
        <v>116</v>
      </c>
      <c r="B347" s="398" t="s">
        <v>988</v>
      </c>
      <c r="C347" s="440" t="s">
        <v>891</v>
      </c>
      <c r="D347" s="398">
        <v>1</v>
      </c>
      <c r="E347" s="398"/>
      <c r="F347" s="440">
        <v>0</v>
      </c>
      <c r="G347" s="398">
        <v>16000</v>
      </c>
      <c r="H347" s="399">
        <v>6</v>
      </c>
      <c r="I347" s="399">
        <v>150</v>
      </c>
      <c r="J347" s="399">
        <v>64</v>
      </c>
      <c r="K347" s="399"/>
      <c r="L347" s="399"/>
      <c r="M347" s="400">
        <f ca="1">IF(MAX(IF($B$6="No",ROUNDUP($B$3/$I347,0),ROUNDUP(($B$3+$I347)/$I347,0)),IF($B$6="No",ROUNDUP($B$4/$G347,0),ROUNDUP(($B$4+$G347)/$G347,0)),ROUNDUP('BVMS checklist'!$H$217/$J347,0))&gt;1,'BVMS checklist'!$H$224,'BVMS checklist'!$H$217)</f>
        <v>0</v>
      </c>
      <c r="N347" s="398">
        <f t="shared" ref="N347" ca="1" si="907">MAX(IF($B$6="No",ROUNDUP($B$3/$I347,0),ROUNDUP(($B$3+$I347)/$I347,0)),IF($B$6="No",ROUNDUP($B$4/$G347,0),ROUNDUP($B$4/$G347,0)),IF($B$6="Yes",ROUNDUP((U347+J347)/J347,0),ROUNDUP(U347/J347,0)))</f>
        <v>2</v>
      </c>
      <c r="O347" s="400">
        <f t="shared" ca="1" si="851"/>
        <v>2</v>
      </c>
      <c r="P347" s="400">
        <f t="shared" ca="1" si="902"/>
        <v>300</v>
      </c>
      <c r="Q347" s="400">
        <f t="shared" ca="1" si="814"/>
        <v>0</v>
      </c>
      <c r="R347" s="398">
        <f t="shared" ca="1" si="815"/>
        <v>32000</v>
      </c>
      <c r="S347" s="401" t="e">
        <f t="shared" ref="S347" ca="1" si="908">IF(X347="yes",(R347)/$B$4,"")</f>
        <v>#DIV/0!</v>
      </c>
      <c r="T347" s="398">
        <f t="shared" ca="1" si="824"/>
        <v>128</v>
      </c>
      <c r="U347" s="400">
        <f ca="1">IF(MAX(IF($B$6="No",ROUNDUP($B$3/$I347,0),ROUNDUP(($B$3+$I347)/$I347,0)),IF($B$6="No",ROUNDUP($B$4/$G347,0),ROUNDUP(($B$4+$G347)/$G347,0)),ROUNDUP('BVMS checklist'!$H$217/$J347,0))&gt;1,'BVMS checklist'!$H$224,'BVMS checklist'!$H$217)+MAX(IF($B$6="No",ROUNDUP($B$3/$I347,0),ROUNDUP(($B$3+$I347)/$I347,0)),IF($B$6="No",ROUNDUP($B$4/$G347,0),ROUNDUP(($B$4+$G347)/$G347,0)))+$B$5</f>
        <v>1</v>
      </c>
      <c r="V347" s="400" t="b">
        <f t="shared" ca="1" si="903"/>
        <v>1</v>
      </c>
      <c r="W347" s="400" t="str">
        <f t="shared" ca="1" si="852"/>
        <v>Accepted</v>
      </c>
      <c r="X347" s="398" t="str">
        <f t="shared" ref="X347" ca="1" si="909">IF(AND(U347&lt;T347,Q347&lt;I347,B347="Active",W347="Accepted"),"Yes","No")</f>
        <v>Yes</v>
      </c>
      <c r="Y347" s="398">
        <f t="shared" ref="Y347" ca="1" si="910">IF(AA346=AA347,"",AA347)</f>
        <v>40</v>
      </c>
      <c r="Z347" s="398" t="str">
        <f t="shared" ref="Z347" ca="1" si="911">IF(X347="Yes",$A347&amp;" "&amp;$C347,"")</f>
        <v>3th party (Project based/customized storage) RAID5</v>
      </c>
      <c r="AA347" s="398">
        <f t="shared" ca="1" si="853"/>
        <v>40</v>
      </c>
      <c r="AB347" s="398">
        <f t="shared" ca="1" si="817"/>
        <v>2</v>
      </c>
      <c r="AC347" s="398">
        <f t="shared" ca="1" si="818"/>
        <v>12</v>
      </c>
      <c r="AD347" s="398">
        <f t="shared" ca="1" si="854"/>
        <v>32000</v>
      </c>
      <c r="AE347" s="399">
        <f t="shared" si="886"/>
        <v>0</v>
      </c>
      <c r="AF347" s="399">
        <f t="shared" si="887"/>
        <v>0</v>
      </c>
      <c r="AG347" s="483" t="e">
        <f t="shared" ref="AG347" ca="1" si="912">S347</f>
        <v>#DIV/0!</v>
      </c>
      <c r="AH347" s="400">
        <f ca="1">IF(MAX(IF($C$6="No",ROUNDUP($C$3/$I347,0),ROUNDUP(($C$3+$I347)/$I347,0)),IF($C$6="No",ROUNDUP($C$4/$G347,0),ROUNDUP(($C$4+$G347)/$G347,0)),ROUNDUP('BVMS checklist'!$H$217/$J347,0))&gt;1,'BVMS checklist'!$J$224,'BVMS checklist'!$J$217)</f>
        <v>0</v>
      </c>
      <c r="AI347" s="398">
        <f t="shared" ref="AI347" ca="1" si="913">MAX(IF($C$6="No",ROUNDUP($C$3/$I347,0),ROUNDUP(($C$3+$I347)/$I347,0)),IF($C$6="No",ROUNDUP($C$4/$G347,0),ROUNDUP(($C$4+$G347)/$G347,0)),IF($C$6="Yes",ROUNDUP(AP347/J347,0)+1,ROUNDUP(AP347/J347,0)))</f>
        <v>2</v>
      </c>
      <c r="AJ347" s="400">
        <f t="shared" ca="1" si="855"/>
        <v>2</v>
      </c>
      <c r="AK347" s="400">
        <f t="shared" ca="1" si="856"/>
        <v>300</v>
      </c>
      <c r="AL347" s="400">
        <f t="shared" ca="1" si="857"/>
        <v>0</v>
      </c>
      <c r="AM347" s="398">
        <f t="shared" ca="1" si="858"/>
        <v>32000</v>
      </c>
      <c r="AN347" s="401" t="e">
        <f t="shared" ref="AN347" ca="1" si="914">IF(AS347="yes",(AM347)/$C$4,"")</f>
        <v>#DIV/0!</v>
      </c>
      <c r="AO347" s="398">
        <f t="shared" ca="1" si="859"/>
        <v>128</v>
      </c>
      <c r="AP347" s="400">
        <f ca="1">IF(MAX(IF($C$6="No",ROUNDUP($C$3/$I347,0),ROUNDUP(($C$3+$I347)/$I347,0)),IF($C$6="No",ROUNDUP($C$4/$G347,0),ROUNDUP(($C$4+$G347)/$G347,0)),ROUNDUP('BVMS checklist'!$H$217/$J347,0))&gt;1,'BVMS checklist'!$J$224,'BVMS checklist'!$J$217)+MAX(IF($C$6="No",ROUNDUP($C$3/$I347,0),ROUNDUP(($C$3+$I347)/$I347,0)),IF($C$6="No",ROUNDUP($C$4/$G347,0),ROUNDUP(($C$4+$G347)/$G347,0)))+$C$5</f>
        <v>1</v>
      </c>
      <c r="AQ347" s="400" t="b">
        <f t="shared" ca="1" si="904"/>
        <v>1</v>
      </c>
      <c r="AR347" s="400" t="str">
        <f t="shared" ca="1" si="860"/>
        <v>Accepted</v>
      </c>
      <c r="AS347" s="398" t="str">
        <f t="shared" ca="1" si="845"/>
        <v>Yes</v>
      </c>
      <c r="AT347" s="398">
        <f t="shared" ca="1" si="861"/>
        <v>40</v>
      </c>
      <c r="AU347" s="398" t="str">
        <f t="shared" ref="AU347" ca="1" si="915">IF(AS347="Yes",$A347&amp;" "&amp;$C347,"")</f>
        <v>3th party (Project based/customized storage) RAID5</v>
      </c>
      <c r="AV347" s="398">
        <f t="shared" ref="AV347" ca="1" si="916">IF(AU347&lt;&gt;"",AV346+1,AV346)</f>
        <v>40</v>
      </c>
      <c r="AW347" s="398">
        <f t="shared" ca="1" si="862"/>
        <v>2</v>
      </c>
      <c r="AX347" s="398">
        <f t="shared" ca="1" si="863"/>
        <v>12</v>
      </c>
      <c r="AY347" s="398">
        <f t="shared" ca="1" si="864"/>
        <v>32000</v>
      </c>
      <c r="AZ347" s="399">
        <f t="shared" si="888"/>
        <v>0</v>
      </c>
      <c r="BA347" s="399">
        <f t="shared" si="889"/>
        <v>0</v>
      </c>
      <c r="BB347" s="483" t="e">
        <f t="shared" ref="BB347" ca="1" si="917">AN347</f>
        <v>#DIV/0!</v>
      </c>
      <c r="BC347" s="400">
        <f ca="1">IF(MAX(IF($D$6="No",ROUNDUP($D$3/$I347,0),ROUNDUP(($D$3+$I347)/$I347,0)),IF($D$6="No",ROUNDUP($D$4/$G347,0),ROUNDUP(($D$4+$G347)/$G347,0)),ROUNDUP('BVMS checklist'!$H$217/$J347,0))&gt;1,'BVMS checklist'!$L$224,'BVMS checklist'!$L$217)</f>
        <v>0</v>
      </c>
      <c r="BD347" s="398">
        <f t="shared" ref="BD347" ca="1" si="918">MAX(IF($D$6="No",ROUNDUP($D$3/$I347,0),ROUNDUP(($D$3+$I347)/$I347,0)),IF($D$6="No",ROUNDUP($D$4/$G347,0),ROUNDUP(($D$4+$G347)/$G347,0)),IF($D$6="Yes",ROUNDUP(BK347/J347,0)+1,ROUNDUP(BK347/J347,0)))</f>
        <v>2</v>
      </c>
      <c r="BE347" s="400">
        <f t="shared" ref="BE347" si="919">MAX(IF($D$6="No",ROUNDUP($D$3/$I347,0),ROUNDUP(($D$3+$I347)/$I347,0)),IF($D$6="No",ROUNDUP($D$4/$G347,0),ROUNDUP(($D$4+$G347)/$G347,0)))</f>
        <v>1</v>
      </c>
      <c r="BF347" s="400">
        <f t="shared" si="865"/>
        <v>150</v>
      </c>
      <c r="BG347" s="400">
        <f t="shared" ca="1" si="846"/>
        <v>0</v>
      </c>
      <c r="BH347" s="398">
        <f t="shared" ca="1" si="866"/>
        <v>32000</v>
      </c>
      <c r="BI347" s="401" t="e">
        <f t="shared" ref="BI347" ca="1" si="920">IF(BN347="yes",(BH347)/$D$4,"")</f>
        <v>#DIV/0!</v>
      </c>
      <c r="BJ347" s="398">
        <f t="shared" ca="1" si="867"/>
        <v>128</v>
      </c>
      <c r="BK347" s="400">
        <f ca="1">IF(MAX(IF($D$6="No",ROUNDUP($D$3/$I347,0),ROUNDUP(($D$3+$I347)/$I347,0)),IF($D$6="No",ROUNDUP($D$4/$G347,0),ROUNDUP(($D$4+$G347)/$G347,0)),ROUNDUP('BVMS checklist'!$H$217/$J347,0))&gt;1,'BVMS checklist'!$L$224,'BVMS checklist'!$L$217)+MAX(IF($D$6="No",ROUNDUP($D$3/$I347,0),ROUNDUP(($D$3+$I347)/$I347,0)),IF($D$6="No",ROUNDUP($D$4/$G347,0),ROUNDUP(($D$4+$G347)/$G347,0)))+$D$5</f>
        <v>1</v>
      </c>
      <c r="BL347" s="400" t="b">
        <f t="shared" ca="1" si="905"/>
        <v>1</v>
      </c>
      <c r="BM347" s="400" t="str">
        <f t="shared" ca="1" si="868"/>
        <v>Accepted</v>
      </c>
      <c r="BN347" s="398" t="str">
        <f t="shared" ca="1" si="847"/>
        <v>Yes</v>
      </c>
      <c r="BO347" s="398">
        <f t="shared" ca="1" si="869"/>
        <v>40</v>
      </c>
      <c r="BP347" s="398" t="str">
        <f t="shared" ref="BP347" ca="1" si="921">IF(BN347="Yes",$A347&amp;" "&amp;$C347,"")</f>
        <v>3th party (Project based/customized storage) RAID5</v>
      </c>
      <c r="BQ347" s="398">
        <f t="shared" ref="BQ347" ca="1" si="922">IF(BP347&lt;&gt;"",BQ346+1,BQ346)</f>
        <v>40</v>
      </c>
      <c r="BR347" s="398">
        <f t="shared" ca="1" si="870"/>
        <v>2</v>
      </c>
      <c r="BS347" s="398">
        <f t="shared" ca="1" si="871"/>
        <v>12</v>
      </c>
      <c r="BT347" s="398">
        <f t="shared" ca="1" si="872"/>
        <v>32000</v>
      </c>
      <c r="BU347" s="399">
        <f t="shared" si="890"/>
        <v>0</v>
      </c>
      <c r="BV347" s="399">
        <f t="shared" si="891"/>
        <v>0</v>
      </c>
      <c r="BW347" s="483" t="e">
        <f t="shared" ref="BW347" ca="1" si="923">BI347</f>
        <v>#DIV/0!</v>
      </c>
      <c r="BX347" s="400">
        <f ca="1">IF(MAX(IF($E$6="No",ROUNDUP($E$3/$I347,0),ROUNDUP(($E$3+$I347)/$I347,0)),IF($E$6="No",ROUNDUP($E$4/$G347,0),ROUNDUP(($E$4+$G347)/$G347,0)),ROUNDUP('BVMS checklist'!$H$217/$J347,0))&gt;1,'BVMS checklist'!$N$224,'BVMS checklist'!$N$217)</f>
        <v>0</v>
      </c>
      <c r="BY347" s="398">
        <f t="shared" ref="BY347" ca="1" si="924">MAX(IF($E$6="No",ROUNDUP($E$3/$I347,0),ROUNDUP(($E$3+$I347)/$I347,0)),IF($E$6="No",ROUNDUP($E$4/$G347,0),ROUNDUP(($E$4+$G347)/$G347,0)),IF($E$6="Yes",ROUNDUP(CF347/J347,0)+1,ROUNDUP(CF347/J347,0)))</f>
        <v>2</v>
      </c>
      <c r="BZ347" s="400">
        <f t="shared" ca="1" si="873"/>
        <v>2</v>
      </c>
      <c r="CA347" s="400">
        <f t="shared" ca="1" si="874"/>
        <v>300</v>
      </c>
      <c r="CB347" s="400">
        <f t="shared" ca="1" si="848"/>
        <v>0</v>
      </c>
      <c r="CC347" s="398">
        <f t="shared" ca="1" si="875"/>
        <v>32000</v>
      </c>
      <c r="CD347" s="401" t="e">
        <f t="shared" ref="CD347" ca="1" si="925">IF(CI347="yes",(CC347)/$E$4,"")</f>
        <v>#DIV/0!</v>
      </c>
      <c r="CE347" s="398">
        <f t="shared" ca="1" si="876"/>
        <v>128</v>
      </c>
      <c r="CF347" s="400">
        <f ca="1">IF(MAX(IF($E$6="No",ROUNDUP($E$3/$I347,0),ROUNDUP(($E$3+$I347)/$I347,0)),IF($E$6="No",ROUNDUP($E$4/$G347,0),ROUNDUP(($E$4+$G347)/$G347,0)),ROUNDUP('BVMS checklist'!$H$217/$J347,0))&gt;1,'BVMS checklist'!$N$224,'BVMS checklist'!$N$217)+MAX(IF($E$6="No",ROUNDUP($E$3/$I347,0),ROUNDUP(($E$3+$I347)/$I347,0)),IF($E$6="No",ROUNDUP($E$4/$G347,0),ROUNDUP(($E$4+$G347)/$G347,0)))+$E$5</f>
        <v>1</v>
      </c>
      <c r="CG347" s="400" t="b">
        <f t="shared" ca="1" si="906"/>
        <v>1</v>
      </c>
      <c r="CH347" s="400" t="str">
        <f t="shared" ca="1" si="877"/>
        <v>Accepted</v>
      </c>
      <c r="CI347" s="398" t="str">
        <f t="shared" ca="1" si="849"/>
        <v>Yes</v>
      </c>
      <c r="CJ347" s="398">
        <f t="shared" ca="1" si="878"/>
        <v>40</v>
      </c>
      <c r="CK347" s="398" t="str">
        <f t="shared" ref="CK347" ca="1" si="926">IF(CI347="Yes",$A347&amp;" "&amp;$C347,"")</f>
        <v>3th party (Project based/customized storage) RAID5</v>
      </c>
      <c r="CL347" s="398">
        <f t="shared" ref="CL347" ca="1" si="927">IF(CK347&lt;&gt;"",CL346+1,CL346)</f>
        <v>40</v>
      </c>
      <c r="CM347" s="398">
        <f t="shared" ca="1" si="879"/>
        <v>2</v>
      </c>
      <c r="CN347" s="398">
        <f t="shared" ca="1" si="880"/>
        <v>12</v>
      </c>
      <c r="CO347" s="398">
        <f t="shared" ca="1" si="881"/>
        <v>32000</v>
      </c>
      <c r="CP347" s="399">
        <f t="shared" si="892"/>
        <v>0</v>
      </c>
      <c r="CQ347" s="399">
        <f t="shared" si="893"/>
        <v>0</v>
      </c>
      <c r="CR347" s="483" t="e">
        <f t="shared" ref="CR347" ca="1" si="928">CD347</f>
        <v>#DIV/0!</v>
      </c>
      <c r="CS347"/>
    </row>
    <row r="348" spans="1:97">
      <c r="M348" s="373"/>
      <c r="N348"/>
      <c r="O348" s="373"/>
      <c r="P348" s="373"/>
      <c r="Q348" s="373"/>
      <c r="R348"/>
      <c r="S348" s="374"/>
      <c r="T348"/>
      <c r="U348" s="373"/>
      <c r="V348" s="373"/>
      <c r="W348" s="373"/>
      <c r="AH348" s="373"/>
      <c r="AI348"/>
      <c r="AJ348" s="373"/>
      <c r="AK348" s="373"/>
      <c r="AL348" s="373"/>
      <c r="AM348"/>
      <c r="AN348" s="374"/>
      <c r="AO348"/>
      <c r="AP348" s="373"/>
      <c r="AQ348" s="373"/>
      <c r="AR348" s="373"/>
      <c r="BC348" s="373"/>
      <c r="BD348"/>
      <c r="BE348" s="373"/>
      <c r="BF348" s="373"/>
      <c r="BG348" s="373"/>
      <c r="BH348"/>
      <c r="BI348" s="374"/>
      <c r="BJ348"/>
      <c r="BK348" s="373"/>
      <c r="BL348" s="373"/>
      <c r="BM348" s="373"/>
      <c r="BX348"/>
      <c r="BY348"/>
      <c r="BZ348" s="373"/>
      <c r="CA348" s="373"/>
      <c r="CB348" s="373"/>
      <c r="CC348"/>
      <c r="CD348" s="374"/>
      <c r="CE348"/>
      <c r="CF348" s="373"/>
      <c r="CG348" s="373"/>
      <c r="CH348" s="373"/>
      <c r="CS348"/>
    </row>
    <row r="349" spans="1:97">
      <c r="M349" s="373"/>
      <c r="N349"/>
      <c r="O349" s="373"/>
      <c r="P349" s="373"/>
      <c r="Q349" s="373"/>
      <c r="R349"/>
      <c r="S349" s="374"/>
      <c r="T349"/>
      <c r="U349" s="373"/>
      <c r="V349" s="373"/>
      <c r="W349" s="373"/>
      <c r="AH349" s="373"/>
      <c r="AI349"/>
      <c r="AJ349" s="373"/>
      <c r="AK349" s="373"/>
      <c r="AL349" s="373"/>
      <c r="AM349"/>
      <c r="AN349" s="374"/>
      <c r="AO349"/>
      <c r="AP349" s="373"/>
      <c r="AQ349" s="373"/>
      <c r="AR349" s="373"/>
      <c r="BC349" s="373"/>
      <c r="BD349"/>
      <c r="BE349" s="373"/>
      <c r="BF349" s="373"/>
      <c r="BG349" s="373"/>
      <c r="BH349"/>
      <c r="BI349" s="374"/>
      <c r="BJ349"/>
      <c r="BK349" s="373"/>
      <c r="BL349" s="373"/>
      <c r="BM349" s="373"/>
      <c r="BX349"/>
      <c r="BY349"/>
      <c r="BZ349" s="373"/>
      <c r="CA349" s="373"/>
      <c r="CB349" s="373"/>
      <c r="CC349"/>
      <c r="CD349" s="374"/>
      <c r="CE349"/>
      <c r="CF349" s="373"/>
      <c r="CG349" s="373"/>
      <c r="CH349" s="373"/>
      <c r="CS349"/>
    </row>
    <row r="350" spans="1:97">
      <c r="N350" s="373"/>
      <c r="O350"/>
      <c r="P350" s="373"/>
      <c r="Q350" s="373"/>
      <c r="R350" s="373"/>
      <c r="S350"/>
      <c r="T350" s="374"/>
      <c r="U350"/>
      <c r="V350" s="373"/>
      <c r="W350" s="373"/>
      <c r="X350" s="373"/>
      <c r="AH350"/>
      <c r="AI350" s="373"/>
      <c r="AJ350"/>
      <c r="AK350" s="373"/>
      <c r="AL350" s="373"/>
      <c r="AM350" s="373"/>
      <c r="AN350"/>
      <c r="AO350" s="374"/>
      <c r="AP350"/>
      <c r="AQ350" s="373"/>
      <c r="AR350" s="373"/>
      <c r="AS350" s="373"/>
      <c r="BC350"/>
      <c r="BD350" s="373"/>
      <c r="BE350"/>
      <c r="BF350" s="373"/>
      <c r="BG350" s="373"/>
      <c r="BH350" s="373"/>
      <c r="BI350"/>
      <c r="BJ350" s="374"/>
      <c r="BK350"/>
      <c r="BL350" s="373"/>
      <c r="BM350" s="373"/>
      <c r="BN350" s="373"/>
      <c r="BX350"/>
      <c r="BY350"/>
      <c r="BZ350"/>
      <c r="CA350" s="373"/>
      <c r="CB350" s="373"/>
      <c r="CC350" s="373"/>
      <c r="CD350"/>
      <c r="CE350" s="374"/>
      <c r="CF350"/>
      <c r="CG350" s="373"/>
      <c r="CH350" s="373"/>
      <c r="CI350" s="373"/>
      <c r="CS350"/>
    </row>
    <row r="351" spans="1:97">
      <c r="N351" s="373"/>
      <c r="O351"/>
      <c r="P351" s="373"/>
      <c r="Q351" s="373"/>
      <c r="R351" s="373"/>
      <c r="S351"/>
      <c r="T351" s="374"/>
      <c r="U351"/>
      <c r="V351" s="373"/>
      <c r="W351" s="373"/>
      <c r="X351" s="373"/>
      <c r="AH351"/>
      <c r="AI351" s="373"/>
      <c r="AJ351"/>
      <c r="AK351" s="373"/>
      <c r="AL351" s="373"/>
      <c r="AM351" s="373"/>
      <c r="AN351"/>
      <c r="AO351" s="374"/>
      <c r="AP351"/>
      <c r="AQ351" s="373"/>
      <c r="AR351" s="373"/>
      <c r="AS351" s="373"/>
      <c r="BC351"/>
      <c r="BD351" s="373"/>
      <c r="BE351"/>
      <c r="BF351" s="373"/>
      <c r="BG351" s="373"/>
      <c r="BH351" s="373"/>
      <c r="BI351"/>
      <c r="BJ351" s="374"/>
      <c r="BK351"/>
      <c r="BL351" s="373"/>
      <c r="BM351" s="373"/>
      <c r="BN351" s="373"/>
      <c r="BX351"/>
      <c r="BY351"/>
      <c r="BZ351"/>
      <c r="CA351" s="373"/>
      <c r="CB351" s="373"/>
      <c r="CC351" s="373"/>
      <c r="CD351"/>
      <c r="CE351" s="374"/>
      <c r="CF351"/>
      <c r="CG351" s="373"/>
      <c r="CH351" s="373"/>
      <c r="CI351" s="373"/>
      <c r="CS351"/>
    </row>
    <row r="352" spans="1:97">
      <c r="O352" s="373"/>
      <c r="P352"/>
      <c r="Q352" s="373"/>
      <c r="R352" s="373"/>
      <c r="S352" s="373"/>
      <c r="T352"/>
      <c r="U352" s="374"/>
      <c r="W352" s="373"/>
      <c r="X352" s="373"/>
      <c r="Y352" s="373"/>
      <c r="AH352"/>
      <c r="AJ352" s="373"/>
      <c r="AK352"/>
      <c r="AL352" s="373"/>
      <c r="AM352" s="373"/>
      <c r="AN352" s="373"/>
      <c r="AO352"/>
      <c r="AP352" s="374"/>
      <c r="AR352" s="373"/>
      <c r="AS352" s="373"/>
      <c r="AT352" s="373"/>
      <c r="BC352"/>
      <c r="BE352" s="373"/>
      <c r="BF352"/>
      <c r="BG352" s="373"/>
      <c r="BH352" s="373"/>
      <c r="BI352" s="373"/>
      <c r="BJ352"/>
      <c r="BK352" s="374"/>
      <c r="BM352" s="373"/>
      <c r="BN352" s="373"/>
      <c r="BO352" s="373"/>
      <c r="BX352"/>
      <c r="BY352"/>
      <c r="BZ352" s="373"/>
      <c r="CA352"/>
      <c r="CB352" s="373"/>
      <c r="CC352" s="373"/>
      <c r="CD352" s="373"/>
      <c r="CE352"/>
      <c r="CF352" s="374"/>
      <c r="CH352" s="373"/>
      <c r="CI352" s="373"/>
      <c r="CJ352" s="373"/>
      <c r="CS352"/>
    </row>
    <row r="353" spans="16:97">
      <c r="P353" s="373"/>
      <c r="Q353"/>
      <c r="R353" s="373"/>
      <c r="S353" s="373"/>
      <c r="T353" s="373"/>
      <c r="U353"/>
      <c r="V353" s="374"/>
      <c r="X353" s="373"/>
      <c r="Y353" s="373"/>
      <c r="Z353" s="373"/>
      <c r="AH353"/>
      <c r="AK353" s="373"/>
      <c r="AL353"/>
      <c r="AM353" s="373"/>
      <c r="AN353" s="373"/>
      <c r="AO353" s="373"/>
      <c r="AP353"/>
      <c r="AQ353" s="374"/>
      <c r="AS353" s="373"/>
      <c r="AT353" s="373"/>
      <c r="AU353" s="373"/>
      <c r="BC353"/>
      <c r="BF353" s="373"/>
      <c r="BG353"/>
      <c r="BH353" s="373"/>
      <c r="BI353" s="373"/>
      <c r="BJ353" s="373"/>
      <c r="BK353"/>
      <c r="BL353" s="374"/>
      <c r="BN353" s="373"/>
      <c r="BO353" s="373"/>
      <c r="BP353" s="373"/>
      <c r="BX353"/>
      <c r="BY353"/>
      <c r="CA353" s="373"/>
      <c r="CB353"/>
      <c r="CC353" s="373"/>
      <c r="CD353" s="373"/>
      <c r="CE353" s="373"/>
      <c r="CF353"/>
      <c r="CG353" s="374"/>
      <c r="CI353" s="373"/>
      <c r="CJ353" s="373"/>
      <c r="CK353" s="373"/>
      <c r="CS353"/>
    </row>
    <row r="354" spans="16:97">
      <c r="P354" s="373"/>
      <c r="Q354"/>
      <c r="R354" s="373"/>
      <c r="S354" s="373"/>
      <c r="T354" s="373"/>
      <c r="U354"/>
      <c r="V354" s="374"/>
      <c r="X354" s="373"/>
      <c r="Y354" s="373"/>
      <c r="Z354" s="373"/>
      <c r="AH354"/>
      <c r="AK354" s="373"/>
      <c r="AL354"/>
      <c r="AM354" s="373"/>
      <c r="AN354" s="373"/>
      <c r="AO354" s="373"/>
      <c r="AP354"/>
      <c r="AQ354" s="374"/>
      <c r="AS354" s="373"/>
      <c r="AT354" s="373"/>
      <c r="AU354" s="373"/>
      <c r="BC354"/>
      <c r="BF354" s="373"/>
      <c r="BG354"/>
      <c r="BH354" s="373"/>
      <c r="BI354" s="373"/>
      <c r="BJ354" s="373"/>
      <c r="BK354"/>
      <c r="BL354" s="374"/>
      <c r="BN354" s="373"/>
      <c r="BO354" s="373"/>
      <c r="BP354" s="373"/>
      <c r="BX354"/>
      <c r="BY354"/>
      <c r="CA354" s="373"/>
      <c r="CB354"/>
      <c r="CC354" s="373"/>
      <c r="CD354" s="373"/>
      <c r="CE354" s="373"/>
      <c r="CF354"/>
      <c r="CG354" s="374"/>
      <c r="CI354" s="373"/>
      <c r="CJ354" s="373"/>
      <c r="CK354" s="373"/>
      <c r="CS354"/>
    </row>
    <row r="355" spans="16:97">
      <c r="P355" s="373"/>
      <c r="Q355"/>
      <c r="R355" s="373"/>
      <c r="S355" s="373"/>
      <c r="T355" s="373"/>
      <c r="U355"/>
      <c r="V355" s="374"/>
      <c r="X355" s="373"/>
      <c r="Y355" s="373"/>
      <c r="Z355" s="373"/>
      <c r="AH355"/>
      <c r="AK355" s="373"/>
      <c r="AL355"/>
      <c r="AM355" s="373"/>
      <c r="AN355" s="373"/>
      <c r="AO355" s="373"/>
      <c r="AP355"/>
      <c r="AQ355" s="374"/>
      <c r="AS355" s="373"/>
      <c r="AT355" s="373"/>
      <c r="AU355" s="373"/>
      <c r="BC355"/>
      <c r="BF355" s="373"/>
      <c r="BG355"/>
      <c r="BH355" s="373"/>
      <c r="BI355" s="373"/>
      <c r="BJ355" s="373"/>
      <c r="BK355"/>
      <c r="BL355" s="374"/>
      <c r="BN355" s="373"/>
      <c r="BO355" s="373"/>
      <c r="BP355" s="373"/>
      <c r="BX355"/>
      <c r="BY355"/>
      <c r="CA355" s="373"/>
      <c r="CB355"/>
      <c r="CC355" s="373"/>
      <c r="CD355" s="373"/>
      <c r="CE355" s="373"/>
      <c r="CF355"/>
      <c r="CG355" s="374"/>
      <c r="CI355" s="373"/>
      <c r="CJ355" s="373"/>
      <c r="CK355" s="373"/>
      <c r="CS355"/>
    </row>
  </sheetData>
  <sheetProtection algorithmName="SHA-512" hashValue="jeFuwPefFOcSNH8QIlSjdaUAL9sZin5U1vOO4VehpW51vKDIFKwbSu/OFi7nn8K5YCs46exCKlATMHqKnnar/w==" saltValue="XdfBZESdb0lQQwFINgcPHg==" spinCount="100000" sheet="1" formatCells="0" formatColumns="0" formatRows="0"/>
  <mergeCells count="4">
    <mergeCell ref="BY11:CO11"/>
    <mergeCell ref="AH11:AY11"/>
    <mergeCell ref="BC11:BT11"/>
    <mergeCell ref="N11:AD11"/>
  </mergeCells>
  <dataValidations count="8">
    <dataValidation type="list" allowBlank="1" showInputMessage="1" showErrorMessage="1" sqref="C14:C15 C17:C18" xr:uid="{00000000-0002-0000-0600-000000000000}">
      <formula1>"JBOD,RAID 1"</formula1>
    </dataValidation>
    <dataValidation type="list" allowBlank="1" showInputMessage="1" showErrorMessage="1" sqref="C348" xr:uid="{00000000-0002-0000-0600-000001000000}">
      <formula1>"RAID 4, RAID DP"</formula1>
    </dataValidation>
    <dataValidation type="list" allowBlank="1" showInputMessage="1" showErrorMessage="1" sqref="F349:F355 F247:F346" xr:uid="{00000000-0002-0000-0600-000002000000}">
      <formula1>"0,1,2"</formula1>
    </dataValidation>
    <dataValidation type="list" allowBlank="1" showInputMessage="1" showErrorMessage="1" sqref="F238:F239 F347:F348 F241:F246 F36:F236" xr:uid="{00000000-0002-0000-0600-000003000000}">
      <formula1>"0,1"</formula1>
    </dataValidation>
    <dataValidation type="list" allowBlank="1" showInputMessage="1" showErrorMessage="1" sqref="C30:C35" xr:uid="{00000000-0002-0000-0600-000004000000}">
      <formula1>"JBOD,RAID1"</formula1>
    </dataValidation>
    <dataValidation type="list" allowBlank="1" showInputMessage="1" showErrorMessage="1" sqref="C347 C36:C246" xr:uid="{00000000-0002-0000-0600-000005000000}">
      <formula1>"RAID5,RAID6"</formula1>
    </dataValidation>
    <dataValidation type="list" allowBlank="1" showInputMessage="1" showErrorMessage="1" sqref="C247:C346" xr:uid="{00000000-0002-0000-0600-000006000000}">
      <formula1>"RAID5,RAID6,DDP"</formula1>
    </dataValidation>
    <dataValidation type="list" allowBlank="1" showInputMessage="1" showErrorMessage="1" sqref="B13:B347" xr:uid="{00000000-0002-0000-0600-000007000000}">
      <formula1>"EOL,Active"</formula1>
    </dataValidation>
  </dataValidations>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H410"/>
  <sheetViews>
    <sheetView workbookViewId="0">
      <selection activeCell="A3" sqref="A3"/>
    </sheetView>
  </sheetViews>
  <sheetFormatPr defaultColWidth="9.140625" defaultRowHeight="12.75"/>
  <cols>
    <col min="1" max="1" width="70.7109375" customWidth="1"/>
    <col min="3" max="3" width="64" customWidth="1"/>
    <col min="5" max="5" width="71.7109375" bestFit="1" customWidth="1"/>
    <col min="7" max="7" width="22.5703125" customWidth="1"/>
  </cols>
  <sheetData>
    <row r="1" spans="1:8">
      <c r="A1" s="645" t="s">
        <v>1085</v>
      </c>
      <c r="B1" s="645"/>
      <c r="C1" s="643" t="s">
        <v>1086</v>
      </c>
      <c r="D1" s="643"/>
      <c r="E1" s="644" t="s">
        <v>1088</v>
      </c>
      <c r="F1" s="644"/>
      <c r="G1" s="642" t="s">
        <v>1087</v>
      </c>
      <c r="H1" s="642"/>
    </row>
    <row r="2" spans="1:8">
      <c r="A2" s="29" t="s">
        <v>55</v>
      </c>
      <c r="C2" s="29" t="s">
        <v>55</v>
      </c>
      <c r="E2" s="29" t="s">
        <v>55</v>
      </c>
      <c r="G2" s="29" t="s">
        <v>55</v>
      </c>
    </row>
    <row r="3" spans="1:8">
      <c r="A3" t="str">
        <f ca="1">IFERROR(VLOOKUP(B3,StorageDevices!Y13:AC1028,2,FALSE),"")</f>
        <v>DIVAR IP all-in-one 4000 MANAGEMENT APPLIANCE 2X4TB JBOD</v>
      </c>
      <c r="B3">
        <v>1</v>
      </c>
      <c r="C3" t="str">
        <f ca="1">IFERROR(VLOOKUP(D3,StorageDevices!AT13:BC1028,2,FALSE),"")</f>
        <v>DIVAR IP all-in-one 4000 MANAGEMENT APPLIANCE 2X4TB JBOD</v>
      </c>
      <c r="D3">
        <v>1</v>
      </c>
      <c r="E3" t="str">
        <f ca="1">IFERROR(VLOOKUP(D3,StorageDevices!BO13:BX1019,2,FALSE),"")</f>
        <v>DIVAR IP all-in-one 4000 MANAGEMENT APPLIANCE 2X4TB JBOD</v>
      </c>
      <c r="F3">
        <v>1</v>
      </c>
      <c r="G3" t="str">
        <f ca="1">IFERROR(VLOOKUP(F3,StorageDevices!CJ13:CS1019,2,FALSE),"")</f>
        <v>DIVAR IP all-in-one 4000 MANAGEMENT APPLIANCE 2X4TB JBOD</v>
      </c>
      <c r="H3">
        <v>1</v>
      </c>
    </row>
    <row r="4" spans="1:8">
      <c r="A4" t="str">
        <f ca="1">IFERROR(VLOOKUP(B4,StorageDevices!Y14:AC1029,2,FALSE),"")</f>
        <v>DIVAR IP all-in-one 4000 MANAGEMENT APPLIANCE 2X8TB JBOD</v>
      </c>
      <c r="B4">
        <v>2</v>
      </c>
      <c r="C4" t="str">
        <f ca="1">IFERROR(VLOOKUP(D4,StorageDevices!AT14:BC1029,2,FALSE),"")</f>
        <v>DIVAR IP all-in-one 4000 MANAGEMENT APPLIANCE 2X8TB JBOD</v>
      </c>
      <c r="D4">
        <v>2</v>
      </c>
      <c r="E4" t="str">
        <f ca="1">IFERROR(VLOOKUP(D4,StorageDevices!BO14:BX1020,2,FALSE),"")</f>
        <v>DIVAR IP all-in-one 4000 MANAGEMENT APPLIANCE 2X8TB JBOD</v>
      </c>
      <c r="F4">
        <v>2</v>
      </c>
      <c r="G4" t="str">
        <f ca="1">IFERROR(VLOOKUP(F4,StorageDevices!CJ14:CS1020,2,FALSE),"")</f>
        <v>DIVAR IP all-in-one 4000 MANAGEMENT APPLIANCE 2X8TB JBOD</v>
      </c>
      <c r="H4">
        <v>2</v>
      </c>
    </row>
    <row r="5" spans="1:8">
      <c r="A5" t="str">
        <f ca="1">IFERROR(VLOOKUP(B5,StorageDevices!Y15:AC1030,2,FALSE),"")</f>
        <v>DIVAR IP all-in-one 4000 MANAGEMENT APPLIANCE 2X18TB JBOD</v>
      </c>
      <c r="B5">
        <v>3</v>
      </c>
      <c r="C5" t="str">
        <f ca="1">IFERROR(VLOOKUP(D5,StorageDevices!AT15:BC1030,2,FALSE),"")</f>
        <v>DIVAR IP all-in-one 4000 MANAGEMENT APPLIANCE 2X18TB JBOD</v>
      </c>
      <c r="D5">
        <v>3</v>
      </c>
      <c r="E5" t="str">
        <f ca="1">IFERROR(VLOOKUP(D5,StorageDevices!BO15:BX1021,2,FALSE),"")</f>
        <v>DIVAR IP all-in-one 4000 MANAGEMENT APPLIANCE 2X18TB JBOD</v>
      </c>
      <c r="F5">
        <v>3</v>
      </c>
      <c r="G5" t="str">
        <f ca="1">IFERROR(VLOOKUP(F5,StorageDevices!CJ15:CS1021,2,FALSE),"")</f>
        <v>DIVAR IP all-in-one 4000 MANAGEMENT APPLIANCE 2X18TB JBOD</v>
      </c>
      <c r="H5">
        <v>3</v>
      </c>
    </row>
    <row r="6" spans="1:8">
      <c r="A6" t="str">
        <f ca="1">IFERROR(VLOOKUP(B6,StorageDevices!Y16:AC1031,2,FALSE),"")</f>
        <v>DIVAR IP all-in-one 6000 MANAGEMENT APPLIANCE 4x4TB RAID5</v>
      </c>
      <c r="B6">
        <v>4</v>
      </c>
      <c r="C6" t="str">
        <f ca="1">IFERROR(VLOOKUP(D6,StorageDevices!AT16:BC1031,2,FALSE),"")</f>
        <v>DIVAR IP all-in-one 6000 MANAGEMENT APPLIANCE 4x4TB RAID5</v>
      </c>
      <c r="D6">
        <v>4</v>
      </c>
      <c r="E6" t="str">
        <f ca="1">IFERROR(VLOOKUP(D6,StorageDevices!BO16:BX1022,2,FALSE),"")</f>
        <v>DIVAR IP all-in-one 6000 MANAGEMENT APPLIANCE 4x4TB RAID5</v>
      </c>
      <c r="F6">
        <v>4</v>
      </c>
      <c r="G6" t="str">
        <f ca="1">IFERROR(VLOOKUP(F6,StorageDevices!CJ16:CS1022,2,FALSE),"")</f>
        <v>DIVAR IP all-in-one 6000 MANAGEMENT APPLIANCE 4x4TB RAID5</v>
      </c>
      <c r="H6">
        <v>4</v>
      </c>
    </row>
    <row r="7" spans="1:8">
      <c r="A7" t="str">
        <f ca="1">IFERROR(VLOOKUP(B7,StorageDevices!Y17:AC1032,2,FALSE),"")</f>
        <v>DIVAR IP all-in-one 6000 MANAGEMENT APPLIANCE 4x8TB RAID5</v>
      </c>
      <c r="B7">
        <v>5</v>
      </c>
      <c r="C7" t="str">
        <f ca="1">IFERROR(VLOOKUP(D7,StorageDevices!AT17:BC1032,2,FALSE),"")</f>
        <v>DIVAR IP all-in-one 6000 MANAGEMENT APPLIANCE 4x8TB RAID5</v>
      </c>
      <c r="D7">
        <v>5</v>
      </c>
      <c r="E7" t="str">
        <f ca="1">IFERROR(VLOOKUP(D7,StorageDevices!BO17:BX1023,2,FALSE),"")</f>
        <v>DIVAR IP all-in-one 6000 MANAGEMENT APPLIANCE 4x8TB RAID5</v>
      </c>
      <c r="F7">
        <v>5</v>
      </c>
      <c r="G7" t="str">
        <f ca="1">IFERROR(VLOOKUP(F7,StorageDevices!CJ17:CS1023,2,FALSE),"")</f>
        <v>DIVAR IP all-in-one 6000 MANAGEMENT APPLIANCE 4x8TB RAID5</v>
      </c>
      <c r="H7">
        <v>5</v>
      </c>
    </row>
    <row r="8" spans="1:8">
      <c r="A8" t="str">
        <f ca="1">IFERROR(VLOOKUP(B8,StorageDevices!Y18:AC1033,2,FALSE),"")</f>
        <v>DIVAR IP all-in-one 6000 MANAGEMENT APPLIANCE 4x18TB RAID5</v>
      </c>
      <c r="B8">
        <v>6</v>
      </c>
      <c r="C8" t="str">
        <f ca="1">IFERROR(VLOOKUP(D8,StorageDevices!AT18:BC1033,2,FALSE),"")</f>
        <v>DIVAR IP all-in-one 6000 MANAGEMENT APPLIANCE 4x18TB RAID5</v>
      </c>
      <c r="D8">
        <v>6</v>
      </c>
      <c r="E8" t="str">
        <f ca="1">IFERROR(VLOOKUP(D8,StorageDevices!BO18:BX1024,2,FALSE),"")</f>
        <v>DIVAR IP all-in-one 6000 MANAGEMENT APPLIANCE 4x18TB RAID5</v>
      </c>
      <c r="F8">
        <v>6</v>
      </c>
      <c r="G8" t="str">
        <f ca="1">IFERROR(VLOOKUP(F8,StorageDevices!CJ18:CS1024,2,FALSE),"")</f>
        <v>DIVAR IP all-in-one 6000 MANAGEMENT APPLIANCE 4x18TB RAID5</v>
      </c>
      <c r="H8">
        <v>6</v>
      </c>
    </row>
    <row r="9" spans="1:8">
      <c r="A9" t="str">
        <f ca="1">IFERROR(VLOOKUP(B9,StorageDevices!Y19:AC1034,2,FALSE),"")</f>
        <v>DIVAR IP all-in-one 7000 Gen 4 MANAGEMENT APPLIANCE 8x4TB RAID5</v>
      </c>
      <c r="B9">
        <v>7</v>
      </c>
      <c r="C9" t="str">
        <f ca="1">IFERROR(VLOOKUP(D9,StorageDevices!AT19:BC1034,2,FALSE),"")</f>
        <v>DIVAR IP all-in-one 7000 Gen 4 MANAGEMENT APPLIANCE 8x4TB RAID5</v>
      </c>
      <c r="D9">
        <v>7</v>
      </c>
      <c r="E9" t="str">
        <f ca="1">IFERROR(VLOOKUP(D9,StorageDevices!BO19:BX1025,2,FALSE),"")</f>
        <v>DIVAR IP all-in-one 7000 Gen 4 MANAGEMENT APPLIANCE 8x4TB RAID5</v>
      </c>
      <c r="F9">
        <v>7</v>
      </c>
      <c r="G9" t="str">
        <f ca="1">IFERROR(VLOOKUP(F9,StorageDevices!CJ19:CS1025,2,FALSE),"")</f>
        <v>DIVAR IP all-in-one 7000 Gen 4 MANAGEMENT APPLIANCE 8x4TB RAID5</v>
      </c>
      <c r="H9">
        <v>7</v>
      </c>
    </row>
    <row r="10" spans="1:8">
      <c r="A10" t="str">
        <f ca="1">IFERROR(VLOOKUP(B10,StorageDevices!Y20:AC1035,2,FALSE),"")</f>
        <v>DIVAR IP all-in-one 7000 Gen 4 MANAGEMENT APPLIANCE 8x8TB RAID5</v>
      </c>
      <c r="B10">
        <v>8</v>
      </c>
      <c r="C10" t="str">
        <f ca="1">IFERROR(VLOOKUP(D10,StorageDevices!AT20:BC1035,2,FALSE),"")</f>
        <v>DIVAR IP all-in-one 7000 Gen 4 MANAGEMENT APPLIANCE 8x8TB RAID5</v>
      </c>
      <c r="D10">
        <v>8</v>
      </c>
      <c r="E10" t="str">
        <f ca="1">IFERROR(VLOOKUP(D10,StorageDevices!BO20:BX1026,2,FALSE),"")</f>
        <v>DIVAR IP all-in-one 7000 Gen 4 MANAGEMENT APPLIANCE 8x8TB RAID5</v>
      </c>
      <c r="F10">
        <v>8</v>
      </c>
      <c r="G10" t="str">
        <f ca="1">IFERROR(VLOOKUP(F10,StorageDevices!CJ20:CS1026,2,FALSE),"")</f>
        <v>DIVAR IP all-in-one 7000 Gen 4 MANAGEMENT APPLIANCE 8x8TB RAID5</v>
      </c>
      <c r="H10">
        <v>8</v>
      </c>
    </row>
    <row r="11" spans="1:8">
      <c r="A11" t="str">
        <f ca="1">IFERROR(VLOOKUP(B11,StorageDevices!Y21:AC1036,2,FALSE),"")</f>
        <v>DIVAR IP all-in-one 7000 Gen 4 MANAGEMENT APPLIANCE 8x18TB RAID5</v>
      </c>
      <c r="B11">
        <v>9</v>
      </c>
      <c r="C11" t="str">
        <f ca="1">IFERROR(VLOOKUP(D11,StorageDevices!AT21:BC1036,2,FALSE),"")</f>
        <v>DIVAR IP all-in-one 7000 Gen 4 MANAGEMENT APPLIANCE 8x18TB RAID5</v>
      </c>
      <c r="D11">
        <v>9</v>
      </c>
      <c r="E11" t="str">
        <f ca="1">IFERROR(VLOOKUP(D11,StorageDevices!BO21:BX1027,2,FALSE),"")</f>
        <v>DIVAR IP all-in-one 7000 Gen 4 MANAGEMENT APPLIANCE 8x18TB RAID5</v>
      </c>
      <c r="F11">
        <v>9</v>
      </c>
      <c r="G11" t="str">
        <f ca="1">IFERROR(VLOOKUP(F11,StorageDevices!CJ21:CS1027,2,FALSE),"")</f>
        <v>DIVAR IP all-in-one 7000 Gen 4 MANAGEMENT APPLIANCE 8x18TB RAID5</v>
      </c>
      <c r="H11">
        <v>9</v>
      </c>
    </row>
    <row r="12" spans="1:8">
      <c r="A12" t="str">
        <f ca="1">IFERROR(VLOOKUP(B12,StorageDevices!Y22:AC1037,2,FALSE),"")</f>
        <v>DIVAR IP all-in-one 7000 Gen 4 MANAGEMENT APPLIANCE 12x18TB RAID5</v>
      </c>
      <c r="B12">
        <v>10</v>
      </c>
      <c r="C12" t="str">
        <f ca="1">IFERROR(VLOOKUP(D12,StorageDevices!AT22:BC1037,2,FALSE),"")</f>
        <v>DIVAR IP all-in-one 7000 Gen 4 MANAGEMENT APPLIANCE 12x18TB RAID5</v>
      </c>
      <c r="D12">
        <v>10</v>
      </c>
      <c r="E12" t="str">
        <f ca="1">IFERROR(VLOOKUP(D12,StorageDevices!BO22:BX1028,2,FALSE),"")</f>
        <v>DIVAR IP all-in-one 7000 Gen 4 MANAGEMENT APPLIANCE 12x18TB RAID5</v>
      </c>
      <c r="F12">
        <v>10</v>
      </c>
      <c r="G12" t="str">
        <f ca="1">IFERROR(VLOOKUP(F12,StorageDevices!CJ22:CS1028,2,FALSE),"")</f>
        <v>DIVAR IP all-in-one 7000 Gen 4 MANAGEMENT APPLIANCE 12x18TB RAID5</v>
      </c>
      <c r="H12">
        <v>10</v>
      </c>
    </row>
    <row r="13" spans="1:8">
      <c r="A13" t="str">
        <f ca="1">IFERROR(VLOOKUP(B13,StorageDevices!Y23:AC1038,2,FALSE),"")</f>
        <v>DIVAR IP all-in-one 7000 Gen 4 MANAGEMENT APPLIANCE 16x18TB RAID5</v>
      </c>
      <c r="B13">
        <v>11</v>
      </c>
      <c r="C13" t="str">
        <f ca="1">IFERROR(VLOOKUP(D13,StorageDevices!AT23:BC1038,2,FALSE),"")</f>
        <v>DIVAR IP all-in-one 7000 Gen 4 MANAGEMENT APPLIANCE 16x18TB RAID5</v>
      </c>
      <c r="D13">
        <v>11</v>
      </c>
      <c r="E13" t="str">
        <f ca="1">IFERROR(VLOOKUP(D13,StorageDevices!BO23:BX1029,2,FALSE),"")</f>
        <v>DIVAR IP all-in-one 7000 Gen 4 MANAGEMENT APPLIANCE 16x18TB RAID5</v>
      </c>
      <c r="F13">
        <v>11</v>
      </c>
      <c r="G13" t="str">
        <f ca="1">IFERROR(VLOOKUP(F13,StorageDevices!CJ23:CS1029,2,FALSE),"")</f>
        <v>DIVAR IP all-in-one 7000 Gen 4 MANAGEMENT APPLIANCE 16x18TB RAID5</v>
      </c>
      <c r="H13">
        <v>11</v>
      </c>
    </row>
    <row r="14" spans="1:8">
      <c r="A14" t="str">
        <f ca="1">IFERROR(VLOOKUP(B14,StorageDevices!Y24:AC1039,2,FALSE),"")</f>
        <v>E-Series Base + 5x Expansion Unit, 72x4TB RAID5</v>
      </c>
      <c r="B14">
        <v>12</v>
      </c>
      <c r="C14" t="str">
        <f ca="1">IFERROR(VLOOKUP(D14,StorageDevices!AT24:BC1039,2,FALSE),"")</f>
        <v>E-Series Base + 5x Expansion Unit, 72x4TB RAID5</v>
      </c>
      <c r="D14">
        <v>12</v>
      </c>
      <c r="E14" t="str">
        <f ca="1">IFERROR(VLOOKUP(D14,StorageDevices!BO24:BX1030,2,FALSE),"")</f>
        <v>E-Series Base + 5x Expansion Unit, 72x4TB RAID5</v>
      </c>
      <c r="F14">
        <v>12</v>
      </c>
      <c r="G14" t="str">
        <f ca="1">IFERROR(VLOOKUP(F14,StorageDevices!CJ24:CS1030,2,FALSE),"")</f>
        <v>E-Series Base + 5x Expansion Unit, 72x4TB RAID5</v>
      </c>
      <c r="H14">
        <v>12</v>
      </c>
    </row>
    <row r="15" spans="1:8">
      <c r="A15" t="str">
        <f ca="1">IFERROR(VLOOKUP(B15,StorageDevices!Y25:AC1040,2,FALSE),"")</f>
        <v>E-Series Base + 6x Expansion Unit, 84x4TB RAID5</v>
      </c>
      <c r="B15">
        <v>13</v>
      </c>
      <c r="C15" t="str">
        <f ca="1">IFERROR(VLOOKUP(D15,StorageDevices!AT25:BC1040,2,FALSE),"")</f>
        <v>E-Series Base + 6x Expansion Unit, 84x4TB RAID5</v>
      </c>
      <c r="D15">
        <v>13</v>
      </c>
      <c r="E15" t="str">
        <f ca="1">IFERROR(VLOOKUP(D15,StorageDevices!BO25:BX1031,2,FALSE),"")</f>
        <v>E-Series Base + 6x Expansion Unit, 84x4TB RAID5</v>
      </c>
      <c r="F15">
        <v>13</v>
      </c>
      <c r="G15" t="str">
        <f ca="1">IFERROR(VLOOKUP(F15,StorageDevices!CJ25:CS1031,2,FALSE),"")</f>
        <v>E-Series Base + 6x Expansion Unit, 84x4TB RAID5</v>
      </c>
      <c r="H15">
        <v>13</v>
      </c>
    </row>
    <row r="16" spans="1:8">
      <c r="A16" t="str">
        <f ca="1">IFERROR(VLOOKUP(B16,StorageDevices!Y26:AC1041,2,FALSE),"")</f>
        <v>E-Series Base + 7x Expansion Unit, 96x4TB RAID5</v>
      </c>
      <c r="B16">
        <v>14</v>
      </c>
      <c r="C16" t="str">
        <f ca="1">IFERROR(VLOOKUP(D16,StorageDevices!AT26:BC1041,2,FALSE),"")</f>
        <v>E-Series Base + 7x Expansion Unit, 96x4TB RAID5</v>
      </c>
      <c r="D16">
        <v>14</v>
      </c>
      <c r="E16" t="str">
        <f ca="1">IFERROR(VLOOKUP(D16,StorageDevices!BO26:BX1032,2,FALSE),"")</f>
        <v>E-Series Base + 7x Expansion Unit, 96x4TB RAID5</v>
      </c>
      <c r="F16">
        <v>14</v>
      </c>
      <c r="G16" t="str">
        <f ca="1">IFERROR(VLOOKUP(F16,StorageDevices!CJ26:CS1032,2,FALSE),"")</f>
        <v>E-Series Base + 7x Expansion Unit, 96x4TB RAID5</v>
      </c>
      <c r="H16">
        <v>14</v>
      </c>
    </row>
    <row r="17" spans="1:8">
      <c r="A17" t="str">
        <f ca="1">IFERROR(VLOOKUP(B17,StorageDevices!Y30:AC1042,2,FALSE),"")</f>
        <v>E-Series Base Unit, 12 x 8 TB RAID5</v>
      </c>
      <c r="B17">
        <v>15</v>
      </c>
      <c r="C17" t="str">
        <f ca="1">IFERROR(VLOOKUP(D17,StorageDevices!AT30:BC1042,2,FALSE),"")</f>
        <v>E-Series Base Unit, 12 x 8 TB RAID5</v>
      </c>
      <c r="D17">
        <v>15</v>
      </c>
      <c r="E17" t="str">
        <f ca="1">IFERROR(VLOOKUP(D17,StorageDevices!BO30:BX1033,2,FALSE),"")</f>
        <v>E-Series Base Unit, 12 x 8 TB RAID5</v>
      </c>
      <c r="F17">
        <v>15</v>
      </c>
      <c r="G17" t="str">
        <f ca="1">IFERROR(VLOOKUP(F17,StorageDevices!CJ30:CS1033,2,FALSE),"")</f>
        <v>E-Series Base Unit, 12 x 8 TB RAID5</v>
      </c>
      <c r="H17">
        <v>15</v>
      </c>
    </row>
    <row r="18" spans="1:8">
      <c r="A18" t="str">
        <f ca="1">IFERROR(VLOOKUP(B18,StorageDevices!Y31:AC1043,2,FALSE),"")</f>
        <v>E-Series Base + 1x Expansion Unit, 24x8TB RAID5</v>
      </c>
      <c r="B18">
        <v>16</v>
      </c>
      <c r="C18" t="str">
        <f ca="1">IFERROR(VLOOKUP(D18,StorageDevices!AT31:BC1043,2,FALSE),"")</f>
        <v>E-Series Base + 1x Expansion Unit, 24x8TB RAID5</v>
      </c>
      <c r="D18">
        <v>16</v>
      </c>
      <c r="E18" t="str">
        <f ca="1">IFERROR(VLOOKUP(D18,StorageDevices!BO31:BX1034,2,FALSE),"")</f>
        <v>E-Series Base + 1x Expansion Unit, 24x8TB RAID5</v>
      </c>
      <c r="F18">
        <v>16</v>
      </c>
      <c r="G18" t="str">
        <f ca="1">IFERROR(VLOOKUP(F18,StorageDevices!CJ31:CS1034,2,FALSE),"")</f>
        <v>E-Series Base + 1x Expansion Unit, 24x8TB RAID5</v>
      </c>
      <c r="H18">
        <v>16</v>
      </c>
    </row>
    <row r="19" spans="1:8">
      <c r="A19" t="str">
        <f ca="1">IFERROR(VLOOKUP(B19,StorageDevices!Y32:AC1044,2,FALSE),"")</f>
        <v>E-Series Base + 2x Expansion Unit, 36x8TB RAID5</v>
      </c>
      <c r="B19">
        <v>17</v>
      </c>
      <c r="C19" t="str">
        <f ca="1">IFERROR(VLOOKUP(D19,StorageDevices!AT32:BC1044,2,FALSE),"")</f>
        <v>E-Series Base + 2x Expansion Unit, 36x8TB RAID5</v>
      </c>
      <c r="D19">
        <v>17</v>
      </c>
      <c r="E19" t="str">
        <f ca="1">IFERROR(VLOOKUP(D19,StorageDevices!BO32:BX1035,2,FALSE),"")</f>
        <v>E-Series Base + 2x Expansion Unit, 36x8TB RAID5</v>
      </c>
      <c r="F19">
        <v>17</v>
      </c>
      <c r="G19" t="str">
        <f ca="1">IFERROR(VLOOKUP(F19,StorageDevices!CJ32:CS1035,2,FALSE),"")</f>
        <v>E-Series Base + 2x Expansion Unit, 36x8TB RAID5</v>
      </c>
      <c r="H19">
        <v>17</v>
      </c>
    </row>
    <row r="20" spans="1:8">
      <c r="A20" t="str">
        <f ca="1">IFERROR(VLOOKUP(B20,StorageDevices!Y33:AC1045,2,FALSE),"")</f>
        <v>E-Series Base + 3x Expansion Unit, 48x8TB RAID5</v>
      </c>
      <c r="B20">
        <v>18</v>
      </c>
      <c r="C20" t="str">
        <f ca="1">IFERROR(VLOOKUP(D20,StorageDevices!AT33:BC1045,2,FALSE),"")</f>
        <v>E-Series Base + 3x Expansion Unit, 48x8TB RAID5</v>
      </c>
      <c r="D20">
        <v>18</v>
      </c>
      <c r="E20" t="str">
        <f ca="1">IFERROR(VLOOKUP(D20,StorageDevices!BO33:BX1036,2,FALSE),"")</f>
        <v>E-Series Base + 3x Expansion Unit, 48x8TB RAID5</v>
      </c>
      <c r="F20">
        <v>18</v>
      </c>
      <c r="G20" t="str">
        <f ca="1">IFERROR(VLOOKUP(F20,StorageDevices!CJ33:CS1036,2,FALSE),"")</f>
        <v>E-Series Base + 3x Expansion Unit, 48x8TB RAID5</v>
      </c>
      <c r="H20">
        <v>18</v>
      </c>
    </row>
    <row r="21" spans="1:8">
      <c r="A21" t="str">
        <f ca="1">IFERROR(VLOOKUP(B21,StorageDevices!Y34:AC1046,2,FALSE),"")</f>
        <v>E-Series Base + 4x Expansion Unit, 60x8TB RAID5</v>
      </c>
      <c r="B21">
        <v>19</v>
      </c>
      <c r="C21" t="str">
        <f ca="1">IFERROR(VLOOKUP(D21,StorageDevices!AT34:BC1046,2,FALSE),"")</f>
        <v>E-Series Base + 4x Expansion Unit, 60x8TB RAID5</v>
      </c>
      <c r="D21">
        <v>19</v>
      </c>
      <c r="E21" t="str">
        <f ca="1">IFERROR(VLOOKUP(D21,StorageDevices!BO34:BX1037,2,FALSE),"")</f>
        <v>E-Series Base + 4x Expansion Unit, 60x8TB RAID5</v>
      </c>
      <c r="F21">
        <v>19</v>
      </c>
      <c r="G21" t="str">
        <f ca="1">IFERROR(VLOOKUP(F21,StorageDevices!CJ34:CS1037,2,FALSE),"")</f>
        <v>E-Series Base + 4x Expansion Unit, 60x8TB RAID5</v>
      </c>
      <c r="H21">
        <v>19</v>
      </c>
    </row>
    <row r="22" spans="1:8">
      <c r="A22" t="str">
        <f ca="1">IFERROR(VLOOKUP(B22,StorageDevices!Y35:AC1047,2,FALSE),"")</f>
        <v>E-Series Base + 5x Expansion Unit, 72x8TB RAID5</v>
      </c>
      <c r="B22">
        <v>20</v>
      </c>
      <c r="C22" t="str">
        <f ca="1">IFERROR(VLOOKUP(D22,StorageDevices!AT35:BC1047,2,FALSE),"")</f>
        <v>E-Series Base + 5x Expansion Unit, 72x8TB RAID5</v>
      </c>
      <c r="D22">
        <v>20</v>
      </c>
      <c r="E22" t="str">
        <f ca="1">IFERROR(VLOOKUP(D22,StorageDevices!BO35:BX1038,2,FALSE),"")</f>
        <v>E-Series Base + 5x Expansion Unit, 72x8TB RAID5</v>
      </c>
      <c r="F22">
        <v>20</v>
      </c>
      <c r="G22" t="str">
        <f ca="1">IFERROR(VLOOKUP(F22,StorageDevices!CJ35:CS1038,2,FALSE),"")</f>
        <v>E-Series Base + 5x Expansion Unit, 72x8TB RAID5</v>
      </c>
      <c r="H22">
        <v>20</v>
      </c>
    </row>
    <row r="23" spans="1:8">
      <c r="A23" t="str">
        <f ca="1">IFERROR(VLOOKUP(B23,StorageDevices!Y51:AC1048,2,FALSE),"")</f>
        <v>E-Series Base + 6x Expansion Unit, 84x8TB RAID5</v>
      </c>
      <c r="B23">
        <v>21</v>
      </c>
      <c r="C23" t="str">
        <f ca="1">IFERROR(VLOOKUP(D23,StorageDevices!AT51:BC1048,2,FALSE),"")</f>
        <v>E-Series Base + 6x Expansion Unit, 84x8TB RAID5</v>
      </c>
      <c r="D23">
        <v>21</v>
      </c>
      <c r="E23" t="str">
        <f ca="1">IFERROR(VLOOKUP(D23,StorageDevices!BO51:BX1039,2,FALSE),"")</f>
        <v>E-Series Base + 6x Expansion Unit, 84x8TB RAID5</v>
      </c>
      <c r="F23">
        <v>21</v>
      </c>
      <c r="G23" t="str">
        <f ca="1">IFERROR(VLOOKUP(F23,StorageDevices!CJ51:CS1039,2,FALSE),"")</f>
        <v>E-Series Base + 6x Expansion Unit, 84x8TB RAID5</v>
      </c>
      <c r="H23">
        <v>21</v>
      </c>
    </row>
    <row r="24" spans="1:8">
      <c r="A24" t="str">
        <f ca="1">IFERROR(VLOOKUP(B24,StorageDevices!Y52:AC1049,2,FALSE),"")</f>
        <v>E-Series Base + 7x Expansion Unit, 96x8TB RAID5</v>
      </c>
      <c r="B24">
        <v>22</v>
      </c>
      <c r="C24" t="str">
        <f ca="1">IFERROR(VLOOKUP(D24,StorageDevices!AT52:BC1049,2,FALSE),"")</f>
        <v>E-Series Base + 7x Expansion Unit, 96x8TB RAID5</v>
      </c>
      <c r="D24">
        <v>22</v>
      </c>
      <c r="E24" t="str">
        <f ca="1">IFERROR(VLOOKUP(D24,StorageDevices!BO52:BX1040,2,FALSE),"")</f>
        <v>E-Series Base + 7x Expansion Unit, 96x8TB RAID5</v>
      </c>
      <c r="F24">
        <v>22</v>
      </c>
      <c r="G24" t="str">
        <f ca="1">IFERROR(VLOOKUP(F24,StorageDevices!CJ52:CS1040,2,FALSE),"")</f>
        <v>E-Series Base + 7x Expansion Unit, 96x8TB RAID5</v>
      </c>
      <c r="H24">
        <v>22</v>
      </c>
    </row>
    <row r="25" spans="1:8">
      <c r="A25" t="str">
        <f ca="1">IFERROR(VLOOKUP(B25,StorageDevices!Y53:AC1050,2,FALSE),"")</f>
        <v>E-Series Base Unit, 12 x 12 TB RAID5</v>
      </c>
      <c r="B25">
        <v>23</v>
      </c>
      <c r="C25" t="str">
        <f ca="1">IFERROR(VLOOKUP(D25,StorageDevices!AT53:BC1050,2,FALSE),"")</f>
        <v>E-Series Base Unit, 12 x 12 TB RAID5</v>
      </c>
      <c r="D25">
        <v>23</v>
      </c>
      <c r="E25" t="str">
        <f ca="1">IFERROR(VLOOKUP(D25,StorageDevices!BO53:BX1041,2,FALSE),"")</f>
        <v>E-Series Base Unit, 12 x 12 TB RAID5</v>
      </c>
      <c r="F25">
        <v>23</v>
      </c>
      <c r="G25" t="str">
        <f ca="1">IFERROR(VLOOKUP(F25,StorageDevices!CJ53:CS1041,2,FALSE),"")</f>
        <v>E-Series Base Unit, 12 x 12 TB RAID5</v>
      </c>
      <c r="H25">
        <v>23</v>
      </c>
    </row>
    <row r="26" spans="1:8">
      <c r="A26" t="str">
        <f ca="1">IFERROR(VLOOKUP(B26,StorageDevices!Y54:AC1051,2,FALSE),"")</f>
        <v>E-Series Base + 1x Expansion Unit, 24x12TB RAID5</v>
      </c>
      <c r="B26">
        <v>24</v>
      </c>
      <c r="C26" t="str">
        <f ca="1">IFERROR(VLOOKUP(D26,StorageDevices!AT54:BC1051,2,FALSE),"")</f>
        <v>E-Series Base + 1x Expansion Unit, 24x12TB RAID5</v>
      </c>
      <c r="D26">
        <v>24</v>
      </c>
      <c r="E26" t="str">
        <f ca="1">IFERROR(VLOOKUP(D26,StorageDevices!BO54:BX1042,2,FALSE),"")</f>
        <v>E-Series Base + 1x Expansion Unit, 24x12TB RAID5</v>
      </c>
      <c r="F26">
        <v>24</v>
      </c>
      <c r="G26" t="str">
        <f ca="1">IFERROR(VLOOKUP(F26,StorageDevices!CJ54:CS1042,2,FALSE),"")</f>
        <v>E-Series Base + 1x Expansion Unit, 24x12TB RAID5</v>
      </c>
      <c r="H26">
        <v>24</v>
      </c>
    </row>
    <row r="27" spans="1:8">
      <c r="A27" t="str">
        <f ca="1">IFERROR(VLOOKUP(B27,StorageDevices!Y55:AC1052,2,FALSE),"")</f>
        <v>E-Series Base + 2x Expansion Unit, 36x12TB RAID5</v>
      </c>
      <c r="B27">
        <v>25</v>
      </c>
      <c r="C27" t="str">
        <f ca="1">IFERROR(VLOOKUP(D27,StorageDevices!AT55:BC1052,2,FALSE),"")</f>
        <v>E-Series Base + 2x Expansion Unit, 36x12TB RAID5</v>
      </c>
      <c r="D27">
        <v>25</v>
      </c>
      <c r="E27" t="str">
        <f ca="1">IFERROR(VLOOKUP(D27,StorageDevices!BO55:BX1043,2,FALSE),"")</f>
        <v>E-Series Base + 2x Expansion Unit, 36x12TB RAID5</v>
      </c>
      <c r="F27">
        <v>25</v>
      </c>
      <c r="G27" t="str">
        <f ca="1">IFERROR(VLOOKUP(F27,StorageDevices!CJ55:CS1043,2,FALSE),"")</f>
        <v>E-Series Base + 2x Expansion Unit, 36x12TB RAID5</v>
      </c>
      <c r="H27">
        <v>25</v>
      </c>
    </row>
    <row r="28" spans="1:8">
      <c r="A28" t="str">
        <f ca="1">IFERROR(VLOOKUP(B28,StorageDevices!Y56:AC1053,2,FALSE),"")</f>
        <v>E-Series Base + 3x Expansion Unit, 48x12TB RAID5</v>
      </c>
      <c r="B28">
        <v>26</v>
      </c>
      <c r="C28" t="str">
        <f ca="1">IFERROR(VLOOKUP(D28,StorageDevices!AT56:BC1053,2,FALSE),"")</f>
        <v>E-Series Base + 3x Expansion Unit, 48x12TB RAID5</v>
      </c>
      <c r="D28">
        <v>26</v>
      </c>
      <c r="E28" t="str">
        <f ca="1">IFERROR(VLOOKUP(D28,StorageDevices!BO56:BX1044,2,FALSE),"")</f>
        <v>E-Series Base + 3x Expansion Unit, 48x12TB RAID5</v>
      </c>
      <c r="F28">
        <v>26</v>
      </c>
      <c r="G28" t="str">
        <f ca="1">IFERROR(VLOOKUP(F28,StorageDevices!CJ56:CS1044,2,FALSE),"")</f>
        <v>E-Series Base + 3x Expansion Unit, 48x12TB RAID5</v>
      </c>
      <c r="H28">
        <v>26</v>
      </c>
    </row>
    <row r="29" spans="1:8">
      <c r="A29" t="str">
        <f ca="1">IFERROR(VLOOKUP(B29,StorageDevices!Y57:AC1054,2,FALSE),"")</f>
        <v>E-Series Base + 4x Expansion Unit, 60x12TB RAID5</v>
      </c>
      <c r="B29">
        <v>27</v>
      </c>
      <c r="C29" t="str">
        <f ca="1">IFERROR(VLOOKUP(D29,StorageDevices!AT57:BC1054,2,FALSE),"")</f>
        <v>E-Series Base + 4x Expansion Unit, 60x12TB RAID5</v>
      </c>
      <c r="D29">
        <v>27</v>
      </c>
      <c r="E29" t="str">
        <f ca="1">IFERROR(VLOOKUP(D29,StorageDevices!BO57:BX1045,2,FALSE),"")</f>
        <v>E-Series Base + 4x Expansion Unit, 60x12TB RAID5</v>
      </c>
      <c r="F29">
        <v>27</v>
      </c>
      <c r="G29" t="str">
        <f ca="1">IFERROR(VLOOKUP(F29,StorageDevices!CJ57:CS1045,2,FALSE),"")</f>
        <v>E-Series Base + 4x Expansion Unit, 60x12TB RAID5</v>
      </c>
      <c r="H29">
        <v>27</v>
      </c>
    </row>
    <row r="30" spans="1:8">
      <c r="A30" t="str">
        <f ca="1">IFERROR(VLOOKUP(B30,StorageDevices!Y58:AC1055,2,FALSE),"")</f>
        <v>E-Series Base + 5x Expansion Unit, 72x12TB RAID5</v>
      </c>
      <c r="B30">
        <v>28</v>
      </c>
      <c r="C30" t="str">
        <f ca="1">IFERROR(VLOOKUP(D30,StorageDevices!AT58:BC1055,2,FALSE),"")</f>
        <v>E-Series Base + 5x Expansion Unit, 72x12TB RAID5</v>
      </c>
      <c r="D30">
        <v>28</v>
      </c>
      <c r="E30" t="str">
        <f ca="1">IFERROR(VLOOKUP(D30,StorageDevices!BO58:BX1046,2,FALSE),"")</f>
        <v>E-Series Base + 5x Expansion Unit, 72x12TB RAID5</v>
      </c>
      <c r="F30">
        <v>28</v>
      </c>
      <c r="G30" t="str">
        <f ca="1">IFERROR(VLOOKUP(F30,StorageDevices!CJ58:CS1046,2,FALSE),"")</f>
        <v>E-Series Base + 5x Expansion Unit, 72x12TB RAID5</v>
      </c>
      <c r="H30">
        <v>28</v>
      </c>
    </row>
    <row r="31" spans="1:8">
      <c r="A31" t="str">
        <f ca="1">IFERROR(VLOOKUP(B31,StorageDevices!Y59:AC1056,2,FALSE),"")</f>
        <v>E-Series Base + 6x Expansion Unit, 84x12TB RAID5</v>
      </c>
      <c r="B31">
        <v>29</v>
      </c>
      <c r="C31" t="str">
        <f ca="1">IFERROR(VLOOKUP(D31,StorageDevices!AT59:BC1056,2,FALSE),"")</f>
        <v>E-Series Base + 6x Expansion Unit, 84x12TB RAID5</v>
      </c>
      <c r="D31">
        <v>29</v>
      </c>
      <c r="E31" t="str">
        <f ca="1">IFERROR(VLOOKUP(D31,StorageDevices!BO59:BX1047,2,FALSE),"")</f>
        <v>E-Series Base + 6x Expansion Unit, 84x12TB RAID5</v>
      </c>
      <c r="F31">
        <v>29</v>
      </c>
      <c r="G31" t="str">
        <f ca="1">IFERROR(VLOOKUP(F31,StorageDevices!CJ59:CS1047,2,FALSE),"")</f>
        <v>E-Series Base + 6x Expansion Unit, 84x12TB RAID5</v>
      </c>
      <c r="H31">
        <v>29</v>
      </c>
    </row>
    <row r="32" spans="1:8">
      <c r="A32" t="str">
        <f ca="1">IFERROR(VLOOKUP(B32,StorageDevices!Y60:AC1057,2,FALSE),"")</f>
        <v>E-Series Base + 7x Expansion Unit, 96x12TB RAID5</v>
      </c>
      <c r="B32">
        <v>30</v>
      </c>
      <c r="C32" t="str">
        <f ca="1">IFERROR(VLOOKUP(D32,StorageDevices!AT60:BC1057,2,FALSE),"")</f>
        <v>E-Series Base + 7x Expansion Unit, 96x12TB RAID5</v>
      </c>
      <c r="D32">
        <v>30</v>
      </c>
      <c r="E32" t="str">
        <f ca="1">IFERROR(VLOOKUP(D32,StorageDevices!BO60:BX1048,2,FALSE),"")</f>
        <v>E-Series Base + 7x Expansion Unit, 96x12TB RAID5</v>
      </c>
      <c r="F32">
        <v>30</v>
      </c>
      <c r="G32" t="str">
        <f ca="1">IFERROR(VLOOKUP(F32,StorageDevices!CJ60:CS1048,2,FALSE),"")</f>
        <v>E-Series Base + 7x Expansion Unit, 96x12TB RAID5</v>
      </c>
      <c r="H32">
        <v>30</v>
      </c>
    </row>
    <row r="33" spans="1:8">
      <c r="A33" t="str">
        <f ca="1">IFERROR(VLOOKUP(B33,StorageDevices!Y61:AC1058,2,FALSE),"")</f>
        <v>E-Series dual ctrl base Unit, 60x4TB RAID5</v>
      </c>
      <c r="B33">
        <v>31</v>
      </c>
      <c r="C33" t="str">
        <f ca="1">IFERROR(VLOOKUP(D33,StorageDevices!AT61:BC1058,2,FALSE),"")</f>
        <v>E-Series dual ctrl base Unit, 60x4TB RAID5</v>
      </c>
      <c r="D33">
        <v>31</v>
      </c>
      <c r="E33" t="str">
        <f ca="1">IFERROR(VLOOKUP(D33,StorageDevices!BO61:BX1049,2,FALSE),"")</f>
        <v>E-Series dual ctrl base Unit, 60x4TB RAID5</v>
      </c>
      <c r="F33">
        <v>31</v>
      </c>
      <c r="G33" t="str">
        <f ca="1">IFERROR(VLOOKUP(F33,StorageDevices!CJ61:CS1049,2,FALSE),"")</f>
        <v>E-Series dual ctrl base Unit, 60x4TB RAID5</v>
      </c>
      <c r="H33">
        <v>31</v>
      </c>
    </row>
    <row r="34" spans="1:8">
      <c r="A34" t="str">
        <f ca="1">IFERROR(VLOOKUP(B34,StorageDevices!Y62:AC1059,2,FALSE),"")</f>
        <v>E-Series dual ctrl Base + 1x 60 HDD Exp, 60x4TB+60x4TB RAID5</v>
      </c>
      <c r="B34">
        <v>32</v>
      </c>
      <c r="C34" t="str">
        <f ca="1">IFERROR(VLOOKUP(D34,StorageDevices!AT62:BC1059,2,FALSE),"")</f>
        <v>E-Series dual ctrl Base + 1x 60 HDD Exp, 60x4TB+60x4TB RAID5</v>
      </c>
      <c r="D34">
        <v>32</v>
      </c>
      <c r="E34" t="str">
        <f ca="1">IFERROR(VLOOKUP(D34,StorageDevices!BO62:BX1050,2,FALSE),"")</f>
        <v>E-Series dual ctrl Base + 1x 60 HDD Exp, 60x4TB+60x4TB RAID5</v>
      </c>
      <c r="F34">
        <v>32</v>
      </c>
      <c r="G34" t="str">
        <f ca="1">IFERROR(VLOOKUP(F34,StorageDevices!CJ62:CS1050,2,FALSE),"")</f>
        <v>E-Series dual ctrl Base + 1x 60 HDD Exp, 60x4TB+60x4TB RAID5</v>
      </c>
      <c r="H34">
        <v>32</v>
      </c>
    </row>
    <row r="35" spans="1:8">
      <c r="A35" t="str">
        <f ca="1">IFERROR(VLOOKUP(B35,StorageDevices!Y63:AC1060,2,FALSE),"")</f>
        <v>E-Series dual ctrl Base + 2x 60 HDD Exp, 60x4TB+120x4TB RAID5</v>
      </c>
      <c r="B35">
        <v>33</v>
      </c>
      <c r="C35" t="str">
        <f ca="1">IFERROR(VLOOKUP(D35,StorageDevices!AT63:BC1060,2,FALSE),"")</f>
        <v>E-Series dual ctrl Base + 2x 60 HDD Exp, 60x4TB+120x4TB RAID5</v>
      </c>
      <c r="D35">
        <v>33</v>
      </c>
      <c r="E35" t="str">
        <f ca="1">IFERROR(VLOOKUP(D35,StorageDevices!BO63:BX1051,2,FALSE),"")</f>
        <v>E-Series dual ctrl Base + 2x 60 HDD Exp, 60x4TB+120x4TB RAID5</v>
      </c>
      <c r="F35">
        <v>33</v>
      </c>
      <c r="G35" t="str">
        <f ca="1">IFERROR(VLOOKUP(F35,StorageDevices!CJ63:CS1051,2,FALSE),"")</f>
        <v>E-Series dual ctrl Base + 2x 60 HDD Exp, 60x4TB+120x4TB RAID5</v>
      </c>
      <c r="H35">
        <v>33</v>
      </c>
    </row>
    <row r="36" spans="1:8">
      <c r="A36" t="str">
        <f ca="1">IFERROR(VLOOKUP(B36,StorageDevices!Y64:AC1061,2,FALSE),"")</f>
        <v>E-Series dual ctrl base Unit, 60x8TB RAID5</v>
      </c>
      <c r="B36">
        <v>34</v>
      </c>
      <c r="C36" t="str">
        <f ca="1">IFERROR(VLOOKUP(D36,StorageDevices!AT64:BC1061,2,FALSE),"")</f>
        <v>E-Series dual ctrl base Unit, 60x8TB RAID5</v>
      </c>
      <c r="D36">
        <v>34</v>
      </c>
      <c r="E36" t="str">
        <f ca="1">IFERROR(VLOOKUP(D36,StorageDevices!BO64:BX1052,2,FALSE),"")</f>
        <v>E-Series dual ctrl base Unit, 60x8TB RAID5</v>
      </c>
      <c r="F36">
        <v>34</v>
      </c>
      <c r="G36" t="str">
        <f ca="1">IFERROR(VLOOKUP(F36,StorageDevices!CJ64:CS1052,2,FALSE),"")</f>
        <v>E-Series dual ctrl base Unit, 60x8TB RAID5</v>
      </c>
      <c r="H36">
        <v>34</v>
      </c>
    </row>
    <row r="37" spans="1:8">
      <c r="A37" t="str">
        <f ca="1">IFERROR(VLOOKUP(B37,StorageDevices!Y65:AC1062,2,FALSE),"")</f>
        <v>E-Series dual ctrl Base + 1x 60 HDD Exp, 60x8TB+60x8TB RAID5</v>
      </c>
      <c r="B37">
        <v>35</v>
      </c>
      <c r="C37" t="str">
        <f ca="1">IFERROR(VLOOKUP(D37,StorageDevices!AT65:BC1062,2,FALSE),"")</f>
        <v>E-Series dual ctrl Base + 1x 60 HDD Exp, 60x8TB+60x8TB RAID5</v>
      </c>
      <c r="D37">
        <v>35</v>
      </c>
      <c r="E37" t="str">
        <f ca="1">IFERROR(VLOOKUP(D37,StorageDevices!BO65:BX1053,2,FALSE),"")</f>
        <v>E-Series dual ctrl Base + 1x 60 HDD Exp, 60x8TB+60x8TB RAID5</v>
      </c>
      <c r="F37">
        <v>35</v>
      </c>
      <c r="G37" t="str">
        <f ca="1">IFERROR(VLOOKUP(F37,StorageDevices!CJ65:CS1053,2,FALSE),"")</f>
        <v>E-Series dual ctrl Base + 1x 60 HDD Exp, 60x8TB+60x8TB RAID5</v>
      </c>
      <c r="H37">
        <v>35</v>
      </c>
    </row>
    <row r="38" spans="1:8">
      <c r="A38" t="str">
        <f ca="1">IFERROR(VLOOKUP(B38,StorageDevices!Y66:AC1063,2,FALSE),"")</f>
        <v>E-Series dual ctrl Base + 2x 60 HDD Exp, 60x8TB+120x8TB RAID5</v>
      </c>
      <c r="B38">
        <v>36</v>
      </c>
      <c r="C38" t="str">
        <f ca="1">IFERROR(VLOOKUP(D38,StorageDevices!AT66:BC1063,2,FALSE),"")</f>
        <v>E-Series dual ctrl Base + 2x 60 HDD Exp, 60x8TB+120x8TB RAID5</v>
      </c>
      <c r="D38">
        <v>36</v>
      </c>
      <c r="E38" t="str">
        <f ca="1">IFERROR(VLOOKUP(D38,StorageDevices!BO66:BX1054,2,FALSE),"")</f>
        <v>E-Series dual ctrl Base + 2x 60 HDD Exp, 60x8TB+120x8TB RAID5</v>
      </c>
      <c r="F38">
        <v>36</v>
      </c>
      <c r="G38" t="str">
        <f ca="1">IFERROR(VLOOKUP(F38,StorageDevices!CJ66:CS1054,2,FALSE),"")</f>
        <v>E-Series dual ctrl Base + 2x 60 HDD Exp, 60x8TB+120x8TB RAID5</v>
      </c>
      <c r="H38">
        <v>36</v>
      </c>
    </row>
    <row r="39" spans="1:8">
      <c r="A39" t="str">
        <f ca="1">IFERROR(VLOOKUP(B39,StorageDevices!Y67:AC1064,2,FALSE),"")</f>
        <v>E-Series dual ctrl base Unit, 60x12TB RAID5</v>
      </c>
      <c r="B39">
        <v>37</v>
      </c>
      <c r="C39" t="str">
        <f ca="1">IFERROR(VLOOKUP(D39,StorageDevices!AT67:BC1064,2,FALSE),"")</f>
        <v>E-Series dual ctrl base Unit, 60x12TB RAID5</v>
      </c>
      <c r="D39">
        <v>37</v>
      </c>
      <c r="E39" t="str">
        <f ca="1">IFERROR(VLOOKUP(D39,StorageDevices!BO67:BX1055,2,FALSE),"")</f>
        <v>E-Series dual ctrl base Unit, 60x12TB RAID5</v>
      </c>
      <c r="F39">
        <v>37</v>
      </c>
      <c r="G39" t="str">
        <f ca="1">IFERROR(VLOOKUP(F39,StorageDevices!CJ67:CS1055,2,FALSE),"")</f>
        <v>E-Series dual ctrl base Unit, 60x12TB RAID5</v>
      </c>
      <c r="H39">
        <v>37</v>
      </c>
    </row>
    <row r="40" spans="1:8">
      <c r="A40" t="str">
        <f ca="1">IFERROR(VLOOKUP(B40,StorageDevices!Y68:AC1065,2,FALSE),"")</f>
        <v>E-Series dual ctrl Base + 1x 60 HDD Exp, 60x12TB+60x12TB RAID5</v>
      </c>
      <c r="B40">
        <v>38</v>
      </c>
      <c r="C40" t="str">
        <f ca="1">IFERROR(VLOOKUP(D40,StorageDevices!AT68:BC1065,2,FALSE),"")</f>
        <v>E-Series dual ctrl Base + 1x 60 HDD Exp, 60x12TB+60x12TB RAID5</v>
      </c>
      <c r="D40">
        <v>38</v>
      </c>
      <c r="E40" t="str">
        <f ca="1">IFERROR(VLOOKUP(D40,StorageDevices!BO68:BX1056,2,FALSE),"")</f>
        <v>E-Series dual ctrl Base + 1x 60 HDD Exp, 60x12TB+60x12TB RAID5</v>
      </c>
      <c r="F40">
        <v>38</v>
      </c>
      <c r="G40" t="str">
        <f ca="1">IFERROR(VLOOKUP(F40,StorageDevices!CJ68:CS1056,2,FALSE),"")</f>
        <v>E-Series dual ctrl Base + 1x 60 HDD Exp, 60x12TB+60x12TB RAID5</v>
      </c>
      <c r="H40">
        <v>38</v>
      </c>
    </row>
    <row r="41" spans="1:8">
      <c r="A41" t="str">
        <f ca="1">IFERROR(VLOOKUP(B41,StorageDevices!Y69:AC1066,2,FALSE),"")</f>
        <v>E-Series dual ctrl Base + 2x 60 HDD Exp, 60x12TB+120x12TB RAID5</v>
      </c>
      <c r="B41">
        <v>39</v>
      </c>
      <c r="C41" t="str">
        <f ca="1">IFERROR(VLOOKUP(D41,StorageDevices!AT69:BC1066,2,FALSE),"")</f>
        <v>E-Series dual ctrl Base + 2x 60 HDD Exp, 60x12TB+120x12TB RAID5</v>
      </c>
      <c r="D41">
        <v>39</v>
      </c>
      <c r="E41" t="str">
        <f ca="1">IFERROR(VLOOKUP(D41,StorageDevices!BO69:BX1057,2,FALSE),"")</f>
        <v>E-Series dual ctrl Base + 2x 60 HDD Exp, 60x12TB+120x12TB RAID5</v>
      </c>
      <c r="F41">
        <v>39</v>
      </c>
      <c r="G41" t="str">
        <f ca="1">IFERROR(VLOOKUP(F41,StorageDevices!CJ69:CS1057,2,FALSE),"")</f>
        <v>E-Series dual ctrl Base + 2x 60 HDD Exp, 60x12TB+120x12TB RAID5</v>
      </c>
      <c r="H41">
        <v>39</v>
      </c>
    </row>
    <row r="42" spans="1:8">
      <c r="A42" t="str">
        <f ca="1">IFERROR(VLOOKUP(B42,StorageDevices!Y70:AC1067,2,FALSE),"")</f>
        <v>3th party (Project based/customized storage) RAID5</v>
      </c>
      <c r="B42">
        <v>40</v>
      </c>
      <c r="C42" t="str">
        <f ca="1">IFERROR(VLOOKUP(D42,StorageDevices!AT70:BC1067,2,FALSE),"")</f>
        <v>3th party (Project based/customized storage) RAID5</v>
      </c>
      <c r="D42">
        <v>40</v>
      </c>
      <c r="E42" t="str">
        <f ca="1">IFERROR(VLOOKUP(D42,StorageDevices!BO70:BX1058,2,FALSE),"")</f>
        <v>3th party (Project based/customized storage) RAID5</v>
      </c>
      <c r="F42">
        <v>40</v>
      </c>
      <c r="G42" t="str">
        <f ca="1">IFERROR(VLOOKUP(F42,StorageDevices!CJ70:CS1058,2,FALSE),"")</f>
        <v>3th party (Project based/customized storage) RAID5</v>
      </c>
      <c r="H42">
        <v>40</v>
      </c>
    </row>
    <row r="43" spans="1:8">
      <c r="A43" t="str">
        <f ca="1">IFERROR(VLOOKUP(B43,StorageDevices!Y71:AC1068,2,FALSE),"")</f>
        <v/>
      </c>
      <c r="B43">
        <v>41</v>
      </c>
      <c r="C43" t="str">
        <f ca="1">IFERROR(VLOOKUP(D43,StorageDevices!AT71:BC1068,2,FALSE),"")</f>
        <v/>
      </c>
      <c r="D43">
        <v>41</v>
      </c>
      <c r="E43" t="str">
        <f ca="1">IFERROR(VLOOKUP(D43,StorageDevices!BO71:BX1059,2,FALSE),"")</f>
        <v/>
      </c>
      <c r="F43">
        <v>41</v>
      </c>
      <c r="G43" t="str">
        <f ca="1">IFERROR(VLOOKUP(F43,StorageDevices!CJ71:CS1059,2,FALSE),"")</f>
        <v/>
      </c>
      <c r="H43">
        <v>41</v>
      </c>
    </row>
    <row r="44" spans="1:8">
      <c r="A44" t="str">
        <f ca="1">IFERROR(VLOOKUP(B44,StorageDevices!Y72:AC1069,2,FALSE),"")</f>
        <v/>
      </c>
      <c r="B44">
        <v>42</v>
      </c>
      <c r="C44" t="str">
        <f ca="1">IFERROR(VLOOKUP(D44,StorageDevices!AT72:BC1069,2,FALSE),"")</f>
        <v/>
      </c>
      <c r="D44">
        <v>42</v>
      </c>
      <c r="E44" t="str">
        <f ca="1">IFERROR(VLOOKUP(D44,StorageDevices!BO72:BX1060,2,FALSE),"")</f>
        <v/>
      </c>
      <c r="F44">
        <v>42</v>
      </c>
      <c r="G44" t="str">
        <f ca="1">IFERROR(VLOOKUP(F44,StorageDevices!CJ72:CS1060,2,FALSE),"")</f>
        <v/>
      </c>
      <c r="H44">
        <v>42</v>
      </c>
    </row>
    <row r="45" spans="1:8">
      <c r="A45" t="str">
        <f ca="1">IFERROR(VLOOKUP(B45,StorageDevices!Y73:AC1070,2,FALSE),"")</f>
        <v/>
      </c>
      <c r="B45">
        <v>43</v>
      </c>
      <c r="C45" t="str">
        <f ca="1">IFERROR(VLOOKUP(D45,StorageDevices!AT73:BC1070,2,FALSE),"")</f>
        <v/>
      </c>
      <c r="D45">
        <v>43</v>
      </c>
      <c r="E45" t="str">
        <f ca="1">IFERROR(VLOOKUP(D45,StorageDevices!BO73:BX1061,2,FALSE),"")</f>
        <v/>
      </c>
      <c r="F45">
        <v>43</v>
      </c>
      <c r="G45" t="str">
        <f ca="1">IFERROR(VLOOKUP(F45,StorageDevices!CJ73:CS1061,2,FALSE),"")</f>
        <v/>
      </c>
      <c r="H45">
        <v>43</v>
      </c>
    </row>
    <row r="46" spans="1:8">
      <c r="A46" t="str">
        <f ca="1">IFERROR(VLOOKUP(B46,StorageDevices!Y74:AC1071,2,FALSE),"")</f>
        <v/>
      </c>
      <c r="B46">
        <v>44</v>
      </c>
      <c r="C46" t="str">
        <f ca="1">IFERROR(VLOOKUP(D46,StorageDevices!AT74:BC1071,2,FALSE),"")</f>
        <v/>
      </c>
      <c r="D46">
        <v>44</v>
      </c>
      <c r="E46" t="str">
        <f ca="1">IFERROR(VLOOKUP(D46,StorageDevices!BO74:BX1062,2,FALSE),"")</f>
        <v/>
      </c>
      <c r="F46">
        <v>44</v>
      </c>
      <c r="G46" t="str">
        <f ca="1">IFERROR(VLOOKUP(F46,StorageDevices!CJ74:CS1062,2,FALSE),"")</f>
        <v/>
      </c>
      <c r="H46">
        <v>44</v>
      </c>
    </row>
    <row r="47" spans="1:8">
      <c r="A47" t="str">
        <f ca="1">IFERROR(VLOOKUP(B47,StorageDevices!Y75:AC1072,2,FALSE),"")</f>
        <v/>
      </c>
      <c r="B47">
        <v>45</v>
      </c>
      <c r="C47" t="str">
        <f ca="1">IFERROR(VLOOKUP(D47,StorageDevices!AT75:BC1072,2,FALSE),"")</f>
        <v/>
      </c>
      <c r="D47">
        <v>45</v>
      </c>
      <c r="E47" t="str">
        <f ca="1">IFERROR(VLOOKUP(D47,StorageDevices!BO75:BX1063,2,FALSE),"")</f>
        <v/>
      </c>
      <c r="F47">
        <v>45</v>
      </c>
      <c r="G47" t="str">
        <f ca="1">IFERROR(VLOOKUP(F47,StorageDevices!CJ75:CS1063,2,FALSE),"")</f>
        <v/>
      </c>
      <c r="H47">
        <v>45</v>
      </c>
    </row>
    <row r="48" spans="1:8">
      <c r="A48" t="str">
        <f ca="1">IFERROR(VLOOKUP(B48,StorageDevices!Y76:AC1073,2,FALSE),"")</f>
        <v/>
      </c>
      <c r="B48">
        <v>46</v>
      </c>
      <c r="C48" t="str">
        <f ca="1">IFERROR(VLOOKUP(D48,StorageDevices!AT76:BC1073,2,FALSE),"")</f>
        <v/>
      </c>
      <c r="D48">
        <v>46</v>
      </c>
      <c r="E48" t="str">
        <f ca="1">IFERROR(VLOOKUP(D48,StorageDevices!BO76:BX1064,2,FALSE),"")</f>
        <v/>
      </c>
      <c r="F48">
        <v>46</v>
      </c>
      <c r="G48" t="str">
        <f ca="1">IFERROR(VLOOKUP(F48,StorageDevices!CJ76:CS1064,2,FALSE),"")</f>
        <v/>
      </c>
      <c r="H48">
        <v>46</v>
      </c>
    </row>
    <row r="49" spans="1:8">
      <c r="A49" t="str">
        <f ca="1">IFERROR(VLOOKUP(B49,StorageDevices!Y77:AC1074,2,FALSE),"")</f>
        <v/>
      </c>
      <c r="B49">
        <v>47</v>
      </c>
      <c r="C49" t="str">
        <f ca="1">IFERROR(VLOOKUP(D49,StorageDevices!AT77:BC1074,2,FALSE),"")</f>
        <v/>
      </c>
      <c r="D49">
        <v>47</v>
      </c>
      <c r="E49" t="str">
        <f ca="1">IFERROR(VLOOKUP(D49,StorageDevices!BO77:BX1065,2,FALSE),"")</f>
        <v/>
      </c>
      <c r="F49">
        <v>47</v>
      </c>
      <c r="G49" t="str">
        <f ca="1">IFERROR(VLOOKUP(F49,StorageDevices!CJ77:CS1065,2,FALSE),"")</f>
        <v/>
      </c>
      <c r="H49">
        <v>47</v>
      </c>
    </row>
    <row r="50" spans="1:8">
      <c r="A50" t="str">
        <f ca="1">IFERROR(VLOOKUP(B50,StorageDevices!Y78:AC1075,2,FALSE),"")</f>
        <v/>
      </c>
      <c r="B50">
        <v>48</v>
      </c>
      <c r="C50" t="str">
        <f ca="1">IFERROR(VLOOKUP(D50,StorageDevices!AT78:BC1075,2,FALSE),"")</f>
        <v/>
      </c>
      <c r="D50">
        <v>48</v>
      </c>
      <c r="E50" t="str">
        <f ca="1">IFERROR(VLOOKUP(D50,StorageDevices!BO78:BX1066,2,FALSE),"")</f>
        <v/>
      </c>
      <c r="F50">
        <v>48</v>
      </c>
      <c r="G50" t="str">
        <f ca="1">IFERROR(VLOOKUP(F50,StorageDevices!CJ78:CS1066,2,FALSE),"")</f>
        <v/>
      </c>
      <c r="H50">
        <v>48</v>
      </c>
    </row>
    <row r="51" spans="1:8">
      <c r="A51" t="str">
        <f ca="1">IFERROR(VLOOKUP(B51,StorageDevices!Y79:AC1076,2,FALSE),"")</f>
        <v/>
      </c>
      <c r="B51">
        <v>49</v>
      </c>
      <c r="C51" t="str">
        <f ca="1">IFERROR(VLOOKUP(D51,StorageDevices!AT79:BC1076,2,FALSE),"")</f>
        <v/>
      </c>
      <c r="D51">
        <v>49</v>
      </c>
      <c r="E51" t="str">
        <f ca="1">IFERROR(VLOOKUP(D51,StorageDevices!BO79:BX1067,2,FALSE),"")</f>
        <v/>
      </c>
      <c r="F51">
        <v>49</v>
      </c>
      <c r="G51" t="str">
        <f ca="1">IFERROR(VLOOKUP(F51,StorageDevices!CJ79:CS1067,2,FALSE),"")</f>
        <v/>
      </c>
      <c r="H51">
        <v>49</v>
      </c>
    </row>
    <row r="52" spans="1:8">
      <c r="A52" t="str">
        <f ca="1">IFERROR(VLOOKUP(B52,StorageDevices!Y80:AC1077,2,FALSE),"")</f>
        <v/>
      </c>
      <c r="B52">
        <v>50</v>
      </c>
      <c r="C52" t="str">
        <f ca="1">IFERROR(VLOOKUP(D52,StorageDevices!AT80:BC1077,2,FALSE),"")</f>
        <v/>
      </c>
      <c r="D52">
        <v>50</v>
      </c>
      <c r="E52" t="str">
        <f ca="1">IFERROR(VLOOKUP(D52,StorageDevices!BO80:BX1068,2,FALSE),"")</f>
        <v/>
      </c>
      <c r="F52">
        <v>50</v>
      </c>
      <c r="G52" t="str">
        <f ca="1">IFERROR(VLOOKUP(F52,StorageDevices!CJ80:CS1068,2,FALSE),"")</f>
        <v/>
      </c>
      <c r="H52">
        <v>50</v>
      </c>
    </row>
    <row r="53" spans="1:8">
      <c r="A53" t="str">
        <f ca="1">IFERROR(VLOOKUP(B53,StorageDevices!Y81:AC1078,2,FALSE),"")</f>
        <v/>
      </c>
      <c r="B53">
        <v>51</v>
      </c>
      <c r="C53" t="str">
        <f ca="1">IFERROR(VLOOKUP(D53,StorageDevices!AT81:BC1078,2,FALSE),"")</f>
        <v/>
      </c>
      <c r="D53">
        <v>51</v>
      </c>
      <c r="E53" t="str">
        <f ca="1">IFERROR(VLOOKUP(D53,StorageDevices!BO81:BX1069,2,FALSE),"")</f>
        <v/>
      </c>
      <c r="F53">
        <v>51</v>
      </c>
      <c r="G53" t="str">
        <f ca="1">IFERROR(VLOOKUP(F53,StorageDevices!CJ81:CS1069,2,FALSE),"")</f>
        <v/>
      </c>
      <c r="H53">
        <v>51</v>
      </c>
    </row>
    <row r="54" spans="1:8">
      <c r="A54" t="str">
        <f ca="1">IFERROR(VLOOKUP(B54,StorageDevices!Y82:AC1079,2,FALSE),"")</f>
        <v/>
      </c>
      <c r="B54">
        <v>52</v>
      </c>
      <c r="C54" t="str">
        <f ca="1">IFERROR(VLOOKUP(D54,StorageDevices!AT82:BC1079,2,FALSE),"")</f>
        <v/>
      </c>
      <c r="D54">
        <v>52</v>
      </c>
      <c r="E54" t="str">
        <f ca="1">IFERROR(VLOOKUP(D54,StorageDevices!BO82:BX1070,2,FALSE),"")</f>
        <v/>
      </c>
      <c r="F54">
        <v>52</v>
      </c>
      <c r="G54" t="str">
        <f ca="1">IFERROR(VLOOKUP(F54,StorageDevices!CJ82:CS1070,2,FALSE),"")</f>
        <v/>
      </c>
      <c r="H54">
        <v>52</v>
      </c>
    </row>
    <row r="55" spans="1:8">
      <c r="A55" t="str">
        <f ca="1">IFERROR(VLOOKUP(B55,StorageDevices!Y83:AC1080,2,FALSE),"")</f>
        <v/>
      </c>
      <c r="B55">
        <v>53</v>
      </c>
      <c r="C55" t="str">
        <f ca="1">IFERROR(VLOOKUP(D55,StorageDevices!AT83:BC1080,2,FALSE),"")</f>
        <v/>
      </c>
      <c r="D55">
        <v>53</v>
      </c>
      <c r="E55" t="str">
        <f ca="1">IFERROR(VLOOKUP(D55,StorageDevices!BO83:BX1071,2,FALSE),"")</f>
        <v/>
      </c>
      <c r="F55">
        <v>53</v>
      </c>
      <c r="G55" t="str">
        <f ca="1">IFERROR(VLOOKUP(F55,StorageDevices!CJ83:CS1071,2,FALSE),"")</f>
        <v/>
      </c>
      <c r="H55">
        <v>53</v>
      </c>
    </row>
    <row r="56" spans="1:8">
      <c r="A56" t="str">
        <f ca="1">IFERROR(VLOOKUP(B56,StorageDevices!Y84:AC1081,2,FALSE),"")</f>
        <v/>
      </c>
      <c r="B56">
        <v>54</v>
      </c>
      <c r="C56" t="str">
        <f ca="1">IFERROR(VLOOKUP(D56,StorageDevices!AT84:BC1081,2,FALSE),"")</f>
        <v/>
      </c>
      <c r="D56">
        <v>54</v>
      </c>
      <c r="E56" t="str">
        <f ca="1">IFERROR(VLOOKUP(D56,StorageDevices!BO84:BX1072,2,FALSE),"")</f>
        <v/>
      </c>
      <c r="F56">
        <v>54</v>
      </c>
      <c r="G56" t="str">
        <f ca="1">IFERROR(VLOOKUP(F56,StorageDevices!CJ84:CS1072,2,FALSE),"")</f>
        <v/>
      </c>
      <c r="H56">
        <v>54</v>
      </c>
    </row>
    <row r="57" spans="1:8">
      <c r="A57" t="str">
        <f ca="1">IFERROR(VLOOKUP(B57,StorageDevices!Y85:AC1082,2,FALSE),"")</f>
        <v/>
      </c>
      <c r="B57">
        <v>55</v>
      </c>
      <c r="C57" t="str">
        <f ca="1">IFERROR(VLOOKUP(D57,StorageDevices!AT85:BC1082,2,FALSE),"")</f>
        <v/>
      </c>
      <c r="D57">
        <v>55</v>
      </c>
      <c r="E57" t="str">
        <f ca="1">IFERROR(VLOOKUP(D57,StorageDevices!BO85:BX1073,2,FALSE),"")</f>
        <v/>
      </c>
      <c r="F57">
        <v>55</v>
      </c>
      <c r="G57" t="str">
        <f ca="1">IFERROR(VLOOKUP(F57,StorageDevices!CJ85:CS1073,2,FALSE),"")</f>
        <v/>
      </c>
      <c r="H57">
        <v>55</v>
      </c>
    </row>
    <row r="58" spans="1:8">
      <c r="A58" t="str">
        <f ca="1">IFERROR(VLOOKUP(B58,StorageDevices!Y86:AC1083,2,FALSE),"")</f>
        <v/>
      </c>
      <c r="B58">
        <v>56</v>
      </c>
      <c r="C58" t="str">
        <f ca="1">IFERROR(VLOOKUP(D58,StorageDevices!AT86:BC1083,2,FALSE),"")</f>
        <v/>
      </c>
      <c r="D58">
        <v>56</v>
      </c>
      <c r="E58" t="str">
        <f ca="1">IFERROR(VLOOKUP(D58,StorageDevices!BO86:BX1074,2,FALSE),"")</f>
        <v/>
      </c>
      <c r="F58">
        <v>56</v>
      </c>
      <c r="G58" t="str">
        <f ca="1">IFERROR(VLOOKUP(F58,StorageDevices!CJ86:CS1074,2,FALSE),"")</f>
        <v/>
      </c>
      <c r="H58">
        <v>56</v>
      </c>
    </row>
    <row r="59" spans="1:8">
      <c r="A59" t="str">
        <f ca="1">IFERROR(VLOOKUP(B59,StorageDevices!Y87:AC1084,2,FALSE),"")</f>
        <v/>
      </c>
      <c r="B59">
        <v>57</v>
      </c>
      <c r="C59" t="str">
        <f ca="1">IFERROR(VLOOKUP(D59,StorageDevices!AT87:BC1084,2,FALSE),"")</f>
        <v/>
      </c>
      <c r="D59">
        <v>57</v>
      </c>
      <c r="E59" t="str">
        <f ca="1">IFERROR(VLOOKUP(D59,StorageDevices!BO87:BX1075,2,FALSE),"")</f>
        <v/>
      </c>
      <c r="F59">
        <v>57</v>
      </c>
      <c r="G59" t="str">
        <f ca="1">IFERROR(VLOOKUP(F59,StorageDevices!CJ87:CS1075,2,FALSE),"")</f>
        <v/>
      </c>
      <c r="H59">
        <v>57</v>
      </c>
    </row>
    <row r="60" spans="1:8">
      <c r="A60" t="str">
        <f ca="1">IFERROR(VLOOKUP(B60,StorageDevices!Y88:AC1085,2,FALSE),"")</f>
        <v/>
      </c>
      <c r="B60">
        <v>58</v>
      </c>
      <c r="C60" t="str">
        <f ca="1">IFERROR(VLOOKUP(D60,StorageDevices!AT88:BC1085,2,FALSE),"")</f>
        <v/>
      </c>
      <c r="D60">
        <v>58</v>
      </c>
      <c r="E60" t="str">
        <f ca="1">IFERROR(VLOOKUP(D60,StorageDevices!BO88:BX1076,2,FALSE),"")</f>
        <v/>
      </c>
      <c r="F60">
        <v>58</v>
      </c>
      <c r="G60" t="str">
        <f ca="1">IFERROR(VLOOKUP(F60,StorageDevices!CJ88:CS1076,2,FALSE),"")</f>
        <v/>
      </c>
      <c r="H60">
        <v>58</v>
      </c>
    </row>
    <row r="61" spans="1:8">
      <c r="A61" t="str">
        <f ca="1">IFERROR(VLOOKUP(B61,StorageDevices!Y89:AC1086,2,FALSE),"")</f>
        <v/>
      </c>
      <c r="B61">
        <v>59</v>
      </c>
      <c r="C61" t="str">
        <f ca="1">IFERROR(VLOOKUP(D61,StorageDevices!AT89:BC1086,2,FALSE),"")</f>
        <v/>
      </c>
      <c r="D61">
        <v>59</v>
      </c>
      <c r="E61" t="str">
        <f ca="1">IFERROR(VLOOKUP(D61,StorageDevices!BO89:BX1077,2,FALSE),"")</f>
        <v/>
      </c>
      <c r="F61">
        <v>59</v>
      </c>
      <c r="G61" t="str">
        <f ca="1">IFERROR(VLOOKUP(F61,StorageDevices!CJ89:CS1077,2,FALSE),"")</f>
        <v/>
      </c>
      <c r="H61">
        <v>59</v>
      </c>
    </row>
    <row r="62" spans="1:8">
      <c r="A62" t="str">
        <f ca="1">IFERROR(VLOOKUP(B62,StorageDevices!Y90:AC1087,2,FALSE),"")</f>
        <v/>
      </c>
      <c r="B62">
        <v>60</v>
      </c>
      <c r="C62" t="str">
        <f ca="1">IFERROR(VLOOKUP(D62,StorageDevices!AT90:BC1087,2,FALSE),"")</f>
        <v/>
      </c>
      <c r="D62">
        <v>60</v>
      </c>
      <c r="E62" t="str">
        <f ca="1">IFERROR(VLOOKUP(D62,StorageDevices!BO90:BX1078,2,FALSE),"")</f>
        <v/>
      </c>
      <c r="F62">
        <v>60</v>
      </c>
      <c r="G62" t="str">
        <f ca="1">IFERROR(VLOOKUP(F62,StorageDevices!CJ90:CS1078,2,FALSE),"")</f>
        <v/>
      </c>
      <c r="H62">
        <v>60</v>
      </c>
    </row>
    <row r="63" spans="1:8">
      <c r="A63" t="str">
        <f ca="1">IFERROR(VLOOKUP(B63,StorageDevices!Y91:AC1088,2,FALSE),"")</f>
        <v/>
      </c>
      <c r="B63">
        <v>61</v>
      </c>
      <c r="C63" t="str">
        <f ca="1">IFERROR(VLOOKUP(D63,StorageDevices!AT91:BC1088,2,FALSE),"")</f>
        <v/>
      </c>
      <c r="D63">
        <v>61</v>
      </c>
      <c r="E63" t="str">
        <f ca="1">IFERROR(VLOOKUP(D63,StorageDevices!BO91:BX1079,2,FALSE),"")</f>
        <v/>
      </c>
      <c r="F63">
        <v>61</v>
      </c>
      <c r="G63" t="str">
        <f ca="1">IFERROR(VLOOKUP(F63,StorageDevices!CJ91:CS1079,2,FALSE),"")</f>
        <v/>
      </c>
      <c r="H63">
        <v>61</v>
      </c>
    </row>
    <row r="64" spans="1:8">
      <c r="A64" t="str">
        <f ca="1">IFERROR(VLOOKUP(B64,StorageDevices!Y92:AC1089,2,FALSE),"")</f>
        <v/>
      </c>
      <c r="B64">
        <v>62</v>
      </c>
      <c r="C64" t="str">
        <f ca="1">IFERROR(VLOOKUP(D64,StorageDevices!AT92:BC1089,2,FALSE),"")</f>
        <v/>
      </c>
      <c r="D64">
        <v>62</v>
      </c>
      <c r="E64" t="str">
        <f ca="1">IFERROR(VLOOKUP(D64,StorageDevices!BO92:BX1080,2,FALSE),"")</f>
        <v/>
      </c>
      <c r="F64">
        <v>62</v>
      </c>
      <c r="G64" t="str">
        <f ca="1">IFERROR(VLOOKUP(F64,StorageDevices!CJ92:CS1080,2,FALSE),"")</f>
        <v/>
      </c>
      <c r="H64">
        <v>62</v>
      </c>
    </row>
    <row r="65" spans="1:8">
      <c r="A65" t="str">
        <f ca="1">IFERROR(VLOOKUP(B65,StorageDevices!Y93:AC1090,2,FALSE),"")</f>
        <v/>
      </c>
      <c r="B65">
        <v>63</v>
      </c>
      <c r="C65" t="str">
        <f ca="1">IFERROR(VLOOKUP(D65,StorageDevices!AT93:BC1090,2,FALSE),"")</f>
        <v/>
      </c>
      <c r="D65">
        <v>63</v>
      </c>
      <c r="E65" t="str">
        <f ca="1">IFERROR(VLOOKUP(D65,StorageDevices!BO93:BX1081,2,FALSE),"")</f>
        <v/>
      </c>
      <c r="F65">
        <v>63</v>
      </c>
      <c r="G65" t="str">
        <f ca="1">IFERROR(VLOOKUP(F65,StorageDevices!CJ93:CS1081,2,FALSE),"")</f>
        <v/>
      </c>
      <c r="H65">
        <v>63</v>
      </c>
    </row>
    <row r="66" spans="1:8">
      <c r="A66" t="str">
        <f ca="1">IFERROR(VLOOKUP(B66,StorageDevices!Y94:AC1091,2,FALSE),"")</f>
        <v/>
      </c>
      <c r="B66">
        <v>64</v>
      </c>
      <c r="C66" t="str">
        <f ca="1">IFERROR(VLOOKUP(D66,StorageDevices!AT94:BC1091,2,FALSE),"")</f>
        <v/>
      </c>
      <c r="D66">
        <v>64</v>
      </c>
      <c r="E66" t="str">
        <f ca="1">IFERROR(VLOOKUP(D66,StorageDevices!BO94:BX1082,2,FALSE),"")</f>
        <v/>
      </c>
      <c r="F66">
        <v>64</v>
      </c>
      <c r="G66" t="str">
        <f ca="1">IFERROR(VLOOKUP(F66,StorageDevices!CJ94:CS1082,2,FALSE),"")</f>
        <v/>
      </c>
      <c r="H66">
        <v>64</v>
      </c>
    </row>
    <row r="67" spans="1:8">
      <c r="A67" t="str">
        <f ca="1">IFERROR(VLOOKUP(B67,StorageDevices!Y95:AC1092,2,FALSE),"")</f>
        <v/>
      </c>
      <c r="B67">
        <v>65</v>
      </c>
      <c r="C67" t="str">
        <f ca="1">IFERROR(VLOOKUP(D67,StorageDevices!AT95:BC1092,2,FALSE),"")</f>
        <v/>
      </c>
      <c r="D67">
        <v>65</v>
      </c>
      <c r="E67" t="str">
        <f ca="1">IFERROR(VLOOKUP(D67,StorageDevices!BO95:BX1083,2,FALSE),"")</f>
        <v/>
      </c>
      <c r="F67">
        <v>65</v>
      </c>
      <c r="G67" t="str">
        <f ca="1">IFERROR(VLOOKUP(F67,StorageDevices!CJ95:CS1083,2,FALSE),"")</f>
        <v/>
      </c>
      <c r="H67">
        <v>65</v>
      </c>
    </row>
    <row r="68" spans="1:8">
      <c r="A68" t="str">
        <f ca="1">IFERROR(VLOOKUP(B68,StorageDevices!Y96:AC1093,2,FALSE),"")</f>
        <v/>
      </c>
      <c r="B68">
        <v>66</v>
      </c>
      <c r="C68" t="str">
        <f ca="1">IFERROR(VLOOKUP(D68,StorageDevices!AT96:BC1093,2,FALSE),"")</f>
        <v/>
      </c>
      <c r="D68">
        <v>66</v>
      </c>
      <c r="E68" t="str">
        <f ca="1">IFERROR(VLOOKUP(D68,StorageDevices!BO96:BX1084,2,FALSE),"")</f>
        <v/>
      </c>
      <c r="F68">
        <v>66</v>
      </c>
      <c r="G68" t="str">
        <f ca="1">IFERROR(VLOOKUP(F68,StorageDevices!CJ96:CS1084,2,FALSE),"")</f>
        <v/>
      </c>
      <c r="H68">
        <v>66</v>
      </c>
    </row>
    <row r="69" spans="1:8">
      <c r="A69" t="str">
        <f ca="1">IFERROR(VLOOKUP(B69,StorageDevices!Y97:AC1094,2,FALSE),"")</f>
        <v/>
      </c>
      <c r="B69">
        <v>67</v>
      </c>
      <c r="C69" t="str">
        <f ca="1">IFERROR(VLOOKUP(D69,StorageDevices!AT97:BC1094,2,FALSE),"")</f>
        <v/>
      </c>
      <c r="D69">
        <v>67</v>
      </c>
      <c r="E69" t="str">
        <f ca="1">IFERROR(VLOOKUP(D69,StorageDevices!BO97:BX1085,2,FALSE),"")</f>
        <v/>
      </c>
      <c r="F69">
        <v>67</v>
      </c>
      <c r="G69" t="str">
        <f ca="1">IFERROR(VLOOKUP(F69,StorageDevices!CJ97:CS1085,2,FALSE),"")</f>
        <v/>
      </c>
      <c r="H69">
        <v>67</v>
      </c>
    </row>
    <row r="70" spans="1:8">
      <c r="A70" t="str">
        <f ca="1">IFERROR(VLOOKUP(B70,StorageDevices!Y98:AC1095,2,FALSE),"")</f>
        <v/>
      </c>
      <c r="B70">
        <v>68</v>
      </c>
      <c r="C70" t="str">
        <f ca="1">IFERROR(VLOOKUP(D70,StorageDevices!AT98:BC1095,2,FALSE),"")</f>
        <v/>
      </c>
      <c r="D70">
        <v>68</v>
      </c>
      <c r="E70" t="str">
        <f ca="1">IFERROR(VLOOKUP(D70,StorageDevices!BO98:BX1086,2,FALSE),"")</f>
        <v/>
      </c>
      <c r="F70">
        <v>68</v>
      </c>
      <c r="G70" t="str">
        <f ca="1">IFERROR(VLOOKUP(F70,StorageDevices!CJ98:CS1086,2,FALSE),"")</f>
        <v/>
      </c>
      <c r="H70">
        <v>68</v>
      </c>
    </row>
    <row r="71" spans="1:8">
      <c r="A71" t="str">
        <f ca="1">IFERROR(VLOOKUP(B71,StorageDevices!Y99:AC1096,2,FALSE),"")</f>
        <v/>
      </c>
      <c r="B71">
        <v>69</v>
      </c>
      <c r="C71" t="str">
        <f ca="1">IFERROR(VLOOKUP(D71,StorageDevices!AT99:BC1096,2,FALSE),"")</f>
        <v/>
      </c>
      <c r="D71">
        <v>69</v>
      </c>
      <c r="E71" t="str">
        <f ca="1">IFERROR(VLOOKUP(D71,StorageDevices!BO99:BX1087,2,FALSE),"")</f>
        <v/>
      </c>
      <c r="F71">
        <v>69</v>
      </c>
      <c r="G71" t="str">
        <f ca="1">IFERROR(VLOOKUP(F71,StorageDevices!CJ99:CS1087,2,FALSE),"")</f>
        <v/>
      </c>
      <c r="H71">
        <v>69</v>
      </c>
    </row>
    <row r="72" spans="1:8">
      <c r="A72" t="str">
        <f ca="1">IFERROR(VLOOKUP(B72,StorageDevices!Y100:AC1097,2,FALSE),"")</f>
        <v/>
      </c>
      <c r="B72">
        <v>70</v>
      </c>
      <c r="C72" t="str">
        <f ca="1">IFERROR(VLOOKUP(D72,StorageDevices!AT100:BC1097,2,FALSE),"")</f>
        <v/>
      </c>
      <c r="D72">
        <v>70</v>
      </c>
      <c r="E72" t="str">
        <f ca="1">IFERROR(VLOOKUP(D72,StorageDevices!BO100:BX1088,2,FALSE),"")</f>
        <v/>
      </c>
      <c r="F72">
        <v>70</v>
      </c>
      <c r="G72" t="str">
        <f ca="1">IFERROR(VLOOKUP(F72,StorageDevices!CJ100:CS1088,2,FALSE),"")</f>
        <v/>
      </c>
      <c r="H72">
        <v>70</v>
      </c>
    </row>
    <row r="73" spans="1:8">
      <c r="A73" t="str">
        <f ca="1">IFERROR(VLOOKUP(B73,StorageDevices!Y101:AC1098,2,FALSE),"")</f>
        <v/>
      </c>
      <c r="B73">
        <v>71</v>
      </c>
      <c r="C73" t="str">
        <f ca="1">IFERROR(VLOOKUP(D73,StorageDevices!AT101:BC1098,2,FALSE),"")</f>
        <v/>
      </c>
      <c r="D73">
        <v>71</v>
      </c>
      <c r="E73" t="str">
        <f ca="1">IFERROR(VLOOKUP(D73,StorageDevices!BO101:BX1089,2,FALSE),"")</f>
        <v/>
      </c>
      <c r="F73">
        <v>71</v>
      </c>
      <c r="G73" t="str">
        <f ca="1">IFERROR(VLOOKUP(F73,StorageDevices!CJ101:CS1089,2,FALSE),"")</f>
        <v/>
      </c>
      <c r="H73">
        <v>71</v>
      </c>
    </row>
    <row r="74" spans="1:8">
      <c r="A74" t="str">
        <f ca="1">IFERROR(VLOOKUP(B74,StorageDevices!Y102:AC1099,2,FALSE),"")</f>
        <v/>
      </c>
      <c r="B74">
        <v>72</v>
      </c>
      <c r="C74" t="str">
        <f ca="1">IFERROR(VLOOKUP(D74,StorageDevices!AT102:BC1099,2,FALSE),"")</f>
        <v/>
      </c>
      <c r="D74">
        <v>72</v>
      </c>
      <c r="E74" t="str">
        <f ca="1">IFERROR(VLOOKUP(D74,StorageDevices!BO102:BX1090,2,FALSE),"")</f>
        <v/>
      </c>
      <c r="F74">
        <v>72</v>
      </c>
      <c r="G74" t="str">
        <f ca="1">IFERROR(VLOOKUP(F74,StorageDevices!CJ102:CS1090,2,FALSE),"")</f>
        <v/>
      </c>
      <c r="H74">
        <v>72</v>
      </c>
    </row>
    <row r="75" spans="1:8">
      <c r="A75" t="str">
        <f ca="1">IFERROR(VLOOKUP(B75,StorageDevices!Y103:AC1100,2,FALSE),"")</f>
        <v/>
      </c>
      <c r="B75">
        <v>73</v>
      </c>
      <c r="C75" t="str">
        <f ca="1">IFERROR(VLOOKUP(D75,StorageDevices!AT103:BC1100,2,FALSE),"")</f>
        <v/>
      </c>
      <c r="D75">
        <v>73</v>
      </c>
      <c r="E75" t="str">
        <f ca="1">IFERROR(VLOOKUP(D75,StorageDevices!BO103:BX1091,2,FALSE),"")</f>
        <v/>
      </c>
      <c r="F75">
        <v>73</v>
      </c>
      <c r="G75" t="str">
        <f ca="1">IFERROR(VLOOKUP(F75,StorageDevices!CJ103:CS1091,2,FALSE),"")</f>
        <v/>
      </c>
      <c r="H75">
        <v>73</v>
      </c>
    </row>
    <row r="76" spans="1:8">
      <c r="A76" t="str">
        <f ca="1">IFERROR(VLOOKUP(B76,StorageDevices!Y104:AC1101,2,FALSE),"")</f>
        <v/>
      </c>
      <c r="B76">
        <v>74</v>
      </c>
      <c r="C76" t="str">
        <f ca="1">IFERROR(VLOOKUP(D76,StorageDevices!AT104:BC1101,2,FALSE),"")</f>
        <v/>
      </c>
      <c r="D76">
        <v>74</v>
      </c>
      <c r="E76" t="str">
        <f ca="1">IFERROR(VLOOKUP(D76,StorageDevices!BO104:BX1092,2,FALSE),"")</f>
        <v/>
      </c>
      <c r="F76">
        <v>74</v>
      </c>
      <c r="G76" t="str">
        <f ca="1">IFERROR(VLOOKUP(F76,StorageDevices!CJ104:CS1092,2,FALSE),"")</f>
        <v/>
      </c>
      <c r="H76">
        <v>74</v>
      </c>
    </row>
    <row r="77" spans="1:8">
      <c r="A77" t="str">
        <f ca="1">IFERROR(VLOOKUP(B77,StorageDevices!Y105:AC1102,2,FALSE),"")</f>
        <v/>
      </c>
      <c r="B77">
        <v>75</v>
      </c>
      <c r="C77" t="str">
        <f ca="1">IFERROR(VLOOKUP(D77,StorageDevices!AT105:BC1102,2,FALSE),"")</f>
        <v/>
      </c>
      <c r="D77">
        <v>75</v>
      </c>
      <c r="E77" t="str">
        <f ca="1">IFERROR(VLOOKUP(D77,StorageDevices!BO105:BX1093,2,FALSE),"")</f>
        <v/>
      </c>
      <c r="F77">
        <v>75</v>
      </c>
      <c r="G77" t="str">
        <f ca="1">IFERROR(VLOOKUP(F77,StorageDevices!CJ105:CS1093,2,FALSE),"")</f>
        <v/>
      </c>
      <c r="H77">
        <v>75</v>
      </c>
    </row>
    <row r="78" spans="1:8">
      <c r="A78" t="str">
        <f ca="1">IFERROR(VLOOKUP(B78,StorageDevices!Y106:AC1103,2,FALSE),"")</f>
        <v/>
      </c>
      <c r="B78">
        <v>76</v>
      </c>
      <c r="C78" t="str">
        <f ca="1">IFERROR(VLOOKUP(D78,StorageDevices!AT106:BC1103,2,FALSE),"")</f>
        <v/>
      </c>
      <c r="D78">
        <v>76</v>
      </c>
      <c r="E78" t="str">
        <f ca="1">IFERROR(VLOOKUP(D78,StorageDevices!BO106:BX1094,2,FALSE),"")</f>
        <v/>
      </c>
      <c r="F78">
        <v>76</v>
      </c>
      <c r="G78" t="str">
        <f ca="1">IFERROR(VLOOKUP(F78,StorageDevices!CJ106:CS1094,2,FALSE),"")</f>
        <v/>
      </c>
      <c r="H78">
        <v>76</v>
      </c>
    </row>
    <row r="79" spans="1:8">
      <c r="A79" t="str">
        <f ca="1">IFERROR(VLOOKUP(B79,StorageDevices!Y107:AC1104,2,FALSE),"")</f>
        <v/>
      </c>
      <c r="B79">
        <v>77</v>
      </c>
      <c r="C79" t="str">
        <f ca="1">IFERROR(VLOOKUP(D79,StorageDevices!AT107:BC1104,2,FALSE),"")</f>
        <v/>
      </c>
      <c r="D79">
        <v>77</v>
      </c>
      <c r="E79" t="str">
        <f ca="1">IFERROR(VLOOKUP(D79,StorageDevices!BO107:BX1095,2,FALSE),"")</f>
        <v/>
      </c>
      <c r="F79">
        <v>77</v>
      </c>
      <c r="G79" t="str">
        <f ca="1">IFERROR(VLOOKUP(F79,StorageDevices!CJ107:CS1095,2,FALSE),"")</f>
        <v/>
      </c>
      <c r="H79">
        <v>77</v>
      </c>
    </row>
    <row r="80" spans="1:8">
      <c r="A80" t="str">
        <f ca="1">IFERROR(VLOOKUP(B80,StorageDevices!Y108:AC1105,2,FALSE),"")</f>
        <v/>
      </c>
      <c r="B80">
        <v>78</v>
      </c>
      <c r="C80" t="str">
        <f ca="1">IFERROR(VLOOKUP(D80,StorageDevices!AT108:BC1105,2,FALSE),"")</f>
        <v/>
      </c>
      <c r="D80">
        <v>78</v>
      </c>
      <c r="E80" t="str">
        <f ca="1">IFERROR(VLOOKUP(D80,StorageDevices!BO108:BX1096,2,FALSE),"")</f>
        <v/>
      </c>
      <c r="F80">
        <v>78</v>
      </c>
      <c r="G80" t="str">
        <f ca="1">IFERROR(VLOOKUP(F80,StorageDevices!CJ108:CS1096,2,FALSE),"")</f>
        <v/>
      </c>
      <c r="H80">
        <v>78</v>
      </c>
    </row>
    <row r="81" spans="1:8">
      <c r="A81" t="str">
        <f ca="1">IFERROR(VLOOKUP(B81,StorageDevices!Y109:AC1106,2,FALSE),"")</f>
        <v/>
      </c>
      <c r="B81">
        <v>79</v>
      </c>
      <c r="C81" t="str">
        <f ca="1">IFERROR(VLOOKUP(D81,StorageDevices!AT109:BC1106,2,FALSE),"")</f>
        <v/>
      </c>
      <c r="D81">
        <v>79</v>
      </c>
      <c r="E81" t="str">
        <f ca="1">IFERROR(VLOOKUP(D81,StorageDevices!BO109:BX1097,2,FALSE),"")</f>
        <v/>
      </c>
      <c r="F81">
        <v>79</v>
      </c>
      <c r="G81" t="str">
        <f ca="1">IFERROR(VLOOKUP(F81,StorageDevices!CJ109:CS1097,2,FALSE),"")</f>
        <v/>
      </c>
      <c r="H81">
        <v>79</v>
      </c>
    </row>
    <row r="82" spans="1:8">
      <c r="A82" t="str">
        <f ca="1">IFERROR(VLOOKUP(B82,StorageDevices!Y110:AC1107,2,FALSE),"")</f>
        <v/>
      </c>
      <c r="B82">
        <v>80</v>
      </c>
      <c r="C82" t="str">
        <f ca="1">IFERROR(VLOOKUP(D82,StorageDevices!AT110:BC1107,2,FALSE),"")</f>
        <v/>
      </c>
      <c r="D82">
        <v>80</v>
      </c>
      <c r="E82" t="str">
        <f ca="1">IFERROR(VLOOKUP(D82,StorageDevices!BO110:BX1098,2,FALSE),"")</f>
        <v/>
      </c>
      <c r="F82">
        <v>80</v>
      </c>
      <c r="G82" t="str">
        <f ca="1">IFERROR(VLOOKUP(F82,StorageDevices!CJ110:CS1098,2,FALSE),"")</f>
        <v/>
      </c>
      <c r="H82">
        <v>80</v>
      </c>
    </row>
    <row r="83" spans="1:8">
      <c r="A83" t="str">
        <f ca="1">IFERROR(VLOOKUP(B83,StorageDevices!Y111:AC1108,2,FALSE),"")</f>
        <v/>
      </c>
      <c r="B83">
        <v>81</v>
      </c>
      <c r="C83" t="str">
        <f ca="1">IFERROR(VLOOKUP(D83,StorageDevices!AT111:BC1108,2,FALSE),"")</f>
        <v/>
      </c>
      <c r="D83">
        <v>81</v>
      </c>
      <c r="E83" t="str">
        <f ca="1">IFERROR(VLOOKUP(D83,StorageDevices!BO111:BX1099,2,FALSE),"")</f>
        <v/>
      </c>
      <c r="F83">
        <v>81</v>
      </c>
      <c r="G83" t="str">
        <f ca="1">IFERROR(VLOOKUP(F83,StorageDevices!CJ111:CS1099,2,FALSE),"")</f>
        <v/>
      </c>
      <c r="H83">
        <v>81</v>
      </c>
    </row>
    <row r="84" spans="1:8">
      <c r="A84" t="str">
        <f ca="1">IFERROR(VLOOKUP(B84,StorageDevices!Y112:AC1109,2,FALSE),"")</f>
        <v/>
      </c>
      <c r="B84">
        <v>82</v>
      </c>
      <c r="C84" t="str">
        <f ca="1">IFERROR(VLOOKUP(D84,StorageDevices!AT112:BC1109,2,FALSE),"")</f>
        <v/>
      </c>
      <c r="D84">
        <v>82</v>
      </c>
      <c r="E84" t="str">
        <f ca="1">IFERROR(VLOOKUP(D84,StorageDevices!BO112:BX1100,2,FALSE),"")</f>
        <v/>
      </c>
      <c r="F84">
        <v>82</v>
      </c>
      <c r="G84" t="str">
        <f ca="1">IFERROR(VLOOKUP(F84,StorageDevices!CJ112:CS1100,2,FALSE),"")</f>
        <v/>
      </c>
      <c r="H84">
        <v>82</v>
      </c>
    </row>
    <row r="85" spans="1:8">
      <c r="A85" t="str">
        <f ca="1">IFERROR(VLOOKUP(B85,StorageDevices!Y113:AC1110,2,FALSE),"")</f>
        <v/>
      </c>
      <c r="B85">
        <v>83</v>
      </c>
      <c r="C85" t="str">
        <f ca="1">IFERROR(VLOOKUP(D85,StorageDevices!AT113:BC1110,2,FALSE),"")</f>
        <v/>
      </c>
      <c r="D85">
        <v>83</v>
      </c>
      <c r="E85" t="str">
        <f ca="1">IFERROR(VLOOKUP(D85,StorageDevices!BO113:BX1101,2,FALSE),"")</f>
        <v/>
      </c>
      <c r="F85">
        <v>83</v>
      </c>
      <c r="G85" t="str">
        <f ca="1">IFERROR(VLOOKUP(F85,StorageDevices!CJ113:CS1101,2,FALSE),"")</f>
        <v/>
      </c>
      <c r="H85">
        <v>83</v>
      </c>
    </row>
    <row r="86" spans="1:8">
      <c r="A86" t="str">
        <f ca="1">IFERROR(VLOOKUP(B86,StorageDevices!Y114:AC1111,2,FALSE),"")</f>
        <v/>
      </c>
      <c r="B86">
        <v>84</v>
      </c>
      <c r="C86" t="str">
        <f ca="1">IFERROR(VLOOKUP(D86,StorageDevices!AT114:BC1111,2,FALSE),"")</f>
        <v/>
      </c>
      <c r="D86">
        <v>84</v>
      </c>
      <c r="E86" t="str">
        <f ca="1">IFERROR(VLOOKUP(D86,StorageDevices!BO114:BX1102,2,FALSE),"")</f>
        <v/>
      </c>
      <c r="F86">
        <v>84</v>
      </c>
      <c r="G86" t="str">
        <f ca="1">IFERROR(VLOOKUP(F86,StorageDevices!CJ114:CS1102,2,FALSE),"")</f>
        <v/>
      </c>
      <c r="H86">
        <v>84</v>
      </c>
    </row>
    <row r="87" spans="1:8">
      <c r="A87" t="str">
        <f ca="1">IFERROR(VLOOKUP(B87,StorageDevices!Y115:AC1112,2,FALSE),"")</f>
        <v/>
      </c>
      <c r="B87">
        <v>85</v>
      </c>
      <c r="C87" t="str">
        <f ca="1">IFERROR(VLOOKUP(D87,StorageDevices!AT115:BC1112,2,FALSE),"")</f>
        <v/>
      </c>
      <c r="D87">
        <v>85</v>
      </c>
      <c r="E87" t="str">
        <f ca="1">IFERROR(VLOOKUP(D87,StorageDevices!BO115:BX1103,2,FALSE),"")</f>
        <v/>
      </c>
      <c r="F87">
        <v>85</v>
      </c>
      <c r="G87" t="str">
        <f ca="1">IFERROR(VLOOKUP(F87,StorageDevices!CJ115:CS1103,2,FALSE),"")</f>
        <v/>
      </c>
      <c r="H87">
        <v>85</v>
      </c>
    </row>
    <row r="88" spans="1:8">
      <c r="A88" t="str">
        <f ca="1">IFERROR(VLOOKUP(B88,StorageDevices!Y116:AC1113,2,FALSE),"")</f>
        <v/>
      </c>
      <c r="B88">
        <v>86</v>
      </c>
      <c r="C88" t="str">
        <f ca="1">IFERROR(VLOOKUP(D88,StorageDevices!AT116:BC1113,2,FALSE),"")</f>
        <v/>
      </c>
      <c r="D88">
        <v>86</v>
      </c>
      <c r="E88" t="str">
        <f ca="1">IFERROR(VLOOKUP(D88,StorageDevices!BO116:BX1104,2,FALSE),"")</f>
        <v/>
      </c>
      <c r="F88">
        <v>86</v>
      </c>
      <c r="G88" t="str">
        <f ca="1">IFERROR(VLOOKUP(F88,StorageDevices!CJ116:CS1104,2,FALSE),"")</f>
        <v/>
      </c>
      <c r="H88">
        <v>86</v>
      </c>
    </row>
    <row r="89" spans="1:8">
      <c r="A89" t="str">
        <f ca="1">IFERROR(VLOOKUP(B89,StorageDevices!Y117:AC1114,2,FALSE),"")</f>
        <v/>
      </c>
      <c r="B89">
        <v>87</v>
      </c>
      <c r="C89" t="str">
        <f ca="1">IFERROR(VLOOKUP(D89,StorageDevices!AT117:BC1114,2,FALSE),"")</f>
        <v/>
      </c>
      <c r="D89">
        <v>87</v>
      </c>
      <c r="E89" t="str">
        <f ca="1">IFERROR(VLOOKUP(D89,StorageDevices!BO117:BX1105,2,FALSE),"")</f>
        <v/>
      </c>
      <c r="F89">
        <v>87</v>
      </c>
      <c r="G89" t="str">
        <f ca="1">IFERROR(VLOOKUP(F89,StorageDevices!CJ117:CS1105,2,FALSE),"")</f>
        <v/>
      </c>
      <c r="H89">
        <v>87</v>
      </c>
    </row>
    <row r="90" spans="1:8">
      <c r="A90" t="str">
        <f ca="1">IFERROR(VLOOKUP(B90,StorageDevices!Y118:AC1115,2,FALSE),"")</f>
        <v/>
      </c>
      <c r="B90">
        <v>88</v>
      </c>
      <c r="C90" t="str">
        <f ca="1">IFERROR(VLOOKUP(D90,StorageDevices!AT118:BC1115,2,FALSE),"")</f>
        <v/>
      </c>
      <c r="D90">
        <v>88</v>
      </c>
      <c r="E90" t="str">
        <f ca="1">IFERROR(VLOOKUP(D90,StorageDevices!BO118:BX1106,2,FALSE),"")</f>
        <v/>
      </c>
      <c r="F90">
        <v>88</v>
      </c>
      <c r="G90" t="str">
        <f ca="1">IFERROR(VLOOKUP(F90,StorageDevices!CJ118:CS1106,2,FALSE),"")</f>
        <v/>
      </c>
      <c r="H90">
        <v>88</v>
      </c>
    </row>
    <row r="91" spans="1:8">
      <c r="A91" t="str">
        <f ca="1">IFERROR(VLOOKUP(B91,StorageDevices!Y119:AC1116,2,FALSE),"")</f>
        <v/>
      </c>
      <c r="B91">
        <v>89</v>
      </c>
      <c r="C91" t="str">
        <f ca="1">IFERROR(VLOOKUP(D91,StorageDevices!AT119:BC1116,2,FALSE),"")</f>
        <v/>
      </c>
      <c r="D91">
        <v>89</v>
      </c>
      <c r="E91" t="str">
        <f ca="1">IFERROR(VLOOKUP(D91,StorageDevices!BO119:BX1107,2,FALSE),"")</f>
        <v/>
      </c>
      <c r="F91">
        <v>89</v>
      </c>
      <c r="G91" t="str">
        <f ca="1">IFERROR(VLOOKUP(F91,StorageDevices!CJ119:CS1107,2,FALSE),"")</f>
        <v/>
      </c>
      <c r="H91">
        <v>89</v>
      </c>
    </row>
    <row r="92" spans="1:8">
      <c r="A92" t="str">
        <f ca="1">IFERROR(VLOOKUP(B92,StorageDevices!Y120:AC1117,2,FALSE),"")</f>
        <v/>
      </c>
      <c r="B92">
        <v>90</v>
      </c>
      <c r="C92" t="str">
        <f ca="1">IFERROR(VLOOKUP(D92,StorageDevices!AT120:BC1117,2,FALSE),"")</f>
        <v/>
      </c>
      <c r="D92">
        <v>90</v>
      </c>
      <c r="E92" t="str">
        <f ca="1">IFERROR(VLOOKUP(D92,StorageDevices!BO120:BX1108,2,FALSE),"")</f>
        <v/>
      </c>
      <c r="F92">
        <v>90</v>
      </c>
      <c r="G92" t="str">
        <f ca="1">IFERROR(VLOOKUP(F92,StorageDevices!CJ120:CS1108,2,FALSE),"")</f>
        <v/>
      </c>
      <c r="H92">
        <v>90</v>
      </c>
    </row>
    <row r="93" spans="1:8">
      <c r="A93" t="str">
        <f ca="1">IFERROR(VLOOKUP(B93,StorageDevices!Y121:AC1118,2,FALSE),"")</f>
        <v/>
      </c>
      <c r="B93">
        <v>91</v>
      </c>
      <c r="C93" t="str">
        <f ca="1">IFERROR(VLOOKUP(D93,StorageDevices!AT121:BC1118,2,FALSE),"")</f>
        <v/>
      </c>
      <c r="D93">
        <v>91</v>
      </c>
      <c r="E93" t="str">
        <f ca="1">IFERROR(VLOOKUP(D93,StorageDevices!BO121:BX1109,2,FALSE),"")</f>
        <v/>
      </c>
      <c r="F93">
        <v>91</v>
      </c>
      <c r="G93" t="str">
        <f ca="1">IFERROR(VLOOKUP(F93,StorageDevices!CJ121:CS1109,2,FALSE),"")</f>
        <v/>
      </c>
      <c r="H93">
        <v>91</v>
      </c>
    </row>
    <row r="94" spans="1:8">
      <c r="A94" t="str">
        <f ca="1">IFERROR(VLOOKUP(B94,StorageDevices!Y122:AC1119,2,FALSE),"")</f>
        <v/>
      </c>
      <c r="B94">
        <v>92</v>
      </c>
      <c r="C94" t="str">
        <f ca="1">IFERROR(VLOOKUP(D94,StorageDevices!AT122:BC1119,2,FALSE),"")</f>
        <v/>
      </c>
      <c r="D94">
        <v>92</v>
      </c>
      <c r="E94" t="str">
        <f ca="1">IFERROR(VLOOKUP(D94,StorageDevices!BO122:BX1110,2,FALSE),"")</f>
        <v/>
      </c>
      <c r="F94">
        <v>92</v>
      </c>
      <c r="G94" t="str">
        <f ca="1">IFERROR(VLOOKUP(F94,StorageDevices!CJ122:CS1110,2,FALSE),"")</f>
        <v/>
      </c>
      <c r="H94">
        <v>92</v>
      </c>
    </row>
    <row r="95" spans="1:8">
      <c r="A95" t="str">
        <f ca="1">IFERROR(VLOOKUP(B95,StorageDevices!Y123:AC1120,2,FALSE),"")</f>
        <v/>
      </c>
      <c r="B95">
        <v>93</v>
      </c>
      <c r="C95" t="str">
        <f ca="1">IFERROR(VLOOKUP(D95,StorageDevices!AT123:BC1120,2,FALSE),"")</f>
        <v/>
      </c>
      <c r="D95">
        <v>93</v>
      </c>
      <c r="E95" t="str">
        <f ca="1">IFERROR(VLOOKUP(D95,StorageDevices!BO123:BX1111,2,FALSE),"")</f>
        <v/>
      </c>
      <c r="F95">
        <v>93</v>
      </c>
      <c r="G95" t="str">
        <f ca="1">IFERROR(VLOOKUP(F95,StorageDevices!CJ123:CS1111,2,FALSE),"")</f>
        <v/>
      </c>
      <c r="H95">
        <v>93</v>
      </c>
    </row>
    <row r="96" spans="1:8">
      <c r="A96" t="str">
        <f ca="1">IFERROR(VLOOKUP(B96,StorageDevices!Y124:AC1121,2,FALSE),"")</f>
        <v/>
      </c>
      <c r="B96">
        <v>94</v>
      </c>
      <c r="C96" t="str">
        <f ca="1">IFERROR(VLOOKUP(D96,StorageDevices!AT124:BC1121,2,FALSE),"")</f>
        <v/>
      </c>
      <c r="D96">
        <v>94</v>
      </c>
      <c r="E96" t="str">
        <f ca="1">IFERROR(VLOOKUP(D96,StorageDevices!BO124:BX1112,2,FALSE),"")</f>
        <v/>
      </c>
      <c r="F96">
        <v>94</v>
      </c>
      <c r="G96" t="str">
        <f ca="1">IFERROR(VLOOKUP(F96,StorageDevices!CJ124:CS1112,2,FALSE),"")</f>
        <v/>
      </c>
      <c r="H96">
        <v>94</v>
      </c>
    </row>
    <row r="97" spans="1:8">
      <c r="A97" t="str">
        <f ca="1">IFERROR(VLOOKUP(B97,StorageDevices!Y125:AC1122,2,FALSE),"")</f>
        <v/>
      </c>
      <c r="B97">
        <v>95</v>
      </c>
      <c r="C97" t="str">
        <f ca="1">IFERROR(VLOOKUP(D97,StorageDevices!AT125:BC1122,2,FALSE),"")</f>
        <v/>
      </c>
      <c r="D97">
        <v>95</v>
      </c>
      <c r="E97" t="str">
        <f ca="1">IFERROR(VLOOKUP(D97,StorageDevices!BO125:BX1113,2,FALSE),"")</f>
        <v/>
      </c>
      <c r="F97">
        <v>95</v>
      </c>
      <c r="G97" t="str">
        <f ca="1">IFERROR(VLOOKUP(F97,StorageDevices!CJ125:CS1113,2,FALSE),"")</f>
        <v/>
      </c>
      <c r="H97">
        <v>95</v>
      </c>
    </row>
    <row r="98" spans="1:8">
      <c r="A98" t="str">
        <f ca="1">IFERROR(VLOOKUP(B98,StorageDevices!Y126:AC1123,2,FALSE),"")</f>
        <v/>
      </c>
      <c r="B98">
        <v>96</v>
      </c>
      <c r="C98" t="str">
        <f ca="1">IFERROR(VLOOKUP(D98,StorageDevices!AT126:BC1123,2,FALSE),"")</f>
        <v/>
      </c>
      <c r="D98">
        <v>96</v>
      </c>
      <c r="E98" t="str">
        <f ca="1">IFERROR(VLOOKUP(D98,StorageDevices!BO126:BX1114,2,FALSE),"")</f>
        <v/>
      </c>
      <c r="F98">
        <v>96</v>
      </c>
      <c r="G98" t="str">
        <f ca="1">IFERROR(VLOOKUP(F98,StorageDevices!CJ126:CS1114,2,FALSE),"")</f>
        <v/>
      </c>
      <c r="H98">
        <v>96</v>
      </c>
    </row>
    <row r="99" spans="1:8">
      <c r="A99" t="str">
        <f ca="1">IFERROR(VLOOKUP(B99,StorageDevices!Y127:AC1124,2,FALSE),"")</f>
        <v/>
      </c>
      <c r="B99">
        <v>97</v>
      </c>
      <c r="C99" t="str">
        <f ca="1">IFERROR(VLOOKUP(D99,StorageDevices!AT127:BC1124,2,FALSE),"")</f>
        <v/>
      </c>
      <c r="D99">
        <v>97</v>
      </c>
      <c r="E99" t="str">
        <f ca="1">IFERROR(VLOOKUP(D99,StorageDevices!BO127:BX1115,2,FALSE),"")</f>
        <v/>
      </c>
      <c r="F99">
        <v>97</v>
      </c>
      <c r="G99" t="str">
        <f ca="1">IFERROR(VLOOKUP(F99,StorageDevices!CJ127:CS1115,2,FALSE),"")</f>
        <v/>
      </c>
      <c r="H99">
        <v>97</v>
      </c>
    </row>
    <row r="100" spans="1:8">
      <c r="A100" t="str">
        <f ca="1">IFERROR(VLOOKUP(B100,StorageDevices!Y128:AC1125,2,FALSE),"")</f>
        <v/>
      </c>
      <c r="B100">
        <v>98</v>
      </c>
      <c r="C100" t="str">
        <f ca="1">IFERROR(VLOOKUP(D100,StorageDevices!AT128:BC1125,2,FALSE),"")</f>
        <v/>
      </c>
      <c r="D100">
        <v>98</v>
      </c>
      <c r="E100" t="str">
        <f ca="1">IFERROR(VLOOKUP(D100,StorageDevices!BO128:BX1116,2,FALSE),"")</f>
        <v/>
      </c>
      <c r="F100">
        <v>98</v>
      </c>
      <c r="G100" t="str">
        <f ca="1">IFERROR(VLOOKUP(F100,StorageDevices!CJ128:CS1116,2,FALSE),"")</f>
        <v/>
      </c>
      <c r="H100">
        <v>98</v>
      </c>
    </row>
    <row r="101" spans="1:8">
      <c r="A101" t="str">
        <f ca="1">IFERROR(VLOOKUP(B101,StorageDevices!Y129:AC1126,2,FALSE),"")</f>
        <v/>
      </c>
      <c r="B101">
        <v>99</v>
      </c>
      <c r="C101" t="str">
        <f ca="1">IFERROR(VLOOKUP(D101,StorageDevices!AT129:BC1126,2,FALSE),"")</f>
        <v/>
      </c>
      <c r="D101">
        <v>99</v>
      </c>
      <c r="E101" t="str">
        <f ca="1">IFERROR(VLOOKUP(D101,StorageDevices!BO129:BX1117,2,FALSE),"")</f>
        <v/>
      </c>
      <c r="F101">
        <v>99</v>
      </c>
      <c r="G101" t="str">
        <f ca="1">IFERROR(VLOOKUP(F101,StorageDevices!CJ129:CS1117,2,FALSE),"")</f>
        <v/>
      </c>
      <c r="H101">
        <v>99</v>
      </c>
    </row>
    <row r="102" spans="1:8">
      <c r="A102" t="str">
        <f ca="1">IFERROR(VLOOKUP(B102,StorageDevices!Y130:AC1127,2,FALSE),"")</f>
        <v/>
      </c>
      <c r="B102">
        <v>100</v>
      </c>
      <c r="C102" t="str">
        <f ca="1">IFERROR(VLOOKUP(D102,StorageDevices!AT130:BC1127,2,FALSE),"")</f>
        <v/>
      </c>
      <c r="D102">
        <v>100</v>
      </c>
      <c r="E102" t="str">
        <f ca="1">IFERROR(VLOOKUP(D102,StorageDevices!BO130:BX1118,2,FALSE),"")</f>
        <v/>
      </c>
      <c r="F102">
        <v>100</v>
      </c>
      <c r="G102" t="str">
        <f ca="1">IFERROR(VLOOKUP(F102,StorageDevices!CJ130:CS1118,2,FALSE),"")</f>
        <v/>
      </c>
      <c r="H102">
        <v>100</v>
      </c>
    </row>
    <row r="103" spans="1:8">
      <c r="A103" t="str">
        <f ca="1">IFERROR(VLOOKUP(B103,StorageDevices!Y131:AC1128,2,FALSE),"")</f>
        <v/>
      </c>
      <c r="B103">
        <v>101</v>
      </c>
      <c r="C103" t="str">
        <f ca="1">IFERROR(VLOOKUP(D103,StorageDevices!AT131:BC1128,2,FALSE),"")</f>
        <v/>
      </c>
      <c r="D103">
        <v>101</v>
      </c>
      <c r="E103" t="str">
        <f ca="1">IFERROR(VLOOKUP(D103,StorageDevices!BO131:BX1119,2,FALSE),"")</f>
        <v/>
      </c>
      <c r="F103">
        <v>101</v>
      </c>
      <c r="G103" t="str">
        <f ca="1">IFERROR(VLOOKUP(F103,StorageDevices!CJ131:CS1119,2,FALSE),"")</f>
        <v/>
      </c>
      <c r="H103">
        <v>101</v>
      </c>
    </row>
    <row r="104" spans="1:8">
      <c r="A104" t="str">
        <f ca="1">IFERROR(VLOOKUP(B104,StorageDevices!Y132:AC1129,2,FALSE),"")</f>
        <v/>
      </c>
      <c r="B104">
        <v>102</v>
      </c>
      <c r="C104" t="str">
        <f ca="1">IFERROR(VLOOKUP(D104,StorageDevices!AT132:BC1129,2,FALSE),"")</f>
        <v/>
      </c>
      <c r="D104">
        <v>102</v>
      </c>
      <c r="E104" t="str">
        <f ca="1">IFERROR(VLOOKUP(D104,StorageDevices!BO132:BX1120,2,FALSE),"")</f>
        <v/>
      </c>
      <c r="F104">
        <v>102</v>
      </c>
      <c r="G104" t="str">
        <f ca="1">IFERROR(VLOOKUP(F104,StorageDevices!CJ132:CS1120,2,FALSE),"")</f>
        <v/>
      </c>
      <c r="H104">
        <v>102</v>
      </c>
    </row>
    <row r="105" spans="1:8">
      <c r="A105" t="str">
        <f ca="1">IFERROR(VLOOKUP(B105,StorageDevices!Y133:AC1130,2,FALSE),"")</f>
        <v/>
      </c>
      <c r="B105">
        <v>103</v>
      </c>
      <c r="C105" t="str">
        <f ca="1">IFERROR(VLOOKUP(D105,StorageDevices!AT133:BC1130,2,FALSE),"")</f>
        <v/>
      </c>
      <c r="D105">
        <v>103</v>
      </c>
      <c r="E105" t="str">
        <f ca="1">IFERROR(VLOOKUP(D105,StorageDevices!BO133:BX1121,2,FALSE),"")</f>
        <v/>
      </c>
      <c r="F105">
        <v>103</v>
      </c>
      <c r="G105" t="str">
        <f ca="1">IFERROR(VLOOKUP(F105,StorageDevices!CJ133:CS1121,2,FALSE),"")</f>
        <v/>
      </c>
      <c r="H105">
        <v>103</v>
      </c>
    </row>
    <row r="106" spans="1:8">
      <c r="A106" t="str">
        <f ca="1">IFERROR(VLOOKUP(B106,StorageDevices!Y134:AC1131,2,FALSE),"")</f>
        <v/>
      </c>
      <c r="B106">
        <v>104</v>
      </c>
      <c r="C106" t="str">
        <f ca="1">IFERROR(VLOOKUP(D106,StorageDevices!AT134:BC1131,2,FALSE),"")</f>
        <v/>
      </c>
      <c r="D106">
        <v>104</v>
      </c>
      <c r="E106" t="str">
        <f ca="1">IFERROR(VLOOKUP(D106,StorageDevices!BO134:BX1122,2,FALSE),"")</f>
        <v/>
      </c>
      <c r="F106">
        <v>104</v>
      </c>
      <c r="G106" t="str">
        <f ca="1">IFERROR(VLOOKUP(F106,StorageDevices!CJ134:CS1122,2,FALSE),"")</f>
        <v/>
      </c>
      <c r="H106">
        <v>104</v>
      </c>
    </row>
    <row r="107" spans="1:8">
      <c r="A107" t="str">
        <f ca="1">IFERROR(VLOOKUP(B107,StorageDevices!Y135:AC1132,2,FALSE),"")</f>
        <v/>
      </c>
      <c r="B107">
        <v>105</v>
      </c>
      <c r="C107" t="str">
        <f ca="1">IFERROR(VLOOKUP(D107,StorageDevices!AT135:BC1132,2,FALSE),"")</f>
        <v/>
      </c>
      <c r="D107">
        <v>105</v>
      </c>
      <c r="E107" t="str">
        <f ca="1">IFERROR(VLOOKUP(D107,StorageDevices!BO135:BX1123,2,FALSE),"")</f>
        <v/>
      </c>
      <c r="F107">
        <v>105</v>
      </c>
      <c r="G107" t="str">
        <f ca="1">IFERROR(VLOOKUP(F107,StorageDevices!CJ135:CS1123,2,FALSE),"")</f>
        <v/>
      </c>
      <c r="H107">
        <v>105</v>
      </c>
    </row>
    <row r="108" spans="1:8">
      <c r="A108" t="str">
        <f ca="1">IFERROR(VLOOKUP(B108,StorageDevices!Y136:AC1133,2,FALSE),"")</f>
        <v/>
      </c>
      <c r="B108">
        <v>106</v>
      </c>
      <c r="C108" t="str">
        <f ca="1">IFERROR(VLOOKUP(D108,StorageDevices!AT136:BC1133,2,FALSE),"")</f>
        <v/>
      </c>
      <c r="D108">
        <v>106</v>
      </c>
      <c r="E108" t="str">
        <f ca="1">IFERROR(VLOOKUP(D108,StorageDevices!BO136:BX1124,2,FALSE),"")</f>
        <v/>
      </c>
      <c r="F108">
        <v>106</v>
      </c>
      <c r="G108" t="str">
        <f ca="1">IFERROR(VLOOKUP(F108,StorageDevices!CJ136:CS1124,2,FALSE),"")</f>
        <v/>
      </c>
      <c r="H108">
        <v>106</v>
      </c>
    </row>
    <row r="109" spans="1:8">
      <c r="A109" t="str">
        <f ca="1">IFERROR(VLOOKUP(B109,StorageDevices!Y137:AC1134,2,FALSE),"")</f>
        <v/>
      </c>
      <c r="B109">
        <v>107</v>
      </c>
      <c r="C109" t="str">
        <f ca="1">IFERROR(VLOOKUP(D109,StorageDevices!AT137:BC1134,2,FALSE),"")</f>
        <v/>
      </c>
      <c r="D109">
        <v>107</v>
      </c>
      <c r="E109" t="str">
        <f ca="1">IFERROR(VLOOKUP(D109,StorageDevices!BO137:BX1125,2,FALSE),"")</f>
        <v/>
      </c>
      <c r="F109">
        <v>107</v>
      </c>
      <c r="G109" t="str">
        <f ca="1">IFERROR(VLOOKUP(F109,StorageDevices!CJ137:CS1125,2,FALSE),"")</f>
        <v/>
      </c>
      <c r="H109">
        <v>107</v>
      </c>
    </row>
    <row r="110" spans="1:8">
      <c r="A110" t="str">
        <f ca="1">IFERROR(VLOOKUP(B110,StorageDevices!Y138:AC1135,2,FALSE),"")</f>
        <v/>
      </c>
      <c r="B110">
        <v>108</v>
      </c>
      <c r="C110" t="str">
        <f ca="1">IFERROR(VLOOKUP(D110,StorageDevices!AT138:BC1135,2,FALSE),"")</f>
        <v/>
      </c>
      <c r="D110">
        <v>108</v>
      </c>
      <c r="E110" t="str">
        <f ca="1">IFERROR(VLOOKUP(D110,StorageDevices!BO138:BX1126,2,FALSE),"")</f>
        <v/>
      </c>
      <c r="F110">
        <v>108</v>
      </c>
      <c r="G110" t="str">
        <f ca="1">IFERROR(VLOOKUP(F110,StorageDevices!CJ138:CS1126,2,FALSE),"")</f>
        <v/>
      </c>
      <c r="H110">
        <v>108</v>
      </c>
    </row>
    <row r="111" spans="1:8">
      <c r="A111" t="str">
        <f ca="1">IFERROR(VLOOKUP(B111,StorageDevices!Y139:AC1136,2,FALSE),"")</f>
        <v/>
      </c>
      <c r="B111">
        <v>109</v>
      </c>
      <c r="C111" t="str">
        <f ca="1">IFERROR(VLOOKUP(D111,StorageDevices!AT139:BC1136,2,FALSE),"")</f>
        <v/>
      </c>
      <c r="D111">
        <v>109</v>
      </c>
      <c r="E111" t="str">
        <f ca="1">IFERROR(VLOOKUP(D111,StorageDevices!BO139:BX1127,2,FALSE),"")</f>
        <v/>
      </c>
      <c r="F111">
        <v>109</v>
      </c>
      <c r="G111" t="str">
        <f ca="1">IFERROR(VLOOKUP(F111,StorageDevices!CJ139:CS1127,2,FALSE),"")</f>
        <v/>
      </c>
      <c r="H111">
        <v>109</v>
      </c>
    </row>
    <row r="112" spans="1:8">
      <c r="A112" t="str">
        <f ca="1">IFERROR(VLOOKUP(B112,StorageDevices!Y140:AC1137,2,FALSE),"")</f>
        <v/>
      </c>
      <c r="B112">
        <v>110</v>
      </c>
      <c r="C112" t="str">
        <f ca="1">IFERROR(VLOOKUP(D112,StorageDevices!AT140:BC1137,2,FALSE),"")</f>
        <v/>
      </c>
      <c r="D112">
        <v>110</v>
      </c>
      <c r="E112" t="str">
        <f ca="1">IFERROR(VLOOKUP(D112,StorageDevices!BO140:BX1128,2,FALSE),"")</f>
        <v/>
      </c>
      <c r="F112">
        <v>110</v>
      </c>
      <c r="G112" t="str">
        <f ca="1">IFERROR(VLOOKUP(F112,StorageDevices!CJ140:CS1128,2,FALSE),"")</f>
        <v/>
      </c>
      <c r="H112">
        <v>110</v>
      </c>
    </row>
    <row r="113" spans="1:8">
      <c r="A113" t="str">
        <f ca="1">IFERROR(VLOOKUP(B113,StorageDevices!Y141:AC1138,2,FALSE),"")</f>
        <v/>
      </c>
      <c r="B113">
        <v>111</v>
      </c>
      <c r="C113" t="str">
        <f ca="1">IFERROR(VLOOKUP(D113,StorageDevices!AT141:BC1138,2,FALSE),"")</f>
        <v/>
      </c>
      <c r="D113">
        <v>111</v>
      </c>
      <c r="E113" t="str">
        <f ca="1">IFERROR(VLOOKUP(D113,StorageDevices!BO141:BX1129,2,FALSE),"")</f>
        <v/>
      </c>
      <c r="F113">
        <v>111</v>
      </c>
      <c r="G113" t="str">
        <f ca="1">IFERROR(VLOOKUP(F113,StorageDevices!CJ141:CS1129,2,FALSE),"")</f>
        <v/>
      </c>
      <c r="H113">
        <v>111</v>
      </c>
    </row>
    <row r="114" spans="1:8">
      <c r="A114" t="str">
        <f ca="1">IFERROR(VLOOKUP(B114,StorageDevices!Y142:AC1139,2,FALSE),"")</f>
        <v/>
      </c>
      <c r="B114">
        <v>112</v>
      </c>
      <c r="C114" t="str">
        <f ca="1">IFERROR(VLOOKUP(D114,StorageDevices!AT142:BC1139,2,FALSE),"")</f>
        <v/>
      </c>
      <c r="D114">
        <v>112</v>
      </c>
      <c r="E114" t="str">
        <f ca="1">IFERROR(VLOOKUP(D114,StorageDevices!BO142:BX1130,2,FALSE),"")</f>
        <v/>
      </c>
      <c r="F114">
        <v>112</v>
      </c>
      <c r="G114" t="str">
        <f ca="1">IFERROR(VLOOKUP(F114,StorageDevices!CJ142:CS1130,2,FALSE),"")</f>
        <v/>
      </c>
      <c r="H114">
        <v>112</v>
      </c>
    </row>
    <row r="115" spans="1:8">
      <c r="A115" t="str">
        <f ca="1">IFERROR(VLOOKUP(B115,StorageDevices!Y143:AC1140,2,FALSE),"")</f>
        <v/>
      </c>
      <c r="B115">
        <v>113</v>
      </c>
      <c r="C115" t="str">
        <f ca="1">IFERROR(VLOOKUP(D115,StorageDevices!AT143:BC1140,2,FALSE),"")</f>
        <v/>
      </c>
      <c r="D115">
        <v>113</v>
      </c>
      <c r="E115" t="str">
        <f ca="1">IFERROR(VLOOKUP(D115,StorageDevices!BO143:BX1131,2,FALSE),"")</f>
        <v/>
      </c>
      <c r="F115">
        <v>113</v>
      </c>
      <c r="G115" t="str">
        <f ca="1">IFERROR(VLOOKUP(F115,StorageDevices!CJ143:CS1131,2,FALSE),"")</f>
        <v/>
      </c>
      <c r="H115">
        <v>113</v>
      </c>
    </row>
    <row r="116" spans="1:8">
      <c r="A116" t="str">
        <f ca="1">IFERROR(VLOOKUP(B116,StorageDevices!Y144:AC1141,2,FALSE),"")</f>
        <v/>
      </c>
      <c r="B116">
        <v>114</v>
      </c>
      <c r="C116" t="str">
        <f ca="1">IFERROR(VLOOKUP(D116,StorageDevices!AT144:BC1141,2,FALSE),"")</f>
        <v/>
      </c>
      <c r="D116">
        <v>114</v>
      </c>
      <c r="E116" t="str">
        <f ca="1">IFERROR(VLOOKUP(D116,StorageDevices!BO144:BX1132,2,FALSE),"")</f>
        <v/>
      </c>
      <c r="F116">
        <v>114</v>
      </c>
      <c r="G116" t="str">
        <f ca="1">IFERROR(VLOOKUP(F116,StorageDevices!CJ144:CS1132,2,FALSE),"")</f>
        <v/>
      </c>
      <c r="H116">
        <v>114</v>
      </c>
    </row>
    <row r="117" spans="1:8">
      <c r="A117" t="str">
        <f ca="1">IFERROR(VLOOKUP(B117,StorageDevices!Y145:AC1142,2,FALSE),"")</f>
        <v/>
      </c>
      <c r="B117">
        <v>115</v>
      </c>
      <c r="C117" t="str">
        <f ca="1">IFERROR(VLOOKUP(D117,StorageDevices!AT145:BC1142,2,FALSE),"")</f>
        <v/>
      </c>
      <c r="D117">
        <v>115</v>
      </c>
      <c r="E117" t="str">
        <f ca="1">IFERROR(VLOOKUP(D117,StorageDevices!BO145:BX1133,2,FALSE),"")</f>
        <v/>
      </c>
      <c r="F117">
        <v>115</v>
      </c>
      <c r="G117" t="str">
        <f ca="1">IFERROR(VLOOKUP(F117,StorageDevices!CJ145:CS1133,2,FALSE),"")</f>
        <v/>
      </c>
      <c r="H117">
        <v>115</v>
      </c>
    </row>
    <row r="118" spans="1:8">
      <c r="A118" t="str">
        <f ca="1">IFERROR(VLOOKUP(B118,StorageDevices!Y146:AC1143,2,FALSE),"")</f>
        <v/>
      </c>
      <c r="B118">
        <v>116</v>
      </c>
      <c r="C118" t="str">
        <f ca="1">IFERROR(VLOOKUP(D118,StorageDevices!AT146:BC1143,2,FALSE),"")</f>
        <v/>
      </c>
      <c r="D118">
        <v>116</v>
      </c>
      <c r="E118" t="str">
        <f ca="1">IFERROR(VLOOKUP(D118,StorageDevices!BO146:BX1134,2,FALSE),"")</f>
        <v/>
      </c>
      <c r="F118">
        <v>116</v>
      </c>
      <c r="G118" t="str">
        <f ca="1">IFERROR(VLOOKUP(F118,StorageDevices!CJ146:CS1134,2,FALSE),"")</f>
        <v/>
      </c>
      <c r="H118">
        <v>116</v>
      </c>
    </row>
    <row r="119" spans="1:8">
      <c r="A119" t="str">
        <f ca="1">IFERROR(VLOOKUP(B119,StorageDevices!Y147:AC1144,2,FALSE),"")</f>
        <v/>
      </c>
      <c r="B119">
        <v>117</v>
      </c>
      <c r="C119" t="str">
        <f ca="1">IFERROR(VLOOKUP(D119,StorageDevices!AT147:BC1144,2,FALSE),"")</f>
        <v/>
      </c>
      <c r="D119">
        <v>117</v>
      </c>
      <c r="E119" t="str">
        <f ca="1">IFERROR(VLOOKUP(D119,StorageDevices!BO147:BX1135,2,FALSE),"")</f>
        <v/>
      </c>
      <c r="F119">
        <v>117</v>
      </c>
      <c r="G119" t="str">
        <f ca="1">IFERROR(VLOOKUP(F119,StorageDevices!CJ147:CS1135,2,FALSE),"")</f>
        <v/>
      </c>
      <c r="H119">
        <v>117</v>
      </c>
    </row>
    <row r="120" spans="1:8">
      <c r="A120" t="str">
        <f ca="1">IFERROR(VLOOKUP(B120,StorageDevices!Y148:AC1145,2,FALSE),"")</f>
        <v/>
      </c>
      <c r="B120">
        <v>118</v>
      </c>
      <c r="C120" t="str">
        <f ca="1">IFERROR(VLOOKUP(D120,StorageDevices!AT148:BC1145,2,FALSE),"")</f>
        <v/>
      </c>
      <c r="D120">
        <v>118</v>
      </c>
      <c r="E120" t="str">
        <f ca="1">IFERROR(VLOOKUP(D120,StorageDevices!BO148:BX1136,2,FALSE),"")</f>
        <v/>
      </c>
      <c r="F120">
        <v>118</v>
      </c>
      <c r="G120" t="str">
        <f ca="1">IFERROR(VLOOKUP(F120,StorageDevices!CJ148:CS1136,2,FALSE),"")</f>
        <v/>
      </c>
      <c r="H120">
        <v>118</v>
      </c>
    </row>
    <row r="121" spans="1:8">
      <c r="A121" t="str">
        <f ca="1">IFERROR(VLOOKUP(B121,StorageDevices!Y149:AC1146,2,FALSE),"")</f>
        <v/>
      </c>
      <c r="B121">
        <v>119</v>
      </c>
      <c r="C121" t="str">
        <f ca="1">IFERROR(VLOOKUP(D121,StorageDevices!AT149:BC1146,2,FALSE),"")</f>
        <v/>
      </c>
      <c r="D121">
        <v>119</v>
      </c>
      <c r="E121" t="str">
        <f ca="1">IFERROR(VLOOKUP(D121,StorageDevices!BO149:BX1137,2,FALSE),"")</f>
        <v/>
      </c>
      <c r="F121">
        <v>119</v>
      </c>
      <c r="G121" t="str">
        <f ca="1">IFERROR(VLOOKUP(F121,StorageDevices!CJ149:CS1137,2,FALSE),"")</f>
        <v/>
      </c>
      <c r="H121">
        <v>119</v>
      </c>
    </row>
    <row r="122" spans="1:8">
      <c r="A122" t="str">
        <f ca="1">IFERROR(VLOOKUP(B122,StorageDevices!Y150:AC1147,2,FALSE),"")</f>
        <v/>
      </c>
      <c r="B122">
        <v>120</v>
      </c>
      <c r="C122" t="str">
        <f ca="1">IFERROR(VLOOKUP(D122,StorageDevices!AT150:BC1147,2,FALSE),"")</f>
        <v/>
      </c>
      <c r="D122">
        <v>120</v>
      </c>
      <c r="E122" t="str">
        <f ca="1">IFERROR(VLOOKUP(D122,StorageDevices!BO150:BX1138,2,FALSE),"")</f>
        <v/>
      </c>
      <c r="F122">
        <v>120</v>
      </c>
      <c r="G122" t="str">
        <f ca="1">IFERROR(VLOOKUP(F122,StorageDevices!CJ150:CS1138,2,FALSE),"")</f>
        <v/>
      </c>
      <c r="H122">
        <v>120</v>
      </c>
    </row>
    <row r="123" spans="1:8">
      <c r="A123" t="str">
        <f ca="1">IFERROR(VLOOKUP(B123,StorageDevices!Y151:AC1148,2,FALSE),"")</f>
        <v/>
      </c>
      <c r="B123">
        <v>121</v>
      </c>
      <c r="C123" t="str">
        <f ca="1">IFERROR(VLOOKUP(D123,StorageDevices!AT151:BC1148,2,FALSE),"")</f>
        <v/>
      </c>
      <c r="D123">
        <v>121</v>
      </c>
      <c r="E123" t="str">
        <f ca="1">IFERROR(VLOOKUP(D123,StorageDevices!BO151:BX1139,2,FALSE),"")</f>
        <v/>
      </c>
      <c r="F123">
        <v>121</v>
      </c>
      <c r="G123" t="str">
        <f ca="1">IFERROR(VLOOKUP(F123,StorageDevices!CJ151:CS1139,2,FALSE),"")</f>
        <v/>
      </c>
      <c r="H123">
        <v>121</v>
      </c>
    </row>
    <row r="124" spans="1:8">
      <c r="A124" t="str">
        <f ca="1">IFERROR(VLOOKUP(B124,StorageDevices!Y152:AC1149,2,FALSE),"")</f>
        <v/>
      </c>
      <c r="B124">
        <v>122</v>
      </c>
      <c r="C124" t="str">
        <f ca="1">IFERROR(VLOOKUP(D124,StorageDevices!AT152:BC1149,2,FALSE),"")</f>
        <v/>
      </c>
      <c r="D124">
        <v>122</v>
      </c>
      <c r="E124" t="str">
        <f ca="1">IFERROR(VLOOKUP(D124,StorageDevices!BO152:BX1140,2,FALSE),"")</f>
        <v/>
      </c>
      <c r="F124">
        <v>122</v>
      </c>
      <c r="G124" t="str">
        <f ca="1">IFERROR(VLOOKUP(F124,StorageDevices!CJ152:CS1140,2,FALSE),"")</f>
        <v/>
      </c>
      <c r="H124">
        <v>122</v>
      </c>
    </row>
    <row r="125" spans="1:8">
      <c r="A125" t="str">
        <f ca="1">IFERROR(VLOOKUP(B125,StorageDevices!Y153:AC1150,2,FALSE),"")</f>
        <v/>
      </c>
      <c r="B125">
        <v>123</v>
      </c>
      <c r="C125" t="str">
        <f ca="1">IFERROR(VLOOKUP(D125,StorageDevices!AT153:BC1150,2,FALSE),"")</f>
        <v/>
      </c>
      <c r="D125">
        <v>123</v>
      </c>
      <c r="E125" t="str">
        <f ca="1">IFERROR(VLOOKUP(D125,StorageDevices!BO153:BX1141,2,FALSE),"")</f>
        <v/>
      </c>
      <c r="F125">
        <v>123</v>
      </c>
      <c r="G125" t="str">
        <f ca="1">IFERROR(VLOOKUP(F125,StorageDevices!CJ153:CS1141,2,FALSE),"")</f>
        <v/>
      </c>
      <c r="H125">
        <v>123</v>
      </c>
    </row>
    <row r="126" spans="1:8">
      <c r="A126" t="str">
        <f ca="1">IFERROR(VLOOKUP(B126,StorageDevices!Y154:AC1151,2,FALSE),"")</f>
        <v/>
      </c>
      <c r="B126">
        <v>124</v>
      </c>
      <c r="C126" t="str">
        <f ca="1">IFERROR(VLOOKUP(D126,StorageDevices!AT154:BC1151,2,FALSE),"")</f>
        <v/>
      </c>
      <c r="D126">
        <v>124</v>
      </c>
      <c r="E126" t="str">
        <f ca="1">IFERROR(VLOOKUP(D126,StorageDevices!BO154:BX1142,2,FALSE),"")</f>
        <v/>
      </c>
      <c r="F126">
        <v>124</v>
      </c>
      <c r="G126" t="str">
        <f ca="1">IFERROR(VLOOKUP(F126,StorageDevices!CJ154:CS1142,2,FALSE),"")</f>
        <v/>
      </c>
      <c r="H126">
        <v>124</v>
      </c>
    </row>
    <row r="127" spans="1:8">
      <c r="A127" t="str">
        <f ca="1">IFERROR(VLOOKUP(B127,StorageDevices!Y155:AC1152,2,FALSE),"")</f>
        <v/>
      </c>
      <c r="B127">
        <v>125</v>
      </c>
      <c r="C127" t="str">
        <f ca="1">IFERROR(VLOOKUP(D127,StorageDevices!AT155:BC1152,2,FALSE),"")</f>
        <v/>
      </c>
      <c r="D127">
        <v>125</v>
      </c>
      <c r="E127" t="str">
        <f ca="1">IFERROR(VLOOKUP(D127,StorageDevices!BO155:BX1143,2,FALSE),"")</f>
        <v/>
      </c>
      <c r="F127">
        <v>125</v>
      </c>
      <c r="G127" t="str">
        <f ca="1">IFERROR(VLOOKUP(F127,StorageDevices!CJ155:CS1143,2,FALSE),"")</f>
        <v/>
      </c>
      <c r="H127">
        <v>125</v>
      </c>
    </row>
    <row r="128" spans="1:8">
      <c r="A128" t="str">
        <f ca="1">IFERROR(VLOOKUP(B128,StorageDevices!Y156:AC1153,2,FALSE),"")</f>
        <v/>
      </c>
      <c r="B128">
        <v>126</v>
      </c>
      <c r="C128" t="str">
        <f ca="1">IFERROR(VLOOKUP(D128,StorageDevices!AT156:BC1153,2,FALSE),"")</f>
        <v/>
      </c>
      <c r="D128">
        <v>126</v>
      </c>
      <c r="E128" t="str">
        <f ca="1">IFERROR(VLOOKUP(D128,StorageDevices!BO156:BX1144,2,FALSE),"")</f>
        <v/>
      </c>
      <c r="F128">
        <v>126</v>
      </c>
      <c r="G128" t="str">
        <f ca="1">IFERROR(VLOOKUP(F128,StorageDevices!CJ156:CS1144,2,FALSE),"")</f>
        <v/>
      </c>
      <c r="H128">
        <v>126</v>
      </c>
    </row>
    <row r="129" spans="1:8">
      <c r="A129" t="str">
        <f ca="1">IFERROR(VLOOKUP(B129,StorageDevices!Y157:AC1154,2,FALSE),"")</f>
        <v/>
      </c>
      <c r="B129">
        <v>127</v>
      </c>
      <c r="C129" t="str">
        <f ca="1">IFERROR(VLOOKUP(D129,StorageDevices!AT157:BC1154,2,FALSE),"")</f>
        <v/>
      </c>
      <c r="D129">
        <v>127</v>
      </c>
      <c r="E129" t="str">
        <f ca="1">IFERROR(VLOOKUP(D129,StorageDevices!BO157:BX1145,2,FALSE),"")</f>
        <v/>
      </c>
      <c r="F129">
        <v>127</v>
      </c>
      <c r="G129" t="str">
        <f ca="1">IFERROR(VLOOKUP(F129,StorageDevices!CJ157:CS1145,2,FALSE),"")</f>
        <v/>
      </c>
      <c r="H129">
        <v>127</v>
      </c>
    </row>
    <row r="130" spans="1:8">
      <c r="A130" t="str">
        <f ca="1">IFERROR(VLOOKUP(B130,StorageDevices!Y158:AC1155,2,FALSE),"")</f>
        <v/>
      </c>
      <c r="B130">
        <v>128</v>
      </c>
      <c r="C130" t="str">
        <f ca="1">IFERROR(VLOOKUP(D130,StorageDevices!AT158:BC1155,2,FALSE),"")</f>
        <v/>
      </c>
      <c r="D130">
        <v>128</v>
      </c>
      <c r="E130" t="str">
        <f ca="1">IFERROR(VLOOKUP(D130,StorageDevices!BO158:BX1146,2,FALSE),"")</f>
        <v/>
      </c>
      <c r="F130">
        <v>128</v>
      </c>
      <c r="G130" t="str">
        <f ca="1">IFERROR(VLOOKUP(F130,StorageDevices!CJ158:CS1146,2,FALSE),"")</f>
        <v/>
      </c>
      <c r="H130">
        <v>128</v>
      </c>
    </row>
    <row r="131" spans="1:8">
      <c r="A131" t="str">
        <f ca="1">IFERROR(VLOOKUP(B131,StorageDevices!Y159:AC1156,2,FALSE),"")</f>
        <v/>
      </c>
      <c r="B131">
        <v>129</v>
      </c>
      <c r="C131" t="str">
        <f ca="1">IFERROR(VLOOKUP(D131,StorageDevices!AT159:BC1156,2,FALSE),"")</f>
        <v/>
      </c>
      <c r="D131">
        <v>129</v>
      </c>
      <c r="E131" t="str">
        <f ca="1">IFERROR(VLOOKUP(D131,StorageDevices!BO159:BX1147,2,FALSE),"")</f>
        <v/>
      </c>
      <c r="F131">
        <v>129</v>
      </c>
      <c r="G131" t="str">
        <f ca="1">IFERROR(VLOOKUP(F131,StorageDevices!CJ159:CS1147,2,FALSE),"")</f>
        <v/>
      </c>
      <c r="H131">
        <v>129</v>
      </c>
    </row>
    <row r="132" spans="1:8">
      <c r="A132" t="str">
        <f ca="1">IFERROR(VLOOKUP(B132,StorageDevices!Y160:AC1157,2,FALSE),"")</f>
        <v/>
      </c>
      <c r="B132">
        <v>130</v>
      </c>
      <c r="C132" t="str">
        <f ca="1">IFERROR(VLOOKUP(D132,StorageDevices!AT160:BC1157,2,FALSE),"")</f>
        <v/>
      </c>
      <c r="D132">
        <v>130</v>
      </c>
      <c r="E132" t="str">
        <f ca="1">IFERROR(VLOOKUP(D132,StorageDevices!BO160:BX1148,2,FALSE),"")</f>
        <v/>
      </c>
      <c r="F132">
        <v>130</v>
      </c>
      <c r="G132" t="str">
        <f ca="1">IFERROR(VLOOKUP(F132,StorageDevices!CJ160:CS1148,2,FALSE),"")</f>
        <v/>
      </c>
      <c r="H132">
        <v>130</v>
      </c>
    </row>
    <row r="133" spans="1:8">
      <c r="A133" t="str">
        <f ca="1">IFERROR(VLOOKUP(B133,StorageDevices!Y161:AC1158,2,FALSE),"")</f>
        <v/>
      </c>
      <c r="B133">
        <v>131</v>
      </c>
      <c r="C133" t="str">
        <f ca="1">IFERROR(VLOOKUP(D133,StorageDevices!AT161:BC1158,2,FALSE),"")</f>
        <v/>
      </c>
      <c r="D133">
        <v>131</v>
      </c>
      <c r="E133" t="str">
        <f ca="1">IFERROR(VLOOKUP(D133,StorageDevices!BO161:BX1149,2,FALSE),"")</f>
        <v/>
      </c>
      <c r="F133">
        <v>131</v>
      </c>
      <c r="G133" t="str">
        <f ca="1">IFERROR(VLOOKUP(F133,StorageDevices!CJ161:CS1149,2,FALSE),"")</f>
        <v/>
      </c>
      <c r="H133">
        <v>131</v>
      </c>
    </row>
    <row r="134" spans="1:8">
      <c r="A134" t="str">
        <f ca="1">IFERROR(VLOOKUP(B134,StorageDevices!Y162:AC1159,2,FALSE),"")</f>
        <v/>
      </c>
      <c r="B134">
        <v>132</v>
      </c>
      <c r="C134" t="str">
        <f ca="1">IFERROR(VLOOKUP(D134,StorageDevices!AT162:BC1159,2,FALSE),"")</f>
        <v/>
      </c>
      <c r="D134">
        <v>132</v>
      </c>
      <c r="E134" t="str">
        <f ca="1">IFERROR(VLOOKUP(D134,StorageDevices!BO162:BX1150,2,FALSE),"")</f>
        <v/>
      </c>
      <c r="F134">
        <v>132</v>
      </c>
      <c r="G134" t="str">
        <f ca="1">IFERROR(VLOOKUP(F134,StorageDevices!CJ162:CS1150,2,FALSE),"")</f>
        <v/>
      </c>
      <c r="H134">
        <v>132</v>
      </c>
    </row>
    <row r="135" spans="1:8">
      <c r="A135" t="str">
        <f ca="1">IFERROR(VLOOKUP(B135,StorageDevices!Y163:AC1160,2,FALSE),"")</f>
        <v/>
      </c>
      <c r="B135">
        <v>133</v>
      </c>
      <c r="C135" t="str">
        <f ca="1">IFERROR(VLOOKUP(D135,StorageDevices!AT163:BC1160,2,FALSE),"")</f>
        <v/>
      </c>
      <c r="D135">
        <v>133</v>
      </c>
      <c r="E135" t="str">
        <f ca="1">IFERROR(VLOOKUP(D135,StorageDevices!BO163:BX1151,2,FALSE),"")</f>
        <v/>
      </c>
      <c r="F135">
        <v>133</v>
      </c>
      <c r="G135" t="str">
        <f ca="1">IFERROR(VLOOKUP(F135,StorageDevices!CJ163:CS1151,2,FALSE),"")</f>
        <v/>
      </c>
      <c r="H135">
        <v>133</v>
      </c>
    </row>
    <row r="136" spans="1:8">
      <c r="A136" t="str">
        <f ca="1">IFERROR(VLOOKUP(B136,StorageDevices!Y164:AC1161,2,FALSE),"")</f>
        <v/>
      </c>
      <c r="B136">
        <v>134</v>
      </c>
      <c r="C136" t="str">
        <f ca="1">IFERROR(VLOOKUP(D136,StorageDevices!AT164:BC1161,2,FALSE),"")</f>
        <v/>
      </c>
      <c r="D136">
        <v>134</v>
      </c>
      <c r="E136" t="str">
        <f ca="1">IFERROR(VLOOKUP(D136,StorageDevices!BO164:BX1152,2,FALSE),"")</f>
        <v/>
      </c>
      <c r="F136">
        <v>134</v>
      </c>
      <c r="G136" t="str">
        <f ca="1">IFERROR(VLOOKUP(F136,StorageDevices!CJ164:CS1152,2,FALSE),"")</f>
        <v/>
      </c>
      <c r="H136">
        <v>134</v>
      </c>
    </row>
    <row r="137" spans="1:8">
      <c r="A137" t="str">
        <f ca="1">IFERROR(VLOOKUP(B137,StorageDevices!Y165:AC1162,2,FALSE),"")</f>
        <v/>
      </c>
      <c r="B137">
        <v>135</v>
      </c>
      <c r="C137" t="str">
        <f ca="1">IFERROR(VLOOKUP(D137,StorageDevices!AT165:BC1162,2,FALSE),"")</f>
        <v/>
      </c>
      <c r="D137">
        <v>135</v>
      </c>
      <c r="E137" t="str">
        <f ca="1">IFERROR(VLOOKUP(D137,StorageDevices!BO165:BX1153,2,FALSE),"")</f>
        <v/>
      </c>
      <c r="F137">
        <v>135</v>
      </c>
      <c r="G137" t="str">
        <f ca="1">IFERROR(VLOOKUP(F137,StorageDevices!CJ165:CS1153,2,FALSE),"")</f>
        <v/>
      </c>
      <c r="H137">
        <v>135</v>
      </c>
    </row>
    <row r="138" spans="1:8">
      <c r="A138" t="str">
        <f ca="1">IFERROR(VLOOKUP(B138,StorageDevices!Y166:AC1163,2,FALSE),"")</f>
        <v/>
      </c>
      <c r="B138">
        <v>136</v>
      </c>
      <c r="C138" t="str">
        <f ca="1">IFERROR(VLOOKUP(D138,StorageDevices!AT166:BC1163,2,FALSE),"")</f>
        <v/>
      </c>
      <c r="D138">
        <v>136</v>
      </c>
      <c r="E138" t="str">
        <f ca="1">IFERROR(VLOOKUP(D138,StorageDevices!BO166:BX1154,2,FALSE),"")</f>
        <v/>
      </c>
      <c r="F138">
        <v>136</v>
      </c>
      <c r="G138" t="str">
        <f ca="1">IFERROR(VLOOKUP(F138,StorageDevices!CJ166:CS1154,2,FALSE),"")</f>
        <v/>
      </c>
      <c r="H138">
        <v>136</v>
      </c>
    </row>
    <row r="139" spans="1:8">
      <c r="A139" t="str">
        <f ca="1">IFERROR(VLOOKUP(B139,StorageDevices!Y167:AC1164,2,FALSE),"")</f>
        <v/>
      </c>
      <c r="B139">
        <v>137</v>
      </c>
      <c r="C139" t="str">
        <f ca="1">IFERROR(VLOOKUP(D139,StorageDevices!AT167:BC1164,2,FALSE),"")</f>
        <v/>
      </c>
      <c r="D139">
        <v>137</v>
      </c>
      <c r="E139" t="str">
        <f ca="1">IFERROR(VLOOKUP(D139,StorageDevices!BO167:BX1155,2,FALSE),"")</f>
        <v/>
      </c>
      <c r="F139">
        <v>137</v>
      </c>
      <c r="G139" t="str">
        <f ca="1">IFERROR(VLOOKUP(F139,StorageDevices!CJ167:CS1155,2,FALSE),"")</f>
        <v/>
      </c>
      <c r="H139">
        <v>137</v>
      </c>
    </row>
    <row r="140" spans="1:8">
      <c r="A140" t="str">
        <f ca="1">IFERROR(VLOOKUP(B140,StorageDevices!Y168:AC1165,2,FALSE),"")</f>
        <v/>
      </c>
      <c r="B140">
        <v>138</v>
      </c>
      <c r="C140" t="str">
        <f ca="1">IFERROR(VLOOKUP(D140,StorageDevices!AT168:BC1165,2,FALSE),"")</f>
        <v/>
      </c>
      <c r="D140">
        <v>138</v>
      </c>
      <c r="E140" t="str">
        <f ca="1">IFERROR(VLOOKUP(D140,StorageDevices!BO168:BX1156,2,FALSE),"")</f>
        <v/>
      </c>
      <c r="F140">
        <v>138</v>
      </c>
      <c r="G140" t="str">
        <f ca="1">IFERROR(VLOOKUP(F140,StorageDevices!CJ168:CS1156,2,FALSE),"")</f>
        <v/>
      </c>
      <c r="H140">
        <v>138</v>
      </c>
    </row>
    <row r="141" spans="1:8">
      <c r="A141" t="str">
        <f ca="1">IFERROR(VLOOKUP(B141,StorageDevices!Y169:AC1166,2,FALSE),"")</f>
        <v/>
      </c>
      <c r="B141">
        <v>139</v>
      </c>
      <c r="C141" t="str">
        <f ca="1">IFERROR(VLOOKUP(D141,StorageDevices!AT169:BC1166,2,FALSE),"")</f>
        <v/>
      </c>
      <c r="D141">
        <v>139</v>
      </c>
      <c r="E141" t="str">
        <f ca="1">IFERROR(VLOOKUP(D141,StorageDevices!BO169:BX1157,2,FALSE),"")</f>
        <v/>
      </c>
      <c r="F141">
        <v>139</v>
      </c>
      <c r="G141" t="str">
        <f ca="1">IFERROR(VLOOKUP(F141,StorageDevices!CJ169:CS1157,2,FALSE),"")</f>
        <v/>
      </c>
      <c r="H141">
        <v>139</v>
      </c>
    </row>
    <row r="142" spans="1:8">
      <c r="A142" t="str">
        <f ca="1">IFERROR(VLOOKUP(B142,StorageDevices!Y170:AC1167,2,FALSE),"")</f>
        <v/>
      </c>
      <c r="B142">
        <v>140</v>
      </c>
      <c r="C142" t="str">
        <f ca="1">IFERROR(VLOOKUP(D142,StorageDevices!AT170:BC1167,2,FALSE),"")</f>
        <v/>
      </c>
      <c r="D142">
        <v>140</v>
      </c>
      <c r="E142" t="str">
        <f ca="1">IFERROR(VLOOKUP(D142,StorageDevices!BO170:BX1158,2,FALSE),"")</f>
        <v/>
      </c>
      <c r="F142">
        <v>140</v>
      </c>
      <c r="G142" t="str">
        <f ca="1">IFERROR(VLOOKUP(F142,StorageDevices!CJ170:CS1158,2,FALSE),"")</f>
        <v/>
      </c>
      <c r="H142">
        <v>140</v>
      </c>
    </row>
    <row r="143" spans="1:8">
      <c r="A143" t="str">
        <f ca="1">IFERROR(VLOOKUP(B143,StorageDevices!Y171:AC1168,2,FALSE),"")</f>
        <v/>
      </c>
      <c r="B143">
        <v>141</v>
      </c>
      <c r="C143" t="str">
        <f ca="1">IFERROR(VLOOKUP(D143,StorageDevices!AT171:BC1168,2,FALSE),"")</f>
        <v/>
      </c>
      <c r="D143">
        <v>141</v>
      </c>
      <c r="E143" t="str">
        <f ca="1">IFERROR(VLOOKUP(D143,StorageDevices!BO171:BX1159,2,FALSE),"")</f>
        <v/>
      </c>
      <c r="F143">
        <v>141</v>
      </c>
      <c r="G143" t="str">
        <f ca="1">IFERROR(VLOOKUP(F143,StorageDevices!CJ171:CS1159,2,FALSE),"")</f>
        <v/>
      </c>
      <c r="H143">
        <v>141</v>
      </c>
    </row>
    <row r="144" spans="1:8">
      <c r="A144" t="str">
        <f ca="1">IFERROR(VLOOKUP(B144,StorageDevices!Y172:AC1169,2,FALSE),"")</f>
        <v/>
      </c>
      <c r="B144">
        <v>142</v>
      </c>
      <c r="C144" t="str">
        <f ca="1">IFERROR(VLOOKUP(D144,StorageDevices!AT172:BC1169,2,FALSE),"")</f>
        <v/>
      </c>
      <c r="D144">
        <v>142</v>
      </c>
      <c r="E144" t="str">
        <f ca="1">IFERROR(VLOOKUP(D144,StorageDevices!BO172:BX1160,2,FALSE),"")</f>
        <v/>
      </c>
      <c r="F144">
        <v>142</v>
      </c>
      <c r="G144" t="str">
        <f ca="1">IFERROR(VLOOKUP(F144,StorageDevices!CJ172:CS1160,2,FALSE),"")</f>
        <v/>
      </c>
      <c r="H144">
        <v>142</v>
      </c>
    </row>
    <row r="145" spans="1:8">
      <c r="A145" t="str">
        <f ca="1">IFERROR(VLOOKUP(B145,StorageDevices!Y173:AC1170,2,FALSE),"")</f>
        <v/>
      </c>
      <c r="B145">
        <v>143</v>
      </c>
      <c r="C145" t="str">
        <f ca="1">IFERROR(VLOOKUP(D145,StorageDevices!AT173:BC1170,2,FALSE),"")</f>
        <v/>
      </c>
      <c r="D145">
        <v>143</v>
      </c>
      <c r="E145" t="str">
        <f ca="1">IFERROR(VLOOKUP(D145,StorageDevices!BO173:BX1161,2,FALSE),"")</f>
        <v/>
      </c>
      <c r="F145">
        <v>143</v>
      </c>
      <c r="G145" t="str">
        <f ca="1">IFERROR(VLOOKUP(F145,StorageDevices!CJ173:CS1161,2,FALSE),"")</f>
        <v/>
      </c>
      <c r="H145">
        <v>143</v>
      </c>
    </row>
    <row r="146" spans="1:8">
      <c r="A146" t="str">
        <f ca="1">IFERROR(VLOOKUP(B146,StorageDevices!Y174:AC1171,2,FALSE),"")</f>
        <v/>
      </c>
      <c r="B146">
        <v>144</v>
      </c>
      <c r="C146" t="str">
        <f ca="1">IFERROR(VLOOKUP(D146,StorageDevices!AT174:BC1171,2,FALSE),"")</f>
        <v/>
      </c>
      <c r="D146">
        <v>144</v>
      </c>
      <c r="E146" t="str">
        <f ca="1">IFERROR(VLOOKUP(D146,StorageDevices!BO174:BX1162,2,FALSE),"")</f>
        <v/>
      </c>
      <c r="F146">
        <v>144</v>
      </c>
      <c r="G146" t="str">
        <f ca="1">IFERROR(VLOOKUP(F146,StorageDevices!CJ174:CS1162,2,FALSE),"")</f>
        <v/>
      </c>
      <c r="H146">
        <v>144</v>
      </c>
    </row>
    <row r="147" spans="1:8">
      <c r="A147" t="str">
        <f ca="1">IFERROR(VLOOKUP(B147,StorageDevices!Y175:AC1172,2,FALSE),"")</f>
        <v/>
      </c>
      <c r="B147">
        <v>145</v>
      </c>
      <c r="C147" t="str">
        <f ca="1">IFERROR(VLOOKUP(D147,StorageDevices!AT175:BC1172,2,FALSE),"")</f>
        <v/>
      </c>
      <c r="D147">
        <v>145</v>
      </c>
      <c r="E147" t="str">
        <f ca="1">IFERROR(VLOOKUP(D147,StorageDevices!BO175:BX1163,2,FALSE),"")</f>
        <v/>
      </c>
      <c r="F147">
        <v>145</v>
      </c>
      <c r="G147" t="str">
        <f ca="1">IFERROR(VLOOKUP(F147,StorageDevices!CJ175:CS1163,2,FALSE),"")</f>
        <v/>
      </c>
      <c r="H147">
        <v>145</v>
      </c>
    </row>
    <row r="148" spans="1:8">
      <c r="A148" t="str">
        <f ca="1">IFERROR(VLOOKUP(B148,StorageDevices!Y176:AC1173,2,FALSE),"")</f>
        <v/>
      </c>
      <c r="B148">
        <v>146</v>
      </c>
      <c r="C148" t="str">
        <f ca="1">IFERROR(VLOOKUP(D148,StorageDevices!AT176:BC1173,2,FALSE),"")</f>
        <v/>
      </c>
      <c r="D148">
        <v>146</v>
      </c>
      <c r="E148" t="str">
        <f ca="1">IFERROR(VLOOKUP(D148,StorageDevices!BO176:BX1164,2,FALSE),"")</f>
        <v/>
      </c>
      <c r="F148">
        <v>146</v>
      </c>
      <c r="G148" t="str">
        <f ca="1">IFERROR(VLOOKUP(F148,StorageDevices!CJ176:CS1164,2,FALSE),"")</f>
        <v/>
      </c>
      <c r="H148">
        <v>146</v>
      </c>
    </row>
    <row r="149" spans="1:8">
      <c r="A149" t="str">
        <f ca="1">IFERROR(VLOOKUP(B149,StorageDevices!Y177:AC1174,2,FALSE),"")</f>
        <v/>
      </c>
      <c r="B149">
        <v>147</v>
      </c>
      <c r="C149" t="str">
        <f ca="1">IFERROR(VLOOKUP(D149,StorageDevices!AT177:BC1174,2,FALSE),"")</f>
        <v/>
      </c>
      <c r="D149">
        <v>147</v>
      </c>
      <c r="E149" t="str">
        <f ca="1">IFERROR(VLOOKUP(D149,StorageDevices!BO177:BX1165,2,FALSE),"")</f>
        <v/>
      </c>
      <c r="F149">
        <v>147</v>
      </c>
      <c r="G149" t="str">
        <f ca="1">IFERROR(VLOOKUP(F149,StorageDevices!CJ177:CS1165,2,FALSE),"")</f>
        <v/>
      </c>
      <c r="H149">
        <v>147</v>
      </c>
    </row>
    <row r="150" spans="1:8">
      <c r="A150" t="str">
        <f ca="1">IFERROR(VLOOKUP(B150,StorageDevices!Y178:AC1175,2,FALSE),"")</f>
        <v/>
      </c>
      <c r="B150">
        <v>148</v>
      </c>
      <c r="C150" t="str">
        <f ca="1">IFERROR(VLOOKUP(D150,StorageDevices!AT178:BC1175,2,FALSE),"")</f>
        <v/>
      </c>
      <c r="D150">
        <v>148</v>
      </c>
      <c r="E150" t="str">
        <f ca="1">IFERROR(VLOOKUP(D150,StorageDevices!BO178:BX1166,2,FALSE),"")</f>
        <v/>
      </c>
      <c r="F150">
        <v>148</v>
      </c>
      <c r="G150" t="str">
        <f ca="1">IFERROR(VLOOKUP(F150,StorageDevices!CJ178:CS1166,2,FALSE),"")</f>
        <v/>
      </c>
      <c r="H150">
        <v>148</v>
      </c>
    </row>
    <row r="151" spans="1:8">
      <c r="A151" t="str">
        <f ca="1">IFERROR(VLOOKUP(B151,StorageDevices!Y179:AC1176,2,FALSE),"")</f>
        <v/>
      </c>
      <c r="B151">
        <v>149</v>
      </c>
      <c r="C151" t="str">
        <f ca="1">IFERROR(VLOOKUP(D151,StorageDevices!AT179:BC1176,2,FALSE),"")</f>
        <v/>
      </c>
      <c r="D151">
        <v>149</v>
      </c>
      <c r="E151" t="str">
        <f ca="1">IFERROR(VLOOKUP(D151,StorageDevices!BO179:BX1167,2,FALSE),"")</f>
        <v/>
      </c>
      <c r="F151">
        <v>149</v>
      </c>
      <c r="G151" t="str">
        <f ca="1">IFERROR(VLOOKUP(F151,StorageDevices!CJ179:CS1167,2,FALSE),"")</f>
        <v/>
      </c>
      <c r="H151">
        <v>149</v>
      </c>
    </row>
    <row r="152" spans="1:8">
      <c r="A152" t="str">
        <f ca="1">IFERROR(VLOOKUP(B152,StorageDevices!Y180:AC1177,2,FALSE),"")</f>
        <v/>
      </c>
      <c r="B152">
        <v>150</v>
      </c>
      <c r="C152" t="str">
        <f ca="1">IFERROR(VLOOKUP(D152,StorageDevices!AT180:BC1177,2,FALSE),"")</f>
        <v/>
      </c>
      <c r="D152">
        <v>150</v>
      </c>
      <c r="E152" t="str">
        <f ca="1">IFERROR(VLOOKUP(D152,StorageDevices!BO180:BX1168,2,FALSE),"")</f>
        <v/>
      </c>
      <c r="F152">
        <v>150</v>
      </c>
      <c r="G152" t="str">
        <f ca="1">IFERROR(VLOOKUP(F152,StorageDevices!CJ180:CS1168,2,FALSE),"")</f>
        <v/>
      </c>
      <c r="H152">
        <v>150</v>
      </c>
    </row>
    <row r="153" spans="1:8">
      <c r="A153" t="str">
        <f ca="1">IFERROR(VLOOKUP(B153,StorageDevices!Y181:AC1178,2,FALSE),"")</f>
        <v/>
      </c>
      <c r="B153">
        <v>151</v>
      </c>
      <c r="C153" t="str">
        <f ca="1">IFERROR(VLOOKUP(D153,StorageDevices!AT181:BC1178,2,FALSE),"")</f>
        <v/>
      </c>
      <c r="D153">
        <v>151</v>
      </c>
      <c r="E153" t="str">
        <f ca="1">IFERROR(VLOOKUP(D153,StorageDevices!BO181:BX1169,2,FALSE),"")</f>
        <v/>
      </c>
      <c r="F153">
        <v>151</v>
      </c>
      <c r="G153" t="str">
        <f ca="1">IFERROR(VLOOKUP(F153,StorageDevices!CJ181:CS1169,2,FALSE),"")</f>
        <v/>
      </c>
      <c r="H153">
        <v>151</v>
      </c>
    </row>
    <row r="154" spans="1:8">
      <c r="A154" t="str">
        <f ca="1">IFERROR(VLOOKUP(B154,StorageDevices!Y182:AC1179,2,FALSE),"")</f>
        <v/>
      </c>
      <c r="B154">
        <v>152</v>
      </c>
      <c r="C154" t="str">
        <f ca="1">IFERROR(VLOOKUP(D154,StorageDevices!AT182:BC1179,2,FALSE),"")</f>
        <v/>
      </c>
      <c r="D154">
        <v>152</v>
      </c>
      <c r="E154" t="str">
        <f ca="1">IFERROR(VLOOKUP(D154,StorageDevices!BO182:BX1170,2,FALSE),"")</f>
        <v/>
      </c>
      <c r="F154">
        <v>152</v>
      </c>
      <c r="G154" t="str">
        <f ca="1">IFERROR(VLOOKUP(F154,StorageDevices!CJ182:CS1170,2,FALSE),"")</f>
        <v/>
      </c>
      <c r="H154">
        <v>152</v>
      </c>
    </row>
    <row r="155" spans="1:8">
      <c r="A155" t="str">
        <f ca="1">IFERROR(VLOOKUP(B155,StorageDevices!Y183:AC1180,2,FALSE),"")</f>
        <v/>
      </c>
      <c r="B155">
        <v>153</v>
      </c>
      <c r="C155" t="str">
        <f ca="1">IFERROR(VLOOKUP(D155,StorageDevices!AT183:BC1180,2,FALSE),"")</f>
        <v/>
      </c>
      <c r="D155">
        <v>153</v>
      </c>
      <c r="E155" t="str">
        <f ca="1">IFERROR(VLOOKUP(D155,StorageDevices!BO183:BX1171,2,FALSE),"")</f>
        <v/>
      </c>
      <c r="F155">
        <v>153</v>
      </c>
      <c r="G155" t="str">
        <f ca="1">IFERROR(VLOOKUP(F155,StorageDevices!CJ183:CS1171,2,FALSE),"")</f>
        <v/>
      </c>
      <c r="H155">
        <v>153</v>
      </c>
    </row>
    <row r="156" spans="1:8">
      <c r="A156" t="str">
        <f ca="1">IFERROR(VLOOKUP(B156,StorageDevices!Y184:AC1181,2,FALSE),"")</f>
        <v/>
      </c>
      <c r="B156">
        <v>154</v>
      </c>
      <c r="C156" t="str">
        <f ca="1">IFERROR(VLOOKUP(D156,StorageDevices!AT184:BC1181,2,FALSE),"")</f>
        <v/>
      </c>
      <c r="D156">
        <v>154</v>
      </c>
      <c r="E156" t="str">
        <f ca="1">IFERROR(VLOOKUP(D156,StorageDevices!BO184:BX1172,2,FALSE),"")</f>
        <v/>
      </c>
      <c r="F156">
        <v>154</v>
      </c>
      <c r="G156" t="str">
        <f ca="1">IFERROR(VLOOKUP(F156,StorageDevices!CJ184:CS1172,2,FALSE),"")</f>
        <v/>
      </c>
      <c r="H156">
        <v>154</v>
      </c>
    </row>
    <row r="157" spans="1:8">
      <c r="A157" t="str">
        <f ca="1">IFERROR(VLOOKUP(B157,StorageDevices!Y185:AC1182,2,FALSE),"")</f>
        <v/>
      </c>
      <c r="B157">
        <v>155</v>
      </c>
      <c r="C157" t="str">
        <f ca="1">IFERROR(VLOOKUP(D157,StorageDevices!AT185:BC1182,2,FALSE),"")</f>
        <v/>
      </c>
      <c r="D157">
        <v>155</v>
      </c>
      <c r="E157" t="str">
        <f ca="1">IFERROR(VLOOKUP(D157,StorageDevices!BO185:BX1173,2,FALSE),"")</f>
        <v/>
      </c>
      <c r="F157">
        <v>155</v>
      </c>
      <c r="G157" t="str">
        <f ca="1">IFERROR(VLOOKUP(F157,StorageDevices!CJ185:CS1173,2,FALSE),"")</f>
        <v/>
      </c>
      <c r="H157">
        <v>155</v>
      </c>
    </row>
    <row r="158" spans="1:8">
      <c r="A158" t="str">
        <f ca="1">IFERROR(VLOOKUP(B158,StorageDevices!Y186:AC1183,2,FALSE),"")</f>
        <v/>
      </c>
      <c r="B158">
        <v>156</v>
      </c>
      <c r="C158" t="str">
        <f ca="1">IFERROR(VLOOKUP(D158,StorageDevices!AT186:BC1183,2,FALSE),"")</f>
        <v/>
      </c>
      <c r="D158">
        <v>156</v>
      </c>
      <c r="E158" t="str">
        <f ca="1">IFERROR(VLOOKUP(D158,StorageDevices!BO186:BX1174,2,FALSE),"")</f>
        <v/>
      </c>
      <c r="F158">
        <v>156</v>
      </c>
      <c r="G158" t="str">
        <f ca="1">IFERROR(VLOOKUP(F158,StorageDevices!CJ186:CS1174,2,FALSE),"")</f>
        <v/>
      </c>
      <c r="H158">
        <v>156</v>
      </c>
    </row>
    <row r="159" spans="1:8">
      <c r="A159" t="str">
        <f ca="1">IFERROR(VLOOKUP(B159,StorageDevices!Y187:AC1184,2,FALSE),"")</f>
        <v/>
      </c>
      <c r="B159">
        <v>157</v>
      </c>
      <c r="C159" t="str">
        <f ca="1">IFERROR(VLOOKUP(D159,StorageDevices!AT187:BC1184,2,FALSE),"")</f>
        <v/>
      </c>
      <c r="D159">
        <v>157</v>
      </c>
      <c r="E159" t="str">
        <f ca="1">IFERROR(VLOOKUP(D159,StorageDevices!BO187:BX1175,2,FALSE),"")</f>
        <v/>
      </c>
      <c r="F159">
        <v>157</v>
      </c>
      <c r="G159" t="str">
        <f ca="1">IFERROR(VLOOKUP(F159,StorageDevices!CJ187:CS1175,2,FALSE),"")</f>
        <v/>
      </c>
      <c r="H159">
        <v>157</v>
      </c>
    </row>
    <row r="160" spans="1:8">
      <c r="A160" t="str">
        <f ca="1">IFERROR(VLOOKUP(B160,StorageDevices!Y188:AC1185,2,FALSE),"")</f>
        <v/>
      </c>
      <c r="B160">
        <v>158</v>
      </c>
      <c r="C160" t="str">
        <f ca="1">IFERROR(VLOOKUP(D160,StorageDevices!AT188:BC1185,2,FALSE),"")</f>
        <v/>
      </c>
      <c r="D160">
        <v>158</v>
      </c>
      <c r="E160" t="str">
        <f ca="1">IFERROR(VLOOKUP(D160,StorageDevices!BO188:BX1176,2,FALSE),"")</f>
        <v/>
      </c>
      <c r="F160">
        <v>158</v>
      </c>
      <c r="G160" t="str">
        <f ca="1">IFERROR(VLOOKUP(F160,StorageDevices!CJ188:CS1176,2,FALSE),"")</f>
        <v/>
      </c>
      <c r="H160">
        <v>158</v>
      </c>
    </row>
    <row r="161" spans="1:8">
      <c r="A161" t="str">
        <f ca="1">IFERROR(VLOOKUP(B161,StorageDevices!Y189:AC1186,2,FALSE),"")</f>
        <v/>
      </c>
      <c r="B161">
        <v>159</v>
      </c>
      <c r="C161" t="str">
        <f ca="1">IFERROR(VLOOKUP(D161,StorageDevices!AT189:BC1186,2,FALSE),"")</f>
        <v/>
      </c>
      <c r="D161">
        <v>159</v>
      </c>
      <c r="E161" t="str">
        <f ca="1">IFERROR(VLOOKUP(D161,StorageDevices!BO189:BX1177,2,FALSE),"")</f>
        <v/>
      </c>
      <c r="F161">
        <v>159</v>
      </c>
      <c r="G161" t="str">
        <f ca="1">IFERROR(VLOOKUP(F161,StorageDevices!CJ189:CS1177,2,FALSE),"")</f>
        <v/>
      </c>
      <c r="H161">
        <v>159</v>
      </c>
    </row>
    <row r="162" spans="1:8">
      <c r="A162" t="str">
        <f ca="1">IFERROR(VLOOKUP(B162,StorageDevices!Y190:AC1187,2,FALSE),"")</f>
        <v/>
      </c>
      <c r="B162">
        <v>160</v>
      </c>
      <c r="C162" t="str">
        <f ca="1">IFERROR(VLOOKUP(D162,StorageDevices!AT190:BC1187,2,FALSE),"")</f>
        <v/>
      </c>
      <c r="D162">
        <v>160</v>
      </c>
      <c r="E162" t="str">
        <f ca="1">IFERROR(VLOOKUP(D162,StorageDevices!BO190:BX1178,2,FALSE),"")</f>
        <v/>
      </c>
      <c r="F162">
        <v>160</v>
      </c>
      <c r="G162" t="str">
        <f ca="1">IFERROR(VLOOKUP(F162,StorageDevices!CJ190:CS1178,2,FALSE),"")</f>
        <v/>
      </c>
      <c r="H162">
        <v>160</v>
      </c>
    </row>
    <row r="163" spans="1:8">
      <c r="A163" t="str">
        <f ca="1">IFERROR(VLOOKUP(B163,StorageDevices!Y191:AC1188,2,FALSE),"")</f>
        <v/>
      </c>
      <c r="B163">
        <v>161</v>
      </c>
      <c r="C163" t="str">
        <f ca="1">IFERROR(VLOOKUP(D163,StorageDevices!AT191:BC1188,2,FALSE),"")</f>
        <v/>
      </c>
      <c r="D163">
        <v>161</v>
      </c>
      <c r="E163" t="str">
        <f ca="1">IFERROR(VLOOKUP(D163,StorageDevices!BO191:BX1179,2,FALSE),"")</f>
        <v/>
      </c>
      <c r="F163">
        <v>161</v>
      </c>
      <c r="G163" t="str">
        <f ca="1">IFERROR(VLOOKUP(F163,StorageDevices!CJ191:CS1179,2,FALSE),"")</f>
        <v/>
      </c>
      <c r="H163">
        <v>161</v>
      </c>
    </row>
    <row r="164" spans="1:8">
      <c r="A164" t="str">
        <f ca="1">IFERROR(VLOOKUP(B164,StorageDevices!Y192:AC1189,2,FALSE),"")</f>
        <v/>
      </c>
      <c r="B164">
        <v>162</v>
      </c>
      <c r="C164" t="str">
        <f ca="1">IFERROR(VLOOKUP(D164,StorageDevices!AT192:BC1189,2,FALSE),"")</f>
        <v/>
      </c>
      <c r="D164">
        <v>162</v>
      </c>
      <c r="E164" t="str">
        <f ca="1">IFERROR(VLOOKUP(D164,StorageDevices!BO192:BX1180,2,FALSE),"")</f>
        <v/>
      </c>
      <c r="F164">
        <v>162</v>
      </c>
      <c r="G164" t="str">
        <f ca="1">IFERROR(VLOOKUP(F164,StorageDevices!CJ192:CS1180,2,FALSE),"")</f>
        <v/>
      </c>
      <c r="H164">
        <v>162</v>
      </c>
    </row>
    <row r="165" spans="1:8">
      <c r="A165" t="str">
        <f ca="1">IFERROR(VLOOKUP(B165,StorageDevices!Y193:AC1190,2,FALSE),"")</f>
        <v/>
      </c>
      <c r="B165">
        <v>163</v>
      </c>
      <c r="C165" t="str">
        <f ca="1">IFERROR(VLOOKUP(D165,StorageDevices!AT193:BC1190,2,FALSE),"")</f>
        <v/>
      </c>
      <c r="D165">
        <v>163</v>
      </c>
      <c r="E165" t="str">
        <f ca="1">IFERROR(VLOOKUP(D165,StorageDevices!BO193:BX1181,2,FALSE),"")</f>
        <v/>
      </c>
      <c r="F165">
        <v>163</v>
      </c>
      <c r="G165" t="str">
        <f ca="1">IFERROR(VLOOKUP(F165,StorageDevices!CJ193:CS1181,2,FALSE),"")</f>
        <v/>
      </c>
      <c r="H165">
        <v>163</v>
      </c>
    </row>
    <row r="166" spans="1:8">
      <c r="A166" t="str">
        <f ca="1">IFERROR(VLOOKUP(B166,StorageDevices!Y194:AC1191,2,FALSE),"")</f>
        <v/>
      </c>
      <c r="B166">
        <v>164</v>
      </c>
      <c r="C166" t="str">
        <f ca="1">IFERROR(VLOOKUP(D166,StorageDevices!AT194:BC1191,2,FALSE),"")</f>
        <v/>
      </c>
      <c r="D166">
        <v>164</v>
      </c>
      <c r="E166" t="str">
        <f ca="1">IFERROR(VLOOKUP(D166,StorageDevices!BO194:BX1182,2,FALSE),"")</f>
        <v/>
      </c>
      <c r="F166">
        <v>164</v>
      </c>
      <c r="G166" t="str">
        <f ca="1">IFERROR(VLOOKUP(F166,StorageDevices!CJ194:CS1182,2,FALSE),"")</f>
        <v/>
      </c>
      <c r="H166">
        <v>164</v>
      </c>
    </row>
    <row r="167" spans="1:8">
      <c r="A167" t="str">
        <f ca="1">IFERROR(VLOOKUP(B167,StorageDevices!Y195:AC1192,2,FALSE),"")</f>
        <v/>
      </c>
      <c r="B167">
        <v>165</v>
      </c>
      <c r="C167" t="str">
        <f ca="1">IFERROR(VLOOKUP(D167,StorageDevices!AT195:BC1192,2,FALSE),"")</f>
        <v/>
      </c>
      <c r="D167">
        <v>165</v>
      </c>
      <c r="E167" t="str">
        <f ca="1">IFERROR(VLOOKUP(D167,StorageDevices!BO195:BX1183,2,FALSE),"")</f>
        <v/>
      </c>
      <c r="F167">
        <v>165</v>
      </c>
      <c r="G167" t="str">
        <f ca="1">IFERROR(VLOOKUP(F167,StorageDevices!CJ195:CS1183,2,FALSE),"")</f>
        <v/>
      </c>
      <c r="H167">
        <v>165</v>
      </c>
    </row>
    <row r="168" spans="1:8">
      <c r="A168" t="str">
        <f ca="1">IFERROR(VLOOKUP(B168,StorageDevices!Y196:AC1193,2,FALSE),"")</f>
        <v/>
      </c>
      <c r="B168">
        <v>166</v>
      </c>
      <c r="C168" t="str">
        <f ca="1">IFERROR(VLOOKUP(D168,StorageDevices!AT196:BC1193,2,FALSE),"")</f>
        <v/>
      </c>
      <c r="D168">
        <v>166</v>
      </c>
      <c r="E168" t="str">
        <f ca="1">IFERROR(VLOOKUP(D168,StorageDevices!BO196:BX1184,2,FALSE),"")</f>
        <v/>
      </c>
      <c r="F168">
        <v>166</v>
      </c>
      <c r="G168" t="str">
        <f ca="1">IFERROR(VLOOKUP(F168,StorageDevices!CJ196:CS1184,2,FALSE),"")</f>
        <v/>
      </c>
      <c r="H168">
        <v>166</v>
      </c>
    </row>
    <row r="169" spans="1:8">
      <c r="A169" t="str">
        <f ca="1">IFERROR(VLOOKUP(B169,StorageDevices!Y197:AC1194,2,FALSE),"")</f>
        <v/>
      </c>
      <c r="B169">
        <v>167</v>
      </c>
      <c r="C169" t="str">
        <f ca="1">IFERROR(VLOOKUP(D169,StorageDevices!AT197:BC1194,2,FALSE),"")</f>
        <v/>
      </c>
      <c r="D169">
        <v>167</v>
      </c>
      <c r="E169" t="str">
        <f ca="1">IFERROR(VLOOKUP(D169,StorageDevices!BO197:BX1185,2,FALSE),"")</f>
        <v/>
      </c>
      <c r="F169">
        <v>167</v>
      </c>
      <c r="G169" t="str">
        <f ca="1">IFERROR(VLOOKUP(F169,StorageDevices!CJ197:CS1185,2,FALSE),"")</f>
        <v/>
      </c>
      <c r="H169">
        <v>167</v>
      </c>
    </row>
    <row r="170" spans="1:8">
      <c r="A170" t="str">
        <f ca="1">IFERROR(VLOOKUP(B170,StorageDevices!Y198:AC1195,2,FALSE),"")</f>
        <v/>
      </c>
      <c r="B170">
        <v>168</v>
      </c>
      <c r="C170" t="str">
        <f ca="1">IFERROR(VLOOKUP(D170,StorageDevices!AT198:BC1195,2,FALSE),"")</f>
        <v/>
      </c>
      <c r="D170">
        <v>168</v>
      </c>
      <c r="E170" t="str">
        <f ca="1">IFERROR(VLOOKUP(D170,StorageDevices!BO198:BX1186,2,FALSE),"")</f>
        <v/>
      </c>
      <c r="F170">
        <v>168</v>
      </c>
      <c r="G170" t="str">
        <f ca="1">IFERROR(VLOOKUP(F170,StorageDevices!CJ198:CS1186,2,FALSE),"")</f>
        <v/>
      </c>
      <c r="H170">
        <v>168</v>
      </c>
    </row>
    <row r="171" spans="1:8">
      <c r="A171" t="str">
        <f ca="1">IFERROR(VLOOKUP(B171,StorageDevices!Y199:AC1196,2,FALSE),"")</f>
        <v/>
      </c>
      <c r="B171">
        <v>169</v>
      </c>
      <c r="C171" t="str">
        <f ca="1">IFERROR(VLOOKUP(D171,StorageDevices!AT199:BC1196,2,FALSE),"")</f>
        <v/>
      </c>
      <c r="D171">
        <v>169</v>
      </c>
      <c r="E171" t="str">
        <f ca="1">IFERROR(VLOOKUP(D171,StorageDevices!BO199:BX1187,2,FALSE),"")</f>
        <v/>
      </c>
      <c r="F171">
        <v>169</v>
      </c>
      <c r="G171" t="str">
        <f ca="1">IFERROR(VLOOKUP(F171,StorageDevices!CJ199:CS1187,2,FALSE),"")</f>
        <v/>
      </c>
      <c r="H171">
        <v>169</v>
      </c>
    </row>
    <row r="172" spans="1:8">
      <c r="A172" t="str">
        <f ca="1">IFERROR(VLOOKUP(B172,StorageDevices!Y200:AC1197,2,FALSE),"")</f>
        <v/>
      </c>
      <c r="B172">
        <v>170</v>
      </c>
      <c r="C172" t="str">
        <f ca="1">IFERROR(VLOOKUP(D172,StorageDevices!AT200:BC1197,2,FALSE),"")</f>
        <v/>
      </c>
      <c r="D172">
        <v>170</v>
      </c>
      <c r="E172" t="str">
        <f ca="1">IFERROR(VLOOKUP(D172,StorageDevices!BO200:BX1188,2,FALSE),"")</f>
        <v/>
      </c>
      <c r="F172">
        <v>170</v>
      </c>
      <c r="G172" t="str">
        <f ca="1">IFERROR(VLOOKUP(F172,StorageDevices!CJ200:CS1188,2,FALSE),"")</f>
        <v/>
      </c>
      <c r="H172">
        <v>170</v>
      </c>
    </row>
    <row r="173" spans="1:8">
      <c r="A173" t="str">
        <f ca="1">IFERROR(VLOOKUP(B173,StorageDevices!Y201:AC1198,2,FALSE),"")</f>
        <v/>
      </c>
      <c r="B173">
        <v>171</v>
      </c>
      <c r="C173" t="str">
        <f ca="1">IFERROR(VLOOKUP(D173,StorageDevices!AT201:BC1198,2,FALSE),"")</f>
        <v/>
      </c>
      <c r="D173">
        <v>171</v>
      </c>
      <c r="E173" t="str">
        <f ca="1">IFERROR(VLOOKUP(D173,StorageDevices!BO201:BX1189,2,FALSE),"")</f>
        <v/>
      </c>
      <c r="F173">
        <v>171</v>
      </c>
      <c r="G173" t="str">
        <f ca="1">IFERROR(VLOOKUP(F173,StorageDevices!CJ201:CS1189,2,FALSE),"")</f>
        <v/>
      </c>
      <c r="H173">
        <v>171</v>
      </c>
    </row>
    <row r="174" spans="1:8">
      <c r="A174" t="str">
        <f ca="1">IFERROR(VLOOKUP(B174,StorageDevices!Y202:AC1199,2,FALSE),"")</f>
        <v/>
      </c>
      <c r="B174">
        <v>172</v>
      </c>
      <c r="C174" t="str">
        <f ca="1">IFERROR(VLOOKUP(D174,StorageDevices!AT202:BC1199,2,FALSE),"")</f>
        <v/>
      </c>
      <c r="D174">
        <v>172</v>
      </c>
      <c r="E174" t="str">
        <f ca="1">IFERROR(VLOOKUP(D174,StorageDevices!BO202:BX1190,2,FALSE),"")</f>
        <v/>
      </c>
      <c r="F174">
        <v>172</v>
      </c>
      <c r="G174" t="str">
        <f ca="1">IFERROR(VLOOKUP(F174,StorageDevices!CJ202:CS1190,2,FALSE),"")</f>
        <v/>
      </c>
      <c r="H174">
        <v>172</v>
      </c>
    </row>
    <row r="175" spans="1:8">
      <c r="A175" t="str">
        <f ca="1">IFERROR(VLOOKUP(B175,StorageDevices!Y203:AC1200,2,FALSE),"")</f>
        <v/>
      </c>
      <c r="B175">
        <v>173</v>
      </c>
      <c r="C175" t="str">
        <f ca="1">IFERROR(VLOOKUP(D175,StorageDevices!AT203:BC1200,2,FALSE),"")</f>
        <v/>
      </c>
      <c r="D175">
        <v>173</v>
      </c>
      <c r="E175" t="str">
        <f ca="1">IFERROR(VLOOKUP(D175,StorageDevices!BO203:BX1191,2,FALSE),"")</f>
        <v/>
      </c>
      <c r="F175">
        <v>173</v>
      </c>
      <c r="G175" t="str">
        <f ca="1">IFERROR(VLOOKUP(F175,StorageDevices!CJ203:CS1191,2,FALSE),"")</f>
        <v/>
      </c>
      <c r="H175">
        <v>173</v>
      </c>
    </row>
    <row r="176" spans="1:8">
      <c r="A176" t="str">
        <f ca="1">IFERROR(VLOOKUP(B176,StorageDevices!Y204:AC1201,2,FALSE),"")</f>
        <v/>
      </c>
      <c r="B176">
        <v>174</v>
      </c>
      <c r="C176" t="str">
        <f ca="1">IFERROR(VLOOKUP(D176,StorageDevices!AT204:BC1201,2,FALSE),"")</f>
        <v/>
      </c>
      <c r="D176">
        <v>174</v>
      </c>
      <c r="E176" t="str">
        <f ca="1">IFERROR(VLOOKUP(D176,StorageDevices!BO204:BX1192,2,FALSE),"")</f>
        <v/>
      </c>
      <c r="F176">
        <v>174</v>
      </c>
      <c r="G176" t="str">
        <f ca="1">IFERROR(VLOOKUP(F176,StorageDevices!CJ204:CS1192,2,FALSE),"")</f>
        <v/>
      </c>
      <c r="H176">
        <v>174</v>
      </c>
    </row>
    <row r="177" spans="1:8">
      <c r="A177" t="str">
        <f ca="1">IFERROR(VLOOKUP(B177,StorageDevices!Y205:AC1202,2,FALSE),"")</f>
        <v/>
      </c>
      <c r="B177">
        <v>175</v>
      </c>
      <c r="C177" t="str">
        <f ca="1">IFERROR(VLOOKUP(D177,StorageDevices!AT205:BC1202,2,FALSE),"")</f>
        <v/>
      </c>
      <c r="D177">
        <v>175</v>
      </c>
      <c r="E177" t="str">
        <f ca="1">IFERROR(VLOOKUP(D177,StorageDevices!BO205:BX1193,2,FALSE),"")</f>
        <v/>
      </c>
      <c r="F177">
        <v>175</v>
      </c>
      <c r="G177" t="str">
        <f ca="1">IFERROR(VLOOKUP(F177,StorageDevices!CJ205:CS1193,2,FALSE),"")</f>
        <v/>
      </c>
      <c r="H177">
        <v>175</v>
      </c>
    </row>
    <row r="178" spans="1:8">
      <c r="A178" t="str">
        <f ca="1">IFERROR(VLOOKUP(B178,StorageDevices!Y206:AC1203,2,FALSE),"")</f>
        <v/>
      </c>
      <c r="B178">
        <v>176</v>
      </c>
      <c r="C178" t="str">
        <f ca="1">IFERROR(VLOOKUP(D178,StorageDevices!AT206:BC1203,2,FALSE),"")</f>
        <v/>
      </c>
      <c r="D178">
        <v>176</v>
      </c>
      <c r="E178" t="str">
        <f ca="1">IFERROR(VLOOKUP(D178,StorageDevices!BO206:BX1194,2,FALSE),"")</f>
        <v/>
      </c>
      <c r="F178">
        <v>176</v>
      </c>
      <c r="G178" t="str">
        <f ca="1">IFERROR(VLOOKUP(F178,StorageDevices!CJ206:CS1194,2,FALSE),"")</f>
        <v/>
      </c>
      <c r="H178">
        <v>176</v>
      </c>
    </row>
    <row r="179" spans="1:8">
      <c r="A179" t="str">
        <f ca="1">IFERROR(VLOOKUP(B179,StorageDevices!Y207:AC1204,2,FALSE),"")</f>
        <v/>
      </c>
      <c r="B179">
        <v>177</v>
      </c>
      <c r="C179" t="str">
        <f ca="1">IFERROR(VLOOKUP(D179,StorageDevices!AT207:BC1204,2,FALSE),"")</f>
        <v/>
      </c>
      <c r="D179">
        <v>177</v>
      </c>
      <c r="E179" t="str">
        <f ca="1">IFERROR(VLOOKUP(D179,StorageDevices!BO207:BX1195,2,FALSE),"")</f>
        <v/>
      </c>
      <c r="F179">
        <v>177</v>
      </c>
      <c r="G179" t="str">
        <f ca="1">IFERROR(VLOOKUP(F179,StorageDevices!CJ207:CS1195,2,FALSE),"")</f>
        <v/>
      </c>
      <c r="H179">
        <v>177</v>
      </c>
    </row>
    <row r="180" spans="1:8">
      <c r="A180" t="str">
        <f ca="1">IFERROR(VLOOKUP(B180,StorageDevices!Y208:AC1205,2,FALSE),"")</f>
        <v/>
      </c>
      <c r="B180">
        <v>178</v>
      </c>
      <c r="C180" t="str">
        <f ca="1">IFERROR(VLOOKUP(D180,StorageDevices!AT208:BC1205,2,FALSE),"")</f>
        <v/>
      </c>
      <c r="D180">
        <v>178</v>
      </c>
      <c r="E180" t="str">
        <f ca="1">IFERROR(VLOOKUP(D180,StorageDevices!BO208:BX1196,2,FALSE),"")</f>
        <v/>
      </c>
      <c r="F180">
        <v>178</v>
      </c>
      <c r="G180" t="str">
        <f ca="1">IFERROR(VLOOKUP(F180,StorageDevices!CJ208:CS1196,2,FALSE),"")</f>
        <v/>
      </c>
      <c r="H180">
        <v>178</v>
      </c>
    </row>
    <row r="181" spans="1:8">
      <c r="A181" t="str">
        <f ca="1">IFERROR(VLOOKUP(B181,StorageDevices!Y209:AC1206,2,FALSE),"")</f>
        <v/>
      </c>
      <c r="B181">
        <v>179</v>
      </c>
      <c r="C181" t="str">
        <f ca="1">IFERROR(VLOOKUP(D181,StorageDevices!AT209:BC1206,2,FALSE),"")</f>
        <v/>
      </c>
      <c r="D181">
        <v>179</v>
      </c>
      <c r="E181" t="str">
        <f ca="1">IFERROR(VLOOKUP(D181,StorageDevices!BO209:BX1197,2,FALSE),"")</f>
        <v/>
      </c>
      <c r="F181">
        <v>179</v>
      </c>
      <c r="G181" t="str">
        <f ca="1">IFERROR(VLOOKUP(F181,StorageDevices!CJ209:CS1197,2,FALSE),"")</f>
        <v/>
      </c>
      <c r="H181">
        <v>179</v>
      </c>
    </row>
    <row r="182" spans="1:8">
      <c r="A182" t="str">
        <f ca="1">IFERROR(VLOOKUP(B182,StorageDevices!Y210:AC1207,2,FALSE),"")</f>
        <v/>
      </c>
      <c r="B182">
        <v>180</v>
      </c>
      <c r="C182" t="str">
        <f ca="1">IFERROR(VLOOKUP(D182,StorageDevices!AT210:BC1207,2,FALSE),"")</f>
        <v/>
      </c>
      <c r="D182">
        <v>180</v>
      </c>
      <c r="E182" t="str">
        <f ca="1">IFERROR(VLOOKUP(D182,StorageDevices!BO210:BX1198,2,FALSE),"")</f>
        <v/>
      </c>
      <c r="F182">
        <v>180</v>
      </c>
      <c r="G182" t="str">
        <f ca="1">IFERROR(VLOOKUP(F182,StorageDevices!CJ210:CS1198,2,FALSE),"")</f>
        <v/>
      </c>
      <c r="H182">
        <v>180</v>
      </c>
    </row>
    <row r="183" spans="1:8">
      <c r="A183" t="str">
        <f ca="1">IFERROR(VLOOKUP(B183,StorageDevices!Y211:AC1208,2,FALSE),"")</f>
        <v/>
      </c>
      <c r="B183">
        <v>181</v>
      </c>
      <c r="C183" t="str">
        <f ca="1">IFERROR(VLOOKUP(D183,StorageDevices!AT211:BC1208,2,FALSE),"")</f>
        <v/>
      </c>
      <c r="D183">
        <v>181</v>
      </c>
      <c r="E183" t="str">
        <f ca="1">IFERROR(VLOOKUP(D183,StorageDevices!BO211:BX1199,2,FALSE),"")</f>
        <v/>
      </c>
      <c r="F183">
        <v>181</v>
      </c>
      <c r="G183" t="str">
        <f ca="1">IFERROR(VLOOKUP(F183,StorageDevices!CJ211:CS1199,2,FALSE),"")</f>
        <v/>
      </c>
      <c r="H183">
        <v>181</v>
      </c>
    </row>
    <row r="184" spans="1:8">
      <c r="A184" t="str">
        <f ca="1">IFERROR(VLOOKUP(B184,StorageDevices!Y212:AC1209,2,FALSE),"")</f>
        <v/>
      </c>
      <c r="B184">
        <v>182</v>
      </c>
      <c r="C184" t="str">
        <f ca="1">IFERROR(VLOOKUP(D184,StorageDevices!AT212:BC1209,2,FALSE),"")</f>
        <v/>
      </c>
      <c r="D184">
        <v>182</v>
      </c>
      <c r="E184" t="str">
        <f ca="1">IFERROR(VLOOKUP(D184,StorageDevices!BO212:BX1200,2,FALSE),"")</f>
        <v/>
      </c>
      <c r="F184">
        <v>182</v>
      </c>
      <c r="G184" t="str">
        <f ca="1">IFERROR(VLOOKUP(F184,StorageDevices!CJ212:CS1200,2,FALSE),"")</f>
        <v/>
      </c>
      <c r="H184">
        <v>182</v>
      </c>
    </row>
    <row r="185" spans="1:8">
      <c r="A185" t="str">
        <f ca="1">IFERROR(VLOOKUP(B185,StorageDevices!Y213:AC1210,2,FALSE),"")</f>
        <v/>
      </c>
      <c r="B185">
        <v>183</v>
      </c>
      <c r="C185" t="str">
        <f ca="1">IFERROR(VLOOKUP(D185,StorageDevices!AT213:BC1210,2,FALSE),"")</f>
        <v/>
      </c>
      <c r="D185">
        <v>183</v>
      </c>
      <c r="E185" t="str">
        <f ca="1">IFERROR(VLOOKUP(D185,StorageDevices!BO213:BX1201,2,FALSE),"")</f>
        <v/>
      </c>
      <c r="F185">
        <v>183</v>
      </c>
      <c r="G185" t="str">
        <f ca="1">IFERROR(VLOOKUP(F185,StorageDevices!CJ213:CS1201,2,FALSE),"")</f>
        <v/>
      </c>
      <c r="H185">
        <v>183</v>
      </c>
    </row>
    <row r="186" spans="1:8">
      <c r="A186" t="str">
        <f ca="1">IFERROR(VLOOKUP(B186,StorageDevices!Y214:AC1211,2,FALSE),"")</f>
        <v/>
      </c>
      <c r="B186">
        <v>184</v>
      </c>
      <c r="C186" t="str">
        <f ca="1">IFERROR(VLOOKUP(D186,StorageDevices!AT214:BC1211,2,FALSE),"")</f>
        <v/>
      </c>
      <c r="D186">
        <v>184</v>
      </c>
      <c r="E186" t="str">
        <f ca="1">IFERROR(VLOOKUP(D186,StorageDevices!BO214:BX1202,2,FALSE),"")</f>
        <v/>
      </c>
      <c r="F186">
        <v>184</v>
      </c>
      <c r="G186" t="str">
        <f ca="1">IFERROR(VLOOKUP(F186,StorageDevices!CJ214:CS1202,2,FALSE),"")</f>
        <v/>
      </c>
      <c r="H186">
        <v>184</v>
      </c>
    </row>
    <row r="187" spans="1:8">
      <c r="A187" t="str">
        <f ca="1">IFERROR(VLOOKUP(B187,StorageDevices!Y215:AC1212,2,FALSE),"")</f>
        <v/>
      </c>
      <c r="B187">
        <v>185</v>
      </c>
      <c r="C187" t="str">
        <f ca="1">IFERROR(VLOOKUP(D187,StorageDevices!AT215:BC1212,2,FALSE),"")</f>
        <v/>
      </c>
      <c r="D187">
        <v>185</v>
      </c>
      <c r="E187" t="str">
        <f ca="1">IFERROR(VLOOKUP(D187,StorageDevices!BO215:BX1203,2,FALSE),"")</f>
        <v/>
      </c>
      <c r="F187">
        <v>185</v>
      </c>
      <c r="G187" t="str">
        <f ca="1">IFERROR(VLOOKUP(F187,StorageDevices!CJ215:CS1203,2,FALSE),"")</f>
        <v/>
      </c>
      <c r="H187">
        <v>185</v>
      </c>
    </row>
    <row r="188" spans="1:8">
      <c r="A188" t="str">
        <f ca="1">IFERROR(VLOOKUP(B188,StorageDevices!Y216:AC1213,2,FALSE),"")</f>
        <v/>
      </c>
      <c r="B188">
        <v>186</v>
      </c>
      <c r="C188" t="str">
        <f ca="1">IFERROR(VLOOKUP(D188,StorageDevices!AT216:BC1213,2,FALSE),"")</f>
        <v/>
      </c>
      <c r="D188">
        <v>186</v>
      </c>
      <c r="E188" t="str">
        <f ca="1">IFERROR(VLOOKUP(D188,StorageDevices!BO216:BX1204,2,FALSE),"")</f>
        <v/>
      </c>
      <c r="F188">
        <v>186</v>
      </c>
      <c r="G188" t="str">
        <f ca="1">IFERROR(VLOOKUP(F188,StorageDevices!CJ216:CS1204,2,FALSE),"")</f>
        <v/>
      </c>
      <c r="H188">
        <v>186</v>
      </c>
    </row>
    <row r="189" spans="1:8">
      <c r="A189" t="str">
        <f ca="1">IFERROR(VLOOKUP(B189,StorageDevices!Y217:AC1214,2,FALSE),"")</f>
        <v/>
      </c>
      <c r="B189">
        <v>187</v>
      </c>
      <c r="C189" t="str">
        <f ca="1">IFERROR(VLOOKUP(D189,StorageDevices!AT217:BC1214,2,FALSE),"")</f>
        <v/>
      </c>
      <c r="D189">
        <v>187</v>
      </c>
      <c r="E189" t="str">
        <f ca="1">IFERROR(VLOOKUP(D189,StorageDevices!BO217:BX1205,2,FALSE),"")</f>
        <v/>
      </c>
      <c r="F189">
        <v>187</v>
      </c>
      <c r="G189" t="str">
        <f ca="1">IFERROR(VLOOKUP(F189,StorageDevices!CJ217:CS1205,2,FALSE),"")</f>
        <v/>
      </c>
      <c r="H189">
        <v>187</v>
      </c>
    </row>
    <row r="190" spans="1:8">
      <c r="A190" t="str">
        <f ca="1">IFERROR(VLOOKUP(B190,StorageDevices!Y218:AC1215,2,FALSE),"")</f>
        <v/>
      </c>
      <c r="B190">
        <v>188</v>
      </c>
      <c r="C190" t="str">
        <f ca="1">IFERROR(VLOOKUP(D190,StorageDevices!AT218:BC1215,2,FALSE),"")</f>
        <v/>
      </c>
      <c r="D190">
        <v>188</v>
      </c>
      <c r="E190" t="str">
        <f ca="1">IFERROR(VLOOKUP(D190,StorageDevices!BO218:BX1206,2,FALSE),"")</f>
        <v/>
      </c>
      <c r="F190">
        <v>188</v>
      </c>
      <c r="G190" t="str">
        <f ca="1">IFERROR(VLOOKUP(F190,StorageDevices!CJ218:CS1206,2,FALSE),"")</f>
        <v/>
      </c>
      <c r="H190">
        <v>188</v>
      </c>
    </row>
    <row r="191" spans="1:8">
      <c r="A191" t="str">
        <f ca="1">IFERROR(VLOOKUP(B191,StorageDevices!Y219:AC1216,2,FALSE),"")</f>
        <v/>
      </c>
      <c r="B191">
        <v>189</v>
      </c>
      <c r="C191" t="str">
        <f ca="1">IFERROR(VLOOKUP(D191,StorageDevices!AT219:BC1216,2,FALSE),"")</f>
        <v/>
      </c>
      <c r="D191">
        <v>189</v>
      </c>
      <c r="E191" t="str">
        <f ca="1">IFERROR(VLOOKUP(D191,StorageDevices!BO219:BX1207,2,FALSE),"")</f>
        <v/>
      </c>
      <c r="F191">
        <v>189</v>
      </c>
      <c r="G191" t="str">
        <f ca="1">IFERROR(VLOOKUP(F191,StorageDevices!CJ219:CS1207,2,FALSE),"")</f>
        <v/>
      </c>
      <c r="H191">
        <v>189</v>
      </c>
    </row>
    <row r="192" spans="1:8">
      <c r="A192" t="str">
        <f ca="1">IFERROR(VLOOKUP(B192,StorageDevices!Y220:AC1217,2,FALSE),"")</f>
        <v/>
      </c>
      <c r="B192">
        <v>190</v>
      </c>
      <c r="C192" t="str">
        <f ca="1">IFERROR(VLOOKUP(D192,StorageDevices!AT220:BC1217,2,FALSE),"")</f>
        <v/>
      </c>
      <c r="D192">
        <v>190</v>
      </c>
      <c r="E192" t="str">
        <f ca="1">IFERROR(VLOOKUP(D192,StorageDevices!BO220:BX1208,2,FALSE),"")</f>
        <v/>
      </c>
      <c r="F192">
        <v>190</v>
      </c>
      <c r="G192" t="str">
        <f ca="1">IFERROR(VLOOKUP(F192,StorageDevices!CJ220:CS1208,2,FALSE),"")</f>
        <v/>
      </c>
      <c r="H192">
        <v>190</v>
      </c>
    </row>
    <row r="193" spans="1:8">
      <c r="A193" t="str">
        <f ca="1">IFERROR(VLOOKUP(B193,StorageDevices!Y221:AC1218,2,FALSE),"")</f>
        <v/>
      </c>
      <c r="B193">
        <v>191</v>
      </c>
      <c r="C193" t="str">
        <f ca="1">IFERROR(VLOOKUP(D193,StorageDevices!AT221:BC1218,2,FALSE),"")</f>
        <v/>
      </c>
      <c r="D193">
        <v>191</v>
      </c>
      <c r="E193" t="str">
        <f ca="1">IFERROR(VLOOKUP(D193,StorageDevices!BO221:BX1209,2,FALSE),"")</f>
        <v/>
      </c>
      <c r="F193">
        <v>191</v>
      </c>
      <c r="G193" t="str">
        <f ca="1">IFERROR(VLOOKUP(F193,StorageDevices!CJ221:CS1209,2,FALSE),"")</f>
        <v/>
      </c>
      <c r="H193">
        <v>191</v>
      </c>
    </row>
    <row r="194" spans="1:8">
      <c r="A194" t="str">
        <f ca="1">IFERROR(VLOOKUP(B194,StorageDevices!Y222:AC1219,2,FALSE),"")</f>
        <v/>
      </c>
      <c r="B194">
        <v>192</v>
      </c>
      <c r="C194" t="str">
        <f ca="1">IFERROR(VLOOKUP(D194,StorageDevices!AT222:BC1219,2,FALSE),"")</f>
        <v/>
      </c>
      <c r="D194">
        <v>192</v>
      </c>
      <c r="E194" t="str">
        <f ca="1">IFERROR(VLOOKUP(D194,StorageDevices!BO222:BX1210,2,FALSE),"")</f>
        <v/>
      </c>
      <c r="F194">
        <v>192</v>
      </c>
      <c r="G194" t="str">
        <f ca="1">IFERROR(VLOOKUP(F194,StorageDevices!CJ222:CS1210,2,FALSE),"")</f>
        <v/>
      </c>
      <c r="H194">
        <v>192</v>
      </c>
    </row>
    <row r="195" spans="1:8">
      <c r="A195" t="str">
        <f ca="1">IFERROR(VLOOKUP(B195,StorageDevices!Y223:AC1220,2,FALSE),"")</f>
        <v/>
      </c>
      <c r="B195">
        <v>193</v>
      </c>
      <c r="C195" t="str">
        <f ca="1">IFERROR(VLOOKUP(D195,StorageDevices!AT223:BC1220,2,FALSE),"")</f>
        <v/>
      </c>
      <c r="D195">
        <v>193</v>
      </c>
      <c r="E195" t="str">
        <f ca="1">IFERROR(VLOOKUP(D195,StorageDevices!BO223:BX1211,2,FALSE),"")</f>
        <v/>
      </c>
      <c r="F195">
        <v>193</v>
      </c>
      <c r="G195" t="str">
        <f ca="1">IFERROR(VLOOKUP(F195,StorageDevices!CJ223:CS1211,2,FALSE),"")</f>
        <v/>
      </c>
      <c r="H195">
        <v>193</v>
      </c>
    </row>
    <row r="196" spans="1:8">
      <c r="A196" t="str">
        <f ca="1">IFERROR(VLOOKUP(B196,StorageDevices!Y224:AC1221,2,FALSE),"")</f>
        <v/>
      </c>
      <c r="B196">
        <v>194</v>
      </c>
      <c r="C196" t="str">
        <f ca="1">IFERROR(VLOOKUP(D196,StorageDevices!AT224:BC1221,2,FALSE),"")</f>
        <v/>
      </c>
      <c r="D196">
        <v>194</v>
      </c>
      <c r="E196" t="str">
        <f ca="1">IFERROR(VLOOKUP(D196,StorageDevices!BO224:BX1212,2,FALSE),"")</f>
        <v/>
      </c>
      <c r="F196">
        <v>194</v>
      </c>
      <c r="G196" t="str">
        <f ca="1">IFERROR(VLOOKUP(F196,StorageDevices!CJ224:CS1212,2,FALSE),"")</f>
        <v/>
      </c>
      <c r="H196">
        <v>194</v>
      </c>
    </row>
    <row r="197" spans="1:8">
      <c r="A197" t="str">
        <f ca="1">IFERROR(VLOOKUP(B197,StorageDevices!Y225:AC1222,2,FALSE),"")</f>
        <v/>
      </c>
      <c r="B197">
        <v>195</v>
      </c>
      <c r="C197" t="str">
        <f ca="1">IFERROR(VLOOKUP(D197,StorageDevices!AT225:BC1222,2,FALSE),"")</f>
        <v/>
      </c>
      <c r="D197">
        <v>195</v>
      </c>
      <c r="E197" t="str">
        <f ca="1">IFERROR(VLOOKUP(D197,StorageDevices!BO225:BX1213,2,FALSE),"")</f>
        <v/>
      </c>
      <c r="F197">
        <v>195</v>
      </c>
      <c r="G197" t="str">
        <f ca="1">IFERROR(VLOOKUP(F197,StorageDevices!CJ225:CS1213,2,FALSE),"")</f>
        <v/>
      </c>
      <c r="H197">
        <v>195</v>
      </c>
    </row>
    <row r="198" spans="1:8">
      <c r="A198" t="str">
        <f ca="1">IFERROR(VLOOKUP(B198,StorageDevices!Y226:AC1223,2,FALSE),"")</f>
        <v/>
      </c>
      <c r="B198">
        <v>196</v>
      </c>
      <c r="C198" t="str">
        <f ca="1">IFERROR(VLOOKUP(D198,StorageDevices!AT226:BC1223,2,FALSE),"")</f>
        <v/>
      </c>
      <c r="D198">
        <v>196</v>
      </c>
      <c r="E198" t="str">
        <f ca="1">IFERROR(VLOOKUP(D198,StorageDevices!BO226:BX1214,2,FALSE),"")</f>
        <v/>
      </c>
      <c r="F198">
        <v>196</v>
      </c>
      <c r="G198" t="str">
        <f ca="1">IFERROR(VLOOKUP(F198,StorageDevices!CJ226:CS1214,2,FALSE),"")</f>
        <v/>
      </c>
      <c r="H198">
        <v>196</v>
      </c>
    </row>
    <row r="199" spans="1:8">
      <c r="A199" t="str">
        <f ca="1">IFERROR(VLOOKUP(B199,StorageDevices!Y227:AC1224,2,FALSE),"")</f>
        <v/>
      </c>
      <c r="B199">
        <v>197</v>
      </c>
      <c r="C199" t="str">
        <f ca="1">IFERROR(VLOOKUP(D199,StorageDevices!AT227:BC1224,2,FALSE),"")</f>
        <v/>
      </c>
      <c r="D199">
        <v>197</v>
      </c>
      <c r="E199" t="str">
        <f ca="1">IFERROR(VLOOKUP(D199,StorageDevices!BO227:BX1215,2,FALSE),"")</f>
        <v/>
      </c>
      <c r="F199">
        <v>197</v>
      </c>
      <c r="G199" t="str">
        <f ca="1">IFERROR(VLOOKUP(F199,StorageDevices!CJ227:CS1215,2,FALSE),"")</f>
        <v/>
      </c>
      <c r="H199">
        <v>197</v>
      </c>
    </row>
    <row r="200" spans="1:8">
      <c r="A200" t="str">
        <f ca="1">IFERROR(VLOOKUP(B200,StorageDevices!Y228:AC1225,2,FALSE),"")</f>
        <v/>
      </c>
      <c r="B200">
        <v>198</v>
      </c>
      <c r="C200" t="str">
        <f ca="1">IFERROR(VLOOKUP(D200,StorageDevices!AT228:BC1225,2,FALSE),"")</f>
        <v/>
      </c>
      <c r="D200">
        <v>198</v>
      </c>
      <c r="E200" t="str">
        <f ca="1">IFERROR(VLOOKUP(D200,StorageDevices!BO228:BX1216,2,FALSE),"")</f>
        <v/>
      </c>
      <c r="F200">
        <v>198</v>
      </c>
      <c r="G200" t="str">
        <f ca="1">IFERROR(VLOOKUP(F200,StorageDevices!CJ228:CS1216,2,FALSE),"")</f>
        <v/>
      </c>
      <c r="H200">
        <v>198</v>
      </c>
    </row>
    <row r="201" spans="1:8">
      <c r="A201" t="str">
        <f ca="1">IFERROR(VLOOKUP(B201,StorageDevices!Y229:AC1226,2,FALSE),"")</f>
        <v/>
      </c>
      <c r="B201">
        <v>199</v>
      </c>
      <c r="C201" t="str">
        <f ca="1">IFERROR(VLOOKUP(D201,StorageDevices!AT229:BC1226,2,FALSE),"")</f>
        <v/>
      </c>
      <c r="D201">
        <v>199</v>
      </c>
      <c r="E201" t="str">
        <f ca="1">IFERROR(VLOOKUP(D201,StorageDevices!BO229:BX1217,2,FALSE),"")</f>
        <v/>
      </c>
      <c r="F201">
        <v>199</v>
      </c>
      <c r="G201" t="str">
        <f ca="1">IFERROR(VLOOKUP(F201,StorageDevices!CJ229:CS1217,2,FALSE),"")</f>
        <v/>
      </c>
      <c r="H201">
        <v>199</v>
      </c>
    </row>
    <row r="202" spans="1:8">
      <c r="A202" t="str">
        <f ca="1">IFERROR(VLOOKUP(B202,StorageDevices!Y230:AC1227,2,FALSE),"")</f>
        <v/>
      </c>
      <c r="B202">
        <v>200</v>
      </c>
      <c r="C202" t="str">
        <f ca="1">IFERROR(VLOOKUP(D202,StorageDevices!AT230:BC1227,2,FALSE),"")</f>
        <v/>
      </c>
      <c r="D202">
        <v>200</v>
      </c>
      <c r="E202" t="str">
        <f ca="1">IFERROR(VLOOKUP(D202,StorageDevices!BO230:BX1218,2,FALSE),"")</f>
        <v/>
      </c>
      <c r="F202">
        <v>200</v>
      </c>
      <c r="G202" t="str">
        <f ca="1">IFERROR(VLOOKUP(F202,StorageDevices!CJ230:CS1218,2,FALSE),"")</f>
        <v/>
      </c>
      <c r="H202">
        <v>200</v>
      </c>
    </row>
    <row r="203" spans="1:8">
      <c r="A203" t="str">
        <f ca="1">IFERROR(VLOOKUP(B203,StorageDevices!Y231:AC1228,2,FALSE),"")</f>
        <v/>
      </c>
      <c r="B203">
        <v>201</v>
      </c>
      <c r="C203" t="str">
        <f ca="1">IFERROR(VLOOKUP(D203,StorageDevices!AT231:BC1228,2,FALSE),"")</f>
        <v/>
      </c>
      <c r="D203">
        <v>201</v>
      </c>
      <c r="E203" t="str">
        <f ca="1">IFERROR(VLOOKUP(D203,StorageDevices!BO231:BX1219,2,FALSE),"")</f>
        <v/>
      </c>
      <c r="F203">
        <v>201</v>
      </c>
      <c r="G203" t="str">
        <f ca="1">IFERROR(VLOOKUP(F203,StorageDevices!CJ231:CS1219,2,FALSE),"")</f>
        <v/>
      </c>
      <c r="H203">
        <v>201</v>
      </c>
    </row>
    <row r="204" spans="1:8">
      <c r="A204" t="str">
        <f ca="1">IFERROR(VLOOKUP(B204,StorageDevices!Y232:AC1229,2,FALSE),"")</f>
        <v/>
      </c>
      <c r="B204">
        <v>202</v>
      </c>
      <c r="C204" t="str">
        <f ca="1">IFERROR(VLOOKUP(D204,StorageDevices!AT232:BC1229,2,FALSE),"")</f>
        <v/>
      </c>
      <c r="D204">
        <v>202</v>
      </c>
      <c r="E204" t="str">
        <f ca="1">IFERROR(VLOOKUP(D204,StorageDevices!BO232:BX1220,2,FALSE),"")</f>
        <v/>
      </c>
      <c r="F204">
        <v>202</v>
      </c>
      <c r="G204" t="str">
        <f ca="1">IFERROR(VLOOKUP(F204,StorageDevices!CJ232:CS1220,2,FALSE),"")</f>
        <v/>
      </c>
      <c r="H204">
        <v>202</v>
      </c>
    </row>
    <row r="205" spans="1:8">
      <c r="A205" t="str">
        <f ca="1">IFERROR(VLOOKUP(B205,StorageDevices!Y233:AC1230,2,FALSE),"")</f>
        <v/>
      </c>
      <c r="B205">
        <v>203</v>
      </c>
      <c r="C205" t="str">
        <f ca="1">IFERROR(VLOOKUP(D205,StorageDevices!AT233:BC1230,2,FALSE),"")</f>
        <v/>
      </c>
      <c r="D205">
        <v>203</v>
      </c>
      <c r="E205" t="str">
        <f ca="1">IFERROR(VLOOKUP(D205,StorageDevices!BO233:BX1221,2,FALSE),"")</f>
        <v/>
      </c>
      <c r="F205">
        <v>203</v>
      </c>
      <c r="G205" t="str">
        <f ca="1">IFERROR(VLOOKUP(F205,StorageDevices!CJ233:CS1221,2,FALSE),"")</f>
        <v/>
      </c>
      <c r="H205">
        <v>203</v>
      </c>
    </row>
    <row r="206" spans="1:8">
      <c r="A206" t="str">
        <f ca="1">IFERROR(VLOOKUP(B206,StorageDevices!Y234:AC1231,2,FALSE),"")</f>
        <v/>
      </c>
      <c r="B206">
        <v>204</v>
      </c>
      <c r="C206" t="str">
        <f ca="1">IFERROR(VLOOKUP(D206,StorageDevices!AT234:BC1231,2,FALSE),"")</f>
        <v/>
      </c>
      <c r="D206">
        <v>204</v>
      </c>
      <c r="E206" t="str">
        <f ca="1">IFERROR(VLOOKUP(D206,StorageDevices!BO234:BX1222,2,FALSE),"")</f>
        <v/>
      </c>
      <c r="F206">
        <v>204</v>
      </c>
      <c r="G206" t="str">
        <f ca="1">IFERROR(VLOOKUP(F206,StorageDevices!CJ234:CS1222,2,FALSE),"")</f>
        <v/>
      </c>
      <c r="H206">
        <v>204</v>
      </c>
    </row>
    <row r="207" spans="1:8">
      <c r="A207" t="str">
        <f ca="1">IFERROR(VLOOKUP(B207,StorageDevices!Y235:AC1232,2,FALSE),"")</f>
        <v/>
      </c>
      <c r="B207">
        <v>205</v>
      </c>
      <c r="C207" t="str">
        <f ca="1">IFERROR(VLOOKUP(D207,StorageDevices!AT235:BC1232,2,FALSE),"")</f>
        <v/>
      </c>
      <c r="D207">
        <v>205</v>
      </c>
      <c r="E207" t="str">
        <f ca="1">IFERROR(VLOOKUP(D207,StorageDevices!BO235:BX1223,2,FALSE),"")</f>
        <v/>
      </c>
      <c r="F207">
        <v>205</v>
      </c>
      <c r="G207" t="str">
        <f ca="1">IFERROR(VLOOKUP(F207,StorageDevices!CJ235:CS1223,2,FALSE),"")</f>
        <v/>
      </c>
      <c r="H207">
        <v>205</v>
      </c>
    </row>
    <row r="208" spans="1:8">
      <c r="A208" t="str">
        <f ca="1">IFERROR(VLOOKUP(B208,StorageDevices!Y236:AC1233,2,FALSE),"")</f>
        <v/>
      </c>
      <c r="B208">
        <v>206</v>
      </c>
      <c r="C208" t="str">
        <f ca="1">IFERROR(VLOOKUP(D208,StorageDevices!AT236:BC1233,2,FALSE),"")</f>
        <v/>
      </c>
      <c r="D208">
        <v>206</v>
      </c>
      <c r="E208" t="str">
        <f ca="1">IFERROR(VLOOKUP(D208,StorageDevices!BO236:BX1224,2,FALSE),"")</f>
        <v/>
      </c>
      <c r="F208">
        <v>206</v>
      </c>
      <c r="G208" t="str">
        <f ca="1">IFERROR(VLOOKUP(F208,StorageDevices!CJ236:CS1224,2,FALSE),"")</f>
        <v/>
      </c>
      <c r="H208">
        <v>206</v>
      </c>
    </row>
    <row r="209" spans="1:8">
      <c r="A209" t="str">
        <f ca="1">IFERROR(VLOOKUP(B209,StorageDevices!Y237:AC1234,2,FALSE),"")</f>
        <v/>
      </c>
      <c r="B209">
        <v>207</v>
      </c>
      <c r="C209" t="str">
        <f ca="1">IFERROR(VLOOKUP(D209,StorageDevices!AT237:BC1234,2,FALSE),"")</f>
        <v/>
      </c>
      <c r="D209">
        <v>207</v>
      </c>
      <c r="E209" t="str">
        <f ca="1">IFERROR(VLOOKUP(D209,StorageDevices!BO237:BX1225,2,FALSE),"")</f>
        <v/>
      </c>
      <c r="F209">
        <v>207</v>
      </c>
      <c r="G209" t="str">
        <f ca="1">IFERROR(VLOOKUP(F209,StorageDevices!CJ237:CS1225,2,FALSE),"")</f>
        <v/>
      </c>
      <c r="H209">
        <v>207</v>
      </c>
    </row>
    <row r="210" spans="1:8">
      <c r="A210" t="str">
        <f ca="1">IFERROR(VLOOKUP(B210,StorageDevices!Y238:AC1235,2,FALSE),"")</f>
        <v/>
      </c>
      <c r="B210">
        <v>208</v>
      </c>
      <c r="C210" t="str">
        <f ca="1">IFERROR(VLOOKUP(D210,StorageDevices!AT238:BC1235,2,FALSE),"")</f>
        <v/>
      </c>
      <c r="D210">
        <v>208</v>
      </c>
      <c r="E210" t="str">
        <f ca="1">IFERROR(VLOOKUP(D210,StorageDevices!BO238:BX1226,2,FALSE),"")</f>
        <v/>
      </c>
      <c r="F210">
        <v>208</v>
      </c>
      <c r="G210" t="str">
        <f ca="1">IFERROR(VLOOKUP(F210,StorageDevices!CJ238:CS1226,2,FALSE),"")</f>
        <v/>
      </c>
      <c r="H210">
        <v>208</v>
      </c>
    </row>
    <row r="211" spans="1:8">
      <c r="A211" t="str">
        <f ca="1">IFERROR(VLOOKUP(B211,StorageDevices!Y239:AC1236,2,FALSE),"")</f>
        <v/>
      </c>
      <c r="B211">
        <v>209</v>
      </c>
      <c r="C211" t="str">
        <f ca="1">IFERROR(VLOOKUP(D211,StorageDevices!AT239:BC1236,2,FALSE),"")</f>
        <v/>
      </c>
      <c r="D211">
        <v>209</v>
      </c>
      <c r="E211" t="str">
        <f ca="1">IFERROR(VLOOKUP(D211,StorageDevices!BO239:BX1227,2,FALSE),"")</f>
        <v/>
      </c>
      <c r="F211">
        <v>209</v>
      </c>
      <c r="G211" t="str">
        <f ca="1">IFERROR(VLOOKUP(F211,StorageDevices!CJ239:CS1227,2,FALSE),"")</f>
        <v/>
      </c>
      <c r="H211">
        <v>209</v>
      </c>
    </row>
    <row r="212" spans="1:8">
      <c r="A212" t="str">
        <f ca="1">IFERROR(VLOOKUP(B212,StorageDevices!Y240:AC1237,2,FALSE),"")</f>
        <v/>
      </c>
      <c r="B212">
        <v>210</v>
      </c>
      <c r="C212" t="str">
        <f ca="1">IFERROR(VLOOKUP(D212,StorageDevices!AT240:BC1237,2,FALSE),"")</f>
        <v/>
      </c>
      <c r="D212">
        <v>210</v>
      </c>
      <c r="E212" t="str">
        <f ca="1">IFERROR(VLOOKUP(D212,StorageDevices!BO240:BX1228,2,FALSE),"")</f>
        <v/>
      </c>
      <c r="F212">
        <v>210</v>
      </c>
      <c r="G212" t="str">
        <f ca="1">IFERROR(VLOOKUP(F212,StorageDevices!CJ240:CS1228,2,FALSE),"")</f>
        <v/>
      </c>
      <c r="H212">
        <v>210</v>
      </c>
    </row>
    <row r="213" spans="1:8">
      <c r="A213" t="str">
        <f ca="1">IFERROR(VLOOKUP(B213,StorageDevices!Y241:AC1238,2,FALSE),"")</f>
        <v/>
      </c>
      <c r="B213">
        <v>211</v>
      </c>
      <c r="C213" t="str">
        <f ca="1">IFERROR(VLOOKUP(D213,StorageDevices!AT241:BC1238,2,FALSE),"")</f>
        <v/>
      </c>
      <c r="D213">
        <v>211</v>
      </c>
      <c r="E213" t="str">
        <f ca="1">IFERROR(VLOOKUP(D213,StorageDevices!BO241:BX1229,2,FALSE),"")</f>
        <v/>
      </c>
      <c r="F213">
        <v>211</v>
      </c>
      <c r="G213" t="str">
        <f ca="1">IFERROR(VLOOKUP(F213,StorageDevices!CJ241:CS1229,2,FALSE),"")</f>
        <v/>
      </c>
      <c r="H213">
        <v>211</v>
      </c>
    </row>
    <row r="214" spans="1:8">
      <c r="A214" t="str">
        <f ca="1">IFERROR(VLOOKUP(B214,StorageDevices!Y242:AC1239,2,FALSE),"")</f>
        <v/>
      </c>
      <c r="B214">
        <v>212</v>
      </c>
      <c r="C214" t="str">
        <f ca="1">IFERROR(VLOOKUP(D214,StorageDevices!AT242:BC1239,2,FALSE),"")</f>
        <v/>
      </c>
      <c r="D214">
        <v>212</v>
      </c>
      <c r="E214" t="str">
        <f ca="1">IFERROR(VLOOKUP(D214,StorageDevices!BO242:BX1230,2,FALSE),"")</f>
        <v/>
      </c>
      <c r="F214">
        <v>212</v>
      </c>
      <c r="G214" t="str">
        <f ca="1">IFERROR(VLOOKUP(F214,StorageDevices!CJ242:CS1230,2,FALSE),"")</f>
        <v/>
      </c>
      <c r="H214">
        <v>212</v>
      </c>
    </row>
    <row r="215" spans="1:8">
      <c r="A215" t="str">
        <f ca="1">IFERROR(VLOOKUP(B215,StorageDevices!Y243:AC1240,2,FALSE),"")</f>
        <v/>
      </c>
      <c r="B215">
        <v>213</v>
      </c>
      <c r="C215" t="str">
        <f ca="1">IFERROR(VLOOKUP(D215,StorageDevices!AT243:BC1240,2,FALSE),"")</f>
        <v/>
      </c>
      <c r="D215">
        <v>213</v>
      </c>
      <c r="E215" t="str">
        <f ca="1">IFERROR(VLOOKUP(D215,StorageDevices!BO243:BX1231,2,FALSE),"")</f>
        <v/>
      </c>
      <c r="F215">
        <v>213</v>
      </c>
      <c r="G215" t="str">
        <f ca="1">IFERROR(VLOOKUP(F215,StorageDevices!CJ243:CS1231,2,FALSE),"")</f>
        <v/>
      </c>
      <c r="H215">
        <v>213</v>
      </c>
    </row>
    <row r="216" spans="1:8">
      <c r="A216" t="str">
        <f ca="1">IFERROR(VLOOKUP(B216,StorageDevices!Y244:AC1241,2,FALSE),"")</f>
        <v/>
      </c>
      <c r="B216">
        <v>214</v>
      </c>
      <c r="C216" t="str">
        <f ca="1">IFERROR(VLOOKUP(D216,StorageDevices!AT244:BC1241,2,FALSE),"")</f>
        <v/>
      </c>
      <c r="D216">
        <v>214</v>
      </c>
      <c r="E216" t="str">
        <f ca="1">IFERROR(VLOOKUP(D216,StorageDevices!BO244:BX1232,2,FALSE),"")</f>
        <v/>
      </c>
      <c r="F216">
        <v>214</v>
      </c>
      <c r="G216" t="str">
        <f ca="1">IFERROR(VLOOKUP(F216,StorageDevices!CJ244:CS1232,2,FALSE),"")</f>
        <v/>
      </c>
      <c r="H216">
        <v>214</v>
      </c>
    </row>
    <row r="217" spans="1:8">
      <c r="A217" t="str">
        <f ca="1">IFERROR(VLOOKUP(B217,StorageDevices!Y245:AC1242,2,FALSE),"")</f>
        <v/>
      </c>
      <c r="B217">
        <v>215</v>
      </c>
      <c r="C217" t="str">
        <f ca="1">IFERROR(VLOOKUP(D217,StorageDevices!AT245:BC1242,2,FALSE),"")</f>
        <v/>
      </c>
      <c r="D217">
        <v>215</v>
      </c>
      <c r="E217" t="str">
        <f ca="1">IFERROR(VLOOKUP(D217,StorageDevices!BO245:BX1233,2,FALSE),"")</f>
        <v/>
      </c>
      <c r="F217">
        <v>215</v>
      </c>
      <c r="G217" t="str">
        <f ca="1">IFERROR(VLOOKUP(F217,StorageDevices!CJ245:CS1233,2,FALSE),"")</f>
        <v/>
      </c>
      <c r="H217">
        <v>215</v>
      </c>
    </row>
    <row r="218" spans="1:8">
      <c r="A218" t="str">
        <f ca="1">IFERROR(VLOOKUP(B218,StorageDevices!Y246:AC1243,2,FALSE),"")</f>
        <v/>
      </c>
      <c r="B218">
        <v>216</v>
      </c>
      <c r="C218" t="str">
        <f ca="1">IFERROR(VLOOKUP(D218,StorageDevices!AT246:BC1243,2,FALSE),"")</f>
        <v/>
      </c>
      <c r="D218">
        <v>216</v>
      </c>
      <c r="E218" t="str">
        <f ca="1">IFERROR(VLOOKUP(D218,StorageDevices!BO246:BX1234,2,FALSE),"")</f>
        <v/>
      </c>
      <c r="F218">
        <v>216</v>
      </c>
      <c r="G218" t="str">
        <f ca="1">IFERROR(VLOOKUP(F218,StorageDevices!CJ246:CS1234,2,FALSE),"")</f>
        <v/>
      </c>
      <c r="H218">
        <v>216</v>
      </c>
    </row>
    <row r="219" spans="1:8">
      <c r="A219" t="str">
        <f ca="1">IFERROR(VLOOKUP(B219,StorageDevices!Y247:AC1244,2,FALSE),"")</f>
        <v/>
      </c>
      <c r="B219">
        <v>217</v>
      </c>
      <c r="C219" t="str">
        <f ca="1">IFERROR(VLOOKUP(D219,StorageDevices!AT247:BC1244,2,FALSE),"")</f>
        <v/>
      </c>
      <c r="D219">
        <v>217</v>
      </c>
      <c r="E219" t="str">
        <f ca="1">IFERROR(VLOOKUP(D219,StorageDevices!BO247:BX1235,2,FALSE),"")</f>
        <v/>
      </c>
      <c r="F219">
        <v>217</v>
      </c>
      <c r="G219" t="str">
        <f ca="1">IFERROR(VLOOKUP(F219,StorageDevices!CJ247:CS1235,2,FALSE),"")</f>
        <v/>
      </c>
      <c r="H219">
        <v>217</v>
      </c>
    </row>
    <row r="220" spans="1:8">
      <c r="A220" t="str">
        <f ca="1">IFERROR(VLOOKUP(B220,StorageDevices!Y248:AC1245,2,FALSE),"")</f>
        <v/>
      </c>
      <c r="B220">
        <v>218</v>
      </c>
      <c r="C220" t="str">
        <f ca="1">IFERROR(VLOOKUP(D220,StorageDevices!AT248:BC1245,2,FALSE),"")</f>
        <v/>
      </c>
      <c r="D220">
        <v>218</v>
      </c>
      <c r="E220" t="str">
        <f ca="1">IFERROR(VLOOKUP(D220,StorageDevices!BO248:BX1236,2,FALSE),"")</f>
        <v/>
      </c>
      <c r="F220">
        <v>218</v>
      </c>
      <c r="G220" t="str">
        <f ca="1">IFERROR(VLOOKUP(F220,StorageDevices!CJ248:CS1236,2,FALSE),"")</f>
        <v/>
      </c>
      <c r="H220">
        <v>218</v>
      </c>
    </row>
    <row r="221" spans="1:8">
      <c r="A221" t="str">
        <f ca="1">IFERROR(VLOOKUP(B221,StorageDevices!Y249:AC1246,2,FALSE),"")</f>
        <v/>
      </c>
      <c r="B221">
        <v>219</v>
      </c>
      <c r="C221" t="str">
        <f ca="1">IFERROR(VLOOKUP(D221,StorageDevices!AT249:BC1246,2,FALSE),"")</f>
        <v/>
      </c>
      <c r="D221">
        <v>219</v>
      </c>
      <c r="E221" t="str">
        <f ca="1">IFERROR(VLOOKUP(D221,StorageDevices!BO249:BX1237,2,FALSE),"")</f>
        <v/>
      </c>
      <c r="F221">
        <v>219</v>
      </c>
      <c r="G221" t="str">
        <f ca="1">IFERROR(VLOOKUP(F221,StorageDevices!CJ249:CS1237,2,FALSE),"")</f>
        <v/>
      </c>
      <c r="H221">
        <v>219</v>
      </c>
    </row>
    <row r="222" spans="1:8">
      <c r="A222" t="str">
        <f ca="1">IFERROR(VLOOKUP(B222,StorageDevices!Y250:AC1247,2,FALSE),"")</f>
        <v/>
      </c>
      <c r="B222">
        <v>220</v>
      </c>
      <c r="C222" t="str">
        <f ca="1">IFERROR(VLOOKUP(D222,StorageDevices!AT250:BC1247,2,FALSE),"")</f>
        <v/>
      </c>
      <c r="D222">
        <v>220</v>
      </c>
      <c r="E222" t="str">
        <f ca="1">IFERROR(VLOOKUP(D222,StorageDevices!BO250:BX1238,2,FALSE),"")</f>
        <v/>
      </c>
      <c r="F222">
        <v>220</v>
      </c>
      <c r="G222" t="str">
        <f ca="1">IFERROR(VLOOKUP(F222,StorageDevices!CJ250:CS1238,2,FALSE),"")</f>
        <v/>
      </c>
      <c r="H222">
        <v>220</v>
      </c>
    </row>
    <row r="223" spans="1:8">
      <c r="A223" t="str">
        <f ca="1">IFERROR(VLOOKUP(B223,StorageDevices!Y251:AC1248,2,FALSE),"")</f>
        <v/>
      </c>
      <c r="B223">
        <v>221</v>
      </c>
      <c r="C223" t="str">
        <f ca="1">IFERROR(VLOOKUP(D223,StorageDevices!AT251:BC1248,2,FALSE),"")</f>
        <v/>
      </c>
      <c r="D223">
        <v>221</v>
      </c>
      <c r="E223" t="str">
        <f ca="1">IFERROR(VLOOKUP(D223,StorageDevices!BO251:BX1239,2,FALSE),"")</f>
        <v/>
      </c>
      <c r="F223">
        <v>221</v>
      </c>
      <c r="G223" t="str">
        <f ca="1">IFERROR(VLOOKUP(F223,StorageDevices!CJ251:CS1239,2,FALSE),"")</f>
        <v/>
      </c>
      <c r="H223">
        <v>221</v>
      </c>
    </row>
    <row r="224" spans="1:8">
      <c r="A224" t="str">
        <f ca="1">IFERROR(VLOOKUP(B224,StorageDevices!Y252:AC1249,2,FALSE),"")</f>
        <v/>
      </c>
      <c r="B224">
        <v>222</v>
      </c>
      <c r="C224" t="str">
        <f ca="1">IFERROR(VLOOKUP(D224,StorageDevices!AT252:BC1249,2,FALSE),"")</f>
        <v/>
      </c>
      <c r="D224">
        <v>222</v>
      </c>
      <c r="E224" t="str">
        <f ca="1">IFERROR(VLOOKUP(D224,StorageDevices!BO252:BX1240,2,FALSE),"")</f>
        <v/>
      </c>
      <c r="F224">
        <v>222</v>
      </c>
      <c r="G224" t="str">
        <f ca="1">IFERROR(VLOOKUP(F224,StorageDevices!CJ252:CS1240,2,FALSE),"")</f>
        <v/>
      </c>
      <c r="H224">
        <v>222</v>
      </c>
    </row>
    <row r="225" spans="1:8">
      <c r="A225" t="str">
        <f ca="1">IFERROR(VLOOKUP(B225,StorageDevices!Y253:AC1250,2,FALSE),"")</f>
        <v/>
      </c>
      <c r="B225">
        <v>223</v>
      </c>
      <c r="C225" t="str">
        <f ca="1">IFERROR(VLOOKUP(D225,StorageDevices!AT253:BC1250,2,FALSE),"")</f>
        <v/>
      </c>
      <c r="D225">
        <v>223</v>
      </c>
      <c r="E225" t="str">
        <f ca="1">IFERROR(VLOOKUP(D225,StorageDevices!BO253:BX1241,2,FALSE),"")</f>
        <v/>
      </c>
      <c r="F225">
        <v>223</v>
      </c>
      <c r="G225" t="str">
        <f ca="1">IFERROR(VLOOKUP(F225,StorageDevices!CJ253:CS1241,2,FALSE),"")</f>
        <v/>
      </c>
      <c r="H225">
        <v>223</v>
      </c>
    </row>
    <row r="226" spans="1:8">
      <c r="A226" t="str">
        <f ca="1">IFERROR(VLOOKUP(B226,StorageDevices!Y254:AC1251,2,FALSE),"")</f>
        <v/>
      </c>
      <c r="B226">
        <v>224</v>
      </c>
      <c r="C226" t="str">
        <f ca="1">IFERROR(VLOOKUP(D226,StorageDevices!AT254:BC1251,2,FALSE),"")</f>
        <v/>
      </c>
      <c r="D226">
        <v>224</v>
      </c>
      <c r="E226" t="str">
        <f ca="1">IFERROR(VLOOKUP(D226,StorageDevices!BO254:BX1242,2,FALSE),"")</f>
        <v/>
      </c>
      <c r="F226">
        <v>224</v>
      </c>
      <c r="G226" t="str">
        <f ca="1">IFERROR(VLOOKUP(F226,StorageDevices!CJ254:CS1242,2,FALSE),"")</f>
        <v/>
      </c>
      <c r="H226">
        <v>224</v>
      </c>
    </row>
    <row r="227" spans="1:8">
      <c r="A227" t="str">
        <f ca="1">IFERROR(VLOOKUP(B227,StorageDevices!Y255:AC1252,2,FALSE),"")</f>
        <v/>
      </c>
      <c r="B227">
        <v>225</v>
      </c>
      <c r="C227" t="str">
        <f ca="1">IFERROR(VLOOKUP(D227,StorageDevices!AT255:BC1252,2,FALSE),"")</f>
        <v/>
      </c>
      <c r="D227">
        <v>225</v>
      </c>
      <c r="E227" t="str">
        <f ca="1">IFERROR(VLOOKUP(D227,StorageDevices!BO255:BX1243,2,FALSE),"")</f>
        <v/>
      </c>
      <c r="F227">
        <v>225</v>
      </c>
      <c r="G227" t="str">
        <f ca="1">IFERROR(VLOOKUP(F227,StorageDevices!CJ255:CS1243,2,FALSE),"")</f>
        <v/>
      </c>
      <c r="H227">
        <v>225</v>
      </c>
    </row>
    <row r="228" spans="1:8">
      <c r="A228" t="str">
        <f ca="1">IFERROR(VLOOKUP(B228,StorageDevices!Y256:AC1253,2,FALSE),"")</f>
        <v/>
      </c>
      <c r="B228">
        <v>226</v>
      </c>
      <c r="C228" t="str">
        <f ca="1">IFERROR(VLOOKUP(D228,StorageDevices!AT256:BC1253,2,FALSE),"")</f>
        <v/>
      </c>
      <c r="D228">
        <v>226</v>
      </c>
      <c r="E228" t="str">
        <f ca="1">IFERROR(VLOOKUP(D228,StorageDevices!BO256:BX1244,2,FALSE),"")</f>
        <v/>
      </c>
      <c r="F228">
        <v>226</v>
      </c>
      <c r="G228" t="str">
        <f ca="1">IFERROR(VLOOKUP(F228,StorageDevices!CJ256:CS1244,2,FALSE),"")</f>
        <v/>
      </c>
      <c r="H228">
        <v>226</v>
      </c>
    </row>
    <row r="229" spans="1:8">
      <c r="A229" t="str">
        <f ca="1">IFERROR(VLOOKUP(B229,StorageDevices!Y257:AC1254,2,FALSE),"")</f>
        <v/>
      </c>
      <c r="B229">
        <v>227</v>
      </c>
      <c r="C229" t="str">
        <f ca="1">IFERROR(VLOOKUP(D229,StorageDevices!AT257:BC1254,2,FALSE),"")</f>
        <v/>
      </c>
      <c r="D229">
        <v>227</v>
      </c>
      <c r="E229" t="str">
        <f ca="1">IFERROR(VLOOKUP(D229,StorageDevices!BO257:BX1245,2,FALSE),"")</f>
        <v/>
      </c>
      <c r="F229">
        <v>227</v>
      </c>
      <c r="G229" t="str">
        <f ca="1">IFERROR(VLOOKUP(F229,StorageDevices!CJ257:CS1245,2,FALSE),"")</f>
        <v/>
      </c>
      <c r="H229">
        <v>227</v>
      </c>
    </row>
    <row r="230" spans="1:8">
      <c r="A230" t="str">
        <f ca="1">IFERROR(VLOOKUP(B230,StorageDevices!Y258:AC1255,2,FALSE),"")</f>
        <v/>
      </c>
      <c r="B230">
        <v>228</v>
      </c>
      <c r="C230" t="str">
        <f ca="1">IFERROR(VLOOKUP(D230,StorageDevices!AT258:BC1255,2,FALSE),"")</f>
        <v/>
      </c>
      <c r="D230">
        <v>228</v>
      </c>
      <c r="E230" t="str">
        <f ca="1">IFERROR(VLOOKUP(D230,StorageDevices!BO258:BX1246,2,FALSE),"")</f>
        <v/>
      </c>
      <c r="F230">
        <v>228</v>
      </c>
      <c r="G230" t="str">
        <f ca="1">IFERROR(VLOOKUP(F230,StorageDevices!CJ258:CS1246,2,FALSE),"")</f>
        <v/>
      </c>
      <c r="H230">
        <v>228</v>
      </c>
    </row>
    <row r="231" spans="1:8">
      <c r="A231" t="str">
        <f ca="1">IFERROR(VLOOKUP(B231,StorageDevices!Y259:AC1256,2,FALSE),"")</f>
        <v/>
      </c>
      <c r="B231">
        <v>229</v>
      </c>
      <c r="C231" t="str">
        <f ca="1">IFERROR(VLOOKUP(D231,StorageDevices!AT259:BC1256,2,FALSE),"")</f>
        <v/>
      </c>
      <c r="D231">
        <v>229</v>
      </c>
      <c r="E231" t="str">
        <f ca="1">IFERROR(VLOOKUP(D231,StorageDevices!BO259:BX1247,2,FALSE),"")</f>
        <v/>
      </c>
      <c r="F231">
        <v>229</v>
      </c>
      <c r="G231" t="str">
        <f ca="1">IFERROR(VLOOKUP(F231,StorageDevices!CJ259:CS1247,2,FALSE),"")</f>
        <v/>
      </c>
      <c r="H231">
        <v>229</v>
      </c>
    </row>
    <row r="232" spans="1:8">
      <c r="A232" t="str">
        <f ca="1">IFERROR(VLOOKUP(B232,StorageDevices!Y260:AC1257,2,FALSE),"")</f>
        <v/>
      </c>
      <c r="B232">
        <v>230</v>
      </c>
      <c r="C232" t="str">
        <f ca="1">IFERROR(VLOOKUP(D232,StorageDevices!AT260:BC1257,2,FALSE),"")</f>
        <v/>
      </c>
      <c r="D232">
        <v>230</v>
      </c>
      <c r="E232" t="str">
        <f ca="1">IFERROR(VLOOKUP(D232,StorageDevices!BO260:BX1248,2,FALSE),"")</f>
        <v/>
      </c>
      <c r="F232">
        <v>230</v>
      </c>
      <c r="G232" t="str">
        <f ca="1">IFERROR(VLOOKUP(F232,StorageDevices!CJ260:CS1248,2,FALSE),"")</f>
        <v/>
      </c>
      <c r="H232">
        <v>230</v>
      </c>
    </row>
    <row r="233" spans="1:8">
      <c r="A233" t="str">
        <f ca="1">IFERROR(VLOOKUP(B233,StorageDevices!Y261:AC1258,2,FALSE),"")</f>
        <v/>
      </c>
      <c r="B233">
        <v>231</v>
      </c>
      <c r="C233" t="str">
        <f ca="1">IFERROR(VLOOKUP(D233,StorageDevices!AT261:BC1258,2,FALSE),"")</f>
        <v/>
      </c>
      <c r="D233">
        <v>231</v>
      </c>
      <c r="E233" t="str">
        <f ca="1">IFERROR(VLOOKUP(D233,StorageDevices!BO261:BX1249,2,FALSE),"")</f>
        <v/>
      </c>
      <c r="F233">
        <v>231</v>
      </c>
      <c r="G233" t="str">
        <f ca="1">IFERROR(VLOOKUP(F233,StorageDevices!CJ261:CS1249,2,FALSE),"")</f>
        <v/>
      </c>
      <c r="H233">
        <v>231</v>
      </c>
    </row>
    <row r="234" spans="1:8">
      <c r="A234" t="str">
        <f ca="1">IFERROR(VLOOKUP(B234,StorageDevices!Y262:AC1259,2,FALSE),"")</f>
        <v/>
      </c>
      <c r="B234">
        <v>232</v>
      </c>
      <c r="C234" t="str">
        <f ca="1">IFERROR(VLOOKUP(D234,StorageDevices!AT262:BC1259,2,FALSE),"")</f>
        <v/>
      </c>
      <c r="D234">
        <v>232</v>
      </c>
      <c r="E234" t="str">
        <f ca="1">IFERROR(VLOOKUP(D234,StorageDevices!BO262:BX1250,2,FALSE),"")</f>
        <v/>
      </c>
      <c r="F234">
        <v>232</v>
      </c>
      <c r="G234" t="str">
        <f ca="1">IFERROR(VLOOKUP(F234,StorageDevices!CJ262:CS1250,2,FALSE),"")</f>
        <v/>
      </c>
      <c r="H234">
        <v>232</v>
      </c>
    </row>
    <row r="235" spans="1:8">
      <c r="A235" t="str">
        <f ca="1">IFERROR(VLOOKUP(B235,StorageDevices!Y263:AC1260,2,FALSE),"")</f>
        <v/>
      </c>
      <c r="B235">
        <v>233</v>
      </c>
      <c r="C235" t="str">
        <f ca="1">IFERROR(VLOOKUP(D235,StorageDevices!AT263:BC1260,2,FALSE),"")</f>
        <v/>
      </c>
      <c r="D235">
        <v>233</v>
      </c>
      <c r="E235" t="str">
        <f ca="1">IFERROR(VLOOKUP(D235,StorageDevices!BO263:BX1251,2,FALSE),"")</f>
        <v/>
      </c>
      <c r="F235">
        <v>233</v>
      </c>
      <c r="G235" t="str">
        <f ca="1">IFERROR(VLOOKUP(F235,StorageDevices!CJ263:CS1251,2,FALSE),"")</f>
        <v/>
      </c>
      <c r="H235">
        <v>233</v>
      </c>
    </row>
    <row r="236" spans="1:8">
      <c r="A236" t="str">
        <f ca="1">IFERROR(VLOOKUP(B236,StorageDevices!Y264:AC1261,2,FALSE),"")</f>
        <v/>
      </c>
      <c r="B236">
        <v>234</v>
      </c>
      <c r="C236" t="str">
        <f ca="1">IFERROR(VLOOKUP(D236,StorageDevices!AT264:BC1261,2,FALSE),"")</f>
        <v/>
      </c>
      <c r="D236">
        <v>234</v>
      </c>
      <c r="E236" t="str">
        <f ca="1">IFERROR(VLOOKUP(D236,StorageDevices!BO264:BX1252,2,FALSE),"")</f>
        <v/>
      </c>
      <c r="F236">
        <v>234</v>
      </c>
      <c r="G236" t="str">
        <f ca="1">IFERROR(VLOOKUP(F236,StorageDevices!CJ264:CS1252,2,FALSE),"")</f>
        <v/>
      </c>
      <c r="H236">
        <v>234</v>
      </c>
    </row>
    <row r="237" spans="1:8">
      <c r="A237" t="str">
        <f ca="1">IFERROR(VLOOKUP(B237,StorageDevices!Y265:AC1262,2,FALSE),"")</f>
        <v/>
      </c>
      <c r="B237">
        <v>235</v>
      </c>
      <c r="C237" t="str">
        <f ca="1">IFERROR(VLOOKUP(D237,StorageDevices!AT265:BC1262,2,FALSE),"")</f>
        <v/>
      </c>
      <c r="D237">
        <v>235</v>
      </c>
      <c r="E237" t="str">
        <f ca="1">IFERROR(VLOOKUP(D237,StorageDevices!BO265:BX1253,2,FALSE),"")</f>
        <v/>
      </c>
      <c r="F237">
        <v>235</v>
      </c>
      <c r="G237" t="str">
        <f ca="1">IFERROR(VLOOKUP(F237,StorageDevices!CJ265:CS1253,2,FALSE),"")</f>
        <v/>
      </c>
      <c r="H237">
        <v>235</v>
      </c>
    </row>
    <row r="238" spans="1:8">
      <c r="A238" t="str">
        <f ca="1">IFERROR(VLOOKUP(B238,StorageDevices!Y266:AC1263,2,FALSE),"")</f>
        <v/>
      </c>
      <c r="B238">
        <v>236</v>
      </c>
      <c r="C238" t="str">
        <f ca="1">IFERROR(VLOOKUP(D238,StorageDevices!AT266:BC1263,2,FALSE),"")</f>
        <v/>
      </c>
      <c r="D238">
        <v>236</v>
      </c>
      <c r="E238" t="str">
        <f ca="1">IFERROR(VLOOKUP(D238,StorageDevices!BO266:BX1254,2,FALSE),"")</f>
        <v/>
      </c>
      <c r="F238">
        <v>236</v>
      </c>
      <c r="G238" t="str">
        <f ca="1">IFERROR(VLOOKUP(F238,StorageDevices!CJ266:CS1254,2,FALSE),"")</f>
        <v/>
      </c>
      <c r="H238">
        <v>236</v>
      </c>
    </row>
    <row r="239" spans="1:8">
      <c r="A239" t="str">
        <f ca="1">IFERROR(VLOOKUP(B239,StorageDevices!Y267:AC1264,2,FALSE),"")</f>
        <v/>
      </c>
      <c r="B239">
        <v>237</v>
      </c>
      <c r="C239" t="str">
        <f ca="1">IFERROR(VLOOKUP(D239,StorageDevices!AT267:BC1264,2,FALSE),"")</f>
        <v/>
      </c>
      <c r="D239">
        <v>237</v>
      </c>
      <c r="E239" t="str">
        <f ca="1">IFERROR(VLOOKUP(D239,StorageDevices!BO267:BX1255,2,FALSE),"")</f>
        <v/>
      </c>
      <c r="F239">
        <v>237</v>
      </c>
      <c r="G239" t="str">
        <f ca="1">IFERROR(VLOOKUP(F239,StorageDevices!CJ267:CS1255,2,FALSE),"")</f>
        <v/>
      </c>
      <c r="H239">
        <v>237</v>
      </c>
    </row>
    <row r="240" spans="1:8">
      <c r="A240" t="str">
        <f ca="1">IFERROR(VLOOKUP(B240,StorageDevices!Y268:AC1265,2,FALSE),"")</f>
        <v/>
      </c>
      <c r="B240">
        <v>238</v>
      </c>
      <c r="C240" t="str">
        <f ca="1">IFERROR(VLOOKUP(D240,StorageDevices!AT268:BC1265,2,FALSE),"")</f>
        <v/>
      </c>
      <c r="D240">
        <v>238</v>
      </c>
      <c r="E240" t="str">
        <f ca="1">IFERROR(VLOOKUP(D240,StorageDevices!BO268:BX1256,2,FALSE),"")</f>
        <v/>
      </c>
      <c r="F240">
        <v>238</v>
      </c>
      <c r="G240" t="str">
        <f ca="1">IFERROR(VLOOKUP(F240,StorageDevices!CJ268:CS1256,2,FALSE),"")</f>
        <v/>
      </c>
      <c r="H240">
        <v>238</v>
      </c>
    </row>
    <row r="241" spans="1:8">
      <c r="A241" t="str">
        <f ca="1">IFERROR(VLOOKUP(B241,StorageDevices!Y269:AC1266,2,FALSE),"")</f>
        <v/>
      </c>
      <c r="B241">
        <v>239</v>
      </c>
      <c r="C241" t="str">
        <f ca="1">IFERROR(VLOOKUP(D241,StorageDevices!AT269:BC1266,2,FALSE),"")</f>
        <v/>
      </c>
      <c r="D241">
        <v>239</v>
      </c>
      <c r="E241" t="str">
        <f ca="1">IFERROR(VLOOKUP(D241,StorageDevices!BO269:BX1257,2,FALSE),"")</f>
        <v/>
      </c>
      <c r="F241">
        <v>239</v>
      </c>
      <c r="G241" t="str">
        <f ca="1">IFERROR(VLOOKUP(F241,StorageDevices!CJ269:CS1257,2,FALSE),"")</f>
        <v/>
      </c>
      <c r="H241">
        <v>239</v>
      </c>
    </row>
    <row r="242" spans="1:8">
      <c r="A242" t="str">
        <f ca="1">IFERROR(VLOOKUP(B242,StorageDevices!Y270:AC1267,2,FALSE),"")</f>
        <v/>
      </c>
      <c r="B242">
        <v>240</v>
      </c>
      <c r="C242" t="str">
        <f ca="1">IFERROR(VLOOKUP(D242,StorageDevices!AT270:BC1267,2,FALSE),"")</f>
        <v/>
      </c>
      <c r="D242">
        <v>240</v>
      </c>
      <c r="E242" t="str">
        <f ca="1">IFERROR(VLOOKUP(D242,StorageDevices!BO270:BX1258,2,FALSE),"")</f>
        <v/>
      </c>
      <c r="F242">
        <v>240</v>
      </c>
      <c r="G242" t="str">
        <f ca="1">IFERROR(VLOOKUP(F242,StorageDevices!CJ270:CS1258,2,FALSE),"")</f>
        <v/>
      </c>
      <c r="H242">
        <v>240</v>
      </c>
    </row>
    <row r="243" spans="1:8">
      <c r="A243" t="str">
        <f ca="1">IFERROR(VLOOKUP(B243,StorageDevices!Y271:AC1268,2,FALSE),"")</f>
        <v/>
      </c>
      <c r="B243">
        <v>241</v>
      </c>
      <c r="C243" t="str">
        <f ca="1">IFERROR(VLOOKUP(D243,StorageDevices!AT271:BC1268,2,FALSE),"")</f>
        <v/>
      </c>
      <c r="D243">
        <v>241</v>
      </c>
      <c r="E243" t="str">
        <f ca="1">IFERROR(VLOOKUP(D243,StorageDevices!BO271:BX1259,2,FALSE),"")</f>
        <v/>
      </c>
      <c r="F243">
        <v>241</v>
      </c>
      <c r="G243" t="str">
        <f ca="1">IFERROR(VLOOKUP(F243,StorageDevices!CJ271:CS1259,2,FALSE),"")</f>
        <v/>
      </c>
      <c r="H243">
        <v>241</v>
      </c>
    </row>
    <row r="244" spans="1:8">
      <c r="A244" t="str">
        <f ca="1">IFERROR(VLOOKUP(B244,StorageDevices!Y272:AC1269,2,FALSE),"")</f>
        <v/>
      </c>
      <c r="B244">
        <v>242</v>
      </c>
      <c r="C244" t="str">
        <f ca="1">IFERROR(VLOOKUP(D244,StorageDevices!AT272:BC1269,2,FALSE),"")</f>
        <v/>
      </c>
      <c r="D244">
        <v>242</v>
      </c>
      <c r="E244" t="str">
        <f ca="1">IFERROR(VLOOKUP(D244,StorageDevices!BO272:BX1260,2,FALSE),"")</f>
        <v/>
      </c>
      <c r="F244">
        <v>242</v>
      </c>
      <c r="G244" t="str">
        <f ca="1">IFERROR(VLOOKUP(F244,StorageDevices!CJ272:CS1260,2,FALSE),"")</f>
        <v/>
      </c>
      <c r="H244">
        <v>242</v>
      </c>
    </row>
    <row r="245" spans="1:8">
      <c r="A245" t="str">
        <f ca="1">IFERROR(VLOOKUP(B245,StorageDevices!Y273:AC1270,2,FALSE),"")</f>
        <v/>
      </c>
      <c r="B245">
        <v>243</v>
      </c>
      <c r="C245" t="str">
        <f ca="1">IFERROR(VLOOKUP(D245,StorageDevices!AT273:BC1270,2,FALSE),"")</f>
        <v/>
      </c>
      <c r="D245">
        <v>243</v>
      </c>
      <c r="E245" t="str">
        <f ca="1">IFERROR(VLOOKUP(D245,StorageDevices!BO273:BX1261,2,FALSE),"")</f>
        <v/>
      </c>
      <c r="F245">
        <v>243</v>
      </c>
      <c r="G245" t="str">
        <f ca="1">IFERROR(VLOOKUP(F245,StorageDevices!CJ273:CS1261,2,FALSE),"")</f>
        <v/>
      </c>
      <c r="H245">
        <v>243</v>
      </c>
    </row>
    <row r="246" spans="1:8">
      <c r="A246" t="str">
        <f ca="1">IFERROR(VLOOKUP(B246,StorageDevices!Y274:AC1271,2,FALSE),"")</f>
        <v/>
      </c>
      <c r="B246">
        <v>244</v>
      </c>
      <c r="C246" t="str">
        <f ca="1">IFERROR(VLOOKUP(D246,StorageDevices!AT274:BC1271,2,FALSE),"")</f>
        <v/>
      </c>
      <c r="D246">
        <v>244</v>
      </c>
      <c r="E246" t="str">
        <f ca="1">IFERROR(VLOOKUP(D246,StorageDevices!BO274:BX1262,2,FALSE),"")</f>
        <v/>
      </c>
      <c r="F246">
        <v>244</v>
      </c>
      <c r="G246" t="str">
        <f ca="1">IFERROR(VLOOKUP(F246,StorageDevices!CJ274:CS1262,2,FALSE),"")</f>
        <v/>
      </c>
      <c r="H246">
        <v>244</v>
      </c>
    </row>
    <row r="247" spans="1:8">
      <c r="A247" t="str">
        <f ca="1">IFERROR(VLOOKUP(B247,StorageDevices!Y275:AC1272,2,FALSE),"")</f>
        <v/>
      </c>
      <c r="B247">
        <v>245</v>
      </c>
      <c r="C247" t="str">
        <f ca="1">IFERROR(VLOOKUP(D247,StorageDevices!AT275:BC1272,2,FALSE),"")</f>
        <v/>
      </c>
      <c r="D247">
        <v>245</v>
      </c>
      <c r="E247" t="str">
        <f ca="1">IFERROR(VLOOKUP(D247,StorageDevices!BO275:BX1263,2,FALSE),"")</f>
        <v/>
      </c>
      <c r="F247">
        <v>245</v>
      </c>
      <c r="G247" t="str">
        <f ca="1">IFERROR(VLOOKUP(F247,StorageDevices!CJ275:CS1263,2,FALSE),"")</f>
        <v/>
      </c>
      <c r="H247">
        <v>245</v>
      </c>
    </row>
    <row r="248" spans="1:8">
      <c r="A248" t="str">
        <f ca="1">IFERROR(VLOOKUP(B248,StorageDevices!Y276:AC1273,2,FALSE),"")</f>
        <v/>
      </c>
      <c r="B248">
        <v>246</v>
      </c>
      <c r="C248" t="str">
        <f ca="1">IFERROR(VLOOKUP(D248,StorageDevices!AT276:BC1273,2,FALSE),"")</f>
        <v/>
      </c>
      <c r="D248">
        <v>246</v>
      </c>
      <c r="E248" t="str">
        <f ca="1">IFERROR(VLOOKUP(D248,StorageDevices!BO276:BX1264,2,FALSE),"")</f>
        <v/>
      </c>
      <c r="F248">
        <v>246</v>
      </c>
      <c r="G248" t="str">
        <f ca="1">IFERROR(VLOOKUP(F248,StorageDevices!CJ276:CS1264,2,FALSE),"")</f>
        <v/>
      </c>
      <c r="H248">
        <v>246</v>
      </c>
    </row>
    <row r="249" spans="1:8">
      <c r="A249" t="str">
        <f ca="1">IFERROR(VLOOKUP(B249,StorageDevices!Y277:AC1274,2,FALSE),"")</f>
        <v/>
      </c>
      <c r="B249">
        <v>247</v>
      </c>
      <c r="C249" t="str">
        <f ca="1">IFERROR(VLOOKUP(D249,StorageDevices!AT277:BC1274,2,FALSE),"")</f>
        <v/>
      </c>
      <c r="D249">
        <v>247</v>
      </c>
      <c r="E249" t="str">
        <f ca="1">IFERROR(VLOOKUP(D249,StorageDevices!BO277:BX1265,2,FALSE),"")</f>
        <v/>
      </c>
      <c r="F249">
        <v>247</v>
      </c>
      <c r="G249" t="str">
        <f ca="1">IFERROR(VLOOKUP(F249,StorageDevices!CJ277:CS1265,2,FALSE),"")</f>
        <v/>
      </c>
      <c r="H249">
        <v>247</v>
      </c>
    </row>
    <row r="250" spans="1:8">
      <c r="A250" t="str">
        <f ca="1">IFERROR(VLOOKUP(B250,StorageDevices!Y278:AC1275,2,FALSE),"")</f>
        <v/>
      </c>
      <c r="B250">
        <v>248</v>
      </c>
      <c r="C250" t="str">
        <f ca="1">IFERROR(VLOOKUP(D250,StorageDevices!AT278:BC1275,2,FALSE),"")</f>
        <v/>
      </c>
      <c r="D250">
        <v>248</v>
      </c>
      <c r="E250" t="str">
        <f ca="1">IFERROR(VLOOKUP(D250,StorageDevices!BO278:BX1266,2,FALSE),"")</f>
        <v/>
      </c>
      <c r="F250">
        <v>248</v>
      </c>
      <c r="G250" t="str">
        <f ca="1">IFERROR(VLOOKUP(F250,StorageDevices!CJ278:CS1266,2,FALSE),"")</f>
        <v/>
      </c>
      <c r="H250">
        <v>248</v>
      </c>
    </row>
    <row r="251" spans="1:8">
      <c r="A251" t="str">
        <f ca="1">IFERROR(VLOOKUP(B251,StorageDevices!Y279:AC1276,2,FALSE),"")</f>
        <v/>
      </c>
      <c r="B251">
        <v>249</v>
      </c>
      <c r="C251" t="str">
        <f ca="1">IFERROR(VLOOKUP(D251,StorageDevices!AT279:BC1276,2,FALSE),"")</f>
        <v/>
      </c>
      <c r="D251">
        <v>249</v>
      </c>
      <c r="E251" t="str">
        <f ca="1">IFERROR(VLOOKUP(D251,StorageDevices!BO279:BX1267,2,FALSE),"")</f>
        <v/>
      </c>
      <c r="F251">
        <v>249</v>
      </c>
      <c r="G251" t="str">
        <f ca="1">IFERROR(VLOOKUP(F251,StorageDevices!CJ279:CS1267,2,FALSE),"")</f>
        <v/>
      </c>
      <c r="H251">
        <v>249</v>
      </c>
    </row>
    <row r="252" spans="1:8">
      <c r="A252" t="str">
        <f ca="1">IFERROR(VLOOKUP(B252,StorageDevices!Y280:AC1277,2,FALSE),"")</f>
        <v/>
      </c>
      <c r="B252">
        <v>250</v>
      </c>
      <c r="C252" t="str">
        <f ca="1">IFERROR(VLOOKUP(D252,StorageDevices!AT280:BC1277,2,FALSE),"")</f>
        <v/>
      </c>
      <c r="D252">
        <v>250</v>
      </c>
      <c r="E252" t="str">
        <f ca="1">IFERROR(VLOOKUP(D252,StorageDevices!BO280:BX1268,2,FALSE),"")</f>
        <v/>
      </c>
      <c r="F252">
        <v>250</v>
      </c>
      <c r="G252" t="str">
        <f ca="1">IFERROR(VLOOKUP(F252,StorageDevices!CJ280:CS1268,2,FALSE),"")</f>
        <v/>
      </c>
      <c r="H252">
        <v>250</v>
      </c>
    </row>
    <row r="253" spans="1:8">
      <c r="A253" t="str">
        <f ca="1">IFERROR(VLOOKUP(B253,StorageDevices!Y281:AC1278,2,FALSE),"")</f>
        <v/>
      </c>
      <c r="B253">
        <v>251</v>
      </c>
      <c r="C253" t="str">
        <f ca="1">IFERROR(VLOOKUP(D253,StorageDevices!AT281:BC1278,2,FALSE),"")</f>
        <v/>
      </c>
      <c r="D253">
        <v>251</v>
      </c>
      <c r="E253" t="str">
        <f ca="1">IFERROR(VLOOKUP(D253,StorageDevices!BO281:BX1269,2,FALSE),"")</f>
        <v/>
      </c>
      <c r="F253">
        <v>251</v>
      </c>
      <c r="G253" t="str">
        <f ca="1">IFERROR(VLOOKUP(F253,StorageDevices!CJ281:CS1269,2,FALSE),"")</f>
        <v/>
      </c>
      <c r="H253">
        <v>251</v>
      </c>
    </row>
    <row r="254" spans="1:8">
      <c r="A254" t="str">
        <f ca="1">IFERROR(VLOOKUP(B254,StorageDevices!Y282:AC1279,2,FALSE),"")</f>
        <v/>
      </c>
      <c r="B254">
        <v>252</v>
      </c>
      <c r="C254" t="str">
        <f ca="1">IFERROR(VLOOKUP(D254,StorageDevices!AT282:BC1279,2,FALSE),"")</f>
        <v/>
      </c>
      <c r="D254">
        <v>252</v>
      </c>
      <c r="E254" t="str">
        <f ca="1">IFERROR(VLOOKUP(D254,StorageDevices!BO282:BX1270,2,FALSE),"")</f>
        <v/>
      </c>
      <c r="F254">
        <v>252</v>
      </c>
      <c r="G254" t="str">
        <f ca="1">IFERROR(VLOOKUP(F254,StorageDevices!CJ282:CS1270,2,FALSE),"")</f>
        <v/>
      </c>
      <c r="H254">
        <v>252</v>
      </c>
    </row>
    <row r="255" spans="1:8">
      <c r="A255" t="str">
        <f ca="1">IFERROR(VLOOKUP(B255,StorageDevices!Y283:AC1280,2,FALSE),"")</f>
        <v/>
      </c>
      <c r="B255">
        <v>253</v>
      </c>
      <c r="C255" t="str">
        <f ca="1">IFERROR(VLOOKUP(D255,StorageDevices!AT283:BC1280,2,FALSE),"")</f>
        <v/>
      </c>
      <c r="D255">
        <v>253</v>
      </c>
      <c r="E255" t="str">
        <f ca="1">IFERROR(VLOOKUP(D255,StorageDevices!BO283:BX1271,2,FALSE),"")</f>
        <v/>
      </c>
      <c r="F255">
        <v>253</v>
      </c>
      <c r="G255" t="str">
        <f ca="1">IFERROR(VLOOKUP(F255,StorageDevices!CJ283:CS1271,2,FALSE),"")</f>
        <v/>
      </c>
      <c r="H255">
        <v>253</v>
      </c>
    </row>
    <row r="256" spans="1:8">
      <c r="A256" t="str">
        <f ca="1">IFERROR(VLOOKUP(B256,StorageDevices!Y284:AC1281,2,FALSE),"")</f>
        <v/>
      </c>
      <c r="B256">
        <v>254</v>
      </c>
      <c r="C256" t="str">
        <f ca="1">IFERROR(VLOOKUP(D256,StorageDevices!AT284:BC1281,2,FALSE),"")</f>
        <v/>
      </c>
      <c r="D256">
        <v>254</v>
      </c>
      <c r="E256" t="str">
        <f ca="1">IFERROR(VLOOKUP(D256,StorageDevices!BO284:BX1272,2,FALSE),"")</f>
        <v/>
      </c>
      <c r="F256">
        <v>254</v>
      </c>
      <c r="G256" t="str">
        <f ca="1">IFERROR(VLOOKUP(F256,StorageDevices!CJ284:CS1272,2,FALSE),"")</f>
        <v/>
      </c>
      <c r="H256">
        <v>254</v>
      </c>
    </row>
    <row r="257" spans="1:8">
      <c r="A257" t="str">
        <f ca="1">IFERROR(VLOOKUP(B257,StorageDevices!Y285:AC1282,2,FALSE),"")</f>
        <v/>
      </c>
      <c r="B257">
        <v>255</v>
      </c>
      <c r="C257" t="str">
        <f ca="1">IFERROR(VLOOKUP(D257,StorageDevices!AT285:BC1282,2,FALSE),"")</f>
        <v/>
      </c>
      <c r="D257">
        <v>255</v>
      </c>
      <c r="E257" t="str">
        <f ca="1">IFERROR(VLOOKUP(D257,StorageDevices!BO285:BX1273,2,FALSE),"")</f>
        <v/>
      </c>
      <c r="F257">
        <v>255</v>
      </c>
      <c r="G257" t="str">
        <f ca="1">IFERROR(VLOOKUP(F257,StorageDevices!CJ285:CS1273,2,FALSE),"")</f>
        <v/>
      </c>
      <c r="H257">
        <v>255</v>
      </c>
    </row>
    <row r="258" spans="1:8">
      <c r="A258" t="str">
        <f ca="1">IFERROR(VLOOKUP(B258,StorageDevices!Y286:AC1283,2,FALSE),"")</f>
        <v/>
      </c>
      <c r="B258">
        <v>256</v>
      </c>
      <c r="C258" t="str">
        <f ca="1">IFERROR(VLOOKUP(D258,StorageDevices!AT286:BC1283,2,FALSE),"")</f>
        <v/>
      </c>
      <c r="D258">
        <v>256</v>
      </c>
      <c r="E258" t="str">
        <f ca="1">IFERROR(VLOOKUP(D258,StorageDevices!BO286:BX1274,2,FALSE),"")</f>
        <v/>
      </c>
      <c r="F258">
        <v>256</v>
      </c>
      <c r="G258" t="str">
        <f ca="1">IFERROR(VLOOKUP(F258,StorageDevices!CJ286:CS1274,2,FALSE),"")</f>
        <v/>
      </c>
      <c r="H258">
        <v>256</v>
      </c>
    </row>
    <row r="259" spans="1:8">
      <c r="A259" t="str">
        <f ca="1">IFERROR(VLOOKUP(B259,StorageDevices!Y287:AC1284,2,FALSE),"")</f>
        <v/>
      </c>
      <c r="B259">
        <v>257</v>
      </c>
      <c r="C259" t="str">
        <f ca="1">IFERROR(VLOOKUP(D259,StorageDevices!AT287:BC1284,2,FALSE),"")</f>
        <v/>
      </c>
      <c r="D259">
        <v>257</v>
      </c>
      <c r="E259" t="str">
        <f ca="1">IFERROR(VLOOKUP(D259,StorageDevices!BO287:BX1275,2,FALSE),"")</f>
        <v/>
      </c>
      <c r="F259">
        <v>257</v>
      </c>
      <c r="G259" t="str">
        <f ca="1">IFERROR(VLOOKUP(F259,StorageDevices!CJ287:CS1275,2,FALSE),"")</f>
        <v/>
      </c>
      <c r="H259">
        <v>257</v>
      </c>
    </row>
    <row r="260" spans="1:8">
      <c r="A260" t="str">
        <f ca="1">IFERROR(VLOOKUP(B260,StorageDevices!Y288:AC1285,2,FALSE),"")</f>
        <v/>
      </c>
      <c r="B260">
        <v>258</v>
      </c>
      <c r="C260" t="str">
        <f ca="1">IFERROR(VLOOKUP(D260,StorageDevices!AT288:BC1285,2,FALSE),"")</f>
        <v/>
      </c>
      <c r="D260">
        <v>258</v>
      </c>
      <c r="E260" t="str">
        <f ca="1">IFERROR(VLOOKUP(D260,StorageDevices!BO288:BX1276,2,FALSE),"")</f>
        <v/>
      </c>
      <c r="F260">
        <v>258</v>
      </c>
      <c r="G260" t="str">
        <f ca="1">IFERROR(VLOOKUP(F260,StorageDevices!CJ288:CS1276,2,FALSE),"")</f>
        <v/>
      </c>
      <c r="H260">
        <v>258</v>
      </c>
    </row>
    <row r="261" spans="1:8">
      <c r="A261" t="str">
        <f ca="1">IFERROR(VLOOKUP(B261,StorageDevices!Y289:AC1286,2,FALSE),"")</f>
        <v/>
      </c>
      <c r="B261">
        <v>259</v>
      </c>
      <c r="C261" t="str">
        <f ca="1">IFERROR(VLOOKUP(D261,StorageDevices!AT289:BC1286,2,FALSE),"")</f>
        <v/>
      </c>
      <c r="D261">
        <v>259</v>
      </c>
      <c r="E261" t="str">
        <f ca="1">IFERROR(VLOOKUP(D261,StorageDevices!BO289:BX1277,2,FALSE),"")</f>
        <v/>
      </c>
      <c r="F261">
        <v>259</v>
      </c>
      <c r="G261" t="str">
        <f ca="1">IFERROR(VLOOKUP(F261,StorageDevices!CJ289:CS1277,2,FALSE),"")</f>
        <v/>
      </c>
      <c r="H261">
        <v>259</v>
      </c>
    </row>
    <row r="262" spans="1:8">
      <c r="A262" t="str">
        <f ca="1">IFERROR(VLOOKUP(B262,StorageDevices!Y290:AC1287,2,FALSE),"")</f>
        <v/>
      </c>
      <c r="B262">
        <v>260</v>
      </c>
      <c r="C262" t="str">
        <f ca="1">IFERROR(VLOOKUP(D262,StorageDevices!AT290:BC1287,2,FALSE),"")</f>
        <v/>
      </c>
      <c r="D262">
        <v>260</v>
      </c>
      <c r="E262" t="str">
        <f ca="1">IFERROR(VLOOKUP(D262,StorageDevices!BO290:BX1278,2,FALSE),"")</f>
        <v/>
      </c>
      <c r="F262">
        <v>260</v>
      </c>
      <c r="G262" t="str">
        <f ca="1">IFERROR(VLOOKUP(F262,StorageDevices!CJ290:CS1278,2,FALSE),"")</f>
        <v/>
      </c>
      <c r="H262">
        <v>260</v>
      </c>
    </row>
    <row r="263" spans="1:8">
      <c r="A263" t="str">
        <f ca="1">IFERROR(VLOOKUP(B263,StorageDevices!Y291:AC1288,2,FALSE),"")</f>
        <v/>
      </c>
      <c r="B263">
        <v>261</v>
      </c>
      <c r="C263" t="str">
        <f ca="1">IFERROR(VLOOKUP(D263,StorageDevices!AT291:BC1288,2,FALSE),"")</f>
        <v/>
      </c>
      <c r="D263">
        <v>261</v>
      </c>
      <c r="E263" t="str">
        <f ca="1">IFERROR(VLOOKUP(D263,StorageDevices!BO291:BX1279,2,FALSE),"")</f>
        <v/>
      </c>
      <c r="F263">
        <v>261</v>
      </c>
      <c r="G263" t="str">
        <f ca="1">IFERROR(VLOOKUP(F263,StorageDevices!CJ291:CS1279,2,FALSE),"")</f>
        <v/>
      </c>
      <c r="H263">
        <v>261</v>
      </c>
    </row>
    <row r="264" spans="1:8">
      <c r="A264" t="str">
        <f ca="1">IFERROR(VLOOKUP(B264,StorageDevices!Y292:AC1289,2,FALSE),"")</f>
        <v/>
      </c>
      <c r="B264">
        <v>262</v>
      </c>
      <c r="C264" t="str">
        <f ca="1">IFERROR(VLOOKUP(D264,StorageDevices!AT292:BC1289,2,FALSE),"")</f>
        <v/>
      </c>
      <c r="D264">
        <v>262</v>
      </c>
      <c r="E264" t="str">
        <f ca="1">IFERROR(VLOOKUP(D264,StorageDevices!BO292:BX1280,2,FALSE),"")</f>
        <v/>
      </c>
      <c r="F264">
        <v>262</v>
      </c>
      <c r="G264" t="str">
        <f ca="1">IFERROR(VLOOKUP(F264,StorageDevices!CJ292:CS1280,2,FALSE),"")</f>
        <v/>
      </c>
      <c r="H264">
        <v>262</v>
      </c>
    </row>
    <row r="265" spans="1:8">
      <c r="A265" t="str">
        <f ca="1">IFERROR(VLOOKUP(B265,StorageDevices!Y293:AC1290,2,FALSE),"")</f>
        <v/>
      </c>
      <c r="B265">
        <v>263</v>
      </c>
      <c r="C265" t="str">
        <f ca="1">IFERROR(VLOOKUP(D265,StorageDevices!AT293:BC1290,2,FALSE),"")</f>
        <v/>
      </c>
      <c r="D265">
        <v>263</v>
      </c>
      <c r="E265" t="str">
        <f ca="1">IFERROR(VLOOKUP(D265,StorageDevices!BO293:BX1281,2,FALSE),"")</f>
        <v/>
      </c>
      <c r="F265">
        <v>263</v>
      </c>
      <c r="G265" t="str">
        <f ca="1">IFERROR(VLOOKUP(F265,StorageDevices!CJ293:CS1281,2,FALSE),"")</f>
        <v/>
      </c>
      <c r="H265">
        <v>263</v>
      </c>
    </row>
    <row r="266" spans="1:8">
      <c r="A266" t="str">
        <f ca="1">IFERROR(VLOOKUP(B266,StorageDevices!Y294:AC1291,2,FALSE),"")</f>
        <v/>
      </c>
      <c r="B266">
        <v>264</v>
      </c>
      <c r="C266" t="str">
        <f ca="1">IFERROR(VLOOKUP(D266,StorageDevices!AT294:BC1291,2,FALSE),"")</f>
        <v/>
      </c>
      <c r="D266">
        <v>264</v>
      </c>
      <c r="E266" t="str">
        <f ca="1">IFERROR(VLOOKUP(D266,StorageDevices!BO294:BX1282,2,FALSE),"")</f>
        <v/>
      </c>
      <c r="F266">
        <v>264</v>
      </c>
      <c r="G266" t="str">
        <f ca="1">IFERROR(VLOOKUP(F266,StorageDevices!CJ294:CS1282,2,FALSE),"")</f>
        <v/>
      </c>
      <c r="H266">
        <v>264</v>
      </c>
    </row>
    <row r="267" spans="1:8">
      <c r="A267" t="str">
        <f ca="1">IFERROR(VLOOKUP(B267,StorageDevices!Y295:AC1292,2,FALSE),"")</f>
        <v/>
      </c>
      <c r="B267">
        <v>265</v>
      </c>
      <c r="C267" t="str">
        <f ca="1">IFERROR(VLOOKUP(D267,StorageDevices!AT295:BC1292,2,FALSE),"")</f>
        <v/>
      </c>
      <c r="D267">
        <v>265</v>
      </c>
      <c r="E267" t="str">
        <f ca="1">IFERROR(VLOOKUP(D267,StorageDevices!BO295:BX1283,2,FALSE),"")</f>
        <v/>
      </c>
      <c r="F267">
        <v>265</v>
      </c>
      <c r="G267" t="str">
        <f ca="1">IFERROR(VLOOKUP(F267,StorageDevices!CJ295:CS1283,2,FALSE),"")</f>
        <v/>
      </c>
      <c r="H267">
        <v>265</v>
      </c>
    </row>
    <row r="268" spans="1:8">
      <c r="A268" t="str">
        <f ca="1">IFERROR(VLOOKUP(B268,StorageDevices!Y296:AC1293,2,FALSE),"")</f>
        <v/>
      </c>
      <c r="B268">
        <v>266</v>
      </c>
      <c r="C268" t="str">
        <f ca="1">IFERROR(VLOOKUP(D268,StorageDevices!AT296:BC1293,2,FALSE),"")</f>
        <v/>
      </c>
      <c r="D268">
        <v>266</v>
      </c>
      <c r="E268" t="str">
        <f ca="1">IFERROR(VLOOKUP(D268,StorageDevices!BO296:BX1284,2,FALSE),"")</f>
        <v/>
      </c>
      <c r="F268">
        <v>266</v>
      </c>
      <c r="G268" t="str">
        <f ca="1">IFERROR(VLOOKUP(F268,StorageDevices!CJ296:CS1284,2,FALSE),"")</f>
        <v/>
      </c>
      <c r="H268">
        <v>266</v>
      </c>
    </row>
    <row r="269" spans="1:8">
      <c r="A269" t="str">
        <f ca="1">IFERROR(VLOOKUP(B269,StorageDevices!Y297:AC1294,2,FALSE),"")</f>
        <v/>
      </c>
      <c r="B269">
        <v>267</v>
      </c>
      <c r="C269" t="str">
        <f ca="1">IFERROR(VLOOKUP(D269,StorageDevices!AT297:BC1294,2,FALSE),"")</f>
        <v/>
      </c>
      <c r="D269">
        <v>267</v>
      </c>
      <c r="E269" t="str">
        <f ca="1">IFERROR(VLOOKUP(D269,StorageDevices!BO297:BX1285,2,FALSE),"")</f>
        <v/>
      </c>
      <c r="F269">
        <v>267</v>
      </c>
      <c r="G269" t="str">
        <f ca="1">IFERROR(VLOOKUP(F269,StorageDevices!CJ297:CS1285,2,FALSE),"")</f>
        <v/>
      </c>
      <c r="H269">
        <v>267</v>
      </c>
    </row>
    <row r="270" spans="1:8">
      <c r="A270" t="str">
        <f ca="1">IFERROR(VLOOKUP(B270,StorageDevices!Y298:AC1295,2,FALSE),"")</f>
        <v/>
      </c>
      <c r="B270">
        <v>268</v>
      </c>
      <c r="C270" t="str">
        <f ca="1">IFERROR(VLOOKUP(D270,StorageDevices!AT298:BC1295,2,FALSE),"")</f>
        <v/>
      </c>
      <c r="D270">
        <v>268</v>
      </c>
      <c r="E270" t="str">
        <f ca="1">IFERROR(VLOOKUP(D270,StorageDevices!BO298:BX1286,2,FALSE),"")</f>
        <v/>
      </c>
      <c r="F270">
        <v>268</v>
      </c>
      <c r="G270" t="str">
        <f ca="1">IFERROR(VLOOKUP(F270,StorageDevices!CJ298:CS1286,2,FALSE),"")</f>
        <v/>
      </c>
      <c r="H270">
        <v>268</v>
      </c>
    </row>
    <row r="271" spans="1:8">
      <c r="A271" t="str">
        <f ca="1">IFERROR(VLOOKUP(B271,StorageDevices!Y299:AC1296,2,FALSE),"")</f>
        <v/>
      </c>
      <c r="B271">
        <v>269</v>
      </c>
      <c r="C271" t="str">
        <f ca="1">IFERROR(VLOOKUP(D271,StorageDevices!AT299:BC1296,2,FALSE),"")</f>
        <v/>
      </c>
      <c r="D271">
        <v>269</v>
      </c>
      <c r="E271" t="str">
        <f ca="1">IFERROR(VLOOKUP(D271,StorageDevices!BO299:BX1287,2,FALSE),"")</f>
        <v/>
      </c>
      <c r="F271">
        <v>269</v>
      </c>
      <c r="G271" t="str">
        <f ca="1">IFERROR(VLOOKUP(F271,StorageDevices!CJ299:CS1287,2,FALSE),"")</f>
        <v/>
      </c>
      <c r="H271">
        <v>269</v>
      </c>
    </row>
    <row r="272" spans="1:8">
      <c r="A272" t="str">
        <f ca="1">IFERROR(VLOOKUP(B272,StorageDevices!Y300:AC1297,2,FALSE),"")</f>
        <v/>
      </c>
      <c r="B272">
        <v>270</v>
      </c>
      <c r="C272" t="str">
        <f ca="1">IFERROR(VLOOKUP(D272,StorageDevices!AT300:BC1297,2,FALSE),"")</f>
        <v/>
      </c>
      <c r="D272">
        <v>270</v>
      </c>
      <c r="E272" t="str">
        <f ca="1">IFERROR(VLOOKUP(D272,StorageDevices!BO300:BX1288,2,FALSE),"")</f>
        <v/>
      </c>
      <c r="F272">
        <v>270</v>
      </c>
      <c r="G272" t="str">
        <f ca="1">IFERROR(VLOOKUP(F272,StorageDevices!CJ300:CS1288,2,FALSE),"")</f>
        <v/>
      </c>
      <c r="H272">
        <v>270</v>
      </c>
    </row>
    <row r="273" spans="1:8">
      <c r="A273" t="str">
        <f ca="1">IFERROR(VLOOKUP(B273,StorageDevices!Y301:AC1298,2,FALSE),"")</f>
        <v/>
      </c>
      <c r="B273">
        <v>271</v>
      </c>
      <c r="C273" t="str">
        <f ca="1">IFERROR(VLOOKUP(D273,StorageDevices!AT301:BC1298,2,FALSE),"")</f>
        <v/>
      </c>
      <c r="D273">
        <v>271</v>
      </c>
      <c r="E273" t="str">
        <f ca="1">IFERROR(VLOOKUP(D273,StorageDevices!BO301:BX1289,2,FALSE),"")</f>
        <v/>
      </c>
      <c r="F273">
        <v>271</v>
      </c>
      <c r="G273" t="str">
        <f ca="1">IFERROR(VLOOKUP(F273,StorageDevices!CJ301:CS1289,2,FALSE),"")</f>
        <v/>
      </c>
      <c r="H273">
        <v>271</v>
      </c>
    </row>
    <row r="274" spans="1:8">
      <c r="A274" t="str">
        <f ca="1">IFERROR(VLOOKUP(B274,StorageDevices!Y302:AC1299,2,FALSE),"")</f>
        <v/>
      </c>
      <c r="B274">
        <v>272</v>
      </c>
      <c r="C274" t="str">
        <f ca="1">IFERROR(VLOOKUP(D274,StorageDevices!AT302:BC1299,2,FALSE),"")</f>
        <v/>
      </c>
      <c r="D274">
        <v>272</v>
      </c>
      <c r="E274" t="str">
        <f ca="1">IFERROR(VLOOKUP(D274,StorageDevices!BO302:BX1290,2,FALSE),"")</f>
        <v/>
      </c>
      <c r="F274">
        <v>272</v>
      </c>
      <c r="G274" t="str">
        <f ca="1">IFERROR(VLOOKUP(F274,StorageDevices!CJ302:CS1290,2,FALSE),"")</f>
        <v/>
      </c>
      <c r="H274">
        <v>272</v>
      </c>
    </row>
    <row r="275" spans="1:8">
      <c r="A275" t="str">
        <f ca="1">IFERROR(VLOOKUP(B275,StorageDevices!Y303:AC1300,2,FALSE),"")</f>
        <v/>
      </c>
      <c r="B275">
        <v>273</v>
      </c>
      <c r="C275" t="str">
        <f ca="1">IFERROR(VLOOKUP(D275,StorageDevices!AT303:BC1300,2,FALSE),"")</f>
        <v/>
      </c>
      <c r="D275">
        <v>273</v>
      </c>
      <c r="E275" t="str">
        <f ca="1">IFERROR(VLOOKUP(D275,StorageDevices!BO303:BX1291,2,FALSE),"")</f>
        <v/>
      </c>
      <c r="F275">
        <v>273</v>
      </c>
      <c r="G275" t="str">
        <f ca="1">IFERROR(VLOOKUP(F275,StorageDevices!CJ303:CS1291,2,FALSE),"")</f>
        <v/>
      </c>
      <c r="H275">
        <v>273</v>
      </c>
    </row>
    <row r="276" spans="1:8">
      <c r="A276" t="str">
        <f ca="1">IFERROR(VLOOKUP(B276,StorageDevices!Y304:AC1301,2,FALSE),"")</f>
        <v/>
      </c>
      <c r="B276">
        <v>274</v>
      </c>
      <c r="C276" t="str">
        <f ca="1">IFERROR(VLOOKUP(D276,StorageDevices!AT304:BC1301,2,FALSE),"")</f>
        <v/>
      </c>
      <c r="D276">
        <v>274</v>
      </c>
      <c r="E276" t="str">
        <f ca="1">IFERROR(VLOOKUP(D276,StorageDevices!BO304:BX1292,2,FALSE),"")</f>
        <v/>
      </c>
      <c r="F276">
        <v>274</v>
      </c>
      <c r="G276" t="str">
        <f ca="1">IFERROR(VLOOKUP(F276,StorageDevices!CJ304:CS1292,2,FALSE),"")</f>
        <v/>
      </c>
      <c r="H276">
        <v>274</v>
      </c>
    </row>
    <row r="277" spans="1:8">
      <c r="A277" t="str">
        <f ca="1">IFERROR(VLOOKUP(B277,StorageDevices!Y305:AC1302,2,FALSE),"")</f>
        <v/>
      </c>
      <c r="B277">
        <v>275</v>
      </c>
      <c r="C277" t="str">
        <f ca="1">IFERROR(VLOOKUP(D277,StorageDevices!AT305:BC1302,2,FALSE),"")</f>
        <v/>
      </c>
      <c r="D277">
        <v>275</v>
      </c>
      <c r="E277" t="str">
        <f ca="1">IFERROR(VLOOKUP(D277,StorageDevices!BO305:BX1293,2,FALSE),"")</f>
        <v/>
      </c>
      <c r="F277">
        <v>275</v>
      </c>
      <c r="G277" t="str">
        <f ca="1">IFERROR(VLOOKUP(F277,StorageDevices!CJ305:CS1293,2,FALSE),"")</f>
        <v/>
      </c>
      <c r="H277">
        <v>275</v>
      </c>
    </row>
    <row r="278" spans="1:8">
      <c r="A278" t="str">
        <f ca="1">IFERROR(VLOOKUP(B278,StorageDevices!Y306:AC1303,2,FALSE),"")</f>
        <v/>
      </c>
      <c r="B278">
        <v>276</v>
      </c>
      <c r="C278" t="str">
        <f ca="1">IFERROR(VLOOKUP(D278,StorageDevices!AT306:BC1303,2,FALSE),"")</f>
        <v/>
      </c>
      <c r="D278">
        <v>276</v>
      </c>
      <c r="E278" t="str">
        <f ca="1">IFERROR(VLOOKUP(D278,StorageDevices!BO306:BX1294,2,FALSE),"")</f>
        <v/>
      </c>
      <c r="F278">
        <v>276</v>
      </c>
      <c r="G278" t="str">
        <f ca="1">IFERROR(VLOOKUP(F278,StorageDevices!CJ306:CS1294,2,FALSE),"")</f>
        <v/>
      </c>
      <c r="H278">
        <v>276</v>
      </c>
    </row>
    <row r="279" spans="1:8">
      <c r="A279" t="str">
        <f ca="1">IFERROR(VLOOKUP(B279,StorageDevices!Y307:AC1304,2,FALSE),"")</f>
        <v/>
      </c>
      <c r="B279">
        <v>277</v>
      </c>
      <c r="C279" t="str">
        <f ca="1">IFERROR(VLOOKUP(D279,StorageDevices!AT307:BC1304,2,FALSE),"")</f>
        <v/>
      </c>
      <c r="D279">
        <v>277</v>
      </c>
      <c r="E279" t="str">
        <f ca="1">IFERROR(VLOOKUP(D279,StorageDevices!BO307:BX1295,2,FALSE),"")</f>
        <v/>
      </c>
      <c r="F279">
        <v>277</v>
      </c>
      <c r="G279" t="str">
        <f ca="1">IFERROR(VLOOKUP(F279,StorageDevices!CJ307:CS1295,2,FALSE),"")</f>
        <v/>
      </c>
      <c r="H279">
        <v>277</v>
      </c>
    </row>
    <row r="280" spans="1:8">
      <c r="A280" t="str">
        <f ca="1">IFERROR(VLOOKUP(B280,StorageDevices!Y308:AC1305,2,FALSE),"")</f>
        <v/>
      </c>
      <c r="B280">
        <v>278</v>
      </c>
      <c r="C280" t="str">
        <f ca="1">IFERROR(VLOOKUP(D280,StorageDevices!AT308:BC1305,2,FALSE),"")</f>
        <v/>
      </c>
      <c r="D280">
        <v>278</v>
      </c>
      <c r="E280" t="str">
        <f ca="1">IFERROR(VLOOKUP(D280,StorageDevices!BO308:BX1296,2,FALSE),"")</f>
        <v/>
      </c>
      <c r="F280">
        <v>278</v>
      </c>
      <c r="G280" t="str">
        <f ca="1">IFERROR(VLOOKUP(F280,StorageDevices!CJ308:CS1296,2,FALSE),"")</f>
        <v/>
      </c>
      <c r="H280">
        <v>278</v>
      </c>
    </row>
    <row r="281" spans="1:8">
      <c r="A281" t="str">
        <f ca="1">IFERROR(VLOOKUP(B281,StorageDevices!Y309:AC1306,2,FALSE),"")</f>
        <v/>
      </c>
      <c r="B281">
        <v>279</v>
      </c>
      <c r="C281" t="str">
        <f ca="1">IFERROR(VLOOKUP(D281,StorageDevices!AT309:BC1306,2,FALSE),"")</f>
        <v/>
      </c>
      <c r="D281">
        <v>279</v>
      </c>
      <c r="E281" t="str">
        <f ca="1">IFERROR(VLOOKUP(D281,StorageDevices!BO309:BX1297,2,FALSE),"")</f>
        <v/>
      </c>
      <c r="F281">
        <v>279</v>
      </c>
      <c r="G281" t="str">
        <f ca="1">IFERROR(VLOOKUP(F281,StorageDevices!CJ309:CS1297,2,FALSE),"")</f>
        <v/>
      </c>
      <c r="H281">
        <v>279</v>
      </c>
    </row>
    <row r="282" spans="1:8">
      <c r="A282" t="str">
        <f ca="1">IFERROR(VLOOKUP(B282,StorageDevices!Y310:AC1307,2,FALSE),"")</f>
        <v/>
      </c>
      <c r="B282">
        <v>280</v>
      </c>
      <c r="C282" t="str">
        <f ca="1">IFERROR(VLOOKUP(D282,StorageDevices!AT310:BC1307,2,FALSE),"")</f>
        <v/>
      </c>
      <c r="D282">
        <v>280</v>
      </c>
      <c r="E282" t="str">
        <f ca="1">IFERROR(VLOOKUP(D282,StorageDevices!BO310:BX1298,2,FALSE),"")</f>
        <v/>
      </c>
      <c r="F282">
        <v>280</v>
      </c>
      <c r="G282" t="str">
        <f ca="1">IFERROR(VLOOKUP(F282,StorageDevices!CJ310:CS1298,2,FALSE),"")</f>
        <v/>
      </c>
      <c r="H282">
        <v>280</v>
      </c>
    </row>
    <row r="283" spans="1:8">
      <c r="A283" t="str">
        <f ca="1">IFERROR(VLOOKUP(B283,StorageDevices!Y311:AC1308,2,FALSE),"")</f>
        <v/>
      </c>
      <c r="B283">
        <v>281</v>
      </c>
      <c r="C283" t="str">
        <f ca="1">IFERROR(VLOOKUP(D283,StorageDevices!AT311:BC1308,2,FALSE),"")</f>
        <v/>
      </c>
      <c r="D283">
        <v>281</v>
      </c>
      <c r="E283" t="str">
        <f ca="1">IFERROR(VLOOKUP(D283,StorageDevices!BO311:BX1299,2,FALSE),"")</f>
        <v/>
      </c>
      <c r="F283">
        <v>281</v>
      </c>
      <c r="G283" t="str">
        <f ca="1">IFERROR(VLOOKUP(F283,StorageDevices!CJ311:CS1299,2,FALSE),"")</f>
        <v/>
      </c>
      <c r="H283">
        <v>281</v>
      </c>
    </row>
    <row r="284" spans="1:8">
      <c r="A284" t="str">
        <f ca="1">IFERROR(VLOOKUP(B284,StorageDevices!Y312:AC1309,2,FALSE),"")</f>
        <v/>
      </c>
      <c r="B284">
        <v>282</v>
      </c>
      <c r="C284" t="str">
        <f ca="1">IFERROR(VLOOKUP(D284,StorageDevices!AT312:BC1309,2,FALSE),"")</f>
        <v/>
      </c>
      <c r="D284">
        <v>282</v>
      </c>
      <c r="E284" t="str">
        <f ca="1">IFERROR(VLOOKUP(D284,StorageDevices!BO312:BX1300,2,FALSE),"")</f>
        <v/>
      </c>
      <c r="F284">
        <v>282</v>
      </c>
      <c r="G284" t="str">
        <f ca="1">IFERROR(VLOOKUP(F284,StorageDevices!CJ312:CS1300,2,FALSE),"")</f>
        <v/>
      </c>
      <c r="H284">
        <v>282</v>
      </c>
    </row>
    <row r="285" spans="1:8">
      <c r="A285" t="str">
        <f ca="1">IFERROR(VLOOKUP(B285,StorageDevices!Y313:AC1310,2,FALSE),"")</f>
        <v/>
      </c>
      <c r="B285">
        <v>283</v>
      </c>
      <c r="C285" t="str">
        <f ca="1">IFERROR(VLOOKUP(D285,StorageDevices!AT313:BC1310,2,FALSE),"")</f>
        <v/>
      </c>
      <c r="D285">
        <v>283</v>
      </c>
      <c r="E285" t="str">
        <f ca="1">IFERROR(VLOOKUP(D285,StorageDevices!BO313:BX1301,2,FALSE),"")</f>
        <v/>
      </c>
      <c r="F285">
        <v>283</v>
      </c>
      <c r="G285" t="str">
        <f ca="1">IFERROR(VLOOKUP(F285,StorageDevices!CJ313:CS1301,2,FALSE),"")</f>
        <v/>
      </c>
      <c r="H285">
        <v>283</v>
      </c>
    </row>
    <row r="286" spans="1:8">
      <c r="A286" t="str">
        <f ca="1">IFERROR(VLOOKUP(B286,StorageDevices!Y314:AC1311,2,FALSE),"")</f>
        <v/>
      </c>
      <c r="B286">
        <v>284</v>
      </c>
      <c r="C286" t="str">
        <f ca="1">IFERROR(VLOOKUP(D286,StorageDevices!AT314:BC1311,2,FALSE),"")</f>
        <v/>
      </c>
      <c r="D286">
        <v>284</v>
      </c>
      <c r="E286" t="str">
        <f ca="1">IFERROR(VLOOKUP(D286,StorageDevices!BO314:BX1302,2,FALSE),"")</f>
        <v/>
      </c>
      <c r="F286">
        <v>284</v>
      </c>
      <c r="G286" t="str">
        <f ca="1">IFERROR(VLOOKUP(F286,StorageDevices!CJ314:CS1302,2,FALSE),"")</f>
        <v/>
      </c>
      <c r="H286">
        <v>284</v>
      </c>
    </row>
    <row r="287" spans="1:8">
      <c r="A287" t="str">
        <f ca="1">IFERROR(VLOOKUP(B287,StorageDevices!Y315:AC1312,2,FALSE),"")</f>
        <v/>
      </c>
      <c r="B287">
        <v>285</v>
      </c>
      <c r="C287" t="str">
        <f ca="1">IFERROR(VLOOKUP(D287,StorageDevices!AT315:BC1312,2,FALSE),"")</f>
        <v/>
      </c>
      <c r="D287">
        <v>285</v>
      </c>
      <c r="E287" t="str">
        <f ca="1">IFERROR(VLOOKUP(D287,StorageDevices!BO315:BX1303,2,FALSE),"")</f>
        <v/>
      </c>
      <c r="F287">
        <v>285</v>
      </c>
      <c r="G287" t="str">
        <f ca="1">IFERROR(VLOOKUP(F287,StorageDevices!CJ315:CS1303,2,FALSE),"")</f>
        <v/>
      </c>
      <c r="H287">
        <v>285</v>
      </c>
    </row>
    <row r="288" spans="1:8">
      <c r="A288" t="str">
        <f ca="1">IFERROR(VLOOKUP(B288,StorageDevices!Y316:AC1313,2,FALSE),"")</f>
        <v/>
      </c>
      <c r="B288">
        <v>286</v>
      </c>
      <c r="C288" t="str">
        <f ca="1">IFERROR(VLOOKUP(D288,StorageDevices!AT316:BC1313,2,FALSE),"")</f>
        <v/>
      </c>
      <c r="D288">
        <v>286</v>
      </c>
      <c r="E288" t="str">
        <f ca="1">IFERROR(VLOOKUP(D288,StorageDevices!BO316:BX1304,2,FALSE),"")</f>
        <v/>
      </c>
      <c r="F288">
        <v>286</v>
      </c>
      <c r="G288" t="str">
        <f ca="1">IFERROR(VLOOKUP(F288,StorageDevices!CJ316:CS1304,2,FALSE),"")</f>
        <v/>
      </c>
      <c r="H288">
        <v>286</v>
      </c>
    </row>
    <row r="289" spans="1:8">
      <c r="A289" t="str">
        <f ca="1">IFERROR(VLOOKUP(B289,StorageDevices!Y317:AC1314,2,FALSE),"")</f>
        <v/>
      </c>
      <c r="B289">
        <v>287</v>
      </c>
      <c r="C289" t="str">
        <f ca="1">IFERROR(VLOOKUP(D289,StorageDevices!AT317:BC1314,2,FALSE),"")</f>
        <v/>
      </c>
      <c r="D289">
        <v>287</v>
      </c>
      <c r="E289" t="str">
        <f ca="1">IFERROR(VLOOKUP(D289,StorageDevices!BO317:BX1305,2,FALSE),"")</f>
        <v/>
      </c>
      <c r="F289">
        <v>287</v>
      </c>
      <c r="G289" t="str">
        <f ca="1">IFERROR(VLOOKUP(F289,StorageDevices!CJ317:CS1305,2,FALSE),"")</f>
        <v/>
      </c>
      <c r="H289">
        <v>287</v>
      </c>
    </row>
    <row r="290" spans="1:8">
      <c r="A290" t="str">
        <f ca="1">IFERROR(VLOOKUP(B290,StorageDevices!Y318:AC1315,2,FALSE),"")</f>
        <v/>
      </c>
      <c r="B290">
        <v>288</v>
      </c>
      <c r="C290" t="str">
        <f ca="1">IFERROR(VLOOKUP(D290,StorageDevices!AT318:BC1315,2,FALSE),"")</f>
        <v/>
      </c>
      <c r="D290">
        <v>288</v>
      </c>
      <c r="E290" t="str">
        <f ca="1">IFERROR(VLOOKUP(D290,StorageDevices!BO318:BX1306,2,FALSE),"")</f>
        <v/>
      </c>
      <c r="F290">
        <v>288</v>
      </c>
      <c r="G290" t="str">
        <f ca="1">IFERROR(VLOOKUP(F290,StorageDevices!CJ318:CS1306,2,FALSE),"")</f>
        <v/>
      </c>
      <c r="H290">
        <v>288</v>
      </c>
    </row>
    <row r="291" spans="1:8">
      <c r="A291" t="str">
        <f ca="1">IFERROR(VLOOKUP(B291,StorageDevices!Y319:AC1316,2,FALSE),"")</f>
        <v/>
      </c>
      <c r="B291">
        <v>289</v>
      </c>
      <c r="C291" t="str">
        <f ca="1">IFERROR(VLOOKUP(D291,StorageDevices!AT319:BC1316,2,FALSE),"")</f>
        <v/>
      </c>
      <c r="D291">
        <v>289</v>
      </c>
      <c r="E291" t="str">
        <f ca="1">IFERROR(VLOOKUP(D291,StorageDevices!BO319:BX1307,2,FALSE),"")</f>
        <v/>
      </c>
      <c r="F291">
        <v>289</v>
      </c>
      <c r="G291" t="str">
        <f ca="1">IFERROR(VLOOKUP(F291,StorageDevices!CJ319:CS1307,2,FALSE),"")</f>
        <v/>
      </c>
      <c r="H291">
        <v>289</v>
      </c>
    </row>
    <row r="292" spans="1:8">
      <c r="A292" t="str">
        <f ca="1">IFERROR(VLOOKUP(B292,StorageDevices!Y320:AC1317,2,FALSE),"")</f>
        <v/>
      </c>
      <c r="B292">
        <v>290</v>
      </c>
      <c r="C292" t="str">
        <f ca="1">IFERROR(VLOOKUP(D292,StorageDevices!AT320:BC1317,2,FALSE),"")</f>
        <v/>
      </c>
      <c r="D292">
        <v>290</v>
      </c>
      <c r="E292" t="str">
        <f ca="1">IFERROR(VLOOKUP(D292,StorageDevices!BO320:BX1308,2,FALSE),"")</f>
        <v/>
      </c>
      <c r="F292">
        <v>290</v>
      </c>
      <c r="G292" t="str">
        <f ca="1">IFERROR(VLOOKUP(F292,StorageDevices!CJ320:CS1308,2,FALSE),"")</f>
        <v/>
      </c>
      <c r="H292">
        <v>290</v>
      </c>
    </row>
    <row r="293" spans="1:8">
      <c r="A293" t="str">
        <f ca="1">IFERROR(VLOOKUP(B293,StorageDevices!Y321:AC1318,2,FALSE),"")</f>
        <v/>
      </c>
      <c r="B293">
        <v>291</v>
      </c>
      <c r="C293" t="str">
        <f ca="1">IFERROR(VLOOKUP(D293,StorageDevices!AT321:BC1318,2,FALSE),"")</f>
        <v/>
      </c>
      <c r="D293">
        <v>291</v>
      </c>
      <c r="E293" t="str">
        <f ca="1">IFERROR(VLOOKUP(D293,StorageDevices!BO321:BX1309,2,FALSE),"")</f>
        <v/>
      </c>
      <c r="F293">
        <v>291</v>
      </c>
      <c r="G293" t="str">
        <f ca="1">IFERROR(VLOOKUP(F293,StorageDevices!CJ321:CS1309,2,FALSE),"")</f>
        <v/>
      </c>
      <c r="H293">
        <v>291</v>
      </c>
    </row>
    <row r="294" spans="1:8">
      <c r="A294" t="str">
        <f ca="1">IFERROR(VLOOKUP(B294,StorageDevices!Y322:AC1319,2,FALSE),"")</f>
        <v/>
      </c>
      <c r="B294">
        <v>292</v>
      </c>
      <c r="C294" t="str">
        <f ca="1">IFERROR(VLOOKUP(D294,StorageDevices!AT322:BC1319,2,FALSE),"")</f>
        <v/>
      </c>
      <c r="D294">
        <v>292</v>
      </c>
      <c r="E294" t="str">
        <f ca="1">IFERROR(VLOOKUP(D294,StorageDevices!BO322:BX1310,2,FALSE),"")</f>
        <v/>
      </c>
      <c r="F294">
        <v>292</v>
      </c>
      <c r="G294" t="str">
        <f ca="1">IFERROR(VLOOKUP(F294,StorageDevices!CJ322:CS1310,2,FALSE),"")</f>
        <v/>
      </c>
      <c r="H294">
        <v>292</v>
      </c>
    </row>
    <row r="295" spans="1:8">
      <c r="A295" t="str">
        <f ca="1">IFERROR(VLOOKUP(B295,StorageDevices!Y323:AC1320,2,FALSE),"")</f>
        <v/>
      </c>
      <c r="B295">
        <v>293</v>
      </c>
      <c r="C295" t="str">
        <f ca="1">IFERROR(VLOOKUP(D295,StorageDevices!AT323:BC1320,2,FALSE),"")</f>
        <v/>
      </c>
      <c r="D295">
        <v>293</v>
      </c>
      <c r="E295" t="str">
        <f ca="1">IFERROR(VLOOKUP(D295,StorageDevices!BO323:BX1311,2,FALSE),"")</f>
        <v/>
      </c>
      <c r="F295">
        <v>293</v>
      </c>
      <c r="G295" t="str">
        <f ca="1">IFERROR(VLOOKUP(F295,StorageDevices!CJ323:CS1311,2,FALSE),"")</f>
        <v/>
      </c>
      <c r="H295">
        <v>293</v>
      </c>
    </row>
    <row r="296" spans="1:8">
      <c r="A296" t="str">
        <f ca="1">IFERROR(VLOOKUP(B296,StorageDevices!Y324:AC1321,2,FALSE),"")</f>
        <v/>
      </c>
      <c r="B296">
        <v>294</v>
      </c>
      <c r="C296" t="str">
        <f ca="1">IFERROR(VLOOKUP(D296,StorageDevices!AT324:BC1321,2,FALSE),"")</f>
        <v/>
      </c>
      <c r="D296">
        <v>294</v>
      </c>
      <c r="E296" t="str">
        <f ca="1">IFERROR(VLOOKUP(D296,StorageDevices!BO324:BX1312,2,FALSE),"")</f>
        <v/>
      </c>
      <c r="F296">
        <v>294</v>
      </c>
      <c r="G296" t="str">
        <f ca="1">IFERROR(VLOOKUP(F296,StorageDevices!CJ324:CS1312,2,FALSE),"")</f>
        <v/>
      </c>
      <c r="H296">
        <v>294</v>
      </c>
    </row>
    <row r="297" spans="1:8">
      <c r="A297" t="str">
        <f ca="1">IFERROR(VLOOKUP(B297,StorageDevices!Y325:AC1322,2,FALSE),"")</f>
        <v/>
      </c>
      <c r="B297">
        <v>295</v>
      </c>
      <c r="C297" t="str">
        <f ca="1">IFERROR(VLOOKUP(D297,StorageDevices!AT325:BC1322,2,FALSE),"")</f>
        <v/>
      </c>
      <c r="D297">
        <v>295</v>
      </c>
      <c r="E297" t="str">
        <f ca="1">IFERROR(VLOOKUP(D297,StorageDevices!BO325:BX1313,2,FALSE),"")</f>
        <v/>
      </c>
      <c r="F297">
        <v>295</v>
      </c>
      <c r="G297" t="str">
        <f ca="1">IFERROR(VLOOKUP(F297,StorageDevices!CJ325:CS1313,2,FALSE),"")</f>
        <v/>
      </c>
      <c r="H297">
        <v>295</v>
      </c>
    </row>
    <row r="298" spans="1:8">
      <c r="A298" t="str">
        <f ca="1">IFERROR(VLOOKUP(B298,StorageDevices!Y326:AC1323,2,FALSE),"")</f>
        <v/>
      </c>
      <c r="B298">
        <v>296</v>
      </c>
      <c r="C298" t="str">
        <f ca="1">IFERROR(VLOOKUP(D298,StorageDevices!AT326:BC1323,2,FALSE),"")</f>
        <v/>
      </c>
      <c r="D298">
        <v>296</v>
      </c>
      <c r="E298" t="str">
        <f ca="1">IFERROR(VLOOKUP(D298,StorageDevices!BO326:BX1314,2,FALSE),"")</f>
        <v/>
      </c>
      <c r="F298">
        <v>296</v>
      </c>
      <c r="G298" t="str">
        <f ca="1">IFERROR(VLOOKUP(F298,StorageDevices!CJ326:CS1314,2,FALSE),"")</f>
        <v/>
      </c>
      <c r="H298">
        <v>296</v>
      </c>
    </row>
    <row r="299" spans="1:8">
      <c r="A299" t="str">
        <f ca="1">IFERROR(VLOOKUP(B299,StorageDevices!Y327:AC1324,2,FALSE),"")</f>
        <v/>
      </c>
      <c r="B299">
        <v>297</v>
      </c>
      <c r="C299" t="str">
        <f ca="1">IFERROR(VLOOKUP(D299,StorageDevices!AT327:BC1324,2,FALSE),"")</f>
        <v/>
      </c>
      <c r="D299">
        <v>297</v>
      </c>
      <c r="E299" t="str">
        <f ca="1">IFERROR(VLOOKUP(D299,StorageDevices!BO327:BX1315,2,FALSE),"")</f>
        <v/>
      </c>
      <c r="F299">
        <v>297</v>
      </c>
      <c r="G299" t="str">
        <f ca="1">IFERROR(VLOOKUP(F299,StorageDevices!CJ327:CS1315,2,FALSE),"")</f>
        <v/>
      </c>
      <c r="H299">
        <v>297</v>
      </c>
    </row>
    <row r="300" spans="1:8">
      <c r="A300" t="str">
        <f ca="1">IFERROR(VLOOKUP(B300,StorageDevices!Y328:AC1325,2,FALSE),"")</f>
        <v/>
      </c>
      <c r="B300">
        <v>298</v>
      </c>
      <c r="C300" t="str">
        <f ca="1">IFERROR(VLOOKUP(D300,StorageDevices!AT328:BC1325,2,FALSE),"")</f>
        <v/>
      </c>
      <c r="D300">
        <v>298</v>
      </c>
      <c r="E300" t="str">
        <f ca="1">IFERROR(VLOOKUP(D300,StorageDevices!BO328:BX1316,2,FALSE),"")</f>
        <v/>
      </c>
      <c r="F300">
        <v>298</v>
      </c>
      <c r="G300" t="str">
        <f ca="1">IFERROR(VLOOKUP(F300,StorageDevices!CJ328:CS1316,2,FALSE),"")</f>
        <v/>
      </c>
      <c r="H300">
        <v>298</v>
      </c>
    </row>
    <row r="301" spans="1:8">
      <c r="A301" t="str">
        <f ca="1">IFERROR(VLOOKUP(B301,StorageDevices!Y329:AC1326,2,FALSE),"")</f>
        <v/>
      </c>
      <c r="B301">
        <v>299</v>
      </c>
      <c r="C301" t="str">
        <f ca="1">IFERROR(VLOOKUP(D301,StorageDevices!AT329:BC1326,2,FALSE),"")</f>
        <v/>
      </c>
      <c r="D301">
        <v>299</v>
      </c>
      <c r="E301" t="str">
        <f ca="1">IFERROR(VLOOKUP(D301,StorageDevices!BO329:BX1317,2,FALSE),"")</f>
        <v/>
      </c>
      <c r="F301">
        <v>299</v>
      </c>
      <c r="G301" t="str">
        <f ca="1">IFERROR(VLOOKUP(F301,StorageDevices!CJ329:CS1317,2,FALSE),"")</f>
        <v/>
      </c>
      <c r="H301">
        <v>299</v>
      </c>
    </row>
    <row r="302" spans="1:8">
      <c r="B302">
        <v>300</v>
      </c>
      <c r="C302" t="str">
        <f ca="1">IFERROR(VLOOKUP(D302,StorageDevices!AT330:BC1327,2,FALSE),"")</f>
        <v/>
      </c>
      <c r="D302">
        <v>300</v>
      </c>
      <c r="E302" t="str">
        <f ca="1">IFERROR(VLOOKUP(D302,StorageDevices!BO330:BX1318,2,FALSE),"")</f>
        <v/>
      </c>
      <c r="F302">
        <v>300</v>
      </c>
      <c r="G302" t="str">
        <f ca="1">IFERROR(VLOOKUP(F302,StorageDevices!CJ330:CS1318,2,FALSE),"")</f>
        <v/>
      </c>
      <c r="H302">
        <v>300</v>
      </c>
    </row>
    <row r="303" spans="1:8">
      <c r="B303">
        <v>301</v>
      </c>
      <c r="C303" t="str">
        <f ca="1">IFERROR(VLOOKUP(D303,StorageDevices!AT331:BC1328,2,FALSE),"")</f>
        <v/>
      </c>
      <c r="D303">
        <v>301</v>
      </c>
      <c r="E303" t="str">
        <f ca="1">IFERROR(VLOOKUP(D303,StorageDevices!BO331:BX1319,2,FALSE),"")</f>
        <v/>
      </c>
      <c r="F303">
        <v>301</v>
      </c>
      <c r="G303" t="str">
        <f ca="1">IFERROR(VLOOKUP(F303,StorageDevices!CJ331:CS1319,2,FALSE),"")</f>
        <v/>
      </c>
      <c r="H303">
        <v>301</v>
      </c>
    </row>
    <row r="304" spans="1:8">
      <c r="B304">
        <v>302</v>
      </c>
      <c r="C304" t="str">
        <f ca="1">IFERROR(VLOOKUP(D304,StorageDevices!AT332:BC1329,2,FALSE),"")</f>
        <v/>
      </c>
      <c r="D304">
        <v>302</v>
      </c>
      <c r="E304" t="str">
        <f ca="1">IFERROR(VLOOKUP(D304,StorageDevices!BO332:BX1320,2,FALSE),"")</f>
        <v/>
      </c>
      <c r="F304">
        <v>302</v>
      </c>
      <c r="G304" t="str">
        <f ca="1">IFERROR(VLOOKUP(F304,StorageDevices!CJ332:CS1320,2,FALSE),"")</f>
        <v/>
      </c>
      <c r="H304">
        <v>302</v>
      </c>
    </row>
    <row r="305" spans="2:8">
      <c r="B305">
        <v>303</v>
      </c>
      <c r="C305" t="str">
        <f ca="1">IFERROR(VLOOKUP(D305,StorageDevices!AT333:BC1330,2,FALSE),"")</f>
        <v/>
      </c>
      <c r="D305">
        <v>303</v>
      </c>
      <c r="E305" t="str">
        <f ca="1">IFERROR(VLOOKUP(D305,StorageDevices!BO333:BX1321,2,FALSE),"")</f>
        <v/>
      </c>
      <c r="F305">
        <v>303</v>
      </c>
      <c r="G305" t="str">
        <f ca="1">IFERROR(VLOOKUP(F305,StorageDevices!CJ333:CS1321,2,FALSE),"")</f>
        <v/>
      </c>
      <c r="H305">
        <v>303</v>
      </c>
    </row>
    <row r="306" spans="2:8">
      <c r="B306">
        <v>304</v>
      </c>
      <c r="C306" t="str">
        <f ca="1">IFERROR(VLOOKUP(D306,StorageDevices!AT334:BC1331,2,FALSE),"")</f>
        <v/>
      </c>
      <c r="D306">
        <v>304</v>
      </c>
      <c r="E306" t="str">
        <f ca="1">IFERROR(VLOOKUP(D306,StorageDevices!BO334:BX1322,2,FALSE),"")</f>
        <v/>
      </c>
      <c r="F306">
        <v>304</v>
      </c>
      <c r="G306" t="str">
        <f ca="1">IFERROR(VLOOKUP(F306,StorageDevices!CJ334:CS1322,2,FALSE),"")</f>
        <v/>
      </c>
      <c r="H306">
        <v>304</v>
      </c>
    </row>
    <row r="307" spans="2:8">
      <c r="B307">
        <v>305</v>
      </c>
      <c r="C307" t="str">
        <f ca="1">IFERROR(VLOOKUP(D307,StorageDevices!AT335:BC1332,2,FALSE),"")</f>
        <v/>
      </c>
      <c r="D307">
        <v>305</v>
      </c>
      <c r="E307" t="str">
        <f ca="1">IFERROR(VLOOKUP(D307,StorageDevices!BO335:BX1323,2,FALSE),"")</f>
        <v/>
      </c>
      <c r="F307">
        <v>305</v>
      </c>
      <c r="G307" t="str">
        <f ca="1">IFERROR(VLOOKUP(F307,StorageDevices!CJ335:CS1323,2,FALSE),"")</f>
        <v/>
      </c>
      <c r="H307">
        <v>305</v>
      </c>
    </row>
    <row r="308" spans="2:8">
      <c r="B308">
        <v>306</v>
      </c>
      <c r="C308" t="str">
        <f ca="1">IFERROR(VLOOKUP(D308,StorageDevices!AT336:BC1333,2,FALSE),"")</f>
        <v/>
      </c>
      <c r="D308">
        <v>306</v>
      </c>
      <c r="E308" t="str">
        <f ca="1">IFERROR(VLOOKUP(D308,StorageDevices!BO336:BX1324,2,FALSE),"")</f>
        <v/>
      </c>
      <c r="F308">
        <v>306</v>
      </c>
      <c r="G308" t="str">
        <f ca="1">IFERROR(VLOOKUP(F308,StorageDevices!CJ336:CS1324,2,FALSE),"")</f>
        <v/>
      </c>
      <c r="H308">
        <v>306</v>
      </c>
    </row>
    <row r="309" spans="2:8">
      <c r="B309">
        <v>307</v>
      </c>
      <c r="C309" t="str">
        <f ca="1">IFERROR(VLOOKUP(D309,StorageDevices!AT337:BC1334,2,FALSE),"")</f>
        <v/>
      </c>
      <c r="D309">
        <v>307</v>
      </c>
      <c r="E309" t="str">
        <f ca="1">IFERROR(VLOOKUP(D309,StorageDevices!BO337:BX1325,2,FALSE),"")</f>
        <v/>
      </c>
      <c r="F309">
        <v>307</v>
      </c>
      <c r="G309" t="str">
        <f ca="1">IFERROR(VLOOKUP(F309,StorageDevices!CJ337:CS1325,2,FALSE),"")</f>
        <v/>
      </c>
      <c r="H309">
        <v>307</v>
      </c>
    </row>
    <row r="310" spans="2:8">
      <c r="B310">
        <v>308</v>
      </c>
      <c r="C310" t="str">
        <f ca="1">IFERROR(VLOOKUP(D310,StorageDevices!AT338:BC1335,2,FALSE),"")</f>
        <v/>
      </c>
      <c r="D310">
        <v>308</v>
      </c>
      <c r="E310" t="str">
        <f ca="1">IFERROR(VLOOKUP(D310,StorageDevices!BO338:BX1326,2,FALSE),"")</f>
        <v/>
      </c>
      <c r="F310">
        <v>308</v>
      </c>
      <c r="G310" t="str">
        <f ca="1">IFERROR(VLOOKUP(F310,StorageDevices!CJ338:CS1326,2,FALSE),"")</f>
        <v/>
      </c>
      <c r="H310">
        <v>308</v>
      </c>
    </row>
    <row r="311" spans="2:8">
      <c r="B311">
        <v>309</v>
      </c>
      <c r="C311" t="str">
        <f ca="1">IFERROR(VLOOKUP(D311,StorageDevices!AT339:BC1336,2,FALSE),"")</f>
        <v/>
      </c>
      <c r="D311">
        <v>309</v>
      </c>
      <c r="E311" t="str">
        <f ca="1">IFERROR(VLOOKUP(D311,StorageDevices!BO339:BX1327,2,FALSE),"")</f>
        <v/>
      </c>
      <c r="F311">
        <v>309</v>
      </c>
      <c r="G311" t="str">
        <f ca="1">IFERROR(VLOOKUP(F311,StorageDevices!CJ339:CS1327,2,FALSE),"")</f>
        <v/>
      </c>
      <c r="H311">
        <v>309</v>
      </c>
    </row>
    <row r="312" spans="2:8">
      <c r="B312">
        <v>310</v>
      </c>
      <c r="C312" t="str">
        <f ca="1">IFERROR(VLOOKUP(D312,StorageDevices!AT340:BC1337,2,FALSE),"")</f>
        <v/>
      </c>
      <c r="D312">
        <v>310</v>
      </c>
      <c r="E312" t="str">
        <f ca="1">IFERROR(VLOOKUP(D312,StorageDevices!BO340:BX1328,2,FALSE),"")</f>
        <v/>
      </c>
      <c r="F312">
        <v>310</v>
      </c>
      <c r="G312" t="str">
        <f ca="1">IFERROR(VLOOKUP(F312,StorageDevices!CJ340:CS1328,2,FALSE),"")</f>
        <v/>
      </c>
      <c r="H312">
        <v>310</v>
      </c>
    </row>
    <row r="313" spans="2:8">
      <c r="B313">
        <v>311</v>
      </c>
      <c r="C313" t="str">
        <f ca="1">IFERROR(VLOOKUP(D313,StorageDevices!AT341:BC1338,2,FALSE),"")</f>
        <v/>
      </c>
      <c r="D313">
        <v>311</v>
      </c>
      <c r="E313" t="str">
        <f ca="1">IFERROR(VLOOKUP(D313,StorageDevices!BO341:BX1329,2,FALSE),"")</f>
        <v/>
      </c>
      <c r="F313">
        <v>311</v>
      </c>
      <c r="G313" t="str">
        <f ca="1">IFERROR(VLOOKUP(F313,StorageDevices!CJ341:CS1329,2,FALSE),"")</f>
        <v/>
      </c>
      <c r="H313">
        <v>311</v>
      </c>
    </row>
    <row r="314" spans="2:8">
      <c r="B314">
        <v>312</v>
      </c>
      <c r="C314" t="str">
        <f ca="1">IFERROR(VLOOKUP(D314,StorageDevices!AT342:BC1339,2,FALSE),"")</f>
        <v/>
      </c>
      <c r="D314">
        <v>312</v>
      </c>
      <c r="E314" t="str">
        <f ca="1">IFERROR(VLOOKUP(D314,StorageDevices!BO342:BX1330,2,FALSE),"")</f>
        <v/>
      </c>
      <c r="F314">
        <v>312</v>
      </c>
      <c r="G314" t="str">
        <f ca="1">IFERROR(VLOOKUP(F314,StorageDevices!CJ342:CS1330,2,FALSE),"")</f>
        <v/>
      </c>
      <c r="H314">
        <v>312</v>
      </c>
    </row>
    <row r="315" spans="2:8">
      <c r="B315">
        <v>313</v>
      </c>
      <c r="C315" t="str">
        <f ca="1">IFERROR(VLOOKUP(D315,StorageDevices!AT343:BC1340,2,FALSE),"")</f>
        <v/>
      </c>
      <c r="D315">
        <v>313</v>
      </c>
      <c r="E315" t="str">
        <f ca="1">IFERROR(VLOOKUP(D315,StorageDevices!BO343:BX1331,2,FALSE),"")</f>
        <v/>
      </c>
      <c r="F315">
        <v>313</v>
      </c>
      <c r="G315" t="str">
        <f ca="1">IFERROR(VLOOKUP(F315,StorageDevices!CJ343:CS1331,2,FALSE),"")</f>
        <v/>
      </c>
      <c r="H315">
        <v>313</v>
      </c>
    </row>
    <row r="316" spans="2:8">
      <c r="B316">
        <v>314</v>
      </c>
      <c r="C316" t="str">
        <f ca="1">IFERROR(VLOOKUP(D316,StorageDevices!AT344:BC1341,2,FALSE),"")</f>
        <v/>
      </c>
      <c r="D316">
        <v>314</v>
      </c>
      <c r="E316" t="str">
        <f ca="1">IFERROR(VLOOKUP(D316,StorageDevices!BO344:BX1332,2,FALSE),"")</f>
        <v/>
      </c>
      <c r="F316">
        <v>314</v>
      </c>
      <c r="G316" t="str">
        <f ca="1">IFERROR(VLOOKUP(F316,StorageDevices!CJ344:CS1332,2,FALSE),"")</f>
        <v/>
      </c>
      <c r="H316">
        <v>314</v>
      </c>
    </row>
    <row r="317" spans="2:8">
      <c r="B317">
        <v>315</v>
      </c>
      <c r="C317" t="str">
        <f ca="1">IFERROR(VLOOKUP(D317,StorageDevices!AT345:BC1342,2,FALSE),"")</f>
        <v/>
      </c>
      <c r="D317">
        <v>315</v>
      </c>
      <c r="E317" t="str">
        <f ca="1">IFERROR(VLOOKUP(D317,StorageDevices!BO345:BX1333,2,FALSE),"")</f>
        <v/>
      </c>
      <c r="F317">
        <v>315</v>
      </c>
      <c r="G317" t="str">
        <f ca="1">IFERROR(VLOOKUP(F317,StorageDevices!CJ345:CS1333,2,FALSE),"")</f>
        <v/>
      </c>
      <c r="H317">
        <v>315</v>
      </c>
    </row>
    <row r="318" spans="2:8">
      <c r="B318">
        <v>316</v>
      </c>
      <c r="C318" t="str">
        <f ca="1">IFERROR(VLOOKUP(D318,StorageDevices!AT346:BC1343,2,FALSE),"")</f>
        <v/>
      </c>
      <c r="D318">
        <v>316</v>
      </c>
      <c r="E318" t="str">
        <f ca="1">IFERROR(VLOOKUP(D318,StorageDevices!BO346:BX1334,2,FALSE),"")</f>
        <v/>
      </c>
      <c r="F318">
        <v>316</v>
      </c>
      <c r="G318" t="str">
        <f ca="1">IFERROR(VLOOKUP(F318,StorageDevices!CJ346:CS1334,2,FALSE),"")</f>
        <v/>
      </c>
      <c r="H318">
        <v>316</v>
      </c>
    </row>
    <row r="319" spans="2:8">
      <c r="B319">
        <v>317</v>
      </c>
      <c r="C319" t="str">
        <f ca="1">IFERROR(VLOOKUP(D319,StorageDevices!AT347:BC1344,2,FALSE),"")</f>
        <v/>
      </c>
      <c r="D319">
        <v>317</v>
      </c>
      <c r="E319" t="str">
        <f ca="1">IFERROR(VLOOKUP(D319,StorageDevices!BO347:BX1335,2,FALSE),"")</f>
        <v/>
      </c>
      <c r="F319">
        <v>317</v>
      </c>
      <c r="G319" t="str">
        <f ca="1">IFERROR(VLOOKUP(F319,StorageDevices!CJ347:CS1335,2,FALSE),"")</f>
        <v/>
      </c>
      <c r="H319">
        <v>317</v>
      </c>
    </row>
    <row r="320" spans="2:8">
      <c r="B320">
        <v>318</v>
      </c>
      <c r="C320" t="str">
        <f>IFERROR(VLOOKUP(D320,StorageDevices!AT348:BC1345,2,FALSE),"")</f>
        <v/>
      </c>
      <c r="D320">
        <v>318</v>
      </c>
      <c r="E320" t="str">
        <f>IFERROR(VLOOKUP(D320,StorageDevices!BO348:BX1336,2,FALSE),"")</f>
        <v/>
      </c>
      <c r="F320">
        <v>318</v>
      </c>
      <c r="G320" t="str">
        <f>IFERROR(VLOOKUP(F320,StorageDevices!CJ348:CS1336,2,FALSE),"")</f>
        <v/>
      </c>
      <c r="H320">
        <v>318</v>
      </c>
    </row>
    <row r="321" spans="2:8">
      <c r="B321">
        <v>319</v>
      </c>
      <c r="C321" t="str">
        <f>IFERROR(VLOOKUP(D321,StorageDevices!AT349:BC1346,2,FALSE),"")</f>
        <v/>
      </c>
      <c r="D321">
        <v>319</v>
      </c>
      <c r="E321" t="str">
        <f>IFERROR(VLOOKUP(D321,StorageDevices!BO349:BX1337,2,FALSE),"")</f>
        <v/>
      </c>
      <c r="F321">
        <v>319</v>
      </c>
      <c r="G321" t="str">
        <f>IFERROR(VLOOKUP(F321,StorageDevices!CJ349:CS1337,2,FALSE),"")</f>
        <v/>
      </c>
      <c r="H321">
        <v>319</v>
      </c>
    </row>
    <row r="322" spans="2:8">
      <c r="B322">
        <v>320</v>
      </c>
      <c r="C322" t="str">
        <f>IFERROR(VLOOKUP(D322,StorageDevices!AT350:BC1347,2,FALSE),"")</f>
        <v/>
      </c>
      <c r="D322">
        <v>320</v>
      </c>
      <c r="E322" t="str">
        <f>IFERROR(VLOOKUP(D322,StorageDevices!BO350:BX1338,2,FALSE),"")</f>
        <v/>
      </c>
      <c r="F322">
        <v>320</v>
      </c>
      <c r="G322" t="str">
        <f>IFERROR(VLOOKUP(F322,StorageDevices!CJ350:CS1338,2,FALSE),"")</f>
        <v/>
      </c>
      <c r="H322">
        <v>320</v>
      </c>
    </row>
    <row r="323" spans="2:8">
      <c r="B323">
        <v>321</v>
      </c>
      <c r="C323" t="str">
        <f>IFERROR(VLOOKUP(D323,StorageDevices!AT351:BC1348,2,FALSE),"")</f>
        <v/>
      </c>
      <c r="D323">
        <v>321</v>
      </c>
      <c r="E323" t="str">
        <f>IFERROR(VLOOKUP(D323,StorageDevices!BO351:BX1339,2,FALSE),"")</f>
        <v/>
      </c>
      <c r="F323">
        <v>321</v>
      </c>
      <c r="G323" t="str">
        <f>IFERROR(VLOOKUP(F323,StorageDevices!CJ351:CS1339,2,FALSE),"")</f>
        <v/>
      </c>
      <c r="H323">
        <v>321</v>
      </c>
    </row>
    <row r="324" spans="2:8">
      <c r="B324">
        <v>322</v>
      </c>
      <c r="C324" t="str">
        <f>IFERROR(VLOOKUP(D324,StorageDevices!AT352:BC1349,2,FALSE),"")</f>
        <v/>
      </c>
      <c r="D324">
        <v>322</v>
      </c>
      <c r="E324" t="str">
        <f>IFERROR(VLOOKUP(D324,StorageDevices!BO352:BX1340,2,FALSE),"")</f>
        <v/>
      </c>
      <c r="F324">
        <v>322</v>
      </c>
      <c r="G324" t="str">
        <f>IFERROR(VLOOKUP(F324,StorageDevices!CJ352:CS1340,2,FALSE),"")</f>
        <v/>
      </c>
      <c r="H324">
        <v>322</v>
      </c>
    </row>
    <row r="325" spans="2:8">
      <c r="B325">
        <v>323</v>
      </c>
      <c r="C325" t="str">
        <f>IFERROR(VLOOKUP(D325,StorageDevices!AT353:BC1350,2,FALSE),"")</f>
        <v/>
      </c>
      <c r="D325">
        <v>323</v>
      </c>
      <c r="E325" t="str">
        <f>IFERROR(VLOOKUP(D325,StorageDevices!BO353:BX1341,2,FALSE),"")</f>
        <v/>
      </c>
      <c r="F325">
        <v>323</v>
      </c>
      <c r="G325" t="str">
        <f>IFERROR(VLOOKUP(F325,StorageDevices!CJ353:CS1341,2,FALSE),"")</f>
        <v/>
      </c>
      <c r="H325">
        <v>323</v>
      </c>
    </row>
    <row r="326" spans="2:8">
      <c r="B326">
        <v>324</v>
      </c>
      <c r="C326" t="str">
        <f>IFERROR(VLOOKUP(D326,StorageDevices!AT354:BC1351,2,FALSE),"")</f>
        <v/>
      </c>
      <c r="D326">
        <v>324</v>
      </c>
      <c r="E326" t="str">
        <f>IFERROR(VLOOKUP(D326,StorageDevices!BO354:BX1342,2,FALSE),"")</f>
        <v/>
      </c>
      <c r="F326">
        <v>324</v>
      </c>
      <c r="G326" t="str">
        <f>IFERROR(VLOOKUP(F326,StorageDevices!CJ354:CS1342,2,FALSE),"")</f>
        <v/>
      </c>
      <c r="H326">
        <v>324</v>
      </c>
    </row>
    <row r="327" spans="2:8">
      <c r="B327">
        <v>325</v>
      </c>
      <c r="C327" t="str">
        <f>IFERROR(VLOOKUP(D327,StorageDevices!AT355:BC1352,2,FALSE),"")</f>
        <v/>
      </c>
      <c r="D327">
        <v>325</v>
      </c>
      <c r="E327" t="str">
        <f>IFERROR(VLOOKUP(D327,StorageDevices!BO355:BX1343,2,FALSE),"")</f>
        <v/>
      </c>
      <c r="F327">
        <v>325</v>
      </c>
      <c r="G327" t="str">
        <f>IFERROR(VLOOKUP(F327,StorageDevices!CJ355:CS1343,2,FALSE),"")</f>
        <v/>
      </c>
      <c r="H327">
        <v>325</v>
      </c>
    </row>
    <row r="328" spans="2:8">
      <c r="B328">
        <v>326</v>
      </c>
      <c r="C328" t="str">
        <f>IFERROR(VLOOKUP(D328,StorageDevices!AT356:BC1353,2,FALSE),"")</f>
        <v/>
      </c>
      <c r="D328">
        <v>326</v>
      </c>
      <c r="E328" t="str">
        <f>IFERROR(VLOOKUP(D328,StorageDevices!BO356:BX1344,2,FALSE),"")</f>
        <v/>
      </c>
      <c r="F328">
        <v>326</v>
      </c>
      <c r="G328" t="str">
        <f>IFERROR(VLOOKUP(F328,StorageDevices!CJ356:CS1344,2,FALSE),"")</f>
        <v/>
      </c>
      <c r="H328">
        <v>326</v>
      </c>
    </row>
    <row r="329" spans="2:8">
      <c r="B329">
        <v>327</v>
      </c>
      <c r="C329" t="str">
        <f>IFERROR(VLOOKUP(D329,StorageDevices!AT357:BC1354,2,FALSE),"")</f>
        <v/>
      </c>
      <c r="D329">
        <v>327</v>
      </c>
      <c r="E329" t="str">
        <f>IFERROR(VLOOKUP(D329,StorageDevices!BO357:BX1345,2,FALSE),"")</f>
        <v/>
      </c>
      <c r="F329">
        <v>327</v>
      </c>
      <c r="G329" t="str">
        <f>IFERROR(VLOOKUP(F329,StorageDevices!CJ357:CS1345,2,FALSE),"")</f>
        <v/>
      </c>
      <c r="H329">
        <v>327</v>
      </c>
    </row>
    <row r="330" spans="2:8">
      <c r="B330">
        <v>328</v>
      </c>
      <c r="C330" t="str">
        <f>IFERROR(VLOOKUP(D330,StorageDevices!AT358:BC1355,2,FALSE),"")</f>
        <v/>
      </c>
      <c r="D330">
        <v>328</v>
      </c>
      <c r="E330" t="str">
        <f>IFERROR(VLOOKUP(D330,StorageDevices!BO358:BX1346,2,FALSE),"")</f>
        <v/>
      </c>
      <c r="F330">
        <v>328</v>
      </c>
      <c r="G330" t="str">
        <f>IFERROR(VLOOKUP(F330,StorageDevices!CJ358:CS1346,2,FALSE),"")</f>
        <v/>
      </c>
      <c r="H330">
        <v>328</v>
      </c>
    </row>
    <row r="331" spans="2:8">
      <c r="B331">
        <v>329</v>
      </c>
      <c r="C331" t="str">
        <f>IFERROR(VLOOKUP(D331,StorageDevices!AT359:BC1356,2,FALSE),"")</f>
        <v/>
      </c>
      <c r="D331">
        <v>329</v>
      </c>
      <c r="E331" t="str">
        <f>IFERROR(VLOOKUP(D331,StorageDevices!BO359:BX1347,2,FALSE),"")</f>
        <v/>
      </c>
      <c r="F331">
        <v>329</v>
      </c>
      <c r="G331" t="str">
        <f>IFERROR(VLOOKUP(F331,StorageDevices!CJ359:CS1347,2,FALSE),"")</f>
        <v/>
      </c>
      <c r="H331">
        <v>329</v>
      </c>
    </row>
    <row r="332" spans="2:8">
      <c r="B332">
        <v>330</v>
      </c>
      <c r="C332" t="str">
        <f>IFERROR(VLOOKUP(D332,StorageDevices!AT360:BC1357,2,FALSE),"")</f>
        <v/>
      </c>
      <c r="D332">
        <v>330</v>
      </c>
      <c r="E332" t="str">
        <f>IFERROR(VLOOKUP(D332,StorageDevices!BO360:BX1348,2,FALSE),"")</f>
        <v/>
      </c>
      <c r="F332">
        <v>330</v>
      </c>
      <c r="G332" t="str">
        <f>IFERROR(VLOOKUP(F332,StorageDevices!CJ360:CS1348,2,FALSE),"")</f>
        <v/>
      </c>
      <c r="H332">
        <v>330</v>
      </c>
    </row>
    <row r="333" spans="2:8">
      <c r="B333">
        <v>331</v>
      </c>
      <c r="C333" t="str">
        <f>IFERROR(VLOOKUP(D333,StorageDevices!AT361:BC1358,2,FALSE),"")</f>
        <v/>
      </c>
      <c r="D333">
        <v>331</v>
      </c>
      <c r="E333" t="str">
        <f>IFERROR(VLOOKUP(D333,StorageDevices!BO361:BX1349,2,FALSE),"")</f>
        <v/>
      </c>
      <c r="F333">
        <v>331</v>
      </c>
      <c r="G333" t="str">
        <f>IFERROR(VLOOKUP(F333,StorageDevices!CJ361:CS1349,2,FALSE),"")</f>
        <v/>
      </c>
      <c r="H333">
        <v>331</v>
      </c>
    </row>
    <row r="334" spans="2:8">
      <c r="B334">
        <v>332</v>
      </c>
      <c r="C334" t="str">
        <f>IFERROR(VLOOKUP(D334,StorageDevices!AT362:BC1359,2,FALSE),"")</f>
        <v/>
      </c>
      <c r="D334">
        <v>332</v>
      </c>
      <c r="E334" t="str">
        <f>IFERROR(VLOOKUP(D334,StorageDevices!BO362:BX1350,2,FALSE),"")</f>
        <v/>
      </c>
      <c r="F334">
        <v>332</v>
      </c>
      <c r="G334" t="str">
        <f>IFERROR(VLOOKUP(F334,StorageDevices!CJ362:CS1350,2,FALSE),"")</f>
        <v/>
      </c>
      <c r="H334">
        <v>332</v>
      </c>
    </row>
    <row r="335" spans="2:8">
      <c r="B335">
        <v>333</v>
      </c>
      <c r="C335" t="str">
        <f>IFERROR(VLOOKUP(D335,StorageDevices!AT363:BC1360,2,FALSE),"")</f>
        <v/>
      </c>
      <c r="D335">
        <v>333</v>
      </c>
      <c r="E335" t="str">
        <f>IFERROR(VLOOKUP(D335,StorageDevices!BO363:BX1351,2,FALSE),"")</f>
        <v/>
      </c>
      <c r="F335">
        <v>333</v>
      </c>
      <c r="G335" t="str">
        <f>IFERROR(VLOOKUP(F335,StorageDevices!CJ363:CS1351,2,FALSE),"")</f>
        <v/>
      </c>
      <c r="H335">
        <v>333</v>
      </c>
    </row>
    <row r="336" spans="2:8">
      <c r="B336">
        <v>334</v>
      </c>
      <c r="C336" t="str">
        <f>IFERROR(VLOOKUP(D336,StorageDevices!AT364:BC1361,2,FALSE),"")</f>
        <v/>
      </c>
      <c r="D336">
        <v>334</v>
      </c>
      <c r="E336" t="str">
        <f>IFERROR(VLOOKUP(D336,StorageDevices!BO364:BX1352,2,FALSE),"")</f>
        <v/>
      </c>
      <c r="F336">
        <v>334</v>
      </c>
      <c r="G336" t="str">
        <f>IFERROR(VLOOKUP(F336,StorageDevices!CJ364:CS1352,2,FALSE),"")</f>
        <v/>
      </c>
      <c r="H336">
        <v>334</v>
      </c>
    </row>
    <row r="337" spans="2:8">
      <c r="B337">
        <v>335</v>
      </c>
      <c r="C337" t="str">
        <f>IFERROR(VLOOKUP(D337,StorageDevices!AT365:BC1362,2,FALSE),"")</f>
        <v/>
      </c>
      <c r="D337">
        <v>335</v>
      </c>
      <c r="E337" t="str">
        <f>IFERROR(VLOOKUP(D337,StorageDevices!BO365:BX1353,2,FALSE),"")</f>
        <v/>
      </c>
      <c r="F337">
        <v>335</v>
      </c>
      <c r="G337" t="str">
        <f>IFERROR(VLOOKUP(F337,StorageDevices!CJ365:CS1353,2,FALSE),"")</f>
        <v/>
      </c>
      <c r="H337">
        <v>335</v>
      </c>
    </row>
    <row r="338" spans="2:8">
      <c r="B338">
        <v>336</v>
      </c>
      <c r="C338" t="str">
        <f>IFERROR(VLOOKUP(D338,StorageDevices!AT366:BC1363,2,FALSE),"")</f>
        <v/>
      </c>
      <c r="D338">
        <v>336</v>
      </c>
      <c r="E338" t="str">
        <f>IFERROR(VLOOKUP(D338,StorageDevices!BO366:BX1354,2,FALSE),"")</f>
        <v/>
      </c>
      <c r="F338">
        <v>336</v>
      </c>
      <c r="G338" t="str">
        <f>IFERROR(VLOOKUP(F338,StorageDevices!CJ366:CS1354,2,FALSE),"")</f>
        <v/>
      </c>
      <c r="H338">
        <v>336</v>
      </c>
    </row>
    <row r="339" spans="2:8">
      <c r="B339">
        <v>337</v>
      </c>
      <c r="C339" t="str">
        <f>IFERROR(VLOOKUP(D339,StorageDevices!AT367:BC1364,2,FALSE),"")</f>
        <v/>
      </c>
      <c r="D339">
        <v>337</v>
      </c>
      <c r="E339" t="str">
        <f>IFERROR(VLOOKUP(D339,StorageDevices!BO367:BX1355,2,FALSE),"")</f>
        <v/>
      </c>
      <c r="F339">
        <v>337</v>
      </c>
      <c r="G339" t="str">
        <f>IFERROR(VLOOKUP(F339,StorageDevices!CJ367:CS1355,2,FALSE),"")</f>
        <v/>
      </c>
      <c r="H339">
        <v>337</v>
      </c>
    </row>
    <row r="340" spans="2:8">
      <c r="B340">
        <v>338</v>
      </c>
      <c r="C340" t="str">
        <f>IFERROR(VLOOKUP(D340,StorageDevices!AT368:BC1365,2,FALSE),"")</f>
        <v/>
      </c>
      <c r="D340">
        <v>338</v>
      </c>
      <c r="E340" t="str">
        <f>IFERROR(VLOOKUP(D340,StorageDevices!BO368:BX1356,2,FALSE),"")</f>
        <v/>
      </c>
      <c r="F340">
        <v>338</v>
      </c>
      <c r="G340" t="str">
        <f>IFERROR(VLOOKUP(F340,StorageDevices!CJ368:CS1356,2,FALSE),"")</f>
        <v/>
      </c>
      <c r="H340">
        <v>338</v>
      </c>
    </row>
    <row r="341" spans="2:8">
      <c r="B341">
        <v>339</v>
      </c>
      <c r="C341" t="str">
        <f>IFERROR(VLOOKUP(D341,StorageDevices!AT369:BC1366,2,FALSE),"")</f>
        <v/>
      </c>
      <c r="D341">
        <v>339</v>
      </c>
      <c r="E341" t="str">
        <f>IFERROR(VLOOKUP(D341,StorageDevices!BO369:BX1357,2,FALSE),"")</f>
        <v/>
      </c>
      <c r="F341">
        <v>339</v>
      </c>
      <c r="G341" t="str">
        <f>IFERROR(VLOOKUP(F341,StorageDevices!CJ369:CS1357,2,FALSE),"")</f>
        <v/>
      </c>
      <c r="H341">
        <v>339</v>
      </c>
    </row>
    <row r="342" spans="2:8">
      <c r="B342">
        <v>340</v>
      </c>
      <c r="C342" t="str">
        <f>IFERROR(VLOOKUP(D342,StorageDevices!AT370:BC1367,2,FALSE),"")</f>
        <v/>
      </c>
      <c r="D342">
        <v>340</v>
      </c>
      <c r="E342" t="str">
        <f>IFERROR(VLOOKUP(D342,StorageDevices!BO370:BX1358,2,FALSE),"")</f>
        <v/>
      </c>
      <c r="F342">
        <v>340</v>
      </c>
      <c r="G342" t="str">
        <f>IFERROR(VLOOKUP(F342,StorageDevices!CJ370:CS1358,2,FALSE),"")</f>
        <v/>
      </c>
      <c r="H342">
        <v>340</v>
      </c>
    </row>
    <row r="343" spans="2:8">
      <c r="B343">
        <v>341</v>
      </c>
      <c r="C343" t="str">
        <f>IFERROR(VLOOKUP(D343,StorageDevices!AT371:BC1368,2,FALSE),"")</f>
        <v/>
      </c>
      <c r="D343">
        <v>341</v>
      </c>
      <c r="E343" t="str">
        <f>IFERROR(VLOOKUP(D343,StorageDevices!BO371:BX1359,2,FALSE),"")</f>
        <v/>
      </c>
      <c r="F343">
        <v>341</v>
      </c>
      <c r="G343" t="str">
        <f>IFERROR(VLOOKUP(F343,StorageDevices!CJ371:CS1359,2,FALSE),"")</f>
        <v/>
      </c>
      <c r="H343">
        <v>341</v>
      </c>
    </row>
    <row r="344" spans="2:8">
      <c r="B344">
        <v>342</v>
      </c>
      <c r="C344" t="str">
        <f>IFERROR(VLOOKUP(D344,StorageDevices!AT372:BC1369,2,FALSE),"")</f>
        <v/>
      </c>
      <c r="D344">
        <v>342</v>
      </c>
      <c r="E344" t="str">
        <f>IFERROR(VLOOKUP(D344,StorageDevices!BO372:BX1360,2,FALSE),"")</f>
        <v/>
      </c>
      <c r="F344">
        <v>342</v>
      </c>
      <c r="G344" t="str">
        <f>IFERROR(VLOOKUP(F344,StorageDevices!CJ372:CS1360,2,FALSE),"")</f>
        <v/>
      </c>
      <c r="H344">
        <v>342</v>
      </c>
    </row>
    <row r="345" spans="2:8">
      <c r="B345">
        <v>343</v>
      </c>
      <c r="C345" t="str">
        <f>IFERROR(VLOOKUP(D345,StorageDevices!AT373:BC1370,2,FALSE),"")</f>
        <v/>
      </c>
      <c r="D345">
        <v>343</v>
      </c>
      <c r="E345" t="str">
        <f>IFERROR(VLOOKUP(D345,StorageDevices!BO373:BX1361,2,FALSE),"")</f>
        <v/>
      </c>
      <c r="F345">
        <v>343</v>
      </c>
      <c r="G345" t="str">
        <f>IFERROR(VLOOKUP(F345,StorageDevices!CJ373:CS1361,2,FALSE),"")</f>
        <v/>
      </c>
      <c r="H345">
        <v>343</v>
      </c>
    </row>
    <row r="346" spans="2:8">
      <c r="B346">
        <v>344</v>
      </c>
      <c r="C346" t="str">
        <f>IFERROR(VLOOKUP(D346,StorageDevices!AT374:BC1371,2,FALSE),"")</f>
        <v/>
      </c>
      <c r="D346">
        <v>344</v>
      </c>
      <c r="E346" t="str">
        <f>IFERROR(VLOOKUP(D346,StorageDevices!BO374:BX1362,2,FALSE),"")</f>
        <v/>
      </c>
      <c r="F346">
        <v>344</v>
      </c>
      <c r="G346" t="str">
        <f>IFERROR(VLOOKUP(F346,StorageDevices!CJ374:CS1362,2,FALSE),"")</f>
        <v/>
      </c>
      <c r="H346">
        <v>344</v>
      </c>
    </row>
    <row r="347" spans="2:8">
      <c r="B347">
        <v>345</v>
      </c>
      <c r="C347" t="str">
        <f>IFERROR(VLOOKUP(D347,StorageDevices!AT375:BC1372,2,FALSE),"")</f>
        <v/>
      </c>
      <c r="D347">
        <v>345</v>
      </c>
      <c r="E347" t="str">
        <f>IFERROR(VLOOKUP(D347,StorageDevices!BO375:BX1363,2,FALSE),"")</f>
        <v/>
      </c>
      <c r="F347">
        <v>345</v>
      </c>
      <c r="G347" t="str">
        <f>IFERROR(VLOOKUP(F347,StorageDevices!CJ375:CS1363,2,FALSE),"")</f>
        <v/>
      </c>
      <c r="H347">
        <v>345</v>
      </c>
    </row>
    <row r="348" spans="2:8">
      <c r="B348">
        <v>346</v>
      </c>
      <c r="C348" t="str">
        <f>IFERROR(VLOOKUP(D348,StorageDevices!AT376:BC1373,2,FALSE),"")</f>
        <v/>
      </c>
      <c r="D348">
        <v>346</v>
      </c>
      <c r="E348" t="str">
        <f>IFERROR(VLOOKUP(D348,StorageDevices!BO376:BX1364,2,FALSE),"")</f>
        <v/>
      </c>
      <c r="F348">
        <v>346</v>
      </c>
      <c r="G348" t="str">
        <f>IFERROR(VLOOKUP(F348,StorageDevices!CJ376:CS1364,2,FALSE),"")</f>
        <v/>
      </c>
      <c r="H348">
        <v>346</v>
      </c>
    </row>
    <row r="349" spans="2:8">
      <c r="B349">
        <v>347</v>
      </c>
      <c r="C349" t="str">
        <f>IFERROR(VLOOKUP(D349,StorageDevices!AT377:BC1374,2,FALSE),"")</f>
        <v/>
      </c>
      <c r="D349">
        <v>347</v>
      </c>
      <c r="E349" t="str">
        <f>IFERROR(VLOOKUP(D349,StorageDevices!BO377:BX1365,2,FALSE),"")</f>
        <v/>
      </c>
      <c r="F349">
        <v>347</v>
      </c>
      <c r="G349" t="str">
        <f>IFERROR(VLOOKUP(F349,StorageDevices!CJ377:CS1365,2,FALSE),"")</f>
        <v/>
      </c>
      <c r="H349">
        <v>347</v>
      </c>
    </row>
    <row r="350" spans="2:8">
      <c r="B350">
        <v>348</v>
      </c>
      <c r="C350" t="str">
        <f>IFERROR(VLOOKUP(D350,StorageDevices!AT378:BC1375,2,FALSE),"")</f>
        <v/>
      </c>
      <c r="D350">
        <v>348</v>
      </c>
      <c r="E350" t="str">
        <f>IFERROR(VLOOKUP(D350,StorageDevices!BO378:BX1366,2,FALSE),"")</f>
        <v/>
      </c>
      <c r="F350">
        <v>348</v>
      </c>
      <c r="G350" t="str">
        <f>IFERROR(VLOOKUP(F350,StorageDevices!CJ378:CS1366,2,FALSE),"")</f>
        <v/>
      </c>
      <c r="H350">
        <v>348</v>
      </c>
    </row>
    <row r="351" spans="2:8">
      <c r="B351">
        <v>349</v>
      </c>
      <c r="C351" t="str">
        <f>IFERROR(VLOOKUP(D351,StorageDevices!AT379:BC1376,2,FALSE),"")</f>
        <v/>
      </c>
      <c r="D351">
        <v>349</v>
      </c>
      <c r="E351" t="str">
        <f>IFERROR(VLOOKUP(D351,StorageDevices!BO379:BX1367,2,FALSE),"")</f>
        <v/>
      </c>
      <c r="F351">
        <v>349</v>
      </c>
      <c r="G351" t="str">
        <f>IFERROR(VLOOKUP(F351,StorageDevices!CJ379:CS1367,2,FALSE),"")</f>
        <v/>
      </c>
      <c r="H351">
        <v>349</v>
      </c>
    </row>
    <row r="352" spans="2:8">
      <c r="B352">
        <v>350</v>
      </c>
      <c r="C352" t="str">
        <f>IFERROR(VLOOKUP(D352,StorageDevices!AT380:BC1377,2,FALSE),"")</f>
        <v/>
      </c>
      <c r="D352">
        <v>350</v>
      </c>
      <c r="E352" t="str">
        <f>IFERROR(VLOOKUP(D352,StorageDevices!BO380:BX1368,2,FALSE),"")</f>
        <v/>
      </c>
      <c r="F352">
        <v>350</v>
      </c>
      <c r="G352" t="str">
        <f>IFERROR(VLOOKUP(F352,StorageDevices!CJ380:CS1368,2,FALSE),"")</f>
        <v/>
      </c>
      <c r="H352">
        <v>350</v>
      </c>
    </row>
    <row r="353" spans="2:8">
      <c r="B353">
        <v>351</v>
      </c>
      <c r="C353" t="str">
        <f>IFERROR(VLOOKUP(D353,StorageDevices!AT381:BC1378,2,FALSE),"")</f>
        <v/>
      </c>
      <c r="D353">
        <v>351</v>
      </c>
      <c r="E353" t="str">
        <f>IFERROR(VLOOKUP(D353,StorageDevices!BO381:BX1369,2,FALSE),"")</f>
        <v/>
      </c>
      <c r="F353">
        <v>351</v>
      </c>
      <c r="G353" t="str">
        <f>IFERROR(VLOOKUP(F353,StorageDevices!CJ381:CS1369,2,FALSE),"")</f>
        <v/>
      </c>
      <c r="H353">
        <v>351</v>
      </c>
    </row>
    <row r="354" spans="2:8">
      <c r="B354">
        <v>352</v>
      </c>
      <c r="C354" t="str">
        <f>IFERROR(VLOOKUP(D354,StorageDevices!AT382:BC1379,2,FALSE),"")</f>
        <v/>
      </c>
      <c r="D354">
        <v>352</v>
      </c>
      <c r="E354" t="str">
        <f>IFERROR(VLOOKUP(D354,StorageDevices!BO382:BX1370,2,FALSE),"")</f>
        <v/>
      </c>
      <c r="F354">
        <v>352</v>
      </c>
      <c r="G354" t="str">
        <f>IFERROR(VLOOKUP(F354,StorageDevices!CJ382:CS1370,2,FALSE),"")</f>
        <v/>
      </c>
      <c r="H354">
        <v>352</v>
      </c>
    </row>
    <row r="355" spans="2:8">
      <c r="B355">
        <v>353</v>
      </c>
      <c r="C355" t="str">
        <f>IFERROR(VLOOKUP(D355,StorageDevices!AT383:BC1380,2,FALSE),"")</f>
        <v/>
      </c>
      <c r="D355">
        <v>353</v>
      </c>
      <c r="E355" t="str">
        <f>IFERROR(VLOOKUP(D355,StorageDevices!BO383:BX1371,2,FALSE),"")</f>
        <v/>
      </c>
      <c r="F355">
        <v>353</v>
      </c>
      <c r="G355" t="str">
        <f>IFERROR(VLOOKUP(F355,StorageDevices!CJ383:CS1371,2,FALSE),"")</f>
        <v/>
      </c>
      <c r="H355">
        <v>353</v>
      </c>
    </row>
    <row r="356" spans="2:8">
      <c r="B356">
        <v>354</v>
      </c>
      <c r="C356" t="str">
        <f>IFERROR(VLOOKUP(D356,StorageDevices!AT384:BC1381,2,FALSE),"")</f>
        <v/>
      </c>
      <c r="D356">
        <v>354</v>
      </c>
      <c r="E356" t="str">
        <f>IFERROR(VLOOKUP(D356,StorageDevices!BO384:BX1372,2,FALSE),"")</f>
        <v/>
      </c>
      <c r="F356">
        <v>354</v>
      </c>
      <c r="G356" t="str">
        <f>IFERROR(VLOOKUP(F356,StorageDevices!CJ384:CS1372,2,FALSE),"")</f>
        <v/>
      </c>
      <c r="H356">
        <v>354</v>
      </c>
    </row>
    <row r="357" spans="2:8">
      <c r="B357">
        <v>355</v>
      </c>
      <c r="C357" t="str">
        <f>IFERROR(VLOOKUP(D357,StorageDevices!AT385:BC1382,2,FALSE),"")</f>
        <v/>
      </c>
      <c r="D357">
        <v>355</v>
      </c>
      <c r="E357" t="str">
        <f>IFERROR(VLOOKUP(D357,StorageDevices!BO385:BX1373,2,FALSE),"")</f>
        <v/>
      </c>
      <c r="F357">
        <v>355</v>
      </c>
      <c r="G357" t="str">
        <f>IFERROR(VLOOKUP(F357,StorageDevices!CJ385:CS1373,2,FALSE),"")</f>
        <v/>
      </c>
      <c r="H357">
        <v>355</v>
      </c>
    </row>
    <row r="358" spans="2:8">
      <c r="B358">
        <v>356</v>
      </c>
      <c r="C358" t="str">
        <f>IFERROR(VLOOKUP(D358,StorageDevices!AT386:BC1383,2,FALSE),"")</f>
        <v/>
      </c>
      <c r="D358">
        <v>356</v>
      </c>
      <c r="E358" t="str">
        <f>IFERROR(VLOOKUP(D358,StorageDevices!BO386:BX1374,2,FALSE),"")</f>
        <v/>
      </c>
      <c r="F358">
        <v>356</v>
      </c>
      <c r="G358" t="str">
        <f>IFERROR(VLOOKUP(F358,StorageDevices!CJ386:CS1374,2,FALSE),"")</f>
        <v/>
      </c>
      <c r="H358">
        <v>356</v>
      </c>
    </row>
    <row r="359" spans="2:8">
      <c r="B359">
        <v>357</v>
      </c>
      <c r="C359" t="str">
        <f>IFERROR(VLOOKUP(D359,StorageDevices!AT387:BC1384,2,FALSE),"")</f>
        <v/>
      </c>
      <c r="D359">
        <v>357</v>
      </c>
      <c r="E359" t="str">
        <f>IFERROR(VLOOKUP(D359,StorageDevices!BO387:BX1375,2,FALSE),"")</f>
        <v/>
      </c>
      <c r="F359">
        <v>357</v>
      </c>
      <c r="G359" t="str">
        <f>IFERROR(VLOOKUP(F359,StorageDevices!CJ387:CS1375,2,FALSE),"")</f>
        <v/>
      </c>
      <c r="H359">
        <v>357</v>
      </c>
    </row>
    <row r="360" spans="2:8">
      <c r="B360">
        <v>358</v>
      </c>
      <c r="C360" t="str">
        <f>IFERROR(VLOOKUP(D360,StorageDevices!AT388:BC1385,2,FALSE),"")</f>
        <v/>
      </c>
      <c r="D360">
        <v>358</v>
      </c>
      <c r="E360" t="str">
        <f>IFERROR(VLOOKUP(D360,StorageDevices!BO388:BX1376,2,FALSE),"")</f>
        <v/>
      </c>
      <c r="F360">
        <v>358</v>
      </c>
      <c r="G360" t="str">
        <f>IFERROR(VLOOKUP(F360,StorageDevices!CJ388:CS1376,2,FALSE),"")</f>
        <v/>
      </c>
      <c r="H360">
        <v>358</v>
      </c>
    </row>
    <row r="361" spans="2:8">
      <c r="B361">
        <v>359</v>
      </c>
      <c r="C361" t="str">
        <f>IFERROR(VLOOKUP(D361,StorageDevices!AT389:BC1386,2,FALSE),"")</f>
        <v/>
      </c>
      <c r="D361">
        <v>359</v>
      </c>
      <c r="E361" t="str">
        <f>IFERROR(VLOOKUP(D361,StorageDevices!BO389:BX1377,2,FALSE),"")</f>
        <v/>
      </c>
      <c r="F361">
        <v>359</v>
      </c>
      <c r="G361" t="str">
        <f>IFERROR(VLOOKUP(F361,StorageDevices!CJ389:CS1377,2,FALSE),"")</f>
        <v/>
      </c>
      <c r="H361">
        <v>359</v>
      </c>
    </row>
    <row r="362" spans="2:8">
      <c r="B362">
        <v>360</v>
      </c>
      <c r="C362" t="str">
        <f>IFERROR(VLOOKUP(D362,StorageDevices!AT390:BC1387,2,FALSE),"")</f>
        <v/>
      </c>
      <c r="D362">
        <v>360</v>
      </c>
      <c r="E362" t="str">
        <f>IFERROR(VLOOKUP(D362,StorageDevices!BO390:BX1378,2,FALSE),"")</f>
        <v/>
      </c>
      <c r="F362">
        <v>360</v>
      </c>
      <c r="G362" t="str">
        <f>IFERROR(VLOOKUP(F362,StorageDevices!CJ390:CS1378,2,FALSE),"")</f>
        <v/>
      </c>
      <c r="H362">
        <v>360</v>
      </c>
    </row>
    <row r="363" spans="2:8">
      <c r="B363">
        <v>361</v>
      </c>
      <c r="C363" t="str">
        <f>IFERROR(VLOOKUP(D363,StorageDevices!AT391:BC1388,2,FALSE),"")</f>
        <v/>
      </c>
      <c r="D363">
        <v>361</v>
      </c>
      <c r="E363" t="str">
        <f>IFERROR(VLOOKUP(D363,StorageDevices!BO391:BX1379,2,FALSE),"")</f>
        <v/>
      </c>
      <c r="F363">
        <v>361</v>
      </c>
      <c r="G363" t="str">
        <f>IFERROR(VLOOKUP(F363,StorageDevices!CJ391:CS1379,2,FALSE),"")</f>
        <v/>
      </c>
      <c r="H363">
        <v>361</v>
      </c>
    </row>
    <row r="364" spans="2:8">
      <c r="B364">
        <v>362</v>
      </c>
      <c r="C364" t="str">
        <f>IFERROR(VLOOKUP(D364,StorageDevices!AT392:BC1389,2,FALSE),"")</f>
        <v/>
      </c>
      <c r="D364">
        <v>362</v>
      </c>
      <c r="E364" t="str">
        <f>IFERROR(VLOOKUP(D364,StorageDevices!BO392:BX1380,2,FALSE),"")</f>
        <v/>
      </c>
      <c r="F364">
        <v>362</v>
      </c>
      <c r="G364" t="str">
        <f>IFERROR(VLOOKUP(F364,StorageDevices!CJ392:CS1380,2,FALSE),"")</f>
        <v/>
      </c>
      <c r="H364">
        <v>362</v>
      </c>
    </row>
    <row r="365" spans="2:8">
      <c r="B365">
        <v>363</v>
      </c>
      <c r="C365" t="str">
        <f>IFERROR(VLOOKUP(D365,StorageDevices!AT393:BC1390,2,FALSE),"")</f>
        <v/>
      </c>
      <c r="D365">
        <v>363</v>
      </c>
      <c r="E365" t="str">
        <f>IFERROR(VLOOKUP(D365,StorageDevices!BO393:BX1381,2,FALSE),"")</f>
        <v/>
      </c>
      <c r="F365">
        <v>363</v>
      </c>
      <c r="G365" t="str">
        <f>IFERROR(VLOOKUP(F365,StorageDevices!CJ393:CS1381,2,FALSE),"")</f>
        <v/>
      </c>
      <c r="H365">
        <v>363</v>
      </c>
    </row>
    <row r="366" spans="2:8">
      <c r="B366">
        <v>364</v>
      </c>
      <c r="C366" t="str">
        <f>IFERROR(VLOOKUP(D366,StorageDevices!AT394:BC1391,2,FALSE),"")</f>
        <v/>
      </c>
      <c r="D366">
        <v>364</v>
      </c>
      <c r="E366" t="str">
        <f>IFERROR(VLOOKUP(D366,StorageDevices!BO394:BX1382,2,FALSE),"")</f>
        <v/>
      </c>
      <c r="F366">
        <v>364</v>
      </c>
      <c r="G366" t="str">
        <f>IFERROR(VLOOKUP(F366,StorageDevices!CJ394:CS1382,2,FALSE),"")</f>
        <v/>
      </c>
      <c r="H366">
        <v>364</v>
      </c>
    </row>
    <row r="367" spans="2:8">
      <c r="B367">
        <v>365</v>
      </c>
      <c r="C367" t="str">
        <f>IFERROR(VLOOKUP(D367,StorageDevices!AT395:BC1392,2,FALSE),"")</f>
        <v/>
      </c>
      <c r="D367">
        <v>365</v>
      </c>
      <c r="E367" t="str">
        <f>IFERROR(VLOOKUP(D367,StorageDevices!BO395:BX1383,2,FALSE),"")</f>
        <v/>
      </c>
      <c r="F367">
        <v>365</v>
      </c>
      <c r="G367" t="str">
        <f>IFERROR(VLOOKUP(F367,StorageDevices!CJ395:CS1383,2,FALSE),"")</f>
        <v/>
      </c>
      <c r="H367">
        <v>365</v>
      </c>
    </row>
    <row r="368" spans="2:8">
      <c r="B368">
        <v>366</v>
      </c>
      <c r="C368" t="str">
        <f>IFERROR(VLOOKUP(D368,StorageDevices!AT396:BC1393,2,FALSE),"")</f>
        <v/>
      </c>
      <c r="D368">
        <v>366</v>
      </c>
      <c r="E368" t="str">
        <f>IFERROR(VLOOKUP(D368,StorageDevices!BO396:BX1384,2,FALSE),"")</f>
        <v/>
      </c>
      <c r="F368">
        <v>366</v>
      </c>
      <c r="G368" t="str">
        <f>IFERROR(VLOOKUP(F368,StorageDevices!CJ396:CS1384,2,FALSE),"")</f>
        <v/>
      </c>
      <c r="H368">
        <v>366</v>
      </c>
    </row>
    <row r="369" spans="2:8">
      <c r="B369">
        <v>367</v>
      </c>
      <c r="C369" t="str">
        <f>IFERROR(VLOOKUP(D369,StorageDevices!AT397:BC1394,2,FALSE),"")</f>
        <v/>
      </c>
      <c r="D369">
        <v>367</v>
      </c>
      <c r="E369" t="str">
        <f>IFERROR(VLOOKUP(D369,StorageDevices!BO397:BX1385,2,FALSE),"")</f>
        <v/>
      </c>
      <c r="F369">
        <v>367</v>
      </c>
      <c r="G369" t="str">
        <f>IFERROR(VLOOKUP(F369,StorageDevices!CJ397:CS1385,2,FALSE),"")</f>
        <v/>
      </c>
      <c r="H369">
        <v>367</v>
      </c>
    </row>
    <row r="370" spans="2:8">
      <c r="B370">
        <v>368</v>
      </c>
      <c r="C370" t="str">
        <f>IFERROR(VLOOKUP(D370,StorageDevices!AT398:BC1395,2,FALSE),"")</f>
        <v/>
      </c>
      <c r="D370">
        <v>368</v>
      </c>
      <c r="E370" t="str">
        <f>IFERROR(VLOOKUP(D370,StorageDevices!BO398:BX1386,2,FALSE),"")</f>
        <v/>
      </c>
      <c r="F370">
        <v>368</v>
      </c>
      <c r="G370" t="str">
        <f>IFERROR(VLOOKUP(F370,StorageDevices!CJ398:CS1386,2,FALSE),"")</f>
        <v/>
      </c>
      <c r="H370">
        <v>368</v>
      </c>
    </row>
    <row r="371" spans="2:8">
      <c r="B371">
        <v>369</v>
      </c>
      <c r="C371" t="str">
        <f>IFERROR(VLOOKUP(D371,StorageDevices!AT399:BC1396,2,FALSE),"")</f>
        <v/>
      </c>
      <c r="D371">
        <v>369</v>
      </c>
      <c r="E371" t="str">
        <f>IFERROR(VLOOKUP(D371,StorageDevices!BO399:BX1387,2,FALSE),"")</f>
        <v/>
      </c>
      <c r="F371">
        <v>369</v>
      </c>
      <c r="G371" t="str">
        <f>IFERROR(VLOOKUP(F371,StorageDevices!CJ399:CS1387,2,FALSE),"")</f>
        <v/>
      </c>
      <c r="H371">
        <v>369</v>
      </c>
    </row>
    <row r="372" spans="2:8">
      <c r="B372">
        <v>370</v>
      </c>
      <c r="C372" t="str">
        <f>IFERROR(VLOOKUP(D372,StorageDevices!AT400:BC1397,2,FALSE),"")</f>
        <v/>
      </c>
      <c r="D372">
        <v>370</v>
      </c>
      <c r="E372" t="str">
        <f>IFERROR(VLOOKUP(D372,StorageDevices!BO400:BX1388,2,FALSE),"")</f>
        <v/>
      </c>
      <c r="F372">
        <v>370</v>
      </c>
      <c r="G372" t="str">
        <f>IFERROR(VLOOKUP(F372,StorageDevices!CJ400:CS1388,2,FALSE),"")</f>
        <v/>
      </c>
      <c r="H372">
        <v>370</v>
      </c>
    </row>
    <row r="373" spans="2:8">
      <c r="B373">
        <v>371</v>
      </c>
      <c r="C373" t="str">
        <f>IFERROR(VLOOKUP(D373,StorageDevices!AT401:BC1398,2,FALSE),"")</f>
        <v/>
      </c>
      <c r="D373">
        <v>371</v>
      </c>
      <c r="E373" t="str">
        <f>IFERROR(VLOOKUP(D373,StorageDevices!BO401:BX1389,2,FALSE),"")</f>
        <v/>
      </c>
      <c r="F373">
        <v>371</v>
      </c>
      <c r="G373" t="str">
        <f>IFERROR(VLOOKUP(F373,StorageDevices!CJ401:CS1389,2,FALSE),"")</f>
        <v/>
      </c>
      <c r="H373">
        <v>371</v>
      </c>
    </row>
    <row r="374" spans="2:8">
      <c r="B374">
        <v>372</v>
      </c>
      <c r="C374" t="str">
        <f>IFERROR(VLOOKUP(D374,StorageDevices!AT402:BC1399,2,FALSE),"")</f>
        <v/>
      </c>
      <c r="D374">
        <v>372</v>
      </c>
      <c r="E374" t="str">
        <f>IFERROR(VLOOKUP(D374,StorageDevices!BO402:BX1390,2,FALSE),"")</f>
        <v/>
      </c>
      <c r="F374">
        <v>372</v>
      </c>
      <c r="G374" t="str">
        <f>IFERROR(VLOOKUP(F374,StorageDevices!CJ402:CS1390,2,FALSE),"")</f>
        <v/>
      </c>
      <c r="H374">
        <v>372</v>
      </c>
    </row>
    <row r="375" spans="2:8">
      <c r="B375">
        <v>373</v>
      </c>
      <c r="C375" t="str">
        <f>IFERROR(VLOOKUP(D375,StorageDevices!AT403:BC1400,2,FALSE),"")</f>
        <v/>
      </c>
      <c r="D375">
        <v>373</v>
      </c>
      <c r="E375" t="str">
        <f>IFERROR(VLOOKUP(D375,StorageDevices!BO403:BX1391,2,FALSE),"")</f>
        <v/>
      </c>
      <c r="F375">
        <v>373</v>
      </c>
      <c r="G375" t="str">
        <f>IFERROR(VLOOKUP(F375,StorageDevices!CJ403:CS1391,2,FALSE),"")</f>
        <v/>
      </c>
      <c r="H375">
        <v>373</v>
      </c>
    </row>
    <row r="376" spans="2:8">
      <c r="B376">
        <v>374</v>
      </c>
      <c r="C376" t="str">
        <f>IFERROR(VLOOKUP(D376,StorageDevices!AT404:BC1401,2,FALSE),"")</f>
        <v/>
      </c>
      <c r="D376">
        <v>374</v>
      </c>
      <c r="E376" t="str">
        <f>IFERROR(VLOOKUP(D376,StorageDevices!BO404:BX1392,2,FALSE),"")</f>
        <v/>
      </c>
      <c r="F376">
        <v>374</v>
      </c>
      <c r="G376" t="str">
        <f>IFERROR(VLOOKUP(F376,StorageDevices!CJ404:CS1392,2,FALSE),"")</f>
        <v/>
      </c>
      <c r="H376">
        <v>374</v>
      </c>
    </row>
    <row r="377" spans="2:8">
      <c r="B377">
        <v>375</v>
      </c>
      <c r="C377" t="str">
        <f>IFERROR(VLOOKUP(D377,StorageDevices!AT405:BC1402,2,FALSE),"")</f>
        <v/>
      </c>
      <c r="D377">
        <v>375</v>
      </c>
      <c r="E377" t="str">
        <f>IFERROR(VLOOKUP(D377,StorageDevices!BO405:BX1393,2,FALSE),"")</f>
        <v/>
      </c>
      <c r="F377">
        <v>375</v>
      </c>
      <c r="G377" t="str">
        <f>IFERROR(VLOOKUP(F377,StorageDevices!CJ405:CS1393,2,FALSE),"")</f>
        <v/>
      </c>
      <c r="H377">
        <v>375</v>
      </c>
    </row>
    <row r="378" spans="2:8">
      <c r="B378">
        <v>376</v>
      </c>
      <c r="C378" t="str">
        <f>IFERROR(VLOOKUP(D378,StorageDevices!AT406:BC1403,2,FALSE),"")</f>
        <v/>
      </c>
      <c r="D378">
        <v>376</v>
      </c>
      <c r="E378" t="str">
        <f>IFERROR(VLOOKUP(D378,StorageDevices!BO406:BX1394,2,FALSE),"")</f>
        <v/>
      </c>
      <c r="F378">
        <v>376</v>
      </c>
      <c r="G378" t="str">
        <f>IFERROR(VLOOKUP(F378,StorageDevices!CJ406:CS1394,2,FALSE),"")</f>
        <v/>
      </c>
      <c r="H378">
        <v>376</v>
      </c>
    </row>
    <row r="379" spans="2:8">
      <c r="B379">
        <v>377</v>
      </c>
      <c r="C379" t="str">
        <f>IFERROR(VLOOKUP(D379,StorageDevices!AT407:BC1404,2,FALSE),"")</f>
        <v/>
      </c>
      <c r="D379">
        <v>377</v>
      </c>
      <c r="E379" t="str">
        <f>IFERROR(VLOOKUP(D379,StorageDevices!BO407:BX1395,2,FALSE),"")</f>
        <v/>
      </c>
      <c r="F379">
        <v>377</v>
      </c>
      <c r="G379" t="str">
        <f>IFERROR(VLOOKUP(F379,StorageDevices!CJ407:CS1395,2,FALSE),"")</f>
        <v/>
      </c>
      <c r="H379">
        <v>377</v>
      </c>
    </row>
    <row r="380" spans="2:8">
      <c r="B380">
        <v>378</v>
      </c>
      <c r="C380" t="str">
        <f>IFERROR(VLOOKUP(D380,StorageDevices!AT408:BC1405,2,FALSE),"")</f>
        <v/>
      </c>
      <c r="D380">
        <v>378</v>
      </c>
      <c r="E380" t="str">
        <f>IFERROR(VLOOKUP(D380,StorageDevices!BO408:BX1396,2,FALSE),"")</f>
        <v/>
      </c>
      <c r="F380">
        <v>378</v>
      </c>
      <c r="G380" t="str">
        <f>IFERROR(VLOOKUP(F380,StorageDevices!CJ408:CS1396,2,FALSE),"")</f>
        <v/>
      </c>
      <c r="H380">
        <v>378</v>
      </c>
    </row>
    <row r="381" spans="2:8">
      <c r="B381">
        <v>379</v>
      </c>
      <c r="C381" t="str">
        <f>IFERROR(VLOOKUP(D381,StorageDevices!AT409:BC1406,2,FALSE),"")</f>
        <v/>
      </c>
      <c r="D381">
        <v>379</v>
      </c>
      <c r="E381" t="str">
        <f>IFERROR(VLOOKUP(D381,StorageDevices!BO409:BX1397,2,FALSE),"")</f>
        <v/>
      </c>
      <c r="F381">
        <v>379</v>
      </c>
      <c r="G381" t="str">
        <f>IFERROR(VLOOKUP(F381,StorageDevices!CJ409:CS1397,2,FALSE),"")</f>
        <v/>
      </c>
      <c r="H381">
        <v>379</v>
      </c>
    </row>
    <row r="382" spans="2:8">
      <c r="B382">
        <v>380</v>
      </c>
      <c r="C382" t="str">
        <f>IFERROR(VLOOKUP(D382,StorageDevices!AT410:BC1407,2,FALSE),"")</f>
        <v/>
      </c>
      <c r="D382">
        <v>380</v>
      </c>
      <c r="E382" t="str">
        <f>IFERROR(VLOOKUP(D382,StorageDevices!BO410:BX1398,2,FALSE),"")</f>
        <v/>
      </c>
      <c r="F382">
        <v>380</v>
      </c>
      <c r="G382" t="str">
        <f>IFERROR(VLOOKUP(F382,StorageDevices!CJ410:CS1398,2,FALSE),"")</f>
        <v/>
      </c>
      <c r="H382">
        <v>380</v>
      </c>
    </row>
    <row r="383" spans="2:8">
      <c r="B383">
        <v>381</v>
      </c>
      <c r="C383" t="str">
        <f>IFERROR(VLOOKUP(D383,StorageDevices!AT411:BC1408,2,FALSE),"")</f>
        <v/>
      </c>
      <c r="D383">
        <v>381</v>
      </c>
      <c r="E383" t="str">
        <f>IFERROR(VLOOKUP(D383,StorageDevices!BO411:BX1399,2,FALSE),"")</f>
        <v/>
      </c>
      <c r="F383">
        <v>381</v>
      </c>
      <c r="G383" t="str">
        <f>IFERROR(VLOOKUP(F383,StorageDevices!CJ411:CS1399,2,FALSE),"")</f>
        <v/>
      </c>
      <c r="H383">
        <v>381</v>
      </c>
    </row>
    <row r="384" spans="2:8">
      <c r="B384">
        <v>382</v>
      </c>
      <c r="C384" t="str">
        <f>IFERROR(VLOOKUP(D384,StorageDevices!AT412:BC1409,2,FALSE),"")</f>
        <v/>
      </c>
      <c r="D384">
        <v>382</v>
      </c>
      <c r="E384" t="str">
        <f>IFERROR(VLOOKUP(D384,StorageDevices!BO412:BX1400,2,FALSE),"")</f>
        <v/>
      </c>
      <c r="F384">
        <v>382</v>
      </c>
      <c r="G384" t="str">
        <f>IFERROR(VLOOKUP(F384,StorageDevices!CJ412:CS1400,2,FALSE),"")</f>
        <v/>
      </c>
      <c r="H384">
        <v>382</v>
      </c>
    </row>
    <row r="385" spans="2:8">
      <c r="B385">
        <v>383</v>
      </c>
      <c r="C385" t="str">
        <f>IFERROR(VLOOKUP(D385,StorageDevices!AT413:BC1410,2,FALSE),"")</f>
        <v/>
      </c>
      <c r="D385">
        <v>383</v>
      </c>
      <c r="E385" t="str">
        <f>IFERROR(VLOOKUP(D385,StorageDevices!BO413:BX1401,2,FALSE),"")</f>
        <v/>
      </c>
      <c r="F385">
        <v>383</v>
      </c>
      <c r="G385" t="str">
        <f>IFERROR(VLOOKUP(F385,StorageDevices!CJ413:CS1401,2,FALSE),"")</f>
        <v/>
      </c>
      <c r="H385">
        <v>383</v>
      </c>
    </row>
    <row r="386" spans="2:8">
      <c r="B386">
        <v>384</v>
      </c>
      <c r="C386" t="str">
        <f>IFERROR(VLOOKUP(D386,StorageDevices!AT414:BC1411,2,FALSE),"")</f>
        <v/>
      </c>
      <c r="D386">
        <v>384</v>
      </c>
      <c r="E386" t="str">
        <f>IFERROR(VLOOKUP(D386,StorageDevices!BO414:BX1402,2,FALSE),"")</f>
        <v/>
      </c>
      <c r="F386">
        <v>384</v>
      </c>
      <c r="G386" t="str">
        <f>IFERROR(VLOOKUP(F386,StorageDevices!CJ414:CS1402,2,FALSE),"")</f>
        <v/>
      </c>
      <c r="H386">
        <v>384</v>
      </c>
    </row>
    <row r="387" spans="2:8">
      <c r="B387">
        <v>385</v>
      </c>
      <c r="C387" t="str">
        <f>IFERROR(VLOOKUP(D387,StorageDevices!AT415:BC1412,2,FALSE),"")</f>
        <v/>
      </c>
      <c r="D387">
        <v>385</v>
      </c>
      <c r="E387" t="str">
        <f>IFERROR(VLOOKUP(D387,StorageDevices!BO415:BX1403,2,FALSE),"")</f>
        <v/>
      </c>
      <c r="F387">
        <v>385</v>
      </c>
      <c r="G387" t="str">
        <f>IFERROR(VLOOKUP(F387,StorageDevices!CJ415:CS1403,2,FALSE),"")</f>
        <v/>
      </c>
      <c r="H387">
        <v>385</v>
      </c>
    </row>
    <row r="388" spans="2:8">
      <c r="B388">
        <v>386</v>
      </c>
      <c r="C388" t="str">
        <f>IFERROR(VLOOKUP(D388,StorageDevices!AT416:BC1413,2,FALSE),"")</f>
        <v/>
      </c>
      <c r="D388">
        <v>386</v>
      </c>
      <c r="E388" t="str">
        <f>IFERROR(VLOOKUP(D388,StorageDevices!BO416:BX1404,2,FALSE),"")</f>
        <v/>
      </c>
      <c r="F388">
        <v>386</v>
      </c>
      <c r="G388" t="str">
        <f>IFERROR(VLOOKUP(F388,StorageDevices!CJ416:CS1404,2,FALSE),"")</f>
        <v/>
      </c>
      <c r="H388">
        <v>386</v>
      </c>
    </row>
    <row r="389" spans="2:8">
      <c r="B389">
        <v>387</v>
      </c>
      <c r="C389" t="str">
        <f>IFERROR(VLOOKUP(D389,StorageDevices!AT417:BC1414,2,FALSE),"")</f>
        <v/>
      </c>
      <c r="D389">
        <v>387</v>
      </c>
      <c r="E389" t="str">
        <f>IFERROR(VLOOKUP(D389,StorageDevices!BO417:BX1405,2,FALSE),"")</f>
        <v/>
      </c>
      <c r="F389">
        <v>387</v>
      </c>
      <c r="G389" t="str">
        <f>IFERROR(VLOOKUP(F389,StorageDevices!CJ417:CS1405,2,FALSE),"")</f>
        <v/>
      </c>
      <c r="H389">
        <v>387</v>
      </c>
    </row>
    <row r="390" spans="2:8">
      <c r="B390">
        <v>388</v>
      </c>
      <c r="C390" t="str">
        <f>IFERROR(VLOOKUP(D390,StorageDevices!AT418:BC1415,2,FALSE),"")</f>
        <v/>
      </c>
      <c r="D390">
        <v>388</v>
      </c>
      <c r="E390" t="str">
        <f>IFERROR(VLOOKUP(D390,StorageDevices!BO418:BX1406,2,FALSE),"")</f>
        <v/>
      </c>
      <c r="F390">
        <v>388</v>
      </c>
      <c r="G390" t="str">
        <f>IFERROR(VLOOKUP(F390,StorageDevices!CJ418:CS1406,2,FALSE),"")</f>
        <v/>
      </c>
      <c r="H390">
        <v>388</v>
      </c>
    </row>
    <row r="391" spans="2:8">
      <c r="B391">
        <v>389</v>
      </c>
      <c r="C391" t="str">
        <f>IFERROR(VLOOKUP(D391,StorageDevices!AT419:BC1416,2,FALSE),"")</f>
        <v/>
      </c>
      <c r="D391">
        <v>389</v>
      </c>
      <c r="E391" t="str">
        <f>IFERROR(VLOOKUP(D391,StorageDevices!BO419:BX1407,2,FALSE),"")</f>
        <v/>
      </c>
      <c r="F391">
        <v>389</v>
      </c>
      <c r="G391" t="str">
        <f>IFERROR(VLOOKUP(F391,StorageDevices!CJ419:CS1407,2,FALSE),"")</f>
        <v/>
      </c>
      <c r="H391">
        <v>389</v>
      </c>
    </row>
    <row r="392" spans="2:8">
      <c r="B392">
        <v>390</v>
      </c>
      <c r="C392" t="str">
        <f>IFERROR(VLOOKUP(D392,StorageDevices!AT420:BC1417,2,FALSE),"")</f>
        <v/>
      </c>
      <c r="D392">
        <v>390</v>
      </c>
      <c r="E392" t="str">
        <f>IFERROR(VLOOKUP(D392,StorageDevices!BO420:BX1408,2,FALSE),"")</f>
        <v/>
      </c>
      <c r="F392">
        <v>390</v>
      </c>
      <c r="G392" t="str">
        <f>IFERROR(VLOOKUP(F392,StorageDevices!CJ420:CS1408,2,FALSE),"")</f>
        <v/>
      </c>
      <c r="H392">
        <v>390</v>
      </c>
    </row>
    <row r="393" spans="2:8">
      <c r="B393">
        <v>391</v>
      </c>
      <c r="C393" t="str">
        <f>IFERROR(VLOOKUP(D393,StorageDevices!AT421:BC1418,2,FALSE),"")</f>
        <v/>
      </c>
      <c r="D393">
        <v>391</v>
      </c>
      <c r="E393" t="str">
        <f>IFERROR(VLOOKUP(D393,StorageDevices!BO421:BX1409,2,FALSE),"")</f>
        <v/>
      </c>
      <c r="F393">
        <v>391</v>
      </c>
      <c r="G393" t="str">
        <f>IFERROR(VLOOKUP(F393,StorageDevices!CJ421:CS1409,2,FALSE),"")</f>
        <v/>
      </c>
      <c r="H393">
        <v>391</v>
      </c>
    </row>
    <row r="394" spans="2:8">
      <c r="B394">
        <v>392</v>
      </c>
      <c r="C394" t="str">
        <f>IFERROR(VLOOKUP(D394,StorageDevices!AT422:BC1419,2,FALSE),"")</f>
        <v/>
      </c>
      <c r="D394">
        <v>392</v>
      </c>
      <c r="E394" t="str">
        <f>IFERROR(VLOOKUP(D394,StorageDevices!BO422:BX1410,2,FALSE),"")</f>
        <v/>
      </c>
      <c r="F394">
        <v>392</v>
      </c>
      <c r="G394" t="str">
        <f>IFERROR(VLOOKUP(F394,StorageDevices!CJ422:CS1410,2,FALSE),"")</f>
        <v/>
      </c>
      <c r="H394">
        <v>392</v>
      </c>
    </row>
    <row r="395" spans="2:8">
      <c r="B395">
        <v>393</v>
      </c>
      <c r="C395" t="str">
        <f>IFERROR(VLOOKUP(D395,StorageDevices!AT423:BC1420,2,FALSE),"")</f>
        <v/>
      </c>
      <c r="D395">
        <v>393</v>
      </c>
      <c r="E395" t="str">
        <f>IFERROR(VLOOKUP(D395,StorageDevices!BO423:BX1411,2,FALSE),"")</f>
        <v/>
      </c>
      <c r="F395">
        <v>393</v>
      </c>
      <c r="G395" t="str">
        <f>IFERROR(VLOOKUP(F395,StorageDevices!CJ423:CS1411,2,FALSE),"")</f>
        <v/>
      </c>
      <c r="H395">
        <v>393</v>
      </c>
    </row>
    <row r="396" spans="2:8">
      <c r="B396">
        <v>394</v>
      </c>
      <c r="C396" t="str">
        <f>IFERROR(VLOOKUP(D396,StorageDevices!AT424:BC1421,2,FALSE),"")</f>
        <v/>
      </c>
      <c r="D396">
        <v>394</v>
      </c>
      <c r="E396" t="str">
        <f>IFERROR(VLOOKUP(D396,StorageDevices!BO424:BX1412,2,FALSE),"")</f>
        <v/>
      </c>
      <c r="F396">
        <v>394</v>
      </c>
      <c r="G396" t="str">
        <f>IFERROR(VLOOKUP(F396,StorageDevices!CJ424:CS1412,2,FALSE),"")</f>
        <v/>
      </c>
      <c r="H396">
        <v>394</v>
      </c>
    </row>
    <row r="397" spans="2:8">
      <c r="B397">
        <v>395</v>
      </c>
      <c r="C397" t="str">
        <f>IFERROR(VLOOKUP(D397,StorageDevices!AT425:BC1422,2,FALSE),"")</f>
        <v/>
      </c>
      <c r="D397">
        <v>395</v>
      </c>
      <c r="E397" t="str">
        <f>IFERROR(VLOOKUP(D397,StorageDevices!BO425:BX1413,2,FALSE),"")</f>
        <v/>
      </c>
      <c r="F397">
        <v>395</v>
      </c>
      <c r="G397" t="str">
        <f>IFERROR(VLOOKUP(F397,StorageDevices!CJ425:CS1413,2,FALSE),"")</f>
        <v/>
      </c>
      <c r="H397">
        <v>395</v>
      </c>
    </row>
    <row r="398" spans="2:8">
      <c r="B398">
        <v>396</v>
      </c>
      <c r="C398" t="str">
        <f>IFERROR(VLOOKUP(D398,StorageDevices!AT426:BC1423,2,FALSE),"")</f>
        <v/>
      </c>
      <c r="D398">
        <v>396</v>
      </c>
      <c r="E398" t="str">
        <f>IFERROR(VLOOKUP(D398,StorageDevices!BO426:BX1414,2,FALSE),"")</f>
        <v/>
      </c>
      <c r="F398">
        <v>396</v>
      </c>
      <c r="G398" t="str">
        <f>IFERROR(VLOOKUP(F398,StorageDevices!CJ426:CS1414,2,FALSE),"")</f>
        <v/>
      </c>
      <c r="H398">
        <v>396</v>
      </c>
    </row>
    <row r="399" spans="2:8">
      <c r="B399">
        <v>397</v>
      </c>
      <c r="C399" t="str">
        <f>IFERROR(VLOOKUP(D399,StorageDevices!AT427:BC1424,2,FALSE),"")</f>
        <v/>
      </c>
      <c r="D399">
        <v>397</v>
      </c>
      <c r="E399" t="str">
        <f>IFERROR(VLOOKUP(D399,StorageDevices!BO427:BX1415,2,FALSE),"")</f>
        <v/>
      </c>
      <c r="F399">
        <v>397</v>
      </c>
      <c r="G399" t="str">
        <f>IFERROR(VLOOKUP(F399,StorageDevices!CJ427:CS1415,2,FALSE),"")</f>
        <v/>
      </c>
      <c r="H399">
        <v>397</v>
      </c>
    </row>
    <row r="400" spans="2:8">
      <c r="B400">
        <v>398</v>
      </c>
      <c r="C400" t="str">
        <f>IFERROR(VLOOKUP(D400,StorageDevices!AT428:BC1425,2,FALSE),"")</f>
        <v/>
      </c>
      <c r="D400">
        <v>398</v>
      </c>
      <c r="E400" t="str">
        <f>IFERROR(VLOOKUP(D400,StorageDevices!BO428:BX1416,2,FALSE),"")</f>
        <v/>
      </c>
      <c r="F400">
        <v>398</v>
      </c>
      <c r="G400" t="str">
        <f>IFERROR(VLOOKUP(F400,StorageDevices!CJ428:CS1416,2,FALSE),"")</f>
        <v/>
      </c>
      <c r="H400">
        <v>398</v>
      </c>
    </row>
    <row r="401" spans="2:8">
      <c r="B401">
        <v>399</v>
      </c>
      <c r="C401" t="str">
        <f>IFERROR(VLOOKUP(D401,StorageDevices!AT429:BC1426,2,FALSE),"")</f>
        <v/>
      </c>
      <c r="D401">
        <v>399</v>
      </c>
      <c r="E401" t="str">
        <f>IFERROR(VLOOKUP(D401,StorageDevices!BO429:BX1417,2,FALSE),"")</f>
        <v/>
      </c>
      <c r="F401">
        <v>399</v>
      </c>
      <c r="G401" t="str">
        <f>IFERROR(VLOOKUP(F401,StorageDevices!CJ429:CS1417,2,FALSE),"")</f>
        <v/>
      </c>
      <c r="H401">
        <v>399</v>
      </c>
    </row>
    <row r="402" spans="2:8">
      <c r="B402">
        <v>400</v>
      </c>
      <c r="C402" t="str">
        <f>IFERROR(VLOOKUP(D402,StorageDevices!AT430:BC1427,2,FALSE),"")</f>
        <v/>
      </c>
      <c r="D402">
        <v>400</v>
      </c>
      <c r="E402" t="str">
        <f>IFERROR(VLOOKUP(D402,StorageDevices!BO430:BX1418,2,FALSE),"")</f>
        <v/>
      </c>
      <c r="F402">
        <v>400</v>
      </c>
      <c r="G402" t="str">
        <f>IFERROR(VLOOKUP(F402,StorageDevices!CJ430:CS1418,2,FALSE),"")</f>
        <v/>
      </c>
      <c r="H402">
        <v>400</v>
      </c>
    </row>
    <row r="403" spans="2:8">
      <c r="B403">
        <v>401</v>
      </c>
      <c r="C403" t="str">
        <f>IFERROR(VLOOKUP(D403,StorageDevices!AT431:BC1428,2,FALSE),"")</f>
        <v/>
      </c>
      <c r="D403">
        <v>401</v>
      </c>
      <c r="E403" t="str">
        <f>IFERROR(VLOOKUP(D403,StorageDevices!BO431:BX1419,2,FALSE),"")</f>
        <v/>
      </c>
      <c r="F403">
        <v>401</v>
      </c>
      <c r="G403" t="str">
        <f>IFERROR(VLOOKUP(F403,StorageDevices!CJ431:CS1419,2,FALSE),"")</f>
        <v/>
      </c>
      <c r="H403">
        <v>401</v>
      </c>
    </row>
    <row r="404" spans="2:8">
      <c r="B404">
        <v>402</v>
      </c>
      <c r="C404" t="str">
        <f>IFERROR(VLOOKUP(D404,StorageDevices!AT432:BC1429,2,FALSE),"")</f>
        <v/>
      </c>
      <c r="D404">
        <v>402</v>
      </c>
      <c r="E404" t="str">
        <f>IFERROR(VLOOKUP(D404,StorageDevices!BO432:BX1420,2,FALSE),"")</f>
        <v/>
      </c>
      <c r="F404">
        <v>402</v>
      </c>
      <c r="G404" t="str">
        <f>IFERROR(VLOOKUP(F404,StorageDevices!CJ432:CS1420,2,FALSE),"")</f>
        <v/>
      </c>
      <c r="H404">
        <v>402</v>
      </c>
    </row>
    <row r="405" spans="2:8">
      <c r="B405">
        <v>403</v>
      </c>
      <c r="C405" t="str">
        <f>IFERROR(VLOOKUP(D405,StorageDevices!AT433:BC1430,2,FALSE),"")</f>
        <v/>
      </c>
      <c r="D405">
        <v>403</v>
      </c>
      <c r="E405" t="str">
        <f>IFERROR(VLOOKUP(D405,StorageDevices!BO433:BX1421,2,FALSE),"")</f>
        <v/>
      </c>
      <c r="F405">
        <v>403</v>
      </c>
      <c r="G405" t="str">
        <f>IFERROR(VLOOKUP(F405,StorageDevices!CJ433:CS1421,2,FALSE),"")</f>
        <v/>
      </c>
      <c r="H405">
        <v>403</v>
      </c>
    </row>
    <row r="406" spans="2:8">
      <c r="B406">
        <v>404</v>
      </c>
      <c r="C406" t="str">
        <f>IFERROR(VLOOKUP(D406,StorageDevices!AT434:BC1431,2,FALSE),"")</f>
        <v/>
      </c>
      <c r="D406">
        <v>404</v>
      </c>
      <c r="E406" t="str">
        <f>IFERROR(VLOOKUP(D406,StorageDevices!BO434:BX1422,2,FALSE),"")</f>
        <v/>
      </c>
      <c r="F406">
        <v>404</v>
      </c>
      <c r="G406" t="str">
        <f>IFERROR(VLOOKUP(F406,StorageDevices!CJ434:CS1422,2,FALSE),"")</f>
        <v/>
      </c>
      <c r="H406">
        <v>404</v>
      </c>
    </row>
    <row r="407" spans="2:8">
      <c r="B407">
        <v>405</v>
      </c>
      <c r="C407" t="str">
        <f>IFERROR(VLOOKUP(D407,StorageDevices!AT435:BC1432,2,FALSE),"")</f>
        <v/>
      </c>
      <c r="D407">
        <v>405</v>
      </c>
      <c r="E407" t="str">
        <f>IFERROR(VLOOKUP(D407,StorageDevices!BO435:BX1423,2,FALSE),"")</f>
        <v/>
      </c>
      <c r="F407">
        <v>405</v>
      </c>
      <c r="G407" t="str">
        <f>IFERROR(VLOOKUP(F407,StorageDevices!CJ435:CS1423,2,FALSE),"")</f>
        <v/>
      </c>
      <c r="H407">
        <v>405</v>
      </c>
    </row>
    <row r="408" spans="2:8">
      <c r="B408">
        <v>406</v>
      </c>
      <c r="C408" t="str">
        <f>IFERROR(VLOOKUP(D408,StorageDevices!AT436:BC1433,2,FALSE),"")</f>
        <v/>
      </c>
      <c r="D408">
        <v>406</v>
      </c>
      <c r="E408" t="str">
        <f>IFERROR(VLOOKUP(D408,StorageDevices!BO436:BX1424,2,FALSE),"")</f>
        <v/>
      </c>
      <c r="F408">
        <v>406</v>
      </c>
      <c r="G408" t="str">
        <f>IFERROR(VLOOKUP(F408,StorageDevices!CJ436:CS1424,2,FALSE),"")</f>
        <v/>
      </c>
      <c r="H408">
        <v>406</v>
      </c>
    </row>
    <row r="409" spans="2:8">
      <c r="B409">
        <v>407</v>
      </c>
      <c r="C409" t="str">
        <f>IFERROR(VLOOKUP(D409,StorageDevices!AT437:BC1434,2,FALSE),"")</f>
        <v/>
      </c>
      <c r="D409">
        <v>407</v>
      </c>
      <c r="E409" t="str">
        <f>IFERROR(VLOOKUP(D409,StorageDevices!BO437:BX1425,2,FALSE),"")</f>
        <v/>
      </c>
      <c r="F409">
        <v>407</v>
      </c>
      <c r="G409" t="str">
        <f>IFERROR(VLOOKUP(F409,StorageDevices!CJ437:CS1425,2,FALSE),"")</f>
        <v/>
      </c>
      <c r="H409">
        <v>407</v>
      </c>
    </row>
    <row r="410" spans="2:8">
      <c r="B410">
        <v>408</v>
      </c>
      <c r="C410" t="str">
        <f>IFERROR(VLOOKUP(D410,StorageDevices!AT438:BC1435,2,FALSE),"")</f>
        <v/>
      </c>
      <c r="D410">
        <v>408</v>
      </c>
      <c r="E410" t="str">
        <f>IFERROR(VLOOKUP(D410,StorageDevices!BO438:BX1426,2,FALSE),"")</f>
        <v/>
      </c>
      <c r="F410">
        <v>408</v>
      </c>
      <c r="G410" t="str">
        <f>IFERROR(VLOOKUP(F410,StorageDevices!CJ438:CS1426,2,FALSE),"")</f>
        <v/>
      </c>
      <c r="H410">
        <v>408</v>
      </c>
    </row>
  </sheetData>
  <sheetProtection algorithmName="SHA-512" hashValue="NCX3cjly5WJF4pxcUaJPCLLoRheSTJSN3HjA5TkOHp+8kXGekwo639Pm1heahb7T1g57/xaoB+CeIiA+KLuFjg==" saltValue="nuw8pID7g1dFYhncaYGeKw==" spinCount="100000" sheet="1" objects="1" scenarios="1"/>
  <mergeCells count="4">
    <mergeCell ref="A1:B1"/>
    <mergeCell ref="C1:D1"/>
    <mergeCell ref="E1:F1"/>
    <mergeCell ref="G1:H1"/>
  </mergeCells>
  <pageMargins left="0.7" right="0.7" top="0.75" bottom="0.75"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dimension ref="A1:HT457"/>
  <sheetViews>
    <sheetView showGridLines="0" topLeftCell="A5" zoomScaleNormal="100" workbookViewId="0">
      <selection activeCell="A22" sqref="A22:XFD22"/>
    </sheetView>
  </sheetViews>
  <sheetFormatPr defaultColWidth="11.42578125" defaultRowHeight="15"/>
  <cols>
    <col min="1" max="1" width="34.7109375" style="57" bestFit="1" customWidth="1"/>
    <col min="2" max="2" width="35.7109375" style="57" hidden="1" customWidth="1"/>
    <col min="3" max="3" width="17.7109375" style="57" bestFit="1" customWidth="1"/>
    <col min="4" max="4" width="44.42578125" style="57" customWidth="1"/>
    <col min="5" max="5" width="28.42578125" style="57" customWidth="1"/>
    <col min="6" max="6" width="19.28515625" style="57" customWidth="1"/>
    <col min="7" max="7" width="74" style="57" customWidth="1"/>
    <col min="8" max="9" width="11.42578125" style="57" hidden="1" customWidth="1"/>
    <col min="10" max="10" width="28.7109375" style="57" hidden="1" customWidth="1"/>
    <col min="11" max="11" width="11.42578125" style="57" customWidth="1"/>
    <col min="12" max="12" width="13.5703125" style="57" customWidth="1"/>
    <col min="13" max="13" width="20" style="57" customWidth="1"/>
    <col min="14" max="14" width="9.42578125" style="57" customWidth="1"/>
    <col min="15" max="15" width="17.28515625" style="57" customWidth="1"/>
    <col min="16" max="16" width="27.5703125" style="57" customWidth="1"/>
    <col min="17" max="17" width="2" style="57" customWidth="1"/>
    <col min="18" max="18" width="38.28515625" style="57" customWidth="1"/>
    <col min="19" max="19" width="9.28515625" style="57" customWidth="1"/>
    <col min="20" max="21" width="12.28515625" style="57" customWidth="1"/>
    <col min="22" max="22" width="16.42578125" style="57" customWidth="1"/>
    <col min="23" max="23" width="12" style="57" customWidth="1"/>
    <col min="24" max="24" width="15.7109375" style="57" customWidth="1"/>
    <col min="25" max="26" width="19.7109375" style="57" customWidth="1"/>
    <col min="27" max="27" width="4.5703125" style="57" customWidth="1"/>
    <col min="28" max="28" width="12" style="57" customWidth="1"/>
    <col min="29" max="29" width="18.28515625" style="57" customWidth="1"/>
    <col min="30" max="30" width="20.7109375" style="57" customWidth="1"/>
    <col min="31" max="34" width="25" style="57" customWidth="1"/>
    <col min="35" max="35" width="20.7109375" style="57" customWidth="1"/>
    <col min="36" max="36" width="15.5703125" style="57" customWidth="1"/>
    <col min="37" max="37" width="28.5703125" style="57" customWidth="1"/>
    <col min="38" max="38" width="26.5703125" style="57" customWidth="1"/>
    <col min="39" max="40" width="16.7109375" style="57" customWidth="1"/>
    <col min="41" max="41" width="11.5703125" style="57" customWidth="1"/>
    <col min="42" max="42" width="16.7109375" style="57" customWidth="1"/>
    <col min="43" max="43" width="17.5703125" style="57" customWidth="1"/>
    <col min="44" max="44" width="19.28515625" style="57" customWidth="1"/>
    <col min="45" max="45" width="25" style="57" customWidth="1"/>
    <col min="46" max="46" width="23.28515625" style="57" customWidth="1"/>
    <col min="47" max="47" width="17.5703125" style="57" customWidth="1"/>
    <col min="48" max="48" width="11.5703125" style="59" customWidth="1"/>
    <col min="49" max="55" width="11.5703125" style="57" customWidth="1"/>
    <col min="56" max="56" width="19.28515625" style="57" customWidth="1"/>
    <col min="57" max="57" width="28.5703125" style="57" customWidth="1"/>
    <col min="58" max="58" width="20.28515625" style="57" customWidth="1"/>
    <col min="59" max="59" width="11.5703125" style="57" customWidth="1"/>
    <col min="60" max="60" width="11.5703125" style="59" customWidth="1"/>
    <col min="61" max="61" width="11.5703125" style="57" customWidth="1"/>
    <col min="62" max="62" width="20.28515625" style="57" customWidth="1"/>
    <col min="63" max="63" width="20.42578125" style="57" customWidth="1"/>
    <col min="64" max="64" width="14.5703125" style="58" customWidth="1"/>
    <col min="65" max="65" width="17.28515625" style="58" customWidth="1"/>
    <col min="66" max="66" width="11.5703125" style="57" customWidth="1"/>
    <col min="67" max="67" width="17.28515625" style="57" customWidth="1"/>
    <col min="68" max="68" width="20.42578125" style="57" customWidth="1"/>
    <col min="69" max="69" width="2.28515625" style="57" customWidth="1"/>
    <col min="70" max="71" width="11.5703125" style="57" customWidth="1"/>
    <col min="72" max="72" width="11.42578125" style="57" customWidth="1"/>
    <col min="73" max="73" width="17.28515625" style="57" customWidth="1"/>
    <col min="74" max="74" width="27.5703125" style="57" customWidth="1"/>
    <col min="75" max="75" width="2" style="57" customWidth="1"/>
    <col min="76" max="76" width="38.28515625" style="57" customWidth="1"/>
    <col min="77" max="77" width="9.28515625" style="57" customWidth="1"/>
    <col min="78" max="79" width="12.28515625" style="57" customWidth="1"/>
    <col min="80" max="80" width="16.42578125" style="57" customWidth="1"/>
    <col min="81" max="81" width="12" style="57" customWidth="1"/>
    <col min="82" max="82" width="15.7109375" style="57" customWidth="1"/>
    <col min="83" max="84" width="19.7109375" style="57" customWidth="1"/>
    <col min="85" max="85" width="4.5703125" style="57" customWidth="1"/>
    <col min="86" max="86" width="12" style="57" customWidth="1"/>
    <col min="87" max="87" width="18.28515625" style="57" customWidth="1"/>
    <col min="88" max="88" width="20.7109375" style="57" customWidth="1"/>
    <col min="89" max="92" width="25" style="57" customWidth="1"/>
    <col min="93" max="93" width="20.7109375" style="57" customWidth="1"/>
    <col min="94" max="94" width="15.5703125" style="57" customWidth="1"/>
    <col min="95" max="95" width="28.5703125" style="57" customWidth="1"/>
    <col min="96" max="96" width="26.5703125" style="57" customWidth="1"/>
    <col min="97" max="98" width="16.7109375" style="57" customWidth="1"/>
    <col min="99" max="99" width="11.5703125" style="57" customWidth="1"/>
    <col min="100" max="100" width="16.7109375" style="57" customWidth="1"/>
    <col min="101" max="101" width="17.5703125" style="57" customWidth="1"/>
    <col min="102" max="102" width="19.28515625" style="57" customWidth="1"/>
    <col min="103" max="103" width="25" style="57" customWidth="1"/>
    <col min="104" max="104" width="23.28515625" style="57" customWidth="1"/>
    <col min="105" max="105" width="17.5703125" style="57" customWidth="1"/>
    <col min="106" max="106" width="11.5703125" style="59" customWidth="1"/>
    <col min="107" max="113" width="11.5703125" style="57" customWidth="1"/>
    <col min="114" max="114" width="19.28515625" style="57" customWidth="1"/>
    <col min="115" max="115" width="28.5703125" style="57" customWidth="1"/>
    <col min="116" max="116" width="20.28515625" style="57" customWidth="1"/>
    <col min="117" max="117" width="11.5703125" style="57" customWidth="1"/>
    <col min="118" max="118" width="11.5703125" style="59" customWidth="1"/>
    <col min="119" max="119" width="11.5703125" style="57" customWidth="1"/>
    <col min="120" max="120" width="20.28515625" style="57" customWidth="1"/>
    <col min="121" max="121" width="20.42578125" style="57" customWidth="1"/>
    <col min="122" max="122" width="14.5703125" style="58" customWidth="1"/>
    <col min="123" max="123" width="17.28515625" style="58" customWidth="1"/>
    <col min="124" max="124" width="11.5703125" style="57" customWidth="1"/>
    <col min="125" max="125" width="17.28515625" style="57" customWidth="1"/>
    <col min="126" max="126" width="20.42578125" style="57" customWidth="1"/>
    <col min="127" max="127" width="2.28515625" style="57" customWidth="1"/>
    <col min="128" max="129" width="11.5703125" style="57" customWidth="1"/>
    <col min="130" max="130" width="11.42578125" style="57" customWidth="1"/>
    <col min="131" max="131" width="17.28515625" style="57" customWidth="1"/>
    <col min="132" max="132" width="27.5703125" style="57" customWidth="1"/>
    <col min="133" max="133" width="2" style="57" customWidth="1"/>
    <col min="134" max="134" width="38.28515625" style="57" customWidth="1"/>
    <col min="135" max="135" width="9.28515625" style="57" customWidth="1"/>
    <col min="136" max="137" width="12.28515625" style="57" customWidth="1"/>
    <col min="138" max="138" width="16.42578125" style="57" customWidth="1"/>
    <col min="139" max="139" width="12" style="57" customWidth="1"/>
    <col min="140" max="140" width="15.7109375" style="57" customWidth="1"/>
    <col min="141" max="142" width="19.7109375" style="57" customWidth="1"/>
    <col min="143" max="143" width="4.5703125" style="57" customWidth="1"/>
    <col min="144" max="144" width="12" style="57" customWidth="1"/>
    <col min="145" max="145" width="18.28515625" style="57" customWidth="1"/>
    <col min="146" max="146" width="20.7109375" style="57" customWidth="1"/>
    <col min="147" max="150" width="25" style="57" customWidth="1"/>
    <col min="151" max="151" width="20.7109375" style="57" customWidth="1"/>
    <col min="152" max="152" width="15.5703125" style="57" customWidth="1"/>
    <col min="153" max="153" width="28.5703125" style="57" customWidth="1"/>
    <col min="154" max="154" width="26.5703125" style="57" customWidth="1"/>
    <col min="155" max="156" width="16.7109375" style="57" customWidth="1"/>
    <col min="157" max="157" width="11.5703125" style="57" customWidth="1"/>
    <col min="158" max="158" width="16.7109375" style="57" customWidth="1"/>
    <col min="159" max="159" width="17.5703125" style="57" customWidth="1"/>
    <col min="160" max="160" width="19.28515625" style="57" customWidth="1"/>
    <col min="161" max="161" width="25" style="57" customWidth="1"/>
    <col min="162" max="162" width="23.28515625" style="57" customWidth="1"/>
    <col min="163" max="163" width="17.5703125" style="57" customWidth="1"/>
    <col min="164" max="164" width="11.5703125" style="59" customWidth="1"/>
    <col min="165" max="171" width="11.5703125" style="57" customWidth="1"/>
    <col min="172" max="172" width="19.28515625" style="57" customWidth="1"/>
    <col min="173" max="173" width="28.5703125" style="57" customWidth="1"/>
    <col min="174" max="174" width="20.28515625" style="57" customWidth="1"/>
    <col min="175" max="175" width="11.5703125" style="57" customWidth="1"/>
    <col min="176" max="176" width="11.5703125" style="59" customWidth="1"/>
    <col min="177" max="177" width="11.5703125" style="57" customWidth="1"/>
    <col min="178" max="178" width="20.28515625" style="57" customWidth="1"/>
    <col min="179" max="179" width="20.42578125" style="57" customWidth="1"/>
    <col min="180" max="180" width="14.5703125" style="58" customWidth="1"/>
    <col min="181" max="181" width="17.28515625" style="58" customWidth="1"/>
    <col min="182" max="182" width="11.5703125" style="57" customWidth="1"/>
    <col min="183" max="183" width="17.28515625" style="57" customWidth="1"/>
    <col min="184" max="184" width="20.42578125" style="57" customWidth="1"/>
    <col min="185" max="185" width="2.28515625" style="57" customWidth="1"/>
    <col min="186" max="187" width="11.5703125" style="57" customWidth="1"/>
    <col min="188" max="204" width="11.42578125" style="57" customWidth="1"/>
    <col min="205" max="205" width="25.5703125" style="57" customWidth="1"/>
    <col min="206" max="206" width="18" style="57" customWidth="1"/>
    <col min="207" max="210" width="11.42578125" style="57" customWidth="1"/>
    <col min="211" max="211" width="43" style="57" customWidth="1"/>
    <col min="212" max="212" width="16.28515625" style="57" customWidth="1"/>
    <col min="213" max="213" width="11" style="57" customWidth="1"/>
    <col min="214" max="214" width="1.7109375" style="57" customWidth="1"/>
    <col min="215" max="215" width="20.7109375" style="57" customWidth="1"/>
    <col min="216" max="219" width="11.42578125" style="57" customWidth="1"/>
    <col min="220" max="220" width="21.7109375" style="57" customWidth="1"/>
    <col min="221" max="221" width="14.42578125" style="57" customWidth="1"/>
    <col min="222" max="222" width="4.28515625" style="57" customWidth="1"/>
    <col min="223" max="224" width="11.42578125" style="57" customWidth="1"/>
    <col min="225" max="225" width="16.28515625" style="57" customWidth="1"/>
    <col min="226" max="226" width="11.42578125" style="57" customWidth="1"/>
    <col min="227" max="227" width="12.7109375" style="57" customWidth="1"/>
    <col min="228" max="228" width="14.42578125" style="57" customWidth="1"/>
    <col min="229" max="243" width="11.42578125" style="57" customWidth="1"/>
    <col min="244" max="16384" width="11.42578125" style="57"/>
  </cols>
  <sheetData>
    <row r="1" spans="3:213" ht="15.75" thickBot="1"/>
    <row r="2" spans="3:213" ht="24" customHeight="1">
      <c r="C2" s="654" t="s">
        <v>816</v>
      </c>
      <c r="D2" s="655"/>
      <c r="E2" s="656"/>
      <c r="F2" s="656"/>
      <c r="G2" s="657"/>
      <c r="H2" s="68"/>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143"/>
      <c r="AW2" s="84"/>
      <c r="AX2" s="84"/>
      <c r="AY2" s="84"/>
      <c r="AZ2" s="84"/>
      <c r="BA2" s="84"/>
      <c r="BB2" s="84"/>
      <c r="BC2" s="84"/>
      <c r="BD2" s="84"/>
      <c r="BE2" s="84"/>
      <c r="BF2" s="84"/>
      <c r="BG2" s="84"/>
      <c r="BH2" s="143"/>
      <c r="BI2" s="84"/>
      <c r="BJ2" s="84"/>
      <c r="BK2" s="84"/>
      <c r="BL2" s="144"/>
      <c r="BM2" s="14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143"/>
      <c r="DC2" s="84"/>
      <c r="DD2" s="84"/>
      <c r="DE2" s="84"/>
      <c r="DF2" s="84"/>
      <c r="DG2" s="84"/>
      <c r="DH2" s="84"/>
      <c r="DI2" s="84"/>
      <c r="DJ2" s="84"/>
      <c r="DK2" s="84"/>
      <c r="DL2" s="84"/>
      <c r="DM2" s="84"/>
      <c r="DN2" s="143"/>
      <c r="DO2" s="84"/>
      <c r="DP2" s="84"/>
      <c r="DQ2" s="84"/>
      <c r="DR2" s="144"/>
      <c r="DS2" s="144"/>
      <c r="DT2" s="84"/>
      <c r="DU2" s="84"/>
      <c r="DV2" s="84"/>
      <c r="DW2" s="84"/>
      <c r="DX2" s="84"/>
      <c r="DY2" s="84"/>
      <c r="DZ2" s="84"/>
      <c r="EA2" s="84"/>
      <c r="EB2" s="84"/>
      <c r="EC2" s="84"/>
      <c r="ED2" s="84"/>
      <c r="EE2" s="84"/>
      <c r="EF2" s="84"/>
      <c r="EG2" s="84"/>
      <c r="EH2" s="84"/>
      <c r="EI2" s="84"/>
      <c r="EJ2" s="84"/>
      <c r="EK2" s="84"/>
      <c r="EL2" s="84"/>
      <c r="EM2" s="84"/>
      <c r="EN2" s="84"/>
      <c r="EO2" s="84"/>
      <c r="EP2" s="84"/>
      <c r="EQ2" s="84"/>
      <c r="ER2" s="84"/>
      <c r="ES2" s="84"/>
      <c r="ET2" s="84"/>
      <c r="EU2" s="84"/>
      <c r="EV2" s="84"/>
      <c r="EW2" s="84"/>
      <c r="EX2" s="84"/>
      <c r="EY2" s="84"/>
      <c r="EZ2" s="84"/>
      <c r="FA2" s="84"/>
      <c r="FB2" s="84"/>
      <c r="FC2" s="84"/>
      <c r="FD2" s="84"/>
      <c r="FE2" s="84"/>
      <c r="FF2" s="84"/>
      <c r="FG2" s="84"/>
      <c r="FH2" s="143"/>
      <c r="FI2" s="84"/>
      <c r="FJ2" s="84"/>
      <c r="FK2" s="84"/>
      <c r="FL2" s="84"/>
      <c r="FM2" s="84"/>
      <c r="FN2" s="84"/>
      <c r="FO2" s="84"/>
      <c r="FP2" s="84"/>
      <c r="FQ2" s="84"/>
      <c r="FR2" s="84"/>
      <c r="FS2" s="84"/>
      <c r="FT2" s="143"/>
      <c r="FU2" s="84"/>
      <c r="FV2" s="84"/>
      <c r="FW2" s="84"/>
      <c r="FX2" s="144"/>
      <c r="FY2" s="144"/>
      <c r="FZ2" s="84"/>
      <c r="GA2" s="84"/>
      <c r="GB2" s="84"/>
      <c r="GC2" s="84"/>
      <c r="GD2" s="84"/>
      <c r="GE2" s="84"/>
      <c r="GF2" s="84"/>
      <c r="GG2" s="84"/>
      <c r="GH2" s="84"/>
      <c r="GI2" s="84"/>
      <c r="GJ2" s="84"/>
      <c r="GK2" s="84"/>
      <c r="GL2" s="84"/>
      <c r="GM2" s="84"/>
      <c r="GN2" s="84"/>
      <c r="GO2" s="84"/>
      <c r="GP2" s="84"/>
      <c r="GQ2" s="84"/>
      <c r="GR2" s="84"/>
      <c r="GS2" s="84"/>
      <c r="GT2" s="84"/>
      <c r="GU2" s="84"/>
      <c r="GV2" s="84"/>
      <c r="GW2" s="84"/>
      <c r="GX2" s="84"/>
      <c r="GY2" s="84"/>
      <c r="GZ2" s="84"/>
      <c r="HA2" s="84"/>
      <c r="HB2" s="84"/>
      <c r="HC2" s="84"/>
      <c r="HD2" s="84"/>
      <c r="HE2" s="83"/>
    </row>
    <row r="3" spans="3:213" ht="111" customHeight="1">
      <c r="C3" s="649" t="s">
        <v>846</v>
      </c>
      <c r="D3" s="652"/>
      <c r="E3" s="652"/>
      <c r="F3" s="652"/>
      <c r="G3" s="653"/>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82"/>
      <c r="AW3" s="68"/>
      <c r="AX3" s="68"/>
      <c r="AY3" s="68"/>
      <c r="AZ3" s="68"/>
      <c r="BA3" s="68"/>
      <c r="BB3" s="68"/>
      <c r="BC3" s="68"/>
      <c r="BD3" s="68"/>
      <c r="BE3" s="68"/>
      <c r="BF3" s="68"/>
      <c r="BG3" s="68"/>
      <c r="BH3" s="82"/>
      <c r="BI3" s="68"/>
      <c r="BJ3" s="68"/>
      <c r="BK3" s="68"/>
      <c r="BL3" s="187"/>
      <c r="BM3" s="187"/>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82"/>
      <c r="DC3" s="68"/>
      <c r="DD3" s="68"/>
      <c r="DE3" s="68"/>
      <c r="DF3" s="68"/>
      <c r="DG3" s="68"/>
      <c r="DH3" s="68"/>
      <c r="DI3" s="68"/>
      <c r="DJ3" s="68"/>
      <c r="DK3" s="68"/>
      <c r="DL3" s="68"/>
      <c r="DM3" s="68"/>
      <c r="DN3" s="82"/>
      <c r="DO3" s="68"/>
      <c r="DP3" s="68"/>
      <c r="DQ3" s="68"/>
      <c r="DR3" s="187"/>
      <c r="DS3" s="187"/>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82"/>
      <c r="FI3" s="68"/>
      <c r="FJ3" s="68"/>
      <c r="FK3" s="68"/>
      <c r="FL3" s="68"/>
      <c r="FM3" s="68"/>
      <c r="FN3" s="68"/>
      <c r="FO3" s="68"/>
      <c r="FP3" s="68"/>
      <c r="FQ3" s="68"/>
      <c r="FR3" s="68"/>
      <c r="FS3" s="68"/>
      <c r="FT3" s="82"/>
      <c r="FU3" s="68"/>
      <c r="FV3" s="68"/>
      <c r="FW3" s="68"/>
      <c r="FX3" s="187"/>
      <c r="FY3" s="187"/>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row>
    <row r="4" spans="3:213" ht="15" customHeight="1">
      <c r="C4" s="658" t="s">
        <v>857</v>
      </c>
      <c r="D4" s="659"/>
      <c r="E4" s="659"/>
      <c r="F4" s="659"/>
      <c r="G4" s="660"/>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82"/>
      <c r="AW4" s="68"/>
      <c r="AX4" s="68"/>
      <c r="AY4" s="68"/>
      <c r="AZ4" s="68"/>
      <c r="BA4" s="68"/>
      <c r="BB4" s="68"/>
      <c r="BC4" s="68"/>
      <c r="BD4" s="68"/>
      <c r="BE4" s="68"/>
      <c r="BF4" s="68"/>
      <c r="BG4" s="68"/>
      <c r="BH4" s="82"/>
      <c r="BI4" s="68"/>
      <c r="BJ4" s="68"/>
      <c r="BK4" s="68"/>
      <c r="BL4" s="187"/>
      <c r="BM4" s="187"/>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82"/>
      <c r="DC4" s="68"/>
      <c r="DD4" s="68"/>
      <c r="DE4" s="68"/>
      <c r="DF4" s="68"/>
      <c r="DG4" s="68"/>
      <c r="DH4" s="68"/>
      <c r="DI4" s="68"/>
      <c r="DJ4" s="68"/>
      <c r="DK4" s="68"/>
      <c r="DL4" s="68"/>
      <c r="DM4" s="68"/>
      <c r="DN4" s="82"/>
      <c r="DO4" s="68"/>
      <c r="DP4" s="68"/>
      <c r="DQ4" s="68"/>
      <c r="DR4" s="187"/>
      <c r="DS4" s="187"/>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82"/>
      <c r="FI4" s="68"/>
      <c r="FJ4" s="68"/>
      <c r="FK4" s="68"/>
      <c r="FL4" s="68"/>
      <c r="FM4" s="68"/>
      <c r="FN4" s="68"/>
      <c r="FO4" s="68"/>
      <c r="FP4" s="68"/>
      <c r="FQ4" s="68"/>
      <c r="FR4" s="68"/>
      <c r="FS4" s="68"/>
      <c r="FT4" s="82"/>
      <c r="FU4" s="68"/>
      <c r="FV4" s="68"/>
      <c r="FW4" s="68"/>
      <c r="FX4" s="187"/>
      <c r="FY4" s="187"/>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row>
    <row r="5" spans="3:213" ht="15" customHeight="1">
      <c r="C5" s="658" t="s">
        <v>858</v>
      </c>
      <c r="D5" s="659"/>
      <c r="E5" s="659"/>
      <c r="F5" s="659"/>
      <c r="G5" s="660"/>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82"/>
      <c r="AW5" s="68"/>
      <c r="AX5" s="68"/>
      <c r="AY5" s="68"/>
      <c r="AZ5" s="68"/>
      <c r="BA5" s="68"/>
      <c r="BB5" s="68"/>
      <c r="BC5" s="68"/>
      <c r="BD5" s="68"/>
      <c r="BE5" s="68"/>
      <c r="BF5" s="68"/>
      <c r="BG5" s="68"/>
      <c r="BH5" s="82"/>
      <c r="BI5" s="68"/>
      <c r="BJ5" s="68"/>
      <c r="BK5" s="68"/>
      <c r="BL5" s="187"/>
      <c r="BM5" s="187"/>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82"/>
      <c r="DC5" s="68"/>
      <c r="DD5" s="68"/>
      <c r="DE5" s="68"/>
      <c r="DF5" s="68"/>
      <c r="DG5" s="68"/>
      <c r="DH5" s="68"/>
      <c r="DI5" s="68"/>
      <c r="DJ5" s="68"/>
      <c r="DK5" s="68"/>
      <c r="DL5" s="68"/>
      <c r="DM5" s="68"/>
      <c r="DN5" s="82"/>
      <c r="DO5" s="68"/>
      <c r="DP5" s="68"/>
      <c r="DQ5" s="68"/>
      <c r="DR5" s="187"/>
      <c r="DS5" s="187"/>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82"/>
      <c r="FI5" s="68"/>
      <c r="FJ5" s="68"/>
      <c r="FK5" s="68"/>
      <c r="FL5" s="68"/>
      <c r="FM5" s="68"/>
      <c r="FN5" s="68"/>
      <c r="FO5" s="68"/>
      <c r="FP5" s="68"/>
      <c r="FQ5" s="68"/>
      <c r="FR5" s="68"/>
      <c r="FS5" s="68"/>
      <c r="FT5" s="82"/>
      <c r="FU5" s="68"/>
      <c r="FV5" s="68"/>
      <c r="FW5" s="68"/>
      <c r="FX5" s="187"/>
      <c r="FY5" s="187"/>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row>
    <row r="6" spans="3:213" ht="15" customHeight="1">
      <c r="C6" s="658" t="s">
        <v>859</v>
      </c>
      <c r="D6" s="659"/>
      <c r="E6" s="659"/>
      <c r="F6" s="659"/>
      <c r="G6" s="660"/>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82"/>
      <c r="AW6" s="68"/>
      <c r="AX6" s="68"/>
      <c r="AY6" s="68"/>
      <c r="AZ6" s="68"/>
      <c r="BA6" s="68"/>
      <c r="BB6" s="68"/>
      <c r="BC6" s="68"/>
      <c r="BD6" s="68"/>
      <c r="BE6" s="68"/>
      <c r="BF6" s="68"/>
      <c r="BG6" s="68"/>
      <c r="BH6" s="82"/>
      <c r="BI6" s="68"/>
      <c r="BJ6" s="68"/>
      <c r="BK6" s="68"/>
      <c r="BL6" s="187"/>
      <c r="BM6" s="187"/>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82"/>
      <c r="DC6" s="68"/>
      <c r="DD6" s="68"/>
      <c r="DE6" s="68"/>
      <c r="DF6" s="68"/>
      <c r="DG6" s="68"/>
      <c r="DH6" s="68"/>
      <c r="DI6" s="68"/>
      <c r="DJ6" s="68"/>
      <c r="DK6" s="68"/>
      <c r="DL6" s="68"/>
      <c r="DM6" s="68"/>
      <c r="DN6" s="82"/>
      <c r="DO6" s="68"/>
      <c r="DP6" s="68"/>
      <c r="DQ6" s="68"/>
      <c r="DR6" s="187"/>
      <c r="DS6" s="187"/>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82"/>
      <c r="FI6" s="68"/>
      <c r="FJ6" s="68"/>
      <c r="FK6" s="68"/>
      <c r="FL6" s="68"/>
      <c r="FM6" s="68"/>
      <c r="FN6" s="68"/>
      <c r="FO6" s="68"/>
      <c r="FP6" s="68"/>
      <c r="FQ6" s="68"/>
      <c r="FR6" s="68"/>
      <c r="FS6" s="68"/>
      <c r="FT6" s="82"/>
      <c r="FU6" s="68"/>
      <c r="FV6" s="68"/>
      <c r="FW6" s="68"/>
      <c r="FX6" s="187"/>
      <c r="FY6" s="187"/>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row>
    <row r="7" spans="3:213" ht="15" customHeight="1">
      <c r="C7" s="649"/>
      <c r="D7" s="650"/>
      <c r="E7" s="650"/>
      <c r="F7" s="650"/>
      <c r="G7" s="651"/>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82"/>
      <c r="AW7" s="68"/>
      <c r="AX7" s="68"/>
      <c r="AY7" s="68"/>
      <c r="AZ7" s="68"/>
      <c r="BA7" s="68"/>
      <c r="BB7" s="68"/>
      <c r="BC7" s="68"/>
      <c r="BD7" s="68"/>
      <c r="BE7" s="68"/>
      <c r="BF7" s="68"/>
      <c r="BG7" s="68"/>
      <c r="BH7" s="82"/>
      <c r="BI7" s="68"/>
      <c r="BJ7" s="68"/>
      <c r="BK7" s="68"/>
      <c r="BL7" s="187"/>
      <c r="BM7" s="187"/>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82"/>
      <c r="DC7" s="68"/>
      <c r="DD7" s="68"/>
      <c r="DE7" s="68"/>
      <c r="DF7" s="68"/>
      <c r="DG7" s="68"/>
      <c r="DH7" s="68"/>
      <c r="DI7" s="68"/>
      <c r="DJ7" s="68"/>
      <c r="DK7" s="68"/>
      <c r="DL7" s="68"/>
      <c r="DM7" s="68"/>
      <c r="DN7" s="82"/>
      <c r="DO7" s="68"/>
      <c r="DP7" s="68"/>
      <c r="DQ7" s="68"/>
      <c r="DR7" s="187"/>
      <c r="DS7" s="187"/>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82"/>
      <c r="FI7" s="68"/>
      <c r="FJ7" s="68"/>
      <c r="FK7" s="68"/>
      <c r="FL7" s="68"/>
      <c r="FM7" s="68"/>
      <c r="FN7" s="68"/>
      <c r="FO7" s="68"/>
      <c r="FP7" s="68"/>
      <c r="FQ7" s="68"/>
      <c r="FR7" s="68"/>
      <c r="FS7" s="68"/>
      <c r="FT7" s="82"/>
      <c r="FU7" s="68"/>
      <c r="FV7" s="68"/>
      <c r="FW7" s="68"/>
      <c r="FX7" s="187"/>
      <c r="FY7" s="187"/>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row>
    <row r="8" spans="3:213" ht="15" customHeight="1">
      <c r="C8" s="649" t="s">
        <v>1587</v>
      </c>
      <c r="D8" s="652"/>
      <c r="E8" s="652"/>
      <c r="F8" s="652"/>
      <c r="G8" s="653"/>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82"/>
      <c r="AW8" s="68"/>
      <c r="AX8" s="68"/>
      <c r="AY8" s="68"/>
      <c r="AZ8" s="68"/>
      <c r="BA8" s="68"/>
      <c r="BB8" s="68"/>
      <c r="BC8" s="68"/>
      <c r="BD8" s="68"/>
      <c r="BE8" s="68"/>
      <c r="BF8" s="68"/>
      <c r="BG8" s="68"/>
      <c r="BH8" s="82"/>
      <c r="BI8" s="68"/>
      <c r="BJ8" s="68"/>
      <c r="BK8" s="68"/>
      <c r="BL8" s="187"/>
      <c r="BM8" s="187"/>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82"/>
      <c r="DC8" s="68"/>
      <c r="DD8" s="68"/>
      <c r="DE8" s="68"/>
      <c r="DF8" s="68"/>
      <c r="DG8" s="68"/>
      <c r="DH8" s="68"/>
      <c r="DI8" s="68"/>
      <c r="DJ8" s="68"/>
      <c r="DK8" s="68"/>
      <c r="DL8" s="68"/>
      <c r="DM8" s="68"/>
      <c r="DN8" s="82"/>
      <c r="DO8" s="68"/>
      <c r="DP8" s="68"/>
      <c r="DQ8" s="68"/>
      <c r="DR8" s="187"/>
      <c r="DS8" s="187"/>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82"/>
      <c r="FI8" s="68"/>
      <c r="FJ8" s="68"/>
      <c r="FK8" s="68"/>
      <c r="FL8" s="68"/>
      <c r="FM8" s="68"/>
      <c r="FN8" s="68"/>
      <c r="FO8" s="68"/>
      <c r="FP8" s="68"/>
      <c r="FQ8" s="68"/>
      <c r="FR8" s="68"/>
      <c r="FS8" s="68"/>
      <c r="FT8" s="82"/>
      <c r="FU8" s="68"/>
      <c r="FV8" s="68"/>
      <c r="FW8" s="68"/>
      <c r="FX8" s="187"/>
      <c r="FY8" s="187"/>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row>
    <row r="9" spans="3:213" ht="15" customHeight="1">
      <c r="C9" s="646" t="s">
        <v>1588</v>
      </c>
      <c r="D9" s="647"/>
      <c r="E9" s="647"/>
      <c r="F9" s="647"/>
      <c r="G9" s="648"/>
      <c r="H9" s="68"/>
      <c r="I9" s="68"/>
      <c r="J9" s="68"/>
      <c r="K9" s="68"/>
      <c r="L9" s="68"/>
      <c r="M9" s="68"/>
      <c r="N9" s="68"/>
      <c r="O9" s="68"/>
      <c r="P9" s="68"/>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82"/>
      <c r="AW9" s="68"/>
      <c r="AX9" s="68"/>
      <c r="AY9" s="68"/>
      <c r="AZ9" s="68"/>
      <c r="BA9" s="68"/>
      <c r="BB9" s="68"/>
      <c r="BC9" s="68"/>
      <c r="BD9" s="68"/>
      <c r="BE9" s="68"/>
      <c r="BF9" s="68"/>
      <c r="BG9" s="68"/>
      <c r="BH9" s="82"/>
      <c r="BI9" s="68"/>
      <c r="BJ9" s="68"/>
      <c r="BK9" s="68"/>
      <c r="BL9" s="187"/>
      <c r="BM9" s="187"/>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82"/>
      <c r="DC9" s="68"/>
      <c r="DD9" s="68"/>
      <c r="DE9" s="68"/>
      <c r="DF9" s="68"/>
      <c r="DG9" s="68"/>
      <c r="DH9" s="68"/>
      <c r="DI9" s="68"/>
      <c r="DJ9" s="68"/>
      <c r="DK9" s="68"/>
      <c r="DL9" s="68"/>
      <c r="DM9" s="68"/>
      <c r="DN9" s="82"/>
      <c r="DO9" s="68"/>
      <c r="DP9" s="68"/>
      <c r="DQ9" s="68"/>
      <c r="DR9" s="187"/>
      <c r="DS9" s="187"/>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82"/>
      <c r="FI9" s="68"/>
      <c r="FJ9" s="68"/>
      <c r="FK9" s="68"/>
      <c r="FL9" s="68"/>
      <c r="FM9" s="68"/>
      <c r="FN9" s="68"/>
      <c r="FO9" s="68"/>
      <c r="FP9" s="68"/>
      <c r="FQ9" s="68"/>
      <c r="FR9" s="68"/>
      <c r="FS9" s="68"/>
      <c r="FT9" s="82"/>
      <c r="FU9" s="68"/>
      <c r="FV9" s="68"/>
      <c r="FW9" s="68"/>
      <c r="FX9" s="187"/>
      <c r="FY9" s="187"/>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row>
    <row r="10" spans="3:213" ht="15" customHeight="1">
      <c r="C10" s="646"/>
      <c r="D10" s="647"/>
      <c r="E10" s="647"/>
      <c r="F10" s="647"/>
      <c r="G10" s="64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82"/>
      <c r="AW10" s="68"/>
      <c r="AX10" s="68"/>
      <c r="AY10" s="68"/>
      <c r="AZ10" s="68"/>
      <c r="BA10" s="68"/>
      <c r="BB10" s="68"/>
      <c r="BC10" s="68"/>
      <c r="BD10" s="68"/>
      <c r="BE10" s="68"/>
      <c r="BF10" s="68"/>
      <c r="BG10" s="68"/>
      <c r="BH10" s="82"/>
      <c r="BI10" s="68"/>
      <c r="BJ10" s="68"/>
      <c r="BK10" s="68"/>
      <c r="BL10" s="187"/>
      <c r="BM10" s="187"/>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82"/>
      <c r="DC10" s="68"/>
      <c r="DD10" s="68"/>
      <c r="DE10" s="68"/>
      <c r="DF10" s="68"/>
      <c r="DG10" s="68"/>
      <c r="DH10" s="68"/>
      <c r="DI10" s="68"/>
      <c r="DJ10" s="68"/>
      <c r="DK10" s="68"/>
      <c r="DL10" s="68"/>
      <c r="DM10" s="68"/>
      <c r="DN10" s="82"/>
      <c r="DO10" s="68"/>
      <c r="DP10" s="68"/>
      <c r="DQ10" s="68"/>
      <c r="DR10" s="187"/>
      <c r="DS10" s="187"/>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82"/>
      <c r="FI10" s="68"/>
      <c r="FJ10" s="68"/>
      <c r="FK10" s="68"/>
      <c r="FL10" s="68"/>
      <c r="FM10" s="68"/>
      <c r="FN10" s="68"/>
      <c r="FO10" s="68"/>
      <c r="FP10" s="68"/>
      <c r="FQ10" s="68"/>
      <c r="FR10" s="68"/>
      <c r="FS10" s="68"/>
      <c r="FT10" s="82"/>
      <c r="FU10" s="68"/>
      <c r="FV10" s="68"/>
      <c r="FW10" s="68"/>
      <c r="FX10" s="187"/>
      <c r="FY10" s="187"/>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row>
    <row r="11" spans="3:213" ht="15" customHeight="1">
      <c r="C11" s="646"/>
      <c r="D11" s="647"/>
      <c r="E11" s="647"/>
      <c r="F11" s="647"/>
      <c r="G11" s="648"/>
      <c r="H11" s="68"/>
      <c r="I11" s="68"/>
      <c r="J11" s="68"/>
      <c r="K11" s="68"/>
      <c r="L11" s="68"/>
      <c r="M11" s="68"/>
      <c r="N11" s="68"/>
      <c r="O11" s="68"/>
      <c r="P11" s="68"/>
      <c r="Q11" s="68"/>
      <c r="R11" s="68"/>
      <c r="S11" s="68"/>
      <c r="T11" s="68"/>
      <c r="U11" s="68"/>
      <c r="V11" s="68"/>
      <c r="W11" s="68"/>
      <c r="X11" s="68"/>
      <c r="Y11" s="68"/>
      <c r="Z11" s="68"/>
      <c r="AA11" s="68"/>
      <c r="AB11" s="68"/>
      <c r="AC11" s="68"/>
      <c r="AD11" s="68"/>
      <c r="AE11" s="68"/>
      <c r="AF11" s="68"/>
      <c r="AG11" s="68"/>
      <c r="AH11" s="68"/>
      <c r="AI11" s="68"/>
      <c r="AJ11" s="68"/>
      <c r="AK11" s="68"/>
      <c r="AL11" s="68"/>
      <c r="AM11" s="68"/>
      <c r="AN11" s="68"/>
      <c r="AO11" s="68"/>
      <c r="AP11" s="68"/>
      <c r="AQ11" s="68"/>
      <c r="AR11" s="68"/>
      <c r="AS11" s="68"/>
      <c r="AT11" s="68"/>
      <c r="AU11" s="68"/>
      <c r="AV11" s="82"/>
      <c r="AW11" s="68"/>
      <c r="AX11" s="68"/>
      <c r="AY11" s="68"/>
      <c r="AZ11" s="68"/>
      <c r="BA11" s="68"/>
      <c r="BB11" s="68"/>
      <c r="BC11" s="68"/>
      <c r="BD11" s="68"/>
      <c r="BE11" s="68"/>
      <c r="BF11" s="68"/>
      <c r="BG11" s="68"/>
      <c r="BH11" s="82"/>
      <c r="BI11" s="68"/>
      <c r="BJ11" s="68"/>
      <c r="BK11" s="68"/>
      <c r="BL11" s="187"/>
      <c r="BM11" s="187"/>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82"/>
      <c r="DC11" s="68"/>
      <c r="DD11" s="68"/>
      <c r="DE11" s="68"/>
      <c r="DF11" s="68"/>
      <c r="DG11" s="68"/>
      <c r="DH11" s="68"/>
      <c r="DI11" s="68"/>
      <c r="DJ11" s="68"/>
      <c r="DK11" s="68"/>
      <c r="DL11" s="68"/>
      <c r="DM11" s="68"/>
      <c r="DN11" s="82"/>
      <c r="DO11" s="68"/>
      <c r="DP11" s="68"/>
      <c r="DQ11" s="68"/>
      <c r="DR11" s="187"/>
      <c r="DS11" s="187"/>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82"/>
      <c r="FI11" s="68"/>
      <c r="FJ11" s="68"/>
      <c r="FK11" s="68"/>
      <c r="FL11" s="68"/>
      <c r="FM11" s="68"/>
      <c r="FN11" s="68"/>
      <c r="FO11" s="68"/>
      <c r="FP11" s="68"/>
      <c r="FQ11" s="68"/>
      <c r="FR11" s="68"/>
      <c r="FS11" s="68"/>
      <c r="FT11" s="82"/>
      <c r="FU11" s="68"/>
      <c r="FV11" s="68"/>
      <c r="FW11" s="68"/>
      <c r="FX11" s="187"/>
      <c r="FY11" s="187"/>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row>
    <row r="12" spans="3:213">
      <c r="C12" s="646"/>
      <c r="D12" s="647"/>
      <c r="E12" s="647"/>
      <c r="F12" s="647"/>
      <c r="G12" s="64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82"/>
      <c r="AW12" s="68"/>
      <c r="AX12" s="68"/>
      <c r="AY12" s="68"/>
      <c r="AZ12" s="68"/>
      <c r="BA12" s="68"/>
      <c r="BB12" s="68"/>
      <c r="BC12" s="68"/>
      <c r="BD12" s="68"/>
      <c r="BE12" s="68"/>
      <c r="BF12" s="68"/>
      <c r="BG12" s="68"/>
      <c r="BH12" s="82"/>
      <c r="BI12" s="68"/>
      <c r="BJ12" s="68"/>
      <c r="BK12" s="68"/>
      <c r="BL12" s="187"/>
      <c r="BM12" s="187"/>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82"/>
      <c r="DC12" s="68"/>
      <c r="DD12" s="68"/>
      <c r="DE12" s="68"/>
      <c r="DF12" s="68"/>
      <c r="DG12" s="68"/>
      <c r="DH12" s="68"/>
      <c r="DI12" s="68"/>
      <c r="DJ12" s="68"/>
      <c r="DK12" s="68"/>
      <c r="DL12" s="68"/>
      <c r="DM12" s="68"/>
      <c r="DN12" s="82"/>
      <c r="DO12" s="68"/>
      <c r="DP12" s="68"/>
      <c r="DQ12" s="68"/>
      <c r="DR12" s="187"/>
      <c r="DS12" s="187"/>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82"/>
      <c r="FI12" s="68"/>
      <c r="FJ12" s="68"/>
      <c r="FK12" s="68"/>
      <c r="FL12" s="68"/>
      <c r="FM12" s="68"/>
      <c r="FN12" s="68"/>
      <c r="FO12" s="68"/>
      <c r="FP12" s="68"/>
      <c r="FQ12" s="68"/>
      <c r="FR12" s="68"/>
      <c r="FS12" s="68"/>
      <c r="FT12" s="82"/>
      <c r="FU12" s="68"/>
      <c r="FV12" s="68"/>
      <c r="FW12" s="68"/>
      <c r="FX12" s="187"/>
      <c r="FY12" s="187"/>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row>
    <row r="13" spans="3:213" s="70" customFormat="1" ht="20.100000000000001" customHeight="1" thickBot="1">
      <c r="C13" s="664" t="s">
        <v>847</v>
      </c>
      <c r="D13" s="665"/>
      <c r="E13" s="665"/>
      <c r="F13" s="665"/>
      <c r="G13" s="186"/>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row>
    <row r="14" spans="3:213" s="70" customFormat="1" ht="15.75" thickBot="1">
      <c r="C14" s="166"/>
      <c r="D14" s="150"/>
      <c r="E14" s="150"/>
      <c r="F14" s="150"/>
      <c r="G14" s="167"/>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148"/>
      <c r="DG14" s="148"/>
      <c r="DH14" s="148"/>
      <c r="DI14" s="148"/>
      <c r="DJ14" s="148"/>
      <c r="DK14" s="148"/>
      <c r="DL14" s="148"/>
      <c r="DM14" s="148"/>
      <c r="DN14" s="148"/>
      <c r="DO14" s="148"/>
      <c r="DP14" s="148"/>
      <c r="DQ14" s="148"/>
      <c r="DR14" s="148"/>
      <c r="DS14" s="148"/>
      <c r="DT14" s="148"/>
      <c r="DU14" s="148"/>
      <c r="DV14" s="148"/>
      <c r="DW14" s="148"/>
      <c r="DX14" s="148"/>
      <c r="DY14" s="148"/>
      <c r="DZ14" s="148"/>
      <c r="EA14" s="148"/>
      <c r="EB14" s="148"/>
      <c r="EC14" s="148"/>
      <c r="ED14" s="148"/>
      <c r="EE14" s="148"/>
      <c r="EF14" s="148"/>
      <c r="EG14" s="148"/>
      <c r="EH14" s="148"/>
      <c r="EI14" s="148"/>
      <c r="EJ14" s="148"/>
      <c r="EK14" s="148"/>
      <c r="EL14" s="148"/>
      <c r="EM14" s="148"/>
      <c r="EN14" s="148"/>
      <c r="EO14" s="148"/>
      <c r="EP14" s="148"/>
      <c r="EQ14" s="148"/>
      <c r="ER14" s="148"/>
      <c r="ES14" s="148"/>
      <c r="ET14" s="148"/>
      <c r="EU14" s="148"/>
      <c r="EV14" s="148"/>
      <c r="EW14" s="148"/>
      <c r="EX14" s="148"/>
      <c r="EY14" s="148"/>
      <c r="EZ14" s="148"/>
      <c r="FA14" s="148"/>
      <c r="FB14" s="148"/>
      <c r="FC14" s="148"/>
      <c r="FD14" s="148"/>
      <c r="FE14" s="148"/>
      <c r="FF14" s="148"/>
      <c r="FG14" s="148"/>
      <c r="FH14" s="148"/>
      <c r="FI14" s="148"/>
      <c r="FJ14" s="148"/>
      <c r="FK14" s="148"/>
      <c r="FL14" s="148"/>
      <c r="FM14" s="148"/>
      <c r="FN14" s="148"/>
      <c r="FO14" s="148"/>
      <c r="FP14" s="148"/>
      <c r="FQ14" s="148"/>
      <c r="FR14" s="148"/>
      <c r="FS14" s="148"/>
      <c r="FT14" s="148"/>
      <c r="FU14" s="148"/>
      <c r="FV14" s="148"/>
      <c r="FW14" s="148"/>
      <c r="FX14" s="148"/>
      <c r="FY14" s="148"/>
      <c r="FZ14" s="148"/>
      <c r="GA14" s="148"/>
      <c r="GB14" s="148"/>
      <c r="GC14" s="148"/>
      <c r="GD14" s="148"/>
      <c r="GE14" s="148"/>
      <c r="GF14" s="148"/>
      <c r="GG14" s="148"/>
      <c r="GH14" s="148"/>
      <c r="GI14" s="148"/>
      <c r="GJ14" s="148"/>
      <c r="GK14" s="148"/>
      <c r="GL14" s="148"/>
      <c r="GM14" s="148"/>
      <c r="GN14" s="148"/>
      <c r="GO14" s="148"/>
      <c r="GP14" s="148"/>
      <c r="GQ14" s="148"/>
      <c r="GR14" s="148"/>
      <c r="GS14" s="148"/>
      <c r="GT14" s="148"/>
      <c r="GU14" s="148"/>
      <c r="GV14" s="148"/>
      <c r="GW14" s="148"/>
      <c r="GX14" s="148"/>
      <c r="GY14" s="148"/>
      <c r="GZ14" s="148"/>
      <c r="HA14" s="148"/>
      <c r="HB14" s="148"/>
      <c r="HC14" s="148"/>
      <c r="HD14" s="148"/>
      <c r="HE14" s="148"/>
    </row>
    <row r="15" spans="3:213" s="70" customFormat="1" ht="15.75">
      <c r="C15" s="166"/>
      <c r="D15" s="163" t="s">
        <v>600</v>
      </c>
      <c r="E15" s="164" t="s">
        <v>617</v>
      </c>
      <c r="F15" s="176"/>
      <c r="G15" s="167"/>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c r="CG15" s="148"/>
      <c r="CH15" s="148"/>
      <c r="CI15" s="148"/>
      <c r="CJ15" s="148"/>
      <c r="CK15" s="148"/>
      <c r="CL15" s="148"/>
      <c r="CM15" s="148"/>
      <c r="CN15" s="148"/>
      <c r="CO15" s="148"/>
      <c r="CP15" s="148"/>
      <c r="CQ15" s="148"/>
      <c r="CR15" s="148"/>
      <c r="CS15" s="148"/>
      <c r="CT15" s="148"/>
      <c r="CU15" s="148"/>
      <c r="CV15" s="148"/>
      <c r="CW15" s="148"/>
      <c r="CX15" s="148"/>
      <c r="CY15" s="148"/>
      <c r="CZ15" s="148"/>
      <c r="DA15" s="148"/>
      <c r="DB15" s="148"/>
      <c r="DC15" s="148"/>
      <c r="DD15" s="148"/>
      <c r="DE15" s="148"/>
      <c r="DF15" s="148"/>
      <c r="DG15" s="148"/>
      <c r="DH15" s="148"/>
      <c r="DI15" s="148"/>
      <c r="DJ15" s="148"/>
      <c r="DK15" s="148"/>
      <c r="DL15" s="148"/>
      <c r="DM15" s="148"/>
      <c r="DN15" s="148"/>
      <c r="DO15" s="148"/>
      <c r="DP15" s="148"/>
      <c r="DQ15" s="148"/>
      <c r="DR15" s="148"/>
      <c r="DS15" s="148"/>
      <c r="DT15" s="148"/>
      <c r="DU15" s="148"/>
      <c r="DV15" s="148"/>
      <c r="DW15" s="148"/>
      <c r="DX15" s="148"/>
      <c r="DY15" s="148"/>
      <c r="DZ15" s="148"/>
      <c r="EA15" s="148"/>
      <c r="EB15" s="148"/>
      <c r="EC15" s="148"/>
      <c r="ED15" s="148"/>
      <c r="EE15" s="148"/>
      <c r="EF15" s="148"/>
      <c r="EG15" s="148"/>
      <c r="EH15" s="148"/>
      <c r="EI15" s="148"/>
      <c r="EJ15" s="148"/>
      <c r="EK15" s="148"/>
      <c r="EL15" s="148"/>
      <c r="EM15" s="148"/>
      <c r="EN15" s="148"/>
      <c r="EO15" s="148"/>
      <c r="EP15" s="148"/>
      <c r="EQ15" s="148"/>
      <c r="ER15" s="148"/>
      <c r="ES15" s="148"/>
      <c r="ET15" s="148"/>
      <c r="EU15" s="148"/>
      <c r="EV15" s="148"/>
      <c r="EW15" s="148"/>
      <c r="EX15" s="148"/>
      <c r="EY15" s="148"/>
      <c r="EZ15" s="148"/>
      <c r="FA15" s="148"/>
      <c r="FB15" s="148"/>
      <c r="FC15" s="148"/>
      <c r="FD15" s="148"/>
      <c r="FE15" s="148"/>
      <c r="FF15" s="148"/>
      <c r="FG15" s="148"/>
      <c r="FH15" s="148"/>
      <c r="FI15" s="148"/>
      <c r="FJ15" s="148"/>
      <c r="FK15" s="148"/>
      <c r="FL15" s="148"/>
      <c r="FM15" s="148"/>
      <c r="FN15" s="148"/>
      <c r="FO15" s="148"/>
      <c r="FP15" s="148"/>
      <c r="FQ15" s="148"/>
      <c r="FR15" s="148"/>
      <c r="FS15" s="148"/>
      <c r="FT15" s="148"/>
      <c r="FU15" s="148"/>
      <c r="FV15" s="148"/>
      <c r="FW15" s="148"/>
      <c r="FX15" s="148"/>
      <c r="FY15" s="148"/>
      <c r="FZ15" s="148"/>
      <c r="GA15" s="148"/>
      <c r="GB15" s="148"/>
      <c r="GC15" s="148"/>
      <c r="GD15" s="148"/>
      <c r="GE15" s="148"/>
      <c r="GF15" s="148"/>
      <c r="GG15" s="148"/>
      <c r="GH15" s="148"/>
      <c r="GI15" s="148"/>
      <c r="GJ15" s="148"/>
      <c r="GK15" s="148"/>
      <c r="GL15" s="148"/>
      <c r="GM15" s="148"/>
      <c r="GN15" s="148"/>
      <c r="GO15" s="148"/>
      <c r="GP15" s="148"/>
      <c r="GQ15" s="148"/>
      <c r="GR15" s="148"/>
      <c r="GS15" s="148"/>
      <c r="GT15" s="148"/>
      <c r="GU15" s="148"/>
      <c r="GV15" s="148"/>
      <c r="GW15" s="148"/>
      <c r="GX15" s="148"/>
      <c r="GY15" s="148"/>
      <c r="GZ15" s="148"/>
      <c r="HA15" s="148"/>
      <c r="HB15" s="148"/>
      <c r="HC15" s="148"/>
      <c r="HD15" s="148"/>
      <c r="HE15" s="148"/>
    </row>
    <row r="16" spans="3:213" s="70" customFormat="1" ht="15.75">
      <c r="C16" s="166"/>
      <c r="D16" s="153" t="s">
        <v>598</v>
      </c>
      <c r="E16" s="165" t="s">
        <v>582</v>
      </c>
      <c r="F16" s="177"/>
      <c r="G16" s="487" t="s">
        <v>1991</v>
      </c>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48"/>
      <c r="CJ16" s="148"/>
      <c r="CK16" s="148"/>
      <c r="CL16" s="148"/>
      <c r="CM16" s="148"/>
      <c r="CN16" s="148"/>
      <c r="CO16" s="148"/>
      <c r="CP16" s="148"/>
      <c r="CQ16" s="148"/>
      <c r="CR16" s="148"/>
      <c r="CS16" s="148"/>
      <c r="CT16" s="148"/>
      <c r="CU16" s="148"/>
      <c r="CV16" s="148"/>
      <c r="CW16" s="148"/>
      <c r="CX16" s="148"/>
      <c r="CY16" s="148"/>
      <c r="CZ16" s="148"/>
      <c r="DA16" s="148"/>
      <c r="DB16" s="148"/>
      <c r="DC16" s="148"/>
      <c r="DD16" s="148"/>
      <c r="DE16" s="148"/>
      <c r="DF16" s="148"/>
      <c r="DG16" s="148"/>
      <c r="DH16" s="148"/>
      <c r="DI16" s="148"/>
      <c r="DJ16" s="148"/>
      <c r="DK16" s="148"/>
      <c r="DL16" s="148"/>
      <c r="DM16" s="148"/>
      <c r="DN16" s="148"/>
      <c r="DO16" s="148"/>
      <c r="DP16" s="148"/>
      <c r="DQ16" s="148"/>
      <c r="DR16" s="148"/>
      <c r="DS16" s="148"/>
      <c r="DT16" s="148"/>
      <c r="DU16" s="148"/>
      <c r="DV16" s="148"/>
      <c r="DW16" s="148"/>
      <c r="DX16" s="148"/>
      <c r="DY16" s="148"/>
      <c r="DZ16" s="148"/>
      <c r="EA16" s="148"/>
      <c r="EB16" s="148"/>
      <c r="EC16" s="148"/>
      <c r="ED16" s="148"/>
      <c r="EE16" s="148"/>
      <c r="EF16" s="148"/>
      <c r="EG16" s="148"/>
      <c r="EH16" s="148"/>
      <c r="EI16" s="148"/>
      <c r="EJ16" s="148"/>
      <c r="EK16" s="148"/>
      <c r="EL16" s="148"/>
      <c r="EM16" s="148"/>
      <c r="EN16" s="148"/>
      <c r="EO16" s="148"/>
      <c r="EP16" s="148"/>
      <c r="EQ16" s="148"/>
      <c r="ER16" s="148"/>
      <c r="ES16" s="148"/>
      <c r="ET16" s="148"/>
      <c r="EU16" s="148"/>
      <c r="EV16" s="148"/>
      <c r="EW16" s="148"/>
      <c r="EX16" s="148"/>
      <c r="EY16" s="148"/>
      <c r="EZ16" s="148"/>
      <c r="FA16" s="148"/>
      <c r="FB16" s="148"/>
      <c r="FC16" s="148"/>
      <c r="FD16" s="148"/>
      <c r="FE16" s="148"/>
      <c r="FF16" s="148"/>
      <c r="FG16" s="148"/>
      <c r="FH16" s="148"/>
      <c r="FI16" s="148"/>
      <c r="FJ16" s="148"/>
      <c r="FK16" s="148"/>
      <c r="FL16" s="148"/>
      <c r="FM16" s="148"/>
      <c r="FN16" s="148"/>
      <c r="FO16" s="148"/>
      <c r="FP16" s="148"/>
      <c r="FQ16" s="148"/>
      <c r="FR16" s="148"/>
      <c r="FS16" s="148"/>
      <c r="FT16" s="148"/>
      <c r="FU16" s="148"/>
      <c r="FV16" s="148"/>
      <c r="FW16" s="148"/>
      <c r="FX16" s="148"/>
      <c r="FY16" s="148"/>
      <c r="FZ16" s="148"/>
      <c r="GA16" s="148"/>
      <c r="GB16" s="148"/>
      <c r="GC16" s="148"/>
      <c r="GD16" s="148"/>
      <c r="GE16" s="148"/>
      <c r="GF16" s="148"/>
      <c r="GG16" s="148"/>
      <c r="GH16" s="148"/>
      <c r="GI16" s="148"/>
      <c r="GJ16" s="148"/>
      <c r="GK16" s="148"/>
      <c r="GL16" s="148"/>
      <c r="GM16" s="148"/>
      <c r="GN16" s="148"/>
      <c r="GO16" s="148"/>
      <c r="GP16" s="148"/>
      <c r="GQ16" s="148"/>
      <c r="GR16" s="148"/>
      <c r="GS16" s="148"/>
      <c r="GT16" s="148"/>
      <c r="GU16" s="148"/>
      <c r="GV16" s="148"/>
      <c r="GW16" s="148"/>
      <c r="GX16" s="148"/>
      <c r="GY16" s="148"/>
      <c r="GZ16" s="148"/>
      <c r="HA16" s="148"/>
      <c r="HB16" s="148"/>
      <c r="HC16" s="148"/>
      <c r="HD16" s="148"/>
      <c r="HE16" s="148"/>
    </row>
    <row r="17" spans="3:213" s="70" customFormat="1" ht="15.75">
      <c r="C17" s="166"/>
      <c r="D17" s="153" t="s">
        <v>29</v>
      </c>
      <c r="E17" s="165" t="s">
        <v>595</v>
      </c>
      <c r="F17" s="177" t="str">
        <f>IF(E44=0,"not supported","supported")</f>
        <v>supported</v>
      </c>
      <c r="G17" s="167"/>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c r="CG17" s="148"/>
      <c r="CH17" s="148"/>
      <c r="CI17" s="148"/>
      <c r="CJ17" s="148"/>
      <c r="CK17" s="148"/>
      <c r="CL17" s="148"/>
      <c r="CM17" s="148"/>
      <c r="CN17" s="148"/>
      <c r="CO17" s="148"/>
      <c r="CP17" s="148"/>
      <c r="CQ17" s="148"/>
      <c r="CR17" s="148"/>
      <c r="CS17" s="148"/>
      <c r="CT17" s="148"/>
      <c r="CU17" s="148"/>
      <c r="CV17" s="148"/>
      <c r="CW17" s="148"/>
      <c r="CX17" s="148"/>
      <c r="CY17" s="148"/>
      <c r="CZ17" s="148"/>
      <c r="DA17" s="148"/>
      <c r="DB17" s="148"/>
      <c r="DC17" s="148"/>
      <c r="DD17" s="148"/>
      <c r="DE17" s="148"/>
      <c r="DF17" s="148"/>
      <c r="DG17" s="148"/>
      <c r="DH17" s="148"/>
      <c r="DI17" s="148"/>
      <c r="DJ17" s="148"/>
      <c r="DK17" s="148"/>
      <c r="DL17" s="148"/>
      <c r="DM17" s="148"/>
      <c r="DN17" s="148"/>
      <c r="DO17" s="148"/>
      <c r="DP17" s="148"/>
      <c r="DQ17" s="148"/>
      <c r="DR17" s="148"/>
      <c r="DS17" s="148"/>
      <c r="DT17" s="148"/>
      <c r="DU17" s="148"/>
      <c r="DV17" s="148"/>
      <c r="DW17" s="148"/>
      <c r="DX17" s="148"/>
      <c r="DY17" s="148"/>
      <c r="DZ17" s="148"/>
      <c r="EA17" s="148"/>
      <c r="EB17" s="148"/>
      <c r="EC17" s="148"/>
      <c r="ED17" s="148"/>
      <c r="EE17" s="148"/>
      <c r="EF17" s="148"/>
      <c r="EG17" s="148"/>
      <c r="EH17" s="148"/>
      <c r="EI17" s="148"/>
      <c r="EJ17" s="148"/>
      <c r="EK17" s="148"/>
      <c r="EL17" s="148"/>
      <c r="EM17" s="148"/>
      <c r="EN17" s="148"/>
      <c r="EO17" s="148"/>
      <c r="EP17" s="148"/>
      <c r="EQ17" s="148"/>
      <c r="ER17" s="148"/>
      <c r="ES17" s="148"/>
      <c r="ET17" s="148"/>
      <c r="EU17" s="148"/>
      <c r="EV17" s="148"/>
      <c r="EW17" s="148"/>
      <c r="EX17" s="148"/>
      <c r="EY17" s="148"/>
      <c r="EZ17" s="148"/>
      <c r="FA17" s="148"/>
      <c r="FB17" s="148"/>
      <c r="FC17" s="148"/>
      <c r="FD17" s="148"/>
      <c r="FE17" s="148"/>
      <c r="FF17" s="148"/>
      <c r="FG17" s="148"/>
      <c r="FH17" s="148"/>
      <c r="FI17" s="148"/>
      <c r="FJ17" s="148"/>
      <c r="FK17" s="148"/>
      <c r="FL17" s="148"/>
      <c r="FM17" s="148"/>
      <c r="FN17" s="148"/>
      <c r="FO17" s="148"/>
      <c r="FP17" s="148"/>
      <c r="FQ17" s="148"/>
      <c r="FR17" s="148"/>
      <c r="FS17" s="148"/>
      <c r="FT17" s="148"/>
      <c r="FU17" s="148"/>
      <c r="FV17" s="148"/>
      <c r="FW17" s="148"/>
      <c r="FX17" s="148"/>
      <c r="FY17" s="148"/>
      <c r="FZ17" s="148"/>
      <c r="GA17" s="148"/>
      <c r="GB17" s="148"/>
      <c r="GC17" s="148"/>
      <c r="GD17" s="148"/>
      <c r="GE17" s="148"/>
      <c r="GF17" s="148"/>
      <c r="GG17" s="148"/>
      <c r="GH17" s="148"/>
      <c r="GI17" s="148"/>
      <c r="GJ17" s="148"/>
      <c r="GK17" s="148"/>
      <c r="GL17" s="148"/>
      <c r="GM17" s="148"/>
      <c r="GN17" s="148"/>
      <c r="GO17" s="148"/>
      <c r="GP17" s="148"/>
      <c r="GQ17" s="148"/>
      <c r="GR17" s="148"/>
      <c r="GS17" s="148"/>
      <c r="GT17" s="148"/>
      <c r="GU17" s="148"/>
      <c r="GV17" s="148"/>
      <c r="GW17" s="148"/>
      <c r="GX17" s="148"/>
      <c r="GY17" s="148"/>
      <c r="GZ17" s="148"/>
      <c r="HA17" s="148"/>
      <c r="HB17" s="148"/>
      <c r="HC17" s="148"/>
      <c r="HD17" s="148"/>
      <c r="HE17" s="148"/>
    </row>
    <row r="18" spans="3:213" s="70" customFormat="1" ht="15.75">
      <c r="C18" s="166"/>
      <c r="D18" s="153" t="s">
        <v>27</v>
      </c>
      <c r="E18" s="165" t="s">
        <v>111</v>
      </c>
      <c r="F18" s="177" t="str">
        <f>IF(E36=0,"not supported","supported")</f>
        <v>supported</v>
      </c>
      <c r="G18" s="167" t="str">
        <f>IF(E34="704288","Note: only 2 CIF supported","")</f>
        <v/>
      </c>
      <c r="H18" s="148"/>
      <c r="I18" s="182" t="s">
        <v>830</v>
      </c>
      <c r="J18" s="148" t="s">
        <v>110</v>
      </c>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c r="DG18" s="148"/>
      <c r="DH18" s="148"/>
      <c r="DI18" s="148"/>
      <c r="DJ18" s="148"/>
      <c r="DK18" s="148"/>
      <c r="DL18" s="148"/>
      <c r="DM18" s="148"/>
      <c r="DN18" s="148"/>
      <c r="DO18" s="148"/>
      <c r="DP18" s="148"/>
      <c r="DQ18" s="148"/>
      <c r="DR18" s="148"/>
      <c r="DS18" s="148"/>
      <c r="DT18" s="148"/>
      <c r="DU18" s="148"/>
      <c r="DV18" s="148"/>
      <c r="DW18" s="148"/>
      <c r="DX18" s="148"/>
      <c r="DY18" s="148"/>
      <c r="DZ18" s="148"/>
      <c r="EA18" s="148"/>
      <c r="EB18" s="148"/>
      <c r="EC18" s="148"/>
      <c r="ED18" s="148"/>
      <c r="EE18" s="148"/>
      <c r="EF18" s="148"/>
      <c r="EG18" s="148"/>
      <c r="EH18" s="148"/>
      <c r="EI18" s="148"/>
      <c r="EJ18" s="148"/>
      <c r="EK18" s="148"/>
      <c r="EL18" s="148"/>
      <c r="EM18" s="148"/>
      <c r="EN18" s="148"/>
      <c r="EO18" s="148"/>
      <c r="EP18" s="148"/>
      <c r="EQ18" s="148"/>
      <c r="ER18" s="148"/>
      <c r="ES18" s="148"/>
      <c r="ET18" s="148"/>
      <c r="EU18" s="148"/>
      <c r="EV18" s="148"/>
      <c r="EW18" s="148"/>
      <c r="EX18" s="148"/>
      <c r="EY18" s="148"/>
      <c r="EZ18" s="148"/>
      <c r="FA18" s="148"/>
      <c r="FB18" s="148"/>
      <c r="FC18" s="148"/>
      <c r="FD18" s="148"/>
      <c r="FE18" s="148"/>
      <c r="FF18" s="148"/>
      <c r="FG18" s="148"/>
      <c r="FH18" s="148"/>
      <c r="FI18" s="148"/>
      <c r="FJ18" s="148"/>
      <c r="FK18" s="148"/>
      <c r="FL18" s="148"/>
      <c r="FM18" s="148"/>
      <c r="FN18" s="148"/>
      <c r="FO18" s="148"/>
      <c r="FP18" s="148"/>
      <c r="FQ18" s="148"/>
      <c r="FR18" s="148"/>
      <c r="FS18" s="148"/>
      <c r="FT18" s="148"/>
      <c r="FU18" s="148"/>
      <c r="FV18" s="148"/>
      <c r="FW18" s="148"/>
      <c r="FX18" s="148"/>
      <c r="FY18" s="148"/>
      <c r="FZ18" s="148"/>
      <c r="GA18" s="148"/>
      <c r="GB18" s="148"/>
      <c r="GC18" s="148"/>
      <c r="GD18" s="148"/>
      <c r="GE18" s="148"/>
      <c r="GF18" s="148"/>
      <c r="GG18" s="148"/>
      <c r="GH18" s="148"/>
      <c r="GI18" s="148"/>
      <c r="GJ18" s="148"/>
      <c r="GK18" s="148"/>
      <c r="GL18" s="148"/>
      <c r="GM18" s="148"/>
      <c r="GN18" s="148"/>
      <c r="GO18" s="148"/>
      <c r="GP18" s="148"/>
      <c r="GQ18" s="148"/>
      <c r="GR18" s="148"/>
      <c r="GS18" s="148"/>
      <c r="GT18" s="148"/>
      <c r="GU18" s="148"/>
      <c r="GV18" s="148"/>
      <c r="GW18" s="148"/>
      <c r="GX18" s="148"/>
      <c r="GY18" s="148"/>
      <c r="GZ18" s="148"/>
      <c r="HA18" s="148"/>
      <c r="HB18" s="148"/>
      <c r="HC18" s="148"/>
      <c r="HD18" s="148"/>
      <c r="HE18" s="148"/>
    </row>
    <row r="19" spans="3:213" s="70" customFormat="1" ht="15.75">
      <c r="C19" s="166"/>
      <c r="D19" s="153" t="s">
        <v>28</v>
      </c>
      <c r="E19" s="165">
        <v>30</v>
      </c>
      <c r="F19" s="177" t="str">
        <f>IF(E45=1,"not supported","supported")</f>
        <v>supported</v>
      </c>
      <c r="G19" s="167"/>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c r="CG19" s="148"/>
      <c r="CH19" s="148"/>
      <c r="CI19" s="148"/>
      <c r="CJ19" s="148"/>
      <c r="CK19" s="148"/>
      <c r="CL19" s="148"/>
      <c r="CM19" s="148"/>
      <c r="CN19" s="148"/>
      <c r="CO19" s="148"/>
      <c r="CP19" s="148"/>
      <c r="CQ19" s="148"/>
      <c r="CR19" s="148"/>
      <c r="CS19" s="148"/>
      <c r="CT19" s="148"/>
      <c r="CU19" s="148"/>
      <c r="CV19" s="148"/>
      <c r="CW19" s="148"/>
      <c r="CX19" s="148"/>
      <c r="CY19" s="148"/>
      <c r="CZ19" s="148"/>
      <c r="DA19" s="148"/>
      <c r="DB19" s="148"/>
      <c r="DC19" s="148"/>
      <c r="DD19" s="148"/>
      <c r="DE19" s="148"/>
      <c r="DF19" s="148"/>
      <c r="DG19" s="148"/>
      <c r="DH19" s="148"/>
      <c r="DI19" s="148"/>
      <c r="DJ19" s="148"/>
      <c r="DK19" s="148"/>
      <c r="DL19" s="148"/>
      <c r="DM19" s="148"/>
      <c r="DN19" s="148"/>
      <c r="DO19" s="148"/>
      <c r="DP19" s="148"/>
      <c r="DQ19" s="148"/>
      <c r="DR19" s="148"/>
      <c r="DS19" s="148"/>
      <c r="DT19" s="148"/>
      <c r="DU19" s="148"/>
      <c r="DV19" s="148"/>
      <c r="DW19" s="148"/>
      <c r="DX19" s="148"/>
      <c r="DY19" s="148"/>
      <c r="DZ19" s="148"/>
      <c r="EA19" s="148"/>
      <c r="EB19" s="148"/>
      <c r="EC19" s="148"/>
      <c r="ED19" s="148"/>
      <c r="EE19" s="148"/>
      <c r="EF19" s="148"/>
      <c r="EG19" s="148"/>
      <c r="EH19" s="148"/>
      <c r="EI19" s="148"/>
      <c r="EJ19" s="148"/>
      <c r="EK19" s="148"/>
      <c r="EL19" s="148"/>
      <c r="EM19" s="148"/>
      <c r="EN19" s="148"/>
      <c r="EO19" s="148"/>
      <c r="EP19" s="148"/>
      <c r="EQ19" s="148"/>
      <c r="ER19" s="148"/>
      <c r="ES19" s="148"/>
      <c r="ET19" s="148"/>
      <c r="EU19" s="148"/>
      <c r="EV19" s="148"/>
      <c r="EW19" s="148"/>
      <c r="EX19" s="148"/>
      <c r="EY19" s="148"/>
      <c r="EZ19" s="148"/>
      <c r="FA19" s="148"/>
      <c r="FB19" s="148"/>
      <c r="FC19" s="148"/>
      <c r="FD19" s="148"/>
      <c r="FE19" s="148"/>
      <c r="FF19" s="148"/>
      <c r="FG19" s="148"/>
      <c r="FH19" s="148"/>
      <c r="FI19" s="148"/>
      <c r="FJ19" s="148"/>
      <c r="FK19" s="148"/>
      <c r="FL19" s="148"/>
      <c r="FM19" s="148"/>
      <c r="FN19" s="148"/>
      <c r="FO19" s="148"/>
      <c r="FP19" s="148"/>
      <c r="FQ19" s="148"/>
      <c r="FR19" s="148"/>
      <c r="FS19" s="148"/>
      <c r="FT19" s="148"/>
      <c r="FU19" s="148"/>
      <c r="FV19" s="148"/>
      <c r="FW19" s="148"/>
      <c r="FX19" s="148"/>
      <c r="FY19" s="148"/>
      <c r="FZ19" s="148"/>
      <c r="GA19" s="148"/>
      <c r="GB19" s="148"/>
      <c r="GC19" s="148"/>
      <c r="GD19" s="148"/>
      <c r="GE19" s="148"/>
      <c r="GF19" s="148"/>
      <c r="GG19" s="148"/>
      <c r="GH19" s="148"/>
      <c r="GI19" s="148"/>
      <c r="GJ19" s="148"/>
      <c r="GK19" s="148"/>
      <c r="GL19" s="148"/>
      <c r="GM19" s="148"/>
      <c r="GN19" s="148"/>
      <c r="GO19" s="148"/>
      <c r="GP19" s="148"/>
      <c r="GQ19" s="148"/>
      <c r="GR19" s="148"/>
      <c r="GS19" s="148"/>
      <c r="GT19" s="148"/>
      <c r="GU19" s="148"/>
      <c r="GV19" s="148"/>
      <c r="GW19" s="148"/>
      <c r="GX19" s="148"/>
      <c r="GY19" s="148"/>
      <c r="GZ19" s="148"/>
      <c r="HA19" s="148"/>
      <c r="HB19" s="148"/>
      <c r="HC19" s="148"/>
      <c r="HD19" s="148"/>
      <c r="HE19" s="148"/>
    </row>
    <row r="20" spans="3:213" s="70" customFormat="1" ht="16.5" hidden="1" thickBot="1">
      <c r="C20" s="166"/>
      <c r="D20" s="155" t="s">
        <v>838</v>
      </c>
      <c r="E20" s="185">
        <f>IF(E46=1,E23*0.89,IF(E47=1,E23*0.89,HO52))</f>
        <v>212129.67873381611</v>
      </c>
      <c r="F20" s="177"/>
      <c r="G20" s="167"/>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c r="CG20" s="148"/>
      <c r="CH20" s="148"/>
      <c r="CI20" s="148"/>
      <c r="CJ20" s="148"/>
      <c r="CK20" s="148"/>
      <c r="CL20" s="148"/>
      <c r="CM20" s="148"/>
      <c r="CN20" s="148"/>
      <c r="CO20" s="148"/>
      <c r="CP20" s="148"/>
      <c r="CQ20" s="148"/>
      <c r="CR20" s="148"/>
      <c r="CS20" s="148"/>
      <c r="CT20" s="148"/>
      <c r="CU20" s="148"/>
      <c r="CV20" s="148"/>
      <c r="CW20" s="148"/>
      <c r="CX20" s="148"/>
      <c r="CY20" s="148"/>
      <c r="CZ20" s="148"/>
      <c r="DA20" s="148"/>
      <c r="DB20" s="148"/>
      <c r="DC20" s="148"/>
      <c r="DD20" s="148"/>
      <c r="DE20" s="148"/>
      <c r="DF20" s="148"/>
      <c r="DG20" s="148"/>
      <c r="DH20" s="148"/>
      <c r="DI20" s="148"/>
      <c r="DJ20" s="148"/>
      <c r="DK20" s="148"/>
      <c r="DL20" s="148"/>
      <c r="DM20" s="148"/>
      <c r="DN20" s="148"/>
      <c r="DO20" s="148"/>
      <c r="DP20" s="148"/>
      <c r="DQ20" s="148"/>
      <c r="DR20" s="148"/>
      <c r="DS20" s="148"/>
      <c r="DT20" s="148"/>
      <c r="DU20" s="148"/>
      <c r="DV20" s="148"/>
      <c r="DW20" s="148"/>
      <c r="DX20" s="148"/>
      <c r="DY20" s="148"/>
      <c r="DZ20" s="148"/>
      <c r="EA20" s="148"/>
      <c r="EB20" s="148"/>
      <c r="EC20" s="148"/>
      <c r="ED20" s="148"/>
      <c r="EE20" s="148"/>
      <c r="EF20" s="148"/>
      <c r="EG20" s="148"/>
      <c r="EH20" s="148"/>
      <c r="EI20" s="148"/>
      <c r="EJ20" s="148"/>
      <c r="EK20" s="148"/>
      <c r="EL20" s="148"/>
      <c r="EM20" s="148"/>
      <c r="EN20" s="148"/>
      <c r="EO20" s="148"/>
      <c r="EP20" s="148"/>
      <c r="EQ20" s="148"/>
      <c r="ER20" s="148"/>
      <c r="ES20" s="148"/>
      <c r="ET20" s="148"/>
      <c r="EU20" s="148"/>
      <c r="EV20" s="148"/>
      <c r="EW20" s="148"/>
      <c r="EX20" s="148"/>
      <c r="EY20" s="148"/>
      <c r="EZ20" s="148"/>
      <c r="FA20" s="148"/>
      <c r="FB20" s="148"/>
      <c r="FC20" s="148"/>
      <c r="FD20" s="148"/>
      <c r="FE20" s="148"/>
      <c r="FF20" s="148"/>
      <c r="FG20" s="148"/>
      <c r="FH20" s="148"/>
      <c r="FI20" s="148"/>
      <c r="FJ20" s="148"/>
      <c r="FK20" s="148"/>
      <c r="FL20" s="148"/>
      <c r="FM20" s="148"/>
      <c r="FN20" s="148"/>
      <c r="FO20" s="148"/>
      <c r="FP20" s="148"/>
      <c r="FQ20" s="148"/>
      <c r="FR20" s="148"/>
      <c r="FS20" s="148"/>
      <c r="FT20" s="148"/>
      <c r="FU20" s="148"/>
      <c r="FV20" s="148"/>
      <c r="FW20" s="148"/>
      <c r="FX20" s="148"/>
      <c r="FY20" s="148"/>
      <c r="FZ20" s="148"/>
      <c r="GA20" s="148"/>
      <c r="GB20" s="148"/>
      <c r="GC20" s="148"/>
      <c r="GD20" s="148"/>
      <c r="GE20" s="148"/>
      <c r="GF20" s="148"/>
      <c r="GG20" s="148"/>
      <c r="GH20" s="148"/>
      <c r="GI20" s="148"/>
      <c r="GJ20" s="148"/>
      <c r="GK20" s="148"/>
      <c r="GL20" s="148"/>
      <c r="GM20" s="148"/>
      <c r="GN20" s="148"/>
      <c r="GO20" s="148"/>
      <c r="GP20" s="148"/>
      <c r="GQ20" s="148"/>
      <c r="GR20" s="148"/>
      <c r="GS20" s="148"/>
      <c r="GT20" s="148"/>
      <c r="GU20" s="148"/>
      <c r="GV20" s="148"/>
      <c r="GW20" s="148"/>
      <c r="GX20" s="148"/>
      <c r="GY20" s="148"/>
      <c r="GZ20" s="148"/>
      <c r="HA20" s="148"/>
      <c r="HB20" s="148"/>
      <c r="HC20" s="148"/>
      <c r="HD20" s="148"/>
      <c r="HE20" s="148"/>
    </row>
    <row r="21" spans="3:213" s="70" customFormat="1" ht="15.75" hidden="1">
      <c r="C21" s="166"/>
      <c r="D21" s="153" t="s">
        <v>831</v>
      </c>
      <c r="E21" s="154">
        <f>HO52</f>
        <v>212129.67873381611</v>
      </c>
      <c r="F21" s="178" t="s">
        <v>630</v>
      </c>
      <c r="G21" s="167"/>
      <c r="H21" s="149"/>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c r="CG21" s="148"/>
      <c r="CH21" s="148"/>
      <c r="CI21" s="148"/>
      <c r="CJ21" s="148"/>
      <c r="CK21" s="148"/>
      <c r="CL21" s="148"/>
      <c r="CM21" s="148"/>
      <c r="CN21" s="148"/>
      <c r="CO21" s="148"/>
      <c r="CP21" s="148"/>
      <c r="CQ21" s="148"/>
      <c r="CR21" s="148"/>
      <c r="CS21" s="148"/>
      <c r="CT21" s="148"/>
      <c r="CU21" s="148"/>
      <c r="CV21" s="148"/>
      <c r="CW21" s="148"/>
      <c r="CX21" s="148"/>
      <c r="CY21" s="148"/>
      <c r="CZ21" s="148"/>
      <c r="DA21" s="148"/>
      <c r="DB21" s="148"/>
      <c r="DC21" s="148"/>
      <c r="DD21" s="148"/>
      <c r="DE21" s="148"/>
      <c r="DF21" s="148"/>
      <c r="DG21" s="148"/>
      <c r="DH21" s="148"/>
      <c r="DI21" s="148"/>
      <c r="DJ21" s="148"/>
      <c r="DK21" s="148"/>
      <c r="DL21" s="148"/>
      <c r="DM21" s="148"/>
      <c r="DN21" s="148"/>
      <c r="DO21" s="148"/>
      <c r="DP21" s="148"/>
      <c r="DQ21" s="148"/>
      <c r="DR21" s="148"/>
      <c r="DS21" s="148"/>
      <c r="DT21" s="148"/>
      <c r="DU21" s="148"/>
      <c r="DV21" s="148"/>
      <c r="DW21" s="148"/>
      <c r="DX21" s="148"/>
      <c r="DY21" s="148"/>
      <c r="DZ21" s="148"/>
      <c r="EA21" s="148"/>
      <c r="EB21" s="148"/>
      <c r="EC21" s="148"/>
      <c r="ED21" s="148"/>
      <c r="EE21" s="148"/>
      <c r="EF21" s="148"/>
      <c r="EG21" s="148"/>
      <c r="EH21" s="148"/>
      <c r="EI21" s="148"/>
      <c r="EJ21" s="148"/>
      <c r="EK21" s="148"/>
      <c r="EL21" s="148"/>
      <c r="EM21" s="148"/>
      <c r="EN21" s="148"/>
      <c r="EO21" s="148"/>
      <c r="EP21" s="148"/>
      <c r="EQ21" s="148"/>
      <c r="ER21" s="148"/>
      <c r="ES21" s="148"/>
      <c r="ET21" s="148"/>
      <c r="EU21" s="148"/>
      <c r="EV21" s="148"/>
      <c r="EW21" s="148"/>
      <c r="EX21" s="148"/>
      <c r="EY21" s="148"/>
      <c r="EZ21" s="148"/>
      <c r="FA21" s="148"/>
      <c r="FB21" s="148"/>
      <c r="FC21" s="148"/>
      <c r="FD21" s="148"/>
      <c r="FE21" s="148"/>
      <c r="FF21" s="148"/>
      <c r="FG21" s="148"/>
      <c r="FH21" s="148"/>
      <c r="FI21" s="148"/>
      <c r="FJ21" s="148"/>
      <c r="FK21" s="148"/>
      <c r="FL21" s="148"/>
      <c r="FM21" s="148"/>
      <c r="FN21" s="148"/>
      <c r="FO21" s="148"/>
      <c r="FP21" s="148"/>
      <c r="FQ21" s="148"/>
      <c r="FR21" s="148"/>
      <c r="FS21" s="148"/>
      <c r="FT21" s="148"/>
      <c r="FU21" s="148"/>
      <c r="FV21" s="148"/>
      <c r="FW21" s="148"/>
      <c r="FX21" s="148"/>
      <c r="FY21" s="148"/>
      <c r="FZ21" s="148"/>
      <c r="GA21" s="148"/>
      <c r="GB21" s="148"/>
      <c r="GC21" s="148"/>
      <c r="GD21" s="148"/>
      <c r="GE21" s="148"/>
      <c r="GF21" s="148"/>
      <c r="GG21" s="148"/>
      <c r="GH21" s="148"/>
      <c r="GI21" s="148"/>
      <c r="GJ21" s="148"/>
      <c r="GK21" s="148"/>
      <c r="GL21" s="148"/>
      <c r="GM21" s="148"/>
      <c r="GN21" s="148"/>
      <c r="GO21" s="148"/>
      <c r="GP21" s="148"/>
      <c r="GQ21" s="148"/>
      <c r="GR21" s="148"/>
      <c r="GS21" s="148"/>
      <c r="GT21" s="148"/>
      <c r="GU21" s="148"/>
      <c r="GV21" s="148"/>
      <c r="GW21" s="148"/>
      <c r="GX21" s="148"/>
      <c r="GY21" s="148"/>
      <c r="GZ21" s="148"/>
      <c r="HA21" s="148"/>
      <c r="HB21" s="148"/>
      <c r="HC21" s="148"/>
      <c r="HD21" s="148"/>
      <c r="HE21" s="148"/>
    </row>
    <row r="22" spans="3:213" s="70" customFormat="1" ht="16.5" thickBot="1">
      <c r="C22" s="166"/>
      <c r="D22" s="155" t="s">
        <v>780</v>
      </c>
      <c r="E22" s="162">
        <f>E20/1000</f>
        <v>212.12967873381612</v>
      </c>
      <c r="F22" s="179" t="s">
        <v>781</v>
      </c>
      <c r="G22" s="167"/>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148"/>
      <c r="EB22" s="148"/>
      <c r="EC22" s="148"/>
      <c r="ED22" s="148"/>
      <c r="EE22" s="148"/>
      <c r="EF22" s="148"/>
      <c r="EG22" s="148"/>
      <c r="EH22" s="148"/>
      <c r="EI22" s="148"/>
      <c r="EJ22" s="148"/>
      <c r="EK22" s="148"/>
      <c r="EL22" s="148"/>
      <c r="EM22" s="148"/>
      <c r="EN22" s="148"/>
      <c r="EO22" s="148"/>
      <c r="EP22" s="148"/>
      <c r="EQ22" s="148"/>
      <c r="ER22" s="148"/>
      <c r="ES22" s="148"/>
      <c r="ET22" s="148"/>
      <c r="EU22" s="148"/>
      <c r="EV22" s="148"/>
      <c r="EW22" s="148"/>
      <c r="EX22" s="148"/>
      <c r="EY22" s="148"/>
      <c r="EZ22" s="148"/>
      <c r="FA22" s="148"/>
      <c r="FB22" s="148"/>
      <c r="FC22" s="148"/>
      <c r="FD22" s="148"/>
      <c r="FE22" s="148"/>
      <c r="FF22" s="148"/>
      <c r="FG22" s="148"/>
      <c r="FH22" s="148"/>
      <c r="FI22" s="148"/>
      <c r="FJ22" s="148"/>
      <c r="FK22" s="148"/>
      <c r="FL22" s="148"/>
      <c r="FM22" s="148"/>
      <c r="FN22" s="148"/>
      <c r="FO22" s="148"/>
      <c r="FP22" s="148"/>
      <c r="FQ22" s="148"/>
      <c r="FR22" s="148"/>
      <c r="FS22" s="148"/>
      <c r="FT22" s="148"/>
      <c r="FU22" s="148"/>
      <c r="FV22" s="148"/>
      <c r="FW22" s="148"/>
      <c r="FX22" s="148"/>
      <c r="FY22" s="148"/>
      <c r="FZ22" s="148"/>
      <c r="GA22" s="148"/>
      <c r="GB22" s="148"/>
      <c r="GC22" s="148"/>
      <c r="GD22" s="148"/>
      <c r="GE22" s="148"/>
      <c r="GF22" s="148"/>
      <c r="GG22" s="148"/>
      <c r="GH22" s="148"/>
      <c r="GI22" s="148"/>
      <c r="GJ22" s="148"/>
      <c r="GK22" s="148"/>
      <c r="GL22" s="148"/>
      <c r="GM22" s="148"/>
      <c r="GN22" s="148"/>
      <c r="GO22" s="148"/>
      <c r="GP22" s="148"/>
      <c r="GQ22" s="148"/>
      <c r="GR22" s="148"/>
      <c r="GS22" s="148"/>
      <c r="GT22" s="148"/>
      <c r="GU22" s="148"/>
      <c r="GV22" s="148"/>
      <c r="GW22" s="148"/>
      <c r="GX22" s="148"/>
      <c r="GY22" s="148"/>
      <c r="GZ22" s="148"/>
      <c r="HA22" s="148"/>
      <c r="HB22" s="148"/>
      <c r="HC22" s="148"/>
      <c r="HD22" s="148"/>
      <c r="HE22" s="148"/>
    </row>
    <row r="23" spans="3:213" s="70" customFormat="1" ht="15.75" hidden="1">
      <c r="C23" s="166"/>
      <c r="D23" s="173" t="s">
        <v>796</v>
      </c>
      <c r="E23" s="174">
        <f>HQ52</f>
        <v>848518.71493526443</v>
      </c>
      <c r="F23" s="175" t="s">
        <v>630</v>
      </c>
      <c r="G23" s="184"/>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c r="CG23" s="148"/>
      <c r="CH23" s="148"/>
      <c r="CI23" s="148"/>
      <c r="CJ23" s="148"/>
      <c r="CK23" s="148"/>
      <c r="CL23" s="148"/>
      <c r="CM23" s="148"/>
      <c r="CN23" s="148"/>
      <c r="CO23" s="148"/>
      <c r="CP23" s="148"/>
      <c r="CQ23" s="148"/>
      <c r="CR23" s="148"/>
      <c r="CS23" s="148"/>
      <c r="CT23" s="148"/>
      <c r="CU23" s="148"/>
      <c r="CV23" s="148"/>
      <c r="CW23" s="148"/>
      <c r="CX23" s="148"/>
      <c r="CY23" s="148"/>
      <c r="CZ23" s="148"/>
      <c r="DA23" s="148"/>
      <c r="DB23" s="148"/>
      <c r="DC23" s="148"/>
      <c r="DD23" s="148"/>
      <c r="DE23" s="148"/>
      <c r="DF23" s="148"/>
      <c r="DG23" s="148"/>
      <c r="DH23" s="148"/>
      <c r="DI23" s="148"/>
      <c r="DJ23" s="148"/>
      <c r="DK23" s="148"/>
      <c r="DL23" s="148"/>
      <c r="DM23" s="148"/>
      <c r="DN23" s="148"/>
      <c r="DO23" s="148"/>
      <c r="DP23" s="148"/>
      <c r="DQ23" s="148"/>
      <c r="DR23" s="148"/>
      <c r="DS23" s="148"/>
      <c r="DT23" s="148"/>
      <c r="DU23" s="148"/>
      <c r="DV23" s="148"/>
      <c r="DW23" s="148"/>
      <c r="DX23" s="148"/>
      <c r="DY23" s="148"/>
      <c r="DZ23" s="148"/>
      <c r="EA23" s="148"/>
      <c r="EB23" s="148"/>
      <c r="EC23" s="148"/>
      <c r="ED23" s="148"/>
      <c r="EE23" s="148"/>
      <c r="EF23" s="148"/>
      <c r="EG23" s="148"/>
      <c r="EH23" s="148"/>
      <c r="EI23" s="148"/>
      <c r="EJ23" s="148"/>
      <c r="EK23" s="148"/>
      <c r="EL23" s="148"/>
      <c r="EM23" s="148"/>
      <c r="EN23" s="148"/>
      <c r="EO23" s="148"/>
      <c r="EP23" s="148"/>
      <c r="EQ23" s="148"/>
      <c r="ER23" s="148"/>
      <c r="ES23" s="148"/>
      <c r="ET23" s="148"/>
      <c r="EU23" s="148"/>
      <c r="EV23" s="148"/>
      <c r="EW23" s="148"/>
      <c r="EX23" s="148"/>
      <c r="EY23" s="148"/>
      <c r="EZ23" s="148"/>
      <c r="FA23" s="148"/>
      <c r="FB23" s="148"/>
      <c r="FC23" s="148"/>
      <c r="FD23" s="148"/>
      <c r="FE23" s="148"/>
      <c r="FF23" s="148"/>
      <c r="FG23" s="148"/>
      <c r="FH23" s="148"/>
      <c r="FI23" s="148"/>
      <c r="FJ23" s="148"/>
      <c r="FK23" s="148"/>
      <c r="FL23" s="148"/>
      <c r="FM23" s="148"/>
      <c r="FN23" s="148"/>
      <c r="FO23" s="148"/>
      <c r="FP23" s="148"/>
      <c r="FQ23" s="148"/>
      <c r="FR23" s="148"/>
      <c r="FS23" s="148"/>
      <c r="FT23" s="148"/>
      <c r="FU23" s="148"/>
      <c r="FV23" s="148"/>
      <c r="FW23" s="148"/>
      <c r="FX23" s="148"/>
      <c r="FY23" s="148"/>
      <c r="FZ23" s="148"/>
      <c r="GA23" s="148"/>
      <c r="GB23" s="148"/>
      <c r="GC23" s="148"/>
      <c r="GD23" s="148"/>
      <c r="GE23" s="148"/>
      <c r="GF23" s="148"/>
      <c r="GG23" s="148"/>
      <c r="GH23" s="148"/>
      <c r="GI23" s="148"/>
      <c r="GJ23" s="148"/>
      <c r="GK23" s="148"/>
      <c r="GL23" s="148"/>
      <c r="GM23" s="148"/>
      <c r="GN23" s="148"/>
      <c r="GO23" s="148"/>
      <c r="GP23" s="148"/>
      <c r="GQ23" s="148"/>
      <c r="GR23" s="148"/>
      <c r="GS23" s="148"/>
      <c r="GT23" s="148"/>
      <c r="GU23" s="148"/>
      <c r="GV23" s="148"/>
      <c r="GW23" s="148"/>
      <c r="GX23" s="148"/>
      <c r="GY23" s="148"/>
      <c r="GZ23" s="148"/>
      <c r="HA23" s="148"/>
      <c r="HB23" s="148"/>
      <c r="HC23" s="148"/>
      <c r="HD23" s="148"/>
      <c r="HE23" s="148"/>
    </row>
    <row r="24" spans="3:213" s="70" customFormat="1" ht="16.5" thickBot="1">
      <c r="C24" s="166"/>
      <c r="D24" s="155" t="s">
        <v>796</v>
      </c>
      <c r="E24" s="162">
        <f>E23/1000</f>
        <v>848.51871493526448</v>
      </c>
      <c r="F24" s="161" t="s">
        <v>781</v>
      </c>
      <c r="G24" s="167"/>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8"/>
      <c r="CG24" s="148"/>
      <c r="CH24" s="148"/>
      <c r="CI24" s="148"/>
      <c r="CJ24" s="148"/>
      <c r="CK24" s="148"/>
      <c r="CL24" s="148"/>
      <c r="CM24" s="148"/>
      <c r="CN24" s="148"/>
      <c r="CO24" s="148"/>
      <c r="CP24" s="148"/>
      <c r="CQ24" s="148"/>
      <c r="CR24" s="148"/>
      <c r="CS24" s="148"/>
      <c r="CT24" s="148"/>
      <c r="CU24" s="148"/>
      <c r="CV24" s="148"/>
      <c r="CW24" s="148"/>
      <c r="CX24" s="148"/>
      <c r="CY24" s="148"/>
      <c r="CZ24" s="148"/>
      <c r="DA24" s="148"/>
      <c r="DB24" s="148"/>
      <c r="DC24" s="148"/>
      <c r="DD24" s="148"/>
      <c r="DE24" s="148"/>
      <c r="DF24" s="148"/>
      <c r="DG24" s="148"/>
      <c r="DH24" s="148"/>
      <c r="DI24" s="148"/>
      <c r="DJ24" s="148"/>
      <c r="DK24" s="148"/>
      <c r="DL24" s="148"/>
      <c r="DM24" s="148"/>
      <c r="DN24" s="148"/>
      <c r="DO24" s="148"/>
      <c r="DP24" s="148"/>
      <c r="DQ24" s="148"/>
      <c r="DR24" s="148"/>
      <c r="DS24" s="148"/>
      <c r="DT24" s="148"/>
      <c r="DU24" s="148"/>
      <c r="DV24" s="148"/>
      <c r="DW24" s="148"/>
      <c r="DX24" s="148"/>
      <c r="DY24" s="148"/>
      <c r="DZ24" s="148"/>
      <c r="EA24" s="148"/>
      <c r="EB24" s="148"/>
      <c r="EC24" s="148"/>
      <c r="ED24" s="148"/>
      <c r="EE24" s="148"/>
      <c r="EF24" s="148"/>
      <c r="EG24" s="148"/>
      <c r="EH24" s="148"/>
      <c r="EI24" s="148"/>
      <c r="EJ24" s="148"/>
      <c r="EK24" s="148"/>
      <c r="EL24" s="148"/>
      <c r="EM24" s="148"/>
      <c r="EN24" s="148"/>
      <c r="EO24" s="148"/>
      <c r="EP24" s="148"/>
      <c r="EQ24" s="148"/>
      <c r="ER24" s="148"/>
      <c r="ES24" s="148"/>
      <c r="ET24" s="148"/>
      <c r="EU24" s="148"/>
      <c r="EV24" s="148"/>
      <c r="EW24" s="148"/>
      <c r="EX24" s="148"/>
      <c r="EY24" s="148"/>
      <c r="EZ24" s="148"/>
      <c r="FA24" s="148"/>
      <c r="FB24" s="148"/>
      <c r="FC24" s="148"/>
      <c r="FD24" s="148"/>
      <c r="FE24" s="148"/>
      <c r="FF24" s="148"/>
      <c r="FG24" s="148"/>
      <c r="FH24" s="148"/>
      <c r="FI24" s="148"/>
      <c r="FJ24" s="148"/>
      <c r="FK24" s="148"/>
      <c r="FL24" s="148"/>
      <c r="FM24" s="148"/>
      <c r="FN24" s="148"/>
      <c r="FO24" s="148"/>
      <c r="FP24" s="148"/>
      <c r="FQ24" s="148"/>
      <c r="FR24" s="148"/>
      <c r="FS24" s="148"/>
      <c r="FT24" s="148"/>
      <c r="FU24" s="148"/>
      <c r="FV24" s="148"/>
      <c r="FW24" s="148"/>
      <c r="FX24" s="148"/>
      <c r="FY24" s="148"/>
      <c r="FZ24" s="148"/>
      <c r="GA24" s="148"/>
      <c r="GB24" s="148"/>
      <c r="GC24" s="148"/>
      <c r="GD24" s="148"/>
      <c r="GE24" s="148"/>
      <c r="GF24" s="148"/>
      <c r="GG24" s="148"/>
      <c r="GH24" s="148"/>
      <c r="GI24" s="148"/>
      <c r="GJ24" s="148"/>
      <c r="GK24" s="148"/>
      <c r="GL24" s="148"/>
      <c r="GM24" s="148"/>
      <c r="GN24" s="148"/>
      <c r="GO24" s="148"/>
      <c r="GP24" s="148"/>
      <c r="GQ24" s="148"/>
      <c r="GR24" s="148"/>
      <c r="GS24" s="148"/>
      <c r="GT24" s="148"/>
      <c r="GU24" s="148"/>
      <c r="GV24" s="148"/>
      <c r="GW24" s="148"/>
      <c r="GX24" s="148"/>
      <c r="GY24" s="148"/>
      <c r="GZ24" s="148"/>
      <c r="HA24" s="148"/>
      <c r="HB24" s="148"/>
      <c r="HC24" s="148"/>
      <c r="HD24" s="148"/>
      <c r="HE24" s="148"/>
    </row>
    <row r="25" spans="3:213" s="70" customFormat="1" ht="16.5" thickBot="1">
      <c r="C25" s="166"/>
      <c r="D25" s="145"/>
      <c r="E25" s="146"/>
      <c r="F25" s="151"/>
      <c r="G25" s="167"/>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c r="BM25" s="148"/>
      <c r="BN25" s="148"/>
      <c r="BO25" s="148"/>
      <c r="BP25" s="148"/>
      <c r="BQ25" s="148"/>
      <c r="BR25" s="148"/>
      <c r="BS25" s="148"/>
      <c r="BT25" s="148"/>
      <c r="BU25" s="148"/>
      <c r="BV25" s="148"/>
      <c r="BW25" s="148"/>
      <c r="BX25" s="148"/>
      <c r="BY25" s="148"/>
      <c r="BZ25" s="148"/>
      <c r="CA25" s="148"/>
      <c r="CB25" s="148"/>
      <c r="CC25" s="148"/>
      <c r="CD25" s="148"/>
      <c r="CE25" s="148"/>
      <c r="CF25" s="148"/>
      <c r="CG25" s="148"/>
      <c r="CH25" s="148"/>
      <c r="CI25" s="148"/>
      <c r="CJ25" s="148"/>
      <c r="CK25" s="148"/>
      <c r="CL25" s="148"/>
      <c r="CM25" s="148"/>
      <c r="CN25" s="148"/>
      <c r="CO25" s="148"/>
      <c r="CP25" s="148"/>
      <c r="CQ25" s="148"/>
      <c r="CR25" s="148"/>
      <c r="CS25" s="148"/>
      <c r="CT25" s="148"/>
      <c r="CU25" s="148"/>
      <c r="CV25" s="148"/>
      <c r="CW25" s="148"/>
      <c r="CX25" s="148"/>
      <c r="CY25" s="148"/>
      <c r="CZ25" s="148"/>
      <c r="DA25" s="148"/>
      <c r="DB25" s="148"/>
      <c r="DC25" s="148"/>
      <c r="DD25" s="148"/>
      <c r="DE25" s="148"/>
      <c r="DF25" s="148"/>
      <c r="DG25" s="148"/>
      <c r="DH25" s="148"/>
      <c r="DI25" s="148"/>
      <c r="DJ25" s="148"/>
      <c r="DK25" s="148"/>
      <c r="DL25" s="148"/>
      <c r="DM25" s="148"/>
      <c r="DN25" s="148"/>
      <c r="DO25" s="148"/>
      <c r="DP25" s="148"/>
      <c r="DQ25" s="148"/>
      <c r="DR25" s="148"/>
      <c r="DS25" s="148"/>
      <c r="DT25" s="148"/>
      <c r="DU25" s="148"/>
      <c r="DV25" s="148"/>
      <c r="DW25" s="148"/>
      <c r="DX25" s="148"/>
      <c r="DY25" s="148"/>
      <c r="DZ25" s="148"/>
      <c r="EA25" s="148"/>
      <c r="EB25" s="148"/>
      <c r="EC25" s="148"/>
      <c r="ED25" s="148"/>
      <c r="EE25" s="148"/>
      <c r="EF25" s="148"/>
      <c r="EG25" s="148"/>
      <c r="EH25" s="148"/>
      <c r="EI25" s="148"/>
      <c r="EJ25" s="148"/>
      <c r="EK25" s="148"/>
      <c r="EL25" s="148"/>
      <c r="EM25" s="148"/>
      <c r="EN25" s="148"/>
      <c r="EO25" s="148"/>
      <c r="EP25" s="148"/>
      <c r="EQ25" s="148"/>
      <c r="ER25" s="148"/>
      <c r="ES25" s="148"/>
      <c r="ET25" s="148"/>
      <c r="EU25" s="148"/>
      <c r="EV25" s="148"/>
      <c r="EW25" s="148"/>
      <c r="EX25" s="148"/>
      <c r="EY25" s="148"/>
      <c r="EZ25" s="148"/>
      <c r="FA25" s="148"/>
      <c r="FB25" s="148"/>
      <c r="FC25" s="148"/>
      <c r="FD25" s="148"/>
      <c r="FE25" s="148"/>
      <c r="FF25" s="148"/>
      <c r="FG25" s="148"/>
      <c r="FH25" s="148"/>
      <c r="FI25" s="148"/>
      <c r="FJ25" s="148"/>
      <c r="FK25" s="148"/>
      <c r="FL25" s="148"/>
      <c r="FM25" s="148"/>
      <c r="FN25" s="148"/>
      <c r="FO25" s="148"/>
      <c r="FP25" s="148"/>
      <c r="FQ25" s="148"/>
      <c r="FR25" s="148"/>
      <c r="FS25" s="148"/>
      <c r="FT25" s="148"/>
      <c r="FU25" s="148"/>
      <c r="FV25" s="148"/>
      <c r="FW25" s="148"/>
      <c r="FX25" s="148"/>
      <c r="FY25" s="148"/>
      <c r="FZ25" s="148"/>
      <c r="GA25" s="148"/>
      <c r="GB25" s="148"/>
      <c r="GC25" s="148"/>
      <c r="GD25" s="148"/>
      <c r="GE25" s="148"/>
      <c r="GF25" s="148"/>
      <c r="GG25" s="148"/>
      <c r="GH25" s="148"/>
      <c r="GI25" s="148"/>
      <c r="GJ25" s="148"/>
      <c r="GK25" s="148"/>
      <c r="GL25" s="148"/>
      <c r="GM25" s="148"/>
      <c r="GN25" s="148"/>
      <c r="GO25" s="148"/>
      <c r="GP25" s="148"/>
      <c r="GQ25" s="148"/>
      <c r="GR25" s="148"/>
      <c r="GS25" s="148"/>
      <c r="GT25" s="148"/>
      <c r="GU25" s="148"/>
      <c r="GV25" s="148"/>
      <c r="GW25" s="148"/>
      <c r="GX25" s="148"/>
      <c r="GY25" s="148"/>
      <c r="GZ25" s="148"/>
      <c r="HA25" s="148"/>
      <c r="HB25" s="148"/>
      <c r="HC25" s="148"/>
      <c r="HD25" s="148"/>
      <c r="HE25" s="148"/>
    </row>
    <row r="26" spans="3:213" s="70" customFormat="1" ht="15.75">
      <c r="C26" s="166"/>
      <c r="D26" s="156" t="s">
        <v>794</v>
      </c>
      <c r="E26" s="157"/>
      <c r="F26" s="152"/>
      <c r="G26" s="167"/>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148"/>
      <c r="BU26" s="148"/>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148"/>
      <c r="DG26" s="148"/>
      <c r="DH26" s="148"/>
      <c r="DI26" s="148"/>
      <c r="DJ26" s="148"/>
      <c r="DK26" s="148"/>
      <c r="DL26" s="148"/>
      <c r="DM26" s="148"/>
      <c r="DN26" s="148"/>
      <c r="DO26" s="148"/>
      <c r="DP26" s="148"/>
      <c r="DQ26" s="148"/>
      <c r="DR26" s="148"/>
      <c r="DS26" s="148"/>
      <c r="DT26" s="148"/>
      <c r="DU26" s="148"/>
      <c r="DV26" s="148"/>
      <c r="DW26" s="148"/>
      <c r="DX26" s="148"/>
      <c r="DY26" s="148"/>
      <c r="DZ26" s="148"/>
      <c r="EA26" s="148"/>
      <c r="EB26" s="148"/>
      <c r="EC26" s="148"/>
      <c r="ED26" s="148"/>
      <c r="EE26" s="148"/>
      <c r="EF26" s="148"/>
      <c r="EG26" s="148"/>
      <c r="EH26" s="148"/>
      <c r="EI26" s="148"/>
      <c r="EJ26" s="148"/>
      <c r="EK26" s="148"/>
      <c r="EL26" s="148"/>
      <c r="EM26" s="148"/>
      <c r="EN26" s="148"/>
      <c r="EO26" s="148"/>
      <c r="EP26" s="148"/>
      <c r="EQ26" s="148"/>
      <c r="ER26" s="148"/>
      <c r="ES26" s="148"/>
      <c r="ET26" s="148"/>
      <c r="EU26" s="148"/>
      <c r="EV26" s="148"/>
      <c r="EW26" s="148"/>
      <c r="EX26" s="148"/>
      <c r="EY26" s="148"/>
      <c r="EZ26" s="148"/>
      <c r="FA26" s="148"/>
      <c r="FB26" s="148"/>
      <c r="FC26" s="148"/>
      <c r="FD26" s="148"/>
      <c r="FE26" s="148"/>
      <c r="FF26" s="148"/>
      <c r="FG26" s="148"/>
      <c r="FH26" s="148"/>
      <c r="FI26" s="148"/>
      <c r="FJ26" s="148"/>
      <c r="FK26" s="148"/>
      <c r="FL26" s="148"/>
      <c r="FM26" s="148"/>
      <c r="FN26" s="148"/>
      <c r="FO26" s="148"/>
      <c r="FP26" s="148"/>
      <c r="FQ26" s="148"/>
      <c r="FR26" s="148"/>
      <c r="FS26" s="148"/>
      <c r="FT26" s="148"/>
      <c r="FU26" s="148"/>
      <c r="FV26" s="148"/>
      <c r="FW26" s="148"/>
      <c r="FX26" s="148"/>
      <c r="FY26" s="148"/>
      <c r="FZ26" s="148"/>
      <c r="GA26" s="148"/>
      <c r="GB26" s="148"/>
      <c r="GC26" s="148"/>
      <c r="GD26" s="148"/>
      <c r="GE26" s="148"/>
      <c r="GF26" s="148"/>
      <c r="GG26" s="148"/>
      <c r="GH26" s="148"/>
      <c r="GI26" s="148"/>
      <c r="GJ26" s="148"/>
      <c r="GK26" s="148"/>
      <c r="GL26" s="148"/>
      <c r="GM26" s="148"/>
      <c r="GN26" s="148"/>
      <c r="GO26" s="148"/>
      <c r="GP26" s="148"/>
      <c r="GQ26" s="148"/>
      <c r="GR26" s="148"/>
      <c r="GS26" s="148"/>
      <c r="GT26" s="148"/>
      <c r="GU26" s="148"/>
      <c r="GV26" s="148"/>
      <c r="GW26" s="148"/>
      <c r="GX26" s="148"/>
      <c r="GY26" s="148"/>
      <c r="GZ26" s="148"/>
      <c r="HA26" s="148"/>
      <c r="HB26" s="148"/>
      <c r="HC26" s="148"/>
      <c r="HD26" s="148"/>
      <c r="HE26" s="148"/>
    </row>
    <row r="27" spans="3:213" s="70" customFormat="1">
      <c r="C27" s="166"/>
      <c r="D27" s="158" t="s">
        <v>682</v>
      </c>
      <c r="E27" s="159" t="str">
        <f>P52</f>
        <v>medium</v>
      </c>
      <c r="F27" s="152"/>
      <c r="G27" s="167"/>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8"/>
      <c r="CN27" s="148"/>
      <c r="CO27" s="148"/>
      <c r="CP27" s="148"/>
      <c r="CQ27" s="148"/>
      <c r="CR27" s="148"/>
      <c r="CS27" s="148"/>
      <c r="CT27" s="148"/>
      <c r="CU27" s="148"/>
      <c r="CV27" s="148"/>
      <c r="CW27" s="148"/>
      <c r="CX27" s="148"/>
      <c r="CY27" s="148"/>
      <c r="CZ27" s="148"/>
      <c r="DA27" s="148"/>
      <c r="DB27" s="148"/>
      <c r="DC27" s="148"/>
      <c r="DD27" s="148"/>
      <c r="DE27" s="148"/>
      <c r="DF27" s="148"/>
      <c r="DG27" s="148"/>
      <c r="DH27" s="148"/>
      <c r="DI27" s="148"/>
      <c r="DJ27" s="148"/>
      <c r="DK27" s="148"/>
      <c r="DL27" s="148"/>
      <c r="DM27" s="148"/>
      <c r="DN27" s="148"/>
      <c r="DO27" s="148"/>
      <c r="DP27" s="148"/>
      <c r="DQ27" s="148"/>
      <c r="DR27" s="148"/>
      <c r="DS27" s="148"/>
      <c r="DT27" s="148"/>
      <c r="DU27" s="148"/>
      <c r="DV27" s="148"/>
      <c r="DW27" s="148"/>
      <c r="DX27" s="148"/>
      <c r="DY27" s="148"/>
      <c r="DZ27" s="148"/>
      <c r="EA27" s="148"/>
      <c r="EB27" s="148"/>
      <c r="EC27" s="148"/>
      <c r="ED27" s="148"/>
      <c r="EE27" s="148"/>
      <c r="EF27" s="148"/>
      <c r="EG27" s="148"/>
      <c r="EH27" s="148"/>
      <c r="EI27" s="148"/>
      <c r="EJ27" s="148"/>
      <c r="EK27" s="148"/>
      <c r="EL27" s="148"/>
      <c r="EM27" s="148"/>
      <c r="EN27" s="148"/>
      <c r="EO27" s="148"/>
      <c r="EP27" s="148"/>
      <c r="EQ27" s="148"/>
      <c r="ER27" s="148"/>
      <c r="ES27" s="148"/>
      <c r="ET27" s="148"/>
      <c r="EU27" s="148"/>
      <c r="EV27" s="148"/>
      <c r="EW27" s="148"/>
      <c r="EX27" s="148"/>
      <c r="EY27" s="148"/>
      <c r="EZ27" s="148"/>
      <c r="FA27" s="148"/>
      <c r="FB27" s="148"/>
      <c r="FC27" s="148"/>
      <c r="FD27" s="148"/>
      <c r="FE27" s="148"/>
      <c r="FF27" s="148"/>
      <c r="FG27" s="148"/>
      <c r="FH27" s="148"/>
      <c r="FI27" s="148"/>
      <c r="FJ27" s="148"/>
      <c r="FK27" s="148"/>
      <c r="FL27" s="148"/>
      <c r="FM27" s="148"/>
      <c r="FN27" s="148"/>
      <c r="FO27" s="148"/>
      <c r="FP27" s="148"/>
      <c r="FQ27" s="148"/>
      <c r="FR27" s="148"/>
      <c r="FS27" s="148"/>
      <c r="FT27" s="148"/>
      <c r="FU27" s="148"/>
      <c r="FV27" s="148"/>
      <c r="FW27" s="148"/>
      <c r="FX27" s="148"/>
      <c r="FY27" s="148"/>
      <c r="FZ27" s="148"/>
      <c r="GA27" s="148"/>
      <c r="GB27" s="148"/>
      <c r="GC27" s="148"/>
      <c r="GD27" s="148"/>
      <c r="GE27" s="148"/>
      <c r="GF27" s="148"/>
      <c r="GG27" s="148"/>
      <c r="GH27" s="148"/>
      <c r="GI27" s="148"/>
      <c r="GJ27" s="148"/>
      <c r="GK27" s="148"/>
      <c r="GL27" s="148"/>
      <c r="GM27" s="148"/>
      <c r="GN27" s="148"/>
      <c r="GO27" s="148"/>
      <c r="GP27" s="148"/>
      <c r="GQ27" s="148"/>
      <c r="GR27" s="148"/>
      <c r="GS27" s="148"/>
      <c r="GT27" s="148"/>
      <c r="GU27" s="148"/>
      <c r="GV27" s="148"/>
      <c r="GW27" s="148"/>
      <c r="GX27" s="148"/>
      <c r="GY27" s="148"/>
      <c r="GZ27" s="148"/>
      <c r="HA27" s="148"/>
      <c r="HB27" s="148"/>
      <c r="HC27" s="148"/>
      <c r="HD27" s="148"/>
      <c r="HE27" s="148"/>
    </row>
    <row r="28" spans="3:213" s="70" customFormat="1">
      <c r="C28" s="166"/>
      <c r="D28" s="158" t="s">
        <v>795</v>
      </c>
      <c r="E28" s="159" t="str">
        <f>G52</f>
        <v>IBBP</v>
      </c>
      <c r="F28" s="152"/>
      <c r="G28" s="167"/>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c r="CG28" s="148"/>
      <c r="CH28" s="148"/>
      <c r="CI28" s="148"/>
      <c r="CJ28" s="148"/>
      <c r="CK28" s="148"/>
      <c r="CL28" s="148"/>
      <c r="CM28" s="148"/>
      <c r="CN28" s="148"/>
      <c r="CO28" s="148"/>
      <c r="CP28" s="148"/>
      <c r="CQ28" s="148"/>
      <c r="CR28" s="148"/>
      <c r="CS28" s="148"/>
      <c r="CT28" s="148"/>
      <c r="CU28" s="148"/>
      <c r="CV28" s="148"/>
      <c r="CW28" s="148"/>
      <c r="CX28" s="148"/>
      <c r="CY28" s="148"/>
      <c r="CZ28" s="148"/>
      <c r="DA28" s="148"/>
      <c r="DB28" s="148"/>
      <c r="DC28" s="148"/>
      <c r="DD28" s="148"/>
      <c r="DE28" s="148"/>
      <c r="DF28" s="148"/>
      <c r="DG28" s="148"/>
      <c r="DH28" s="148"/>
      <c r="DI28" s="148"/>
      <c r="DJ28" s="148"/>
      <c r="DK28" s="148"/>
      <c r="DL28" s="148"/>
      <c r="DM28" s="148"/>
      <c r="DN28" s="148"/>
      <c r="DO28" s="148"/>
      <c r="DP28" s="148"/>
      <c r="DQ28" s="148"/>
      <c r="DR28" s="148"/>
      <c r="DS28" s="148"/>
      <c r="DT28" s="148"/>
      <c r="DU28" s="148"/>
      <c r="DV28" s="148"/>
      <c r="DW28" s="148"/>
      <c r="DX28" s="148"/>
      <c r="DY28" s="148"/>
      <c r="DZ28" s="148"/>
      <c r="EA28" s="148"/>
      <c r="EB28" s="148"/>
      <c r="EC28" s="148"/>
      <c r="ED28" s="148"/>
      <c r="EE28" s="148"/>
      <c r="EF28" s="148"/>
      <c r="EG28" s="148"/>
      <c r="EH28" s="148"/>
      <c r="EI28" s="148"/>
      <c r="EJ28" s="148"/>
      <c r="EK28" s="148"/>
      <c r="EL28" s="148"/>
      <c r="EM28" s="148"/>
      <c r="EN28" s="148"/>
      <c r="EO28" s="148"/>
      <c r="EP28" s="148"/>
      <c r="EQ28" s="148"/>
      <c r="ER28" s="148"/>
      <c r="ES28" s="148"/>
      <c r="ET28" s="148"/>
      <c r="EU28" s="148"/>
      <c r="EV28" s="148"/>
      <c r="EW28" s="148"/>
      <c r="EX28" s="148"/>
      <c r="EY28" s="148"/>
      <c r="EZ28" s="148"/>
      <c r="FA28" s="148"/>
      <c r="FB28" s="148"/>
      <c r="FC28" s="148"/>
      <c r="FD28" s="148"/>
      <c r="FE28" s="148"/>
      <c r="FF28" s="148"/>
      <c r="FG28" s="148"/>
      <c r="FH28" s="148"/>
      <c r="FI28" s="148"/>
      <c r="FJ28" s="148"/>
      <c r="FK28" s="148"/>
      <c r="FL28" s="148"/>
      <c r="FM28" s="148"/>
      <c r="FN28" s="148"/>
      <c r="FO28" s="148"/>
      <c r="FP28" s="148"/>
      <c r="FQ28" s="148"/>
      <c r="FR28" s="148"/>
      <c r="FS28" s="148"/>
      <c r="FT28" s="148"/>
      <c r="FU28" s="148"/>
      <c r="FV28" s="148"/>
      <c r="FW28" s="148"/>
      <c r="FX28" s="148"/>
      <c r="FY28" s="148"/>
      <c r="FZ28" s="148"/>
      <c r="GA28" s="148"/>
      <c r="GB28" s="148"/>
      <c r="GC28" s="148"/>
      <c r="GD28" s="148"/>
      <c r="GE28" s="148"/>
      <c r="GF28" s="148"/>
      <c r="GG28" s="148"/>
      <c r="GH28" s="148"/>
      <c r="GI28" s="148"/>
      <c r="GJ28" s="148"/>
      <c r="GK28" s="148"/>
      <c r="GL28" s="148"/>
      <c r="GM28" s="148"/>
      <c r="GN28" s="148"/>
      <c r="GO28" s="148"/>
      <c r="GP28" s="148"/>
      <c r="GQ28" s="148"/>
      <c r="GR28" s="148"/>
      <c r="GS28" s="148"/>
      <c r="GT28" s="148"/>
      <c r="GU28" s="148"/>
      <c r="GV28" s="148"/>
      <c r="GW28" s="148"/>
      <c r="GX28" s="148"/>
      <c r="GY28" s="148"/>
      <c r="GZ28" s="148"/>
      <c r="HA28" s="148"/>
      <c r="HB28" s="148"/>
      <c r="HC28" s="148"/>
      <c r="HD28" s="148"/>
      <c r="HE28" s="148"/>
    </row>
    <row r="29" spans="3:213" s="70" customFormat="1">
      <c r="C29" s="166"/>
      <c r="D29" s="158" t="s">
        <v>679</v>
      </c>
      <c r="E29" s="159" t="str">
        <f>H52</f>
        <v>255</v>
      </c>
      <c r="F29" s="152"/>
      <c r="G29" s="167"/>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c r="CG29" s="148"/>
      <c r="CH29" s="148"/>
      <c r="CI29" s="148"/>
      <c r="CJ29" s="148"/>
      <c r="CK29" s="148"/>
      <c r="CL29" s="148"/>
      <c r="CM29" s="148"/>
      <c r="CN29" s="148"/>
      <c r="CO29" s="148"/>
      <c r="CP29" s="148"/>
      <c r="CQ29" s="148"/>
      <c r="CR29" s="148"/>
      <c r="CS29" s="148"/>
      <c r="CT29" s="148"/>
      <c r="CU29" s="148"/>
      <c r="CV29" s="148"/>
      <c r="CW29" s="148"/>
      <c r="CX29" s="148"/>
      <c r="CY29" s="148"/>
      <c r="CZ29" s="148"/>
      <c r="DA29" s="148"/>
      <c r="DB29" s="148"/>
      <c r="DC29" s="148"/>
      <c r="DD29" s="148"/>
      <c r="DE29" s="148"/>
      <c r="DF29" s="148"/>
      <c r="DG29" s="148"/>
      <c r="DH29" s="148"/>
      <c r="DI29" s="148"/>
      <c r="DJ29" s="148"/>
      <c r="DK29" s="148"/>
      <c r="DL29" s="148"/>
      <c r="DM29" s="148"/>
      <c r="DN29" s="148"/>
      <c r="DO29" s="148"/>
      <c r="DP29" s="148"/>
      <c r="DQ29" s="148"/>
      <c r="DR29" s="148"/>
      <c r="DS29" s="148"/>
      <c r="DT29" s="148"/>
      <c r="DU29" s="148"/>
      <c r="DV29" s="148"/>
      <c r="DW29" s="148"/>
      <c r="DX29" s="148"/>
      <c r="DY29" s="148"/>
      <c r="DZ29" s="148"/>
      <c r="EA29" s="148"/>
      <c r="EB29" s="148"/>
      <c r="EC29" s="148"/>
      <c r="ED29" s="148"/>
      <c r="EE29" s="148"/>
      <c r="EF29" s="148"/>
      <c r="EG29" s="148"/>
      <c r="EH29" s="148"/>
      <c r="EI29" s="148"/>
      <c r="EJ29" s="148"/>
      <c r="EK29" s="148"/>
      <c r="EL29" s="148"/>
      <c r="EM29" s="148"/>
      <c r="EN29" s="148"/>
      <c r="EO29" s="148"/>
      <c r="EP29" s="148"/>
      <c r="EQ29" s="148"/>
      <c r="ER29" s="148"/>
      <c r="ES29" s="148"/>
      <c r="ET29" s="148"/>
      <c r="EU29" s="148"/>
      <c r="EV29" s="148"/>
      <c r="EW29" s="148"/>
      <c r="EX29" s="148"/>
      <c r="EY29" s="148"/>
      <c r="EZ29" s="148"/>
      <c r="FA29" s="148"/>
      <c r="FB29" s="148"/>
      <c r="FC29" s="148"/>
      <c r="FD29" s="148"/>
      <c r="FE29" s="148"/>
      <c r="FF29" s="148"/>
      <c r="FG29" s="148"/>
      <c r="FH29" s="148"/>
      <c r="FI29" s="148"/>
      <c r="FJ29" s="148"/>
      <c r="FK29" s="148"/>
      <c r="FL29" s="148"/>
      <c r="FM29" s="148"/>
      <c r="FN29" s="148"/>
      <c r="FO29" s="148"/>
      <c r="FP29" s="148"/>
      <c r="FQ29" s="148"/>
      <c r="FR29" s="148"/>
      <c r="FS29" s="148"/>
      <c r="FT29" s="148"/>
      <c r="FU29" s="148"/>
      <c r="FV29" s="148"/>
      <c r="FW29" s="148"/>
      <c r="FX29" s="148"/>
      <c r="FY29" s="148"/>
      <c r="FZ29" s="148"/>
      <c r="GA29" s="148"/>
      <c r="GB29" s="148"/>
      <c r="GC29" s="148"/>
      <c r="GD29" s="148"/>
      <c r="GE29" s="148"/>
      <c r="GF29" s="148"/>
      <c r="GG29" s="148"/>
      <c r="GH29" s="148"/>
      <c r="GI29" s="148"/>
      <c r="GJ29" s="148"/>
      <c r="GK29" s="148"/>
      <c r="GL29" s="148"/>
      <c r="GM29" s="148"/>
      <c r="GN29" s="148"/>
      <c r="GO29" s="148"/>
      <c r="GP29" s="148"/>
      <c r="GQ29" s="148"/>
      <c r="GR29" s="148"/>
      <c r="GS29" s="148"/>
      <c r="GT29" s="148"/>
      <c r="GU29" s="148"/>
      <c r="GV29" s="148"/>
      <c r="GW29" s="148"/>
      <c r="GX29" s="148"/>
      <c r="GY29" s="148"/>
      <c r="GZ29" s="148"/>
      <c r="HA29" s="148"/>
      <c r="HB29" s="148"/>
      <c r="HC29" s="148"/>
      <c r="HD29" s="148"/>
      <c r="HE29" s="148"/>
    </row>
    <row r="30" spans="3:213" s="70" customFormat="1" ht="15.75" thickBot="1">
      <c r="C30" s="166"/>
      <c r="D30" s="160" t="s">
        <v>796</v>
      </c>
      <c r="E30" s="181">
        <f>E23/1000</f>
        <v>848.51871493526448</v>
      </c>
      <c r="F30" s="152"/>
      <c r="G30" s="167"/>
      <c r="H30" s="148"/>
      <c r="I30" s="148"/>
      <c r="J30" s="148">
        <f>IF(E35="704288CPP_5",2000000,E23/1000)</f>
        <v>848.51871493526448</v>
      </c>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c r="CH30" s="148"/>
      <c r="CI30" s="148"/>
      <c r="CJ30" s="148"/>
      <c r="CK30" s="148"/>
      <c r="CL30" s="148"/>
      <c r="CM30" s="148"/>
      <c r="CN30" s="148"/>
      <c r="CO30" s="148"/>
      <c r="CP30" s="148"/>
      <c r="CQ30" s="148"/>
      <c r="CR30" s="148"/>
      <c r="CS30" s="148"/>
      <c r="CT30" s="148"/>
      <c r="CU30" s="148"/>
      <c r="CV30" s="148"/>
      <c r="CW30" s="148"/>
      <c r="CX30" s="148"/>
      <c r="CY30" s="148"/>
      <c r="CZ30" s="148"/>
      <c r="DA30" s="148"/>
      <c r="DB30" s="148"/>
      <c r="DC30" s="148"/>
      <c r="DD30" s="148"/>
      <c r="DE30" s="148"/>
      <c r="DF30" s="148"/>
      <c r="DG30" s="148"/>
      <c r="DH30" s="148"/>
      <c r="DI30" s="148"/>
      <c r="DJ30" s="148"/>
      <c r="DK30" s="148"/>
      <c r="DL30" s="148"/>
      <c r="DM30" s="148"/>
      <c r="DN30" s="148"/>
      <c r="DO30" s="148"/>
      <c r="DP30" s="148"/>
      <c r="DQ30" s="148"/>
      <c r="DR30" s="148"/>
      <c r="DS30" s="148"/>
      <c r="DT30" s="148"/>
      <c r="DU30" s="148"/>
      <c r="DV30" s="148"/>
      <c r="DW30" s="148"/>
      <c r="DX30" s="148"/>
      <c r="DY30" s="148"/>
      <c r="DZ30" s="148"/>
      <c r="EA30" s="148"/>
      <c r="EB30" s="148"/>
      <c r="EC30" s="148"/>
      <c r="ED30" s="148"/>
      <c r="EE30" s="148"/>
      <c r="EF30" s="148"/>
      <c r="EG30" s="148"/>
      <c r="EH30" s="148"/>
      <c r="EI30" s="148"/>
      <c r="EJ30" s="148"/>
      <c r="EK30" s="148"/>
      <c r="EL30" s="148"/>
      <c r="EM30" s="148"/>
      <c r="EN30" s="148"/>
      <c r="EO30" s="148"/>
      <c r="EP30" s="148"/>
      <c r="EQ30" s="148"/>
      <c r="ER30" s="148"/>
      <c r="ES30" s="148"/>
      <c r="ET30" s="148"/>
      <c r="EU30" s="148"/>
      <c r="EV30" s="148"/>
      <c r="EW30" s="148"/>
      <c r="EX30" s="148"/>
      <c r="EY30" s="148"/>
      <c r="EZ30" s="148"/>
      <c r="FA30" s="148"/>
      <c r="FB30" s="148"/>
      <c r="FC30" s="148"/>
      <c r="FD30" s="148"/>
      <c r="FE30" s="148"/>
      <c r="FF30" s="148"/>
      <c r="FG30" s="148"/>
      <c r="FH30" s="148"/>
      <c r="FI30" s="148"/>
      <c r="FJ30" s="148"/>
      <c r="FK30" s="148"/>
      <c r="FL30" s="148"/>
      <c r="FM30" s="148"/>
      <c r="FN30" s="148"/>
      <c r="FO30" s="148"/>
      <c r="FP30" s="148"/>
      <c r="FQ30" s="148"/>
      <c r="FR30" s="148"/>
      <c r="FS30" s="148"/>
      <c r="FT30" s="148"/>
      <c r="FU30" s="148"/>
      <c r="FV30" s="148"/>
      <c r="FW30" s="148"/>
      <c r="FX30" s="148"/>
      <c r="FY30" s="148"/>
      <c r="FZ30" s="148"/>
      <c r="GA30" s="148"/>
      <c r="GB30" s="148"/>
      <c r="GC30" s="148"/>
      <c r="GD30" s="148"/>
      <c r="GE30" s="148"/>
      <c r="GF30" s="148"/>
      <c r="GG30" s="148"/>
      <c r="GH30" s="148"/>
      <c r="GI30" s="148"/>
      <c r="GJ30" s="148"/>
      <c r="GK30" s="148"/>
      <c r="GL30" s="148"/>
      <c r="GM30" s="148"/>
      <c r="GN30" s="148"/>
      <c r="GO30" s="148"/>
      <c r="GP30" s="148"/>
      <c r="GQ30" s="148"/>
      <c r="GR30" s="148"/>
      <c r="GS30" s="148"/>
      <c r="GT30" s="148"/>
      <c r="GU30" s="148"/>
      <c r="GV30" s="148"/>
      <c r="GW30" s="148"/>
      <c r="GX30" s="148"/>
      <c r="GY30" s="148"/>
      <c r="GZ30" s="148"/>
      <c r="HA30" s="148"/>
      <c r="HB30" s="148"/>
      <c r="HC30" s="148"/>
      <c r="HD30" s="148"/>
      <c r="HE30" s="148"/>
    </row>
    <row r="31" spans="3:213" s="70" customFormat="1" ht="15.75" thickBot="1">
      <c r="C31" s="168"/>
      <c r="D31" s="169"/>
      <c r="E31" s="170"/>
      <c r="F31" s="171"/>
      <c r="G31" s="172"/>
      <c r="H31" s="148"/>
      <c r="I31" s="148"/>
      <c r="J31" s="148">
        <f>IF(E46=1,E23*0.89,IF(E47=1,E23*0.89,HO52))</f>
        <v>212129.67873381611</v>
      </c>
      <c r="K31" s="148"/>
      <c r="L31" s="148"/>
      <c r="M31" s="148"/>
      <c r="N31" s="148"/>
      <c r="O31" s="148"/>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148"/>
      <c r="DG31" s="148"/>
      <c r="DH31" s="148"/>
      <c r="DI31" s="148"/>
      <c r="DJ31" s="148"/>
      <c r="DK31" s="148"/>
      <c r="DL31" s="148"/>
      <c r="DM31" s="148"/>
      <c r="DN31" s="148"/>
      <c r="DO31" s="148"/>
      <c r="DP31" s="148"/>
      <c r="DQ31" s="148"/>
      <c r="DR31" s="148"/>
      <c r="DS31" s="148"/>
      <c r="DT31" s="148"/>
      <c r="DU31" s="148"/>
      <c r="DV31" s="148"/>
      <c r="DW31" s="148"/>
      <c r="DX31" s="148"/>
      <c r="DY31" s="148"/>
      <c r="DZ31" s="148"/>
      <c r="EA31" s="148"/>
      <c r="EB31" s="148"/>
      <c r="EC31" s="148"/>
      <c r="ED31" s="148"/>
      <c r="EE31" s="148"/>
      <c r="EF31" s="148"/>
      <c r="EG31" s="148"/>
      <c r="EH31" s="148"/>
      <c r="EI31" s="148"/>
      <c r="EJ31" s="148"/>
      <c r="EK31" s="148"/>
      <c r="EL31" s="148"/>
      <c r="EM31" s="148"/>
      <c r="EN31" s="148"/>
      <c r="EO31" s="148"/>
      <c r="EP31" s="148"/>
      <c r="EQ31" s="148"/>
      <c r="ER31" s="148"/>
      <c r="ES31" s="148"/>
      <c r="ET31" s="148"/>
      <c r="EU31" s="148"/>
      <c r="EV31" s="148"/>
      <c r="EW31" s="148"/>
      <c r="EX31" s="148"/>
      <c r="EY31" s="148"/>
      <c r="EZ31" s="148"/>
      <c r="FA31" s="148"/>
      <c r="FB31" s="148"/>
      <c r="FC31" s="148"/>
      <c r="FD31" s="148"/>
      <c r="FE31" s="148"/>
      <c r="FF31" s="148"/>
      <c r="FG31" s="148"/>
      <c r="FH31" s="148"/>
      <c r="FI31" s="148"/>
      <c r="FJ31" s="148"/>
      <c r="FK31" s="148"/>
      <c r="FL31" s="148"/>
      <c r="FM31" s="148"/>
      <c r="FN31" s="148"/>
      <c r="FO31" s="148"/>
      <c r="FP31" s="148"/>
      <c r="FQ31" s="148"/>
      <c r="FR31" s="148"/>
      <c r="FS31" s="148"/>
      <c r="FT31" s="148"/>
      <c r="FU31" s="148"/>
      <c r="FV31" s="148"/>
      <c r="FW31" s="148"/>
      <c r="FX31" s="148"/>
      <c r="FY31" s="148"/>
      <c r="FZ31" s="148"/>
      <c r="GA31" s="148"/>
      <c r="GB31" s="148"/>
      <c r="GC31" s="148"/>
      <c r="GD31" s="148"/>
      <c r="GE31" s="148"/>
      <c r="GF31" s="148"/>
      <c r="GG31" s="148"/>
      <c r="GH31" s="148"/>
      <c r="GI31" s="148"/>
      <c r="GJ31" s="148"/>
      <c r="GK31" s="148"/>
      <c r="GL31" s="148"/>
      <c r="GM31" s="148"/>
      <c r="GN31" s="148"/>
      <c r="GO31" s="148"/>
      <c r="GP31" s="148"/>
      <c r="GQ31" s="148"/>
      <c r="GR31" s="148"/>
      <c r="GS31" s="148"/>
      <c r="GT31" s="148"/>
      <c r="GU31" s="148"/>
      <c r="GV31" s="148"/>
      <c r="GW31" s="148"/>
      <c r="GX31" s="148"/>
      <c r="GY31" s="148"/>
      <c r="GZ31" s="148"/>
      <c r="HA31" s="148"/>
      <c r="HB31" s="148"/>
      <c r="HC31" s="148"/>
      <c r="HD31" s="148"/>
      <c r="HE31" s="148"/>
    </row>
    <row r="32" spans="3:213" ht="15.75" hidden="1" customHeight="1">
      <c r="D32" s="57" t="s">
        <v>772</v>
      </c>
      <c r="E32" s="57" t="str">
        <f>VLOOKUP(E15,F86:G95,2,FALSE)</f>
        <v>mediumbitrate optimized</v>
      </c>
    </row>
    <row r="33" spans="4:10" hidden="1">
      <c r="D33" s="57" t="s">
        <v>773</v>
      </c>
      <c r="E33" s="57" t="str">
        <f>E16</f>
        <v>CPP_7_3</v>
      </c>
      <c r="J33" s="57">
        <f>IF(E46=1,E23*0.89,IF(E47=1,E23*0.89,HO52))</f>
        <v>212129.67873381611</v>
      </c>
    </row>
    <row r="34" spans="4:10" hidden="1">
      <c r="D34" s="57" t="s">
        <v>774</v>
      </c>
      <c r="E34" s="57" t="str">
        <f>IF(E49=1,VLOOKUP(E48,A169:I228,9,FALSE),VLOOKUP(E18,L80:M85,2,FALSE))</f>
        <v>768432</v>
      </c>
      <c r="G34" s="183" t="str">
        <f>IF(E49=1,VLOOKUP(E48,A169:I228,9,FALSE),VLOOKUP(E18,L80:M85,2,FALSE))</f>
        <v>768432</v>
      </c>
    </row>
    <row r="35" spans="4:10" hidden="1">
      <c r="D35" s="57" t="s">
        <v>775</v>
      </c>
      <c r="E35" s="57" t="str">
        <f>E34&amp;E33</f>
        <v>768432CPP_7_3</v>
      </c>
    </row>
    <row r="36" spans="4:10" hidden="1">
      <c r="D36" s="57" t="s">
        <v>776</v>
      </c>
      <c r="E36" s="57">
        <f>COUNTIF(G97:G133,E35)</f>
        <v>1</v>
      </c>
    </row>
    <row r="37" spans="4:10" hidden="1">
      <c r="D37" s="57" t="s">
        <v>777</v>
      </c>
      <c r="E37" s="57" t="str">
        <f>E19&amp;E34&amp;E33</f>
        <v>30768432CPP_7_3</v>
      </c>
    </row>
    <row r="38" spans="4:10" hidden="1">
      <c r="D38" s="57" t="s">
        <v>782</v>
      </c>
      <c r="E38" s="57" t="str">
        <f>VLOOKUP(E15,F86:I95,3,FALSE)</f>
        <v>medium</v>
      </c>
    </row>
    <row r="39" spans="4:10" hidden="1">
      <c r="D39" s="57" t="s">
        <v>783</v>
      </c>
      <c r="E39" s="57" t="str">
        <f>VLOOKUP(E15,F86:I95,4,FALSE)</f>
        <v>bitrate optimized</v>
      </c>
    </row>
    <row r="40" spans="4:10" hidden="1">
      <c r="D40" s="57" t="s">
        <v>834</v>
      </c>
      <c r="E40" s="57">
        <f>IF(E49=1,VLOOKUP(E48,A169:I228,5,FALSE),VLOOKUP(E18,L80:O85,3,FALSE))</f>
        <v>768</v>
      </c>
    </row>
    <row r="41" spans="4:10" hidden="1">
      <c r="D41" s="57" t="s">
        <v>835</v>
      </c>
      <c r="E41" s="57">
        <f>IF(E49=1,VLOOKUP(E48,A169:I228,6,FALSE),VLOOKUP(E18,L80:O85,4,FALSE))</f>
        <v>432</v>
      </c>
    </row>
    <row r="42" spans="4:10" hidden="1">
      <c r="D42" s="57" t="s">
        <v>833</v>
      </c>
      <c r="E42" s="57">
        <f>IF(E16="CPP_7_3",1,0)</f>
        <v>1</v>
      </c>
    </row>
    <row r="43" spans="4:10" hidden="1">
      <c r="D43" s="57" t="s">
        <v>832</v>
      </c>
      <c r="E43" s="57" t="str">
        <f>E16&amp;E17</f>
        <v>CPP_7_3h_264</v>
      </c>
    </row>
    <row r="44" spans="4:10" hidden="1">
      <c r="D44" s="57" t="s">
        <v>793</v>
      </c>
      <c r="E44" s="57">
        <f>COUNTIF(H158:H164,E43)</f>
        <v>1</v>
      </c>
    </row>
    <row r="45" spans="4:10" hidden="1">
      <c r="D45" s="57" t="s">
        <v>798</v>
      </c>
      <c r="E45" s="57">
        <f>COUNTIF(G136:G151,E37)</f>
        <v>0</v>
      </c>
      <c r="G45" s="57" t="str">
        <f>IF(E45="1"&amp;E33="CPP4",12,"not supported")</f>
        <v>not supported</v>
      </c>
    </row>
    <row r="46" spans="4:10" hidden="1">
      <c r="D46" s="57" t="s">
        <v>840</v>
      </c>
      <c r="E46" s="57">
        <f>IF(AND(E21=E23,HS52="OFF"),1,0)</f>
        <v>0</v>
      </c>
      <c r="G46" s="57">
        <f>IF(AND(E21=E23&gt;0.9,HS52="OFF"),1,0)</f>
        <v>0</v>
      </c>
      <c r="H46" s="57">
        <f>IF(E21=E23,1,0)</f>
        <v>0</v>
      </c>
    </row>
    <row r="47" spans="4:10" hidden="1">
      <c r="D47" s="57" t="s">
        <v>829</v>
      </c>
      <c r="E47" s="57">
        <f>IF(AND(E21/E23&gt;0.9,HS52="OFF"),1,0)</f>
        <v>0</v>
      </c>
      <c r="G47" s="57">
        <f>IF(AND(E21/E23&gt;0.9,HS52="OFF"),1,0)</f>
        <v>0</v>
      </c>
    </row>
    <row r="48" spans="4:10" hidden="1">
      <c r="D48" s="57" t="s">
        <v>836</v>
      </c>
      <c r="E48" s="57" t="str">
        <f>E15&amp;E16&amp;E18</f>
        <v>bitrate optimized standardCPP_7_3SD</v>
      </c>
    </row>
    <row r="49" spans="3:228" hidden="1">
      <c r="D49" s="57" t="s">
        <v>837</v>
      </c>
      <c r="E49" s="57">
        <f>COUNTIF(A169:A228,E48)</f>
        <v>1</v>
      </c>
    </row>
    <row r="50" spans="3:228" hidden="1">
      <c r="J50" s="57">
        <f>IF(AND(E19=30,OR(E48="balanced standardCPP_5SD",E48="balanced busyCPP_5SD",E48="image optimized quietCPP_5SD",E48="image optimized standardCPP_5SD",E48="image optimized busyCPP_5SD")),1,0)</f>
        <v>0</v>
      </c>
    </row>
    <row r="51" spans="3:228" ht="15.75" hidden="1" thickBot="1">
      <c r="C51" s="75" t="s">
        <v>686</v>
      </c>
      <c r="D51" s="74" t="s">
        <v>685</v>
      </c>
      <c r="E51" s="74" t="s">
        <v>684</v>
      </c>
      <c r="F51" s="74" t="s">
        <v>681</v>
      </c>
      <c r="G51" s="74" t="s">
        <v>680</v>
      </c>
      <c r="H51" s="74" t="s">
        <v>679</v>
      </c>
      <c r="I51" s="74" t="s">
        <v>678</v>
      </c>
      <c r="J51" s="74" t="s">
        <v>618</v>
      </c>
      <c r="K51" s="74" t="s">
        <v>677</v>
      </c>
      <c r="L51" s="74" t="s">
        <v>676</v>
      </c>
      <c r="M51" s="73" t="s">
        <v>598</v>
      </c>
      <c r="O51" s="75" t="s">
        <v>683</v>
      </c>
      <c r="P51" s="73" t="s">
        <v>682</v>
      </c>
      <c r="Q51" s="76"/>
      <c r="R51" s="75" t="s">
        <v>681</v>
      </c>
      <c r="S51" s="74" t="s">
        <v>680</v>
      </c>
      <c r="T51" s="74" t="s">
        <v>679</v>
      </c>
      <c r="U51" s="74" t="s">
        <v>678</v>
      </c>
      <c r="V51" s="74" t="s">
        <v>618</v>
      </c>
      <c r="W51" s="74" t="s">
        <v>677</v>
      </c>
      <c r="X51" s="74" t="s">
        <v>676</v>
      </c>
      <c r="Y51" s="74" t="s">
        <v>598</v>
      </c>
      <c r="Z51" s="73" t="s">
        <v>675</v>
      </c>
      <c r="AA51" s="68"/>
      <c r="AB51" s="57" t="s">
        <v>674</v>
      </c>
      <c r="AC51" s="57" t="s">
        <v>661</v>
      </c>
      <c r="AD51" s="57" t="s">
        <v>662</v>
      </c>
      <c r="AE51" s="57" t="s">
        <v>673</v>
      </c>
      <c r="AF51" s="57" t="s">
        <v>672</v>
      </c>
      <c r="AG51" s="57" t="s">
        <v>671</v>
      </c>
      <c r="AH51" s="57" t="s">
        <v>670</v>
      </c>
      <c r="AI51" s="57" t="s">
        <v>669</v>
      </c>
      <c r="AJ51" s="57" t="s">
        <v>661</v>
      </c>
      <c r="AK51" s="57" t="s">
        <v>660</v>
      </c>
      <c r="AL51" s="57" t="s">
        <v>659</v>
      </c>
      <c r="AM51" s="57" t="s">
        <v>668</v>
      </c>
      <c r="AN51" s="57" t="s">
        <v>667</v>
      </c>
      <c r="AO51" s="57" t="s">
        <v>661</v>
      </c>
      <c r="AP51" s="57" t="s">
        <v>661</v>
      </c>
      <c r="AQ51" s="57" t="s">
        <v>664</v>
      </c>
      <c r="AR51" s="57" t="s">
        <v>663</v>
      </c>
      <c r="AS51" s="57" t="s">
        <v>662</v>
      </c>
      <c r="AT51" s="57" t="s">
        <v>658</v>
      </c>
      <c r="AU51" s="57" t="s">
        <v>661</v>
      </c>
      <c r="AV51" s="57" t="s">
        <v>660</v>
      </c>
      <c r="AW51" s="57" t="s">
        <v>659</v>
      </c>
      <c r="AX51" s="57" t="s">
        <v>658</v>
      </c>
      <c r="AY51" s="59" t="s">
        <v>666</v>
      </c>
      <c r="AZ51" s="57" t="s">
        <v>665</v>
      </c>
      <c r="BA51" s="57" t="s">
        <v>661</v>
      </c>
      <c r="BB51" s="57" t="s">
        <v>661</v>
      </c>
      <c r="BC51" s="57" t="s">
        <v>664</v>
      </c>
      <c r="BD51" s="57" t="s">
        <v>663</v>
      </c>
      <c r="BE51" s="57" t="s">
        <v>662</v>
      </c>
      <c r="BF51" s="57" t="s">
        <v>658</v>
      </c>
      <c r="BG51" s="57" t="s">
        <v>661</v>
      </c>
      <c r="BH51" s="57" t="s">
        <v>660</v>
      </c>
      <c r="BI51" s="57" t="s">
        <v>659</v>
      </c>
      <c r="BJ51" s="57" t="s">
        <v>658</v>
      </c>
      <c r="BK51" s="59" t="s">
        <v>657</v>
      </c>
      <c r="BL51" s="58" t="s">
        <v>656</v>
      </c>
      <c r="BM51" s="58" t="s">
        <v>655</v>
      </c>
      <c r="BN51" s="57" t="s">
        <v>652</v>
      </c>
      <c r="BO51" s="57" t="s">
        <v>654</v>
      </c>
      <c r="BP51" s="57" t="s">
        <v>653</v>
      </c>
      <c r="BR51" s="57" t="s">
        <v>652</v>
      </c>
      <c r="BU51" s="75" t="s">
        <v>683</v>
      </c>
      <c r="BV51" s="73" t="s">
        <v>682</v>
      </c>
      <c r="BW51" s="76"/>
      <c r="BX51" s="75" t="s">
        <v>681</v>
      </c>
      <c r="BY51" s="74" t="s">
        <v>680</v>
      </c>
      <c r="BZ51" s="74" t="s">
        <v>679</v>
      </c>
      <c r="CA51" s="74" t="s">
        <v>678</v>
      </c>
      <c r="CB51" s="74" t="s">
        <v>618</v>
      </c>
      <c r="CC51" s="74" t="s">
        <v>677</v>
      </c>
      <c r="CD51" s="74" t="s">
        <v>676</v>
      </c>
      <c r="CE51" s="74" t="s">
        <v>598</v>
      </c>
      <c r="CF51" s="73" t="s">
        <v>675</v>
      </c>
      <c r="CG51" s="68"/>
      <c r="CH51" s="57" t="s">
        <v>674</v>
      </c>
      <c r="CI51" s="57" t="s">
        <v>661</v>
      </c>
      <c r="CJ51" s="57" t="s">
        <v>662</v>
      </c>
      <c r="CK51" s="57" t="s">
        <v>673</v>
      </c>
      <c r="CL51" s="57" t="s">
        <v>672</v>
      </c>
      <c r="CM51" s="57" t="s">
        <v>671</v>
      </c>
      <c r="CN51" s="57" t="s">
        <v>670</v>
      </c>
      <c r="CO51" s="57" t="s">
        <v>669</v>
      </c>
      <c r="CP51" s="57" t="s">
        <v>661</v>
      </c>
      <c r="CQ51" s="57" t="s">
        <v>660</v>
      </c>
      <c r="CR51" s="57" t="s">
        <v>659</v>
      </c>
      <c r="CS51" s="57" t="s">
        <v>668</v>
      </c>
      <c r="CT51" s="57" t="s">
        <v>667</v>
      </c>
      <c r="CU51" s="57" t="s">
        <v>661</v>
      </c>
      <c r="CV51" s="57" t="s">
        <v>661</v>
      </c>
      <c r="CW51" s="57" t="s">
        <v>664</v>
      </c>
      <c r="CX51" s="57" t="s">
        <v>663</v>
      </c>
      <c r="CY51" s="57" t="s">
        <v>662</v>
      </c>
      <c r="CZ51" s="57" t="s">
        <v>658</v>
      </c>
      <c r="DA51" s="57" t="s">
        <v>661</v>
      </c>
      <c r="DB51" s="57" t="s">
        <v>660</v>
      </c>
      <c r="DC51" s="57" t="s">
        <v>659</v>
      </c>
      <c r="DD51" s="57" t="s">
        <v>658</v>
      </c>
      <c r="DE51" s="59" t="s">
        <v>666</v>
      </c>
      <c r="DF51" s="57" t="s">
        <v>665</v>
      </c>
      <c r="DG51" s="57" t="s">
        <v>661</v>
      </c>
      <c r="DH51" s="57" t="s">
        <v>661</v>
      </c>
      <c r="DI51" s="57" t="s">
        <v>664</v>
      </c>
      <c r="DJ51" s="57" t="s">
        <v>663</v>
      </c>
      <c r="DK51" s="57" t="s">
        <v>662</v>
      </c>
      <c r="DL51" s="57" t="s">
        <v>658</v>
      </c>
      <c r="DM51" s="57" t="s">
        <v>661</v>
      </c>
      <c r="DN51" s="57" t="s">
        <v>660</v>
      </c>
      <c r="DO51" s="57" t="s">
        <v>659</v>
      </c>
      <c r="DP51" s="57" t="s">
        <v>658</v>
      </c>
      <c r="DQ51" s="59" t="s">
        <v>657</v>
      </c>
      <c r="DR51" s="58" t="s">
        <v>656</v>
      </c>
      <c r="DS51" s="58" t="s">
        <v>655</v>
      </c>
      <c r="DT51" s="57" t="s">
        <v>652</v>
      </c>
      <c r="DU51" s="57" t="s">
        <v>654</v>
      </c>
      <c r="DV51" s="57" t="s">
        <v>653</v>
      </c>
      <c r="DX51" s="57" t="s">
        <v>652</v>
      </c>
      <c r="EA51" s="75" t="s">
        <v>683</v>
      </c>
      <c r="EB51" s="73" t="s">
        <v>682</v>
      </c>
      <c r="EC51" s="76"/>
      <c r="ED51" s="75" t="s">
        <v>681</v>
      </c>
      <c r="EE51" s="74" t="s">
        <v>680</v>
      </c>
      <c r="EF51" s="74" t="s">
        <v>679</v>
      </c>
      <c r="EG51" s="74" t="s">
        <v>678</v>
      </c>
      <c r="EH51" s="74" t="s">
        <v>618</v>
      </c>
      <c r="EI51" s="74" t="s">
        <v>677</v>
      </c>
      <c r="EJ51" s="74" t="s">
        <v>676</v>
      </c>
      <c r="EK51" s="74" t="s">
        <v>598</v>
      </c>
      <c r="EL51" s="73" t="s">
        <v>675</v>
      </c>
      <c r="EM51" s="68"/>
      <c r="EN51" s="57" t="s">
        <v>674</v>
      </c>
      <c r="EO51" s="57" t="s">
        <v>661</v>
      </c>
      <c r="EP51" s="57" t="s">
        <v>662</v>
      </c>
      <c r="EQ51" s="57" t="s">
        <v>673</v>
      </c>
      <c r="ER51" s="57" t="s">
        <v>672</v>
      </c>
      <c r="ES51" s="57" t="s">
        <v>671</v>
      </c>
      <c r="ET51" s="57" t="s">
        <v>670</v>
      </c>
      <c r="EU51" s="57" t="s">
        <v>669</v>
      </c>
      <c r="EV51" s="57" t="s">
        <v>661</v>
      </c>
      <c r="EW51" s="57" t="s">
        <v>660</v>
      </c>
      <c r="EX51" s="57" t="s">
        <v>659</v>
      </c>
      <c r="EY51" s="57" t="s">
        <v>668</v>
      </c>
      <c r="EZ51" s="57" t="s">
        <v>667</v>
      </c>
      <c r="FA51" s="57" t="s">
        <v>661</v>
      </c>
      <c r="FB51" s="57" t="s">
        <v>661</v>
      </c>
      <c r="FC51" s="57" t="s">
        <v>664</v>
      </c>
      <c r="FD51" s="57" t="s">
        <v>663</v>
      </c>
      <c r="FE51" s="57" t="s">
        <v>662</v>
      </c>
      <c r="FF51" s="57" t="s">
        <v>658</v>
      </c>
      <c r="FG51" s="57" t="s">
        <v>661</v>
      </c>
      <c r="FH51" s="57" t="s">
        <v>660</v>
      </c>
      <c r="FI51" s="57" t="s">
        <v>659</v>
      </c>
      <c r="FJ51" s="57" t="s">
        <v>658</v>
      </c>
      <c r="FK51" s="59" t="s">
        <v>666</v>
      </c>
      <c r="FL51" s="57" t="s">
        <v>665</v>
      </c>
      <c r="FM51" s="57" t="s">
        <v>661</v>
      </c>
      <c r="FN51" s="57" t="s">
        <v>661</v>
      </c>
      <c r="FO51" s="57" t="s">
        <v>664</v>
      </c>
      <c r="FP51" s="57" t="s">
        <v>663</v>
      </c>
      <c r="FQ51" s="57" t="s">
        <v>662</v>
      </c>
      <c r="FR51" s="57" t="s">
        <v>658</v>
      </c>
      <c r="FS51" s="57" t="s">
        <v>661</v>
      </c>
      <c r="FT51" s="57" t="s">
        <v>660</v>
      </c>
      <c r="FU51" s="57" t="s">
        <v>659</v>
      </c>
      <c r="FV51" s="57" t="s">
        <v>658</v>
      </c>
      <c r="FW51" s="59" t="s">
        <v>657</v>
      </c>
      <c r="FX51" s="58" t="s">
        <v>656</v>
      </c>
      <c r="FY51" s="58" t="s">
        <v>655</v>
      </c>
      <c r="FZ51" s="57" t="s">
        <v>652</v>
      </c>
      <c r="GA51" s="57" t="s">
        <v>654</v>
      </c>
      <c r="GB51" s="57" t="s">
        <v>653</v>
      </c>
      <c r="GD51" s="57" t="s">
        <v>652</v>
      </c>
      <c r="GG51" s="76" t="s">
        <v>651</v>
      </c>
      <c r="GH51" s="76" t="s">
        <v>650</v>
      </c>
      <c r="GI51" s="76" t="s">
        <v>649</v>
      </c>
      <c r="GK51" s="76" t="s">
        <v>648</v>
      </c>
      <c r="GM51" s="76" t="s">
        <v>647</v>
      </c>
      <c r="GO51" s="76" t="s">
        <v>646</v>
      </c>
      <c r="GR51" s="75" t="s">
        <v>645</v>
      </c>
      <c r="GU51" s="75" t="s">
        <v>644</v>
      </c>
      <c r="GW51" s="72" t="s">
        <v>643</v>
      </c>
      <c r="GY51" s="72" t="s">
        <v>642</v>
      </c>
      <c r="GZ51" s="72" t="s">
        <v>641</v>
      </c>
      <c r="HA51" s="72" t="s">
        <v>640</v>
      </c>
      <c r="HD51" s="75" t="s">
        <v>639</v>
      </c>
      <c r="HE51" s="73"/>
      <c r="HG51" s="75" t="s">
        <v>638</v>
      </c>
      <c r="HH51" s="74" t="s">
        <v>263</v>
      </c>
      <c r="HI51" s="74"/>
      <c r="HJ51" s="74" t="s">
        <v>637</v>
      </c>
      <c r="HK51" s="74"/>
      <c r="HL51" s="74" t="s">
        <v>636</v>
      </c>
      <c r="HM51" s="73" t="s">
        <v>635</v>
      </c>
      <c r="HO51" s="75" t="s">
        <v>263</v>
      </c>
      <c r="HP51" s="74"/>
      <c r="HQ51" s="74" t="s">
        <v>637</v>
      </c>
      <c r="HR51" s="74"/>
      <c r="HS51" s="74" t="s">
        <v>636</v>
      </c>
      <c r="HT51" s="73" t="s">
        <v>635</v>
      </c>
    </row>
    <row r="52" spans="3:228" hidden="1">
      <c r="C52" s="70" t="str">
        <f>E38</f>
        <v>medium</v>
      </c>
      <c r="D52" s="60" t="str">
        <f>E39</f>
        <v>bitrate optimized</v>
      </c>
      <c r="E52" s="60"/>
      <c r="F52" s="60" t="s">
        <v>632</v>
      </c>
      <c r="G52" s="69" t="str">
        <f>IF(D52="bitrate optimized","IBBP",IF(D52="balanced","IBP",IF(D52="image optimized","IP",IF(D52="balancedPTZ","IP","Error"))))</f>
        <v>IBBP</v>
      </c>
      <c r="H52" s="60" t="str">
        <f>IF(D52="bitrate optimized","255",IF(D52="balanced","60",IF(D52="image optimized","30",IF(D52="balancedPTZ","255","Error"))))</f>
        <v>255</v>
      </c>
      <c r="I52" s="60">
        <f>E19</f>
        <v>30</v>
      </c>
      <c r="J52" s="60">
        <f>E40</f>
        <v>768</v>
      </c>
      <c r="K52" s="60">
        <f>E41</f>
        <v>432</v>
      </c>
      <c r="L52" s="60" t="str">
        <f>E17</f>
        <v>h_264</v>
      </c>
      <c r="M52" s="60" t="str">
        <f>E16</f>
        <v>CPP_7_3</v>
      </c>
      <c r="O52" s="68" t="str">
        <f>IF(C52=DataBase!$J$49,DataBase!$K$49,IF(C52=DataBase!$J$50,DataBase!$K$50,IF(C52=DataBase!$J$51,DataBase!$K$51,IF(C52=DataBase!$J$52,DataBase!$K$52))))</f>
        <v>static</v>
      </c>
      <c r="P52" s="57" t="str">
        <f>IF(D52="bitrate optimized","medium",IF(D52="balanced","medium",IF(D52="image optimized","high qual",IF(D52="balancedPTZ","medium","Error"))))</f>
        <v>medium</v>
      </c>
      <c r="Q52" s="68"/>
      <c r="R52" s="68" t="str">
        <f t="shared" ref="R52" si="0">$F52</f>
        <v>normale z.B. typische parkplatz Straßenszene</v>
      </c>
      <c r="S52" s="68" t="str">
        <f t="shared" ref="S52" si="1">$G52</f>
        <v>IBBP</v>
      </c>
      <c r="T52" s="68" t="str">
        <f t="shared" ref="T52" si="2">$H52</f>
        <v>255</v>
      </c>
      <c r="U52" s="68">
        <f t="shared" ref="U52" si="3">$I52</f>
        <v>30</v>
      </c>
      <c r="V52" s="68">
        <f t="shared" ref="V52" si="4">$J52</f>
        <v>768</v>
      </c>
      <c r="W52" s="68">
        <f t="shared" ref="W52" si="5">$K52</f>
        <v>432</v>
      </c>
      <c r="X52" s="68" t="str">
        <f t="shared" ref="X52" si="6">$L52</f>
        <v>h_264</v>
      </c>
      <c r="Y52" s="68" t="str">
        <f t="shared" ref="Y52" si="7">$M52</f>
        <v>CPP_7_3</v>
      </c>
      <c r="Z52" s="68">
        <f t="shared" ref="Z52" si="8">$E52</f>
        <v>0</v>
      </c>
      <c r="AB52" s="57">
        <f t="shared" ref="AB52" si="9">1/T52*U52</f>
        <v>0.11764705882352941</v>
      </c>
      <c r="AC52" s="57">
        <f>IF(R52=DataBase!$B$14,DataBase!$C$14,IF(R52=DataBase!$B$15,DataBase!$C$15,IF(R52=DataBase!$B$16,DataBase!$C$16)))</f>
        <v>300000</v>
      </c>
      <c r="AD52" s="57">
        <f>IF(P52=DataBase!$B$30,DataBase!$C$30,IF(P52=DataBase!$B$31,DataBase!$C$31,IF(P52=DataBase!$B$32,DataBase!$C$32,IF(P52=DataBase!$B$33,DataBase!$C$33,IF(P52=DataBase!$B$34,DataBase!$C$34)))))</f>
        <v>1</v>
      </c>
      <c r="AE52" s="57">
        <f t="shared" ref="AE52" si="10">AC52*AD52</f>
        <v>300000</v>
      </c>
      <c r="AF52" s="57">
        <f>IF(R52=DataBase!$B$14,DataBase!$G$14,IF(R52=DataBase!$B$15,DataBase!$G$15,IF(R52=DataBase!$B$16,DataBase!$G$16)))</f>
        <v>200</v>
      </c>
      <c r="AG52" s="57">
        <f>IF(Z52=DataBase!$K$20,1,IF(Z52=DataBase!$K$21,1,0))</f>
        <v>0</v>
      </c>
      <c r="AH52" s="57">
        <f>IF(Z52=DataBase!$K$20,DataBase!$M$20,IF(Z52=DataBase!$K$21,DataBase!$M$21,0))</f>
        <v>0</v>
      </c>
      <c r="AI52" s="57">
        <f t="shared" ref="AI52" si="11">IF(AG52=1,IF(AH52&lt;&gt;0,AH52,AF52),AF52)</f>
        <v>200</v>
      </c>
      <c r="AJ52" s="57">
        <f>IF(P52=DataBase!$B$30,DataBase!$H$30,IF(P52=DataBase!$B$31,DataBase!$H$31,IF(P52=DataBase!$B$32,DataBase!$H$32,IF(P52=DataBase!$B$33,DataBase!$H$33,IF(P52=DataBase!$B$34,DataBase!$H$34)))))</f>
        <v>1</v>
      </c>
      <c r="AK52" s="57">
        <f>IF(O52=DataBase!$B$21,DataBase!$G$21,IF(O52=DataBase!$B$22,DataBase!$G$22,IF(O52=DataBase!$B$23,DataBase!$G$23,IF(O52=DataBase!$B$24,DataBase!$G$24,IF(O52=DataBase!$B$25,DataBase!$G$25)))))</f>
        <v>1</v>
      </c>
      <c r="AL52" s="57">
        <f>IF(Y52=DataBase!$B$44,DataBase!$G$44,IF($F52=DataBase!$B$45,DataBase!$G$45,IF(Y52=DataBase!$B$46,DataBase!$G$46,IF(Y52=DataBase!$B$47,DataBase!$G$47,IF(Y52=DataBase!$B$48,DataBase!$G$48,IF(Y52=DataBase!$B$49,DataBase!$G$49))))))+AI52*AJ52*AK52</f>
        <v>200</v>
      </c>
      <c r="AM52" s="57">
        <f t="shared" ref="AM52" si="12">AL52+AE52*BL52</f>
        <v>360200</v>
      </c>
      <c r="AN52" s="57">
        <f>((T52-1)/T52)/IF(S52=DataBase!$B$8,DataBase!$C$8,IF(S52=DataBase!$B$9,DataBase!$C$9,IF(S52=DataBase!$B$10,DataBase!$C$10)))*U52</f>
        <v>9.9607843137254903</v>
      </c>
      <c r="AO52" s="57">
        <f>IF(R52=DataBase!$B$14,DataBase!$E$14,IF(R52=DataBase!$B$15,DataBase!$E$15,IF(R52=DataBase!$B$16,DataBase!$E$16)))</f>
        <v>125</v>
      </c>
      <c r="AP52" s="57">
        <f>IF(O52=DataBase!$B$21,DataBase!$E$21,IF(O52=DataBase!$B$22,DataBase!$E$22,IF(O52=DataBase!$B$23,DataBase!$E$23,IF(O52=DataBase!$B$24,DataBase!$E$24,IF(O52=DataBase!$B$25,DataBase!$E$25)))))</f>
        <v>0</v>
      </c>
      <c r="AQ52" s="57">
        <f>IF(S52=DataBase!$B$8,DataBase!$C$8,IF(S52=DataBase!$B$9,DataBase!$C$9,IF(S52=DataBase!$B$10,DataBase!$C$10)))</f>
        <v>3</v>
      </c>
      <c r="AR52" s="67">
        <f>POWER(U52/((DataBase!$F$5*AQ52)),DataBase!$E$52)*DataBase!$F$5*AQ52/U52</f>
        <v>1.4242910214581144</v>
      </c>
      <c r="AS52" s="57">
        <f>IF(P52=DataBase!$B$30,DataBase!$F$30,IF(P52=DataBase!$B$31,DataBase!$F$31,IF(P52=DataBase!$B$32,DataBase!$F$32,IF(P52=DataBase!$B$33,DataBase!$F$33,IF(P52=DataBase!$B$34,DataBase!$F$34)))))</f>
        <v>1</v>
      </c>
      <c r="AT52" s="57">
        <f t="shared" ref="AT52" si="13">AP52*AR52*AS52*BM52</f>
        <v>0</v>
      </c>
      <c r="AU52" s="57">
        <f>IF(R52=DataBase!$B$14,DataBase!$H$14,IF(R52=DataBase!$B$15,DataBase!$H$15,IF(R52=DataBase!$B$16,DataBase!$H$16)))*AI52</f>
        <v>100</v>
      </c>
      <c r="AV52" s="57">
        <f>IF(P52=DataBase!$B$30,DataBase!$H$30,IF(P52=DataBase!$B$31,DataBase!$H$31,IF(P52=DataBase!$B$32,DataBase!$H$32,IF(P52=DataBase!$B$33,DataBase!$H$33,IF(P52=DataBase!$B$34,DataBase!$H$34)))))</f>
        <v>1</v>
      </c>
      <c r="AW52" s="57">
        <f>IF(O52=DataBase!$B$21,DataBase!$G$21,IF(O52=DataBase!$B$22,DataBase!$G$22,IF(O52=DataBase!$B$23,DataBase!$G$23,IF(O52=DataBase!$B$24,DataBase!$G$24,IF(O52=DataBase!$B$25,DataBase!$G$25)))))</f>
        <v>1</v>
      </c>
      <c r="AX52" s="57">
        <f>AU52*AV52*AW52+IF(Y52=DataBase!$B$44,DataBase!$G$44,IF(Y52=DataBase!$B$45,DataBase!$G$45,IF(Y52=DataBase!$B$46,DataBase!$G$46,IF(Y52=DataBase!$B$47,DataBase!$G$47,IF(Y52=DataBase!$B$48,DataBase!$G$48,IF(Y52=DataBase!$B$49,DataBase!$G$49))))))</f>
        <v>100</v>
      </c>
      <c r="AY52" s="59">
        <f t="shared" ref="AY52" si="14">AO52+AT52+AX52</f>
        <v>225</v>
      </c>
      <c r="AZ52" s="57">
        <f>IF(S52=DataBase!$B$8,0,((T52-1)/T52)/IF(S52=DataBase!$B$9,2,IF(S52=DataBase!$B$10,3/2))*U52)</f>
        <v>19.921568627450981</v>
      </c>
      <c r="BA52" s="57">
        <f>IF(R52=DataBase!$B$14,DataBase!$F$14,IF(R52=DataBase!$B$15,DataBase!$F$15,IF(R52=DataBase!$B$16,DataBase!$F$16)))</f>
        <v>125</v>
      </c>
      <c r="BB52" s="57">
        <f>IF(O52=DataBase!$B$21,DataBase!$F$21,IF(O52=DataBase!$B$22,DataBase!$F$22,IF(O52=DataBase!$B$23,DataBase!$F$23,IF(O52=DataBase!$B$24,DataBase!$F$24,IF(O52=DataBase!$B$25,DataBase!$F$25)))))</f>
        <v>0</v>
      </c>
      <c r="BC52" s="57">
        <f>IF(S52=DataBase!$B$8,DataBase!$E$8,IF(S52=DataBase!$B$9,DataBase!$E$9,IF(S52=DataBase!$B$10,DataBase!$E$10)))</f>
        <v>2</v>
      </c>
      <c r="BD52" s="67">
        <f>IF(BC52=0,0,POWER(U52/((DataBase!$F$5*BC52)),DataBase!$E$52)*DataBase!$F$5*BC52/U52)</f>
        <v>1.25</v>
      </c>
      <c r="BE52" s="57">
        <f>IF(P52=DataBase!$B$30,DataBase!$G$30,IF(P52=DataBase!$B$31,DataBase!$G$31,IF(P52=DataBase!$B$32,DataBase!$G$32,IF(P52=DataBase!$B$33,DataBase!$G$33,IF(P52=DataBase!$B$34,DataBase!$G$34)))))</f>
        <v>1</v>
      </c>
      <c r="BF52" s="57">
        <f t="shared" ref="BF52" si="15">BB52*BD52*BE52*BM52</f>
        <v>0</v>
      </c>
      <c r="BG52" s="57">
        <f>IF(R52=DataBase!$B$14,DataBase!$J$14,IF(R52=DataBase!$B$15,DataBase!$J$15,IF(R52=DataBase!$B$16,DataBase!$J$16)))*AI52</f>
        <v>50</v>
      </c>
      <c r="BH52" s="57">
        <f>IF(P52=DataBase!$B$30,DataBase!$H$30,IF(P52=DataBase!$B$31,DataBase!$H$31,IF(P52=DataBase!$B$32,DataBase!$H$32,IF(P52=DataBase!$B$33,DataBase!$H$33,IF(P52=DataBase!$B$34,DataBase!$H$34)))))</f>
        <v>1</v>
      </c>
      <c r="BI52" s="57">
        <f>IF(O52=DataBase!$B$21,DataBase!$G$21,IF(O52=DataBase!$B$22,DataBase!$G$22,IF(O52=DataBase!$B$23,DataBase!$G$23,IF(O52=DataBase!$B$24,DataBase!$G$24,IF(O52=DataBase!$B$25,DataBase!$G$25)))))</f>
        <v>1</v>
      </c>
      <c r="BJ52" s="57">
        <f>BG52*BH52*BI52+IF(Y52=DataBase!$B$44,DataBase!$G$44,IF(Y52=DataBase!$B$45,DataBase!$G$45,IF(Y52=DataBase!$B$46,DataBase!$G$46,IF(Y52=DataBase!$B$47,DataBase!$G$47,IF(Y52=DataBase!$B$48,DataBase!$G$48,IF(Y52=DataBase!$B$49,DataBase!$G$49))))))</f>
        <v>50</v>
      </c>
      <c r="BK52" s="59">
        <f t="shared" ref="BK52" si="16">BA52+BF52+BJ52</f>
        <v>175</v>
      </c>
      <c r="BL52" s="58">
        <f>IF(Y52=DataBase!$B$44,DataBase!$C$44,IF(Y52=DataBase!$B$45,DataBase!$C$45,IF(Y52=DataBase!$B$46,DataBase!$C$46,IF(Y52=DataBase!$B$47,DataBase!$C$47,IF(Y52=DataBase!$B$48,DataBase!$C$48,IF(Y52=DataBase!$B$49,DataBase!$C$49))))))</f>
        <v>1.2</v>
      </c>
      <c r="BM52" s="58">
        <f>IF(Y52=DataBase!$B$44,DataBase!$D$44,IF(Y52=DataBase!$B$45,DataBase!$D$45,IF(Y52=DataBase!$B$46,DataBase!$D$46,IF(Y52=DataBase!$B$47,DataBase!$D$47,IF(Y52=DataBase!$B$48,DataBase!$D$48,IF(Y52=DataBase!$B$49,DataBase!$D$49))))))</f>
        <v>1.4</v>
      </c>
      <c r="BN52" s="57">
        <f t="shared" ref="BN52" si="17">BK52*8*AZ52+AY52*8*AN52+AM52*AB52*8</f>
        <v>384831.37254901964</v>
      </c>
      <c r="BO52" s="57">
        <f>POWER(((DataBase!$C$5*DataBase!$E$5)/(V52*W52)),DataBase!$E$53)</f>
        <v>0.21139572834201978</v>
      </c>
      <c r="BP52" s="57">
        <f>IF(X52=DataBase!$B$37,DataBase!$C$37,IF(X52=DataBase!$B$38,DataBase!$C$38))</f>
        <v>1</v>
      </c>
      <c r="BR52" s="66">
        <f t="shared" ref="BR52" si="18">BP52*BO52*BN52</f>
        <v>81351.708288859169</v>
      </c>
      <c r="BS52" s="57" t="s">
        <v>630</v>
      </c>
      <c r="BU52" s="68" t="str">
        <f>IF(C52=DataBase!$J$49,DataBase!$M$49,IF(C52=DataBase!$J$50,DataBase!$M$50,IF(C52=DataBase!$J$51,DataBase!$M$51,IF(C52=DataBase!$J$52,DataBase!$M$52))))</f>
        <v>standard</v>
      </c>
      <c r="BV52" s="57" t="str">
        <f>IF(D52=DataBase!$J$44,DataBase!$L$44,IF(D52=DataBase!$J$45,DataBase!$L$45,IF(D52=DataBase!$J$46,DataBase!$L$46,IF(D52=DataBase!$J$47,DataBase!$L$47))))</f>
        <v>medium</v>
      </c>
      <c r="BW52" s="68"/>
      <c r="BX52" s="68" t="str">
        <f t="shared" ref="BX52" si="19">$F52</f>
        <v>normale z.B. typische parkplatz Straßenszene</v>
      </c>
      <c r="BY52" s="68" t="str">
        <f t="shared" ref="BY52" si="20">$G52</f>
        <v>IBBP</v>
      </c>
      <c r="BZ52" s="68" t="str">
        <f t="shared" ref="BZ52" si="21">$H52</f>
        <v>255</v>
      </c>
      <c r="CA52" s="68">
        <f t="shared" ref="CA52" si="22">$I52</f>
        <v>30</v>
      </c>
      <c r="CB52" s="68">
        <f t="shared" ref="CB52" si="23">$J52</f>
        <v>768</v>
      </c>
      <c r="CC52" s="68">
        <f t="shared" ref="CC52" si="24">$K52</f>
        <v>432</v>
      </c>
      <c r="CD52" s="68" t="str">
        <f t="shared" ref="CD52" si="25">$L52</f>
        <v>h_264</v>
      </c>
      <c r="CE52" s="68" t="str">
        <f t="shared" ref="CE52" si="26">$M52</f>
        <v>CPP_7_3</v>
      </c>
      <c r="CF52" s="68">
        <f t="shared" ref="CF52" si="27">$E52</f>
        <v>0</v>
      </c>
      <c r="CH52" s="57">
        <f t="shared" ref="CH52" si="28">1/BZ52*CA52</f>
        <v>0.11764705882352941</v>
      </c>
      <c r="CI52" s="57">
        <f>IF(BX52=DataBase!$B$14,DataBase!$C$14,IF(BX52=DataBase!$B$15,DataBase!$C$15,IF(BX52=DataBase!$B$16,DataBase!$C$16)))</f>
        <v>300000</v>
      </c>
      <c r="CJ52" s="57">
        <f>IF(BV52=DataBase!$B$30,DataBase!$C$30,IF(BV52=DataBase!$B$31,DataBase!$C$31,IF(BV52=DataBase!$B$32,DataBase!$C$32,IF(BV52=DataBase!$B$33,DataBase!$C$33,IF(BV52=DataBase!$B$34,DataBase!$C$34)))))</f>
        <v>1</v>
      </c>
      <c r="CK52" s="57">
        <f t="shared" ref="CK52" si="29">CI52*CJ52</f>
        <v>300000</v>
      </c>
      <c r="CL52" s="57">
        <f>IF(BX52=DataBase!$B$14,DataBase!$G$14,IF(BX52=DataBase!$B$15,DataBase!$G$15,IF(BX52=DataBase!$B$16,DataBase!$G$16)))</f>
        <v>200</v>
      </c>
      <c r="CM52" s="57">
        <f>IF(CF52=DataBase!$K$20,1,IF(CF52=DataBase!$K$21,1,0))</f>
        <v>0</v>
      </c>
      <c r="CN52" s="57">
        <f>IF(CF52=DataBase!$K$20,DataBase!$M$20,IF(CF52=DataBase!$K$21,DataBase!$M$21,0))</f>
        <v>0</v>
      </c>
      <c r="CO52" s="57">
        <f t="shared" ref="CO52" si="30">IF(CM52=1,IF(CN52&lt;&gt;0,CN52,CL52),CL52)</f>
        <v>200</v>
      </c>
      <c r="CP52" s="57">
        <f>IF(BV52=DataBase!$B$30,DataBase!$H$30,IF(BV52=DataBase!$B$31,DataBase!$H$31,IF(BV52=DataBase!$B$32,DataBase!$H$32,IF(BV52=DataBase!$B$33,DataBase!$H$33,IF(BV52=DataBase!$B$34,DataBase!$H$34)))))</f>
        <v>1</v>
      </c>
      <c r="CQ52" s="57">
        <f>IF(BU52=DataBase!$B$21,DataBase!$G$21,IF(BU52=DataBase!$B$22,DataBase!$G$22,IF(BU52=DataBase!$B$23,DataBase!$G$23,IF(BU52=DataBase!$B$24,DataBase!$G$24,IF(BU52=DataBase!$B$25,DataBase!$G$25)))))</f>
        <v>1.4</v>
      </c>
      <c r="CR52" s="57">
        <f>IF(CE52=DataBase!$B$44,DataBase!$G$44,IF($F52=DataBase!$B$45,DataBase!$G$45,IF(CE52=DataBase!$B$46,DataBase!$G$46,IF(CE52=DataBase!$B$47,DataBase!$G$47,IF(CE52=DataBase!$B$48,DataBase!$G$48,IF(CE52=DataBase!$B$49,DataBase!$G$49))))))+CO52*CP52*CQ52</f>
        <v>280</v>
      </c>
      <c r="CS52" s="57">
        <f t="shared" ref="CS52" si="31">CR52+CK52*DR52</f>
        <v>360280</v>
      </c>
      <c r="CT52" s="57">
        <f>((BZ52-1)/BZ52)/IF(BY52=DataBase!$B$8,DataBase!$C$8,IF(BY52=DataBase!$B$9,DataBase!$C$9,IF(BY52=DataBase!$B$10,DataBase!$C$10)))*CA52</f>
        <v>9.9607843137254903</v>
      </c>
      <c r="CU52" s="57">
        <f>IF(BX52=DataBase!$B$14,DataBase!$E$14,IF(BX52=DataBase!$B$15,DataBase!$E$15,IF(BX52=DataBase!$B$16,DataBase!$E$16)))</f>
        <v>125</v>
      </c>
      <c r="CV52" s="57">
        <f>IF(BU52=DataBase!$B$21,DataBase!$E$21,IF(BU52=DataBase!$B$22,DataBase!$E$22,IF(BU52=DataBase!$B$23,DataBase!$E$23,IF(BU52=DataBase!$B$24,DataBase!$E$24,IF(BU52=DataBase!$B$25,DataBase!$E$25)))))</f>
        <v>2000</v>
      </c>
      <c r="CW52" s="57">
        <f>IF(BY52=DataBase!$B$8,DataBase!$C$8,IF(BY52=DataBase!$B$9,DataBase!$C$9,IF(BY52=DataBase!$B$10,DataBase!$C$10)))</f>
        <v>3</v>
      </c>
      <c r="CX52" s="67">
        <f>POWER(CA52/((DataBase!$F$5*CW52)),DataBase!$E$52)*DataBase!$F$5*CW52/CA52</f>
        <v>1.4242910214581144</v>
      </c>
      <c r="CY52" s="57">
        <f>IF(BV52=DataBase!$B$30,DataBase!$F$30,IF(BV52=DataBase!$B$31,DataBase!$F$31,IF(BV52=DataBase!$B$32,DataBase!$F$32,IF(BV52=DataBase!$B$33,DataBase!$F$33,IF(BV52=DataBase!$B$34,DataBase!$F$34)))))</f>
        <v>1</v>
      </c>
      <c r="CZ52" s="57">
        <f t="shared" ref="CZ52" si="32">CV52*CX52*CY52*DS52</f>
        <v>3988.0148600827197</v>
      </c>
      <c r="DA52" s="57">
        <f>IF(BX52=DataBase!$B$14,DataBase!$H$14,IF(BX52=DataBase!$B$15,DataBase!$H$15,IF(BX52=DataBase!$B$16,DataBase!$H$16)))*CO52</f>
        <v>100</v>
      </c>
      <c r="DB52" s="57">
        <f>IF(BV52=DataBase!$B$30,DataBase!$H$30,IF(BV52=DataBase!$B$31,DataBase!$H$31,IF(BV52=DataBase!$B$32,DataBase!$H$32,IF(BV52=DataBase!$B$33,DataBase!$H$33,IF(BV52=DataBase!$B$34,DataBase!$H$34)))))</f>
        <v>1</v>
      </c>
      <c r="DC52" s="57">
        <f>IF(BU52=DataBase!$B$21,DataBase!$G$21,IF(BU52=DataBase!$B$22,DataBase!$G$22,IF(BU52=DataBase!$B$23,DataBase!$G$23,IF(BU52=DataBase!$B$24,DataBase!$G$24,IF(BU52=DataBase!$B$25,DataBase!$G$25)))))</f>
        <v>1.4</v>
      </c>
      <c r="DD52" s="57">
        <f>DA52*DB52*DC52+IF(CE52=DataBase!$B$44,DataBase!$G$44,IF(CE52=DataBase!$B$45,DataBase!$G$45,IF(CE52=DataBase!$B$46,DataBase!$G$46,IF(CE52=DataBase!$B$47,DataBase!$G$47,IF(CE52=DataBase!$B$48,DataBase!$G$48,IF(CE52=DataBase!$B$49,DataBase!$G$49))))))</f>
        <v>140</v>
      </c>
      <c r="DE52" s="59">
        <f t="shared" ref="DE52" si="33">CU52+CZ52+DD52</f>
        <v>4253.0148600827197</v>
      </c>
      <c r="DF52" s="57">
        <f>IF(BY52=DataBase!$B$8,0,((BZ52-1)/BZ52)/IF(BY52=DataBase!$B$9,2,IF(BY52=DataBase!$B$10,3/2))*CA52)</f>
        <v>19.921568627450981</v>
      </c>
      <c r="DG52" s="57">
        <f>IF(BX52=DataBase!$B$14,DataBase!$F$14,IF(BX52=DataBase!$B$15,DataBase!$F$15,IF(BX52=DataBase!$B$16,DataBase!$F$16)))</f>
        <v>125</v>
      </c>
      <c r="DH52" s="57">
        <f>IF(BU52=DataBase!$B$21,DataBase!$F$21,IF(BU52=DataBase!$B$22,DataBase!$F$22,IF(BU52=DataBase!$B$23,DataBase!$F$23,IF(BU52=DataBase!$B$24,DataBase!$F$24,IF(BU52=DataBase!$B$25,DataBase!$F$25)))))</f>
        <v>579</v>
      </c>
      <c r="DI52" s="57">
        <f>IF(BY52=DataBase!$B$8,DataBase!$E$8,IF(BY52=DataBase!$B$9,DataBase!$E$9,IF(BY52=DataBase!$B$10,DataBase!$E$10)))</f>
        <v>2</v>
      </c>
      <c r="DJ52" s="67">
        <f>IF(DI52=0,0,POWER(CA52/((DataBase!$F$5*DI52)),DataBase!$E$52)*DataBase!$F$5*DI52/CA52)</f>
        <v>1.25</v>
      </c>
      <c r="DK52" s="57">
        <f>IF(BV52=DataBase!$B$30,DataBase!$G$30,IF(BV52=DataBase!$B$31,DataBase!$G$31,IF(BV52=DataBase!$B$32,DataBase!$G$32,IF(BV52=DataBase!$B$33,DataBase!$G$33,IF(BV52=DataBase!$B$34,DataBase!$G$34)))))</f>
        <v>1</v>
      </c>
      <c r="DL52" s="57">
        <f t="shared" ref="DL52" si="34">DH52*DJ52*DK52*DS52</f>
        <v>1013.2499999999999</v>
      </c>
      <c r="DM52" s="57">
        <f>IF(BX52=DataBase!$B$14,DataBase!$J$14,IF(BX52=DataBase!$B$15,DataBase!$J$15,IF(BX52=DataBase!$B$16,DataBase!$J$16)))*CO52</f>
        <v>50</v>
      </c>
      <c r="DN52" s="57">
        <f>IF(BV52=DataBase!$B$30,DataBase!$H$30,IF(BV52=DataBase!$B$31,DataBase!$H$31,IF(BV52=DataBase!$B$32,DataBase!$H$32,IF(BV52=DataBase!$B$33,DataBase!$H$33,IF(BV52=DataBase!$B$34,DataBase!$H$34)))))</f>
        <v>1</v>
      </c>
      <c r="DO52" s="57">
        <f>IF(BU52=DataBase!$B$21,DataBase!$G$21,IF(BU52=DataBase!$B$22,DataBase!$G$22,IF(BU52=DataBase!$B$23,DataBase!$G$23,IF(BU52=DataBase!$B$24,DataBase!$G$24,IF(BU52=DataBase!$B$25,DataBase!$G$25)))))</f>
        <v>1.4</v>
      </c>
      <c r="DP52" s="57">
        <f>DM52*DN52*DO52+IF(CE52=DataBase!$B$44,DataBase!$G$44,IF(CE52=DataBase!$B$45,DataBase!$G$45,IF(CE52=DataBase!$B$46,DataBase!$G$46,IF(CE52=DataBase!$B$47,DataBase!$G$47,IF(CE52=DataBase!$B$48,DataBase!$G$48,IF(CE52=DataBase!$B$49,DataBase!$G$49))))))</f>
        <v>70</v>
      </c>
      <c r="DQ52" s="59">
        <f t="shared" ref="DQ52" si="35">DG52+DL52+DP52</f>
        <v>1208.25</v>
      </c>
      <c r="DR52" s="58">
        <f>IF(CE52=DataBase!$B$44,DataBase!$C$44,IF(CE52=DataBase!$B$45,DataBase!$C$45,IF(CE52=DataBase!$B$46,DataBase!$C$46,IF(CE52=DataBase!$B$47,DataBase!$C$47,IF(CE52=DataBase!$B$48,DataBase!$C$48,IF(CE52=DataBase!$B$49,DataBase!$C$49))))))</f>
        <v>1.2</v>
      </c>
      <c r="DS52" s="58">
        <f>IF(CE52=DataBase!$B$44,DataBase!$D$44,IF(CE52=DataBase!$B$45,DataBase!$D$45,IF(CE52=DataBase!$B$46,DataBase!$D$46,IF(CE52=DataBase!$B$47,DataBase!$D$47,IF(CE52=DataBase!$B$48,DataBase!$D$48,IF(CE52=DataBase!$B$49,DataBase!$D$49))))))</f>
        <v>1.4</v>
      </c>
      <c r="DT52" s="57">
        <f t="shared" ref="DT52" si="36">DQ52*8*DF52+DE52*8*CT52+CS52*CH52*8</f>
        <v>870555.85081129754</v>
      </c>
      <c r="DU52" s="57">
        <f>POWER(((DataBase!$C$5*DataBase!$E$5)/(CB52*CC52)),DataBase!$E$53)</f>
        <v>0.21139572834201978</v>
      </c>
      <c r="DV52" s="57">
        <f>IF(CD52=DataBase!$B$37,DataBase!$C$37,IF(CD52=DataBase!$B$38,DataBase!$C$38))</f>
        <v>1</v>
      </c>
      <c r="DX52" s="66">
        <f t="shared" ref="DX52" si="37">DV52*DU52*DT52</f>
        <v>184031.78814466094</v>
      </c>
      <c r="DY52" s="57" t="s">
        <v>630</v>
      </c>
      <c r="EA52" s="68" t="str">
        <f>IF(C52=DataBase!$J$49,DataBase!$O$49,IF(C52=DataBase!$J$50,DataBase!$O$50,IF(C52=DataBase!$J$51,DataBase!$O$51,IF(C52=DataBase!$J$52,DataBase!$O$52))))</f>
        <v>crowd</v>
      </c>
      <c r="EB52" s="57" t="str">
        <f>IF(D52=DataBase!$J$44,DataBase!$L$44,IF(D52=DataBase!$J$45,DataBase!$L$45,IF(D52=DataBase!$J$46,DataBase!$L$46,IF(D52=DataBase!$J$47,DataBase!$L$47))))</f>
        <v>medium</v>
      </c>
      <c r="EC52" s="68"/>
      <c r="ED52" s="68" t="str">
        <f t="shared" ref="ED52" si="38">$F52</f>
        <v>normale z.B. typische parkplatz Straßenszene</v>
      </c>
      <c r="EE52" s="68" t="str">
        <f t="shared" ref="EE52" si="39">$G52</f>
        <v>IBBP</v>
      </c>
      <c r="EF52" s="68" t="str">
        <f t="shared" ref="EF52" si="40">$H52</f>
        <v>255</v>
      </c>
      <c r="EG52" s="68">
        <f t="shared" ref="EG52" si="41">$I52</f>
        <v>30</v>
      </c>
      <c r="EH52" s="68">
        <f t="shared" ref="EH52" si="42">$J52</f>
        <v>768</v>
      </c>
      <c r="EI52" s="68">
        <f t="shared" ref="EI52" si="43">$K52</f>
        <v>432</v>
      </c>
      <c r="EJ52" s="68" t="str">
        <f t="shared" ref="EJ52" si="44">$L52</f>
        <v>h_264</v>
      </c>
      <c r="EK52" s="68" t="str">
        <f t="shared" ref="EK52" si="45">$M52</f>
        <v>CPP_7_3</v>
      </c>
      <c r="EL52" s="68">
        <f t="shared" ref="EL52" si="46">$E52</f>
        <v>0</v>
      </c>
      <c r="EN52" s="57">
        <f t="shared" ref="EN52" si="47">1/EF52*EG52</f>
        <v>0.11764705882352941</v>
      </c>
      <c r="EO52" s="57">
        <f>IF(ED52=DataBase!$B$14,DataBase!$C$14,IF(ED52=DataBase!$B$15,DataBase!$C$15,IF(ED52=DataBase!$B$16,DataBase!$C$16)))</f>
        <v>300000</v>
      </c>
      <c r="EP52" s="57">
        <f>IF(EB52=DataBase!$B$30,DataBase!$C$30,IF(EB52=DataBase!$B$31,DataBase!$C$31,IF(EB52=DataBase!$B$32,DataBase!$C$32,IF(EB52=DataBase!$B$33,DataBase!$C$33,IF(EB52=DataBase!$B$34,DataBase!$C$34)))))</f>
        <v>1</v>
      </c>
      <c r="EQ52" s="57">
        <f t="shared" ref="EQ52" si="48">EO52*EP52</f>
        <v>300000</v>
      </c>
      <c r="ER52" s="57">
        <f>IF(ED52=DataBase!$B$14,DataBase!$G$14,IF(ED52=DataBase!$B$15,DataBase!$G$15,IF(ED52=DataBase!$B$16,DataBase!$G$16)))</f>
        <v>200</v>
      </c>
      <c r="ES52" s="57">
        <f>IF(EL52=DataBase!$K$20,1,IF(EL52=DataBase!$K$21,1,0))</f>
        <v>0</v>
      </c>
      <c r="ET52" s="57">
        <f>IF(EL52=DataBase!$K$20,DataBase!$M$20,IF(EL52=DataBase!$K$21,DataBase!$M$21,0))</f>
        <v>0</v>
      </c>
      <c r="EU52" s="57">
        <f t="shared" ref="EU52" si="49">IF(ES52=1,IF(ET52&lt;&gt;0,ET52,ER52),ER52)</f>
        <v>200</v>
      </c>
      <c r="EV52" s="57">
        <f>IF(EB52=DataBase!$B$30,DataBase!$H$30,IF(EB52=DataBase!$B$31,DataBase!$H$31,IF(EB52=DataBase!$B$32,DataBase!$H$32,IF(EB52=DataBase!$B$33,DataBase!$H$33,IF(EB52=DataBase!$B$34,DataBase!$H$34)))))</f>
        <v>1</v>
      </c>
      <c r="EW52" s="57">
        <f>IF(EA52=DataBase!$B$21,DataBase!$G$21,IF(EA52=DataBase!$B$22,DataBase!$G$22,IF(EA52=DataBase!$B$23,DataBase!$G$23,IF(EA52=DataBase!$B$24,DataBase!$G$24,IF(EA52=DataBase!$B$25,DataBase!$G$25)))))</f>
        <v>2</v>
      </c>
      <c r="EX52" s="57">
        <f>IF(EK52=DataBase!$B$44,DataBase!$G$44,IF($F52=DataBase!$B$45,DataBase!$G$45,IF(EK52=DataBase!$B$46,DataBase!$G$46,IF(EK52=DataBase!$B$47,DataBase!$G$47,IF(EK52=DataBase!$B$48,DataBase!$G$48,IF(EK52=DataBase!$B$49,DataBase!$G$49))))))+EU52*EV52*EW52</f>
        <v>400</v>
      </c>
      <c r="EY52" s="57">
        <f t="shared" ref="EY52" si="50">EX52+EQ52*FX52</f>
        <v>360400</v>
      </c>
      <c r="EZ52" s="57">
        <f>((EF52-1)/EF52)/IF(EE52=DataBase!$B$8,DataBase!$C$8,IF(EE52=DataBase!$B$9,DataBase!$C$9,IF(EE52=DataBase!$B$10,DataBase!$C$10)))*EG52</f>
        <v>9.9607843137254903</v>
      </c>
      <c r="FA52" s="57">
        <f>IF(ED52=DataBase!$B$14,DataBase!$E$14,IF(ED52=DataBase!$B$15,DataBase!$E$15,IF(ED52=DataBase!$B$16,DataBase!$E$16)))</f>
        <v>125</v>
      </c>
      <c r="FB52" s="57">
        <f>IF(EA52=DataBase!$B$21,DataBase!$E$21,IF(EA52=DataBase!$B$22,DataBase!$E$22,IF(EA52=DataBase!$B$23,DataBase!$E$23,IF(EA52=DataBase!$B$24,DataBase!$E$24,IF(EA52=DataBase!$B$25,DataBase!$E$25)))))</f>
        <v>15780</v>
      </c>
      <c r="FC52" s="57">
        <f>IF(EE52=DataBase!$B$8,DataBase!$C$8,IF(EE52=DataBase!$B$9,DataBase!$C$9,IF(EE52=DataBase!$B$10,DataBase!$C$10)))</f>
        <v>3</v>
      </c>
      <c r="FD52" s="67">
        <f>POWER(EG52/((DataBase!$F$5*FC52)),DataBase!$E$52)*DataBase!$F$5*FC52/EG52</f>
        <v>1.4242910214581144</v>
      </c>
      <c r="FE52" s="57">
        <f>IF(EB52=DataBase!$B$30,DataBase!$F$30,IF(EB52=DataBase!$B$31,DataBase!$F$31,IF(EB52=DataBase!$B$32,DataBase!$F$32,IF(EB52=DataBase!$B$33,DataBase!$F$33,IF(EB52=DataBase!$B$34,DataBase!$F$34)))))</f>
        <v>1</v>
      </c>
      <c r="FF52" s="57">
        <f t="shared" ref="FF52" si="51">FB52*FD52*FE52*FY52</f>
        <v>31465.437246052661</v>
      </c>
      <c r="FG52" s="57">
        <f>IF(ED52=DataBase!$B$14,DataBase!$H$14,IF(ED52=DataBase!$B$15,DataBase!$H$15,IF(ED52=DataBase!$B$16,DataBase!$H$16)))*EU52</f>
        <v>100</v>
      </c>
      <c r="FH52" s="57">
        <f>IF(EB52=DataBase!$B$30,DataBase!$H$30,IF(EB52=DataBase!$B$31,DataBase!$H$31,IF(EB52=DataBase!$B$32,DataBase!$H$32,IF(EB52=DataBase!$B$33,DataBase!$H$33,IF(EB52=DataBase!$B$34,DataBase!$H$34)))))</f>
        <v>1</v>
      </c>
      <c r="FI52" s="57">
        <f>IF(EA52=DataBase!$B$21,DataBase!$G$21,IF(EA52=DataBase!$B$22,DataBase!$G$22,IF(EA52=DataBase!$B$23,DataBase!$G$23,IF(EA52=DataBase!$B$24,DataBase!$G$24,IF(EA52=DataBase!$B$25,DataBase!$G$25)))))</f>
        <v>2</v>
      </c>
      <c r="FJ52" s="57">
        <f>FG52*FH52*FI52+IF(EK52=DataBase!$B$44,DataBase!$G$44,IF(EK52=DataBase!$B$45,DataBase!$G$45,IF(EK52=DataBase!$B$46,DataBase!$G$46,IF(EK52=DataBase!$B$47,DataBase!$G$47,IF(EK52=DataBase!$B$48,DataBase!$G$48,IF(EK52=DataBase!$B$49,DataBase!$G$49))))))</f>
        <v>200</v>
      </c>
      <c r="FK52" s="59">
        <f t="shared" ref="FK52" si="52">FA52+FF52+FJ52</f>
        <v>31790.437246052661</v>
      </c>
      <c r="FL52" s="57">
        <f>IF(EE52=DataBase!$B$8,0,((EF52-1)/EF52)/IF(EE52=DataBase!$B$9,2,IF(EE52=DataBase!$B$10,3/2))*EG52)</f>
        <v>19.921568627450981</v>
      </c>
      <c r="FM52" s="57">
        <f>IF(ED52=DataBase!$B$14,DataBase!$F$14,IF(ED52=DataBase!$B$15,DataBase!$F$15,IF(ED52=DataBase!$B$16,DataBase!$F$16)))</f>
        <v>125</v>
      </c>
      <c r="FN52" s="57">
        <f>IF(EA52=DataBase!$B$21,DataBase!$F$21,IF(EA52=DataBase!$B$22,DataBase!$F$22,IF(EA52=DataBase!$B$23,DataBase!$F$23,IF(EA52=DataBase!$B$24,DataBase!$F$24,IF(EA52=DataBase!$B$25,DataBase!$F$25)))))</f>
        <v>3964</v>
      </c>
      <c r="FO52" s="57">
        <f>IF(EE52=DataBase!$B$8,DataBase!$E$8,IF(EE52=DataBase!$B$9,DataBase!$E$9,IF(EE52=DataBase!$B$10,DataBase!$E$10)))</f>
        <v>2</v>
      </c>
      <c r="FP52" s="67">
        <f>IF(FO52=0,0,POWER(EG52/((DataBase!$F$5*FO52)),DataBase!$E$52)*DataBase!$F$5*FO52/EG52)</f>
        <v>1.25</v>
      </c>
      <c r="FQ52" s="57">
        <f>IF(EB52=DataBase!$B$30,DataBase!$G$30,IF(EB52=DataBase!$B$31,DataBase!$G$31,IF(EB52=DataBase!$B$32,DataBase!$G$32,IF(EB52=DataBase!$B$33,DataBase!$G$33,IF(EB52=DataBase!$B$34,DataBase!$G$34)))))</f>
        <v>1</v>
      </c>
      <c r="FR52" s="57">
        <f t="shared" ref="FR52" si="53">FN52*FP52*FQ52*FY52</f>
        <v>6937</v>
      </c>
      <c r="FS52" s="57">
        <f>IF(ED52=DataBase!$B$14,DataBase!$J$14,IF(ED52=DataBase!$B$15,DataBase!$J$15,IF(ED52=DataBase!$B$16,DataBase!$J$16)))*EU52</f>
        <v>50</v>
      </c>
      <c r="FT52" s="57">
        <f>IF(EB52=DataBase!$B$30,DataBase!$H$30,IF(EB52=DataBase!$B$31,DataBase!$H$31,IF(EB52=DataBase!$B$32,DataBase!$H$32,IF(EB52=DataBase!$B$33,DataBase!$H$33,IF(EB52=DataBase!$B$34,DataBase!$H$34)))))</f>
        <v>1</v>
      </c>
      <c r="FU52" s="57">
        <f>IF(EA52=DataBase!$B$21,DataBase!$G$21,IF(EA52=DataBase!$B$22,DataBase!$G$22,IF(EA52=DataBase!$B$23,DataBase!$G$23,IF(EA52=DataBase!$B$24,DataBase!$G$24,IF(EA52=DataBase!$B$25,DataBase!$G$25)))))</f>
        <v>2</v>
      </c>
      <c r="FV52" s="57">
        <f>FS52*FT52*FU52+IF(EK52=DataBase!$B$44,DataBase!$G$44,IF(EK52=DataBase!$B$45,DataBase!$G$45,IF(EK52=DataBase!$B$46,DataBase!$G$46,IF(EK52=DataBase!$B$47,DataBase!$G$47,IF(EK52=DataBase!$B$48,DataBase!$G$48,IF(EK52=DataBase!$B$49,DataBase!$G$49))))))</f>
        <v>100</v>
      </c>
      <c r="FW52" s="59">
        <f t="shared" ref="FW52" si="54">FM52+FR52+FV52</f>
        <v>7162</v>
      </c>
      <c r="FX52" s="58">
        <f>IF(EK52=DataBase!$B$44,DataBase!$C$44,IF(EK52=DataBase!$B$45,DataBase!$C$45,IF(EK52=DataBase!$B$46,DataBase!$C$46,IF(EK52=DataBase!$B$47,DataBase!$C$47,IF(EK52=DataBase!$B$48,DataBase!$C$48,IF(EK52=DataBase!$B$49,DataBase!$C$49))))))</f>
        <v>1.2</v>
      </c>
      <c r="FY52" s="58">
        <f>IF(EK52=DataBase!$B$44,DataBase!$D$44,IF(EK52=DataBase!$B$45,DataBase!$D$45,IF(EK52=DataBase!$B$46,DataBase!$D$46,IF(EK52=DataBase!$B$47,DataBase!$D$47,IF(EK52=DataBase!$B$48,DataBase!$D$48,IF(EK52=DataBase!$B$49,DataBase!$D$49))))))</f>
        <v>1.4</v>
      </c>
      <c r="FZ52" s="57">
        <f t="shared" ref="FZ52" si="55">FW52*8*FL52+FK52*8*EZ52+EY52*EN52*8</f>
        <v>4013887.7052540788</v>
      </c>
      <c r="GA52" s="57">
        <f>POWER(((DataBase!$C$5*DataBase!$E$5)/(EH52*EI52)),DataBase!$E$53)</f>
        <v>0.21139572834201978</v>
      </c>
      <c r="GB52" s="57">
        <f>IF(EJ52=DataBase!$B$37,DataBase!$C$37,IF(EJ52=DataBase!$B$38,DataBase!$C$38))</f>
        <v>1</v>
      </c>
      <c r="GD52" s="66">
        <f t="shared" ref="GD52" si="56">GB52*GA52*FZ52</f>
        <v>848518.71493526443</v>
      </c>
      <c r="GE52" s="57" t="s">
        <v>630</v>
      </c>
      <c r="GG52" s="57">
        <f>IF($C52=DataBase!$J$49,DataBase!$L$49,IF($C52=DataBase!$J$50,DataBase!$L$50,IF($C52=DataBase!$J$51,DataBase!$L$51,IF($C52=DataBase!$J$52,DataBase!$L$52))))</f>
        <v>0.54</v>
      </c>
      <c r="GH52" s="57">
        <f>IF($C52=DataBase!$J$49,DataBase!$N$49,IF($C52=DataBase!$J$50,DataBase!$N$50,IF($C52=DataBase!$J$51,DataBase!$N$51,IF($C52=DataBase!$J$52,DataBase!$N$52))))</f>
        <v>0.35</v>
      </c>
      <c r="GI52" s="57">
        <f>IF($C52=DataBase!$J$49,DataBase!$P$49,IF($C52=DataBase!$J$50,DataBase!$P$50,IF($C52=DataBase!$J$51,DataBase!$P$51,IF($C52=DataBase!$J$52,DataBase!$P$52))))</f>
        <v>0.10999999999999999</v>
      </c>
      <c r="GK52" s="66">
        <f t="shared" ref="GK52" si="57">$GG52*BR52</f>
        <v>43929.922475983956</v>
      </c>
      <c r="GL52" s="57" t="s">
        <v>630</v>
      </c>
      <c r="GM52" s="66">
        <f t="shared" ref="GM52" si="58">$DX52*GH52</f>
        <v>64411.125850631324</v>
      </c>
      <c r="GN52" s="57" t="s">
        <v>630</v>
      </c>
      <c r="GO52" s="66">
        <f t="shared" ref="GO52" si="59">$GD52*GI52</f>
        <v>93337.05864287907</v>
      </c>
      <c r="GP52" s="57" t="s">
        <v>630</v>
      </c>
      <c r="GR52" s="66">
        <f t="shared" ref="GR52" si="60">GO52+GM52+GK52</f>
        <v>201678.10696949437</v>
      </c>
      <c r="GS52" s="57" t="s">
        <v>630</v>
      </c>
      <c r="GU52" s="66">
        <f t="shared" ref="GU52" si="61">MAX($GD52,$DX52,$BR52)</f>
        <v>848518.71493526443</v>
      </c>
      <c r="GV52" s="57" t="s">
        <v>630</v>
      </c>
      <c r="GW52" s="57">
        <f>IF($M52=DataBase!$B$44,DataBase!$E$44,IF($M52=DataBase!$B$45,DataBase!$E$45,IF($M52=DataBase!$B$46,DataBase!$E$46,IF($M52=DataBase!$B$47,DataBase!$E$47,IF($M52=DataBase!$B$48,DataBase!$E$48,IF($M52=DataBase!$B$49,DataBase!$E$49))))))</f>
        <v>1</v>
      </c>
      <c r="GY52" s="57">
        <f>IF($D52=DataBase!$J$44,DataBase!$M$44,IF($D52=DataBase!$J$45,DataBase!$M$45,IF($D52=DataBase!$J$46,DataBase!$M$46,IF($D52=DataBase!$J$47,DataBase!$M$47))))</f>
        <v>4</v>
      </c>
      <c r="GZ52" s="57">
        <f>IF($D52=DataBase!$J$44,DataBase!$K$44,IF($D52=DataBase!$J$45,DataBase!$K$45,IF($D52=DataBase!$J$46,DataBase!$K$46,IF($D52=DataBase!$J$47,DataBase!$K$47))))</f>
        <v>1</v>
      </c>
      <c r="HA52" s="57">
        <f>IF($M52=DataBase!$B$44,DataBase!$F$44,IF($M52=DataBase!$B$45,DataBase!$F$45,IF($M52=DataBase!$B$46,DataBase!$F$46,IF($M52=DataBase!$B$47,DataBase!$F$47,IF($M52=DataBase!$B$48,DataBase!$F$48,IF($M52=DataBase!$B$49,DataBase!$F$49))))))</f>
        <v>32000000</v>
      </c>
      <c r="HB52" s="57" t="s">
        <v>630</v>
      </c>
      <c r="HC52" s="57" t="str">
        <f>C52&amp;D52&amp;I52&amp;J52&amp;K52&amp;L52&amp;M52</f>
        <v>mediumbitrate optimized30768432h_264CPP_7_3</v>
      </c>
      <c r="HD52" s="66">
        <f t="shared" ref="HD52" si="62">MIN(HA52,MAX(GZ52*IF(0=GW52,GR52,IF(1=GW52,GR52,IF(2=GW52,GU52)))))</f>
        <v>201678.10696949437</v>
      </c>
      <c r="HE52" s="57" t="s">
        <v>630</v>
      </c>
      <c r="HG52" s="57" t="str">
        <f t="shared" ref="HG52" si="63">IF(GW52=1,"SUPPORTED","NOT SUPPORTED")</f>
        <v>SUPPORTED</v>
      </c>
      <c r="HH52" s="66">
        <f t="shared" ref="HH52" si="64">HJ52</f>
        <v>848518.71493526443</v>
      </c>
      <c r="HI52" s="57" t="s">
        <v>630</v>
      </c>
      <c r="HJ52" s="66">
        <f t="shared" ref="HJ52" si="65">MIN(HA52,GZ52*IF(GW52=0,2*GR52,GU52))</f>
        <v>848518.71493526443</v>
      </c>
      <c r="HK52" s="57" t="s">
        <v>630</v>
      </c>
      <c r="HL52" s="57" t="str">
        <f>IF(GW52=1,IF($D52=DataBase!$J$44,DataBase!$L$44,IF($D52=DataBase!$J$45,DataBase!$L$45,IF($D52=DataBase!$J$46,DataBase!$L$46))),"OFF")</f>
        <v>medium</v>
      </c>
      <c r="HM52" s="57">
        <f>0</f>
        <v>0</v>
      </c>
      <c r="HO52" s="66">
        <f t="shared" ref="HO52" si="66">MIN(HA52,MAX(HQ52/GY52,GZ52*IF(0=GW52,GR52,IF(1=GW52,GR52,IF(2=GW52,GU52)))))</f>
        <v>212129.67873381611</v>
      </c>
      <c r="HP52" s="57" t="s">
        <v>630</v>
      </c>
      <c r="HQ52" s="66">
        <f t="shared" ref="HQ52" si="67">MIN(HA52,GZ52*IF(GW52=0,2*GR52,GU52))</f>
        <v>848518.71493526443</v>
      </c>
      <c r="HR52" s="57" t="s">
        <v>630</v>
      </c>
      <c r="HS52" s="57" t="str">
        <f>IF(GW52=1,IF($D52=DataBase!$J$44,DataBase!$L$44,IF($D52=DataBase!$J$45,DataBase!$L$45,IF($D52=DataBase!$J$46,DataBase!$L$46))),"OFF")</f>
        <v>medium</v>
      </c>
      <c r="HT52" s="57">
        <f t="shared" ref="HT52" si="68">IF(GW52=1,3600*24*GW52,0)</f>
        <v>86400</v>
      </c>
    </row>
    <row r="53" spans="3:228" hidden="1">
      <c r="C53" s="57" t="str">
        <f>E38</f>
        <v>medium</v>
      </c>
    </row>
    <row r="54" spans="3:228" s="132" customFormat="1" ht="23.25" hidden="1">
      <c r="C54" s="666" t="s">
        <v>713</v>
      </c>
      <c r="D54" s="667"/>
      <c r="G54" s="132" t="s">
        <v>712</v>
      </c>
      <c r="H54" s="132" t="s">
        <v>711</v>
      </c>
      <c r="AV54" s="133"/>
      <c r="BH54" s="133"/>
      <c r="BL54" s="134"/>
      <c r="BM54" s="134"/>
      <c r="DB54" s="133"/>
      <c r="DN54" s="133"/>
      <c r="DR54" s="134"/>
      <c r="DS54" s="134"/>
      <c r="FH54" s="133"/>
      <c r="FT54" s="133"/>
      <c r="FX54" s="134"/>
      <c r="FY54" s="134"/>
    </row>
    <row r="55" spans="3:228" s="132" customFormat="1" hidden="1">
      <c r="C55" s="132" t="s">
        <v>709</v>
      </c>
      <c r="D55" s="132" t="s">
        <v>710</v>
      </c>
      <c r="E55" s="135" t="s">
        <v>632</v>
      </c>
      <c r="G55" s="136" t="e">
        <f>HO71</f>
        <v>#N/A</v>
      </c>
      <c r="H55" s="136" t="e">
        <f>HQ71</f>
        <v>#N/A</v>
      </c>
      <c r="AV55" s="133"/>
      <c r="BH55" s="133"/>
      <c r="BL55" s="134"/>
      <c r="BM55" s="134"/>
      <c r="DB55" s="133"/>
      <c r="DN55" s="133"/>
      <c r="DR55" s="134"/>
      <c r="DS55" s="134"/>
      <c r="FH55" s="133"/>
      <c r="FT55" s="133"/>
      <c r="FX55" s="134"/>
      <c r="FY55" s="134"/>
    </row>
    <row r="56" spans="3:228" s="132" customFormat="1" hidden="1">
      <c r="C56" s="132" t="s">
        <v>709</v>
      </c>
      <c r="D56" s="132" t="s">
        <v>683</v>
      </c>
      <c r="E56" s="135" t="s">
        <v>727</v>
      </c>
      <c r="AV56" s="133"/>
      <c r="BH56" s="133"/>
      <c r="BL56" s="134"/>
      <c r="BM56" s="134"/>
      <c r="DB56" s="133"/>
      <c r="DN56" s="133"/>
      <c r="DR56" s="134"/>
      <c r="DS56" s="134"/>
      <c r="FH56" s="133"/>
      <c r="FT56" s="133"/>
      <c r="FX56" s="134"/>
      <c r="FY56" s="134"/>
    </row>
    <row r="57" spans="3:228" s="132" customFormat="1" hidden="1">
      <c r="D57" s="132" t="s">
        <v>779</v>
      </c>
      <c r="E57" s="135" t="s">
        <v>588</v>
      </c>
      <c r="AV57" s="133"/>
      <c r="BH57" s="133"/>
      <c r="BL57" s="134"/>
      <c r="BM57" s="134"/>
      <c r="DB57" s="133"/>
      <c r="DN57" s="133"/>
      <c r="DR57" s="134"/>
      <c r="DS57" s="134"/>
      <c r="FH57" s="133"/>
      <c r="FT57" s="133"/>
      <c r="FX57" s="134"/>
      <c r="FY57" s="134"/>
    </row>
    <row r="58" spans="3:228" s="132" customFormat="1" hidden="1">
      <c r="C58" s="132" t="s">
        <v>705</v>
      </c>
      <c r="D58" s="132" t="s">
        <v>596</v>
      </c>
      <c r="E58" s="135" t="s">
        <v>25</v>
      </c>
      <c r="AV58" s="133"/>
      <c r="BH58" s="133"/>
      <c r="BL58" s="134"/>
      <c r="BM58" s="134"/>
      <c r="DB58" s="133"/>
      <c r="DN58" s="133"/>
      <c r="DR58" s="134"/>
      <c r="DS58" s="134"/>
      <c r="FH58" s="133"/>
      <c r="FT58" s="133"/>
      <c r="FX58" s="134"/>
      <c r="FY58" s="134"/>
    </row>
    <row r="59" spans="3:228" s="132" customFormat="1" hidden="1">
      <c r="C59" s="132" t="s">
        <v>708</v>
      </c>
      <c r="D59" s="132" t="s">
        <v>707</v>
      </c>
      <c r="E59" s="135">
        <v>86400</v>
      </c>
      <c r="AV59" s="133"/>
      <c r="BH59" s="133"/>
      <c r="BL59" s="134"/>
      <c r="BM59" s="134"/>
      <c r="DB59" s="133"/>
      <c r="DN59" s="133"/>
      <c r="DR59" s="134"/>
      <c r="DS59" s="134"/>
      <c r="FH59" s="133"/>
      <c r="FT59" s="133"/>
      <c r="FX59" s="134"/>
      <c r="FY59" s="134"/>
    </row>
    <row r="60" spans="3:228" s="132" customFormat="1" hidden="1">
      <c r="C60" s="132" t="s">
        <v>678</v>
      </c>
      <c r="D60" s="132" t="s">
        <v>597</v>
      </c>
      <c r="E60" s="135">
        <v>60</v>
      </c>
      <c r="AV60" s="133"/>
      <c r="BH60" s="133"/>
      <c r="BL60" s="134"/>
      <c r="BM60" s="134"/>
      <c r="DB60" s="133"/>
      <c r="DN60" s="133"/>
      <c r="DR60" s="134"/>
      <c r="DS60" s="134"/>
      <c r="FH60" s="133"/>
      <c r="FT60" s="133"/>
      <c r="FX60" s="134"/>
      <c r="FY60" s="134"/>
    </row>
    <row r="61" spans="3:228" s="132" customFormat="1" hidden="1">
      <c r="C61" s="132" t="s">
        <v>705</v>
      </c>
      <c r="D61" s="132" t="s">
        <v>706</v>
      </c>
      <c r="E61" s="135" t="s">
        <v>633</v>
      </c>
      <c r="AV61" s="133"/>
      <c r="BH61" s="133"/>
      <c r="BL61" s="134"/>
      <c r="BM61" s="134"/>
      <c r="DB61" s="133"/>
      <c r="DN61" s="133"/>
      <c r="DR61" s="134"/>
      <c r="DS61" s="134"/>
      <c r="FH61" s="133"/>
      <c r="FT61" s="133"/>
      <c r="FX61" s="134"/>
      <c r="FY61" s="134"/>
    </row>
    <row r="62" spans="3:228" s="132" customFormat="1" hidden="1">
      <c r="C62" s="132" t="s">
        <v>705</v>
      </c>
      <c r="D62" s="132" t="s">
        <v>679</v>
      </c>
      <c r="E62" s="135">
        <v>255</v>
      </c>
      <c r="AV62" s="133"/>
      <c r="BH62" s="133"/>
      <c r="BL62" s="134"/>
      <c r="BM62" s="134"/>
      <c r="DB62" s="133"/>
      <c r="DN62" s="133"/>
      <c r="DR62" s="134"/>
      <c r="DS62" s="134"/>
      <c r="FH62" s="133"/>
      <c r="FT62" s="133"/>
      <c r="FX62" s="134"/>
      <c r="FY62" s="134"/>
    </row>
    <row r="63" spans="3:228" s="132" customFormat="1" hidden="1">
      <c r="C63" s="132" t="s">
        <v>703</v>
      </c>
      <c r="D63" s="132" t="s">
        <v>27</v>
      </c>
      <c r="E63" s="135" t="s">
        <v>110</v>
      </c>
      <c r="F63" s="132" t="s">
        <v>704</v>
      </c>
      <c r="AV63" s="133"/>
      <c r="BH63" s="133"/>
      <c r="BL63" s="134"/>
      <c r="BM63" s="134"/>
      <c r="DB63" s="133"/>
      <c r="DN63" s="133"/>
      <c r="DR63" s="134"/>
      <c r="DS63" s="134"/>
      <c r="FH63" s="133"/>
      <c r="FT63" s="133"/>
      <c r="FX63" s="134"/>
      <c r="FY63" s="134"/>
    </row>
    <row r="64" spans="3:228" s="132" customFormat="1" hidden="1">
      <c r="C64" s="132" t="s">
        <v>703</v>
      </c>
      <c r="D64" s="132" t="s">
        <v>598</v>
      </c>
      <c r="E64" s="135" t="s">
        <v>582</v>
      </c>
      <c r="AV64" s="133"/>
      <c r="BH64" s="133"/>
      <c r="BL64" s="134"/>
      <c r="BM64" s="134"/>
      <c r="DB64" s="133"/>
      <c r="DN64" s="133"/>
      <c r="DR64" s="134"/>
      <c r="DS64" s="134"/>
      <c r="FH64" s="133"/>
      <c r="FT64" s="133"/>
      <c r="FX64" s="134"/>
      <c r="FY64" s="134"/>
    </row>
    <row r="65" spans="3:228" s="132" customFormat="1" hidden="1">
      <c r="C65" s="132" t="s">
        <v>703</v>
      </c>
      <c r="D65" s="132" t="s">
        <v>702</v>
      </c>
      <c r="E65" s="135" t="s">
        <v>593</v>
      </c>
      <c r="AV65" s="133"/>
      <c r="BH65" s="133"/>
      <c r="BL65" s="134"/>
      <c r="BM65" s="134"/>
      <c r="DB65" s="133"/>
      <c r="DN65" s="133"/>
      <c r="DR65" s="134"/>
      <c r="DS65" s="134"/>
      <c r="FH65" s="133"/>
      <c r="FT65" s="133"/>
      <c r="FX65" s="134"/>
      <c r="FY65" s="134"/>
    </row>
    <row r="66" spans="3:228" s="132" customFormat="1" hidden="1">
      <c r="AV66" s="133"/>
      <c r="BH66" s="133"/>
      <c r="BL66" s="134"/>
      <c r="BM66" s="134"/>
      <c r="DB66" s="133"/>
      <c r="DN66" s="133"/>
      <c r="DR66" s="134"/>
      <c r="DS66" s="134"/>
      <c r="FH66" s="133"/>
      <c r="FT66" s="133"/>
      <c r="FX66" s="134"/>
      <c r="FY66" s="134"/>
    </row>
    <row r="67" spans="3:228" s="132" customFormat="1" hidden="1">
      <c r="C67" s="132" t="s">
        <v>701</v>
      </c>
      <c r="D67" s="132">
        <f>VLOOKUP(E63,L80:O85,3,0)</f>
        <v>1920</v>
      </c>
      <c r="AV67" s="133"/>
      <c r="BH67" s="133"/>
      <c r="BL67" s="134"/>
      <c r="BM67" s="134"/>
      <c r="DB67" s="133"/>
      <c r="DN67" s="133"/>
      <c r="DR67" s="134"/>
      <c r="DS67" s="134"/>
      <c r="FH67" s="133"/>
      <c r="FT67" s="133"/>
      <c r="FX67" s="134"/>
      <c r="FY67" s="134"/>
    </row>
    <row r="68" spans="3:228" s="132" customFormat="1" hidden="1">
      <c r="C68" s="132" t="s">
        <v>700</v>
      </c>
      <c r="D68" s="132">
        <f>VLOOKUP(E63,L80:O85,4,0)</f>
        <v>1080</v>
      </c>
      <c r="AV68" s="133"/>
      <c r="BH68" s="133"/>
      <c r="BL68" s="134"/>
      <c r="BM68" s="134"/>
      <c r="DB68" s="133"/>
      <c r="DN68" s="133"/>
      <c r="DR68" s="134"/>
      <c r="DS68" s="134"/>
      <c r="FH68" s="133"/>
      <c r="FT68" s="133"/>
      <c r="FX68" s="134"/>
      <c r="FY68" s="134"/>
    </row>
    <row r="69" spans="3:228" s="132" customFormat="1" hidden="1">
      <c r="C69" s="132" t="s">
        <v>699</v>
      </c>
      <c r="D69" s="132" t="e">
        <f>VLOOKUP(E57,G140:I142,2,0)</f>
        <v>#N/A</v>
      </c>
      <c r="AV69" s="133"/>
      <c r="BH69" s="133"/>
      <c r="BL69" s="134"/>
      <c r="BM69" s="134"/>
      <c r="DB69" s="133"/>
      <c r="DN69" s="133"/>
      <c r="DR69" s="134"/>
      <c r="DS69" s="134"/>
      <c r="FH69" s="133"/>
      <c r="FT69" s="133"/>
      <c r="FX69" s="134"/>
      <c r="FY69" s="134"/>
    </row>
    <row r="70" spans="3:228" s="132" customFormat="1" hidden="1">
      <c r="C70" s="132" t="s">
        <v>698</v>
      </c>
      <c r="D70" s="132" t="e">
        <f>VLOOKUP(E57,G140:I142,3,0)</f>
        <v>#N/A</v>
      </c>
      <c r="AV70" s="133"/>
      <c r="BH70" s="133"/>
      <c r="BL70" s="134"/>
      <c r="BM70" s="134"/>
      <c r="DB70" s="133"/>
      <c r="DN70" s="133"/>
      <c r="DR70" s="134"/>
      <c r="DS70" s="134"/>
      <c r="FH70" s="133"/>
      <c r="FT70" s="133"/>
      <c r="FX70" s="134"/>
      <c r="FY70" s="134"/>
    </row>
    <row r="71" spans="3:228" s="132" customFormat="1" hidden="1">
      <c r="C71" s="137" t="str">
        <f>E56</f>
        <v>crowded</v>
      </c>
      <c r="D71" s="137" t="str">
        <f>E58</f>
        <v>medium</v>
      </c>
      <c r="E71" s="138"/>
      <c r="F71" s="138" t="str">
        <f>E55</f>
        <v>normale z.B. typische parkplatz Straßenszene</v>
      </c>
      <c r="G71" s="139" t="str">
        <f>E61</f>
        <v>IBBP</v>
      </c>
      <c r="H71" s="138">
        <f>E62</f>
        <v>255</v>
      </c>
      <c r="I71" s="138">
        <f>E60</f>
        <v>60</v>
      </c>
      <c r="J71" s="138">
        <f>D67</f>
        <v>1920</v>
      </c>
      <c r="K71" s="138">
        <f>D68</f>
        <v>1080</v>
      </c>
      <c r="L71" s="138" t="str">
        <f>E65</f>
        <v>h_265</v>
      </c>
      <c r="M71" s="138" t="str">
        <f>E64</f>
        <v>CPP_7_3</v>
      </c>
      <c r="O71" s="137" t="str">
        <f>IF(C71=DataBase!$J$49,DataBase!$K$49,IF(C71=DataBase!$J$50,DataBase!$K$50,IF(C71=DataBase!$J$51,DataBase!$K$51,IF(C71=DataBase!$J$52,DataBase!$K$52))))</f>
        <v>standard</v>
      </c>
      <c r="P71" s="132" t="str">
        <f>E58</f>
        <v>medium</v>
      </c>
      <c r="Q71" s="137"/>
      <c r="R71" s="137" t="str">
        <f>$F71</f>
        <v>normale z.B. typische parkplatz Straßenszene</v>
      </c>
      <c r="S71" s="137" t="str">
        <f>$G71</f>
        <v>IBBP</v>
      </c>
      <c r="T71" s="137">
        <f>$H71</f>
        <v>255</v>
      </c>
      <c r="U71" s="137">
        <f>$I71</f>
        <v>60</v>
      </c>
      <c r="V71" s="137">
        <f>$J71</f>
        <v>1920</v>
      </c>
      <c r="W71" s="137">
        <f>$K71</f>
        <v>1080</v>
      </c>
      <c r="X71" s="137" t="str">
        <f>$L71</f>
        <v>h_265</v>
      </c>
      <c r="Y71" s="137" t="str">
        <f>$M71</f>
        <v>CPP_7_3</v>
      </c>
      <c r="Z71" s="137">
        <f>$E71</f>
        <v>0</v>
      </c>
      <c r="AB71" s="132">
        <f>1/T71*U71</f>
        <v>0.23529411764705882</v>
      </c>
      <c r="AC71" s="132">
        <f>IF(R71=DataBase!$B$14,DataBase!$C$14,IF(R71=DataBase!$B$15,DataBase!$C$15,IF(R71=DataBase!$B$16,DataBase!$C$16)))</f>
        <v>300000</v>
      </c>
      <c r="AD71" s="132">
        <f>IF(P71=DataBase!$B$30,DataBase!$C$30,IF(P71=DataBase!$B$31,DataBase!$C$31,IF(P71=DataBase!$B$32,DataBase!$C$32,IF(P71=DataBase!$B$33,DataBase!$C$33,IF(P71=DataBase!$B$34,DataBase!$C$34)))))</f>
        <v>1</v>
      </c>
      <c r="AE71" s="132">
        <f>AC71*AD71</f>
        <v>300000</v>
      </c>
      <c r="AF71" s="132">
        <f>IF(R71=DataBase!$B$14,DataBase!$G$14,IF(R71=DataBase!$B$15,DataBase!$G$15,IF(R71=DataBase!$B$16,DataBase!$G$16)))</f>
        <v>200</v>
      </c>
      <c r="AG71" s="132">
        <f>IF(Z71=DataBase!$K$20,1,IF(Z71=DataBase!$K$21,1,0))</f>
        <v>0</v>
      </c>
      <c r="AH71" s="132">
        <f>IF(Z71=DataBase!$K$20,DataBase!$M$20,IF(Z71=DataBase!$K$21,DataBase!$M$21,0))</f>
        <v>0</v>
      </c>
      <c r="AI71" s="132">
        <f>IF(AG71=1,IF(AH71&lt;&gt;0,AH71,AF71),AF71)</f>
        <v>200</v>
      </c>
      <c r="AJ71" s="132">
        <f>IF(P71=DataBase!$B$30,DataBase!$H$30,IF(P71=DataBase!$B$31,DataBase!$H$31,IF(P71=DataBase!$B$32,DataBase!$H$32,IF(P71=DataBase!$B$33,DataBase!$H$33,IF(P71=DataBase!$B$34,DataBase!$H$34)))))</f>
        <v>1</v>
      </c>
      <c r="AK71" s="132">
        <f>IF(O71=DataBase!$B$21,DataBase!$G$21,IF(O71=DataBase!$B$22,DataBase!$G$22,IF(O71=DataBase!$B$23,DataBase!$G$23,IF(O71=DataBase!$B$24,DataBase!$G$24,IF(O71=DataBase!$B$25,DataBase!$G$25)))))</f>
        <v>1.4</v>
      </c>
      <c r="AL71" s="132">
        <f>IF(Y71=DataBase!$B$44,DataBase!$G$44,IF($F71=DataBase!$B$45,DataBase!$G$45,IF(Y71=DataBase!$B$46,DataBase!$G$46,IF(Y71=DataBase!$B$47,DataBase!$G$47,IF(Y71=DataBase!$B$48,DataBase!$G$48,IF(Y71=DataBase!$B$49,DataBase!$G$49))))))+AI71*AJ71*AK71</f>
        <v>280</v>
      </c>
      <c r="AM71" s="132">
        <f>AL71+AE71*BL71</f>
        <v>360280</v>
      </c>
      <c r="AN71" s="132">
        <f>((T71-1)/T71)/IF(S71=DataBase!$B$8,DataBase!$C$8,IF(S71=DataBase!$B$9,DataBase!$C$9,IF(S71=DataBase!$B$10,DataBase!$C$10)))*U71</f>
        <v>19.921568627450981</v>
      </c>
      <c r="AO71" s="132">
        <f>IF(R71=DataBase!$B$14,DataBase!$E$14,IF(R71=DataBase!$B$15,DataBase!$E$15,IF(R71=DataBase!$B$16,DataBase!$E$16)))</f>
        <v>125</v>
      </c>
      <c r="AP71" s="132">
        <f>IF(O71=DataBase!$B$21,DataBase!$E$21,IF(O71=DataBase!$B$22,DataBase!$E$22,IF(O71=DataBase!$B$23,DataBase!$E$23,IF(O71=DataBase!$B$24,DataBase!$E$24,IF(O71=DataBase!$B$25,DataBase!$E$25)))))</f>
        <v>2000</v>
      </c>
      <c r="AQ71" s="132">
        <f>IF(S71=DataBase!$B$8,DataBase!$C$8,IF(S71=DataBase!$B$9,DataBase!$C$9,IF(S71=DataBase!$B$10,DataBase!$C$10)))</f>
        <v>3</v>
      </c>
      <c r="AR71" s="140">
        <f>POWER(U71/((DataBase!$F$5*AQ71)),DataBase!$E$52)*DataBase!$F$5*AQ71/U71</f>
        <v>1.1394328171664916</v>
      </c>
      <c r="AS71" s="132">
        <f>IF(P71=DataBase!$B$30,DataBase!$F$30,IF(P71=DataBase!$B$31,DataBase!$F$31,IF(P71=DataBase!$B$32,DataBase!$F$32,IF(P71=DataBase!$B$33,DataBase!$F$33,IF(P71=DataBase!$B$34,DataBase!$F$34)))))</f>
        <v>1</v>
      </c>
      <c r="AT71" s="132">
        <f>AP71*AR71*AS71*BM71</f>
        <v>3190.4118880661763</v>
      </c>
      <c r="AU71" s="132">
        <f>IF(R71=DataBase!$B$14,DataBase!$H$14,IF(R71=DataBase!$B$15,DataBase!$H$15,IF(R71=DataBase!$B$16,DataBase!$H$16)))*AI71</f>
        <v>100</v>
      </c>
      <c r="AV71" s="132">
        <f>IF(P71=DataBase!$B$30,DataBase!$H$30,IF(P71=DataBase!$B$31,DataBase!$H$31,IF(P71=DataBase!$B$32,DataBase!$H$32,IF(P71=DataBase!$B$33,DataBase!$H$33,IF(P71=DataBase!$B$34,DataBase!$H$34)))))</f>
        <v>1</v>
      </c>
      <c r="AW71" s="132">
        <f>IF(O71=DataBase!$B$21,DataBase!$G$21,IF(O71=DataBase!$B$22,DataBase!$G$22,IF(O71=DataBase!$B$23,DataBase!$G$23,IF(O71=DataBase!$B$24,DataBase!$G$24,IF(O71=DataBase!$B$25,DataBase!$G$25)))))</f>
        <v>1.4</v>
      </c>
      <c r="AX71" s="132">
        <f>AU71*AV71*AW71+IF(Y71=DataBase!$B$44,DataBase!$G$44,IF(Y71=DataBase!$B$45,DataBase!$G$45,IF(Y71=DataBase!$B$46,DataBase!$G$46,IF(Y71=DataBase!$B$47,DataBase!$G$47,IF(Y71=DataBase!$B$48,DataBase!$G$48,IF(Y71=DataBase!$B$49,DataBase!$G$49))))))</f>
        <v>140</v>
      </c>
      <c r="AY71" s="133">
        <f>AO71+AT71+AX71</f>
        <v>3455.4118880661763</v>
      </c>
      <c r="AZ71" s="132">
        <f>IF(S71=DataBase!$B$8,0,((T71-1)/T71)/IF(S71=DataBase!$B$9,2,IF(S71=DataBase!$B$10,3/2))*U71)</f>
        <v>39.843137254901961</v>
      </c>
      <c r="BA71" s="132">
        <f>IF(R71=DataBase!$B$14,DataBase!$F$14,IF(R71=DataBase!$B$15,DataBase!$F$15,IF(R71=DataBase!$B$16,DataBase!$F$16)))</f>
        <v>125</v>
      </c>
      <c r="BB71" s="132">
        <f>IF(O71=DataBase!$B$21,DataBase!$F$21,IF(O71=DataBase!$B$22,DataBase!$F$22,IF(O71=DataBase!$B$23,DataBase!$F$23,IF(O71=DataBase!$B$24,DataBase!$F$24,IF(O71=DataBase!$B$25,DataBase!$F$25)))))</f>
        <v>579</v>
      </c>
      <c r="BC71" s="132">
        <f>IF(S71=DataBase!$B$8,DataBase!$E$8,IF(S71=DataBase!$B$9,DataBase!$E$9,IF(S71=DataBase!$B$10,DataBase!$E$10)))</f>
        <v>2</v>
      </c>
      <c r="BD71" s="140">
        <f>IF(BC71=0,0,POWER(U71/((DataBase!$F$5*BC71)),DataBase!$E$52)*DataBase!$F$5*BC71/U71)</f>
        <v>1</v>
      </c>
      <c r="BE71" s="132">
        <f>IF(P71=DataBase!$B$30,DataBase!$G$30,IF(P71=DataBase!$B$31,DataBase!$G$31,IF(P71=DataBase!$B$32,DataBase!$G$32,IF(P71=DataBase!$B$33,DataBase!$G$33,IF(P71=DataBase!$B$34,DataBase!$G$34)))))</f>
        <v>1</v>
      </c>
      <c r="BF71" s="132">
        <f>BB71*BD71*BE71*BM71</f>
        <v>810.59999999999991</v>
      </c>
      <c r="BG71" s="132">
        <f>IF(R71=DataBase!$B$14,DataBase!$J$14,IF(R71=DataBase!$B$15,DataBase!$J$15,IF(R71=DataBase!$B$16,DataBase!$J$16)))*AI71</f>
        <v>50</v>
      </c>
      <c r="BH71" s="132">
        <f>IF(P71=DataBase!$B$30,DataBase!$H$30,IF(P71=DataBase!$B$31,DataBase!$H$31,IF(P71=DataBase!$B$32,DataBase!$H$32,IF(P71=DataBase!$B$33,DataBase!$H$33,IF(P71=DataBase!$B$34,DataBase!$H$34)))))</f>
        <v>1</v>
      </c>
      <c r="BI71" s="132">
        <f>IF(O71=DataBase!$B$21,DataBase!$G$21,IF(O71=DataBase!$B$22,DataBase!$G$22,IF(O71=DataBase!$B$23,DataBase!$G$23,IF(O71=DataBase!$B$24,DataBase!$G$24,IF(O71=DataBase!$B$25,DataBase!$G$25)))))</f>
        <v>1.4</v>
      </c>
      <c r="BJ71" s="132">
        <f>BG71*BH71*BI71+IF(Y71=DataBase!$B$44,DataBase!$G$44,IF(Y71=DataBase!$B$45,DataBase!$G$45,IF(Y71=DataBase!$B$46,DataBase!$G$46,IF(Y71=DataBase!$B$47,DataBase!$G$47,IF(Y71=DataBase!$B$48,DataBase!$G$48,IF(Y71=DataBase!$B$49,DataBase!$G$49))))))</f>
        <v>70</v>
      </c>
      <c r="BK71" s="133">
        <f>BA71+BF71+BJ71</f>
        <v>1005.5999999999999</v>
      </c>
      <c r="BL71" s="134">
        <f>IF(Y71=DataBase!$B$44,DataBase!$C$44,IF(Y71=DataBase!$B$45,DataBase!$C$45,IF(Y71=DataBase!$B$46,DataBase!$C$46,IF(Y71=DataBase!$B$47,DataBase!$C$47,IF(Y71=DataBase!$B$48,DataBase!$C$48,IF(Y71=DataBase!$B$49,DataBase!$C$49))))))</f>
        <v>1.2</v>
      </c>
      <c r="BM71" s="134">
        <f>IF(Y71=DataBase!$B$44,DataBase!$D$44,IF(Y71=DataBase!$B$45,DataBase!$D$45,IF(Y71=DataBase!$B$46,DataBase!$D$46,IF(Y71=DataBase!$B$47,DataBase!$D$47,IF(Y71=DataBase!$B$48,DataBase!$D$48,IF(Y71=DataBase!$B$49,DataBase!$D$49))))))</f>
        <v>1.4</v>
      </c>
      <c r="BN71" s="132">
        <f>BK71*8*AZ71+AY71*8*AN71+AM71*AB71*8</f>
        <v>1549401.9887490566</v>
      </c>
      <c r="BO71" s="132">
        <f>POWER(((DataBase!$C$5*DataBase!$E$5)/(V71*W71)),DataBase!$E$53)</f>
        <v>1</v>
      </c>
      <c r="BP71" s="132">
        <f>IF(X71=DataBase!$B$37,DataBase!$C$37,IF(X71=DataBase!$B$38,DataBase!$C$38))</f>
        <v>0.75</v>
      </c>
      <c r="BR71" s="136">
        <f>BP71*BO71*BN71</f>
        <v>1162051.4915617923</v>
      </c>
      <c r="BS71" s="132" t="s">
        <v>630</v>
      </c>
      <c r="BU71" s="137" t="str">
        <f>IF(C71=DataBase!$J$49,DataBase!$M$49,IF(C71=DataBase!$J$50,DataBase!$M$50,IF(C71=DataBase!$J$51,DataBase!$M$51,IF(C71=DataBase!$J$52,DataBase!$M$52))))</f>
        <v>crowd</v>
      </c>
      <c r="BV71" s="132" t="str">
        <f>E58</f>
        <v>medium</v>
      </c>
      <c r="BW71" s="137"/>
      <c r="BX71" s="137" t="str">
        <f>$F71</f>
        <v>normale z.B. typische parkplatz Straßenszene</v>
      </c>
      <c r="BY71" s="137" t="str">
        <f>$G71</f>
        <v>IBBP</v>
      </c>
      <c r="BZ71" s="137">
        <f>$H71</f>
        <v>255</v>
      </c>
      <c r="CA71" s="137">
        <f>$I71</f>
        <v>60</v>
      </c>
      <c r="CB71" s="137">
        <f>$J71</f>
        <v>1920</v>
      </c>
      <c r="CC71" s="137">
        <f>$K71</f>
        <v>1080</v>
      </c>
      <c r="CD71" s="137" t="str">
        <f>$L71</f>
        <v>h_265</v>
      </c>
      <c r="CE71" s="137" t="str">
        <f>$M71</f>
        <v>CPP_7_3</v>
      </c>
      <c r="CF71" s="137">
        <f>$E71</f>
        <v>0</v>
      </c>
      <c r="CH71" s="132">
        <f>1/BZ71*CA71</f>
        <v>0.23529411764705882</v>
      </c>
      <c r="CI71" s="132">
        <f>IF(BX71=DataBase!$B$14,DataBase!$C$14,IF(BX71=DataBase!$B$15,DataBase!$C$15,IF(BX71=DataBase!$B$16,DataBase!$C$16)))</f>
        <v>300000</v>
      </c>
      <c r="CJ71" s="132">
        <f>IF(BV71=DataBase!$B$30,DataBase!$C$30,IF(BV71=DataBase!$B$31,DataBase!$C$31,IF(BV71=DataBase!$B$32,DataBase!$C$32,IF(BV71=DataBase!$B$33,DataBase!$C$33,IF(BV71=DataBase!$B$34,DataBase!$C$34)))))</f>
        <v>1</v>
      </c>
      <c r="CK71" s="132">
        <f>CI71*CJ71</f>
        <v>300000</v>
      </c>
      <c r="CL71" s="132">
        <f>IF(BX71=DataBase!$B$14,DataBase!$G$14,IF(BX71=DataBase!$B$15,DataBase!$G$15,IF(BX71=DataBase!$B$16,DataBase!$G$16)))</f>
        <v>200</v>
      </c>
      <c r="CM71" s="132">
        <f>IF(CF71=DataBase!$K$20,1,IF(CF71=DataBase!$K$21,1,0))</f>
        <v>0</v>
      </c>
      <c r="CN71" s="132">
        <f>IF(CF71=DataBase!$K$20,DataBase!$M$20,IF(CF71=DataBase!$K$21,DataBase!$M$21,0))</f>
        <v>0</v>
      </c>
      <c r="CO71" s="132">
        <f>IF(CM71=1,IF(CN71&lt;&gt;0,CN71,CL71),CL71)</f>
        <v>200</v>
      </c>
      <c r="CP71" s="132">
        <f>IF(BV71=DataBase!$B$30,DataBase!$H$30,IF(BV71=DataBase!$B$31,DataBase!$H$31,IF(BV71=DataBase!$B$32,DataBase!$H$32,IF(BV71=DataBase!$B$33,DataBase!$H$33,IF(BV71=DataBase!$B$34,DataBase!$H$34)))))</f>
        <v>1</v>
      </c>
      <c r="CQ71" s="132">
        <f>IF(BU71=DataBase!$B$21,DataBase!$G$21,IF(BU71=DataBase!$B$22,DataBase!$G$22,IF(BU71=DataBase!$B$23,DataBase!$G$23,IF(BU71=DataBase!$B$24,DataBase!$G$24,IF(BU71=DataBase!$B$25,DataBase!$G$25)))))</f>
        <v>2</v>
      </c>
      <c r="CR71" s="132">
        <f>IF(CE71=DataBase!$B$44,DataBase!$G$44,IF($F71=DataBase!$B$45,DataBase!$G$45,IF(CE71=DataBase!$B$46,DataBase!$G$46,IF(CE71=DataBase!$B$47,DataBase!$G$47,IF(CE71=DataBase!$B$48,DataBase!$G$48,IF(CE71=DataBase!$B$49,DataBase!$G$49))))))+CO71*CP71*CQ71</f>
        <v>400</v>
      </c>
      <c r="CS71" s="132">
        <f>CR71+CK71*DR71</f>
        <v>360400</v>
      </c>
      <c r="CT71" s="132">
        <f>((BZ71-1)/BZ71)/IF(BY71=DataBase!$B$8,DataBase!$C$8,IF(BY71=DataBase!$B$9,DataBase!$C$9,IF(BY71=DataBase!$B$10,DataBase!$C$10)))*CA71</f>
        <v>19.921568627450981</v>
      </c>
      <c r="CU71" s="132">
        <f>IF(BX71=DataBase!$B$14,DataBase!$E$14,IF(BX71=DataBase!$B$15,DataBase!$E$15,IF(BX71=DataBase!$B$16,DataBase!$E$16)))</f>
        <v>125</v>
      </c>
      <c r="CV71" s="132">
        <f>IF(BU71=DataBase!$B$21,DataBase!$E$21,IF(BU71=DataBase!$B$22,DataBase!$E$22,IF(BU71=DataBase!$B$23,DataBase!$E$23,IF(BU71=DataBase!$B$24,DataBase!$E$24,IF(BU71=DataBase!$B$25,DataBase!$E$25)))))</f>
        <v>15780</v>
      </c>
      <c r="CW71" s="132">
        <f>IF(BY71=DataBase!$B$8,DataBase!$C$8,IF(BY71=DataBase!$B$9,DataBase!$C$9,IF(BY71=DataBase!$B$10,DataBase!$C$10)))</f>
        <v>3</v>
      </c>
      <c r="CX71" s="140">
        <f>POWER(CA71/((DataBase!$F$5*CW71)),DataBase!$E$52)*DataBase!$F$5*CW71/CA71</f>
        <v>1.1394328171664916</v>
      </c>
      <c r="CY71" s="132">
        <f>IF(BV71=DataBase!$B$30,DataBase!$F$30,IF(BV71=DataBase!$B$31,DataBase!$F$31,IF(BV71=DataBase!$B$32,DataBase!$F$32,IF(BV71=DataBase!$B$33,DataBase!$F$33,IF(BV71=DataBase!$B$34,DataBase!$F$34)))))</f>
        <v>1</v>
      </c>
      <c r="CZ71" s="132">
        <f>CV71*CX71*CY71*DS71</f>
        <v>25172.349796842129</v>
      </c>
      <c r="DA71" s="132">
        <f>IF(BX71=DataBase!$B$14,DataBase!$H$14,IF(BX71=DataBase!$B$15,DataBase!$H$15,IF(BX71=DataBase!$B$16,DataBase!$H$16)))*CO71</f>
        <v>100</v>
      </c>
      <c r="DB71" s="132">
        <f>IF(BV71=DataBase!$B$30,DataBase!$H$30,IF(BV71=DataBase!$B$31,DataBase!$H$31,IF(BV71=DataBase!$B$32,DataBase!$H$32,IF(BV71=DataBase!$B$33,DataBase!$H$33,IF(BV71=DataBase!$B$34,DataBase!$H$34)))))</f>
        <v>1</v>
      </c>
      <c r="DC71" s="132">
        <f>IF(BU71=DataBase!$B$21,DataBase!$G$21,IF(BU71=DataBase!$B$22,DataBase!$G$22,IF(BU71=DataBase!$B$23,DataBase!$G$23,IF(BU71=DataBase!$B$24,DataBase!$G$24,IF(BU71=DataBase!$B$25,DataBase!$G$25)))))</f>
        <v>2</v>
      </c>
      <c r="DD71" s="132">
        <f>DA71*DB71*DC71+IF(CE71=DataBase!$B$44,DataBase!$G$44,IF(CE71=DataBase!$B$45,DataBase!$G$45,IF(CE71=DataBase!$B$46,DataBase!$G$46,IF(CE71=DataBase!$B$47,DataBase!$G$47,IF(CE71=DataBase!$B$48,DataBase!$G$48,IF(CE71=DataBase!$B$49,DataBase!$G$49))))))</f>
        <v>200</v>
      </c>
      <c r="DE71" s="133">
        <f>CU71+CZ71+DD71</f>
        <v>25497.349796842129</v>
      </c>
      <c r="DF71" s="132">
        <f>IF(BY71=DataBase!$B$8,0,((BZ71-1)/BZ71)/IF(BY71=DataBase!$B$9,2,IF(BY71=DataBase!$B$10,3/2))*CA71)</f>
        <v>39.843137254901961</v>
      </c>
      <c r="DG71" s="132">
        <f>IF(BX71=DataBase!$B$14,DataBase!$F$14,IF(BX71=DataBase!$B$15,DataBase!$F$15,IF(BX71=DataBase!$B$16,DataBase!$F$16)))</f>
        <v>125</v>
      </c>
      <c r="DH71" s="132">
        <f>IF(BU71=DataBase!$B$21,DataBase!$F$21,IF(BU71=DataBase!$B$22,DataBase!$F$22,IF(BU71=DataBase!$B$23,DataBase!$F$23,IF(BU71=DataBase!$B$24,DataBase!$F$24,IF(BU71=DataBase!$B$25,DataBase!$F$25)))))</f>
        <v>3964</v>
      </c>
      <c r="DI71" s="132">
        <f>IF(BY71=DataBase!$B$8,DataBase!$E$8,IF(BY71=DataBase!$B$9,DataBase!$E$9,IF(BY71=DataBase!$B$10,DataBase!$E$10)))</f>
        <v>2</v>
      </c>
      <c r="DJ71" s="140">
        <f>IF(DI71=0,0,POWER(CA71/((DataBase!$F$5*DI71)),DataBase!$E$52)*DataBase!$F$5*DI71/CA71)</f>
        <v>1</v>
      </c>
      <c r="DK71" s="132">
        <f>IF(BV71=DataBase!$B$30,DataBase!$G$30,IF(BV71=DataBase!$B$31,DataBase!$G$31,IF(BV71=DataBase!$B$32,DataBase!$G$32,IF(BV71=DataBase!$B$33,DataBase!$G$33,IF(BV71=DataBase!$B$34,DataBase!$G$34)))))</f>
        <v>1</v>
      </c>
      <c r="DL71" s="132">
        <f>DH71*DJ71*DK71*DS71</f>
        <v>5549.5999999999995</v>
      </c>
      <c r="DM71" s="132">
        <f>IF(BX71=DataBase!$B$14,DataBase!$J$14,IF(BX71=DataBase!$B$15,DataBase!$J$15,IF(BX71=DataBase!$B$16,DataBase!$J$16)))*CO71</f>
        <v>50</v>
      </c>
      <c r="DN71" s="132">
        <f>IF(BV71=DataBase!$B$30,DataBase!$H$30,IF(BV71=DataBase!$B$31,DataBase!$H$31,IF(BV71=DataBase!$B$32,DataBase!$H$32,IF(BV71=DataBase!$B$33,DataBase!$H$33,IF(BV71=DataBase!$B$34,DataBase!$H$34)))))</f>
        <v>1</v>
      </c>
      <c r="DO71" s="132">
        <f>IF(BU71=DataBase!$B$21,DataBase!$G$21,IF(BU71=DataBase!$B$22,DataBase!$G$22,IF(BU71=DataBase!$B$23,DataBase!$G$23,IF(BU71=DataBase!$B$24,DataBase!$G$24,IF(BU71=DataBase!$B$25,DataBase!$G$25)))))</f>
        <v>2</v>
      </c>
      <c r="DP71" s="132">
        <f>DM71*DN71*DO71+IF(CE71=DataBase!$B$44,DataBase!$G$44,IF(CE71=DataBase!$B$45,DataBase!$G$45,IF(CE71=DataBase!$B$46,DataBase!$G$46,IF(CE71=DataBase!$B$47,DataBase!$G$47,IF(CE71=DataBase!$B$48,DataBase!$G$48,IF(CE71=DataBase!$B$49,DataBase!$G$49))))))</f>
        <v>100</v>
      </c>
      <c r="DQ71" s="133">
        <f>DG71+DL71+DP71</f>
        <v>5774.5999999999995</v>
      </c>
      <c r="DR71" s="134">
        <f>IF(CE71=DataBase!$B$44,DataBase!$C$44,IF(CE71=DataBase!$B$45,DataBase!$C$45,IF(CE71=DataBase!$B$46,DataBase!$C$46,IF(CE71=DataBase!$B$47,DataBase!$C$47,IF(CE71=DataBase!$B$48,DataBase!$C$48,IF(CE71=DataBase!$B$49,DataBase!$C$49))))))</f>
        <v>1.2</v>
      </c>
      <c r="DS71" s="134">
        <f>IF(CE71=DataBase!$B$44,DataBase!$D$44,IF(CE71=DataBase!$B$45,DataBase!$D$45,IF(CE71=DataBase!$B$46,DataBase!$D$46,IF(CE71=DataBase!$B$47,DataBase!$D$47,IF(CE71=DataBase!$B$48,DataBase!$D$48,IF(CE71=DataBase!$B$49,DataBase!$D$49))))))</f>
        <v>1.4</v>
      </c>
      <c r="DT71" s="132">
        <f>DQ71*8*DF71+DE71*8*CT71+CS71*CH71*8</f>
        <v>6582603.0735045653</v>
      </c>
      <c r="DU71" s="132">
        <f>POWER(((DataBase!$C$5*DataBase!$E$5)/(CB71*CC71)),DataBase!$E$53)</f>
        <v>1</v>
      </c>
      <c r="DV71" s="132">
        <f>IF(CD71=DataBase!$B$37,DataBase!$C$37,IF(CD71=DataBase!$B$38,DataBase!$C$38))</f>
        <v>0.75</v>
      </c>
      <c r="DX71" s="136">
        <f>DV71*DU71*DT71</f>
        <v>4936952.3051284235</v>
      </c>
      <c r="DY71" s="132" t="s">
        <v>630</v>
      </c>
      <c r="EA71" s="137" t="str">
        <f>IF(C71=DataBase!$J$49,DataBase!$O$49,IF(C71=DataBase!$J$50,DataBase!$O$50,IF(C71=DataBase!$J$51,DataBase!$O$51,IF(C71=DataBase!$J$52,DataBase!$O$52))))</f>
        <v>escape</v>
      </c>
      <c r="EB71" s="132" t="str">
        <f>E58</f>
        <v>medium</v>
      </c>
      <c r="EC71" s="137"/>
      <c r="ED71" s="137" t="str">
        <f>$F71</f>
        <v>normale z.B. typische parkplatz Straßenszene</v>
      </c>
      <c r="EE71" s="137" t="str">
        <f>$G71</f>
        <v>IBBP</v>
      </c>
      <c r="EF71" s="137">
        <f>$H71</f>
        <v>255</v>
      </c>
      <c r="EG71" s="137">
        <f>$I71</f>
        <v>60</v>
      </c>
      <c r="EH71" s="137">
        <f>$J71</f>
        <v>1920</v>
      </c>
      <c r="EI71" s="137">
        <f>$K71</f>
        <v>1080</v>
      </c>
      <c r="EJ71" s="137" t="str">
        <f>$L71</f>
        <v>h_265</v>
      </c>
      <c r="EK71" s="137" t="str">
        <f>$M71</f>
        <v>CPP_7_3</v>
      </c>
      <c r="EL71" s="137">
        <f>$E71</f>
        <v>0</v>
      </c>
      <c r="EN71" s="132">
        <f>1/EF71*EG71</f>
        <v>0.23529411764705882</v>
      </c>
      <c r="EO71" s="132">
        <f>IF(ED71=DataBase!$B$14,DataBase!$C$14,IF(ED71=DataBase!$B$15,DataBase!$C$15,IF(ED71=DataBase!$B$16,DataBase!$C$16)))</f>
        <v>300000</v>
      </c>
      <c r="EP71" s="132">
        <f>IF(EB71=DataBase!$B$30,DataBase!$C$30,IF(EB71=DataBase!$B$31,DataBase!$C$31,IF(EB71=DataBase!$B$32,DataBase!$C$32,IF(EB71=DataBase!$B$33,DataBase!$C$33,IF(EB71=DataBase!$B$34,DataBase!$C$34)))))</f>
        <v>1</v>
      </c>
      <c r="EQ71" s="132">
        <f>EO71*EP71</f>
        <v>300000</v>
      </c>
      <c r="ER71" s="132">
        <f>IF(ED71=DataBase!$B$14,DataBase!$G$14,IF(ED71=DataBase!$B$15,DataBase!$G$15,IF(ED71=DataBase!$B$16,DataBase!$G$16)))</f>
        <v>200</v>
      </c>
      <c r="ES71" s="132">
        <f>IF(EL71=DataBase!$K$20,1,IF(EL71=DataBase!$K$21,1,0))</f>
        <v>0</v>
      </c>
      <c r="ET71" s="132">
        <f>IF(EL71=DataBase!$K$20,DataBase!$M$20,IF(EL71=DataBase!$K$21,DataBase!$M$21,0))</f>
        <v>0</v>
      </c>
      <c r="EU71" s="132">
        <f>IF(ES71=1,IF(ET71&lt;&gt;0,ET71,ER71),ER71)</f>
        <v>200</v>
      </c>
      <c r="EV71" s="132">
        <f>IF(EB71=DataBase!$B$30,DataBase!$H$30,IF(EB71=DataBase!$B$31,DataBase!$H$31,IF(EB71=DataBase!$B$32,DataBase!$H$32,IF(EB71=DataBase!$B$33,DataBase!$H$33,IF(EB71=DataBase!$B$34,DataBase!$H$34)))))</f>
        <v>1</v>
      </c>
      <c r="EW71" s="132">
        <f>IF(EA71=DataBase!$B$21,DataBase!$G$21,IF(EA71=DataBase!$B$22,DataBase!$G$22,IF(EA71=DataBase!$B$23,DataBase!$G$23,IF(EA71=DataBase!$B$24,DataBase!$G$24,IF(EA71=DataBase!$B$25,DataBase!$G$25)))))</f>
        <v>2</v>
      </c>
      <c r="EX71" s="132">
        <f>IF(EK71=DataBase!$B$44,DataBase!$G$44,IF($F71=DataBase!$B$45,DataBase!$G$45,IF(EK71=DataBase!$B$46,DataBase!$G$46,IF(EK71=DataBase!$B$47,DataBase!$G$47,IF(EK71=DataBase!$B$48,DataBase!$G$48,IF(EK71=DataBase!$B$49,DataBase!$G$49))))))+EU71*EV71*EW71</f>
        <v>400</v>
      </c>
      <c r="EY71" s="132">
        <f>EX71+EQ71*FX71</f>
        <v>360400</v>
      </c>
      <c r="EZ71" s="132">
        <f>((EF71-1)/EF71)/IF(EE71=DataBase!$B$8,DataBase!$C$8,IF(EE71=DataBase!$B$9,DataBase!$C$9,IF(EE71=DataBase!$B$10,DataBase!$C$10)))*EG71</f>
        <v>19.921568627450981</v>
      </c>
      <c r="FA71" s="132">
        <f>IF(ED71=DataBase!$B$14,DataBase!$E$14,IF(ED71=DataBase!$B$15,DataBase!$E$15,IF(ED71=DataBase!$B$16,DataBase!$E$16)))</f>
        <v>125</v>
      </c>
      <c r="FB71" s="132">
        <f>IF(EA71=DataBase!$B$21,DataBase!$E$21,IF(EA71=DataBase!$B$22,DataBase!$E$22,IF(EA71=DataBase!$B$23,DataBase!$E$23,IF(EA71=DataBase!$B$24,DataBase!$E$24,IF(EA71=DataBase!$B$25,DataBase!$E$25)))))</f>
        <v>34839</v>
      </c>
      <c r="FC71" s="132">
        <f>IF(EE71=DataBase!$B$8,DataBase!$C$8,IF(EE71=DataBase!$B$9,DataBase!$C$9,IF(EE71=DataBase!$B$10,DataBase!$C$10)))</f>
        <v>3</v>
      </c>
      <c r="FD71" s="140">
        <f>POWER(EG71/((DataBase!$F$5*FC71)),DataBase!$E$52)*DataBase!$F$5*FC71/EG71</f>
        <v>1.1394328171664916</v>
      </c>
      <c r="FE71" s="132">
        <f>IF(EB71=DataBase!$B$30,DataBase!$F$30,IF(EB71=DataBase!$B$31,DataBase!$F$31,IF(EB71=DataBase!$B$32,DataBase!$F$32,IF(EB71=DataBase!$B$33,DataBase!$F$33,IF(EB71=DataBase!$B$34,DataBase!$F$34)))))</f>
        <v>1</v>
      </c>
      <c r="FF71" s="132">
        <f>FB71*FD71*FE71*FY71</f>
        <v>55575.37988416876</v>
      </c>
      <c r="FG71" s="132">
        <f>IF(ED71=DataBase!$B$14,DataBase!$H$14,IF(ED71=DataBase!$B$15,DataBase!$H$15,IF(ED71=DataBase!$B$16,DataBase!$H$16)))*EU71</f>
        <v>100</v>
      </c>
      <c r="FH71" s="132">
        <f>IF(EB71=DataBase!$B$30,DataBase!$H$30,IF(EB71=DataBase!$B$31,DataBase!$H$31,IF(EB71=DataBase!$B$32,DataBase!$H$32,IF(EB71=DataBase!$B$33,DataBase!$H$33,IF(EB71=DataBase!$B$34,DataBase!$H$34)))))</f>
        <v>1</v>
      </c>
      <c r="FI71" s="132">
        <f>IF(EA71=DataBase!$B$21,DataBase!$G$21,IF(EA71=DataBase!$B$22,DataBase!$G$22,IF(EA71=DataBase!$B$23,DataBase!$G$23,IF(EA71=DataBase!$B$24,DataBase!$G$24,IF(EA71=DataBase!$B$25,DataBase!$G$25)))))</f>
        <v>2</v>
      </c>
      <c r="FJ71" s="132">
        <f>FG71*FH71*FI71+IF(EK71=DataBase!$B$44,DataBase!$G$44,IF(EK71=DataBase!$B$45,DataBase!$G$45,IF(EK71=DataBase!$B$46,DataBase!$G$46,IF(EK71=DataBase!$B$47,DataBase!$G$47,IF(EK71=DataBase!$B$48,DataBase!$G$48,IF(EK71=DataBase!$B$49,DataBase!$G$49))))))</f>
        <v>200</v>
      </c>
      <c r="FK71" s="133">
        <f>FA71+FF71+FJ71</f>
        <v>55900.37988416876</v>
      </c>
      <c r="FL71" s="132">
        <f>IF(EE71=DataBase!$B$8,0,((EF71-1)/EF71)/IF(EE71=DataBase!$B$9,2,IF(EE71=DataBase!$B$10,3/2))*EG71)</f>
        <v>39.843137254901961</v>
      </c>
      <c r="FM71" s="132">
        <f>IF(ED71=DataBase!$B$14,DataBase!$F$14,IF(ED71=DataBase!$B$15,DataBase!$F$15,IF(ED71=DataBase!$B$16,DataBase!$F$16)))</f>
        <v>125</v>
      </c>
      <c r="FN71" s="132">
        <f>IF(EA71=DataBase!$B$21,DataBase!$F$21,IF(EA71=DataBase!$B$22,DataBase!$F$22,IF(EA71=DataBase!$B$23,DataBase!$F$23,IF(EA71=DataBase!$B$24,DataBase!$F$24,IF(EA71=DataBase!$B$25,DataBase!$F$25)))))</f>
        <v>11264</v>
      </c>
      <c r="FO71" s="132">
        <f>IF(EE71=DataBase!$B$8,DataBase!$E$8,IF(EE71=DataBase!$B$9,DataBase!$E$9,IF(EE71=DataBase!$B$10,DataBase!$E$10)))</f>
        <v>2</v>
      </c>
      <c r="FP71" s="140">
        <f>IF(FO71=0,0,POWER(EG71/((DataBase!$F$5*FO71)),DataBase!$E$52)*DataBase!$F$5*FO71/EG71)</f>
        <v>1</v>
      </c>
      <c r="FQ71" s="132">
        <f>IF(EB71=DataBase!$B$30,DataBase!$G$30,IF(EB71=DataBase!$B$31,DataBase!$G$31,IF(EB71=DataBase!$B$32,DataBase!$G$32,IF(EB71=DataBase!$B$33,DataBase!$G$33,IF(EB71=DataBase!$B$34,DataBase!$G$34)))))</f>
        <v>1</v>
      </c>
      <c r="FR71" s="132">
        <f>FN71*FP71*FQ71*FY71</f>
        <v>15769.599999999999</v>
      </c>
      <c r="FS71" s="132">
        <f>IF(ED71=DataBase!$B$14,DataBase!$J$14,IF(ED71=DataBase!$B$15,DataBase!$J$15,IF(ED71=DataBase!$B$16,DataBase!$J$16)))*EU71</f>
        <v>50</v>
      </c>
      <c r="FT71" s="132">
        <f>IF(EB71=DataBase!$B$30,DataBase!$H$30,IF(EB71=DataBase!$B$31,DataBase!$H$31,IF(EB71=DataBase!$B$32,DataBase!$H$32,IF(EB71=DataBase!$B$33,DataBase!$H$33,IF(EB71=DataBase!$B$34,DataBase!$H$34)))))</f>
        <v>1</v>
      </c>
      <c r="FU71" s="132">
        <f>IF(EA71=DataBase!$B$21,DataBase!$G$21,IF(EA71=DataBase!$B$22,DataBase!$G$22,IF(EA71=DataBase!$B$23,DataBase!$G$23,IF(EA71=DataBase!$B$24,DataBase!$G$24,IF(EA71=DataBase!$B$25,DataBase!$G$25)))))</f>
        <v>2</v>
      </c>
      <c r="FV71" s="132">
        <f>FS71*FT71*FU71+IF(EK71=DataBase!$B$44,DataBase!$G$44,IF(EK71=DataBase!$B$45,DataBase!$G$45,IF(EK71=DataBase!$B$46,DataBase!$G$46,IF(EK71=DataBase!$B$47,DataBase!$G$47,IF(EK71=DataBase!$B$48,DataBase!$G$48,IF(EK71=DataBase!$B$49,DataBase!$G$49))))))</f>
        <v>100</v>
      </c>
      <c r="FW71" s="133">
        <f>FM71+FR71+FV71</f>
        <v>15994.599999999999</v>
      </c>
      <c r="FX71" s="134">
        <f>IF(EK71=DataBase!$B$44,DataBase!$C$44,IF(EK71=DataBase!$B$45,DataBase!$C$45,IF(EK71=DataBase!$B$46,DataBase!$C$46,IF(EK71=DataBase!$B$47,DataBase!$C$47,IF(EK71=DataBase!$B$48,DataBase!$C$48,IF(EK71=DataBase!$B$49,DataBase!$C$49))))))</f>
        <v>1.2</v>
      </c>
      <c r="FY71" s="134">
        <f>IF(EK71=DataBase!$B$44,DataBase!$D$44,IF(EK71=DataBase!$B$45,DataBase!$D$45,IF(EK71=DataBase!$B$46,DataBase!$D$46,IF(EK71=DataBase!$B$47,DataBase!$D$47,IF(EK71=DataBase!$B$48,DataBase!$D$48,IF(EK71=DataBase!$B$49,DataBase!$D$49))))))</f>
        <v>1.4</v>
      </c>
      <c r="FZ71" s="132">
        <f>FW71*8*FL71+FK71*8*EZ71+EY71*EN71*8</f>
        <v>14685586.378402425</v>
      </c>
      <c r="GA71" s="132">
        <f>POWER(((DataBase!$C$5*DataBase!$E$5)/(EH71*EI71)),DataBase!$E$53)</f>
        <v>1</v>
      </c>
      <c r="GB71" s="132">
        <f>IF(EJ71=DataBase!$B$37,DataBase!$C$37,IF(EJ71=DataBase!$B$38,DataBase!$C$38))</f>
        <v>0.75</v>
      </c>
      <c r="GD71" s="136">
        <f>GB71*GA71*FZ71</f>
        <v>11014189.783801818</v>
      </c>
      <c r="GE71" s="132" t="s">
        <v>630</v>
      </c>
      <c r="GG71" s="132">
        <f>IF($C71=DataBase!$J$49,DataBase!$L$49,IF($C71=DataBase!$J$50,DataBase!$L$50,IF($C71=DataBase!$J$51,DataBase!$L$51,IF($C71=DataBase!$J$52,DataBase!$L$52))))</f>
        <v>0.3</v>
      </c>
      <c r="GH71" s="132">
        <f>IF($C71=DataBase!$J$49,DataBase!$N$49,IF($C71=DataBase!$J$50,DataBase!$N$50,IF($C71=DataBase!$J$51,DataBase!$N$51,IF($C71=DataBase!$J$52,DataBase!$N$52))))</f>
        <v>0.3</v>
      </c>
      <c r="GI71" s="132">
        <f>IF($C71=DataBase!$J$49,DataBase!$P$49,IF($C71=DataBase!$J$50,DataBase!$P$50,IF($C71=DataBase!$J$51,DataBase!$P$51,IF($C71=DataBase!$J$52,DataBase!$P$52))))</f>
        <v>0.39999999999999997</v>
      </c>
      <c r="GK71" s="136">
        <f>$GG71*BR71</f>
        <v>348615.44746853766</v>
      </c>
      <c r="GL71" s="132" t="s">
        <v>630</v>
      </c>
      <c r="GM71" s="136">
        <f>$DX71*GH71</f>
        <v>1481085.6915385269</v>
      </c>
      <c r="GN71" s="132" t="s">
        <v>630</v>
      </c>
      <c r="GO71" s="136">
        <f>$GD71*GI71</f>
        <v>4405675.9135207273</v>
      </c>
      <c r="GP71" s="132" t="s">
        <v>630</v>
      </c>
      <c r="GR71" s="136">
        <f>GO71+GM71+GK71</f>
        <v>6235377.0525277918</v>
      </c>
      <c r="GS71" s="132" t="s">
        <v>630</v>
      </c>
      <c r="GU71" s="136">
        <f>MAX($GD71,$DX71,$BR71)</f>
        <v>11014189.783801818</v>
      </c>
      <c r="GV71" s="132" t="s">
        <v>630</v>
      </c>
      <c r="GW71" s="132">
        <f>IF($M71=DataBase!$B$44,DataBase!$E$44,IF($M71=DataBase!$B$45,DataBase!$E$45,IF($M71=DataBase!$B$46,DataBase!$E$46,IF($M71=DataBase!$B$47,DataBase!$E$47,IF($M71=DataBase!$B$48,DataBase!$E$48,IF($M71=DataBase!$B$49,DataBase!$E$49))))))</f>
        <v>1</v>
      </c>
      <c r="GY71" s="132" t="e">
        <f>D69</f>
        <v>#N/A</v>
      </c>
      <c r="GZ71" s="132" t="e">
        <f>D70</f>
        <v>#N/A</v>
      </c>
      <c r="HA71" s="132">
        <f>IF($M71=DataBase!$B$44,DataBase!$F$44,IF($M71=DataBase!$B$45,DataBase!$F$45,IF($M71=DataBase!$B$46,DataBase!$F$46,IF($M71=DataBase!$B$47,DataBase!$F$47,IF($M71=DataBase!$B$48,DataBase!$F$48,IF($M71=DataBase!$B$49,DataBase!$F$49))))))</f>
        <v>32000000</v>
      </c>
      <c r="HB71" s="132" t="s">
        <v>630</v>
      </c>
      <c r="HC71" s="132" t="str">
        <f>C71&amp;D71&amp;I71&amp;J71&amp;K71&amp;M71</f>
        <v>crowdedmedium6019201080CPP_7_3</v>
      </c>
      <c r="HD71" s="136" t="e">
        <f>MIN(HA71,MAX(GZ71*IF(0=GW71,GR71,IF(1=GW71,GR71,IF(2=GW71,GU71)))))</f>
        <v>#N/A</v>
      </c>
      <c r="HE71" s="132" t="s">
        <v>630</v>
      </c>
      <c r="HG71" s="132" t="str">
        <f>IF(GW71=1,"SUPPORTED","NOT SUPPORTED")</f>
        <v>SUPPORTED</v>
      </c>
      <c r="HH71" s="136" t="e">
        <f>HJ71</f>
        <v>#N/A</v>
      </c>
      <c r="HI71" s="132" t="s">
        <v>630</v>
      </c>
      <c r="HJ71" s="136" t="e">
        <f>MIN(HA71,GZ71*IF(GW71=0,2*GR71,GU71))</f>
        <v>#N/A</v>
      </c>
      <c r="HK71" s="132" t="s">
        <v>630</v>
      </c>
      <c r="HL71" s="132" t="str">
        <f>E58</f>
        <v>medium</v>
      </c>
      <c r="HM71" s="132">
        <f>0</f>
        <v>0</v>
      </c>
      <c r="HO71" s="136" t="e">
        <f>MIN(HA71,MAX(HQ71/GY71,GZ71*IF(0=GW71,GR71,IF(1=GW71,GR71,IF(2=GW71,GU71)))))</f>
        <v>#N/A</v>
      </c>
      <c r="HP71" s="132" t="s">
        <v>630</v>
      </c>
      <c r="HQ71" s="136" t="e">
        <f>MIN(HA71,GZ71*IF(GW71=0,2*GR71,GU71))</f>
        <v>#N/A</v>
      </c>
      <c r="HR71" s="132" t="s">
        <v>630</v>
      </c>
      <c r="HS71" s="132" t="str">
        <f>E58</f>
        <v>medium</v>
      </c>
      <c r="HT71" s="132">
        <f>IF(GW71=1,3600*24*GW71,0)</f>
        <v>86400</v>
      </c>
    </row>
    <row r="72" spans="3:228" s="132" customFormat="1" hidden="1">
      <c r="AV72" s="133"/>
      <c r="BH72" s="133"/>
      <c r="BL72" s="134"/>
      <c r="BM72" s="134"/>
      <c r="DB72" s="133"/>
      <c r="DN72" s="133"/>
      <c r="DR72" s="134"/>
      <c r="DS72" s="134"/>
      <c r="FH72" s="133"/>
      <c r="FT72" s="133"/>
      <c r="FX72" s="134"/>
      <c r="FY72" s="134"/>
    </row>
    <row r="73" spans="3:228" s="132" customFormat="1" hidden="1">
      <c r="C73" s="137" t="s">
        <v>581</v>
      </c>
      <c r="D73" s="137" t="s">
        <v>629</v>
      </c>
      <c r="E73" s="138"/>
      <c r="F73" s="138" t="s">
        <v>632</v>
      </c>
      <c r="G73" s="139" t="s">
        <v>633</v>
      </c>
      <c r="H73" s="138">
        <v>255</v>
      </c>
      <c r="I73" s="138">
        <v>30</v>
      </c>
      <c r="J73" s="138">
        <v>1920</v>
      </c>
      <c r="K73" s="138">
        <v>1080</v>
      </c>
      <c r="L73" s="138" t="s">
        <v>595</v>
      </c>
      <c r="M73" s="138" t="s">
        <v>582</v>
      </c>
      <c r="O73" s="137" t="str">
        <f>IF(C73=DataBase!$J$49,DataBase!$K$49,IF(C73=DataBase!$J$50,DataBase!$K$50,IF(C73=DataBase!$J$51,DataBase!$K$51,IF(C73=DataBase!$J$52,DataBase!$K$52))))</f>
        <v>static</v>
      </c>
      <c r="P73" s="132" t="str">
        <f>IF(D73=DataBase!$J$44,DataBase!$L$44,IF(D73=DataBase!$J$45,DataBase!$L$45,IF(D73=DataBase!$J$46,DataBase!$L$46)))</f>
        <v>medium</v>
      </c>
      <c r="Q73" s="137"/>
      <c r="R73" s="137" t="str">
        <f>$F73</f>
        <v>normale z.B. typische parkplatz Straßenszene</v>
      </c>
      <c r="S73" s="137" t="str">
        <f>$G73</f>
        <v>IBBP</v>
      </c>
      <c r="T73" s="137">
        <f>$H73</f>
        <v>255</v>
      </c>
      <c r="U73" s="137">
        <f>$I73</f>
        <v>30</v>
      </c>
      <c r="V73" s="137">
        <f>$J73</f>
        <v>1920</v>
      </c>
      <c r="W73" s="137">
        <f>$K73</f>
        <v>1080</v>
      </c>
      <c r="X73" s="137" t="str">
        <f>$L73</f>
        <v>h_264</v>
      </c>
      <c r="Y73" s="137" t="str">
        <f>$M73</f>
        <v>CPP_7_3</v>
      </c>
      <c r="Z73" s="137">
        <f>$E73</f>
        <v>0</v>
      </c>
      <c r="AB73" s="132">
        <f>1/T73*U73</f>
        <v>0.11764705882352941</v>
      </c>
      <c r="AC73" s="132">
        <f>IF(R73=DataBase!$B$14,DataBase!$C$14,IF(R73=DataBase!$B$15,DataBase!$C$15,IF(R73=DataBase!$B$16,DataBase!$C$16)))</f>
        <v>300000</v>
      </c>
      <c r="AD73" s="132">
        <f>IF(P73=DataBase!$B$30,DataBase!$C$30,IF(P73=DataBase!$B$31,DataBase!$C$31,IF(P73=DataBase!$B$32,DataBase!$C$32,IF(P73=DataBase!$B$33,DataBase!$C$33,IF(P73=DataBase!$B$34,DataBase!$C$34)))))</f>
        <v>1</v>
      </c>
      <c r="AE73" s="132">
        <f>AC73*AD73</f>
        <v>300000</v>
      </c>
      <c r="AF73" s="132">
        <f>IF(R73=DataBase!$B$14,DataBase!$G$14,IF(R73=DataBase!$B$15,DataBase!$G$15,IF(R73=DataBase!$B$16,DataBase!$G$16)))</f>
        <v>200</v>
      </c>
      <c r="AG73" s="132">
        <f>IF(Z73=DataBase!$K$20,1,IF(Z73=DataBase!$K$21,1,0))</f>
        <v>0</v>
      </c>
      <c r="AH73" s="132">
        <f>IF(Z73=DataBase!$K$20,DataBase!$M$20,IF(Z73=DataBase!$K$21,DataBase!$M$21,0))</f>
        <v>0</v>
      </c>
      <c r="AI73" s="132">
        <f>IF(AG73=1,IF(AH73&lt;&gt;0,AH73,AF73),AF73)</f>
        <v>200</v>
      </c>
      <c r="AJ73" s="132">
        <f>IF(P73=DataBase!$B$30,DataBase!$H$30,IF(P73=DataBase!$B$31,DataBase!$H$31,IF(P73=DataBase!$B$32,DataBase!$H$32,IF(P73=DataBase!$B$33,DataBase!$H$33,IF(P73=DataBase!$B$34,DataBase!$H$34)))))</f>
        <v>1</v>
      </c>
      <c r="AK73" s="132">
        <f>IF(O73=DataBase!$B$21,DataBase!$G$21,IF(O73=DataBase!$B$22,DataBase!$G$22,IF(O73=DataBase!$B$23,DataBase!$G$23,IF(O73=DataBase!$B$24,DataBase!$G$24,IF(O73=DataBase!$B$25,DataBase!$G$25)))))</f>
        <v>1</v>
      </c>
      <c r="AL73" s="132">
        <f>IF(Y73=DataBase!$B$44,DataBase!$G$44,IF($F73=DataBase!$B$45,DataBase!$G$45,IF(Y73=DataBase!$B$46,DataBase!$G$46,IF(Y73=DataBase!$B$47,DataBase!$G$47,IF(Y73=DataBase!$B$48,DataBase!$G$48,IF(Y73=DataBase!$B$49,DataBase!$G$49))))))+AI73*AJ73*AK73</f>
        <v>200</v>
      </c>
      <c r="AM73" s="132">
        <f>AL73+AE73*BL73</f>
        <v>360200</v>
      </c>
      <c r="AN73" s="132">
        <f>((T73-1)/T73)/IF(S73=DataBase!$B$8,DataBase!$C$8,IF(S73=DataBase!$B$9,DataBase!$C$9,IF(S73=DataBase!$B$10,DataBase!$C$10)))*U73</f>
        <v>9.9607843137254903</v>
      </c>
      <c r="AO73" s="132">
        <f>IF(R73=DataBase!$B$14,DataBase!$E$14,IF(R73=DataBase!$B$15,DataBase!$E$15,IF(R73=DataBase!$B$16,DataBase!$E$16)))</f>
        <v>125</v>
      </c>
      <c r="AP73" s="132">
        <f>IF(O73=DataBase!$B$21,DataBase!$E$21,IF(O73=DataBase!$B$22,DataBase!$E$22,IF(O73=DataBase!$B$23,DataBase!$E$23,IF(O73=DataBase!$B$24,DataBase!$E$24,IF(O73=DataBase!$B$25,DataBase!$E$25)))))</f>
        <v>0</v>
      </c>
      <c r="AQ73" s="132">
        <f>IF(S73=DataBase!$B$8,DataBase!$C$8,IF(S73=DataBase!$B$9,DataBase!$C$9,IF(S73=DataBase!$B$10,DataBase!$C$10)))</f>
        <v>3</v>
      </c>
      <c r="AR73" s="140">
        <f>POWER(U73/((DataBase!$F$5*AQ73)),DataBase!$E$52)*DataBase!$F$5*AQ73/U73</f>
        <v>1.4242910214581144</v>
      </c>
      <c r="AS73" s="132">
        <f>IF(P73=DataBase!$B$30,DataBase!$F$30,IF(P73=DataBase!$B$31,DataBase!$F$31,IF(P73=DataBase!$B$32,DataBase!$F$32,IF(P73=DataBase!$B$33,DataBase!$F$33,IF(P73=DataBase!$B$34,DataBase!$F$34)))))</f>
        <v>1</v>
      </c>
      <c r="AT73" s="132">
        <f>AP73*AR73*AS73*BM73</f>
        <v>0</v>
      </c>
      <c r="AU73" s="132">
        <f>IF(R73=DataBase!$B$14,DataBase!$H$14,IF(R73=DataBase!$B$15,DataBase!$H$15,IF(R73=DataBase!$B$16,DataBase!$H$16)))*AI73</f>
        <v>100</v>
      </c>
      <c r="AV73" s="132">
        <f>IF(P73=DataBase!$B$30,DataBase!$H$30,IF(P73=DataBase!$B$31,DataBase!$H$31,IF(P73=DataBase!$B$32,DataBase!$H$32,IF(P73=DataBase!$B$33,DataBase!$H$33,IF(P73=DataBase!$B$34,DataBase!$H$34)))))</f>
        <v>1</v>
      </c>
      <c r="AW73" s="132">
        <f>IF(O73=DataBase!$B$21,DataBase!$G$21,IF(O73=DataBase!$B$22,DataBase!$G$22,IF(O73=DataBase!$B$23,DataBase!$G$23,IF(O73=DataBase!$B$24,DataBase!$G$24,IF(O73=DataBase!$B$25,DataBase!$G$25)))))</f>
        <v>1</v>
      </c>
      <c r="AX73" s="132">
        <f>AU73*AV73*AW73+IF(Y73=DataBase!$B$44,DataBase!$G$44,IF(Y73=DataBase!$B$45,DataBase!$G$45,IF(Y73=DataBase!$B$46,DataBase!$G$46,IF(Y73=DataBase!$B$47,DataBase!$G$47,IF(Y73=DataBase!$B$48,DataBase!$G$48,IF(Y73=DataBase!$B$49,DataBase!$G$49))))))</f>
        <v>100</v>
      </c>
      <c r="AY73" s="133">
        <f>AO73+AT73+AX73</f>
        <v>225</v>
      </c>
      <c r="AZ73" s="132">
        <f>IF(S73=DataBase!$B$8,0,((T73-1)/T73)/IF(S73=DataBase!$B$9,2,IF(S73=DataBase!$B$10,3/2))*U73)</f>
        <v>19.921568627450981</v>
      </c>
      <c r="BA73" s="132">
        <f>IF(R73=DataBase!$B$14,DataBase!$F$14,IF(R73=DataBase!$B$15,DataBase!$F$15,IF(R73=DataBase!$B$16,DataBase!$F$16)))</f>
        <v>125</v>
      </c>
      <c r="BB73" s="132">
        <f>IF(O73=DataBase!$B$21,DataBase!$F$21,IF(O73=DataBase!$B$22,DataBase!$F$22,IF(O73=DataBase!$B$23,DataBase!$F$23,IF(O73=DataBase!$B$24,DataBase!$F$24,IF(O73=DataBase!$B$25,DataBase!$F$25)))))</f>
        <v>0</v>
      </c>
      <c r="BC73" s="132">
        <f>IF(S73=DataBase!$B$8,DataBase!$E$8,IF(S73=DataBase!$B$9,DataBase!$E$9,IF(S73=DataBase!$B$10,DataBase!$E$10)))</f>
        <v>2</v>
      </c>
      <c r="BD73" s="140">
        <f>IF(BC73=0,0,POWER(U73/((DataBase!$F$5*BC73)),DataBase!$E$52)*DataBase!$F$5*BC73/U73)</f>
        <v>1.25</v>
      </c>
      <c r="BE73" s="132">
        <f>IF(P73=DataBase!$B$30,DataBase!$G$30,IF(P73=DataBase!$B$31,DataBase!$G$31,IF(P73=DataBase!$B$32,DataBase!$G$32,IF(P73=DataBase!$B$33,DataBase!$G$33,IF(P73=DataBase!$B$34,DataBase!$G$34)))))</f>
        <v>1</v>
      </c>
      <c r="BF73" s="132">
        <f>BB73*BD73*BE73*BM73</f>
        <v>0</v>
      </c>
      <c r="BG73" s="132">
        <f>IF(R73=DataBase!$B$14,DataBase!$J$14,IF(R73=DataBase!$B$15,DataBase!$J$15,IF(R73=DataBase!$B$16,DataBase!$J$16)))*AI73</f>
        <v>50</v>
      </c>
      <c r="BH73" s="132">
        <f>IF(P73=DataBase!$B$30,DataBase!$H$30,IF(P73=DataBase!$B$31,DataBase!$H$31,IF(P73=DataBase!$B$32,DataBase!$H$32,IF(P73=DataBase!$B$33,DataBase!$H$33,IF(P73=DataBase!$B$34,DataBase!$H$34)))))</f>
        <v>1</v>
      </c>
      <c r="BI73" s="132">
        <f>IF(O73=DataBase!$B$21,DataBase!$G$21,IF(O73=DataBase!$B$22,DataBase!$G$22,IF(O73=DataBase!$B$23,DataBase!$G$23,IF(O73=DataBase!$B$24,DataBase!$G$24,IF(O73=DataBase!$B$25,DataBase!$G$25)))))</f>
        <v>1</v>
      </c>
      <c r="BJ73" s="132">
        <f>BG73*BH73*BI73+IF(Y73=DataBase!$B$44,DataBase!$G$44,IF(Y73=DataBase!$B$45,DataBase!$G$45,IF(Y73=DataBase!$B$46,DataBase!$G$46,IF(Y73=DataBase!$B$47,DataBase!$G$47,IF(Y73=DataBase!$B$48,DataBase!$G$48,IF(Y73=DataBase!$B$49,DataBase!$G$49))))))</f>
        <v>50</v>
      </c>
      <c r="BK73" s="133">
        <f>BA73+BF73+BJ73</f>
        <v>175</v>
      </c>
      <c r="BL73" s="134">
        <f>IF(Y73=DataBase!$B$44,DataBase!$C$44,IF(Y73=DataBase!$B$45,DataBase!$C$45,IF(Y73=DataBase!$B$46,DataBase!$C$46,IF(Y73=DataBase!$B$47,DataBase!$C$47,IF(Y73=DataBase!$B$48,DataBase!$C$48,IF(Y73=DataBase!$B$49,DataBase!$C$49))))))</f>
        <v>1.2</v>
      </c>
      <c r="BM73" s="134">
        <f>IF(Y73=DataBase!$B$44,DataBase!$D$44,IF(Y73=DataBase!$B$45,DataBase!$D$45,IF(Y73=DataBase!$B$46,DataBase!$D$46,IF(Y73=DataBase!$B$47,DataBase!$D$47,IF(Y73=DataBase!$B$48,DataBase!$D$48,IF(Y73=DataBase!$B$49,DataBase!$D$49))))))</f>
        <v>1.4</v>
      </c>
      <c r="BN73" s="132">
        <f>BK73*8*AZ73+AY73*8*AN73+AM73*AB73*8</f>
        <v>384831.37254901964</v>
      </c>
      <c r="BO73" s="132">
        <f>POWER(((DataBase!$C$5*DataBase!$E$5)/(V73*W73)),DataBase!$E$53)</f>
        <v>1</v>
      </c>
      <c r="BP73" s="132">
        <f>IF(X73=DataBase!$B$37,DataBase!$C$37,IF(X73=DataBase!$B$38,DataBase!$C$38))</f>
        <v>1</v>
      </c>
      <c r="BR73" s="136">
        <f>BP73*BO73*BN73</f>
        <v>384831.37254901964</v>
      </c>
      <c r="BS73" s="132" t="s">
        <v>630</v>
      </c>
      <c r="BU73" s="137" t="str">
        <f>IF(C73=DataBase!$J$49,DataBase!$M$49,IF(C73=DataBase!$J$50,DataBase!$M$50,IF(C73=DataBase!$J$51,DataBase!$M$51,IF(C73=DataBase!$J$52,DataBase!$M$52))))</f>
        <v>standard</v>
      </c>
      <c r="BV73" s="132" t="str">
        <f>IF(D73=DataBase!$J$44,DataBase!$L$44,IF(D73=DataBase!$J$45,DataBase!$L$45,IF(D73=DataBase!$J$46,DataBase!$L$46)))</f>
        <v>medium</v>
      </c>
      <c r="BW73" s="137"/>
      <c r="BX73" s="137" t="str">
        <f>$F73</f>
        <v>normale z.B. typische parkplatz Straßenszene</v>
      </c>
      <c r="BY73" s="137" t="str">
        <f>$G73</f>
        <v>IBBP</v>
      </c>
      <c r="BZ73" s="137">
        <f>$H73</f>
        <v>255</v>
      </c>
      <c r="CA73" s="137">
        <f>$I73</f>
        <v>30</v>
      </c>
      <c r="CB73" s="137">
        <f>$J73</f>
        <v>1920</v>
      </c>
      <c r="CC73" s="137">
        <f>$K73</f>
        <v>1080</v>
      </c>
      <c r="CD73" s="137" t="str">
        <f>$L73</f>
        <v>h_264</v>
      </c>
      <c r="CE73" s="137" t="str">
        <f>$M73</f>
        <v>CPP_7_3</v>
      </c>
      <c r="CF73" s="137">
        <f>$E73</f>
        <v>0</v>
      </c>
      <c r="CH73" s="132">
        <f>1/BZ73*CA73</f>
        <v>0.11764705882352941</v>
      </c>
      <c r="CI73" s="132">
        <f>IF(BX73=DataBase!$B$14,DataBase!$C$14,IF(BX73=DataBase!$B$15,DataBase!$C$15,IF(BX73=DataBase!$B$16,DataBase!$C$16)))</f>
        <v>300000</v>
      </c>
      <c r="CJ73" s="132">
        <f>IF(BV73=DataBase!$B$30,DataBase!$C$30,IF(BV73=DataBase!$B$31,DataBase!$C$31,IF(BV73=DataBase!$B$32,DataBase!$C$32,IF(BV73=DataBase!$B$33,DataBase!$C$33,IF(BV73=DataBase!$B$34,DataBase!$C$34)))))</f>
        <v>1</v>
      </c>
      <c r="CK73" s="132">
        <f>CI73*CJ73</f>
        <v>300000</v>
      </c>
      <c r="CL73" s="132">
        <f>IF(BX73=DataBase!$B$14,DataBase!$G$14,IF(BX73=DataBase!$B$15,DataBase!$G$15,IF(BX73=DataBase!$B$16,DataBase!$G$16)))</f>
        <v>200</v>
      </c>
      <c r="CM73" s="132">
        <f>IF(CF73=DataBase!$K$20,1,IF(CF73=DataBase!$K$21,1,0))</f>
        <v>0</v>
      </c>
      <c r="CN73" s="132">
        <f>IF(CF73=DataBase!$K$20,DataBase!$M$20,IF(CF73=DataBase!$K$21,DataBase!$M$21,0))</f>
        <v>0</v>
      </c>
      <c r="CO73" s="132">
        <f>IF(CM73=1,IF(CN73&lt;&gt;0,CN73,CL73),CL73)</f>
        <v>200</v>
      </c>
      <c r="CP73" s="132">
        <f>IF(BV73=DataBase!$B$30,DataBase!$H$30,IF(BV73=DataBase!$B$31,DataBase!$H$31,IF(BV73=DataBase!$B$32,DataBase!$H$32,IF(BV73=DataBase!$B$33,DataBase!$H$33,IF(BV73=DataBase!$B$34,DataBase!$H$34)))))</f>
        <v>1</v>
      </c>
      <c r="CQ73" s="132">
        <f>IF(BU73=DataBase!$B$21,DataBase!$G$21,IF(BU73=DataBase!$B$22,DataBase!$G$22,IF(BU73=DataBase!$B$23,DataBase!$G$23,IF(BU73=DataBase!$B$24,DataBase!$G$24,IF(BU73=DataBase!$B$25,DataBase!$G$25)))))</f>
        <v>1.4</v>
      </c>
      <c r="CR73" s="132">
        <f>IF(CE73=DataBase!$B$44,DataBase!$G$44,IF($F73=DataBase!$B$45,DataBase!$G$45,IF(CE73=DataBase!$B$46,DataBase!$G$46,IF(CE73=DataBase!$B$47,DataBase!$G$47,IF(CE73=DataBase!$B$48,DataBase!$G$48,IF(CE73=DataBase!$B$49,DataBase!$G$49))))))+CO73*CP73*CQ73</f>
        <v>280</v>
      </c>
      <c r="CS73" s="132">
        <f>CR73+CK73*DR73</f>
        <v>360280</v>
      </c>
      <c r="CT73" s="132">
        <f>((BZ73-1)/BZ73)/IF(BY73=DataBase!$B$8,DataBase!$C$8,IF(BY73=DataBase!$B$9,DataBase!$C$9,IF(BY73=DataBase!$B$10,DataBase!$C$10)))*CA73</f>
        <v>9.9607843137254903</v>
      </c>
      <c r="CU73" s="132">
        <f>IF(BX73=DataBase!$B$14,DataBase!$E$14,IF(BX73=DataBase!$B$15,DataBase!$E$15,IF(BX73=DataBase!$B$16,DataBase!$E$16)))</f>
        <v>125</v>
      </c>
      <c r="CV73" s="132">
        <f>IF(BU73=DataBase!$B$21,DataBase!$E$21,IF(BU73=DataBase!$B$22,DataBase!$E$22,IF(BU73=DataBase!$B$23,DataBase!$E$23,IF(BU73=DataBase!$B$24,DataBase!$E$24,IF(BU73=DataBase!$B$25,DataBase!$E$25)))))</f>
        <v>2000</v>
      </c>
      <c r="CW73" s="132">
        <f>IF(BY73=DataBase!$B$8,DataBase!$C$8,IF(BY73=DataBase!$B$9,DataBase!$C$9,IF(BY73=DataBase!$B$10,DataBase!$C$10)))</f>
        <v>3</v>
      </c>
      <c r="CX73" s="140">
        <f>POWER(CA73/((DataBase!$F$5*CW73)),DataBase!$E$52)*DataBase!$F$5*CW73/CA73</f>
        <v>1.4242910214581144</v>
      </c>
      <c r="CY73" s="132">
        <f>IF(BV73=DataBase!$B$30,DataBase!$F$30,IF(BV73=DataBase!$B$31,DataBase!$F$31,IF(BV73=DataBase!$B$32,DataBase!$F$32,IF(BV73=DataBase!$B$33,DataBase!$F$33,IF(BV73=DataBase!$B$34,DataBase!$F$34)))))</f>
        <v>1</v>
      </c>
      <c r="CZ73" s="132">
        <f>CV73*CX73*CY73*DS73</f>
        <v>3988.0148600827197</v>
      </c>
      <c r="DA73" s="132">
        <f>IF(BX73=DataBase!$B$14,DataBase!$H$14,IF(BX73=DataBase!$B$15,DataBase!$H$15,IF(BX73=DataBase!$B$16,DataBase!$H$16)))*CO73</f>
        <v>100</v>
      </c>
      <c r="DB73" s="132">
        <f>IF(BV73=DataBase!$B$30,DataBase!$H$30,IF(BV73=DataBase!$B$31,DataBase!$H$31,IF(BV73=DataBase!$B$32,DataBase!$H$32,IF(BV73=DataBase!$B$33,DataBase!$H$33,IF(BV73=DataBase!$B$34,DataBase!$H$34)))))</f>
        <v>1</v>
      </c>
      <c r="DC73" s="132">
        <f>IF(BU73=DataBase!$B$21,DataBase!$G$21,IF(BU73=DataBase!$B$22,DataBase!$G$22,IF(BU73=DataBase!$B$23,DataBase!$G$23,IF(BU73=DataBase!$B$24,DataBase!$G$24,IF(BU73=DataBase!$B$25,DataBase!$G$25)))))</f>
        <v>1.4</v>
      </c>
      <c r="DD73" s="132">
        <f>DA73*DB73*DC73+IF(CE73=DataBase!$B$44,DataBase!$G$44,IF(CE73=DataBase!$B$45,DataBase!$G$45,IF(CE73=DataBase!$B$46,DataBase!$G$46,IF(CE73=DataBase!$B$47,DataBase!$G$47,IF(CE73=DataBase!$B$48,DataBase!$G$48,IF(CE73=DataBase!$B$49,DataBase!$G$49))))))</f>
        <v>140</v>
      </c>
      <c r="DE73" s="133">
        <f>CU73+CZ73+DD73</f>
        <v>4253.0148600827197</v>
      </c>
      <c r="DF73" s="132">
        <f>IF(BY73=DataBase!$B$8,0,((BZ73-1)/BZ73)/IF(BY73=DataBase!$B$9,2,IF(BY73=DataBase!$B$10,3/2))*CA73)</f>
        <v>19.921568627450981</v>
      </c>
      <c r="DG73" s="132">
        <f>IF(BX73=DataBase!$B$14,DataBase!$F$14,IF(BX73=DataBase!$B$15,DataBase!$F$15,IF(BX73=DataBase!$B$16,DataBase!$F$16)))</f>
        <v>125</v>
      </c>
      <c r="DH73" s="132">
        <f>IF(BU73=DataBase!$B$21,DataBase!$F$21,IF(BU73=DataBase!$B$22,DataBase!$F$22,IF(BU73=DataBase!$B$23,DataBase!$F$23,IF(BU73=DataBase!$B$24,DataBase!$F$24,IF(BU73=DataBase!$B$25,DataBase!$F$25)))))</f>
        <v>579</v>
      </c>
      <c r="DI73" s="132">
        <f>IF(BY73=DataBase!$B$8,DataBase!$E$8,IF(BY73=DataBase!$B$9,DataBase!$E$9,IF(BY73=DataBase!$B$10,DataBase!$E$10)))</f>
        <v>2</v>
      </c>
      <c r="DJ73" s="140">
        <f>IF(DI73=0,0,POWER(CA73/((DataBase!$F$5*DI73)),DataBase!$E$52)*DataBase!$F$5*DI73/CA73)</f>
        <v>1.25</v>
      </c>
      <c r="DK73" s="132">
        <f>IF(BV73=DataBase!$B$30,DataBase!$G$30,IF(BV73=DataBase!$B$31,DataBase!$G$31,IF(BV73=DataBase!$B$32,DataBase!$G$32,IF(BV73=DataBase!$B$33,DataBase!$G$33,IF(BV73=DataBase!$B$34,DataBase!$G$34)))))</f>
        <v>1</v>
      </c>
      <c r="DL73" s="132">
        <f>DH73*DJ73*DK73*DS73</f>
        <v>1013.2499999999999</v>
      </c>
      <c r="DM73" s="132">
        <f>IF(BX73=DataBase!$B$14,DataBase!$J$14,IF(BX73=DataBase!$B$15,DataBase!$J$15,IF(BX73=DataBase!$B$16,DataBase!$J$16)))*CO73</f>
        <v>50</v>
      </c>
      <c r="DN73" s="132">
        <f>IF(BV73=DataBase!$B$30,DataBase!$H$30,IF(BV73=DataBase!$B$31,DataBase!$H$31,IF(BV73=DataBase!$B$32,DataBase!$H$32,IF(BV73=DataBase!$B$33,DataBase!$H$33,IF(BV73=DataBase!$B$34,DataBase!$H$34)))))</f>
        <v>1</v>
      </c>
      <c r="DO73" s="132">
        <f>IF(BU73=DataBase!$B$21,DataBase!$G$21,IF(BU73=DataBase!$B$22,DataBase!$G$22,IF(BU73=DataBase!$B$23,DataBase!$G$23,IF(BU73=DataBase!$B$24,DataBase!$G$24,IF(BU73=DataBase!$B$25,DataBase!$G$25)))))</f>
        <v>1.4</v>
      </c>
      <c r="DP73" s="132">
        <f>DM73*DN73*DO73+IF(CE73=DataBase!$B$44,DataBase!$G$44,IF(CE73=DataBase!$B$45,DataBase!$G$45,IF(CE73=DataBase!$B$46,DataBase!$G$46,IF(CE73=DataBase!$B$47,DataBase!$G$47,IF(CE73=DataBase!$B$48,DataBase!$G$48,IF(CE73=DataBase!$B$49,DataBase!$G$49))))))</f>
        <v>70</v>
      </c>
      <c r="DQ73" s="133">
        <f>DG73+DL73+DP73</f>
        <v>1208.25</v>
      </c>
      <c r="DR73" s="134">
        <f>IF(CE73=DataBase!$B$44,DataBase!$C$44,IF(CE73=DataBase!$B$45,DataBase!$C$45,IF(CE73=DataBase!$B$46,DataBase!$C$46,IF(CE73=DataBase!$B$47,DataBase!$C$47,IF(CE73=DataBase!$B$48,DataBase!$C$48,IF(CE73=DataBase!$B$49,DataBase!$C$49))))))</f>
        <v>1.2</v>
      </c>
      <c r="DS73" s="134">
        <f>IF(CE73=DataBase!$B$44,DataBase!$D$44,IF(CE73=DataBase!$B$45,DataBase!$D$45,IF(CE73=DataBase!$B$46,DataBase!$D$46,IF(CE73=DataBase!$B$47,DataBase!$D$47,IF(CE73=DataBase!$B$48,DataBase!$D$48,IF(CE73=DataBase!$B$49,DataBase!$D$49))))))</f>
        <v>1.4</v>
      </c>
      <c r="DT73" s="132">
        <f>DQ73*8*DF73+DE73*8*CT73+CS73*CH73*8</f>
        <v>870555.85081129754</v>
      </c>
      <c r="DU73" s="132">
        <f>POWER(((DataBase!$C$5*DataBase!$E$5)/(CB73*CC73)),DataBase!$E$53)</f>
        <v>1</v>
      </c>
      <c r="DV73" s="132">
        <f>IF(CD73=DataBase!$B$37,DataBase!$C$37,IF(CD73=DataBase!$B$38,DataBase!$C$38))</f>
        <v>1</v>
      </c>
      <c r="DX73" s="136">
        <f>DV73*DU73*DT73</f>
        <v>870555.85081129754</v>
      </c>
      <c r="DY73" s="132" t="s">
        <v>630</v>
      </c>
      <c r="EA73" s="137" t="str">
        <f>IF(C73=DataBase!$J$49,DataBase!$O$49,IF(C73=DataBase!$J$50,DataBase!$O$50,IF(C73=DataBase!$J$51,DataBase!$O$51,IF(C73=DataBase!$J$52,DataBase!$O$52))))</f>
        <v>busy</v>
      </c>
      <c r="EB73" s="132" t="str">
        <f>IF(D73=DataBase!$J$44,DataBase!$L$44,IF(D73=DataBase!$J$45,DataBase!$L$45,IF(D73=DataBase!$J$46,DataBase!$L$46)))</f>
        <v>medium</v>
      </c>
      <c r="EC73" s="137"/>
      <c r="ED73" s="137" t="str">
        <f>$F73</f>
        <v>normale z.B. typische parkplatz Straßenszene</v>
      </c>
      <c r="EE73" s="137" t="str">
        <f>$G73</f>
        <v>IBBP</v>
      </c>
      <c r="EF73" s="137">
        <f>$H73</f>
        <v>255</v>
      </c>
      <c r="EG73" s="137">
        <f>$I73</f>
        <v>30</v>
      </c>
      <c r="EH73" s="137">
        <f>$J73</f>
        <v>1920</v>
      </c>
      <c r="EI73" s="137">
        <f>$K73</f>
        <v>1080</v>
      </c>
      <c r="EJ73" s="137" t="str">
        <f>$L73</f>
        <v>h_264</v>
      </c>
      <c r="EK73" s="137" t="str">
        <f>$M73</f>
        <v>CPP_7_3</v>
      </c>
      <c r="EL73" s="137">
        <f>$E73</f>
        <v>0</v>
      </c>
      <c r="EN73" s="132">
        <f>1/EF73*EG73</f>
        <v>0.11764705882352941</v>
      </c>
      <c r="EO73" s="132">
        <f>IF(ED73=DataBase!$B$14,DataBase!$C$14,IF(ED73=DataBase!$B$15,DataBase!$C$15,IF(ED73=DataBase!$B$16,DataBase!$C$16)))</f>
        <v>300000</v>
      </c>
      <c r="EP73" s="132">
        <f>IF(EB73=DataBase!$B$30,DataBase!$C$30,IF(EB73=DataBase!$B$31,DataBase!$C$31,IF(EB73=DataBase!$B$32,DataBase!$C$32,IF(EB73=DataBase!$B$33,DataBase!$C$33,IF(EB73=DataBase!$B$34,DataBase!$C$34)))))</f>
        <v>1</v>
      </c>
      <c r="EQ73" s="132">
        <f>EO73*EP73</f>
        <v>300000</v>
      </c>
      <c r="ER73" s="132">
        <f>IF(ED73=DataBase!$B$14,DataBase!$G$14,IF(ED73=DataBase!$B$15,DataBase!$G$15,IF(ED73=DataBase!$B$16,DataBase!$G$16)))</f>
        <v>200</v>
      </c>
      <c r="ES73" s="132">
        <f>IF(EL73=DataBase!$K$20,1,IF(EL73=DataBase!$K$21,1,0))</f>
        <v>0</v>
      </c>
      <c r="ET73" s="132">
        <f>IF(EL73=DataBase!$K$20,DataBase!$M$20,IF(EL73=DataBase!$K$21,DataBase!$M$21,0))</f>
        <v>0</v>
      </c>
      <c r="EU73" s="132">
        <f>IF(ES73=1,IF(ET73&lt;&gt;0,ET73,ER73),ER73)</f>
        <v>200</v>
      </c>
      <c r="EV73" s="132">
        <f>IF(EB73=DataBase!$B$30,DataBase!$H$30,IF(EB73=DataBase!$B$31,DataBase!$H$31,IF(EB73=DataBase!$B$32,DataBase!$H$32,IF(EB73=DataBase!$B$33,DataBase!$H$33,IF(EB73=DataBase!$B$34,DataBase!$H$34)))))</f>
        <v>1</v>
      </c>
      <c r="EW73" s="132">
        <f>IF(EA73=DataBase!$B$21,DataBase!$G$21,IF(EA73=DataBase!$B$22,DataBase!$G$22,IF(EA73=DataBase!$B$23,DataBase!$G$23,IF(EA73=DataBase!$B$24,DataBase!$G$24,IF(EA73=DataBase!$B$25,DataBase!$G$25)))))</f>
        <v>2</v>
      </c>
      <c r="EX73" s="132">
        <f>IF(EK73=DataBase!$B$44,DataBase!$G$44,IF($F73=DataBase!$B$45,DataBase!$G$45,IF(EK73=DataBase!$B$46,DataBase!$G$46,IF(EK73=DataBase!$B$47,DataBase!$G$47,IF(EK73=DataBase!$B$48,DataBase!$G$48,IF(EK73=DataBase!$B$49,DataBase!$G$49))))))+EU73*EV73*EW73</f>
        <v>400</v>
      </c>
      <c r="EY73" s="132">
        <f>EX73+EQ73*FX73</f>
        <v>360400</v>
      </c>
      <c r="EZ73" s="132">
        <f>((EF73-1)/EF73)/IF(EE73=DataBase!$B$8,DataBase!$C$8,IF(EE73=DataBase!$B$9,DataBase!$C$9,IF(EE73=DataBase!$B$10,DataBase!$C$10)))*EG73</f>
        <v>9.9607843137254903</v>
      </c>
      <c r="FA73" s="132">
        <f>IF(ED73=DataBase!$B$14,DataBase!$E$14,IF(ED73=DataBase!$B$15,DataBase!$E$15,IF(ED73=DataBase!$B$16,DataBase!$E$16)))</f>
        <v>125</v>
      </c>
      <c r="FB73" s="132">
        <f>IF(EA73=DataBase!$B$21,DataBase!$E$21,IF(EA73=DataBase!$B$22,DataBase!$E$22,IF(EA73=DataBase!$B$23,DataBase!$E$23,IF(EA73=DataBase!$B$24,DataBase!$E$24,IF(EA73=DataBase!$B$25,DataBase!$E$25)))))</f>
        <v>10000</v>
      </c>
      <c r="FC73" s="132">
        <f>IF(EE73=DataBase!$B$8,DataBase!$C$8,IF(EE73=DataBase!$B$9,DataBase!$C$9,IF(EE73=DataBase!$B$10,DataBase!$C$10)))</f>
        <v>3</v>
      </c>
      <c r="FD73" s="140">
        <f>POWER(EG73/((DataBase!$F$5*FC73)),DataBase!$E$52)*DataBase!$F$5*FC73/EG73</f>
        <v>1.4242910214581144</v>
      </c>
      <c r="FE73" s="132">
        <f>IF(EB73=DataBase!$B$30,DataBase!$F$30,IF(EB73=DataBase!$B$31,DataBase!$F$31,IF(EB73=DataBase!$B$32,DataBase!$F$32,IF(EB73=DataBase!$B$33,DataBase!$F$33,IF(EB73=DataBase!$B$34,DataBase!$F$34)))))</f>
        <v>1</v>
      </c>
      <c r="FF73" s="132">
        <f>FB73*FD73*FE73*FY73</f>
        <v>19940.074300413598</v>
      </c>
      <c r="FG73" s="132">
        <f>IF(ED73=DataBase!$B$14,DataBase!$H$14,IF(ED73=DataBase!$B$15,DataBase!$H$15,IF(ED73=DataBase!$B$16,DataBase!$H$16)))*EU73</f>
        <v>100</v>
      </c>
      <c r="FH73" s="132">
        <f>IF(EB73=DataBase!$B$30,DataBase!$H$30,IF(EB73=DataBase!$B$31,DataBase!$H$31,IF(EB73=DataBase!$B$32,DataBase!$H$32,IF(EB73=DataBase!$B$33,DataBase!$H$33,IF(EB73=DataBase!$B$34,DataBase!$H$34)))))</f>
        <v>1</v>
      </c>
      <c r="FI73" s="132">
        <f>IF(EA73=DataBase!$B$21,DataBase!$G$21,IF(EA73=DataBase!$B$22,DataBase!$G$22,IF(EA73=DataBase!$B$23,DataBase!$G$23,IF(EA73=DataBase!$B$24,DataBase!$G$24,IF(EA73=DataBase!$B$25,DataBase!$G$25)))))</f>
        <v>2</v>
      </c>
      <c r="FJ73" s="132">
        <f>FG73*FH73*FI73+IF(EK73=DataBase!$B$44,DataBase!$G$44,IF(EK73=DataBase!$B$45,DataBase!$G$45,IF(EK73=DataBase!$B$46,DataBase!$G$46,IF(EK73=DataBase!$B$47,DataBase!$G$47,IF(EK73=DataBase!$B$48,DataBase!$G$48,IF(EK73=DataBase!$B$49,DataBase!$G$49))))))</f>
        <v>200</v>
      </c>
      <c r="FK73" s="133">
        <f>FA73+FF73+FJ73</f>
        <v>20265.074300413598</v>
      </c>
      <c r="FL73" s="132">
        <f>IF(EE73=DataBase!$B$8,0,((EF73-1)/EF73)/IF(EE73=DataBase!$B$9,2,IF(EE73=DataBase!$B$10,3/2))*EG73)</f>
        <v>19.921568627450981</v>
      </c>
      <c r="FM73" s="132">
        <f>IF(ED73=DataBase!$B$14,DataBase!$F$14,IF(ED73=DataBase!$B$15,DataBase!$F$15,IF(ED73=DataBase!$B$16,DataBase!$F$16)))</f>
        <v>125</v>
      </c>
      <c r="FN73" s="132">
        <f>IF(EA73=DataBase!$B$21,DataBase!$F$21,IF(EA73=DataBase!$B$22,DataBase!$F$22,IF(EA73=DataBase!$B$23,DataBase!$F$23,IF(EA73=DataBase!$B$24,DataBase!$F$24,IF(EA73=DataBase!$B$25,DataBase!$F$25)))))</f>
        <v>2500</v>
      </c>
      <c r="FO73" s="132">
        <f>IF(EE73=DataBase!$B$8,DataBase!$E$8,IF(EE73=DataBase!$B$9,DataBase!$E$9,IF(EE73=DataBase!$B$10,DataBase!$E$10)))</f>
        <v>2</v>
      </c>
      <c r="FP73" s="140">
        <f>IF(FO73=0,0,POWER(EG73/((DataBase!$F$5*FO73)),DataBase!$E$52)*DataBase!$F$5*FO73/EG73)</f>
        <v>1.25</v>
      </c>
      <c r="FQ73" s="132">
        <f>IF(EB73=DataBase!$B$30,DataBase!$G$30,IF(EB73=DataBase!$B$31,DataBase!$G$31,IF(EB73=DataBase!$B$32,DataBase!$G$32,IF(EB73=DataBase!$B$33,DataBase!$G$33,IF(EB73=DataBase!$B$34,DataBase!$G$34)))))</f>
        <v>1</v>
      </c>
      <c r="FR73" s="132">
        <f>FN73*FP73*FQ73*FY73</f>
        <v>4375</v>
      </c>
      <c r="FS73" s="132">
        <f>IF(ED73=DataBase!$B$14,DataBase!$J$14,IF(ED73=DataBase!$B$15,DataBase!$J$15,IF(ED73=DataBase!$B$16,DataBase!$J$16)))*EU73</f>
        <v>50</v>
      </c>
      <c r="FT73" s="132">
        <f>IF(EB73=DataBase!$B$30,DataBase!$H$30,IF(EB73=DataBase!$B$31,DataBase!$H$31,IF(EB73=DataBase!$B$32,DataBase!$H$32,IF(EB73=DataBase!$B$33,DataBase!$H$33,IF(EB73=DataBase!$B$34,DataBase!$H$34)))))</f>
        <v>1</v>
      </c>
      <c r="FU73" s="132">
        <f>IF(EA73=DataBase!$B$21,DataBase!$G$21,IF(EA73=DataBase!$B$22,DataBase!$G$22,IF(EA73=DataBase!$B$23,DataBase!$G$23,IF(EA73=DataBase!$B$24,DataBase!$G$24,IF(EA73=DataBase!$B$25,DataBase!$G$25)))))</f>
        <v>2</v>
      </c>
      <c r="FV73" s="132">
        <f>FS73*FT73*FU73+IF(EK73=DataBase!$B$44,DataBase!$G$44,IF(EK73=DataBase!$B$45,DataBase!$G$45,IF(EK73=DataBase!$B$46,DataBase!$G$46,IF(EK73=DataBase!$B$47,DataBase!$G$47,IF(EK73=DataBase!$B$48,DataBase!$G$48,IF(EK73=DataBase!$B$49,DataBase!$G$49))))))</f>
        <v>100</v>
      </c>
      <c r="FW73" s="133">
        <f>FM73+FR73+FV73</f>
        <v>4600</v>
      </c>
      <c r="FX73" s="134">
        <f>IF(EK73=DataBase!$B$44,DataBase!$C$44,IF(EK73=DataBase!$B$45,DataBase!$C$45,IF(EK73=DataBase!$B$46,DataBase!$C$46,IF(EK73=DataBase!$B$47,DataBase!$C$47,IF(EK73=DataBase!$B$48,DataBase!$C$48,IF(EK73=DataBase!$B$49,DataBase!$C$49))))))</f>
        <v>1.2</v>
      </c>
      <c r="FY73" s="134">
        <f>IF(EK73=DataBase!$B$44,DataBase!$D$44,IF(EK73=DataBase!$B$45,DataBase!$D$45,IF(EK73=DataBase!$B$46,DataBase!$D$46,IF(EK73=DataBase!$B$47,DataBase!$D$47,IF(EK73=DataBase!$B$48,DataBase!$D$48,IF(EK73=DataBase!$B$49,DataBase!$D$49))))))</f>
        <v>1.4</v>
      </c>
      <c r="FZ73" s="132">
        <f>FW73*8*FL73+FK73*8*EZ73+EY73*EN73*8</f>
        <v>2687161.9991545267</v>
      </c>
      <c r="GA73" s="132">
        <f>POWER(((DataBase!$C$5*DataBase!$E$5)/(EH73*EI73)),DataBase!$E$53)</f>
        <v>1</v>
      </c>
      <c r="GB73" s="132">
        <f>IF(EJ73=DataBase!$B$37,DataBase!$C$37,IF(EJ73=DataBase!$B$38,DataBase!$C$38))</f>
        <v>1</v>
      </c>
      <c r="GD73" s="136">
        <f>GB73*GA73*FZ73</f>
        <v>2687161.9991545267</v>
      </c>
      <c r="GE73" s="132" t="s">
        <v>630</v>
      </c>
      <c r="GG73" s="132">
        <f>IF($C73=DataBase!$J$49,DataBase!$L$49,IF($C73=DataBase!$J$50,DataBase!$L$50,IF($C73=DataBase!$J$51,DataBase!$L$51,IF($C73=DataBase!$J$52,DataBase!$L$52))))</f>
        <v>0.89</v>
      </c>
      <c r="GH73" s="132">
        <f>IF($C73=DataBase!$J$49,DataBase!$N$49,IF($C73=DataBase!$J$50,DataBase!$N$50,IF($C73=DataBase!$J$51,DataBase!$N$51,IF($C73=DataBase!$J$52,DataBase!$N$52))))</f>
        <v>0.1</v>
      </c>
      <c r="GI73" s="132">
        <f>IF($C73=DataBase!$J$49,DataBase!$P$49,IF($C73=DataBase!$J$50,DataBase!$P$50,IF($C73=DataBase!$J$51,DataBase!$P$51,IF($C73=DataBase!$J$52,DataBase!$P$52))))</f>
        <v>9.9999999999999811E-3</v>
      </c>
      <c r="GK73" s="136">
        <f>$GG73*BR73</f>
        <v>342499.92156862747</v>
      </c>
      <c r="GL73" s="132" t="s">
        <v>630</v>
      </c>
      <c r="GM73" s="136">
        <f>$DX73*GH73</f>
        <v>87055.585081129757</v>
      </c>
      <c r="GN73" s="132" t="s">
        <v>630</v>
      </c>
      <c r="GO73" s="136">
        <f>$GD73*GI73</f>
        <v>26871.619991545216</v>
      </c>
      <c r="GP73" s="132" t="s">
        <v>630</v>
      </c>
      <c r="GR73" s="136">
        <f>GO73+GM73+GK73</f>
        <v>456427.12664130243</v>
      </c>
      <c r="GS73" s="132" t="s">
        <v>630</v>
      </c>
      <c r="GU73" s="136">
        <f>MAX($GD73,$DX73,$BR73)</f>
        <v>2687161.9991545267</v>
      </c>
      <c r="GV73" s="132" t="s">
        <v>630</v>
      </c>
      <c r="GW73" s="132">
        <f>IF($M73=DataBase!$B$44,DataBase!$E$44,IF($M73=DataBase!$B$45,DataBase!$E$45,IF($M73=DataBase!$B$46,DataBase!$E$46,IF($M73=DataBase!$B$47,DataBase!$E$47,IF($M73=DataBase!$B$48,DataBase!$E$48,IF($M73=DataBase!$B$49,DataBase!$E$49))))))</f>
        <v>1</v>
      </c>
      <c r="GY73" s="132">
        <f>IF($D73=DataBase!$J$44,DataBase!$M$44,IF($D73=DataBase!$J$45,DataBase!$M$45,IF($D73=DataBase!$J$46,DataBase!$M$46)))</f>
        <v>4</v>
      </c>
      <c r="GZ73" s="132">
        <f>IF($D73=DataBase!$J$44,DataBase!$K$44,IF($D73=DataBase!$J$45,DataBase!$K$45,IF($D73=DataBase!$J$46,DataBase!$K$46)))</f>
        <v>1</v>
      </c>
      <c r="HA73" s="132">
        <f>IF($M73=DataBase!$B$44,DataBase!$F$44,IF($M73=DataBase!$B$45,DataBase!$F$45,IF($M73=DataBase!$B$46,DataBase!$F$46,IF($M73=DataBase!$B$47,DataBase!$F$47,IF($M73=DataBase!$B$48,DataBase!$F$48,IF($M73=DataBase!$B$49,DataBase!$F$49))))))</f>
        <v>32000000</v>
      </c>
      <c r="HB73" s="132" t="s">
        <v>630</v>
      </c>
      <c r="HC73" s="132" t="str">
        <f>C73&amp;D73&amp;I73&amp;J73&amp;K73&amp;M73</f>
        <v>staticbitrate optimized3019201080CPP_7_3</v>
      </c>
      <c r="HD73" s="136">
        <f>MIN(HA73,MAX(GZ73*IF(0=GW73,GR73,IF(1=GW73,GR73,IF(2=GW73,GU73)))))</f>
        <v>456427.12664130243</v>
      </c>
      <c r="HE73" s="132" t="s">
        <v>630</v>
      </c>
      <c r="HG73" s="132" t="str">
        <f>IF(GW73=1,"SUPPORTED","NOT SUPPORTED")</f>
        <v>SUPPORTED</v>
      </c>
      <c r="HH73" s="136">
        <f>HJ73</f>
        <v>2687161.9991545267</v>
      </c>
      <c r="HI73" s="132" t="s">
        <v>630</v>
      </c>
      <c r="HJ73" s="136">
        <f>MIN(HA73,GZ73*IF(GW73=0,2*GR73,GU73))</f>
        <v>2687161.9991545267</v>
      </c>
      <c r="HK73" s="132" t="s">
        <v>630</v>
      </c>
      <c r="HL73" s="132" t="str">
        <f>IF(GW73=1,IF($D73=DataBase!$J$44,DataBase!$L$44,IF($D73=DataBase!$J$45,DataBase!$L$45,IF($D73=DataBase!$J$46,DataBase!$L$46))),"OFF")</f>
        <v>medium</v>
      </c>
      <c r="HM73" s="132">
        <f>0</f>
        <v>0</v>
      </c>
      <c r="HO73" s="136">
        <f>MIN(HA73,MAX(HQ73/GY73,GZ73*IF(0=GW73,GR73,IF(1=GW73,GR73,IF(2=GW73,GU73)))))</f>
        <v>671790.49978863169</v>
      </c>
      <c r="HP73" s="132" t="s">
        <v>630</v>
      </c>
      <c r="HQ73" s="136">
        <f>MIN(HA73,GZ73*IF(GW73=0,2*GR73,GU73))</f>
        <v>2687161.9991545267</v>
      </c>
      <c r="HR73" s="132" t="s">
        <v>630</v>
      </c>
      <c r="HS73" s="132" t="str">
        <f>IF(GW73=1,IF($D73=DataBase!$J$44,DataBase!$L$44,IF($D73=DataBase!$J$45,DataBase!$L$45,IF($D73=DataBase!$J$46,DataBase!$L$46))),"OFF")</f>
        <v>medium</v>
      </c>
      <c r="HT73" s="132">
        <f>IF(GW73=1,3600*24*GW73,0)</f>
        <v>86400</v>
      </c>
    </row>
    <row r="74" spans="3:228" s="132" customFormat="1" ht="15.75" hidden="1" thickBot="1">
      <c r="C74" s="137" t="s">
        <v>581</v>
      </c>
      <c r="D74" s="137" t="s">
        <v>629</v>
      </c>
      <c r="E74" s="138"/>
      <c r="F74" s="138" t="s">
        <v>632</v>
      </c>
      <c r="G74" s="139" t="s">
        <v>633</v>
      </c>
      <c r="H74" s="138">
        <v>255</v>
      </c>
      <c r="I74" s="138">
        <v>60</v>
      </c>
      <c r="J74" s="138">
        <v>1920</v>
      </c>
      <c r="K74" s="138">
        <v>1080</v>
      </c>
      <c r="L74" s="138" t="s">
        <v>595</v>
      </c>
      <c r="M74" s="138" t="s">
        <v>582</v>
      </c>
      <c r="O74" s="137" t="str">
        <f>IF(C74=DataBase!$J$49,DataBase!$K$49,IF(C74=DataBase!$J$50,DataBase!$K$50,IF(C74=DataBase!$J$51,DataBase!$K$51,IF(C74=DataBase!$J$52,DataBase!$K$52))))</f>
        <v>static</v>
      </c>
      <c r="P74" s="132" t="str">
        <f>IF(D74=DataBase!$J$44,DataBase!$L$44,IF(D74=DataBase!$J$45,DataBase!$L$45,IF(D74=DataBase!$J$46,DataBase!$L$46)))</f>
        <v>medium</v>
      </c>
      <c r="Q74" s="137"/>
      <c r="R74" s="137" t="str">
        <f>$F74</f>
        <v>normale z.B. typische parkplatz Straßenszene</v>
      </c>
      <c r="S74" s="137" t="str">
        <f>$G74</f>
        <v>IBBP</v>
      </c>
      <c r="T74" s="137">
        <f>$H74</f>
        <v>255</v>
      </c>
      <c r="U74" s="137">
        <f>$I74</f>
        <v>60</v>
      </c>
      <c r="V74" s="137">
        <f>$J74</f>
        <v>1920</v>
      </c>
      <c r="W74" s="137">
        <f>$K74</f>
        <v>1080</v>
      </c>
      <c r="X74" s="137" t="str">
        <f>$L74</f>
        <v>h_264</v>
      </c>
      <c r="Y74" s="137" t="str">
        <f>$M74</f>
        <v>CPP_7_3</v>
      </c>
      <c r="Z74" s="137">
        <f>$E74</f>
        <v>0</v>
      </c>
      <c r="AB74" s="132">
        <f>1/T74*U74</f>
        <v>0.23529411764705882</v>
      </c>
      <c r="AC74" s="132">
        <f>IF(R74=DataBase!$B$14,DataBase!$C$14,IF(R74=DataBase!$B$15,DataBase!$C$15,IF(R74=DataBase!$B$16,DataBase!$C$16)))</f>
        <v>300000</v>
      </c>
      <c r="AD74" s="132">
        <f>IF(P74=DataBase!$B$30,DataBase!$C$30,IF(P74=DataBase!$B$31,DataBase!$C$31,IF(P74=DataBase!$B$32,DataBase!$C$32,IF(P74=DataBase!$B$33,DataBase!$C$33,IF(P74=DataBase!$B$34,DataBase!$C$34)))))</f>
        <v>1</v>
      </c>
      <c r="AE74" s="132">
        <f>AC74*AD74</f>
        <v>300000</v>
      </c>
      <c r="AF74" s="132">
        <f>IF(R74=DataBase!$B$14,DataBase!$G$14,IF(R74=DataBase!$B$15,DataBase!$G$15,IF(R74=DataBase!$B$16,DataBase!$G$16)))</f>
        <v>200</v>
      </c>
      <c r="AG74" s="132">
        <f>IF(Z74=DataBase!$K$20,1,IF(Z74=DataBase!$K$21,1,0))</f>
        <v>0</v>
      </c>
      <c r="AH74" s="132">
        <f>IF(Z74=DataBase!$K$20,DataBase!$M$20,IF(Z74=DataBase!$K$21,DataBase!$M$21,0))</f>
        <v>0</v>
      </c>
      <c r="AI74" s="132">
        <f>IF(AG74=1,IF(AH74&lt;&gt;0,AH74,AF74),AF74)</f>
        <v>200</v>
      </c>
      <c r="AJ74" s="132">
        <f>IF(P74=DataBase!$B$30,DataBase!$H$30,IF(P74=DataBase!$B$31,DataBase!$H$31,IF(P74=DataBase!$B$32,DataBase!$H$32,IF(P74=DataBase!$B$33,DataBase!$H$33,IF(P74=DataBase!$B$34,DataBase!$H$34)))))</f>
        <v>1</v>
      </c>
      <c r="AK74" s="132">
        <f>IF(O74=DataBase!$B$21,DataBase!$G$21,IF(O74=DataBase!$B$22,DataBase!$G$22,IF(O74=DataBase!$B$23,DataBase!$G$23,IF(O74=DataBase!$B$24,DataBase!$G$24,IF(O74=DataBase!$B$25,DataBase!$G$25)))))</f>
        <v>1</v>
      </c>
      <c r="AL74" s="132">
        <f>IF(Y74=DataBase!$B$44,DataBase!$G$44,IF($F74=DataBase!$B$45,DataBase!$G$45,IF(Y74=DataBase!$B$46,DataBase!$G$46,IF(Y74=DataBase!$B$47,DataBase!$G$47,IF(Y74=DataBase!$B$48,DataBase!$G$48,IF(Y74=DataBase!$B$49,DataBase!$G$49))))))+AI74*AJ74*AK74</f>
        <v>200</v>
      </c>
      <c r="AM74" s="132">
        <f>AL74+AE74*BL74</f>
        <v>360200</v>
      </c>
      <c r="AN74" s="132">
        <f>((T74-1)/T74)/IF(S74=DataBase!$B$8,DataBase!$C$8,IF(S74=DataBase!$B$9,DataBase!$C$9,IF(S74=DataBase!$B$10,DataBase!$C$10)))*U74</f>
        <v>19.921568627450981</v>
      </c>
      <c r="AO74" s="132">
        <f>IF(R74=DataBase!$B$14,DataBase!$E$14,IF(R74=DataBase!$B$15,DataBase!$E$15,IF(R74=DataBase!$B$16,DataBase!$E$16)))</f>
        <v>125</v>
      </c>
      <c r="AP74" s="132">
        <f>IF(O74=DataBase!$B$21,DataBase!$E$21,IF(O74=DataBase!$B$22,DataBase!$E$22,IF(O74=DataBase!$B$23,DataBase!$E$23,IF(O74=DataBase!$B$24,DataBase!$E$24,IF(O74=DataBase!$B$25,DataBase!$E$25)))))</f>
        <v>0</v>
      </c>
      <c r="AQ74" s="132">
        <f>IF(S74=DataBase!$B$8,DataBase!$C$8,IF(S74=DataBase!$B$9,DataBase!$C$9,IF(S74=DataBase!$B$10,DataBase!$C$10)))</f>
        <v>3</v>
      </c>
      <c r="AR74" s="140">
        <f>POWER(U74/((DataBase!$F$5*AQ74)),DataBase!$E$52)*DataBase!$F$5*AQ74/U74</f>
        <v>1.1394328171664916</v>
      </c>
      <c r="AS74" s="132">
        <f>IF(P74=DataBase!$B$30,DataBase!$F$30,IF(P74=DataBase!$B$31,DataBase!$F$31,IF(P74=DataBase!$B$32,DataBase!$F$32,IF(P74=DataBase!$B$33,DataBase!$F$33,IF(P74=DataBase!$B$34,DataBase!$F$34)))))</f>
        <v>1</v>
      </c>
      <c r="AT74" s="132">
        <f>AP74*AR74*AS74*BM74</f>
        <v>0</v>
      </c>
      <c r="AU74" s="132">
        <f>IF(R74=DataBase!$B$14,DataBase!$H$14,IF(R74=DataBase!$B$15,DataBase!$H$15,IF(R74=DataBase!$B$16,DataBase!$H$16)))*AI74</f>
        <v>100</v>
      </c>
      <c r="AV74" s="132">
        <f>IF(P74=DataBase!$B$30,DataBase!$H$30,IF(P74=DataBase!$B$31,DataBase!$H$31,IF(P74=DataBase!$B$32,DataBase!$H$32,IF(P74=DataBase!$B$33,DataBase!$H$33,IF(P74=DataBase!$B$34,DataBase!$H$34)))))</f>
        <v>1</v>
      </c>
      <c r="AW74" s="132">
        <f>IF(O74=DataBase!$B$21,DataBase!$G$21,IF(O74=DataBase!$B$22,DataBase!$G$22,IF(O74=DataBase!$B$23,DataBase!$G$23,IF(O74=DataBase!$B$24,DataBase!$G$24,IF(O74=DataBase!$B$25,DataBase!$G$25)))))</f>
        <v>1</v>
      </c>
      <c r="AX74" s="132">
        <f>AU74*AV74*AW74+IF(Y74=DataBase!$B$44,DataBase!$G$44,IF(Y74=DataBase!$B$45,DataBase!$G$45,IF(Y74=DataBase!$B$46,DataBase!$G$46,IF(Y74=DataBase!$B$47,DataBase!$G$47,IF(Y74=DataBase!$B$48,DataBase!$G$48,IF(Y74=DataBase!$B$49,DataBase!$G$49))))))</f>
        <v>100</v>
      </c>
      <c r="AY74" s="133">
        <f>AO74+AT74+AX74</f>
        <v>225</v>
      </c>
      <c r="AZ74" s="132">
        <f>IF(S74=DataBase!$B$8,0,((T74-1)/T74)/IF(S74=DataBase!$B$9,2,IF(S74=DataBase!$B$10,3/2))*U74)</f>
        <v>39.843137254901961</v>
      </c>
      <c r="BA74" s="132">
        <f>IF(R74=DataBase!$B$14,DataBase!$F$14,IF(R74=DataBase!$B$15,DataBase!$F$15,IF(R74=DataBase!$B$16,DataBase!$F$16)))</f>
        <v>125</v>
      </c>
      <c r="BB74" s="132">
        <f>IF(O74=DataBase!$B$21,DataBase!$F$21,IF(O74=DataBase!$B$22,DataBase!$F$22,IF(O74=DataBase!$B$23,DataBase!$F$23,IF(O74=DataBase!$B$24,DataBase!$F$24,IF(O74=DataBase!$B$25,DataBase!$F$25)))))</f>
        <v>0</v>
      </c>
      <c r="BC74" s="132">
        <f>IF(S74=DataBase!$B$8,DataBase!$E$8,IF(S74=DataBase!$B$9,DataBase!$E$9,IF(S74=DataBase!$B$10,DataBase!$E$10)))</f>
        <v>2</v>
      </c>
      <c r="BD74" s="140">
        <f>IF(BC74=0,0,POWER(U74/((DataBase!$F$5*BC74)),DataBase!$E$52)*DataBase!$F$5*BC74/U74)</f>
        <v>1</v>
      </c>
      <c r="BE74" s="132">
        <f>IF(P74=DataBase!$B$30,DataBase!$G$30,IF(P74=DataBase!$B$31,DataBase!$G$31,IF(P74=DataBase!$B$32,DataBase!$G$32,IF(P74=DataBase!$B$33,DataBase!$G$33,IF(P74=DataBase!$B$34,DataBase!$G$34)))))</f>
        <v>1</v>
      </c>
      <c r="BF74" s="132">
        <f>BB74*BD74*BE74*BM74</f>
        <v>0</v>
      </c>
      <c r="BG74" s="132">
        <f>IF(R74=DataBase!$B$14,DataBase!$J$14,IF(R74=DataBase!$B$15,DataBase!$J$15,IF(R74=DataBase!$B$16,DataBase!$J$16)))*AI74</f>
        <v>50</v>
      </c>
      <c r="BH74" s="132">
        <f>IF(P74=DataBase!$B$30,DataBase!$H$30,IF(P74=DataBase!$B$31,DataBase!$H$31,IF(P74=DataBase!$B$32,DataBase!$H$32,IF(P74=DataBase!$B$33,DataBase!$H$33,IF(P74=DataBase!$B$34,DataBase!$H$34)))))</f>
        <v>1</v>
      </c>
      <c r="BI74" s="132">
        <f>IF(O74=DataBase!$B$21,DataBase!$G$21,IF(O74=DataBase!$B$22,DataBase!$G$22,IF(O74=DataBase!$B$23,DataBase!$G$23,IF(O74=DataBase!$B$24,DataBase!$G$24,IF(O74=DataBase!$B$25,DataBase!$G$25)))))</f>
        <v>1</v>
      </c>
      <c r="BJ74" s="132">
        <f>BG74*BH74*BI74+IF(Y74=DataBase!$B$44,DataBase!$G$44,IF(Y74=DataBase!$B$45,DataBase!$G$45,IF(Y74=DataBase!$B$46,DataBase!$G$46,IF(Y74=DataBase!$B$47,DataBase!$G$47,IF(Y74=DataBase!$B$48,DataBase!$G$48,IF(Y74=DataBase!$B$49,DataBase!$G$49))))))</f>
        <v>50</v>
      </c>
      <c r="BK74" s="133">
        <f>BA74+BF74+BJ74</f>
        <v>175</v>
      </c>
      <c r="BL74" s="134">
        <f>IF(Y74=DataBase!$B$44,DataBase!$C$44,IF(Y74=DataBase!$B$45,DataBase!$C$45,IF(Y74=DataBase!$B$46,DataBase!$C$46,IF(Y74=DataBase!$B$47,DataBase!$C$47,IF(Y74=DataBase!$B$48,DataBase!$C$48,IF(Y74=DataBase!$B$49,DataBase!$C$49))))))</f>
        <v>1.2</v>
      </c>
      <c r="BM74" s="134">
        <f>IF(Y74=DataBase!$B$44,DataBase!$D$44,IF(Y74=DataBase!$B$45,DataBase!$D$45,IF(Y74=DataBase!$B$46,DataBase!$D$46,IF(Y74=DataBase!$B$47,DataBase!$D$47,IF(Y74=DataBase!$B$48,DataBase!$D$48,IF(Y74=DataBase!$B$49,DataBase!$D$49))))))</f>
        <v>1.4</v>
      </c>
      <c r="BN74" s="132">
        <f>BK74*8*AZ74+AY74*8*AN74+AM74*AB74*8</f>
        <v>769662.74509803928</v>
      </c>
      <c r="BO74" s="132">
        <f>POWER(((DataBase!$C$5*DataBase!$E$5)/(V74*W74)),DataBase!$E$53)</f>
        <v>1</v>
      </c>
      <c r="BP74" s="132">
        <f>IF(X74=DataBase!$B$37,DataBase!$C$37,IF(X74=DataBase!$B$38,DataBase!$C$38))</f>
        <v>1</v>
      </c>
      <c r="BR74" s="136">
        <f>BP74*BO74*BN74</f>
        <v>769662.74509803928</v>
      </c>
      <c r="BS74" s="132" t="s">
        <v>630</v>
      </c>
      <c r="BU74" s="137" t="str">
        <f>IF(C74=DataBase!$J$49,DataBase!$M$49,IF(C74=DataBase!$J$50,DataBase!$M$50,IF(C74=DataBase!$J$51,DataBase!$M$51,IF(C74=DataBase!$J$52,DataBase!$M$52))))</f>
        <v>standard</v>
      </c>
      <c r="BV74" s="132" t="str">
        <f>IF(D74=DataBase!$J$44,DataBase!$L$44,IF(D74=DataBase!$J$45,DataBase!$L$45,IF(D74=DataBase!$J$46,DataBase!$L$46)))</f>
        <v>medium</v>
      </c>
      <c r="BW74" s="137"/>
      <c r="BX74" s="137" t="str">
        <f>$F74</f>
        <v>normale z.B. typische parkplatz Straßenszene</v>
      </c>
      <c r="BY74" s="137" t="str">
        <f>$G74</f>
        <v>IBBP</v>
      </c>
      <c r="BZ74" s="137">
        <f>$H74</f>
        <v>255</v>
      </c>
      <c r="CA74" s="137">
        <f>$I74</f>
        <v>60</v>
      </c>
      <c r="CB74" s="137">
        <f>$J74</f>
        <v>1920</v>
      </c>
      <c r="CC74" s="137">
        <f>$K74</f>
        <v>1080</v>
      </c>
      <c r="CD74" s="137" t="str">
        <f>$L74</f>
        <v>h_264</v>
      </c>
      <c r="CE74" s="137" t="str">
        <f>$M74</f>
        <v>CPP_7_3</v>
      </c>
      <c r="CF74" s="137">
        <f>$E74</f>
        <v>0</v>
      </c>
      <c r="CH74" s="132">
        <f>1/BZ74*CA74</f>
        <v>0.23529411764705882</v>
      </c>
      <c r="CI74" s="132">
        <f>IF(BX74=DataBase!$B$14,DataBase!$C$14,IF(BX74=DataBase!$B$15,DataBase!$C$15,IF(BX74=DataBase!$B$16,DataBase!$C$16)))</f>
        <v>300000</v>
      </c>
      <c r="CJ74" s="132">
        <f>IF(BV74=DataBase!$B$30,DataBase!$C$30,IF(BV74=DataBase!$B$31,DataBase!$C$31,IF(BV74=DataBase!$B$32,DataBase!$C$32,IF(BV74=DataBase!$B$33,DataBase!$C$33,IF(BV74=DataBase!$B$34,DataBase!$C$34)))))</f>
        <v>1</v>
      </c>
      <c r="CK74" s="132">
        <f>CI74*CJ74</f>
        <v>300000</v>
      </c>
      <c r="CL74" s="132">
        <f>IF(BX74=DataBase!$B$14,DataBase!$G$14,IF(BX74=DataBase!$B$15,DataBase!$G$15,IF(BX74=DataBase!$B$16,DataBase!$G$16)))</f>
        <v>200</v>
      </c>
      <c r="CM74" s="132">
        <f>IF(CF74=DataBase!$K$20,1,IF(CF74=DataBase!$K$21,1,0))</f>
        <v>0</v>
      </c>
      <c r="CN74" s="132">
        <f>IF(CF74=DataBase!$K$20,DataBase!$M$20,IF(CF74=DataBase!$K$21,DataBase!$M$21,0))</f>
        <v>0</v>
      </c>
      <c r="CO74" s="132">
        <f>IF(CM74=1,IF(CN74&lt;&gt;0,CN74,CL74),CL74)</f>
        <v>200</v>
      </c>
      <c r="CP74" s="132">
        <f>IF(BV74=DataBase!$B$30,DataBase!$H$30,IF(BV74=DataBase!$B$31,DataBase!$H$31,IF(BV74=DataBase!$B$32,DataBase!$H$32,IF(BV74=DataBase!$B$33,DataBase!$H$33,IF(BV74=DataBase!$B$34,DataBase!$H$34)))))</f>
        <v>1</v>
      </c>
      <c r="CQ74" s="132">
        <f>IF(BU74=DataBase!$B$21,DataBase!$G$21,IF(BU74=DataBase!$B$22,DataBase!$G$22,IF(BU74=DataBase!$B$23,DataBase!$G$23,IF(BU74=DataBase!$B$24,DataBase!$G$24,IF(BU74=DataBase!$B$25,DataBase!$G$25)))))</f>
        <v>1.4</v>
      </c>
      <c r="CR74" s="132">
        <f>IF(CE74=DataBase!$B$44,DataBase!$G$44,IF($F74=DataBase!$B$45,DataBase!$G$45,IF(CE74=DataBase!$B$46,DataBase!$G$46,IF(CE74=DataBase!$B$47,DataBase!$G$47,IF(CE74=DataBase!$B$48,DataBase!$G$48,IF(CE74=DataBase!$B$49,DataBase!$G$49))))))+CO74*CP74*CQ74</f>
        <v>280</v>
      </c>
      <c r="CS74" s="132">
        <f>CR74+CK74*DR74</f>
        <v>360280</v>
      </c>
      <c r="CT74" s="132">
        <f>((BZ74-1)/BZ74)/IF(BY74=DataBase!$B$8,DataBase!$C$8,IF(BY74=DataBase!$B$9,DataBase!$C$9,IF(BY74=DataBase!$B$10,DataBase!$C$10)))*CA74</f>
        <v>19.921568627450981</v>
      </c>
      <c r="CU74" s="132">
        <f>IF(BX74=DataBase!$B$14,DataBase!$E$14,IF(BX74=DataBase!$B$15,DataBase!$E$15,IF(BX74=DataBase!$B$16,DataBase!$E$16)))</f>
        <v>125</v>
      </c>
      <c r="CV74" s="132">
        <f>IF(BU74=DataBase!$B$21,DataBase!$E$21,IF(BU74=DataBase!$B$22,DataBase!$E$22,IF(BU74=DataBase!$B$23,DataBase!$E$23,IF(BU74=DataBase!$B$24,DataBase!$E$24,IF(BU74=DataBase!$B$25,DataBase!$E$25)))))</f>
        <v>2000</v>
      </c>
      <c r="CW74" s="132">
        <f>IF(BY74=DataBase!$B$8,DataBase!$C$8,IF(BY74=DataBase!$B$9,DataBase!$C$9,IF(BY74=DataBase!$B$10,DataBase!$C$10)))</f>
        <v>3</v>
      </c>
      <c r="CX74" s="140">
        <f>POWER(CA74/((DataBase!$F$5*CW74)),DataBase!$E$52)*DataBase!$F$5*CW74/CA74</f>
        <v>1.1394328171664916</v>
      </c>
      <c r="CY74" s="132">
        <f>IF(BV74=DataBase!$B$30,DataBase!$F$30,IF(BV74=DataBase!$B$31,DataBase!$F$31,IF(BV74=DataBase!$B$32,DataBase!$F$32,IF(BV74=DataBase!$B$33,DataBase!$F$33,IF(BV74=DataBase!$B$34,DataBase!$F$34)))))</f>
        <v>1</v>
      </c>
      <c r="CZ74" s="132">
        <f>CV74*CX74*CY74*DS74</f>
        <v>3190.4118880661763</v>
      </c>
      <c r="DA74" s="132">
        <f>IF(BX74=DataBase!$B$14,DataBase!$H$14,IF(BX74=DataBase!$B$15,DataBase!$H$15,IF(BX74=DataBase!$B$16,DataBase!$H$16)))*CO74</f>
        <v>100</v>
      </c>
      <c r="DB74" s="132">
        <f>IF(BV74=DataBase!$B$30,DataBase!$H$30,IF(BV74=DataBase!$B$31,DataBase!$H$31,IF(BV74=DataBase!$B$32,DataBase!$H$32,IF(BV74=DataBase!$B$33,DataBase!$H$33,IF(BV74=DataBase!$B$34,DataBase!$H$34)))))</f>
        <v>1</v>
      </c>
      <c r="DC74" s="132">
        <f>IF(BU74=DataBase!$B$21,DataBase!$G$21,IF(BU74=DataBase!$B$22,DataBase!$G$22,IF(BU74=DataBase!$B$23,DataBase!$G$23,IF(BU74=DataBase!$B$24,DataBase!$G$24,IF(BU74=DataBase!$B$25,DataBase!$G$25)))))</f>
        <v>1.4</v>
      </c>
      <c r="DD74" s="132">
        <f>DA74*DB74*DC74+IF(CE74=DataBase!$B$44,DataBase!$G$44,IF(CE74=DataBase!$B$45,DataBase!$G$45,IF(CE74=DataBase!$B$46,DataBase!$G$46,IF(CE74=DataBase!$B$47,DataBase!$G$47,IF(CE74=DataBase!$B$48,DataBase!$G$48,IF(CE74=DataBase!$B$49,DataBase!$G$49))))))</f>
        <v>140</v>
      </c>
      <c r="DE74" s="133">
        <f>CU74+CZ74+DD74</f>
        <v>3455.4118880661763</v>
      </c>
      <c r="DF74" s="132">
        <f>IF(BY74=DataBase!$B$8,0,((BZ74-1)/BZ74)/IF(BY74=DataBase!$B$9,2,IF(BY74=DataBase!$B$10,3/2))*CA74)</f>
        <v>39.843137254901961</v>
      </c>
      <c r="DG74" s="132">
        <f>IF(BX74=DataBase!$B$14,DataBase!$F$14,IF(BX74=DataBase!$B$15,DataBase!$F$15,IF(BX74=DataBase!$B$16,DataBase!$F$16)))</f>
        <v>125</v>
      </c>
      <c r="DH74" s="132">
        <f>IF(BU74=DataBase!$B$21,DataBase!$F$21,IF(BU74=DataBase!$B$22,DataBase!$F$22,IF(BU74=DataBase!$B$23,DataBase!$F$23,IF(BU74=DataBase!$B$24,DataBase!$F$24,IF(BU74=DataBase!$B$25,DataBase!$F$25)))))</f>
        <v>579</v>
      </c>
      <c r="DI74" s="132">
        <f>IF(BY74=DataBase!$B$8,DataBase!$E$8,IF(BY74=DataBase!$B$9,DataBase!$E$9,IF(BY74=DataBase!$B$10,DataBase!$E$10)))</f>
        <v>2</v>
      </c>
      <c r="DJ74" s="140">
        <f>IF(DI74=0,0,POWER(CA74/((DataBase!$F$5*DI74)),DataBase!$E$52)*DataBase!$F$5*DI74/CA74)</f>
        <v>1</v>
      </c>
      <c r="DK74" s="132">
        <f>IF(BV74=DataBase!$B$30,DataBase!$G$30,IF(BV74=DataBase!$B$31,DataBase!$G$31,IF(BV74=DataBase!$B$32,DataBase!$G$32,IF(BV74=DataBase!$B$33,DataBase!$G$33,IF(BV74=DataBase!$B$34,DataBase!$G$34)))))</f>
        <v>1</v>
      </c>
      <c r="DL74" s="132">
        <f>DH74*DJ74*DK74*DS74</f>
        <v>810.59999999999991</v>
      </c>
      <c r="DM74" s="132">
        <f>IF(BX74=DataBase!$B$14,DataBase!$J$14,IF(BX74=DataBase!$B$15,DataBase!$J$15,IF(BX74=DataBase!$B$16,DataBase!$J$16)))*CO74</f>
        <v>50</v>
      </c>
      <c r="DN74" s="132">
        <f>IF(BV74=DataBase!$B$30,DataBase!$H$30,IF(BV74=DataBase!$B$31,DataBase!$H$31,IF(BV74=DataBase!$B$32,DataBase!$H$32,IF(BV74=DataBase!$B$33,DataBase!$H$33,IF(BV74=DataBase!$B$34,DataBase!$H$34)))))</f>
        <v>1</v>
      </c>
      <c r="DO74" s="132">
        <f>IF(BU74=DataBase!$B$21,DataBase!$G$21,IF(BU74=DataBase!$B$22,DataBase!$G$22,IF(BU74=DataBase!$B$23,DataBase!$G$23,IF(BU74=DataBase!$B$24,DataBase!$G$24,IF(BU74=DataBase!$B$25,DataBase!$G$25)))))</f>
        <v>1.4</v>
      </c>
      <c r="DP74" s="132">
        <f>DM74*DN74*DO74+IF(CE74=DataBase!$B$44,DataBase!$G$44,IF(CE74=DataBase!$B$45,DataBase!$G$45,IF(CE74=DataBase!$B$46,DataBase!$G$46,IF(CE74=DataBase!$B$47,DataBase!$G$47,IF(CE74=DataBase!$B$48,DataBase!$G$48,IF(CE74=DataBase!$B$49,DataBase!$G$49))))))</f>
        <v>70</v>
      </c>
      <c r="DQ74" s="133">
        <f>DG74+DL74+DP74</f>
        <v>1005.5999999999999</v>
      </c>
      <c r="DR74" s="134">
        <f>IF(CE74=DataBase!$B$44,DataBase!$C$44,IF(CE74=DataBase!$B$45,DataBase!$C$45,IF(CE74=DataBase!$B$46,DataBase!$C$46,IF(CE74=DataBase!$B$47,DataBase!$C$47,IF(CE74=DataBase!$B$48,DataBase!$C$48,IF(CE74=DataBase!$B$49,DataBase!$C$49))))))</f>
        <v>1.2</v>
      </c>
      <c r="DS74" s="134">
        <f>IF(CE74=DataBase!$B$44,DataBase!$D$44,IF(CE74=DataBase!$B$45,DataBase!$D$45,IF(CE74=DataBase!$B$46,DataBase!$D$46,IF(CE74=DataBase!$B$47,DataBase!$D$47,IF(CE74=DataBase!$B$48,DataBase!$D$48,IF(CE74=DataBase!$B$49,DataBase!$D$49))))))</f>
        <v>1.4</v>
      </c>
      <c r="DT74" s="132">
        <f>DQ74*8*DF74+DE74*8*CT74+CS74*CH74*8</f>
        <v>1549401.9887490566</v>
      </c>
      <c r="DU74" s="132">
        <f>POWER(((DataBase!$C$5*DataBase!$E$5)/(CB74*CC74)),DataBase!$E$53)</f>
        <v>1</v>
      </c>
      <c r="DV74" s="132">
        <f>IF(CD74=DataBase!$B$37,DataBase!$C$37,IF(CD74=DataBase!$B$38,DataBase!$C$38))</f>
        <v>1</v>
      </c>
      <c r="DX74" s="136">
        <f>DV74*DU74*DT74</f>
        <v>1549401.9887490566</v>
      </c>
      <c r="DY74" s="132" t="s">
        <v>630</v>
      </c>
      <c r="EA74" s="137" t="str">
        <f>IF(C74=DataBase!$J$49,DataBase!$O$49,IF(C74=DataBase!$J$50,DataBase!$O$50,IF(C74=DataBase!$J$51,DataBase!$O$51,IF(C74=DataBase!$J$52,DataBase!$O$52))))</f>
        <v>busy</v>
      </c>
      <c r="EB74" s="132" t="str">
        <f>IF(D74=DataBase!$J$44,DataBase!$L$44,IF(D74=DataBase!$J$45,DataBase!$L$45,IF(D74=DataBase!$J$46,DataBase!$L$46)))</f>
        <v>medium</v>
      </c>
      <c r="EC74" s="137"/>
      <c r="ED74" s="137" t="str">
        <f>$F74</f>
        <v>normale z.B. typische parkplatz Straßenszene</v>
      </c>
      <c r="EE74" s="137" t="str">
        <f>$G74</f>
        <v>IBBP</v>
      </c>
      <c r="EF74" s="137">
        <f>$H74</f>
        <v>255</v>
      </c>
      <c r="EG74" s="137">
        <f>$I74</f>
        <v>60</v>
      </c>
      <c r="EH74" s="137">
        <f>$J74</f>
        <v>1920</v>
      </c>
      <c r="EI74" s="137">
        <f>$K74</f>
        <v>1080</v>
      </c>
      <c r="EJ74" s="137" t="str">
        <f>$L74</f>
        <v>h_264</v>
      </c>
      <c r="EK74" s="137" t="str">
        <f>$M74</f>
        <v>CPP_7_3</v>
      </c>
      <c r="EL74" s="137">
        <f>$E74</f>
        <v>0</v>
      </c>
      <c r="EN74" s="132">
        <f>1/EF74*EG74</f>
        <v>0.23529411764705882</v>
      </c>
      <c r="EO74" s="132">
        <f>IF(ED74=DataBase!$B$14,DataBase!$C$14,IF(ED74=DataBase!$B$15,DataBase!$C$15,IF(ED74=DataBase!$B$16,DataBase!$C$16)))</f>
        <v>300000</v>
      </c>
      <c r="EP74" s="132">
        <f>IF(EB74=DataBase!$B$30,DataBase!$C$30,IF(EB74=DataBase!$B$31,DataBase!$C$31,IF(EB74=DataBase!$B$32,DataBase!$C$32,IF(EB74=DataBase!$B$33,DataBase!$C$33,IF(EB74=DataBase!$B$34,DataBase!$C$34)))))</f>
        <v>1</v>
      </c>
      <c r="EQ74" s="132">
        <f>EO74*EP74</f>
        <v>300000</v>
      </c>
      <c r="ER74" s="132">
        <f>IF(ED74=DataBase!$B$14,DataBase!$G$14,IF(ED74=DataBase!$B$15,DataBase!$G$15,IF(ED74=DataBase!$B$16,DataBase!$G$16)))</f>
        <v>200</v>
      </c>
      <c r="ES74" s="132">
        <f>IF(EL74=DataBase!$K$20,1,IF(EL74=DataBase!$K$21,1,0))</f>
        <v>0</v>
      </c>
      <c r="ET74" s="132">
        <f>IF(EL74=DataBase!$K$20,DataBase!$M$20,IF(EL74=DataBase!$K$21,DataBase!$M$21,0))</f>
        <v>0</v>
      </c>
      <c r="EU74" s="132">
        <f>IF(ES74=1,IF(ET74&lt;&gt;0,ET74,ER74),ER74)</f>
        <v>200</v>
      </c>
      <c r="EV74" s="132">
        <f>IF(EB74=DataBase!$B$30,DataBase!$H$30,IF(EB74=DataBase!$B$31,DataBase!$H$31,IF(EB74=DataBase!$B$32,DataBase!$H$32,IF(EB74=DataBase!$B$33,DataBase!$H$33,IF(EB74=DataBase!$B$34,DataBase!$H$34)))))</f>
        <v>1</v>
      </c>
      <c r="EW74" s="132">
        <f>IF(EA74=DataBase!$B$21,DataBase!$G$21,IF(EA74=DataBase!$B$22,DataBase!$G$22,IF(EA74=DataBase!$B$23,DataBase!$G$23,IF(EA74=DataBase!$B$24,DataBase!$G$24,IF(EA74=DataBase!$B$25,DataBase!$G$25)))))</f>
        <v>2</v>
      </c>
      <c r="EX74" s="132">
        <f>IF(EK74=DataBase!$B$44,DataBase!$G$44,IF($F74=DataBase!$B$45,DataBase!$G$45,IF(EK74=DataBase!$B$46,DataBase!$G$46,IF(EK74=DataBase!$B$47,DataBase!$G$47,IF(EK74=DataBase!$B$48,DataBase!$G$48,IF(EK74=DataBase!$B$49,DataBase!$G$49))))))+EU74*EV74*EW74</f>
        <v>400</v>
      </c>
      <c r="EY74" s="132">
        <f>EX74+EQ74*FX74</f>
        <v>360400</v>
      </c>
      <c r="EZ74" s="132">
        <f>((EF74-1)/EF74)/IF(EE74=DataBase!$B$8,DataBase!$C$8,IF(EE74=DataBase!$B$9,DataBase!$C$9,IF(EE74=DataBase!$B$10,DataBase!$C$10)))*EG74</f>
        <v>19.921568627450981</v>
      </c>
      <c r="FA74" s="132">
        <f>IF(ED74=DataBase!$B$14,DataBase!$E$14,IF(ED74=DataBase!$B$15,DataBase!$E$15,IF(ED74=DataBase!$B$16,DataBase!$E$16)))</f>
        <v>125</v>
      </c>
      <c r="FB74" s="132">
        <f>IF(EA74=DataBase!$B$21,DataBase!$E$21,IF(EA74=DataBase!$B$22,DataBase!$E$22,IF(EA74=DataBase!$B$23,DataBase!$E$23,IF(EA74=DataBase!$B$24,DataBase!$E$24,IF(EA74=DataBase!$B$25,DataBase!$E$25)))))</f>
        <v>10000</v>
      </c>
      <c r="FC74" s="132">
        <f>IF(EE74=DataBase!$B$8,DataBase!$C$8,IF(EE74=DataBase!$B$9,DataBase!$C$9,IF(EE74=DataBase!$B$10,DataBase!$C$10)))</f>
        <v>3</v>
      </c>
      <c r="FD74" s="140">
        <f>POWER(EG74/((DataBase!$F$5*FC74)),DataBase!$E$52)*DataBase!$F$5*FC74/EG74</f>
        <v>1.1394328171664916</v>
      </c>
      <c r="FE74" s="132">
        <f>IF(EB74=DataBase!$B$30,DataBase!$F$30,IF(EB74=DataBase!$B$31,DataBase!$F$31,IF(EB74=DataBase!$B$32,DataBase!$F$32,IF(EB74=DataBase!$B$33,DataBase!$F$33,IF(EB74=DataBase!$B$34,DataBase!$F$34)))))</f>
        <v>1</v>
      </c>
      <c r="FF74" s="132">
        <f>FB74*FD74*FE74*FY74</f>
        <v>15952.059440330882</v>
      </c>
      <c r="FG74" s="132">
        <f>IF(ED74=DataBase!$B$14,DataBase!$H$14,IF(ED74=DataBase!$B$15,DataBase!$H$15,IF(ED74=DataBase!$B$16,DataBase!$H$16)))*EU74</f>
        <v>100</v>
      </c>
      <c r="FH74" s="132">
        <f>IF(EB74=DataBase!$B$30,DataBase!$H$30,IF(EB74=DataBase!$B$31,DataBase!$H$31,IF(EB74=DataBase!$B$32,DataBase!$H$32,IF(EB74=DataBase!$B$33,DataBase!$H$33,IF(EB74=DataBase!$B$34,DataBase!$H$34)))))</f>
        <v>1</v>
      </c>
      <c r="FI74" s="132">
        <f>IF(EA74=DataBase!$B$21,DataBase!$G$21,IF(EA74=DataBase!$B$22,DataBase!$G$22,IF(EA74=DataBase!$B$23,DataBase!$G$23,IF(EA74=DataBase!$B$24,DataBase!$G$24,IF(EA74=DataBase!$B$25,DataBase!$G$25)))))</f>
        <v>2</v>
      </c>
      <c r="FJ74" s="132">
        <f>FG74*FH74*FI74+IF(EK74=DataBase!$B$44,DataBase!$G$44,IF(EK74=DataBase!$B$45,DataBase!$G$45,IF(EK74=DataBase!$B$46,DataBase!$G$46,IF(EK74=DataBase!$B$47,DataBase!$G$47,IF(EK74=DataBase!$B$48,DataBase!$G$48,IF(EK74=DataBase!$B$49,DataBase!$G$49))))))</f>
        <v>200</v>
      </c>
      <c r="FK74" s="133">
        <f>FA74+FF74+FJ74</f>
        <v>16277.059440330882</v>
      </c>
      <c r="FL74" s="132">
        <f>IF(EE74=DataBase!$B$8,0,((EF74-1)/EF74)/IF(EE74=DataBase!$B$9,2,IF(EE74=DataBase!$B$10,3/2))*EG74)</f>
        <v>39.843137254901961</v>
      </c>
      <c r="FM74" s="132">
        <f>IF(ED74=DataBase!$B$14,DataBase!$F$14,IF(ED74=DataBase!$B$15,DataBase!$F$15,IF(ED74=DataBase!$B$16,DataBase!$F$16)))</f>
        <v>125</v>
      </c>
      <c r="FN74" s="132">
        <f>IF(EA74=DataBase!$B$21,DataBase!$F$21,IF(EA74=DataBase!$B$22,DataBase!$F$22,IF(EA74=DataBase!$B$23,DataBase!$F$23,IF(EA74=DataBase!$B$24,DataBase!$F$24,IF(EA74=DataBase!$B$25,DataBase!$F$25)))))</f>
        <v>2500</v>
      </c>
      <c r="FO74" s="132">
        <f>IF(EE74=DataBase!$B$8,DataBase!$E$8,IF(EE74=DataBase!$B$9,DataBase!$E$9,IF(EE74=DataBase!$B$10,DataBase!$E$10)))</f>
        <v>2</v>
      </c>
      <c r="FP74" s="140">
        <f>IF(FO74=0,0,POWER(EG74/((DataBase!$F$5*FO74)),DataBase!$E$52)*DataBase!$F$5*FO74/EG74)</f>
        <v>1</v>
      </c>
      <c r="FQ74" s="132">
        <f>IF(EB74=DataBase!$B$30,DataBase!$G$30,IF(EB74=DataBase!$B$31,DataBase!$G$31,IF(EB74=DataBase!$B$32,DataBase!$G$32,IF(EB74=DataBase!$B$33,DataBase!$G$33,IF(EB74=DataBase!$B$34,DataBase!$G$34)))))</f>
        <v>1</v>
      </c>
      <c r="FR74" s="132">
        <f>FN74*FP74*FQ74*FY74</f>
        <v>3500</v>
      </c>
      <c r="FS74" s="132">
        <f>IF(ED74=DataBase!$B$14,DataBase!$J$14,IF(ED74=DataBase!$B$15,DataBase!$J$15,IF(ED74=DataBase!$B$16,DataBase!$J$16)))*EU74</f>
        <v>50</v>
      </c>
      <c r="FT74" s="132">
        <f>IF(EB74=DataBase!$B$30,DataBase!$H$30,IF(EB74=DataBase!$B$31,DataBase!$H$31,IF(EB74=DataBase!$B$32,DataBase!$H$32,IF(EB74=DataBase!$B$33,DataBase!$H$33,IF(EB74=DataBase!$B$34,DataBase!$H$34)))))</f>
        <v>1</v>
      </c>
      <c r="FU74" s="132">
        <f>IF(EA74=DataBase!$B$21,DataBase!$G$21,IF(EA74=DataBase!$B$22,DataBase!$G$22,IF(EA74=DataBase!$B$23,DataBase!$G$23,IF(EA74=DataBase!$B$24,DataBase!$G$24,IF(EA74=DataBase!$B$25,DataBase!$G$25)))))</f>
        <v>2</v>
      </c>
      <c r="FV74" s="132">
        <f>FS74*FT74*FU74+IF(EK74=DataBase!$B$44,DataBase!$G$44,IF(EK74=DataBase!$B$45,DataBase!$G$45,IF(EK74=DataBase!$B$46,DataBase!$G$46,IF(EK74=DataBase!$B$47,DataBase!$G$47,IF(EK74=DataBase!$B$48,DataBase!$G$48,IF(EK74=DataBase!$B$49,DataBase!$G$49))))))</f>
        <v>100</v>
      </c>
      <c r="FW74" s="133">
        <f>FM74+FR74+FV74</f>
        <v>3725</v>
      </c>
      <c r="FX74" s="134">
        <f>IF(EK74=DataBase!$B$44,DataBase!$C$44,IF(EK74=DataBase!$B$45,DataBase!$C$45,IF(EK74=DataBase!$B$46,DataBase!$C$46,IF(EK74=DataBase!$B$47,DataBase!$C$47,IF(EK74=DataBase!$B$48,DataBase!$C$48,IF(EK74=DataBase!$B$49,DataBase!$C$49))))))</f>
        <v>1.2</v>
      </c>
      <c r="FY74" s="134">
        <f>IF(EK74=DataBase!$B$44,DataBase!$D$44,IF(EK74=DataBase!$B$45,DataBase!$D$45,IF(EK74=DataBase!$B$46,DataBase!$D$46,IF(EK74=DataBase!$B$47,DataBase!$D$47,IF(EK74=DataBase!$B$48,DataBase!$D$48,IF(EK74=DataBase!$B$49,DataBase!$D$49))))))</f>
        <v>1.4</v>
      </c>
      <c r="FZ74" s="132">
        <f>FW74*8*FL74+FK74*8*EZ74+EY74*EN74*8</f>
        <v>4459841.9437452834</v>
      </c>
      <c r="GA74" s="132">
        <f>POWER(((DataBase!$C$5*DataBase!$E$5)/(EH74*EI74)),DataBase!$E$53)</f>
        <v>1</v>
      </c>
      <c r="GB74" s="132">
        <f>IF(EJ74=DataBase!$B$37,DataBase!$C$37,IF(EJ74=DataBase!$B$38,DataBase!$C$38))</f>
        <v>1</v>
      </c>
      <c r="GD74" s="136">
        <f>GB74*GA74*FZ74</f>
        <v>4459841.9437452834</v>
      </c>
      <c r="GE74" s="132" t="s">
        <v>630</v>
      </c>
      <c r="GG74" s="132">
        <f>IF($C74=DataBase!$J$49,DataBase!$L$49,IF($C74=DataBase!$J$50,DataBase!$L$50,IF($C74=DataBase!$J$51,DataBase!$L$51,IF($C74=DataBase!$J$52,DataBase!$L$52))))</f>
        <v>0.89</v>
      </c>
      <c r="GH74" s="132">
        <f>IF($C74=DataBase!$J$49,DataBase!$N$49,IF($C74=DataBase!$J$50,DataBase!$N$50,IF($C74=DataBase!$J$51,DataBase!$N$51,IF($C74=DataBase!$J$52,DataBase!$N$52))))</f>
        <v>0.1</v>
      </c>
      <c r="GI74" s="132">
        <f>IF($C74=DataBase!$J$49,DataBase!$P$49,IF($C74=DataBase!$J$50,DataBase!$P$50,IF($C74=DataBase!$J$51,DataBase!$P$51,IF($C74=DataBase!$J$52,DataBase!$P$52))))</f>
        <v>9.9999999999999811E-3</v>
      </c>
      <c r="GK74" s="136">
        <f>$GG74*BR74</f>
        <v>684999.84313725494</v>
      </c>
      <c r="GL74" s="132" t="s">
        <v>630</v>
      </c>
      <c r="GM74" s="136">
        <f>$DX74*GH74</f>
        <v>154940.19887490568</v>
      </c>
      <c r="GN74" s="132" t="s">
        <v>630</v>
      </c>
      <c r="GO74" s="136">
        <f>$GD74*GI74</f>
        <v>44598.419437452751</v>
      </c>
      <c r="GP74" s="132" t="s">
        <v>630</v>
      </c>
      <c r="GR74" s="136">
        <f>GO74+GM74+GK74</f>
        <v>884538.46144961333</v>
      </c>
      <c r="GS74" s="132" t="s">
        <v>630</v>
      </c>
      <c r="GU74" s="136">
        <f>MAX($GD74,$DX74,$BR74)</f>
        <v>4459841.9437452834</v>
      </c>
      <c r="GV74" s="132" t="s">
        <v>630</v>
      </c>
      <c r="GW74" s="132">
        <f>IF($M74=DataBase!$B$44,DataBase!$E$44,IF($M74=DataBase!$B$45,DataBase!$E$45,IF($M74=DataBase!$B$46,DataBase!$E$46,IF($M74=DataBase!$B$47,DataBase!$E$47,IF($M74=DataBase!$B$48,DataBase!$E$48,IF($M74=DataBase!$B$49,DataBase!$E$49))))))</f>
        <v>1</v>
      </c>
      <c r="GY74" s="132">
        <f>IF($D74=DataBase!$J$44,DataBase!$M$44,IF($D74=DataBase!$J$45,DataBase!$M$45,IF($D74=DataBase!$J$46,DataBase!$M$46)))</f>
        <v>4</v>
      </c>
      <c r="GZ74" s="132">
        <f>IF($D74=DataBase!$J$44,DataBase!$K$44,IF($D74=DataBase!$J$45,DataBase!$K$45,IF($D74=DataBase!$J$46,DataBase!$K$46)))</f>
        <v>1</v>
      </c>
      <c r="HA74" s="132">
        <f>IF($M74=DataBase!$B$44,DataBase!$F$44,IF($M74=DataBase!$B$45,DataBase!$F$45,IF($M74=DataBase!$B$46,DataBase!$F$46,IF($M74=DataBase!$B$47,DataBase!$F$47,IF($M74=DataBase!$B$48,DataBase!$F$48,IF($M74=DataBase!$B$49,DataBase!$F$49))))))</f>
        <v>32000000</v>
      </c>
      <c r="HB74" s="132" t="s">
        <v>630</v>
      </c>
      <c r="HC74" s="132" t="str">
        <f>C74&amp;D74&amp;I74&amp;J74&amp;K74&amp;M74</f>
        <v>staticbitrate optimized6019201080CPP_7_3</v>
      </c>
      <c r="HD74" s="136">
        <f>MIN(HA74,MAX(GZ74*IF(0=GW74,GR74,IF(1=GW74,GR74,IF(2=GW74,GU74)))))</f>
        <v>884538.46144961333</v>
      </c>
      <c r="HE74" s="132" t="s">
        <v>630</v>
      </c>
      <c r="HG74" s="132" t="str">
        <f>IF(GW74=1,"SUPPORTED","NOT SUPPORTED")</f>
        <v>SUPPORTED</v>
      </c>
      <c r="HH74" s="136">
        <f>HJ74</f>
        <v>4459841.9437452834</v>
      </c>
      <c r="HI74" s="132" t="s">
        <v>630</v>
      </c>
      <c r="HJ74" s="136">
        <f>MIN(HA74,GZ74*IF(GW74=0,2*GR74,GU74))</f>
        <v>4459841.9437452834</v>
      </c>
      <c r="HK74" s="132" t="s">
        <v>630</v>
      </c>
      <c r="HL74" s="132" t="str">
        <f>IF(GW74=1,IF($D74=DataBase!$J$44,DataBase!$L$44,IF($D74=DataBase!$J$45,DataBase!$L$45,IF($D74=DataBase!$J$46,DataBase!$L$46))),"OFF")</f>
        <v>medium</v>
      </c>
      <c r="HM74" s="132">
        <f>0</f>
        <v>0</v>
      </c>
      <c r="HO74" s="136">
        <f>MIN(HA74,MAX(HQ74/GY74,GZ74*IF(0=GW74,GR74,IF(1=GW74,GR74,IF(2=GW74,GU74)))))</f>
        <v>1114960.4859363209</v>
      </c>
      <c r="HP74" s="132" t="s">
        <v>630</v>
      </c>
      <c r="HQ74" s="136">
        <f>MIN(HA74,GZ74*IF(GW74=0,2*GR74,GU74))</f>
        <v>4459841.9437452834</v>
      </c>
      <c r="HR74" s="132" t="s">
        <v>630</v>
      </c>
      <c r="HS74" s="132" t="str">
        <f>IF(GW74=1,IF($D74=DataBase!$J$44,DataBase!$L$44,IF($D74=DataBase!$J$45,DataBase!$L$45,IF($D74=DataBase!$J$46,DataBase!$L$46))),"OFF")</f>
        <v>medium</v>
      </c>
      <c r="HT74" s="132">
        <f>IF(GW74=1,3600*24*GW74,0)</f>
        <v>86400</v>
      </c>
    </row>
    <row r="75" spans="3:228" ht="24" hidden="1" thickBot="1">
      <c r="C75" s="668" t="s">
        <v>697</v>
      </c>
      <c r="D75" s="669"/>
      <c r="E75" s="669"/>
      <c r="F75" s="669"/>
      <c r="G75" s="669"/>
      <c r="H75" s="669"/>
      <c r="I75" s="669"/>
      <c r="J75" s="669"/>
      <c r="K75" s="669"/>
      <c r="L75" s="669"/>
      <c r="M75" s="670"/>
      <c r="O75" s="86" t="s">
        <v>696</v>
      </c>
      <c r="P75" s="83"/>
      <c r="Q75" s="68"/>
      <c r="R75" s="85"/>
      <c r="S75" s="84"/>
      <c r="T75" s="84"/>
      <c r="U75" s="84"/>
      <c r="V75" s="84"/>
      <c r="W75" s="84"/>
      <c r="X75" s="84"/>
      <c r="Y75" s="84"/>
      <c r="Z75" s="83"/>
      <c r="AA75" s="68"/>
      <c r="AC75" s="79" t="s">
        <v>695</v>
      </c>
      <c r="AD75" s="78"/>
      <c r="AE75" s="80"/>
      <c r="AF75" s="78" t="s">
        <v>694</v>
      </c>
      <c r="AG75" s="78"/>
      <c r="AH75" s="78"/>
      <c r="AI75" s="78"/>
      <c r="AJ75" s="78"/>
      <c r="AK75" s="78"/>
      <c r="AL75" s="80"/>
      <c r="AO75" s="81" t="s">
        <v>693</v>
      </c>
      <c r="AP75" s="79" t="s">
        <v>692</v>
      </c>
      <c r="AQ75" s="78"/>
      <c r="AR75" s="78"/>
      <c r="AS75" s="78"/>
      <c r="AT75" s="78"/>
      <c r="AU75" s="79" t="s">
        <v>691</v>
      </c>
      <c r="AV75" s="78"/>
      <c r="AW75" s="78"/>
      <c r="AX75" s="80"/>
      <c r="AY75" s="82"/>
      <c r="BA75" s="81" t="s">
        <v>693</v>
      </c>
      <c r="BB75" s="79" t="s">
        <v>692</v>
      </c>
      <c r="BC75" s="78"/>
      <c r="BD75" s="78"/>
      <c r="BE75" s="78"/>
      <c r="BF75" s="78"/>
      <c r="BG75" s="79" t="s">
        <v>691</v>
      </c>
      <c r="BH75" s="78"/>
      <c r="BI75" s="78"/>
      <c r="BJ75" s="80"/>
      <c r="BK75" s="59"/>
      <c r="BO75" s="79" t="s">
        <v>690</v>
      </c>
      <c r="BP75" s="78"/>
      <c r="BU75" s="86" t="s">
        <v>696</v>
      </c>
      <c r="BV75" s="83"/>
      <c r="BW75" s="68"/>
      <c r="BX75" s="85"/>
      <c r="BY75" s="84"/>
      <c r="BZ75" s="84"/>
      <c r="CA75" s="84"/>
      <c r="CB75" s="84"/>
      <c r="CC75" s="84"/>
      <c r="CD75" s="84"/>
      <c r="CE75" s="84"/>
      <c r="CF75" s="83"/>
      <c r="CG75" s="68"/>
      <c r="CI75" s="79" t="s">
        <v>695</v>
      </c>
      <c r="CJ75" s="78"/>
      <c r="CK75" s="80"/>
      <c r="CL75" s="78" t="s">
        <v>694</v>
      </c>
      <c r="CM75" s="78"/>
      <c r="CN75" s="78"/>
      <c r="CO75" s="78"/>
      <c r="CP75" s="78"/>
      <c r="CQ75" s="78"/>
      <c r="CR75" s="80"/>
      <c r="CU75" s="81" t="s">
        <v>693</v>
      </c>
      <c r="CV75" s="79" t="s">
        <v>692</v>
      </c>
      <c r="CW75" s="78"/>
      <c r="CX75" s="78"/>
      <c r="CY75" s="78"/>
      <c r="CZ75" s="78"/>
      <c r="DA75" s="79" t="s">
        <v>691</v>
      </c>
      <c r="DB75" s="78"/>
      <c r="DC75" s="78"/>
      <c r="DD75" s="80"/>
      <c r="DE75" s="82"/>
      <c r="DG75" s="81" t="s">
        <v>693</v>
      </c>
      <c r="DH75" s="79" t="s">
        <v>692</v>
      </c>
      <c r="DI75" s="78"/>
      <c r="DJ75" s="78"/>
      <c r="DK75" s="78"/>
      <c r="DL75" s="78"/>
      <c r="DM75" s="79" t="s">
        <v>691</v>
      </c>
      <c r="DN75" s="78"/>
      <c r="DO75" s="78"/>
      <c r="DP75" s="80"/>
      <c r="DQ75" s="59"/>
      <c r="DU75" s="79" t="s">
        <v>690</v>
      </c>
      <c r="DV75" s="78"/>
      <c r="EA75" s="86" t="s">
        <v>696</v>
      </c>
      <c r="EB75" s="83"/>
      <c r="EC75" s="68"/>
      <c r="ED75" s="85"/>
      <c r="EE75" s="84"/>
      <c r="EF75" s="84"/>
      <c r="EG75" s="84"/>
      <c r="EH75" s="84"/>
      <c r="EI75" s="84"/>
      <c r="EJ75" s="84"/>
      <c r="EK75" s="84"/>
      <c r="EL75" s="83"/>
      <c r="EM75" s="68"/>
      <c r="EO75" s="79" t="s">
        <v>695</v>
      </c>
      <c r="EP75" s="78"/>
      <c r="EQ75" s="80"/>
      <c r="ER75" s="78" t="s">
        <v>694</v>
      </c>
      <c r="ES75" s="78"/>
      <c r="ET75" s="78"/>
      <c r="EU75" s="78"/>
      <c r="EV75" s="78"/>
      <c r="EW75" s="78"/>
      <c r="EX75" s="80"/>
      <c r="FA75" s="81" t="s">
        <v>693</v>
      </c>
      <c r="FB75" s="79" t="s">
        <v>692</v>
      </c>
      <c r="FC75" s="78"/>
      <c r="FD75" s="78"/>
      <c r="FE75" s="78"/>
      <c r="FF75" s="78"/>
      <c r="FG75" s="79" t="s">
        <v>691</v>
      </c>
      <c r="FH75" s="78"/>
      <c r="FI75" s="78"/>
      <c r="FJ75" s="80"/>
      <c r="FK75" s="82"/>
      <c r="FM75" s="81" t="s">
        <v>693</v>
      </c>
      <c r="FN75" s="79" t="s">
        <v>692</v>
      </c>
      <c r="FO75" s="78"/>
      <c r="FP75" s="78"/>
      <c r="FQ75" s="78"/>
      <c r="FR75" s="78"/>
      <c r="FS75" s="79" t="s">
        <v>691</v>
      </c>
      <c r="FT75" s="78"/>
      <c r="FU75" s="78"/>
      <c r="FV75" s="80"/>
      <c r="FW75" s="59"/>
      <c r="GA75" s="79" t="s">
        <v>690</v>
      </c>
      <c r="GB75" s="78"/>
      <c r="HD75" s="671" t="s">
        <v>689</v>
      </c>
      <c r="HE75" s="672"/>
      <c r="HG75" s="190"/>
      <c r="HH75" s="662" t="s">
        <v>688</v>
      </c>
      <c r="HI75" s="662"/>
      <c r="HJ75" s="662"/>
      <c r="HK75" s="662"/>
      <c r="HL75" s="662"/>
      <c r="HM75" s="663"/>
      <c r="HO75" s="661" t="s">
        <v>687</v>
      </c>
      <c r="HP75" s="662"/>
      <c r="HQ75" s="662"/>
      <c r="HR75" s="662"/>
      <c r="HS75" s="662"/>
      <c r="HT75" s="663"/>
    </row>
    <row r="76" spans="3:228" ht="15.75" hidden="1" thickBot="1">
      <c r="C76" s="75" t="s">
        <v>686</v>
      </c>
      <c r="D76" s="74" t="s">
        <v>685</v>
      </c>
      <c r="E76" s="74" t="s">
        <v>684</v>
      </c>
      <c r="F76" s="74" t="s">
        <v>681</v>
      </c>
      <c r="G76" s="74" t="s">
        <v>680</v>
      </c>
      <c r="H76" s="74" t="s">
        <v>679</v>
      </c>
      <c r="I76" s="74" t="s">
        <v>678</v>
      </c>
      <c r="J76" s="74" t="s">
        <v>618</v>
      </c>
      <c r="K76" s="74" t="s">
        <v>677</v>
      </c>
      <c r="L76" s="74" t="s">
        <v>676</v>
      </c>
      <c r="M76" s="73" t="s">
        <v>598</v>
      </c>
      <c r="O76" s="75" t="s">
        <v>683</v>
      </c>
      <c r="P76" s="73" t="s">
        <v>682</v>
      </c>
      <c r="Q76" s="76"/>
      <c r="R76" s="75" t="s">
        <v>681</v>
      </c>
      <c r="S76" s="74" t="s">
        <v>680</v>
      </c>
      <c r="T76" s="74" t="s">
        <v>679</v>
      </c>
      <c r="U76" s="74" t="s">
        <v>678</v>
      </c>
      <c r="V76" s="74" t="s">
        <v>618</v>
      </c>
      <c r="W76" s="74" t="s">
        <v>677</v>
      </c>
      <c r="X76" s="74" t="s">
        <v>676</v>
      </c>
      <c r="Y76" s="74" t="s">
        <v>598</v>
      </c>
      <c r="Z76" s="73" t="s">
        <v>675</v>
      </c>
      <c r="AA76" s="68"/>
      <c r="AB76" s="57" t="s">
        <v>674</v>
      </c>
      <c r="AC76" s="57" t="s">
        <v>661</v>
      </c>
      <c r="AD76" s="57" t="s">
        <v>662</v>
      </c>
      <c r="AE76" s="57" t="s">
        <v>673</v>
      </c>
      <c r="AF76" s="57" t="s">
        <v>672</v>
      </c>
      <c r="AG76" s="57" t="s">
        <v>671</v>
      </c>
      <c r="AH76" s="57" t="s">
        <v>670</v>
      </c>
      <c r="AI76" s="57" t="s">
        <v>669</v>
      </c>
      <c r="AJ76" s="57" t="s">
        <v>661</v>
      </c>
      <c r="AK76" s="57" t="s">
        <v>660</v>
      </c>
      <c r="AL76" s="57" t="s">
        <v>659</v>
      </c>
      <c r="AM76" s="57" t="s">
        <v>668</v>
      </c>
      <c r="AN76" s="57" t="s">
        <v>667</v>
      </c>
      <c r="AO76" s="57" t="s">
        <v>661</v>
      </c>
      <c r="AP76" s="57" t="s">
        <v>661</v>
      </c>
      <c r="AQ76" s="57" t="s">
        <v>664</v>
      </c>
      <c r="AR76" s="57" t="s">
        <v>663</v>
      </c>
      <c r="AS76" s="57" t="s">
        <v>662</v>
      </c>
      <c r="AT76" s="57" t="s">
        <v>658</v>
      </c>
      <c r="AU76" s="57" t="s">
        <v>661</v>
      </c>
      <c r="AV76" s="57" t="s">
        <v>660</v>
      </c>
      <c r="AW76" s="57" t="s">
        <v>659</v>
      </c>
      <c r="AX76" s="57" t="s">
        <v>658</v>
      </c>
      <c r="AY76" s="59" t="s">
        <v>666</v>
      </c>
      <c r="AZ76" s="57" t="s">
        <v>665</v>
      </c>
      <c r="BA76" s="57" t="s">
        <v>661</v>
      </c>
      <c r="BB76" s="57" t="s">
        <v>661</v>
      </c>
      <c r="BC76" s="57" t="s">
        <v>664</v>
      </c>
      <c r="BD76" s="57" t="s">
        <v>663</v>
      </c>
      <c r="BE76" s="57" t="s">
        <v>662</v>
      </c>
      <c r="BF76" s="57" t="s">
        <v>658</v>
      </c>
      <c r="BG76" s="57" t="s">
        <v>661</v>
      </c>
      <c r="BH76" s="57" t="s">
        <v>660</v>
      </c>
      <c r="BI76" s="57" t="s">
        <v>659</v>
      </c>
      <c r="BJ76" s="57" t="s">
        <v>658</v>
      </c>
      <c r="BK76" s="59" t="s">
        <v>657</v>
      </c>
      <c r="BL76" s="58" t="s">
        <v>656</v>
      </c>
      <c r="BM76" s="58" t="s">
        <v>655</v>
      </c>
      <c r="BN76" s="57" t="s">
        <v>652</v>
      </c>
      <c r="BO76" s="57" t="s">
        <v>654</v>
      </c>
      <c r="BP76" s="57" t="s">
        <v>653</v>
      </c>
      <c r="BR76" s="57" t="s">
        <v>652</v>
      </c>
      <c r="BU76" s="75" t="s">
        <v>683</v>
      </c>
      <c r="BV76" s="73" t="s">
        <v>682</v>
      </c>
      <c r="BW76" s="76"/>
      <c r="BX76" s="75" t="s">
        <v>681</v>
      </c>
      <c r="BY76" s="74" t="s">
        <v>680</v>
      </c>
      <c r="BZ76" s="74" t="s">
        <v>679</v>
      </c>
      <c r="CA76" s="74" t="s">
        <v>678</v>
      </c>
      <c r="CB76" s="74" t="s">
        <v>618</v>
      </c>
      <c r="CC76" s="74" t="s">
        <v>677</v>
      </c>
      <c r="CD76" s="74" t="s">
        <v>676</v>
      </c>
      <c r="CE76" s="74" t="s">
        <v>598</v>
      </c>
      <c r="CF76" s="73" t="s">
        <v>675</v>
      </c>
      <c r="CG76" s="68"/>
      <c r="CH76" s="57" t="s">
        <v>674</v>
      </c>
      <c r="CI76" s="57" t="s">
        <v>661</v>
      </c>
      <c r="CJ76" s="57" t="s">
        <v>662</v>
      </c>
      <c r="CK76" s="57" t="s">
        <v>673</v>
      </c>
      <c r="CL76" s="57" t="s">
        <v>672</v>
      </c>
      <c r="CM76" s="57" t="s">
        <v>671</v>
      </c>
      <c r="CN76" s="57" t="s">
        <v>670</v>
      </c>
      <c r="CO76" s="57" t="s">
        <v>669</v>
      </c>
      <c r="CP76" s="57" t="s">
        <v>661</v>
      </c>
      <c r="CQ76" s="57" t="s">
        <v>660</v>
      </c>
      <c r="CR76" s="57" t="s">
        <v>659</v>
      </c>
      <c r="CS76" s="57" t="s">
        <v>668</v>
      </c>
      <c r="CT76" s="57" t="s">
        <v>667</v>
      </c>
      <c r="CU76" s="57" t="s">
        <v>661</v>
      </c>
      <c r="CV76" s="57" t="s">
        <v>661</v>
      </c>
      <c r="CW76" s="57" t="s">
        <v>664</v>
      </c>
      <c r="CX76" s="57" t="s">
        <v>663</v>
      </c>
      <c r="CY76" s="57" t="s">
        <v>662</v>
      </c>
      <c r="CZ76" s="57" t="s">
        <v>658</v>
      </c>
      <c r="DA76" s="57" t="s">
        <v>661</v>
      </c>
      <c r="DB76" s="57" t="s">
        <v>660</v>
      </c>
      <c r="DC76" s="57" t="s">
        <v>659</v>
      </c>
      <c r="DD76" s="57" t="s">
        <v>658</v>
      </c>
      <c r="DE76" s="59" t="s">
        <v>666</v>
      </c>
      <c r="DF76" s="57" t="s">
        <v>665</v>
      </c>
      <c r="DG76" s="57" t="s">
        <v>661</v>
      </c>
      <c r="DH76" s="57" t="s">
        <v>661</v>
      </c>
      <c r="DI76" s="57" t="s">
        <v>664</v>
      </c>
      <c r="DJ76" s="57" t="s">
        <v>663</v>
      </c>
      <c r="DK76" s="57" t="s">
        <v>662</v>
      </c>
      <c r="DL76" s="57" t="s">
        <v>658</v>
      </c>
      <c r="DM76" s="57" t="s">
        <v>661</v>
      </c>
      <c r="DN76" s="57" t="s">
        <v>660</v>
      </c>
      <c r="DO76" s="57" t="s">
        <v>659</v>
      </c>
      <c r="DP76" s="57" t="s">
        <v>658</v>
      </c>
      <c r="DQ76" s="59" t="s">
        <v>657</v>
      </c>
      <c r="DR76" s="58" t="s">
        <v>656</v>
      </c>
      <c r="DS76" s="58" t="s">
        <v>655</v>
      </c>
      <c r="DT76" s="57" t="s">
        <v>652</v>
      </c>
      <c r="DU76" s="57" t="s">
        <v>654</v>
      </c>
      <c r="DV76" s="57" t="s">
        <v>653</v>
      </c>
      <c r="DX76" s="57" t="s">
        <v>652</v>
      </c>
      <c r="EA76" s="75" t="s">
        <v>683</v>
      </c>
      <c r="EB76" s="73" t="s">
        <v>682</v>
      </c>
      <c r="EC76" s="76"/>
      <c r="ED76" s="75" t="s">
        <v>681</v>
      </c>
      <c r="EE76" s="74" t="s">
        <v>680</v>
      </c>
      <c r="EF76" s="74" t="s">
        <v>679</v>
      </c>
      <c r="EG76" s="74" t="s">
        <v>678</v>
      </c>
      <c r="EH76" s="74" t="s">
        <v>618</v>
      </c>
      <c r="EI76" s="74" t="s">
        <v>677</v>
      </c>
      <c r="EJ76" s="74" t="s">
        <v>676</v>
      </c>
      <c r="EK76" s="74" t="s">
        <v>598</v>
      </c>
      <c r="EL76" s="73" t="s">
        <v>675</v>
      </c>
      <c r="EM76" s="68"/>
      <c r="EN76" s="57" t="s">
        <v>674</v>
      </c>
      <c r="EO76" s="57" t="s">
        <v>661</v>
      </c>
      <c r="EP76" s="57" t="s">
        <v>662</v>
      </c>
      <c r="EQ76" s="57" t="s">
        <v>673</v>
      </c>
      <c r="ER76" s="57" t="s">
        <v>672</v>
      </c>
      <c r="ES76" s="57" t="s">
        <v>671</v>
      </c>
      <c r="ET76" s="57" t="s">
        <v>670</v>
      </c>
      <c r="EU76" s="57" t="s">
        <v>669</v>
      </c>
      <c r="EV76" s="57" t="s">
        <v>661</v>
      </c>
      <c r="EW76" s="57" t="s">
        <v>660</v>
      </c>
      <c r="EX76" s="57" t="s">
        <v>659</v>
      </c>
      <c r="EY76" s="57" t="s">
        <v>668</v>
      </c>
      <c r="EZ76" s="57" t="s">
        <v>667</v>
      </c>
      <c r="FA76" s="57" t="s">
        <v>661</v>
      </c>
      <c r="FB76" s="57" t="s">
        <v>661</v>
      </c>
      <c r="FC76" s="57" t="s">
        <v>664</v>
      </c>
      <c r="FD76" s="57" t="s">
        <v>663</v>
      </c>
      <c r="FE76" s="57" t="s">
        <v>662</v>
      </c>
      <c r="FF76" s="57" t="s">
        <v>658</v>
      </c>
      <c r="FG76" s="57" t="s">
        <v>661</v>
      </c>
      <c r="FH76" s="57" t="s">
        <v>660</v>
      </c>
      <c r="FI76" s="57" t="s">
        <v>659</v>
      </c>
      <c r="FJ76" s="57" t="s">
        <v>658</v>
      </c>
      <c r="FK76" s="59" t="s">
        <v>666</v>
      </c>
      <c r="FL76" s="57" t="s">
        <v>665</v>
      </c>
      <c r="FM76" s="57" t="s">
        <v>661</v>
      </c>
      <c r="FN76" s="57" t="s">
        <v>661</v>
      </c>
      <c r="FO76" s="57" t="s">
        <v>664</v>
      </c>
      <c r="FP76" s="57" t="s">
        <v>663</v>
      </c>
      <c r="FQ76" s="57" t="s">
        <v>662</v>
      </c>
      <c r="FR76" s="57" t="s">
        <v>658</v>
      </c>
      <c r="FS76" s="57" t="s">
        <v>661</v>
      </c>
      <c r="FT76" s="57" t="s">
        <v>660</v>
      </c>
      <c r="FU76" s="57" t="s">
        <v>659</v>
      </c>
      <c r="FV76" s="57" t="s">
        <v>658</v>
      </c>
      <c r="FW76" s="59" t="s">
        <v>657</v>
      </c>
      <c r="FX76" s="58" t="s">
        <v>656</v>
      </c>
      <c r="FY76" s="58" t="s">
        <v>655</v>
      </c>
      <c r="FZ76" s="57" t="s">
        <v>652</v>
      </c>
      <c r="GA76" s="57" t="s">
        <v>654</v>
      </c>
      <c r="GB76" s="57" t="s">
        <v>653</v>
      </c>
      <c r="GD76" s="57" t="s">
        <v>652</v>
      </c>
      <c r="GG76" s="76" t="s">
        <v>651</v>
      </c>
      <c r="GH76" s="76" t="s">
        <v>650</v>
      </c>
      <c r="GI76" s="76" t="s">
        <v>649</v>
      </c>
      <c r="GK76" s="76" t="s">
        <v>648</v>
      </c>
      <c r="GM76" s="76" t="s">
        <v>647</v>
      </c>
      <c r="GO76" s="76" t="s">
        <v>646</v>
      </c>
      <c r="GR76" s="75" t="s">
        <v>645</v>
      </c>
      <c r="GU76" s="75" t="s">
        <v>644</v>
      </c>
      <c r="GW76" s="72" t="s">
        <v>643</v>
      </c>
      <c r="GY76" s="72" t="s">
        <v>642</v>
      </c>
      <c r="GZ76" s="72" t="s">
        <v>641</v>
      </c>
      <c r="HA76" s="72" t="s">
        <v>640</v>
      </c>
      <c r="HD76" s="75" t="s">
        <v>639</v>
      </c>
      <c r="HE76" s="73"/>
      <c r="HG76" s="75" t="s">
        <v>638</v>
      </c>
      <c r="HH76" s="74" t="s">
        <v>263</v>
      </c>
      <c r="HI76" s="74"/>
      <c r="HJ76" s="74" t="s">
        <v>637</v>
      </c>
      <c r="HK76" s="74"/>
      <c r="HL76" s="74" t="s">
        <v>636</v>
      </c>
      <c r="HM76" s="73" t="s">
        <v>635</v>
      </c>
      <c r="HO76" s="75" t="s">
        <v>263</v>
      </c>
      <c r="HP76" s="74"/>
      <c r="HQ76" s="74" t="s">
        <v>637</v>
      </c>
      <c r="HR76" s="74"/>
      <c r="HS76" s="74" t="s">
        <v>636</v>
      </c>
      <c r="HT76" s="73" t="s">
        <v>635</v>
      </c>
    </row>
    <row r="77" spans="3:228" ht="20.25" hidden="1" customHeight="1">
      <c r="C77" s="70"/>
      <c r="D77" s="60"/>
      <c r="E77" s="60"/>
      <c r="F77" s="60"/>
      <c r="G77" s="60"/>
      <c r="H77" s="60"/>
      <c r="I77" s="60"/>
      <c r="J77" s="60"/>
      <c r="K77" s="60"/>
      <c r="L77" s="60"/>
      <c r="M77" s="60"/>
      <c r="O77" s="68"/>
      <c r="Q77" s="68"/>
      <c r="R77" s="68"/>
      <c r="S77" s="68"/>
      <c r="T77" s="68"/>
      <c r="U77" s="68"/>
      <c r="V77" s="68"/>
      <c r="W77" s="68"/>
      <c r="X77" s="68"/>
      <c r="Y77" s="68"/>
      <c r="Z77" s="68"/>
      <c r="AR77" s="67"/>
      <c r="AV77" s="57"/>
      <c r="AY77" s="59"/>
      <c r="BD77" s="67"/>
      <c r="BH77" s="57"/>
      <c r="BK77" s="59"/>
      <c r="BR77" s="66"/>
      <c r="BU77" s="68"/>
      <c r="BW77" s="68"/>
      <c r="BX77" s="68"/>
      <c r="BY77" s="68"/>
      <c r="BZ77" s="68"/>
      <c r="CA77" s="68"/>
      <c r="CB77" s="68"/>
      <c r="CC77" s="68"/>
      <c r="CD77" s="68"/>
      <c r="CE77" s="68"/>
      <c r="CF77" s="68"/>
      <c r="CX77" s="67"/>
      <c r="DB77" s="57"/>
      <c r="DE77" s="59"/>
      <c r="DJ77" s="67"/>
      <c r="DN77" s="57"/>
      <c r="DQ77" s="59"/>
      <c r="DX77" s="66"/>
      <c r="EA77" s="68"/>
      <c r="EC77" s="68"/>
      <c r="ED77" s="68"/>
      <c r="EE77" s="68"/>
      <c r="EF77" s="68"/>
      <c r="EG77" s="68"/>
      <c r="EH77" s="68"/>
      <c r="EI77" s="68"/>
      <c r="EJ77" s="68"/>
      <c r="EK77" s="68"/>
      <c r="EL77" s="68"/>
      <c r="FD77" s="67"/>
      <c r="FH77" s="57"/>
      <c r="FK77" s="59"/>
      <c r="FP77" s="67"/>
      <c r="FT77" s="57"/>
      <c r="FW77" s="59"/>
      <c r="GD77" s="66"/>
      <c r="GK77" s="66"/>
      <c r="GM77" s="66"/>
      <c r="GO77" s="66"/>
      <c r="GR77" s="66"/>
      <c r="GU77" s="66"/>
      <c r="HO77" s="66"/>
      <c r="HQ77" s="66"/>
    </row>
    <row r="78" spans="3:228" hidden="1">
      <c r="HC78" s="57" t="str">
        <f>C78&amp;D78&amp;K78&amp;M78</f>
        <v/>
      </c>
    </row>
    <row r="79" spans="3:228" hidden="1"/>
    <row r="80" spans="3:228" hidden="1">
      <c r="D80" s="60"/>
      <c r="E80" s="60"/>
      <c r="F80" s="60"/>
      <c r="H80" s="60"/>
      <c r="I80" s="60"/>
      <c r="K80" s="71" t="s">
        <v>628</v>
      </c>
      <c r="L80" s="71" t="s">
        <v>110</v>
      </c>
      <c r="M80" s="71">
        <v>19201080</v>
      </c>
      <c r="N80" s="71">
        <v>1920</v>
      </c>
      <c r="O80" s="71">
        <v>1080</v>
      </c>
      <c r="HC80" s="57">
        <v>1920</v>
      </c>
      <c r="HD80" s="57">
        <v>1080</v>
      </c>
    </row>
    <row r="81" spans="4:212" hidden="1">
      <c r="D81" s="60"/>
      <c r="E81" s="60"/>
      <c r="F81" s="60"/>
      <c r="H81" s="60"/>
      <c r="I81" s="60"/>
      <c r="K81" s="71" t="s">
        <v>626</v>
      </c>
      <c r="L81" s="71" t="s">
        <v>109</v>
      </c>
      <c r="M81" s="71">
        <v>1280720</v>
      </c>
      <c r="N81" s="71">
        <v>1280</v>
      </c>
      <c r="O81" s="71">
        <v>720</v>
      </c>
      <c r="HC81" s="57">
        <v>1280</v>
      </c>
      <c r="HD81" s="57">
        <v>720</v>
      </c>
    </row>
    <row r="82" spans="4:212" hidden="1">
      <c r="E82" s="60"/>
      <c r="F82" s="60"/>
      <c r="H82" s="60"/>
      <c r="I82" s="60"/>
      <c r="K82" s="71"/>
      <c r="L82" s="71" t="s">
        <v>111</v>
      </c>
      <c r="M82" s="71"/>
      <c r="N82" s="71"/>
      <c r="O82" s="71"/>
      <c r="HC82" s="57">
        <v>2592</v>
      </c>
      <c r="HD82" s="57">
        <v>1680</v>
      </c>
    </row>
    <row r="83" spans="4:212" hidden="1">
      <c r="E83" s="60"/>
      <c r="F83" s="60"/>
      <c r="H83" s="60"/>
      <c r="I83" s="60"/>
      <c r="K83" s="71" t="s">
        <v>624</v>
      </c>
      <c r="L83" s="71" t="s">
        <v>623</v>
      </c>
      <c r="M83" s="71">
        <v>25921680</v>
      </c>
      <c r="N83" s="71">
        <v>2592</v>
      </c>
      <c r="O83" s="71">
        <v>1680</v>
      </c>
      <c r="HC83" s="57">
        <v>3840</v>
      </c>
      <c r="HD83" s="57">
        <v>2160</v>
      </c>
    </row>
    <row r="84" spans="4:212" hidden="1">
      <c r="E84" s="60"/>
      <c r="F84" s="60"/>
      <c r="H84" s="60"/>
      <c r="I84" s="60"/>
      <c r="K84" s="71" t="s">
        <v>194</v>
      </c>
      <c r="L84" s="71" t="s">
        <v>622</v>
      </c>
      <c r="M84" s="71">
        <v>38402160</v>
      </c>
      <c r="N84" s="71">
        <v>3840</v>
      </c>
      <c r="O84" s="71">
        <v>2160</v>
      </c>
      <c r="HC84" s="57">
        <v>4000</v>
      </c>
      <c r="HD84" s="57">
        <v>3000</v>
      </c>
    </row>
    <row r="85" spans="4:212" hidden="1">
      <c r="H85" s="60"/>
      <c r="I85" s="60"/>
      <c r="K85" s="71" t="s">
        <v>195</v>
      </c>
      <c r="L85" s="71" t="s">
        <v>621</v>
      </c>
      <c r="M85" s="71">
        <v>40003000</v>
      </c>
      <c r="N85" s="71">
        <v>4000</v>
      </c>
      <c r="O85" s="71">
        <v>3000</v>
      </c>
    </row>
    <row r="86" spans="4:212" hidden="1">
      <c r="F86" s="71" t="s">
        <v>620</v>
      </c>
      <c r="G86" s="65" t="s">
        <v>619</v>
      </c>
      <c r="H86" s="65" t="s">
        <v>581</v>
      </c>
      <c r="I86" s="65" t="s">
        <v>629</v>
      </c>
    </row>
    <row r="87" spans="4:212" hidden="1">
      <c r="F87" s="71" t="s">
        <v>617</v>
      </c>
      <c r="G87" s="65" t="s">
        <v>616</v>
      </c>
      <c r="H87" s="65" t="s">
        <v>25</v>
      </c>
      <c r="I87" s="65" t="s">
        <v>629</v>
      </c>
      <c r="K87" s="57" t="s">
        <v>111</v>
      </c>
      <c r="L87" s="57" t="s">
        <v>618</v>
      </c>
      <c r="M87" s="57">
        <f>VLOOKUP(K87,L80:O85,3,0)</f>
        <v>0</v>
      </c>
    </row>
    <row r="88" spans="4:212" hidden="1">
      <c r="F88" s="71" t="s">
        <v>614</v>
      </c>
      <c r="G88" s="65" t="s">
        <v>613</v>
      </c>
      <c r="H88" s="65" t="s">
        <v>625</v>
      </c>
      <c r="I88" s="65" t="s">
        <v>629</v>
      </c>
      <c r="L88" s="57" t="s">
        <v>615</v>
      </c>
      <c r="M88" s="57">
        <f>VLOOKUP(K87,L80:O85,4,0)</f>
        <v>0</v>
      </c>
    </row>
    <row r="89" spans="4:212" hidden="1">
      <c r="F89" s="71" t="s">
        <v>612</v>
      </c>
      <c r="G89" s="65" t="s">
        <v>611</v>
      </c>
      <c r="H89" s="65" t="s">
        <v>581</v>
      </c>
      <c r="I89" s="65" t="s">
        <v>733</v>
      </c>
    </row>
    <row r="90" spans="4:212" hidden="1">
      <c r="F90" s="71" t="s">
        <v>599</v>
      </c>
      <c r="G90" s="65" t="s">
        <v>610</v>
      </c>
      <c r="H90" s="65" t="s">
        <v>25</v>
      </c>
      <c r="I90" s="65" t="s">
        <v>733</v>
      </c>
    </row>
    <row r="91" spans="4:212" hidden="1">
      <c r="F91" s="71" t="s">
        <v>609</v>
      </c>
      <c r="G91" s="65" t="s">
        <v>608</v>
      </c>
      <c r="H91" s="65" t="s">
        <v>625</v>
      </c>
      <c r="I91" s="65" t="s">
        <v>733</v>
      </c>
    </row>
    <row r="92" spans="4:212" hidden="1">
      <c r="F92" s="71" t="s">
        <v>607</v>
      </c>
      <c r="G92" s="65" t="s">
        <v>606</v>
      </c>
      <c r="H92" s="65" t="s">
        <v>581</v>
      </c>
      <c r="I92" s="65" t="s">
        <v>627</v>
      </c>
    </row>
    <row r="93" spans="4:212" hidden="1">
      <c r="F93" s="71" t="s">
        <v>605</v>
      </c>
      <c r="G93" s="65" t="s">
        <v>604</v>
      </c>
      <c r="H93" s="65" t="s">
        <v>25</v>
      </c>
      <c r="I93" s="65" t="s">
        <v>627</v>
      </c>
    </row>
    <row r="94" spans="4:212" hidden="1">
      <c r="F94" s="71" t="s">
        <v>603</v>
      </c>
      <c r="G94" s="65" t="s">
        <v>602</v>
      </c>
      <c r="H94" s="65" t="s">
        <v>625</v>
      </c>
      <c r="I94" s="65" t="s">
        <v>627</v>
      </c>
    </row>
    <row r="95" spans="4:212" hidden="1">
      <c r="F95" s="57" t="s">
        <v>601</v>
      </c>
      <c r="G95" s="57" t="s">
        <v>610</v>
      </c>
      <c r="H95" s="60" t="s">
        <v>25</v>
      </c>
      <c r="I95" s="60" t="s">
        <v>869</v>
      </c>
    </row>
    <row r="96" spans="4:212" hidden="1">
      <c r="G96" s="71" t="s">
        <v>580</v>
      </c>
      <c r="H96" s="60"/>
      <c r="I96" s="60"/>
    </row>
    <row r="97" spans="3:181" hidden="1">
      <c r="C97" s="65">
        <v>30</v>
      </c>
      <c r="D97" s="65">
        <v>704</v>
      </c>
      <c r="E97" s="65">
        <v>288</v>
      </c>
      <c r="F97" s="65" t="s">
        <v>587</v>
      </c>
      <c r="G97" s="65" t="str">
        <f t="shared" ref="G97:G133" si="69">D97&amp;E97&amp;F97</f>
        <v>704288CPP_3</v>
      </c>
      <c r="AU97" s="59"/>
      <c r="AV97" s="57"/>
      <c r="BG97" s="59"/>
      <c r="BH97" s="57"/>
      <c r="BK97" s="58"/>
      <c r="BM97" s="57"/>
      <c r="DA97" s="59"/>
      <c r="DB97" s="57"/>
      <c r="DM97" s="59"/>
      <c r="DN97" s="57"/>
      <c r="DQ97" s="58"/>
      <c r="DS97" s="57"/>
      <c r="FG97" s="59"/>
      <c r="FH97" s="57"/>
      <c r="FS97" s="59"/>
      <c r="FT97" s="57"/>
      <c r="FW97" s="58"/>
      <c r="FY97" s="57"/>
    </row>
    <row r="98" spans="3:181" hidden="1">
      <c r="C98" s="65">
        <v>30</v>
      </c>
      <c r="D98" s="65">
        <v>704</v>
      </c>
      <c r="E98" s="65">
        <v>576</v>
      </c>
      <c r="F98" s="65" t="s">
        <v>587</v>
      </c>
      <c r="G98" s="65" t="str">
        <f t="shared" si="69"/>
        <v>704576CPP_3</v>
      </c>
      <c r="AU98" s="59"/>
      <c r="AV98" s="57"/>
      <c r="BG98" s="59"/>
      <c r="BH98" s="57"/>
      <c r="BK98" s="58"/>
      <c r="BM98" s="57"/>
      <c r="DA98" s="59"/>
      <c r="DB98" s="57"/>
      <c r="DM98" s="59"/>
      <c r="DN98" s="57"/>
      <c r="DQ98" s="58"/>
      <c r="DS98" s="57"/>
      <c r="FG98" s="59"/>
      <c r="FH98" s="57"/>
      <c r="FS98" s="59"/>
      <c r="FT98" s="57"/>
      <c r="FW98" s="58"/>
      <c r="FY98" s="57"/>
    </row>
    <row r="99" spans="3:181" hidden="1">
      <c r="C99" s="65">
        <v>30</v>
      </c>
      <c r="D99" s="65">
        <v>1280</v>
      </c>
      <c r="E99" s="65">
        <v>720</v>
      </c>
      <c r="F99" s="65" t="s">
        <v>587</v>
      </c>
      <c r="G99" s="65" t="str">
        <f t="shared" si="69"/>
        <v>1280720CPP_3</v>
      </c>
      <c r="AU99" s="59"/>
      <c r="AV99" s="57"/>
      <c r="BG99" s="59"/>
      <c r="BH99" s="57"/>
      <c r="BK99" s="58"/>
      <c r="BM99" s="57"/>
      <c r="DA99" s="59"/>
      <c r="DB99" s="57"/>
      <c r="DM99" s="59"/>
      <c r="DN99" s="57"/>
      <c r="DQ99" s="58"/>
      <c r="DS99" s="57"/>
      <c r="FG99" s="59"/>
      <c r="FH99" s="57"/>
      <c r="FS99" s="59"/>
      <c r="FT99" s="57"/>
      <c r="FW99" s="58"/>
      <c r="FY99" s="57"/>
    </row>
    <row r="100" spans="3:181" hidden="1">
      <c r="C100" s="65">
        <v>30</v>
      </c>
      <c r="D100" s="65">
        <v>1920</v>
      </c>
      <c r="E100" s="65">
        <v>1080</v>
      </c>
      <c r="F100" s="65" t="s">
        <v>587</v>
      </c>
      <c r="G100" s="65" t="str">
        <f t="shared" si="69"/>
        <v>19201080CPP_3</v>
      </c>
      <c r="AU100" s="59"/>
      <c r="AV100" s="57"/>
      <c r="BG100" s="59"/>
      <c r="BH100" s="57"/>
      <c r="BK100" s="58"/>
      <c r="BM100" s="57"/>
      <c r="DA100" s="59"/>
      <c r="DB100" s="57"/>
      <c r="DM100" s="59"/>
      <c r="DN100" s="57"/>
      <c r="DQ100" s="58"/>
      <c r="DS100" s="57"/>
      <c r="FG100" s="59"/>
      <c r="FH100" s="57"/>
      <c r="FS100" s="59"/>
      <c r="FT100" s="57"/>
      <c r="FW100" s="58"/>
      <c r="FY100" s="57"/>
    </row>
    <row r="101" spans="3:181" hidden="1">
      <c r="C101" s="65">
        <v>30</v>
      </c>
      <c r="D101" s="65">
        <v>704</v>
      </c>
      <c r="E101" s="65">
        <v>288</v>
      </c>
      <c r="F101" s="65" t="s">
        <v>586</v>
      </c>
      <c r="G101" s="65" t="str">
        <f t="shared" si="69"/>
        <v>704288CPP_4</v>
      </c>
      <c r="L101" s="71" t="s">
        <v>620</v>
      </c>
      <c r="AU101" s="59"/>
      <c r="AV101" s="57"/>
      <c r="BG101" s="59"/>
      <c r="BH101" s="57"/>
      <c r="BK101" s="58"/>
      <c r="BM101" s="57"/>
      <c r="DA101" s="59"/>
      <c r="DB101" s="57"/>
      <c r="DM101" s="59"/>
      <c r="DN101" s="57"/>
      <c r="DQ101" s="58"/>
      <c r="DS101" s="57"/>
      <c r="FG101" s="59"/>
      <c r="FH101" s="57"/>
      <c r="FS101" s="59"/>
      <c r="FT101" s="57"/>
      <c r="FW101" s="58"/>
      <c r="FY101" s="57"/>
    </row>
    <row r="102" spans="3:181" hidden="1">
      <c r="C102" s="65">
        <v>30</v>
      </c>
      <c r="D102" s="65">
        <v>704</v>
      </c>
      <c r="E102" s="65">
        <v>576</v>
      </c>
      <c r="F102" s="65" t="s">
        <v>586</v>
      </c>
      <c r="G102" s="65" t="str">
        <f t="shared" si="69"/>
        <v>704576CPP_4</v>
      </c>
      <c r="H102" s="60"/>
      <c r="L102" s="71" t="s">
        <v>617</v>
      </c>
      <c r="AU102" s="59"/>
      <c r="AV102" s="57"/>
      <c r="BG102" s="59"/>
      <c r="BH102" s="57"/>
      <c r="BK102" s="58"/>
      <c r="BM102" s="57"/>
      <c r="DA102" s="59"/>
      <c r="DB102" s="57"/>
      <c r="DM102" s="59"/>
      <c r="DN102" s="57"/>
      <c r="DQ102" s="58"/>
      <c r="DS102" s="57"/>
      <c r="FG102" s="59"/>
      <c r="FH102" s="57"/>
      <c r="FS102" s="59"/>
      <c r="FT102" s="57"/>
      <c r="FW102" s="58"/>
      <c r="FY102" s="57"/>
    </row>
    <row r="103" spans="3:181" hidden="1">
      <c r="C103" s="65">
        <v>30</v>
      </c>
      <c r="D103" s="65">
        <v>1280</v>
      </c>
      <c r="E103" s="65">
        <v>720</v>
      </c>
      <c r="F103" s="65" t="s">
        <v>586</v>
      </c>
      <c r="G103" s="65" t="str">
        <f t="shared" si="69"/>
        <v>1280720CPP_4</v>
      </c>
      <c r="H103" s="60"/>
      <c r="L103" s="71" t="s">
        <v>614</v>
      </c>
      <c r="AU103" s="59"/>
      <c r="AV103" s="57"/>
      <c r="BG103" s="59"/>
      <c r="BH103" s="57"/>
      <c r="BK103" s="58"/>
      <c r="BM103" s="57"/>
      <c r="DA103" s="59"/>
      <c r="DB103" s="57"/>
      <c r="DM103" s="59"/>
      <c r="DN103" s="57"/>
      <c r="DQ103" s="58"/>
      <c r="DS103" s="57"/>
      <c r="FG103" s="59"/>
      <c r="FH103" s="57"/>
      <c r="FS103" s="59"/>
      <c r="FT103" s="57"/>
      <c r="FW103" s="58"/>
      <c r="FY103" s="57"/>
    </row>
    <row r="104" spans="3:181" hidden="1">
      <c r="C104" s="65">
        <v>60</v>
      </c>
      <c r="D104" s="65">
        <v>1280</v>
      </c>
      <c r="E104" s="65">
        <v>720</v>
      </c>
      <c r="F104" s="65" t="s">
        <v>586</v>
      </c>
      <c r="G104" s="65" t="str">
        <f t="shared" si="69"/>
        <v>1280720CPP_4</v>
      </c>
      <c r="H104" s="60"/>
      <c r="L104" s="71" t="s">
        <v>612</v>
      </c>
      <c r="AU104" s="59"/>
      <c r="AV104" s="57"/>
      <c r="BG104" s="59"/>
      <c r="BH104" s="57"/>
      <c r="BK104" s="58"/>
      <c r="BM104" s="57"/>
      <c r="DA104" s="59"/>
      <c r="DB104" s="57"/>
      <c r="DM104" s="59"/>
      <c r="DN104" s="57"/>
      <c r="DQ104" s="58"/>
      <c r="DS104" s="57"/>
      <c r="FG104" s="59"/>
      <c r="FH104" s="57"/>
      <c r="FS104" s="59"/>
      <c r="FT104" s="57"/>
      <c r="FW104" s="58"/>
      <c r="FY104" s="57"/>
    </row>
    <row r="105" spans="3:181" hidden="1">
      <c r="C105" s="65">
        <v>30</v>
      </c>
      <c r="D105" s="65">
        <v>1920</v>
      </c>
      <c r="E105" s="65">
        <v>1080</v>
      </c>
      <c r="F105" s="65" t="s">
        <v>586</v>
      </c>
      <c r="G105" s="65" t="str">
        <f t="shared" si="69"/>
        <v>19201080CPP_4</v>
      </c>
      <c r="H105" s="60"/>
      <c r="L105" s="71" t="s">
        <v>599</v>
      </c>
      <c r="AU105" s="59"/>
      <c r="AV105" s="57"/>
      <c r="BG105" s="59"/>
      <c r="BH105" s="57"/>
      <c r="BK105" s="58"/>
      <c r="BM105" s="57"/>
      <c r="DA105" s="59"/>
      <c r="DB105" s="57"/>
      <c r="DM105" s="59"/>
      <c r="DN105" s="57"/>
      <c r="DQ105" s="58"/>
      <c r="DS105" s="57"/>
      <c r="FG105" s="59"/>
      <c r="FH105" s="57"/>
      <c r="FS105" s="59"/>
      <c r="FT105" s="57"/>
      <c r="FW105" s="58"/>
      <c r="FY105" s="57"/>
    </row>
    <row r="106" spans="3:181" hidden="1">
      <c r="C106" s="65">
        <v>60</v>
      </c>
      <c r="D106" s="65">
        <v>1920</v>
      </c>
      <c r="E106" s="65">
        <v>1080</v>
      </c>
      <c r="F106" s="65" t="s">
        <v>586</v>
      </c>
      <c r="G106" s="65" t="str">
        <f t="shared" si="69"/>
        <v>19201080CPP_4</v>
      </c>
      <c r="H106" s="57" t="s">
        <v>797</v>
      </c>
      <c r="I106" s="57">
        <v>12</v>
      </c>
      <c r="L106" s="71" t="s">
        <v>609</v>
      </c>
      <c r="AU106" s="59"/>
      <c r="AV106" s="57"/>
      <c r="BG106" s="59"/>
      <c r="BH106" s="57"/>
      <c r="BK106" s="58"/>
      <c r="BM106" s="57"/>
      <c r="DA106" s="59"/>
      <c r="DB106" s="57"/>
      <c r="DM106" s="59"/>
      <c r="DN106" s="57"/>
      <c r="DQ106" s="58"/>
      <c r="DS106" s="57"/>
      <c r="FG106" s="59"/>
      <c r="FH106" s="57"/>
      <c r="FS106" s="59"/>
      <c r="FT106" s="57"/>
      <c r="FW106" s="58"/>
      <c r="FY106" s="57"/>
    </row>
    <row r="107" spans="3:181" hidden="1">
      <c r="C107" s="65">
        <v>12</v>
      </c>
      <c r="D107" s="65">
        <v>2592</v>
      </c>
      <c r="E107" s="65">
        <v>1680</v>
      </c>
      <c r="F107" s="65" t="s">
        <v>586</v>
      </c>
      <c r="G107" s="65" t="str">
        <f t="shared" si="69"/>
        <v>25921680CPP_4</v>
      </c>
      <c r="H107" s="60"/>
      <c r="L107" s="71" t="s">
        <v>607</v>
      </c>
      <c r="AU107" s="59"/>
      <c r="AV107" s="57"/>
      <c r="BG107" s="59"/>
      <c r="BH107" s="57"/>
      <c r="BK107" s="58"/>
      <c r="BM107" s="57"/>
      <c r="DA107" s="59"/>
      <c r="DB107" s="57"/>
      <c r="DM107" s="59"/>
      <c r="DN107" s="57"/>
      <c r="DQ107" s="58"/>
      <c r="DS107" s="57"/>
      <c r="FG107" s="59"/>
      <c r="FH107" s="57"/>
      <c r="FS107" s="59"/>
      <c r="FT107" s="57"/>
      <c r="FW107" s="58"/>
      <c r="FY107" s="57"/>
    </row>
    <row r="108" spans="3:181" hidden="1">
      <c r="C108" s="65">
        <v>30</v>
      </c>
      <c r="D108" s="65">
        <v>704</v>
      </c>
      <c r="E108" s="65">
        <v>288</v>
      </c>
      <c r="F108" s="65" t="s">
        <v>585</v>
      </c>
      <c r="G108" s="65" t="str">
        <f t="shared" si="69"/>
        <v>704288CPP_5</v>
      </c>
      <c r="H108" s="60"/>
      <c r="L108" s="71" t="s">
        <v>605</v>
      </c>
      <c r="AU108" s="59"/>
      <c r="AV108" s="57"/>
      <c r="BG108" s="59"/>
      <c r="BH108" s="57"/>
      <c r="BK108" s="58"/>
      <c r="BM108" s="57"/>
      <c r="DA108" s="59"/>
      <c r="DB108" s="57"/>
      <c r="DM108" s="59"/>
      <c r="DN108" s="57"/>
      <c r="DQ108" s="58"/>
      <c r="DS108" s="57"/>
      <c r="FG108" s="59"/>
      <c r="FH108" s="57"/>
      <c r="FS108" s="59"/>
      <c r="FT108" s="57"/>
      <c r="FW108" s="58"/>
      <c r="FY108" s="57"/>
    </row>
    <row r="109" spans="3:181" hidden="1">
      <c r="C109" s="65">
        <v>30</v>
      </c>
      <c r="D109" s="65">
        <v>704</v>
      </c>
      <c r="E109" s="65">
        <v>576</v>
      </c>
      <c r="F109" s="65" t="s">
        <v>585</v>
      </c>
      <c r="G109" s="65" t="str">
        <f t="shared" si="69"/>
        <v>704576CPP_5</v>
      </c>
      <c r="H109" s="60"/>
      <c r="L109" s="71" t="s">
        <v>603</v>
      </c>
      <c r="AU109" s="59"/>
      <c r="AV109" s="57"/>
      <c r="BG109" s="59"/>
      <c r="BH109" s="57"/>
      <c r="BK109" s="58"/>
      <c r="BM109" s="57"/>
      <c r="DA109" s="59"/>
      <c r="DB109" s="57"/>
      <c r="DM109" s="59"/>
      <c r="DN109" s="57"/>
      <c r="DQ109" s="58"/>
      <c r="DS109" s="57"/>
      <c r="FG109" s="59"/>
      <c r="FH109" s="57"/>
      <c r="FS109" s="59"/>
      <c r="FT109" s="57"/>
      <c r="FW109" s="58"/>
      <c r="FY109" s="57"/>
    </row>
    <row r="110" spans="3:181" hidden="1">
      <c r="C110" s="65">
        <v>30</v>
      </c>
      <c r="D110" s="65">
        <v>768</v>
      </c>
      <c r="E110" s="65">
        <v>432</v>
      </c>
      <c r="F110" s="65" t="s">
        <v>584</v>
      </c>
      <c r="G110" s="65" t="str">
        <f t="shared" si="69"/>
        <v>768432CPP_6</v>
      </c>
      <c r="H110" s="60"/>
      <c r="AU110" s="59"/>
      <c r="AV110" s="57"/>
      <c r="BG110" s="59"/>
      <c r="BH110" s="57"/>
      <c r="BK110" s="58"/>
      <c r="BM110" s="57"/>
      <c r="DA110" s="59"/>
      <c r="DB110" s="57"/>
      <c r="DM110" s="59"/>
      <c r="DN110" s="57"/>
      <c r="DQ110" s="58"/>
      <c r="DS110" s="57"/>
      <c r="FG110" s="59"/>
      <c r="FH110" s="57"/>
      <c r="FS110" s="59"/>
      <c r="FT110" s="57"/>
      <c r="FW110" s="58"/>
      <c r="FY110" s="57"/>
    </row>
    <row r="111" spans="3:181" hidden="1">
      <c r="C111" s="65">
        <v>30</v>
      </c>
      <c r="D111" s="65">
        <v>1280</v>
      </c>
      <c r="E111" s="65">
        <v>720</v>
      </c>
      <c r="F111" s="65" t="s">
        <v>584</v>
      </c>
      <c r="G111" s="65" t="str">
        <f t="shared" si="69"/>
        <v>1280720CPP_6</v>
      </c>
      <c r="H111" s="60"/>
      <c r="AU111" s="59"/>
      <c r="AV111" s="57"/>
      <c r="BG111" s="59"/>
      <c r="BH111" s="57"/>
      <c r="BK111" s="58"/>
      <c r="BM111" s="57"/>
      <c r="DA111" s="59"/>
      <c r="DB111" s="57"/>
      <c r="DM111" s="59"/>
      <c r="DN111" s="57"/>
      <c r="DQ111" s="58"/>
      <c r="DS111" s="57"/>
      <c r="FG111" s="59"/>
      <c r="FH111" s="57"/>
      <c r="FS111" s="59"/>
      <c r="FT111" s="57"/>
      <c r="FW111" s="58"/>
      <c r="FY111" s="57"/>
    </row>
    <row r="112" spans="3:181" hidden="1">
      <c r="C112" s="65">
        <v>60</v>
      </c>
      <c r="D112" s="65">
        <v>1280</v>
      </c>
      <c r="E112" s="65">
        <v>720</v>
      </c>
      <c r="F112" s="65" t="s">
        <v>584</v>
      </c>
      <c r="G112" s="65" t="str">
        <f t="shared" si="69"/>
        <v>1280720CPP_6</v>
      </c>
      <c r="H112" s="60"/>
      <c r="AU112" s="59"/>
      <c r="AV112" s="57"/>
      <c r="BG112" s="59"/>
      <c r="BH112" s="57"/>
      <c r="BK112" s="58"/>
      <c r="BM112" s="57"/>
      <c r="DA112" s="59"/>
      <c r="DB112" s="57"/>
      <c r="DM112" s="59"/>
      <c r="DN112" s="57"/>
      <c r="DQ112" s="58"/>
      <c r="DS112" s="57"/>
      <c r="FG112" s="59"/>
      <c r="FH112" s="57"/>
      <c r="FS112" s="59"/>
      <c r="FT112" s="57"/>
      <c r="FW112" s="58"/>
      <c r="FY112" s="57"/>
    </row>
    <row r="113" spans="3:181" hidden="1">
      <c r="C113" s="65">
        <v>30</v>
      </c>
      <c r="D113" s="65">
        <v>1920</v>
      </c>
      <c r="E113" s="65">
        <v>1080</v>
      </c>
      <c r="F113" s="65" t="s">
        <v>584</v>
      </c>
      <c r="G113" s="65" t="str">
        <f t="shared" si="69"/>
        <v>19201080CPP_6</v>
      </c>
      <c r="H113" s="57" t="s">
        <v>797</v>
      </c>
      <c r="I113" s="57">
        <v>30</v>
      </c>
      <c r="AU113" s="59"/>
      <c r="AV113" s="57"/>
      <c r="BG113" s="59"/>
      <c r="BH113" s="57"/>
      <c r="BK113" s="58"/>
      <c r="BM113" s="57"/>
      <c r="DA113" s="59"/>
      <c r="DB113" s="57"/>
      <c r="DM113" s="59"/>
      <c r="DN113" s="57"/>
      <c r="DQ113" s="58"/>
      <c r="DS113" s="57"/>
      <c r="FG113" s="59"/>
      <c r="FH113" s="57"/>
      <c r="FS113" s="59"/>
      <c r="FT113" s="57"/>
      <c r="FW113" s="58"/>
      <c r="FY113" s="57"/>
    </row>
    <row r="114" spans="3:181" hidden="1">
      <c r="C114" s="65">
        <v>60</v>
      </c>
      <c r="D114" s="65">
        <v>1920</v>
      </c>
      <c r="E114" s="65">
        <v>1080</v>
      </c>
      <c r="F114" s="65" t="s">
        <v>584</v>
      </c>
      <c r="G114" s="65" t="str">
        <f t="shared" si="69"/>
        <v>19201080CPP_6</v>
      </c>
      <c r="H114" s="60" t="s">
        <v>797</v>
      </c>
      <c r="I114" s="57">
        <v>30</v>
      </c>
      <c r="AU114" s="59"/>
      <c r="AV114" s="57"/>
      <c r="BG114" s="59"/>
      <c r="BH114" s="57"/>
      <c r="BK114" s="58"/>
      <c r="BM114" s="57"/>
      <c r="DA114" s="59"/>
      <c r="DB114" s="57"/>
      <c r="DM114" s="59"/>
      <c r="DN114" s="57"/>
      <c r="DQ114" s="58"/>
      <c r="DS114" s="57"/>
      <c r="FG114" s="59"/>
      <c r="FH114" s="57"/>
      <c r="FS114" s="59"/>
      <c r="FT114" s="57"/>
      <c r="FW114" s="58"/>
      <c r="FY114" s="57"/>
    </row>
    <row r="115" spans="3:181" hidden="1">
      <c r="C115" s="65">
        <v>30</v>
      </c>
      <c r="D115" s="65">
        <v>2592</v>
      </c>
      <c r="E115" s="65">
        <v>1680</v>
      </c>
      <c r="F115" s="65" t="s">
        <v>584</v>
      </c>
      <c r="G115" s="65" t="str">
        <f t="shared" si="69"/>
        <v>25921680CPP_6</v>
      </c>
      <c r="H115" s="60" t="s">
        <v>797</v>
      </c>
      <c r="I115" s="57">
        <v>20</v>
      </c>
      <c r="AU115" s="59"/>
      <c r="AV115" s="57"/>
      <c r="BG115" s="59"/>
      <c r="BH115" s="57"/>
      <c r="BK115" s="58"/>
      <c r="BM115" s="57"/>
      <c r="DA115" s="59"/>
      <c r="DB115" s="57"/>
      <c r="DM115" s="59"/>
      <c r="DN115" s="57"/>
      <c r="DQ115" s="58"/>
      <c r="DS115" s="57"/>
      <c r="FG115" s="59"/>
      <c r="FH115" s="57"/>
      <c r="FS115" s="59"/>
      <c r="FT115" s="57"/>
      <c r="FW115" s="58"/>
      <c r="FY115" s="57"/>
    </row>
    <row r="116" spans="3:181" hidden="1">
      <c r="C116" s="65">
        <v>30</v>
      </c>
      <c r="D116" s="65">
        <v>3840</v>
      </c>
      <c r="E116" s="65">
        <v>2160</v>
      </c>
      <c r="F116" s="65" t="s">
        <v>584</v>
      </c>
      <c r="G116" s="65" t="str">
        <f t="shared" si="69"/>
        <v>38402160CPP_6</v>
      </c>
      <c r="H116" s="60"/>
      <c r="AU116" s="59"/>
      <c r="AV116" s="57"/>
      <c r="BG116" s="59"/>
      <c r="BH116" s="57"/>
      <c r="BK116" s="58"/>
      <c r="BM116" s="57"/>
      <c r="DA116" s="59"/>
      <c r="DB116" s="57"/>
      <c r="DM116" s="59"/>
      <c r="DN116" s="57"/>
      <c r="DQ116" s="58"/>
      <c r="DS116" s="57"/>
      <c r="FG116" s="59"/>
      <c r="FH116" s="57"/>
      <c r="FS116" s="59"/>
      <c r="FT116" s="57"/>
      <c r="FW116" s="58"/>
      <c r="FY116" s="57"/>
    </row>
    <row r="117" spans="3:181" hidden="1">
      <c r="C117" s="65">
        <v>20</v>
      </c>
      <c r="D117" s="65">
        <v>4000</v>
      </c>
      <c r="E117" s="65">
        <v>3000</v>
      </c>
      <c r="F117" s="65" t="s">
        <v>584</v>
      </c>
      <c r="G117" s="65" t="str">
        <f t="shared" si="69"/>
        <v>40003000CPP_6</v>
      </c>
      <c r="H117" s="60"/>
      <c r="AU117" s="59"/>
      <c r="AV117" s="57"/>
      <c r="BG117" s="59"/>
      <c r="BH117" s="57"/>
      <c r="BK117" s="58"/>
      <c r="BM117" s="57"/>
      <c r="DA117" s="59"/>
      <c r="DB117" s="57"/>
      <c r="DM117" s="59"/>
      <c r="DN117" s="57"/>
      <c r="DQ117" s="58"/>
      <c r="DS117" s="57"/>
      <c r="FG117" s="59"/>
      <c r="FH117" s="57"/>
      <c r="FS117" s="59"/>
      <c r="FT117" s="57"/>
      <c r="FW117" s="58"/>
      <c r="FY117" s="57"/>
    </row>
    <row r="118" spans="3:181" hidden="1">
      <c r="C118" s="65">
        <v>30</v>
      </c>
      <c r="D118" s="65">
        <v>768</v>
      </c>
      <c r="E118" s="65">
        <v>432</v>
      </c>
      <c r="F118" s="65" t="s">
        <v>583</v>
      </c>
      <c r="G118" s="65" t="str">
        <f t="shared" si="69"/>
        <v>768432CPP_7</v>
      </c>
      <c r="H118" s="60"/>
      <c r="AU118" s="59"/>
      <c r="AV118" s="57"/>
      <c r="BG118" s="59"/>
      <c r="BH118" s="57"/>
      <c r="BK118" s="58"/>
      <c r="BM118" s="57"/>
      <c r="DA118" s="59"/>
      <c r="DB118" s="57"/>
      <c r="DM118" s="59"/>
      <c r="DN118" s="57"/>
      <c r="DQ118" s="58"/>
      <c r="DS118" s="57"/>
      <c r="FG118" s="59"/>
      <c r="FH118" s="57"/>
      <c r="FS118" s="59"/>
      <c r="FT118" s="57"/>
      <c r="FW118" s="58"/>
      <c r="FY118" s="57"/>
    </row>
    <row r="119" spans="3:181" hidden="1">
      <c r="C119" s="65">
        <v>30</v>
      </c>
      <c r="D119" s="65">
        <v>1280</v>
      </c>
      <c r="E119" s="65">
        <v>720</v>
      </c>
      <c r="F119" s="65" t="s">
        <v>583</v>
      </c>
      <c r="G119" s="65" t="str">
        <f t="shared" si="69"/>
        <v>1280720CPP_7</v>
      </c>
      <c r="H119" s="60"/>
      <c r="AU119" s="59"/>
      <c r="AV119" s="57"/>
      <c r="BG119" s="59"/>
      <c r="BH119" s="57"/>
      <c r="BK119" s="58"/>
      <c r="BM119" s="57"/>
      <c r="DA119" s="59"/>
      <c r="DB119" s="57"/>
      <c r="DM119" s="59"/>
      <c r="DN119" s="57"/>
      <c r="DQ119" s="58"/>
      <c r="DS119" s="57"/>
      <c r="FG119" s="59"/>
      <c r="FH119" s="57"/>
      <c r="FS119" s="59"/>
      <c r="FT119" s="57"/>
      <c r="FW119" s="58"/>
      <c r="FY119" s="57"/>
    </row>
    <row r="120" spans="3:181" hidden="1">
      <c r="C120" s="65">
        <v>60</v>
      </c>
      <c r="D120" s="65">
        <v>1280</v>
      </c>
      <c r="E120" s="65">
        <v>720</v>
      </c>
      <c r="F120" s="65" t="s">
        <v>583</v>
      </c>
      <c r="G120" s="65" t="str">
        <f t="shared" si="69"/>
        <v>1280720CPP_7</v>
      </c>
      <c r="AU120" s="59"/>
      <c r="AV120" s="57"/>
      <c r="BG120" s="59"/>
      <c r="BH120" s="57"/>
      <c r="BK120" s="58"/>
      <c r="BM120" s="57"/>
      <c r="DA120" s="59"/>
      <c r="DB120" s="57"/>
      <c r="DM120" s="59"/>
      <c r="DN120" s="57"/>
      <c r="DQ120" s="58"/>
      <c r="DS120" s="57"/>
      <c r="FG120" s="59"/>
      <c r="FH120" s="57"/>
      <c r="FS120" s="59"/>
      <c r="FT120" s="57"/>
      <c r="FW120" s="58"/>
      <c r="FY120" s="57"/>
    </row>
    <row r="121" spans="3:181" hidden="1">
      <c r="C121" s="65">
        <v>30</v>
      </c>
      <c r="D121" s="65">
        <v>1920</v>
      </c>
      <c r="E121" s="65">
        <v>1080</v>
      </c>
      <c r="F121" s="65" t="s">
        <v>583</v>
      </c>
      <c r="G121" s="65" t="str">
        <f t="shared" si="69"/>
        <v>19201080CPP_7</v>
      </c>
      <c r="H121" s="57" t="s">
        <v>797</v>
      </c>
      <c r="I121" s="57">
        <v>30</v>
      </c>
      <c r="AU121" s="59"/>
      <c r="AV121" s="57"/>
      <c r="BG121" s="59"/>
      <c r="BH121" s="57"/>
      <c r="BK121" s="58"/>
      <c r="BM121" s="57"/>
      <c r="DA121" s="59"/>
      <c r="DB121" s="57"/>
      <c r="DM121" s="59"/>
      <c r="DN121" s="57"/>
      <c r="DQ121" s="58"/>
      <c r="DS121" s="57"/>
      <c r="FG121" s="59"/>
      <c r="FH121" s="57"/>
      <c r="FS121" s="59"/>
      <c r="FT121" s="57"/>
      <c r="FW121" s="58"/>
      <c r="FY121" s="57"/>
    </row>
    <row r="122" spans="3:181" hidden="1">
      <c r="C122" s="65">
        <v>60</v>
      </c>
      <c r="D122" s="65">
        <v>1920</v>
      </c>
      <c r="E122" s="65">
        <v>1080</v>
      </c>
      <c r="F122" s="65" t="s">
        <v>583</v>
      </c>
      <c r="G122" s="65" t="str">
        <f t="shared" si="69"/>
        <v>19201080CPP_7</v>
      </c>
      <c r="H122" s="57" t="s">
        <v>797</v>
      </c>
      <c r="I122" s="57">
        <v>30</v>
      </c>
      <c r="AU122" s="59"/>
      <c r="AV122" s="57"/>
      <c r="BG122" s="59"/>
      <c r="BH122" s="57"/>
      <c r="BK122" s="58"/>
      <c r="BM122" s="57"/>
      <c r="DA122" s="59"/>
      <c r="DB122" s="57"/>
      <c r="DM122" s="59"/>
      <c r="DN122" s="57"/>
      <c r="DQ122" s="58"/>
      <c r="DS122" s="57"/>
      <c r="FG122" s="59"/>
      <c r="FH122" s="57"/>
      <c r="FS122" s="59"/>
      <c r="FT122" s="57"/>
      <c r="FW122" s="58"/>
      <c r="FY122" s="57"/>
    </row>
    <row r="123" spans="3:181" hidden="1">
      <c r="C123" s="65">
        <v>30</v>
      </c>
      <c r="D123" s="65">
        <v>2592</v>
      </c>
      <c r="E123" s="65">
        <v>1680</v>
      </c>
      <c r="F123" s="65" t="s">
        <v>583</v>
      </c>
      <c r="G123" s="65" t="str">
        <f t="shared" si="69"/>
        <v>25921680CPP_7</v>
      </c>
      <c r="H123" s="60" t="s">
        <v>797</v>
      </c>
      <c r="I123" s="57">
        <v>20</v>
      </c>
      <c r="AU123" s="59"/>
      <c r="AV123" s="57"/>
      <c r="BG123" s="59"/>
      <c r="BH123" s="57"/>
      <c r="BK123" s="58"/>
      <c r="BM123" s="57"/>
      <c r="DA123" s="59"/>
      <c r="DB123" s="57"/>
      <c r="DM123" s="59"/>
      <c r="DN123" s="57"/>
      <c r="DQ123" s="58"/>
      <c r="DS123" s="57"/>
      <c r="FG123" s="59"/>
      <c r="FH123" s="57"/>
      <c r="FS123" s="59"/>
      <c r="FT123" s="57"/>
      <c r="FW123" s="58"/>
      <c r="FY123" s="57"/>
    </row>
    <row r="124" spans="3:181" hidden="1">
      <c r="C124" s="65">
        <v>30</v>
      </c>
      <c r="D124" s="65">
        <v>3840</v>
      </c>
      <c r="E124" s="65">
        <v>2160</v>
      </c>
      <c r="F124" s="65" t="s">
        <v>583</v>
      </c>
      <c r="G124" s="65" t="str">
        <f t="shared" si="69"/>
        <v>38402160CPP_7</v>
      </c>
      <c r="H124" s="60"/>
      <c r="AU124" s="59"/>
      <c r="AV124" s="57"/>
      <c r="BG124" s="59"/>
      <c r="BH124" s="57"/>
      <c r="BK124" s="58"/>
      <c r="BM124" s="57"/>
      <c r="DA124" s="59"/>
      <c r="DB124" s="57"/>
      <c r="DM124" s="59"/>
      <c r="DN124" s="57"/>
      <c r="DQ124" s="58"/>
      <c r="DS124" s="57"/>
      <c r="FG124" s="59"/>
      <c r="FH124" s="57"/>
      <c r="FS124" s="59"/>
      <c r="FT124" s="57"/>
      <c r="FW124" s="58"/>
      <c r="FY124" s="57"/>
    </row>
    <row r="125" spans="3:181" hidden="1">
      <c r="C125" s="65">
        <v>20</v>
      </c>
      <c r="D125" s="65">
        <v>4000</v>
      </c>
      <c r="E125" s="65">
        <v>3000</v>
      </c>
      <c r="F125" s="65" t="s">
        <v>583</v>
      </c>
      <c r="G125" s="65" t="str">
        <f t="shared" si="69"/>
        <v>40003000CPP_7</v>
      </c>
      <c r="H125" s="60"/>
      <c r="AU125" s="59"/>
      <c r="AV125" s="57"/>
      <c r="BG125" s="59"/>
      <c r="BH125" s="57"/>
      <c r="BK125" s="58"/>
      <c r="BM125" s="57"/>
      <c r="DA125" s="59"/>
      <c r="DB125" s="57"/>
      <c r="DM125" s="59"/>
      <c r="DN125" s="57"/>
      <c r="DQ125" s="58"/>
      <c r="DS125" s="57"/>
      <c r="FG125" s="59"/>
      <c r="FH125" s="57"/>
      <c r="FS125" s="59"/>
      <c r="FT125" s="57"/>
      <c r="FW125" s="58"/>
      <c r="FY125" s="57"/>
    </row>
    <row r="126" spans="3:181" hidden="1">
      <c r="C126" s="65">
        <v>30</v>
      </c>
      <c r="D126" s="65">
        <v>768</v>
      </c>
      <c r="E126" s="65">
        <v>432</v>
      </c>
      <c r="F126" s="65" t="s">
        <v>582</v>
      </c>
      <c r="G126" s="65" t="str">
        <f t="shared" si="69"/>
        <v>768432CPP_7_3</v>
      </c>
      <c r="H126" s="60"/>
      <c r="AU126" s="59"/>
      <c r="AV126" s="57"/>
      <c r="BG126" s="59"/>
      <c r="BH126" s="57"/>
      <c r="BK126" s="58"/>
      <c r="BM126" s="57"/>
      <c r="DA126" s="59"/>
      <c r="DB126" s="57"/>
      <c r="DM126" s="59"/>
      <c r="DN126" s="57"/>
      <c r="DQ126" s="58"/>
      <c r="DS126" s="57"/>
      <c r="FG126" s="59"/>
      <c r="FH126" s="57"/>
      <c r="FS126" s="59"/>
      <c r="FT126" s="57"/>
      <c r="FW126" s="58"/>
      <c r="FY126" s="57"/>
    </row>
    <row r="127" spans="3:181" hidden="1">
      <c r="C127" s="65">
        <v>30</v>
      </c>
      <c r="D127" s="65">
        <v>1280</v>
      </c>
      <c r="E127" s="65">
        <v>720</v>
      </c>
      <c r="F127" s="65" t="s">
        <v>582</v>
      </c>
      <c r="G127" s="65" t="str">
        <f t="shared" si="69"/>
        <v>1280720CPP_7_3</v>
      </c>
      <c r="H127" s="60"/>
      <c r="AU127" s="59"/>
      <c r="AV127" s="57"/>
      <c r="BG127" s="59"/>
      <c r="BH127" s="57"/>
      <c r="BK127" s="58"/>
      <c r="BM127" s="57"/>
      <c r="DA127" s="59"/>
      <c r="DB127" s="57"/>
      <c r="DM127" s="59"/>
      <c r="DN127" s="57"/>
      <c r="DQ127" s="58"/>
      <c r="DS127" s="57"/>
      <c r="FG127" s="59"/>
      <c r="FH127" s="57"/>
      <c r="FS127" s="59"/>
      <c r="FT127" s="57"/>
      <c r="FW127" s="58"/>
      <c r="FY127" s="57"/>
    </row>
    <row r="128" spans="3:181" hidden="1">
      <c r="C128" s="65">
        <v>60</v>
      </c>
      <c r="D128" s="65">
        <v>1280</v>
      </c>
      <c r="E128" s="65">
        <v>720</v>
      </c>
      <c r="F128" s="65" t="s">
        <v>582</v>
      </c>
      <c r="G128" s="65" t="str">
        <f t="shared" si="69"/>
        <v>1280720CPP_7_3</v>
      </c>
      <c r="H128" s="60"/>
      <c r="AU128" s="59"/>
      <c r="AV128" s="57"/>
      <c r="BG128" s="59"/>
      <c r="BH128" s="57"/>
      <c r="BK128" s="58"/>
      <c r="BM128" s="57"/>
      <c r="DA128" s="59"/>
      <c r="DB128" s="57"/>
      <c r="DM128" s="59"/>
      <c r="DN128" s="57"/>
      <c r="DQ128" s="58"/>
      <c r="DS128" s="57"/>
      <c r="FG128" s="59"/>
      <c r="FH128" s="57"/>
      <c r="FS128" s="59"/>
      <c r="FT128" s="57"/>
      <c r="FW128" s="58"/>
      <c r="FY128" s="57"/>
    </row>
    <row r="129" spans="3:181" hidden="1">
      <c r="C129" s="65">
        <v>30</v>
      </c>
      <c r="D129" s="65">
        <v>1920</v>
      </c>
      <c r="E129" s="65">
        <v>1080</v>
      </c>
      <c r="F129" s="65" t="s">
        <v>582</v>
      </c>
      <c r="G129" s="65" t="str">
        <f t="shared" si="69"/>
        <v>19201080CPP_7_3</v>
      </c>
      <c r="H129" s="60" t="s">
        <v>797</v>
      </c>
      <c r="I129" s="57">
        <v>30</v>
      </c>
      <c r="AU129" s="59"/>
      <c r="AV129" s="57"/>
      <c r="BG129" s="59"/>
      <c r="BH129" s="57"/>
      <c r="BK129" s="58"/>
      <c r="BM129" s="57"/>
      <c r="DA129" s="59"/>
      <c r="DB129" s="57"/>
      <c r="DM129" s="59"/>
      <c r="DN129" s="57"/>
      <c r="DQ129" s="58"/>
      <c r="DS129" s="57"/>
      <c r="FG129" s="59"/>
      <c r="FH129" s="57"/>
      <c r="FS129" s="59"/>
      <c r="FT129" s="57"/>
      <c r="FW129" s="58"/>
      <c r="FY129" s="57"/>
    </row>
    <row r="130" spans="3:181" hidden="1">
      <c r="C130" s="65">
        <v>60</v>
      </c>
      <c r="D130" s="65">
        <v>1920</v>
      </c>
      <c r="E130" s="65">
        <v>1080</v>
      </c>
      <c r="F130" s="65" t="s">
        <v>582</v>
      </c>
      <c r="G130" s="65" t="str">
        <f t="shared" si="69"/>
        <v>19201080CPP_7_3</v>
      </c>
      <c r="H130" s="60" t="s">
        <v>797</v>
      </c>
      <c r="I130" s="60">
        <v>30</v>
      </c>
    </row>
    <row r="131" spans="3:181" hidden="1">
      <c r="C131" s="65">
        <v>30</v>
      </c>
      <c r="D131" s="65">
        <v>2592</v>
      </c>
      <c r="E131" s="65">
        <v>1680</v>
      </c>
      <c r="F131" s="65" t="s">
        <v>582</v>
      </c>
      <c r="G131" s="65" t="str">
        <f t="shared" si="69"/>
        <v>25921680CPP_7_3</v>
      </c>
      <c r="H131" s="60" t="s">
        <v>797</v>
      </c>
      <c r="I131" s="60">
        <v>20</v>
      </c>
      <c r="M131" s="57" t="s">
        <v>778</v>
      </c>
    </row>
    <row r="132" spans="3:181" hidden="1">
      <c r="C132" s="65">
        <v>30</v>
      </c>
      <c r="D132" s="65">
        <v>3840</v>
      </c>
      <c r="E132" s="65">
        <v>2160</v>
      </c>
      <c r="F132" s="65" t="s">
        <v>582</v>
      </c>
      <c r="G132" s="65" t="str">
        <f t="shared" si="69"/>
        <v>38402160CPP_7_3</v>
      </c>
      <c r="H132" s="60"/>
      <c r="I132" s="60"/>
      <c r="M132"/>
    </row>
    <row r="133" spans="3:181" hidden="1">
      <c r="C133" s="65">
        <v>20</v>
      </c>
      <c r="D133" s="65">
        <v>4000</v>
      </c>
      <c r="E133" s="65">
        <v>3000</v>
      </c>
      <c r="F133" s="65" t="s">
        <v>582</v>
      </c>
      <c r="G133" s="65" t="str">
        <f t="shared" si="69"/>
        <v>40003000CPP_7_3</v>
      </c>
      <c r="H133" s="60"/>
      <c r="I133" s="60"/>
      <c r="M133"/>
    </row>
    <row r="134" spans="3:181" hidden="1">
      <c r="H134" s="60"/>
      <c r="I134" s="60"/>
      <c r="M134"/>
    </row>
    <row r="135" spans="3:181" hidden="1">
      <c r="E135" s="71" t="s">
        <v>597</v>
      </c>
      <c r="F135" s="60"/>
      <c r="G135" s="57" t="s">
        <v>815</v>
      </c>
      <c r="H135" s="60"/>
      <c r="I135" s="60"/>
      <c r="M135"/>
    </row>
    <row r="136" spans="3:181" hidden="1">
      <c r="C136" s="60"/>
      <c r="E136" s="65">
        <v>60</v>
      </c>
      <c r="F136" s="60"/>
      <c r="G136" s="57" t="s">
        <v>799</v>
      </c>
      <c r="H136" s="60"/>
      <c r="I136" s="60"/>
      <c r="M136"/>
    </row>
    <row r="137" spans="3:181" hidden="1">
      <c r="C137" s="60"/>
      <c r="E137" s="65">
        <v>30</v>
      </c>
      <c r="F137" s="60"/>
      <c r="G137" s="57" t="s">
        <v>800</v>
      </c>
      <c r="H137" s="60"/>
      <c r="I137" s="60"/>
      <c r="M137"/>
    </row>
    <row r="138" spans="3:181" hidden="1">
      <c r="C138" s="60"/>
      <c r="E138" s="65">
        <v>20</v>
      </c>
      <c r="G138" s="57" t="s">
        <v>801</v>
      </c>
      <c r="H138" s="60"/>
      <c r="I138" s="60"/>
      <c r="M138"/>
    </row>
    <row r="139" spans="3:181" hidden="1">
      <c r="C139" s="60"/>
      <c r="E139" s="65">
        <v>15</v>
      </c>
      <c r="G139" s="57" t="s">
        <v>802</v>
      </c>
      <c r="H139" s="62"/>
      <c r="I139" s="62"/>
      <c r="J139" s="62"/>
      <c r="M139"/>
    </row>
    <row r="140" spans="3:181" hidden="1">
      <c r="C140" s="60"/>
      <c r="E140" s="65">
        <v>12</v>
      </c>
      <c r="G140" s="57" t="s">
        <v>803</v>
      </c>
      <c r="H140" s="61"/>
      <c r="I140" s="61"/>
      <c r="J140" s="62"/>
      <c r="K140" s="62"/>
      <c r="L140" s="62"/>
      <c r="M140"/>
    </row>
    <row r="141" spans="3:181" hidden="1">
      <c r="C141" s="60"/>
      <c r="E141" s="65">
        <v>10</v>
      </c>
      <c r="G141" s="57" t="s">
        <v>804</v>
      </c>
      <c r="H141" s="61"/>
      <c r="I141" s="61"/>
      <c r="J141" s="64"/>
      <c r="K141" s="61"/>
      <c r="L141" s="61"/>
      <c r="M141"/>
    </row>
    <row r="142" spans="3:181" hidden="1">
      <c r="C142" s="60"/>
      <c r="E142" s="65">
        <v>7.5</v>
      </c>
      <c r="G142" s="57" t="s">
        <v>805</v>
      </c>
      <c r="H142" s="61"/>
      <c r="I142" s="61"/>
      <c r="J142" s="64"/>
      <c r="K142" s="63"/>
      <c r="L142" s="63"/>
      <c r="M142"/>
    </row>
    <row r="143" spans="3:181" hidden="1">
      <c r="C143" s="60"/>
      <c r="E143" s="65">
        <v>6</v>
      </c>
      <c r="G143" s="57" t="s">
        <v>806</v>
      </c>
      <c r="H143" s="60"/>
      <c r="I143" s="60"/>
      <c r="J143" s="64"/>
      <c r="K143" s="63"/>
      <c r="L143" s="63"/>
      <c r="M143"/>
    </row>
    <row r="144" spans="3:181" hidden="1">
      <c r="C144" s="60"/>
      <c r="E144" s="65">
        <v>5</v>
      </c>
      <c r="G144" s="57" t="s">
        <v>807</v>
      </c>
      <c r="H144" s="60"/>
      <c r="I144" s="60"/>
      <c r="J144" s="62"/>
      <c r="K144" s="63"/>
      <c r="L144" s="63"/>
      <c r="M144"/>
    </row>
    <row r="145" spans="3:13" hidden="1">
      <c r="C145" s="60"/>
      <c r="E145" s="65">
        <v>4</v>
      </c>
      <c r="G145" s="57" t="s">
        <v>808</v>
      </c>
      <c r="H145" s="60"/>
      <c r="I145" s="60"/>
      <c r="J145" s="62"/>
      <c r="K145" s="61"/>
      <c r="L145" s="61"/>
      <c r="M145"/>
    </row>
    <row r="146" spans="3:13" hidden="1">
      <c r="C146" s="60"/>
      <c r="E146" s="65">
        <v>3</v>
      </c>
      <c r="G146" s="57" t="s">
        <v>809</v>
      </c>
      <c r="H146" s="60"/>
      <c r="I146" s="60"/>
      <c r="K146" s="61"/>
      <c r="L146" s="61"/>
      <c r="M146"/>
    </row>
    <row r="147" spans="3:13" hidden="1">
      <c r="C147" s="60"/>
      <c r="E147" s="65">
        <v>2</v>
      </c>
      <c r="G147" s="57" t="s">
        <v>810</v>
      </c>
      <c r="H147" s="60"/>
      <c r="I147" s="60"/>
      <c r="M147"/>
    </row>
    <row r="148" spans="3:13" hidden="1">
      <c r="C148" s="60"/>
      <c r="E148" s="65">
        <v>1</v>
      </c>
      <c r="G148" s="62" t="s">
        <v>811</v>
      </c>
      <c r="H148" s="60"/>
      <c r="I148" s="60"/>
      <c r="M148"/>
    </row>
    <row r="149" spans="3:13" hidden="1">
      <c r="C149" s="60"/>
      <c r="G149" s="62" t="s">
        <v>812</v>
      </c>
      <c r="H149" s="60" t="s">
        <v>595</v>
      </c>
      <c r="I149" s="60" t="s">
        <v>593</v>
      </c>
      <c r="M149"/>
    </row>
    <row r="150" spans="3:13" hidden="1">
      <c r="C150" s="60"/>
      <c r="G150" s="62" t="s">
        <v>813</v>
      </c>
      <c r="H150" s="60" t="s">
        <v>587</v>
      </c>
      <c r="I150" s="60" t="s">
        <v>582</v>
      </c>
      <c r="K150" s="57" t="s">
        <v>595</v>
      </c>
      <c r="L150" s="57" t="s">
        <v>582</v>
      </c>
    </row>
    <row r="151" spans="3:13" hidden="1">
      <c r="C151" s="60"/>
      <c r="F151" s="142"/>
      <c r="G151" s="62" t="s">
        <v>814</v>
      </c>
      <c r="H151" s="60" t="s">
        <v>586</v>
      </c>
      <c r="I151" s="141"/>
      <c r="M151"/>
    </row>
    <row r="152" spans="3:13" hidden="1">
      <c r="C152" s="60"/>
      <c r="H152" s="57" t="s">
        <v>585</v>
      </c>
      <c r="M152"/>
    </row>
    <row r="153" spans="3:13" hidden="1">
      <c r="C153" s="60"/>
      <c r="H153" s="57" t="s">
        <v>584</v>
      </c>
      <c r="M153"/>
    </row>
    <row r="154" spans="3:13" hidden="1">
      <c r="C154" s="60"/>
      <c r="H154" s="60" t="s">
        <v>583</v>
      </c>
      <c r="I154" s="60"/>
      <c r="M154"/>
    </row>
    <row r="155" spans="3:13" hidden="1">
      <c r="C155" s="60"/>
      <c r="H155" s="60" t="s">
        <v>582</v>
      </c>
      <c r="I155" s="60"/>
      <c r="M155"/>
    </row>
    <row r="156" spans="3:13" hidden="1">
      <c r="C156" s="60"/>
      <c r="H156" s="60"/>
      <c r="I156" s="60"/>
      <c r="M156"/>
    </row>
    <row r="157" spans="3:13" hidden="1">
      <c r="C157" s="60"/>
      <c r="H157" s="60"/>
      <c r="I157" s="60"/>
      <c r="M157"/>
    </row>
    <row r="158" spans="3:13" hidden="1">
      <c r="C158" s="60"/>
      <c r="H158" s="60" t="s">
        <v>786</v>
      </c>
      <c r="I158" s="60"/>
      <c r="M158"/>
    </row>
    <row r="159" spans="3:13" hidden="1">
      <c r="C159" s="60"/>
      <c r="H159" s="60" t="s">
        <v>787</v>
      </c>
      <c r="I159" s="60"/>
      <c r="M159"/>
    </row>
    <row r="160" spans="3:13" hidden="1">
      <c r="C160" s="60"/>
      <c r="H160" s="60" t="s">
        <v>788</v>
      </c>
      <c r="I160" s="60"/>
      <c r="M160"/>
    </row>
    <row r="161" spans="1:184" hidden="1">
      <c r="C161" s="60"/>
      <c r="H161" s="60" t="s">
        <v>789</v>
      </c>
      <c r="I161" s="60"/>
      <c r="M161"/>
    </row>
    <row r="162" spans="1:184" hidden="1">
      <c r="C162" s="60"/>
      <c r="H162" s="60" t="s">
        <v>790</v>
      </c>
      <c r="I162" s="60"/>
      <c r="M162"/>
    </row>
    <row r="163" spans="1:184" hidden="1">
      <c r="C163" s="60"/>
      <c r="H163" s="60" t="s">
        <v>791</v>
      </c>
      <c r="I163" s="60"/>
      <c r="M163"/>
    </row>
    <row r="164" spans="1:184" hidden="1">
      <c r="C164" s="60"/>
      <c r="H164" s="60" t="s">
        <v>792</v>
      </c>
      <c r="I164" s="60"/>
      <c r="M164"/>
    </row>
    <row r="165" spans="1:184" hidden="1">
      <c r="C165" s="60"/>
      <c r="H165" s="60"/>
      <c r="I165" s="60"/>
      <c r="M165"/>
    </row>
    <row r="166" spans="1:184" hidden="1">
      <c r="C166" s="60"/>
      <c r="H166" s="60"/>
      <c r="I166" s="60"/>
      <c r="M166"/>
    </row>
    <row r="167" spans="1:184" hidden="1">
      <c r="C167" s="60"/>
      <c r="I167" s="60"/>
      <c r="M167"/>
    </row>
    <row r="168" spans="1:184" hidden="1">
      <c r="C168" s="60"/>
      <c r="D168" s="57" t="s">
        <v>111</v>
      </c>
      <c r="K168" s="60" t="s">
        <v>825</v>
      </c>
      <c r="L168" s="60"/>
      <c r="P168"/>
      <c r="AV168" s="57"/>
      <c r="AY168" s="59"/>
      <c r="BH168" s="57"/>
      <c r="BK168" s="59"/>
      <c r="BL168" s="57"/>
      <c r="BM168" s="57"/>
      <c r="BO168" s="58"/>
      <c r="BP168" s="58"/>
      <c r="DB168" s="57"/>
      <c r="DE168" s="59"/>
      <c r="DN168" s="57"/>
      <c r="DQ168" s="59"/>
      <c r="DR168" s="57"/>
      <c r="DS168" s="57"/>
      <c r="DU168" s="58"/>
      <c r="DV168" s="58"/>
      <c r="FH168" s="57"/>
      <c r="FK168" s="59"/>
      <c r="FT168" s="57"/>
      <c r="FW168" s="59"/>
      <c r="FX168" s="57"/>
      <c r="FY168" s="57"/>
      <c r="GA168" s="58"/>
      <c r="GB168" s="58"/>
    </row>
    <row r="169" spans="1:184" hidden="1">
      <c r="A169" s="57" t="str">
        <f t="shared" ref="A169:A228" si="70">C169&amp;D169&amp;$D$168</f>
        <v>bitrate optimized quietCPP_3SD</v>
      </c>
      <c r="B169" s="57" t="str">
        <f>C169&amp;D169&amp;E169&amp;F169</f>
        <v>bitrate optimized quietCPP_3704288</v>
      </c>
      <c r="C169" s="71" t="s">
        <v>620</v>
      </c>
      <c r="D169" s="25" t="s">
        <v>587</v>
      </c>
      <c r="E169" s="25">
        <v>704</v>
      </c>
      <c r="F169" s="25">
        <v>288</v>
      </c>
      <c r="I169" s="57" t="str">
        <f>E169&amp;F169</f>
        <v>704288</v>
      </c>
      <c r="K169" s="60" t="s">
        <v>817</v>
      </c>
      <c r="L169" s="60"/>
      <c r="P169"/>
      <c r="AV169" s="57"/>
      <c r="AY169" s="59"/>
      <c r="BH169" s="57"/>
      <c r="BK169" s="59"/>
      <c r="BL169" s="57"/>
      <c r="BM169" s="57"/>
      <c r="BO169" s="58"/>
      <c r="BP169" s="58"/>
      <c r="DB169" s="57"/>
      <c r="DE169" s="59"/>
      <c r="DN169" s="57"/>
      <c r="DQ169" s="59"/>
      <c r="DR169" s="57"/>
      <c r="DS169" s="57"/>
      <c r="DU169" s="58"/>
      <c r="DV169" s="58"/>
      <c r="FH169" s="57"/>
      <c r="FK169" s="59"/>
      <c r="FT169" s="57"/>
      <c r="FW169" s="59"/>
      <c r="FX169" s="57"/>
      <c r="FY169" s="57"/>
      <c r="GA169" s="58"/>
      <c r="GB169" s="58"/>
    </row>
    <row r="170" spans="1:184" hidden="1">
      <c r="A170" s="57" t="str">
        <f t="shared" si="70"/>
        <v>bitrate optimized quietCPP_4SD</v>
      </c>
      <c r="B170" s="57" t="str">
        <f t="shared" ref="B170:B223" si="71">C170&amp;D170&amp;E170&amp;F170</f>
        <v>bitrate optimized quietCPP_4704288</v>
      </c>
      <c r="C170" s="71" t="s">
        <v>620</v>
      </c>
      <c r="D170" s="25" t="s">
        <v>586</v>
      </c>
      <c r="E170" s="25">
        <v>704</v>
      </c>
      <c r="F170" s="25">
        <v>288</v>
      </c>
      <c r="I170" s="57" t="str">
        <f t="shared" ref="I170:I228" si="72">E170&amp;F170</f>
        <v>704288</v>
      </c>
      <c r="K170" s="60" t="s">
        <v>818</v>
      </c>
      <c r="L170" s="60"/>
      <c r="P170"/>
      <c r="AV170" s="57"/>
      <c r="AY170" s="59"/>
      <c r="BH170" s="57"/>
      <c r="BK170" s="59"/>
      <c r="BL170" s="57"/>
      <c r="BM170" s="57"/>
      <c r="BO170" s="58"/>
      <c r="BP170" s="58"/>
      <c r="DB170" s="57"/>
      <c r="DE170" s="59"/>
      <c r="DN170" s="57"/>
      <c r="DQ170" s="59"/>
      <c r="DR170" s="57"/>
      <c r="DS170" s="57"/>
      <c r="DU170" s="58"/>
      <c r="DV170" s="58"/>
      <c r="FH170" s="57"/>
      <c r="FK170" s="59"/>
      <c r="FT170" s="57"/>
      <c r="FW170" s="59"/>
      <c r="FX170" s="57"/>
      <c r="FY170" s="57"/>
      <c r="GA170" s="58"/>
      <c r="GB170" s="58"/>
    </row>
    <row r="171" spans="1:184" hidden="1">
      <c r="A171" s="57" t="str">
        <f t="shared" si="70"/>
        <v>bitrate optimized quietCPP_5SD</v>
      </c>
      <c r="B171" s="57" t="str">
        <f t="shared" si="71"/>
        <v>bitrate optimized quietCPP_5704288</v>
      </c>
      <c r="C171" s="71" t="s">
        <v>620</v>
      </c>
      <c r="D171" s="25" t="s">
        <v>585</v>
      </c>
      <c r="E171" s="25">
        <v>704</v>
      </c>
      <c r="F171" s="25">
        <v>288</v>
      </c>
      <c r="I171" s="57" t="str">
        <f t="shared" si="72"/>
        <v>704288</v>
      </c>
      <c r="K171" s="60" t="s">
        <v>827</v>
      </c>
      <c r="L171" s="60"/>
      <c r="P171"/>
      <c r="AV171" s="57"/>
      <c r="AY171" s="59"/>
      <c r="BH171" s="57"/>
      <c r="BK171" s="59"/>
      <c r="BL171" s="57"/>
      <c r="BM171" s="57"/>
      <c r="BO171" s="58"/>
      <c r="BP171" s="58"/>
      <c r="DB171" s="57"/>
      <c r="DE171" s="59"/>
      <c r="DN171" s="57"/>
      <c r="DQ171" s="59"/>
      <c r="DR171" s="57"/>
      <c r="DS171" s="57"/>
      <c r="DU171" s="58"/>
      <c r="DV171" s="58"/>
      <c r="FH171" s="57"/>
      <c r="FK171" s="59"/>
      <c r="FT171" s="57"/>
      <c r="FW171" s="59"/>
      <c r="FX171" s="57"/>
      <c r="FY171" s="57"/>
      <c r="GA171" s="58"/>
      <c r="GB171" s="58"/>
    </row>
    <row r="172" spans="1:184" hidden="1">
      <c r="A172" s="57" t="str">
        <f t="shared" si="70"/>
        <v>bitrate optimized quietCPP_6SD</v>
      </c>
      <c r="B172" s="57" t="str">
        <f t="shared" si="71"/>
        <v>bitrate optimized quietCPP_6768432</v>
      </c>
      <c r="C172" s="71" t="s">
        <v>620</v>
      </c>
      <c r="D172" s="25" t="s">
        <v>584</v>
      </c>
      <c r="E172" s="25">
        <v>768</v>
      </c>
      <c r="F172" s="25">
        <v>432</v>
      </c>
      <c r="I172" s="57" t="str">
        <f t="shared" si="72"/>
        <v>768432</v>
      </c>
      <c r="K172" s="60" t="s">
        <v>819</v>
      </c>
      <c r="L172" s="60"/>
      <c r="P172"/>
      <c r="AV172" s="57"/>
      <c r="AY172" s="59"/>
      <c r="BH172" s="57"/>
      <c r="BK172" s="59"/>
      <c r="BL172" s="57"/>
      <c r="BM172" s="57"/>
      <c r="BO172" s="58"/>
      <c r="BP172" s="58"/>
      <c r="DB172" s="57"/>
      <c r="DE172" s="59"/>
      <c r="DN172" s="57"/>
      <c r="DQ172" s="59"/>
      <c r="DR172" s="57"/>
      <c r="DS172" s="57"/>
      <c r="DU172" s="58"/>
      <c r="DV172" s="58"/>
      <c r="FH172" s="57"/>
      <c r="FK172" s="59"/>
      <c r="FT172" s="57"/>
      <c r="FW172" s="59"/>
      <c r="FX172" s="57"/>
      <c r="FY172" s="57"/>
      <c r="GA172" s="58"/>
      <c r="GB172" s="58"/>
    </row>
    <row r="173" spans="1:184" hidden="1">
      <c r="A173" s="57" t="str">
        <f t="shared" si="70"/>
        <v>bitrate optimized quietCPP_7SD</v>
      </c>
      <c r="B173" s="57" t="str">
        <f t="shared" si="71"/>
        <v>bitrate optimized quietCPP_7768432</v>
      </c>
      <c r="C173" s="71" t="s">
        <v>620</v>
      </c>
      <c r="D173" s="25" t="s">
        <v>583</v>
      </c>
      <c r="E173" s="25">
        <v>768</v>
      </c>
      <c r="F173" s="25">
        <v>432</v>
      </c>
      <c r="I173" s="57" t="str">
        <f t="shared" si="72"/>
        <v>768432</v>
      </c>
      <c r="K173" s="60" t="s">
        <v>820</v>
      </c>
      <c r="L173" s="60"/>
      <c r="P173"/>
      <c r="AV173" s="57"/>
      <c r="AY173" s="59"/>
      <c r="BH173" s="57"/>
      <c r="BK173" s="59"/>
      <c r="BL173" s="57"/>
      <c r="BM173" s="57"/>
      <c r="BO173" s="58"/>
      <c r="BP173" s="58"/>
      <c r="DB173" s="57"/>
      <c r="DE173" s="59"/>
      <c r="DN173" s="57"/>
      <c r="DQ173" s="59"/>
      <c r="DR173" s="57"/>
      <c r="DS173" s="57"/>
      <c r="DU173" s="58"/>
      <c r="DV173" s="58"/>
      <c r="FH173" s="57"/>
      <c r="FK173" s="59"/>
      <c r="FT173" s="57"/>
      <c r="FW173" s="59"/>
      <c r="FX173" s="57"/>
      <c r="FY173" s="57"/>
      <c r="GA173" s="58"/>
      <c r="GB173" s="58"/>
    </row>
    <row r="174" spans="1:184" hidden="1">
      <c r="A174" s="57" t="str">
        <f t="shared" si="70"/>
        <v>bitrate optimized quietCPP_7_3SD</v>
      </c>
      <c r="B174" s="57" t="str">
        <f t="shared" si="71"/>
        <v>bitrate optimized quietCPP_7_3768432</v>
      </c>
      <c r="C174" s="71" t="s">
        <v>620</v>
      </c>
      <c r="D174" s="25" t="s">
        <v>582</v>
      </c>
      <c r="E174" s="25">
        <v>768</v>
      </c>
      <c r="F174" s="25">
        <v>432</v>
      </c>
      <c r="I174" s="57" t="str">
        <f t="shared" si="72"/>
        <v>768432</v>
      </c>
      <c r="K174" s="60" t="s">
        <v>828</v>
      </c>
      <c r="L174" s="60"/>
      <c r="P174"/>
      <c r="AV174" s="57"/>
      <c r="AY174" s="59"/>
      <c r="BH174" s="57"/>
      <c r="BK174" s="59"/>
      <c r="BL174" s="57"/>
      <c r="BM174" s="57"/>
      <c r="BO174" s="58"/>
      <c r="BP174" s="58"/>
      <c r="DB174" s="57"/>
      <c r="DE174" s="59"/>
      <c r="DN174" s="57"/>
      <c r="DQ174" s="59"/>
      <c r="DR174" s="57"/>
      <c r="DS174" s="57"/>
      <c r="DU174" s="58"/>
      <c r="DV174" s="58"/>
      <c r="FH174" s="57"/>
      <c r="FK174" s="59"/>
      <c r="FT174" s="57"/>
      <c r="FW174" s="59"/>
      <c r="FX174" s="57"/>
      <c r="FY174" s="57"/>
      <c r="GA174" s="58"/>
      <c r="GB174" s="58"/>
    </row>
    <row r="175" spans="1:184" hidden="1">
      <c r="A175" s="57" t="str">
        <f t="shared" si="70"/>
        <v>bitrate optimized standardCPP_3SD</v>
      </c>
      <c r="B175" s="57" t="str">
        <f t="shared" si="71"/>
        <v>bitrate optimized standardCPP_3704288</v>
      </c>
      <c r="C175" s="71" t="s">
        <v>617</v>
      </c>
      <c r="D175" s="25" t="s">
        <v>587</v>
      </c>
      <c r="E175" s="25">
        <v>704</v>
      </c>
      <c r="F175" s="25">
        <v>288</v>
      </c>
      <c r="I175" s="57" t="str">
        <f t="shared" si="72"/>
        <v>704288</v>
      </c>
      <c r="K175" s="60" t="s">
        <v>821</v>
      </c>
      <c r="L175" s="60"/>
      <c r="P175"/>
      <c r="AV175" s="57"/>
      <c r="AY175" s="59"/>
      <c r="BH175" s="57"/>
      <c r="BK175" s="59"/>
      <c r="BL175" s="57"/>
      <c r="BM175" s="57"/>
      <c r="BO175" s="58"/>
      <c r="BP175" s="58"/>
      <c r="DB175" s="57"/>
      <c r="DE175" s="59"/>
      <c r="DN175" s="57"/>
      <c r="DQ175" s="59"/>
      <c r="DR175" s="57"/>
      <c r="DS175" s="57"/>
      <c r="DU175" s="58"/>
      <c r="DV175" s="58"/>
      <c r="FH175" s="57"/>
      <c r="FK175" s="59"/>
      <c r="FT175" s="57"/>
      <c r="FW175" s="59"/>
      <c r="FX175" s="57"/>
      <c r="FY175" s="57"/>
      <c r="GA175" s="58"/>
      <c r="GB175" s="58"/>
    </row>
    <row r="176" spans="1:184" hidden="1">
      <c r="A176" s="57" t="str">
        <f t="shared" si="70"/>
        <v>bitrate optimized standardCPP_4SD</v>
      </c>
      <c r="B176" s="57" t="str">
        <f t="shared" si="71"/>
        <v>bitrate optimized standardCPP_4704288</v>
      </c>
      <c r="C176" s="71" t="s">
        <v>617</v>
      </c>
      <c r="D176" s="25" t="s">
        <v>586</v>
      </c>
      <c r="E176" s="25">
        <v>704</v>
      </c>
      <c r="F176" s="25">
        <v>288</v>
      </c>
      <c r="I176" s="57" t="str">
        <f t="shared" si="72"/>
        <v>704288</v>
      </c>
      <c r="K176" s="60" t="s">
        <v>822</v>
      </c>
      <c r="L176" s="60"/>
      <c r="P176"/>
      <c r="AV176" s="57"/>
      <c r="AY176" s="59"/>
      <c r="BH176" s="57"/>
      <c r="BK176" s="59"/>
      <c r="BL176" s="57"/>
      <c r="BM176" s="57"/>
      <c r="BO176" s="58"/>
      <c r="BP176" s="58"/>
      <c r="DB176" s="57"/>
      <c r="DE176" s="59"/>
      <c r="DN176" s="57"/>
      <c r="DQ176" s="59"/>
      <c r="DR176" s="57"/>
      <c r="DS176" s="57"/>
      <c r="DU176" s="58"/>
      <c r="DV176" s="58"/>
      <c r="FH176" s="57"/>
      <c r="FK176" s="59"/>
      <c r="FT176" s="57"/>
      <c r="FW176" s="59"/>
      <c r="FX176" s="57"/>
      <c r="FY176" s="57"/>
      <c r="GA176" s="58"/>
      <c r="GB176" s="58"/>
    </row>
    <row r="177" spans="1:184" hidden="1">
      <c r="A177" s="57" t="str">
        <f t="shared" si="70"/>
        <v>bitrate optimized standardCPP_5SD</v>
      </c>
      <c r="B177" s="57" t="str">
        <f t="shared" si="71"/>
        <v>bitrate optimized standardCPP_5704288</v>
      </c>
      <c r="C177" s="71" t="s">
        <v>617</v>
      </c>
      <c r="D177" s="25" t="s">
        <v>585</v>
      </c>
      <c r="E177" s="25">
        <v>704</v>
      </c>
      <c r="F177" s="25">
        <v>288</v>
      </c>
      <c r="I177" s="57" t="str">
        <f t="shared" si="72"/>
        <v>704288</v>
      </c>
      <c r="K177" s="60" t="s">
        <v>826</v>
      </c>
      <c r="L177" s="60"/>
      <c r="P177"/>
      <c r="AV177" s="57"/>
      <c r="AY177" s="59"/>
      <c r="BH177" s="57"/>
      <c r="BK177" s="59"/>
      <c r="BL177" s="57"/>
      <c r="BM177" s="57"/>
      <c r="BO177" s="58"/>
      <c r="BP177" s="58"/>
      <c r="DB177" s="57"/>
      <c r="DE177" s="59"/>
      <c r="DN177" s="57"/>
      <c r="DQ177" s="59"/>
      <c r="DR177" s="57"/>
      <c r="DS177" s="57"/>
      <c r="DU177" s="58"/>
      <c r="DV177" s="58"/>
      <c r="FH177" s="57"/>
      <c r="FK177" s="59"/>
      <c r="FT177" s="57"/>
      <c r="FW177" s="59"/>
      <c r="FX177" s="57"/>
      <c r="FY177" s="57"/>
      <c r="GA177" s="58"/>
      <c r="GB177" s="58"/>
    </row>
    <row r="178" spans="1:184" hidden="1">
      <c r="A178" s="57" t="str">
        <f t="shared" si="70"/>
        <v>bitrate optimized standardCPP_6SD</v>
      </c>
      <c r="B178" s="57" t="str">
        <f t="shared" si="71"/>
        <v>bitrate optimized standardCPP_6768432</v>
      </c>
      <c r="C178" s="71" t="s">
        <v>617</v>
      </c>
      <c r="D178" s="25" t="s">
        <v>584</v>
      </c>
      <c r="E178" s="25">
        <v>768</v>
      </c>
      <c r="F178" s="25">
        <v>432</v>
      </c>
      <c r="H178" s="60"/>
      <c r="I178" s="57" t="str">
        <f t="shared" si="72"/>
        <v>768432</v>
      </c>
      <c r="K178" s="60" t="s">
        <v>823</v>
      </c>
      <c r="L178" s="60"/>
      <c r="P178"/>
      <c r="AV178" s="57"/>
      <c r="AY178" s="59"/>
      <c r="BH178" s="57"/>
      <c r="BK178" s="59"/>
      <c r="BL178" s="57"/>
      <c r="BM178" s="57"/>
      <c r="BO178" s="58"/>
      <c r="BP178" s="58"/>
      <c r="DB178" s="57"/>
      <c r="DE178" s="59"/>
      <c r="DN178" s="57"/>
      <c r="DQ178" s="59"/>
      <c r="DR178" s="57"/>
      <c r="DS178" s="57"/>
      <c r="DU178" s="58"/>
      <c r="DV178" s="58"/>
      <c r="FH178" s="57"/>
      <c r="FK178" s="59"/>
      <c r="FT178" s="57"/>
      <c r="FW178" s="59"/>
      <c r="FX178" s="57"/>
      <c r="FY178" s="57"/>
      <c r="GA178" s="58"/>
      <c r="GB178" s="58"/>
    </row>
    <row r="179" spans="1:184" hidden="1">
      <c r="A179" s="57" t="str">
        <f t="shared" si="70"/>
        <v>bitrate optimized standardCPP_7SD</v>
      </c>
      <c r="B179" s="57" t="str">
        <f t="shared" si="71"/>
        <v>bitrate optimized standardCPP_7768432</v>
      </c>
      <c r="C179" s="71" t="s">
        <v>617</v>
      </c>
      <c r="D179" s="25" t="s">
        <v>583</v>
      </c>
      <c r="E179" s="25">
        <v>768</v>
      </c>
      <c r="F179" s="25">
        <v>432</v>
      </c>
      <c r="H179" s="60"/>
      <c r="I179" s="57" t="str">
        <f t="shared" si="72"/>
        <v>768432</v>
      </c>
      <c r="K179" s="60" t="s">
        <v>824</v>
      </c>
      <c r="L179" s="60"/>
      <c r="P179"/>
      <c r="AV179" s="57"/>
      <c r="AY179" s="59"/>
      <c r="BH179" s="57"/>
      <c r="BK179" s="59"/>
      <c r="BL179" s="57"/>
      <c r="BM179" s="57"/>
      <c r="BO179" s="58"/>
      <c r="BP179" s="58"/>
      <c r="DB179" s="57"/>
      <c r="DE179" s="59"/>
      <c r="DN179" s="57"/>
      <c r="DQ179" s="59"/>
      <c r="DR179" s="57"/>
      <c r="DS179" s="57"/>
      <c r="DU179" s="58"/>
      <c r="DV179" s="58"/>
      <c r="FH179" s="57"/>
      <c r="FK179" s="59"/>
      <c r="FT179" s="57"/>
      <c r="FW179" s="59"/>
      <c r="FX179" s="57"/>
      <c r="FY179" s="57"/>
      <c r="GA179" s="58"/>
      <c r="GB179" s="58"/>
    </row>
    <row r="180" spans="1:184" hidden="1">
      <c r="A180" s="57" t="str">
        <f t="shared" si="70"/>
        <v>bitrate optimized standardCPP_7_3SD</v>
      </c>
      <c r="B180" s="57" t="str">
        <f t="shared" si="71"/>
        <v>bitrate optimized standardCPP_7_3768432</v>
      </c>
      <c r="C180" s="71" t="s">
        <v>617</v>
      </c>
      <c r="D180" s="25" t="s">
        <v>582</v>
      </c>
      <c r="E180" s="25">
        <v>768</v>
      </c>
      <c r="F180" s="25">
        <v>432</v>
      </c>
      <c r="H180" s="60"/>
      <c r="I180" s="57" t="str">
        <f t="shared" si="72"/>
        <v>768432</v>
      </c>
      <c r="M180"/>
    </row>
    <row r="181" spans="1:184" hidden="1">
      <c r="A181" s="57" t="str">
        <f t="shared" si="70"/>
        <v>bitrate optimized busyCPP_3SD</v>
      </c>
      <c r="B181" s="57" t="str">
        <f t="shared" si="71"/>
        <v>bitrate optimized busyCPP_3704288</v>
      </c>
      <c r="C181" s="71" t="s">
        <v>614</v>
      </c>
      <c r="D181" s="25" t="s">
        <v>587</v>
      </c>
      <c r="E181" s="25">
        <v>704</v>
      </c>
      <c r="F181" s="25">
        <v>288</v>
      </c>
      <c r="H181" s="60"/>
      <c r="I181" s="57" t="str">
        <f t="shared" si="72"/>
        <v>704288</v>
      </c>
      <c r="M181"/>
    </row>
    <row r="182" spans="1:184" hidden="1">
      <c r="A182" s="57" t="str">
        <f t="shared" si="70"/>
        <v>bitrate optimized busyCPP_4SD</v>
      </c>
      <c r="B182" s="57" t="str">
        <f t="shared" si="71"/>
        <v>bitrate optimized busyCPP_4704288</v>
      </c>
      <c r="C182" s="71" t="s">
        <v>614</v>
      </c>
      <c r="D182" s="25" t="s">
        <v>586</v>
      </c>
      <c r="E182" s="25">
        <v>704</v>
      </c>
      <c r="F182" s="25">
        <v>288</v>
      </c>
      <c r="H182" s="60"/>
      <c r="I182" s="57" t="str">
        <f t="shared" si="72"/>
        <v>704288</v>
      </c>
      <c r="M182"/>
    </row>
    <row r="183" spans="1:184" hidden="1">
      <c r="A183" s="57" t="str">
        <f t="shared" si="70"/>
        <v>bitrate optimized busyCPP_5SD</v>
      </c>
      <c r="B183" s="57" t="str">
        <f t="shared" si="71"/>
        <v>bitrate optimized busyCPP_5704288</v>
      </c>
      <c r="C183" s="71" t="s">
        <v>614</v>
      </c>
      <c r="D183" s="25" t="s">
        <v>585</v>
      </c>
      <c r="E183" s="25">
        <v>704</v>
      </c>
      <c r="F183" s="25">
        <v>288</v>
      </c>
      <c r="H183" s="60"/>
      <c r="I183" s="57" t="str">
        <f t="shared" si="72"/>
        <v>704288</v>
      </c>
      <c r="M183"/>
    </row>
    <row r="184" spans="1:184" hidden="1">
      <c r="A184" s="57" t="str">
        <f t="shared" si="70"/>
        <v>bitrate optimized busyCPP_6SD</v>
      </c>
      <c r="B184" s="57" t="str">
        <f t="shared" si="71"/>
        <v>bitrate optimized busyCPP_6768432</v>
      </c>
      <c r="C184" s="71" t="s">
        <v>614</v>
      </c>
      <c r="D184" s="25" t="s">
        <v>584</v>
      </c>
      <c r="E184" s="25">
        <v>768</v>
      </c>
      <c r="F184" s="25">
        <v>432</v>
      </c>
      <c r="I184" s="57" t="str">
        <f t="shared" si="72"/>
        <v>768432</v>
      </c>
      <c r="M184"/>
    </row>
    <row r="185" spans="1:184" hidden="1">
      <c r="A185" s="57" t="str">
        <f t="shared" si="70"/>
        <v>bitrate optimized busyCPP_7SD</v>
      </c>
      <c r="B185" s="57" t="str">
        <f t="shared" si="71"/>
        <v>bitrate optimized busyCPP_7768432</v>
      </c>
      <c r="C185" s="71" t="s">
        <v>614</v>
      </c>
      <c r="D185" s="25" t="s">
        <v>583</v>
      </c>
      <c r="E185" s="25">
        <v>768</v>
      </c>
      <c r="F185" s="25">
        <v>432</v>
      </c>
      <c r="I185" s="57" t="str">
        <f t="shared" si="72"/>
        <v>768432</v>
      </c>
      <c r="M185"/>
    </row>
    <row r="186" spans="1:184" hidden="1">
      <c r="A186" s="57" t="str">
        <f t="shared" si="70"/>
        <v>bitrate optimized busyCPP_7_3SD</v>
      </c>
      <c r="B186" s="57" t="str">
        <f t="shared" si="71"/>
        <v>bitrate optimized busyCPP_7_3768432</v>
      </c>
      <c r="C186" s="71" t="s">
        <v>614</v>
      </c>
      <c r="D186" s="25" t="s">
        <v>582</v>
      </c>
      <c r="E186" s="25">
        <v>768</v>
      </c>
      <c r="F186" s="25">
        <v>432</v>
      </c>
      <c r="H186" s="60"/>
      <c r="I186" s="57" t="str">
        <f t="shared" si="72"/>
        <v>768432</v>
      </c>
      <c r="M186"/>
    </row>
    <row r="187" spans="1:184" hidden="1">
      <c r="A187" s="57" t="str">
        <f t="shared" si="70"/>
        <v>balanced quietCPP_3SD</v>
      </c>
      <c r="B187" s="57" t="str">
        <f t="shared" si="71"/>
        <v>balanced quietCPP_3704288</v>
      </c>
      <c r="C187" s="71" t="s">
        <v>612</v>
      </c>
      <c r="D187" s="25" t="s">
        <v>587</v>
      </c>
      <c r="E187" s="25">
        <v>704</v>
      </c>
      <c r="F187" s="25">
        <v>288</v>
      </c>
      <c r="H187" s="60"/>
      <c r="I187" s="57" t="str">
        <f t="shared" si="72"/>
        <v>704288</v>
      </c>
      <c r="M187"/>
    </row>
    <row r="188" spans="1:184" hidden="1">
      <c r="A188" s="57" t="str">
        <f t="shared" si="70"/>
        <v>balanced quietCPP_4SD</v>
      </c>
      <c r="B188" s="57" t="str">
        <f t="shared" si="71"/>
        <v>balanced quietCPP_4704288</v>
      </c>
      <c r="C188" s="71" t="s">
        <v>612</v>
      </c>
      <c r="D188" s="25" t="s">
        <v>586</v>
      </c>
      <c r="E188" s="25">
        <v>704</v>
      </c>
      <c r="F188" s="25">
        <v>288</v>
      </c>
      <c r="H188" s="60"/>
      <c r="I188" s="57" t="str">
        <f t="shared" si="72"/>
        <v>704288</v>
      </c>
      <c r="M188"/>
    </row>
    <row r="189" spans="1:184" hidden="1">
      <c r="A189" s="57" t="str">
        <f t="shared" si="70"/>
        <v>balanced quietCPP_5SD</v>
      </c>
      <c r="B189" s="57" t="str">
        <f t="shared" si="71"/>
        <v>balanced quietCPP_5704288</v>
      </c>
      <c r="C189" s="71" t="s">
        <v>612</v>
      </c>
      <c r="D189" s="25" t="s">
        <v>585</v>
      </c>
      <c r="E189" s="25">
        <v>704</v>
      </c>
      <c r="F189" s="25">
        <v>288</v>
      </c>
      <c r="H189" s="60"/>
      <c r="I189" s="57" t="str">
        <f t="shared" si="72"/>
        <v>704288</v>
      </c>
      <c r="M189"/>
    </row>
    <row r="190" spans="1:184" hidden="1">
      <c r="A190" s="57" t="str">
        <f t="shared" si="70"/>
        <v>balanced quietCPP_6SD</v>
      </c>
      <c r="B190" s="57" t="str">
        <f t="shared" si="71"/>
        <v>balanced quietCPP_6768432</v>
      </c>
      <c r="C190" s="71" t="s">
        <v>612</v>
      </c>
      <c r="D190" s="25" t="s">
        <v>584</v>
      </c>
      <c r="E190" s="25">
        <v>768</v>
      </c>
      <c r="F190" s="25">
        <v>432</v>
      </c>
      <c r="H190" s="60"/>
      <c r="I190" s="57" t="str">
        <f t="shared" si="72"/>
        <v>768432</v>
      </c>
      <c r="M190"/>
    </row>
    <row r="191" spans="1:184" hidden="1">
      <c r="A191" s="57" t="str">
        <f t="shared" si="70"/>
        <v>balanced quietCPP_7SD</v>
      </c>
      <c r="B191" s="57" t="str">
        <f t="shared" si="71"/>
        <v>balanced quietCPP_7768432</v>
      </c>
      <c r="C191" s="71" t="s">
        <v>612</v>
      </c>
      <c r="D191" s="25" t="s">
        <v>583</v>
      </c>
      <c r="E191" s="25">
        <v>768</v>
      </c>
      <c r="F191" s="25">
        <v>432</v>
      </c>
      <c r="H191" s="60"/>
      <c r="I191" s="57" t="str">
        <f t="shared" si="72"/>
        <v>768432</v>
      </c>
      <c r="M191"/>
    </row>
    <row r="192" spans="1:184" hidden="1">
      <c r="A192" s="57" t="str">
        <f t="shared" si="70"/>
        <v>balanced quietCPP_7_3SD</v>
      </c>
      <c r="B192" s="57" t="str">
        <f t="shared" si="71"/>
        <v>balanced quietCPP_7_3768432</v>
      </c>
      <c r="C192" s="71" t="s">
        <v>612</v>
      </c>
      <c r="D192" s="25" t="s">
        <v>582</v>
      </c>
      <c r="E192" s="25">
        <v>768</v>
      </c>
      <c r="F192" s="25">
        <v>432</v>
      </c>
      <c r="H192" s="60"/>
      <c r="I192" s="57" t="str">
        <f t="shared" si="72"/>
        <v>768432</v>
      </c>
      <c r="M192"/>
    </row>
    <row r="193" spans="1:13" hidden="1">
      <c r="A193" s="57" t="str">
        <f t="shared" si="70"/>
        <v>balanced standardCPP_3SD</v>
      </c>
      <c r="B193" s="57" t="str">
        <f t="shared" si="71"/>
        <v>balanced standardCPP_3704288</v>
      </c>
      <c r="C193" s="71" t="s">
        <v>599</v>
      </c>
      <c r="D193" s="25" t="s">
        <v>587</v>
      </c>
      <c r="E193" s="25">
        <v>704</v>
      </c>
      <c r="F193" s="25">
        <v>288</v>
      </c>
      <c r="H193" s="60"/>
      <c r="I193" s="57" t="str">
        <f t="shared" si="72"/>
        <v>704288</v>
      </c>
      <c r="M193"/>
    </row>
    <row r="194" spans="1:13" hidden="1">
      <c r="A194" s="57" t="str">
        <f t="shared" si="70"/>
        <v>balanced standardCPP_4SD</v>
      </c>
      <c r="B194" s="57" t="str">
        <f t="shared" si="71"/>
        <v>balanced standardCPP_4704288</v>
      </c>
      <c r="C194" s="71" t="s">
        <v>599</v>
      </c>
      <c r="D194" s="25" t="s">
        <v>586</v>
      </c>
      <c r="E194" s="25">
        <v>704</v>
      </c>
      <c r="F194" s="25">
        <v>288</v>
      </c>
      <c r="H194" s="60"/>
      <c r="I194" s="57" t="str">
        <f t="shared" si="72"/>
        <v>704288</v>
      </c>
      <c r="M194"/>
    </row>
    <row r="195" spans="1:13" hidden="1">
      <c r="A195" s="57" t="str">
        <f t="shared" si="70"/>
        <v>balanced standardCPP_5SD</v>
      </c>
      <c r="B195" s="57" t="str">
        <f t="shared" si="71"/>
        <v>balanced standardCPP_5704288</v>
      </c>
      <c r="C195" s="71" t="s">
        <v>599</v>
      </c>
      <c r="D195" s="25" t="s">
        <v>585</v>
      </c>
      <c r="E195" s="25">
        <v>704</v>
      </c>
      <c r="F195" s="25">
        <v>288</v>
      </c>
      <c r="G195" s="180">
        <v>2000000</v>
      </c>
      <c r="H195" s="180">
        <v>2000000</v>
      </c>
      <c r="I195" s="57" t="str">
        <f t="shared" si="72"/>
        <v>704288</v>
      </c>
      <c r="M195"/>
    </row>
    <row r="196" spans="1:13" hidden="1">
      <c r="A196" s="57" t="str">
        <f t="shared" si="70"/>
        <v>balanced standardCPP_6SD</v>
      </c>
      <c r="B196" s="57" t="str">
        <f t="shared" si="71"/>
        <v>balanced standardCPP_6768432</v>
      </c>
      <c r="C196" s="71" t="s">
        <v>599</v>
      </c>
      <c r="D196" s="25" t="s">
        <v>584</v>
      </c>
      <c r="E196" s="25">
        <v>768</v>
      </c>
      <c r="F196" s="25">
        <v>432</v>
      </c>
      <c r="H196" s="60"/>
      <c r="I196" s="57" t="str">
        <f t="shared" si="72"/>
        <v>768432</v>
      </c>
      <c r="M196"/>
    </row>
    <row r="197" spans="1:13" hidden="1">
      <c r="A197" s="57" t="str">
        <f t="shared" si="70"/>
        <v>balanced standardCPP_7SD</v>
      </c>
      <c r="B197" s="57" t="str">
        <f t="shared" si="71"/>
        <v>balanced standardCPP_7768432</v>
      </c>
      <c r="C197" s="71" t="s">
        <v>599</v>
      </c>
      <c r="D197" s="25" t="s">
        <v>583</v>
      </c>
      <c r="E197" s="25">
        <v>768</v>
      </c>
      <c r="F197" s="25">
        <v>432</v>
      </c>
      <c r="H197" s="60"/>
      <c r="I197" s="57" t="str">
        <f t="shared" si="72"/>
        <v>768432</v>
      </c>
      <c r="M197"/>
    </row>
    <row r="198" spans="1:13" hidden="1">
      <c r="A198" s="57" t="str">
        <f t="shared" si="70"/>
        <v>balanced standardCPP_7_3SD</v>
      </c>
      <c r="B198" s="57" t="str">
        <f t="shared" si="71"/>
        <v>balanced standardCPP_7_3768432</v>
      </c>
      <c r="C198" s="71" t="s">
        <v>599</v>
      </c>
      <c r="D198" s="25" t="s">
        <v>582</v>
      </c>
      <c r="E198" s="25">
        <v>768</v>
      </c>
      <c r="F198" s="25">
        <v>432</v>
      </c>
      <c r="H198" s="60"/>
      <c r="I198" s="57" t="str">
        <f t="shared" si="72"/>
        <v>768432</v>
      </c>
      <c r="M198"/>
    </row>
    <row r="199" spans="1:13" hidden="1">
      <c r="A199" s="57" t="str">
        <f t="shared" si="70"/>
        <v>balanced busyCPP_3SD</v>
      </c>
      <c r="B199" s="57" t="str">
        <f t="shared" si="71"/>
        <v>balanced busyCPP_3704288</v>
      </c>
      <c r="C199" s="71" t="s">
        <v>609</v>
      </c>
      <c r="D199" s="25" t="s">
        <v>587</v>
      </c>
      <c r="E199" s="25">
        <v>704</v>
      </c>
      <c r="F199" s="25">
        <v>288</v>
      </c>
      <c r="H199" s="60"/>
      <c r="I199" s="57" t="str">
        <f t="shared" si="72"/>
        <v>704288</v>
      </c>
      <c r="M199"/>
    </row>
    <row r="200" spans="1:13" hidden="1">
      <c r="A200" s="57" t="str">
        <f t="shared" si="70"/>
        <v>balanced busyCPP_4SD</v>
      </c>
      <c r="B200" s="57" t="str">
        <f t="shared" si="71"/>
        <v>balanced busyCPP_4704288</v>
      </c>
      <c r="C200" s="71" t="s">
        <v>609</v>
      </c>
      <c r="D200" s="25" t="s">
        <v>586</v>
      </c>
      <c r="E200" s="25">
        <v>704</v>
      </c>
      <c r="F200" s="25">
        <v>288</v>
      </c>
      <c r="H200" s="60"/>
      <c r="I200" s="57" t="str">
        <f t="shared" si="72"/>
        <v>704288</v>
      </c>
      <c r="M200"/>
    </row>
    <row r="201" spans="1:13" hidden="1">
      <c r="A201" s="57" t="str">
        <f t="shared" si="70"/>
        <v>balanced busyCPP_5SD</v>
      </c>
      <c r="B201" s="57" t="str">
        <f t="shared" si="71"/>
        <v>balanced busyCPP_5704288</v>
      </c>
      <c r="C201" s="71" t="s">
        <v>609</v>
      </c>
      <c r="D201" s="25" t="s">
        <v>585</v>
      </c>
      <c r="E201" s="25">
        <v>704</v>
      </c>
      <c r="F201" s="25">
        <v>288</v>
      </c>
      <c r="G201" s="180">
        <v>2000000</v>
      </c>
      <c r="H201" s="180">
        <v>2000000</v>
      </c>
      <c r="I201" s="57" t="str">
        <f t="shared" si="72"/>
        <v>704288</v>
      </c>
      <c r="M201"/>
    </row>
    <row r="202" spans="1:13" hidden="1">
      <c r="A202" s="57" t="str">
        <f t="shared" si="70"/>
        <v>balanced busyCPP_6SD</v>
      </c>
      <c r="B202" s="57" t="str">
        <f t="shared" si="71"/>
        <v>balanced busyCPP_6768432</v>
      </c>
      <c r="C202" s="71" t="s">
        <v>609</v>
      </c>
      <c r="D202" s="25" t="s">
        <v>584</v>
      </c>
      <c r="E202" s="25">
        <v>768</v>
      </c>
      <c r="F202" s="25">
        <v>432</v>
      </c>
      <c r="H202" s="60"/>
      <c r="I202" s="57" t="str">
        <f t="shared" si="72"/>
        <v>768432</v>
      </c>
      <c r="M202"/>
    </row>
    <row r="203" spans="1:13" hidden="1">
      <c r="A203" s="57" t="str">
        <f t="shared" si="70"/>
        <v>balanced busyCPP_7SD</v>
      </c>
      <c r="B203" s="57" t="str">
        <f t="shared" si="71"/>
        <v>balanced busyCPP_7768432</v>
      </c>
      <c r="C203" s="71" t="s">
        <v>609</v>
      </c>
      <c r="D203" s="25" t="s">
        <v>583</v>
      </c>
      <c r="E203" s="25">
        <v>768</v>
      </c>
      <c r="F203" s="25">
        <v>432</v>
      </c>
      <c r="H203" s="60"/>
      <c r="I203" s="57" t="str">
        <f t="shared" si="72"/>
        <v>768432</v>
      </c>
      <c r="M203"/>
    </row>
    <row r="204" spans="1:13" hidden="1">
      <c r="A204" s="57" t="str">
        <f t="shared" si="70"/>
        <v>balanced busyCPP_7_3SD</v>
      </c>
      <c r="B204" s="57" t="str">
        <f t="shared" si="71"/>
        <v>balanced busyCPP_7_3768432</v>
      </c>
      <c r="C204" s="71" t="s">
        <v>609</v>
      </c>
      <c r="D204" s="25" t="s">
        <v>582</v>
      </c>
      <c r="E204" s="25">
        <v>768</v>
      </c>
      <c r="F204" s="25">
        <v>432</v>
      </c>
      <c r="H204" s="60"/>
      <c r="I204" s="57" t="str">
        <f t="shared" si="72"/>
        <v>768432</v>
      </c>
      <c r="M204"/>
    </row>
    <row r="205" spans="1:13" hidden="1">
      <c r="A205" s="57" t="str">
        <f t="shared" si="70"/>
        <v>image optimized quietCPP_3SD</v>
      </c>
      <c r="B205" s="57" t="str">
        <f t="shared" si="71"/>
        <v>image optimized quietCPP_3704576</v>
      </c>
      <c r="C205" s="71" t="s">
        <v>607</v>
      </c>
      <c r="D205" s="32" t="s">
        <v>587</v>
      </c>
      <c r="E205" s="25">
        <v>704</v>
      </c>
      <c r="F205" s="25">
        <v>576</v>
      </c>
      <c r="G205" s="180">
        <v>4858053</v>
      </c>
      <c r="H205" s="180">
        <v>6000000</v>
      </c>
      <c r="I205" s="57" t="str">
        <f t="shared" si="72"/>
        <v>704576</v>
      </c>
      <c r="M205"/>
    </row>
    <row r="206" spans="1:13" hidden="1">
      <c r="A206" s="57" t="str">
        <f t="shared" si="70"/>
        <v>image optimized quietCPP_4SD</v>
      </c>
      <c r="B206" s="57" t="str">
        <f t="shared" si="71"/>
        <v>image optimized quietCPP_4704576</v>
      </c>
      <c r="C206" s="71" t="s">
        <v>607</v>
      </c>
      <c r="D206" s="25" t="s">
        <v>586</v>
      </c>
      <c r="E206" s="25">
        <v>704</v>
      </c>
      <c r="F206" s="25">
        <v>576</v>
      </c>
      <c r="G206" s="180">
        <v>2859061</v>
      </c>
      <c r="H206" s="180">
        <v>5718122</v>
      </c>
      <c r="I206" s="57" t="str">
        <f t="shared" si="72"/>
        <v>704576</v>
      </c>
      <c r="M206"/>
    </row>
    <row r="207" spans="1:13" hidden="1">
      <c r="A207" s="57" t="str">
        <f t="shared" si="70"/>
        <v>image optimized quietCPP_5SD</v>
      </c>
      <c r="B207" s="57" t="str">
        <f t="shared" si="71"/>
        <v>image optimized quietCPP_5704576</v>
      </c>
      <c r="C207" s="71" t="s">
        <v>607</v>
      </c>
      <c r="D207" s="25" t="s">
        <v>585</v>
      </c>
      <c r="E207" s="25">
        <v>704</v>
      </c>
      <c r="F207" s="25">
        <v>576</v>
      </c>
      <c r="G207" s="180">
        <v>2000000</v>
      </c>
      <c r="H207" s="180">
        <v>2000000</v>
      </c>
      <c r="I207" s="57" t="str">
        <f t="shared" si="72"/>
        <v>704576</v>
      </c>
      <c r="M207"/>
    </row>
    <row r="208" spans="1:13" hidden="1">
      <c r="A208" s="57" t="str">
        <f t="shared" si="70"/>
        <v>image optimized quietCPP_6SD</v>
      </c>
      <c r="B208" s="57" t="str">
        <f t="shared" si="71"/>
        <v>image optimized quietCPP_6768432</v>
      </c>
      <c r="C208" s="71" t="s">
        <v>607</v>
      </c>
      <c r="D208" s="25" t="s">
        <v>584</v>
      </c>
      <c r="E208" s="25">
        <v>768</v>
      </c>
      <c r="F208" s="25">
        <v>432</v>
      </c>
      <c r="H208" s="60"/>
      <c r="I208" s="57" t="str">
        <f t="shared" si="72"/>
        <v>768432</v>
      </c>
      <c r="M208"/>
    </row>
    <row r="209" spans="1:13" hidden="1">
      <c r="A209" s="57" t="str">
        <f t="shared" si="70"/>
        <v>image optimized quietCPP_7SD</v>
      </c>
      <c r="B209" s="57" t="str">
        <f t="shared" si="71"/>
        <v>image optimized quietCPP_7768432</v>
      </c>
      <c r="C209" s="71" t="s">
        <v>607</v>
      </c>
      <c r="D209" s="25" t="s">
        <v>583</v>
      </c>
      <c r="E209" s="25">
        <v>768</v>
      </c>
      <c r="F209" s="25">
        <v>432</v>
      </c>
      <c r="H209" s="60"/>
      <c r="I209" s="57" t="str">
        <f t="shared" si="72"/>
        <v>768432</v>
      </c>
      <c r="M209"/>
    </row>
    <row r="210" spans="1:13" hidden="1">
      <c r="A210" s="57" t="str">
        <f t="shared" si="70"/>
        <v>image optimized quietCPP_7_3SD</v>
      </c>
      <c r="B210" s="57" t="str">
        <f t="shared" si="71"/>
        <v>image optimized quietCPP_7_3768432</v>
      </c>
      <c r="C210" s="71" t="s">
        <v>607</v>
      </c>
      <c r="D210" s="25" t="s">
        <v>582</v>
      </c>
      <c r="E210" s="25">
        <v>768</v>
      </c>
      <c r="F210" s="25">
        <v>432</v>
      </c>
      <c r="H210" s="60"/>
      <c r="I210" s="57" t="str">
        <f t="shared" si="72"/>
        <v>768432</v>
      </c>
      <c r="M210"/>
    </row>
    <row r="211" spans="1:13" hidden="1">
      <c r="A211" s="57" t="str">
        <f t="shared" si="70"/>
        <v>image optimized standardCPP_3SD</v>
      </c>
      <c r="B211" s="57" t="str">
        <f t="shared" si="71"/>
        <v>image optimized standardCPP_3704576</v>
      </c>
      <c r="C211" s="71" t="s">
        <v>605</v>
      </c>
      <c r="D211" s="32" t="s">
        <v>587</v>
      </c>
      <c r="E211" s="25">
        <v>704</v>
      </c>
      <c r="F211" s="25">
        <v>576</v>
      </c>
      <c r="G211" s="180">
        <v>5294.51</v>
      </c>
      <c r="H211" s="180">
        <v>6000</v>
      </c>
      <c r="I211" s="57" t="str">
        <f t="shared" si="72"/>
        <v>704576</v>
      </c>
      <c r="M211"/>
    </row>
    <row r="212" spans="1:13" hidden="1">
      <c r="A212" s="57" t="str">
        <f t="shared" si="70"/>
        <v>image optimized standardCPP_4SD</v>
      </c>
      <c r="B212" s="57" t="str">
        <f t="shared" si="71"/>
        <v>image optimized standardCPP_4704576</v>
      </c>
      <c r="C212" s="71" t="s">
        <v>605</v>
      </c>
      <c r="D212" s="25" t="s">
        <v>586</v>
      </c>
      <c r="E212" s="25">
        <v>704</v>
      </c>
      <c r="F212" s="25">
        <v>576</v>
      </c>
      <c r="G212" s="180">
        <v>3355739</v>
      </c>
      <c r="H212" s="180">
        <v>6711477</v>
      </c>
      <c r="I212" s="57" t="str">
        <f t="shared" si="72"/>
        <v>704576</v>
      </c>
      <c r="M212"/>
    </row>
    <row r="213" spans="1:13" hidden="1">
      <c r="A213" s="57" t="str">
        <f t="shared" si="70"/>
        <v>image optimized standardCPP_5SD</v>
      </c>
      <c r="B213" s="57" t="str">
        <f t="shared" si="71"/>
        <v>image optimized standardCPP_5704576</v>
      </c>
      <c r="C213" s="71" t="s">
        <v>605</v>
      </c>
      <c r="D213" s="25" t="s">
        <v>585</v>
      </c>
      <c r="E213" s="25">
        <v>704</v>
      </c>
      <c r="F213" s="25">
        <v>576</v>
      </c>
      <c r="G213" s="180">
        <v>2000000</v>
      </c>
      <c r="H213" s="180">
        <v>2000000</v>
      </c>
      <c r="I213" s="57" t="str">
        <f t="shared" si="72"/>
        <v>704576</v>
      </c>
      <c r="M213"/>
    </row>
    <row r="214" spans="1:13" hidden="1">
      <c r="A214" s="57" t="str">
        <f t="shared" si="70"/>
        <v>image optimized standardCPP_6SD</v>
      </c>
      <c r="B214" s="57" t="str">
        <f t="shared" si="71"/>
        <v>image optimized standardCPP_6768432</v>
      </c>
      <c r="C214" s="71" t="s">
        <v>605</v>
      </c>
      <c r="D214" s="25" t="s">
        <v>584</v>
      </c>
      <c r="E214" s="25">
        <v>768</v>
      </c>
      <c r="F214" s="25">
        <v>432</v>
      </c>
      <c r="H214" s="60"/>
      <c r="I214" s="57" t="str">
        <f t="shared" si="72"/>
        <v>768432</v>
      </c>
      <c r="M214"/>
    </row>
    <row r="215" spans="1:13" hidden="1">
      <c r="A215" s="57" t="str">
        <f t="shared" si="70"/>
        <v>image optimized standardCPP_7SD</v>
      </c>
      <c r="B215" s="57" t="str">
        <f t="shared" si="71"/>
        <v>image optimized standardCPP_7768432</v>
      </c>
      <c r="C215" s="71" t="s">
        <v>605</v>
      </c>
      <c r="D215" s="25" t="s">
        <v>583</v>
      </c>
      <c r="E215" s="25">
        <v>768</v>
      </c>
      <c r="F215" s="25">
        <v>432</v>
      </c>
      <c r="H215" s="60"/>
      <c r="I215" s="57" t="str">
        <f t="shared" si="72"/>
        <v>768432</v>
      </c>
      <c r="M215"/>
    </row>
    <row r="216" spans="1:13" hidden="1">
      <c r="A216" s="57" t="str">
        <f t="shared" si="70"/>
        <v>image optimized standardCPP_7_3SD</v>
      </c>
      <c r="B216" s="57" t="str">
        <f t="shared" si="71"/>
        <v>image optimized standardCPP_7_3768432</v>
      </c>
      <c r="C216" s="71" t="s">
        <v>605</v>
      </c>
      <c r="D216" s="25" t="s">
        <v>582</v>
      </c>
      <c r="E216" s="25">
        <v>768</v>
      </c>
      <c r="F216" s="25">
        <v>432</v>
      </c>
      <c r="H216" s="60"/>
      <c r="I216" s="57" t="str">
        <f t="shared" si="72"/>
        <v>768432</v>
      </c>
      <c r="M216"/>
    </row>
    <row r="217" spans="1:13" hidden="1">
      <c r="A217" s="57" t="str">
        <f t="shared" si="70"/>
        <v>image optimized busyCPP_3SD</v>
      </c>
      <c r="B217" s="57" t="str">
        <f t="shared" si="71"/>
        <v>image optimized busyCPP_3704576</v>
      </c>
      <c r="C217" s="71" t="s">
        <v>603</v>
      </c>
      <c r="D217" s="32" t="s">
        <v>587</v>
      </c>
      <c r="E217" s="25">
        <v>704</v>
      </c>
      <c r="F217" s="25">
        <v>576</v>
      </c>
      <c r="G217" s="180">
        <v>6000</v>
      </c>
      <c r="H217" s="180">
        <v>6000</v>
      </c>
      <c r="I217" s="57" t="str">
        <f t="shared" si="72"/>
        <v>704576</v>
      </c>
      <c r="M217"/>
    </row>
    <row r="218" spans="1:13" hidden="1">
      <c r="A218" s="57" t="str">
        <f t="shared" si="70"/>
        <v>image optimized busyCPP_4SD</v>
      </c>
      <c r="B218" s="57" t="str">
        <f t="shared" si="71"/>
        <v>image optimized busyCPP_4704576</v>
      </c>
      <c r="C218" s="71" t="s">
        <v>603</v>
      </c>
      <c r="D218" s="25" t="s">
        <v>586</v>
      </c>
      <c r="E218" s="25">
        <v>704</v>
      </c>
      <c r="F218" s="25">
        <v>576</v>
      </c>
      <c r="G218" s="180">
        <v>4614387</v>
      </c>
      <c r="H218" s="180">
        <v>92282775</v>
      </c>
      <c r="I218" s="57" t="str">
        <f t="shared" si="72"/>
        <v>704576</v>
      </c>
      <c r="M218"/>
    </row>
    <row r="219" spans="1:13" hidden="1">
      <c r="A219" s="57" t="str">
        <f t="shared" si="70"/>
        <v>image optimized busyCPP_5SD</v>
      </c>
      <c r="B219" s="57" t="str">
        <f t="shared" si="71"/>
        <v>image optimized busyCPP_5704576</v>
      </c>
      <c r="C219" s="71" t="s">
        <v>603</v>
      </c>
      <c r="D219" s="25" t="s">
        <v>585</v>
      </c>
      <c r="E219" s="25">
        <v>704</v>
      </c>
      <c r="F219" s="25">
        <v>576</v>
      </c>
      <c r="G219" s="180">
        <v>2000000</v>
      </c>
      <c r="H219" s="180">
        <v>2000000</v>
      </c>
      <c r="I219" s="57" t="str">
        <f t="shared" si="72"/>
        <v>704576</v>
      </c>
      <c r="M219"/>
    </row>
    <row r="220" spans="1:13" hidden="1">
      <c r="A220" s="57" t="str">
        <f t="shared" si="70"/>
        <v>image optimized busyCPP_6SD</v>
      </c>
      <c r="B220" s="57" t="str">
        <f t="shared" si="71"/>
        <v>image optimized busyCPP_6768432</v>
      </c>
      <c r="C220" s="71" t="s">
        <v>603</v>
      </c>
      <c r="D220" s="25" t="s">
        <v>584</v>
      </c>
      <c r="E220" s="25">
        <v>768</v>
      </c>
      <c r="F220" s="25">
        <v>432</v>
      </c>
      <c r="I220" s="57" t="str">
        <f t="shared" si="72"/>
        <v>768432</v>
      </c>
      <c r="M220"/>
    </row>
    <row r="221" spans="1:13" hidden="1">
      <c r="A221" s="57" t="str">
        <f t="shared" si="70"/>
        <v>image optimized busyCPP_7SD</v>
      </c>
      <c r="B221" s="57" t="str">
        <f t="shared" si="71"/>
        <v>image optimized busyCPP_7768432</v>
      </c>
      <c r="C221" s="71" t="s">
        <v>603</v>
      </c>
      <c r="D221" s="25" t="s">
        <v>583</v>
      </c>
      <c r="E221" s="25">
        <v>768</v>
      </c>
      <c r="F221" s="25">
        <v>432</v>
      </c>
      <c r="I221" s="57" t="str">
        <f t="shared" si="72"/>
        <v>768432</v>
      </c>
      <c r="M221"/>
    </row>
    <row r="222" spans="1:13" hidden="1">
      <c r="A222" s="57" t="str">
        <f t="shared" si="70"/>
        <v>image optimized busyCPP_7_3SD</v>
      </c>
      <c r="B222" s="57" t="str">
        <f t="shared" si="71"/>
        <v>image optimized busyCPP_7_3768432</v>
      </c>
      <c r="C222" s="71" t="s">
        <v>603</v>
      </c>
      <c r="D222" s="25" t="s">
        <v>582</v>
      </c>
      <c r="E222" s="25">
        <v>768</v>
      </c>
      <c r="F222" s="25">
        <v>432</v>
      </c>
      <c r="H222" s="60"/>
      <c r="I222" s="57" t="str">
        <f t="shared" si="72"/>
        <v>768432</v>
      </c>
      <c r="M222"/>
    </row>
    <row r="223" spans="1:13" hidden="1">
      <c r="A223" s="57" t="str">
        <f t="shared" si="70"/>
        <v>PTZ optimizedCPP_3SD</v>
      </c>
      <c r="B223" s="57" t="str">
        <f t="shared" si="71"/>
        <v>PTZ optimizedCPP_3704576</v>
      </c>
      <c r="C223" s="60" t="s">
        <v>601</v>
      </c>
      <c r="D223" s="32" t="s">
        <v>587</v>
      </c>
      <c r="E223" s="25">
        <v>704</v>
      </c>
      <c r="F223" s="25">
        <v>576</v>
      </c>
      <c r="G223" s="180">
        <v>6000</v>
      </c>
      <c r="H223" s="180">
        <v>6000</v>
      </c>
      <c r="I223" s="57" t="str">
        <f t="shared" si="72"/>
        <v>704576</v>
      </c>
      <c r="M223"/>
    </row>
    <row r="224" spans="1:13" hidden="1">
      <c r="A224" s="57" t="str">
        <f t="shared" si="70"/>
        <v>PTZ optimizedCPP_4SD</v>
      </c>
      <c r="C224" s="60" t="s">
        <v>601</v>
      </c>
      <c r="D224" s="25" t="s">
        <v>586</v>
      </c>
      <c r="E224" s="25">
        <v>704</v>
      </c>
      <c r="F224" s="25">
        <v>576</v>
      </c>
      <c r="G224" s="180">
        <v>4614387</v>
      </c>
      <c r="H224" s="180">
        <v>92282775</v>
      </c>
      <c r="I224" s="57" t="str">
        <f t="shared" si="72"/>
        <v>704576</v>
      </c>
      <c r="M224"/>
    </row>
    <row r="225" spans="1:15" hidden="1">
      <c r="A225" s="57" t="str">
        <f t="shared" si="70"/>
        <v>PTZ optimizedCPP_5SD</v>
      </c>
      <c r="C225" s="60" t="s">
        <v>601</v>
      </c>
      <c r="D225" s="25" t="s">
        <v>585</v>
      </c>
      <c r="E225" s="25">
        <v>704</v>
      </c>
      <c r="F225" s="25">
        <v>576</v>
      </c>
      <c r="G225" s="180">
        <v>2000000</v>
      </c>
      <c r="H225" s="180">
        <v>2000000</v>
      </c>
      <c r="I225" s="57" t="str">
        <f t="shared" si="72"/>
        <v>704576</v>
      </c>
      <c r="M225"/>
    </row>
    <row r="226" spans="1:15" hidden="1">
      <c r="A226" s="57" t="str">
        <f t="shared" si="70"/>
        <v>PTZ optimizedCPP_6SD</v>
      </c>
      <c r="C226" s="60" t="s">
        <v>601</v>
      </c>
      <c r="D226" s="25" t="s">
        <v>584</v>
      </c>
      <c r="E226" s="25">
        <v>768</v>
      </c>
      <c r="F226" s="25">
        <v>432</v>
      </c>
      <c r="I226" s="57" t="str">
        <f t="shared" si="72"/>
        <v>768432</v>
      </c>
      <c r="M226"/>
    </row>
    <row r="227" spans="1:15" hidden="1">
      <c r="A227" s="57" t="str">
        <f t="shared" si="70"/>
        <v>PTZ optimizedCPP_7SD</v>
      </c>
      <c r="C227" s="60" t="s">
        <v>601</v>
      </c>
      <c r="D227" s="25" t="s">
        <v>583</v>
      </c>
      <c r="E227" s="25">
        <v>768</v>
      </c>
      <c r="F227" s="25">
        <v>432</v>
      </c>
      <c r="I227" s="57" t="str">
        <f t="shared" si="72"/>
        <v>768432</v>
      </c>
      <c r="M227"/>
    </row>
    <row r="228" spans="1:15" hidden="1">
      <c r="A228" s="57" t="str">
        <f t="shared" si="70"/>
        <v>PTZ optimizedCPP_7_3SD</v>
      </c>
      <c r="C228" s="60" t="s">
        <v>601</v>
      </c>
      <c r="D228" s="25" t="s">
        <v>582</v>
      </c>
      <c r="E228" s="25">
        <v>768</v>
      </c>
      <c r="F228" s="25">
        <v>432</v>
      </c>
      <c r="H228" s="60"/>
      <c r="I228" s="57" t="str">
        <f t="shared" si="72"/>
        <v>768432</v>
      </c>
      <c r="M228"/>
    </row>
    <row r="229" spans="1:15" hidden="1">
      <c r="C229" s="60"/>
      <c r="H229" s="60"/>
      <c r="I229" s="60"/>
      <c r="M229"/>
    </row>
    <row r="230" spans="1:15" hidden="1">
      <c r="C230" s="60"/>
      <c r="H230" s="60"/>
      <c r="I230" s="60"/>
      <c r="M230"/>
    </row>
    <row r="231" spans="1:15" hidden="1">
      <c r="C231" s="60"/>
      <c r="H231" s="60"/>
      <c r="I231" s="60"/>
      <c r="K231" s="71" t="s">
        <v>628</v>
      </c>
      <c r="L231" s="71" t="s">
        <v>110</v>
      </c>
      <c r="M231" s="71">
        <v>19201080</v>
      </c>
      <c r="N231" s="71">
        <v>1920</v>
      </c>
      <c r="O231" s="71">
        <v>1080</v>
      </c>
    </row>
    <row r="232" spans="1:15" hidden="1">
      <c r="C232" s="60"/>
      <c r="H232" s="60"/>
      <c r="I232" s="60"/>
      <c r="K232" s="71" t="s">
        <v>626</v>
      </c>
      <c r="L232" s="71" t="s">
        <v>109</v>
      </c>
      <c r="M232" s="71">
        <v>1280720</v>
      </c>
      <c r="N232" s="71">
        <v>1280</v>
      </c>
      <c r="O232" s="71">
        <v>720</v>
      </c>
    </row>
    <row r="233" spans="1:15" hidden="1">
      <c r="C233" s="60"/>
      <c r="H233" s="60"/>
      <c r="I233" s="60"/>
      <c r="K233" s="71"/>
      <c r="L233" s="71" t="s">
        <v>111</v>
      </c>
      <c r="M233" s="71"/>
      <c r="N233" s="71"/>
      <c r="O233" s="71"/>
    </row>
    <row r="234" spans="1:15" hidden="1">
      <c r="C234" s="60"/>
      <c r="H234" s="60"/>
      <c r="I234" s="60"/>
      <c r="K234" s="71" t="s">
        <v>624</v>
      </c>
      <c r="L234" s="71" t="s">
        <v>623</v>
      </c>
      <c r="M234" s="71">
        <v>25921680</v>
      </c>
      <c r="N234" s="71">
        <v>2592</v>
      </c>
      <c r="O234" s="71">
        <v>1680</v>
      </c>
    </row>
    <row r="235" spans="1:15" hidden="1">
      <c r="C235" s="60"/>
      <c r="H235" s="60"/>
      <c r="I235" s="60"/>
      <c r="K235" s="71" t="s">
        <v>194</v>
      </c>
      <c r="L235" s="71" t="s">
        <v>622</v>
      </c>
      <c r="M235" s="71">
        <v>38402160</v>
      </c>
      <c r="N235" s="71">
        <v>3840</v>
      </c>
      <c r="O235" s="71">
        <v>2160</v>
      </c>
    </row>
    <row r="236" spans="1:15" hidden="1">
      <c r="C236" s="60"/>
      <c r="H236" s="60"/>
      <c r="I236" s="60"/>
      <c r="K236" s="71" t="s">
        <v>195</v>
      </c>
      <c r="L236" s="71" t="s">
        <v>621</v>
      </c>
      <c r="M236" s="71">
        <v>40003000</v>
      </c>
      <c r="N236" s="71">
        <v>4000</v>
      </c>
      <c r="O236" s="71">
        <v>3000</v>
      </c>
    </row>
    <row r="237" spans="1:15" hidden="1">
      <c r="C237" s="60"/>
      <c r="H237" s="60"/>
      <c r="I237" s="60"/>
      <c r="M237"/>
    </row>
    <row r="238" spans="1:15" hidden="1">
      <c r="C238" s="60"/>
      <c r="H238" s="60"/>
      <c r="I238" s="60"/>
      <c r="M238"/>
    </row>
    <row r="239" spans="1:15" hidden="1">
      <c r="C239" s="60"/>
      <c r="H239" s="60"/>
      <c r="I239" s="60"/>
      <c r="M239"/>
    </row>
    <row r="240" spans="1:15" hidden="1">
      <c r="C240" s="60"/>
      <c r="H240" s="60"/>
      <c r="I240" s="60"/>
      <c r="M240"/>
    </row>
    <row r="241" spans="3:13" hidden="1">
      <c r="C241" s="60"/>
      <c r="H241" s="60"/>
      <c r="I241" s="60"/>
      <c r="M241"/>
    </row>
    <row r="242" spans="3:13" hidden="1">
      <c r="C242" s="60"/>
      <c r="H242" s="60"/>
      <c r="I242" s="60"/>
      <c r="M242"/>
    </row>
    <row r="243" spans="3:13" hidden="1">
      <c r="C243" s="60"/>
      <c r="H243" s="60"/>
      <c r="I243" s="60"/>
      <c r="M243"/>
    </row>
    <row r="244" spans="3:13" hidden="1">
      <c r="C244" s="60"/>
      <c r="H244" s="60"/>
      <c r="I244" s="60"/>
      <c r="M244"/>
    </row>
    <row r="245" spans="3:13" hidden="1">
      <c r="C245" s="60"/>
      <c r="H245" s="60"/>
      <c r="I245" s="60"/>
      <c r="M245"/>
    </row>
    <row r="246" spans="3:13" hidden="1">
      <c r="C246" s="60"/>
      <c r="H246" s="60"/>
      <c r="I246" s="60"/>
      <c r="M246"/>
    </row>
    <row r="247" spans="3:13" hidden="1">
      <c r="C247" s="60"/>
      <c r="H247" s="60"/>
      <c r="I247" s="60"/>
      <c r="M247"/>
    </row>
    <row r="248" spans="3:13" hidden="1">
      <c r="C248" s="60"/>
      <c r="H248" s="60"/>
      <c r="I248" s="60"/>
      <c r="M248"/>
    </row>
    <row r="249" spans="3:13" hidden="1">
      <c r="C249" s="60"/>
      <c r="H249" s="60"/>
      <c r="I249" s="60"/>
      <c r="M249"/>
    </row>
    <row r="250" spans="3:13" hidden="1">
      <c r="C250" s="60"/>
      <c r="H250" s="60"/>
      <c r="I250" s="60"/>
      <c r="M250"/>
    </row>
    <row r="251" spans="3:13" hidden="1">
      <c r="C251" s="60"/>
      <c r="H251" s="60"/>
      <c r="I251" s="60"/>
      <c r="M251"/>
    </row>
    <row r="252" spans="3:13" hidden="1">
      <c r="C252" s="60"/>
      <c r="H252" s="60"/>
      <c r="I252" s="60"/>
      <c r="M252"/>
    </row>
    <row r="253" spans="3:13">
      <c r="C253" s="60"/>
      <c r="H253" s="60"/>
      <c r="I253" s="60"/>
      <c r="M253"/>
    </row>
    <row r="254" spans="3:13">
      <c r="C254" s="60"/>
      <c r="M254"/>
    </row>
    <row r="255" spans="3:13">
      <c r="C255" s="60"/>
      <c r="M255"/>
    </row>
    <row r="256" spans="3:13">
      <c r="C256" s="60"/>
      <c r="H256" s="60"/>
      <c r="I256" s="60"/>
      <c r="M256"/>
    </row>
    <row r="257" spans="3:13">
      <c r="C257" s="60"/>
      <c r="H257" s="60"/>
      <c r="I257" s="60"/>
      <c r="M257"/>
    </row>
    <row r="258" spans="3:13">
      <c r="C258" s="60"/>
      <c r="H258" s="60"/>
      <c r="I258" s="60"/>
      <c r="M258"/>
    </row>
    <row r="259" spans="3:13">
      <c r="C259" s="60"/>
      <c r="H259" s="60"/>
      <c r="I259" s="60"/>
      <c r="M259"/>
    </row>
    <row r="260" spans="3:13">
      <c r="C260" s="60"/>
      <c r="H260" s="60"/>
      <c r="I260" s="60"/>
      <c r="M260"/>
    </row>
    <row r="261" spans="3:13">
      <c r="C261" s="60"/>
      <c r="H261" s="60"/>
      <c r="I261" s="60"/>
      <c r="M261"/>
    </row>
    <row r="262" spans="3:13">
      <c r="C262" s="60"/>
      <c r="H262" s="60"/>
      <c r="I262" s="60"/>
      <c r="M262"/>
    </row>
    <row r="263" spans="3:13">
      <c r="C263" s="60"/>
      <c r="H263" s="60"/>
      <c r="I263" s="60"/>
      <c r="M263"/>
    </row>
    <row r="264" spans="3:13">
      <c r="C264" s="60"/>
      <c r="H264" s="60"/>
      <c r="I264" s="60"/>
      <c r="M264"/>
    </row>
    <row r="265" spans="3:13">
      <c r="C265" s="60"/>
      <c r="H265" s="60"/>
      <c r="I265" s="60"/>
      <c r="M265"/>
    </row>
    <row r="266" spans="3:13">
      <c r="C266" s="60"/>
      <c r="H266" s="60"/>
      <c r="I266" s="60"/>
      <c r="M266"/>
    </row>
    <row r="267" spans="3:13">
      <c r="C267" s="60"/>
      <c r="H267" s="60"/>
      <c r="I267" s="60"/>
      <c r="M267"/>
    </row>
    <row r="268" spans="3:13">
      <c r="C268" s="60"/>
      <c r="H268" s="60"/>
      <c r="I268" s="60"/>
      <c r="M268"/>
    </row>
    <row r="269" spans="3:13">
      <c r="C269" s="60"/>
      <c r="H269" s="60"/>
      <c r="I269" s="60"/>
      <c r="M269"/>
    </row>
    <row r="270" spans="3:13">
      <c r="C270" s="60"/>
      <c r="H270" s="60"/>
      <c r="I270" s="60"/>
      <c r="M270"/>
    </row>
    <row r="271" spans="3:13">
      <c r="C271" s="60"/>
      <c r="H271" s="60"/>
      <c r="I271" s="60"/>
      <c r="M271"/>
    </row>
    <row r="272" spans="3:13">
      <c r="C272" s="60"/>
      <c r="H272" s="60"/>
      <c r="I272" s="60"/>
      <c r="M272"/>
    </row>
    <row r="273" spans="3:13">
      <c r="C273" s="60"/>
      <c r="H273" s="60"/>
      <c r="I273" s="60"/>
      <c r="M273"/>
    </row>
    <row r="274" spans="3:13">
      <c r="C274" s="60"/>
      <c r="H274" s="60"/>
      <c r="I274" s="60"/>
      <c r="M274"/>
    </row>
    <row r="275" spans="3:13">
      <c r="C275" s="60"/>
      <c r="H275" s="60"/>
      <c r="I275" s="60"/>
      <c r="M275"/>
    </row>
    <row r="276" spans="3:13">
      <c r="C276" s="60"/>
      <c r="H276" s="60"/>
      <c r="I276" s="60"/>
      <c r="M276"/>
    </row>
    <row r="277" spans="3:13">
      <c r="C277" s="60"/>
      <c r="H277" s="60"/>
      <c r="I277" s="60"/>
      <c r="M277"/>
    </row>
    <row r="278" spans="3:13">
      <c r="C278" s="60"/>
      <c r="H278" s="60"/>
      <c r="I278" s="60"/>
      <c r="M278"/>
    </row>
    <row r="279" spans="3:13">
      <c r="C279" s="60"/>
      <c r="H279" s="60"/>
      <c r="I279" s="60"/>
      <c r="M279"/>
    </row>
    <row r="280" spans="3:13">
      <c r="C280" s="60"/>
      <c r="H280" s="60"/>
      <c r="I280" s="60"/>
      <c r="M280"/>
    </row>
    <row r="281" spans="3:13">
      <c r="C281" s="60"/>
      <c r="H281" s="60"/>
      <c r="I281" s="60"/>
      <c r="M281"/>
    </row>
    <row r="282" spans="3:13">
      <c r="C282" s="60"/>
      <c r="H282" s="60"/>
      <c r="I282" s="60"/>
      <c r="M282"/>
    </row>
    <row r="283" spans="3:13">
      <c r="C283" s="60"/>
      <c r="H283" s="60"/>
      <c r="I283" s="60"/>
      <c r="M283"/>
    </row>
    <row r="284" spans="3:13">
      <c r="C284" s="60"/>
      <c r="H284" s="60"/>
      <c r="I284" s="60"/>
      <c r="M284"/>
    </row>
    <row r="285" spans="3:13">
      <c r="C285" s="60"/>
      <c r="H285" s="60"/>
      <c r="I285" s="60"/>
      <c r="M285"/>
    </row>
    <row r="286" spans="3:13">
      <c r="C286" s="60"/>
      <c r="H286" s="60"/>
      <c r="I286" s="60"/>
      <c r="M286"/>
    </row>
    <row r="287" spans="3:13">
      <c r="C287" s="60"/>
      <c r="H287" s="60"/>
      <c r="I287" s="60"/>
      <c r="M287"/>
    </row>
    <row r="288" spans="3:13">
      <c r="C288" s="60"/>
      <c r="M288"/>
    </row>
    <row r="289" spans="3:13">
      <c r="C289" s="60"/>
      <c r="M289"/>
    </row>
    <row r="290" spans="3:13">
      <c r="C290" s="60"/>
      <c r="H290" s="60"/>
      <c r="I290" s="60"/>
      <c r="M290"/>
    </row>
    <row r="291" spans="3:13">
      <c r="C291" s="60"/>
      <c r="H291" s="60"/>
      <c r="I291" s="60"/>
      <c r="M291"/>
    </row>
    <row r="292" spans="3:13">
      <c r="C292" s="60"/>
      <c r="H292" s="60"/>
      <c r="I292" s="60"/>
      <c r="M292"/>
    </row>
    <row r="293" spans="3:13">
      <c r="C293" s="60"/>
      <c r="H293" s="60"/>
      <c r="I293" s="60"/>
      <c r="M293"/>
    </row>
    <row r="294" spans="3:13">
      <c r="C294" s="60"/>
      <c r="H294" s="60"/>
      <c r="I294" s="60"/>
      <c r="M294"/>
    </row>
    <row r="295" spans="3:13">
      <c r="C295" s="60"/>
      <c r="H295" s="60"/>
      <c r="I295" s="60"/>
      <c r="M295"/>
    </row>
    <row r="296" spans="3:13">
      <c r="C296" s="60"/>
      <c r="H296" s="60"/>
      <c r="I296" s="60"/>
      <c r="M296"/>
    </row>
    <row r="297" spans="3:13">
      <c r="C297" s="60"/>
      <c r="H297" s="60"/>
      <c r="I297" s="60"/>
      <c r="M297"/>
    </row>
    <row r="298" spans="3:13">
      <c r="C298" s="60"/>
      <c r="H298" s="60"/>
      <c r="I298" s="60"/>
      <c r="M298"/>
    </row>
    <row r="299" spans="3:13">
      <c r="C299" s="60"/>
      <c r="H299" s="60"/>
      <c r="I299" s="60"/>
      <c r="M299"/>
    </row>
    <row r="300" spans="3:13">
      <c r="C300" s="60"/>
      <c r="H300" s="60"/>
      <c r="I300" s="60"/>
      <c r="M300"/>
    </row>
    <row r="301" spans="3:13">
      <c r="C301" s="60"/>
      <c r="H301" s="60"/>
      <c r="I301" s="60"/>
      <c r="M301"/>
    </row>
    <row r="302" spans="3:13">
      <c r="C302" s="60"/>
      <c r="H302" s="60"/>
      <c r="I302" s="60"/>
      <c r="M302"/>
    </row>
    <row r="303" spans="3:13">
      <c r="C303" s="60"/>
      <c r="H303" s="60"/>
      <c r="I303" s="60"/>
      <c r="M303"/>
    </row>
    <row r="304" spans="3:13">
      <c r="C304" s="60"/>
      <c r="H304" s="60"/>
      <c r="I304" s="60"/>
      <c r="M304"/>
    </row>
    <row r="305" spans="3:13">
      <c r="C305" s="60"/>
      <c r="H305" s="60"/>
      <c r="I305" s="60"/>
      <c r="M305"/>
    </row>
    <row r="306" spans="3:13">
      <c r="C306" s="60"/>
      <c r="H306" s="60"/>
      <c r="I306" s="60"/>
      <c r="M306"/>
    </row>
    <row r="307" spans="3:13">
      <c r="C307" s="60"/>
      <c r="H307" s="60"/>
      <c r="I307" s="60"/>
      <c r="M307"/>
    </row>
    <row r="308" spans="3:13">
      <c r="C308" s="60"/>
      <c r="H308" s="60"/>
      <c r="I308" s="60"/>
      <c r="M308"/>
    </row>
    <row r="309" spans="3:13">
      <c r="C309" s="60"/>
      <c r="H309" s="60"/>
      <c r="I309" s="60"/>
      <c r="M309"/>
    </row>
    <row r="310" spans="3:13">
      <c r="C310" s="60"/>
      <c r="H310" s="60"/>
      <c r="I310" s="60"/>
      <c r="M310"/>
    </row>
    <row r="311" spans="3:13">
      <c r="C311" s="60"/>
      <c r="H311" s="60"/>
      <c r="I311" s="60"/>
      <c r="M311"/>
    </row>
    <row r="312" spans="3:13">
      <c r="C312" s="60"/>
      <c r="H312" s="60"/>
      <c r="I312" s="60"/>
      <c r="M312"/>
    </row>
    <row r="313" spans="3:13">
      <c r="C313" s="60"/>
      <c r="H313" s="60"/>
      <c r="I313" s="60"/>
      <c r="M313"/>
    </row>
    <row r="314" spans="3:13">
      <c r="C314" s="60"/>
      <c r="H314" s="60"/>
      <c r="I314" s="60"/>
      <c r="M314"/>
    </row>
    <row r="315" spans="3:13">
      <c r="C315" s="60"/>
      <c r="H315" s="60"/>
      <c r="I315" s="60"/>
      <c r="M315"/>
    </row>
    <row r="316" spans="3:13">
      <c r="C316" s="60"/>
      <c r="H316" s="60"/>
      <c r="I316" s="60"/>
      <c r="M316"/>
    </row>
    <row r="317" spans="3:13">
      <c r="C317" s="60"/>
      <c r="H317" s="60"/>
      <c r="I317" s="60"/>
      <c r="M317"/>
    </row>
    <row r="318" spans="3:13">
      <c r="C318" s="60"/>
      <c r="H318" s="60"/>
      <c r="I318" s="60"/>
      <c r="M318"/>
    </row>
    <row r="319" spans="3:13">
      <c r="C319" s="60"/>
      <c r="H319" s="60"/>
      <c r="I319" s="60"/>
      <c r="M319"/>
    </row>
    <row r="320" spans="3:13">
      <c r="C320" s="60"/>
      <c r="H320" s="60"/>
      <c r="I320" s="60"/>
      <c r="M320"/>
    </row>
    <row r="321" spans="3:13">
      <c r="C321" s="60"/>
      <c r="H321" s="60"/>
      <c r="I321" s="60"/>
      <c r="M321"/>
    </row>
    <row r="322" spans="3:13">
      <c r="C322" s="60"/>
      <c r="M322"/>
    </row>
    <row r="323" spans="3:13">
      <c r="C323" s="60"/>
      <c r="M323"/>
    </row>
    <row r="324" spans="3:13">
      <c r="C324" s="60"/>
      <c r="H324" s="60"/>
      <c r="I324" s="60"/>
      <c r="M324"/>
    </row>
    <row r="325" spans="3:13">
      <c r="C325" s="60"/>
      <c r="H325" s="60"/>
      <c r="I325" s="60"/>
      <c r="M325"/>
    </row>
    <row r="326" spans="3:13">
      <c r="C326" s="60"/>
      <c r="H326" s="60"/>
      <c r="I326" s="60"/>
      <c r="M326"/>
    </row>
    <row r="327" spans="3:13">
      <c r="C327" s="60"/>
      <c r="H327" s="60"/>
      <c r="I327" s="60"/>
      <c r="M327"/>
    </row>
    <row r="328" spans="3:13">
      <c r="C328" s="60"/>
      <c r="H328" s="60"/>
      <c r="I328" s="60"/>
      <c r="M328"/>
    </row>
    <row r="329" spans="3:13">
      <c r="C329" s="60"/>
      <c r="H329" s="60"/>
      <c r="I329" s="60"/>
      <c r="M329"/>
    </row>
    <row r="330" spans="3:13">
      <c r="C330" s="60"/>
      <c r="H330" s="60"/>
      <c r="I330" s="60"/>
      <c r="M330"/>
    </row>
    <row r="331" spans="3:13">
      <c r="C331" s="60"/>
      <c r="H331" s="60"/>
      <c r="I331" s="60"/>
      <c r="M331"/>
    </row>
    <row r="332" spans="3:13">
      <c r="C332" s="60"/>
      <c r="H332" s="60"/>
      <c r="I332" s="60"/>
      <c r="M332"/>
    </row>
    <row r="333" spans="3:13">
      <c r="C333" s="60"/>
      <c r="H333" s="60"/>
      <c r="I333" s="60"/>
      <c r="M333"/>
    </row>
    <row r="334" spans="3:13">
      <c r="C334" s="60"/>
      <c r="H334" s="60"/>
      <c r="I334" s="60"/>
      <c r="M334"/>
    </row>
    <row r="335" spans="3:13">
      <c r="C335" s="60"/>
      <c r="H335" s="60"/>
      <c r="I335" s="60"/>
      <c r="M335"/>
    </row>
    <row r="336" spans="3:13">
      <c r="C336" s="60"/>
      <c r="H336" s="60"/>
      <c r="I336" s="60"/>
      <c r="M336"/>
    </row>
    <row r="337" spans="3:13">
      <c r="C337" s="60"/>
      <c r="H337" s="60"/>
      <c r="I337" s="60"/>
      <c r="M337"/>
    </row>
    <row r="338" spans="3:13">
      <c r="C338" s="60"/>
      <c r="H338" s="60"/>
      <c r="I338" s="60"/>
      <c r="M338"/>
    </row>
    <row r="339" spans="3:13">
      <c r="C339" s="60"/>
      <c r="H339" s="60"/>
      <c r="I339" s="60"/>
      <c r="M339"/>
    </row>
    <row r="340" spans="3:13">
      <c r="C340" s="60"/>
      <c r="H340" s="60"/>
      <c r="I340" s="60"/>
      <c r="M340"/>
    </row>
    <row r="341" spans="3:13">
      <c r="C341" s="60"/>
      <c r="H341" s="60"/>
      <c r="I341" s="60"/>
      <c r="M341"/>
    </row>
    <row r="342" spans="3:13">
      <c r="C342" s="60"/>
      <c r="H342" s="60"/>
      <c r="I342" s="60"/>
      <c r="M342"/>
    </row>
    <row r="343" spans="3:13">
      <c r="C343" s="60"/>
      <c r="H343" s="60"/>
      <c r="I343" s="60"/>
      <c r="M343"/>
    </row>
    <row r="344" spans="3:13">
      <c r="C344" s="60"/>
      <c r="H344" s="60"/>
      <c r="I344" s="60"/>
      <c r="M344"/>
    </row>
    <row r="345" spans="3:13">
      <c r="C345" s="60"/>
      <c r="H345" s="60"/>
      <c r="I345" s="60"/>
      <c r="M345"/>
    </row>
    <row r="346" spans="3:13">
      <c r="C346" s="60"/>
      <c r="H346" s="60"/>
      <c r="I346" s="60"/>
      <c r="M346"/>
    </row>
    <row r="347" spans="3:13">
      <c r="C347" s="60"/>
      <c r="H347" s="60"/>
      <c r="I347" s="60"/>
      <c r="M347"/>
    </row>
    <row r="348" spans="3:13">
      <c r="C348" s="60"/>
      <c r="H348" s="60"/>
      <c r="I348" s="60"/>
      <c r="M348"/>
    </row>
    <row r="349" spans="3:13">
      <c r="C349" s="60"/>
      <c r="H349" s="60"/>
      <c r="I349" s="60"/>
      <c r="M349"/>
    </row>
    <row r="350" spans="3:13">
      <c r="C350" s="60"/>
      <c r="H350" s="60"/>
      <c r="I350" s="60"/>
      <c r="M350"/>
    </row>
    <row r="351" spans="3:13">
      <c r="C351" s="60"/>
      <c r="H351" s="60"/>
      <c r="I351" s="60"/>
      <c r="M351"/>
    </row>
    <row r="352" spans="3:13">
      <c r="C352" s="60"/>
      <c r="H352" s="60"/>
      <c r="I352" s="60"/>
      <c r="M352"/>
    </row>
    <row r="353" spans="3:13">
      <c r="C353" s="60"/>
      <c r="H353" s="60"/>
      <c r="I353" s="60"/>
      <c r="M353"/>
    </row>
    <row r="354" spans="3:13">
      <c r="C354" s="60"/>
      <c r="H354" s="60"/>
      <c r="I354" s="60"/>
      <c r="M354"/>
    </row>
    <row r="355" spans="3:13">
      <c r="C355" s="60"/>
      <c r="H355" s="60"/>
      <c r="I355" s="60"/>
      <c r="M355"/>
    </row>
    <row r="356" spans="3:13">
      <c r="C356" s="60"/>
      <c r="M356"/>
    </row>
    <row r="357" spans="3:13">
      <c r="C357" s="60"/>
      <c r="M357"/>
    </row>
    <row r="358" spans="3:13">
      <c r="C358" s="60"/>
      <c r="H358" s="60"/>
      <c r="I358" s="60"/>
      <c r="M358"/>
    </row>
    <row r="359" spans="3:13">
      <c r="C359" s="60"/>
      <c r="H359" s="60"/>
      <c r="I359" s="60"/>
      <c r="M359"/>
    </row>
    <row r="360" spans="3:13">
      <c r="C360" s="60"/>
      <c r="H360" s="60"/>
      <c r="I360" s="60"/>
      <c r="M360"/>
    </row>
    <row r="361" spans="3:13">
      <c r="C361" s="60"/>
      <c r="H361" s="60"/>
      <c r="I361" s="60"/>
      <c r="M361"/>
    </row>
    <row r="362" spans="3:13">
      <c r="C362" s="60"/>
      <c r="H362" s="60"/>
      <c r="I362" s="60"/>
      <c r="M362"/>
    </row>
    <row r="363" spans="3:13">
      <c r="C363" s="60"/>
      <c r="H363" s="60"/>
      <c r="I363" s="60"/>
      <c r="M363"/>
    </row>
    <row r="364" spans="3:13">
      <c r="C364" s="60"/>
      <c r="H364" s="60"/>
      <c r="I364" s="60"/>
      <c r="M364"/>
    </row>
    <row r="365" spans="3:13">
      <c r="C365" s="60"/>
      <c r="H365" s="60"/>
      <c r="I365" s="60"/>
      <c r="M365"/>
    </row>
    <row r="366" spans="3:13">
      <c r="C366" s="60"/>
      <c r="H366" s="60"/>
      <c r="I366" s="60"/>
      <c r="M366"/>
    </row>
    <row r="367" spans="3:13">
      <c r="C367" s="60"/>
      <c r="H367" s="60"/>
      <c r="I367" s="60"/>
      <c r="M367"/>
    </row>
    <row r="368" spans="3:13">
      <c r="C368" s="60"/>
      <c r="H368" s="60"/>
      <c r="I368" s="60"/>
      <c r="M368"/>
    </row>
    <row r="369" spans="3:13">
      <c r="C369" s="60"/>
      <c r="H369" s="60"/>
      <c r="I369" s="60"/>
      <c r="M369"/>
    </row>
    <row r="370" spans="3:13">
      <c r="C370" s="60"/>
      <c r="H370" s="60"/>
      <c r="I370" s="60"/>
      <c r="M370"/>
    </row>
    <row r="371" spans="3:13">
      <c r="C371" s="60"/>
      <c r="H371" s="60"/>
      <c r="I371" s="60"/>
      <c r="M371"/>
    </row>
    <row r="372" spans="3:13">
      <c r="C372" s="60"/>
      <c r="H372" s="60"/>
      <c r="I372" s="60"/>
      <c r="M372"/>
    </row>
    <row r="373" spans="3:13">
      <c r="C373" s="60"/>
      <c r="H373" s="60"/>
      <c r="I373" s="60"/>
      <c r="M373"/>
    </row>
    <row r="374" spans="3:13">
      <c r="C374" s="60"/>
      <c r="H374" s="60"/>
      <c r="I374" s="60"/>
      <c r="M374"/>
    </row>
    <row r="375" spans="3:13">
      <c r="C375" s="60"/>
      <c r="H375" s="60"/>
      <c r="I375" s="60"/>
      <c r="M375"/>
    </row>
    <row r="376" spans="3:13">
      <c r="C376" s="60"/>
      <c r="H376" s="60"/>
      <c r="I376" s="60"/>
      <c r="M376"/>
    </row>
    <row r="377" spans="3:13">
      <c r="C377" s="60"/>
      <c r="H377" s="60"/>
      <c r="I377" s="60"/>
      <c r="M377"/>
    </row>
    <row r="378" spans="3:13">
      <c r="C378" s="60"/>
      <c r="H378" s="60"/>
      <c r="I378" s="60"/>
      <c r="M378"/>
    </row>
    <row r="379" spans="3:13">
      <c r="C379" s="60"/>
      <c r="H379" s="60"/>
      <c r="I379" s="60"/>
      <c r="M379"/>
    </row>
    <row r="380" spans="3:13">
      <c r="C380" s="60"/>
      <c r="H380" s="60"/>
      <c r="I380" s="60"/>
      <c r="M380"/>
    </row>
    <row r="381" spans="3:13">
      <c r="C381" s="60"/>
      <c r="H381" s="60"/>
      <c r="I381" s="60"/>
      <c r="M381"/>
    </row>
    <row r="382" spans="3:13">
      <c r="C382" s="60"/>
      <c r="H382" s="60"/>
      <c r="I382" s="60"/>
      <c r="M382"/>
    </row>
    <row r="383" spans="3:13">
      <c r="C383" s="60"/>
      <c r="H383" s="60"/>
      <c r="I383" s="60"/>
      <c r="M383"/>
    </row>
    <row r="384" spans="3:13">
      <c r="C384" s="60"/>
      <c r="H384" s="60"/>
      <c r="I384" s="60"/>
      <c r="M384"/>
    </row>
    <row r="385" spans="3:13">
      <c r="C385" s="60"/>
      <c r="H385" s="60"/>
      <c r="I385" s="60"/>
      <c r="M385"/>
    </row>
    <row r="386" spans="3:13">
      <c r="C386" s="60"/>
      <c r="H386" s="60"/>
      <c r="I386" s="60"/>
      <c r="M386"/>
    </row>
    <row r="387" spans="3:13">
      <c r="C387" s="60"/>
      <c r="H387" s="60"/>
      <c r="I387" s="60"/>
      <c r="M387"/>
    </row>
    <row r="388" spans="3:13">
      <c r="C388" s="60"/>
      <c r="H388" s="60"/>
      <c r="I388" s="60"/>
      <c r="M388"/>
    </row>
    <row r="389" spans="3:13">
      <c r="H389" s="60"/>
      <c r="I389" s="60"/>
      <c r="M389"/>
    </row>
    <row r="390" spans="3:13">
      <c r="M390"/>
    </row>
    <row r="391" spans="3:13">
      <c r="M391"/>
    </row>
    <row r="392" spans="3:13">
      <c r="H392" s="60"/>
      <c r="I392" s="60"/>
      <c r="M392"/>
    </row>
    <row r="393" spans="3:13">
      <c r="H393" s="60"/>
      <c r="I393" s="60"/>
      <c r="M393"/>
    </row>
    <row r="394" spans="3:13">
      <c r="H394" s="60"/>
      <c r="I394" s="60"/>
      <c r="M394"/>
    </row>
    <row r="395" spans="3:13">
      <c r="H395" s="60"/>
      <c r="I395" s="60"/>
      <c r="M395"/>
    </row>
    <row r="396" spans="3:13">
      <c r="H396" s="60"/>
      <c r="I396" s="60"/>
      <c r="M396"/>
    </row>
    <row r="397" spans="3:13">
      <c r="H397" s="60"/>
      <c r="I397" s="60"/>
      <c r="M397"/>
    </row>
    <row r="398" spans="3:13">
      <c r="H398" s="60"/>
      <c r="I398" s="60"/>
      <c r="M398"/>
    </row>
    <row r="399" spans="3:13">
      <c r="H399" s="60"/>
      <c r="I399" s="60"/>
      <c r="M399"/>
    </row>
    <row r="400" spans="3:13">
      <c r="H400" s="60"/>
      <c r="I400" s="60"/>
      <c r="M400"/>
    </row>
    <row r="401" spans="8:13">
      <c r="H401" s="60"/>
      <c r="I401" s="60"/>
      <c r="M401"/>
    </row>
    <row r="402" spans="8:13">
      <c r="H402" s="60"/>
      <c r="I402" s="60"/>
      <c r="M402"/>
    </row>
    <row r="403" spans="8:13">
      <c r="H403" s="60"/>
      <c r="I403" s="60"/>
      <c r="M403"/>
    </row>
    <row r="404" spans="8:13">
      <c r="H404" s="60"/>
      <c r="I404" s="60"/>
      <c r="M404"/>
    </row>
    <row r="405" spans="8:13">
      <c r="H405" s="60"/>
      <c r="I405" s="60"/>
      <c r="M405"/>
    </row>
    <row r="406" spans="8:13">
      <c r="H406" s="60"/>
      <c r="I406" s="60"/>
      <c r="M406"/>
    </row>
    <row r="407" spans="8:13">
      <c r="H407" s="60"/>
      <c r="I407" s="60"/>
      <c r="M407"/>
    </row>
    <row r="408" spans="8:13">
      <c r="H408" s="60"/>
      <c r="I408" s="60"/>
      <c r="M408"/>
    </row>
    <row r="409" spans="8:13">
      <c r="H409" s="60"/>
      <c r="I409" s="60"/>
      <c r="M409"/>
    </row>
    <row r="410" spans="8:13">
      <c r="H410" s="60"/>
      <c r="I410" s="60"/>
      <c r="M410"/>
    </row>
    <row r="411" spans="8:13">
      <c r="H411" s="60"/>
      <c r="I411" s="60"/>
      <c r="M411"/>
    </row>
    <row r="412" spans="8:13">
      <c r="H412" s="60"/>
      <c r="I412" s="60"/>
      <c r="M412"/>
    </row>
    <row r="413" spans="8:13">
      <c r="H413" s="60"/>
      <c r="I413" s="60"/>
      <c r="M413"/>
    </row>
    <row r="414" spans="8:13">
      <c r="H414" s="60"/>
      <c r="I414" s="60"/>
      <c r="M414"/>
    </row>
    <row r="415" spans="8:13">
      <c r="H415" s="60"/>
      <c r="I415" s="60"/>
      <c r="M415"/>
    </row>
    <row r="416" spans="8:13">
      <c r="H416" s="60"/>
      <c r="I416" s="60"/>
      <c r="M416"/>
    </row>
    <row r="417" spans="8:13">
      <c r="H417" s="60"/>
      <c r="I417" s="60"/>
      <c r="M417"/>
    </row>
    <row r="418" spans="8:13">
      <c r="H418" s="60"/>
      <c r="I418" s="60"/>
      <c r="M418"/>
    </row>
    <row r="419" spans="8:13">
      <c r="H419" s="60"/>
      <c r="I419" s="60"/>
      <c r="M419"/>
    </row>
    <row r="420" spans="8:13">
      <c r="H420" s="60"/>
      <c r="I420" s="60"/>
      <c r="M420"/>
    </row>
    <row r="421" spans="8:13">
      <c r="H421" s="60"/>
      <c r="I421" s="60"/>
      <c r="M421"/>
    </row>
    <row r="422" spans="8:13">
      <c r="H422" s="60"/>
      <c r="I422" s="60"/>
      <c r="M422"/>
    </row>
    <row r="423" spans="8:13">
      <c r="H423" s="60"/>
      <c r="I423" s="60"/>
      <c r="M423"/>
    </row>
    <row r="424" spans="8:13">
      <c r="M424"/>
    </row>
    <row r="425" spans="8:13">
      <c r="M425"/>
    </row>
    <row r="426" spans="8:13">
      <c r="H426" s="60"/>
      <c r="I426" s="60"/>
      <c r="M426"/>
    </row>
    <row r="427" spans="8:13">
      <c r="H427" s="60"/>
      <c r="I427" s="60"/>
      <c r="M427"/>
    </row>
    <row r="428" spans="8:13">
      <c r="H428" s="60"/>
      <c r="I428" s="60"/>
      <c r="M428"/>
    </row>
    <row r="429" spans="8:13">
      <c r="H429" s="60"/>
      <c r="I429" s="60"/>
      <c r="M429"/>
    </row>
    <row r="430" spans="8:13">
      <c r="H430" s="60"/>
      <c r="I430" s="60"/>
      <c r="M430"/>
    </row>
    <row r="431" spans="8:13">
      <c r="H431" s="60"/>
      <c r="I431" s="60"/>
      <c r="M431"/>
    </row>
    <row r="432" spans="8:13">
      <c r="H432" s="60"/>
      <c r="I432" s="60"/>
      <c r="M432"/>
    </row>
    <row r="433" spans="8:13">
      <c r="H433" s="60"/>
      <c r="I433" s="60"/>
      <c r="M433"/>
    </row>
    <row r="434" spans="8:13">
      <c r="H434" s="60"/>
      <c r="I434" s="60"/>
      <c r="M434"/>
    </row>
    <row r="435" spans="8:13">
      <c r="H435" s="60"/>
      <c r="I435" s="60"/>
      <c r="M435"/>
    </row>
    <row r="436" spans="8:13">
      <c r="H436" s="60"/>
      <c r="I436" s="60"/>
    </row>
    <row r="437" spans="8:13">
      <c r="H437" s="60"/>
      <c r="I437" s="60"/>
    </row>
    <row r="438" spans="8:13">
      <c r="H438" s="60"/>
      <c r="I438" s="60"/>
    </row>
    <row r="439" spans="8:13">
      <c r="H439" s="60"/>
      <c r="I439" s="60"/>
    </row>
    <row r="440" spans="8:13">
      <c r="H440" s="60"/>
      <c r="I440" s="60"/>
    </row>
    <row r="441" spans="8:13">
      <c r="H441" s="60"/>
      <c r="I441" s="60"/>
    </row>
    <row r="442" spans="8:13">
      <c r="H442" s="60"/>
      <c r="I442" s="60"/>
    </row>
    <row r="443" spans="8:13">
      <c r="H443" s="60"/>
      <c r="I443" s="60"/>
    </row>
    <row r="444" spans="8:13">
      <c r="H444" s="60"/>
      <c r="I444" s="60"/>
    </row>
    <row r="445" spans="8:13">
      <c r="H445" s="60"/>
      <c r="I445" s="60"/>
    </row>
    <row r="446" spans="8:13">
      <c r="H446" s="60"/>
      <c r="I446" s="60"/>
    </row>
    <row r="447" spans="8:13">
      <c r="H447" s="60"/>
      <c r="I447" s="60"/>
    </row>
    <row r="448" spans="8:13">
      <c r="H448" s="60"/>
      <c r="I448" s="60"/>
    </row>
    <row r="449" spans="8:9">
      <c r="H449" s="60"/>
      <c r="I449" s="60"/>
    </row>
    <row r="450" spans="8:9">
      <c r="H450" s="60"/>
      <c r="I450" s="60"/>
    </row>
    <row r="451" spans="8:9">
      <c r="H451" s="60"/>
      <c r="I451" s="60"/>
    </row>
    <row r="452" spans="8:9">
      <c r="H452" s="60"/>
      <c r="I452" s="60"/>
    </row>
    <row r="453" spans="8:9">
      <c r="H453" s="60"/>
      <c r="I453" s="60"/>
    </row>
    <row r="454" spans="8:9">
      <c r="H454" s="60"/>
      <c r="I454" s="60"/>
    </row>
    <row r="455" spans="8:9">
      <c r="H455" s="60"/>
      <c r="I455" s="60"/>
    </row>
    <row r="456" spans="8:9">
      <c r="H456" s="60"/>
      <c r="I456" s="60"/>
    </row>
    <row r="457" spans="8:9">
      <c r="H457" s="60"/>
      <c r="I457" s="60"/>
    </row>
  </sheetData>
  <sheetProtection algorithmName="SHA-512" hashValue="ew+6q9hdaQ1jSxn5EoFBWSVk1+nKtZBEZkd6lj5j8xrxxdTgXVs6CPBwKpj7AEa1R9Jxgt8WBCq41+m6THlaew==" saltValue="I/f+hsMws1VroVkTm26aZg==" spinCount="100000" sheet="1" objects="1" scenarios="1"/>
  <mergeCells count="17">
    <mergeCell ref="HO75:HT75"/>
    <mergeCell ref="C13:F13"/>
    <mergeCell ref="C54:D54"/>
    <mergeCell ref="C75:M75"/>
    <mergeCell ref="HD75:HE75"/>
    <mergeCell ref="HH75:HM75"/>
    <mergeCell ref="C2:G2"/>
    <mergeCell ref="C3:G3"/>
    <mergeCell ref="C4:G4"/>
    <mergeCell ref="C5:G5"/>
    <mergeCell ref="C6:G6"/>
    <mergeCell ref="C12:G12"/>
    <mergeCell ref="C7:G7"/>
    <mergeCell ref="C8:G8"/>
    <mergeCell ref="C9:G9"/>
    <mergeCell ref="C10:G10"/>
    <mergeCell ref="C11:G11"/>
  </mergeCells>
  <conditionalFormatting sqref="E18">
    <cfRule type="expression" dxfId="23" priority="8">
      <formula>E36&lt;1</formula>
    </cfRule>
  </conditionalFormatting>
  <conditionalFormatting sqref="F17:F20">
    <cfRule type="cellIs" dxfId="22" priority="1" operator="between">
      <formula>"not supported"</formula>
      <formula>"not supported"</formula>
    </cfRule>
    <cfRule type="cellIs" dxfId="21" priority="2" operator="between">
      <formula>"supported"</formula>
      <formula>"supported"</formula>
    </cfRule>
  </conditionalFormatting>
  <conditionalFormatting sqref="HC18">
    <cfRule type="expression" dxfId="20" priority="7">
      <formula>E37&lt;1</formula>
    </cfRule>
  </conditionalFormatting>
  <dataValidations count="21">
    <dataValidation type="list" allowBlank="1" showInputMessage="1" showErrorMessage="1" sqref="J113" xr:uid="{00000000-0002-0000-0800-000000000000}">
      <formula1>OFFSET(C97,MATCH(L100,G97:G133,0)-1,0,COUNTIF(C97:G131,L100),1)</formula1>
    </dataValidation>
    <dataValidation type="list" allowBlank="1" showInputMessage="1" showErrorMessage="1" sqref="K108" xr:uid="{00000000-0002-0000-0800-000001000000}">
      <formula1>OFFSET(C97,MATCH(I99,F97:F132,0)-1,0,COUNTIF(C97:F133,I99),1)</formula1>
    </dataValidation>
    <dataValidation type="list" allowBlank="1" showInputMessage="1" showErrorMessage="1" sqref="J18" xr:uid="{00000000-0002-0000-0800-000002000000}">
      <formula1>Resolution_neu_2</formula1>
    </dataValidation>
    <dataValidation type="list" allowBlank="1" showInputMessage="1" showErrorMessage="1" sqref="E16" xr:uid="{00000000-0002-0000-0800-000003000000}">
      <formula1>INDIRECT(E17)</formula1>
    </dataValidation>
    <dataValidation type="list" allowBlank="1" showInputMessage="1" showErrorMessage="1" sqref="L150" xr:uid="{00000000-0002-0000-0800-000004000000}">
      <formula1>INDIRECT(K150)</formula1>
    </dataValidation>
    <dataValidation type="list" allowBlank="1" showInputMessage="1" showErrorMessage="1" sqref="K150 E17" xr:uid="{00000000-0002-0000-0800-000005000000}">
      <formula1>$H$149:$I$149</formula1>
    </dataValidation>
    <dataValidation type="list" allowBlank="1" showInputMessage="1" showErrorMessage="1" sqref="L151" xr:uid="{00000000-0002-0000-0800-000006000000}">
      <formula1>INDIRECT(K150)</formula1>
    </dataValidation>
    <dataValidation type="list" allowBlank="1" showInputMessage="1" showErrorMessage="1" sqref="F73:F74 EC71 BW71 Q71 EC73:EC74 BW73:BW74 Q73:Q74 EC52 F52 Q52 BW52" xr:uid="{00000000-0002-0000-0800-000007000000}">
      <formula1>#REF!</formula1>
    </dataValidation>
    <dataValidation type="list" allowBlank="1" showInputMessage="1" showErrorMessage="1" sqref="M73:M74 AA71 EM71 CG71 M71 AA73:AA74 EM73:EM74 CG73:CG74 AA52 M52 CG52 EM52 F97:F133" xr:uid="{00000000-0002-0000-0800-000008000000}">
      <formula1>PlatForm</formula1>
    </dataValidation>
    <dataValidation type="list" allowBlank="1" showInputMessage="1" showErrorMessage="1" sqref="E15 I97:I98" xr:uid="{00000000-0002-0000-0800-000009000000}">
      <formula1>BVMS_Standard_Profiles</formula1>
    </dataValidation>
    <dataValidation type="list" allowBlank="1" showInputMessage="1" showErrorMessage="1" sqref="E63 I100 E18" xr:uid="{00000000-0002-0000-0800-00000A000000}">
      <formula1>Resolution_neu</formula1>
    </dataValidation>
    <dataValidation type="list" allowBlank="1" showInputMessage="1" showErrorMessage="1" sqref="E64 I99" xr:uid="{00000000-0002-0000-0800-00000B000000}">
      <formula1>platform_neu</formula1>
    </dataValidation>
    <dataValidation type="list" allowBlank="1" showInputMessage="1" showErrorMessage="1" sqref="I101" xr:uid="{00000000-0002-0000-0800-00000C000000}">
      <formula1>Frame_rate</formula1>
    </dataValidation>
    <dataValidation type="list" allowBlank="1" showInputMessage="1" showErrorMessage="1" sqref="E55" xr:uid="{00000000-0002-0000-0800-00000D000000}">
      <formula1>Static_scene_type</formula1>
    </dataValidation>
    <dataValidation type="list" allowBlank="1" showInputMessage="1" showErrorMessage="1" sqref="E56" xr:uid="{00000000-0002-0000-0800-00000E000000}">
      <formula1>dynamic_scene_typ</formula1>
    </dataValidation>
    <dataValidation type="list" allowBlank="1" showInputMessage="1" showErrorMessage="1" sqref="E58" xr:uid="{00000000-0002-0000-0800-00000F000000}">
      <formula1>Bit_rate_optimization</formula1>
    </dataValidation>
    <dataValidation type="list" allowBlank="1" showInputMessage="1" showErrorMessage="1" sqref="E61" xr:uid="{00000000-0002-0000-0800-000010000000}">
      <formula1>GOP_type</formula1>
    </dataValidation>
    <dataValidation type="list" allowBlank="1" showInputMessage="1" showErrorMessage="1" sqref="E62" xr:uid="{00000000-0002-0000-0800-000011000000}">
      <formula1>I_Frame_distance</formula1>
    </dataValidation>
    <dataValidation type="list" allowBlank="1" showInputMessage="1" showErrorMessage="1" sqref="E60 E19" xr:uid="{00000000-0002-0000-0800-000012000000}">
      <formula1>Encoding_Interval</formula1>
    </dataValidation>
    <dataValidation type="list" allowBlank="1" showInputMessage="1" showErrorMessage="1" sqref="E65" xr:uid="{00000000-0002-0000-0800-000013000000}">
      <formula1>Video_Codec</formula1>
    </dataValidation>
    <dataValidation type="list" allowBlank="1" showInputMessage="1" showErrorMessage="1" sqref="E57" xr:uid="{00000000-0002-0000-0800-000014000000}">
      <formula1>Saftey_factor</formula1>
    </dataValidation>
  </dataValidations>
  <hyperlinks>
    <hyperlink ref="C9:G9" r:id="rId1" display="Download .zip with example videos from the Knowledge base" xr:uid="{00000000-0004-0000-0800-000000000000}"/>
  </hyperlinks>
  <pageMargins left="0.7" right="0.7" top="0.78740157499999996" bottom="0.78740157499999996" header="0.3" footer="0.3"/>
  <pageSetup orientation="portrait" horizontalDpi="90" verticalDpi="90" r:id="rId2"/>
  <customProperties>
    <customPr name="_pios_id" r:id="rId3"/>
  </customProperties>
  <legacyDrawing r:id="rId4"/>
  <tableParts count="2">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206da80-7faf-4204-a837-19732fce3a9f" xsi:nil="true"/>
    <A_x002d_SC xmlns="0813aad8-253a-40b8-82f1-e7ffef7da372" xsi:nil="true"/>
    <C_x002d_SC xmlns="0813aad8-253a-40b8-82f1-e7ffef7da372" xsi:nil="true"/>
    <Historical_x0020_relevance xmlns="0813aad8-253a-40b8-82f1-e7ffef7da372" xsi:nil="true"/>
    <ILMItemType xmlns="0813aad8-253a-40b8-82f1-e7ffef7da372" xsi:nil="true"/>
    <Safegaurding xmlns="0813aad8-253a-40b8-82f1-e7ffef7da372" xsi:nil="true"/>
    <Archiving_x0020_Period_x0020__x0028_in_x0020_years_x0029_ xmlns="0813aad8-253a-40b8-82f1-e7ffef7da372" xsi:nil="true"/>
    <I_x002d_SC xmlns="0813aad8-253a-40b8-82f1-e7ffef7da372" xsi:nil="true"/>
    <lcf76f155ced4ddcb4097134ff3c332f xmlns="0813aad8-253a-40b8-82f1-e7ffef7da37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708E2D7EEB99040859943C6D2553700" ma:contentTypeVersion="26" ma:contentTypeDescription="Ein neues Dokument erstellen." ma:contentTypeScope="" ma:versionID="e9d75365ba975f10f3eecfa2c24161c2">
  <xsd:schema xmlns:xsd="http://www.w3.org/2001/XMLSchema" xmlns:xs="http://www.w3.org/2001/XMLSchema" xmlns:p="http://schemas.microsoft.com/office/2006/metadata/properties" xmlns:ns2="0813aad8-253a-40b8-82f1-e7ffef7da372" xmlns:ns3="7206da80-7faf-4204-a837-19732fce3a9f" targetNamespace="http://schemas.microsoft.com/office/2006/metadata/properties" ma:root="true" ma:fieldsID="456074f8cdbc1fd90df3f68cbd8a0923" ns2:_="" ns3:_="">
    <xsd:import namespace="0813aad8-253a-40b8-82f1-e7ffef7da372"/>
    <xsd:import namespace="7206da80-7faf-4204-a837-19732fce3a9f"/>
    <xsd:element name="properties">
      <xsd:complexType>
        <xsd:sequence>
          <xsd:element name="documentManagement">
            <xsd:complexType>
              <xsd:all>
                <xsd:element ref="ns2:C_x002d_SC" minOccurs="0"/>
                <xsd:element ref="ns2:A_x002d_SC" minOccurs="0"/>
                <xsd:element ref="ns2:I_x002d_SC" minOccurs="0"/>
                <xsd:element ref="ns2:ILMItemType" minOccurs="0"/>
                <xsd:element ref="ns2:Historical_x0020_relevance" minOccurs="0"/>
                <xsd:element ref="ns2:Safegaurding" minOccurs="0"/>
                <xsd:element ref="ns2:Archiving_x0020_Period_x0020__x0028_in_x0020_years_x0029_"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13aad8-253a-40b8-82f1-e7ffef7da372" elementFormDefault="qualified">
    <xsd:import namespace="http://schemas.microsoft.com/office/2006/documentManagement/types"/>
    <xsd:import namespace="http://schemas.microsoft.com/office/infopath/2007/PartnerControls"/>
    <xsd:element name="C_x002d_SC" ma:index="8" nillable="true" ma:displayName="C-SC" ma:internalName="C_x002d_SC">
      <xsd:simpleType>
        <xsd:restriction base="dms:Choice">
          <xsd:enumeration value="0"/>
          <xsd:enumeration value="1"/>
          <xsd:enumeration value="2"/>
          <xsd:enumeration value="3"/>
          <xsd:enumeration value="4"/>
        </xsd:restriction>
      </xsd:simpleType>
    </xsd:element>
    <xsd:element name="A_x002d_SC" ma:index="9" nillable="true" ma:displayName="A-SC" ma:internalName="A_x002d_SC">
      <xsd:simpleType>
        <xsd:restriction base="dms:Choice">
          <xsd:enumeration value="0"/>
          <xsd:enumeration value="1"/>
          <xsd:enumeration value="2"/>
        </xsd:restriction>
      </xsd:simpleType>
    </xsd:element>
    <xsd:element name="I_x002d_SC" ma:index="10" nillable="true" ma:displayName="I-SC" ma:internalName="I_x002d_SC">
      <xsd:simpleType>
        <xsd:restriction base="dms:Choice">
          <xsd:enumeration value="0"/>
          <xsd:enumeration value="1"/>
        </xsd:restriction>
      </xsd:simpleType>
    </xsd:element>
    <xsd:element name="ILMItemType" ma:index="11" nillable="true" ma:displayName="ILMItemType" ma:internalName="ILMItemType">
      <xsd:simpleType>
        <xsd:restriction base="dms:Text">
          <xsd:maxLength value="255"/>
        </xsd:restriction>
      </xsd:simpleType>
    </xsd:element>
    <xsd:element name="Historical_x0020_relevance" ma:index="12" nillable="true" ma:displayName="Historical relevance" ma:internalName="Historical_x0020_relevance">
      <xsd:simpleType>
        <xsd:restriction base="dms:Choice">
          <xsd:enumeration value="Yes"/>
          <xsd:enumeration value="No"/>
        </xsd:restriction>
      </xsd:simpleType>
    </xsd:element>
    <xsd:element name="Safegaurding" ma:index="13" nillable="true" ma:displayName="Safegaurding" ma:internalName="Safegaurding">
      <xsd:simpleType>
        <xsd:restriction base="dms:Choice">
          <xsd:enumeration value="Yes"/>
          <xsd:enumeration value="No"/>
        </xsd:restriction>
      </xsd:simpleType>
    </xsd:element>
    <xsd:element name="Archiving_x0020_Period_x0020__x0028_in_x0020_years_x0029_" ma:index="14" nillable="true" ma:displayName="Archiving Period (in years)" ma:internalName="Archiving_x0020_Period_x0020__x0028_in_x0020_years_x0029_">
      <xsd:simpleType>
        <xsd:restriction base="dms:Choice">
          <xsd:enumeration value="0"/>
          <xsd:enumeration value="1"/>
          <xsd:enumeration value="2"/>
          <xsd:enumeration value="3"/>
          <xsd:enumeration value="6"/>
          <xsd:enumeration value="10"/>
          <xsd:enumeration value="15"/>
          <xsd:enumeration value="35"/>
          <xsd:enumeration value="Delete when archiving"/>
          <xsd:enumeration value="delete when archiving"/>
          <xsd:enumeration value="infinite"/>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412f1f4d-d635-4bd5-b230-8a34446f924c" ma:termSetId="09814cd3-568e-fe90-9814-8d621ff8fb84" ma:anchorId="fba54fb3-c3e1-fe81-a776-ca4b69148c4d" ma:open="true" ma:isKeyword="false">
      <xsd:complexType>
        <xsd:sequence>
          <xsd:element ref="pc:Terms" minOccurs="0" maxOccurs="1"/>
        </xsd:sequence>
      </xsd:complexType>
    </xsd:element>
    <xsd:element name="MediaServiceOCR" ma:index="25" nillable="true" ma:displayName="Extracted Text" ma:internalName="MediaServiceOCR" ma:readOnly="true">
      <xsd:simpleType>
        <xsd:restriction base="dms:Note">
          <xsd:maxLength value="255"/>
        </xsd:restrictio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206da80-7faf-4204-a837-19732fce3a9f"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0a71f5fb-0923-4540-a65e-1f95f6699edb}" ma:internalName="TaxCatchAll" ma:showField="CatchAllData" ma:web="7206da80-7faf-4204-a837-19732fce3a9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ED80EBA-94A5-4F12-B6FE-0993AC65F36B}">
  <ds:schemaRefs>
    <ds:schemaRef ds:uri="http://schemas.microsoft.com/sharepoint/v3/contenttype/forms"/>
  </ds:schemaRefs>
</ds:datastoreItem>
</file>

<file path=customXml/itemProps2.xml><?xml version="1.0" encoding="utf-8"?>
<ds:datastoreItem xmlns:ds="http://schemas.openxmlformats.org/officeDocument/2006/customXml" ds:itemID="{A7215DDF-0E90-4E91-AF7B-655B50BFF5C5}">
  <ds:schemaRefs>
    <ds:schemaRef ds:uri="http://schemas.microsoft.com/sharepoint/v3"/>
    <ds:schemaRef ds:uri="http://purl.org/dc/terms/"/>
    <ds:schemaRef ds:uri="http://schemas.microsoft.com/office/2006/documentManagement/types"/>
    <ds:schemaRef ds:uri="http://schemas.openxmlformats.org/package/2006/metadata/core-properties"/>
    <ds:schemaRef ds:uri="http://www.w3.org/XML/1998/namespace"/>
    <ds:schemaRef ds:uri="6b5f85e9-1d91-4ebf-8af0-5c18a95d7079"/>
    <ds:schemaRef ds:uri="http://schemas.microsoft.com/office/infopath/2007/PartnerControls"/>
    <ds:schemaRef ds:uri="http://purl.org/dc/dcmityp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E70A64EA-8230-43F7-A1E6-49BA90C06AED}"/>
</file>

<file path=customXml/itemProps4.xml><?xml version="1.0" encoding="utf-8"?>
<ds:datastoreItem xmlns:ds="http://schemas.openxmlformats.org/officeDocument/2006/customXml" ds:itemID="{8983C6CF-DB24-4EA8-A8C1-60213CC762F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112</vt:i4>
      </vt:variant>
    </vt:vector>
  </HeadingPairs>
  <TitlesOfParts>
    <vt:vector size="138" baseType="lpstr">
      <vt:lpstr>BVMS checklist</vt:lpstr>
      <vt:lpstr>Ordering</vt:lpstr>
      <vt:lpstr>Approvals change log</vt:lpstr>
      <vt:lpstr>OrderingData</vt:lpstr>
      <vt:lpstr>Cameras</vt:lpstr>
      <vt:lpstr>CameraPerformance</vt:lpstr>
      <vt:lpstr>StorageDevices</vt:lpstr>
      <vt:lpstr>StorageSelection</vt:lpstr>
      <vt:lpstr>Bit Rate Guide (Manual)</vt:lpstr>
      <vt:lpstr>SD lifetime</vt:lpstr>
      <vt:lpstr>Local Recording</vt:lpstr>
      <vt:lpstr>BRG_Group1</vt:lpstr>
      <vt:lpstr>BRG_Group2</vt:lpstr>
      <vt:lpstr>BRG_Group3</vt:lpstr>
      <vt:lpstr>BRG_Group4</vt:lpstr>
      <vt:lpstr>Network</vt:lpstr>
      <vt:lpstr>Decoders</vt:lpstr>
      <vt:lpstr>Transcoders</vt:lpstr>
      <vt:lpstr>CentralServer</vt:lpstr>
      <vt:lpstr>BRG_Group5</vt:lpstr>
      <vt:lpstr>Workstations</vt:lpstr>
      <vt:lpstr>BVMS_Base</vt:lpstr>
      <vt:lpstr>Changelog</vt:lpstr>
      <vt:lpstr>Storage maintenance cost EST</vt:lpstr>
      <vt:lpstr>Resolutions</vt:lpstr>
      <vt:lpstr>DataBase</vt:lpstr>
      <vt:lpstr>'Bit Rate Guide (Manual)'!Bit_rate_optimization</vt:lpstr>
      <vt:lpstr>BRG_Group2!Bit_rate_optimization</vt:lpstr>
      <vt:lpstr>BRG_Group3!Bit_rate_optimization</vt:lpstr>
      <vt:lpstr>BRG_Group4!Bit_rate_optimization</vt:lpstr>
      <vt:lpstr>BRG_Group5!Bit_rate_optimization</vt:lpstr>
      <vt:lpstr>Bit_rate_optimization</vt:lpstr>
      <vt:lpstr>BVMS</vt:lpstr>
      <vt:lpstr>'Bit Rate Guide (Manual)'!BVMS_Standard_Profiles</vt:lpstr>
      <vt:lpstr>BRG_Group2!BVMS_Standard_Profiles</vt:lpstr>
      <vt:lpstr>BRG_Group3!BVMS_Standard_Profiles</vt:lpstr>
      <vt:lpstr>BRG_Group4!BVMS_Standard_Profiles</vt:lpstr>
      <vt:lpstr>BRG_Group5!BVMS_Standard_Profiles</vt:lpstr>
      <vt:lpstr>BVMS_Standard_Profiles</vt:lpstr>
      <vt:lpstr>CAMERAS</vt:lpstr>
      <vt:lpstr>CentralServer</vt:lpstr>
      <vt:lpstr>DECODERS</vt:lpstr>
      <vt:lpstr>dynamic_scene_typ</vt:lpstr>
      <vt:lpstr>'Bit Rate Guide (Manual)'!Encoding_Interval</vt:lpstr>
      <vt:lpstr>BRG_Group2!Encoding_Interval</vt:lpstr>
      <vt:lpstr>BRG_Group3!Encoding_Interval</vt:lpstr>
      <vt:lpstr>BRG_Group4!Encoding_Interval</vt:lpstr>
      <vt:lpstr>BRG_Group5!Encoding_Interval</vt:lpstr>
      <vt:lpstr>Encoding_Interval</vt:lpstr>
      <vt:lpstr>'Bit Rate Guide (Manual)'!Frame_rate</vt:lpstr>
      <vt:lpstr>BRG_Group2!Frame_rate</vt:lpstr>
      <vt:lpstr>BRG_Group3!Frame_rate</vt:lpstr>
      <vt:lpstr>BRG_Group4!Frame_rate</vt:lpstr>
      <vt:lpstr>BRG_Group5!Frame_rate</vt:lpstr>
      <vt:lpstr>Frame_rate</vt:lpstr>
      <vt:lpstr>GOP_type</vt:lpstr>
      <vt:lpstr>GROUP1</vt:lpstr>
      <vt:lpstr>GROUP2</vt:lpstr>
      <vt:lpstr>GROUP3</vt:lpstr>
      <vt:lpstr>GROUP4</vt:lpstr>
      <vt:lpstr>H.263</vt:lpstr>
      <vt:lpstr>H.263_str1</vt:lpstr>
      <vt:lpstr>H.264</vt:lpstr>
      <vt:lpstr>H.264_1080p</vt:lpstr>
      <vt:lpstr>H.264_1080p_str1</vt:lpstr>
      <vt:lpstr>H.264_720p</vt:lpstr>
      <vt:lpstr>H.264_720p_str1</vt:lpstr>
      <vt:lpstr>H.264_NBC200</vt:lpstr>
      <vt:lpstr>H.264_NBC200_720p</vt:lpstr>
      <vt:lpstr>H.264_NBC200_720p_str1</vt:lpstr>
      <vt:lpstr>H.264_NBC200_str1</vt:lpstr>
      <vt:lpstr>H.264_str1</vt:lpstr>
      <vt:lpstr>H.264_XFM4</vt:lpstr>
      <vt:lpstr>H.264_XFM4_str1</vt:lpstr>
      <vt:lpstr>H263_str1</vt:lpstr>
      <vt:lpstr>'Bit Rate Guide (Manual)'!I_Frame_distance</vt:lpstr>
      <vt:lpstr>BRG_Group2!I_Frame_distance</vt:lpstr>
      <vt:lpstr>BRG_Group3!I_Frame_distance</vt:lpstr>
      <vt:lpstr>BRG_Group4!I_Frame_distance</vt:lpstr>
      <vt:lpstr>BRG_Group5!I_Frame_distance</vt:lpstr>
      <vt:lpstr>I_Frame_distance</vt:lpstr>
      <vt:lpstr>Network</vt:lpstr>
      <vt:lpstr>'Bit Rate Guide (Manual)'!platform_neu</vt:lpstr>
      <vt:lpstr>BRG_Group2!platform_neu</vt:lpstr>
      <vt:lpstr>BRG_Group3!platform_neu</vt:lpstr>
      <vt:lpstr>BRG_Group4!platform_neu</vt:lpstr>
      <vt:lpstr>BRG_Group5!platform_neu</vt:lpstr>
      <vt:lpstr>platform_neu</vt:lpstr>
      <vt:lpstr>'BVMS checklist'!Print_Area</vt:lpstr>
      <vt:lpstr>'Bit Rate Guide (Manual)'!recording_quality</vt:lpstr>
      <vt:lpstr>BRG_Group2!recording_quality</vt:lpstr>
      <vt:lpstr>BRG_Group3!recording_quality</vt:lpstr>
      <vt:lpstr>BRG_Group4!recording_quality</vt:lpstr>
      <vt:lpstr>BRG_Group5!recording_quality</vt:lpstr>
      <vt:lpstr>recording_quality</vt:lpstr>
      <vt:lpstr>'Bit Rate Guide (Manual)'!resolution_2</vt:lpstr>
      <vt:lpstr>BRG_Group2!resolution_2</vt:lpstr>
      <vt:lpstr>BRG_Group3!resolution_2</vt:lpstr>
      <vt:lpstr>BRG_Group4!resolution_2</vt:lpstr>
      <vt:lpstr>BRG_Group5!resolution_2</vt:lpstr>
      <vt:lpstr>resolution_2</vt:lpstr>
      <vt:lpstr>'Bit Rate Guide (Manual)'!Resolution_neu</vt:lpstr>
      <vt:lpstr>BRG_Group2!Resolution_neu</vt:lpstr>
      <vt:lpstr>BRG_Group3!Resolution_neu</vt:lpstr>
      <vt:lpstr>BRG_Group4!Resolution_neu</vt:lpstr>
      <vt:lpstr>BRG_Group5!Resolution_neu</vt:lpstr>
      <vt:lpstr>Resolution_neu</vt:lpstr>
      <vt:lpstr>'Bit Rate Guide (Manual)'!Resolution_neu_2</vt:lpstr>
      <vt:lpstr>BRG_Group2!Resolution_neu_2</vt:lpstr>
      <vt:lpstr>BRG_Group3!Resolution_neu_2</vt:lpstr>
      <vt:lpstr>BRG_Group4!Resolution_neu_2</vt:lpstr>
      <vt:lpstr>BRG_Group5!Resolution_neu_2</vt:lpstr>
      <vt:lpstr>Resolution_neu_2</vt:lpstr>
      <vt:lpstr>CameraPerformance!Resolutions_MIC_7522_Z30x_FW7_61_0016</vt:lpstr>
      <vt:lpstr>CameraPerformance!Resolutions_MIC_7522_Z30xR_FW7_61_16</vt:lpstr>
      <vt:lpstr>'Bit Rate Guide (Manual)'!Saftey_factor</vt:lpstr>
      <vt:lpstr>BRG_Group2!Saftey_factor</vt:lpstr>
      <vt:lpstr>BRG_Group3!Saftey_factor</vt:lpstr>
      <vt:lpstr>BRG_Group4!Saftey_factor</vt:lpstr>
      <vt:lpstr>BRG_Group5!Saftey_factor</vt:lpstr>
      <vt:lpstr>Saftey_factor</vt:lpstr>
      <vt:lpstr>'Bit Rate Guide (Manual)'!Scene</vt:lpstr>
      <vt:lpstr>BRG_Group2!Scene</vt:lpstr>
      <vt:lpstr>BRG_Group3!Scene</vt:lpstr>
      <vt:lpstr>BRG_Group4!Scene</vt:lpstr>
      <vt:lpstr>BRG_Group5!Scene</vt:lpstr>
      <vt:lpstr>Scene</vt:lpstr>
      <vt:lpstr>specialCamera</vt:lpstr>
      <vt:lpstr>SPEED</vt:lpstr>
      <vt:lpstr>Static_scene_type</vt:lpstr>
      <vt:lpstr>transcoders</vt:lpstr>
      <vt:lpstr>'Bit Rate Guide (Manual)'!Video_Codec</vt:lpstr>
      <vt:lpstr>BRG_Group2!Video_Codec</vt:lpstr>
      <vt:lpstr>BRG_Group3!Video_Codec</vt:lpstr>
      <vt:lpstr>BRG_Group4!Video_Codec</vt:lpstr>
      <vt:lpstr>BRG_Group5!Video_Codec</vt:lpstr>
      <vt:lpstr>Video_Codec</vt:lpstr>
      <vt:lpstr>WORKSTATION</vt:lpstr>
    </vt:vector>
  </TitlesOfParts>
  <Company>Bosch Security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VRM Calculator</dc:title>
  <dc:creator>Mario.Verhaeg@de.bosch.com</dc:creator>
  <dc:description>By Ruud Toonders_x000d_
SSO Eindhoven - 7 okt 2009</dc:description>
  <cp:lastModifiedBy>Wrobel Maciej (BT-VS/MKP-XSE4)</cp:lastModifiedBy>
  <cp:lastPrinted>2020-02-27T14:55:37Z</cp:lastPrinted>
  <dcterms:created xsi:type="dcterms:W3CDTF">2009-02-27T03:56:44Z</dcterms:created>
  <dcterms:modified xsi:type="dcterms:W3CDTF">2025-10-24T14:54:40Z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a few people</vt:lpwstr>
  </property>
  <property fmtid="{D5CDD505-2E9C-101B-9397-08002B2CF9AE}" pid="3" name="Date completed">
    <vt:lpwstr>31 februari 2011</vt:lpwstr>
  </property>
  <property fmtid="{D5CDD505-2E9C-101B-9397-08002B2CF9AE}" pid="4" name="BExAnalyzer_OldName">
    <vt:lpwstr>BVMS Project Checklist v10012 - (Empty).xlsm</vt:lpwstr>
  </property>
  <property fmtid="{D5CDD505-2E9C-101B-9397-08002B2CF9AE}" pid="5" name="SV_QUERY_LIST_4F35BF76-6C0D-4D9B-82B2-816C12CF3733">
    <vt:lpwstr>empty_477D106A-C0D6-4607-AEBD-E2C9D60EA279</vt:lpwstr>
  </property>
  <property fmtid="{D5CDD505-2E9C-101B-9397-08002B2CF9AE}" pid="6" name="ContentTypeId">
    <vt:lpwstr>0x0101003708E2D7EEB99040859943C6D2553700</vt:lpwstr>
  </property>
  <property fmtid="{D5CDD505-2E9C-101B-9397-08002B2CF9AE}" pid="7" name="_dlc_DocIdItemGuid">
    <vt:lpwstr>3f85ff90-aa3e-480f-81c0-c4b3bc2109be</vt:lpwstr>
  </property>
  <property fmtid="{D5CDD505-2E9C-101B-9397-08002B2CF9AE}" pid="8" name="DMSKeywords">
    <vt:lpwstr/>
  </property>
  <property fmtid="{D5CDD505-2E9C-101B-9397-08002B2CF9AE}" pid="9" name="CustomUiType">
    <vt:lpwstr>2</vt:lpwstr>
  </property>
</Properties>
</file>